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tables/table2.xml" ContentType="application/vnd.openxmlformats-officedocument.spreadsheetml.table+xml"/>
  <Override PartName="/xl/charts/chartEx2.xml" ContentType="application/vnd.ms-office.chartex+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tables/table3.xml" ContentType="application/vnd.openxmlformats-officedocument.spreadsheetml.table+xml"/>
  <Override PartName="/xl/charts/chartEx3.xml" ContentType="application/vnd.ms-office.chartex+xml"/>
  <Override PartName="/xl/charts/style15.xml" ContentType="application/vnd.ms-office.chartstyle+xml"/>
  <Override PartName="/xl/charts/colors15.xml" ContentType="application/vnd.ms-office.chartcolorstyle+xml"/>
  <Override PartName="/xl/charts/chart1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tables/table4.xml" ContentType="application/vnd.openxmlformats-officedocument.spreadsheetml.table+xml"/>
  <Override PartName="/xl/charts/chartEx4.xml" ContentType="application/vnd.ms-office.chartex+xml"/>
  <Override PartName="/xl/charts/style17.xml" ContentType="application/vnd.ms-office.chartstyle+xml"/>
  <Override PartName="/xl/charts/colors17.xml" ContentType="application/vnd.ms-office.chartcolorstyle+xml"/>
  <Override PartName="/xl/charts/chart1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tables/table5.xml" ContentType="application/vnd.openxmlformats-officedocument.spreadsheetml.table+xml"/>
  <Override PartName="/xl/charts/chartEx5.xml" ContentType="application/vnd.ms-office.chartex+xml"/>
  <Override PartName="/xl/charts/style19.xml" ContentType="application/vnd.ms-office.chartstyle+xml"/>
  <Override PartName="/xl/charts/colors19.xml" ContentType="application/vnd.ms-office.chartcolorstyle+xml"/>
  <Override PartName="/xl/charts/chart1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tables/table6.xml" ContentType="application/vnd.openxmlformats-officedocument.spreadsheetml.table+xml"/>
  <Override PartName="/xl/charts/chartEx6.xml" ContentType="application/vnd.ms-office.chartex+xml"/>
  <Override PartName="/xl/charts/style21.xml" ContentType="application/vnd.ms-office.chartstyle+xml"/>
  <Override PartName="/xl/charts/colors21.xml" ContentType="application/vnd.ms-office.chartcolorstyle+xml"/>
  <Override PartName="/xl/charts/chart1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8.xml" ContentType="application/vnd.openxmlformats-officedocument.drawing+xml"/>
  <Override PartName="/xl/tables/table7.xml" ContentType="application/vnd.openxmlformats-officedocument.spreadsheetml.table+xml"/>
  <Override PartName="/xl/charts/chartEx7.xml" ContentType="application/vnd.ms-office.chartex+xml"/>
  <Override PartName="/xl/charts/style24.xml" ContentType="application/vnd.ms-office.chartstyle+xml"/>
  <Override PartName="/xl/charts/colors24.xml" ContentType="application/vnd.ms-office.chartcolorstyle+xml"/>
  <Override PartName="/xl/charts/chart1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0.xml" ContentType="application/vnd.openxmlformats-officedocument.drawing+xml"/>
  <Override PartName="/xl/comments1.xml" ContentType="application/vnd.openxmlformats-officedocument.spreadsheetml.comments+xml"/>
  <Override PartName="/xl/charts/chart20.xml" ContentType="application/vnd.openxmlformats-officedocument.drawingml.chart+xml"/>
  <Override PartName="/xl/charts/style27.xml" ContentType="application/vnd.ms-office.chartstyle+xml"/>
  <Override PartName="/xl/charts/colors27.xml" ContentType="application/vnd.ms-office.chartcolorstyle+xml"/>
  <Override PartName="/xl/charts/chart21.xml" ContentType="application/vnd.openxmlformats-officedocument.drawingml.chart+xml"/>
  <Override PartName="/xl/charts/style28.xml" ContentType="application/vnd.ms-office.chartstyle+xml"/>
  <Override PartName="/xl/charts/colors28.xml" ContentType="application/vnd.ms-office.chartcolorsty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drawings/drawing21.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harts/chart22.xml" ContentType="application/vnd.openxmlformats-officedocument.drawingml.chart+xml"/>
  <Override PartName="/xl/charts/style29.xml" ContentType="application/vnd.ms-office.chartstyle+xml"/>
  <Override PartName="/xl/charts/colors29.xml" ContentType="application/vnd.ms-office.chartcolorstyle+xml"/>
  <Override PartName="/xl/charts/chart23.xml" ContentType="application/vnd.openxmlformats-officedocument.drawingml.chart+xml"/>
  <Override PartName="/xl/charts/style30.xml" ContentType="application/vnd.ms-office.chartstyle+xml"/>
  <Override PartName="/xl/charts/colors30.xml" ContentType="application/vnd.ms-office.chartcolorstyle+xml"/>
  <Override PartName="/xl/charts/chart24.xml" ContentType="application/vnd.openxmlformats-officedocument.drawingml.chart+xml"/>
  <Override PartName="/xl/charts/style31.xml" ContentType="application/vnd.ms-office.chartstyle+xml"/>
  <Override PartName="/xl/charts/colors31.xml" ContentType="application/vnd.ms-office.chartcolorstyle+xml"/>
  <Override PartName="/xl/charts/chart25.xml" ContentType="application/vnd.openxmlformats-officedocument.drawingml.chart+xml"/>
  <Override PartName="/xl/charts/style32.xml" ContentType="application/vnd.ms-office.chartstyle+xml"/>
  <Override PartName="/xl/charts/colors32.xml" ContentType="application/vnd.ms-office.chartcolorstyle+xml"/>
  <Override PartName="/xl/charts/chart26.xml" ContentType="application/vnd.openxmlformats-officedocument.drawingml.chart+xml"/>
  <Override PartName="/xl/charts/style33.xml" ContentType="application/vnd.ms-office.chartstyle+xml"/>
  <Override PartName="/xl/charts/colors33.xml" ContentType="application/vnd.ms-office.chartcolorstyle+xml"/>
  <Override PartName="/xl/charts/chart27.xml" ContentType="application/vnd.openxmlformats-officedocument.drawingml.chart+xml"/>
  <Override PartName="/xl/charts/style34.xml" ContentType="application/vnd.ms-office.chartstyle+xml"/>
  <Override PartName="/xl/charts/colors34.xml" ContentType="application/vnd.ms-office.chartcolorstyle+xml"/>
  <Override PartName="/xl/charts/chart28.xml" ContentType="application/vnd.openxmlformats-officedocument.drawingml.chart+xml"/>
  <Override PartName="/xl/charts/style35.xml" ContentType="application/vnd.ms-office.chartstyle+xml"/>
  <Override PartName="/xl/charts/colors35.xml" ContentType="application/vnd.ms-office.chartcolorstyle+xml"/>
  <Override PartName="/xl/charts/chart29.xml" ContentType="application/vnd.openxmlformats-officedocument.drawingml.chart+xml"/>
  <Override PartName="/xl/charts/style36.xml" ContentType="application/vnd.ms-office.chartstyle+xml"/>
  <Override PartName="/xl/charts/colors36.xml" ContentType="application/vnd.ms-office.chartcolorstyle+xml"/>
  <Override PartName="/xl/charts/chart30.xml" ContentType="application/vnd.openxmlformats-officedocument.drawingml.chart+xml"/>
  <Override PartName="/xl/charts/style37.xml" ContentType="application/vnd.ms-office.chartstyle+xml"/>
  <Override PartName="/xl/charts/colors37.xml" ContentType="application/vnd.ms-office.chartcolorstyle+xml"/>
  <Override PartName="/xl/charts/chart31.xml" ContentType="application/vnd.openxmlformats-officedocument.drawingml.chart+xml"/>
  <Override PartName="/xl/charts/style38.xml" ContentType="application/vnd.ms-office.chartstyle+xml"/>
  <Override PartName="/xl/charts/colors38.xml" ContentType="application/vnd.ms-office.chartcolorstyle+xml"/>
  <Override PartName="/xl/charts/chart32.xml" ContentType="application/vnd.openxmlformats-officedocument.drawingml.chart+xml"/>
  <Override PartName="/xl/charts/style39.xml" ContentType="application/vnd.ms-office.chartstyle+xml"/>
  <Override PartName="/xl/charts/colors39.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40.xml" ContentType="application/vnd.ms-office.chartstyle+xml"/>
  <Override PartName="/xl/charts/colors40.xml" ContentType="application/vnd.ms-office.chartcolorstyle+xml"/>
  <Override PartName="/xl/charts/chart35.xml" ContentType="application/vnd.openxmlformats-officedocument.drawingml.chart+xml"/>
  <Override PartName="/xl/charts/style41.xml" ContentType="application/vnd.ms-office.chartstyle+xml"/>
  <Override PartName="/xl/charts/colors41.xml" ContentType="application/vnd.ms-office.chartcolorstyle+xml"/>
  <Override PartName="/xl/charts/chart36.xml" ContentType="application/vnd.openxmlformats-officedocument.drawingml.chart+xml"/>
  <Override PartName="/xl/charts/style42.xml" ContentType="application/vnd.ms-office.chartstyle+xml"/>
  <Override PartName="/xl/charts/colors42.xml" ContentType="application/vnd.ms-office.chartcolorstyle+xml"/>
  <Override PartName="/xl/charts/chart37.xml" ContentType="application/vnd.openxmlformats-officedocument.drawingml.chart+xml"/>
  <Override PartName="/xl/charts/style43.xml" ContentType="application/vnd.ms-office.chartstyle+xml"/>
  <Override PartName="/xl/charts/colors43.xml" ContentType="application/vnd.ms-office.chartcolorstyle+xml"/>
  <Override PartName="/xl/charts/chart38.xml" ContentType="application/vnd.openxmlformats-officedocument.drawingml.chart+xml"/>
  <Override PartName="/xl/charts/style44.xml" ContentType="application/vnd.ms-office.chartstyle+xml"/>
  <Override PartName="/xl/charts/colors44.xml" ContentType="application/vnd.ms-office.chartcolorstyle+xml"/>
  <Override PartName="/xl/comments5.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03"/>
  <workbookPr defaultThemeVersion="166925"/>
  <mc:AlternateContent xmlns:mc="http://schemas.openxmlformats.org/markup-compatibility/2006">
    <mc:Choice Requires="x15">
      <x15ac:absPath xmlns:x15ac="http://schemas.microsoft.com/office/spreadsheetml/2010/11/ac" url="C:\Users\Marcus Manuel\Dropbox\ODI Mott grant\PUBLICATIONS - Ours\Policy Briefs\3. Domestic financing for service provision\"/>
    </mc:Choice>
  </mc:AlternateContent>
  <xr:revisionPtr revIDLastSave="4" documentId="13_ncr:1_{FE6A3C08-EFB3-4773-9293-EB5D2505B2B3}" xr6:coauthVersionLast="47" xr6:coauthVersionMax="47" xr10:uidLastSave="{2C2A829D-4E62-404B-A410-58124277EE33}"/>
  <bookViews>
    <workbookView xWindow="-110" yWindow="-110" windowWidth="19420" windowHeight="10420" tabRatio="826" firstSheet="29" activeTab="15" xr2:uid="{CA49E7E3-64D3-4D81-A006-BABA79FCA29C}"/>
  </bookViews>
  <sheets>
    <sheet name="READ ME" sheetId="97" r:id="rId1"/>
    <sheet name="Fig 1 OECD % rev" sheetId="89" r:id="rId2"/>
    <sheet name="Fig 2 OECD category " sheetId="88" r:id="rId3"/>
    <sheet name="Fig 3 OECDpie" sheetId="86" r:id="rId4"/>
    <sheet name="Fig 4 IMF ODI data" sheetId="83" r:id="rId5"/>
    <sheet name="Fig 5 all % rev" sheetId="90" r:id="rId6"/>
    <sheet name="Fig 6 income gps %rev" sheetId="99" r:id="rId7"/>
    <sheet name="Fig 7 NEW Cost pp " sheetId="104" r:id="rId8"/>
    <sheet name="Fig 7 OLD cost %" sheetId="95" r:id="rId9"/>
    <sheet name="Fig 8 j%rev" sheetId="85" r:id="rId10"/>
    <sheet name="Fig 9 lc%rev" sheetId="91" r:id="rId11"/>
    <sheet name="Fig10 police%rev" sheetId="92" r:id="rId12"/>
    <sheet name="Annex B J spend each country" sheetId="98" r:id="rId13"/>
    <sheet name="Summary data" sheetId="67" r:id="rId14"/>
    <sheet name="Justice Spend Total" sheetId="46" r:id="rId15"/>
    <sheet name="C police% (2)" sheetId="100" r:id="rId16"/>
    <sheet name="C lc% (2)" sheetId="101" r:id="rId17"/>
    <sheet name="C jhe% " sheetId="84" r:id="rId18"/>
    <sheet name="C j &amp; h % rev" sheetId="102" r:id="rId19"/>
    <sheet name="C j pp" sheetId="94" r:id="rId20"/>
    <sheet name="C OECDprison" sheetId="87" r:id="rId21"/>
    <sheet name="WJP data" sheetId="96" r:id="rId22"/>
    <sheet name="National budgets summary" sheetId="7" r:id="rId23"/>
    <sheet name="Edu &amp; Health Exp" sheetId="52" r:id="rId24"/>
    <sheet name="Definitions" sheetId="10" r:id="rId25"/>
    <sheet name="Algeria" sheetId="70" r:id="rId26"/>
    <sheet name="Bangladesh" sheetId="21" r:id="rId27"/>
    <sheet name="Benin" sheetId="68" r:id="rId28"/>
    <sheet name="Bhutan" sheetId="38" r:id="rId29"/>
    <sheet name="Burundi" sheetId="25" r:id="rId30"/>
    <sheet name="CAF" sheetId="66" r:id="rId31"/>
    <sheet name="Cambodia" sheetId="72" r:id="rId32"/>
    <sheet name="Congo, Rep." sheetId="69" r:id="rId33"/>
    <sheet name="Côte d'Ivoire" sheetId="39" r:id="rId34"/>
    <sheet name="DRC" sheetId="33" r:id="rId35"/>
    <sheet name="Egypt, Arab Rep." sheetId="40" r:id="rId36"/>
    <sheet name="Eswatini" sheetId="75" r:id="rId37"/>
    <sheet name="Gambia" sheetId="30" r:id="rId38"/>
    <sheet name="Ghana" sheetId="41" r:id="rId39"/>
    <sheet name="Guinea" sheetId="32" r:id="rId40"/>
    <sheet name="Haiti" sheetId="42" r:id="rId41"/>
    <sheet name="Honduras" sheetId="43" r:id="rId42"/>
    <sheet name="India" sheetId="45" r:id="rId43"/>
    <sheet name="Kenya" sheetId="1" r:id="rId44"/>
    <sheet name="Kyrgyz Republic" sheetId="71" r:id="rId45"/>
    <sheet name="Lao PDR" sheetId="73" r:id="rId46"/>
    <sheet name="Lesotho" sheetId="53" r:id="rId47"/>
    <sheet name="Liberia" sheetId="22" r:id="rId48"/>
    <sheet name="Malawi" sheetId="35" r:id="rId49"/>
    <sheet name="Mali" sheetId="34" r:id="rId50"/>
    <sheet name="Madagascar" sheetId="63" r:id="rId51"/>
    <sheet name="Mauritania" sheetId="62" r:id="rId52"/>
    <sheet name="Morocco" sheetId="64" r:id="rId53"/>
    <sheet name="Mozambique" sheetId="65" r:id="rId54"/>
    <sheet name="Nigeria" sheetId="54" r:id="rId55"/>
    <sheet name="Pakistan" sheetId="55" r:id="rId56"/>
    <sheet name="Papua New Guinea" sheetId="56" r:id="rId57"/>
    <sheet name="Rwanda" sheetId="3" r:id="rId58"/>
    <sheet name="Senegal" sheetId="74" r:id="rId59"/>
    <sheet name="Sierra Leone 2018-2020" sheetId="5" r:id="rId60"/>
    <sheet name="Sierra Leone 2022 budget" sheetId="4" r:id="rId61"/>
    <sheet name="Solomon Islands" sheetId="6" r:id="rId62"/>
    <sheet name="South Sudan" sheetId="29" r:id="rId63"/>
    <sheet name="Sudan" sheetId="28" r:id="rId64"/>
    <sheet name="Tanzania" sheetId="23" r:id="rId65"/>
    <sheet name="Timor-Leste" sheetId="77" r:id="rId66"/>
    <sheet name="Togo" sheetId="82" r:id="rId67"/>
    <sheet name="Uganda" sheetId="2" r:id="rId68"/>
    <sheet name="Uzbekistan" sheetId="78" r:id="rId69"/>
    <sheet name="Vanuatu" sheetId="79" r:id="rId70"/>
    <sheet name="Zambia" sheetId="24" r:id="rId71"/>
    <sheet name="Zimbabwe" sheetId="80" r:id="rId72"/>
    <sheet name="IMF COFOG FULL" sheetId="47" r:id="rId73"/>
    <sheet name="WEO GOV REV" sheetId="48" r:id="rId74"/>
    <sheet name="WEO GDP" sheetId="61" r:id="rId75"/>
    <sheet name="COFOG_OECD DAC_HIST" sheetId="60" r:id="rId76"/>
    <sheet name="OECD edn health sp" sheetId="93" r:id="rId77"/>
    <sheet name="OECD" sheetId="44" r:id="rId78"/>
    <sheet name="WB GNI per capita" sheetId="11" r:id="rId79"/>
    <sheet name="gov't revenue" sheetId="13" r:id="rId80"/>
    <sheet name="OECD DAC" sheetId="50" r:id="rId81"/>
    <sheet name="USA_KOREA_COFOG" sheetId="58" r:id="rId82"/>
  </sheets>
  <externalReferences>
    <externalReference r:id="rId83"/>
    <externalReference r:id="rId84"/>
    <externalReference r:id="rId85"/>
  </externalReferences>
  <definedNames>
    <definedName name="_xlnm._FilterDatabase" localSheetId="19" hidden="1">'C j pp'!$A$2:$E$2</definedName>
    <definedName name="_xlnm._FilterDatabase" localSheetId="17" hidden="1">'C jhe% '!$A$2:$E$2</definedName>
    <definedName name="_xlnm._FilterDatabase" localSheetId="16" hidden="1">'C lc% (2)'!$A$2:$E$2</definedName>
    <definedName name="_xlnm._FilterDatabase" localSheetId="20" hidden="1">'C OECDprison'!#REF!</definedName>
    <definedName name="_xlnm._FilterDatabase" localSheetId="15" hidden="1">'C police% (2)'!$A$2:$E$2</definedName>
    <definedName name="_xlnm._FilterDatabase" localSheetId="75" hidden="1">'COFOG_OECD DAC_HIST'!#REF!</definedName>
    <definedName name="_xlnm._FilterDatabase" localSheetId="1" hidden="1">'Fig 1 OECD % rev'!#REF!</definedName>
    <definedName name="_xlnm._FilterDatabase" localSheetId="2" hidden="1">'Fig 2 OECD category '!#REF!</definedName>
    <definedName name="_xlnm._FilterDatabase" localSheetId="3" hidden="1">'Fig 3 OECDpie'!#REF!</definedName>
    <definedName name="_xlnm._FilterDatabase" localSheetId="4" hidden="1">'Fig 4 IMF ODI data'!#REF!</definedName>
    <definedName name="_xlnm._FilterDatabase" localSheetId="5" hidden="1">'Fig 5 all % rev'!#REF!</definedName>
    <definedName name="_xlnm._FilterDatabase" localSheetId="9" hidden="1">'Fig 8 j%rev'!$A$2:$E$2</definedName>
    <definedName name="_xlnm._FilterDatabase" localSheetId="10" hidden="1">'Fig 9 lc%rev'!$A$2:$E$2</definedName>
    <definedName name="_xlnm._FilterDatabase" localSheetId="11" hidden="1">'Fig10 police%rev'!$A$2:$E$2</definedName>
    <definedName name="_xlnm._FilterDatabase" localSheetId="14" hidden="1">'Justice Spend Total'!$A$3:$AQ$244</definedName>
    <definedName name="_xlnm._FilterDatabase" localSheetId="22" hidden="1">'National budgets summary'!$B$2:$F$34</definedName>
    <definedName name="_xlnm._FilterDatabase" localSheetId="74" hidden="1">'WEO GDP'!$A$1:$BI$197</definedName>
    <definedName name="_xlnm._FilterDatabase" localSheetId="21" hidden="1">'WJP data'!$A$1:$F$141</definedName>
    <definedName name="_xlchart.v1.0" hidden="1">'Fig 8 j%rev'!$B$3:$D$164</definedName>
    <definedName name="_xlchart.v1.1" hidden="1">'Fig 8 j%rev'!$E$2</definedName>
    <definedName name="_xlchart.v1.10" hidden="1">'C police% (2)'!$E$2</definedName>
    <definedName name="_xlchart.v1.11" hidden="1">'C police% (2)'!$E$3:$E$164</definedName>
    <definedName name="_xlchart.v1.12" hidden="1">'C lc% (2)'!$B$3:$D$164</definedName>
    <definedName name="_xlchart.v1.13" hidden="1">'C lc% (2)'!$E$2</definedName>
    <definedName name="_xlchart.v1.14" hidden="1">'C lc% (2)'!$E$3:$E$164</definedName>
    <definedName name="_xlchart.v1.15" hidden="1">'C jhe% '!$B$3:$D$164</definedName>
    <definedName name="_xlchart.v1.16" hidden="1">'C jhe% '!$E$2</definedName>
    <definedName name="_xlchart.v1.17" hidden="1">'C jhe% '!$E$3:$E$164</definedName>
    <definedName name="_xlchart.v1.18" hidden="1">'C jhe% '!$F$2</definedName>
    <definedName name="_xlchart.v1.19" hidden="1">'C jhe% '!$F$3:$F$164</definedName>
    <definedName name="_xlchart.v1.2" hidden="1">'Fig 8 j%rev'!$E$3:$E$164</definedName>
    <definedName name="_xlchart.v1.20" hidden="1">'C jhe% '!$G$2</definedName>
    <definedName name="_xlchart.v1.21" hidden="1">'C jhe% '!$G$3:$G$164</definedName>
    <definedName name="_xlchart.v1.22" hidden="1">'C j pp'!$B$3:$D$164</definedName>
    <definedName name="_xlchart.v1.23" hidden="1">'C j pp'!$E$2</definedName>
    <definedName name="_xlchart.v1.24" hidden="1">'C j pp'!$E$3:$E$164</definedName>
    <definedName name="_xlchart.v1.3" hidden="1">'Fig 9 lc%rev'!$B$3:$D$164</definedName>
    <definedName name="_xlchart.v1.4" hidden="1">'Fig 9 lc%rev'!$E$2</definedName>
    <definedName name="_xlchart.v1.5" hidden="1">'Fig 9 lc%rev'!$E$3:$E$164</definedName>
    <definedName name="_xlchart.v1.6" hidden="1">'Fig10 police%rev'!$B$3:$D$164</definedName>
    <definedName name="_xlchart.v1.7" hidden="1">'Fig10 police%rev'!$E$2</definedName>
    <definedName name="_xlchart.v1.8" hidden="1">'Fig10 police%rev'!$E$3:$E$164</definedName>
    <definedName name="_xlchart.v1.9" hidden="1">'C police% (2)'!$B$3:$D$164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04" l="1"/>
  <c r="D5" i="104"/>
  <c r="B11" i="104" s="1"/>
  <c r="I55" i="7"/>
  <c r="I54" i="7"/>
  <c r="I53" i="7"/>
  <c r="I51" i="7"/>
  <c r="I50" i="7"/>
  <c r="I49" i="7"/>
  <c r="I48" i="7"/>
  <c r="I47" i="7"/>
  <c r="I46" i="7"/>
  <c r="I45" i="7"/>
  <c r="I44" i="7"/>
  <c r="I43" i="7"/>
  <c r="I42" i="7"/>
  <c r="I41" i="7"/>
  <c r="I40" i="7"/>
  <c r="I39" i="7"/>
  <c r="I38" i="7"/>
  <c r="I37" i="7"/>
  <c r="I36" i="7"/>
  <c r="I35" i="7"/>
  <c r="I34" i="7"/>
  <c r="I33" i="7"/>
  <c r="I31" i="7"/>
  <c r="I30" i="7"/>
  <c r="I29" i="7"/>
  <c r="I28" i="7"/>
  <c r="I27" i="7"/>
  <c r="I25" i="7"/>
  <c r="I24" i="7"/>
  <c r="I22" i="7"/>
  <c r="I21" i="7"/>
  <c r="I20" i="7"/>
  <c r="I18" i="7"/>
  <c r="I16" i="7"/>
  <c r="I15" i="7"/>
  <c r="I14" i="7"/>
  <c r="I13" i="7"/>
  <c r="I12" i="7"/>
  <c r="I11" i="7"/>
  <c r="I10" i="7"/>
  <c r="I9" i="7"/>
  <c r="I8" i="7"/>
  <c r="I7" i="7"/>
  <c r="I6" i="7"/>
  <c r="I5" i="7"/>
  <c r="I4" i="7"/>
  <c r="I3" i="7"/>
  <c r="G54" i="7"/>
  <c r="G53" i="7"/>
  <c r="G51" i="7"/>
  <c r="G50" i="7"/>
  <c r="G49" i="7"/>
  <c r="G48" i="7"/>
  <c r="G47" i="7"/>
  <c r="G46" i="7"/>
  <c r="G45" i="7"/>
  <c r="G44" i="7"/>
  <c r="G43" i="7"/>
  <c r="G41" i="7"/>
  <c r="G40" i="7"/>
  <c r="G39" i="7"/>
  <c r="G38" i="7"/>
  <c r="G37" i="7"/>
  <c r="G36" i="7"/>
  <c r="G35" i="7"/>
  <c r="G34" i="7"/>
  <c r="G33" i="7"/>
  <c r="G31" i="7"/>
  <c r="G30" i="7"/>
  <c r="G29" i="7"/>
  <c r="G28" i="7"/>
  <c r="G27" i="7"/>
  <c r="G25" i="7"/>
  <c r="G24" i="7"/>
  <c r="G22" i="7"/>
  <c r="G21" i="7"/>
  <c r="G20" i="7"/>
  <c r="G15" i="7"/>
  <c r="G14" i="7"/>
  <c r="G12" i="7"/>
  <c r="G10" i="7"/>
  <c r="G9" i="7"/>
  <c r="G7" i="7"/>
  <c r="G6" i="7"/>
  <c r="G5" i="7"/>
  <c r="G4" i="7"/>
  <c r="G3" i="7"/>
  <c r="AS37" i="46" l="1"/>
  <c r="E36" i="91"/>
  <c r="F5" i="83"/>
  <c r="B25" i="83"/>
  <c r="G2" i="83"/>
  <c r="G3" i="83"/>
  <c r="E6" i="83"/>
  <c r="F3" i="83"/>
  <c r="F2" i="83"/>
  <c r="Q266" i="98"/>
  <c r="Q265" i="98"/>
  <c r="Q264" i="98"/>
  <c r="Q263" i="98"/>
  <c r="Q262" i="98"/>
  <c r="Q261" i="98"/>
  <c r="Q260" i="98"/>
  <c r="Q259" i="98"/>
  <c r="Q258" i="98"/>
  <c r="Q257" i="98"/>
  <c r="Q256" i="98"/>
  <c r="Q255" i="98"/>
  <c r="Q254" i="98"/>
  <c r="Q253" i="98"/>
  <c r="Q252" i="98"/>
  <c r="Q251" i="98"/>
  <c r="Q250" i="98"/>
  <c r="Q249" i="98"/>
  <c r="Q248" i="98"/>
  <c r="Q247" i="98"/>
  <c r="Q246" i="98"/>
  <c r="Q245" i="98"/>
  <c r="Q244" i="98"/>
  <c r="Q243" i="98"/>
  <c r="Q242" i="98"/>
  <c r="Q241" i="98"/>
  <c r="Q240" i="98"/>
  <c r="Q239" i="98"/>
  <c r="Q238" i="98"/>
  <c r="Q237" i="98"/>
  <c r="Q236" i="98"/>
  <c r="Q235" i="98"/>
  <c r="Q234" i="98"/>
  <c r="Q233" i="98"/>
  <c r="Q232" i="98"/>
  <c r="Q231" i="98"/>
  <c r="Q230" i="98"/>
  <c r="Q229" i="98"/>
  <c r="Q228" i="98"/>
  <c r="Q227" i="98"/>
  <c r="Q226" i="98"/>
  <c r="Q225" i="98"/>
  <c r="Q224" i="98"/>
  <c r="Q223" i="98"/>
  <c r="Q222" i="98"/>
  <c r="Q221" i="98"/>
  <c r="Q154" i="98"/>
  <c r="P225" i="98"/>
  <c r="O225" i="98"/>
  <c r="P224" i="98"/>
  <c r="O224" i="98"/>
  <c r="P223" i="98"/>
  <c r="O223" i="98"/>
  <c r="P222" i="98"/>
  <c r="O222" i="98"/>
  <c r="P221" i="98"/>
  <c r="O221" i="98"/>
  <c r="H216" i="98"/>
  <c r="H30" i="98"/>
  <c r="H208" i="98"/>
  <c r="H126" i="98"/>
  <c r="H72" i="98"/>
  <c r="H106" i="98"/>
  <c r="H143" i="98"/>
  <c r="H149" i="98"/>
  <c r="H191" i="98"/>
  <c r="H186" i="98"/>
  <c r="H188" i="98"/>
  <c r="H82" i="98"/>
  <c r="H80" i="98"/>
  <c r="H78" i="98"/>
  <c r="H68" i="98"/>
  <c r="H42" i="98"/>
  <c r="H6" i="98"/>
  <c r="H24" i="98"/>
  <c r="H141" i="98"/>
  <c r="H114" i="98"/>
  <c r="H97" i="98"/>
  <c r="H89" i="98"/>
  <c r="H67" i="98"/>
  <c r="H153" i="98"/>
  <c r="H43" i="98"/>
  <c r="H64" i="98"/>
  <c r="H130" i="98"/>
  <c r="H39" i="98"/>
  <c r="H140" i="98"/>
  <c r="H199" i="98"/>
  <c r="H11" i="98"/>
  <c r="H110" i="98"/>
  <c r="H62" i="98"/>
  <c r="H50" i="98"/>
  <c r="H13" i="98"/>
  <c r="H55" i="98"/>
  <c r="H19" i="98"/>
  <c r="H69" i="98"/>
  <c r="H31" i="98"/>
  <c r="H90" i="98"/>
  <c r="H7" i="98"/>
  <c r="H152" i="98"/>
  <c r="H111" i="98"/>
  <c r="H51" i="98"/>
  <c r="H71" i="98"/>
  <c r="H151" i="98"/>
  <c r="H185" i="98"/>
  <c r="H70" i="98"/>
  <c r="H77" i="98"/>
  <c r="H164" i="98"/>
  <c r="H95" i="98"/>
  <c r="H137" i="98"/>
  <c r="H132" i="98"/>
  <c r="H40" i="98"/>
  <c r="H175" i="98"/>
  <c r="H15" i="98"/>
  <c r="H47" i="98"/>
  <c r="H41" i="98"/>
  <c r="H121" i="98"/>
  <c r="H214" i="98"/>
  <c r="H12" i="98"/>
  <c r="H201" i="98"/>
  <c r="H88" i="98"/>
  <c r="H198" i="98"/>
  <c r="H131" i="98"/>
  <c r="H57" i="98"/>
  <c r="H16" i="98"/>
  <c r="H108" i="98"/>
  <c r="H84" i="98"/>
  <c r="H203" i="98"/>
  <c r="H63" i="98"/>
  <c r="H38" i="98"/>
  <c r="H160" i="98"/>
  <c r="H120" i="98"/>
  <c r="H53" i="98"/>
  <c r="H217" i="98"/>
  <c r="H211" i="98"/>
  <c r="H195" i="98"/>
  <c r="H33" i="98"/>
  <c r="H159" i="98"/>
  <c r="H116" i="98"/>
  <c r="H122" i="98"/>
  <c r="H117" i="98"/>
  <c r="H128" i="98"/>
  <c r="H218" i="98"/>
  <c r="H37" i="98"/>
  <c r="H34" i="98"/>
  <c r="H123" i="98"/>
  <c r="H93" i="98"/>
  <c r="H99" i="98"/>
  <c r="H25" i="98"/>
  <c r="H9" i="98"/>
  <c r="H147" i="98"/>
  <c r="H204" i="98"/>
  <c r="H179" i="98"/>
  <c r="H190" i="98"/>
  <c r="H181" i="98"/>
  <c r="H192" i="98"/>
  <c r="H74" i="98"/>
  <c r="H170" i="98"/>
  <c r="H202" i="98"/>
  <c r="H187" i="98"/>
  <c r="H189" i="98"/>
  <c r="H44" i="98"/>
  <c r="H205" i="98"/>
  <c r="H172" i="98"/>
  <c r="H23" i="98"/>
  <c r="H144" i="98"/>
  <c r="H213" i="98"/>
  <c r="H178" i="98"/>
  <c r="H18" i="98"/>
  <c r="H22" i="98"/>
  <c r="H163" i="98"/>
  <c r="H215" i="98"/>
  <c r="H197" i="98"/>
  <c r="H135" i="98"/>
  <c r="H167" i="98"/>
  <c r="H194" i="98"/>
  <c r="H4" i="98"/>
  <c r="H173" i="98"/>
  <c r="H174" i="98"/>
  <c r="H101" i="98"/>
  <c r="H196" i="98"/>
  <c r="H210" i="98"/>
  <c r="H96" i="98"/>
  <c r="H183" i="98"/>
  <c r="H79" i="98"/>
  <c r="H58" i="98"/>
  <c r="H14" i="98"/>
  <c r="H177" i="98"/>
  <c r="H184" i="98"/>
  <c r="H54" i="98"/>
  <c r="H10" i="98"/>
  <c r="H107" i="98"/>
  <c r="H73" i="98"/>
  <c r="H206" i="98"/>
  <c r="H161" i="98"/>
  <c r="H156" i="98"/>
  <c r="H46" i="98"/>
  <c r="H66" i="98"/>
  <c r="H150" i="98"/>
  <c r="H100" i="98"/>
  <c r="H125" i="98"/>
  <c r="H138" i="98"/>
  <c r="H102" i="98"/>
  <c r="H48" i="98"/>
  <c r="R5" i="98"/>
  <c r="S5" i="98" s="1"/>
  <c r="M5" i="98"/>
  <c r="L5" i="98" s="1"/>
  <c r="T5" i="98" s="1"/>
  <c r="H5" i="98"/>
  <c r="H119" i="98"/>
  <c r="H212" i="98"/>
  <c r="H219" i="98"/>
  <c r="H45" i="98"/>
  <c r="H85" i="98"/>
  <c r="H182" i="98"/>
  <c r="H162" i="98"/>
  <c r="H103" i="98"/>
  <c r="H28" i="98"/>
  <c r="H171" i="98"/>
  <c r="H155" i="98"/>
  <c r="H76" i="98"/>
  <c r="H21" i="98"/>
  <c r="U118" i="98"/>
  <c r="H118" i="98"/>
  <c r="H17" i="98"/>
  <c r="H61" i="98"/>
  <c r="H83" i="98"/>
  <c r="H169" i="98"/>
  <c r="H56" i="98"/>
  <c r="H133" i="98"/>
  <c r="H200" i="98"/>
  <c r="H65" i="98"/>
  <c r="H113" i="98"/>
  <c r="H112" i="98"/>
  <c r="H75" i="98"/>
  <c r="R154" i="98"/>
  <c r="S154" i="98" s="1"/>
  <c r="L154" i="98"/>
  <c r="T154" i="98" s="1"/>
  <c r="H154" i="98"/>
  <c r="H145" i="98"/>
  <c r="H8" i="98"/>
  <c r="H98" i="98"/>
  <c r="R36" i="98"/>
  <c r="S36" i="98" s="1"/>
  <c r="M36" i="98"/>
  <c r="L36" i="98" s="1"/>
  <c r="T36" i="98" s="1"/>
  <c r="H36" i="98"/>
  <c r="H165" i="98"/>
  <c r="H29" i="98"/>
  <c r="H127" i="98"/>
  <c r="H115" i="98"/>
  <c r="H168" i="98"/>
  <c r="H60" i="98"/>
  <c r="H158" i="98"/>
  <c r="H20" i="98"/>
  <c r="H86" i="98"/>
  <c r="H109" i="98"/>
  <c r="H81" i="98"/>
  <c r="H209" i="98"/>
  <c r="H142" i="98"/>
  <c r="H105" i="98"/>
  <c r="H136" i="98"/>
  <c r="H157" i="98"/>
  <c r="H59" i="98"/>
  <c r="H146" i="98"/>
  <c r="H49" i="98"/>
  <c r="H207" i="98"/>
  <c r="H94" i="98"/>
  <c r="H26" i="98"/>
  <c r="H124" i="98"/>
  <c r="H148" i="98"/>
  <c r="H52" i="98"/>
  <c r="H180" i="98"/>
  <c r="H220" i="98"/>
  <c r="H139" i="98"/>
  <c r="H166" i="98"/>
  <c r="H92" i="98"/>
  <c r="H87" i="98"/>
  <c r="H176" i="98"/>
  <c r="H193" i="98"/>
  <c r="H35" i="98"/>
  <c r="H32" i="98"/>
  <c r="H129" i="98"/>
  <c r="H91" i="98"/>
  <c r="H3" i="98"/>
  <c r="H104" i="98"/>
  <c r="H134" i="98"/>
  <c r="H27" i="98"/>
  <c r="J31" i="96"/>
  <c r="J34" i="96"/>
  <c r="J51" i="96"/>
  <c r="H31" i="96"/>
  <c r="H34" i="96"/>
  <c r="H51" i="96"/>
  <c r="F68" i="96"/>
  <c r="F51" i="96"/>
  <c r="F33" i="96"/>
  <c r="F99" i="96"/>
  <c r="F89" i="96"/>
  <c r="F134" i="96"/>
  <c r="F130" i="96"/>
  <c r="F115" i="96"/>
  <c r="F42" i="96"/>
  <c r="F104" i="96"/>
  <c r="F75" i="96"/>
  <c r="F128" i="96"/>
  <c r="F57" i="96"/>
  <c r="F24" i="96"/>
  <c r="F44" i="96"/>
  <c r="F73" i="96"/>
  <c r="F74" i="96"/>
  <c r="F78" i="96"/>
  <c r="F90" i="96"/>
  <c r="F14" i="96"/>
  <c r="F29" i="96"/>
  <c r="F30" i="96"/>
  <c r="F127" i="96"/>
  <c r="F100" i="96"/>
  <c r="F94" i="96"/>
  <c r="F70" i="96"/>
  <c r="F6" i="96"/>
  <c r="F31" i="96"/>
  <c r="F95" i="96"/>
  <c r="F40" i="96"/>
  <c r="F105" i="96"/>
  <c r="F116" i="96"/>
  <c r="F113" i="96"/>
  <c r="F137" i="96"/>
  <c r="F79" i="96"/>
  <c r="F81" i="96"/>
  <c r="F67" i="96"/>
  <c r="F47" i="96"/>
  <c r="F55" i="96"/>
  <c r="F114" i="96"/>
  <c r="F16" i="96"/>
  <c r="F131" i="96"/>
  <c r="F124" i="96"/>
  <c r="F76" i="96"/>
  <c r="F11" i="96"/>
  <c r="F61" i="96"/>
  <c r="F129" i="96"/>
  <c r="F39" i="96"/>
  <c r="F109" i="96"/>
  <c r="F86" i="96"/>
  <c r="F63" i="96"/>
  <c r="F18" i="96"/>
  <c r="F85" i="96"/>
  <c r="F26" i="96"/>
  <c r="F41" i="96"/>
  <c r="F132" i="96"/>
  <c r="F106" i="96"/>
  <c r="F38" i="96"/>
  <c r="F56" i="96"/>
  <c r="F45" i="96"/>
  <c r="F139" i="96"/>
  <c r="F121" i="96"/>
  <c r="F62" i="96"/>
  <c r="F123" i="96"/>
  <c r="F59" i="96"/>
  <c r="F83" i="96"/>
  <c r="F36" i="96"/>
  <c r="F120" i="96"/>
  <c r="F64" i="96"/>
  <c r="F22" i="96"/>
  <c r="F108" i="96"/>
  <c r="F46" i="96"/>
  <c r="F8" i="96"/>
  <c r="F111" i="96"/>
  <c r="F140" i="96"/>
  <c r="F4" i="96"/>
  <c r="F9" i="96"/>
  <c r="F92" i="96"/>
  <c r="F15" i="96"/>
  <c r="F119" i="96"/>
  <c r="F32" i="96"/>
  <c r="F91" i="96"/>
  <c r="F84" i="96"/>
  <c r="F66" i="96"/>
  <c r="F52" i="96"/>
  <c r="F43" i="96"/>
  <c r="F2" i="96"/>
  <c r="F20" i="96"/>
  <c r="F60" i="96"/>
  <c r="F23" i="96"/>
  <c r="F133" i="96"/>
  <c r="F125" i="96"/>
  <c r="F35" i="96"/>
  <c r="F7" i="96"/>
  <c r="F37" i="96"/>
  <c r="F69" i="96"/>
  <c r="F141" i="96"/>
  <c r="F27" i="96"/>
  <c r="F97" i="96"/>
  <c r="F65" i="96"/>
  <c r="F72" i="96"/>
  <c r="F50" i="96"/>
  <c r="F103" i="96"/>
  <c r="F112" i="96"/>
  <c r="F98" i="96"/>
  <c r="F93" i="96"/>
  <c r="F13" i="96"/>
  <c r="F28" i="96"/>
  <c r="F82" i="96"/>
  <c r="F5" i="96"/>
  <c r="F136" i="96"/>
  <c r="F110" i="96"/>
  <c r="F117" i="96"/>
  <c r="F71" i="96"/>
  <c r="F118" i="96"/>
  <c r="F53" i="96"/>
  <c r="F107" i="96"/>
  <c r="F87" i="96"/>
  <c r="F80" i="96"/>
  <c r="F10" i="96"/>
  <c r="F58" i="96"/>
  <c r="F135" i="96"/>
  <c r="F21" i="96"/>
  <c r="F77" i="96"/>
  <c r="F17" i="96"/>
  <c r="F101" i="96"/>
  <c r="F49" i="96"/>
  <c r="F88" i="96"/>
  <c r="F12" i="96"/>
  <c r="F54" i="96"/>
  <c r="F122" i="96"/>
  <c r="F126" i="96"/>
  <c r="F138" i="96"/>
  <c r="F102" i="96"/>
  <c r="F34" i="96"/>
  <c r="F96" i="96"/>
  <c r="F48" i="96"/>
  <c r="F19" i="96"/>
  <c r="F25" i="96"/>
  <c r="F3" i="96"/>
  <c r="G6" i="83" l="1"/>
  <c r="Q5" i="98"/>
  <c r="Q36" i="98"/>
  <c r="B7" i="95"/>
  <c r="D5" i="95"/>
  <c r="B11" i="95" s="1"/>
  <c r="AU75" i="46"/>
  <c r="E74" i="94" s="1"/>
  <c r="AU49" i="46"/>
  <c r="E48" i="94" s="1"/>
  <c r="AU45" i="46"/>
  <c r="E44" i="94" s="1"/>
  <c r="L48" i="67"/>
  <c r="D14" i="93"/>
  <c r="D13" i="93"/>
  <c r="D12" i="93"/>
  <c r="D11" i="93"/>
  <c r="A1" i="93"/>
  <c r="T198" i="46" l="1"/>
  <c r="S198" i="46"/>
  <c r="B82" i="90"/>
  <c r="B20" i="90"/>
  <c r="B31" i="90"/>
  <c r="B24" i="90"/>
  <c r="B68" i="90"/>
  <c r="B45" i="90"/>
  <c r="B8" i="90"/>
  <c r="B51" i="90"/>
  <c r="B17" i="90"/>
  <c r="B39" i="90"/>
  <c r="B12" i="90"/>
  <c r="B33" i="90"/>
  <c r="B41" i="90"/>
  <c r="B56" i="90"/>
  <c r="B75" i="90"/>
  <c r="B49" i="90"/>
  <c r="B46" i="90"/>
  <c r="B16" i="90"/>
  <c r="B58" i="90"/>
  <c r="B81" i="90"/>
  <c r="B25" i="90"/>
  <c r="B74" i="90"/>
  <c r="B61" i="90"/>
  <c r="B87" i="90"/>
  <c r="B85" i="90"/>
  <c r="B43" i="90"/>
  <c r="B78" i="90"/>
  <c r="B52" i="90"/>
  <c r="B66" i="90"/>
  <c r="B4" i="90"/>
  <c r="B34" i="90"/>
  <c r="B36" i="90"/>
  <c r="B26" i="90"/>
  <c r="B62" i="90"/>
  <c r="B38" i="90"/>
  <c r="B22" i="90"/>
  <c r="B67" i="90"/>
  <c r="B79" i="90"/>
  <c r="B77" i="90"/>
  <c r="B11" i="90"/>
  <c r="B14" i="90"/>
  <c r="B32" i="90"/>
  <c r="B72" i="90"/>
  <c r="B55" i="90"/>
  <c r="B69" i="90"/>
  <c r="B3" i="90"/>
  <c r="B71" i="90"/>
  <c r="B70" i="90"/>
  <c r="B30" i="90"/>
  <c r="B53" i="90"/>
  <c r="B47" i="90"/>
  <c r="B64" i="90"/>
  <c r="B76" i="90"/>
  <c r="B60" i="90"/>
  <c r="B21" i="90"/>
  <c r="B29" i="90"/>
  <c r="B28" i="90"/>
  <c r="B6" i="90"/>
  <c r="B84" i="90"/>
  <c r="B63" i="90"/>
  <c r="B50" i="90"/>
  <c r="B42" i="90"/>
  <c r="B35" i="90"/>
  <c r="B18" i="90"/>
  <c r="B19" i="90"/>
  <c r="B10" i="90"/>
  <c r="B15" i="90"/>
  <c r="B7" i="90"/>
  <c r="B9" i="90"/>
  <c r="B13" i="90"/>
  <c r="B5" i="90"/>
  <c r="B48" i="90"/>
  <c r="B2" i="90"/>
  <c r="B40" i="90"/>
  <c r="B57" i="90"/>
  <c r="B23" i="90"/>
  <c r="B44" i="90"/>
  <c r="B27" i="90"/>
  <c r="B59" i="90"/>
  <c r="B65" i="90"/>
  <c r="B37" i="90"/>
  <c r="B54" i="90"/>
  <c r="B73" i="90"/>
  <c r="B88" i="90"/>
  <c r="B80" i="90"/>
  <c r="B86" i="90"/>
  <c r="B83" i="90"/>
  <c r="B239" i="88"/>
  <c r="B238" i="88"/>
  <c r="B237" i="88"/>
  <c r="B236" i="88"/>
  <c r="B235" i="88"/>
  <c r="B234" i="88"/>
  <c r="B233" i="88"/>
  <c r="B232" i="88"/>
  <c r="B231" i="88"/>
  <c r="B230" i="88"/>
  <c r="B229" i="88"/>
  <c r="B228" i="88"/>
  <c r="B227" i="88"/>
  <c r="B226" i="88"/>
  <c r="B225" i="88"/>
  <c r="B224" i="88"/>
  <c r="B223" i="88"/>
  <c r="B222" i="88"/>
  <c r="B221" i="88"/>
  <c r="B220" i="88"/>
  <c r="B219" i="88"/>
  <c r="B218" i="88"/>
  <c r="B217" i="88"/>
  <c r="B216" i="88"/>
  <c r="B215" i="88"/>
  <c r="B214" i="88"/>
  <c r="B213" i="88"/>
  <c r="B212" i="88"/>
  <c r="B211" i="88"/>
  <c r="B210" i="88"/>
  <c r="B209" i="88"/>
  <c r="B208" i="88"/>
  <c r="B207" i="88"/>
  <c r="B206" i="88"/>
  <c r="B205" i="88"/>
  <c r="B204" i="88"/>
  <c r="B203" i="88"/>
  <c r="B202" i="88"/>
  <c r="B201" i="88"/>
  <c r="B200" i="88"/>
  <c r="B199" i="88"/>
  <c r="B198" i="88"/>
  <c r="B197" i="88"/>
  <c r="B196" i="88"/>
  <c r="B195" i="88"/>
  <c r="B194" i="88"/>
  <c r="B193" i="88"/>
  <c r="B192" i="88"/>
  <c r="B191" i="88"/>
  <c r="B190" i="88"/>
  <c r="B189" i="88"/>
  <c r="B188" i="88"/>
  <c r="B187" i="88"/>
  <c r="B186" i="88"/>
  <c r="B185" i="88"/>
  <c r="B184" i="88"/>
  <c r="B183" i="88"/>
  <c r="B182" i="88"/>
  <c r="B181" i="88"/>
  <c r="B180" i="88"/>
  <c r="B179" i="88"/>
  <c r="B178" i="88"/>
  <c r="B177" i="88"/>
  <c r="B176" i="88"/>
  <c r="B175" i="88"/>
  <c r="B174" i="88"/>
  <c r="B173" i="88"/>
  <c r="B172" i="88"/>
  <c r="B171" i="88"/>
  <c r="B170" i="88"/>
  <c r="B169" i="88"/>
  <c r="B168" i="88"/>
  <c r="B167" i="88"/>
  <c r="B166" i="88"/>
  <c r="B165" i="88"/>
  <c r="B164" i="88"/>
  <c r="B163" i="88"/>
  <c r="B162" i="88"/>
  <c r="B161" i="88"/>
  <c r="B160" i="88"/>
  <c r="B159" i="88"/>
  <c r="B158" i="88"/>
  <c r="B157" i="88"/>
  <c r="B156" i="88"/>
  <c r="B155" i="88"/>
  <c r="B154" i="88"/>
  <c r="B153" i="88"/>
  <c r="B152" i="88"/>
  <c r="B151" i="88"/>
  <c r="B150" i="88"/>
  <c r="B149" i="88"/>
  <c r="B148" i="88"/>
  <c r="B147" i="88"/>
  <c r="B146" i="88"/>
  <c r="B145" i="88"/>
  <c r="B144" i="88"/>
  <c r="B143" i="88"/>
  <c r="B142" i="88"/>
  <c r="B141" i="88"/>
  <c r="B140" i="88"/>
  <c r="B139" i="88"/>
  <c r="B138" i="88"/>
  <c r="B137" i="88"/>
  <c r="B136" i="88"/>
  <c r="B135" i="88"/>
  <c r="B134" i="88"/>
  <c r="B133" i="88"/>
  <c r="B132" i="88"/>
  <c r="B131" i="88"/>
  <c r="B130" i="88"/>
  <c r="B129" i="88"/>
  <c r="B128" i="88"/>
  <c r="B127" i="88"/>
  <c r="B126" i="88"/>
  <c r="B125" i="88"/>
  <c r="B124" i="88"/>
  <c r="B123" i="88"/>
  <c r="B122" i="88"/>
  <c r="B121" i="88"/>
  <c r="B120" i="88"/>
  <c r="B119" i="88"/>
  <c r="B118" i="88"/>
  <c r="B117" i="88"/>
  <c r="B116" i="88"/>
  <c r="B115" i="88"/>
  <c r="B114" i="88"/>
  <c r="B113" i="88"/>
  <c r="B112" i="88"/>
  <c r="B111" i="88"/>
  <c r="B110" i="88"/>
  <c r="B109" i="88"/>
  <c r="B108" i="88"/>
  <c r="B107" i="88"/>
  <c r="B106" i="88"/>
  <c r="B105" i="88"/>
  <c r="B104" i="88"/>
  <c r="B103" i="88"/>
  <c r="B102" i="88"/>
  <c r="B101" i="88"/>
  <c r="B100" i="88"/>
  <c r="B99" i="88"/>
  <c r="B98" i="88"/>
  <c r="B97" i="88"/>
  <c r="B96" i="88"/>
  <c r="B95" i="88"/>
  <c r="B94" i="88"/>
  <c r="B93" i="88"/>
  <c r="B92" i="88"/>
  <c r="B91" i="88"/>
  <c r="B90" i="88"/>
  <c r="B89" i="88"/>
  <c r="B88" i="88"/>
  <c r="B87" i="88"/>
  <c r="B86" i="88"/>
  <c r="B85" i="88"/>
  <c r="B84" i="88"/>
  <c r="B83" i="88"/>
  <c r="B82" i="88"/>
  <c r="B81" i="88"/>
  <c r="B80" i="88"/>
  <c r="B79" i="88"/>
  <c r="B78" i="88"/>
  <c r="B77" i="88"/>
  <c r="B76" i="88"/>
  <c r="B75" i="88"/>
  <c r="B74" i="88"/>
  <c r="B73" i="88"/>
  <c r="B72" i="88"/>
  <c r="B71" i="88"/>
  <c r="B70" i="88"/>
  <c r="B69" i="88"/>
  <c r="B68" i="88"/>
  <c r="B67" i="88"/>
  <c r="B66" i="88"/>
  <c r="B65" i="88"/>
  <c r="B64" i="88"/>
  <c r="B63" i="88"/>
  <c r="B62" i="88"/>
  <c r="B61" i="88"/>
  <c r="B60" i="88"/>
  <c r="B59" i="88"/>
  <c r="B58" i="88"/>
  <c r="B57" i="88"/>
  <c r="B56" i="88"/>
  <c r="B55" i="88"/>
  <c r="B54" i="88"/>
  <c r="B53" i="88"/>
  <c r="B52" i="88"/>
  <c r="B51" i="88"/>
  <c r="B50" i="88"/>
  <c r="B49" i="88"/>
  <c r="B48" i="88"/>
  <c r="B47" i="88"/>
  <c r="B46" i="88"/>
  <c r="B45" i="88"/>
  <c r="B44" i="88"/>
  <c r="B43" i="88"/>
  <c r="B42" i="88"/>
  <c r="B41" i="88"/>
  <c r="B40" i="88"/>
  <c r="B39" i="88"/>
  <c r="B38" i="88"/>
  <c r="B37" i="88"/>
  <c r="E44" i="85"/>
  <c r="E48" i="85"/>
  <c r="E74" i="85"/>
  <c r="E44" i="84"/>
  <c r="E48" i="84"/>
  <c r="E74" i="84"/>
  <c r="G164" i="84"/>
  <c r="F164" i="84"/>
  <c r="G163" i="84"/>
  <c r="F163" i="84"/>
  <c r="G162" i="84"/>
  <c r="F162" i="84"/>
  <c r="G161" i="84"/>
  <c r="F161" i="84"/>
  <c r="G160" i="84"/>
  <c r="F160" i="84"/>
  <c r="G159" i="84"/>
  <c r="F159" i="84"/>
  <c r="G158" i="84"/>
  <c r="F158" i="84"/>
  <c r="G157" i="84"/>
  <c r="F157" i="84"/>
  <c r="G156" i="84"/>
  <c r="F156" i="84"/>
  <c r="G155" i="84"/>
  <c r="F155" i="84"/>
  <c r="G154" i="84"/>
  <c r="F154" i="84"/>
  <c r="G153" i="84"/>
  <c r="F153" i="84"/>
  <c r="G152" i="84"/>
  <c r="F152" i="84"/>
  <c r="G151" i="84"/>
  <c r="F151" i="84"/>
  <c r="G150" i="84"/>
  <c r="F150" i="84"/>
  <c r="G149" i="84"/>
  <c r="F149" i="84"/>
  <c r="G148" i="84"/>
  <c r="F148" i="84"/>
  <c r="G147" i="84"/>
  <c r="F147" i="84"/>
  <c r="G146" i="84"/>
  <c r="F146" i="84"/>
  <c r="G145" i="84"/>
  <c r="F145" i="84"/>
  <c r="G144" i="84"/>
  <c r="F144" i="84"/>
  <c r="G143" i="84"/>
  <c r="F143" i="84"/>
  <c r="G142" i="84"/>
  <c r="F142" i="84"/>
  <c r="G141" i="84"/>
  <c r="F141" i="84"/>
  <c r="G140" i="84"/>
  <c r="F140" i="84"/>
  <c r="G139" i="84"/>
  <c r="F139" i="84"/>
  <c r="G138" i="84"/>
  <c r="F138" i="84"/>
  <c r="G137" i="84"/>
  <c r="F137" i="84"/>
  <c r="G136" i="84"/>
  <c r="F136" i="84"/>
  <c r="G135" i="84"/>
  <c r="F135" i="84"/>
  <c r="G134" i="84"/>
  <c r="F134" i="84"/>
  <c r="G133" i="84"/>
  <c r="F133" i="84"/>
  <c r="G132" i="84"/>
  <c r="F132" i="84"/>
  <c r="G131" i="84"/>
  <c r="F131" i="84"/>
  <c r="G130" i="84"/>
  <c r="F130" i="84"/>
  <c r="G129" i="84"/>
  <c r="F129" i="84"/>
  <c r="G128" i="84"/>
  <c r="F128" i="84"/>
  <c r="G127" i="84"/>
  <c r="F127" i="84"/>
  <c r="G126" i="84"/>
  <c r="F126" i="84"/>
  <c r="G125" i="84"/>
  <c r="F125" i="84"/>
  <c r="G124" i="84"/>
  <c r="F124" i="84"/>
  <c r="G123" i="84"/>
  <c r="F123" i="84"/>
  <c r="G122" i="84"/>
  <c r="F122" i="84"/>
  <c r="G121" i="84"/>
  <c r="F121" i="84"/>
  <c r="G120" i="84"/>
  <c r="F120" i="84"/>
  <c r="G119" i="84"/>
  <c r="F119" i="84"/>
  <c r="G118" i="84"/>
  <c r="F118" i="84"/>
  <c r="G117" i="84"/>
  <c r="F117" i="84"/>
  <c r="G116" i="84"/>
  <c r="F116" i="84"/>
  <c r="G115" i="84"/>
  <c r="F115" i="84"/>
  <c r="G114" i="84"/>
  <c r="F114" i="84"/>
  <c r="G113" i="84"/>
  <c r="F113" i="84"/>
  <c r="G112" i="84"/>
  <c r="F112" i="84"/>
  <c r="G111" i="84"/>
  <c r="F111" i="84"/>
  <c r="G110" i="84"/>
  <c r="F110" i="84"/>
  <c r="G109" i="84"/>
  <c r="F109" i="84"/>
  <c r="G108" i="84"/>
  <c r="F108" i="84"/>
  <c r="G107" i="84"/>
  <c r="F107" i="84"/>
  <c r="G106" i="84"/>
  <c r="F106" i="84"/>
  <c r="G105" i="84"/>
  <c r="F105" i="84"/>
  <c r="G104" i="84"/>
  <c r="F104" i="84"/>
  <c r="G103" i="84"/>
  <c r="F103" i="84"/>
  <c r="G102" i="84"/>
  <c r="F102" i="84"/>
  <c r="G101" i="84"/>
  <c r="F101" i="84"/>
  <c r="G100" i="84"/>
  <c r="F100" i="84"/>
  <c r="G99" i="84"/>
  <c r="F99" i="84"/>
  <c r="G98" i="84"/>
  <c r="F98" i="84"/>
  <c r="G97" i="84"/>
  <c r="F97" i="84"/>
  <c r="G96" i="84"/>
  <c r="F96" i="84"/>
  <c r="G95" i="84"/>
  <c r="F95" i="84"/>
  <c r="G94" i="84"/>
  <c r="F94" i="84"/>
  <c r="G93" i="84"/>
  <c r="F93" i="84"/>
  <c r="G92" i="84"/>
  <c r="F92" i="84"/>
  <c r="G91" i="84"/>
  <c r="F91" i="84"/>
  <c r="G90" i="84"/>
  <c r="F90" i="84"/>
  <c r="G89" i="84"/>
  <c r="F89" i="84"/>
  <c r="G88" i="84"/>
  <c r="F88" i="84"/>
  <c r="G87" i="84"/>
  <c r="F87" i="84"/>
  <c r="G86" i="84"/>
  <c r="F86" i="84"/>
  <c r="G85" i="84"/>
  <c r="F85" i="84"/>
  <c r="G84" i="84"/>
  <c r="F84" i="84"/>
  <c r="G83" i="84"/>
  <c r="F83" i="84"/>
  <c r="G82" i="84"/>
  <c r="F82" i="84"/>
  <c r="G81" i="84"/>
  <c r="F81" i="84"/>
  <c r="G80" i="84"/>
  <c r="F80" i="84"/>
  <c r="G79" i="84"/>
  <c r="F79" i="84"/>
  <c r="G78" i="84"/>
  <c r="F78" i="84"/>
  <c r="G77" i="84"/>
  <c r="F77" i="84"/>
  <c r="G76" i="84"/>
  <c r="F76" i="84"/>
  <c r="G75" i="84"/>
  <c r="F75" i="84"/>
  <c r="G74" i="84"/>
  <c r="F74" i="84"/>
  <c r="G73" i="84"/>
  <c r="F73" i="84"/>
  <c r="G72" i="84"/>
  <c r="F72" i="84"/>
  <c r="G71" i="84"/>
  <c r="F71" i="84"/>
  <c r="G70" i="84"/>
  <c r="F70" i="84"/>
  <c r="G69" i="84"/>
  <c r="F69" i="84"/>
  <c r="G68" i="84"/>
  <c r="F68" i="84"/>
  <c r="G67" i="84"/>
  <c r="F67" i="84"/>
  <c r="G66" i="84"/>
  <c r="F66" i="84"/>
  <c r="G65" i="84"/>
  <c r="F65" i="84"/>
  <c r="G64" i="84"/>
  <c r="F64" i="84"/>
  <c r="G63" i="84"/>
  <c r="F63" i="84"/>
  <c r="G62" i="84"/>
  <c r="F62" i="84"/>
  <c r="G61" i="84"/>
  <c r="F61" i="84"/>
  <c r="G60" i="84"/>
  <c r="F60" i="84"/>
  <c r="G59" i="84"/>
  <c r="F59" i="84"/>
  <c r="G58" i="84"/>
  <c r="F58" i="84"/>
  <c r="G57" i="84"/>
  <c r="F57" i="84"/>
  <c r="G56" i="84"/>
  <c r="F56" i="84"/>
  <c r="G55" i="84"/>
  <c r="F55" i="84"/>
  <c r="G54" i="84"/>
  <c r="F54" i="84"/>
  <c r="G53" i="84"/>
  <c r="F53" i="84"/>
  <c r="G52" i="84"/>
  <c r="F52" i="84"/>
  <c r="G51" i="84"/>
  <c r="F51" i="84"/>
  <c r="G50" i="84"/>
  <c r="F50" i="84"/>
  <c r="G49" i="84"/>
  <c r="F49" i="84"/>
  <c r="G48" i="84"/>
  <c r="F48" i="84"/>
  <c r="G47" i="84"/>
  <c r="F47" i="84"/>
  <c r="G46" i="84"/>
  <c r="F46" i="84"/>
  <c r="G45" i="84"/>
  <c r="F45" i="84"/>
  <c r="G44" i="84"/>
  <c r="F44" i="84"/>
  <c r="G43" i="84"/>
  <c r="F43" i="84"/>
  <c r="G42" i="84"/>
  <c r="F42" i="84"/>
  <c r="G41" i="84"/>
  <c r="F41" i="84"/>
  <c r="G40" i="84"/>
  <c r="F40" i="84"/>
  <c r="G39" i="84"/>
  <c r="F39" i="84"/>
  <c r="G38" i="84"/>
  <c r="F38" i="84"/>
  <c r="G37" i="84"/>
  <c r="F37" i="84"/>
  <c r="G36" i="84"/>
  <c r="F36" i="84"/>
  <c r="G35" i="84"/>
  <c r="F35" i="84"/>
  <c r="G34" i="84"/>
  <c r="F34" i="84"/>
  <c r="G33" i="84"/>
  <c r="F33" i="84"/>
  <c r="G32" i="84"/>
  <c r="F32" i="84"/>
  <c r="G31" i="84"/>
  <c r="F31" i="84"/>
  <c r="G30" i="84"/>
  <c r="F30" i="84"/>
  <c r="G29" i="84"/>
  <c r="F29" i="84"/>
  <c r="G28" i="84"/>
  <c r="F28" i="84"/>
  <c r="G27" i="84"/>
  <c r="F27" i="84"/>
  <c r="G26" i="84"/>
  <c r="F26" i="84"/>
  <c r="G25" i="84"/>
  <c r="F25" i="84"/>
  <c r="G24" i="84"/>
  <c r="F24" i="84"/>
  <c r="G23" i="84"/>
  <c r="F23" i="84"/>
  <c r="G22" i="84"/>
  <c r="F22" i="84"/>
  <c r="G21" i="84"/>
  <c r="F21" i="84"/>
  <c r="G20" i="84"/>
  <c r="F20" i="84"/>
  <c r="G19" i="84"/>
  <c r="F19" i="84"/>
  <c r="G18" i="84"/>
  <c r="F18" i="84"/>
  <c r="G17" i="84"/>
  <c r="F17" i="84"/>
  <c r="G16" i="84"/>
  <c r="F16" i="84"/>
  <c r="G15" i="84"/>
  <c r="F15" i="84"/>
  <c r="G14" i="84"/>
  <c r="F14" i="84"/>
  <c r="G13" i="84"/>
  <c r="F13" i="84"/>
  <c r="G12" i="84"/>
  <c r="F12" i="84"/>
  <c r="G11" i="84"/>
  <c r="F11" i="84"/>
  <c r="G10" i="84"/>
  <c r="F10" i="84"/>
  <c r="G9" i="84"/>
  <c r="F9" i="84"/>
  <c r="G8" i="84"/>
  <c r="F8" i="84"/>
  <c r="G7" i="84"/>
  <c r="F7" i="84"/>
  <c r="G6" i="84"/>
  <c r="F6" i="84"/>
  <c r="G5" i="84"/>
  <c r="F5" i="84"/>
  <c r="G4" i="84"/>
  <c r="F4" i="84"/>
  <c r="G3" i="84"/>
  <c r="F3" i="84"/>
  <c r="H5" i="83"/>
  <c r="I5" i="83" s="1"/>
  <c r="H4" i="83"/>
  <c r="H3" i="83"/>
  <c r="I3" i="83" s="1"/>
  <c r="H2" i="83"/>
  <c r="I2" i="83" s="1"/>
  <c r="D13" i="68"/>
  <c r="C14" i="68"/>
  <c r="D10" i="68"/>
  <c r="D11" i="68"/>
  <c r="D12" i="68"/>
  <c r="D9" i="68"/>
  <c r="C30" i="43"/>
  <c r="C15" i="75"/>
  <c r="C16" i="75" s="1"/>
  <c r="E48" i="7" s="1"/>
  <c r="C11" i="73"/>
  <c r="D9" i="73"/>
  <c r="D10" i="73"/>
  <c r="B24" i="80"/>
  <c r="AI38" i="46" s="1"/>
  <c r="H33" i="67"/>
  <c r="AJ220" i="46"/>
  <c r="AJ221" i="46"/>
  <c r="AJ222" i="46"/>
  <c r="H4" i="67"/>
  <c r="H5" i="67"/>
  <c r="H6" i="67"/>
  <c r="H7" i="67"/>
  <c r="H8" i="67"/>
  <c r="H9" i="67"/>
  <c r="H10" i="67"/>
  <c r="H11" i="67"/>
  <c r="H12" i="67"/>
  <c r="H13" i="67"/>
  <c r="H14" i="67"/>
  <c r="H15" i="67"/>
  <c r="H16" i="67"/>
  <c r="H17" i="67"/>
  <c r="H18" i="67"/>
  <c r="H19" i="67"/>
  <c r="H20" i="67"/>
  <c r="H21" i="67"/>
  <c r="H22" i="67"/>
  <c r="H23" i="67"/>
  <c r="H24" i="67"/>
  <c r="H25" i="67"/>
  <c r="H26" i="67"/>
  <c r="H27" i="67"/>
  <c r="H28" i="67"/>
  <c r="H29" i="67"/>
  <c r="H30" i="67"/>
  <c r="H31" i="67"/>
  <c r="H32"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3" i="67"/>
  <c r="AD61" i="46"/>
  <c r="AE57" i="46"/>
  <c r="AD57" i="46"/>
  <c r="AF55" i="46"/>
  <c r="AE55" i="46"/>
  <c r="AD55" i="46"/>
  <c r="AF52" i="46"/>
  <c r="AE52" i="46"/>
  <c r="AD52" i="46"/>
  <c r="AF50" i="46"/>
  <c r="AD50" i="46"/>
  <c r="AF29" i="46"/>
  <c r="AE29" i="46"/>
  <c r="AD29" i="46"/>
  <c r="AF24" i="46"/>
  <c r="AE24" i="46"/>
  <c r="AD24" i="46"/>
  <c r="AF22" i="46"/>
  <c r="AE22" i="46"/>
  <c r="AD22" i="46"/>
  <c r="AF21" i="46"/>
  <c r="AE21" i="46"/>
  <c r="AD21" i="46"/>
  <c r="AF9" i="46"/>
  <c r="AE9" i="46"/>
  <c r="AD9" i="46"/>
  <c r="N221" i="67"/>
  <c r="O221" i="67"/>
  <c r="N222" i="67"/>
  <c r="O222" i="67"/>
  <c r="N223" i="67"/>
  <c r="O223" i="67"/>
  <c r="N224" i="67"/>
  <c r="O224" i="67"/>
  <c r="N225" i="67"/>
  <c r="O225" i="67"/>
  <c r="M221" i="67"/>
  <c r="N4" i="46"/>
  <c r="D15" i="82"/>
  <c r="D16" i="82" s="1"/>
  <c r="E15" i="82"/>
  <c r="E16" i="82" s="1"/>
  <c r="G55" i="7" s="1"/>
  <c r="C15" i="82"/>
  <c r="C16" i="82" s="1"/>
  <c r="E55" i="7" s="1"/>
  <c r="E54" i="7"/>
  <c r="J12" i="80"/>
  <c r="J13" i="80" s="1"/>
  <c r="K12" i="80"/>
  <c r="K13" i="80" s="1"/>
  <c r="L12" i="80"/>
  <c r="L13" i="80" s="1"/>
  <c r="I12" i="80"/>
  <c r="I13" i="80" s="1"/>
  <c r="B12" i="80"/>
  <c r="B15" i="80" s="1"/>
  <c r="E53" i="7" s="1"/>
  <c r="E22" i="79"/>
  <c r="E23" i="79" s="1"/>
  <c r="F22" i="79"/>
  <c r="F23" i="79" s="1"/>
  <c r="G52" i="7" s="1"/>
  <c r="G22" i="79"/>
  <c r="G23" i="79" s="1"/>
  <c r="H22" i="79"/>
  <c r="H23" i="79" s="1"/>
  <c r="I52" i="7" s="1"/>
  <c r="D22" i="79"/>
  <c r="D23" i="79" s="1"/>
  <c r="E52" i="7" s="1"/>
  <c r="A51" i="7"/>
  <c r="A52" i="7"/>
  <c r="A53" i="7"/>
  <c r="A54" i="7"/>
  <c r="A55" i="7"/>
  <c r="D10" i="78"/>
  <c r="E51" i="7" s="1"/>
  <c r="C10" i="78"/>
  <c r="D7" i="77"/>
  <c r="E50" i="7" s="1"/>
  <c r="A50" i="7"/>
  <c r="C8" i="74"/>
  <c r="E47" i="7" s="1"/>
  <c r="D8" i="73"/>
  <c r="D7" i="73"/>
  <c r="D8" i="72"/>
  <c r="D9" i="72"/>
  <c r="D10" i="72"/>
  <c r="D11" i="72"/>
  <c r="D7" i="72"/>
  <c r="C12" i="72"/>
  <c r="E10" i="71"/>
  <c r="E44" i="7" s="1"/>
  <c r="C10" i="71"/>
  <c r="D10" i="71"/>
  <c r="A44" i="7"/>
  <c r="A45" i="7"/>
  <c r="A46" i="7"/>
  <c r="A47" i="7"/>
  <c r="A48" i="7"/>
  <c r="A49"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3" i="7"/>
  <c r="D6" i="70"/>
  <c r="E43" i="7" s="1"/>
  <c r="E12" i="69"/>
  <c r="G42" i="7" s="1"/>
  <c r="D12" i="69"/>
  <c r="C12" i="69"/>
  <c r="E42" i="7" s="1"/>
  <c r="D6" i="68"/>
  <c r="D16" i="55"/>
  <c r="D17" i="55"/>
  <c r="D18" i="55"/>
  <c r="D19" i="55"/>
  <c r="D20" i="55"/>
  <c r="D21" i="55"/>
  <c r="C21" i="55"/>
  <c r="C20" i="55"/>
  <c r="C19" i="55"/>
  <c r="AF41" i="46" s="1"/>
  <c r="C18" i="55"/>
  <c r="C17" i="55"/>
  <c r="AD41" i="46" s="1"/>
  <c r="C16" i="55"/>
  <c r="AE41" i="46" s="1"/>
  <c r="G60" i="45"/>
  <c r="G61" i="45" s="1"/>
  <c r="F60" i="45"/>
  <c r="F61" i="45" s="1"/>
  <c r="L4" i="83" l="1"/>
  <c r="K4" i="83"/>
  <c r="J5" i="83"/>
  <c r="L5" i="83"/>
  <c r="K5" i="83"/>
  <c r="K3" i="83"/>
  <c r="L3" i="83"/>
  <c r="J3" i="83"/>
  <c r="K2" i="83"/>
  <c r="L2" i="83"/>
  <c r="J2" i="83"/>
  <c r="D14" i="68"/>
  <c r="E41" i="7" s="1"/>
  <c r="D11" i="73"/>
  <c r="E46" i="7" s="1"/>
  <c r="D71" i="88"/>
  <c r="E49" i="7"/>
  <c r="D12" i="72"/>
  <c r="E45" i="7" s="1"/>
  <c r="E324" i="60"/>
  <c r="F324" i="60"/>
  <c r="G324" i="60"/>
  <c r="H324" i="60"/>
  <c r="I324" i="60"/>
  <c r="E325" i="60"/>
  <c r="F325" i="60"/>
  <c r="G325" i="60"/>
  <c r="H325" i="60"/>
  <c r="I325" i="60"/>
  <c r="E326" i="60"/>
  <c r="F326" i="60"/>
  <c r="G326" i="60"/>
  <c r="H326" i="60"/>
  <c r="I326" i="60"/>
  <c r="E327" i="60"/>
  <c r="F327" i="60"/>
  <c r="G327" i="60"/>
  <c r="H327" i="60"/>
  <c r="I327" i="60"/>
  <c r="E328" i="60"/>
  <c r="F328" i="60"/>
  <c r="G328" i="60"/>
  <c r="H328" i="60"/>
  <c r="I328" i="60"/>
  <c r="E329" i="60"/>
  <c r="F329" i="60"/>
  <c r="G329" i="60"/>
  <c r="H329" i="60"/>
  <c r="I329" i="60"/>
  <c r="E330" i="60"/>
  <c r="F330" i="60"/>
  <c r="G330" i="60"/>
  <c r="H330" i="60"/>
  <c r="I330" i="60"/>
  <c r="E331" i="60"/>
  <c r="F331" i="60"/>
  <c r="G331" i="60"/>
  <c r="H331" i="60"/>
  <c r="I331" i="60"/>
  <c r="E332" i="60"/>
  <c r="F332" i="60"/>
  <c r="G332" i="60"/>
  <c r="H332" i="60"/>
  <c r="I332" i="60"/>
  <c r="E333" i="60"/>
  <c r="F333" i="60"/>
  <c r="G333" i="60"/>
  <c r="H333" i="60"/>
  <c r="I333" i="60"/>
  <c r="E334" i="60"/>
  <c r="F334" i="60"/>
  <c r="G334" i="60"/>
  <c r="H334" i="60"/>
  <c r="I334" i="60"/>
  <c r="E335" i="60"/>
  <c r="F335" i="60"/>
  <c r="G335" i="60"/>
  <c r="H335" i="60"/>
  <c r="I335" i="60"/>
  <c r="E336" i="60"/>
  <c r="F336" i="60"/>
  <c r="G336" i="60"/>
  <c r="H336" i="60"/>
  <c r="I336" i="60"/>
  <c r="E337" i="60"/>
  <c r="F337" i="60"/>
  <c r="G337" i="60"/>
  <c r="H337" i="60"/>
  <c r="I337" i="60"/>
  <c r="F338" i="60"/>
  <c r="G338" i="60"/>
  <c r="H338" i="60"/>
  <c r="I338" i="60"/>
  <c r="E339" i="60"/>
  <c r="F339" i="60"/>
  <c r="G339" i="60"/>
  <c r="H339" i="60"/>
  <c r="I339" i="60"/>
  <c r="E340" i="60"/>
  <c r="F340" i="60"/>
  <c r="G340" i="60"/>
  <c r="H340" i="60"/>
  <c r="I340" i="60"/>
  <c r="E341" i="60"/>
  <c r="K341" i="60" s="1"/>
  <c r="F341" i="60"/>
  <c r="G341" i="60"/>
  <c r="H341" i="60"/>
  <c r="I341" i="60"/>
  <c r="E342" i="60"/>
  <c r="F342" i="60"/>
  <c r="G342" i="60"/>
  <c r="H342" i="60"/>
  <c r="I342" i="60"/>
  <c r="E343" i="60"/>
  <c r="F343" i="60"/>
  <c r="G343" i="60"/>
  <c r="H343" i="60"/>
  <c r="I343" i="60"/>
  <c r="E344" i="60"/>
  <c r="F344" i="60"/>
  <c r="G344" i="60"/>
  <c r="H344" i="60"/>
  <c r="I344" i="60"/>
  <c r="E345" i="60"/>
  <c r="F345" i="60"/>
  <c r="G345" i="60"/>
  <c r="H345" i="60"/>
  <c r="I345" i="60"/>
  <c r="E346" i="60"/>
  <c r="F346" i="60"/>
  <c r="G346" i="60"/>
  <c r="H346" i="60"/>
  <c r="I346" i="60"/>
  <c r="E347" i="60"/>
  <c r="F347" i="60"/>
  <c r="G347" i="60"/>
  <c r="H347" i="60"/>
  <c r="I347" i="60"/>
  <c r="E348" i="60"/>
  <c r="F348" i="60"/>
  <c r="G348" i="60"/>
  <c r="H348" i="60"/>
  <c r="I348" i="60"/>
  <c r="E349" i="60"/>
  <c r="F349" i="60"/>
  <c r="G349" i="60"/>
  <c r="H349" i="60"/>
  <c r="I349" i="60"/>
  <c r="E350" i="60"/>
  <c r="F350" i="60"/>
  <c r="G350" i="60"/>
  <c r="H350" i="60"/>
  <c r="I350" i="60"/>
  <c r="I323" i="60"/>
  <c r="H323" i="60"/>
  <c r="G323" i="60"/>
  <c r="F323" i="60"/>
  <c r="E323" i="60"/>
  <c r="O189" i="60"/>
  <c r="O190" i="60"/>
  <c r="O191" i="60"/>
  <c r="O192" i="60"/>
  <c r="O193" i="60"/>
  <c r="O194" i="60"/>
  <c r="O195" i="60"/>
  <c r="O196" i="60"/>
  <c r="O197" i="60"/>
  <c r="O198" i="60"/>
  <c r="O199" i="60"/>
  <c r="O200" i="60"/>
  <c r="O201" i="60"/>
  <c r="O202" i="60"/>
  <c r="O204" i="60"/>
  <c r="O205" i="60"/>
  <c r="O206" i="60"/>
  <c r="O207" i="60"/>
  <c r="O208" i="60"/>
  <c r="O209" i="60"/>
  <c r="O210" i="60"/>
  <c r="O211" i="60"/>
  <c r="O212" i="60"/>
  <c r="O213" i="60"/>
  <c r="O214" i="60"/>
  <c r="O215" i="60"/>
  <c r="O188" i="60"/>
  <c r="F10" i="32"/>
  <c r="G18" i="7" s="1"/>
  <c r="E7" i="66"/>
  <c r="F7" i="66"/>
  <c r="E8" i="66"/>
  <c r="F8" i="66"/>
  <c r="E9" i="66"/>
  <c r="F9" i="66"/>
  <c r="F6" i="66"/>
  <c r="E6" i="66"/>
  <c r="D10" i="66"/>
  <c r="F10" i="66" s="1"/>
  <c r="C10" i="66"/>
  <c r="E10" i="66" s="1"/>
  <c r="E24" i="7" s="1"/>
  <c r="H8" i="65"/>
  <c r="I8" i="65"/>
  <c r="J8" i="65"/>
  <c r="E20" i="7" s="1"/>
  <c r="G8" i="65"/>
  <c r="D5" i="64"/>
  <c r="E40" i="7" s="1"/>
  <c r="C6" i="64"/>
  <c r="E5" i="64" s="1"/>
  <c r="E18" i="7"/>
  <c r="E10" i="32"/>
  <c r="D6" i="42"/>
  <c r="D7" i="42"/>
  <c r="D8" i="42"/>
  <c r="D9" i="42"/>
  <c r="D5" i="42"/>
  <c r="C10" i="42"/>
  <c r="D10" i="42" s="1"/>
  <c r="E33" i="7" s="1"/>
  <c r="E7" i="63"/>
  <c r="F7" i="63" s="1"/>
  <c r="E8" i="63"/>
  <c r="F8" i="63" s="1"/>
  <c r="E9" i="63"/>
  <c r="F9" i="63" s="1"/>
  <c r="E10" i="63"/>
  <c r="F10" i="63" s="1"/>
  <c r="E11" i="63"/>
  <c r="F11" i="63" s="1"/>
  <c r="E12" i="63"/>
  <c r="F12" i="63" s="1"/>
  <c r="E6" i="63"/>
  <c r="F6" i="63" s="1"/>
  <c r="D14" i="63"/>
  <c r="E14" i="63" s="1"/>
  <c r="D9" i="43"/>
  <c r="AD59" i="46" s="1"/>
  <c r="D30" i="43"/>
  <c r="E30" i="43"/>
  <c r="F30" i="43"/>
  <c r="G30" i="43"/>
  <c r="H30" i="43"/>
  <c r="E10" i="62"/>
  <c r="E11" i="62"/>
  <c r="E12" i="62"/>
  <c r="E13" i="62"/>
  <c r="E14" i="62"/>
  <c r="E15" i="62"/>
  <c r="E16" i="62"/>
  <c r="E17" i="62"/>
  <c r="E18" i="62"/>
  <c r="E19" i="62"/>
  <c r="E9" i="62"/>
  <c r="D10" i="62"/>
  <c r="AD46" i="46" s="1"/>
  <c r="D11" i="62"/>
  <c r="D12" i="62"/>
  <c r="AE46" i="46" s="1"/>
  <c r="D13" i="62"/>
  <c r="D14" i="62"/>
  <c r="D15" i="62"/>
  <c r="D16" i="62"/>
  <c r="AF46" i="46" s="1"/>
  <c r="D17" i="62"/>
  <c r="D18" i="62"/>
  <c r="D19" i="62"/>
  <c r="D21" i="62"/>
  <c r="D9" i="62"/>
  <c r="E39" i="7" s="1"/>
  <c r="M2" i="83" l="1"/>
  <c r="M5" i="83"/>
  <c r="M3" i="83"/>
  <c r="O20" i="98"/>
  <c r="J335" i="60"/>
  <c r="J349" i="60"/>
  <c r="J336" i="60"/>
  <c r="J332" i="60"/>
  <c r="J325" i="60"/>
  <c r="J346" i="60"/>
  <c r="J324" i="60"/>
  <c r="J327" i="60"/>
  <c r="J333" i="60"/>
  <c r="J323" i="60"/>
  <c r="J344" i="60"/>
  <c r="J350" i="60"/>
  <c r="J348" i="60"/>
  <c r="J347" i="60"/>
  <c r="J339" i="60"/>
  <c r="J328" i="60"/>
  <c r="J337" i="60"/>
  <c r="J331" i="60"/>
  <c r="J340" i="60"/>
  <c r="J343" i="60"/>
  <c r="E25" i="7"/>
  <c r="F14" i="63"/>
  <c r="J342" i="60"/>
  <c r="J326" i="60"/>
  <c r="J334" i="60"/>
  <c r="J345" i="60"/>
  <c r="J330" i="60"/>
  <c r="J329" i="60"/>
  <c r="AT250" i="60"/>
  <c r="AI250" i="60"/>
  <c r="Z250" i="60"/>
  <c r="AC194" i="60"/>
  <c r="AC190" i="60"/>
  <c r="AB189" i="60"/>
  <c r="AB190" i="60"/>
  <c r="AB191" i="60"/>
  <c r="AB192" i="60"/>
  <c r="AB193" i="60"/>
  <c r="AB194" i="60"/>
  <c r="AB195" i="60"/>
  <c r="AB196" i="60"/>
  <c r="AB197" i="60"/>
  <c r="AB198" i="60"/>
  <c r="AB199" i="60"/>
  <c r="AB200" i="60"/>
  <c r="AB201" i="60"/>
  <c r="AB202" i="60"/>
  <c r="AB203" i="60"/>
  <c r="AB204" i="60"/>
  <c r="AB205" i="60"/>
  <c r="AB206" i="60"/>
  <c r="AB207" i="60"/>
  <c r="AB208" i="60"/>
  <c r="AB209" i="60"/>
  <c r="AB210" i="60"/>
  <c r="AB211" i="60"/>
  <c r="AB212" i="60"/>
  <c r="AB213" i="60"/>
  <c r="AB214" i="60"/>
  <c r="AB215" i="60"/>
  <c r="AB216" i="60"/>
  <c r="AB188" i="60"/>
  <c r="C144" i="60"/>
  <c r="E250" i="60" l="1"/>
  <c r="Z7" i="60"/>
  <c r="Z8" i="60"/>
  <c r="Z9" i="60"/>
  <c r="Z10" i="60"/>
  <c r="Z11" i="60"/>
  <c r="Z12" i="60"/>
  <c r="Z13" i="60"/>
  <c r="Z14" i="60"/>
  <c r="Z15" i="60"/>
  <c r="Z16" i="60"/>
  <c r="Z17" i="60"/>
  <c r="Z18" i="60"/>
  <c r="Z19" i="60"/>
  <c r="Z20" i="60"/>
  <c r="Z21" i="60"/>
  <c r="Z22" i="60"/>
  <c r="Z23" i="60"/>
  <c r="Z24" i="60"/>
  <c r="Z25" i="60"/>
  <c r="Z26" i="60"/>
  <c r="Z27" i="60"/>
  <c r="Z28" i="60"/>
  <c r="Z29" i="60"/>
  <c r="Z30" i="60"/>
  <c r="Z31" i="60"/>
  <c r="Z32" i="60"/>
  <c r="Z33" i="60"/>
  <c r="Z6" i="60"/>
  <c r="F187" i="60"/>
  <c r="D70" i="60"/>
  <c r="E70" i="60"/>
  <c r="F70" i="60"/>
  <c r="G70" i="60"/>
  <c r="H70" i="60"/>
  <c r="I70" i="60"/>
  <c r="J70" i="60"/>
  <c r="K70" i="60"/>
  <c r="L70" i="60"/>
  <c r="M70" i="60"/>
  <c r="N70" i="60"/>
  <c r="O70" i="60"/>
  <c r="P70" i="60"/>
  <c r="Q70" i="60"/>
  <c r="R70" i="60"/>
  <c r="S70" i="60"/>
  <c r="T70" i="60"/>
  <c r="U70" i="60"/>
  <c r="V70" i="60"/>
  <c r="W70" i="60"/>
  <c r="X70" i="60"/>
  <c r="Y70" i="60"/>
  <c r="D71" i="60"/>
  <c r="E71" i="60"/>
  <c r="F71" i="60"/>
  <c r="G71" i="60"/>
  <c r="H71" i="60"/>
  <c r="I71" i="60"/>
  <c r="J71" i="60"/>
  <c r="K71" i="60"/>
  <c r="L71" i="60"/>
  <c r="M71" i="60"/>
  <c r="N71" i="60"/>
  <c r="O71" i="60"/>
  <c r="P71" i="60"/>
  <c r="Q71" i="60"/>
  <c r="R71" i="60"/>
  <c r="S71" i="60"/>
  <c r="T71" i="60"/>
  <c r="U71" i="60"/>
  <c r="V71" i="60"/>
  <c r="W71" i="60"/>
  <c r="X71" i="60"/>
  <c r="Y71" i="60"/>
  <c r="D72" i="60"/>
  <c r="E72" i="60"/>
  <c r="F72" i="60"/>
  <c r="G72" i="60"/>
  <c r="H72" i="60"/>
  <c r="I72" i="60"/>
  <c r="J72" i="60"/>
  <c r="K72" i="60"/>
  <c r="L72" i="60"/>
  <c r="M72" i="60"/>
  <c r="N72" i="60"/>
  <c r="O72" i="60"/>
  <c r="P72" i="60"/>
  <c r="Q72" i="60"/>
  <c r="R72" i="60"/>
  <c r="S72" i="60"/>
  <c r="T72" i="60"/>
  <c r="U72" i="60"/>
  <c r="V72" i="60"/>
  <c r="W72" i="60"/>
  <c r="X72" i="60"/>
  <c r="Y72" i="60"/>
  <c r="D73" i="60"/>
  <c r="E73" i="60"/>
  <c r="F73" i="60"/>
  <c r="G73" i="60"/>
  <c r="H73" i="60"/>
  <c r="I73" i="60"/>
  <c r="J73" i="60"/>
  <c r="K73" i="60"/>
  <c r="L73" i="60"/>
  <c r="M73" i="60"/>
  <c r="N73" i="60"/>
  <c r="O73" i="60"/>
  <c r="P73" i="60"/>
  <c r="Q73" i="60"/>
  <c r="R73" i="60"/>
  <c r="S73" i="60"/>
  <c r="T73" i="60"/>
  <c r="U73" i="60"/>
  <c r="V73" i="60"/>
  <c r="W73" i="60"/>
  <c r="X73" i="60"/>
  <c r="Y73" i="60"/>
  <c r="D74" i="60"/>
  <c r="E74" i="60"/>
  <c r="F74" i="60"/>
  <c r="G74" i="60"/>
  <c r="H74" i="60"/>
  <c r="I74" i="60"/>
  <c r="J74" i="60"/>
  <c r="K74" i="60"/>
  <c r="L74" i="60"/>
  <c r="M74" i="60"/>
  <c r="N74" i="60"/>
  <c r="O74" i="60"/>
  <c r="P74" i="60"/>
  <c r="Q74" i="60"/>
  <c r="R74" i="60"/>
  <c r="S74" i="60"/>
  <c r="T74" i="60"/>
  <c r="U74" i="60"/>
  <c r="V74" i="60"/>
  <c r="W74" i="60"/>
  <c r="X74" i="60"/>
  <c r="Y74" i="60"/>
  <c r="D75" i="60"/>
  <c r="E75" i="60"/>
  <c r="F75" i="60"/>
  <c r="G75" i="60"/>
  <c r="H75" i="60"/>
  <c r="I75" i="60"/>
  <c r="J75" i="60"/>
  <c r="K75" i="60"/>
  <c r="L75" i="60"/>
  <c r="M75" i="60"/>
  <c r="N75" i="60"/>
  <c r="O75" i="60"/>
  <c r="P75" i="60"/>
  <c r="Q75" i="60"/>
  <c r="R75" i="60"/>
  <c r="S75" i="60"/>
  <c r="T75" i="60"/>
  <c r="U75" i="60"/>
  <c r="V75" i="60"/>
  <c r="W75" i="60"/>
  <c r="X75" i="60"/>
  <c r="Y75" i="60"/>
  <c r="D76" i="60"/>
  <c r="E76" i="60"/>
  <c r="F76" i="60"/>
  <c r="G76" i="60"/>
  <c r="H76" i="60"/>
  <c r="I76" i="60"/>
  <c r="J76" i="60"/>
  <c r="K76" i="60"/>
  <c r="L76" i="60"/>
  <c r="M76" i="60"/>
  <c r="N76" i="60"/>
  <c r="O76" i="60"/>
  <c r="P76" i="60"/>
  <c r="Q76" i="60"/>
  <c r="R76" i="60"/>
  <c r="S76" i="60"/>
  <c r="T76" i="60"/>
  <c r="U76" i="60"/>
  <c r="V76" i="60"/>
  <c r="W76" i="60"/>
  <c r="X76" i="60"/>
  <c r="Y76" i="60"/>
  <c r="D77" i="60"/>
  <c r="E77" i="60"/>
  <c r="F77" i="60"/>
  <c r="G77" i="60"/>
  <c r="H77" i="60"/>
  <c r="I77" i="60"/>
  <c r="J77" i="60"/>
  <c r="K77" i="60"/>
  <c r="L77" i="60"/>
  <c r="M77" i="60"/>
  <c r="N77" i="60"/>
  <c r="O77" i="60"/>
  <c r="P77" i="60"/>
  <c r="Q77" i="60"/>
  <c r="R77" i="60"/>
  <c r="S77" i="60"/>
  <c r="T77" i="60"/>
  <c r="U77" i="60"/>
  <c r="V77" i="60"/>
  <c r="W77" i="60"/>
  <c r="X77" i="60"/>
  <c r="Y77" i="60"/>
  <c r="D78" i="60"/>
  <c r="E78" i="60"/>
  <c r="F78" i="60"/>
  <c r="G78" i="60"/>
  <c r="H78" i="60"/>
  <c r="I78" i="60"/>
  <c r="J78" i="60"/>
  <c r="K78" i="60"/>
  <c r="L78" i="60"/>
  <c r="M78" i="60"/>
  <c r="N78" i="60"/>
  <c r="O78" i="60"/>
  <c r="P78" i="60"/>
  <c r="Q78" i="60"/>
  <c r="R78" i="60"/>
  <c r="S78" i="60"/>
  <c r="T78" i="60"/>
  <c r="U78" i="60"/>
  <c r="V78" i="60"/>
  <c r="W78" i="60"/>
  <c r="X78" i="60"/>
  <c r="Y78" i="60"/>
  <c r="D79" i="60"/>
  <c r="E79" i="60"/>
  <c r="F79" i="60"/>
  <c r="G79" i="60"/>
  <c r="H79" i="60"/>
  <c r="I79" i="60"/>
  <c r="J79" i="60"/>
  <c r="K79" i="60"/>
  <c r="L79" i="60"/>
  <c r="M79" i="60"/>
  <c r="N79" i="60"/>
  <c r="O79" i="60"/>
  <c r="P79" i="60"/>
  <c r="Q79" i="60"/>
  <c r="R79" i="60"/>
  <c r="S79" i="60"/>
  <c r="T79" i="60"/>
  <c r="U79" i="60"/>
  <c r="V79" i="60"/>
  <c r="W79" i="60"/>
  <c r="X79" i="60"/>
  <c r="Y79" i="60"/>
  <c r="D80" i="60"/>
  <c r="E80" i="60"/>
  <c r="F80" i="60"/>
  <c r="G80" i="60"/>
  <c r="H80" i="60"/>
  <c r="I80" i="60"/>
  <c r="J80" i="60"/>
  <c r="K80" i="60"/>
  <c r="L80" i="60"/>
  <c r="M80" i="60"/>
  <c r="N80" i="60"/>
  <c r="O80" i="60"/>
  <c r="P80" i="60"/>
  <c r="Q80" i="60"/>
  <c r="R80" i="60"/>
  <c r="S80" i="60"/>
  <c r="T80" i="60"/>
  <c r="U80" i="60"/>
  <c r="V80" i="60"/>
  <c r="W80" i="60"/>
  <c r="X80" i="60"/>
  <c r="Y80" i="60"/>
  <c r="D81" i="60"/>
  <c r="E81" i="60"/>
  <c r="F81" i="60"/>
  <c r="G81" i="60"/>
  <c r="H81" i="60"/>
  <c r="I81" i="60"/>
  <c r="J81" i="60"/>
  <c r="K81" i="60"/>
  <c r="L81" i="60"/>
  <c r="M81" i="60"/>
  <c r="N81" i="60"/>
  <c r="O81" i="60"/>
  <c r="P81" i="60"/>
  <c r="Q81" i="60"/>
  <c r="R81" i="60"/>
  <c r="S81" i="60"/>
  <c r="T81" i="60"/>
  <c r="U81" i="60"/>
  <c r="V81" i="60"/>
  <c r="W81" i="60"/>
  <c r="X81" i="60"/>
  <c r="Y81" i="60"/>
  <c r="D82" i="60"/>
  <c r="E82" i="60"/>
  <c r="F82" i="60"/>
  <c r="G82" i="60"/>
  <c r="H82" i="60"/>
  <c r="I82" i="60"/>
  <c r="J82" i="60"/>
  <c r="K82" i="60"/>
  <c r="L82" i="60"/>
  <c r="M82" i="60"/>
  <c r="N82" i="60"/>
  <c r="O82" i="60"/>
  <c r="P82" i="60"/>
  <c r="Q82" i="60"/>
  <c r="R82" i="60"/>
  <c r="S82" i="60"/>
  <c r="T82" i="60"/>
  <c r="U82" i="60"/>
  <c r="V82" i="60"/>
  <c r="W82" i="60"/>
  <c r="X82" i="60"/>
  <c r="Y82" i="60"/>
  <c r="D83" i="60"/>
  <c r="E83" i="60"/>
  <c r="F83" i="60"/>
  <c r="G83" i="60"/>
  <c r="H83" i="60"/>
  <c r="I83" i="60"/>
  <c r="J83" i="60"/>
  <c r="K83" i="60"/>
  <c r="L83" i="60"/>
  <c r="M83" i="60"/>
  <c r="N83" i="60"/>
  <c r="O83" i="60"/>
  <c r="P83" i="60"/>
  <c r="Q83" i="60"/>
  <c r="R83" i="60"/>
  <c r="S83" i="60"/>
  <c r="T83" i="60"/>
  <c r="U83" i="60"/>
  <c r="V83" i="60"/>
  <c r="W83" i="60"/>
  <c r="X83" i="60"/>
  <c r="Y83" i="60"/>
  <c r="D84" i="60"/>
  <c r="E84" i="60"/>
  <c r="F84" i="60"/>
  <c r="G84" i="60"/>
  <c r="H84" i="60"/>
  <c r="I84" i="60"/>
  <c r="J84" i="60"/>
  <c r="K84" i="60"/>
  <c r="L84" i="60"/>
  <c r="M84" i="60"/>
  <c r="N84" i="60"/>
  <c r="O84" i="60"/>
  <c r="P84" i="60"/>
  <c r="Q84" i="60"/>
  <c r="R84" i="60"/>
  <c r="S84" i="60"/>
  <c r="T84" i="60"/>
  <c r="U84" i="60"/>
  <c r="V84" i="60"/>
  <c r="W84" i="60"/>
  <c r="X84" i="60"/>
  <c r="Y84" i="60"/>
  <c r="D85" i="60"/>
  <c r="E85" i="60"/>
  <c r="F85" i="60"/>
  <c r="G85" i="60"/>
  <c r="H85" i="60"/>
  <c r="I85" i="60"/>
  <c r="J85" i="60"/>
  <c r="K85" i="60"/>
  <c r="L85" i="60"/>
  <c r="M85" i="60"/>
  <c r="N85" i="60"/>
  <c r="O85" i="60"/>
  <c r="P85" i="60"/>
  <c r="Q85" i="60"/>
  <c r="R85" i="60"/>
  <c r="S85" i="60"/>
  <c r="T85" i="60"/>
  <c r="U85" i="60"/>
  <c r="V85" i="60"/>
  <c r="W85" i="60"/>
  <c r="X85" i="60"/>
  <c r="Y85" i="60"/>
  <c r="D86" i="60"/>
  <c r="D21" i="60" s="1"/>
  <c r="E86" i="60"/>
  <c r="E21" i="60" s="1"/>
  <c r="F86" i="60"/>
  <c r="F21" i="60" s="1"/>
  <c r="G86" i="60"/>
  <c r="G21" i="60" s="1"/>
  <c r="H86" i="60"/>
  <c r="H21" i="60" s="1"/>
  <c r="I86" i="60"/>
  <c r="I21" i="60" s="1"/>
  <c r="J86" i="60"/>
  <c r="J21" i="60" s="1"/>
  <c r="K86" i="60"/>
  <c r="K21" i="60" s="1"/>
  <c r="L86" i="60"/>
  <c r="L21" i="60" s="1"/>
  <c r="M86" i="60"/>
  <c r="M21" i="60" s="1"/>
  <c r="N86" i="60"/>
  <c r="N21" i="60" s="1"/>
  <c r="O86" i="60"/>
  <c r="O21" i="60" s="1"/>
  <c r="P86" i="60"/>
  <c r="P21" i="60" s="1"/>
  <c r="Q86" i="60"/>
  <c r="Q21" i="60" s="1"/>
  <c r="R86" i="60"/>
  <c r="R21" i="60" s="1"/>
  <c r="S86" i="60"/>
  <c r="S21" i="60" s="1"/>
  <c r="T86" i="60"/>
  <c r="T21" i="60" s="1"/>
  <c r="U86" i="60"/>
  <c r="U21" i="60" s="1"/>
  <c r="V86" i="60"/>
  <c r="V21" i="60" s="1"/>
  <c r="W86" i="60"/>
  <c r="W21" i="60" s="1"/>
  <c r="X86" i="60"/>
  <c r="Y86" i="60"/>
  <c r="D87" i="60"/>
  <c r="E87" i="60"/>
  <c r="F87" i="60"/>
  <c r="G87" i="60"/>
  <c r="H87" i="60"/>
  <c r="I87" i="60"/>
  <c r="J87" i="60"/>
  <c r="K87" i="60"/>
  <c r="L87" i="60"/>
  <c r="M87" i="60"/>
  <c r="N87" i="60"/>
  <c r="O87" i="60"/>
  <c r="P87" i="60"/>
  <c r="Q87" i="60"/>
  <c r="R87" i="60"/>
  <c r="S87" i="60"/>
  <c r="T87" i="60"/>
  <c r="U87" i="60"/>
  <c r="V87" i="60"/>
  <c r="W87" i="60"/>
  <c r="X87" i="60"/>
  <c r="Y87" i="60"/>
  <c r="D88" i="60"/>
  <c r="E88" i="60"/>
  <c r="F88" i="60"/>
  <c r="G88" i="60"/>
  <c r="H88" i="60"/>
  <c r="I88" i="60"/>
  <c r="J88" i="60"/>
  <c r="K88" i="60"/>
  <c r="L88" i="60"/>
  <c r="M88" i="60"/>
  <c r="N88" i="60"/>
  <c r="O88" i="60"/>
  <c r="P88" i="60"/>
  <c r="Q88" i="60"/>
  <c r="R88" i="60"/>
  <c r="S88" i="60"/>
  <c r="T88" i="60"/>
  <c r="U88" i="60"/>
  <c r="V88" i="60"/>
  <c r="W88" i="60"/>
  <c r="X88" i="60"/>
  <c r="Y88" i="60"/>
  <c r="D89" i="60"/>
  <c r="E89" i="60"/>
  <c r="F89" i="60"/>
  <c r="G89" i="60"/>
  <c r="H89" i="60"/>
  <c r="I89" i="60"/>
  <c r="J89" i="60"/>
  <c r="K89" i="60"/>
  <c r="L89" i="60"/>
  <c r="M89" i="60"/>
  <c r="N89" i="60"/>
  <c r="O89" i="60"/>
  <c r="P89" i="60"/>
  <c r="Q89" i="60"/>
  <c r="R89" i="60"/>
  <c r="S89" i="60"/>
  <c r="T89" i="60"/>
  <c r="U89" i="60"/>
  <c r="V89" i="60"/>
  <c r="W89" i="60"/>
  <c r="X89" i="60"/>
  <c r="Y89" i="60"/>
  <c r="D90" i="60"/>
  <c r="E90" i="60"/>
  <c r="F90" i="60"/>
  <c r="G90" i="60"/>
  <c r="H90" i="60"/>
  <c r="I90" i="60"/>
  <c r="J90" i="60"/>
  <c r="K90" i="60"/>
  <c r="L90" i="60"/>
  <c r="M90" i="60"/>
  <c r="N90" i="60"/>
  <c r="O90" i="60"/>
  <c r="P90" i="60"/>
  <c r="Q90" i="60"/>
  <c r="R90" i="60"/>
  <c r="S90" i="60"/>
  <c r="T90" i="60"/>
  <c r="U90" i="60"/>
  <c r="V90" i="60"/>
  <c r="W90" i="60"/>
  <c r="X90" i="60"/>
  <c r="Y90" i="60"/>
  <c r="D91" i="60"/>
  <c r="E91" i="60"/>
  <c r="F91" i="60"/>
  <c r="G91" i="60"/>
  <c r="H91" i="60"/>
  <c r="I91" i="60"/>
  <c r="J91" i="60"/>
  <c r="K91" i="60"/>
  <c r="L91" i="60"/>
  <c r="M91" i="60"/>
  <c r="N91" i="60"/>
  <c r="O91" i="60"/>
  <c r="P91" i="60"/>
  <c r="Q91" i="60"/>
  <c r="R91" i="60"/>
  <c r="S91" i="60"/>
  <c r="T91" i="60"/>
  <c r="U91" i="60"/>
  <c r="V91" i="60"/>
  <c r="W91" i="60"/>
  <c r="X91" i="60"/>
  <c r="Y91" i="60"/>
  <c r="D92" i="60"/>
  <c r="E92" i="60"/>
  <c r="F92" i="60"/>
  <c r="G92" i="60"/>
  <c r="H92" i="60"/>
  <c r="I92" i="60"/>
  <c r="J92" i="60"/>
  <c r="K92" i="60"/>
  <c r="L92" i="60"/>
  <c r="M92" i="60"/>
  <c r="N92" i="60"/>
  <c r="O92" i="60"/>
  <c r="P92" i="60"/>
  <c r="Q92" i="60"/>
  <c r="R92" i="60"/>
  <c r="S92" i="60"/>
  <c r="T92" i="60"/>
  <c r="U92" i="60"/>
  <c r="V92" i="60"/>
  <c r="W92" i="60"/>
  <c r="X92" i="60"/>
  <c r="Y92" i="60"/>
  <c r="D93" i="60"/>
  <c r="E93" i="60"/>
  <c r="F93" i="60"/>
  <c r="G93" i="60"/>
  <c r="H93" i="60"/>
  <c r="I93" i="60"/>
  <c r="J93" i="60"/>
  <c r="K93" i="60"/>
  <c r="L93" i="60"/>
  <c r="M93" i="60"/>
  <c r="N93" i="60"/>
  <c r="O93" i="60"/>
  <c r="P93" i="60"/>
  <c r="Q93" i="60"/>
  <c r="R93" i="60"/>
  <c r="S93" i="60"/>
  <c r="T93" i="60"/>
  <c r="U93" i="60"/>
  <c r="V93" i="60"/>
  <c r="W93" i="60"/>
  <c r="X93" i="60"/>
  <c r="Y93" i="60"/>
  <c r="D94" i="60"/>
  <c r="E94" i="60"/>
  <c r="F94" i="60"/>
  <c r="G94" i="60"/>
  <c r="H94" i="60"/>
  <c r="I94" i="60"/>
  <c r="J94" i="60"/>
  <c r="K94" i="60"/>
  <c r="L94" i="60"/>
  <c r="M94" i="60"/>
  <c r="N94" i="60"/>
  <c r="O94" i="60"/>
  <c r="P94" i="60"/>
  <c r="Q94" i="60"/>
  <c r="R94" i="60"/>
  <c r="S94" i="60"/>
  <c r="T94" i="60"/>
  <c r="U94" i="60"/>
  <c r="V94" i="60"/>
  <c r="W94" i="60"/>
  <c r="X94" i="60"/>
  <c r="Y94" i="60"/>
  <c r="D95" i="60"/>
  <c r="E95" i="60"/>
  <c r="F95" i="60"/>
  <c r="G95" i="60"/>
  <c r="H95" i="60"/>
  <c r="I95" i="60"/>
  <c r="J95" i="60"/>
  <c r="K95" i="60"/>
  <c r="L95" i="60"/>
  <c r="M95" i="60"/>
  <c r="N95" i="60"/>
  <c r="O95" i="60"/>
  <c r="P95" i="60"/>
  <c r="Q95" i="60"/>
  <c r="R95" i="60"/>
  <c r="S95" i="60"/>
  <c r="T95" i="60"/>
  <c r="U95" i="60"/>
  <c r="V95" i="60"/>
  <c r="W95" i="60"/>
  <c r="X95" i="60"/>
  <c r="Y95" i="60"/>
  <c r="D96" i="60"/>
  <c r="E96" i="60"/>
  <c r="F96" i="60"/>
  <c r="G96" i="60"/>
  <c r="H96" i="60"/>
  <c r="I96" i="60"/>
  <c r="J96" i="60"/>
  <c r="K96" i="60"/>
  <c r="L96" i="60"/>
  <c r="M96" i="60"/>
  <c r="N96" i="60"/>
  <c r="O96" i="60"/>
  <c r="P96" i="60"/>
  <c r="Q96" i="60"/>
  <c r="R96" i="60"/>
  <c r="S96" i="60"/>
  <c r="T96" i="60"/>
  <c r="U96" i="60"/>
  <c r="V96" i="60"/>
  <c r="W96" i="60"/>
  <c r="X96" i="60"/>
  <c r="Y96" i="60"/>
  <c r="D97" i="60"/>
  <c r="E97" i="60"/>
  <c r="F97" i="60"/>
  <c r="G97" i="60"/>
  <c r="H97" i="60"/>
  <c r="I97" i="60"/>
  <c r="J97" i="60"/>
  <c r="K97" i="60"/>
  <c r="L97" i="60"/>
  <c r="M97" i="60"/>
  <c r="N97" i="60"/>
  <c r="O97" i="60"/>
  <c r="P97" i="60"/>
  <c r="Q97" i="60"/>
  <c r="R97" i="60"/>
  <c r="S97" i="60"/>
  <c r="T97" i="60"/>
  <c r="U97" i="60"/>
  <c r="V97" i="60"/>
  <c r="W97" i="60"/>
  <c r="X97" i="60"/>
  <c r="Y97" i="60"/>
  <c r="D98" i="60"/>
  <c r="E98" i="60"/>
  <c r="F98" i="60"/>
  <c r="G98" i="60"/>
  <c r="H98" i="60"/>
  <c r="I98" i="60"/>
  <c r="J98" i="60"/>
  <c r="K98" i="60"/>
  <c r="L98" i="60"/>
  <c r="M98" i="60"/>
  <c r="N98" i="60"/>
  <c r="O98" i="60"/>
  <c r="P98" i="60"/>
  <c r="Q98" i="60"/>
  <c r="R98" i="60"/>
  <c r="S98" i="60"/>
  <c r="T98" i="60"/>
  <c r="U98" i="60"/>
  <c r="V98" i="60"/>
  <c r="W98" i="60"/>
  <c r="X98" i="60"/>
  <c r="Y98" i="60"/>
  <c r="D99" i="60"/>
  <c r="AW34" i="60" s="1"/>
  <c r="E99" i="60"/>
  <c r="AB34" i="60" s="1"/>
  <c r="F99" i="60"/>
  <c r="G99" i="60"/>
  <c r="H99" i="60"/>
  <c r="H34" i="60" s="1"/>
  <c r="I99" i="60"/>
  <c r="J99" i="60"/>
  <c r="BY34" i="60" s="1"/>
  <c r="K99" i="60"/>
  <c r="L99" i="60"/>
  <c r="M99" i="60"/>
  <c r="AJ34" i="60" s="1"/>
  <c r="N99" i="60"/>
  <c r="CC34" i="60" s="1"/>
  <c r="O99" i="60"/>
  <c r="CZ34" i="60" s="1"/>
  <c r="P99" i="60"/>
  <c r="BI34" i="60" s="1"/>
  <c r="Q99" i="60"/>
  <c r="BJ34" i="60" s="1"/>
  <c r="R99" i="60"/>
  <c r="R34" i="60" s="1"/>
  <c r="S99" i="60"/>
  <c r="S34" i="60" s="1"/>
  <c r="T99" i="60"/>
  <c r="T34" i="60" s="1"/>
  <c r="U99" i="60"/>
  <c r="AR34" i="60" s="1"/>
  <c r="V99" i="60"/>
  <c r="AS34" i="60" s="1"/>
  <c r="W99" i="60"/>
  <c r="AT34" i="60" s="1"/>
  <c r="X99" i="60"/>
  <c r="X34" i="60" s="1"/>
  <c r="N198" i="46" s="1"/>
  <c r="Y99" i="60"/>
  <c r="E3" i="61"/>
  <c r="E4" i="61"/>
  <c r="E5" i="61"/>
  <c r="E6" i="61"/>
  <c r="E7" i="61"/>
  <c r="E8" i="61"/>
  <c r="E9" i="61"/>
  <c r="E10" i="61"/>
  <c r="E11" i="61"/>
  <c r="E12" i="61"/>
  <c r="E13" i="61"/>
  <c r="E14" i="61"/>
  <c r="E15" i="61"/>
  <c r="E16" i="61"/>
  <c r="E17" i="61"/>
  <c r="E18" i="61"/>
  <c r="E19" i="61"/>
  <c r="E20" i="61"/>
  <c r="E21" i="61"/>
  <c r="E22" i="61"/>
  <c r="E23" i="61"/>
  <c r="E24" i="61"/>
  <c r="E25" i="61"/>
  <c r="E26" i="61"/>
  <c r="E27" i="61"/>
  <c r="E28" i="61"/>
  <c r="E29" i="61"/>
  <c r="E30" i="61"/>
  <c r="E31" i="61"/>
  <c r="E32" i="61"/>
  <c r="E33" i="61"/>
  <c r="E34" i="61"/>
  <c r="E35" i="61"/>
  <c r="E36" i="61"/>
  <c r="E37" i="61"/>
  <c r="E38" i="61"/>
  <c r="E39" i="61"/>
  <c r="E40" i="61"/>
  <c r="E41" i="61"/>
  <c r="E42" i="61"/>
  <c r="E43" i="61"/>
  <c r="E44" i="61"/>
  <c r="E45" i="61"/>
  <c r="E46" i="61"/>
  <c r="E47" i="61"/>
  <c r="E48" i="61"/>
  <c r="E49" i="61"/>
  <c r="E50" i="61"/>
  <c r="E51" i="61"/>
  <c r="E52" i="61"/>
  <c r="E53" i="61"/>
  <c r="E54" i="61"/>
  <c r="E55" i="61"/>
  <c r="E56" i="61"/>
  <c r="E57" i="61"/>
  <c r="E58" i="61"/>
  <c r="E59" i="61"/>
  <c r="E60" i="61"/>
  <c r="E61" i="61"/>
  <c r="E62" i="61"/>
  <c r="E63" i="61"/>
  <c r="E64" i="61"/>
  <c r="E65" i="61"/>
  <c r="E66" i="61"/>
  <c r="E67" i="61"/>
  <c r="E68" i="61"/>
  <c r="E69" i="61"/>
  <c r="E70" i="61"/>
  <c r="E71" i="61"/>
  <c r="E72" i="61"/>
  <c r="E73" i="61"/>
  <c r="E74" i="61"/>
  <c r="E75" i="61"/>
  <c r="E76" i="61"/>
  <c r="E77" i="61"/>
  <c r="E78" i="61"/>
  <c r="E79" i="61"/>
  <c r="E80" i="61"/>
  <c r="E81" i="61"/>
  <c r="E82" i="61"/>
  <c r="E83" i="61"/>
  <c r="E84" i="61"/>
  <c r="E85" i="61"/>
  <c r="E86" i="61"/>
  <c r="E87" i="61"/>
  <c r="E88" i="61"/>
  <c r="E89" i="61"/>
  <c r="E90" i="61"/>
  <c r="E91" i="61"/>
  <c r="E92" i="61"/>
  <c r="E93" i="61"/>
  <c r="E94" i="61"/>
  <c r="E95" i="61"/>
  <c r="E96" i="61"/>
  <c r="E97" i="61"/>
  <c r="E98" i="61"/>
  <c r="E99" i="61"/>
  <c r="E100" i="61"/>
  <c r="E101" i="61"/>
  <c r="E102" i="61"/>
  <c r="E103" i="61"/>
  <c r="E104" i="61"/>
  <c r="E105" i="61"/>
  <c r="E106" i="61"/>
  <c r="E107" i="61"/>
  <c r="E108" i="61"/>
  <c r="E109" i="61"/>
  <c r="E110" i="61"/>
  <c r="E111" i="61"/>
  <c r="E112" i="61"/>
  <c r="E113" i="61"/>
  <c r="E114" i="61"/>
  <c r="E115" i="61"/>
  <c r="E116" i="61"/>
  <c r="E117" i="61"/>
  <c r="E118" i="61"/>
  <c r="E119" i="61"/>
  <c r="E120" i="61"/>
  <c r="E121" i="61"/>
  <c r="E122" i="61"/>
  <c r="E123" i="61"/>
  <c r="E124" i="61"/>
  <c r="E125" i="61"/>
  <c r="E126" i="61"/>
  <c r="E127" i="61"/>
  <c r="E128" i="61"/>
  <c r="E129" i="61"/>
  <c r="E130" i="61"/>
  <c r="E131" i="61"/>
  <c r="E132" i="61"/>
  <c r="E133" i="61"/>
  <c r="E134" i="61"/>
  <c r="E135" i="61"/>
  <c r="E136" i="61"/>
  <c r="E137" i="61"/>
  <c r="E138" i="61"/>
  <c r="E139" i="61"/>
  <c r="E140" i="61"/>
  <c r="E141" i="61"/>
  <c r="E142" i="61"/>
  <c r="E143" i="61"/>
  <c r="E144" i="61"/>
  <c r="E145" i="61"/>
  <c r="E146" i="61"/>
  <c r="E147" i="61"/>
  <c r="E148" i="61"/>
  <c r="E149" i="61"/>
  <c r="E150" i="61"/>
  <c r="E151" i="61"/>
  <c r="E152" i="61"/>
  <c r="E153" i="61"/>
  <c r="E154" i="61"/>
  <c r="E155" i="61"/>
  <c r="E156" i="61"/>
  <c r="E157" i="61"/>
  <c r="E158" i="61"/>
  <c r="E159" i="61"/>
  <c r="E160" i="61"/>
  <c r="E161" i="61"/>
  <c r="E162" i="61"/>
  <c r="E163" i="61"/>
  <c r="E164" i="61"/>
  <c r="E165" i="61"/>
  <c r="E166" i="61"/>
  <c r="E167" i="61"/>
  <c r="E168" i="61"/>
  <c r="E169" i="61"/>
  <c r="E170" i="61"/>
  <c r="E171" i="61"/>
  <c r="E172" i="61"/>
  <c r="E173" i="61"/>
  <c r="E174" i="61"/>
  <c r="E175" i="61"/>
  <c r="E176" i="61"/>
  <c r="E177" i="61"/>
  <c r="E178" i="61"/>
  <c r="E179" i="61"/>
  <c r="E180" i="61"/>
  <c r="E181" i="61"/>
  <c r="E182" i="61"/>
  <c r="E183" i="61"/>
  <c r="E184" i="61"/>
  <c r="E185" i="61"/>
  <c r="E186" i="61"/>
  <c r="E187" i="61"/>
  <c r="E188" i="61"/>
  <c r="E189" i="61"/>
  <c r="E190" i="61"/>
  <c r="E191" i="61"/>
  <c r="E192" i="61"/>
  <c r="E193" i="61"/>
  <c r="E194" i="61"/>
  <c r="E195" i="61"/>
  <c r="E196" i="61"/>
  <c r="E197" i="61"/>
  <c r="E2" i="61"/>
  <c r="H4" i="46"/>
  <c r="S35" i="60" l="1" a="1"/>
  <c r="S35" i="60" s="1"/>
  <c r="T35" i="60" a="1"/>
  <c r="T35" i="60" s="1"/>
  <c r="R35" i="60" a="1"/>
  <c r="R35" i="60" s="1"/>
  <c r="H35" i="60" a="1"/>
  <c r="H35" i="60" s="1"/>
  <c r="N173" i="46"/>
  <c r="E338" i="60"/>
  <c r="K338" i="60" s="1"/>
  <c r="O203" i="60"/>
  <c r="X35" i="60" a="1"/>
  <c r="X35" i="60" s="1"/>
  <c r="O216" i="60"/>
  <c r="E351" i="60"/>
  <c r="DH34" i="60"/>
  <c r="O34" i="60"/>
  <c r="O35" i="60" s="1" a="1"/>
  <c r="O35" i="60" s="1"/>
  <c r="AQ34" i="60"/>
  <c r="BM34" i="60"/>
  <c r="BF34" i="60"/>
  <c r="CX34" i="60"/>
  <c r="P34" i="60"/>
  <c r="P35" i="60" s="1" a="1"/>
  <c r="P35" i="60" s="1"/>
  <c r="AK34" i="60"/>
  <c r="BN34" i="60"/>
  <c r="DI34" i="60"/>
  <c r="BE34" i="60"/>
  <c r="CW34" i="60"/>
  <c r="Q34" i="60"/>
  <c r="Q35" i="60" s="1" a="1"/>
  <c r="Q35" i="60" s="1"/>
  <c r="AL34" i="60"/>
  <c r="BO34" i="60"/>
  <c r="BD34" i="60"/>
  <c r="CV34" i="60"/>
  <c r="BC34" i="60"/>
  <c r="CU34" i="60"/>
  <c r="BZ34" i="60"/>
  <c r="CA34" i="60"/>
  <c r="CB34" i="60"/>
  <c r="BX34" i="60"/>
  <c r="BB34" i="60"/>
  <c r="CM34" i="60"/>
  <c r="BQ34" i="60"/>
  <c r="W34" i="60"/>
  <c r="W35" i="60" s="1" a="1"/>
  <c r="W35" i="60" s="1"/>
  <c r="CL34" i="60"/>
  <c r="BP34" i="60"/>
  <c r="G34" i="60"/>
  <c r="G35" i="60" s="1" a="1"/>
  <c r="G35" i="60" s="1"/>
  <c r="BV34" i="60"/>
  <c r="AZ34" i="60"/>
  <c r="AA34" i="60"/>
  <c r="AU34" i="60"/>
  <c r="V34" i="60"/>
  <c r="V35" i="60" s="1" a="1"/>
  <c r="V35" i="60" s="1"/>
  <c r="CK34" i="60"/>
  <c r="DG34" i="60"/>
  <c r="F34" i="60"/>
  <c r="F35" i="60" s="1" a="1"/>
  <c r="F35" i="60" s="1"/>
  <c r="BU34" i="60"/>
  <c r="CQ34" i="60"/>
  <c r="D34" i="60"/>
  <c r="D35" i="60" s="1" a="1"/>
  <c r="D35" i="60" s="1"/>
  <c r="CD34" i="60"/>
  <c r="BG34" i="60"/>
  <c r="CY34" i="60"/>
  <c r="U34" i="60"/>
  <c r="U35" i="60" s="1" a="1"/>
  <c r="U35" i="60" s="1"/>
  <c r="CJ34" i="60"/>
  <c r="E34" i="60"/>
  <c r="E35" i="60" s="1" a="1"/>
  <c r="E35" i="60" s="1"/>
  <c r="BT34" i="60"/>
  <c r="AC34" i="60"/>
  <c r="AX34" i="60"/>
  <c r="CE34" i="60"/>
  <c r="BW34" i="60"/>
  <c r="BA34" i="60"/>
  <c r="DE34" i="60"/>
  <c r="CI34" i="60"/>
  <c r="CO34" i="60"/>
  <c r="BS34" i="60"/>
  <c r="I34" i="60"/>
  <c r="I35" i="60" s="1" a="1"/>
  <c r="I35" i="60" s="1"/>
  <c r="AD34" i="60"/>
  <c r="AY34" i="60"/>
  <c r="CF34" i="60"/>
  <c r="AP34" i="60"/>
  <c r="DD34" i="60"/>
  <c r="CH34" i="60"/>
  <c r="J34" i="60"/>
  <c r="J35" i="60" s="1" a="1"/>
  <c r="J35" i="60" s="1"/>
  <c r="AE34" i="60"/>
  <c r="BH34" i="60"/>
  <c r="CP34" i="60"/>
  <c r="K34" i="60"/>
  <c r="K35" i="60" s="1" a="1"/>
  <c r="K35" i="60" s="1"/>
  <c r="AF34" i="60"/>
  <c r="CR34" i="60"/>
  <c r="AO34" i="60"/>
  <c r="DC34" i="60"/>
  <c r="CG34" i="60"/>
  <c r="L34" i="60"/>
  <c r="L35" i="60" s="1" a="1"/>
  <c r="L35" i="60" s="1"/>
  <c r="AG34" i="60"/>
  <c r="CS34" i="60"/>
  <c r="AN34" i="60"/>
  <c r="DB34" i="60"/>
  <c r="AM34" i="60"/>
  <c r="DA34" i="60"/>
  <c r="M34" i="60"/>
  <c r="M35" i="60" s="1" a="1"/>
  <c r="M35" i="60" s="1"/>
  <c r="AH34" i="60"/>
  <c r="BK34" i="60"/>
  <c r="CT34" i="60"/>
  <c r="N34" i="60"/>
  <c r="N35" i="60" s="1" a="1"/>
  <c r="N35" i="60" s="1"/>
  <c r="AI34" i="60"/>
  <c r="BL34" i="60"/>
  <c r="DF34" i="60"/>
  <c r="D38" i="60"/>
  <c r="E38" i="60"/>
  <c r="F38" i="60"/>
  <c r="G38" i="60"/>
  <c r="H38" i="60"/>
  <c r="I38" i="60"/>
  <c r="J38" i="60"/>
  <c r="K38" i="60"/>
  <c r="L38" i="60"/>
  <c r="M38" i="60"/>
  <c r="N38" i="60"/>
  <c r="O38" i="60"/>
  <c r="P38" i="60"/>
  <c r="Q38" i="60"/>
  <c r="R38" i="60"/>
  <c r="S38" i="60"/>
  <c r="T38" i="60"/>
  <c r="U38" i="60"/>
  <c r="V38" i="60"/>
  <c r="W38" i="60"/>
  <c r="X38" i="60"/>
  <c r="Y38" i="60"/>
  <c r="M39" i="60"/>
  <c r="AJ39" i="60" s="1"/>
  <c r="N39" i="60"/>
  <c r="AK39" i="60" s="1"/>
  <c r="O39" i="60"/>
  <c r="AL39" i="60" s="1"/>
  <c r="P39" i="60"/>
  <c r="AM39" i="60" s="1"/>
  <c r="Q39" i="60"/>
  <c r="AN39" i="60" s="1"/>
  <c r="R39" i="60"/>
  <c r="AO39" i="60" s="1"/>
  <c r="S39" i="60"/>
  <c r="AP39" i="60" s="1"/>
  <c r="T39" i="60"/>
  <c r="AQ39" i="60" s="1"/>
  <c r="U39" i="60"/>
  <c r="AR39" i="60" s="1"/>
  <c r="V39" i="60"/>
  <c r="AS39" i="60" s="1"/>
  <c r="W39" i="60"/>
  <c r="AT39" i="60" s="1"/>
  <c r="X39" i="60"/>
  <c r="AU39" i="60" s="1"/>
  <c r="Y39" i="60"/>
  <c r="AV39" i="60" s="1"/>
  <c r="J188" i="60" s="1"/>
  <c r="M40" i="60"/>
  <c r="AJ40" i="60" s="1"/>
  <c r="N40" i="60"/>
  <c r="AK40" i="60" s="1"/>
  <c r="O40" i="60"/>
  <c r="AL40" i="60" s="1"/>
  <c r="P40" i="60"/>
  <c r="AM40" i="60" s="1"/>
  <c r="Q40" i="60"/>
  <c r="AN40" i="60" s="1"/>
  <c r="R40" i="60"/>
  <c r="AO40" i="60" s="1"/>
  <c r="S40" i="60"/>
  <c r="AP40" i="60" s="1"/>
  <c r="T40" i="60"/>
  <c r="AQ40" i="60" s="1"/>
  <c r="U40" i="60"/>
  <c r="AR40" i="60" s="1"/>
  <c r="V40" i="60"/>
  <c r="AS40" i="60" s="1"/>
  <c r="W40" i="60"/>
  <c r="AT40" i="60" s="1"/>
  <c r="X40" i="60"/>
  <c r="AU40" i="60" s="1"/>
  <c r="Y40" i="60"/>
  <c r="AV40" i="60" s="1"/>
  <c r="J189" i="60" s="1"/>
  <c r="M41" i="60"/>
  <c r="AJ41" i="60" s="1"/>
  <c r="N41" i="60"/>
  <c r="AK41" i="60" s="1"/>
  <c r="O41" i="60"/>
  <c r="AL41" i="60" s="1"/>
  <c r="P41" i="60"/>
  <c r="AM41" i="60" s="1"/>
  <c r="Q41" i="60"/>
  <c r="AN41" i="60" s="1"/>
  <c r="R41" i="60"/>
  <c r="AO41" i="60" s="1"/>
  <c r="S41" i="60"/>
  <c r="AP41" i="60" s="1"/>
  <c r="T41" i="60"/>
  <c r="AQ41" i="60" s="1"/>
  <c r="U41" i="60"/>
  <c r="AR41" i="60" s="1"/>
  <c r="V41" i="60"/>
  <c r="AS41" i="60" s="1"/>
  <c r="W41" i="60"/>
  <c r="AT41" i="60" s="1"/>
  <c r="X41" i="60"/>
  <c r="AU41" i="60" s="1"/>
  <c r="Y41" i="60"/>
  <c r="AV41" i="60" s="1"/>
  <c r="J190" i="60" s="1"/>
  <c r="M42" i="60"/>
  <c r="AJ42" i="60" s="1"/>
  <c r="N42" i="60"/>
  <c r="AK42" i="60" s="1"/>
  <c r="O42" i="60"/>
  <c r="AL42" i="60" s="1"/>
  <c r="P42" i="60"/>
  <c r="AM42" i="60" s="1"/>
  <c r="Q42" i="60"/>
  <c r="AN42" i="60" s="1"/>
  <c r="R42" i="60"/>
  <c r="AO42" i="60" s="1"/>
  <c r="S42" i="60"/>
  <c r="AP42" i="60" s="1"/>
  <c r="T42" i="60"/>
  <c r="AQ42" i="60" s="1"/>
  <c r="U42" i="60"/>
  <c r="AR42" i="60" s="1"/>
  <c r="V42" i="60"/>
  <c r="AS42" i="60" s="1"/>
  <c r="W42" i="60"/>
  <c r="AT42" i="60" s="1"/>
  <c r="X42" i="60"/>
  <c r="AU42" i="60" s="1"/>
  <c r="Y42" i="60"/>
  <c r="AV42" i="60" s="1"/>
  <c r="J191" i="60" s="1"/>
  <c r="M43" i="60"/>
  <c r="AJ43" i="60" s="1"/>
  <c r="N43" i="60"/>
  <c r="AK43" i="60" s="1"/>
  <c r="O43" i="60"/>
  <c r="AL43" i="60" s="1"/>
  <c r="P43" i="60"/>
  <c r="AM43" i="60" s="1"/>
  <c r="Q43" i="60"/>
  <c r="AN43" i="60" s="1"/>
  <c r="R43" i="60"/>
  <c r="AO43" i="60" s="1"/>
  <c r="S43" i="60"/>
  <c r="AP43" i="60" s="1"/>
  <c r="T43" i="60"/>
  <c r="AQ43" i="60" s="1"/>
  <c r="U43" i="60"/>
  <c r="AR43" i="60" s="1"/>
  <c r="V43" i="60"/>
  <c r="AS43" i="60" s="1"/>
  <c r="W43" i="60"/>
  <c r="AT43" i="60" s="1"/>
  <c r="X43" i="60"/>
  <c r="AU43" i="60" s="1"/>
  <c r="Y43" i="60"/>
  <c r="AV43" i="60" s="1"/>
  <c r="J192" i="60" s="1"/>
  <c r="M44" i="60"/>
  <c r="AJ44" i="60" s="1"/>
  <c r="N44" i="60"/>
  <c r="AK44" i="60" s="1"/>
  <c r="O44" i="60"/>
  <c r="AL44" i="60" s="1"/>
  <c r="P44" i="60"/>
  <c r="AM44" i="60" s="1"/>
  <c r="Q44" i="60"/>
  <c r="AN44" i="60" s="1"/>
  <c r="R44" i="60"/>
  <c r="AO44" i="60" s="1"/>
  <c r="S44" i="60"/>
  <c r="AP44" i="60" s="1"/>
  <c r="T44" i="60"/>
  <c r="AQ44" i="60" s="1"/>
  <c r="U44" i="60"/>
  <c r="AR44" i="60" s="1"/>
  <c r="V44" i="60"/>
  <c r="AS44" i="60" s="1"/>
  <c r="W44" i="60"/>
  <c r="AT44" i="60" s="1"/>
  <c r="X44" i="60"/>
  <c r="AU44" i="60" s="1"/>
  <c r="Y44" i="60"/>
  <c r="AV44" i="60" s="1"/>
  <c r="J193" i="60" s="1"/>
  <c r="M45" i="60"/>
  <c r="AJ45" i="60" s="1"/>
  <c r="N45" i="60"/>
  <c r="AK45" i="60" s="1"/>
  <c r="O45" i="60"/>
  <c r="AL45" i="60" s="1"/>
  <c r="P45" i="60"/>
  <c r="AM45" i="60" s="1"/>
  <c r="Q45" i="60"/>
  <c r="AN45" i="60" s="1"/>
  <c r="R45" i="60"/>
  <c r="AO45" i="60" s="1"/>
  <c r="S45" i="60"/>
  <c r="AP45" i="60" s="1"/>
  <c r="T45" i="60"/>
  <c r="AQ45" i="60" s="1"/>
  <c r="U45" i="60"/>
  <c r="AR45" i="60" s="1"/>
  <c r="V45" i="60"/>
  <c r="AS45" i="60" s="1"/>
  <c r="W45" i="60"/>
  <c r="AT45" i="60" s="1"/>
  <c r="X45" i="60"/>
  <c r="AU45" i="60" s="1"/>
  <c r="Y45" i="60"/>
  <c r="AV45" i="60" s="1"/>
  <c r="J194" i="60" s="1"/>
  <c r="M46" i="60"/>
  <c r="AJ46" i="60" s="1"/>
  <c r="N46" i="60"/>
  <c r="AK46" i="60" s="1"/>
  <c r="O46" i="60"/>
  <c r="AL46" i="60" s="1"/>
  <c r="P46" i="60"/>
  <c r="AM46" i="60" s="1"/>
  <c r="Q46" i="60"/>
  <c r="AN46" i="60" s="1"/>
  <c r="R46" i="60"/>
  <c r="AO46" i="60" s="1"/>
  <c r="S46" i="60"/>
  <c r="AP46" i="60" s="1"/>
  <c r="T46" i="60"/>
  <c r="AQ46" i="60" s="1"/>
  <c r="U46" i="60"/>
  <c r="AR46" i="60" s="1"/>
  <c r="V46" i="60"/>
  <c r="AS46" i="60" s="1"/>
  <c r="W46" i="60"/>
  <c r="AT46" i="60" s="1"/>
  <c r="X46" i="60"/>
  <c r="AU46" i="60" s="1"/>
  <c r="Y46" i="60"/>
  <c r="AV46" i="60" s="1"/>
  <c r="J195" i="60" s="1"/>
  <c r="M47" i="60"/>
  <c r="AJ47" i="60" s="1"/>
  <c r="N47" i="60"/>
  <c r="AK47" i="60" s="1"/>
  <c r="O47" i="60"/>
  <c r="AL47" i="60" s="1"/>
  <c r="P47" i="60"/>
  <c r="AM47" i="60" s="1"/>
  <c r="Q47" i="60"/>
  <c r="AN47" i="60" s="1"/>
  <c r="R47" i="60"/>
  <c r="AO47" i="60" s="1"/>
  <c r="S47" i="60"/>
  <c r="AP47" i="60" s="1"/>
  <c r="T47" i="60"/>
  <c r="AQ47" i="60" s="1"/>
  <c r="U47" i="60"/>
  <c r="AR47" i="60" s="1"/>
  <c r="V47" i="60"/>
  <c r="AS47" i="60" s="1"/>
  <c r="W47" i="60"/>
  <c r="AT47" i="60" s="1"/>
  <c r="X47" i="60"/>
  <c r="AU47" i="60" s="1"/>
  <c r="Y47" i="60"/>
  <c r="AV47" i="60" s="1"/>
  <c r="J196" i="60" s="1"/>
  <c r="M48" i="60"/>
  <c r="AJ48" i="60" s="1"/>
  <c r="N48" i="60"/>
  <c r="AK48" i="60" s="1"/>
  <c r="O48" i="60"/>
  <c r="AL48" i="60" s="1"/>
  <c r="P48" i="60"/>
  <c r="AM48" i="60" s="1"/>
  <c r="Q48" i="60"/>
  <c r="AN48" i="60" s="1"/>
  <c r="R48" i="60"/>
  <c r="AO48" i="60" s="1"/>
  <c r="S48" i="60"/>
  <c r="AP48" i="60" s="1"/>
  <c r="T48" i="60"/>
  <c r="AQ48" i="60" s="1"/>
  <c r="U48" i="60"/>
  <c r="AR48" i="60" s="1"/>
  <c r="V48" i="60"/>
  <c r="AS48" i="60" s="1"/>
  <c r="W48" i="60"/>
  <c r="AT48" i="60" s="1"/>
  <c r="X48" i="60"/>
  <c r="AU48" i="60" s="1"/>
  <c r="Y48" i="60"/>
  <c r="AV48" i="60" s="1"/>
  <c r="J197" i="60" s="1"/>
  <c r="M49" i="60"/>
  <c r="AJ49" i="60" s="1"/>
  <c r="N49" i="60"/>
  <c r="AK49" i="60" s="1"/>
  <c r="O49" i="60"/>
  <c r="AL49" i="60" s="1"/>
  <c r="P49" i="60"/>
  <c r="AM49" i="60" s="1"/>
  <c r="Q49" i="60"/>
  <c r="AN49" i="60" s="1"/>
  <c r="R49" i="60"/>
  <c r="AO49" i="60" s="1"/>
  <c r="S49" i="60"/>
  <c r="AP49" i="60" s="1"/>
  <c r="T49" i="60"/>
  <c r="AQ49" i="60" s="1"/>
  <c r="U49" i="60"/>
  <c r="AR49" i="60" s="1"/>
  <c r="V49" i="60"/>
  <c r="AS49" i="60" s="1"/>
  <c r="W49" i="60"/>
  <c r="AT49" i="60" s="1"/>
  <c r="X49" i="60"/>
  <c r="AU49" i="60" s="1"/>
  <c r="Y49" i="60"/>
  <c r="AV49" i="60" s="1"/>
  <c r="J198" i="60" s="1"/>
  <c r="M50" i="60"/>
  <c r="AJ50" i="60" s="1"/>
  <c r="N50" i="60"/>
  <c r="AK50" i="60" s="1"/>
  <c r="O50" i="60"/>
  <c r="AL50" i="60" s="1"/>
  <c r="P50" i="60"/>
  <c r="AM50" i="60" s="1"/>
  <c r="Q50" i="60"/>
  <c r="AN50" i="60" s="1"/>
  <c r="R50" i="60"/>
  <c r="AO50" i="60" s="1"/>
  <c r="S50" i="60"/>
  <c r="AP50" i="60" s="1"/>
  <c r="T50" i="60"/>
  <c r="AQ50" i="60" s="1"/>
  <c r="U50" i="60"/>
  <c r="AR50" i="60" s="1"/>
  <c r="V50" i="60"/>
  <c r="AS50" i="60" s="1"/>
  <c r="W50" i="60"/>
  <c r="AT50" i="60" s="1"/>
  <c r="X50" i="60"/>
  <c r="AU50" i="60" s="1"/>
  <c r="Y50" i="60"/>
  <c r="AV50" i="60" s="1"/>
  <c r="J199" i="60" s="1"/>
  <c r="M51" i="60"/>
  <c r="AJ51" i="60" s="1"/>
  <c r="N51" i="60"/>
  <c r="AK51" i="60" s="1"/>
  <c r="O51" i="60"/>
  <c r="AL51" i="60" s="1"/>
  <c r="P51" i="60"/>
  <c r="AM51" i="60" s="1"/>
  <c r="Q51" i="60"/>
  <c r="AN51" i="60" s="1"/>
  <c r="R51" i="60"/>
  <c r="AO51" i="60" s="1"/>
  <c r="S51" i="60"/>
  <c r="AP51" i="60" s="1"/>
  <c r="T51" i="60"/>
  <c r="AQ51" i="60" s="1"/>
  <c r="U51" i="60"/>
  <c r="AR51" i="60" s="1"/>
  <c r="V51" i="60"/>
  <c r="AS51" i="60" s="1"/>
  <c r="W51" i="60"/>
  <c r="AT51" i="60" s="1"/>
  <c r="X51" i="60"/>
  <c r="AU51" i="60" s="1"/>
  <c r="Y51" i="60"/>
  <c r="AV51" i="60" s="1"/>
  <c r="J200" i="60" s="1"/>
  <c r="M52" i="60"/>
  <c r="AJ52" i="60" s="1"/>
  <c r="N52" i="60"/>
  <c r="AK52" i="60" s="1"/>
  <c r="O52" i="60"/>
  <c r="AL52" i="60" s="1"/>
  <c r="P52" i="60"/>
  <c r="AM52" i="60" s="1"/>
  <c r="Q52" i="60"/>
  <c r="AN52" i="60" s="1"/>
  <c r="R52" i="60"/>
  <c r="AO52" i="60" s="1"/>
  <c r="S52" i="60"/>
  <c r="AP52" i="60" s="1"/>
  <c r="T52" i="60"/>
  <c r="AQ52" i="60" s="1"/>
  <c r="U52" i="60"/>
  <c r="AR52" i="60" s="1"/>
  <c r="V52" i="60"/>
  <c r="AS52" i="60" s="1"/>
  <c r="W52" i="60"/>
  <c r="AT52" i="60" s="1"/>
  <c r="X52" i="60"/>
  <c r="AU52" i="60" s="1"/>
  <c r="Y52" i="60"/>
  <c r="AV52" i="60" s="1"/>
  <c r="J201" i="60" s="1"/>
  <c r="M53" i="60"/>
  <c r="AJ53" i="60" s="1"/>
  <c r="N53" i="60"/>
  <c r="AK53" i="60" s="1"/>
  <c r="O53" i="60"/>
  <c r="AL53" i="60" s="1"/>
  <c r="P53" i="60"/>
  <c r="AM53" i="60" s="1"/>
  <c r="Q53" i="60"/>
  <c r="AN53" i="60" s="1"/>
  <c r="R53" i="60"/>
  <c r="AO53" i="60" s="1"/>
  <c r="S53" i="60"/>
  <c r="AP53" i="60" s="1"/>
  <c r="T53" i="60"/>
  <c r="AQ53" i="60" s="1"/>
  <c r="U53" i="60"/>
  <c r="AR53" i="60" s="1"/>
  <c r="V53" i="60"/>
  <c r="AS53" i="60" s="1"/>
  <c r="W53" i="60"/>
  <c r="AT53" i="60" s="1"/>
  <c r="X53" i="60"/>
  <c r="AU53" i="60" s="1"/>
  <c r="Y53" i="60"/>
  <c r="AV53" i="60" s="1"/>
  <c r="J202" i="60" s="1"/>
  <c r="M54" i="60"/>
  <c r="AJ54" i="60" s="1"/>
  <c r="N54" i="60"/>
  <c r="AK54" i="60" s="1"/>
  <c r="O54" i="60"/>
  <c r="AL54" i="60" s="1"/>
  <c r="P54" i="60"/>
  <c r="AM54" i="60" s="1"/>
  <c r="Q54" i="60"/>
  <c r="AN54" i="60" s="1"/>
  <c r="Q120" i="60" s="1"/>
  <c r="R54" i="60"/>
  <c r="AO54" i="60" s="1"/>
  <c r="R120" i="60" s="1"/>
  <c r="S54" i="60"/>
  <c r="AP54" i="60" s="1"/>
  <c r="S120" i="60" s="1"/>
  <c r="T54" i="60"/>
  <c r="AQ54" i="60" s="1"/>
  <c r="U54" i="60"/>
  <c r="AR54" i="60" s="1"/>
  <c r="U120" i="60" s="1"/>
  <c r="V54" i="60"/>
  <c r="AS54" i="60" s="1"/>
  <c r="V120" i="60" s="1"/>
  <c r="W54" i="60"/>
  <c r="AT54" i="60" s="1"/>
  <c r="W120" i="60" s="1"/>
  <c r="X54" i="60"/>
  <c r="AU54" i="60" s="1"/>
  <c r="Y54" i="60"/>
  <c r="AV54" i="60" s="1"/>
  <c r="J203" i="60" s="1"/>
  <c r="M55" i="60"/>
  <c r="AJ55" i="60" s="1"/>
  <c r="N55" i="60"/>
  <c r="AK55" i="60" s="1"/>
  <c r="O55" i="60"/>
  <c r="AL55" i="60" s="1"/>
  <c r="P55" i="60"/>
  <c r="AM55" i="60" s="1"/>
  <c r="Q55" i="60"/>
  <c r="AN55" i="60" s="1"/>
  <c r="R55" i="60"/>
  <c r="AO55" i="60" s="1"/>
  <c r="S55" i="60"/>
  <c r="AP55" i="60" s="1"/>
  <c r="T55" i="60"/>
  <c r="AQ55" i="60" s="1"/>
  <c r="U55" i="60"/>
  <c r="AR55" i="60" s="1"/>
  <c r="V55" i="60"/>
  <c r="AS55" i="60" s="1"/>
  <c r="W55" i="60"/>
  <c r="AT55" i="60" s="1"/>
  <c r="X55" i="60"/>
  <c r="AU55" i="60" s="1"/>
  <c r="Y55" i="60"/>
  <c r="AV55" i="60" s="1"/>
  <c r="J204" i="60" s="1"/>
  <c r="M56" i="60"/>
  <c r="AJ56" i="60" s="1"/>
  <c r="N56" i="60"/>
  <c r="AK56" i="60" s="1"/>
  <c r="O56" i="60"/>
  <c r="AL56" i="60" s="1"/>
  <c r="P56" i="60"/>
  <c r="AM56" i="60" s="1"/>
  <c r="Q56" i="60"/>
  <c r="AN56" i="60" s="1"/>
  <c r="R56" i="60"/>
  <c r="AO56" i="60" s="1"/>
  <c r="S56" i="60"/>
  <c r="AP56" i="60" s="1"/>
  <c r="T56" i="60"/>
  <c r="AQ56" i="60" s="1"/>
  <c r="U56" i="60"/>
  <c r="AR56" i="60" s="1"/>
  <c r="V56" i="60"/>
  <c r="AS56" i="60" s="1"/>
  <c r="W56" i="60"/>
  <c r="AT56" i="60" s="1"/>
  <c r="X56" i="60"/>
  <c r="AU56" i="60" s="1"/>
  <c r="Y56" i="60"/>
  <c r="AV56" i="60" s="1"/>
  <c r="J205" i="60" s="1"/>
  <c r="M57" i="60"/>
  <c r="AJ57" i="60" s="1"/>
  <c r="N57" i="60"/>
  <c r="AK57" i="60" s="1"/>
  <c r="O57" i="60"/>
  <c r="AL57" i="60" s="1"/>
  <c r="P57" i="60"/>
  <c r="AM57" i="60" s="1"/>
  <c r="Q57" i="60"/>
  <c r="AN57" i="60" s="1"/>
  <c r="R57" i="60"/>
  <c r="AO57" i="60" s="1"/>
  <c r="S57" i="60"/>
  <c r="AP57" i="60" s="1"/>
  <c r="T57" i="60"/>
  <c r="AQ57" i="60" s="1"/>
  <c r="U57" i="60"/>
  <c r="AR57" i="60" s="1"/>
  <c r="V57" i="60"/>
  <c r="AS57" i="60" s="1"/>
  <c r="W57" i="60"/>
  <c r="AT57" i="60" s="1"/>
  <c r="X57" i="60"/>
  <c r="AU57" i="60" s="1"/>
  <c r="Y57" i="60"/>
  <c r="AV57" i="60" s="1"/>
  <c r="J206" i="60" s="1"/>
  <c r="M58" i="60"/>
  <c r="AJ58" i="60" s="1"/>
  <c r="N58" i="60"/>
  <c r="AK58" i="60" s="1"/>
  <c r="O58" i="60"/>
  <c r="AL58" i="60" s="1"/>
  <c r="P58" i="60"/>
  <c r="AM58" i="60" s="1"/>
  <c r="Q58" i="60"/>
  <c r="AN58" i="60" s="1"/>
  <c r="R58" i="60"/>
  <c r="AO58" i="60" s="1"/>
  <c r="S58" i="60"/>
  <c r="AP58" i="60" s="1"/>
  <c r="T58" i="60"/>
  <c r="AQ58" i="60" s="1"/>
  <c r="U58" i="60"/>
  <c r="AR58" i="60" s="1"/>
  <c r="V58" i="60"/>
  <c r="AS58" i="60" s="1"/>
  <c r="W58" i="60"/>
  <c r="AT58" i="60" s="1"/>
  <c r="X58" i="60"/>
  <c r="AU58" i="60" s="1"/>
  <c r="Y58" i="60"/>
  <c r="AV58" i="60" s="1"/>
  <c r="J207" i="60" s="1"/>
  <c r="M59" i="60"/>
  <c r="AJ59" i="60" s="1"/>
  <c r="N59" i="60"/>
  <c r="AK59" i="60" s="1"/>
  <c r="O59" i="60"/>
  <c r="AL59" i="60" s="1"/>
  <c r="P59" i="60"/>
  <c r="AM59" i="60" s="1"/>
  <c r="Q59" i="60"/>
  <c r="AN59" i="60" s="1"/>
  <c r="R59" i="60"/>
  <c r="AO59" i="60" s="1"/>
  <c r="S59" i="60"/>
  <c r="AP59" i="60" s="1"/>
  <c r="T59" i="60"/>
  <c r="AQ59" i="60" s="1"/>
  <c r="U59" i="60"/>
  <c r="AR59" i="60" s="1"/>
  <c r="V59" i="60"/>
  <c r="AS59" i="60" s="1"/>
  <c r="W59" i="60"/>
  <c r="AT59" i="60" s="1"/>
  <c r="X59" i="60"/>
  <c r="AU59" i="60" s="1"/>
  <c r="Y59" i="60"/>
  <c r="AV59" i="60" s="1"/>
  <c r="J208" i="60" s="1"/>
  <c r="M60" i="60"/>
  <c r="AJ60" i="60" s="1"/>
  <c r="N60" i="60"/>
  <c r="AK60" i="60" s="1"/>
  <c r="O60" i="60"/>
  <c r="AL60" i="60" s="1"/>
  <c r="P60" i="60"/>
  <c r="AM60" i="60" s="1"/>
  <c r="Q60" i="60"/>
  <c r="AN60" i="60" s="1"/>
  <c r="R60" i="60"/>
  <c r="AO60" i="60" s="1"/>
  <c r="S60" i="60"/>
  <c r="AP60" i="60" s="1"/>
  <c r="T60" i="60"/>
  <c r="AQ60" i="60" s="1"/>
  <c r="U60" i="60"/>
  <c r="AR60" i="60" s="1"/>
  <c r="V60" i="60"/>
  <c r="AS60" i="60" s="1"/>
  <c r="W60" i="60"/>
  <c r="AT60" i="60" s="1"/>
  <c r="X60" i="60"/>
  <c r="AU60" i="60" s="1"/>
  <c r="Y60" i="60"/>
  <c r="AV60" i="60" s="1"/>
  <c r="J209" i="60" s="1"/>
  <c r="M61" i="60"/>
  <c r="AJ61" i="60" s="1"/>
  <c r="N61" i="60"/>
  <c r="AK61" i="60" s="1"/>
  <c r="O61" i="60"/>
  <c r="AL61" i="60" s="1"/>
  <c r="P61" i="60"/>
  <c r="AM61" i="60" s="1"/>
  <c r="Q61" i="60"/>
  <c r="AN61" i="60" s="1"/>
  <c r="R61" i="60"/>
  <c r="AO61" i="60" s="1"/>
  <c r="S61" i="60"/>
  <c r="AP61" i="60" s="1"/>
  <c r="T61" i="60"/>
  <c r="AQ61" i="60" s="1"/>
  <c r="U61" i="60"/>
  <c r="AR61" i="60" s="1"/>
  <c r="V61" i="60"/>
  <c r="AS61" i="60" s="1"/>
  <c r="W61" i="60"/>
  <c r="AT61" i="60" s="1"/>
  <c r="X61" i="60"/>
  <c r="AU61" i="60" s="1"/>
  <c r="Y61" i="60"/>
  <c r="AV61" i="60" s="1"/>
  <c r="J210" i="60" s="1"/>
  <c r="M62" i="60"/>
  <c r="AJ62" i="60" s="1"/>
  <c r="N62" i="60"/>
  <c r="AK62" i="60" s="1"/>
  <c r="O62" i="60"/>
  <c r="AL62" i="60" s="1"/>
  <c r="P62" i="60"/>
  <c r="AM62" i="60" s="1"/>
  <c r="Q62" i="60"/>
  <c r="AN62" i="60" s="1"/>
  <c r="R62" i="60"/>
  <c r="AO62" i="60" s="1"/>
  <c r="S62" i="60"/>
  <c r="AP62" i="60" s="1"/>
  <c r="T62" i="60"/>
  <c r="AQ62" i="60" s="1"/>
  <c r="U62" i="60"/>
  <c r="AR62" i="60" s="1"/>
  <c r="V62" i="60"/>
  <c r="AS62" i="60" s="1"/>
  <c r="W62" i="60"/>
  <c r="AT62" i="60" s="1"/>
  <c r="X62" i="60"/>
  <c r="AU62" i="60" s="1"/>
  <c r="Y62" i="60"/>
  <c r="AV62" i="60" s="1"/>
  <c r="J211" i="60" s="1"/>
  <c r="M63" i="60"/>
  <c r="AJ63" i="60" s="1"/>
  <c r="N63" i="60"/>
  <c r="AK63" i="60" s="1"/>
  <c r="O63" i="60"/>
  <c r="AL63" i="60" s="1"/>
  <c r="P63" i="60"/>
  <c r="AM63" i="60" s="1"/>
  <c r="Q63" i="60"/>
  <c r="AN63" i="60" s="1"/>
  <c r="R63" i="60"/>
  <c r="AO63" i="60" s="1"/>
  <c r="S63" i="60"/>
  <c r="AP63" i="60" s="1"/>
  <c r="T63" i="60"/>
  <c r="AQ63" i="60" s="1"/>
  <c r="U63" i="60"/>
  <c r="AR63" i="60" s="1"/>
  <c r="V63" i="60"/>
  <c r="AS63" i="60" s="1"/>
  <c r="W63" i="60"/>
  <c r="AT63" i="60" s="1"/>
  <c r="X63" i="60"/>
  <c r="AU63" i="60" s="1"/>
  <c r="Y63" i="60"/>
  <c r="AV63" i="60" s="1"/>
  <c r="J212" i="60" s="1"/>
  <c r="M64" i="60"/>
  <c r="AJ64" i="60" s="1"/>
  <c r="N64" i="60"/>
  <c r="AK64" i="60" s="1"/>
  <c r="O64" i="60"/>
  <c r="AL64" i="60" s="1"/>
  <c r="P64" i="60"/>
  <c r="AM64" i="60" s="1"/>
  <c r="Q64" i="60"/>
  <c r="AN64" i="60" s="1"/>
  <c r="R64" i="60"/>
  <c r="AO64" i="60" s="1"/>
  <c r="S64" i="60"/>
  <c r="AP64" i="60" s="1"/>
  <c r="T64" i="60"/>
  <c r="AQ64" i="60" s="1"/>
  <c r="U64" i="60"/>
  <c r="AR64" i="60" s="1"/>
  <c r="V64" i="60"/>
  <c r="AS64" i="60" s="1"/>
  <c r="W64" i="60"/>
  <c r="AT64" i="60" s="1"/>
  <c r="X64" i="60"/>
  <c r="AU64" i="60" s="1"/>
  <c r="Y64" i="60"/>
  <c r="AV64" i="60" s="1"/>
  <c r="J213" i="60" s="1"/>
  <c r="M65" i="60"/>
  <c r="AJ65" i="60" s="1"/>
  <c r="N65" i="60"/>
  <c r="AK65" i="60" s="1"/>
  <c r="O65" i="60"/>
  <c r="AL65" i="60" s="1"/>
  <c r="P65" i="60"/>
  <c r="AM65" i="60" s="1"/>
  <c r="Q65" i="60"/>
  <c r="AN65" i="60" s="1"/>
  <c r="R65" i="60"/>
  <c r="AO65" i="60" s="1"/>
  <c r="S65" i="60"/>
  <c r="AP65" i="60" s="1"/>
  <c r="T65" i="60"/>
  <c r="AQ65" i="60" s="1"/>
  <c r="U65" i="60"/>
  <c r="AR65" i="60" s="1"/>
  <c r="V65" i="60"/>
  <c r="AS65" i="60" s="1"/>
  <c r="W65" i="60"/>
  <c r="AT65" i="60" s="1"/>
  <c r="X65" i="60"/>
  <c r="AU65" i="60" s="1"/>
  <c r="Y65" i="60"/>
  <c r="AV65" i="60" s="1"/>
  <c r="J214" i="60" s="1"/>
  <c r="M66" i="60"/>
  <c r="AJ66" i="60" s="1"/>
  <c r="N66" i="60"/>
  <c r="AK66" i="60" s="1"/>
  <c r="O66" i="60"/>
  <c r="AL66" i="60" s="1"/>
  <c r="P66" i="60"/>
  <c r="AM66" i="60" s="1"/>
  <c r="Q66" i="60"/>
  <c r="AN66" i="60" s="1"/>
  <c r="R66" i="60"/>
  <c r="AO66" i="60" s="1"/>
  <c r="S66" i="60"/>
  <c r="AP66" i="60" s="1"/>
  <c r="T66" i="60"/>
  <c r="AQ66" i="60" s="1"/>
  <c r="U66" i="60"/>
  <c r="AR66" i="60" s="1"/>
  <c r="V66" i="60"/>
  <c r="AS66" i="60" s="1"/>
  <c r="W66" i="60"/>
  <c r="AT66" i="60" s="1"/>
  <c r="X66" i="60"/>
  <c r="AU66" i="60" s="1"/>
  <c r="Y66" i="60"/>
  <c r="AV66" i="60" s="1"/>
  <c r="J215" i="60" s="1"/>
  <c r="M67" i="60"/>
  <c r="AJ67" i="60" s="1"/>
  <c r="AJ133" i="60" s="1"/>
  <c r="N67" i="60"/>
  <c r="AK67" i="60" s="1"/>
  <c r="CC133" i="60" s="1"/>
  <c r="O67" i="60"/>
  <c r="AL67" i="60" s="1"/>
  <c r="CZ133" i="60" s="1"/>
  <c r="P67" i="60"/>
  <c r="AM67" i="60" s="1"/>
  <c r="BI133" i="60" s="1"/>
  <c r="Q67" i="60"/>
  <c r="AN67" i="60" s="1"/>
  <c r="BJ133" i="60" s="1"/>
  <c r="R67" i="60"/>
  <c r="AO67" i="60" s="1"/>
  <c r="R133" i="60" s="1"/>
  <c r="S67" i="60"/>
  <c r="AP67" i="60" s="1"/>
  <c r="S133" i="60" s="1"/>
  <c r="T67" i="60"/>
  <c r="AQ67" i="60" s="1"/>
  <c r="U67" i="60"/>
  <c r="AR67" i="60" s="1"/>
  <c r="AR133" i="60" s="1"/>
  <c r="V67" i="60"/>
  <c r="AS67" i="60" s="1"/>
  <c r="AS133" i="60" s="1"/>
  <c r="W67" i="60"/>
  <c r="AT67" i="60" s="1"/>
  <c r="AT133" i="60" s="1"/>
  <c r="X67" i="60"/>
  <c r="AU67" i="60" s="1"/>
  <c r="X133" i="60" s="1"/>
  <c r="Y67" i="60"/>
  <c r="AV67" i="60" s="1"/>
  <c r="J216" i="60" s="1"/>
  <c r="D39" i="60"/>
  <c r="AA39" i="60" s="1"/>
  <c r="E39" i="60"/>
  <c r="AB39" i="60" s="1"/>
  <c r="F39" i="60"/>
  <c r="AC39" i="60" s="1"/>
  <c r="G39" i="60"/>
  <c r="AD39" i="60" s="1"/>
  <c r="H39" i="60"/>
  <c r="AE39" i="60" s="1"/>
  <c r="I39" i="60"/>
  <c r="AF39" i="60" s="1"/>
  <c r="J39" i="60"/>
  <c r="AG39" i="60" s="1"/>
  <c r="K39" i="60"/>
  <c r="AH39" i="60" s="1"/>
  <c r="L39" i="60"/>
  <c r="AI39" i="60" s="1"/>
  <c r="D40" i="60"/>
  <c r="AA40" i="60" s="1"/>
  <c r="E40" i="60"/>
  <c r="AB40" i="60" s="1"/>
  <c r="F40" i="60"/>
  <c r="AC40" i="60" s="1"/>
  <c r="G40" i="60"/>
  <c r="AD40" i="60" s="1"/>
  <c r="H40" i="60"/>
  <c r="AE40" i="60" s="1"/>
  <c r="I40" i="60"/>
  <c r="AF40" i="60" s="1"/>
  <c r="J40" i="60"/>
  <c r="AG40" i="60" s="1"/>
  <c r="K40" i="60"/>
  <c r="AH40" i="60" s="1"/>
  <c r="L40" i="60"/>
  <c r="AI40" i="60" s="1"/>
  <c r="D41" i="60"/>
  <c r="AA41" i="60" s="1"/>
  <c r="E41" i="60"/>
  <c r="AB41" i="60" s="1"/>
  <c r="F41" i="60"/>
  <c r="AC41" i="60" s="1"/>
  <c r="G41" i="60"/>
  <c r="AD41" i="60" s="1"/>
  <c r="H41" i="60"/>
  <c r="AE41" i="60" s="1"/>
  <c r="I41" i="60"/>
  <c r="AF41" i="60" s="1"/>
  <c r="J41" i="60"/>
  <c r="AG41" i="60" s="1"/>
  <c r="K41" i="60"/>
  <c r="AH41" i="60" s="1"/>
  <c r="L41" i="60"/>
  <c r="AI41" i="60" s="1"/>
  <c r="D42" i="60"/>
  <c r="AA42" i="60" s="1"/>
  <c r="E42" i="60"/>
  <c r="AB42" i="60" s="1"/>
  <c r="F42" i="60"/>
  <c r="AC42" i="60" s="1"/>
  <c r="G42" i="60"/>
  <c r="AD42" i="60" s="1"/>
  <c r="H42" i="60"/>
  <c r="AE42" i="60" s="1"/>
  <c r="I42" i="60"/>
  <c r="AF42" i="60" s="1"/>
  <c r="J42" i="60"/>
  <c r="AG42" i="60" s="1"/>
  <c r="K42" i="60"/>
  <c r="AH42" i="60" s="1"/>
  <c r="L42" i="60"/>
  <c r="AI42" i="60" s="1"/>
  <c r="D43" i="60"/>
  <c r="AA43" i="60" s="1"/>
  <c r="E43" i="60"/>
  <c r="AB43" i="60" s="1"/>
  <c r="F43" i="60"/>
  <c r="AC43" i="60" s="1"/>
  <c r="G43" i="60"/>
  <c r="AD43" i="60" s="1"/>
  <c r="H43" i="60"/>
  <c r="AE43" i="60" s="1"/>
  <c r="I43" i="60"/>
  <c r="AF43" i="60" s="1"/>
  <c r="J43" i="60"/>
  <c r="AG43" i="60" s="1"/>
  <c r="K43" i="60"/>
  <c r="AH43" i="60" s="1"/>
  <c r="L43" i="60"/>
  <c r="AI43" i="60" s="1"/>
  <c r="D44" i="60"/>
  <c r="AA44" i="60" s="1"/>
  <c r="E44" i="60"/>
  <c r="AB44" i="60" s="1"/>
  <c r="F44" i="60"/>
  <c r="AC44" i="60" s="1"/>
  <c r="G44" i="60"/>
  <c r="AD44" i="60" s="1"/>
  <c r="H44" i="60"/>
  <c r="AE44" i="60" s="1"/>
  <c r="I44" i="60"/>
  <c r="AF44" i="60" s="1"/>
  <c r="J44" i="60"/>
  <c r="AG44" i="60" s="1"/>
  <c r="K44" i="60"/>
  <c r="AH44" i="60" s="1"/>
  <c r="L44" i="60"/>
  <c r="AI44" i="60" s="1"/>
  <c r="D45" i="60"/>
  <c r="AA45" i="60" s="1"/>
  <c r="E45" i="60"/>
  <c r="AB45" i="60" s="1"/>
  <c r="F45" i="60"/>
  <c r="AC45" i="60" s="1"/>
  <c r="G45" i="60"/>
  <c r="AD45" i="60" s="1"/>
  <c r="H45" i="60"/>
  <c r="AE45" i="60" s="1"/>
  <c r="I45" i="60"/>
  <c r="AF45" i="60" s="1"/>
  <c r="J45" i="60"/>
  <c r="AG45" i="60" s="1"/>
  <c r="K45" i="60"/>
  <c r="AH45" i="60" s="1"/>
  <c r="L45" i="60"/>
  <c r="AI45" i="60" s="1"/>
  <c r="D46" i="60"/>
  <c r="AA46" i="60" s="1"/>
  <c r="E46" i="60"/>
  <c r="AB46" i="60" s="1"/>
  <c r="F46" i="60"/>
  <c r="AC46" i="60" s="1"/>
  <c r="G46" i="60"/>
  <c r="AD46" i="60" s="1"/>
  <c r="H46" i="60"/>
  <c r="AE46" i="60" s="1"/>
  <c r="I46" i="60"/>
  <c r="AF46" i="60" s="1"/>
  <c r="J46" i="60"/>
  <c r="AG46" i="60" s="1"/>
  <c r="K46" i="60"/>
  <c r="AH46" i="60" s="1"/>
  <c r="L46" i="60"/>
  <c r="AI46" i="60" s="1"/>
  <c r="D47" i="60"/>
  <c r="AA47" i="60" s="1"/>
  <c r="E47" i="60"/>
  <c r="AB47" i="60" s="1"/>
  <c r="F47" i="60"/>
  <c r="AC47" i="60" s="1"/>
  <c r="G47" i="60"/>
  <c r="AD47" i="60" s="1"/>
  <c r="H47" i="60"/>
  <c r="AE47" i="60" s="1"/>
  <c r="I47" i="60"/>
  <c r="AF47" i="60" s="1"/>
  <c r="J47" i="60"/>
  <c r="AG47" i="60" s="1"/>
  <c r="K47" i="60"/>
  <c r="AH47" i="60" s="1"/>
  <c r="L47" i="60"/>
  <c r="AI47" i="60" s="1"/>
  <c r="D48" i="60"/>
  <c r="AA48" i="60" s="1"/>
  <c r="E48" i="60"/>
  <c r="AB48" i="60" s="1"/>
  <c r="F48" i="60"/>
  <c r="AC48" i="60" s="1"/>
  <c r="G48" i="60"/>
  <c r="AD48" i="60" s="1"/>
  <c r="H48" i="60"/>
  <c r="AE48" i="60" s="1"/>
  <c r="I48" i="60"/>
  <c r="AF48" i="60" s="1"/>
  <c r="J48" i="60"/>
  <c r="AG48" i="60" s="1"/>
  <c r="K48" i="60"/>
  <c r="AH48" i="60" s="1"/>
  <c r="L48" i="60"/>
  <c r="AI48" i="60" s="1"/>
  <c r="D49" i="60"/>
  <c r="AA49" i="60" s="1"/>
  <c r="E49" i="60"/>
  <c r="AB49" i="60" s="1"/>
  <c r="F49" i="60"/>
  <c r="AC49" i="60" s="1"/>
  <c r="G49" i="60"/>
  <c r="AD49" i="60" s="1"/>
  <c r="H49" i="60"/>
  <c r="AE49" i="60" s="1"/>
  <c r="I49" i="60"/>
  <c r="AF49" i="60" s="1"/>
  <c r="J49" i="60"/>
  <c r="AG49" i="60" s="1"/>
  <c r="K49" i="60"/>
  <c r="AH49" i="60" s="1"/>
  <c r="L49" i="60"/>
  <c r="AI49" i="60" s="1"/>
  <c r="D50" i="60"/>
  <c r="AA50" i="60" s="1"/>
  <c r="E50" i="60"/>
  <c r="AB50" i="60" s="1"/>
  <c r="F50" i="60"/>
  <c r="AC50" i="60" s="1"/>
  <c r="G50" i="60"/>
  <c r="AD50" i="60" s="1"/>
  <c r="H50" i="60"/>
  <c r="AE50" i="60" s="1"/>
  <c r="I50" i="60"/>
  <c r="AF50" i="60" s="1"/>
  <c r="J50" i="60"/>
  <c r="AG50" i="60" s="1"/>
  <c r="K50" i="60"/>
  <c r="AH50" i="60" s="1"/>
  <c r="L50" i="60"/>
  <c r="AI50" i="60" s="1"/>
  <c r="D51" i="60"/>
  <c r="AA51" i="60" s="1"/>
  <c r="E51" i="60"/>
  <c r="AB51" i="60" s="1"/>
  <c r="F51" i="60"/>
  <c r="AC51" i="60" s="1"/>
  <c r="G51" i="60"/>
  <c r="AD51" i="60" s="1"/>
  <c r="H51" i="60"/>
  <c r="AE51" i="60" s="1"/>
  <c r="I51" i="60"/>
  <c r="AF51" i="60" s="1"/>
  <c r="J51" i="60"/>
  <c r="AG51" i="60" s="1"/>
  <c r="K51" i="60"/>
  <c r="AH51" i="60" s="1"/>
  <c r="L51" i="60"/>
  <c r="AI51" i="60" s="1"/>
  <c r="D52" i="60"/>
  <c r="AA52" i="60" s="1"/>
  <c r="E52" i="60"/>
  <c r="AB52" i="60" s="1"/>
  <c r="F52" i="60"/>
  <c r="AC52" i="60" s="1"/>
  <c r="G52" i="60"/>
  <c r="AD52" i="60" s="1"/>
  <c r="H52" i="60"/>
  <c r="AE52" i="60" s="1"/>
  <c r="I52" i="60"/>
  <c r="AF52" i="60" s="1"/>
  <c r="J52" i="60"/>
  <c r="AG52" i="60" s="1"/>
  <c r="K52" i="60"/>
  <c r="AH52" i="60" s="1"/>
  <c r="L52" i="60"/>
  <c r="AI52" i="60" s="1"/>
  <c r="D53" i="60"/>
  <c r="AA53" i="60" s="1"/>
  <c r="E53" i="60"/>
  <c r="AB53" i="60" s="1"/>
  <c r="F53" i="60"/>
  <c r="AC53" i="60" s="1"/>
  <c r="G53" i="60"/>
  <c r="AD53" i="60" s="1"/>
  <c r="H53" i="60"/>
  <c r="AE53" i="60" s="1"/>
  <c r="I53" i="60"/>
  <c r="AF53" i="60" s="1"/>
  <c r="J53" i="60"/>
  <c r="AG53" i="60" s="1"/>
  <c r="K53" i="60"/>
  <c r="AH53" i="60" s="1"/>
  <c r="L53" i="60"/>
  <c r="AI53" i="60" s="1"/>
  <c r="D54" i="60"/>
  <c r="AA54" i="60" s="1"/>
  <c r="E54" i="60"/>
  <c r="AB54" i="60" s="1"/>
  <c r="F54" i="60"/>
  <c r="AC54" i="60" s="1"/>
  <c r="G54" i="60"/>
  <c r="AD54" i="60" s="1"/>
  <c r="H54" i="60"/>
  <c r="AE54" i="60" s="1"/>
  <c r="I54" i="60"/>
  <c r="AF54" i="60" s="1"/>
  <c r="J54" i="60"/>
  <c r="AG54" i="60" s="1"/>
  <c r="J120" i="60" s="1"/>
  <c r="K54" i="60"/>
  <c r="AH54" i="60" s="1"/>
  <c r="L54" i="60"/>
  <c r="AI54" i="60" s="1"/>
  <c r="L120" i="60" s="1"/>
  <c r="D55" i="60"/>
  <c r="AA55" i="60" s="1"/>
  <c r="E55" i="60"/>
  <c r="AB55" i="60" s="1"/>
  <c r="F55" i="60"/>
  <c r="AC55" i="60" s="1"/>
  <c r="G55" i="60"/>
  <c r="AD55" i="60" s="1"/>
  <c r="H55" i="60"/>
  <c r="AE55" i="60" s="1"/>
  <c r="I55" i="60"/>
  <c r="AF55" i="60" s="1"/>
  <c r="J55" i="60"/>
  <c r="AG55" i="60" s="1"/>
  <c r="K55" i="60"/>
  <c r="AH55" i="60" s="1"/>
  <c r="L55" i="60"/>
  <c r="AI55" i="60" s="1"/>
  <c r="D56" i="60"/>
  <c r="AA56" i="60" s="1"/>
  <c r="E56" i="60"/>
  <c r="AB56" i="60" s="1"/>
  <c r="F56" i="60"/>
  <c r="AC56" i="60" s="1"/>
  <c r="G56" i="60"/>
  <c r="AD56" i="60" s="1"/>
  <c r="H56" i="60"/>
  <c r="AE56" i="60" s="1"/>
  <c r="I56" i="60"/>
  <c r="AF56" i="60" s="1"/>
  <c r="J56" i="60"/>
  <c r="AG56" i="60" s="1"/>
  <c r="K56" i="60"/>
  <c r="AH56" i="60" s="1"/>
  <c r="L56" i="60"/>
  <c r="AI56" i="60" s="1"/>
  <c r="D57" i="60"/>
  <c r="AA57" i="60" s="1"/>
  <c r="E57" i="60"/>
  <c r="AB57" i="60" s="1"/>
  <c r="F57" i="60"/>
  <c r="AC57" i="60" s="1"/>
  <c r="G57" i="60"/>
  <c r="AD57" i="60" s="1"/>
  <c r="H57" i="60"/>
  <c r="AE57" i="60" s="1"/>
  <c r="I57" i="60"/>
  <c r="AF57" i="60" s="1"/>
  <c r="J57" i="60"/>
  <c r="AG57" i="60" s="1"/>
  <c r="K57" i="60"/>
  <c r="AH57" i="60" s="1"/>
  <c r="L57" i="60"/>
  <c r="AI57" i="60" s="1"/>
  <c r="D58" i="60"/>
  <c r="AA58" i="60" s="1"/>
  <c r="E58" i="60"/>
  <c r="AB58" i="60" s="1"/>
  <c r="F58" i="60"/>
  <c r="AC58" i="60" s="1"/>
  <c r="G58" i="60"/>
  <c r="AD58" i="60" s="1"/>
  <c r="H58" i="60"/>
  <c r="AE58" i="60" s="1"/>
  <c r="I58" i="60"/>
  <c r="AF58" i="60" s="1"/>
  <c r="J58" i="60"/>
  <c r="AG58" i="60" s="1"/>
  <c r="K58" i="60"/>
  <c r="AH58" i="60" s="1"/>
  <c r="L58" i="60"/>
  <c r="AI58" i="60" s="1"/>
  <c r="D59" i="60"/>
  <c r="AA59" i="60" s="1"/>
  <c r="E59" i="60"/>
  <c r="AB59" i="60" s="1"/>
  <c r="F59" i="60"/>
  <c r="AC59" i="60" s="1"/>
  <c r="G59" i="60"/>
  <c r="AD59" i="60" s="1"/>
  <c r="H59" i="60"/>
  <c r="AE59" i="60" s="1"/>
  <c r="I59" i="60"/>
  <c r="AF59" i="60" s="1"/>
  <c r="J59" i="60"/>
  <c r="AG59" i="60" s="1"/>
  <c r="K59" i="60"/>
  <c r="AH59" i="60" s="1"/>
  <c r="L59" i="60"/>
  <c r="AI59" i="60" s="1"/>
  <c r="D60" i="60"/>
  <c r="AA60" i="60" s="1"/>
  <c r="E60" i="60"/>
  <c r="AB60" i="60" s="1"/>
  <c r="F60" i="60"/>
  <c r="AC60" i="60" s="1"/>
  <c r="G60" i="60"/>
  <c r="AD60" i="60" s="1"/>
  <c r="H60" i="60"/>
  <c r="AE60" i="60" s="1"/>
  <c r="I60" i="60"/>
  <c r="AF60" i="60" s="1"/>
  <c r="J60" i="60"/>
  <c r="AG60" i="60" s="1"/>
  <c r="K60" i="60"/>
  <c r="AH60" i="60" s="1"/>
  <c r="L60" i="60"/>
  <c r="AI60" i="60" s="1"/>
  <c r="D61" i="60"/>
  <c r="AA61" i="60" s="1"/>
  <c r="E61" i="60"/>
  <c r="AB61" i="60" s="1"/>
  <c r="F61" i="60"/>
  <c r="AC61" i="60" s="1"/>
  <c r="G61" i="60"/>
  <c r="AD61" i="60" s="1"/>
  <c r="H61" i="60"/>
  <c r="AE61" i="60" s="1"/>
  <c r="I61" i="60"/>
  <c r="AF61" i="60" s="1"/>
  <c r="J61" i="60"/>
  <c r="AG61" i="60" s="1"/>
  <c r="K61" i="60"/>
  <c r="AH61" i="60" s="1"/>
  <c r="L61" i="60"/>
  <c r="AI61" i="60" s="1"/>
  <c r="D62" i="60"/>
  <c r="AA62" i="60" s="1"/>
  <c r="E62" i="60"/>
  <c r="AB62" i="60" s="1"/>
  <c r="F62" i="60"/>
  <c r="AC62" i="60" s="1"/>
  <c r="G62" i="60"/>
  <c r="AD62" i="60" s="1"/>
  <c r="H62" i="60"/>
  <c r="AE62" i="60" s="1"/>
  <c r="I62" i="60"/>
  <c r="AF62" i="60" s="1"/>
  <c r="J62" i="60"/>
  <c r="AG62" i="60" s="1"/>
  <c r="K62" i="60"/>
  <c r="AH62" i="60" s="1"/>
  <c r="L62" i="60"/>
  <c r="AI62" i="60" s="1"/>
  <c r="D63" i="60"/>
  <c r="AA63" i="60" s="1"/>
  <c r="E63" i="60"/>
  <c r="AB63" i="60" s="1"/>
  <c r="F63" i="60"/>
  <c r="AC63" i="60" s="1"/>
  <c r="G63" i="60"/>
  <c r="AD63" i="60" s="1"/>
  <c r="H63" i="60"/>
  <c r="AE63" i="60" s="1"/>
  <c r="I63" i="60"/>
  <c r="AF63" i="60" s="1"/>
  <c r="J63" i="60"/>
  <c r="AG63" i="60" s="1"/>
  <c r="K63" i="60"/>
  <c r="AH63" i="60" s="1"/>
  <c r="L63" i="60"/>
  <c r="AI63" i="60" s="1"/>
  <c r="D64" i="60"/>
  <c r="AA64" i="60" s="1"/>
  <c r="E64" i="60"/>
  <c r="AB64" i="60" s="1"/>
  <c r="F64" i="60"/>
  <c r="AC64" i="60" s="1"/>
  <c r="G64" i="60"/>
  <c r="AD64" i="60" s="1"/>
  <c r="H64" i="60"/>
  <c r="AE64" i="60" s="1"/>
  <c r="I64" i="60"/>
  <c r="AF64" i="60" s="1"/>
  <c r="J64" i="60"/>
  <c r="AG64" i="60" s="1"/>
  <c r="K64" i="60"/>
  <c r="AH64" i="60" s="1"/>
  <c r="L64" i="60"/>
  <c r="AI64" i="60" s="1"/>
  <c r="D65" i="60"/>
  <c r="AA65" i="60" s="1"/>
  <c r="E65" i="60"/>
  <c r="AB65" i="60" s="1"/>
  <c r="F65" i="60"/>
  <c r="AC65" i="60" s="1"/>
  <c r="G65" i="60"/>
  <c r="AD65" i="60" s="1"/>
  <c r="H65" i="60"/>
  <c r="AE65" i="60" s="1"/>
  <c r="I65" i="60"/>
  <c r="AF65" i="60" s="1"/>
  <c r="J65" i="60"/>
  <c r="AG65" i="60" s="1"/>
  <c r="K65" i="60"/>
  <c r="AH65" i="60" s="1"/>
  <c r="L65" i="60"/>
  <c r="AI65" i="60" s="1"/>
  <c r="D66" i="60"/>
  <c r="AA66" i="60" s="1"/>
  <c r="E66" i="60"/>
  <c r="AB66" i="60" s="1"/>
  <c r="F66" i="60"/>
  <c r="AC66" i="60" s="1"/>
  <c r="G66" i="60"/>
  <c r="AD66" i="60" s="1"/>
  <c r="H66" i="60"/>
  <c r="AE66" i="60" s="1"/>
  <c r="I66" i="60"/>
  <c r="AF66" i="60" s="1"/>
  <c r="J66" i="60"/>
  <c r="AG66" i="60" s="1"/>
  <c r="K66" i="60"/>
  <c r="AH66" i="60" s="1"/>
  <c r="L66" i="60"/>
  <c r="AI66" i="60" s="1"/>
  <c r="D67" i="60"/>
  <c r="AA67" i="60" s="1"/>
  <c r="AW133" i="60" s="1"/>
  <c r="E67" i="60"/>
  <c r="AB67" i="60" s="1"/>
  <c r="AB133" i="60" s="1"/>
  <c r="F67" i="60"/>
  <c r="AC67" i="60" s="1"/>
  <c r="G67" i="60"/>
  <c r="AD67" i="60" s="1"/>
  <c r="H67" i="60"/>
  <c r="AE67" i="60" s="1"/>
  <c r="H133" i="60" s="1"/>
  <c r="I67" i="60"/>
  <c r="AF67" i="60" s="1"/>
  <c r="J67" i="60"/>
  <c r="AG67" i="60" s="1"/>
  <c r="BY133" i="60" s="1"/>
  <c r="K67" i="60"/>
  <c r="AH67" i="60" s="1"/>
  <c r="L67" i="60"/>
  <c r="AI67" i="60" s="1"/>
  <c r="E22" i="56"/>
  <c r="E38" i="7" s="1"/>
  <c r="D22" i="56"/>
  <c r="C22" i="56"/>
  <c r="B38" i="7"/>
  <c r="D15" i="55"/>
  <c r="D22" i="55" s="1"/>
  <c r="C15" i="55"/>
  <c r="C22" i="55" s="1"/>
  <c r="E37" i="7" s="1"/>
  <c r="B37" i="7"/>
  <c r="B36" i="7"/>
  <c r="C12" i="54"/>
  <c r="C13" i="54" s="1"/>
  <c r="E36" i="7" s="1"/>
  <c r="B35" i="7"/>
  <c r="C21" i="53"/>
  <c r="C22" i="53" s="1"/>
  <c r="E35" i="7" s="1"/>
  <c r="F241" i="52" a="1"/>
  <c r="F241" i="52" s="1"/>
  <c r="D241" i="52" a="1"/>
  <c r="D241" i="52" s="1"/>
  <c r="C241" i="52" a="1"/>
  <c r="C241" i="52" s="1"/>
  <c r="F351" i="60" l="1"/>
  <c r="O198" i="46"/>
  <c r="G351" i="60"/>
  <c r="P198" i="46"/>
  <c r="I351" i="60"/>
  <c r="R198" i="46"/>
  <c r="E31" i="87"/>
  <c r="B28" i="89"/>
  <c r="E28" i="88"/>
  <c r="E12" i="86"/>
  <c r="H351" i="60"/>
  <c r="Q198" i="46"/>
  <c r="E30" i="87"/>
  <c r="B32" i="89"/>
  <c r="E32" i="88"/>
  <c r="E28" i="86"/>
  <c r="BM133" i="60"/>
  <c r="D203" i="60"/>
  <c r="J218" i="60" a="1"/>
  <c r="J218" i="60" s="1"/>
  <c r="J217" i="60" a="1"/>
  <c r="J217" i="60" s="1"/>
  <c r="D216" i="60"/>
  <c r="Z34" i="60"/>
  <c r="BO133" i="60"/>
  <c r="BA133" i="60"/>
  <c r="BW133" i="60"/>
  <c r="BH133" i="60"/>
  <c r="O133" i="60"/>
  <c r="AE133" i="60"/>
  <c r="DA133" i="60"/>
  <c r="AM133" i="60"/>
  <c r="BD133" i="60"/>
  <c r="EM113" i="60"/>
  <c r="BY113" i="60"/>
  <c r="CU113" i="60"/>
  <c r="BC113" i="60"/>
  <c r="AG113" i="60"/>
  <c r="J113" i="60"/>
  <c r="EI131" i="60"/>
  <c r="CQ131" i="60"/>
  <c r="AY131" i="60"/>
  <c r="BU131" i="60"/>
  <c r="F131" i="60"/>
  <c r="AC131" i="60"/>
  <c r="EK129" i="60"/>
  <c r="CS129" i="60"/>
  <c r="BW129" i="60"/>
  <c r="BA129" i="60"/>
  <c r="H129" i="60"/>
  <c r="AE129" i="60"/>
  <c r="EM127" i="60"/>
  <c r="CU127" i="60"/>
  <c r="BC127" i="60"/>
  <c r="BY127" i="60"/>
  <c r="J127" i="60"/>
  <c r="AG127" i="60"/>
  <c r="EO125" i="60"/>
  <c r="CW125" i="60"/>
  <c r="CA125" i="60"/>
  <c r="BE125" i="60"/>
  <c r="L125" i="60"/>
  <c r="AI125" i="60"/>
  <c r="CP124" i="60"/>
  <c r="EH124" i="60"/>
  <c r="BT124" i="60"/>
  <c r="E124" i="60"/>
  <c r="AB124" i="60"/>
  <c r="AX124" i="60"/>
  <c r="EJ122" i="60"/>
  <c r="BV122" i="60"/>
  <c r="CR122" i="60"/>
  <c r="AZ122" i="60"/>
  <c r="AD122" i="60"/>
  <c r="G122" i="60"/>
  <c r="CT120" i="60"/>
  <c r="BX120" i="60"/>
  <c r="EL120" i="60"/>
  <c r="BB120" i="60"/>
  <c r="AF120" i="60"/>
  <c r="BZ118" i="60"/>
  <c r="EN118" i="60"/>
  <c r="CV118" i="60"/>
  <c r="BD118" i="60"/>
  <c r="K118" i="60"/>
  <c r="AH118" i="60"/>
  <c r="EG117" i="60"/>
  <c r="CO117" i="60"/>
  <c r="BS117" i="60"/>
  <c r="AW117" i="60"/>
  <c r="AA117" i="60"/>
  <c r="D117" i="60"/>
  <c r="EI115" i="60"/>
  <c r="CQ115" i="60"/>
  <c r="BU115" i="60"/>
  <c r="AY115" i="60"/>
  <c r="AC115" i="60"/>
  <c r="F115" i="60"/>
  <c r="EK113" i="60"/>
  <c r="CS113" i="60"/>
  <c r="BW113" i="60"/>
  <c r="BA113" i="60"/>
  <c r="AE113" i="60"/>
  <c r="H113" i="60"/>
  <c r="CU111" i="60"/>
  <c r="EM111" i="60"/>
  <c r="BY111" i="60"/>
  <c r="BC111" i="60"/>
  <c r="AG111" i="60"/>
  <c r="J111" i="60"/>
  <c r="EO109" i="60"/>
  <c r="CW109" i="60"/>
  <c r="CA109" i="60"/>
  <c r="AI109" i="60"/>
  <c r="BE109" i="60"/>
  <c r="L109" i="60"/>
  <c r="CP108" i="60"/>
  <c r="EH108" i="60"/>
  <c r="BT108" i="60"/>
  <c r="AX108" i="60"/>
  <c r="AB108" i="60"/>
  <c r="E108" i="60"/>
  <c r="EJ106" i="60"/>
  <c r="CR106" i="60"/>
  <c r="BV106" i="60"/>
  <c r="AZ106" i="60"/>
  <c r="AD106" i="60"/>
  <c r="G106" i="60"/>
  <c r="EV132" i="60"/>
  <c r="BL132" i="60"/>
  <c r="DD132" i="60"/>
  <c r="CH132" i="60"/>
  <c r="S132" i="60"/>
  <c r="AP132" i="60"/>
  <c r="ES131" i="60"/>
  <c r="DA131" i="60"/>
  <c r="CE131" i="60"/>
  <c r="BI131" i="60"/>
  <c r="P131" i="60"/>
  <c r="AM131" i="60"/>
  <c r="EP130" i="60"/>
  <c r="BF130" i="60"/>
  <c r="CX130" i="60"/>
  <c r="CB130" i="60"/>
  <c r="M130" i="60"/>
  <c r="AJ130" i="60"/>
  <c r="EZ128" i="60"/>
  <c r="DH128" i="60"/>
  <c r="BP128" i="60"/>
  <c r="W128" i="60"/>
  <c r="CL128" i="60"/>
  <c r="AT128" i="60"/>
  <c r="EW127" i="60"/>
  <c r="DE127" i="60"/>
  <c r="CI127" i="60"/>
  <c r="BM127" i="60"/>
  <c r="T127" i="60"/>
  <c r="AQ127" i="60"/>
  <c r="ET126" i="60"/>
  <c r="DB126" i="60"/>
  <c r="BJ126" i="60"/>
  <c r="CF126" i="60"/>
  <c r="Q126" i="60"/>
  <c r="AN126" i="60"/>
  <c r="EQ125" i="60"/>
  <c r="CY125" i="60"/>
  <c r="CC125" i="60"/>
  <c r="BG125" i="60"/>
  <c r="N125" i="60"/>
  <c r="AK125" i="60"/>
  <c r="DI123" i="60"/>
  <c r="FA123" i="60"/>
  <c r="CM123" i="60"/>
  <c r="BQ123" i="60"/>
  <c r="X123" i="60"/>
  <c r="D206" i="60" s="1"/>
  <c r="AU123" i="60"/>
  <c r="DF122" i="60"/>
  <c r="EX122" i="60"/>
  <c r="CJ122" i="60"/>
  <c r="BN122" i="60"/>
  <c r="U122" i="60"/>
  <c r="AR122" i="60"/>
  <c r="EU121" i="60"/>
  <c r="CG121" i="60"/>
  <c r="DC121" i="60"/>
  <c r="BK121" i="60"/>
  <c r="R121" i="60"/>
  <c r="AO121" i="60"/>
  <c r="ER120" i="60"/>
  <c r="CZ120" i="60"/>
  <c r="CD120" i="60"/>
  <c r="BH120" i="60"/>
  <c r="AL120" i="60"/>
  <c r="DG117" i="60"/>
  <c r="EY117" i="60"/>
  <c r="BO117" i="60"/>
  <c r="CK117" i="60"/>
  <c r="AS117" i="60"/>
  <c r="V117" i="60"/>
  <c r="DD116" i="60"/>
  <c r="EV116" i="60"/>
  <c r="BL116" i="60"/>
  <c r="CH116" i="60"/>
  <c r="S116" i="60"/>
  <c r="AP116" i="60"/>
  <c r="ES115" i="60"/>
  <c r="DA115" i="60"/>
  <c r="BI115" i="60"/>
  <c r="CE115" i="60"/>
  <c r="P115" i="60"/>
  <c r="AM115" i="60"/>
  <c r="CX114" i="60"/>
  <c r="EP114" i="60"/>
  <c r="CB114" i="60"/>
  <c r="BF114" i="60"/>
  <c r="M114" i="60"/>
  <c r="AJ114" i="60"/>
  <c r="DH112" i="60"/>
  <c r="EZ112" i="60"/>
  <c r="BP112" i="60"/>
  <c r="W112" i="60"/>
  <c r="CL112" i="60"/>
  <c r="AT112" i="60"/>
  <c r="EW111" i="60"/>
  <c r="DE111" i="60"/>
  <c r="CI111" i="60"/>
  <c r="BM111" i="60"/>
  <c r="T111" i="60"/>
  <c r="AQ111" i="60"/>
  <c r="DB110" i="60"/>
  <c r="ET110" i="60"/>
  <c r="CF110" i="60"/>
  <c r="BJ110" i="60"/>
  <c r="Q110" i="60"/>
  <c r="AN110" i="60"/>
  <c r="EQ109" i="60"/>
  <c r="CY109" i="60"/>
  <c r="BG109" i="60"/>
  <c r="CC109" i="60"/>
  <c r="AK109" i="60"/>
  <c r="N109" i="60"/>
  <c r="DI107" i="60"/>
  <c r="H190" i="60" s="1"/>
  <c r="FA107" i="60"/>
  <c r="CM107" i="60"/>
  <c r="G190" i="60" s="1"/>
  <c r="BQ107" i="60"/>
  <c r="F190" i="60" s="1"/>
  <c r="AU107" i="60"/>
  <c r="E190" i="60" s="1"/>
  <c r="X107" i="60"/>
  <c r="D190" i="60" s="1"/>
  <c r="EX106" i="60"/>
  <c r="DF106" i="60"/>
  <c r="BN106" i="60"/>
  <c r="CJ106" i="60"/>
  <c r="U106" i="60"/>
  <c r="AR106" i="60"/>
  <c r="EU105" i="60"/>
  <c r="DC105" i="60"/>
  <c r="R105" i="60"/>
  <c r="AO105" i="60"/>
  <c r="BK105" i="60"/>
  <c r="CG105" i="60"/>
  <c r="DB133" i="60"/>
  <c r="J133" i="60"/>
  <c r="CE133" i="60"/>
  <c r="F133" i="60"/>
  <c r="BB133" i="60"/>
  <c r="AL133" i="60"/>
  <c r="EO111" i="60"/>
  <c r="CW111" i="60"/>
  <c r="BE111" i="60"/>
  <c r="CA111" i="60"/>
  <c r="L111" i="60"/>
  <c r="AI111" i="60"/>
  <c r="CL122" i="60"/>
  <c r="EZ122" i="60"/>
  <c r="BP122" i="60"/>
  <c r="DH122" i="60"/>
  <c r="AT122" i="60"/>
  <c r="W122" i="60"/>
  <c r="EP108" i="60"/>
  <c r="CB108" i="60"/>
  <c r="BF108" i="60"/>
  <c r="CX108" i="60"/>
  <c r="AJ108" i="60"/>
  <c r="M108" i="60"/>
  <c r="CQ108" i="60"/>
  <c r="BU108" i="60"/>
  <c r="EI108" i="60"/>
  <c r="AY108" i="60"/>
  <c r="AC108" i="60"/>
  <c r="F108" i="60"/>
  <c r="ET115" i="60"/>
  <c r="CF115" i="60"/>
  <c r="DB115" i="60"/>
  <c r="BJ115" i="60"/>
  <c r="Q115" i="60"/>
  <c r="AN115" i="60"/>
  <c r="EO132" i="60"/>
  <c r="CW132" i="60"/>
  <c r="CA132" i="60"/>
  <c r="L132" i="60"/>
  <c r="BE132" i="60"/>
  <c r="AI132" i="60"/>
  <c r="EH131" i="60"/>
  <c r="AX131" i="60"/>
  <c r="BT131" i="60"/>
  <c r="CP131" i="60"/>
  <c r="E131" i="60"/>
  <c r="AB131" i="60"/>
  <c r="EJ129" i="60"/>
  <c r="CR129" i="60"/>
  <c r="BV129" i="60"/>
  <c r="AZ129" i="60"/>
  <c r="G129" i="60"/>
  <c r="AD129" i="60"/>
  <c r="EL127" i="60"/>
  <c r="CT127" i="60"/>
  <c r="BB127" i="60"/>
  <c r="BX127" i="60"/>
  <c r="I127" i="60"/>
  <c r="AF127" i="60"/>
  <c r="EN125" i="60"/>
  <c r="CV125" i="60"/>
  <c r="BZ125" i="60"/>
  <c r="BD125" i="60"/>
  <c r="K125" i="60"/>
  <c r="AH125" i="60"/>
  <c r="CO124" i="60"/>
  <c r="EG124" i="60"/>
  <c r="BS124" i="60"/>
  <c r="AW124" i="60"/>
  <c r="D124" i="60"/>
  <c r="AA124" i="60"/>
  <c r="EI122" i="60"/>
  <c r="CQ122" i="60"/>
  <c r="AY122" i="60"/>
  <c r="BU122" i="60"/>
  <c r="AC122" i="60"/>
  <c r="F122" i="60"/>
  <c r="EK120" i="60"/>
  <c r="CS120" i="60"/>
  <c r="BW120" i="60"/>
  <c r="BA120" i="60"/>
  <c r="AE120" i="60"/>
  <c r="CU118" i="60"/>
  <c r="BY118" i="60"/>
  <c r="BC118" i="60"/>
  <c r="EM118" i="60"/>
  <c r="J118" i="60"/>
  <c r="AG118" i="60"/>
  <c r="EO116" i="60"/>
  <c r="CW116" i="60"/>
  <c r="CA116" i="60"/>
  <c r="BE116" i="60"/>
  <c r="AI116" i="60"/>
  <c r="L116" i="60"/>
  <c r="EH115" i="60"/>
  <c r="CP115" i="60"/>
  <c r="AX115" i="60"/>
  <c r="BT115" i="60"/>
  <c r="AB115" i="60"/>
  <c r="E115" i="60"/>
  <c r="EJ113" i="60"/>
  <c r="CR113" i="60"/>
  <c r="BV113" i="60"/>
  <c r="AZ113" i="60"/>
  <c r="AD113" i="60"/>
  <c r="G113" i="60"/>
  <c r="CT111" i="60"/>
  <c r="EL111" i="60"/>
  <c r="BB111" i="60"/>
  <c r="AF111" i="60"/>
  <c r="BX111" i="60"/>
  <c r="I111" i="60"/>
  <c r="EN109" i="60"/>
  <c r="CV109" i="60"/>
  <c r="BZ109" i="60"/>
  <c r="BD109" i="60"/>
  <c r="AH109" i="60"/>
  <c r="K109" i="60"/>
  <c r="CO108" i="60"/>
  <c r="EG108" i="60"/>
  <c r="BS108" i="60"/>
  <c r="AW108" i="60"/>
  <c r="AA108" i="60"/>
  <c r="D108" i="60"/>
  <c r="EI106" i="60"/>
  <c r="CQ106" i="60"/>
  <c r="BU106" i="60"/>
  <c r="AY106" i="60"/>
  <c r="AC106" i="60"/>
  <c r="F106" i="60"/>
  <c r="EU132" i="60"/>
  <c r="DC132" i="60"/>
  <c r="BK132" i="60"/>
  <c r="CG132" i="60"/>
  <c r="AO132" i="60"/>
  <c r="R132" i="60"/>
  <c r="ER131" i="60"/>
  <c r="CZ131" i="60"/>
  <c r="CD131" i="60"/>
  <c r="BH131" i="60"/>
  <c r="O131" i="60"/>
  <c r="AL131" i="60"/>
  <c r="EY128" i="60"/>
  <c r="DG128" i="60"/>
  <c r="BO128" i="60"/>
  <c r="CK128" i="60"/>
  <c r="AS128" i="60"/>
  <c r="V128" i="60"/>
  <c r="DD127" i="60"/>
  <c r="EV127" i="60"/>
  <c r="CH127" i="60"/>
  <c r="BL127" i="60"/>
  <c r="S127" i="60"/>
  <c r="AP127" i="60"/>
  <c r="ES126" i="60"/>
  <c r="DA126" i="60"/>
  <c r="BI126" i="60"/>
  <c r="CE126" i="60"/>
  <c r="AM126" i="60"/>
  <c r="P126" i="60"/>
  <c r="CX125" i="60"/>
  <c r="EP125" i="60"/>
  <c r="CB125" i="60"/>
  <c r="BF125" i="60"/>
  <c r="M125" i="60"/>
  <c r="AJ125" i="60"/>
  <c r="DH123" i="60"/>
  <c r="EZ123" i="60"/>
  <c r="CL123" i="60"/>
  <c r="BP123" i="60"/>
  <c r="W123" i="60"/>
  <c r="AT123" i="60"/>
  <c r="EW122" i="60"/>
  <c r="DE122" i="60"/>
  <c r="CI122" i="60"/>
  <c r="BM122" i="60"/>
  <c r="AQ122" i="60"/>
  <c r="T122" i="60"/>
  <c r="DB121" i="60"/>
  <c r="ET121" i="60"/>
  <c r="CF121" i="60"/>
  <c r="BJ121" i="60"/>
  <c r="Q121" i="60"/>
  <c r="AN121" i="60"/>
  <c r="CY120" i="60"/>
  <c r="EQ120" i="60"/>
  <c r="CC120" i="60"/>
  <c r="BG120" i="60"/>
  <c r="AK120" i="60"/>
  <c r="FA118" i="60"/>
  <c r="DI118" i="60"/>
  <c r="H201" i="60" s="1"/>
  <c r="BQ118" i="60"/>
  <c r="F201" i="60" s="1"/>
  <c r="AU118" i="60"/>
  <c r="E201" i="60" s="1"/>
  <c r="CM118" i="60"/>
  <c r="G201" i="60" s="1"/>
  <c r="X118" i="60"/>
  <c r="D201" i="60" s="1"/>
  <c r="DF117" i="60"/>
  <c r="EX117" i="60"/>
  <c r="BN117" i="60"/>
  <c r="CJ117" i="60"/>
  <c r="AR117" i="60"/>
  <c r="U117" i="60"/>
  <c r="DC116" i="60"/>
  <c r="BK116" i="60"/>
  <c r="AO116" i="60"/>
  <c r="EU116" i="60"/>
  <c r="CG116" i="60"/>
  <c r="R116" i="60"/>
  <c r="ER115" i="60"/>
  <c r="CZ115" i="60"/>
  <c r="BH115" i="60"/>
  <c r="CD115" i="60"/>
  <c r="O115" i="60"/>
  <c r="AL115" i="60"/>
  <c r="DG112" i="60"/>
  <c r="EY112" i="60"/>
  <c r="BO112" i="60"/>
  <c r="AS112" i="60"/>
  <c r="CK112" i="60"/>
  <c r="V112" i="60"/>
  <c r="EV111" i="60"/>
  <c r="DD111" i="60"/>
  <c r="CH111" i="60"/>
  <c r="BL111" i="60"/>
  <c r="S111" i="60"/>
  <c r="AP111" i="60"/>
  <c r="ES110" i="60"/>
  <c r="DA110" i="60"/>
  <c r="CE110" i="60"/>
  <c r="AM110" i="60"/>
  <c r="BI110" i="60"/>
  <c r="P110" i="60"/>
  <c r="CX109" i="60"/>
  <c r="EP109" i="60"/>
  <c r="CB109" i="60"/>
  <c r="AJ109" i="60"/>
  <c r="BF109" i="60"/>
  <c r="M109" i="60"/>
  <c r="DH107" i="60"/>
  <c r="EZ107" i="60"/>
  <c r="CL107" i="60"/>
  <c r="BP107" i="60"/>
  <c r="AT107" i="60"/>
  <c r="W107" i="60"/>
  <c r="EW106" i="60"/>
  <c r="DE106" i="60"/>
  <c r="BM106" i="60"/>
  <c r="AQ106" i="60"/>
  <c r="CI106" i="60"/>
  <c r="T106" i="60"/>
  <c r="ET105" i="60"/>
  <c r="DB105" i="60"/>
  <c r="CF105" i="60"/>
  <c r="Q105" i="60"/>
  <c r="AN105" i="60"/>
  <c r="BJ105" i="60"/>
  <c r="AN133" i="60"/>
  <c r="AX133" i="60"/>
  <c r="DG133" i="60"/>
  <c r="BX133" i="60"/>
  <c r="Q133" i="60"/>
  <c r="EM129" i="60"/>
  <c r="CU129" i="60"/>
  <c r="BY129" i="60"/>
  <c r="BC129" i="60"/>
  <c r="J129" i="60"/>
  <c r="AG129" i="60"/>
  <c r="EL106" i="60"/>
  <c r="CT106" i="60"/>
  <c r="BX106" i="60"/>
  <c r="BB106" i="60"/>
  <c r="AF106" i="60"/>
  <c r="I106" i="60"/>
  <c r="CY119" i="60"/>
  <c r="EQ119" i="60"/>
  <c r="CC119" i="60"/>
  <c r="N119" i="60"/>
  <c r="BG119" i="60"/>
  <c r="AK119" i="60"/>
  <c r="CQ124" i="60"/>
  <c r="EI124" i="60"/>
  <c r="BU124" i="60"/>
  <c r="AY124" i="60"/>
  <c r="F124" i="60"/>
  <c r="AC124" i="60"/>
  <c r="EU126" i="60"/>
  <c r="BK126" i="60"/>
  <c r="CG126" i="60"/>
  <c r="AO126" i="60"/>
  <c r="DC126" i="60"/>
  <c r="R126" i="60"/>
  <c r="CM133" i="60"/>
  <c r="EN132" i="60"/>
  <c r="CV132" i="60"/>
  <c r="BZ132" i="60"/>
  <c r="BD132" i="60"/>
  <c r="K132" i="60"/>
  <c r="AH132" i="60"/>
  <c r="EG131" i="60"/>
  <c r="CO131" i="60"/>
  <c r="BS131" i="60"/>
  <c r="AW131" i="60"/>
  <c r="D131" i="60"/>
  <c r="AA131" i="60"/>
  <c r="EI129" i="60"/>
  <c r="BU129" i="60"/>
  <c r="CQ129" i="60"/>
  <c r="AY129" i="60"/>
  <c r="F129" i="60"/>
  <c r="AC129" i="60"/>
  <c r="EK127" i="60"/>
  <c r="CS127" i="60"/>
  <c r="BW127" i="60"/>
  <c r="H127" i="60"/>
  <c r="AE127" i="60"/>
  <c r="BA127" i="60"/>
  <c r="EM125" i="60"/>
  <c r="BY125" i="60"/>
  <c r="CU125" i="60"/>
  <c r="BC125" i="60"/>
  <c r="J125" i="60"/>
  <c r="AG125" i="60"/>
  <c r="EO123" i="60"/>
  <c r="CW123" i="60"/>
  <c r="CA123" i="60"/>
  <c r="L123" i="60"/>
  <c r="AI123" i="60"/>
  <c r="BE123" i="60"/>
  <c r="EH122" i="60"/>
  <c r="CP122" i="60"/>
  <c r="AX122" i="60"/>
  <c r="BT122" i="60"/>
  <c r="E122" i="60"/>
  <c r="AB122" i="60"/>
  <c r="CR120" i="60"/>
  <c r="EJ120" i="60"/>
  <c r="AZ120" i="60"/>
  <c r="BV120" i="60"/>
  <c r="AD120" i="60"/>
  <c r="EL118" i="60"/>
  <c r="CT118" i="60"/>
  <c r="BX118" i="60"/>
  <c r="BB118" i="60"/>
  <c r="I118" i="60"/>
  <c r="AF118" i="60"/>
  <c r="CV116" i="60"/>
  <c r="EN116" i="60"/>
  <c r="BZ116" i="60"/>
  <c r="BD116" i="60"/>
  <c r="AH116" i="60"/>
  <c r="K116" i="60"/>
  <c r="EG115" i="60"/>
  <c r="CO115" i="60"/>
  <c r="AA115" i="60"/>
  <c r="BS115" i="60"/>
  <c r="AW115" i="60"/>
  <c r="D115" i="60"/>
  <c r="EI113" i="60"/>
  <c r="BU113" i="60"/>
  <c r="CQ113" i="60"/>
  <c r="AY113" i="60"/>
  <c r="AC113" i="60"/>
  <c r="F113" i="60"/>
  <c r="CS111" i="60"/>
  <c r="EK111" i="60"/>
  <c r="BA111" i="60"/>
  <c r="AE111" i="60"/>
  <c r="BW111" i="60"/>
  <c r="H111" i="60"/>
  <c r="EM109" i="60"/>
  <c r="CU109" i="60"/>
  <c r="BY109" i="60"/>
  <c r="AG109" i="60"/>
  <c r="BC109" i="60"/>
  <c r="J109" i="60"/>
  <c r="CW107" i="60"/>
  <c r="EO107" i="60"/>
  <c r="AI107" i="60"/>
  <c r="CA107" i="60"/>
  <c r="BE107" i="60"/>
  <c r="L107" i="60"/>
  <c r="EH106" i="60"/>
  <c r="CP106" i="60"/>
  <c r="BT106" i="60"/>
  <c r="AX106" i="60"/>
  <c r="E106" i="60"/>
  <c r="AB106" i="60"/>
  <c r="ET132" i="60"/>
  <c r="DB132" i="60"/>
  <c r="BJ132" i="60"/>
  <c r="CF132" i="60"/>
  <c r="AN132" i="60"/>
  <c r="Q132" i="60"/>
  <c r="EQ131" i="60"/>
  <c r="CY131" i="60"/>
  <c r="CC131" i="60"/>
  <c r="BG131" i="60"/>
  <c r="N131" i="60"/>
  <c r="AK131" i="60"/>
  <c r="FA129" i="60"/>
  <c r="DI129" i="60"/>
  <c r="H212" i="60" s="1"/>
  <c r="BQ129" i="60"/>
  <c r="F212" i="60" s="1"/>
  <c r="CM129" i="60"/>
  <c r="G212" i="60" s="1"/>
  <c r="X129" i="60"/>
  <c r="D212" i="60" s="1"/>
  <c r="AU129" i="60"/>
  <c r="E212" i="60" s="1"/>
  <c r="EX128" i="60"/>
  <c r="DF128" i="60"/>
  <c r="BN128" i="60"/>
  <c r="CJ128" i="60"/>
  <c r="U128" i="60"/>
  <c r="AR128" i="60"/>
  <c r="EU127" i="60"/>
  <c r="DC127" i="60"/>
  <c r="CG127" i="60"/>
  <c r="BK127" i="60"/>
  <c r="R127" i="60"/>
  <c r="AO127" i="60"/>
  <c r="ER126" i="60"/>
  <c r="BH126" i="60"/>
  <c r="CD126" i="60"/>
  <c r="CZ126" i="60"/>
  <c r="O126" i="60"/>
  <c r="AL126" i="60"/>
  <c r="EY123" i="60"/>
  <c r="DG123" i="60"/>
  <c r="CK123" i="60"/>
  <c r="BO123" i="60"/>
  <c r="V123" i="60"/>
  <c r="AS123" i="60"/>
  <c r="EV122" i="60"/>
  <c r="CH122" i="60"/>
  <c r="BL122" i="60"/>
  <c r="DD122" i="60"/>
  <c r="S122" i="60"/>
  <c r="AP122" i="60"/>
  <c r="ES121" i="60"/>
  <c r="DA121" i="60"/>
  <c r="CE121" i="60"/>
  <c r="BI121" i="60"/>
  <c r="P121" i="60"/>
  <c r="AM121" i="60"/>
  <c r="EP120" i="60"/>
  <c r="CX120" i="60"/>
  <c r="CB120" i="60"/>
  <c r="BF120" i="60"/>
  <c r="AJ120" i="60"/>
  <c r="EZ118" i="60"/>
  <c r="DH118" i="60"/>
  <c r="BP118" i="60"/>
  <c r="AT118" i="60"/>
  <c r="CL118" i="60"/>
  <c r="W118" i="60"/>
  <c r="EW117" i="60"/>
  <c r="DE117" i="60"/>
  <c r="BM117" i="60"/>
  <c r="CI117" i="60"/>
  <c r="AQ117" i="60"/>
  <c r="T117" i="60"/>
  <c r="DB116" i="60"/>
  <c r="ET116" i="60"/>
  <c r="CF116" i="60"/>
  <c r="BJ116" i="60"/>
  <c r="AN116" i="60"/>
  <c r="Q116" i="60"/>
  <c r="EQ115" i="60"/>
  <c r="CY115" i="60"/>
  <c r="BG115" i="60"/>
  <c r="CC115" i="60"/>
  <c r="N115" i="60"/>
  <c r="AK115" i="60"/>
  <c r="FA113" i="60"/>
  <c r="DI113" i="60"/>
  <c r="H196" i="60" s="1"/>
  <c r="BQ113" i="60"/>
  <c r="F196" i="60" s="1"/>
  <c r="CM113" i="60"/>
  <c r="G196" i="60" s="1"/>
  <c r="X113" i="60"/>
  <c r="D196" i="60" s="1"/>
  <c r="AU113" i="60"/>
  <c r="E196" i="60" s="1"/>
  <c r="DF112" i="60"/>
  <c r="EX112" i="60"/>
  <c r="CJ112" i="60"/>
  <c r="BN112" i="60"/>
  <c r="AR112" i="60"/>
  <c r="U112" i="60"/>
  <c r="EU111" i="60"/>
  <c r="DC111" i="60"/>
  <c r="CG111" i="60"/>
  <c r="BK111" i="60"/>
  <c r="R111" i="60"/>
  <c r="AO111" i="60"/>
  <c r="ER110" i="60"/>
  <c r="CD110" i="60"/>
  <c r="CZ110" i="60"/>
  <c r="AL110" i="60"/>
  <c r="BH110" i="60"/>
  <c r="O110" i="60"/>
  <c r="EY107" i="60"/>
  <c r="DG107" i="60"/>
  <c r="CK107" i="60"/>
  <c r="BO107" i="60"/>
  <c r="AS107" i="60"/>
  <c r="V107" i="60"/>
  <c r="EV106" i="60"/>
  <c r="DD106" i="60"/>
  <c r="CH106" i="60"/>
  <c r="BL106" i="60"/>
  <c r="AP106" i="60"/>
  <c r="S106" i="60"/>
  <c r="ES105" i="60"/>
  <c r="DA105" i="60"/>
  <c r="CE105" i="60"/>
  <c r="P105" i="60"/>
  <c r="AM105" i="60"/>
  <c r="BI105" i="60"/>
  <c r="DF133" i="60"/>
  <c r="CS133" i="60"/>
  <c r="CH133" i="60"/>
  <c r="AC133" i="60"/>
  <c r="CK133" i="60"/>
  <c r="CB133" i="60"/>
  <c r="EG119" i="60"/>
  <c r="CO119" i="60"/>
  <c r="AW119" i="60"/>
  <c r="BS119" i="60"/>
  <c r="D119" i="60"/>
  <c r="AA119" i="60"/>
  <c r="CZ130" i="60"/>
  <c r="CD130" i="60"/>
  <c r="ER130" i="60"/>
  <c r="BH130" i="60"/>
  <c r="AL130" i="60"/>
  <c r="O130" i="60"/>
  <c r="ET120" i="60"/>
  <c r="CF120" i="60"/>
  <c r="DB120" i="60"/>
  <c r="BJ120" i="60"/>
  <c r="AN120" i="60"/>
  <c r="CS106" i="60"/>
  <c r="EK106" i="60"/>
  <c r="BW106" i="60"/>
  <c r="BA106" i="60"/>
  <c r="AE106" i="60"/>
  <c r="H106" i="60"/>
  <c r="EM132" i="60"/>
  <c r="CU132" i="60"/>
  <c r="BY132" i="60"/>
  <c r="BC132" i="60"/>
  <c r="J132" i="60"/>
  <c r="AG132" i="60"/>
  <c r="EO130" i="60"/>
  <c r="CW130" i="60"/>
  <c r="BE130" i="60"/>
  <c r="CA130" i="60"/>
  <c r="AI130" i="60"/>
  <c r="L130" i="60"/>
  <c r="EH129" i="60"/>
  <c r="BT129" i="60"/>
  <c r="CP129" i="60"/>
  <c r="AX129" i="60"/>
  <c r="E129" i="60"/>
  <c r="AB129" i="60"/>
  <c r="EJ127" i="60"/>
  <c r="CR127" i="60"/>
  <c r="BV127" i="60"/>
  <c r="G127" i="60"/>
  <c r="AD127" i="60"/>
  <c r="AZ127" i="60"/>
  <c r="EL125" i="60"/>
  <c r="BX125" i="60"/>
  <c r="CT125" i="60"/>
  <c r="BB125" i="60"/>
  <c r="I125" i="60"/>
  <c r="AF125" i="60"/>
  <c r="EN123" i="60"/>
  <c r="CV123" i="60"/>
  <c r="BZ123" i="60"/>
  <c r="K123" i="60"/>
  <c r="AH123" i="60"/>
  <c r="BD123" i="60"/>
  <c r="EG122" i="60"/>
  <c r="CO122" i="60"/>
  <c r="AW122" i="60"/>
  <c r="BS122" i="60"/>
  <c r="AA122" i="60"/>
  <c r="D122" i="60"/>
  <c r="CQ120" i="60"/>
  <c r="EI120" i="60"/>
  <c r="AY120" i="60"/>
  <c r="BU120" i="60"/>
  <c r="AC120" i="60"/>
  <c r="EK118" i="60"/>
  <c r="BW118" i="60"/>
  <c r="BA118" i="60"/>
  <c r="AE118" i="60"/>
  <c r="CS118" i="60"/>
  <c r="H118" i="60"/>
  <c r="EM116" i="60"/>
  <c r="CU116" i="60"/>
  <c r="BY116" i="60"/>
  <c r="BC116" i="60"/>
  <c r="AG116" i="60"/>
  <c r="J116" i="60"/>
  <c r="EO114" i="60"/>
  <c r="CW114" i="60"/>
  <c r="CA114" i="60"/>
  <c r="BE114" i="60"/>
  <c r="AI114" i="60"/>
  <c r="L114" i="60"/>
  <c r="BT113" i="60"/>
  <c r="EH113" i="60"/>
  <c r="CP113" i="60"/>
  <c r="AX113" i="60"/>
  <c r="E113" i="60"/>
  <c r="AB113" i="60"/>
  <c r="EJ111" i="60"/>
  <c r="CR111" i="60"/>
  <c r="BV111" i="60"/>
  <c r="AD111" i="60"/>
  <c r="AZ111" i="60"/>
  <c r="G111" i="60"/>
  <c r="EL109" i="60"/>
  <c r="CT109" i="60"/>
  <c r="BX109" i="60"/>
  <c r="BB109" i="60"/>
  <c r="AF109" i="60"/>
  <c r="I109" i="60"/>
  <c r="EN107" i="60"/>
  <c r="BZ107" i="60"/>
  <c r="BD107" i="60"/>
  <c r="CV107" i="60"/>
  <c r="K107" i="60"/>
  <c r="AH107" i="60"/>
  <c r="EG106" i="60"/>
  <c r="BS106" i="60"/>
  <c r="AA106" i="60"/>
  <c r="AW106" i="60"/>
  <c r="CO106" i="60"/>
  <c r="D106" i="60"/>
  <c r="ES132" i="60"/>
  <c r="BI132" i="60"/>
  <c r="DA132" i="60"/>
  <c r="CE132" i="60"/>
  <c r="P132" i="60"/>
  <c r="AM132" i="60"/>
  <c r="EP131" i="60"/>
  <c r="CX131" i="60"/>
  <c r="CB131" i="60"/>
  <c r="BF131" i="60"/>
  <c r="M131" i="60"/>
  <c r="AJ131" i="60"/>
  <c r="EZ129" i="60"/>
  <c r="DH129" i="60"/>
  <c r="BP129" i="60"/>
  <c r="CL129" i="60"/>
  <c r="W129" i="60"/>
  <c r="AT129" i="60"/>
  <c r="EW128" i="60"/>
  <c r="DE128" i="60"/>
  <c r="BM128" i="60"/>
  <c r="CI128" i="60"/>
  <c r="T128" i="60"/>
  <c r="AQ128" i="60"/>
  <c r="ET127" i="60"/>
  <c r="DB127" i="60"/>
  <c r="CF127" i="60"/>
  <c r="BJ127" i="60"/>
  <c r="Q127" i="60"/>
  <c r="AN127" i="60"/>
  <c r="CY126" i="60"/>
  <c r="EQ126" i="60"/>
  <c r="BG126" i="60"/>
  <c r="CC126" i="60"/>
  <c r="N126" i="60"/>
  <c r="AK126" i="60"/>
  <c r="FA124" i="60"/>
  <c r="DI124" i="60"/>
  <c r="H207" i="60" s="1"/>
  <c r="BQ124" i="60"/>
  <c r="F207" i="60" s="1"/>
  <c r="CM124" i="60"/>
  <c r="G207" i="60" s="1"/>
  <c r="X124" i="60"/>
  <c r="D207" i="60" s="1"/>
  <c r="AU124" i="60"/>
  <c r="E207" i="60" s="1"/>
  <c r="EX123" i="60"/>
  <c r="CJ123" i="60"/>
  <c r="DF123" i="60"/>
  <c r="BN123" i="60"/>
  <c r="U123" i="60"/>
  <c r="AR123" i="60"/>
  <c r="EU122" i="60"/>
  <c r="DC122" i="60"/>
  <c r="CG122" i="60"/>
  <c r="BK122" i="60"/>
  <c r="R122" i="60"/>
  <c r="AO122" i="60"/>
  <c r="CZ121" i="60"/>
  <c r="BH121" i="60"/>
  <c r="ER121" i="60"/>
  <c r="CD121" i="60"/>
  <c r="O121" i="60"/>
  <c r="AL121" i="60"/>
  <c r="DG118" i="60"/>
  <c r="EY118" i="60"/>
  <c r="BO118" i="60"/>
  <c r="CK118" i="60"/>
  <c r="AS118" i="60"/>
  <c r="V118" i="60"/>
  <c r="DD117" i="60"/>
  <c r="EV117" i="60"/>
  <c r="BL117" i="60"/>
  <c r="CH117" i="60"/>
  <c r="S117" i="60"/>
  <c r="AP117" i="60"/>
  <c r="ES116" i="60"/>
  <c r="DA116" i="60"/>
  <c r="BI116" i="60"/>
  <c r="CE116" i="60"/>
  <c r="AM116" i="60"/>
  <c r="P116" i="60"/>
  <c r="EP115" i="60"/>
  <c r="CX115" i="60"/>
  <c r="BF115" i="60"/>
  <c r="CB115" i="60"/>
  <c r="M115" i="60"/>
  <c r="AJ115" i="60"/>
  <c r="EZ113" i="60"/>
  <c r="DH113" i="60"/>
  <c r="BP113" i="60"/>
  <c r="CL113" i="60"/>
  <c r="W113" i="60"/>
  <c r="AT113" i="60"/>
  <c r="EW112" i="60"/>
  <c r="DE112" i="60"/>
  <c r="BM112" i="60"/>
  <c r="CI112" i="60"/>
  <c r="AQ112" i="60"/>
  <c r="T112" i="60"/>
  <c r="ET111" i="60"/>
  <c r="DB111" i="60"/>
  <c r="BJ111" i="60"/>
  <c r="CF111" i="60"/>
  <c r="Q111" i="60"/>
  <c r="AN111" i="60"/>
  <c r="CY110" i="60"/>
  <c r="EQ110" i="60"/>
  <c r="AK110" i="60"/>
  <c r="CC110" i="60"/>
  <c r="BG110" i="60"/>
  <c r="N110" i="60"/>
  <c r="FA108" i="60"/>
  <c r="DI108" i="60"/>
  <c r="H191" i="60" s="1"/>
  <c r="CM108" i="60"/>
  <c r="G191" i="60" s="1"/>
  <c r="AU108" i="60"/>
  <c r="E191" i="60" s="1"/>
  <c r="BQ108" i="60"/>
  <c r="F191" i="60" s="1"/>
  <c r="X108" i="60"/>
  <c r="D191" i="60" s="1"/>
  <c r="DF107" i="60"/>
  <c r="EX107" i="60"/>
  <c r="CJ107" i="60"/>
  <c r="BN107" i="60"/>
  <c r="AR107" i="60"/>
  <c r="U107" i="60"/>
  <c r="EU106" i="60"/>
  <c r="DC106" i="60"/>
  <c r="BK106" i="60"/>
  <c r="AO106" i="60"/>
  <c r="CG106" i="60"/>
  <c r="R106" i="60"/>
  <c r="CZ105" i="60"/>
  <c r="ER105" i="60"/>
  <c r="BH105" i="60"/>
  <c r="CD105" i="60"/>
  <c r="O105" i="60"/>
  <c r="AL105" i="60"/>
  <c r="BL133" i="60"/>
  <c r="AG133" i="60"/>
  <c r="DD133" i="60"/>
  <c r="V133" i="60"/>
  <c r="F120" i="60"/>
  <c r="CW133" i="60"/>
  <c r="EN120" i="60"/>
  <c r="CV120" i="60"/>
  <c r="BD120" i="60"/>
  <c r="AH120" i="60"/>
  <c r="BZ120" i="60"/>
  <c r="CZ114" i="60"/>
  <c r="CD114" i="60"/>
  <c r="BH114" i="60"/>
  <c r="ER114" i="60"/>
  <c r="O114" i="60"/>
  <c r="AL114" i="60"/>
  <c r="CR115" i="60"/>
  <c r="EJ115" i="60"/>
  <c r="AZ115" i="60"/>
  <c r="AD115" i="60"/>
  <c r="BV115" i="60"/>
  <c r="G115" i="60"/>
  <c r="DD121" i="60"/>
  <c r="EV121" i="60"/>
  <c r="CH121" i="60"/>
  <c r="BL121" i="60"/>
  <c r="S121" i="60"/>
  <c r="AP121" i="60"/>
  <c r="EL132" i="60"/>
  <c r="CT132" i="60"/>
  <c r="BX132" i="60"/>
  <c r="BB132" i="60"/>
  <c r="I132" i="60"/>
  <c r="AF132" i="60"/>
  <c r="EN130" i="60"/>
  <c r="CV130" i="60"/>
  <c r="BD130" i="60"/>
  <c r="BZ130" i="60"/>
  <c r="K130" i="60"/>
  <c r="AH130" i="60"/>
  <c r="EG129" i="60"/>
  <c r="BS129" i="60"/>
  <c r="CO129" i="60"/>
  <c r="AW129" i="60"/>
  <c r="AA129" i="60"/>
  <c r="D129" i="60"/>
  <c r="EI127" i="60"/>
  <c r="CQ127" i="60"/>
  <c r="BU127" i="60"/>
  <c r="F127" i="60"/>
  <c r="AC127" i="60"/>
  <c r="AY127" i="60"/>
  <c r="EK125" i="60"/>
  <c r="BW125" i="60"/>
  <c r="CS125" i="60"/>
  <c r="BA125" i="60"/>
  <c r="AE125" i="60"/>
  <c r="H125" i="60"/>
  <c r="CU123" i="60"/>
  <c r="BY123" i="60"/>
  <c r="EM123" i="60"/>
  <c r="J123" i="60"/>
  <c r="AG123" i="60"/>
  <c r="BC123" i="60"/>
  <c r="EO121" i="60"/>
  <c r="CA121" i="60"/>
  <c r="CW121" i="60"/>
  <c r="BE121" i="60"/>
  <c r="AI121" i="60"/>
  <c r="L121" i="60"/>
  <c r="EH120" i="60"/>
  <c r="CP120" i="60"/>
  <c r="AX120" i="60"/>
  <c r="BT120" i="60"/>
  <c r="AB120" i="60"/>
  <c r="EJ118" i="60"/>
  <c r="CR118" i="60"/>
  <c r="BV118" i="60"/>
  <c r="AZ118" i="60"/>
  <c r="AD118" i="60"/>
  <c r="G118" i="60"/>
  <c r="EL116" i="60"/>
  <c r="CT116" i="60"/>
  <c r="BX116" i="60"/>
  <c r="BB116" i="60"/>
  <c r="AF116" i="60"/>
  <c r="I116" i="60"/>
  <c r="CV114" i="60"/>
  <c r="EN114" i="60"/>
  <c r="BZ114" i="60"/>
  <c r="BD114" i="60"/>
  <c r="AH114" i="60"/>
  <c r="K114" i="60"/>
  <c r="EG113" i="60"/>
  <c r="BS113" i="60"/>
  <c r="CO113" i="60"/>
  <c r="AW113" i="60"/>
  <c r="D113" i="60"/>
  <c r="AA113" i="60"/>
  <c r="CQ111" i="60"/>
  <c r="EI111" i="60"/>
  <c r="BU111" i="60"/>
  <c r="AC111" i="60"/>
  <c r="AY111" i="60"/>
  <c r="F111" i="60"/>
  <c r="EK109" i="60"/>
  <c r="CS109" i="60"/>
  <c r="BW109" i="60"/>
  <c r="BA109" i="60"/>
  <c r="AE109" i="60"/>
  <c r="H109" i="60"/>
  <c r="CU107" i="60"/>
  <c r="BY107" i="60"/>
  <c r="EM107" i="60"/>
  <c r="BC107" i="60"/>
  <c r="J107" i="60"/>
  <c r="AG107" i="60"/>
  <c r="EO105" i="60"/>
  <c r="CW105" i="60"/>
  <c r="CA105" i="60"/>
  <c r="BE105" i="60"/>
  <c r="AI105" i="60"/>
  <c r="L105" i="60"/>
  <c r="ER132" i="60"/>
  <c r="CZ132" i="60"/>
  <c r="CD132" i="60"/>
  <c r="O132" i="60"/>
  <c r="BH132" i="60"/>
  <c r="AL132" i="60"/>
  <c r="EY129" i="60"/>
  <c r="CK129" i="60"/>
  <c r="DG129" i="60"/>
  <c r="BO129" i="60"/>
  <c r="V129" i="60"/>
  <c r="AS129" i="60"/>
  <c r="EV128" i="60"/>
  <c r="DD128" i="60"/>
  <c r="CH128" i="60"/>
  <c r="BL128" i="60"/>
  <c r="S128" i="60"/>
  <c r="AP128" i="60"/>
  <c r="CE127" i="60"/>
  <c r="ES127" i="60"/>
  <c r="DA127" i="60"/>
  <c r="BI127" i="60"/>
  <c r="P127" i="60"/>
  <c r="AM127" i="60"/>
  <c r="CX126" i="60"/>
  <c r="EP126" i="60"/>
  <c r="CB126" i="60"/>
  <c r="M126" i="60"/>
  <c r="BF126" i="60"/>
  <c r="AJ126" i="60"/>
  <c r="DH124" i="60"/>
  <c r="EZ124" i="60"/>
  <c r="CL124" i="60"/>
  <c r="BP124" i="60"/>
  <c r="W124" i="60"/>
  <c r="AT124" i="60"/>
  <c r="EW123" i="60"/>
  <c r="CI123" i="60"/>
  <c r="DE123" i="60"/>
  <c r="BM123" i="60"/>
  <c r="T123" i="60"/>
  <c r="AQ123" i="60"/>
  <c r="ET122" i="60"/>
  <c r="DB122" i="60"/>
  <c r="CF122" i="60"/>
  <c r="Q122" i="60"/>
  <c r="BJ122" i="60"/>
  <c r="AN122" i="60"/>
  <c r="CC121" i="60"/>
  <c r="CY121" i="60"/>
  <c r="EQ121" i="60"/>
  <c r="BG121" i="60"/>
  <c r="N121" i="60"/>
  <c r="AK121" i="60"/>
  <c r="DI119" i="60"/>
  <c r="H202" i="60" s="1"/>
  <c r="CM119" i="60"/>
  <c r="G202" i="60" s="1"/>
  <c r="FA119" i="60"/>
  <c r="BQ119" i="60"/>
  <c r="F202" i="60" s="1"/>
  <c r="X119" i="60"/>
  <c r="D202" i="60" s="1"/>
  <c r="AU119" i="60"/>
  <c r="E202" i="60" s="1"/>
  <c r="EX118" i="60"/>
  <c r="DF118" i="60"/>
  <c r="AR118" i="60"/>
  <c r="CJ118" i="60"/>
  <c r="BN118" i="60"/>
  <c r="U118" i="60"/>
  <c r="DC117" i="60"/>
  <c r="EU117" i="60"/>
  <c r="CG117" i="60"/>
  <c r="BK117" i="60"/>
  <c r="R117" i="60"/>
  <c r="AO117" i="60"/>
  <c r="ER116" i="60"/>
  <c r="CZ116" i="60"/>
  <c r="AL116" i="60"/>
  <c r="CD116" i="60"/>
  <c r="BH116" i="60"/>
  <c r="O116" i="60"/>
  <c r="CK113" i="60"/>
  <c r="DG113" i="60"/>
  <c r="EY113" i="60"/>
  <c r="BO113" i="60"/>
  <c r="V113" i="60"/>
  <c r="AS113" i="60"/>
  <c r="DD112" i="60"/>
  <c r="EV112" i="60"/>
  <c r="AP112" i="60"/>
  <c r="CH112" i="60"/>
  <c r="BL112" i="60"/>
  <c r="S112" i="60"/>
  <c r="ES111" i="60"/>
  <c r="DA111" i="60"/>
  <c r="CE111" i="60"/>
  <c r="BI111" i="60"/>
  <c r="AM111" i="60"/>
  <c r="P111" i="60"/>
  <c r="CX110" i="60"/>
  <c r="EP110" i="60"/>
  <c r="AJ110" i="60"/>
  <c r="CB110" i="60"/>
  <c r="BF110" i="60"/>
  <c r="M110" i="60"/>
  <c r="EZ108" i="60"/>
  <c r="DH108" i="60"/>
  <c r="AT108" i="60"/>
  <c r="BP108" i="60"/>
  <c r="W108" i="60"/>
  <c r="CL108" i="60"/>
  <c r="EW107" i="60"/>
  <c r="DE107" i="60"/>
  <c r="CI107" i="60"/>
  <c r="BM107" i="60"/>
  <c r="AQ107" i="60"/>
  <c r="T107" i="60"/>
  <c r="ET106" i="60"/>
  <c r="DB106" i="60"/>
  <c r="BJ106" i="60"/>
  <c r="AN106" i="60"/>
  <c r="CF106" i="60"/>
  <c r="Q106" i="60"/>
  <c r="EQ105" i="60"/>
  <c r="CY105" i="60"/>
  <c r="CC105" i="60"/>
  <c r="BG105" i="60"/>
  <c r="N105" i="60"/>
  <c r="AK105" i="60"/>
  <c r="AI133" i="60"/>
  <c r="L133" i="60"/>
  <c r="AP133" i="60"/>
  <c r="BT133" i="60"/>
  <c r="AU133" i="60"/>
  <c r="BE133" i="60"/>
  <c r="BT126" i="60"/>
  <c r="CP126" i="60"/>
  <c r="EH126" i="60"/>
  <c r="AX126" i="60"/>
  <c r="E126" i="60"/>
  <c r="AB126" i="60"/>
  <c r="EX132" i="60"/>
  <c r="DF132" i="60"/>
  <c r="CJ132" i="60"/>
  <c r="BN132" i="60"/>
  <c r="AR132" i="60"/>
  <c r="U132" i="60"/>
  <c r="EX116" i="60"/>
  <c r="CJ116" i="60"/>
  <c r="DF116" i="60"/>
  <c r="BN116" i="60"/>
  <c r="U116" i="60"/>
  <c r="AR116" i="60"/>
  <c r="CQ133" i="60"/>
  <c r="EN127" i="60"/>
  <c r="CV127" i="60"/>
  <c r="BD127" i="60"/>
  <c r="BZ127" i="60"/>
  <c r="AH127" i="60"/>
  <c r="K127" i="60"/>
  <c r="EN111" i="60"/>
  <c r="CV111" i="60"/>
  <c r="BD111" i="60"/>
  <c r="AH111" i="60"/>
  <c r="BZ111" i="60"/>
  <c r="K111" i="60"/>
  <c r="FA128" i="60"/>
  <c r="DI128" i="60"/>
  <c r="H211" i="60" s="1"/>
  <c r="BQ128" i="60"/>
  <c r="F211" i="60" s="1"/>
  <c r="CM128" i="60"/>
  <c r="G211" i="60" s="1"/>
  <c r="AU128" i="60"/>
  <c r="E211" i="60" s="1"/>
  <c r="X128" i="60"/>
  <c r="D211" i="60" s="1"/>
  <c r="DE116" i="60"/>
  <c r="EW116" i="60"/>
  <c r="BM116" i="60"/>
  <c r="T116" i="60"/>
  <c r="CI116" i="60"/>
  <c r="AQ116" i="60"/>
  <c r="DD105" i="60"/>
  <c r="EV105" i="60"/>
  <c r="S105" i="60"/>
  <c r="AP105" i="60"/>
  <c r="BL105" i="60"/>
  <c r="CH105" i="60"/>
  <c r="EK132" i="60"/>
  <c r="CS132" i="60"/>
  <c r="BW132" i="60"/>
  <c r="BA132" i="60"/>
  <c r="H132" i="60"/>
  <c r="AE132" i="60"/>
  <c r="EM130" i="60"/>
  <c r="BC130" i="60"/>
  <c r="CU130" i="60"/>
  <c r="BY130" i="60"/>
  <c r="J130" i="60"/>
  <c r="AG130" i="60"/>
  <c r="EO128" i="60"/>
  <c r="CW128" i="60"/>
  <c r="CA128" i="60"/>
  <c r="BE128" i="60"/>
  <c r="L128" i="60"/>
  <c r="AI128" i="60"/>
  <c r="EH127" i="60"/>
  <c r="CP127" i="60"/>
  <c r="BT127" i="60"/>
  <c r="E127" i="60"/>
  <c r="AB127" i="60"/>
  <c r="AX127" i="60"/>
  <c r="EJ125" i="60"/>
  <c r="CR125" i="60"/>
  <c r="AZ125" i="60"/>
  <c r="BV125" i="60"/>
  <c r="AD125" i="60"/>
  <c r="G125" i="60"/>
  <c r="CT123" i="60"/>
  <c r="BX123" i="60"/>
  <c r="EL123" i="60"/>
  <c r="BB123" i="60"/>
  <c r="I123" i="60"/>
  <c r="AF123" i="60"/>
  <c r="EN121" i="60"/>
  <c r="CV121" i="60"/>
  <c r="BD121" i="60"/>
  <c r="AH121" i="60"/>
  <c r="BZ121" i="60"/>
  <c r="K121" i="60"/>
  <c r="CO120" i="60"/>
  <c r="EG120" i="60"/>
  <c r="AW120" i="60"/>
  <c r="BS120" i="60"/>
  <c r="AA120" i="60"/>
  <c r="EI118" i="60"/>
  <c r="CQ118" i="60"/>
  <c r="AY118" i="60"/>
  <c r="AC118" i="60"/>
  <c r="BU118" i="60"/>
  <c r="F118" i="60"/>
  <c r="CS116" i="60"/>
  <c r="EK116" i="60"/>
  <c r="BW116" i="60"/>
  <c r="BA116" i="60"/>
  <c r="AE116" i="60"/>
  <c r="H116" i="60"/>
  <c r="EM114" i="60"/>
  <c r="CU114" i="60"/>
  <c r="BC114" i="60"/>
  <c r="AG114" i="60"/>
  <c r="BY114" i="60"/>
  <c r="J114" i="60"/>
  <c r="EO112" i="60"/>
  <c r="CW112" i="60"/>
  <c r="CA112" i="60"/>
  <c r="BE112" i="60"/>
  <c r="AI112" i="60"/>
  <c r="L112" i="60"/>
  <c r="CP111" i="60"/>
  <c r="EH111" i="60"/>
  <c r="BT111" i="60"/>
  <c r="AX111" i="60"/>
  <c r="AB111" i="60"/>
  <c r="E111" i="60"/>
  <c r="EJ109" i="60"/>
  <c r="CR109" i="60"/>
  <c r="AZ109" i="60"/>
  <c r="BV109" i="60"/>
  <c r="AD109" i="60"/>
  <c r="G109" i="60"/>
  <c r="EL107" i="60"/>
  <c r="BX107" i="60"/>
  <c r="CT107" i="60"/>
  <c r="BB107" i="60"/>
  <c r="I107" i="60"/>
  <c r="AF107" i="60"/>
  <c r="CV105" i="60"/>
  <c r="EN105" i="60"/>
  <c r="BZ105" i="60"/>
  <c r="AH105" i="60"/>
  <c r="BD105" i="60"/>
  <c r="K105" i="60"/>
  <c r="EQ132" i="60"/>
  <c r="CY132" i="60"/>
  <c r="CC132" i="60"/>
  <c r="N132" i="60"/>
  <c r="BG132" i="60"/>
  <c r="AK132" i="60"/>
  <c r="FA130" i="60"/>
  <c r="DI130" i="60"/>
  <c r="H213" i="60" s="1"/>
  <c r="CM130" i="60"/>
  <c r="G213" i="60" s="1"/>
  <c r="BQ130" i="60"/>
  <c r="F213" i="60" s="1"/>
  <c r="X130" i="60"/>
  <c r="D213" i="60" s="1"/>
  <c r="AU130" i="60"/>
  <c r="E213" i="60" s="1"/>
  <c r="EX129" i="60"/>
  <c r="CJ129" i="60"/>
  <c r="DF129" i="60"/>
  <c r="BN129" i="60"/>
  <c r="U129" i="60"/>
  <c r="AR129" i="60"/>
  <c r="EU128" i="60"/>
  <c r="DC128" i="60"/>
  <c r="CG128" i="60"/>
  <c r="BK128" i="60"/>
  <c r="R128" i="60"/>
  <c r="AO128" i="60"/>
  <c r="CD127" i="60"/>
  <c r="ER127" i="60"/>
  <c r="CZ127" i="60"/>
  <c r="BH127" i="60"/>
  <c r="O127" i="60"/>
  <c r="AL127" i="60"/>
  <c r="EY124" i="60"/>
  <c r="DG124" i="60"/>
  <c r="BO124" i="60"/>
  <c r="CK124" i="60"/>
  <c r="V124" i="60"/>
  <c r="AS124" i="60"/>
  <c r="EV123" i="60"/>
  <c r="CH123" i="60"/>
  <c r="DD123" i="60"/>
  <c r="BL123" i="60"/>
  <c r="S123" i="60"/>
  <c r="AP123" i="60"/>
  <c r="ES122" i="60"/>
  <c r="DA122" i="60"/>
  <c r="CE122" i="60"/>
  <c r="P122" i="60"/>
  <c r="BI122" i="60"/>
  <c r="AM122" i="60"/>
  <c r="EP121" i="60"/>
  <c r="CB121" i="60"/>
  <c r="CX121" i="60"/>
  <c r="BF121" i="60"/>
  <c r="M121" i="60"/>
  <c r="AJ121" i="60"/>
  <c r="DH119" i="60"/>
  <c r="CL119" i="60"/>
  <c r="BP119" i="60"/>
  <c r="EZ119" i="60"/>
  <c r="W119" i="60"/>
  <c r="AT119" i="60"/>
  <c r="EW118" i="60"/>
  <c r="DE118" i="60"/>
  <c r="CI118" i="60"/>
  <c r="AQ118" i="60"/>
  <c r="BM118" i="60"/>
  <c r="T118" i="60"/>
  <c r="ET117" i="60"/>
  <c r="CF117" i="60"/>
  <c r="DB117" i="60"/>
  <c r="BJ117" i="60"/>
  <c r="Q117" i="60"/>
  <c r="AN117" i="60"/>
  <c r="EQ116" i="60"/>
  <c r="CY116" i="60"/>
  <c r="CC116" i="60"/>
  <c r="BG116" i="60"/>
  <c r="AK116" i="60"/>
  <c r="N116" i="60"/>
  <c r="FA114" i="60"/>
  <c r="DI114" i="60"/>
  <c r="H197" i="60" s="1"/>
  <c r="CM114" i="60"/>
  <c r="G197" i="60" s="1"/>
  <c r="BQ114" i="60"/>
  <c r="F197" i="60" s="1"/>
  <c r="AU114" i="60"/>
  <c r="E197" i="60" s="1"/>
  <c r="X114" i="60"/>
  <c r="D197" i="60" s="1"/>
  <c r="EX113" i="60"/>
  <c r="CJ113" i="60"/>
  <c r="DF113" i="60"/>
  <c r="BN113" i="60"/>
  <c r="U113" i="60"/>
  <c r="AR113" i="60"/>
  <c r="EU112" i="60"/>
  <c r="DC112" i="60"/>
  <c r="CG112" i="60"/>
  <c r="AO112" i="60"/>
  <c r="BK112" i="60"/>
  <c r="R112" i="60"/>
  <c r="ER111" i="60"/>
  <c r="CZ111" i="60"/>
  <c r="CD111" i="60"/>
  <c r="BH111" i="60"/>
  <c r="AL111" i="60"/>
  <c r="O111" i="60"/>
  <c r="DG108" i="60"/>
  <c r="EY108" i="60"/>
  <c r="CK108" i="60"/>
  <c r="BO108" i="60"/>
  <c r="V108" i="60"/>
  <c r="AS108" i="60"/>
  <c r="EV107" i="60"/>
  <c r="DD107" i="60"/>
  <c r="CH107" i="60"/>
  <c r="BL107" i="60"/>
  <c r="AP107" i="60"/>
  <c r="S107" i="60"/>
  <c r="DA106" i="60"/>
  <c r="CE106" i="60"/>
  <c r="ES106" i="60"/>
  <c r="AM106" i="60"/>
  <c r="P106" i="60"/>
  <c r="BI106" i="60"/>
  <c r="CX105" i="60"/>
  <c r="CB105" i="60"/>
  <c r="EP105" i="60"/>
  <c r="BF105" i="60"/>
  <c r="M105" i="60"/>
  <c r="AJ105" i="60"/>
  <c r="N133" i="60"/>
  <c r="CG133" i="60"/>
  <c r="CF133" i="60"/>
  <c r="E133" i="60"/>
  <c r="AA133" i="60"/>
  <c r="CA133" i="60"/>
  <c r="DI133" i="60"/>
  <c r="O120" i="60"/>
  <c r="EL122" i="60"/>
  <c r="BX122" i="60"/>
  <c r="CT122" i="60"/>
  <c r="BB122" i="60"/>
  <c r="I122" i="60"/>
  <c r="AF122" i="60"/>
  <c r="EY127" i="60"/>
  <c r="DG127" i="60"/>
  <c r="CK127" i="60"/>
  <c r="BO127" i="60"/>
  <c r="V127" i="60"/>
  <c r="AS127" i="60"/>
  <c r="EV110" i="60"/>
  <c r="DD110" i="60"/>
  <c r="CH110" i="60"/>
  <c r="BL110" i="60"/>
  <c r="AP110" i="60"/>
  <c r="S110" i="60"/>
  <c r="EH117" i="60"/>
  <c r="BT117" i="60"/>
  <c r="AX117" i="60"/>
  <c r="CP117" i="60"/>
  <c r="AB117" i="60"/>
  <c r="E117" i="60"/>
  <c r="DB131" i="60"/>
  <c r="ET131" i="60"/>
  <c r="CF131" i="60"/>
  <c r="BJ131" i="60"/>
  <c r="Q131" i="60"/>
  <c r="AN131" i="60"/>
  <c r="ES120" i="60"/>
  <c r="DA120" i="60"/>
  <c r="CE120" i="60"/>
  <c r="BI120" i="60"/>
  <c r="AM120" i="60"/>
  <c r="DI112" i="60"/>
  <c r="H195" i="60" s="1"/>
  <c r="FA112" i="60"/>
  <c r="CM112" i="60"/>
  <c r="G195" i="60" s="1"/>
  <c r="BQ112" i="60"/>
  <c r="F195" i="60" s="1"/>
  <c r="X112" i="60"/>
  <c r="D195" i="60" s="1"/>
  <c r="AU112" i="60"/>
  <c r="E195" i="60" s="1"/>
  <c r="CZ109" i="60"/>
  <c r="ER109" i="60"/>
  <c r="CD109" i="60"/>
  <c r="BH109" i="60"/>
  <c r="AL109" i="60"/>
  <c r="O109" i="60"/>
  <c r="EJ132" i="60"/>
  <c r="CR132" i="60"/>
  <c r="BV132" i="60"/>
  <c r="AZ132" i="60"/>
  <c r="G132" i="60"/>
  <c r="AD132" i="60"/>
  <c r="EL130" i="60"/>
  <c r="CT130" i="60"/>
  <c r="BX130" i="60"/>
  <c r="I130" i="60"/>
  <c r="AF130" i="60"/>
  <c r="BB130" i="60"/>
  <c r="BZ128" i="60"/>
  <c r="CV128" i="60"/>
  <c r="EN128" i="60"/>
  <c r="BD128" i="60"/>
  <c r="K128" i="60"/>
  <c r="AH128" i="60"/>
  <c r="EG127" i="60"/>
  <c r="CO127" i="60"/>
  <c r="AW127" i="60"/>
  <c r="D127" i="60"/>
  <c r="AA127" i="60"/>
  <c r="BS127" i="60"/>
  <c r="CQ125" i="60"/>
  <c r="EI125" i="60"/>
  <c r="AY125" i="60"/>
  <c r="BU125" i="60"/>
  <c r="F125" i="60"/>
  <c r="AC125" i="60"/>
  <c r="CS123" i="60"/>
  <c r="BW123" i="60"/>
  <c r="BA123" i="60"/>
  <c r="EK123" i="60"/>
  <c r="H123" i="60"/>
  <c r="AE123" i="60"/>
  <c r="CU121" i="60"/>
  <c r="EM121" i="60"/>
  <c r="BC121" i="60"/>
  <c r="BY121" i="60"/>
  <c r="J121" i="60"/>
  <c r="AG121" i="60"/>
  <c r="EO119" i="60"/>
  <c r="CW119" i="60"/>
  <c r="CA119" i="60"/>
  <c r="BE119" i="60"/>
  <c r="L119" i="60"/>
  <c r="AI119" i="60"/>
  <c r="CP118" i="60"/>
  <c r="EH118" i="60"/>
  <c r="AB118" i="60"/>
  <c r="AX118" i="60"/>
  <c r="BT118" i="60"/>
  <c r="E118" i="60"/>
  <c r="CR116" i="60"/>
  <c r="BV116" i="60"/>
  <c r="EJ116" i="60"/>
  <c r="AZ116" i="60"/>
  <c r="AD116" i="60"/>
  <c r="G116" i="60"/>
  <c r="EL114" i="60"/>
  <c r="CT114" i="60"/>
  <c r="AF114" i="60"/>
  <c r="BB114" i="60"/>
  <c r="BX114" i="60"/>
  <c r="I114" i="60"/>
  <c r="EN112" i="60"/>
  <c r="CV112" i="60"/>
  <c r="BZ112" i="60"/>
  <c r="BD112" i="60"/>
  <c r="AH112" i="60"/>
  <c r="K112" i="60"/>
  <c r="EG111" i="60"/>
  <c r="CO111" i="60"/>
  <c r="BS111" i="60"/>
  <c r="AW111" i="60"/>
  <c r="AA111" i="60"/>
  <c r="D111" i="60"/>
  <c r="EI109" i="60"/>
  <c r="CQ109" i="60"/>
  <c r="BU109" i="60"/>
  <c r="AY109" i="60"/>
  <c r="F109" i="60"/>
  <c r="AC109" i="60"/>
  <c r="CS107" i="60"/>
  <c r="EK107" i="60"/>
  <c r="BA107" i="60"/>
  <c r="BW107" i="60"/>
  <c r="H107" i="60"/>
  <c r="AE107" i="60"/>
  <c r="EM105" i="60"/>
  <c r="CU105" i="60"/>
  <c r="BC105" i="60"/>
  <c r="BY105" i="60"/>
  <c r="AG105" i="60"/>
  <c r="J105" i="60"/>
  <c r="EP132" i="60"/>
  <c r="CX132" i="60"/>
  <c r="CB132" i="60"/>
  <c r="M132" i="60"/>
  <c r="BF132" i="60"/>
  <c r="AJ132" i="60"/>
  <c r="EZ130" i="60"/>
  <c r="DH130" i="60"/>
  <c r="BP130" i="60"/>
  <c r="CL130" i="60"/>
  <c r="W130" i="60"/>
  <c r="AT130" i="60"/>
  <c r="CI129" i="60"/>
  <c r="DE129" i="60"/>
  <c r="EW129" i="60"/>
  <c r="BM129" i="60"/>
  <c r="AQ129" i="60"/>
  <c r="T129" i="60"/>
  <c r="DB128" i="60"/>
  <c r="ET128" i="60"/>
  <c r="CF128" i="60"/>
  <c r="BJ128" i="60"/>
  <c r="Q128" i="60"/>
  <c r="AN128" i="60"/>
  <c r="EQ127" i="60"/>
  <c r="CC127" i="60"/>
  <c r="CY127" i="60"/>
  <c r="BG127" i="60"/>
  <c r="AK127" i="60"/>
  <c r="N127" i="60"/>
  <c r="CM125" i="60"/>
  <c r="G208" i="60" s="1"/>
  <c r="DI125" i="60"/>
  <c r="H208" i="60" s="1"/>
  <c r="FA125" i="60"/>
  <c r="BQ125" i="60"/>
  <c r="F208" i="60" s="1"/>
  <c r="AU125" i="60"/>
  <c r="E208" i="60" s="1"/>
  <c r="X125" i="60"/>
  <c r="D208" i="60" s="1"/>
  <c r="DF124" i="60"/>
  <c r="CJ124" i="60"/>
  <c r="EX124" i="60"/>
  <c r="BN124" i="60"/>
  <c r="U124" i="60"/>
  <c r="AR124" i="60"/>
  <c r="EU123" i="60"/>
  <c r="CG123" i="60"/>
  <c r="BK123" i="60"/>
  <c r="DC123" i="60"/>
  <c r="AO123" i="60"/>
  <c r="R123" i="60"/>
  <c r="CZ122" i="60"/>
  <c r="ER122" i="60"/>
  <c r="CD122" i="60"/>
  <c r="O122" i="60"/>
  <c r="BH122" i="60"/>
  <c r="AL122" i="60"/>
  <c r="CK119" i="60"/>
  <c r="DG119" i="60"/>
  <c r="EY119" i="60"/>
  <c r="BO119" i="60"/>
  <c r="V119" i="60"/>
  <c r="AS119" i="60"/>
  <c r="DD118" i="60"/>
  <c r="EV118" i="60"/>
  <c r="CH118" i="60"/>
  <c r="BL118" i="60"/>
  <c r="AP118" i="60"/>
  <c r="S118" i="60"/>
  <c r="DA117" i="60"/>
  <c r="CE117" i="60"/>
  <c r="ES117" i="60"/>
  <c r="BI117" i="60"/>
  <c r="P117" i="60"/>
  <c r="AM117" i="60"/>
  <c r="CX116" i="60"/>
  <c r="EP116" i="60"/>
  <c r="CB116" i="60"/>
  <c r="BF116" i="60"/>
  <c r="AJ116" i="60"/>
  <c r="M116" i="60"/>
  <c r="DH114" i="60"/>
  <c r="EZ114" i="60"/>
  <c r="CL114" i="60"/>
  <c r="BP114" i="60"/>
  <c r="AT114" i="60"/>
  <c r="W114" i="60"/>
  <c r="CI113" i="60"/>
  <c r="DE113" i="60"/>
  <c r="EW113" i="60"/>
  <c r="BM113" i="60"/>
  <c r="T113" i="60"/>
  <c r="AQ113" i="60"/>
  <c r="DB112" i="60"/>
  <c r="ET112" i="60"/>
  <c r="CF112" i="60"/>
  <c r="BJ112" i="60"/>
  <c r="AN112" i="60"/>
  <c r="Q112" i="60"/>
  <c r="EQ111" i="60"/>
  <c r="CC111" i="60"/>
  <c r="CY111" i="60"/>
  <c r="BG111" i="60"/>
  <c r="AK111" i="60"/>
  <c r="N111" i="60"/>
  <c r="FA109" i="60"/>
  <c r="DI109" i="60"/>
  <c r="H192" i="60" s="1"/>
  <c r="CM109" i="60"/>
  <c r="G192" i="60" s="1"/>
  <c r="BQ109" i="60"/>
  <c r="F192" i="60" s="1"/>
  <c r="AU109" i="60"/>
  <c r="E192" i="60" s="1"/>
  <c r="X109" i="60"/>
  <c r="D192" i="60" s="1"/>
  <c r="DF108" i="60"/>
  <c r="EX108" i="60"/>
  <c r="CJ108" i="60"/>
  <c r="BN108" i="60"/>
  <c r="U108" i="60"/>
  <c r="AR108" i="60"/>
  <c r="EU107" i="60"/>
  <c r="DC107" i="60"/>
  <c r="CG107" i="60"/>
  <c r="BK107" i="60"/>
  <c r="AO107" i="60"/>
  <c r="R107" i="60"/>
  <c r="CZ106" i="60"/>
  <c r="ER106" i="60"/>
  <c r="CD106" i="60"/>
  <c r="AL106" i="60"/>
  <c r="O106" i="60"/>
  <c r="BH106" i="60"/>
  <c r="M120" i="60"/>
  <c r="DC133" i="60"/>
  <c r="AY133" i="60"/>
  <c r="CJ133" i="60"/>
  <c r="E120" i="60"/>
  <c r="G120" i="60"/>
  <c r="BN133" i="60"/>
  <c r="EK115" i="60"/>
  <c r="CS115" i="60"/>
  <c r="BA115" i="60"/>
  <c r="BW115" i="60"/>
  <c r="H115" i="60"/>
  <c r="AE115" i="60"/>
  <c r="DE121" i="60"/>
  <c r="EW121" i="60"/>
  <c r="CI121" i="60"/>
  <c r="BM121" i="60"/>
  <c r="T121" i="60"/>
  <c r="AQ121" i="60"/>
  <c r="CW118" i="60"/>
  <c r="CA118" i="60"/>
  <c r="EO118" i="60"/>
  <c r="BE118" i="60"/>
  <c r="L118" i="60"/>
  <c r="AI118" i="60"/>
  <c r="EW132" i="60"/>
  <c r="DE132" i="60"/>
  <c r="CI132" i="60"/>
  <c r="BM132" i="60"/>
  <c r="AQ132" i="60"/>
  <c r="T132" i="60"/>
  <c r="EP119" i="60"/>
  <c r="CB119" i="60"/>
  <c r="BF119" i="60"/>
  <c r="CX119" i="60"/>
  <c r="M119" i="60"/>
  <c r="AJ119" i="60"/>
  <c r="EU110" i="60"/>
  <c r="DC110" i="60"/>
  <c r="BK110" i="60"/>
  <c r="CG110" i="60"/>
  <c r="AO110" i="60"/>
  <c r="R110" i="60"/>
  <c r="EM128" i="60"/>
  <c r="BY128" i="60"/>
  <c r="CU128" i="60"/>
  <c r="BC128" i="60"/>
  <c r="J128" i="60"/>
  <c r="AG128" i="60"/>
  <c r="CW126" i="60"/>
  <c r="EO126" i="60"/>
  <c r="CA126" i="60"/>
  <c r="L126" i="60"/>
  <c r="BE126" i="60"/>
  <c r="AI126" i="60"/>
  <c r="EH125" i="60"/>
  <c r="CP125" i="60"/>
  <c r="AX125" i="60"/>
  <c r="BT125" i="60"/>
  <c r="AB125" i="60"/>
  <c r="E125" i="60"/>
  <c r="CR123" i="60"/>
  <c r="EJ123" i="60"/>
  <c r="BV123" i="60"/>
  <c r="AZ123" i="60"/>
  <c r="G123" i="60"/>
  <c r="AD123" i="60"/>
  <c r="EL121" i="60"/>
  <c r="CT121" i="60"/>
  <c r="BB121" i="60"/>
  <c r="BX121" i="60"/>
  <c r="AF121" i="60"/>
  <c r="I121" i="60"/>
  <c r="CV119" i="60"/>
  <c r="EN119" i="60"/>
  <c r="BZ119" i="60"/>
  <c r="BD119" i="60"/>
  <c r="K119" i="60"/>
  <c r="AH119" i="60"/>
  <c r="EG118" i="60"/>
  <c r="CO118" i="60"/>
  <c r="BS118" i="60"/>
  <c r="AA118" i="60"/>
  <c r="AW118" i="60"/>
  <c r="D118" i="60"/>
  <c r="CQ116" i="60"/>
  <c r="EI116" i="60"/>
  <c r="BU116" i="60"/>
  <c r="AY116" i="60"/>
  <c r="AC116" i="60"/>
  <c r="F116" i="60"/>
  <c r="EK114" i="60"/>
  <c r="CS114" i="60"/>
  <c r="BW114" i="60"/>
  <c r="AE114" i="60"/>
  <c r="H114" i="60"/>
  <c r="BA114" i="60"/>
  <c r="EM112" i="60"/>
  <c r="BY112" i="60"/>
  <c r="CU112" i="60"/>
  <c r="BC112" i="60"/>
  <c r="AG112" i="60"/>
  <c r="J112" i="60"/>
  <c r="CW110" i="60"/>
  <c r="EO110" i="60"/>
  <c r="CA110" i="60"/>
  <c r="BE110" i="60"/>
  <c r="L110" i="60"/>
  <c r="AI110" i="60"/>
  <c r="EH109" i="60"/>
  <c r="CP109" i="60"/>
  <c r="BT109" i="60"/>
  <c r="AB109" i="60"/>
  <c r="AX109" i="60"/>
  <c r="E109" i="60"/>
  <c r="CR107" i="60"/>
  <c r="EJ107" i="60"/>
  <c r="AZ107" i="60"/>
  <c r="BV107" i="60"/>
  <c r="G107" i="60"/>
  <c r="AD107" i="60"/>
  <c r="EL105" i="60"/>
  <c r="CT105" i="60"/>
  <c r="BB105" i="60"/>
  <c r="BX105" i="60"/>
  <c r="AF105" i="60"/>
  <c r="I105" i="60"/>
  <c r="EY130" i="60"/>
  <c r="DG130" i="60"/>
  <c r="CK130" i="60"/>
  <c r="V130" i="60"/>
  <c r="AS130" i="60"/>
  <c r="BO130" i="60"/>
  <c r="DD129" i="60"/>
  <c r="EV129" i="60"/>
  <c r="BL129" i="60"/>
  <c r="CH129" i="60"/>
  <c r="AP129" i="60"/>
  <c r="S129" i="60"/>
  <c r="ES128" i="60"/>
  <c r="DA128" i="60"/>
  <c r="CE128" i="60"/>
  <c r="BI128" i="60"/>
  <c r="P128" i="60"/>
  <c r="AM128" i="60"/>
  <c r="EP127" i="60"/>
  <c r="BF127" i="60"/>
  <c r="CB127" i="60"/>
  <c r="AJ127" i="60"/>
  <c r="CX127" i="60"/>
  <c r="M127" i="60"/>
  <c r="DH125" i="60"/>
  <c r="EZ125" i="60"/>
  <c r="CL125" i="60"/>
  <c r="BP125" i="60"/>
  <c r="AT125" i="60"/>
  <c r="W125" i="60"/>
  <c r="DE124" i="60"/>
  <c r="CI124" i="60"/>
  <c r="EW124" i="60"/>
  <c r="BM124" i="60"/>
  <c r="T124" i="60"/>
  <c r="AQ124" i="60"/>
  <c r="ET123" i="60"/>
  <c r="DB123" i="60"/>
  <c r="BJ123" i="60"/>
  <c r="AN123" i="60"/>
  <c r="CF123" i="60"/>
  <c r="Q123" i="60"/>
  <c r="CY122" i="60"/>
  <c r="EQ122" i="60"/>
  <c r="CC122" i="60"/>
  <c r="BG122" i="60"/>
  <c r="N122" i="60"/>
  <c r="AK122" i="60"/>
  <c r="DI120" i="60"/>
  <c r="FA120" i="60"/>
  <c r="CM120" i="60"/>
  <c r="BQ120" i="60"/>
  <c r="X120" i="60"/>
  <c r="AU120" i="60"/>
  <c r="EX119" i="60"/>
  <c r="DF119" i="60"/>
  <c r="BN119" i="60"/>
  <c r="CJ119" i="60"/>
  <c r="U119" i="60"/>
  <c r="AR119" i="60"/>
  <c r="EU118" i="60"/>
  <c r="DC118" i="60"/>
  <c r="CG118" i="60"/>
  <c r="BK118" i="60"/>
  <c r="AO118" i="60"/>
  <c r="R118" i="60"/>
  <c r="CZ117" i="60"/>
  <c r="ER117" i="60"/>
  <c r="BH117" i="60"/>
  <c r="CD117" i="60"/>
  <c r="O117" i="60"/>
  <c r="AL117" i="60"/>
  <c r="EY114" i="60"/>
  <c r="DG114" i="60"/>
  <c r="CK114" i="60"/>
  <c r="BO114" i="60"/>
  <c r="V114" i="60"/>
  <c r="AS114" i="60"/>
  <c r="DD113" i="60"/>
  <c r="EV113" i="60"/>
  <c r="BL113" i="60"/>
  <c r="CH113" i="60"/>
  <c r="S113" i="60"/>
  <c r="AP113" i="60"/>
  <c r="ES112" i="60"/>
  <c r="DA112" i="60"/>
  <c r="CE112" i="60"/>
  <c r="BI112" i="60"/>
  <c r="AM112" i="60"/>
  <c r="P112" i="60"/>
  <c r="BF111" i="60"/>
  <c r="EP111" i="60"/>
  <c r="CX111" i="60"/>
  <c r="AJ111" i="60"/>
  <c r="CB111" i="60"/>
  <c r="M111" i="60"/>
  <c r="EZ109" i="60"/>
  <c r="DH109" i="60"/>
  <c r="BP109" i="60"/>
  <c r="AT109" i="60"/>
  <c r="CL109" i="60"/>
  <c r="W109" i="60"/>
  <c r="DE108" i="60"/>
  <c r="EW108" i="60"/>
  <c r="CI108" i="60"/>
  <c r="BM108" i="60"/>
  <c r="T108" i="60"/>
  <c r="AQ108" i="60"/>
  <c r="ET107" i="60"/>
  <c r="DB107" i="60"/>
  <c r="BJ107" i="60"/>
  <c r="CF107" i="60"/>
  <c r="AN107" i="60"/>
  <c r="Q107" i="60"/>
  <c r="CY106" i="60"/>
  <c r="CC106" i="60"/>
  <c r="EQ106" i="60"/>
  <c r="BG106" i="60"/>
  <c r="AK106" i="60"/>
  <c r="N106" i="60"/>
  <c r="AO133" i="60"/>
  <c r="AD133" i="60"/>
  <c r="U133" i="60"/>
  <c r="AK133" i="60"/>
  <c r="EJ131" i="60"/>
  <c r="CR131" i="60"/>
  <c r="AZ131" i="60"/>
  <c r="BV131" i="60"/>
  <c r="AD131" i="60"/>
  <c r="G131" i="60"/>
  <c r="EL113" i="60"/>
  <c r="CT113" i="60"/>
  <c r="BX113" i="60"/>
  <c r="BB113" i="60"/>
  <c r="AF113" i="60"/>
  <c r="I113" i="60"/>
  <c r="EY122" i="60"/>
  <c r="DG122" i="60"/>
  <c r="CK122" i="60"/>
  <c r="BO122" i="60"/>
  <c r="AS122" i="60"/>
  <c r="V122" i="60"/>
  <c r="CY114" i="60"/>
  <c r="EQ114" i="60"/>
  <c r="CC114" i="60"/>
  <c r="BG114" i="60"/>
  <c r="N114" i="60"/>
  <c r="AK114" i="60"/>
  <c r="CR130" i="60"/>
  <c r="EJ130" i="60"/>
  <c r="BV130" i="60"/>
  <c r="G130" i="60"/>
  <c r="AD130" i="60"/>
  <c r="AZ130" i="60"/>
  <c r="EG125" i="60"/>
  <c r="CO125" i="60"/>
  <c r="AW125" i="60"/>
  <c r="BS125" i="60"/>
  <c r="D125" i="60"/>
  <c r="AA125" i="60"/>
  <c r="EI123" i="60"/>
  <c r="CQ123" i="60"/>
  <c r="BU123" i="60"/>
  <c r="AY123" i="60"/>
  <c r="F123" i="60"/>
  <c r="AC123" i="60"/>
  <c r="CP116" i="60"/>
  <c r="EH116" i="60"/>
  <c r="BT116" i="60"/>
  <c r="AX116" i="60"/>
  <c r="AB116" i="60"/>
  <c r="E116" i="60"/>
  <c r="CR114" i="60"/>
  <c r="EJ114" i="60"/>
  <c r="BV114" i="60"/>
  <c r="AZ114" i="60"/>
  <c r="AD114" i="60"/>
  <c r="G114" i="60"/>
  <c r="BX112" i="60"/>
  <c r="CT112" i="60"/>
  <c r="EL112" i="60"/>
  <c r="BB112" i="60"/>
  <c r="AF112" i="60"/>
  <c r="I112" i="60"/>
  <c r="CV110" i="60"/>
  <c r="EN110" i="60"/>
  <c r="BZ110" i="60"/>
  <c r="BD110" i="60"/>
  <c r="K110" i="60"/>
  <c r="AH110" i="60"/>
  <c r="EG109" i="60"/>
  <c r="BS109" i="60"/>
  <c r="CO109" i="60"/>
  <c r="AA109" i="60"/>
  <c r="AW109" i="60"/>
  <c r="D109" i="60"/>
  <c r="EI107" i="60"/>
  <c r="CQ107" i="60"/>
  <c r="AY107" i="60"/>
  <c r="BU107" i="60"/>
  <c r="F107" i="60"/>
  <c r="AC107" i="60"/>
  <c r="EK105" i="60"/>
  <c r="CS105" i="60"/>
  <c r="BA105" i="60"/>
  <c r="BW105" i="60"/>
  <c r="AE105" i="60"/>
  <c r="H105" i="60"/>
  <c r="FA131" i="60"/>
  <c r="CM131" i="60"/>
  <c r="G214" i="60" s="1"/>
  <c r="BQ131" i="60"/>
  <c r="F214" i="60" s="1"/>
  <c r="DI131" i="60"/>
  <c r="H214" i="60" s="1"/>
  <c r="AU131" i="60"/>
  <c r="E214" i="60" s="1"/>
  <c r="X131" i="60"/>
  <c r="D214" i="60" s="1"/>
  <c r="EX130" i="60"/>
  <c r="DF130" i="60"/>
  <c r="BN130" i="60"/>
  <c r="CJ130" i="60"/>
  <c r="U130" i="60"/>
  <c r="AR130" i="60"/>
  <c r="DC129" i="60"/>
  <c r="BK129" i="60"/>
  <c r="EU129" i="60"/>
  <c r="CG129" i="60"/>
  <c r="R129" i="60"/>
  <c r="AO129" i="60"/>
  <c r="ER128" i="60"/>
  <c r="CZ128" i="60"/>
  <c r="CD128" i="60"/>
  <c r="BH128" i="60"/>
  <c r="O128" i="60"/>
  <c r="AL128" i="60"/>
  <c r="EY125" i="60"/>
  <c r="DG125" i="60"/>
  <c r="BO125" i="60"/>
  <c r="CK125" i="60"/>
  <c r="V125" i="60"/>
  <c r="AS125" i="60"/>
  <c r="EV124" i="60"/>
  <c r="DD124" i="60"/>
  <c r="BL124" i="60"/>
  <c r="S124" i="60"/>
  <c r="CH124" i="60"/>
  <c r="AP124" i="60"/>
  <c r="ES123" i="60"/>
  <c r="DA123" i="60"/>
  <c r="BI123" i="60"/>
  <c r="CE123" i="60"/>
  <c r="P123" i="60"/>
  <c r="AM123" i="60"/>
  <c r="EP122" i="60"/>
  <c r="CX122" i="60"/>
  <c r="BF122" i="60"/>
  <c r="CB122" i="60"/>
  <c r="M122" i="60"/>
  <c r="AJ122" i="60"/>
  <c r="DH120" i="60"/>
  <c r="EZ120" i="60"/>
  <c r="CL120" i="60"/>
  <c r="BP120" i="60"/>
  <c r="AT120" i="60"/>
  <c r="EW119" i="60"/>
  <c r="DE119" i="60"/>
  <c r="BM119" i="60"/>
  <c r="CI119" i="60"/>
  <c r="T119" i="60"/>
  <c r="AQ119" i="60"/>
  <c r="DB118" i="60"/>
  <c r="CF118" i="60"/>
  <c r="ET118" i="60"/>
  <c r="BJ118" i="60"/>
  <c r="Q118" i="60"/>
  <c r="AN118" i="60"/>
  <c r="CY117" i="60"/>
  <c r="EQ117" i="60"/>
  <c r="BG117" i="60"/>
  <c r="CC117" i="60"/>
  <c r="N117" i="60"/>
  <c r="AK117" i="60"/>
  <c r="DI115" i="60"/>
  <c r="H198" i="60" s="1"/>
  <c r="FA115" i="60"/>
  <c r="CM115" i="60"/>
  <c r="G198" i="60" s="1"/>
  <c r="BQ115" i="60"/>
  <c r="F198" i="60" s="1"/>
  <c r="AU115" i="60"/>
  <c r="E198" i="60" s="1"/>
  <c r="X115" i="60"/>
  <c r="D198" i="60" s="1"/>
  <c r="DF114" i="60"/>
  <c r="EX114" i="60"/>
  <c r="CJ114" i="60"/>
  <c r="BN114" i="60"/>
  <c r="U114" i="60"/>
  <c r="AR114" i="60"/>
  <c r="DC113" i="60"/>
  <c r="EU113" i="60"/>
  <c r="BK113" i="60"/>
  <c r="CG113" i="60"/>
  <c r="R113" i="60"/>
  <c r="AO113" i="60"/>
  <c r="ER112" i="60"/>
  <c r="CZ112" i="60"/>
  <c r="CD112" i="60"/>
  <c r="BH112" i="60"/>
  <c r="AL112" i="60"/>
  <c r="O112" i="60"/>
  <c r="EY109" i="60"/>
  <c r="DG109" i="60"/>
  <c r="BO109" i="60"/>
  <c r="CK109" i="60"/>
  <c r="V109" i="60"/>
  <c r="AS109" i="60"/>
  <c r="DD108" i="60"/>
  <c r="EV108" i="60"/>
  <c r="BL108" i="60"/>
  <c r="S108" i="60"/>
  <c r="AP108" i="60"/>
  <c r="CH108" i="60"/>
  <c r="ES107" i="60"/>
  <c r="CE107" i="60"/>
  <c r="BI107" i="60"/>
  <c r="P107" i="60"/>
  <c r="DA107" i="60"/>
  <c r="AM107" i="60"/>
  <c r="EP106" i="60"/>
  <c r="CX106" i="60"/>
  <c r="CB106" i="60"/>
  <c r="BF106" i="60"/>
  <c r="AJ106" i="60"/>
  <c r="M106" i="60"/>
  <c r="CR133" i="60"/>
  <c r="I133" i="60"/>
  <c r="I120" i="60"/>
  <c r="AZ133" i="60"/>
  <c r="BZ133" i="60"/>
  <c r="P133" i="60"/>
  <c r="T133" i="60"/>
  <c r="EK131" i="60"/>
  <c r="BA131" i="60"/>
  <c r="BW131" i="60"/>
  <c r="CS131" i="60"/>
  <c r="H131" i="60"/>
  <c r="AE131" i="60"/>
  <c r="DI117" i="60"/>
  <c r="H200" i="60" s="1"/>
  <c r="FA117" i="60"/>
  <c r="CM117" i="60"/>
  <c r="G200" i="60" s="1"/>
  <c r="BQ117" i="60"/>
  <c r="F200" i="60" s="1"/>
  <c r="AU117" i="60"/>
  <c r="E200" i="60" s="1"/>
  <c r="X117" i="60"/>
  <c r="D200" i="60" s="1"/>
  <c r="EK122" i="60"/>
  <c r="BW122" i="60"/>
  <c r="CS122" i="60"/>
  <c r="BA122" i="60"/>
  <c r="H122" i="60"/>
  <c r="AE122" i="60"/>
  <c r="EH132" i="60"/>
  <c r="CP132" i="60"/>
  <c r="BT132" i="60"/>
  <c r="AX132" i="60"/>
  <c r="AB132" i="60"/>
  <c r="E132" i="60"/>
  <c r="EO117" i="60"/>
  <c r="CW117" i="60"/>
  <c r="CA117" i="60"/>
  <c r="BE117" i="60"/>
  <c r="AI117" i="60"/>
  <c r="L117" i="60"/>
  <c r="EG132" i="60"/>
  <c r="CO132" i="60"/>
  <c r="BS132" i="60"/>
  <c r="AW132" i="60"/>
  <c r="AA132" i="60"/>
  <c r="D132" i="60"/>
  <c r="CQ130" i="60"/>
  <c r="EI130" i="60"/>
  <c r="BU130" i="60"/>
  <c r="F130" i="60"/>
  <c r="AC130" i="60"/>
  <c r="AY130" i="60"/>
  <c r="EK128" i="60"/>
  <c r="CS128" i="60"/>
  <c r="BW128" i="60"/>
  <c r="BA128" i="60"/>
  <c r="AE128" i="60"/>
  <c r="H128" i="60"/>
  <c r="CU126" i="60"/>
  <c r="EM126" i="60"/>
  <c r="BY126" i="60"/>
  <c r="BC126" i="60"/>
  <c r="J126" i="60"/>
  <c r="AG126" i="60"/>
  <c r="EO124" i="60"/>
  <c r="CW124" i="60"/>
  <c r="BE124" i="60"/>
  <c r="CA124" i="60"/>
  <c r="AI124" i="60"/>
  <c r="L124" i="60"/>
  <c r="EH123" i="60"/>
  <c r="CP123" i="60"/>
  <c r="BT123" i="60"/>
  <c r="AX123" i="60"/>
  <c r="E123" i="60"/>
  <c r="AB123" i="60"/>
  <c r="EJ121" i="60"/>
  <c r="CR121" i="60"/>
  <c r="AZ121" i="60"/>
  <c r="BV121" i="60"/>
  <c r="G121" i="60"/>
  <c r="AD121" i="60"/>
  <c r="EL119" i="60"/>
  <c r="CT119" i="60"/>
  <c r="BB119" i="60"/>
  <c r="I119" i="60"/>
  <c r="AF119" i="60"/>
  <c r="BX119" i="60"/>
  <c r="EN117" i="60"/>
  <c r="CV117" i="60"/>
  <c r="BD117" i="60"/>
  <c r="BZ117" i="60"/>
  <c r="AH117" i="60"/>
  <c r="K117" i="60"/>
  <c r="EG116" i="60"/>
  <c r="BS116" i="60"/>
  <c r="AW116" i="60"/>
  <c r="CO116" i="60"/>
  <c r="AA116" i="60"/>
  <c r="D116" i="60"/>
  <c r="EI114" i="60"/>
  <c r="CQ114" i="60"/>
  <c r="BU114" i="60"/>
  <c r="AY114" i="60"/>
  <c r="AC114" i="60"/>
  <c r="F114" i="60"/>
  <c r="EK112" i="60"/>
  <c r="CS112" i="60"/>
  <c r="BA112" i="60"/>
  <c r="BW112" i="60"/>
  <c r="AE112" i="60"/>
  <c r="H112" i="60"/>
  <c r="EM110" i="60"/>
  <c r="BY110" i="60"/>
  <c r="CU110" i="60"/>
  <c r="BC110" i="60"/>
  <c r="J110" i="60"/>
  <c r="AG110" i="60"/>
  <c r="EO108" i="60"/>
  <c r="BE108" i="60"/>
  <c r="CW108" i="60"/>
  <c r="AI108" i="60"/>
  <c r="CA108" i="60"/>
  <c r="L108" i="60"/>
  <c r="EH107" i="60"/>
  <c r="CP107" i="60"/>
  <c r="AX107" i="60"/>
  <c r="BT107" i="60"/>
  <c r="E107" i="60"/>
  <c r="AB107" i="60"/>
  <c r="EJ105" i="60"/>
  <c r="AZ105" i="60"/>
  <c r="BV105" i="60"/>
  <c r="CR105" i="60"/>
  <c r="G105" i="60"/>
  <c r="AD105" i="60"/>
  <c r="EZ131" i="60"/>
  <c r="DH131" i="60"/>
  <c r="CL131" i="60"/>
  <c r="BP131" i="60"/>
  <c r="AT131" i="60"/>
  <c r="W131" i="60"/>
  <c r="EW130" i="60"/>
  <c r="DE130" i="60"/>
  <c r="BM130" i="60"/>
  <c r="CI130" i="60"/>
  <c r="T130" i="60"/>
  <c r="AQ130" i="60"/>
  <c r="DB129" i="60"/>
  <c r="ET129" i="60"/>
  <c r="BJ129" i="60"/>
  <c r="CF129" i="60"/>
  <c r="AN129" i="60"/>
  <c r="Q129" i="60"/>
  <c r="CY128" i="60"/>
  <c r="EQ128" i="60"/>
  <c r="CC128" i="60"/>
  <c r="BG128" i="60"/>
  <c r="N128" i="60"/>
  <c r="AK128" i="60"/>
  <c r="FA126" i="60"/>
  <c r="DI126" i="60"/>
  <c r="H209" i="60" s="1"/>
  <c r="BQ126" i="60"/>
  <c r="F209" i="60" s="1"/>
  <c r="X126" i="60"/>
  <c r="D209" i="60" s="1"/>
  <c r="AU126" i="60"/>
  <c r="E209" i="60" s="1"/>
  <c r="CM126" i="60"/>
  <c r="G209" i="60" s="1"/>
  <c r="EX125" i="60"/>
  <c r="DF125" i="60"/>
  <c r="BN125" i="60"/>
  <c r="CJ125" i="60"/>
  <c r="AR125" i="60"/>
  <c r="U125" i="60"/>
  <c r="DC124" i="60"/>
  <c r="EU124" i="60"/>
  <c r="BK124" i="60"/>
  <c r="CG124" i="60"/>
  <c r="R124" i="60"/>
  <c r="AO124" i="60"/>
  <c r="ER123" i="60"/>
  <c r="CZ123" i="60"/>
  <c r="BH123" i="60"/>
  <c r="CD123" i="60"/>
  <c r="AL123" i="60"/>
  <c r="O123" i="60"/>
  <c r="DG120" i="60"/>
  <c r="EY120" i="60"/>
  <c r="CK120" i="60"/>
  <c r="BO120" i="60"/>
  <c r="AS120" i="60"/>
  <c r="EV119" i="60"/>
  <c r="DD119" i="60"/>
  <c r="BL119" i="60"/>
  <c r="AP119" i="60"/>
  <c r="CH119" i="60"/>
  <c r="S119" i="60"/>
  <c r="ES118" i="60"/>
  <c r="DA118" i="60"/>
  <c r="CE118" i="60"/>
  <c r="BI118" i="60"/>
  <c r="P118" i="60"/>
  <c r="AM118" i="60"/>
  <c r="CX117" i="60"/>
  <c r="EP117" i="60"/>
  <c r="BF117" i="60"/>
  <c r="AJ117" i="60"/>
  <c r="CB117" i="60"/>
  <c r="M117" i="60"/>
  <c r="EZ115" i="60"/>
  <c r="DH115" i="60"/>
  <c r="CL115" i="60"/>
  <c r="BP115" i="60"/>
  <c r="AT115" i="60"/>
  <c r="W115" i="60"/>
  <c r="EW114" i="60"/>
  <c r="DE114" i="60"/>
  <c r="CI114" i="60"/>
  <c r="BM114" i="60"/>
  <c r="T114" i="60"/>
  <c r="AQ114" i="60"/>
  <c r="DB113" i="60"/>
  <c r="ET113" i="60"/>
  <c r="BJ113" i="60"/>
  <c r="AN113" i="60"/>
  <c r="CF113" i="60"/>
  <c r="Q113" i="60"/>
  <c r="EQ112" i="60"/>
  <c r="CY112" i="60"/>
  <c r="CC112" i="60"/>
  <c r="BG112" i="60"/>
  <c r="AK112" i="60"/>
  <c r="N112" i="60"/>
  <c r="FA110" i="60"/>
  <c r="DI110" i="60"/>
  <c r="H193" i="60" s="1"/>
  <c r="CM110" i="60"/>
  <c r="G193" i="60" s="1"/>
  <c r="BQ110" i="60"/>
  <c r="F193" i="60" s="1"/>
  <c r="AU110" i="60"/>
  <c r="E193" i="60" s="1"/>
  <c r="X110" i="60"/>
  <c r="D193" i="60" s="1"/>
  <c r="EX109" i="60"/>
  <c r="DF109" i="60"/>
  <c r="AR109" i="60"/>
  <c r="BN109" i="60"/>
  <c r="CJ109" i="60"/>
  <c r="U109" i="60"/>
  <c r="EU108" i="60"/>
  <c r="BK108" i="60"/>
  <c r="CG108" i="60"/>
  <c r="DC108" i="60"/>
  <c r="R108" i="60"/>
  <c r="AO108" i="60"/>
  <c r="ER107" i="60"/>
  <c r="CZ107" i="60"/>
  <c r="BH107" i="60"/>
  <c r="AL107" i="60"/>
  <c r="CD107" i="60"/>
  <c r="O107" i="60"/>
  <c r="CT133" i="60"/>
  <c r="AF133" i="60"/>
  <c r="CY133" i="60"/>
  <c r="BV133" i="60"/>
  <c r="H120" i="60"/>
  <c r="K120" i="60"/>
  <c r="EJ124" i="60"/>
  <c r="CR124" i="60"/>
  <c r="BV124" i="60"/>
  <c r="AZ124" i="60"/>
  <c r="G124" i="60"/>
  <c r="AD124" i="60"/>
  <c r="EJ108" i="60"/>
  <c r="CR108" i="60"/>
  <c r="AD108" i="60"/>
  <c r="BV108" i="60"/>
  <c r="AZ108" i="60"/>
  <c r="G108" i="60"/>
  <c r="CB124" i="60"/>
  <c r="EP124" i="60"/>
  <c r="CX124" i="60"/>
  <c r="BF124" i="60"/>
  <c r="AJ124" i="60"/>
  <c r="M124" i="60"/>
  <c r="DG111" i="60"/>
  <c r="EY111" i="60"/>
  <c r="CK111" i="60"/>
  <c r="BO111" i="60"/>
  <c r="V111" i="60"/>
  <c r="AS111" i="60"/>
  <c r="DE105" i="60"/>
  <c r="CI105" i="60"/>
  <c r="EW105" i="60"/>
  <c r="T105" i="60"/>
  <c r="AQ105" i="60"/>
  <c r="BM105" i="60"/>
  <c r="EM120" i="60"/>
  <c r="CU120" i="60"/>
  <c r="BY120" i="60"/>
  <c r="BC120" i="60"/>
  <c r="AG120" i="60"/>
  <c r="CZ125" i="60"/>
  <c r="ER125" i="60"/>
  <c r="CD125" i="60"/>
  <c r="BH125" i="60"/>
  <c r="O125" i="60"/>
  <c r="AL125" i="60"/>
  <c r="BU133" i="60"/>
  <c r="EK130" i="60"/>
  <c r="CS130" i="60"/>
  <c r="BW130" i="60"/>
  <c r="H130" i="60"/>
  <c r="AE130" i="60"/>
  <c r="BA130" i="60"/>
  <c r="EL128" i="60"/>
  <c r="BX128" i="60"/>
  <c r="CT128" i="60"/>
  <c r="BB128" i="60"/>
  <c r="AF128" i="60"/>
  <c r="I128" i="60"/>
  <c r="EM119" i="60"/>
  <c r="CU119" i="60"/>
  <c r="BC119" i="60"/>
  <c r="J119" i="60"/>
  <c r="AG119" i="60"/>
  <c r="BY119" i="60"/>
  <c r="CW131" i="60"/>
  <c r="CA131" i="60"/>
  <c r="EO131" i="60"/>
  <c r="BE131" i="60"/>
  <c r="L131" i="60"/>
  <c r="AI131" i="60"/>
  <c r="EH130" i="60"/>
  <c r="CP130" i="60"/>
  <c r="BT130" i="60"/>
  <c r="AX130" i="60"/>
  <c r="E130" i="60"/>
  <c r="AB130" i="60"/>
  <c r="CR128" i="60"/>
  <c r="EJ128" i="60"/>
  <c r="BV128" i="60"/>
  <c r="AZ128" i="60"/>
  <c r="G128" i="60"/>
  <c r="AD128" i="60"/>
  <c r="EL126" i="60"/>
  <c r="CT126" i="60"/>
  <c r="BX126" i="60"/>
  <c r="BB126" i="60"/>
  <c r="I126" i="60"/>
  <c r="AF126" i="60"/>
  <c r="CV124" i="60"/>
  <c r="EN124" i="60"/>
  <c r="BD124" i="60"/>
  <c r="BZ124" i="60"/>
  <c r="K124" i="60"/>
  <c r="AH124" i="60"/>
  <c r="EG123" i="60"/>
  <c r="CO123" i="60"/>
  <c r="BS123" i="60"/>
  <c r="AW123" i="60"/>
  <c r="D123" i="60"/>
  <c r="AA123" i="60"/>
  <c r="CQ121" i="60"/>
  <c r="EI121" i="60"/>
  <c r="BU121" i="60"/>
  <c r="AY121" i="60"/>
  <c r="F121" i="60"/>
  <c r="AC121" i="60"/>
  <c r="CS119" i="60"/>
  <c r="BW119" i="60"/>
  <c r="EK119" i="60"/>
  <c r="BA119" i="60"/>
  <c r="H119" i="60"/>
  <c r="AE119" i="60"/>
  <c r="EM117" i="60"/>
  <c r="AG117" i="60"/>
  <c r="BY117" i="60"/>
  <c r="CU117" i="60"/>
  <c r="BC117" i="60"/>
  <c r="J117" i="60"/>
  <c r="EO115" i="60"/>
  <c r="CA115" i="60"/>
  <c r="CW115" i="60"/>
  <c r="BE115" i="60"/>
  <c r="L115" i="60"/>
  <c r="AI115" i="60"/>
  <c r="EH114" i="60"/>
  <c r="CP114" i="60"/>
  <c r="AX114" i="60"/>
  <c r="BT114" i="60"/>
  <c r="AB114" i="60"/>
  <c r="E114" i="60"/>
  <c r="CR112" i="60"/>
  <c r="EJ112" i="60"/>
  <c r="AZ112" i="60"/>
  <c r="BV112" i="60"/>
  <c r="AD112" i="60"/>
  <c r="G112" i="60"/>
  <c r="CT110" i="60"/>
  <c r="EL110" i="60"/>
  <c r="BX110" i="60"/>
  <c r="BB110" i="60"/>
  <c r="I110" i="60"/>
  <c r="AF110" i="60"/>
  <c r="EN108" i="60"/>
  <c r="CV108" i="60"/>
  <c r="BZ108" i="60"/>
  <c r="K108" i="60"/>
  <c r="BD108" i="60"/>
  <c r="AH108" i="60"/>
  <c r="CO107" i="60"/>
  <c r="EG107" i="60"/>
  <c r="BS107" i="60"/>
  <c r="AW107" i="60"/>
  <c r="AA107" i="60"/>
  <c r="D107" i="60"/>
  <c r="EI105" i="60"/>
  <c r="CQ105" i="60"/>
  <c r="BU105" i="60"/>
  <c r="AY105" i="60"/>
  <c r="F105" i="60"/>
  <c r="AC105" i="60"/>
  <c r="EY131" i="60"/>
  <c r="DG131" i="60"/>
  <c r="CK131" i="60"/>
  <c r="BO131" i="60"/>
  <c r="AS131" i="60"/>
  <c r="V131" i="60"/>
  <c r="EV130" i="60"/>
  <c r="DD130" i="60"/>
  <c r="BL130" i="60"/>
  <c r="CH130" i="60"/>
  <c r="S130" i="60"/>
  <c r="AP130" i="60"/>
  <c r="ES129" i="60"/>
  <c r="DA129" i="60"/>
  <c r="BI129" i="60"/>
  <c r="CE129" i="60"/>
  <c r="P129" i="60"/>
  <c r="AM129" i="60"/>
  <c r="EP128" i="60"/>
  <c r="CX128" i="60"/>
  <c r="CB128" i="60"/>
  <c r="BF128" i="60"/>
  <c r="M128" i="60"/>
  <c r="AJ128" i="60"/>
  <c r="EZ126" i="60"/>
  <c r="DH126" i="60"/>
  <c r="BP126" i="60"/>
  <c r="CL126" i="60"/>
  <c r="W126" i="60"/>
  <c r="AT126" i="60"/>
  <c r="EW125" i="60"/>
  <c r="BM125" i="60"/>
  <c r="DE125" i="60"/>
  <c r="CI125" i="60"/>
  <c r="T125" i="60"/>
  <c r="AQ125" i="60"/>
  <c r="ET124" i="60"/>
  <c r="DB124" i="60"/>
  <c r="BJ124" i="60"/>
  <c r="CF124" i="60"/>
  <c r="Q124" i="60"/>
  <c r="AN124" i="60"/>
  <c r="CY123" i="60"/>
  <c r="EQ123" i="60"/>
  <c r="BG123" i="60"/>
  <c r="CC123" i="60"/>
  <c r="N123" i="60"/>
  <c r="AK123" i="60"/>
  <c r="FA121" i="60"/>
  <c r="DI121" i="60"/>
  <c r="H204" i="60" s="1"/>
  <c r="BQ121" i="60"/>
  <c r="F204" i="60" s="1"/>
  <c r="CM121" i="60"/>
  <c r="G204" i="60" s="1"/>
  <c r="X121" i="60"/>
  <c r="D204" i="60" s="1"/>
  <c r="AU121" i="60"/>
  <c r="E204" i="60" s="1"/>
  <c r="EX120" i="60"/>
  <c r="DF120" i="60"/>
  <c r="CJ120" i="60"/>
  <c r="BN120" i="60"/>
  <c r="AR120" i="60"/>
  <c r="DC119" i="60"/>
  <c r="EU119" i="60"/>
  <c r="BK119" i="60"/>
  <c r="AO119" i="60"/>
  <c r="CG119" i="60"/>
  <c r="R119" i="60"/>
  <c r="ER118" i="60"/>
  <c r="CZ118" i="60"/>
  <c r="CD118" i="60"/>
  <c r="BH118" i="60"/>
  <c r="O118" i="60"/>
  <c r="AL118" i="60"/>
  <c r="EY115" i="60"/>
  <c r="DG115" i="60"/>
  <c r="CK115" i="60"/>
  <c r="BO115" i="60"/>
  <c r="AS115" i="60"/>
  <c r="V115" i="60"/>
  <c r="EV114" i="60"/>
  <c r="CH114" i="60"/>
  <c r="DD114" i="60"/>
  <c r="BL114" i="60"/>
  <c r="S114" i="60"/>
  <c r="AP114" i="60"/>
  <c r="ES113" i="60"/>
  <c r="DA113" i="60"/>
  <c r="CE113" i="60"/>
  <c r="BI113" i="60"/>
  <c r="AM113" i="60"/>
  <c r="P113" i="60"/>
  <c r="EP112" i="60"/>
  <c r="CX112" i="60"/>
  <c r="CB112" i="60"/>
  <c r="BF112" i="60"/>
  <c r="AJ112" i="60"/>
  <c r="M112" i="60"/>
  <c r="EZ110" i="60"/>
  <c r="DH110" i="60"/>
  <c r="CL110" i="60"/>
  <c r="BP110" i="60"/>
  <c r="AT110" i="60"/>
  <c r="W110" i="60"/>
  <c r="EW109" i="60"/>
  <c r="DE109" i="60"/>
  <c r="CI109" i="60"/>
  <c r="AQ109" i="60"/>
  <c r="BM109" i="60"/>
  <c r="T109" i="60"/>
  <c r="ET108" i="60"/>
  <c r="DB108" i="60"/>
  <c r="BJ108" i="60"/>
  <c r="CF108" i="60"/>
  <c r="Q108" i="60"/>
  <c r="AN108" i="60"/>
  <c r="EQ107" i="60"/>
  <c r="CY107" i="60"/>
  <c r="CC107" i="60"/>
  <c r="AK107" i="60"/>
  <c r="BG107" i="60"/>
  <c r="N107" i="60"/>
  <c r="FA105" i="60"/>
  <c r="DI105" i="60"/>
  <c r="H188" i="60" s="1"/>
  <c r="BQ105" i="60"/>
  <c r="F188" i="60" s="1"/>
  <c r="CM105" i="60"/>
  <c r="G188" i="60" s="1"/>
  <c r="AU105" i="60"/>
  <c r="E188" i="60" s="1"/>
  <c r="X105" i="60"/>
  <c r="D188" i="60" s="1"/>
  <c r="BK133" i="60"/>
  <c r="K133" i="60"/>
  <c r="BS133" i="60"/>
  <c r="BG133" i="60"/>
  <c r="G133" i="60"/>
  <c r="CU133" i="60"/>
  <c r="CX133" i="60"/>
  <c r="EH110" i="60"/>
  <c r="BT110" i="60"/>
  <c r="CP110" i="60"/>
  <c r="AB110" i="60"/>
  <c r="AX110" i="60"/>
  <c r="E110" i="60"/>
  <c r="DA125" i="60"/>
  <c r="ES125" i="60"/>
  <c r="CE125" i="60"/>
  <c r="BI125" i="60"/>
  <c r="P125" i="60"/>
  <c r="AM125" i="60"/>
  <c r="EZ106" i="60"/>
  <c r="DH106" i="60"/>
  <c r="CL106" i="60"/>
  <c r="BP106" i="60"/>
  <c r="AT106" i="60"/>
  <c r="W106" i="60"/>
  <c r="CT129" i="60"/>
  <c r="EL129" i="60"/>
  <c r="BX129" i="60"/>
  <c r="BB129" i="60"/>
  <c r="I129" i="60"/>
  <c r="AF129" i="60"/>
  <c r="CY130" i="60"/>
  <c r="EQ130" i="60"/>
  <c r="BG130" i="60"/>
  <c r="CC130" i="60"/>
  <c r="AK130" i="60"/>
  <c r="N130" i="60"/>
  <c r="EI132" i="60"/>
  <c r="CQ132" i="60"/>
  <c r="BU132" i="60"/>
  <c r="AY132" i="60"/>
  <c r="F132" i="60"/>
  <c r="AC132" i="60"/>
  <c r="CV126" i="60"/>
  <c r="EN126" i="60"/>
  <c r="BZ126" i="60"/>
  <c r="K126" i="60"/>
  <c r="BD126" i="60"/>
  <c r="AH126" i="60"/>
  <c r="CS121" i="60"/>
  <c r="EK121" i="60"/>
  <c r="BA121" i="60"/>
  <c r="BW121" i="60"/>
  <c r="H121" i="60"/>
  <c r="AE121" i="60"/>
  <c r="CV131" i="60"/>
  <c r="BZ131" i="60"/>
  <c r="EN131" i="60"/>
  <c r="BD131" i="60"/>
  <c r="K131" i="60"/>
  <c r="AH131" i="60"/>
  <c r="CO130" i="60"/>
  <c r="EG130" i="60"/>
  <c r="AW130" i="60"/>
  <c r="BS130" i="60"/>
  <c r="D130" i="60"/>
  <c r="AA130" i="60"/>
  <c r="CQ128" i="60"/>
  <c r="EI128" i="60"/>
  <c r="BU128" i="60"/>
  <c r="AY128" i="60"/>
  <c r="AC128" i="60"/>
  <c r="F128" i="60"/>
  <c r="CS126" i="60"/>
  <c r="EK126" i="60"/>
  <c r="BW126" i="60"/>
  <c r="BA126" i="60"/>
  <c r="H126" i="60"/>
  <c r="AE126" i="60"/>
  <c r="CU124" i="60"/>
  <c r="EM124" i="60"/>
  <c r="BC124" i="60"/>
  <c r="BY124" i="60"/>
  <c r="AG124" i="60"/>
  <c r="J124" i="60"/>
  <c r="CW122" i="60"/>
  <c r="EO122" i="60"/>
  <c r="BE122" i="60"/>
  <c r="CA122" i="60"/>
  <c r="L122" i="60"/>
  <c r="AI122" i="60"/>
  <c r="CP121" i="60"/>
  <c r="EH121" i="60"/>
  <c r="BT121" i="60"/>
  <c r="AX121" i="60"/>
  <c r="E121" i="60"/>
  <c r="AB121" i="60"/>
  <c r="BV119" i="60"/>
  <c r="EJ119" i="60"/>
  <c r="CR119" i="60"/>
  <c r="AZ119" i="60"/>
  <c r="G119" i="60"/>
  <c r="AD119" i="60"/>
  <c r="CT117" i="60"/>
  <c r="EL117" i="60"/>
  <c r="BX117" i="60"/>
  <c r="BB117" i="60"/>
  <c r="AF117" i="60"/>
  <c r="I117" i="60"/>
  <c r="CV115" i="60"/>
  <c r="EN115" i="60"/>
  <c r="BZ115" i="60"/>
  <c r="BD115" i="60"/>
  <c r="K115" i="60"/>
  <c r="AH115" i="60"/>
  <c r="EG114" i="60"/>
  <c r="CO114" i="60"/>
  <c r="AW114" i="60"/>
  <c r="BS114" i="60"/>
  <c r="AA114" i="60"/>
  <c r="D114" i="60"/>
  <c r="CQ112" i="60"/>
  <c r="EI112" i="60"/>
  <c r="AY112" i="60"/>
  <c r="AC112" i="60"/>
  <c r="BU112" i="60"/>
  <c r="F112" i="60"/>
  <c r="EK110" i="60"/>
  <c r="CS110" i="60"/>
  <c r="BA110" i="60"/>
  <c r="BW110" i="60"/>
  <c r="H110" i="60"/>
  <c r="AE110" i="60"/>
  <c r="EM108" i="60"/>
  <c r="CU108" i="60"/>
  <c r="AG108" i="60"/>
  <c r="BY108" i="60"/>
  <c r="BC108" i="60"/>
  <c r="J108" i="60"/>
  <c r="CW106" i="60"/>
  <c r="EO106" i="60"/>
  <c r="CA106" i="60"/>
  <c r="BE106" i="60"/>
  <c r="AI106" i="60"/>
  <c r="L106" i="60"/>
  <c r="EH105" i="60"/>
  <c r="CP105" i="60"/>
  <c r="BT105" i="60"/>
  <c r="AX105" i="60"/>
  <c r="E105" i="60"/>
  <c r="AB105" i="60"/>
  <c r="DI132" i="60"/>
  <c r="H215" i="60" s="1"/>
  <c r="FA132" i="60"/>
  <c r="CM132" i="60"/>
  <c r="G215" i="60" s="1"/>
  <c r="BQ132" i="60"/>
  <c r="F215" i="60" s="1"/>
  <c r="X132" i="60"/>
  <c r="D215" i="60" s="1"/>
  <c r="AU132" i="60"/>
  <c r="E215" i="60" s="1"/>
  <c r="EX131" i="60"/>
  <c r="BN131" i="60"/>
  <c r="DF131" i="60"/>
  <c r="CJ131" i="60"/>
  <c r="U131" i="60"/>
  <c r="AR131" i="60"/>
  <c r="EU130" i="60"/>
  <c r="DC130" i="60"/>
  <c r="BK130" i="60"/>
  <c r="CG130" i="60"/>
  <c r="R130" i="60"/>
  <c r="AO130" i="60"/>
  <c r="ER129" i="60"/>
  <c r="BH129" i="60"/>
  <c r="CZ129" i="60"/>
  <c r="CD129" i="60"/>
  <c r="O129" i="60"/>
  <c r="AL129" i="60"/>
  <c r="EY126" i="60"/>
  <c r="DG126" i="60"/>
  <c r="BO126" i="60"/>
  <c r="CK126" i="60"/>
  <c r="V126" i="60"/>
  <c r="AS126" i="60"/>
  <c r="EV125" i="60"/>
  <c r="DD125" i="60"/>
  <c r="BL125" i="60"/>
  <c r="CH125" i="60"/>
  <c r="S125" i="60"/>
  <c r="AP125" i="60"/>
  <c r="ES124" i="60"/>
  <c r="BI124" i="60"/>
  <c r="DA124" i="60"/>
  <c r="CE124" i="60"/>
  <c r="P124" i="60"/>
  <c r="AM124" i="60"/>
  <c r="EP123" i="60"/>
  <c r="CX123" i="60"/>
  <c r="BF123" i="60"/>
  <c r="CB123" i="60"/>
  <c r="M123" i="60"/>
  <c r="AJ123" i="60"/>
  <c r="EZ121" i="60"/>
  <c r="BP121" i="60"/>
  <c r="DH121" i="60"/>
  <c r="CL121" i="60"/>
  <c r="W121" i="60"/>
  <c r="AT121" i="60"/>
  <c r="EW120" i="60"/>
  <c r="DE120" i="60"/>
  <c r="CI120" i="60"/>
  <c r="BM120" i="60"/>
  <c r="AQ120" i="60"/>
  <c r="ET119" i="60"/>
  <c r="DB119" i="60"/>
  <c r="BJ119" i="60"/>
  <c r="CF119" i="60"/>
  <c r="AN119" i="60"/>
  <c r="Q119" i="60"/>
  <c r="CY118" i="60"/>
  <c r="EQ118" i="60"/>
  <c r="CC118" i="60"/>
  <c r="BG118" i="60"/>
  <c r="N118" i="60"/>
  <c r="AK118" i="60"/>
  <c r="DI116" i="60"/>
  <c r="H199" i="60" s="1"/>
  <c r="FA116" i="60"/>
  <c r="BQ116" i="60"/>
  <c r="F199" i="60" s="1"/>
  <c r="AU116" i="60"/>
  <c r="E199" i="60" s="1"/>
  <c r="X116" i="60"/>
  <c r="D199" i="60" s="1"/>
  <c r="CM116" i="60"/>
  <c r="G199" i="60" s="1"/>
  <c r="EX115" i="60"/>
  <c r="DF115" i="60"/>
  <c r="BN115" i="60"/>
  <c r="CJ115" i="60"/>
  <c r="U115" i="60"/>
  <c r="AR115" i="60"/>
  <c r="EU114" i="60"/>
  <c r="DC114" i="60"/>
  <c r="CG114" i="60"/>
  <c r="BK114" i="60"/>
  <c r="R114" i="60"/>
  <c r="AO114" i="60"/>
  <c r="CZ113" i="60"/>
  <c r="ER113" i="60"/>
  <c r="BH113" i="60"/>
  <c r="CD113" i="60"/>
  <c r="AL113" i="60"/>
  <c r="O113" i="60"/>
  <c r="EY110" i="60"/>
  <c r="DG110" i="60"/>
  <c r="CK110" i="60"/>
  <c r="BO110" i="60"/>
  <c r="AS110" i="60"/>
  <c r="V110" i="60"/>
  <c r="EV109" i="60"/>
  <c r="DD109" i="60"/>
  <c r="AP109" i="60"/>
  <c r="BL109" i="60"/>
  <c r="CH109" i="60"/>
  <c r="S109" i="60"/>
  <c r="ES108" i="60"/>
  <c r="DA108" i="60"/>
  <c r="BI108" i="60"/>
  <c r="CE108" i="60"/>
  <c r="P108" i="60"/>
  <c r="AM108" i="60"/>
  <c r="EP107" i="60"/>
  <c r="CX107" i="60"/>
  <c r="AJ107" i="60"/>
  <c r="CB107" i="60"/>
  <c r="M107" i="60"/>
  <c r="BF107" i="60"/>
  <c r="EZ105" i="60"/>
  <c r="BP105" i="60"/>
  <c r="DH105" i="60"/>
  <c r="CL105" i="60"/>
  <c r="W105" i="60"/>
  <c r="AT105" i="60"/>
  <c r="AH133" i="60"/>
  <c r="P120" i="60"/>
  <c r="CO133" i="60"/>
  <c r="CD133" i="60"/>
  <c r="BP133" i="60"/>
  <c r="BC133" i="60"/>
  <c r="BF133" i="60"/>
  <c r="EO127" i="60"/>
  <c r="CW127" i="60"/>
  <c r="BE127" i="60"/>
  <c r="CA127" i="60"/>
  <c r="L127" i="60"/>
  <c r="AI127" i="60"/>
  <c r="EU131" i="60"/>
  <c r="DC131" i="60"/>
  <c r="CG131" i="60"/>
  <c r="BK131" i="60"/>
  <c r="R131" i="60"/>
  <c r="AO131" i="60"/>
  <c r="DC115" i="60"/>
  <c r="EU115" i="60"/>
  <c r="CG115" i="60"/>
  <c r="BK115" i="60"/>
  <c r="R115" i="60"/>
  <c r="AO115" i="60"/>
  <c r="BQ133" i="60"/>
  <c r="EG126" i="60"/>
  <c r="BS126" i="60"/>
  <c r="CO126" i="60"/>
  <c r="AW126" i="60"/>
  <c r="D126" i="60"/>
  <c r="AA126" i="60"/>
  <c r="EG110" i="60"/>
  <c r="BS110" i="60"/>
  <c r="AW110" i="60"/>
  <c r="CO110" i="60"/>
  <c r="AA110" i="60"/>
  <c r="D110" i="60"/>
  <c r="DF127" i="60"/>
  <c r="CJ127" i="60"/>
  <c r="EX127" i="60"/>
  <c r="U127" i="60"/>
  <c r="AR127" i="60"/>
  <c r="BN127" i="60"/>
  <c r="EZ117" i="60"/>
  <c r="DH117" i="60"/>
  <c r="CL117" i="60"/>
  <c r="BP117" i="60"/>
  <c r="AT117" i="60"/>
  <c r="W117" i="60"/>
  <c r="EX111" i="60"/>
  <c r="CJ111" i="60"/>
  <c r="DF111" i="60"/>
  <c r="BN111" i="60"/>
  <c r="U111" i="60"/>
  <c r="AR111" i="60"/>
  <c r="EY106" i="60"/>
  <c r="BO106" i="60"/>
  <c r="DG106" i="60"/>
  <c r="AS106" i="60"/>
  <c r="CK106" i="60"/>
  <c r="V106" i="60"/>
  <c r="CU131" i="60"/>
  <c r="BY131" i="60"/>
  <c r="BC131" i="60"/>
  <c r="EM131" i="60"/>
  <c r="AG131" i="60"/>
  <c r="J131" i="60"/>
  <c r="CP128" i="60"/>
  <c r="AX128" i="60"/>
  <c r="EH128" i="60"/>
  <c r="E128" i="60"/>
  <c r="AB128" i="60"/>
  <c r="BT128" i="60"/>
  <c r="EL124" i="60"/>
  <c r="CT124" i="60"/>
  <c r="BB124" i="60"/>
  <c r="BX124" i="60"/>
  <c r="I124" i="60"/>
  <c r="AF124" i="60"/>
  <c r="EN122" i="60"/>
  <c r="CV122" i="60"/>
  <c r="BD122" i="60"/>
  <c r="BZ122" i="60"/>
  <c r="K122" i="60"/>
  <c r="AH122" i="60"/>
  <c r="CO121" i="60"/>
  <c r="EG121" i="60"/>
  <c r="BS121" i="60"/>
  <c r="AW121" i="60"/>
  <c r="D121" i="60"/>
  <c r="AA121" i="60"/>
  <c r="CS117" i="60"/>
  <c r="EK117" i="60"/>
  <c r="BW117" i="60"/>
  <c r="BA117" i="60"/>
  <c r="AE117" i="60"/>
  <c r="H117" i="60"/>
  <c r="CU115" i="60"/>
  <c r="EM115" i="60"/>
  <c r="BY115" i="60"/>
  <c r="BC115" i="60"/>
  <c r="J115" i="60"/>
  <c r="AG115" i="60"/>
  <c r="CW113" i="60"/>
  <c r="EO113" i="60"/>
  <c r="CA113" i="60"/>
  <c r="BE113" i="60"/>
  <c r="AI113" i="60"/>
  <c r="L113" i="60"/>
  <c r="CP112" i="60"/>
  <c r="EH112" i="60"/>
  <c r="BT112" i="60"/>
  <c r="AX112" i="60"/>
  <c r="AB112" i="60"/>
  <c r="E112" i="60"/>
  <c r="EJ110" i="60"/>
  <c r="CR110" i="60"/>
  <c r="AZ110" i="60"/>
  <c r="G110" i="60"/>
  <c r="AD110" i="60"/>
  <c r="BV110" i="60"/>
  <c r="EL108" i="60"/>
  <c r="CT108" i="60"/>
  <c r="BX108" i="60"/>
  <c r="AF108" i="60"/>
  <c r="BB108" i="60"/>
  <c r="I108" i="60"/>
  <c r="EN106" i="60"/>
  <c r="CV106" i="60"/>
  <c r="BZ106" i="60"/>
  <c r="BD106" i="60"/>
  <c r="AH106" i="60"/>
  <c r="K106" i="60"/>
  <c r="EG105" i="60"/>
  <c r="CO105" i="60"/>
  <c r="BS105" i="60"/>
  <c r="AA105" i="60"/>
  <c r="AW105" i="60"/>
  <c r="D105" i="60"/>
  <c r="DH132" i="60"/>
  <c r="EZ132" i="60"/>
  <c r="CL132" i="60"/>
  <c r="BP132" i="60"/>
  <c r="W132" i="60"/>
  <c r="AT132" i="60"/>
  <c r="EW131" i="60"/>
  <c r="DE131" i="60"/>
  <c r="CI131" i="60"/>
  <c r="BM131" i="60"/>
  <c r="T131" i="60"/>
  <c r="AQ131" i="60"/>
  <c r="ET130" i="60"/>
  <c r="DB130" i="60"/>
  <c r="CF130" i="60"/>
  <c r="BJ130" i="60"/>
  <c r="Q130" i="60"/>
  <c r="AN130" i="60"/>
  <c r="EQ129" i="60"/>
  <c r="CY129" i="60"/>
  <c r="CC129" i="60"/>
  <c r="N129" i="60"/>
  <c r="BG129" i="60"/>
  <c r="AK129" i="60"/>
  <c r="FA127" i="60"/>
  <c r="DI127" i="60"/>
  <c r="H210" i="60" s="1"/>
  <c r="CM127" i="60"/>
  <c r="G210" i="60" s="1"/>
  <c r="BQ127" i="60"/>
  <c r="F210" i="60" s="1"/>
  <c r="X127" i="60"/>
  <c r="D210" i="60" s="1"/>
  <c r="AU127" i="60"/>
  <c r="E210" i="60" s="1"/>
  <c r="EX126" i="60"/>
  <c r="DF126" i="60"/>
  <c r="CJ126" i="60"/>
  <c r="BN126" i="60"/>
  <c r="U126" i="60"/>
  <c r="AR126" i="60"/>
  <c r="EU125" i="60"/>
  <c r="DC125" i="60"/>
  <c r="CG125" i="60"/>
  <c r="BK125" i="60"/>
  <c r="R125" i="60"/>
  <c r="AO125" i="60"/>
  <c r="CD124" i="60"/>
  <c r="ER124" i="60"/>
  <c r="CZ124" i="60"/>
  <c r="BH124" i="60"/>
  <c r="O124" i="60"/>
  <c r="AL124" i="60"/>
  <c r="DG121" i="60"/>
  <c r="CK121" i="60"/>
  <c r="EY121" i="60"/>
  <c r="BO121" i="60"/>
  <c r="V121" i="60"/>
  <c r="AS121" i="60"/>
  <c r="DD120" i="60"/>
  <c r="EV120" i="60"/>
  <c r="CH120" i="60"/>
  <c r="BL120" i="60"/>
  <c r="AP120" i="60"/>
  <c r="ES119" i="60"/>
  <c r="DA119" i="60"/>
  <c r="AM119" i="60"/>
  <c r="CE119" i="60"/>
  <c r="BI119" i="60"/>
  <c r="P119" i="60"/>
  <c r="EP118" i="60"/>
  <c r="CB118" i="60"/>
  <c r="BF118" i="60"/>
  <c r="M118" i="60"/>
  <c r="CX118" i="60"/>
  <c r="AJ118" i="60"/>
  <c r="DH116" i="60"/>
  <c r="EZ116" i="60"/>
  <c r="CL116" i="60"/>
  <c r="BP116" i="60"/>
  <c r="AT116" i="60"/>
  <c r="W116" i="60"/>
  <c r="EW115" i="60"/>
  <c r="CI115" i="60"/>
  <c r="AQ115" i="60"/>
  <c r="DE115" i="60"/>
  <c r="BM115" i="60"/>
  <c r="T115" i="60"/>
  <c r="ET114" i="60"/>
  <c r="CF114" i="60"/>
  <c r="DB114" i="60"/>
  <c r="BJ114" i="60"/>
  <c r="Q114" i="60"/>
  <c r="AN114" i="60"/>
  <c r="EQ113" i="60"/>
  <c r="CY113" i="60"/>
  <c r="AK113" i="60"/>
  <c r="CC113" i="60"/>
  <c r="N113" i="60"/>
  <c r="BG113" i="60"/>
  <c r="FA111" i="60"/>
  <c r="DI111" i="60"/>
  <c r="H194" i="60" s="1"/>
  <c r="AU111" i="60"/>
  <c r="E194" i="60" s="1"/>
  <c r="CM111" i="60"/>
  <c r="G194" i="60" s="1"/>
  <c r="BQ111" i="60"/>
  <c r="F194" i="60" s="1"/>
  <c r="X111" i="60"/>
  <c r="D194" i="60" s="1"/>
  <c r="EX110" i="60"/>
  <c r="DF110" i="60"/>
  <c r="CJ110" i="60"/>
  <c r="BN110" i="60"/>
  <c r="AR110" i="60"/>
  <c r="U110" i="60"/>
  <c r="DC109" i="60"/>
  <c r="EU109" i="60"/>
  <c r="AO109" i="60"/>
  <c r="BK109" i="60"/>
  <c r="CG109" i="60"/>
  <c r="R109" i="60"/>
  <c r="ER108" i="60"/>
  <c r="CZ108" i="60"/>
  <c r="CD108" i="60"/>
  <c r="AL108" i="60"/>
  <c r="BH108" i="60"/>
  <c r="O108" i="60"/>
  <c r="EY105" i="60"/>
  <c r="DG105" i="60"/>
  <c r="CK105" i="60"/>
  <c r="V105" i="60"/>
  <c r="AS105" i="60"/>
  <c r="BO105" i="60"/>
  <c r="M133" i="60"/>
  <c r="AQ133" i="60"/>
  <c r="CI133" i="60"/>
  <c r="D133" i="60"/>
  <c r="CL133" i="60"/>
  <c r="DH133" i="60"/>
  <c r="EI117" i="60"/>
  <c r="CQ117" i="60"/>
  <c r="BU117" i="60"/>
  <c r="AY117" i="60"/>
  <c r="AC117" i="60"/>
  <c r="F117" i="60"/>
  <c r="DD126" i="60"/>
  <c r="CH126" i="60"/>
  <c r="EV126" i="60"/>
  <c r="BL126" i="60"/>
  <c r="AP126" i="60"/>
  <c r="S126" i="60"/>
  <c r="DA109" i="60"/>
  <c r="ES109" i="60"/>
  <c r="CE109" i="60"/>
  <c r="BI109" i="60"/>
  <c r="AM109" i="60"/>
  <c r="P109" i="60"/>
  <c r="EO129" i="60"/>
  <c r="CW129" i="60"/>
  <c r="CA129" i="60"/>
  <c r="L129" i="60"/>
  <c r="BE129" i="60"/>
  <c r="AI129" i="60"/>
  <c r="EJ126" i="60"/>
  <c r="CR126" i="60"/>
  <c r="BV126" i="60"/>
  <c r="AZ126" i="60"/>
  <c r="G126" i="60"/>
  <c r="AD126" i="60"/>
  <c r="CQ119" i="60"/>
  <c r="BU119" i="60"/>
  <c r="EI119" i="60"/>
  <c r="AY119" i="60"/>
  <c r="F119" i="60"/>
  <c r="AC119" i="60"/>
  <c r="CT131" i="60"/>
  <c r="EL131" i="60"/>
  <c r="BB131" i="60"/>
  <c r="BX131" i="60"/>
  <c r="AF131" i="60"/>
  <c r="I131" i="60"/>
  <c r="CV129" i="60"/>
  <c r="EN129" i="60"/>
  <c r="BZ129" i="60"/>
  <c r="K129" i="60"/>
  <c r="BD129" i="60"/>
  <c r="AH129" i="60"/>
  <c r="CO128" i="60"/>
  <c r="EG128" i="60"/>
  <c r="AW128" i="60"/>
  <c r="D128" i="60"/>
  <c r="AA128" i="60"/>
  <c r="BS128" i="60"/>
  <c r="EI126" i="60"/>
  <c r="CQ126" i="60"/>
  <c r="BU126" i="60"/>
  <c r="AY126" i="60"/>
  <c r="F126" i="60"/>
  <c r="AC126" i="60"/>
  <c r="EK124" i="60"/>
  <c r="CS124" i="60"/>
  <c r="BA124" i="60"/>
  <c r="BW124" i="60"/>
  <c r="H124" i="60"/>
  <c r="AE124" i="60"/>
  <c r="EM122" i="60"/>
  <c r="CU122" i="60"/>
  <c r="BC122" i="60"/>
  <c r="BY122" i="60"/>
  <c r="J122" i="60"/>
  <c r="AG122" i="60"/>
  <c r="EO120" i="60"/>
  <c r="CW120" i="60"/>
  <c r="BE120" i="60"/>
  <c r="CA120" i="60"/>
  <c r="AI120" i="60"/>
  <c r="EH119" i="60"/>
  <c r="CP119" i="60"/>
  <c r="AX119" i="60"/>
  <c r="BT119" i="60"/>
  <c r="E119" i="60"/>
  <c r="AB119" i="60"/>
  <c r="EJ117" i="60"/>
  <c r="BV117" i="60"/>
  <c r="CR117" i="60"/>
  <c r="AZ117" i="60"/>
  <c r="AD117" i="60"/>
  <c r="G117" i="60"/>
  <c r="CT115" i="60"/>
  <c r="EL115" i="60"/>
  <c r="BB115" i="60"/>
  <c r="BX115" i="60"/>
  <c r="I115" i="60"/>
  <c r="AF115" i="60"/>
  <c r="EN113" i="60"/>
  <c r="CV113" i="60"/>
  <c r="BZ113" i="60"/>
  <c r="BD113" i="60"/>
  <c r="AH113" i="60"/>
  <c r="K113" i="60"/>
  <c r="CO112" i="60"/>
  <c r="EG112" i="60"/>
  <c r="AW112" i="60"/>
  <c r="BS112" i="60"/>
  <c r="D112" i="60"/>
  <c r="AA112" i="60"/>
  <c r="EI110" i="60"/>
  <c r="CQ110" i="60"/>
  <c r="AY110" i="60"/>
  <c r="BU110" i="60"/>
  <c r="F110" i="60"/>
  <c r="AC110" i="60"/>
  <c r="EK108" i="60"/>
  <c r="CS108" i="60"/>
  <c r="AE108" i="60"/>
  <c r="BW108" i="60"/>
  <c r="BA108" i="60"/>
  <c r="H108" i="60"/>
  <c r="CU106" i="60"/>
  <c r="EM106" i="60"/>
  <c r="BY106" i="60"/>
  <c r="BC106" i="60"/>
  <c r="AG106" i="60"/>
  <c r="J106" i="60"/>
  <c r="DG132" i="60"/>
  <c r="EY132" i="60"/>
  <c r="CK132" i="60"/>
  <c r="BO132" i="60"/>
  <c r="V132" i="60"/>
  <c r="AS132" i="60"/>
  <c r="EV131" i="60"/>
  <c r="DD131" i="60"/>
  <c r="CH131" i="60"/>
  <c r="BL131" i="60"/>
  <c r="S131" i="60"/>
  <c r="AP131" i="60"/>
  <c r="DA130" i="60"/>
  <c r="CE130" i="60"/>
  <c r="ES130" i="60"/>
  <c r="BI130" i="60"/>
  <c r="P130" i="60"/>
  <c r="AM130" i="60"/>
  <c r="EP129" i="60"/>
  <c r="CX129" i="60"/>
  <c r="CB129" i="60"/>
  <c r="M129" i="60"/>
  <c r="BF129" i="60"/>
  <c r="AJ129" i="60"/>
  <c r="EZ127" i="60"/>
  <c r="DH127" i="60"/>
  <c r="CL127" i="60"/>
  <c r="BP127" i="60"/>
  <c r="W127" i="60"/>
  <c r="AT127" i="60"/>
  <c r="EW126" i="60"/>
  <c r="DE126" i="60"/>
  <c r="CI126" i="60"/>
  <c r="BM126" i="60"/>
  <c r="T126" i="60"/>
  <c r="AQ126" i="60"/>
  <c r="ET125" i="60"/>
  <c r="CF125" i="60"/>
  <c r="DB125" i="60"/>
  <c r="BJ125" i="60"/>
  <c r="Q125" i="60"/>
  <c r="AN125" i="60"/>
  <c r="EQ124" i="60"/>
  <c r="CC124" i="60"/>
  <c r="CY124" i="60"/>
  <c r="BG124" i="60"/>
  <c r="N124" i="60"/>
  <c r="AK124" i="60"/>
  <c r="FA122" i="60"/>
  <c r="DI122" i="60"/>
  <c r="H205" i="60" s="1"/>
  <c r="CM122" i="60"/>
  <c r="G205" i="60" s="1"/>
  <c r="BQ122" i="60"/>
  <c r="F205" i="60" s="1"/>
  <c r="X122" i="60"/>
  <c r="D205" i="60" s="1"/>
  <c r="AU122" i="60"/>
  <c r="E205" i="60" s="1"/>
  <c r="EX121" i="60"/>
  <c r="DF121" i="60"/>
  <c r="CJ121" i="60"/>
  <c r="BN121" i="60"/>
  <c r="U121" i="60"/>
  <c r="AR121" i="60"/>
  <c r="EU120" i="60"/>
  <c r="CG120" i="60"/>
  <c r="DC120" i="60"/>
  <c r="BK120" i="60"/>
  <c r="AO120" i="60"/>
  <c r="ER119" i="60"/>
  <c r="CZ119" i="60"/>
  <c r="CD119" i="60"/>
  <c r="O119" i="60"/>
  <c r="BH119" i="60"/>
  <c r="AL119" i="60"/>
  <c r="DG116" i="60"/>
  <c r="EY116" i="60"/>
  <c r="CK116" i="60"/>
  <c r="BO116" i="60"/>
  <c r="AS116" i="60"/>
  <c r="V116" i="60"/>
  <c r="EV115" i="60"/>
  <c r="DD115" i="60"/>
  <c r="CH115" i="60"/>
  <c r="BL115" i="60"/>
  <c r="S115" i="60"/>
  <c r="AP115" i="60"/>
  <c r="ES114" i="60"/>
  <c r="CE114" i="60"/>
  <c r="BI114" i="60"/>
  <c r="DA114" i="60"/>
  <c r="P114" i="60"/>
  <c r="AM114" i="60"/>
  <c r="EP113" i="60"/>
  <c r="CX113" i="60"/>
  <c r="CB113" i="60"/>
  <c r="AJ113" i="60"/>
  <c r="M113" i="60"/>
  <c r="BF113" i="60"/>
  <c r="DH111" i="60"/>
  <c r="EZ111" i="60"/>
  <c r="CL111" i="60"/>
  <c r="BP111" i="60"/>
  <c r="W111" i="60"/>
  <c r="AT111" i="60"/>
  <c r="EW110" i="60"/>
  <c r="DE110" i="60"/>
  <c r="CI110" i="60"/>
  <c r="BM110" i="60"/>
  <c r="AQ110" i="60"/>
  <c r="T110" i="60"/>
  <c r="DB109" i="60"/>
  <c r="ET109" i="60"/>
  <c r="CF109" i="60"/>
  <c r="BJ109" i="60"/>
  <c r="AN109" i="60"/>
  <c r="Q109" i="60"/>
  <c r="EQ108" i="60"/>
  <c r="CC108" i="60"/>
  <c r="BG108" i="60"/>
  <c r="CY108" i="60"/>
  <c r="AK108" i="60"/>
  <c r="N108" i="60"/>
  <c r="FA106" i="60"/>
  <c r="CM106" i="60"/>
  <c r="G189" i="60" s="1"/>
  <c r="BQ106" i="60"/>
  <c r="F189" i="60" s="1"/>
  <c r="DI106" i="60"/>
  <c r="H189" i="60" s="1"/>
  <c r="AU106" i="60"/>
  <c r="E189" i="60" s="1"/>
  <c r="X106" i="60"/>
  <c r="D189" i="60" s="1"/>
  <c r="DF105" i="60"/>
  <c r="EX105" i="60"/>
  <c r="CJ105" i="60"/>
  <c r="U105" i="60"/>
  <c r="AR105" i="60"/>
  <c r="BN105" i="60"/>
  <c r="N120" i="60"/>
  <c r="CP133" i="60"/>
  <c r="DE133" i="60"/>
  <c r="T120" i="60"/>
  <c r="W133" i="60"/>
  <c r="CV133" i="60"/>
  <c r="E241" i="52"/>
  <c r="G241" i="52"/>
  <c r="M215" i="60" l="1"/>
  <c r="L202" i="60"/>
  <c r="J351" i="60"/>
  <c r="K211" i="60"/>
  <c r="M202" i="60"/>
  <c r="H30" i="87"/>
  <c r="M30" i="87" s="1"/>
  <c r="H32" i="88"/>
  <c r="M32" i="88" s="1"/>
  <c r="H28" i="86"/>
  <c r="M28" i="86" s="1"/>
  <c r="P28" i="86"/>
  <c r="F32" i="88"/>
  <c r="L32" i="88" s="1"/>
  <c r="F28" i="86"/>
  <c r="L28" i="86" s="1"/>
  <c r="F30" i="87"/>
  <c r="L30" i="87" s="1"/>
  <c r="P32" i="88"/>
  <c r="G32" i="88"/>
  <c r="O32" i="88" s="1"/>
  <c r="G28" i="86"/>
  <c r="O28" i="86" s="1"/>
  <c r="G30" i="87"/>
  <c r="O30" i="87" s="1"/>
  <c r="N214" i="60"/>
  <c r="K207" i="60"/>
  <c r="L212" i="60"/>
  <c r="I30" i="87"/>
  <c r="N30" i="87" s="1"/>
  <c r="I32" i="88"/>
  <c r="N32" i="88" s="1"/>
  <c r="I28" i="86"/>
  <c r="N28" i="86" s="1"/>
  <c r="P30" i="87"/>
  <c r="N215" i="60"/>
  <c r="M207" i="60"/>
  <c r="L215" i="60"/>
  <c r="M209" i="60"/>
  <c r="M195" i="60"/>
  <c r="K191" i="60"/>
  <c r="K214" i="60"/>
  <c r="M214" i="60"/>
  <c r="N189" i="60"/>
  <c r="N199" i="60"/>
  <c r="K209" i="60"/>
  <c r="K197" i="60"/>
  <c r="M211" i="60"/>
  <c r="N202" i="60"/>
  <c r="L207" i="60"/>
  <c r="M201" i="60"/>
  <c r="K190" i="60"/>
  <c r="K192" i="60"/>
  <c r="K202" i="60"/>
  <c r="M210" i="60"/>
  <c r="L192" i="60"/>
  <c r="L189" i="60"/>
  <c r="M192" i="60"/>
  <c r="M189" i="60"/>
  <c r="M198" i="60"/>
  <c r="K213" i="60"/>
  <c r="K196" i="60"/>
  <c r="K205" i="60"/>
  <c r="K210" i="60"/>
  <c r="N198" i="60"/>
  <c r="L197" i="60"/>
  <c r="L213" i="60"/>
  <c r="L211" i="60"/>
  <c r="N207" i="60"/>
  <c r="M196" i="60"/>
  <c r="K215" i="60"/>
  <c r="M213" i="60"/>
  <c r="N211" i="60"/>
  <c r="L196" i="60"/>
  <c r="L210" i="60"/>
  <c r="N210" i="60"/>
  <c r="K199" i="60"/>
  <c r="K198" i="60"/>
  <c r="K204" i="60"/>
  <c r="L198" i="60"/>
  <c r="N192" i="60"/>
  <c r="L195" i="60"/>
  <c r="L191" i="60"/>
  <c r="K200" i="60"/>
  <c r="M191" i="60"/>
  <c r="L200" i="60"/>
  <c r="N195" i="60"/>
  <c r="N191" i="60"/>
  <c r="N204" i="60"/>
  <c r="L209" i="60"/>
  <c r="L205" i="60"/>
  <c r="L194" i="60"/>
  <c r="M199" i="60"/>
  <c r="N209" i="60"/>
  <c r="K208" i="60"/>
  <c r="N213" i="60"/>
  <c r="N196" i="60"/>
  <c r="M200" i="60"/>
  <c r="M205" i="60"/>
  <c r="M194" i="60"/>
  <c r="N200" i="60"/>
  <c r="L208" i="60"/>
  <c r="I206" i="60"/>
  <c r="M206" i="60"/>
  <c r="N206" i="60"/>
  <c r="K206" i="60"/>
  <c r="L206" i="60"/>
  <c r="M204" i="60"/>
  <c r="L204" i="60"/>
  <c r="N205" i="60"/>
  <c r="K194" i="60"/>
  <c r="N194" i="60"/>
  <c r="L199" i="60"/>
  <c r="L214" i="60"/>
  <c r="N208" i="60"/>
  <c r="H216" i="60"/>
  <c r="H217" i="60" s="1" a="1"/>
  <c r="H217" i="60" s="1"/>
  <c r="K212" i="60"/>
  <c r="M208" i="60"/>
  <c r="G216" i="60"/>
  <c r="G217" i="60" s="1" a="1"/>
  <c r="G217" i="60" s="1"/>
  <c r="M212" i="60"/>
  <c r="K201" i="60"/>
  <c r="L190" i="60"/>
  <c r="L188" i="60"/>
  <c r="L193" i="60"/>
  <c r="M197" i="60"/>
  <c r="N212" i="60"/>
  <c r="L201" i="60"/>
  <c r="M190" i="60"/>
  <c r="K188" i="60"/>
  <c r="M188" i="60"/>
  <c r="K189" i="60"/>
  <c r="N188" i="60"/>
  <c r="M193" i="60"/>
  <c r="N197" i="60"/>
  <c r="N201" i="60"/>
  <c r="D218" i="60" a="1"/>
  <c r="D218" i="60" s="1"/>
  <c r="D217" i="60" a="1"/>
  <c r="D217" i="60" s="1"/>
  <c r="F216" i="60"/>
  <c r="F218" i="60" s="1" a="1"/>
  <c r="F218" i="60" s="1"/>
  <c r="K193" i="60"/>
  <c r="N193" i="60"/>
  <c r="K195" i="60"/>
  <c r="E216" i="60"/>
  <c r="N190" i="60"/>
  <c r="I203" i="60"/>
  <c r="K203" i="60"/>
  <c r="N203" i="60"/>
  <c r="L203" i="60"/>
  <c r="M203" i="60"/>
  <c r="I213" i="60"/>
  <c r="I196" i="60"/>
  <c r="I189" i="60"/>
  <c r="I192" i="60"/>
  <c r="I209" i="60"/>
  <c r="I202" i="60"/>
  <c r="I193" i="60"/>
  <c r="I215" i="60"/>
  <c r="I198" i="60"/>
  <c r="I195" i="60"/>
  <c r="I191" i="60"/>
  <c r="I204" i="60"/>
  <c r="I200" i="60"/>
  <c r="I208" i="60"/>
  <c r="I210" i="60"/>
  <c r="I205" i="60"/>
  <c r="I194" i="60"/>
  <c r="I214" i="60"/>
  <c r="I199" i="60"/>
  <c r="I211" i="60"/>
  <c r="I207" i="60"/>
  <c r="I188" i="60"/>
  <c r="I197" i="60"/>
  <c r="I212" i="60"/>
  <c r="I201" i="60"/>
  <c r="I190" i="60"/>
  <c r="CK134" i="60" a="1"/>
  <c r="CK134" i="60" s="1"/>
  <c r="U143" i="60" s="1"/>
  <c r="CK135" i="60" a="1"/>
  <c r="CK135" i="60" s="1"/>
  <c r="CT135" i="60" a="1"/>
  <c r="CT135" i="60" s="1"/>
  <c r="CT134" i="60" a="1"/>
  <c r="CT134" i="60" s="1"/>
  <c r="H144" i="60" s="1"/>
  <c r="AJ134" i="60" a="1"/>
  <c r="AJ134" i="60" s="1"/>
  <c r="L141" i="60" s="1"/>
  <c r="AJ135" i="60" a="1"/>
  <c r="AJ135" i="60" s="1"/>
  <c r="AO135" i="60" a="1"/>
  <c r="AO135" i="60" s="1"/>
  <c r="AO134" i="60" a="1"/>
  <c r="AO134" i="60" s="1"/>
  <c r="Q141" i="60" s="1"/>
  <c r="FA135" i="60" a="1"/>
  <c r="FA135" i="60" s="1"/>
  <c r="G134" i="60" a="1"/>
  <c r="G134" i="60" s="1"/>
  <c r="F140" i="60" s="1"/>
  <c r="G135" i="60" a="1"/>
  <c r="G135" i="60" s="1"/>
  <c r="EK135" i="60" a="1"/>
  <c r="EK135" i="60" s="1"/>
  <c r="EK134" i="60" a="1"/>
  <c r="EK134" i="60" s="1"/>
  <c r="EL135" i="60" a="1"/>
  <c r="EL135" i="60" s="1"/>
  <c r="EL134" i="60" a="1"/>
  <c r="EL134" i="60" s="1"/>
  <c r="EW135" i="60" a="1"/>
  <c r="EW135" i="60" s="1"/>
  <c r="M134" i="60" a="1"/>
  <c r="M134" i="60" s="1"/>
  <c r="L140" i="60" s="1"/>
  <c r="M135" i="60" a="1"/>
  <c r="M135" i="60" s="1"/>
  <c r="BZ135" i="60" a="1"/>
  <c r="BZ135" i="60" s="1"/>
  <c r="BZ134" i="60" a="1"/>
  <c r="BZ134" i="60" s="1"/>
  <c r="J143" i="60" s="1"/>
  <c r="EV134" i="60" a="1"/>
  <c r="EV134" i="60" s="1"/>
  <c r="BH134" i="60" a="1"/>
  <c r="BH134" i="60" s="1"/>
  <c r="N142" i="60" s="1"/>
  <c r="BH135" i="60" a="1"/>
  <c r="BH135" i="60" s="1"/>
  <c r="CE134" i="60" a="1"/>
  <c r="CE134" i="60" s="1"/>
  <c r="O143" i="60" s="1"/>
  <c r="CE135" i="60" a="1"/>
  <c r="CE135" i="60" s="1"/>
  <c r="CF135" i="60" a="1"/>
  <c r="CF135" i="60" s="1"/>
  <c r="CF134" i="60" a="1"/>
  <c r="CF134" i="60" s="1"/>
  <c r="P143" i="60" s="1"/>
  <c r="R134" i="60" a="1"/>
  <c r="R134" i="60" s="1"/>
  <c r="Q140" i="60" s="1"/>
  <c r="R135" i="60" a="1"/>
  <c r="R135" i="60" s="1"/>
  <c r="AH134" i="60" a="1"/>
  <c r="AH134" i="60" s="1"/>
  <c r="J141" i="60" s="1"/>
  <c r="AH135" i="60" a="1"/>
  <c r="AH135" i="60" s="1"/>
  <c r="S134" i="60" a="1"/>
  <c r="S134" i="60" s="1"/>
  <c r="R140" i="60" s="1"/>
  <c r="S135" i="60" a="1"/>
  <c r="S135" i="60" s="1"/>
  <c r="P134" i="60" a="1"/>
  <c r="P134" i="60" s="1"/>
  <c r="O140" i="60" s="1"/>
  <c r="P135" i="60" a="1"/>
  <c r="P135" i="60" s="1"/>
  <c r="Q134" i="60" a="1"/>
  <c r="Q134" i="60" s="1"/>
  <c r="P140" i="60" s="1"/>
  <c r="Q135" i="60" a="1"/>
  <c r="Q135" i="60" s="1"/>
  <c r="EV135" i="60" a="1"/>
  <c r="EV135" i="60" s="1"/>
  <c r="DG134" i="60" a="1"/>
  <c r="DG134" i="60" s="1"/>
  <c r="U144" i="60" s="1"/>
  <c r="DG135" i="60" a="1"/>
  <c r="DG135" i="60" s="1"/>
  <c r="EY134" i="60" a="1"/>
  <c r="EY134" i="60" s="1"/>
  <c r="CR135" i="60" a="1"/>
  <c r="CR135" i="60" s="1"/>
  <c r="CR134" i="60" a="1"/>
  <c r="CR134" i="60" s="1"/>
  <c r="F144" i="60" s="1"/>
  <c r="BF134" i="60" a="1"/>
  <c r="BF134" i="60" s="1"/>
  <c r="L142" i="60" s="1"/>
  <c r="BF135" i="60" a="1"/>
  <c r="BF135" i="60" s="1"/>
  <c r="EN135" i="60" a="1"/>
  <c r="EN135" i="60" s="1"/>
  <c r="EN134" i="60" a="1"/>
  <c r="EN134" i="60" s="1"/>
  <c r="DD135" i="60" a="1"/>
  <c r="DD135" i="60" s="1"/>
  <c r="DD134" i="60" a="1"/>
  <c r="DD134" i="60" s="1"/>
  <c r="R144" i="60" s="1"/>
  <c r="L134" i="60" a="1"/>
  <c r="L134" i="60" s="1"/>
  <c r="K140" i="60" s="1"/>
  <c r="L135" i="60" a="1"/>
  <c r="L135" i="60" s="1"/>
  <c r="ER135" i="60" a="1"/>
  <c r="ER135" i="60" s="1"/>
  <c r="ER134" i="60" a="1"/>
  <c r="ER134" i="60" s="1"/>
  <c r="DA135" i="60" a="1"/>
  <c r="DA135" i="60" s="1"/>
  <c r="DA134" i="60" a="1"/>
  <c r="DA134" i="60" s="1"/>
  <c r="O144" i="60" s="1"/>
  <c r="DB135" i="60" a="1"/>
  <c r="DB135" i="60" s="1"/>
  <c r="DB134" i="60" a="1"/>
  <c r="DB134" i="60" s="1"/>
  <c r="P144" i="60" s="1"/>
  <c r="DC135" i="60" a="1"/>
  <c r="DC135" i="60" s="1"/>
  <c r="DC134" i="60" a="1"/>
  <c r="DC134" i="60" s="1"/>
  <c r="Q144" i="60" s="1"/>
  <c r="CZ135" i="60" a="1"/>
  <c r="CZ135" i="60" s="1"/>
  <c r="CZ134" i="60" a="1"/>
  <c r="CZ134" i="60" s="1"/>
  <c r="N144" i="60" s="1"/>
  <c r="ES135" i="60" a="1"/>
  <c r="ES135" i="60" s="1"/>
  <c r="ES134" i="60" a="1"/>
  <c r="ES134" i="60" s="1"/>
  <c r="EU135" i="60" a="1"/>
  <c r="EU135" i="60" s="1"/>
  <c r="E134" i="60" a="1"/>
  <c r="E134" i="60" s="1"/>
  <c r="D140" i="60" s="1"/>
  <c r="E135" i="60" a="1"/>
  <c r="E135" i="60" s="1"/>
  <c r="AZ135" i="60" a="1"/>
  <c r="AZ135" i="60" s="1"/>
  <c r="AZ134" i="60" a="1"/>
  <c r="AZ134" i="60" s="1"/>
  <c r="F142" i="60" s="1"/>
  <c r="CB135" i="60" a="1"/>
  <c r="CB135" i="60" s="1"/>
  <c r="CB134" i="60" a="1"/>
  <c r="CB134" i="60" s="1"/>
  <c r="L143" i="60" s="1"/>
  <c r="L147" i="60" s="1"/>
  <c r="AK134" i="60" a="1"/>
  <c r="AK134" i="60" s="1"/>
  <c r="M141" i="60" s="1"/>
  <c r="AK135" i="60" a="1"/>
  <c r="AK135" i="60" s="1"/>
  <c r="BE134" i="60" a="1"/>
  <c r="BE134" i="60" s="1"/>
  <c r="K142" i="60" s="1"/>
  <c r="BE135" i="60" a="1"/>
  <c r="BE135" i="60" s="1"/>
  <c r="AX135" i="60" a="1"/>
  <c r="AX135" i="60" s="1"/>
  <c r="AX134" i="60" a="1"/>
  <c r="AX134" i="60" s="1"/>
  <c r="D142" i="60" s="1"/>
  <c r="BM135" i="60" a="1"/>
  <c r="BM135" i="60" s="1"/>
  <c r="BM134" i="60" a="1"/>
  <c r="BM134" i="60" s="1"/>
  <c r="S142" i="60" s="1"/>
  <c r="EJ135" i="60" a="1"/>
  <c r="EJ135" i="60" s="1"/>
  <c r="EJ134" i="60" a="1"/>
  <c r="EJ134" i="60" s="1"/>
  <c r="CX135" i="60" a="1"/>
  <c r="CX135" i="60" s="1"/>
  <c r="CX134" i="60" a="1"/>
  <c r="CX134" i="60" s="1"/>
  <c r="L144" i="60" s="1"/>
  <c r="L148" i="60" s="1"/>
  <c r="N134" i="60" a="1"/>
  <c r="N134" i="60" s="1"/>
  <c r="M140" i="60" s="1"/>
  <c r="N135" i="60" a="1"/>
  <c r="N135" i="60" s="1"/>
  <c r="CA135" i="60" a="1"/>
  <c r="CA135" i="60" s="1"/>
  <c r="CA134" i="60" a="1"/>
  <c r="CA134" i="60" s="1"/>
  <c r="K143" i="60" s="1"/>
  <c r="AT135" i="60" a="1"/>
  <c r="AT135" i="60" s="1"/>
  <c r="AT134" i="60" a="1"/>
  <c r="AT134" i="60" s="1"/>
  <c r="V141" i="60" s="1"/>
  <c r="BT134" i="60" a="1"/>
  <c r="BT134" i="60" s="1"/>
  <c r="D143" i="60" s="1"/>
  <c r="D147" i="60" s="1"/>
  <c r="BT135" i="60" a="1"/>
  <c r="BT135" i="60" s="1"/>
  <c r="AQ135" i="60" a="1"/>
  <c r="AQ135" i="60" s="1"/>
  <c r="AQ134" i="60" a="1"/>
  <c r="AQ134" i="60" s="1"/>
  <c r="S141" i="60" s="1"/>
  <c r="BG134" i="60" a="1"/>
  <c r="BG134" i="60" s="1"/>
  <c r="M142" i="60" s="1"/>
  <c r="BG135" i="60" a="1"/>
  <c r="BG135" i="60" s="1"/>
  <c r="CW135" i="60" a="1"/>
  <c r="CW135" i="60" s="1"/>
  <c r="CW134" i="60" a="1"/>
  <c r="CW134" i="60" s="1"/>
  <c r="K144" i="60" s="1"/>
  <c r="CD135" i="60" a="1"/>
  <c r="CD135" i="60" s="1"/>
  <c r="CD134" i="60" a="1"/>
  <c r="CD134" i="60" s="1"/>
  <c r="N143" i="60" s="1"/>
  <c r="BV134" i="60" a="1"/>
  <c r="BV134" i="60" s="1"/>
  <c r="F143" i="60" s="1"/>
  <c r="BV135" i="60" a="1"/>
  <c r="BV135" i="60" s="1"/>
  <c r="BN135" i="60" a="1"/>
  <c r="BN135" i="60" s="1"/>
  <c r="BN134" i="60" a="1"/>
  <c r="BN134" i="60" s="1"/>
  <c r="T142" i="60" s="1"/>
  <c r="W134" i="60" a="1"/>
  <c r="W134" i="60" s="1"/>
  <c r="V140" i="60" s="1"/>
  <c r="W135" i="60" a="1"/>
  <c r="W135" i="60" s="1"/>
  <c r="CP134" i="60" a="1"/>
  <c r="CP134" i="60" s="1"/>
  <c r="D144" i="60" s="1"/>
  <c r="D148" i="60" s="1"/>
  <c r="CP135" i="60" a="1"/>
  <c r="CP135" i="60" s="1"/>
  <c r="AC135" i="60" a="1"/>
  <c r="AC135" i="60" s="1"/>
  <c r="AC134" i="60" a="1"/>
  <c r="AC134" i="60" s="1"/>
  <c r="E141" i="60" s="1"/>
  <c r="T134" i="60" a="1"/>
  <c r="T134" i="60" s="1"/>
  <c r="S140" i="60" s="1"/>
  <c r="T135" i="60" a="1"/>
  <c r="T135" i="60" s="1"/>
  <c r="CC135" i="60" a="1"/>
  <c r="CC135" i="60" s="1"/>
  <c r="CC134" i="60" a="1"/>
  <c r="CC134" i="60" s="1"/>
  <c r="M143" i="60" s="1"/>
  <c r="EO135" i="60" a="1"/>
  <c r="EO135" i="60" s="1"/>
  <c r="EO134" i="60" a="1"/>
  <c r="EO134" i="60" s="1"/>
  <c r="K150" i="60" s="1"/>
  <c r="EY135" i="60" a="1"/>
  <c r="EY135" i="60" s="1"/>
  <c r="EZ135" i="60" a="1"/>
  <c r="EZ135" i="60" s="1"/>
  <c r="CL134" i="60" a="1"/>
  <c r="CL134" i="60" s="1"/>
  <c r="V143" i="60" s="1"/>
  <c r="CL135" i="60" a="1"/>
  <c r="CL135" i="60" s="1"/>
  <c r="EH135" i="60" a="1"/>
  <c r="EH135" i="60" s="1"/>
  <c r="EH134" i="60" a="1"/>
  <c r="EH134" i="60" s="1"/>
  <c r="F135" i="60" a="1"/>
  <c r="F135" i="60" s="1"/>
  <c r="F134" i="60" a="1"/>
  <c r="F134" i="60" s="1"/>
  <c r="E140" i="60" s="1"/>
  <c r="EW134" i="60" a="1"/>
  <c r="EW134" i="60" s="1"/>
  <c r="CY135" i="60" a="1"/>
  <c r="CY135" i="60" s="1"/>
  <c r="CY134" i="60" a="1"/>
  <c r="CY134" i="60" s="1"/>
  <c r="M144" i="60" s="1"/>
  <c r="AR135" i="60" a="1"/>
  <c r="AR135" i="60" s="1"/>
  <c r="AR134" i="60" a="1"/>
  <c r="AR134" i="60" s="1"/>
  <c r="T141" i="60" s="1"/>
  <c r="U134" i="60" a="1"/>
  <c r="U134" i="60" s="1"/>
  <c r="T140" i="60" s="1"/>
  <c r="U135" i="60" a="1"/>
  <c r="U135" i="60" s="1"/>
  <c r="DH134" i="60" a="1"/>
  <c r="DH134" i="60" s="1"/>
  <c r="V144" i="60" s="1"/>
  <c r="DH135" i="60" a="1"/>
  <c r="DH135" i="60" s="1"/>
  <c r="AY135" i="60" a="1"/>
  <c r="AY135" i="60" s="1"/>
  <c r="AY134" i="60" a="1"/>
  <c r="AY134" i="60" s="1"/>
  <c r="E142" i="60" s="1"/>
  <c r="CI135" i="60" a="1"/>
  <c r="CI135" i="60" s="1"/>
  <c r="CI134" i="60" a="1"/>
  <c r="CI134" i="60" s="1"/>
  <c r="S143" i="60" s="1"/>
  <c r="J134" i="60" a="1"/>
  <c r="J134" i="60" s="1"/>
  <c r="I140" i="60" s="1"/>
  <c r="J135" i="60" a="1"/>
  <c r="J135" i="60" s="1"/>
  <c r="EQ135" i="60" a="1"/>
  <c r="EQ135" i="60" s="1"/>
  <c r="EQ134" i="60" a="1"/>
  <c r="EQ134" i="60" s="1"/>
  <c r="M150" i="60" s="1"/>
  <c r="CV135" i="60" a="1"/>
  <c r="CV135" i="60" s="1"/>
  <c r="CV134" i="60" a="1"/>
  <c r="CV134" i="60" s="1"/>
  <c r="J144" i="60" s="1"/>
  <c r="CJ134" i="60" a="1"/>
  <c r="CJ134" i="60" s="1"/>
  <c r="T143" i="60" s="1"/>
  <c r="CJ135" i="60" a="1"/>
  <c r="CJ135" i="60" s="1"/>
  <c r="D134" i="60" a="1"/>
  <c r="D134" i="60" s="1"/>
  <c r="D135" i="60" a="1"/>
  <c r="D135" i="60" s="1"/>
  <c r="BP135" i="60" a="1"/>
  <c r="BP135" i="60" s="1"/>
  <c r="BP134" i="60" a="1"/>
  <c r="BP134" i="60" s="1"/>
  <c r="V142" i="60" s="1"/>
  <c r="X134" i="60" a="1"/>
  <c r="X134" i="60" s="1"/>
  <c r="W140" i="60" s="1"/>
  <c r="X135" i="60" a="1"/>
  <c r="X135" i="60" s="1"/>
  <c r="BU134" i="60" a="1"/>
  <c r="BU134" i="60" s="1"/>
  <c r="E143" i="60" s="1"/>
  <c r="BU135" i="60" a="1"/>
  <c r="BU135" i="60" s="1"/>
  <c r="DE134" i="60" a="1"/>
  <c r="DE134" i="60" s="1"/>
  <c r="S144" i="60" s="1"/>
  <c r="DE135" i="60" a="1"/>
  <c r="DE135" i="60" s="1"/>
  <c r="AG135" i="60" a="1"/>
  <c r="AG135" i="60" s="1"/>
  <c r="AG134" i="60" a="1"/>
  <c r="AG134" i="60" s="1"/>
  <c r="I141" i="60" s="1"/>
  <c r="EU134" i="60" a="1"/>
  <c r="EU134" i="60" s="1"/>
  <c r="Q150" i="60" s="1"/>
  <c r="EP135" i="60" a="1"/>
  <c r="EP135" i="60" s="1"/>
  <c r="EP134" i="60" a="1"/>
  <c r="EP134" i="60" s="1"/>
  <c r="L150" i="60" s="1"/>
  <c r="ET135" i="60" a="1"/>
  <c r="ET135" i="60" s="1"/>
  <c r="ET134" i="60" a="1"/>
  <c r="ET134" i="60" s="1"/>
  <c r="AW135" i="60" a="1"/>
  <c r="AW135" i="60" s="1"/>
  <c r="AW134" i="60" a="1"/>
  <c r="AW134" i="60" s="1"/>
  <c r="EZ134" i="60" a="1"/>
  <c r="EZ134" i="60" s="1"/>
  <c r="AU135" i="60" a="1"/>
  <c r="AU135" i="60" s="1"/>
  <c r="AU134" i="60" a="1"/>
  <c r="AU134" i="60" s="1"/>
  <c r="W141" i="60" s="1"/>
  <c r="CQ134" i="60" a="1"/>
  <c r="CQ134" i="60" s="1"/>
  <c r="E144" i="60" s="1"/>
  <c r="CQ135" i="60" a="1"/>
  <c r="CQ135" i="60" s="1"/>
  <c r="BY135" i="60" a="1"/>
  <c r="BY135" i="60" s="1"/>
  <c r="BY134" i="60" a="1"/>
  <c r="BY134" i="60" s="1"/>
  <c r="I143" i="60" s="1"/>
  <c r="AA135" i="60" a="1"/>
  <c r="AA135" i="60" s="1"/>
  <c r="AA134" i="60" a="1"/>
  <c r="AA134" i="60" s="1"/>
  <c r="CM134" i="60" a="1"/>
  <c r="CM134" i="60" s="1"/>
  <c r="W143" i="60" s="1"/>
  <c r="CM135" i="60" a="1"/>
  <c r="CM135" i="60" s="1"/>
  <c r="EI135" i="60" a="1"/>
  <c r="EI135" i="60" s="1"/>
  <c r="EI134" i="60" a="1"/>
  <c r="EI134" i="60" s="1"/>
  <c r="H134" i="60" a="1"/>
  <c r="H134" i="60" s="1"/>
  <c r="G140" i="60" s="1"/>
  <c r="H135" i="60" a="1"/>
  <c r="H135" i="60" s="1"/>
  <c r="I135" i="60" a="1"/>
  <c r="I135" i="60" s="1"/>
  <c r="I134" i="60" a="1"/>
  <c r="I134" i="60" s="1"/>
  <c r="H140" i="60" s="1"/>
  <c r="BC134" i="60" a="1"/>
  <c r="BC134" i="60" s="1"/>
  <c r="I142" i="60" s="1"/>
  <c r="BC135" i="60" a="1"/>
  <c r="BC135" i="60" s="1"/>
  <c r="CS135" i="60" a="1"/>
  <c r="CS135" i="60" s="1"/>
  <c r="CS134" i="60" a="1"/>
  <c r="CS134" i="60" s="1"/>
  <c r="G144" i="60" s="1"/>
  <c r="AB135" i="60" a="1"/>
  <c r="AB135" i="60" s="1"/>
  <c r="AB134" i="60" a="1"/>
  <c r="AB134" i="60" s="1"/>
  <c r="D141" i="60" s="1"/>
  <c r="D145" i="60" s="1"/>
  <c r="BS134" i="60" a="1"/>
  <c r="BS134" i="60" s="1"/>
  <c r="BS135" i="60" a="1"/>
  <c r="BS135" i="60" s="1"/>
  <c r="BQ135" i="60" a="1"/>
  <c r="BQ135" i="60" s="1"/>
  <c r="BQ134" i="60" a="1"/>
  <c r="BQ134" i="60" s="1"/>
  <c r="W142" i="60" s="1"/>
  <c r="AE135" i="60" a="1"/>
  <c r="AE135" i="60" s="1"/>
  <c r="AE134" i="60" a="1"/>
  <c r="AE134" i="60" s="1"/>
  <c r="G141" i="60" s="1"/>
  <c r="AF135" i="60" a="1"/>
  <c r="AF135" i="60" s="1"/>
  <c r="AF134" i="60" a="1"/>
  <c r="AF134" i="60" s="1"/>
  <c r="H141" i="60" s="1"/>
  <c r="CU135" i="60" a="1"/>
  <c r="CU135" i="60" s="1"/>
  <c r="CU134" i="60" a="1"/>
  <c r="CU134" i="60" s="1"/>
  <c r="I144" i="60" s="1"/>
  <c r="CH135" i="60" a="1"/>
  <c r="CH135" i="60" s="1"/>
  <c r="CH134" i="60" a="1"/>
  <c r="CH134" i="60" s="1"/>
  <c r="R143" i="60" s="1"/>
  <c r="AD135" i="60" a="1"/>
  <c r="AD135" i="60" s="1"/>
  <c r="AD134" i="60" a="1"/>
  <c r="AD134" i="60" s="1"/>
  <c r="F141" i="60" s="1"/>
  <c r="EX134" i="60" a="1"/>
  <c r="EX134" i="60" s="1"/>
  <c r="EX135" i="60" a="1"/>
  <c r="EX135" i="60" s="1"/>
  <c r="AS135" i="60" a="1"/>
  <c r="AS135" i="60" s="1"/>
  <c r="AS134" i="60" a="1"/>
  <c r="AS134" i="60" s="1"/>
  <c r="U141" i="60" s="1"/>
  <c r="CO134" i="60" a="1"/>
  <c r="CO134" i="60" s="1"/>
  <c r="CO135" i="60" a="1"/>
  <c r="CO135" i="60" s="1"/>
  <c r="DI135" i="60" a="1"/>
  <c r="DI135" i="60" s="1"/>
  <c r="DI134" i="60" a="1"/>
  <c r="DI134" i="60" s="1"/>
  <c r="W144" i="60" s="1"/>
  <c r="BW135" i="60" a="1"/>
  <c r="BW135" i="60" s="1"/>
  <c r="BW134" i="60" a="1"/>
  <c r="BW134" i="60" s="1"/>
  <c r="G143" i="60" s="1"/>
  <c r="BX135" i="60" a="1"/>
  <c r="BX135" i="60" s="1"/>
  <c r="BX134" i="60" a="1"/>
  <c r="BX134" i="60" s="1"/>
  <c r="H143" i="60" s="1"/>
  <c r="H147" i="60" s="1"/>
  <c r="EM135" i="60" a="1"/>
  <c r="EM135" i="60" s="1"/>
  <c r="EM134" i="60" a="1"/>
  <c r="EM134" i="60" s="1"/>
  <c r="K135" i="60" a="1"/>
  <c r="K135" i="60" s="1"/>
  <c r="K134" i="60" a="1"/>
  <c r="K134" i="60" s="1"/>
  <c r="J140" i="60" s="1"/>
  <c r="BL135" i="60" a="1"/>
  <c r="BL135" i="60" s="1"/>
  <c r="BL134" i="60" a="1"/>
  <c r="BL134" i="60" s="1"/>
  <c r="R142" i="60" s="1"/>
  <c r="AL135" i="60" a="1"/>
  <c r="AL135" i="60" s="1"/>
  <c r="AL134" i="60" a="1"/>
  <c r="AL134" i="60" s="1"/>
  <c r="N141" i="60" s="1"/>
  <c r="BI135" i="60" a="1"/>
  <c r="BI135" i="60" s="1"/>
  <c r="BI134" i="60" a="1"/>
  <c r="BI134" i="60" s="1"/>
  <c r="O142" i="60" s="1"/>
  <c r="BJ135" i="60" a="1"/>
  <c r="BJ135" i="60" s="1"/>
  <c r="BJ134" i="60" a="1"/>
  <c r="BJ134" i="60" s="1"/>
  <c r="P142" i="60" s="1"/>
  <c r="CG135" i="60" a="1"/>
  <c r="CG135" i="60" s="1"/>
  <c r="CG134" i="60" a="1"/>
  <c r="CG134" i="60" s="1"/>
  <c r="Q143" i="60" s="1"/>
  <c r="AI134" i="60" a="1"/>
  <c r="AI134" i="60" s="1"/>
  <c r="K141" i="60" s="1"/>
  <c r="K145" i="60" s="1"/>
  <c r="AI135" i="60" a="1"/>
  <c r="AI135" i="60" s="1"/>
  <c r="DF134" i="60" a="1"/>
  <c r="DF134" i="60" s="1"/>
  <c r="T144" i="60" s="1"/>
  <c r="DF135" i="60" a="1"/>
  <c r="DF135" i="60" s="1"/>
  <c r="BO135" i="60" a="1"/>
  <c r="BO135" i="60" s="1"/>
  <c r="BO134" i="60" a="1"/>
  <c r="BO134" i="60" s="1"/>
  <c r="U142" i="60" s="1"/>
  <c r="V135" i="60" a="1"/>
  <c r="V135" i="60" s="1"/>
  <c r="V134" i="60" a="1"/>
  <c r="V134" i="60" s="1"/>
  <c r="U140" i="60" s="1"/>
  <c r="EG135" i="60" a="1"/>
  <c r="EG135" i="60" s="1"/>
  <c r="EG134" i="60" a="1"/>
  <c r="EG134" i="60" s="1"/>
  <c r="FA134" i="60" a="1"/>
  <c r="FA134" i="60" s="1"/>
  <c r="BA135" i="60" a="1"/>
  <c r="BA135" i="60" s="1"/>
  <c r="BA134" i="60" a="1"/>
  <c r="BA134" i="60" s="1"/>
  <c r="G142" i="60" s="1"/>
  <c r="BB135" i="60" a="1"/>
  <c r="BB135" i="60" s="1"/>
  <c r="BB134" i="60" a="1"/>
  <c r="BB134" i="60" s="1"/>
  <c r="H142" i="60" s="1"/>
  <c r="BD135" i="60" a="1"/>
  <c r="BD135" i="60" s="1"/>
  <c r="BD134" i="60" a="1"/>
  <c r="BD134" i="60" s="1"/>
  <c r="J142" i="60" s="1"/>
  <c r="AP135" i="60" a="1"/>
  <c r="AP135" i="60" s="1"/>
  <c r="AP134" i="60" a="1"/>
  <c r="AP134" i="60" s="1"/>
  <c r="R141" i="60" s="1"/>
  <c r="O134" i="60" a="1"/>
  <c r="O134" i="60" s="1"/>
  <c r="N140" i="60" s="1"/>
  <c r="O135" i="60" a="1"/>
  <c r="O135" i="60" s="1"/>
  <c r="AM135" i="60" a="1"/>
  <c r="AM135" i="60" s="1"/>
  <c r="AM134" i="60" a="1"/>
  <c r="AM134" i="60" s="1"/>
  <c r="O141" i="60" s="1"/>
  <c r="AN135" i="60" a="1"/>
  <c r="AN135" i="60" s="1"/>
  <c r="AN134" i="60" a="1"/>
  <c r="AN134" i="60" s="1"/>
  <c r="P141" i="60" s="1"/>
  <c r="BK135" i="60" a="1"/>
  <c r="BK135" i="60" s="1"/>
  <c r="BK134" i="60" a="1"/>
  <c r="BK134" i="60" s="1"/>
  <c r="Q142" i="60" s="1"/>
  <c r="Q146" i="60" s="1"/>
  <c r="H5" i="46"/>
  <c r="H6" i="46"/>
  <c r="H7" i="46"/>
  <c r="H8" i="46"/>
  <c r="H9" i="46"/>
  <c r="H10" i="46"/>
  <c r="H11" i="46"/>
  <c r="H12" i="46"/>
  <c r="H13" i="46"/>
  <c r="H14" i="46"/>
  <c r="H15" i="46"/>
  <c r="H16" i="46"/>
  <c r="H17" i="46"/>
  <c r="H18" i="46"/>
  <c r="H19" i="46"/>
  <c r="H20" i="46"/>
  <c r="H21" i="46"/>
  <c r="H22" i="46"/>
  <c r="H23" i="46"/>
  <c r="H24" i="46"/>
  <c r="H25" i="46"/>
  <c r="H26" i="46"/>
  <c r="H27" i="46"/>
  <c r="H28" i="46"/>
  <c r="H29" i="46"/>
  <c r="H30" i="46"/>
  <c r="H31" i="46"/>
  <c r="H32" i="46"/>
  <c r="H33" i="46"/>
  <c r="H34" i="46"/>
  <c r="H35" i="46"/>
  <c r="H36" i="46"/>
  <c r="H37" i="46"/>
  <c r="H38" i="46"/>
  <c r="H39" i="46"/>
  <c r="H40" i="46"/>
  <c r="H41" i="46"/>
  <c r="H42" i="46"/>
  <c r="H43" i="46"/>
  <c r="H44" i="46"/>
  <c r="H45" i="46"/>
  <c r="H46" i="46"/>
  <c r="H47" i="46"/>
  <c r="H48" i="46"/>
  <c r="H49" i="46"/>
  <c r="H50" i="46"/>
  <c r="H51" i="46"/>
  <c r="H52" i="46"/>
  <c r="H53" i="46"/>
  <c r="H54"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H129" i="46"/>
  <c r="H130" i="46"/>
  <c r="H131" i="46"/>
  <c r="H132" i="46"/>
  <c r="H133" i="46"/>
  <c r="H134" i="46"/>
  <c r="H135" i="46"/>
  <c r="H136" i="46"/>
  <c r="H137" i="46"/>
  <c r="H138" i="46"/>
  <c r="H139" i="46"/>
  <c r="H140" i="46"/>
  <c r="H141" i="46"/>
  <c r="H142" i="46"/>
  <c r="H143" i="46"/>
  <c r="H144" i="46"/>
  <c r="H145" i="46"/>
  <c r="H146" i="46"/>
  <c r="H147" i="46"/>
  <c r="H148" i="46"/>
  <c r="H149" i="46"/>
  <c r="H150" i="46"/>
  <c r="H151" i="46"/>
  <c r="H152" i="46"/>
  <c r="H153" i="46"/>
  <c r="H154" i="46"/>
  <c r="H155" i="46"/>
  <c r="H156" i="46"/>
  <c r="H157" i="46"/>
  <c r="H158" i="46"/>
  <c r="H159" i="46"/>
  <c r="H160" i="46"/>
  <c r="H161" i="46"/>
  <c r="H162" i="46"/>
  <c r="H163" i="46"/>
  <c r="H164" i="46"/>
  <c r="H165" i="46"/>
  <c r="H166" i="46"/>
  <c r="H167" i="46"/>
  <c r="H168" i="46"/>
  <c r="H169" i="46"/>
  <c r="H170" i="46"/>
  <c r="H171" i="46"/>
  <c r="H172" i="46"/>
  <c r="H173"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H200" i="46"/>
  <c r="H201" i="46"/>
  <c r="H202" i="46"/>
  <c r="H203" i="46"/>
  <c r="H204" i="46"/>
  <c r="H205" i="46"/>
  <c r="H206" i="46"/>
  <c r="H207" i="46"/>
  <c r="H208" i="46"/>
  <c r="H209" i="46"/>
  <c r="H210" i="46"/>
  <c r="H211" i="46"/>
  <c r="H212" i="46"/>
  <c r="H213" i="46"/>
  <c r="H214" i="46"/>
  <c r="H215" i="46"/>
  <c r="H216" i="46"/>
  <c r="H217" i="46"/>
  <c r="H218" i="46"/>
  <c r="H219" i="46"/>
  <c r="H220" i="46"/>
  <c r="H221" i="46"/>
  <c r="I147" i="60" l="1"/>
  <c r="K28" i="86"/>
  <c r="Q28" i="86" s="1"/>
  <c r="K30" i="87"/>
  <c r="Q30" i="87" s="1"/>
  <c r="K32" i="88"/>
  <c r="Q32" i="88" s="1"/>
  <c r="H146" i="60"/>
  <c r="D150" i="60"/>
  <c r="I216" i="60"/>
  <c r="I217" i="60" s="1" a="1"/>
  <c r="I217" i="60" s="1"/>
  <c r="H218" i="60" a="1"/>
  <c r="H218" i="60" s="1"/>
  <c r="G218" i="60" a="1"/>
  <c r="G218" i="60" s="1"/>
  <c r="F150" i="60"/>
  <c r="E148" i="60"/>
  <c r="E150" i="60"/>
  <c r="F145" i="60"/>
  <c r="F146" i="60"/>
  <c r="F147" i="60"/>
  <c r="F148" i="60"/>
  <c r="K216" i="60"/>
  <c r="L146" i="60"/>
  <c r="M216" i="60"/>
  <c r="E217" i="60" a="1"/>
  <c r="E217" i="60" s="1"/>
  <c r="E218" i="60" a="1"/>
  <c r="E218" i="60" s="1"/>
  <c r="L216" i="60"/>
  <c r="N216" i="60"/>
  <c r="F217" i="60" a="1"/>
  <c r="F217" i="60" s="1"/>
  <c r="P150" i="60"/>
  <c r="K148" i="60"/>
  <c r="P146" i="60"/>
  <c r="O150" i="60"/>
  <c r="O146" i="60"/>
  <c r="W146" i="60"/>
  <c r="W150" i="60"/>
  <c r="P145" i="60"/>
  <c r="K146" i="60"/>
  <c r="P148" i="60"/>
  <c r="O145" i="60"/>
  <c r="O148" i="60"/>
  <c r="K147" i="60"/>
  <c r="V150" i="60"/>
  <c r="V146" i="60"/>
  <c r="V148" i="60"/>
  <c r="M148" i="60"/>
  <c r="J146" i="60"/>
  <c r="I150" i="60"/>
  <c r="I146" i="60"/>
  <c r="I148" i="60"/>
  <c r="W148" i="60"/>
  <c r="D146" i="60"/>
  <c r="D149" i="60" s="1"/>
  <c r="E146" i="60"/>
  <c r="V147" i="60"/>
  <c r="I145" i="60"/>
  <c r="S150" i="60"/>
  <c r="Q148" i="60"/>
  <c r="S148" i="60"/>
  <c r="S147" i="60"/>
  <c r="W145" i="60"/>
  <c r="Q147" i="60"/>
  <c r="W147" i="60"/>
  <c r="M146" i="60"/>
  <c r="G145" i="60"/>
  <c r="G146" i="60"/>
  <c r="T147" i="60"/>
  <c r="R146" i="60"/>
  <c r="T150" i="60"/>
  <c r="G148" i="60"/>
  <c r="R147" i="60"/>
  <c r="R145" i="60"/>
  <c r="T148" i="60"/>
  <c r="G147" i="60"/>
  <c r="R148" i="60"/>
  <c r="T145" i="60"/>
  <c r="J150" i="60"/>
  <c r="H150" i="60"/>
  <c r="S146" i="60"/>
  <c r="J145" i="60"/>
  <c r="G150" i="60"/>
  <c r="N145" i="60"/>
  <c r="U145" i="60"/>
  <c r="P147" i="60"/>
  <c r="U150" i="60"/>
  <c r="N150" i="60"/>
  <c r="R150" i="60"/>
  <c r="M147" i="60"/>
  <c r="J148" i="60"/>
  <c r="N148" i="60"/>
  <c r="E145" i="60"/>
  <c r="S145" i="60"/>
  <c r="V145" i="60"/>
  <c r="O147" i="60"/>
  <c r="Q145" i="60"/>
  <c r="U146" i="60"/>
  <c r="M145" i="60"/>
  <c r="U148" i="60"/>
  <c r="E147" i="60"/>
  <c r="T146" i="60"/>
  <c r="N146" i="60"/>
  <c r="L145" i="60"/>
  <c r="L149" i="60" s="1"/>
  <c r="J147" i="60"/>
  <c r="H148" i="60"/>
  <c r="N147" i="60"/>
  <c r="H145" i="60"/>
  <c r="U147" i="60"/>
  <c r="AO222" i="46"/>
  <c r="AP222" i="46"/>
  <c r="AQ222" i="46"/>
  <c r="AN224" i="46"/>
  <c r="AO224" i="46"/>
  <c r="AP224" i="46"/>
  <c r="AQ224" i="46"/>
  <c r="W222" i="46"/>
  <c r="AN222" i="46" s="1"/>
  <c r="X222" i="46"/>
  <c r="Y222" i="46"/>
  <c r="Z222" i="46"/>
  <c r="AA222" i="46"/>
  <c r="AB222" i="46"/>
  <c r="AC222" i="46"/>
  <c r="AG222" i="46"/>
  <c r="AH222" i="46"/>
  <c r="K5" i="46"/>
  <c r="K6" i="46"/>
  <c r="K7" i="46"/>
  <c r="K8" i="46"/>
  <c r="K9" i="46"/>
  <c r="K10" i="46"/>
  <c r="K11" i="46"/>
  <c r="K12" i="46"/>
  <c r="K13" i="46"/>
  <c r="K14" i="46"/>
  <c r="K15" i="46"/>
  <c r="K16" i="46"/>
  <c r="K17" i="46"/>
  <c r="K18" i="46"/>
  <c r="K19" i="46"/>
  <c r="K20" i="46"/>
  <c r="K21" i="46"/>
  <c r="K22" i="46"/>
  <c r="K23" i="46"/>
  <c r="K24" i="46"/>
  <c r="K25" i="46"/>
  <c r="K26" i="46"/>
  <c r="K27" i="46"/>
  <c r="K28" i="46"/>
  <c r="K29" i="46"/>
  <c r="K30" i="46"/>
  <c r="K31" i="46"/>
  <c r="K32" i="46"/>
  <c r="K33" i="46"/>
  <c r="K34" i="46"/>
  <c r="K35" i="46"/>
  <c r="K36" i="46"/>
  <c r="K37" i="46"/>
  <c r="K38" i="46"/>
  <c r="K39" i="46"/>
  <c r="K40" i="46"/>
  <c r="K41" i="46"/>
  <c r="K42" i="46"/>
  <c r="K43" i="46"/>
  <c r="K44" i="46"/>
  <c r="K45" i="46"/>
  <c r="K46" i="46"/>
  <c r="K47" i="46"/>
  <c r="K48" i="46"/>
  <c r="K49" i="46"/>
  <c r="K50" i="46"/>
  <c r="K51" i="46"/>
  <c r="K52" i="46"/>
  <c r="K53" i="46"/>
  <c r="K54" i="46"/>
  <c r="K55" i="46"/>
  <c r="K56" i="46"/>
  <c r="K57" i="46"/>
  <c r="K58" i="46"/>
  <c r="K59" i="46"/>
  <c r="K60" i="46"/>
  <c r="K61" i="46"/>
  <c r="K62" i="46"/>
  <c r="K63" i="46"/>
  <c r="K64" i="46"/>
  <c r="K65" i="46"/>
  <c r="K66" i="46"/>
  <c r="K67" i="46"/>
  <c r="K68" i="46"/>
  <c r="K69" i="46"/>
  <c r="K70" i="46"/>
  <c r="K71" i="46"/>
  <c r="K72" i="46"/>
  <c r="K73" i="46"/>
  <c r="K74" i="46"/>
  <c r="K75" i="46"/>
  <c r="K76" i="46"/>
  <c r="K77" i="46"/>
  <c r="K78" i="46"/>
  <c r="K79" i="46"/>
  <c r="K80" i="46"/>
  <c r="K81" i="46"/>
  <c r="K82" i="46"/>
  <c r="K83" i="46"/>
  <c r="K84" i="46"/>
  <c r="K85" i="46"/>
  <c r="K86" i="46"/>
  <c r="K87" i="46"/>
  <c r="K88" i="46"/>
  <c r="K89" i="46"/>
  <c r="K90" i="46"/>
  <c r="K91" i="46"/>
  <c r="K92" i="46"/>
  <c r="K93" i="46"/>
  <c r="K94" i="46"/>
  <c r="K95" i="46"/>
  <c r="K96" i="46"/>
  <c r="K97" i="46"/>
  <c r="K98" i="46"/>
  <c r="K99" i="46"/>
  <c r="K100" i="46"/>
  <c r="K101" i="46"/>
  <c r="K102" i="46"/>
  <c r="K103" i="46"/>
  <c r="K104" i="46"/>
  <c r="K105" i="46"/>
  <c r="K106" i="46"/>
  <c r="K107" i="46"/>
  <c r="K108" i="46"/>
  <c r="K109" i="46"/>
  <c r="K110" i="46"/>
  <c r="K111" i="46"/>
  <c r="K112" i="46"/>
  <c r="K113" i="46"/>
  <c r="K114" i="46"/>
  <c r="K115" i="46"/>
  <c r="K116" i="46"/>
  <c r="K117" i="46"/>
  <c r="K118" i="46"/>
  <c r="K119" i="46"/>
  <c r="K120" i="46"/>
  <c r="K121" i="46"/>
  <c r="K122" i="46"/>
  <c r="K123" i="46"/>
  <c r="K124" i="46"/>
  <c r="K125" i="46"/>
  <c r="K126" i="46"/>
  <c r="K127" i="46"/>
  <c r="K128" i="46"/>
  <c r="K129" i="46"/>
  <c r="K130" i="46"/>
  <c r="K131" i="46"/>
  <c r="K132" i="46"/>
  <c r="K133" i="46"/>
  <c r="K134" i="46"/>
  <c r="K135" i="46"/>
  <c r="K136" i="46"/>
  <c r="K137" i="46"/>
  <c r="K138" i="46"/>
  <c r="K139" i="46"/>
  <c r="K140" i="46"/>
  <c r="K141" i="46"/>
  <c r="K142" i="46"/>
  <c r="K143" i="46"/>
  <c r="K144" i="46"/>
  <c r="K145" i="46"/>
  <c r="K146" i="46"/>
  <c r="K147" i="46"/>
  <c r="K148" i="46"/>
  <c r="F120" i="98" s="1"/>
  <c r="K149" i="46"/>
  <c r="K150" i="46"/>
  <c r="K151" i="46"/>
  <c r="F63" i="98" s="1"/>
  <c r="K152" i="46"/>
  <c r="K153" i="46"/>
  <c r="K154" i="46"/>
  <c r="K155" i="46"/>
  <c r="K156" i="46"/>
  <c r="F57" i="98" s="1"/>
  <c r="K157" i="46"/>
  <c r="F131" i="98" s="1"/>
  <c r="K158" i="46"/>
  <c r="K159" i="46"/>
  <c r="K160" i="46"/>
  <c r="K161" i="46"/>
  <c r="K162" i="46"/>
  <c r="K163" i="46"/>
  <c r="F121" i="98" s="1"/>
  <c r="K164" i="46"/>
  <c r="F41" i="98" s="1"/>
  <c r="K165" i="46"/>
  <c r="K166" i="46"/>
  <c r="K167" i="46"/>
  <c r="K168" i="46"/>
  <c r="K169" i="46"/>
  <c r="F132" i="98" s="1"/>
  <c r="K170" i="46"/>
  <c r="F137" i="98" s="1"/>
  <c r="K171" i="46"/>
  <c r="K172" i="46"/>
  <c r="K173" i="46"/>
  <c r="F77" i="98" s="1"/>
  <c r="K174" i="46"/>
  <c r="F70" i="98" s="1"/>
  <c r="K175" i="46"/>
  <c r="K176" i="46"/>
  <c r="K177" i="46"/>
  <c r="F71" i="98" s="1"/>
  <c r="K178" i="46"/>
  <c r="F51" i="98" s="1"/>
  <c r="K179" i="46"/>
  <c r="F111" i="98" s="1"/>
  <c r="K180" i="46"/>
  <c r="F152" i="98" s="1"/>
  <c r="K181" i="46"/>
  <c r="K182" i="46"/>
  <c r="K183" i="46"/>
  <c r="F31" i="98" s="1"/>
  <c r="K184" i="46"/>
  <c r="K185" i="46"/>
  <c r="F19" i="98" s="1"/>
  <c r="K186" i="46"/>
  <c r="F55" i="98" s="1"/>
  <c r="K187" i="46"/>
  <c r="F13" i="98" s="1"/>
  <c r="K188" i="46"/>
  <c r="F50" i="98" s="1"/>
  <c r="K189" i="46"/>
  <c r="K190" i="46"/>
  <c r="F110" i="98" s="1"/>
  <c r="K191" i="46"/>
  <c r="F11" i="98" s="1"/>
  <c r="K192" i="46"/>
  <c r="K193" i="46"/>
  <c r="F140" i="98" s="1"/>
  <c r="K194" i="46"/>
  <c r="K195" i="46"/>
  <c r="K196" i="46"/>
  <c r="F64" i="98" s="1"/>
  <c r="K197" i="46"/>
  <c r="F43" i="98" s="1"/>
  <c r="K198" i="46"/>
  <c r="F153" i="98" s="1"/>
  <c r="K199" i="46"/>
  <c r="F67" i="98" s="1"/>
  <c r="K200" i="46"/>
  <c r="F89" i="98" s="1"/>
  <c r="K201" i="46"/>
  <c r="K202" i="46"/>
  <c r="F114" i="98" s="1"/>
  <c r="K203" i="46"/>
  <c r="F141" i="98" s="1"/>
  <c r="K204" i="46"/>
  <c r="K205" i="46"/>
  <c r="K206" i="46"/>
  <c r="K207" i="46"/>
  <c r="K208" i="46"/>
  <c r="K209" i="46"/>
  <c r="K210" i="46"/>
  <c r="K211" i="46"/>
  <c r="K212" i="46"/>
  <c r="K213" i="46"/>
  <c r="K214" i="46"/>
  <c r="K215" i="46"/>
  <c r="K216" i="46"/>
  <c r="K217" i="46"/>
  <c r="K218" i="46"/>
  <c r="K219" i="46"/>
  <c r="K220" i="46"/>
  <c r="K221" i="46"/>
  <c r="K4" i="46"/>
  <c r="L4" i="46"/>
  <c r="N12" i="46"/>
  <c r="W12" i="46" s="1"/>
  <c r="O12" i="46"/>
  <c r="X12" i="46" s="1"/>
  <c r="AK12" i="46" s="1"/>
  <c r="P12" i="46"/>
  <c r="Y12" i="46" s="1"/>
  <c r="Q12" i="46"/>
  <c r="Z12" i="46" s="1"/>
  <c r="AL12" i="46" s="1"/>
  <c r="R12" i="46"/>
  <c r="AA12" i="46" s="1"/>
  <c r="AM12" i="46" s="1"/>
  <c r="S12" i="46"/>
  <c r="AB12" i="46" s="1"/>
  <c r="T12" i="46"/>
  <c r="AC12" i="46" s="1"/>
  <c r="U12" i="46"/>
  <c r="V12" i="46"/>
  <c r="N13" i="46"/>
  <c r="W13" i="46" s="1"/>
  <c r="O13" i="46"/>
  <c r="X13" i="46" s="1"/>
  <c r="AK13" i="46" s="1"/>
  <c r="P13" i="46"/>
  <c r="Y13" i="46" s="1"/>
  <c r="Q13" i="46"/>
  <c r="Z13" i="46" s="1"/>
  <c r="AL13" i="46" s="1"/>
  <c r="R13" i="46"/>
  <c r="AA13" i="46" s="1"/>
  <c r="AM13" i="46" s="1"/>
  <c r="S13" i="46"/>
  <c r="AB13" i="46" s="1"/>
  <c r="T13" i="46"/>
  <c r="AC13" i="46" s="1"/>
  <c r="U13" i="46"/>
  <c r="V13" i="46"/>
  <c r="N14" i="46"/>
  <c r="W14" i="46" s="1"/>
  <c r="O14" i="46"/>
  <c r="X14" i="46" s="1"/>
  <c r="AK14" i="46" s="1"/>
  <c r="P14" i="46"/>
  <c r="Y14" i="46" s="1"/>
  <c r="Q14" i="46"/>
  <c r="Z14" i="46" s="1"/>
  <c r="AL14" i="46" s="1"/>
  <c r="R14" i="46"/>
  <c r="AA14" i="46" s="1"/>
  <c r="AM14" i="46" s="1"/>
  <c r="S14" i="46"/>
  <c r="AB14" i="46" s="1"/>
  <c r="T14" i="46"/>
  <c r="AC14" i="46" s="1"/>
  <c r="U14" i="46"/>
  <c r="V14" i="46"/>
  <c r="N15" i="46"/>
  <c r="W15" i="46" s="1"/>
  <c r="O15" i="46"/>
  <c r="X15" i="46" s="1"/>
  <c r="P15" i="46"/>
  <c r="Y15" i="46" s="1"/>
  <c r="Q15" i="46"/>
  <c r="Z15" i="46" s="1"/>
  <c r="R15" i="46"/>
  <c r="AA15" i="46" s="1"/>
  <c r="S15" i="46"/>
  <c r="AB15" i="46" s="1"/>
  <c r="T15" i="46"/>
  <c r="AC15" i="46" s="1"/>
  <c r="U15" i="46"/>
  <c r="V15" i="46"/>
  <c r="N16" i="46"/>
  <c r="W16" i="46" s="1"/>
  <c r="O16" i="46"/>
  <c r="X16" i="46" s="1"/>
  <c r="AK16" i="46" s="1"/>
  <c r="P16" i="46"/>
  <c r="Y16" i="46" s="1"/>
  <c r="Q16" i="46"/>
  <c r="Z16" i="46" s="1"/>
  <c r="AL16" i="46" s="1"/>
  <c r="R16" i="46"/>
  <c r="AA16" i="46" s="1"/>
  <c r="AM16" i="46" s="1"/>
  <c r="S16" i="46"/>
  <c r="AB16" i="46" s="1"/>
  <c r="T16" i="46"/>
  <c r="AC16" i="46" s="1"/>
  <c r="U16" i="46"/>
  <c r="V16" i="46"/>
  <c r="N17" i="46"/>
  <c r="W17" i="46" s="1"/>
  <c r="O17" i="46"/>
  <c r="X17" i="46" s="1"/>
  <c r="AK17" i="46" s="1"/>
  <c r="P17" i="46"/>
  <c r="Y17" i="46" s="1"/>
  <c r="Q17" i="46"/>
  <c r="Z17" i="46" s="1"/>
  <c r="AL17" i="46" s="1"/>
  <c r="R17" i="46"/>
  <c r="AA17" i="46" s="1"/>
  <c r="AM17" i="46" s="1"/>
  <c r="S17" i="46"/>
  <c r="AB17" i="46" s="1"/>
  <c r="T17" i="46"/>
  <c r="AC17" i="46" s="1"/>
  <c r="U17" i="46"/>
  <c r="V17" i="46"/>
  <c r="N18" i="46"/>
  <c r="W18" i="46" s="1"/>
  <c r="O18" i="46"/>
  <c r="X18" i="46" s="1"/>
  <c r="AK18" i="46" s="1"/>
  <c r="P18" i="46"/>
  <c r="Y18" i="46" s="1"/>
  <c r="Q18" i="46"/>
  <c r="Z18" i="46" s="1"/>
  <c r="AL18" i="46" s="1"/>
  <c r="R18" i="46"/>
  <c r="AA18" i="46" s="1"/>
  <c r="AM18" i="46" s="1"/>
  <c r="S18" i="46"/>
  <c r="AB18" i="46" s="1"/>
  <c r="T18" i="46"/>
  <c r="AC18" i="46" s="1"/>
  <c r="U18" i="46"/>
  <c r="V18" i="46"/>
  <c r="N19" i="46"/>
  <c r="W19" i="46" s="1"/>
  <c r="O19" i="46"/>
  <c r="X19" i="46" s="1"/>
  <c r="AK19" i="46" s="1"/>
  <c r="P19" i="46"/>
  <c r="Y19" i="46" s="1"/>
  <c r="Q19" i="46"/>
  <c r="Z19" i="46" s="1"/>
  <c r="AL19" i="46" s="1"/>
  <c r="R19" i="46"/>
  <c r="AA19" i="46" s="1"/>
  <c r="AM19" i="46" s="1"/>
  <c r="S19" i="46"/>
  <c r="AB19" i="46" s="1"/>
  <c r="T19" i="46"/>
  <c r="AC19" i="46" s="1"/>
  <c r="U19" i="46"/>
  <c r="V19" i="46"/>
  <c r="N20" i="46"/>
  <c r="W20" i="46" s="1"/>
  <c r="O20" i="46"/>
  <c r="X20" i="46" s="1"/>
  <c r="P20" i="46"/>
  <c r="Y20" i="46" s="1"/>
  <c r="Q20" i="46"/>
  <c r="Z20" i="46" s="1"/>
  <c r="R20" i="46"/>
  <c r="AA20" i="46" s="1"/>
  <c r="S20" i="46"/>
  <c r="AB20" i="46" s="1"/>
  <c r="T20" i="46"/>
  <c r="AC20" i="46" s="1"/>
  <c r="U20" i="46"/>
  <c r="V20" i="46"/>
  <c r="N22" i="46"/>
  <c r="W22" i="46" s="1"/>
  <c r="O22" i="46"/>
  <c r="X22" i="46" s="1"/>
  <c r="AK22" i="46" s="1"/>
  <c r="N124" i="98" s="1"/>
  <c r="P22" i="46"/>
  <c r="Y22" i="46" s="1"/>
  <c r="Q22" i="46"/>
  <c r="Z22" i="46" s="1"/>
  <c r="AL22" i="46" s="1"/>
  <c r="O124" i="98" s="1"/>
  <c r="R22" i="46"/>
  <c r="AA22" i="46" s="1"/>
  <c r="AM22" i="46" s="1"/>
  <c r="P124" i="98" s="1"/>
  <c r="S22" i="46"/>
  <c r="AB22" i="46" s="1"/>
  <c r="T22" i="46"/>
  <c r="AC22" i="46" s="1"/>
  <c r="U22" i="46"/>
  <c r="V22" i="46"/>
  <c r="N24" i="46"/>
  <c r="W24" i="46" s="1"/>
  <c r="O24" i="46"/>
  <c r="X24" i="46" s="1"/>
  <c r="P24" i="46"/>
  <c r="Y24" i="46" s="1"/>
  <c r="Q24" i="46"/>
  <c r="Z24" i="46" s="1"/>
  <c r="R24" i="46"/>
  <c r="AA24" i="46" s="1"/>
  <c r="S24" i="46"/>
  <c r="AB24" i="46" s="1"/>
  <c r="T24" i="46"/>
  <c r="AC24" i="46" s="1"/>
  <c r="U24" i="46"/>
  <c r="V24" i="46"/>
  <c r="N25" i="46"/>
  <c r="W25" i="46" s="1"/>
  <c r="O25" i="46"/>
  <c r="X25" i="46" s="1"/>
  <c r="AK25" i="46" s="1"/>
  <c r="P25" i="46"/>
  <c r="Y25" i="46" s="1"/>
  <c r="Q25" i="46"/>
  <c r="Z25" i="46" s="1"/>
  <c r="AL25" i="46" s="1"/>
  <c r="R25" i="46"/>
  <c r="AA25" i="46" s="1"/>
  <c r="AM25" i="46" s="1"/>
  <c r="S25" i="46"/>
  <c r="AB25" i="46" s="1"/>
  <c r="T25" i="46"/>
  <c r="AC25" i="46" s="1"/>
  <c r="U25" i="46"/>
  <c r="V25" i="46"/>
  <c r="N27" i="46"/>
  <c r="W27" i="46" s="1"/>
  <c r="O27" i="46"/>
  <c r="X27" i="46" s="1"/>
  <c r="AK27" i="46" s="1"/>
  <c r="P27" i="46"/>
  <c r="Y27" i="46" s="1"/>
  <c r="Q27" i="46"/>
  <c r="Z27" i="46" s="1"/>
  <c r="AL27" i="46" s="1"/>
  <c r="R27" i="46"/>
  <c r="AA27" i="46" s="1"/>
  <c r="AM27" i="46" s="1"/>
  <c r="S27" i="46"/>
  <c r="AB27" i="46" s="1"/>
  <c r="T27" i="46"/>
  <c r="AC27" i="46" s="1"/>
  <c r="U27" i="46"/>
  <c r="V27" i="46"/>
  <c r="N28" i="46"/>
  <c r="W28" i="46" s="1"/>
  <c r="O28" i="46"/>
  <c r="X28" i="46" s="1"/>
  <c r="AK28" i="46" s="1"/>
  <c r="P28" i="46"/>
  <c r="Y28" i="46" s="1"/>
  <c r="Q28" i="46"/>
  <c r="Z28" i="46" s="1"/>
  <c r="AL28" i="46" s="1"/>
  <c r="R28" i="46"/>
  <c r="AA28" i="46" s="1"/>
  <c r="AM28" i="46" s="1"/>
  <c r="S28" i="46"/>
  <c r="AB28" i="46" s="1"/>
  <c r="T28" i="46"/>
  <c r="AC28" i="46" s="1"/>
  <c r="U28" i="46"/>
  <c r="V28" i="46"/>
  <c r="N30" i="46"/>
  <c r="W30" i="46" s="1"/>
  <c r="O30" i="46"/>
  <c r="X30" i="46" s="1"/>
  <c r="P30" i="46"/>
  <c r="Y30" i="46" s="1"/>
  <c r="Q30" i="46"/>
  <c r="Z30" i="46" s="1"/>
  <c r="R30" i="46"/>
  <c r="AA30" i="46" s="1"/>
  <c r="S30" i="46"/>
  <c r="AB30" i="46" s="1"/>
  <c r="T30" i="46"/>
  <c r="AC30" i="46" s="1"/>
  <c r="U30" i="46"/>
  <c r="V30" i="46"/>
  <c r="N33" i="46"/>
  <c r="W33" i="46" s="1"/>
  <c r="O33" i="46"/>
  <c r="X33" i="46" s="1"/>
  <c r="AK33" i="46" s="1"/>
  <c r="P33" i="46"/>
  <c r="Y33" i="46" s="1"/>
  <c r="Q33" i="46"/>
  <c r="Z33" i="46" s="1"/>
  <c r="AL33" i="46" s="1"/>
  <c r="R33" i="46"/>
  <c r="AA33" i="46" s="1"/>
  <c r="AM33" i="46" s="1"/>
  <c r="S33" i="46"/>
  <c r="AB33" i="46" s="1"/>
  <c r="T33" i="46"/>
  <c r="AC33" i="46" s="1"/>
  <c r="U33" i="46"/>
  <c r="V33" i="46"/>
  <c r="N36" i="46"/>
  <c r="W36" i="46" s="1"/>
  <c r="O36" i="46"/>
  <c r="X36" i="46" s="1"/>
  <c r="AK36" i="46" s="1"/>
  <c r="P36" i="46"/>
  <c r="Y36" i="46" s="1"/>
  <c r="Q36" i="46"/>
  <c r="Z36" i="46" s="1"/>
  <c r="AL36" i="46" s="1"/>
  <c r="R36" i="46"/>
  <c r="AA36" i="46" s="1"/>
  <c r="AM36" i="46" s="1"/>
  <c r="S36" i="46"/>
  <c r="AB36" i="46" s="1"/>
  <c r="T36" i="46"/>
  <c r="AC36" i="46" s="1"/>
  <c r="U36" i="46"/>
  <c r="V36" i="46"/>
  <c r="N37" i="46"/>
  <c r="W37" i="46" s="1"/>
  <c r="O37" i="46"/>
  <c r="X37" i="46" s="1"/>
  <c r="AK37" i="46" s="1"/>
  <c r="AR37" i="46" s="1"/>
  <c r="P37" i="46"/>
  <c r="Y37" i="46" s="1"/>
  <c r="Q37" i="46"/>
  <c r="Z37" i="46" s="1"/>
  <c r="N36" i="67" s="1"/>
  <c r="R37" i="46"/>
  <c r="AA37" i="46" s="1"/>
  <c r="AM37" i="46" s="1"/>
  <c r="AT37" i="46" s="1"/>
  <c r="S37" i="46"/>
  <c r="AB37" i="46" s="1"/>
  <c r="T37" i="46"/>
  <c r="AC37" i="46" s="1"/>
  <c r="U37" i="46"/>
  <c r="V37" i="46"/>
  <c r="N38" i="46"/>
  <c r="W38" i="46" s="1"/>
  <c r="O38" i="46"/>
  <c r="X38" i="46" s="1"/>
  <c r="AK38" i="46" s="1"/>
  <c r="P38" i="46"/>
  <c r="Y38" i="46" s="1"/>
  <c r="Q38" i="46"/>
  <c r="Z38" i="46" s="1"/>
  <c r="AL38" i="46" s="1"/>
  <c r="R38" i="46"/>
  <c r="AA38" i="46" s="1"/>
  <c r="AM38" i="46" s="1"/>
  <c r="S38" i="46"/>
  <c r="AB38" i="46" s="1"/>
  <c r="T38" i="46"/>
  <c r="AC38" i="46" s="1"/>
  <c r="U38" i="46"/>
  <c r="V38" i="46"/>
  <c r="N39" i="46"/>
  <c r="W39" i="46" s="1"/>
  <c r="O39" i="46"/>
  <c r="X39" i="46" s="1"/>
  <c r="AK39" i="46" s="1"/>
  <c r="P39" i="46"/>
  <c r="Y39" i="46" s="1"/>
  <c r="Q39" i="46"/>
  <c r="Z39" i="46" s="1"/>
  <c r="AL39" i="46" s="1"/>
  <c r="R39" i="46"/>
  <c r="AA39" i="46" s="1"/>
  <c r="AM39" i="46" s="1"/>
  <c r="S39" i="46"/>
  <c r="AB39" i="46" s="1"/>
  <c r="T39" i="46"/>
  <c r="AC39" i="46" s="1"/>
  <c r="U39" i="46"/>
  <c r="V39" i="46"/>
  <c r="N40" i="46"/>
  <c r="W40" i="46" s="1"/>
  <c r="O40" i="46"/>
  <c r="X40" i="46" s="1"/>
  <c r="AK40" i="46" s="1"/>
  <c r="P40" i="46"/>
  <c r="Y40" i="46" s="1"/>
  <c r="Q40" i="46"/>
  <c r="Z40" i="46" s="1"/>
  <c r="AL40" i="46" s="1"/>
  <c r="R40" i="46"/>
  <c r="AA40" i="46" s="1"/>
  <c r="AM40" i="46" s="1"/>
  <c r="S40" i="46"/>
  <c r="AB40" i="46" s="1"/>
  <c r="T40" i="46"/>
  <c r="AC40" i="46" s="1"/>
  <c r="U40" i="46"/>
  <c r="V40" i="46"/>
  <c r="N41" i="46"/>
  <c r="W41" i="46" s="1"/>
  <c r="O41" i="46"/>
  <c r="X41" i="46" s="1"/>
  <c r="P41" i="46"/>
  <c r="Y41" i="46" s="1"/>
  <c r="Q41" i="46"/>
  <c r="Z41" i="46" s="1"/>
  <c r="R41" i="46"/>
  <c r="AA41" i="46" s="1"/>
  <c r="AM41" i="46" s="1"/>
  <c r="P115" i="98" s="1"/>
  <c r="S41" i="46"/>
  <c r="AB41" i="46" s="1"/>
  <c r="T41" i="46"/>
  <c r="AC41" i="46" s="1"/>
  <c r="U41" i="46"/>
  <c r="V41" i="46"/>
  <c r="N42" i="46"/>
  <c r="W42" i="46" s="1"/>
  <c r="O42" i="46"/>
  <c r="X42" i="46" s="1"/>
  <c r="AK42" i="46" s="1"/>
  <c r="P42" i="46"/>
  <c r="Y42" i="46" s="1"/>
  <c r="Q42" i="46"/>
  <c r="Z42" i="46" s="1"/>
  <c r="AL42" i="46" s="1"/>
  <c r="R42" i="46"/>
  <c r="AA42" i="46" s="1"/>
  <c r="AM42" i="46" s="1"/>
  <c r="S42" i="46"/>
  <c r="AB42" i="46" s="1"/>
  <c r="T42" i="46"/>
  <c r="AC42" i="46" s="1"/>
  <c r="U42" i="46"/>
  <c r="V42" i="46"/>
  <c r="N43" i="46"/>
  <c r="W43" i="46" s="1"/>
  <c r="O43" i="46"/>
  <c r="X43" i="46" s="1"/>
  <c r="AK43" i="46" s="1"/>
  <c r="P43" i="46"/>
  <c r="Y43" i="46" s="1"/>
  <c r="Q43" i="46"/>
  <c r="Z43" i="46" s="1"/>
  <c r="AL43" i="46" s="1"/>
  <c r="R43" i="46"/>
  <c r="AA43" i="46" s="1"/>
  <c r="AM43" i="46" s="1"/>
  <c r="S43" i="46"/>
  <c r="AB43" i="46" s="1"/>
  <c r="T43" i="46"/>
  <c r="AC43" i="46" s="1"/>
  <c r="U43" i="46"/>
  <c r="V43" i="46"/>
  <c r="N44" i="46"/>
  <c r="W44" i="46" s="1"/>
  <c r="O44" i="46"/>
  <c r="X44" i="46" s="1"/>
  <c r="AK44" i="46" s="1"/>
  <c r="P44" i="46"/>
  <c r="Y44" i="46" s="1"/>
  <c r="Q44" i="46"/>
  <c r="Z44" i="46" s="1"/>
  <c r="AL44" i="46" s="1"/>
  <c r="R44" i="46"/>
  <c r="AA44" i="46" s="1"/>
  <c r="AM44" i="46" s="1"/>
  <c r="S44" i="46"/>
  <c r="AB44" i="46" s="1"/>
  <c r="T44" i="46"/>
  <c r="AC44" i="46" s="1"/>
  <c r="U44" i="46"/>
  <c r="V44" i="46"/>
  <c r="N45" i="46"/>
  <c r="W45" i="46" s="1"/>
  <c r="O45" i="46"/>
  <c r="X45" i="46" s="1"/>
  <c r="AK45" i="46" s="1"/>
  <c r="P45" i="46"/>
  <c r="Y45" i="46" s="1"/>
  <c r="Q45" i="46"/>
  <c r="Z45" i="46" s="1"/>
  <c r="R45" i="46"/>
  <c r="AA45" i="46" s="1"/>
  <c r="AM45" i="46" s="1"/>
  <c r="S45" i="46"/>
  <c r="AB45" i="46" s="1"/>
  <c r="T45" i="46"/>
  <c r="AC45" i="46" s="1"/>
  <c r="U45" i="46"/>
  <c r="V45" i="46"/>
  <c r="N46" i="46"/>
  <c r="W46" i="46" s="1"/>
  <c r="O46" i="46"/>
  <c r="X46" i="46" s="1"/>
  <c r="AK46" i="46" s="1"/>
  <c r="N98" i="98" s="1"/>
  <c r="P46" i="46"/>
  <c r="Y46" i="46" s="1"/>
  <c r="Q46" i="46"/>
  <c r="Z46" i="46" s="1"/>
  <c r="AL46" i="46" s="1"/>
  <c r="O98" i="98" s="1"/>
  <c r="R46" i="46"/>
  <c r="AA46" i="46" s="1"/>
  <c r="AM46" i="46" s="1"/>
  <c r="P98" i="98" s="1"/>
  <c r="S46" i="46"/>
  <c r="AB46" i="46" s="1"/>
  <c r="T46" i="46"/>
  <c r="AC46" i="46" s="1"/>
  <c r="U46" i="46"/>
  <c r="V46" i="46"/>
  <c r="N48" i="46"/>
  <c r="W48" i="46" s="1"/>
  <c r="O48" i="46"/>
  <c r="X48" i="46" s="1"/>
  <c r="AK48" i="46" s="1"/>
  <c r="P48" i="46"/>
  <c r="Y48" i="46" s="1"/>
  <c r="Q48" i="46"/>
  <c r="Z48" i="46" s="1"/>
  <c r="AL48" i="46" s="1"/>
  <c r="R48" i="46"/>
  <c r="AA48" i="46" s="1"/>
  <c r="AM48" i="46" s="1"/>
  <c r="S48" i="46"/>
  <c r="AB48" i="46" s="1"/>
  <c r="T48" i="46"/>
  <c r="AC48" i="46" s="1"/>
  <c r="U48" i="46"/>
  <c r="V48" i="46"/>
  <c r="N52" i="46"/>
  <c r="W52" i="46" s="1"/>
  <c r="O52" i="46"/>
  <c r="X52" i="46" s="1"/>
  <c r="AK52" i="46" s="1"/>
  <c r="N113" i="98" s="1"/>
  <c r="P52" i="46"/>
  <c r="Y52" i="46" s="1"/>
  <c r="Q52" i="46"/>
  <c r="Z52" i="46" s="1"/>
  <c r="AL52" i="46" s="1"/>
  <c r="O113" i="98" s="1"/>
  <c r="R52" i="46"/>
  <c r="AA52" i="46" s="1"/>
  <c r="AM52" i="46" s="1"/>
  <c r="P113" i="98" s="1"/>
  <c r="S52" i="46"/>
  <c r="AB52" i="46" s="1"/>
  <c r="T52" i="46"/>
  <c r="AC52" i="46" s="1"/>
  <c r="U52" i="46"/>
  <c r="V52" i="46"/>
  <c r="N54" i="46"/>
  <c r="W54" i="46" s="1"/>
  <c r="O54" i="46"/>
  <c r="X54" i="46" s="1"/>
  <c r="AK54" i="46" s="1"/>
  <c r="P54" i="46"/>
  <c r="Y54" i="46" s="1"/>
  <c r="Q54" i="46"/>
  <c r="Z54" i="46" s="1"/>
  <c r="AL54" i="46" s="1"/>
  <c r="R54" i="46"/>
  <c r="AA54" i="46" s="1"/>
  <c r="AM54" i="46" s="1"/>
  <c r="S54" i="46"/>
  <c r="AB54" i="46" s="1"/>
  <c r="T54" i="46"/>
  <c r="AC54" i="46" s="1"/>
  <c r="U54" i="46"/>
  <c r="V54" i="46"/>
  <c r="N56" i="46"/>
  <c r="W56" i="46" s="1"/>
  <c r="O56" i="46"/>
  <c r="X56" i="46" s="1"/>
  <c r="P56" i="46"/>
  <c r="Y56" i="46" s="1"/>
  <c r="Q56" i="46"/>
  <c r="Z56" i="46" s="1"/>
  <c r="R56" i="46"/>
  <c r="AA56" i="46" s="1"/>
  <c r="S56" i="46"/>
  <c r="AB56" i="46" s="1"/>
  <c r="T56" i="46"/>
  <c r="AC56" i="46" s="1"/>
  <c r="U56" i="46"/>
  <c r="V56" i="46"/>
  <c r="N57" i="46"/>
  <c r="W57" i="46" s="1"/>
  <c r="O57" i="46"/>
  <c r="X57" i="46" s="1"/>
  <c r="P57" i="46"/>
  <c r="Y57" i="46" s="1"/>
  <c r="Q57" i="46"/>
  <c r="Z57" i="46" s="1"/>
  <c r="AL57" i="46" s="1"/>
  <c r="O169" i="98" s="1"/>
  <c r="R57" i="46"/>
  <c r="AA57" i="46" s="1"/>
  <c r="AM57" i="46" s="1"/>
  <c r="S57" i="46"/>
  <c r="AB57" i="46" s="1"/>
  <c r="T57" i="46"/>
  <c r="AC57" i="46" s="1"/>
  <c r="U57" i="46"/>
  <c r="V57" i="46"/>
  <c r="N58" i="46"/>
  <c r="W58" i="46" s="1"/>
  <c r="O58" i="46"/>
  <c r="X58" i="46" s="1"/>
  <c r="AK58" i="46" s="1"/>
  <c r="P58" i="46"/>
  <c r="Y58" i="46" s="1"/>
  <c r="Q58" i="46"/>
  <c r="Z58" i="46" s="1"/>
  <c r="AL58" i="46" s="1"/>
  <c r="R58" i="46"/>
  <c r="AA58" i="46" s="1"/>
  <c r="AM58" i="46" s="1"/>
  <c r="S58" i="46"/>
  <c r="AB58" i="46" s="1"/>
  <c r="T58" i="46"/>
  <c r="AC58" i="46" s="1"/>
  <c r="U58" i="46"/>
  <c r="V58" i="46"/>
  <c r="N64" i="46"/>
  <c r="W64" i="46" s="1"/>
  <c r="O64" i="46"/>
  <c r="X64" i="46" s="1"/>
  <c r="AK64" i="46" s="1"/>
  <c r="P64" i="46"/>
  <c r="Y64" i="46" s="1"/>
  <c r="Q64" i="46"/>
  <c r="Z64" i="46" s="1"/>
  <c r="AL64" i="46" s="1"/>
  <c r="R64" i="46"/>
  <c r="AA64" i="46" s="1"/>
  <c r="AM64" i="46" s="1"/>
  <c r="S64" i="46"/>
  <c r="AB64" i="46" s="1"/>
  <c r="T64" i="46"/>
  <c r="AC64" i="46" s="1"/>
  <c r="U64" i="46"/>
  <c r="V64" i="46"/>
  <c r="N65" i="46"/>
  <c r="W65" i="46" s="1"/>
  <c r="O65" i="46"/>
  <c r="X65" i="46" s="1"/>
  <c r="AK65" i="46" s="1"/>
  <c r="P65" i="46"/>
  <c r="Y65" i="46" s="1"/>
  <c r="Q65" i="46"/>
  <c r="Z65" i="46" s="1"/>
  <c r="AL65" i="46" s="1"/>
  <c r="R65" i="46"/>
  <c r="AA65" i="46" s="1"/>
  <c r="AM65" i="46" s="1"/>
  <c r="S65" i="46"/>
  <c r="AB65" i="46" s="1"/>
  <c r="T65" i="46"/>
  <c r="AC65" i="46" s="1"/>
  <c r="U65" i="46"/>
  <c r="V65" i="46"/>
  <c r="N67" i="46"/>
  <c r="W67" i="46" s="1"/>
  <c r="O67" i="46"/>
  <c r="X67" i="46" s="1"/>
  <c r="AK67" i="46" s="1"/>
  <c r="P67" i="46"/>
  <c r="Y67" i="46" s="1"/>
  <c r="Q67" i="46"/>
  <c r="Z67" i="46" s="1"/>
  <c r="AL67" i="46" s="1"/>
  <c r="R67" i="46"/>
  <c r="AA67" i="46" s="1"/>
  <c r="AM67" i="46" s="1"/>
  <c r="S67" i="46"/>
  <c r="AB67" i="46" s="1"/>
  <c r="T67" i="46"/>
  <c r="AC67" i="46" s="1"/>
  <c r="U67" i="46"/>
  <c r="V67" i="46"/>
  <c r="N68" i="46"/>
  <c r="W68" i="46" s="1"/>
  <c r="O68" i="46"/>
  <c r="X68" i="46" s="1"/>
  <c r="AK68" i="46" s="1"/>
  <c r="P68" i="46"/>
  <c r="Y68" i="46" s="1"/>
  <c r="Q68" i="46"/>
  <c r="Z68" i="46" s="1"/>
  <c r="AL68" i="46" s="1"/>
  <c r="R68" i="46"/>
  <c r="AA68" i="46" s="1"/>
  <c r="AM68" i="46" s="1"/>
  <c r="S68" i="46"/>
  <c r="AB68" i="46" s="1"/>
  <c r="T68" i="46"/>
  <c r="AC68" i="46" s="1"/>
  <c r="U68" i="46"/>
  <c r="V68" i="46"/>
  <c r="N69" i="46"/>
  <c r="W69" i="46" s="1"/>
  <c r="O69" i="46"/>
  <c r="X69" i="46" s="1"/>
  <c r="AK69" i="46" s="1"/>
  <c r="P69" i="46"/>
  <c r="Y69" i="46" s="1"/>
  <c r="Q69" i="46"/>
  <c r="Z69" i="46" s="1"/>
  <c r="AL69" i="46" s="1"/>
  <c r="R69" i="46"/>
  <c r="AA69" i="46" s="1"/>
  <c r="AM69" i="46" s="1"/>
  <c r="S69" i="46"/>
  <c r="AB69" i="46" s="1"/>
  <c r="T69" i="46"/>
  <c r="AC69" i="46" s="1"/>
  <c r="U69" i="46"/>
  <c r="V69" i="46"/>
  <c r="N71" i="46"/>
  <c r="W71" i="46" s="1"/>
  <c r="O71" i="46"/>
  <c r="X71" i="46" s="1"/>
  <c r="AK71" i="46" s="1"/>
  <c r="P71" i="46"/>
  <c r="Y71" i="46" s="1"/>
  <c r="Q71" i="46"/>
  <c r="Z71" i="46" s="1"/>
  <c r="AL71" i="46" s="1"/>
  <c r="R71" i="46"/>
  <c r="AA71" i="46" s="1"/>
  <c r="AM71" i="46" s="1"/>
  <c r="S71" i="46"/>
  <c r="AB71" i="46" s="1"/>
  <c r="T71" i="46"/>
  <c r="AC71" i="46" s="1"/>
  <c r="U71" i="46"/>
  <c r="V71" i="46"/>
  <c r="N72" i="46"/>
  <c r="W72" i="46" s="1"/>
  <c r="O72" i="46"/>
  <c r="X72" i="46" s="1"/>
  <c r="AK72" i="46" s="1"/>
  <c r="P72" i="46"/>
  <c r="Y72" i="46" s="1"/>
  <c r="Q72" i="46"/>
  <c r="Z72" i="46" s="1"/>
  <c r="AL72" i="46" s="1"/>
  <c r="R72" i="46"/>
  <c r="AA72" i="46" s="1"/>
  <c r="AM72" i="46" s="1"/>
  <c r="S72" i="46"/>
  <c r="AB72" i="46" s="1"/>
  <c r="T72" i="46"/>
  <c r="AC72" i="46" s="1"/>
  <c r="U72" i="46"/>
  <c r="V72" i="46"/>
  <c r="N73" i="46"/>
  <c r="W73" i="46" s="1"/>
  <c r="O73" i="46"/>
  <c r="X73" i="46" s="1"/>
  <c r="AK73" i="46" s="1"/>
  <c r="P73" i="46"/>
  <c r="Y73" i="46" s="1"/>
  <c r="Q73" i="46"/>
  <c r="Z73" i="46" s="1"/>
  <c r="AL73" i="46" s="1"/>
  <c r="R73" i="46"/>
  <c r="AA73" i="46" s="1"/>
  <c r="AM73" i="46" s="1"/>
  <c r="S73" i="46"/>
  <c r="AB73" i="46" s="1"/>
  <c r="T73" i="46"/>
  <c r="AC73" i="46" s="1"/>
  <c r="U73" i="46"/>
  <c r="V73" i="46"/>
  <c r="N75" i="46"/>
  <c r="W75" i="46" s="1"/>
  <c r="O75" i="46"/>
  <c r="X75" i="46" s="1"/>
  <c r="AK75" i="46" s="1"/>
  <c r="P75" i="46"/>
  <c r="Y75" i="46" s="1"/>
  <c r="Q75" i="46"/>
  <c r="Z75" i="46" s="1"/>
  <c r="R75" i="46"/>
  <c r="AA75" i="46" s="1"/>
  <c r="AM75" i="46" s="1"/>
  <c r="S75" i="46"/>
  <c r="AB75" i="46" s="1"/>
  <c r="T75" i="46"/>
  <c r="AC75" i="46" s="1"/>
  <c r="U75" i="46"/>
  <c r="V75" i="46"/>
  <c r="N76" i="46"/>
  <c r="W76" i="46" s="1"/>
  <c r="O76" i="46"/>
  <c r="X76" i="46" s="1"/>
  <c r="AK76" i="46" s="1"/>
  <c r="P76" i="46"/>
  <c r="Y76" i="46" s="1"/>
  <c r="Q76" i="46"/>
  <c r="Z76" i="46" s="1"/>
  <c r="AL76" i="46" s="1"/>
  <c r="R76" i="46"/>
  <c r="AA76" i="46" s="1"/>
  <c r="AM76" i="46" s="1"/>
  <c r="S76" i="46"/>
  <c r="AB76" i="46" s="1"/>
  <c r="T76" i="46"/>
  <c r="AC76" i="46" s="1"/>
  <c r="U76" i="46"/>
  <c r="V76" i="46"/>
  <c r="N85" i="46"/>
  <c r="W85" i="46" s="1"/>
  <c r="O85" i="46"/>
  <c r="X85" i="46" s="1"/>
  <c r="AK85" i="46" s="1"/>
  <c r="P85" i="46"/>
  <c r="Y85" i="46" s="1"/>
  <c r="Q85" i="46"/>
  <c r="Z85" i="46" s="1"/>
  <c r="AL85" i="46" s="1"/>
  <c r="R85" i="46"/>
  <c r="AA85" i="46" s="1"/>
  <c r="AM85" i="46" s="1"/>
  <c r="S85" i="46"/>
  <c r="AB85" i="46" s="1"/>
  <c r="T85" i="46"/>
  <c r="AC85" i="46" s="1"/>
  <c r="U85" i="46"/>
  <c r="V85" i="46"/>
  <c r="N86" i="46"/>
  <c r="W86" i="46" s="1"/>
  <c r="O86" i="46"/>
  <c r="X86" i="46" s="1"/>
  <c r="AK86" i="46" s="1"/>
  <c r="P86" i="46"/>
  <c r="Y86" i="46" s="1"/>
  <c r="Q86" i="46"/>
  <c r="Z86" i="46" s="1"/>
  <c r="AL86" i="46" s="1"/>
  <c r="R86" i="46"/>
  <c r="AA86" i="46" s="1"/>
  <c r="AM86" i="46" s="1"/>
  <c r="S86" i="46"/>
  <c r="AB86" i="46" s="1"/>
  <c r="T86" i="46"/>
  <c r="AC86" i="46" s="1"/>
  <c r="U86" i="46"/>
  <c r="V86" i="46"/>
  <c r="N91" i="46"/>
  <c r="W91" i="46" s="1"/>
  <c r="O91" i="46"/>
  <c r="X91" i="46" s="1"/>
  <c r="AK91" i="46" s="1"/>
  <c r="P91" i="46"/>
  <c r="Y91" i="46" s="1"/>
  <c r="Q91" i="46"/>
  <c r="Z91" i="46" s="1"/>
  <c r="AL91" i="46" s="1"/>
  <c r="R91" i="46"/>
  <c r="AA91" i="46" s="1"/>
  <c r="AM91" i="46" s="1"/>
  <c r="S91" i="46"/>
  <c r="AB91" i="46" s="1"/>
  <c r="T91" i="46"/>
  <c r="AC91" i="46" s="1"/>
  <c r="U91" i="46"/>
  <c r="V91" i="46"/>
  <c r="N92" i="46"/>
  <c r="W92" i="46" s="1"/>
  <c r="O92" i="46"/>
  <c r="X92" i="46" s="1"/>
  <c r="AK92" i="46" s="1"/>
  <c r="P92" i="46"/>
  <c r="Y92" i="46" s="1"/>
  <c r="Q92" i="46"/>
  <c r="Z92" i="46" s="1"/>
  <c r="AL92" i="46" s="1"/>
  <c r="R92" i="46"/>
  <c r="AA92" i="46" s="1"/>
  <c r="AM92" i="46" s="1"/>
  <c r="S92" i="46"/>
  <c r="AB92" i="46" s="1"/>
  <c r="T92" i="46"/>
  <c r="AC92" i="46" s="1"/>
  <c r="U92" i="46"/>
  <c r="V92" i="46"/>
  <c r="N96" i="46"/>
  <c r="W96" i="46" s="1"/>
  <c r="O96" i="46"/>
  <c r="X96" i="46" s="1"/>
  <c r="AK96" i="46" s="1"/>
  <c r="P96" i="46"/>
  <c r="Y96" i="46" s="1"/>
  <c r="Q96" i="46"/>
  <c r="Z96" i="46" s="1"/>
  <c r="AL96" i="46" s="1"/>
  <c r="R96" i="46"/>
  <c r="AA96" i="46" s="1"/>
  <c r="AM96" i="46" s="1"/>
  <c r="S96" i="46"/>
  <c r="AB96" i="46" s="1"/>
  <c r="T96" i="46"/>
  <c r="AC96" i="46" s="1"/>
  <c r="U96" i="46"/>
  <c r="V96" i="46"/>
  <c r="N98" i="46"/>
  <c r="W98" i="46" s="1"/>
  <c r="O98" i="46"/>
  <c r="X98" i="46" s="1"/>
  <c r="AK98" i="46" s="1"/>
  <c r="P98" i="46"/>
  <c r="Y98" i="46" s="1"/>
  <c r="Q98" i="46"/>
  <c r="Z98" i="46" s="1"/>
  <c r="AL98" i="46" s="1"/>
  <c r="R98" i="46"/>
  <c r="AA98" i="46" s="1"/>
  <c r="AM98" i="46" s="1"/>
  <c r="S98" i="46"/>
  <c r="AB98" i="46" s="1"/>
  <c r="T98" i="46"/>
  <c r="AC98" i="46" s="1"/>
  <c r="U98" i="46"/>
  <c r="V98" i="46"/>
  <c r="N99" i="46"/>
  <c r="W99" i="46" s="1"/>
  <c r="O99" i="46"/>
  <c r="X99" i="46" s="1"/>
  <c r="AK99" i="46" s="1"/>
  <c r="P99" i="46"/>
  <c r="Y99" i="46" s="1"/>
  <c r="Q99" i="46"/>
  <c r="Z99" i="46" s="1"/>
  <c r="AL99" i="46" s="1"/>
  <c r="R99" i="46"/>
  <c r="AA99" i="46" s="1"/>
  <c r="AM99" i="46" s="1"/>
  <c r="S99" i="46"/>
  <c r="AB99" i="46" s="1"/>
  <c r="T99" i="46"/>
  <c r="AC99" i="46" s="1"/>
  <c r="U99" i="46"/>
  <c r="V99" i="46"/>
  <c r="N101" i="46"/>
  <c r="W101" i="46" s="1"/>
  <c r="O101" i="46"/>
  <c r="X101" i="46" s="1"/>
  <c r="AK101" i="46" s="1"/>
  <c r="P101" i="46"/>
  <c r="Y101" i="46" s="1"/>
  <c r="Q101" i="46"/>
  <c r="Z101" i="46" s="1"/>
  <c r="AL101" i="46" s="1"/>
  <c r="R101" i="46"/>
  <c r="AA101" i="46" s="1"/>
  <c r="AM101" i="46" s="1"/>
  <c r="S101" i="46"/>
  <c r="AB101" i="46" s="1"/>
  <c r="T101" i="46"/>
  <c r="AC101" i="46" s="1"/>
  <c r="U101" i="46"/>
  <c r="V101" i="46"/>
  <c r="N102" i="46"/>
  <c r="W102" i="46" s="1"/>
  <c r="O102" i="46"/>
  <c r="X102" i="46" s="1"/>
  <c r="AK102" i="46" s="1"/>
  <c r="P102" i="46"/>
  <c r="Y102" i="46" s="1"/>
  <c r="Q102" i="46"/>
  <c r="Z102" i="46" s="1"/>
  <c r="AL102" i="46" s="1"/>
  <c r="R102" i="46"/>
  <c r="AA102" i="46" s="1"/>
  <c r="AM102" i="46" s="1"/>
  <c r="S102" i="46"/>
  <c r="AB102" i="46" s="1"/>
  <c r="T102" i="46"/>
  <c r="AC102" i="46" s="1"/>
  <c r="U102" i="46"/>
  <c r="V102" i="46"/>
  <c r="N104" i="46"/>
  <c r="W104" i="46" s="1"/>
  <c r="O104" i="46"/>
  <c r="X104" i="46" s="1"/>
  <c r="AK104" i="46" s="1"/>
  <c r="P104" i="46"/>
  <c r="Y104" i="46" s="1"/>
  <c r="Q104" i="46"/>
  <c r="Z104" i="46" s="1"/>
  <c r="AL104" i="46" s="1"/>
  <c r="R104" i="46"/>
  <c r="AA104" i="46" s="1"/>
  <c r="AM104" i="46" s="1"/>
  <c r="S104" i="46"/>
  <c r="AB104" i="46" s="1"/>
  <c r="T104" i="46"/>
  <c r="AC104" i="46" s="1"/>
  <c r="U104" i="46"/>
  <c r="V104" i="46"/>
  <c r="N105" i="46"/>
  <c r="W105" i="46" s="1"/>
  <c r="O105" i="46"/>
  <c r="X105" i="46" s="1"/>
  <c r="AK105" i="46" s="1"/>
  <c r="P105" i="46"/>
  <c r="Y105" i="46" s="1"/>
  <c r="Q105" i="46"/>
  <c r="Z105" i="46" s="1"/>
  <c r="AL105" i="46" s="1"/>
  <c r="R105" i="46"/>
  <c r="AA105" i="46" s="1"/>
  <c r="AM105" i="46" s="1"/>
  <c r="S105" i="46"/>
  <c r="AB105" i="46" s="1"/>
  <c r="T105" i="46"/>
  <c r="AC105" i="46" s="1"/>
  <c r="U105" i="46"/>
  <c r="V105" i="46"/>
  <c r="N107" i="46"/>
  <c r="W107" i="46" s="1"/>
  <c r="O107" i="46"/>
  <c r="X107" i="46" s="1"/>
  <c r="AK107" i="46" s="1"/>
  <c r="P107" i="46"/>
  <c r="Y107" i="46" s="1"/>
  <c r="Q107" i="46"/>
  <c r="Z107" i="46" s="1"/>
  <c r="AL107" i="46" s="1"/>
  <c r="R107" i="46"/>
  <c r="AA107" i="46" s="1"/>
  <c r="AM107" i="46" s="1"/>
  <c r="S107" i="46"/>
  <c r="AB107" i="46" s="1"/>
  <c r="T107" i="46"/>
  <c r="AC107" i="46" s="1"/>
  <c r="U107" i="46"/>
  <c r="V107" i="46"/>
  <c r="N108" i="46"/>
  <c r="W108" i="46" s="1"/>
  <c r="O108" i="46"/>
  <c r="X108" i="46" s="1"/>
  <c r="AK108" i="46" s="1"/>
  <c r="P108" i="46"/>
  <c r="Y108" i="46" s="1"/>
  <c r="Q108" i="46"/>
  <c r="Z108" i="46" s="1"/>
  <c r="AL108" i="46" s="1"/>
  <c r="R108" i="46"/>
  <c r="AA108" i="46" s="1"/>
  <c r="AM108" i="46" s="1"/>
  <c r="S108" i="46"/>
  <c r="AB108" i="46" s="1"/>
  <c r="T108" i="46"/>
  <c r="AC108" i="46" s="1"/>
  <c r="U108" i="46"/>
  <c r="V108" i="46"/>
  <c r="N109" i="46"/>
  <c r="W109" i="46" s="1"/>
  <c r="O109" i="46"/>
  <c r="X109" i="46" s="1"/>
  <c r="AK109" i="46" s="1"/>
  <c r="P109" i="46"/>
  <c r="Y109" i="46" s="1"/>
  <c r="Q109" i="46"/>
  <c r="Z109" i="46" s="1"/>
  <c r="AL109" i="46" s="1"/>
  <c r="R109" i="46"/>
  <c r="AA109" i="46" s="1"/>
  <c r="AM109" i="46" s="1"/>
  <c r="S109" i="46"/>
  <c r="AB109" i="46" s="1"/>
  <c r="T109" i="46"/>
  <c r="AC109" i="46" s="1"/>
  <c r="U109" i="46"/>
  <c r="V109" i="46"/>
  <c r="N112" i="46"/>
  <c r="W112" i="46" s="1"/>
  <c r="O112" i="46"/>
  <c r="X112" i="46" s="1"/>
  <c r="AK112" i="46" s="1"/>
  <c r="P112" i="46"/>
  <c r="Y112" i="46" s="1"/>
  <c r="Q112" i="46"/>
  <c r="Z112" i="46" s="1"/>
  <c r="AL112" i="46" s="1"/>
  <c r="R112" i="46"/>
  <c r="AA112" i="46" s="1"/>
  <c r="AM112" i="46" s="1"/>
  <c r="S112" i="46"/>
  <c r="AB112" i="46" s="1"/>
  <c r="T112" i="46"/>
  <c r="AC112" i="46" s="1"/>
  <c r="U112" i="46"/>
  <c r="V112" i="46"/>
  <c r="N113" i="46"/>
  <c r="W113" i="46" s="1"/>
  <c r="O113" i="46"/>
  <c r="X113" i="46" s="1"/>
  <c r="AK113" i="46" s="1"/>
  <c r="P113" i="46"/>
  <c r="Y113" i="46" s="1"/>
  <c r="Q113" i="46"/>
  <c r="Z113" i="46" s="1"/>
  <c r="AL113" i="46" s="1"/>
  <c r="R113" i="46"/>
  <c r="AA113" i="46" s="1"/>
  <c r="AM113" i="46" s="1"/>
  <c r="S113" i="46"/>
  <c r="AB113" i="46" s="1"/>
  <c r="T113" i="46"/>
  <c r="AC113" i="46" s="1"/>
  <c r="U113" i="46"/>
  <c r="V113" i="46"/>
  <c r="N116" i="46"/>
  <c r="W116" i="46" s="1"/>
  <c r="O116" i="46"/>
  <c r="X116" i="46" s="1"/>
  <c r="AK116" i="46" s="1"/>
  <c r="P116" i="46"/>
  <c r="Y116" i="46" s="1"/>
  <c r="Q116" i="46"/>
  <c r="Z116" i="46" s="1"/>
  <c r="AL116" i="46" s="1"/>
  <c r="R116" i="46"/>
  <c r="AA116" i="46" s="1"/>
  <c r="AM116" i="46" s="1"/>
  <c r="S116" i="46"/>
  <c r="AB116" i="46" s="1"/>
  <c r="T116" i="46"/>
  <c r="AC116" i="46" s="1"/>
  <c r="U116" i="46"/>
  <c r="V116" i="46"/>
  <c r="N117" i="46"/>
  <c r="W117" i="46" s="1"/>
  <c r="O117" i="46"/>
  <c r="X117" i="46" s="1"/>
  <c r="AK117" i="46" s="1"/>
  <c r="P117" i="46"/>
  <c r="Y117" i="46" s="1"/>
  <c r="Q117" i="46"/>
  <c r="Z117" i="46" s="1"/>
  <c r="AL117" i="46" s="1"/>
  <c r="R117" i="46"/>
  <c r="AA117" i="46" s="1"/>
  <c r="AM117" i="46" s="1"/>
  <c r="S117" i="46"/>
  <c r="AB117" i="46" s="1"/>
  <c r="T117" i="46"/>
  <c r="AC117" i="46" s="1"/>
  <c r="U117" i="46"/>
  <c r="V117" i="46"/>
  <c r="N119" i="46"/>
  <c r="W119" i="46" s="1"/>
  <c r="O119" i="46"/>
  <c r="X119" i="46" s="1"/>
  <c r="AK119" i="46" s="1"/>
  <c r="P119" i="46"/>
  <c r="Y119" i="46" s="1"/>
  <c r="Q119" i="46"/>
  <c r="Z119" i="46" s="1"/>
  <c r="AL119" i="46" s="1"/>
  <c r="R119" i="46"/>
  <c r="AA119" i="46" s="1"/>
  <c r="AM119" i="46" s="1"/>
  <c r="S119" i="46"/>
  <c r="AB119" i="46" s="1"/>
  <c r="T119" i="46"/>
  <c r="AC119" i="46" s="1"/>
  <c r="U119" i="46"/>
  <c r="V119" i="46"/>
  <c r="N120" i="46"/>
  <c r="W120" i="46" s="1"/>
  <c r="O120" i="46"/>
  <c r="X120" i="46" s="1"/>
  <c r="AK120" i="46" s="1"/>
  <c r="P120" i="46"/>
  <c r="Y120" i="46" s="1"/>
  <c r="Q120" i="46"/>
  <c r="Z120" i="46" s="1"/>
  <c r="AL120" i="46" s="1"/>
  <c r="R120" i="46"/>
  <c r="AA120" i="46" s="1"/>
  <c r="AM120" i="46" s="1"/>
  <c r="S120" i="46"/>
  <c r="AB120" i="46" s="1"/>
  <c r="T120" i="46"/>
  <c r="AC120" i="46" s="1"/>
  <c r="U120" i="46"/>
  <c r="V120" i="46"/>
  <c r="N121" i="46"/>
  <c r="W121" i="46" s="1"/>
  <c r="O121" i="46"/>
  <c r="X121" i="46" s="1"/>
  <c r="AK121" i="46" s="1"/>
  <c r="P121" i="46"/>
  <c r="Y121" i="46" s="1"/>
  <c r="Q121" i="46"/>
  <c r="Z121" i="46" s="1"/>
  <c r="AL121" i="46" s="1"/>
  <c r="R121" i="46"/>
  <c r="AA121" i="46" s="1"/>
  <c r="AM121" i="46" s="1"/>
  <c r="S121" i="46"/>
  <c r="AB121" i="46" s="1"/>
  <c r="T121" i="46"/>
  <c r="AC121" i="46" s="1"/>
  <c r="U121" i="46"/>
  <c r="V121" i="46"/>
  <c r="N122" i="46"/>
  <c r="W122" i="46" s="1"/>
  <c r="O122" i="46"/>
  <c r="X122" i="46" s="1"/>
  <c r="AK122" i="46" s="1"/>
  <c r="P122" i="46"/>
  <c r="Y122" i="46" s="1"/>
  <c r="Q122" i="46"/>
  <c r="Z122" i="46" s="1"/>
  <c r="AL122" i="46" s="1"/>
  <c r="R122" i="46"/>
  <c r="AA122" i="46" s="1"/>
  <c r="AM122" i="46" s="1"/>
  <c r="S122" i="46"/>
  <c r="AB122" i="46" s="1"/>
  <c r="T122" i="46"/>
  <c r="AC122" i="46" s="1"/>
  <c r="U122" i="46"/>
  <c r="V122" i="46"/>
  <c r="N124" i="46"/>
  <c r="W124" i="46" s="1"/>
  <c r="O124" i="46"/>
  <c r="X124" i="46" s="1"/>
  <c r="AK124" i="46" s="1"/>
  <c r="P124" i="46"/>
  <c r="Y124" i="46" s="1"/>
  <c r="Q124" i="46"/>
  <c r="Z124" i="46" s="1"/>
  <c r="AL124" i="46" s="1"/>
  <c r="R124" i="46"/>
  <c r="AA124" i="46" s="1"/>
  <c r="AM124" i="46" s="1"/>
  <c r="S124" i="46"/>
  <c r="AB124" i="46" s="1"/>
  <c r="T124" i="46"/>
  <c r="AC124" i="46" s="1"/>
  <c r="U124" i="46"/>
  <c r="V124" i="46"/>
  <c r="N125" i="46"/>
  <c r="W125" i="46" s="1"/>
  <c r="O125" i="46"/>
  <c r="X125" i="46" s="1"/>
  <c r="AK125" i="46" s="1"/>
  <c r="P125" i="46"/>
  <c r="Y125" i="46" s="1"/>
  <c r="Q125" i="46"/>
  <c r="Z125" i="46" s="1"/>
  <c r="AL125" i="46" s="1"/>
  <c r="R125" i="46"/>
  <c r="AA125" i="46" s="1"/>
  <c r="AM125" i="46" s="1"/>
  <c r="S125" i="46"/>
  <c r="AB125" i="46" s="1"/>
  <c r="T125" i="46"/>
  <c r="AC125" i="46" s="1"/>
  <c r="U125" i="46"/>
  <c r="V125" i="46"/>
  <c r="N126" i="46"/>
  <c r="W126" i="46" s="1"/>
  <c r="O126" i="46"/>
  <c r="X126" i="46" s="1"/>
  <c r="AK126" i="46" s="1"/>
  <c r="P126" i="46"/>
  <c r="Y126" i="46" s="1"/>
  <c r="Q126" i="46"/>
  <c r="Z126" i="46" s="1"/>
  <c r="AL126" i="46" s="1"/>
  <c r="R126" i="46"/>
  <c r="AA126" i="46" s="1"/>
  <c r="AM126" i="46" s="1"/>
  <c r="S126" i="46"/>
  <c r="AB126" i="46" s="1"/>
  <c r="T126" i="46"/>
  <c r="AC126" i="46" s="1"/>
  <c r="U126" i="46"/>
  <c r="V126" i="46"/>
  <c r="N127" i="46"/>
  <c r="W127" i="46" s="1"/>
  <c r="O127" i="46"/>
  <c r="X127" i="46" s="1"/>
  <c r="AK127" i="46" s="1"/>
  <c r="P127" i="46"/>
  <c r="Y127" i="46" s="1"/>
  <c r="Q127" i="46"/>
  <c r="Z127" i="46" s="1"/>
  <c r="AL127" i="46" s="1"/>
  <c r="R127" i="46"/>
  <c r="AA127" i="46" s="1"/>
  <c r="AM127" i="46" s="1"/>
  <c r="S127" i="46"/>
  <c r="AB127" i="46" s="1"/>
  <c r="T127" i="46"/>
  <c r="AC127" i="46" s="1"/>
  <c r="U127" i="46"/>
  <c r="V127" i="46"/>
  <c r="N128" i="46"/>
  <c r="W128" i="46" s="1"/>
  <c r="O128" i="46"/>
  <c r="X128" i="46" s="1"/>
  <c r="AK128" i="46" s="1"/>
  <c r="P128" i="46"/>
  <c r="Y128" i="46" s="1"/>
  <c r="Q128" i="46"/>
  <c r="Z128" i="46" s="1"/>
  <c r="AL128" i="46" s="1"/>
  <c r="R128" i="46"/>
  <c r="AA128" i="46" s="1"/>
  <c r="AM128" i="46" s="1"/>
  <c r="S128" i="46"/>
  <c r="AB128" i="46" s="1"/>
  <c r="T128" i="46"/>
  <c r="AC128" i="46" s="1"/>
  <c r="U128" i="46"/>
  <c r="V128" i="46"/>
  <c r="N137" i="46"/>
  <c r="W137" i="46" s="1"/>
  <c r="O137" i="46"/>
  <c r="X137" i="46" s="1"/>
  <c r="AK137" i="46" s="1"/>
  <c r="N218" i="98" s="1"/>
  <c r="I218" i="98" s="1"/>
  <c r="P137" i="46"/>
  <c r="Y137" i="46" s="1"/>
  <c r="Q137" i="46"/>
  <c r="Z137" i="46" s="1"/>
  <c r="AL137" i="46" s="1"/>
  <c r="O218" i="98" s="1"/>
  <c r="J218" i="98" s="1"/>
  <c r="R137" i="46"/>
  <c r="AA137" i="46" s="1"/>
  <c r="AM137" i="46" s="1"/>
  <c r="S137" i="46"/>
  <c r="AB137" i="46" s="1"/>
  <c r="T137" i="46"/>
  <c r="AC137" i="46" s="1"/>
  <c r="U137" i="46"/>
  <c r="V137" i="46"/>
  <c r="N142" i="46"/>
  <c r="W142" i="46" s="1"/>
  <c r="O142" i="46"/>
  <c r="X142" i="46" s="1"/>
  <c r="AK142" i="46" s="1"/>
  <c r="N159" i="98" s="1"/>
  <c r="I159" i="98" s="1"/>
  <c r="P142" i="46"/>
  <c r="Y142" i="46" s="1"/>
  <c r="Q142" i="46"/>
  <c r="Z142" i="46" s="1"/>
  <c r="AL142" i="46" s="1"/>
  <c r="O159" i="98" s="1"/>
  <c r="J159" i="98" s="1"/>
  <c r="R142" i="46"/>
  <c r="AA142" i="46" s="1"/>
  <c r="AM142" i="46" s="1"/>
  <c r="S142" i="46"/>
  <c r="AB142" i="46" s="1"/>
  <c r="T142" i="46"/>
  <c r="AC142" i="46" s="1"/>
  <c r="U142" i="46"/>
  <c r="V142" i="46"/>
  <c r="N144" i="46"/>
  <c r="W144" i="46" s="1"/>
  <c r="O144" i="46"/>
  <c r="X144" i="46" s="1"/>
  <c r="AK144" i="46" s="1"/>
  <c r="N195" i="98" s="1"/>
  <c r="I195" i="98" s="1"/>
  <c r="P144" i="46"/>
  <c r="Y144" i="46" s="1"/>
  <c r="Q144" i="46"/>
  <c r="Z144" i="46" s="1"/>
  <c r="AL144" i="46" s="1"/>
  <c r="O195" i="98" s="1"/>
  <c r="J195" i="98" s="1"/>
  <c r="R144" i="46"/>
  <c r="AA144" i="46" s="1"/>
  <c r="AM144" i="46" s="1"/>
  <c r="S144" i="46"/>
  <c r="AB144" i="46" s="1"/>
  <c r="T144" i="46"/>
  <c r="AC144" i="46" s="1"/>
  <c r="U144" i="46"/>
  <c r="V144" i="46"/>
  <c r="N145" i="46"/>
  <c r="W145" i="46" s="1"/>
  <c r="O145" i="46"/>
  <c r="X145" i="46" s="1"/>
  <c r="AK145" i="46" s="1"/>
  <c r="N211" i="98" s="1"/>
  <c r="I211" i="98" s="1"/>
  <c r="P145" i="46"/>
  <c r="Y145" i="46" s="1"/>
  <c r="Q145" i="46"/>
  <c r="Z145" i="46" s="1"/>
  <c r="AL145" i="46" s="1"/>
  <c r="O211" i="98" s="1"/>
  <c r="J211" i="98" s="1"/>
  <c r="R145" i="46"/>
  <c r="AA145" i="46" s="1"/>
  <c r="AM145" i="46" s="1"/>
  <c r="S145" i="46"/>
  <c r="AB145" i="46" s="1"/>
  <c r="T145" i="46"/>
  <c r="AC145" i="46" s="1"/>
  <c r="U145" i="46"/>
  <c r="V145" i="46"/>
  <c r="N146" i="46"/>
  <c r="W146" i="46" s="1"/>
  <c r="O146" i="46"/>
  <c r="X146" i="46" s="1"/>
  <c r="AK146" i="46" s="1"/>
  <c r="N217" i="98" s="1"/>
  <c r="I217" i="98" s="1"/>
  <c r="P146" i="46"/>
  <c r="Y146" i="46" s="1"/>
  <c r="Q146" i="46"/>
  <c r="Z146" i="46" s="1"/>
  <c r="AL146" i="46" s="1"/>
  <c r="O217" i="98" s="1"/>
  <c r="J217" i="98" s="1"/>
  <c r="R146" i="46"/>
  <c r="AA146" i="46" s="1"/>
  <c r="AM146" i="46" s="1"/>
  <c r="S146" i="46"/>
  <c r="AB146" i="46" s="1"/>
  <c r="T146" i="46"/>
  <c r="AC146" i="46" s="1"/>
  <c r="U146" i="46"/>
  <c r="V146" i="46"/>
  <c r="N147" i="46"/>
  <c r="W147" i="46" s="1"/>
  <c r="O147" i="46"/>
  <c r="X147" i="46" s="1"/>
  <c r="AK147" i="46" s="1"/>
  <c r="N53" i="98" s="1"/>
  <c r="I53" i="98" s="1"/>
  <c r="P147" i="46"/>
  <c r="Y147" i="46" s="1"/>
  <c r="Q147" i="46"/>
  <c r="Z147" i="46" s="1"/>
  <c r="AL147" i="46" s="1"/>
  <c r="O53" i="98" s="1"/>
  <c r="J53" i="98" s="1"/>
  <c r="R147" i="46"/>
  <c r="AA147" i="46" s="1"/>
  <c r="AM147" i="46" s="1"/>
  <c r="S147" i="46"/>
  <c r="AB147" i="46" s="1"/>
  <c r="T147" i="46"/>
  <c r="AC147" i="46" s="1"/>
  <c r="U147" i="46"/>
  <c r="V147" i="46"/>
  <c r="N149" i="46"/>
  <c r="W149" i="46" s="1"/>
  <c r="O149" i="46"/>
  <c r="X149" i="46" s="1"/>
  <c r="AK149" i="46" s="1"/>
  <c r="N160" i="98" s="1"/>
  <c r="I160" i="98" s="1"/>
  <c r="P149" i="46"/>
  <c r="Y149" i="46" s="1"/>
  <c r="Q149" i="46"/>
  <c r="Z149" i="46" s="1"/>
  <c r="AL149" i="46" s="1"/>
  <c r="O160" i="98" s="1"/>
  <c r="J160" i="98" s="1"/>
  <c r="R149" i="46"/>
  <c r="AA149" i="46" s="1"/>
  <c r="AM149" i="46" s="1"/>
  <c r="S149" i="46"/>
  <c r="AB149" i="46" s="1"/>
  <c r="T149" i="46"/>
  <c r="AC149" i="46" s="1"/>
  <c r="U149" i="46"/>
  <c r="V149" i="46"/>
  <c r="N152" i="46"/>
  <c r="W152" i="46" s="1"/>
  <c r="O152" i="46"/>
  <c r="X152" i="46" s="1"/>
  <c r="AK152" i="46" s="1"/>
  <c r="N203" i="98" s="1"/>
  <c r="I203" i="98" s="1"/>
  <c r="P152" i="46"/>
  <c r="Y152" i="46" s="1"/>
  <c r="Q152" i="46"/>
  <c r="Z152" i="46" s="1"/>
  <c r="AL152" i="46" s="1"/>
  <c r="O203" i="98" s="1"/>
  <c r="J203" i="98" s="1"/>
  <c r="R152" i="46"/>
  <c r="AA152" i="46" s="1"/>
  <c r="AM152" i="46" s="1"/>
  <c r="S152" i="46"/>
  <c r="AB152" i="46" s="1"/>
  <c r="T152" i="46"/>
  <c r="AC152" i="46" s="1"/>
  <c r="U152" i="46"/>
  <c r="V152" i="46"/>
  <c r="N158" i="46"/>
  <c r="W158" i="46" s="1"/>
  <c r="O158" i="46"/>
  <c r="X158" i="46" s="1"/>
  <c r="AK158" i="46" s="1"/>
  <c r="N198" i="98" s="1"/>
  <c r="I198" i="98" s="1"/>
  <c r="P158" i="46"/>
  <c r="Y158" i="46" s="1"/>
  <c r="Q158" i="46"/>
  <c r="Z158" i="46" s="1"/>
  <c r="AL158" i="46" s="1"/>
  <c r="O198" i="98" s="1"/>
  <c r="J198" i="98" s="1"/>
  <c r="R158" i="46"/>
  <c r="AA158" i="46" s="1"/>
  <c r="AM158" i="46" s="1"/>
  <c r="S158" i="46"/>
  <c r="AB158" i="46" s="1"/>
  <c r="T158" i="46"/>
  <c r="AC158" i="46" s="1"/>
  <c r="U158" i="46"/>
  <c r="V158" i="46"/>
  <c r="N160" i="46"/>
  <c r="W160" i="46" s="1"/>
  <c r="O160" i="46"/>
  <c r="X160" i="46" s="1"/>
  <c r="AK160" i="46" s="1"/>
  <c r="N201" i="98" s="1"/>
  <c r="I201" i="98" s="1"/>
  <c r="P160" i="46"/>
  <c r="Y160" i="46" s="1"/>
  <c r="Q160" i="46"/>
  <c r="Z160" i="46" s="1"/>
  <c r="AL160" i="46" s="1"/>
  <c r="O201" i="98" s="1"/>
  <c r="J201" i="98" s="1"/>
  <c r="R160" i="46"/>
  <c r="AA160" i="46" s="1"/>
  <c r="AM160" i="46" s="1"/>
  <c r="S160" i="46"/>
  <c r="AB160" i="46" s="1"/>
  <c r="T160" i="46"/>
  <c r="AC160" i="46" s="1"/>
  <c r="U160" i="46"/>
  <c r="V160" i="46"/>
  <c r="N161" i="46"/>
  <c r="W161" i="46" s="1"/>
  <c r="O161" i="46"/>
  <c r="X161" i="46" s="1"/>
  <c r="AK161" i="46" s="1"/>
  <c r="N12" i="98" s="1"/>
  <c r="I12" i="98" s="1"/>
  <c r="P161" i="46"/>
  <c r="Y161" i="46" s="1"/>
  <c r="Q161" i="46"/>
  <c r="Z161" i="46" s="1"/>
  <c r="AL161" i="46" s="1"/>
  <c r="O12" i="98" s="1"/>
  <c r="J12" i="98" s="1"/>
  <c r="R161" i="46"/>
  <c r="AA161" i="46" s="1"/>
  <c r="AM161" i="46" s="1"/>
  <c r="S161" i="46"/>
  <c r="AB161" i="46" s="1"/>
  <c r="T161" i="46"/>
  <c r="AC161" i="46" s="1"/>
  <c r="U161" i="46"/>
  <c r="V161" i="46"/>
  <c r="N162" i="46"/>
  <c r="W162" i="46" s="1"/>
  <c r="O162" i="46"/>
  <c r="X162" i="46" s="1"/>
  <c r="AK162" i="46" s="1"/>
  <c r="N214" i="98" s="1"/>
  <c r="I214" i="98" s="1"/>
  <c r="P162" i="46"/>
  <c r="Y162" i="46" s="1"/>
  <c r="Q162" i="46"/>
  <c r="Z162" i="46" s="1"/>
  <c r="AL162" i="46" s="1"/>
  <c r="O214" i="98" s="1"/>
  <c r="J214" i="98" s="1"/>
  <c r="R162" i="46"/>
  <c r="AA162" i="46" s="1"/>
  <c r="AM162" i="46" s="1"/>
  <c r="S162" i="46"/>
  <c r="AB162" i="46" s="1"/>
  <c r="T162" i="46"/>
  <c r="AC162" i="46" s="1"/>
  <c r="U162" i="46"/>
  <c r="V162" i="46"/>
  <c r="N167" i="46"/>
  <c r="W167" i="46" s="1"/>
  <c r="O167" i="46"/>
  <c r="X167" i="46" s="1"/>
  <c r="AK167" i="46" s="1"/>
  <c r="N175" i="98" s="1"/>
  <c r="I175" i="98" s="1"/>
  <c r="P167" i="46"/>
  <c r="Y167" i="46" s="1"/>
  <c r="Q167" i="46"/>
  <c r="Z167" i="46" s="1"/>
  <c r="AL167" i="46" s="1"/>
  <c r="O175" i="98" s="1"/>
  <c r="J175" i="98" s="1"/>
  <c r="R167" i="46"/>
  <c r="AA167" i="46" s="1"/>
  <c r="AM167" i="46" s="1"/>
  <c r="S167" i="46"/>
  <c r="AB167" i="46" s="1"/>
  <c r="T167" i="46"/>
  <c r="AC167" i="46" s="1"/>
  <c r="U167" i="46"/>
  <c r="V167" i="46"/>
  <c r="N172" i="46"/>
  <c r="W172" i="46" s="1"/>
  <c r="O172" i="46"/>
  <c r="X172" i="46" s="1"/>
  <c r="AK172" i="46" s="1"/>
  <c r="N164" i="98" s="1"/>
  <c r="I164" i="98" s="1"/>
  <c r="P172" i="46"/>
  <c r="Y172" i="46" s="1"/>
  <c r="Q172" i="46"/>
  <c r="Z172" i="46" s="1"/>
  <c r="AL172" i="46" s="1"/>
  <c r="O164" i="98" s="1"/>
  <c r="J164" i="98" s="1"/>
  <c r="R172" i="46"/>
  <c r="AA172" i="46" s="1"/>
  <c r="AM172" i="46" s="1"/>
  <c r="S172" i="46"/>
  <c r="AB172" i="46" s="1"/>
  <c r="T172" i="46"/>
  <c r="AC172" i="46" s="1"/>
  <c r="U172" i="46"/>
  <c r="V172" i="46"/>
  <c r="O173" i="46"/>
  <c r="X173" i="46" s="1"/>
  <c r="P173" i="46"/>
  <c r="Y173" i="46" s="1"/>
  <c r="Q173" i="46"/>
  <c r="Z173" i="46" s="1"/>
  <c r="R173" i="46"/>
  <c r="AA173" i="46" s="1"/>
  <c r="S173" i="46"/>
  <c r="AB173" i="46" s="1"/>
  <c r="T173" i="46"/>
  <c r="AC173" i="46" s="1"/>
  <c r="U173" i="46"/>
  <c r="V173" i="46"/>
  <c r="N175" i="46"/>
  <c r="W175" i="46" s="1"/>
  <c r="O175" i="46"/>
  <c r="X175" i="46" s="1"/>
  <c r="AK175" i="46" s="1"/>
  <c r="N185" i="98" s="1"/>
  <c r="I185" i="98" s="1"/>
  <c r="P175" i="46"/>
  <c r="Y175" i="46" s="1"/>
  <c r="Q175" i="46"/>
  <c r="Z175" i="46" s="1"/>
  <c r="AL175" i="46" s="1"/>
  <c r="O185" i="98" s="1"/>
  <c r="J185" i="98" s="1"/>
  <c r="R175" i="46"/>
  <c r="AA175" i="46" s="1"/>
  <c r="AM175" i="46" s="1"/>
  <c r="S175" i="46"/>
  <c r="AB175" i="46" s="1"/>
  <c r="T175" i="46"/>
  <c r="AC175" i="46" s="1"/>
  <c r="U175" i="46"/>
  <c r="V175" i="46"/>
  <c r="N181" i="46"/>
  <c r="W181" i="46" s="1"/>
  <c r="O181" i="46"/>
  <c r="X181" i="46" s="1"/>
  <c r="AK181" i="46" s="1"/>
  <c r="N7" i="98" s="1"/>
  <c r="I7" i="98" s="1"/>
  <c r="P181" i="46"/>
  <c r="Y181" i="46" s="1"/>
  <c r="Q181" i="46"/>
  <c r="Z181" i="46" s="1"/>
  <c r="AL181" i="46" s="1"/>
  <c r="O7" i="98" s="1"/>
  <c r="J7" i="98" s="1"/>
  <c r="R181" i="46"/>
  <c r="AA181" i="46" s="1"/>
  <c r="AM181" i="46" s="1"/>
  <c r="S181" i="46"/>
  <c r="AB181" i="46" s="1"/>
  <c r="T181" i="46"/>
  <c r="AC181" i="46" s="1"/>
  <c r="U181" i="46"/>
  <c r="V181" i="46"/>
  <c r="N192" i="46"/>
  <c r="W192" i="46" s="1"/>
  <c r="O192" i="46"/>
  <c r="X192" i="46" s="1"/>
  <c r="AK192" i="46" s="1"/>
  <c r="N199" i="98" s="1"/>
  <c r="I199" i="98" s="1"/>
  <c r="P192" i="46"/>
  <c r="Y192" i="46" s="1"/>
  <c r="Q192" i="46"/>
  <c r="Z192" i="46" s="1"/>
  <c r="AL192" i="46" s="1"/>
  <c r="O199" i="98" s="1"/>
  <c r="J199" i="98" s="1"/>
  <c r="R192" i="46"/>
  <c r="AA192" i="46" s="1"/>
  <c r="AM192" i="46" s="1"/>
  <c r="S192" i="46"/>
  <c r="AB192" i="46" s="1"/>
  <c r="T192" i="46"/>
  <c r="AC192" i="46" s="1"/>
  <c r="U192" i="46"/>
  <c r="V192" i="46"/>
  <c r="N194" i="46"/>
  <c r="W194" i="46" s="1"/>
  <c r="O194" i="46"/>
  <c r="X194" i="46" s="1"/>
  <c r="AK194" i="46" s="1"/>
  <c r="N39" i="98" s="1"/>
  <c r="I39" i="98" s="1"/>
  <c r="P194" i="46"/>
  <c r="Y194" i="46" s="1"/>
  <c r="Q194" i="46"/>
  <c r="Z194" i="46" s="1"/>
  <c r="AL194" i="46" s="1"/>
  <c r="O39" i="98" s="1"/>
  <c r="J39" i="98" s="1"/>
  <c r="R194" i="46"/>
  <c r="AA194" i="46" s="1"/>
  <c r="AM194" i="46" s="1"/>
  <c r="S194" i="46"/>
  <c r="AB194" i="46" s="1"/>
  <c r="T194" i="46"/>
  <c r="AC194" i="46" s="1"/>
  <c r="U194" i="46"/>
  <c r="V194" i="46"/>
  <c r="AQ198" i="46"/>
  <c r="N201" i="46"/>
  <c r="W201" i="46" s="1"/>
  <c r="O201" i="46"/>
  <c r="X201" i="46" s="1"/>
  <c r="AK201" i="46" s="1"/>
  <c r="N97" i="98" s="1"/>
  <c r="I97" i="98" s="1"/>
  <c r="P201" i="46"/>
  <c r="Y201" i="46" s="1"/>
  <c r="Q201" i="46"/>
  <c r="Z201" i="46" s="1"/>
  <c r="AL201" i="46" s="1"/>
  <c r="O97" i="98" s="1"/>
  <c r="J97" i="98" s="1"/>
  <c r="R201" i="46"/>
  <c r="AA201" i="46" s="1"/>
  <c r="AM201" i="46" s="1"/>
  <c r="S201" i="46"/>
  <c r="AB201" i="46" s="1"/>
  <c r="T201" i="46"/>
  <c r="AC201" i="46" s="1"/>
  <c r="U201" i="46"/>
  <c r="V201" i="46"/>
  <c r="N204" i="46"/>
  <c r="W204" i="46" s="1"/>
  <c r="O204" i="46"/>
  <c r="X204" i="46" s="1"/>
  <c r="AK204" i="46" s="1"/>
  <c r="N24" i="98" s="1"/>
  <c r="I24" i="98" s="1"/>
  <c r="P204" i="46"/>
  <c r="Y204" i="46" s="1"/>
  <c r="Q204" i="46"/>
  <c r="Z204" i="46" s="1"/>
  <c r="AL204" i="46" s="1"/>
  <c r="O24" i="98" s="1"/>
  <c r="J24" i="98" s="1"/>
  <c r="R204" i="46"/>
  <c r="AA204" i="46" s="1"/>
  <c r="AM204" i="46" s="1"/>
  <c r="S204" i="46"/>
  <c r="AB204" i="46" s="1"/>
  <c r="T204" i="46"/>
  <c r="AC204" i="46" s="1"/>
  <c r="U204" i="46"/>
  <c r="V204" i="46"/>
  <c r="N205" i="46"/>
  <c r="W205" i="46" s="1"/>
  <c r="O205" i="46"/>
  <c r="X205" i="46" s="1"/>
  <c r="AK205" i="46" s="1"/>
  <c r="N6" i="98" s="1"/>
  <c r="I6" i="98" s="1"/>
  <c r="P205" i="46"/>
  <c r="Y205" i="46" s="1"/>
  <c r="Q205" i="46"/>
  <c r="Z205" i="46" s="1"/>
  <c r="AL205" i="46" s="1"/>
  <c r="O6" i="98" s="1"/>
  <c r="J6" i="98" s="1"/>
  <c r="R205" i="46"/>
  <c r="AA205" i="46" s="1"/>
  <c r="AM205" i="46" s="1"/>
  <c r="P6" i="98" s="1"/>
  <c r="K6" i="98" s="1"/>
  <c r="S205" i="46"/>
  <c r="AB205" i="46" s="1"/>
  <c r="T205" i="46"/>
  <c r="AC205" i="46" s="1"/>
  <c r="U205" i="46"/>
  <c r="V205" i="46"/>
  <c r="N206" i="46"/>
  <c r="W206" i="46" s="1"/>
  <c r="O206" i="46"/>
  <c r="X206" i="46" s="1"/>
  <c r="AK206" i="46" s="1"/>
  <c r="N42" i="98" s="1"/>
  <c r="I42" i="98" s="1"/>
  <c r="P206" i="46"/>
  <c r="Y206" i="46" s="1"/>
  <c r="Q206" i="46"/>
  <c r="Z206" i="46" s="1"/>
  <c r="AL206" i="46" s="1"/>
  <c r="O42" i="98" s="1"/>
  <c r="J42" i="98" s="1"/>
  <c r="R206" i="46"/>
  <c r="AA206" i="46" s="1"/>
  <c r="AM206" i="46" s="1"/>
  <c r="P42" i="98" s="1"/>
  <c r="K42" i="98" s="1"/>
  <c r="S206" i="46"/>
  <c r="AB206" i="46" s="1"/>
  <c r="T206" i="46"/>
  <c r="AC206" i="46" s="1"/>
  <c r="U206" i="46"/>
  <c r="V206" i="46"/>
  <c r="N207" i="46"/>
  <c r="W207" i="46" s="1"/>
  <c r="O207" i="46"/>
  <c r="X207" i="46" s="1"/>
  <c r="AK207" i="46" s="1"/>
  <c r="N68" i="98" s="1"/>
  <c r="I68" i="98" s="1"/>
  <c r="P207" i="46"/>
  <c r="Y207" i="46" s="1"/>
  <c r="Q207" i="46"/>
  <c r="Z207" i="46" s="1"/>
  <c r="AL207" i="46" s="1"/>
  <c r="O68" i="98" s="1"/>
  <c r="J68" i="98" s="1"/>
  <c r="R207" i="46"/>
  <c r="AA207" i="46" s="1"/>
  <c r="AM207" i="46" s="1"/>
  <c r="P68" i="98" s="1"/>
  <c r="K68" i="98" s="1"/>
  <c r="S207" i="46"/>
  <c r="AB207" i="46" s="1"/>
  <c r="T207" i="46"/>
  <c r="AC207" i="46" s="1"/>
  <c r="U207" i="46"/>
  <c r="V207" i="46"/>
  <c r="N208" i="46"/>
  <c r="W208" i="46" s="1"/>
  <c r="O208" i="46"/>
  <c r="X208" i="46" s="1"/>
  <c r="AK208" i="46" s="1"/>
  <c r="N78" i="98" s="1"/>
  <c r="I78" i="98" s="1"/>
  <c r="P208" i="46"/>
  <c r="Y208" i="46" s="1"/>
  <c r="Q208" i="46"/>
  <c r="Z208" i="46" s="1"/>
  <c r="AL208" i="46" s="1"/>
  <c r="O78" i="98" s="1"/>
  <c r="J78" i="98" s="1"/>
  <c r="R208" i="46"/>
  <c r="AA208" i="46" s="1"/>
  <c r="AM208" i="46" s="1"/>
  <c r="P78" i="98" s="1"/>
  <c r="K78" i="98" s="1"/>
  <c r="S208" i="46"/>
  <c r="AB208" i="46" s="1"/>
  <c r="T208" i="46"/>
  <c r="AC208" i="46" s="1"/>
  <c r="U208" i="46"/>
  <c r="V208" i="46"/>
  <c r="N209" i="46"/>
  <c r="W209" i="46" s="1"/>
  <c r="O209" i="46"/>
  <c r="X209" i="46" s="1"/>
  <c r="AK209" i="46" s="1"/>
  <c r="N80" i="98" s="1"/>
  <c r="I80" i="98" s="1"/>
  <c r="P209" i="46"/>
  <c r="Y209" i="46" s="1"/>
  <c r="Q209" i="46"/>
  <c r="Z209" i="46" s="1"/>
  <c r="AL209" i="46" s="1"/>
  <c r="O80" i="98" s="1"/>
  <c r="J80" i="98" s="1"/>
  <c r="R209" i="46"/>
  <c r="AA209" i="46" s="1"/>
  <c r="AM209" i="46" s="1"/>
  <c r="P80" i="98" s="1"/>
  <c r="K80" i="98" s="1"/>
  <c r="S209" i="46"/>
  <c r="AB209" i="46" s="1"/>
  <c r="T209" i="46"/>
  <c r="AC209" i="46" s="1"/>
  <c r="U209" i="46"/>
  <c r="V209" i="46"/>
  <c r="N210" i="46"/>
  <c r="W210" i="46" s="1"/>
  <c r="O210" i="46"/>
  <c r="X210" i="46" s="1"/>
  <c r="AK210" i="46" s="1"/>
  <c r="N82" i="98" s="1"/>
  <c r="I82" i="98" s="1"/>
  <c r="P210" i="46"/>
  <c r="Y210" i="46" s="1"/>
  <c r="Q210" i="46"/>
  <c r="Z210" i="46" s="1"/>
  <c r="AL210" i="46" s="1"/>
  <c r="O82" i="98" s="1"/>
  <c r="J82" i="98" s="1"/>
  <c r="R210" i="46"/>
  <c r="AA210" i="46" s="1"/>
  <c r="AM210" i="46" s="1"/>
  <c r="P82" i="98" s="1"/>
  <c r="K82" i="98" s="1"/>
  <c r="S210" i="46"/>
  <c r="AB210" i="46" s="1"/>
  <c r="T210" i="46"/>
  <c r="AC210" i="46" s="1"/>
  <c r="U210" i="46"/>
  <c r="V210" i="46"/>
  <c r="N211" i="46"/>
  <c r="W211" i="46" s="1"/>
  <c r="O211" i="46"/>
  <c r="X211" i="46" s="1"/>
  <c r="AK211" i="46" s="1"/>
  <c r="N188" i="98" s="1"/>
  <c r="I188" i="98" s="1"/>
  <c r="P211" i="46"/>
  <c r="Y211" i="46" s="1"/>
  <c r="Q211" i="46"/>
  <c r="Z211" i="46" s="1"/>
  <c r="AL211" i="46" s="1"/>
  <c r="O188" i="98" s="1"/>
  <c r="J188" i="98" s="1"/>
  <c r="R211" i="46"/>
  <c r="AA211" i="46" s="1"/>
  <c r="AM211" i="46" s="1"/>
  <c r="P188" i="98" s="1"/>
  <c r="K188" i="98" s="1"/>
  <c r="S211" i="46"/>
  <c r="AB211" i="46" s="1"/>
  <c r="T211" i="46"/>
  <c r="AC211" i="46" s="1"/>
  <c r="U211" i="46"/>
  <c r="V211" i="46"/>
  <c r="N212" i="46"/>
  <c r="W212" i="46" s="1"/>
  <c r="O212" i="46"/>
  <c r="X212" i="46" s="1"/>
  <c r="AK212" i="46" s="1"/>
  <c r="N186" i="98" s="1"/>
  <c r="I186" i="98" s="1"/>
  <c r="P212" i="46"/>
  <c r="Y212" i="46" s="1"/>
  <c r="Q212" i="46"/>
  <c r="Z212" i="46" s="1"/>
  <c r="AL212" i="46" s="1"/>
  <c r="O186" i="98" s="1"/>
  <c r="J186" i="98" s="1"/>
  <c r="R212" i="46"/>
  <c r="AA212" i="46" s="1"/>
  <c r="AM212" i="46" s="1"/>
  <c r="P186" i="98" s="1"/>
  <c r="K186" i="98" s="1"/>
  <c r="S212" i="46"/>
  <c r="AB212" i="46" s="1"/>
  <c r="T212" i="46"/>
  <c r="AC212" i="46" s="1"/>
  <c r="U212" i="46"/>
  <c r="V212" i="46"/>
  <c r="N213" i="46"/>
  <c r="W213" i="46" s="1"/>
  <c r="O213" i="46"/>
  <c r="X213" i="46" s="1"/>
  <c r="AK213" i="46" s="1"/>
  <c r="N191" i="98" s="1"/>
  <c r="I191" i="98" s="1"/>
  <c r="P213" i="46"/>
  <c r="Y213" i="46" s="1"/>
  <c r="Q213" i="46"/>
  <c r="Z213" i="46" s="1"/>
  <c r="AL213" i="46" s="1"/>
  <c r="O191" i="98" s="1"/>
  <c r="J191" i="98" s="1"/>
  <c r="R213" i="46"/>
  <c r="AA213" i="46" s="1"/>
  <c r="AM213" i="46" s="1"/>
  <c r="P191" i="98" s="1"/>
  <c r="K191" i="98" s="1"/>
  <c r="S213" i="46"/>
  <c r="AB213" i="46" s="1"/>
  <c r="T213" i="46"/>
  <c r="AC213" i="46" s="1"/>
  <c r="U213" i="46"/>
  <c r="V213" i="46"/>
  <c r="N214" i="46"/>
  <c r="W214" i="46" s="1"/>
  <c r="O214" i="46"/>
  <c r="X214" i="46" s="1"/>
  <c r="AK214" i="46" s="1"/>
  <c r="N149" i="98" s="1"/>
  <c r="I149" i="98" s="1"/>
  <c r="P214" i="46"/>
  <c r="Y214" i="46" s="1"/>
  <c r="Q214" i="46"/>
  <c r="Z214" i="46" s="1"/>
  <c r="AL214" i="46" s="1"/>
  <c r="O149" i="98" s="1"/>
  <c r="J149" i="98" s="1"/>
  <c r="R214" i="46"/>
  <c r="AA214" i="46" s="1"/>
  <c r="AM214" i="46" s="1"/>
  <c r="P149" i="98" s="1"/>
  <c r="K149" i="98" s="1"/>
  <c r="S214" i="46"/>
  <c r="AB214" i="46" s="1"/>
  <c r="T214" i="46"/>
  <c r="AC214" i="46" s="1"/>
  <c r="U214" i="46"/>
  <c r="V214" i="46"/>
  <c r="N215" i="46"/>
  <c r="W215" i="46" s="1"/>
  <c r="O215" i="46"/>
  <c r="X215" i="46" s="1"/>
  <c r="AK215" i="46" s="1"/>
  <c r="N143" i="98" s="1"/>
  <c r="I143" i="98" s="1"/>
  <c r="P215" i="46"/>
  <c r="Y215" i="46" s="1"/>
  <c r="Q215" i="46"/>
  <c r="Z215" i="46" s="1"/>
  <c r="AL215" i="46" s="1"/>
  <c r="O143" i="98" s="1"/>
  <c r="J143" i="98" s="1"/>
  <c r="R215" i="46"/>
  <c r="AA215" i="46" s="1"/>
  <c r="AM215" i="46" s="1"/>
  <c r="P143" i="98" s="1"/>
  <c r="K143" i="98" s="1"/>
  <c r="S215" i="46"/>
  <c r="AB215" i="46" s="1"/>
  <c r="T215" i="46"/>
  <c r="AC215" i="46" s="1"/>
  <c r="U215" i="46"/>
  <c r="V215" i="46"/>
  <c r="N216" i="46"/>
  <c r="W216" i="46" s="1"/>
  <c r="O216" i="46"/>
  <c r="X216" i="46" s="1"/>
  <c r="AK216" i="46" s="1"/>
  <c r="N106" i="98" s="1"/>
  <c r="I106" i="98" s="1"/>
  <c r="P216" i="46"/>
  <c r="Y216" i="46" s="1"/>
  <c r="Q216" i="46"/>
  <c r="Z216" i="46" s="1"/>
  <c r="AL216" i="46" s="1"/>
  <c r="O106" i="98" s="1"/>
  <c r="J106" i="98" s="1"/>
  <c r="R216" i="46"/>
  <c r="AA216" i="46" s="1"/>
  <c r="AM216" i="46" s="1"/>
  <c r="P106" i="98" s="1"/>
  <c r="K106" i="98" s="1"/>
  <c r="S216" i="46"/>
  <c r="AB216" i="46" s="1"/>
  <c r="T216" i="46"/>
  <c r="AC216" i="46" s="1"/>
  <c r="U216" i="46"/>
  <c r="V216" i="46"/>
  <c r="N217" i="46"/>
  <c r="W217" i="46" s="1"/>
  <c r="O217" i="46"/>
  <c r="X217" i="46" s="1"/>
  <c r="AK217" i="46" s="1"/>
  <c r="N72" i="98" s="1"/>
  <c r="I72" i="98" s="1"/>
  <c r="P217" i="46"/>
  <c r="Y217" i="46" s="1"/>
  <c r="Q217" i="46"/>
  <c r="Z217" i="46" s="1"/>
  <c r="AL217" i="46" s="1"/>
  <c r="O72" i="98" s="1"/>
  <c r="J72" i="98" s="1"/>
  <c r="R217" i="46"/>
  <c r="AA217" i="46" s="1"/>
  <c r="AM217" i="46" s="1"/>
  <c r="P72" i="98" s="1"/>
  <c r="K72" i="98" s="1"/>
  <c r="S217" i="46"/>
  <c r="AB217" i="46" s="1"/>
  <c r="T217" i="46"/>
  <c r="AC217" i="46" s="1"/>
  <c r="U217" i="46"/>
  <c r="V217" i="46"/>
  <c r="N219" i="46"/>
  <c r="W219" i="46" s="1"/>
  <c r="O219" i="46"/>
  <c r="X219" i="46" s="1"/>
  <c r="AK219" i="46" s="1"/>
  <c r="N208" i="98" s="1"/>
  <c r="I208" i="98" s="1"/>
  <c r="P219" i="46"/>
  <c r="Y219" i="46" s="1"/>
  <c r="Q219" i="46"/>
  <c r="Z219" i="46" s="1"/>
  <c r="AL219" i="46" s="1"/>
  <c r="O208" i="98" s="1"/>
  <c r="J208" i="98" s="1"/>
  <c r="R219" i="46"/>
  <c r="AA219" i="46" s="1"/>
  <c r="AM219" i="46" s="1"/>
  <c r="S219" i="46"/>
  <c r="AB219" i="46" s="1"/>
  <c r="T219" i="46"/>
  <c r="AC219" i="46" s="1"/>
  <c r="U219" i="46"/>
  <c r="V219" i="46"/>
  <c r="N220" i="46"/>
  <c r="W220" i="46" s="1"/>
  <c r="O220" i="46"/>
  <c r="X220" i="46" s="1"/>
  <c r="AK220" i="46" s="1"/>
  <c r="N30" i="98" s="1"/>
  <c r="I30" i="98" s="1"/>
  <c r="P220" i="46"/>
  <c r="Y220" i="46" s="1"/>
  <c r="Q220" i="46"/>
  <c r="Z220" i="46" s="1"/>
  <c r="AL220" i="46" s="1"/>
  <c r="O30" i="98" s="1"/>
  <c r="J30" i="98" s="1"/>
  <c r="R220" i="46"/>
  <c r="AA220" i="46" s="1"/>
  <c r="AM220" i="46" s="1"/>
  <c r="P30" i="98" s="1"/>
  <c r="K30" i="98" s="1"/>
  <c r="S220" i="46"/>
  <c r="AB220" i="46" s="1"/>
  <c r="T220" i="46"/>
  <c r="AC220" i="46" s="1"/>
  <c r="U220" i="46"/>
  <c r="V220" i="46"/>
  <c r="N221" i="46"/>
  <c r="W221" i="46" s="1"/>
  <c r="O221" i="46"/>
  <c r="X221" i="46" s="1"/>
  <c r="AK221" i="46" s="1"/>
  <c r="N216" i="98" s="1"/>
  <c r="I216" i="98" s="1"/>
  <c r="P221" i="46"/>
  <c r="Y221" i="46" s="1"/>
  <c r="Q221" i="46"/>
  <c r="Z221" i="46" s="1"/>
  <c r="AL221" i="46" s="1"/>
  <c r="O216" i="98" s="1"/>
  <c r="J216" i="98" s="1"/>
  <c r="R221" i="46"/>
  <c r="AA221" i="46" s="1"/>
  <c r="AM221" i="46" s="1"/>
  <c r="P216" i="98" s="1"/>
  <c r="K216" i="98" s="1"/>
  <c r="S221" i="46"/>
  <c r="AB221" i="46" s="1"/>
  <c r="T221" i="46"/>
  <c r="AC221" i="46" s="1"/>
  <c r="U221" i="46"/>
  <c r="V221" i="46"/>
  <c r="N9" i="46"/>
  <c r="W9" i="46" s="1"/>
  <c r="O9" i="46"/>
  <c r="X9" i="46" s="1"/>
  <c r="AK9" i="46" s="1"/>
  <c r="N129" i="98" s="1"/>
  <c r="P9" i="46"/>
  <c r="Y9" i="46" s="1"/>
  <c r="Q9" i="46"/>
  <c r="Z9" i="46" s="1"/>
  <c r="AL9" i="46" s="1"/>
  <c r="O129" i="98" s="1"/>
  <c r="R9" i="46"/>
  <c r="AA9" i="46" s="1"/>
  <c r="S9" i="46"/>
  <c r="AB9" i="46" s="1"/>
  <c r="T9" i="46"/>
  <c r="AC9" i="46" s="1"/>
  <c r="U9" i="46"/>
  <c r="V9" i="46"/>
  <c r="N10" i="46"/>
  <c r="W10" i="46" s="1"/>
  <c r="O10" i="46"/>
  <c r="X10" i="46" s="1"/>
  <c r="AK10" i="46" s="1"/>
  <c r="P10" i="46"/>
  <c r="Y10" i="46" s="1"/>
  <c r="Q10" i="46"/>
  <c r="Z10" i="46" s="1"/>
  <c r="AL10" i="46" s="1"/>
  <c r="R10" i="46"/>
  <c r="AA10" i="46" s="1"/>
  <c r="AM10" i="46" s="1"/>
  <c r="S10" i="46"/>
  <c r="AB10" i="46" s="1"/>
  <c r="T10" i="46"/>
  <c r="AC10" i="46" s="1"/>
  <c r="U10" i="46"/>
  <c r="V10" i="46"/>
  <c r="N11" i="46"/>
  <c r="W11" i="46" s="1"/>
  <c r="O11" i="46"/>
  <c r="X11" i="46" s="1"/>
  <c r="P11" i="46"/>
  <c r="Y11" i="46" s="1"/>
  <c r="Q11" i="46"/>
  <c r="Z11" i="46" s="1"/>
  <c r="R11" i="46"/>
  <c r="AA11" i="46" s="1"/>
  <c r="S11" i="46"/>
  <c r="AB11" i="46" s="1"/>
  <c r="T11" i="46"/>
  <c r="AC11" i="46" s="1"/>
  <c r="U11" i="46"/>
  <c r="V11" i="46"/>
  <c r="V4" i="46"/>
  <c r="U4" i="46"/>
  <c r="T4" i="46"/>
  <c r="AC4" i="46" s="1"/>
  <c r="S4" i="46"/>
  <c r="AB4" i="46" s="1"/>
  <c r="R4" i="46"/>
  <c r="AA4" i="46" s="1"/>
  <c r="AM4" i="46" s="1"/>
  <c r="Q4" i="46"/>
  <c r="Z4" i="46" s="1"/>
  <c r="AL4" i="46" s="1"/>
  <c r="P4" i="46"/>
  <c r="Y4" i="46" s="1"/>
  <c r="O4" i="46"/>
  <c r="X4" i="46" s="1"/>
  <c r="AK4" i="46" s="1"/>
  <c r="W4" i="46"/>
  <c r="CI7" i="47"/>
  <c r="CI8" i="47"/>
  <c r="CI9" i="47"/>
  <c r="CI10" i="47"/>
  <c r="CI11" i="47"/>
  <c r="CI12" i="47"/>
  <c r="CI13" i="47"/>
  <c r="CI14" i="47"/>
  <c r="CI15" i="47"/>
  <c r="CI16" i="47"/>
  <c r="CI17" i="47"/>
  <c r="CI18" i="47"/>
  <c r="CI19" i="47"/>
  <c r="CI20" i="47"/>
  <c r="CI21" i="47"/>
  <c r="CI22" i="47"/>
  <c r="CI23" i="47"/>
  <c r="CI24" i="47"/>
  <c r="CI25" i="47"/>
  <c r="CI26" i="47"/>
  <c r="CI27" i="47"/>
  <c r="CI28" i="47"/>
  <c r="CI29" i="47"/>
  <c r="CI30" i="47"/>
  <c r="CI31" i="47"/>
  <c r="CI32" i="47"/>
  <c r="CI33" i="47"/>
  <c r="CI34" i="47"/>
  <c r="CI35" i="47"/>
  <c r="CI36" i="47"/>
  <c r="CI37" i="47"/>
  <c r="CI38" i="47"/>
  <c r="CI39" i="47"/>
  <c r="CI40" i="47"/>
  <c r="CI41" i="47"/>
  <c r="CI42" i="47"/>
  <c r="CI43" i="47"/>
  <c r="CI44" i="47"/>
  <c r="CI45" i="47"/>
  <c r="CI46" i="47"/>
  <c r="CI47" i="47"/>
  <c r="CI48" i="47"/>
  <c r="CI49" i="47"/>
  <c r="CI50" i="47"/>
  <c r="CI51" i="47"/>
  <c r="CI52" i="47"/>
  <c r="CI53" i="47"/>
  <c r="CI54" i="47"/>
  <c r="CI55" i="47"/>
  <c r="CI56" i="47"/>
  <c r="CI57" i="47"/>
  <c r="CI58" i="47"/>
  <c r="CI59" i="47"/>
  <c r="CI60" i="47"/>
  <c r="CI61" i="47"/>
  <c r="CI62" i="47"/>
  <c r="CI63" i="47"/>
  <c r="CI64" i="47"/>
  <c r="CI65" i="47"/>
  <c r="CI66" i="47"/>
  <c r="CI67" i="47"/>
  <c r="CI68" i="47"/>
  <c r="CI69" i="47"/>
  <c r="CI70" i="47"/>
  <c r="CI71" i="47"/>
  <c r="CI72" i="47"/>
  <c r="CI73" i="47"/>
  <c r="CI74" i="47"/>
  <c r="CI75" i="47"/>
  <c r="CI76" i="47"/>
  <c r="CI77" i="47"/>
  <c r="CI78" i="47"/>
  <c r="CI79" i="47"/>
  <c r="CI80" i="47"/>
  <c r="CI81" i="47"/>
  <c r="CI82" i="47"/>
  <c r="CI83" i="47"/>
  <c r="CI84" i="47"/>
  <c r="CI85" i="47"/>
  <c r="CI86" i="47"/>
  <c r="CI87" i="47"/>
  <c r="CI88" i="47"/>
  <c r="CI89" i="47"/>
  <c r="CI90" i="47"/>
  <c r="CI91" i="47"/>
  <c r="CI92" i="47"/>
  <c r="CI93" i="47"/>
  <c r="CI94" i="47"/>
  <c r="CI95" i="47"/>
  <c r="CI96" i="47"/>
  <c r="CI97" i="47"/>
  <c r="CI98" i="47"/>
  <c r="CI99" i="47"/>
  <c r="CI100" i="47"/>
  <c r="CI101" i="47"/>
  <c r="CI102" i="47"/>
  <c r="CI103" i="47"/>
  <c r="CI104" i="47"/>
  <c r="CI105" i="47"/>
  <c r="CI106" i="47"/>
  <c r="CI107" i="47"/>
  <c r="CI108" i="47"/>
  <c r="CI109" i="47"/>
  <c r="CI110" i="47"/>
  <c r="CI111" i="47"/>
  <c r="CI112" i="47"/>
  <c r="CI6" i="47"/>
  <c r="CJ258" i="47"/>
  <c r="CI258" i="47"/>
  <c r="CH258" i="47"/>
  <c r="CG258" i="47"/>
  <c r="CF258" i="47"/>
  <c r="CE258" i="47"/>
  <c r="CD258" i="47"/>
  <c r="CC258" i="47"/>
  <c r="CB258" i="47"/>
  <c r="CJ257" i="47"/>
  <c r="CI257" i="47"/>
  <c r="CH257" i="47"/>
  <c r="CG257" i="47"/>
  <c r="CF257" i="47"/>
  <c r="CE257" i="47"/>
  <c r="CD257" i="47"/>
  <c r="CC257" i="47"/>
  <c r="CB257" i="47"/>
  <c r="CJ256" i="47"/>
  <c r="CI256" i="47"/>
  <c r="CH256" i="47"/>
  <c r="CG256" i="47"/>
  <c r="CF256" i="47"/>
  <c r="CE256" i="47"/>
  <c r="CD256" i="47"/>
  <c r="CC256" i="47"/>
  <c r="CB256" i="47"/>
  <c r="CJ255" i="47"/>
  <c r="CI255" i="47"/>
  <c r="CH255" i="47"/>
  <c r="CG255" i="47"/>
  <c r="CF255" i="47"/>
  <c r="CE255" i="47"/>
  <c r="CD255" i="47"/>
  <c r="CC255" i="47"/>
  <c r="CB255" i="47"/>
  <c r="CJ254" i="47"/>
  <c r="CI254" i="47"/>
  <c r="CH254" i="47"/>
  <c r="CG254" i="47"/>
  <c r="CF254" i="47"/>
  <c r="CE254" i="47"/>
  <c r="CD254" i="47"/>
  <c r="CC254" i="47"/>
  <c r="CB254" i="47"/>
  <c r="CJ253" i="47"/>
  <c r="CI253" i="47"/>
  <c r="CH253" i="47"/>
  <c r="CG253" i="47"/>
  <c r="CF253" i="47"/>
  <c r="CE253" i="47"/>
  <c r="CD253" i="47"/>
  <c r="CC253" i="47"/>
  <c r="CB253" i="47"/>
  <c r="CJ252" i="47"/>
  <c r="CI252" i="47"/>
  <c r="CH252" i="47"/>
  <c r="CG252" i="47"/>
  <c r="CF252" i="47"/>
  <c r="CE252" i="47"/>
  <c r="CD252" i="47"/>
  <c r="CC252" i="47"/>
  <c r="CB252" i="47"/>
  <c r="CJ251" i="47"/>
  <c r="CI251" i="47"/>
  <c r="CH251" i="47"/>
  <c r="CG251" i="47"/>
  <c r="CF251" i="47"/>
  <c r="CE251" i="47"/>
  <c r="CD251" i="47"/>
  <c r="CC251" i="47"/>
  <c r="CB251" i="47"/>
  <c r="CJ250" i="47"/>
  <c r="CI250" i="47"/>
  <c r="CH250" i="47"/>
  <c r="CG250" i="47"/>
  <c r="CF250" i="47"/>
  <c r="CE250" i="47"/>
  <c r="CD250" i="47"/>
  <c r="CC250" i="47"/>
  <c r="CB250" i="47"/>
  <c r="CJ249" i="47"/>
  <c r="CI249" i="47"/>
  <c r="CH249" i="47"/>
  <c r="CG249" i="47"/>
  <c r="CF249" i="47"/>
  <c r="CE249" i="47"/>
  <c r="CD249" i="47"/>
  <c r="CC249" i="47"/>
  <c r="CB249" i="47"/>
  <c r="CJ248" i="47"/>
  <c r="CI248" i="47"/>
  <c r="CH248" i="47"/>
  <c r="CG248" i="47"/>
  <c r="CF248" i="47"/>
  <c r="CE248" i="47"/>
  <c r="CD248" i="47"/>
  <c r="CC248" i="47"/>
  <c r="CB248" i="47"/>
  <c r="CJ247" i="47"/>
  <c r="CI247" i="47"/>
  <c r="CH247" i="47"/>
  <c r="CG247" i="47"/>
  <c r="CF247" i="47"/>
  <c r="CE247" i="47"/>
  <c r="CD247" i="47"/>
  <c r="CC247" i="47"/>
  <c r="CB247" i="47"/>
  <c r="CJ246" i="47"/>
  <c r="CI246" i="47"/>
  <c r="CH246" i="47"/>
  <c r="CG246" i="47"/>
  <c r="CF246" i="47"/>
  <c r="CE246" i="47"/>
  <c r="CD246" i="47"/>
  <c r="CC246" i="47"/>
  <c r="CB246" i="47"/>
  <c r="CJ245" i="47"/>
  <c r="CI245" i="47"/>
  <c r="CH245" i="47"/>
  <c r="CG245" i="47"/>
  <c r="CF245" i="47"/>
  <c r="CE245" i="47"/>
  <c r="CD245" i="47"/>
  <c r="CC245" i="47"/>
  <c r="CB245" i="47"/>
  <c r="CJ244" i="47"/>
  <c r="CI244" i="47"/>
  <c r="CH244" i="47"/>
  <c r="CG244" i="47"/>
  <c r="CF244" i="47"/>
  <c r="CE244" i="47"/>
  <c r="CD244" i="47"/>
  <c r="CC244" i="47"/>
  <c r="CB244" i="47"/>
  <c r="CJ243" i="47"/>
  <c r="CI243" i="47"/>
  <c r="CH243" i="47"/>
  <c r="CG243" i="47"/>
  <c r="CF243" i="47"/>
  <c r="CE243" i="47"/>
  <c r="CD243" i="47"/>
  <c r="CC243" i="47"/>
  <c r="CB243" i="47"/>
  <c r="CJ242" i="47"/>
  <c r="CI242" i="47"/>
  <c r="CH242" i="47"/>
  <c r="CG242" i="47"/>
  <c r="CF242" i="47"/>
  <c r="CE242" i="47"/>
  <c r="CD242" i="47"/>
  <c r="CC242" i="47"/>
  <c r="CB242" i="47"/>
  <c r="CJ241" i="47"/>
  <c r="CI241" i="47"/>
  <c r="CH241" i="47"/>
  <c r="CG241" i="47"/>
  <c r="CF241" i="47"/>
  <c r="CE241" i="47"/>
  <c r="CD241" i="47"/>
  <c r="CC241" i="47"/>
  <c r="CB241" i="47"/>
  <c r="CJ240" i="47"/>
  <c r="CI240" i="47"/>
  <c r="CH240" i="47"/>
  <c r="CG240" i="47"/>
  <c r="CF240" i="47"/>
  <c r="CE240" i="47"/>
  <c r="CD240" i="47"/>
  <c r="CC240" i="47"/>
  <c r="CB240" i="47"/>
  <c r="CJ239" i="47"/>
  <c r="CI239" i="47"/>
  <c r="CH239" i="47"/>
  <c r="CG239" i="47"/>
  <c r="CF239" i="47"/>
  <c r="CE239" i="47"/>
  <c r="CD239" i="47"/>
  <c r="CC239" i="47"/>
  <c r="CB239" i="47"/>
  <c r="CJ238" i="47"/>
  <c r="CI238" i="47"/>
  <c r="CH238" i="47"/>
  <c r="CG238" i="47"/>
  <c r="CF238" i="47"/>
  <c r="CE238" i="47"/>
  <c r="CD238" i="47"/>
  <c r="CC238" i="47"/>
  <c r="CB238" i="47"/>
  <c r="CJ237" i="47"/>
  <c r="CI237" i="47"/>
  <c r="CH237" i="47"/>
  <c r="CG237" i="47"/>
  <c r="CF237" i="47"/>
  <c r="CE237" i="47"/>
  <c r="CD237" i="47"/>
  <c r="CC237" i="47"/>
  <c r="CB237" i="47"/>
  <c r="CJ236" i="47"/>
  <c r="CI236" i="47"/>
  <c r="CH236" i="47"/>
  <c r="CG236" i="47"/>
  <c r="CF236" i="47"/>
  <c r="CE236" i="47"/>
  <c r="CD236" i="47"/>
  <c r="CC236" i="47"/>
  <c r="CB236" i="47"/>
  <c r="CJ235" i="47"/>
  <c r="CI235" i="47"/>
  <c r="CH235" i="47"/>
  <c r="CG235" i="47"/>
  <c r="CF235" i="47"/>
  <c r="CE235" i="47"/>
  <c r="CD235" i="47"/>
  <c r="CC235" i="47"/>
  <c r="CB235" i="47"/>
  <c r="CJ234" i="47"/>
  <c r="CI234" i="47"/>
  <c r="CH234" i="47"/>
  <c r="CG234" i="47"/>
  <c r="CF234" i="47"/>
  <c r="CE234" i="47"/>
  <c r="CD234" i="47"/>
  <c r="CC234" i="47"/>
  <c r="CB234" i="47"/>
  <c r="CJ233" i="47"/>
  <c r="CI233" i="47"/>
  <c r="CH233" i="47"/>
  <c r="CG233" i="47"/>
  <c r="CF233" i="47"/>
  <c r="CE233" i="47"/>
  <c r="CD233" i="47"/>
  <c r="CC233" i="47"/>
  <c r="CB233" i="47"/>
  <c r="CJ232" i="47"/>
  <c r="CI232" i="47"/>
  <c r="CH232" i="47"/>
  <c r="CG232" i="47"/>
  <c r="CF232" i="47"/>
  <c r="CE232" i="47"/>
  <c r="CD232" i="47"/>
  <c r="CC232" i="47"/>
  <c r="CB232" i="47"/>
  <c r="CJ231" i="47"/>
  <c r="CI231" i="47"/>
  <c r="CH231" i="47"/>
  <c r="CG231" i="47"/>
  <c r="CF231" i="47"/>
  <c r="CE231" i="47"/>
  <c r="CD231" i="47"/>
  <c r="CC231" i="47"/>
  <c r="CB231" i="47"/>
  <c r="CJ230" i="47"/>
  <c r="CI230" i="47"/>
  <c r="CH230" i="47"/>
  <c r="CG230" i="47"/>
  <c r="CF230" i="47"/>
  <c r="CE230" i="47"/>
  <c r="CD230" i="47"/>
  <c r="CC230" i="47"/>
  <c r="CB230" i="47"/>
  <c r="CJ229" i="47"/>
  <c r="CI229" i="47"/>
  <c r="CH229" i="47"/>
  <c r="CG229" i="47"/>
  <c r="CF229" i="47"/>
  <c r="CE229" i="47"/>
  <c r="CD229" i="47"/>
  <c r="CC229" i="47"/>
  <c r="CB229" i="47"/>
  <c r="CJ228" i="47"/>
  <c r="CI228" i="47"/>
  <c r="CH228" i="47"/>
  <c r="CG228" i="47"/>
  <c r="CF228" i="47"/>
  <c r="CE228" i="47"/>
  <c r="CD228" i="47"/>
  <c r="CC228" i="47"/>
  <c r="CB228" i="47"/>
  <c r="CJ227" i="47"/>
  <c r="CI227" i="47"/>
  <c r="CH227" i="47"/>
  <c r="CG227" i="47"/>
  <c r="CF227" i="47"/>
  <c r="CE227" i="47"/>
  <c r="CD227" i="47"/>
  <c r="CC227" i="47"/>
  <c r="CB227" i="47"/>
  <c r="CJ226" i="47"/>
  <c r="CI226" i="47"/>
  <c r="CH226" i="47"/>
  <c r="CG226" i="47"/>
  <c r="CF226" i="47"/>
  <c r="CE226" i="47"/>
  <c r="CD226" i="47"/>
  <c r="CC226" i="47"/>
  <c r="CB226" i="47"/>
  <c r="CJ225" i="47"/>
  <c r="CI225" i="47"/>
  <c r="CH225" i="47"/>
  <c r="CG225" i="47"/>
  <c r="CF225" i="47"/>
  <c r="CE225" i="47"/>
  <c r="CD225" i="47"/>
  <c r="CC225" i="47"/>
  <c r="CB225" i="47"/>
  <c r="CJ224" i="47"/>
  <c r="CI224" i="47"/>
  <c r="CH224" i="47"/>
  <c r="CG224" i="47"/>
  <c r="CF224" i="47"/>
  <c r="CE224" i="47"/>
  <c r="CD224" i="47"/>
  <c r="CC224" i="47"/>
  <c r="CB224" i="47"/>
  <c r="CJ223" i="47"/>
  <c r="CI223" i="47"/>
  <c r="CH223" i="47"/>
  <c r="CG223" i="47"/>
  <c r="CF223" i="47"/>
  <c r="CE223" i="47"/>
  <c r="CD223" i="47"/>
  <c r="CC223" i="47"/>
  <c r="CB223" i="47"/>
  <c r="CJ222" i="47"/>
  <c r="CI222" i="47"/>
  <c r="CH222" i="47"/>
  <c r="CG222" i="47"/>
  <c r="CF222" i="47"/>
  <c r="CE222" i="47"/>
  <c r="CD222" i="47"/>
  <c r="CC222" i="47"/>
  <c r="CB222" i="47"/>
  <c r="CJ221" i="47"/>
  <c r="CI221" i="47"/>
  <c r="CH221" i="47"/>
  <c r="CG221" i="47"/>
  <c r="CF221" i="47"/>
  <c r="CE221" i="47"/>
  <c r="CD221" i="47"/>
  <c r="CC221" i="47"/>
  <c r="CB221" i="47"/>
  <c r="CJ220" i="47"/>
  <c r="CI220" i="47"/>
  <c r="CH220" i="47"/>
  <c r="CG220" i="47"/>
  <c r="CF220" i="47"/>
  <c r="CE220" i="47"/>
  <c r="CD220" i="47"/>
  <c r="CC220" i="47"/>
  <c r="CB220" i="47"/>
  <c r="CJ219" i="47"/>
  <c r="CI219" i="47"/>
  <c r="CH219" i="47"/>
  <c r="CG219" i="47"/>
  <c r="CF219" i="47"/>
  <c r="CE219" i="47"/>
  <c r="CD219" i="47"/>
  <c r="CC219" i="47"/>
  <c r="CB219" i="47"/>
  <c r="CJ218" i="47"/>
  <c r="CI218" i="47"/>
  <c r="CH218" i="47"/>
  <c r="CG218" i="47"/>
  <c r="CF218" i="47"/>
  <c r="CE218" i="47"/>
  <c r="CD218" i="47"/>
  <c r="CC218" i="47"/>
  <c r="CB218" i="47"/>
  <c r="CJ217" i="47"/>
  <c r="CI217" i="47"/>
  <c r="CH217" i="47"/>
  <c r="CG217" i="47"/>
  <c r="CF217" i="47"/>
  <c r="CE217" i="47"/>
  <c r="CD217" i="47"/>
  <c r="CC217" i="47"/>
  <c r="CB217" i="47"/>
  <c r="CJ216" i="47"/>
  <c r="CI216" i="47"/>
  <c r="CH216" i="47"/>
  <c r="CG216" i="47"/>
  <c r="CF216" i="47"/>
  <c r="CE216" i="47"/>
  <c r="CD216" i="47"/>
  <c r="CC216" i="47"/>
  <c r="CB216" i="47"/>
  <c r="CJ215" i="47"/>
  <c r="CI215" i="47"/>
  <c r="CH215" i="47"/>
  <c r="CG215" i="47"/>
  <c r="CF215" i="47"/>
  <c r="CE215" i="47"/>
  <c r="CD215" i="47"/>
  <c r="CC215" i="47"/>
  <c r="CB215" i="47"/>
  <c r="CJ214" i="47"/>
  <c r="CI214" i="47"/>
  <c r="CH214" i="47"/>
  <c r="CG214" i="47"/>
  <c r="CF214" i="47"/>
  <c r="CE214" i="47"/>
  <c r="CD214" i="47"/>
  <c r="CC214" i="47"/>
  <c r="CB214" i="47"/>
  <c r="CJ213" i="47"/>
  <c r="CI213" i="47"/>
  <c r="CH213" i="47"/>
  <c r="CG213" i="47"/>
  <c r="CF213" i="47"/>
  <c r="CE213" i="47"/>
  <c r="CD213" i="47"/>
  <c r="CC213" i="47"/>
  <c r="CB213" i="47"/>
  <c r="CJ212" i="47"/>
  <c r="CI212" i="47"/>
  <c r="CH212" i="47"/>
  <c r="CG212" i="47"/>
  <c r="CF212" i="47"/>
  <c r="CE212" i="47"/>
  <c r="CD212" i="47"/>
  <c r="CC212" i="47"/>
  <c r="CB212" i="47"/>
  <c r="CJ211" i="47"/>
  <c r="CI211" i="47"/>
  <c r="CH211" i="47"/>
  <c r="CG211" i="47"/>
  <c r="CF211" i="47"/>
  <c r="CE211" i="47"/>
  <c r="CD211" i="47"/>
  <c r="CC211" i="47"/>
  <c r="CB211" i="47"/>
  <c r="CJ210" i="47"/>
  <c r="CI210" i="47"/>
  <c r="CH210" i="47"/>
  <c r="CG210" i="47"/>
  <c r="CF210" i="47"/>
  <c r="CE210" i="47"/>
  <c r="CD210" i="47"/>
  <c r="CC210" i="47"/>
  <c r="CB210" i="47"/>
  <c r="CJ209" i="47"/>
  <c r="CI209" i="47"/>
  <c r="CH209" i="47"/>
  <c r="CG209" i="47"/>
  <c r="CF209" i="47"/>
  <c r="CE209" i="47"/>
  <c r="CD209" i="47"/>
  <c r="CC209" i="47"/>
  <c r="CB209" i="47"/>
  <c r="CJ208" i="47"/>
  <c r="CI208" i="47"/>
  <c r="CH208" i="47"/>
  <c r="CG208" i="47"/>
  <c r="CF208" i="47"/>
  <c r="CE208" i="47"/>
  <c r="CD208" i="47"/>
  <c r="CC208" i="47"/>
  <c r="CB208" i="47"/>
  <c r="CJ207" i="47"/>
  <c r="CI207" i="47"/>
  <c r="CH207" i="47"/>
  <c r="CG207" i="47"/>
  <c r="CF207" i="47"/>
  <c r="CE207" i="47"/>
  <c r="CD207" i="47"/>
  <c r="CC207" i="47"/>
  <c r="CB207" i="47"/>
  <c r="CJ206" i="47"/>
  <c r="CI206" i="47"/>
  <c r="CH206" i="47"/>
  <c r="CG206" i="47"/>
  <c r="CF206" i="47"/>
  <c r="CE206" i="47"/>
  <c r="CD206" i="47"/>
  <c r="CC206" i="47"/>
  <c r="CB206" i="47"/>
  <c r="CJ205" i="47"/>
  <c r="CI205" i="47"/>
  <c r="CH205" i="47"/>
  <c r="CG205" i="47"/>
  <c r="CF205" i="47"/>
  <c r="CE205" i="47"/>
  <c r="CD205" i="47"/>
  <c r="CC205" i="47"/>
  <c r="CB205" i="47"/>
  <c r="CJ204" i="47"/>
  <c r="CI204" i="47"/>
  <c r="CH204" i="47"/>
  <c r="CG204" i="47"/>
  <c r="CF204" i="47"/>
  <c r="CE204" i="47"/>
  <c r="CD204" i="47"/>
  <c r="CC204" i="47"/>
  <c r="CB204" i="47"/>
  <c r="CJ203" i="47"/>
  <c r="CI203" i="47"/>
  <c r="CH203" i="47"/>
  <c r="CG203" i="47"/>
  <c r="CF203" i="47"/>
  <c r="CE203" i="47"/>
  <c r="CD203" i="47"/>
  <c r="CC203" i="47"/>
  <c r="CB203" i="47"/>
  <c r="CJ202" i="47"/>
  <c r="CI202" i="47"/>
  <c r="CH202" i="47"/>
  <c r="CG202" i="47"/>
  <c r="CF202" i="47"/>
  <c r="CE202" i="47"/>
  <c r="CD202" i="47"/>
  <c r="CC202" i="47"/>
  <c r="CB202" i="47"/>
  <c r="CJ201" i="47"/>
  <c r="CI201" i="47"/>
  <c r="CH201" i="47"/>
  <c r="CG201" i="47"/>
  <c r="CF201" i="47"/>
  <c r="CE201" i="47"/>
  <c r="CD201" i="47"/>
  <c r="CC201" i="47"/>
  <c r="CB201" i="47"/>
  <c r="CJ200" i="47"/>
  <c r="CI200" i="47"/>
  <c r="CH200" i="47"/>
  <c r="CG200" i="47"/>
  <c r="CF200" i="47"/>
  <c r="CE200" i="47"/>
  <c r="CD200" i="47"/>
  <c r="CC200" i="47"/>
  <c r="CB200" i="47"/>
  <c r="CJ199" i="47"/>
  <c r="CI199" i="47"/>
  <c r="CH199" i="47"/>
  <c r="CG199" i="47"/>
  <c r="CF199" i="47"/>
  <c r="CE199" i="47"/>
  <c r="CD199" i="47"/>
  <c r="CC199" i="47"/>
  <c r="CB199" i="47"/>
  <c r="CJ198" i="47"/>
  <c r="CI198" i="47"/>
  <c r="CH198" i="47"/>
  <c r="CG198" i="47"/>
  <c r="CF198" i="47"/>
  <c r="CE198" i="47"/>
  <c r="CD198" i="47"/>
  <c r="CC198" i="47"/>
  <c r="CB198" i="47"/>
  <c r="CJ197" i="47"/>
  <c r="CI197" i="47"/>
  <c r="CH197" i="47"/>
  <c r="CG197" i="47"/>
  <c r="CF197" i="47"/>
  <c r="CE197" i="47"/>
  <c r="CD197" i="47"/>
  <c r="CC197" i="47"/>
  <c r="CB197" i="47"/>
  <c r="CJ196" i="47"/>
  <c r="CI196" i="47"/>
  <c r="CH196" i="47"/>
  <c r="CG196" i="47"/>
  <c r="CF196" i="47"/>
  <c r="CE196" i="47"/>
  <c r="CD196" i="47"/>
  <c r="CC196" i="47"/>
  <c r="CB196" i="47"/>
  <c r="CJ195" i="47"/>
  <c r="CI195" i="47"/>
  <c r="CH195" i="47"/>
  <c r="CG195" i="47"/>
  <c r="CF195" i="47"/>
  <c r="CE195" i="47"/>
  <c r="CD195" i="47"/>
  <c r="CC195" i="47"/>
  <c r="CB195" i="47"/>
  <c r="CJ194" i="47"/>
  <c r="CI194" i="47"/>
  <c r="CH194" i="47"/>
  <c r="CG194" i="47"/>
  <c r="CF194" i="47"/>
  <c r="CE194" i="47"/>
  <c r="CD194" i="47"/>
  <c r="CC194" i="47"/>
  <c r="CB194" i="47"/>
  <c r="CJ193" i="47"/>
  <c r="CI193" i="47"/>
  <c r="CH193" i="47"/>
  <c r="CG193" i="47"/>
  <c r="CF193" i="47"/>
  <c r="CE193" i="47"/>
  <c r="CD193" i="47"/>
  <c r="CC193" i="47"/>
  <c r="CB193" i="47"/>
  <c r="CJ192" i="47"/>
  <c r="CI192" i="47"/>
  <c r="CH192" i="47"/>
  <c r="CG192" i="47"/>
  <c r="CF192" i="47"/>
  <c r="CE192" i="47"/>
  <c r="CD192" i="47"/>
  <c r="CC192" i="47"/>
  <c r="CB192" i="47"/>
  <c r="CJ191" i="47"/>
  <c r="CI191" i="47"/>
  <c r="CH191" i="47"/>
  <c r="CG191" i="47"/>
  <c r="CF191" i="47"/>
  <c r="CE191" i="47"/>
  <c r="CD191" i="47"/>
  <c r="CC191" i="47"/>
  <c r="CB191" i="47"/>
  <c r="CJ190" i="47"/>
  <c r="CI190" i="47"/>
  <c r="CH190" i="47"/>
  <c r="CG190" i="47"/>
  <c r="CF190" i="47"/>
  <c r="CE190" i="47"/>
  <c r="CD190" i="47"/>
  <c r="CC190" i="47"/>
  <c r="CB190" i="47"/>
  <c r="CJ189" i="47"/>
  <c r="CI189" i="47"/>
  <c r="CH189" i="47"/>
  <c r="CG189" i="47"/>
  <c r="CF189" i="47"/>
  <c r="CE189" i="47"/>
  <c r="CD189" i="47"/>
  <c r="CC189" i="47"/>
  <c r="CB189" i="47"/>
  <c r="CJ188" i="47"/>
  <c r="CI188" i="47"/>
  <c r="CH188" i="47"/>
  <c r="CG188" i="47"/>
  <c r="CF188" i="47"/>
  <c r="CE188" i="47"/>
  <c r="CD188" i="47"/>
  <c r="CC188" i="47"/>
  <c r="CB188" i="47"/>
  <c r="CJ187" i="47"/>
  <c r="CI187" i="47"/>
  <c r="CH187" i="47"/>
  <c r="CG187" i="47"/>
  <c r="CF187" i="47"/>
  <c r="CE187" i="47"/>
  <c r="CD187" i="47"/>
  <c r="CC187" i="47"/>
  <c r="CB187" i="47"/>
  <c r="CJ186" i="47"/>
  <c r="CI186" i="47"/>
  <c r="CH186" i="47"/>
  <c r="CG186" i="47"/>
  <c r="CF186" i="47"/>
  <c r="CE186" i="47"/>
  <c r="CD186" i="47"/>
  <c r="CC186" i="47"/>
  <c r="CB186" i="47"/>
  <c r="CJ185" i="47"/>
  <c r="CI185" i="47"/>
  <c r="CH185" i="47"/>
  <c r="CG185" i="47"/>
  <c r="CF185" i="47"/>
  <c r="CE185" i="47"/>
  <c r="CD185" i="47"/>
  <c r="CC185" i="47"/>
  <c r="CB185" i="47"/>
  <c r="CJ184" i="47"/>
  <c r="CI184" i="47"/>
  <c r="CH184" i="47"/>
  <c r="CG184" i="47"/>
  <c r="CF184" i="47"/>
  <c r="CE184" i="47"/>
  <c r="CD184" i="47"/>
  <c r="CC184" i="47"/>
  <c r="CB184" i="47"/>
  <c r="CJ183" i="47"/>
  <c r="CI183" i="47"/>
  <c r="CH183" i="47"/>
  <c r="CG183" i="47"/>
  <c r="CF183" i="47"/>
  <c r="CE183" i="47"/>
  <c r="CD183" i="47"/>
  <c r="CC183" i="47"/>
  <c r="CB183" i="47"/>
  <c r="CJ182" i="47"/>
  <c r="CI182" i="47"/>
  <c r="CH182" i="47"/>
  <c r="CG182" i="47"/>
  <c r="CF182" i="47"/>
  <c r="CE182" i="47"/>
  <c r="CD182" i="47"/>
  <c r="CC182" i="47"/>
  <c r="CB182" i="47"/>
  <c r="CJ181" i="47"/>
  <c r="CI181" i="47"/>
  <c r="CH181" i="47"/>
  <c r="CG181" i="47"/>
  <c r="CF181" i="47"/>
  <c r="CE181" i="47"/>
  <c r="CD181" i="47"/>
  <c r="CC181" i="47"/>
  <c r="CB181" i="47"/>
  <c r="CJ180" i="47"/>
  <c r="CI180" i="47"/>
  <c r="CH180" i="47"/>
  <c r="CG180" i="47"/>
  <c r="CF180" i="47"/>
  <c r="CE180" i="47"/>
  <c r="CD180" i="47"/>
  <c r="CC180" i="47"/>
  <c r="CB180" i="47"/>
  <c r="CJ179" i="47"/>
  <c r="CI179" i="47"/>
  <c r="CH179" i="47"/>
  <c r="CG179" i="47"/>
  <c r="CF179" i="47"/>
  <c r="CE179" i="47"/>
  <c r="CD179" i="47"/>
  <c r="CC179" i="47"/>
  <c r="CB179" i="47"/>
  <c r="CJ178" i="47"/>
  <c r="CI178" i="47"/>
  <c r="CH178" i="47"/>
  <c r="CG178" i="47"/>
  <c r="CF178" i="47"/>
  <c r="CE178" i="47"/>
  <c r="CD178" i="47"/>
  <c r="CC178" i="47"/>
  <c r="CB178" i="47"/>
  <c r="CJ177" i="47"/>
  <c r="CI177" i="47"/>
  <c r="CH177" i="47"/>
  <c r="CG177" i="47"/>
  <c r="CF177" i="47"/>
  <c r="CE177" i="47"/>
  <c r="CD177" i="47"/>
  <c r="CC177" i="47"/>
  <c r="CB177" i="47"/>
  <c r="CJ176" i="47"/>
  <c r="CI176" i="47"/>
  <c r="CH176" i="47"/>
  <c r="CG176" i="47"/>
  <c r="CF176" i="47"/>
  <c r="CE176" i="47"/>
  <c r="CD176" i="47"/>
  <c r="CC176" i="47"/>
  <c r="CB176" i="47"/>
  <c r="CJ175" i="47"/>
  <c r="CI175" i="47"/>
  <c r="CH175" i="47"/>
  <c r="CG175" i="47"/>
  <c r="CF175" i="47"/>
  <c r="CE175" i="47"/>
  <c r="CD175" i="47"/>
  <c r="CC175" i="47"/>
  <c r="CB175" i="47"/>
  <c r="CJ174" i="47"/>
  <c r="CI174" i="47"/>
  <c r="CH174" i="47"/>
  <c r="CG174" i="47"/>
  <c r="CF174" i="47"/>
  <c r="CE174" i="47"/>
  <c r="CD174" i="47"/>
  <c r="CC174" i="47"/>
  <c r="CB174" i="47"/>
  <c r="CJ173" i="47"/>
  <c r="CI173" i="47"/>
  <c r="CH173" i="47"/>
  <c r="CG173" i="47"/>
  <c r="CF173" i="47"/>
  <c r="CE173" i="47"/>
  <c r="CD173" i="47"/>
  <c r="CC173" i="47"/>
  <c r="CB173" i="47"/>
  <c r="CJ172" i="47"/>
  <c r="CI172" i="47"/>
  <c r="CH172" i="47"/>
  <c r="CG172" i="47"/>
  <c r="CF172" i="47"/>
  <c r="CE172" i="47"/>
  <c r="CD172" i="47"/>
  <c r="CC172" i="47"/>
  <c r="CB172" i="47"/>
  <c r="CJ171" i="47"/>
  <c r="CI171" i="47"/>
  <c r="CH171" i="47"/>
  <c r="CG171" i="47"/>
  <c r="CF171" i="47"/>
  <c r="CE171" i="47"/>
  <c r="CD171" i="47"/>
  <c r="CC171" i="47"/>
  <c r="CB171" i="47"/>
  <c r="CJ170" i="47"/>
  <c r="CI170" i="47"/>
  <c r="CH170" i="47"/>
  <c r="CG170" i="47"/>
  <c r="CF170" i="47"/>
  <c r="CE170" i="47"/>
  <c r="CD170" i="47"/>
  <c r="CC170" i="47"/>
  <c r="CB170" i="47"/>
  <c r="CJ169" i="47"/>
  <c r="CI169" i="47"/>
  <c r="CH169" i="47"/>
  <c r="CG169" i="47"/>
  <c r="CF169" i="47"/>
  <c r="CE169" i="47"/>
  <c r="CD169" i="47"/>
  <c r="CC169" i="47"/>
  <c r="CB169" i="47"/>
  <c r="CJ168" i="47"/>
  <c r="CI168" i="47"/>
  <c r="CH168" i="47"/>
  <c r="CG168" i="47"/>
  <c r="CF168" i="47"/>
  <c r="CE168" i="47"/>
  <c r="CD168" i="47"/>
  <c r="CC168" i="47"/>
  <c r="CB168" i="47"/>
  <c r="CJ167" i="47"/>
  <c r="CI167" i="47"/>
  <c r="CH167" i="47"/>
  <c r="CG167" i="47"/>
  <c r="CF167" i="47"/>
  <c r="CE167" i="47"/>
  <c r="CD167" i="47"/>
  <c r="CC167" i="47"/>
  <c r="CB167" i="47"/>
  <c r="CJ166" i="47"/>
  <c r="CI166" i="47"/>
  <c r="CH166" i="47"/>
  <c r="CG166" i="47"/>
  <c r="CF166" i="47"/>
  <c r="CE166" i="47"/>
  <c r="CD166" i="47"/>
  <c r="CC166" i="47"/>
  <c r="CB166" i="47"/>
  <c r="CJ165" i="47"/>
  <c r="CI165" i="47"/>
  <c r="CH165" i="47"/>
  <c r="CG165" i="47"/>
  <c r="CF165" i="47"/>
  <c r="CE165" i="47"/>
  <c r="CD165" i="47"/>
  <c r="CC165" i="47"/>
  <c r="CB165" i="47"/>
  <c r="CJ164" i="47"/>
  <c r="CI164" i="47"/>
  <c r="CH164" i="47"/>
  <c r="CG164" i="47"/>
  <c r="CF164" i="47"/>
  <c r="CE164" i="47"/>
  <c r="CD164" i="47"/>
  <c r="CC164" i="47"/>
  <c r="CB164" i="47"/>
  <c r="CJ163" i="47"/>
  <c r="CI163" i="47"/>
  <c r="CH163" i="47"/>
  <c r="CG163" i="47"/>
  <c r="CF163" i="47"/>
  <c r="CE163" i="47"/>
  <c r="CD163" i="47"/>
  <c r="CC163" i="47"/>
  <c r="CB163" i="47"/>
  <c r="CJ162" i="47"/>
  <c r="CI162" i="47"/>
  <c r="CH162" i="47"/>
  <c r="CG162" i="47"/>
  <c r="CF162" i="47"/>
  <c r="CE162" i="47"/>
  <c r="CD162" i="47"/>
  <c r="CC162" i="47"/>
  <c r="CB162" i="47"/>
  <c r="CJ161" i="47"/>
  <c r="CI161" i="47"/>
  <c r="CH161" i="47"/>
  <c r="CG161" i="47"/>
  <c r="CF161" i="47"/>
  <c r="CE161" i="47"/>
  <c r="CD161" i="47"/>
  <c r="CC161" i="47"/>
  <c r="CB161" i="47"/>
  <c r="CJ160" i="47"/>
  <c r="CI160" i="47"/>
  <c r="CH160" i="47"/>
  <c r="CG160" i="47"/>
  <c r="CF160" i="47"/>
  <c r="CE160" i="47"/>
  <c r="CD160" i="47"/>
  <c r="CC160" i="47"/>
  <c r="CB160" i="47"/>
  <c r="CJ159" i="47"/>
  <c r="CI159" i="47"/>
  <c r="CH159" i="47"/>
  <c r="CG159" i="47"/>
  <c r="CF159" i="47"/>
  <c r="CE159" i="47"/>
  <c r="CD159" i="47"/>
  <c r="CC159" i="47"/>
  <c r="CB159" i="47"/>
  <c r="CJ158" i="47"/>
  <c r="CI158" i="47"/>
  <c r="CH158" i="47"/>
  <c r="CG158" i="47"/>
  <c r="CF158" i="47"/>
  <c r="CE158" i="47"/>
  <c r="CD158" i="47"/>
  <c r="CC158" i="47"/>
  <c r="CB158" i="47"/>
  <c r="CJ157" i="47"/>
  <c r="CI157" i="47"/>
  <c r="CH157" i="47"/>
  <c r="CG157" i="47"/>
  <c r="CF157" i="47"/>
  <c r="CE157" i="47"/>
  <c r="CD157" i="47"/>
  <c r="CC157" i="47"/>
  <c r="CB157" i="47"/>
  <c r="CJ156" i="47"/>
  <c r="CI156" i="47"/>
  <c r="CH156" i="47"/>
  <c r="CG156" i="47"/>
  <c r="CF156" i="47"/>
  <c r="CE156" i="47"/>
  <c r="CD156" i="47"/>
  <c r="CC156" i="47"/>
  <c r="CB156" i="47"/>
  <c r="CJ155" i="47"/>
  <c r="CI155" i="47"/>
  <c r="CH155" i="47"/>
  <c r="CG155" i="47"/>
  <c r="CF155" i="47"/>
  <c r="CE155" i="47"/>
  <c r="CD155" i="47"/>
  <c r="CC155" i="47"/>
  <c r="CB155" i="47"/>
  <c r="CJ154" i="47"/>
  <c r="CI154" i="47"/>
  <c r="CH154" i="47"/>
  <c r="CG154" i="47"/>
  <c r="CF154" i="47"/>
  <c r="CE154" i="47"/>
  <c r="CD154" i="47"/>
  <c r="CC154" i="47"/>
  <c r="CB154" i="47"/>
  <c r="CJ153" i="47"/>
  <c r="CI153" i="47"/>
  <c r="CH153" i="47"/>
  <c r="CG153" i="47"/>
  <c r="CF153" i="47"/>
  <c r="CE153" i="47"/>
  <c r="CD153" i="47"/>
  <c r="CC153" i="47"/>
  <c r="CB153" i="47"/>
  <c r="CJ152" i="47"/>
  <c r="CI152" i="47"/>
  <c r="CH152" i="47"/>
  <c r="CG152" i="47"/>
  <c r="CF152" i="47"/>
  <c r="CE152" i="47"/>
  <c r="CD152" i="47"/>
  <c r="CC152" i="47"/>
  <c r="CB152" i="47"/>
  <c r="CJ151" i="47"/>
  <c r="CI151" i="47"/>
  <c r="CH151" i="47"/>
  <c r="CG151" i="47"/>
  <c r="CF151" i="47"/>
  <c r="CE151" i="47"/>
  <c r="CD151" i="47"/>
  <c r="CC151" i="47"/>
  <c r="CB151" i="47"/>
  <c r="CJ150" i="47"/>
  <c r="CI150" i="47"/>
  <c r="CH150" i="47"/>
  <c r="CG150" i="47"/>
  <c r="CF150" i="47"/>
  <c r="CE150" i="47"/>
  <c r="CD150" i="47"/>
  <c r="CC150" i="47"/>
  <c r="CB150" i="47"/>
  <c r="CJ149" i="47"/>
  <c r="CI149" i="47"/>
  <c r="CH149" i="47"/>
  <c r="CG149" i="47"/>
  <c r="CF149" i="47"/>
  <c r="CE149" i="47"/>
  <c r="CD149" i="47"/>
  <c r="CC149" i="47"/>
  <c r="CB149" i="47"/>
  <c r="CJ148" i="47"/>
  <c r="CI148" i="47"/>
  <c r="CH148" i="47"/>
  <c r="CG148" i="47"/>
  <c r="CF148" i="47"/>
  <c r="CE148" i="47"/>
  <c r="CD148" i="47"/>
  <c r="CC148" i="47"/>
  <c r="CB148" i="47"/>
  <c r="CJ147" i="47"/>
  <c r="CI147" i="47"/>
  <c r="CH147" i="47"/>
  <c r="CG147" i="47"/>
  <c r="CF147" i="47"/>
  <c r="CE147" i="47"/>
  <c r="CD147" i="47"/>
  <c r="CC147" i="47"/>
  <c r="CB147" i="47"/>
  <c r="CJ146" i="47"/>
  <c r="CI146" i="47"/>
  <c r="CH146" i="47"/>
  <c r="CG146" i="47"/>
  <c r="CF146" i="47"/>
  <c r="CE146" i="47"/>
  <c r="CD146" i="47"/>
  <c r="CC146" i="47"/>
  <c r="CB146" i="47"/>
  <c r="CJ145" i="47"/>
  <c r="CI145" i="47"/>
  <c r="CH145" i="47"/>
  <c r="CG145" i="47"/>
  <c r="CF145" i="47"/>
  <c r="CE145" i="47"/>
  <c r="CD145" i="47"/>
  <c r="CC145" i="47"/>
  <c r="CB145" i="47"/>
  <c r="CJ144" i="47"/>
  <c r="CI144" i="47"/>
  <c r="CH144" i="47"/>
  <c r="CG144" i="47"/>
  <c r="CF144" i="47"/>
  <c r="CE144" i="47"/>
  <c r="CD144" i="47"/>
  <c r="CC144" i="47"/>
  <c r="CB144" i="47"/>
  <c r="CJ143" i="47"/>
  <c r="CI143" i="47"/>
  <c r="CH143" i="47"/>
  <c r="CG143" i="47"/>
  <c r="CF143" i="47"/>
  <c r="CE143" i="47"/>
  <c r="CD143" i="47"/>
  <c r="CC143" i="47"/>
  <c r="CB143" i="47"/>
  <c r="CJ142" i="47"/>
  <c r="CI142" i="47"/>
  <c r="CH142" i="47"/>
  <c r="CG142" i="47"/>
  <c r="CF142" i="47"/>
  <c r="CE142" i="47"/>
  <c r="CD142" i="47"/>
  <c r="CC142" i="47"/>
  <c r="CB142" i="47"/>
  <c r="CJ141" i="47"/>
  <c r="CI141" i="47"/>
  <c r="CH141" i="47"/>
  <c r="CG141" i="47"/>
  <c r="CF141" i="47"/>
  <c r="CE141" i="47"/>
  <c r="CD141" i="47"/>
  <c r="CC141" i="47"/>
  <c r="CB141" i="47"/>
  <c r="CJ140" i="47"/>
  <c r="CI140" i="47"/>
  <c r="CH140" i="47"/>
  <c r="CG140" i="47"/>
  <c r="CF140" i="47"/>
  <c r="CE140" i="47"/>
  <c r="CD140" i="47"/>
  <c r="CC140" i="47"/>
  <c r="CB140" i="47"/>
  <c r="CJ139" i="47"/>
  <c r="CI139" i="47"/>
  <c r="CH139" i="47"/>
  <c r="CG139" i="47"/>
  <c r="CF139" i="47"/>
  <c r="CE139" i="47"/>
  <c r="CD139" i="47"/>
  <c r="CC139" i="47"/>
  <c r="CB139" i="47"/>
  <c r="CJ138" i="47"/>
  <c r="CI138" i="47"/>
  <c r="CH138" i="47"/>
  <c r="CG138" i="47"/>
  <c r="CF138" i="47"/>
  <c r="CE138" i="47"/>
  <c r="CD138" i="47"/>
  <c r="CC138" i="47"/>
  <c r="CB138" i="47"/>
  <c r="CJ137" i="47"/>
  <c r="CI137" i="47"/>
  <c r="CH137" i="47"/>
  <c r="CG137" i="47"/>
  <c r="CF137" i="47"/>
  <c r="CE137" i="47"/>
  <c r="CD137" i="47"/>
  <c r="CC137" i="47"/>
  <c r="CB137" i="47"/>
  <c r="CJ136" i="47"/>
  <c r="CI136" i="47"/>
  <c r="CH136" i="47"/>
  <c r="CG136" i="47"/>
  <c r="CF136" i="47"/>
  <c r="CE136" i="47"/>
  <c r="CD136" i="47"/>
  <c r="CC136" i="47"/>
  <c r="CB136" i="47"/>
  <c r="CJ135" i="47"/>
  <c r="CI135" i="47"/>
  <c r="CH135" i="47"/>
  <c r="CG135" i="47"/>
  <c r="CF135" i="47"/>
  <c r="CE135" i="47"/>
  <c r="CD135" i="47"/>
  <c r="CC135" i="47"/>
  <c r="CB135" i="47"/>
  <c r="CJ134" i="47"/>
  <c r="CI134" i="47"/>
  <c r="CH134" i="47"/>
  <c r="CG134" i="47"/>
  <c r="CF134" i="47"/>
  <c r="CE134" i="47"/>
  <c r="CD134" i="47"/>
  <c r="CC134" i="47"/>
  <c r="CB134" i="47"/>
  <c r="CJ133" i="47"/>
  <c r="CI133" i="47"/>
  <c r="CH133" i="47"/>
  <c r="CG133" i="47"/>
  <c r="CF133" i="47"/>
  <c r="CE133" i="47"/>
  <c r="CD133" i="47"/>
  <c r="CC133" i="47"/>
  <c r="CB133" i="47"/>
  <c r="CJ132" i="47"/>
  <c r="CI132" i="47"/>
  <c r="CH132" i="47"/>
  <c r="CG132" i="47"/>
  <c r="CF132" i="47"/>
  <c r="CE132" i="47"/>
  <c r="CD132" i="47"/>
  <c r="CC132" i="47"/>
  <c r="CB132" i="47"/>
  <c r="CJ131" i="47"/>
  <c r="CI131" i="47"/>
  <c r="CH131" i="47"/>
  <c r="CG131" i="47"/>
  <c r="CF131" i="47"/>
  <c r="CE131" i="47"/>
  <c r="CD131" i="47"/>
  <c r="CC131" i="47"/>
  <c r="CB131" i="47"/>
  <c r="CJ130" i="47"/>
  <c r="CI130" i="47"/>
  <c r="CH130" i="47"/>
  <c r="CG130" i="47"/>
  <c r="CF130" i="47"/>
  <c r="CE130" i="47"/>
  <c r="CD130" i="47"/>
  <c r="CC130" i="47"/>
  <c r="CB130" i="47"/>
  <c r="CJ129" i="47"/>
  <c r="CI129" i="47"/>
  <c r="CH129" i="47"/>
  <c r="CG129" i="47"/>
  <c r="CF129" i="47"/>
  <c r="CE129" i="47"/>
  <c r="CD129" i="47"/>
  <c r="CC129" i="47"/>
  <c r="CB129" i="47"/>
  <c r="CJ128" i="47"/>
  <c r="CI128" i="47"/>
  <c r="CH128" i="47"/>
  <c r="CG128" i="47"/>
  <c r="CF128" i="47"/>
  <c r="CE128" i="47"/>
  <c r="CD128" i="47"/>
  <c r="CC128" i="47"/>
  <c r="CB128" i="47"/>
  <c r="CJ127" i="47"/>
  <c r="CI127" i="47"/>
  <c r="CH127" i="47"/>
  <c r="CG127" i="47"/>
  <c r="CF127" i="47"/>
  <c r="CE127" i="47"/>
  <c r="CD127" i="47"/>
  <c r="CC127" i="47"/>
  <c r="CB127" i="47"/>
  <c r="CJ126" i="47"/>
  <c r="CI126" i="47"/>
  <c r="CH126" i="47"/>
  <c r="CG126" i="47"/>
  <c r="CF126" i="47"/>
  <c r="CE126" i="47"/>
  <c r="CD126" i="47"/>
  <c r="CC126" i="47"/>
  <c r="CB126" i="47"/>
  <c r="CJ125" i="47"/>
  <c r="CI125" i="47"/>
  <c r="CH125" i="47"/>
  <c r="CG125" i="47"/>
  <c r="CF125" i="47"/>
  <c r="CE125" i="47"/>
  <c r="CD125" i="47"/>
  <c r="CC125" i="47"/>
  <c r="CB125" i="47"/>
  <c r="CJ124" i="47"/>
  <c r="CI124" i="47"/>
  <c r="CH124" i="47"/>
  <c r="CG124" i="47"/>
  <c r="CF124" i="47"/>
  <c r="CE124" i="47"/>
  <c r="CD124" i="47"/>
  <c r="CC124" i="47"/>
  <c r="CB124" i="47"/>
  <c r="CJ123" i="47"/>
  <c r="CI123" i="47"/>
  <c r="CH123" i="47"/>
  <c r="CG123" i="47"/>
  <c r="CF123" i="47"/>
  <c r="CE123" i="47"/>
  <c r="CD123" i="47"/>
  <c r="CC123" i="47"/>
  <c r="CB123" i="47"/>
  <c r="CJ122" i="47"/>
  <c r="CI122" i="47"/>
  <c r="CH122" i="47"/>
  <c r="CG122" i="47"/>
  <c r="CF122" i="47"/>
  <c r="CE122" i="47"/>
  <c r="CD122" i="47"/>
  <c r="CC122" i="47"/>
  <c r="CB122" i="47"/>
  <c r="CJ121" i="47"/>
  <c r="CI121" i="47"/>
  <c r="CH121" i="47"/>
  <c r="CG121" i="47"/>
  <c r="CF121" i="47"/>
  <c r="CE121" i="47"/>
  <c r="CD121" i="47"/>
  <c r="CC121" i="47"/>
  <c r="CB121" i="47"/>
  <c r="CJ120" i="47"/>
  <c r="CI120" i="47"/>
  <c r="CH120" i="47"/>
  <c r="CG120" i="47"/>
  <c r="CF120" i="47"/>
  <c r="CE120" i="47"/>
  <c r="CD120" i="47"/>
  <c r="CC120" i="47"/>
  <c r="CB120" i="47"/>
  <c r="CJ119" i="47"/>
  <c r="CI119" i="47"/>
  <c r="CH119" i="47"/>
  <c r="CG119" i="47"/>
  <c r="CF119" i="47"/>
  <c r="CE119" i="47"/>
  <c r="CD119" i="47"/>
  <c r="CC119" i="47"/>
  <c r="CB119" i="47"/>
  <c r="CJ118" i="47"/>
  <c r="CI118" i="47"/>
  <c r="CH118" i="47"/>
  <c r="CG118" i="47"/>
  <c r="CF118" i="47"/>
  <c r="CE118" i="47"/>
  <c r="CD118" i="47"/>
  <c r="CC118" i="47"/>
  <c r="CB118" i="47"/>
  <c r="CJ117" i="47"/>
  <c r="CI117" i="47"/>
  <c r="CH117" i="47"/>
  <c r="CG117" i="47"/>
  <c r="CF117" i="47"/>
  <c r="CE117" i="47"/>
  <c r="CD117" i="47"/>
  <c r="CC117" i="47"/>
  <c r="CB117" i="47"/>
  <c r="CJ116" i="47"/>
  <c r="CI116" i="47"/>
  <c r="CH116" i="47"/>
  <c r="CG116" i="47"/>
  <c r="CF116" i="47"/>
  <c r="CE116" i="47"/>
  <c r="CD116" i="47"/>
  <c r="CC116" i="47"/>
  <c r="CB116" i="47"/>
  <c r="CJ115" i="47"/>
  <c r="CI115" i="47"/>
  <c r="CH115" i="47"/>
  <c r="CG115" i="47"/>
  <c r="CF115" i="47"/>
  <c r="CE115" i="47"/>
  <c r="CD115" i="47"/>
  <c r="CC115" i="47"/>
  <c r="CB115" i="47"/>
  <c r="CJ113" i="47"/>
  <c r="CI113" i="47"/>
  <c r="CH113" i="47"/>
  <c r="CG113" i="47"/>
  <c r="CF113" i="47"/>
  <c r="CE113" i="47"/>
  <c r="CD113" i="47"/>
  <c r="CC113" i="47"/>
  <c r="CB113" i="47"/>
  <c r="CJ112" i="47"/>
  <c r="CH112" i="47"/>
  <c r="T29" i="46" s="1"/>
  <c r="CG112" i="47"/>
  <c r="S29" i="46" s="1"/>
  <c r="CF112" i="47"/>
  <c r="R29" i="46" s="1"/>
  <c r="CE112" i="47"/>
  <c r="Q29" i="46" s="1"/>
  <c r="CD112" i="47"/>
  <c r="P29" i="46" s="1"/>
  <c r="CC112" i="47"/>
  <c r="O29" i="46" s="1"/>
  <c r="CB112" i="47"/>
  <c r="N29" i="46" s="1"/>
  <c r="CJ111" i="47"/>
  <c r="CH111" i="47"/>
  <c r="T84" i="46" s="1"/>
  <c r="CG111" i="47"/>
  <c r="S84" i="46" s="1"/>
  <c r="CF111" i="47"/>
  <c r="R84" i="46" s="1"/>
  <c r="CE111" i="47"/>
  <c r="Q84" i="46" s="1"/>
  <c r="CD111" i="47"/>
  <c r="P84" i="46" s="1"/>
  <c r="CC111" i="47"/>
  <c r="O84" i="46" s="1"/>
  <c r="CB111" i="47"/>
  <c r="CJ110" i="47"/>
  <c r="CH110" i="47"/>
  <c r="T49" i="46" s="1"/>
  <c r="AC49" i="46" s="1"/>
  <c r="CG110" i="47"/>
  <c r="S49" i="46" s="1"/>
  <c r="AB49" i="46" s="1"/>
  <c r="CF110" i="47"/>
  <c r="R49" i="46" s="1"/>
  <c r="AA49" i="46" s="1"/>
  <c r="AM49" i="46" s="1"/>
  <c r="CE110" i="47"/>
  <c r="Q49" i="46" s="1"/>
  <c r="Z49" i="46" s="1"/>
  <c r="CD110" i="47"/>
  <c r="P49" i="46" s="1"/>
  <c r="Y49" i="46" s="1"/>
  <c r="CC110" i="47"/>
  <c r="O49" i="46" s="1"/>
  <c r="X49" i="46" s="1"/>
  <c r="AK49" i="46" s="1"/>
  <c r="CB110" i="47"/>
  <c r="CJ109" i="47"/>
  <c r="CH109" i="47"/>
  <c r="CG109" i="47"/>
  <c r="AB198" i="46" s="1"/>
  <c r="CF109" i="47"/>
  <c r="CE109" i="47"/>
  <c r="CD109" i="47"/>
  <c r="CC109" i="47"/>
  <c r="CB109" i="47"/>
  <c r="CJ108" i="47"/>
  <c r="CH108" i="47"/>
  <c r="T180" i="46" s="1"/>
  <c r="CG108" i="47"/>
  <c r="S180" i="46" s="1"/>
  <c r="CF108" i="47"/>
  <c r="R180" i="46" s="1"/>
  <c r="CE108" i="47"/>
  <c r="Q180" i="46" s="1"/>
  <c r="CD108" i="47"/>
  <c r="P180" i="46" s="1"/>
  <c r="CC108" i="47"/>
  <c r="O180" i="46" s="1"/>
  <c r="CB108" i="47"/>
  <c r="CJ107" i="47"/>
  <c r="CH107" i="47"/>
  <c r="T176" i="46" s="1"/>
  <c r="CG107" i="47"/>
  <c r="S176" i="46" s="1"/>
  <c r="CF107" i="47"/>
  <c r="R176" i="46" s="1"/>
  <c r="CE107" i="47"/>
  <c r="Q176" i="46" s="1"/>
  <c r="CD107" i="47"/>
  <c r="P176" i="46" s="1"/>
  <c r="CC107" i="47"/>
  <c r="O176" i="46" s="1"/>
  <c r="CB107" i="47"/>
  <c r="N176" i="46" s="1"/>
  <c r="CJ106" i="47"/>
  <c r="CH106" i="47"/>
  <c r="T81" i="46" s="1"/>
  <c r="CG106" i="47"/>
  <c r="S81" i="46" s="1"/>
  <c r="CF106" i="47"/>
  <c r="R81" i="46" s="1"/>
  <c r="CE106" i="47"/>
  <c r="Q81" i="46" s="1"/>
  <c r="CD106" i="47"/>
  <c r="P81" i="46" s="1"/>
  <c r="CC106" i="47"/>
  <c r="O81" i="46" s="1"/>
  <c r="CB106" i="47"/>
  <c r="CJ105" i="47"/>
  <c r="CH105" i="47"/>
  <c r="T21" i="46" s="1"/>
  <c r="CG105" i="47"/>
  <c r="S21" i="46" s="1"/>
  <c r="CF105" i="47"/>
  <c r="R21" i="46" s="1"/>
  <c r="CE105" i="47"/>
  <c r="Q21" i="46" s="1"/>
  <c r="CD105" i="47"/>
  <c r="P21" i="46" s="1"/>
  <c r="CC105" i="47"/>
  <c r="O21" i="46" s="1"/>
  <c r="CB105" i="47"/>
  <c r="CJ104" i="47"/>
  <c r="CH104" i="47"/>
  <c r="T129" i="46" s="1"/>
  <c r="CG104" i="47"/>
  <c r="S129" i="46" s="1"/>
  <c r="CF104" i="47"/>
  <c r="R129" i="46" s="1"/>
  <c r="CE104" i="47"/>
  <c r="Q129" i="46" s="1"/>
  <c r="CD104" i="47"/>
  <c r="P129" i="46" s="1"/>
  <c r="CC104" i="47"/>
  <c r="O129" i="46" s="1"/>
  <c r="CB104" i="47"/>
  <c r="N129" i="46" s="1"/>
  <c r="CJ103" i="47"/>
  <c r="CH103" i="47"/>
  <c r="T114" i="46" s="1"/>
  <c r="CG103" i="47"/>
  <c r="S114" i="46" s="1"/>
  <c r="CF103" i="47"/>
  <c r="R114" i="46" s="1"/>
  <c r="CE103" i="47"/>
  <c r="Q114" i="46" s="1"/>
  <c r="CD103" i="47"/>
  <c r="P114" i="46" s="1"/>
  <c r="CC103" i="47"/>
  <c r="O114" i="46" s="1"/>
  <c r="CB103" i="47"/>
  <c r="N114" i="46" s="1"/>
  <c r="CJ102" i="47"/>
  <c r="CH102" i="47"/>
  <c r="T32" i="46" s="1"/>
  <c r="AC32" i="46" s="1"/>
  <c r="CG102" i="47"/>
  <c r="S32" i="46" s="1"/>
  <c r="AB32" i="46" s="1"/>
  <c r="CF102" i="47"/>
  <c r="R32" i="46" s="1"/>
  <c r="AA32" i="46" s="1"/>
  <c r="AM32" i="46" s="1"/>
  <c r="CE102" i="47"/>
  <c r="Q32" i="46" s="1"/>
  <c r="Z32" i="46" s="1"/>
  <c r="AL32" i="46" s="1"/>
  <c r="CD102" i="47"/>
  <c r="P32" i="46" s="1"/>
  <c r="Y32" i="46" s="1"/>
  <c r="CC102" i="47"/>
  <c r="O32" i="46" s="1"/>
  <c r="X32" i="46" s="1"/>
  <c r="AK32" i="46" s="1"/>
  <c r="CB102" i="47"/>
  <c r="CJ101" i="47"/>
  <c r="CH101" i="47"/>
  <c r="T203" i="46" s="1"/>
  <c r="CG101" i="47"/>
  <c r="S203" i="46" s="1"/>
  <c r="CF101" i="47"/>
  <c r="R203" i="46" s="1"/>
  <c r="CE101" i="47"/>
  <c r="Q203" i="46" s="1"/>
  <c r="CD101" i="47"/>
  <c r="P203" i="46" s="1"/>
  <c r="CC101" i="47"/>
  <c r="O203" i="46" s="1"/>
  <c r="CB101" i="47"/>
  <c r="CJ100" i="47"/>
  <c r="CH100" i="47"/>
  <c r="T193" i="46" s="1"/>
  <c r="CG100" i="47"/>
  <c r="S193" i="46" s="1"/>
  <c r="CF100" i="47"/>
  <c r="R193" i="46" s="1"/>
  <c r="CE100" i="47"/>
  <c r="Q193" i="46" s="1"/>
  <c r="CD100" i="47"/>
  <c r="P193" i="46" s="1"/>
  <c r="CC100" i="47"/>
  <c r="O193" i="46" s="1"/>
  <c r="CB100" i="47"/>
  <c r="CJ99" i="47"/>
  <c r="CH99" i="47"/>
  <c r="T78" i="46" s="1"/>
  <c r="CG99" i="47"/>
  <c r="S78" i="46" s="1"/>
  <c r="CF99" i="47"/>
  <c r="R78" i="46" s="1"/>
  <c r="CE99" i="47"/>
  <c r="Q78" i="46" s="1"/>
  <c r="CD99" i="47"/>
  <c r="P78" i="46" s="1"/>
  <c r="CC99" i="47"/>
  <c r="O78" i="46" s="1"/>
  <c r="CB99" i="47"/>
  <c r="CJ98" i="47"/>
  <c r="CH98" i="47"/>
  <c r="T170" i="46" s="1"/>
  <c r="CG98" i="47"/>
  <c r="S170" i="46" s="1"/>
  <c r="CF98" i="47"/>
  <c r="R170" i="46" s="1"/>
  <c r="CE98" i="47"/>
  <c r="Q170" i="46" s="1"/>
  <c r="CD98" i="47"/>
  <c r="P170" i="46" s="1"/>
  <c r="CC98" i="47"/>
  <c r="O170" i="46" s="1"/>
  <c r="CB98" i="47"/>
  <c r="N170" i="46" s="1"/>
  <c r="CJ97" i="47"/>
  <c r="CH97" i="47"/>
  <c r="T106" i="46" s="1"/>
  <c r="CG97" i="47"/>
  <c r="S106" i="46" s="1"/>
  <c r="CF97" i="47"/>
  <c r="R106" i="46" s="1"/>
  <c r="CE97" i="47"/>
  <c r="Q106" i="46" s="1"/>
  <c r="CD97" i="47"/>
  <c r="P106" i="46" s="1"/>
  <c r="CC97" i="47"/>
  <c r="O106" i="46" s="1"/>
  <c r="CB97" i="47"/>
  <c r="CJ96" i="47"/>
  <c r="CH96" i="47"/>
  <c r="T5" i="46" s="1"/>
  <c r="CG96" i="47"/>
  <c r="S5" i="46" s="1"/>
  <c r="CF96" i="47"/>
  <c r="R5" i="46" s="1"/>
  <c r="CE96" i="47"/>
  <c r="Q5" i="46" s="1"/>
  <c r="CD96" i="47"/>
  <c r="P5" i="46" s="1"/>
  <c r="CC96" i="47"/>
  <c r="O5" i="46" s="1"/>
  <c r="CB96" i="47"/>
  <c r="CJ95" i="47"/>
  <c r="CH95" i="47"/>
  <c r="T55" i="46" s="1"/>
  <c r="CG95" i="47"/>
  <c r="S55" i="46" s="1"/>
  <c r="CF95" i="47"/>
  <c r="R55" i="46" s="1"/>
  <c r="CE95" i="47"/>
  <c r="Q55" i="46" s="1"/>
  <c r="CD95" i="47"/>
  <c r="P55" i="46" s="1"/>
  <c r="CC95" i="47"/>
  <c r="O55" i="46" s="1"/>
  <c r="CB95" i="47"/>
  <c r="CJ94" i="47"/>
  <c r="CH94" i="47"/>
  <c r="T169" i="46" s="1"/>
  <c r="CG94" i="47"/>
  <c r="S169" i="46" s="1"/>
  <c r="CF94" i="47"/>
  <c r="R169" i="46" s="1"/>
  <c r="CE94" i="47"/>
  <c r="Q169" i="46" s="1"/>
  <c r="CD94" i="47"/>
  <c r="P169" i="46" s="1"/>
  <c r="CC94" i="47"/>
  <c r="O169" i="46" s="1"/>
  <c r="CB94" i="47"/>
  <c r="N169" i="46" s="1"/>
  <c r="CJ93" i="47"/>
  <c r="CH93" i="47"/>
  <c r="T157" i="46" s="1"/>
  <c r="CG93" i="47"/>
  <c r="S157" i="46" s="1"/>
  <c r="CF93" i="47"/>
  <c r="R157" i="46" s="1"/>
  <c r="CE93" i="47"/>
  <c r="Q157" i="46" s="1"/>
  <c r="CD93" i="47"/>
  <c r="P157" i="46" s="1"/>
  <c r="CC93" i="47"/>
  <c r="O157" i="46" s="1"/>
  <c r="CB93" i="47"/>
  <c r="CJ92" i="47"/>
  <c r="CH92" i="47"/>
  <c r="T195" i="46" s="1"/>
  <c r="CG92" i="47"/>
  <c r="S195" i="46" s="1"/>
  <c r="CF92" i="47"/>
  <c r="R195" i="46" s="1"/>
  <c r="CE92" i="47"/>
  <c r="Q195" i="46" s="1"/>
  <c r="CD92" i="47"/>
  <c r="P195" i="46" s="1"/>
  <c r="CC92" i="47"/>
  <c r="O195" i="46" s="1"/>
  <c r="CB92" i="47"/>
  <c r="CJ91" i="47"/>
  <c r="CH91" i="47"/>
  <c r="T138" i="46" s="1"/>
  <c r="CG91" i="47"/>
  <c r="S138" i="46" s="1"/>
  <c r="CF91" i="47"/>
  <c r="R138" i="46" s="1"/>
  <c r="CE91" i="47"/>
  <c r="Q138" i="46" s="1"/>
  <c r="CD91" i="47"/>
  <c r="P138" i="46" s="1"/>
  <c r="CC91" i="47"/>
  <c r="O138" i="46" s="1"/>
  <c r="CB91" i="47"/>
  <c r="CJ90" i="47"/>
  <c r="CH90" i="47"/>
  <c r="T218" i="46" s="1"/>
  <c r="CG90" i="47"/>
  <c r="S218" i="46" s="1"/>
  <c r="CF90" i="47"/>
  <c r="R218" i="46" s="1"/>
  <c r="CE90" i="47"/>
  <c r="Q218" i="46" s="1"/>
  <c r="CD90" i="47"/>
  <c r="P218" i="46" s="1"/>
  <c r="CC90" i="47"/>
  <c r="O218" i="46" s="1"/>
  <c r="CB90" i="47"/>
  <c r="CJ89" i="47"/>
  <c r="CH89" i="47"/>
  <c r="T79" i="46" s="1"/>
  <c r="CG89" i="47"/>
  <c r="S79" i="46" s="1"/>
  <c r="CF89" i="47"/>
  <c r="R79" i="46" s="1"/>
  <c r="CE89" i="47"/>
  <c r="Q79" i="46" s="1"/>
  <c r="CD89" i="47"/>
  <c r="P79" i="46" s="1"/>
  <c r="CC89" i="47"/>
  <c r="O79" i="46" s="1"/>
  <c r="CB89" i="47"/>
  <c r="CJ88" i="47"/>
  <c r="CH88" i="47"/>
  <c r="T134" i="46" s="1"/>
  <c r="CG88" i="47"/>
  <c r="S134" i="46" s="1"/>
  <c r="CF88" i="47"/>
  <c r="R134" i="46" s="1"/>
  <c r="CE88" i="47"/>
  <c r="Q134" i="46" s="1"/>
  <c r="CD88" i="47"/>
  <c r="P134" i="46" s="1"/>
  <c r="CC88" i="47"/>
  <c r="O134" i="46" s="1"/>
  <c r="CB88" i="47"/>
  <c r="CJ87" i="47"/>
  <c r="CH87" i="47"/>
  <c r="T140" i="46" s="1"/>
  <c r="CG87" i="47"/>
  <c r="S140" i="46" s="1"/>
  <c r="CF87" i="47"/>
  <c r="R140" i="46" s="1"/>
  <c r="CE87" i="47"/>
  <c r="Q140" i="46" s="1"/>
  <c r="CD87" i="47"/>
  <c r="P140" i="46" s="1"/>
  <c r="CC87" i="47"/>
  <c r="O140" i="46" s="1"/>
  <c r="CB87" i="47"/>
  <c r="CJ86" i="47"/>
  <c r="CH86" i="47"/>
  <c r="T163" i="46" s="1"/>
  <c r="CG86" i="47"/>
  <c r="S163" i="46" s="1"/>
  <c r="CF86" i="47"/>
  <c r="R163" i="46" s="1"/>
  <c r="CE86" i="47"/>
  <c r="Q163" i="46" s="1"/>
  <c r="CD86" i="47"/>
  <c r="P163" i="46" s="1"/>
  <c r="CC86" i="47"/>
  <c r="O163" i="46" s="1"/>
  <c r="CB86" i="47"/>
  <c r="CJ85" i="47"/>
  <c r="CH85" i="47"/>
  <c r="T148" i="46" s="1"/>
  <c r="CG85" i="47"/>
  <c r="S148" i="46" s="1"/>
  <c r="CF85" i="47"/>
  <c r="R148" i="46" s="1"/>
  <c r="CE85" i="47"/>
  <c r="Q148" i="46" s="1"/>
  <c r="CD85" i="47"/>
  <c r="P148" i="46" s="1"/>
  <c r="CC85" i="47"/>
  <c r="O148" i="46" s="1"/>
  <c r="CB85" i="47"/>
  <c r="N148" i="46" s="1"/>
  <c r="CJ84" i="47"/>
  <c r="CH84" i="47"/>
  <c r="T74" i="46" s="1"/>
  <c r="CG84" i="47"/>
  <c r="S74" i="46" s="1"/>
  <c r="CF84" i="47"/>
  <c r="R74" i="46" s="1"/>
  <c r="CE84" i="47"/>
  <c r="Q74" i="46" s="1"/>
  <c r="CD84" i="47"/>
  <c r="P74" i="46" s="1"/>
  <c r="CC84" i="47"/>
  <c r="O74" i="46" s="1"/>
  <c r="CB84" i="47"/>
  <c r="CJ83" i="47"/>
  <c r="CH83" i="47"/>
  <c r="T61" i="46" s="1"/>
  <c r="CG83" i="47"/>
  <c r="S61" i="46" s="1"/>
  <c r="CF83" i="47"/>
  <c r="R61" i="46" s="1"/>
  <c r="CE83" i="47"/>
  <c r="Q61" i="46" s="1"/>
  <c r="CD83" i="47"/>
  <c r="P61" i="46" s="1"/>
  <c r="CC83" i="47"/>
  <c r="O61" i="46" s="1"/>
  <c r="CB83" i="47"/>
  <c r="CJ82" i="47"/>
  <c r="CH82" i="47"/>
  <c r="T139" i="46" s="1"/>
  <c r="CG82" i="47"/>
  <c r="S139" i="46" s="1"/>
  <c r="CF82" i="47"/>
  <c r="R139" i="46" s="1"/>
  <c r="CE82" i="47"/>
  <c r="Q139" i="46" s="1"/>
  <c r="CD82" i="47"/>
  <c r="P139" i="46" s="1"/>
  <c r="CC82" i="47"/>
  <c r="O139" i="46" s="1"/>
  <c r="CB82" i="47"/>
  <c r="CJ81" i="47"/>
  <c r="CH81" i="47"/>
  <c r="T141" i="46" s="1"/>
  <c r="CG81" i="47"/>
  <c r="S141" i="46" s="1"/>
  <c r="CF81" i="47"/>
  <c r="R141" i="46" s="1"/>
  <c r="CE81" i="47"/>
  <c r="Q141" i="46" s="1"/>
  <c r="CD81" i="47"/>
  <c r="P141" i="46" s="1"/>
  <c r="CC81" i="47"/>
  <c r="O141" i="46" s="1"/>
  <c r="CB81" i="47"/>
  <c r="CJ80" i="47"/>
  <c r="CH80" i="47"/>
  <c r="T202" i="46" s="1"/>
  <c r="CG80" i="47"/>
  <c r="S202" i="46" s="1"/>
  <c r="CF80" i="47"/>
  <c r="R202" i="46" s="1"/>
  <c r="CE80" i="47"/>
  <c r="Q202" i="46" s="1"/>
  <c r="CD80" i="47"/>
  <c r="P202" i="46" s="1"/>
  <c r="CC80" i="47"/>
  <c r="O202" i="46" s="1"/>
  <c r="CB80" i="47"/>
  <c r="CJ79" i="47"/>
  <c r="CH79" i="47"/>
  <c r="T51" i="46" s="1"/>
  <c r="AC51" i="46" s="1"/>
  <c r="CG79" i="47"/>
  <c r="S51" i="46" s="1"/>
  <c r="AB51" i="46" s="1"/>
  <c r="CF79" i="47"/>
  <c r="R51" i="46" s="1"/>
  <c r="AA51" i="46" s="1"/>
  <c r="AM51" i="46" s="1"/>
  <c r="CE79" i="47"/>
  <c r="Q51" i="46" s="1"/>
  <c r="Z51" i="46" s="1"/>
  <c r="AL51" i="46" s="1"/>
  <c r="CD79" i="47"/>
  <c r="P51" i="46" s="1"/>
  <c r="Y51" i="46" s="1"/>
  <c r="CC79" i="47"/>
  <c r="O51" i="46" s="1"/>
  <c r="X51" i="46" s="1"/>
  <c r="AK51" i="46" s="1"/>
  <c r="CB79" i="47"/>
  <c r="CJ78" i="47"/>
  <c r="CH78" i="47"/>
  <c r="T179" i="46" s="1"/>
  <c r="AC179" i="46" s="1"/>
  <c r="CG78" i="47"/>
  <c r="S179" i="46" s="1"/>
  <c r="AB179" i="46" s="1"/>
  <c r="CF78" i="47"/>
  <c r="R179" i="46" s="1"/>
  <c r="AA179" i="46" s="1"/>
  <c r="CE78" i="47"/>
  <c r="Q179" i="46" s="1"/>
  <c r="Z179" i="46" s="1"/>
  <c r="CD78" i="47"/>
  <c r="P179" i="46" s="1"/>
  <c r="Y179" i="46" s="1"/>
  <c r="CC78" i="47"/>
  <c r="O179" i="46" s="1"/>
  <c r="X179" i="46" s="1"/>
  <c r="CB78" i="47"/>
  <c r="N179" i="46" s="1"/>
  <c r="CJ77" i="47"/>
  <c r="CH77" i="47"/>
  <c r="T190" i="46" s="1"/>
  <c r="CG77" i="47"/>
  <c r="S190" i="46" s="1"/>
  <c r="CF77" i="47"/>
  <c r="R190" i="46" s="1"/>
  <c r="CE77" i="47"/>
  <c r="Q190" i="46" s="1"/>
  <c r="CD77" i="47"/>
  <c r="P190" i="46" s="1"/>
  <c r="CC77" i="47"/>
  <c r="O190" i="46" s="1"/>
  <c r="CB77" i="47"/>
  <c r="CJ76" i="47"/>
  <c r="CH76" i="47"/>
  <c r="T35" i="46" s="1"/>
  <c r="CG76" i="47"/>
  <c r="S35" i="46" s="1"/>
  <c r="CF76" i="47"/>
  <c r="R35" i="46" s="1"/>
  <c r="CE76" i="47"/>
  <c r="Q35" i="46" s="1"/>
  <c r="CD76" i="47"/>
  <c r="P35" i="46" s="1"/>
  <c r="CC76" i="47"/>
  <c r="O35" i="46" s="1"/>
  <c r="CB76" i="47"/>
  <c r="CJ75" i="47"/>
  <c r="CH75" i="47"/>
  <c r="T154" i="46" s="1"/>
  <c r="CG75" i="47"/>
  <c r="S154" i="46" s="1"/>
  <c r="CF75" i="47"/>
  <c r="R154" i="46" s="1"/>
  <c r="CE75" i="47"/>
  <c r="Q154" i="46" s="1"/>
  <c r="CD75" i="47"/>
  <c r="P154" i="46" s="1"/>
  <c r="CC75" i="47"/>
  <c r="O154" i="46" s="1"/>
  <c r="CB75" i="47"/>
  <c r="N154" i="46" s="1"/>
  <c r="CJ74" i="47"/>
  <c r="CH74" i="47"/>
  <c r="T88" i="46" s="1"/>
  <c r="CG74" i="47"/>
  <c r="S88" i="46" s="1"/>
  <c r="CF74" i="47"/>
  <c r="R88" i="46" s="1"/>
  <c r="CE74" i="47"/>
  <c r="Q88" i="46" s="1"/>
  <c r="CD74" i="47"/>
  <c r="P88" i="46" s="1"/>
  <c r="CC74" i="47"/>
  <c r="O88" i="46" s="1"/>
  <c r="CB74" i="47"/>
  <c r="CJ73" i="47"/>
  <c r="CH73" i="47"/>
  <c r="T31" i="46" s="1"/>
  <c r="CG73" i="47"/>
  <c r="S31" i="46" s="1"/>
  <c r="CF73" i="47"/>
  <c r="R31" i="46" s="1"/>
  <c r="CE73" i="47"/>
  <c r="Q31" i="46" s="1"/>
  <c r="CD73" i="47"/>
  <c r="P31" i="46" s="1"/>
  <c r="CC73" i="47"/>
  <c r="O31" i="46" s="1"/>
  <c r="CB73" i="47"/>
  <c r="CJ72" i="47"/>
  <c r="CH72" i="47"/>
  <c r="T6" i="46" s="1"/>
  <c r="CG72" i="47"/>
  <c r="S6" i="46" s="1"/>
  <c r="CF72" i="47"/>
  <c r="R6" i="46" s="1"/>
  <c r="CE72" i="47"/>
  <c r="Q6" i="46" s="1"/>
  <c r="CD72" i="47"/>
  <c r="P6" i="46" s="1"/>
  <c r="CC72" i="47"/>
  <c r="O6" i="46" s="1"/>
  <c r="CB72" i="47"/>
  <c r="CJ71" i="47"/>
  <c r="CH71" i="47"/>
  <c r="T77" i="46" s="1"/>
  <c r="CG71" i="47"/>
  <c r="S77" i="46" s="1"/>
  <c r="CF71" i="47"/>
  <c r="R77" i="46" s="1"/>
  <c r="CE71" i="47"/>
  <c r="Q77" i="46" s="1"/>
  <c r="CD71" i="47"/>
  <c r="P77" i="46" s="1"/>
  <c r="CC71" i="47"/>
  <c r="O77" i="46" s="1"/>
  <c r="CB71" i="47"/>
  <c r="CJ70" i="47"/>
  <c r="CH70" i="47"/>
  <c r="T100" i="46" s="1"/>
  <c r="CG70" i="47"/>
  <c r="S100" i="46" s="1"/>
  <c r="CF70" i="47"/>
  <c r="R100" i="46" s="1"/>
  <c r="CE70" i="47"/>
  <c r="Q100" i="46" s="1"/>
  <c r="CD70" i="47"/>
  <c r="P100" i="46" s="1"/>
  <c r="CC70" i="47"/>
  <c r="O100" i="46" s="1"/>
  <c r="CB70" i="47"/>
  <c r="N100" i="46" s="1"/>
  <c r="CJ69" i="47"/>
  <c r="CH69" i="47"/>
  <c r="T80" i="46" s="1"/>
  <c r="CG69" i="47"/>
  <c r="S80" i="46" s="1"/>
  <c r="CF69" i="47"/>
  <c r="R80" i="46" s="1"/>
  <c r="CE69" i="47"/>
  <c r="Q80" i="46" s="1"/>
  <c r="CD69" i="47"/>
  <c r="P80" i="46" s="1"/>
  <c r="CC69" i="47"/>
  <c r="O80" i="46" s="1"/>
  <c r="CB69" i="47"/>
  <c r="CJ68" i="47"/>
  <c r="CH68" i="47"/>
  <c r="T132" i="46" s="1"/>
  <c r="CG68" i="47"/>
  <c r="S132" i="46" s="1"/>
  <c r="CF68" i="47"/>
  <c r="R132" i="46" s="1"/>
  <c r="CE68" i="47"/>
  <c r="Q132" i="46" s="1"/>
  <c r="CD68" i="47"/>
  <c r="P132" i="46" s="1"/>
  <c r="CC68" i="47"/>
  <c r="O132" i="46" s="1"/>
  <c r="CB68" i="47"/>
  <c r="CJ67" i="47"/>
  <c r="CH67" i="47"/>
  <c r="T97" i="46" s="1"/>
  <c r="CG67" i="47"/>
  <c r="S97" i="46" s="1"/>
  <c r="CF67" i="47"/>
  <c r="R97" i="46" s="1"/>
  <c r="CE67" i="47"/>
  <c r="Q97" i="46" s="1"/>
  <c r="CD67" i="47"/>
  <c r="P97" i="46" s="1"/>
  <c r="CC67" i="47"/>
  <c r="O97" i="46" s="1"/>
  <c r="CB67" i="47"/>
  <c r="N97" i="46" s="1"/>
  <c r="CJ66" i="47"/>
  <c r="CH66" i="47"/>
  <c r="T171" i="46" s="1"/>
  <c r="CG66" i="47"/>
  <c r="S171" i="46" s="1"/>
  <c r="CF66" i="47"/>
  <c r="R171" i="46" s="1"/>
  <c r="CE66" i="47"/>
  <c r="Q171" i="46" s="1"/>
  <c r="CD66" i="47"/>
  <c r="P171" i="46" s="1"/>
  <c r="CC66" i="47"/>
  <c r="O171" i="46" s="1"/>
  <c r="CB66" i="47"/>
  <c r="N171" i="46" s="1"/>
  <c r="CJ65" i="47"/>
  <c r="CH65" i="47"/>
  <c r="T133" i="46" s="1"/>
  <c r="AC133" i="46" s="1"/>
  <c r="CG65" i="47"/>
  <c r="S133" i="46" s="1"/>
  <c r="AB133" i="46" s="1"/>
  <c r="CF65" i="47"/>
  <c r="R133" i="46" s="1"/>
  <c r="AA133" i="46" s="1"/>
  <c r="AM133" i="46" s="1"/>
  <c r="CE65" i="47"/>
  <c r="Q133" i="46" s="1"/>
  <c r="Z133" i="46" s="1"/>
  <c r="AL133" i="46" s="1"/>
  <c r="CD65" i="47"/>
  <c r="P133" i="46" s="1"/>
  <c r="Y133" i="46" s="1"/>
  <c r="CC65" i="47"/>
  <c r="O133" i="46" s="1"/>
  <c r="X133" i="46" s="1"/>
  <c r="AK133" i="46" s="1"/>
  <c r="CB65" i="47"/>
  <c r="CJ64" i="47"/>
  <c r="CH64" i="47"/>
  <c r="T8" i="46" s="1"/>
  <c r="CG64" i="47"/>
  <c r="S8" i="46" s="1"/>
  <c r="CF64" i="47"/>
  <c r="R8" i="46" s="1"/>
  <c r="CE64" i="47"/>
  <c r="Q8" i="46" s="1"/>
  <c r="CD64" i="47"/>
  <c r="P8" i="46" s="1"/>
  <c r="CC64" i="47"/>
  <c r="O8" i="46" s="1"/>
  <c r="CB64" i="47"/>
  <c r="CJ63" i="47"/>
  <c r="CH63" i="47"/>
  <c r="T200" i="46" s="1"/>
  <c r="CG63" i="47"/>
  <c r="S200" i="46" s="1"/>
  <c r="CF63" i="47"/>
  <c r="R200" i="46" s="1"/>
  <c r="CE63" i="47"/>
  <c r="Q200" i="46" s="1"/>
  <c r="CD63" i="47"/>
  <c r="P200" i="46" s="1"/>
  <c r="CC63" i="47"/>
  <c r="O200" i="46" s="1"/>
  <c r="CB63" i="47"/>
  <c r="CJ62" i="47"/>
  <c r="CH62" i="47"/>
  <c r="T159" i="46" s="1"/>
  <c r="CG62" i="47"/>
  <c r="S159" i="46" s="1"/>
  <c r="CF62" i="47"/>
  <c r="R159" i="46" s="1"/>
  <c r="CE62" i="47"/>
  <c r="Q159" i="46" s="1"/>
  <c r="CD62" i="47"/>
  <c r="P159" i="46" s="1"/>
  <c r="CC62" i="47"/>
  <c r="O159" i="46" s="1"/>
  <c r="CB62" i="47"/>
  <c r="CJ61" i="47"/>
  <c r="CH61" i="47"/>
  <c r="T70" i="46" s="1"/>
  <c r="CG61" i="47"/>
  <c r="S70" i="46" s="1"/>
  <c r="CF61" i="47"/>
  <c r="R70" i="46" s="1"/>
  <c r="CE61" i="47"/>
  <c r="Q70" i="46" s="1"/>
  <c r="CD61" i="47"/>
  <c r="P70" i="46" s="1"/>
  <c r="CC61" i="47"/>
  <c r="O70" i="46" s="1"/>
  <c r="CB61" i="47"/>
  <c r="CJ60" i="47"/>
  <c r="CH60" i="47"/>
  <c r="T153" i="46" s="1"/>
  <c r="CG60" i="47"/>
  <c r="S153" i="46" s="1"/>
  <c r="CF60" i="47"/>
  <c r="R153" i="46" s="1"/>
  <c r="CE60" i="47"/>
  <c r="Q153" i="46" s="1"/>
  <c r="CD60" i="47"/>
  <c r="P153" i="46" s="1"/>
  <c r="CC60" i="47"/>
  <c r="O153" i="46" s="1"/>
  <c r="CB60" i="47"/>
  <c r="CJ59" i="47"/>
  <c r="CH59" i="47"/>
  <c r="T34" i="46" s="1"/>
  <c r="AC34" i="46" s="1"/>
  <c r="CG59" i="47"/>
  <c r="S34" i="46" s="1"/>
  <c r="AB34" i="46" s="1"/>
  <c r="CF59" i="47"/>
  <c r="R34" i="46" s="1"/>
  <c r="AA34" i="46" s="1"/>
  <c r="AM34" i="46" s="1"/>
  <c r="CE59" i="47"/>
  <c r="Q34" i="46" s="1"/>
  <c r="Z34" i="46" s="1"/>
  <c r="AL34" i="46" s="1"/>
  <c r="CD59" i="47"/>
  <c r="P34" i="46" s="1"/>
  <c r="Y34" i="46" s="1"/>
  <c r="CC59" i="47"/>
  <c r="O34" i="46" s="1"/>
  <c r="X34" i="46" s="1"/>
  <c r="AK34" i="46" s="1"/>
  <c r="CB59" i="47"/>
  <c r="CJ58" i="47"/>
  <c r="CH58" i="47"/>
  <c r="T95" i="46" s="1"/>
  <c r="CG58" i="47"/>
  <c r="S95" i="46" s="1"/>
  <c r="CF58" i="47"/>
  <c r="R95" i="46" s="1"/>
  <c r="CE58" i="47"/>
  <c r="Q95" i="46" s="1"/>
  <c r="CD58" i="47"/>
  <c r="P95" i="46" s="1"/>
  <c r="CC58" i="47"/>
  <c r="O95" i="46" s="1"/>
  <c r="CB58" i="47"/>
  <c r="CJ57" i="47"/>
  <c r="CH57" i="47"/>
  <c r="T63" i="46" s="1"/>
  <c r="AC63" i="46" s="1"/>
  <c r="CG57" i="47"/>
  <c r="S63" i="46" s="1"/>
  <c r="AB63" i="46" s="1"/>
  <c r="CF57" i="47"/>
  <c r="R63" i="46" s="1"/>
  <c r="AA63" i="46" s="1"/>
  <c r="AM63" i="46" s="1"/>
  <c r="CE57" i="47"/>
  <c r="Q63" i="46" s="1"/>
  <c r="Z63" i="46" s="1"/>
  <c r="AL63" i="46" s="1"/>
  <c r="CD57" i="47"/>
  <c r="P63" i="46" s="1"/>
  <c r="Y63" i="46" s="1"/>
  <c r="CC57" i="47"/>
  <c r="O63" i="46" s="1"/>
  <c r="X63" i="46" s="1"/>
  <c r="AK63" i="46" s="1"/>
  <c r="CB57" i="47"/>
  <c r="CJ56" i="47"/>
  <c r="CH56" i="47"/>
  <c r="T50" i="46" s="1"/>
  <c r="CG56" i="47"/>
  <c r="S50" i="46" s="1"/>
  <c r="CF56" i="47"/>
  <c r="R50" i="46" s="1"/>
  <c r="CE56" i="47"/>
  <c r="Q50" i="46" s="1"/>
  <c r="CD56" i="47"/>
  <c r="P50" i="46" s="1"/>
  <c r="CC56" i="47"/>
  <c r="O50" i="46" s="1"/>
  <c r="CB56" i="47"/>
  <c r="CJ55" i="47"/>
  <c r="CH55" i="47"/>
  <c r="T123" i="46" s="1"/>
  <c r="CG55" i="47"/>
  <c r="S123" i="46" s="1"/>
  <c r="CF55" i="47"/>
  <c r="R123" i="46" s="1"/>
  <c r="CE55" i="47"/>
  <c r="Q123" i="46" s="1"/>
  <c r="CD55" i="47"/>
  <c r="P123" i="46" s="1"/>
  <c r="CC55" i="47"/>
  <c r="O123" i="46" s="1"/>
  <c r="CB55" i="47"/>
  <c r="CJ54" i="47"/>
  <c r="CH54" i="47"/>
  <c r="T87" i="46" s="1"/>
  <c r="CG54" i="47"/>
  <c r="S87" i="46" s="1"/>
  <c r="CF54" i="47"/>
  <c r="R87" i="46" s="1"/>
  <c r="CE54" i="47"/>
  <c r="Q87" i="46" s="1"/>
  <c r="CD54" i="47"/>
  <c r="P87" i="46" s="1"/>
  <c r="CC54" i="47"/>
  <c r="O87" i="46" s="1"/>
  <c r="CB54" i="47"/>
  <c r="CJ53" i="47"/>
  <c r="CH53" i="47"/>
  <c r="T177" i="46" s="1"/>
  <c r="CG53" i="47"/>
  <c r="S177" i="46" s="1"/>
  <c r="CF53" i="47"/>
  <c r="R177" i="46" s="1"/>
  <c r="CE53" i="47"/>
  <c r="Q177" i="46" s="1"/>
  <c r="CD53" i="47"/>
  <c r="P177" i="46" s="1"/>
  <c r="CC53" i="47"/>
  <c r="O177" i="46" s="1"/>
  <c r="CB53" i="47"/>
  <c r="CJ52" i="47"/>
  <c r="CH52" i="47"/>
  <c r="T174" i="46" s="1"/>
  <c r="CG52" i="47"/>
  <c r="S174" i="46" s="1"/>
  <c r="CF52" i="47"/>
  <c r="R174" i="46" s="1"/>
  <c r="CE52" i="47"/>
  <c r="Q174" i="46" s="1"/>
  <c r="CD52" i="47"/>
  <c r="P174" i="46" s="1"/>
  <c r="CC52" i="47"/>
  <c r="O174" i="46" s="1"/>
  <c r="CB52" i="47"/>
  <c r="CJ51" i="47"/>
  <c r="CH51" i="47"/>
  <c r="T184" i="46" s="1"/>
  <c r="CG51" i="47"/>
  <c r="S184" i="46" s="1"/>
  <c r="CF51" i="47"/>
  <c r="R184" i="46" s="1"/>
  <c r="CE51" i="47"/>
  <c r="Q184" i="46" s="1"/>
  <c r="CD51" i="47"/>
  <c r="P184" i="46" s="1"/>
  <c r="CC51" i="47"/>
  <c r="O184" i="46" s="1"/>
  <c r="CB51" i="47"/>
  <c r="CJ50" i="47"/>
  <c r="CH50" i="47"/>
  <c r="T199" i="46" s="1"/>
  <c r="CG50" i="47"/>
  <c r="S199" i="46" s="1"/>
  <c r="CF50" i="47"/>
  <c r="R199" i="46" s="1"/>
  <c r="CE50" i="47"/>
  <c r="Q199" i="46" s="1"/>
  <c r="CD50" i="47"/>
  <c r="P199" i="46" s="1"/>
  <c r="CC50" i="47"/>
  <c r="O199" i="46" s="1"/>
  <c r="CB50" i="47"/>
  <c r="U199" i="46" s="1"/>
  <c r="CJ49" i="47"/>
  <c r="CH49" i="47"/>
  <c r="T82" i="46" s="1"/>
  <c r="AC82" i="46" s="1"/>
  <c r="CG49" i="47"/>
  <c r="S82" i="46" s="1"/>
  <c r="AB82" i="46" s="1"/>
  <c r="CF49" i="47"/>
  <c r="R82" i="46" s="1"/>
  <c r="AA82" i="46" s="1"/>
  <c r="AM82" i="46" s="1"/>
  <c r="CE49" i="47"/>
  <c r="Q82" i="46" s="1"/>
  <c r="Z82" i="46" s="1"/>
  <c r="AL82" i="46" s="1"/>
  <c r="CD49" i="47"/>
  <c r="P82" i="46" s="1"/>
  <c r="Y82" i="46" s="1"/>
  <c r="CC49" i="47"/>
  <c r="O82" i="46" s="1"/>
  <c r="X82" i="46" s="1"/>
  <c r="AK82" i="46" s="1"/>
  <c r="CB49" i="47"/>
  <c r="CJ48" i="47"/>
  <c r="CH48" i="47"/>
  <c r="T53" i="46" s="1"/>
  <c r="AC53" i="46" s="1"/>
  <c r="CG48" i="47"/>
  <c r="S53" i="46" s="1"/>
  <c r="AB53" i="46" s="1"/>
  <c r="CF48" i="47"/>
  <c r="R53" i="46" s="1"/>
  <c r="AA53" i="46" s="1"/>
  <c r="CE48" i="47"/>
  <c r="Q53" i="46" s="1"/>
  <c r="Z53" i="46" s="1"/>
  <c r="CD48" i="47"/>
  <c r="P53" i="46" s="1"/>
  <c r="Y53" i="46" s="1"/>
  <c r="CC48" i="47"/>
  <c r="O53" i="46" s="1"/>
  <c r="X53" i="46" s="1"/>
  <c r="CB48" i="47"/>
  <c r="CJ47" i="47"/>
  <c r="CH47" i="47"/>
  <c r="T196" i="46" s="1"/>
  <c r="CG47" i="47"/>
  <c r="S196" i="46" s="1"/>
  <c r="CF47" i="47"/>
  <c r="R196" i="46" s="1"/>
  <c r="CE47" i="47"/>
  <c r="Q196" i="46" s="1"/>
  <c r="CD47" i="47"/>
  <c r="P196" i="46" s="1"/>
  <c r="CC47" i="47"/>
  <c r="O196" i="46" s="1"/>
  <c r="CB47" i="47"/>
  <c r="CJ46" i="47"/>
  <c r="CH46" i="47"/>
  <c r="T151" i="46" s="1"/>
  <c r="CG46" i="47"/>
  <c r="S151" i="46" s="1"/>
  <c r="CF46" i="47"/>
  <c r="R151" i="46" s="1"/>
  <c r="CE46" i="47"/>
  <c r="Q151" i="46" s="1"/>
  <c r="CD46" i="47"/>
  <c r="P151" i="46" s="1"/>
  <c r="CC46" i="47"/>
  <c r="O151" i="46" s="1"/>
  <c r="CB46" i="47"/>
  <c r="N151" i="46" s="1"/>
  <c r="CJ45" i="47"/>
  <c r="CH45" i="47"/>
  <c r="T59" i="46" s="1"/>
  <c r="CG45" i="47"/>
  <c r="S59" i="46" s="1"/>
  <c r="CF45" i="47"/>
  <c r="R59" i="46" s="1"/>
  <c r="CE45" i="47"/>
  <c r="Q59" i="46" s="1"/>
  <c r="CD45" i="47"/>
  <c r="P59" i="46" s="1"/>
  <c r="CC45" i="47"/>
  <c r="O59" i="46" s="1"/>
  <c r="CB45" i="47"/>
  <c r="N59" i="46" s="1"/>
  <c r="CJ44" i="47"/>
  <c r="CH44" i="47"/>
  <c r="T94" i="46" s="1"/>
  <c r="CG44" i="47"/>
  <c r="S94" i="46" s="1"/>
  <c r="CF44" i="47"/>
  <c r="R94" i="46" s="1"/>
  <c r="CE44" i="47"/>
  <c r="Q94" i="46" s="1"/>
  <c r="CD44" i="47"/>
  <c r="P94" i="46" s="1"/>
  <c r="CC44" i="47"/>
  <c r="O94" i="46" s="1"/>
  <c r="CB44" i="47"/>
  <c r="CJ43" i="47"/>
  <c r="CH43" i="47"/>
  <c r="T156" i="46" s="1"/>
  <c r="CG43" i="47"/>
  <c r="S156" i="46" s="1"/>
  <c r="CF43" i="47"/>
  <c r="R156" i="46" s="1"/>
  <c r="CE43" i="47"/>
  <c r="Q156" i="46" s="1"/>
  <c r="CD43" i="47"/>
  <c r="P156" i="46" s="1"/>
  <c r="CC43" i="47"/>
  <c r="O156" i="46" s="1"/>
  <c r="CB43" i="47"/>
  <c r="CJ42" i="47"/>
  <c r="CH42" i="47"/>
  <c r="T186" i="46" s="1"/>
  <c r="CG42" i="47"/>
  <c r="S186" i="46" s="1"/>
  <c r="CF42" i="47"/>
  <c r="R186" i="46" s="1"/>
  <c r="CE42" i="47"/>
  <c r="Q186" i="46" s="1"/>
  <c r="CD42" i="47"/>
  <c r="P186" i="46" s="1"/>
  <c r="CC42" i="47"/>
  <c r="O186" i="46" s="1"/>
  <c r="CB42" i="47"/>
  <c r="N186" i="46" s="1"/>
  <c r="CJ41" i="47"/>
  <c r="CH41" i="47"/>
  <c r="T90" i="46" s="1"/>
  <c r="CG41" i="47"/>
  <c r="S90" i="46" s="1"/>
  <c r="CF41" i="47"/>
  <c r="R90" i="46" s="1"/>
  <c r="CE41" i="47"/>
  <c r="Q90" i="46" s="1"/>
  <c r="CD41" i="47"/>
  <c r="P90" i="46" s="1"/>
  <c r="CC41" i="47"/>
  <c r="O90" i="46" s="1"/>
  <c r="CB41" i="47"/>
  <c r="CJ40" i="47"/>
  <c r="CH40" i="47"/>
  <c r="T178" i="46" s="1"/>
  <c r="CG40" i="47"/>
  <c r="S178" i="46" s="1"/>
  <c r="CF40" i="47"/>
  <c r="R178" i="46" s="1"/>
  <c r="CE40" i="47"/>
  <c r="Q178" i="46" s="1"/>
  <c r="CD40" i="47"/>
  <c r="P178" i="46" s="1"/>
  <c r="CC40" i="47"/>
  <c r="O178" i="46" s="1"/>
  <c r="CB40" i="47"/>
  <c r="CJ39" i="47"/>
  <c r="CH39" i="47"/>
  <c r="T188" i="46" s="1"/>
  <c r="CG39" i="47"/>
  <c r="S188" i="46" s="1"/>
  <c r="CF39" i="47"/>
  <c r="R188" i="46" s="1"/>
  <c r="CE39" i="47"/>
  <c r="Q188" i="46" s="1"/>
  <c r="CD39" i="47"/>
  <c r="P188" i="46" s="1"/>
  <c r="CC39" i="47"/>
  <c r="O188" i="46" s="1"/>
  <c r="CB39" i="47"/>
  <c r="CJ38" i="47"/>
  <c r="CH38" i="47"/>
  <c r="T26" i="46" s="1"/>
  <c r="CG38" i="47"/>
  <c r="S26" i="46" s="1"/>
  <c r="CF38" i="47"/>
  <c r="R26" i="46" s="1"/>
  <c r="CE38" i="47"/>
  <c r="Q26" i="46" s="1"/>
  <c r="CD38" i="47"/>
  <c r="P26" i="46" s="1"/>
  <c r="CC38" i="47"/>
  <c r="O26" i="46" s="1"/>
  <c r="CB38" i="47"/>
  <c r="CJ37" i="47"/>
  <c r="CH37" i="47"/>
  <c r="T165" i="46" s="1"/>
  <c r="CG37" i="47"/>
  <c r="S165" i="46" s="1"/>
  <c r="CF37" i="47"/>
  <c r="R165" i="46" s="1"/>
  <c r="CE37" i="47"/>
  <c r="Q165" i="46" s="1"/>
  <c r="CD37" i="47"/>
  <c r="P165" i="46" s="1"/>
  <c r="CC37" i="47"/>
  <c r="O165" i="46" s="1"/>
  <c r="CB37" i="47"/>
  <c r="CJ36" i="47"/>
  <c r="CH36" i="47"/>
  <c r="T83" i="46" s="1"/>
  <c r="CG36" i="47"/>
  <c r="S83" i="46" s="1"/>
  <c r="CF36" i="47"/>
  <c r="R83" i="46" s="1"/>
  <c r="CE36" i="47"/>
  <c r="Q83" i="46" s="1"/>
  <c r="CD36" i="47"/>
  <c r="P83" i="46" s="1"/>
  <c r="CC36" i="47"/>
  <c r="O83" i="46" s="1"/>
  <c r="CB36" i="47"/>
  <c r="CJ35" i="47"/>
  <c r="CH35" i="47"/>
  <c r="T118" i="46" s="1"/>
  <c r="CG35" i="47"/>
  <c r="S118" i="46" s="1"/>
  <c r="CF35" i="47"/>
  <c r="R118" i="46" s="1"/>
  <c r="CE35" i="47"/>
  <c r="Q118" i="46" s="1"/>
  <c r="CD35" i="47"/>
  <c r="P118" i="46" s="1"/>
  <c r="CC35" i="47"/>
  <c r="O118" i="46" s="1"/>
  <c r="CB35" i="47"/>
  <c r="CJ34" i="47"/>
  <c r="CH34" i="47"/>
  <c r="T197" i="46" s="1"/>
  <c r="CG34" i="47"/>
  <c r="S197" i="46" s="1"/>
  <c r="CF34" i="47"/>
  <c r="R197" i="46" s="1"/>
  <c r="CE34" i="47"/>
  <c r="Q197" i="46" s="1"/>
  <c r="CD34" i="47"/>
  <c r="P197" i="46" s="1"/>
  <c r="CC34" i="47"/>
  <c r="O197" i="46" s="1"/>
  <c r="CB34" i="47"/>
  <c r="U197" i="46" s="1"/>
  <c r="CJ33" i="47"/>
  <c r="CH33" i="47"/>
  <c r="T164" i="46" s="1"/>
  <c r="CG33" i="47"/>
  <c r="S164" i="46" s="1"/>
  <c r="CF33" i="47"/>
  <c r="R164" i="46" s="1"/>
  <c r="CE33" i="47"/>
  <c r="Q164" i="46" s="1"/>
  <c r="CD33" i="47"/>
  <c r="P164" i="46" s="1"/>
  <c r="CC33" i="47"/>
  <c r="O164" i="46" s="1"/>
  <c r="CB33" i="47"/>
  <c r="CJ32" i="47"/>
  <c r="CH32" i="47"/>
  <c r="T168" i="46" s="1"/>
  <c r="CG32" i="47"/>
  <c r="S168" i="46" s="1"/>
  <c r="CF32" i="47"/>
  <c r="R168" i="46" s="1"/>
  <c r="CE32" i="47"/>
  <c r="Q168" i="46" s="1"/>
  <c r="CD32" i="47"/>
  <c r="P168" i="46" s="1"/>
  <c r="CC32" i="47"/>
  <c r="O168" i="46" s="1"/>
  <c r="CB32" i="47"/>
  <c r="N168" i="46" s="1"/>
  <c r="CJ31" i="47"/>
  <c r="CH31" i="47"/>
  <c r="T150" i="46" s="1"/>
  <c r="CG31" i="47"/>
  <c r="S150" i="46" s="1"/>
  <c r="CF31" i="47"/>
  <c r="R150" i="46" s="1"/>
  <c r="CE31" i="47"/>
  <c r="Q150" i="46" s="1"/>
  <c r="CD31" i="47"/>
  <c r="P150" i="46" s="1"/>
  <c r="CC31" i="47"/>
  <c r="O150" i="46" s="1"/>
  <c r="CB31" i="47"/>
  <c r="CJ30" i="47"/>
  <c r="CH30" i="47"/>
  <c r="T136" i="46" s="1"/>
  <c r="CG30" i="47"/>
  <c r="S136" i="46" s="1"/>
  <c r="CF30" i="47"/>
  <c r="R136" i="46" s="1"/>
  <c r="CE30" i="47"/>
  <c r="Q136" i="46" s="1"/>
  <c r="CD30" i="47"/>
  <c r="P136" i="46" s="1"/>
  <c r="CC30" i="47"/>
  <c r="O136" i="46" s="1"/>
  <c r="CB30" i="47"/>
  <c r="CJ29" i="47"/>
  <c r="CH29" i="47"/>
  <c r="T135" i="46" s="1"/>
  <c r="AC135" i="46" s="1"/>
  <c r="CG29" i="47"/>
  <c r="S135" i="46" s="1"/>
  <c r="AB135" i="46" s="1"/>
  <c r="CF29" i="47"/>
  <c r="R135" i="46" s="1"/>
  <c r="AA135" i="46" s="1"/>
  <c r="AM135" i="46" s="1"/>
  <c r="CE29" i="47"/>
  <c r="Q135" i="46" s="1"/>
  <c r="Z135" i="46" s="1"/>
  <c r="AL135" i="46" s="1"/>
  <c r="CD29" i="47"/>
  <c r="P135" i="46" s="1"/>
  <c r="Y135" i="46" s="1"/>
  <c r="CC29" i="47"/>
  <c r="O135" i="46" s="1"/>
  <c r="X135" i="46" s="1"/>
  <c r="AK135" i="46" s="1"/>
  <c r="CB29" i="47"/>
  <c r="CJ28" i="47"/>
  <c r="CH28" i="47"/>
  <c r="T182" i="46" s="1"/>
  <c r="AC182" i="46" s="1"/>
  <c r="CG28" i="47"/>
  <c r="S182" i="46" s="1"/>
  <c r="AB182" i="46" s="1"/>
  <c r="CF28" i="47"/>
  <c r="R182" i="46" s="1"/>
  <c r="AA182" i="46" s="1"/>
  <c r="AM182" i="46" s="1"/>
  <c r="CE28" i="47"/>
  <c r="Q182" i="46" s="1"/>
  <c r="Z182" i="46" s="1"/>
  <c r="AL182" i="46" s="1"/>
  <c r="O90" i="98" s="1"/>
  <c r="J90" i="98" s="1"/>
  <c r="CD28" i="47"/>
  <c r="P182" i="46" s="1"/>
  <c r="Y182" i="46" s="1"/>
  <c r="CC28" i="47"/>
  <c r="O182" i="46" s="1"/>
  <c r="X182" i="46" s="1"/>
  <c r="AK182" i="46" s="1"/>
  <c r="N90" i="98" s="1"/>
  <c r="I90" i="98" s="1"/>
  <c r="CB28" i="47"/>
  <c r="N182" i="46" s="1"/>
  <c r="AQ182" i="46" s="1"/>
  <c r="CJ27" i="47"/>
  <c r="CH27" i="47"/>
  <c r="T189" i="46" s="1"/>
  <c r="CG27" i="47"/>
  <c r="S189" i="46" s="1"/>
  <c r="CF27" i="47"/>
  <c r="R189" i="46" s="1"/>
  <c r="CE27" i="47"/>
  <c r="Q189" i="46" s="1"/>
  <c r="CD27" i="47"/>
  <c r="P189" i="46" s="1"/>
  <c r="CC27" i="47"/>
  <c r="O189" i="46" s="1"/>
  <c r="CB27" i="47"/>
  <c r="CJ26" i="47"/>
  <c r="CH26" i="47"/>
  <c r="T143" i="46" s="1"/>
  <c r="CG26" i="47"/>
  <c r="S143" i="46" s="1"/>
  <c r="CF26" i="47"/>
  <c r="R143" i="46" s="1"/>
  <c r="CE26" i="47"/>
  <c r="Q143" i="46" s="1"/>
  <c r="CD26" i="47"/>
  <c r="P143" i="46" s="1"/>
  <c r="CC26" i="47"/>
  <c r="O143" i="46" s="1"/>
  <c r="CB26" i="47"/>
  <c r="CJ25" i="47"/>
  <c r="CH25" i="47"/>
  <c r="T183" i="46" s="1"/>
  <c r="CG25" i="47"/>
  <c r="S183" i="46" s="1"/>
  <c r="AB183" i="46" s="1"/>
  <c r="CF25" i="47"/>
  <c r="R183" i="46" s="1"/>
  <c r="CE25" i="47"/>
  <c r="Q183" i="46" s="1"/>
  <c r="CD25" i="47"/>
  <c r="P183" i="46" s="1"/>
  <c r="CC25" i="47"/>
  <c r="O183" i="46" s="1"/>
  <c r="CB25" i="47"/>
  <c r="N183" i="46" s="1"/>
  <c r="CJ24" i="47"/>
  <c r="CH24" i="47"/>
  <c r="T66" i="46" s="1"/>
  <c r="CG24" i="47"/>
  <c r="S66" i="46" s="1"/>
  <c r="CF24" i="47"/>
  <c r="R66" i="46" s="1"/>
  <c r="CE24" i="47"/>
  <c r="Q66" i="46" s="1"/>
  <c r="CD24" i="47"/>
  <c r="P66" i="46" s="1"/>
  <c r="CC24" i="47"/>
  <c r="O66" i="46" s="1"/>
  <c r="CB24" i="47"/>
  <c r="CJ23" i="47"/>
  <c r="CH23" i="47"/>
  <c r="T23" i="46" s="1"/>
  <c r="CG23" i="47"/>
  <c r="S23" i="46" s="1"/>
  <c r="CF23" i="47"/>
  <c r="R23" i="46" s="1"/>
  <c r="CE23" i="47"/>
  <c r="Q23" i="46" s="1"/>
  <c r="CD23" i="47"/>
  <c r="P23" i="46" s="1"/>
  <c r="CC23" i="47"/>
  <c r="O23" i="46" s="1"/>
  <c r="CB23" i="47"/>
  <c r="CJ22" i="47"/>
  <c r="CH22" i="47"/>
  <c r="T131" i="46" s="1"/>
  <c r="CG22" i="47"/>
  <c r="S131" i="46" s="1"/>
  <c r="CF22" i="47"/>
  <c r="R131" i="46" s="1"/>
  <c r="CE22" i="47"/>
  <c r="Q131" i="46" s="1"/>
  <c r="CD22" i="47"/>
  <c r="P131" i="46" s="1"/>
  <c r="CC22" i="47"/>
  <c r="O131" i="46" s="1"/>
  <c r="CB22" i="47"/>
  <c r="CJ21" i="47"/>
  <c r="CH21" i="47"/>
  <c r="T115" i="46" s="1"/>
  <c r="CG21" i="47"/>
  <c r="S115" i="46" s="1"/>
  <c r="CF21" i="47"/>
  <c r="R115" i="46" s="1"/>
  <c r="CE21" i="47"/>
  <c r="Q115" i="46" s="1"/>
  <c r="CD21" i="47"/>
  <c r="P115" i="46" s="1"/>
  <c r="CC21" i="47"/>
  <c r="O115" i="46" s="1"/>
  <c r="CB21" i="47"/>
  <c r="N115" i="46" s="1"/>
  <c r="CJ20" i="47"/>
  <c r="CH20" i="47"/>
  <c r="T110" i="46" s="1"/>
  <c r="CG20" i="47"/>
  <c r="S110" i="46" s="1"/>
  <c r="CF20" i="47"/>
  <c r="R110" i="46" s="1"/>
  <c r="CE20" i="47"/>
  <c r="Q110" i="46" s="1"/>
  <c r="CD20" i="47"/>
  <c r="P110" i="46" s="1"/>
  <c r="CC20" i="47"/>
  <c r="O110" i="46" s="1"/>
  <c r="CB20" i="47"/>
  <c r="N110" i="46" s="1"/>
  <c r="AQ110" i="46" s="1"/>
  <c r="CJ19" i="47"/>
  <c r="CH19" i="47"/>
  <c r="T62" i="46" s="1"/>
  <c r="AC62" i="46" s="1"/>
  <c r="CG19" i="47"/>
  <c r="S62" i="46" s="1"/>
  <c r="AB62" i="46" s="1"/>
  <c r="CF19" i="47"/>
  <c r="R62" i="46" s="1"/>
  <c r="AA62" i="46" s="1"/>
  <c r="AM62" i="46" s="1"/>
  <c r="CE19" i="47"/>
  <c r="Q62" i="46" s="1"/>
  <c r="Z62" i="46" s="1"/>
  <c r="AL62" i="46" s="1"/>
  <c r="CD19" i="47"/>
  <c r="P62" i="46" s="1"/>
  <c r="Y62" i="46" s="1"/>
  <c r="CC19" i="47"/>
  <c r="O62" i="46" s="1"/>
  <c r="X62" i="46" s="1"/>
  <c r="AK62" i="46" s="1"/>
  <c r="CB19" i="47"/>
  <c r="CJ18" i="47"/>
  <c r="CH18" i="47"/>
  <c r="T185" i="46" s="1"/>
  <c r="CG18" i="47"/>
  <c r="S185" i="46" s="1"/>
  <c r="CF18" i="47"/>
  <c r="R185" i="46" s="1"/>
  <c r="CE18" i="47"/>
  <c r="Q185" i="46" s="1"/>
  <c r="CD18" i="47"/>
  <c r="P185" i="46" s="1"/>
  <c r="CC18" i="47"/>
  <c r="O185" i="46" s="1"/>
  <c r="CB18" i="47"/>
  <c r="U185" i="46" s="1"/>
  <c r="CJ17" i="47"/>
  <c r="CH17" i="47"/>
  <c r="T111" i="46" s="1"/>
  <c r="CG17" i="47"/>
  <c r="S111" i="46" s="1"/>
  <c r="CF17" i="47"/>
  <c r="R111" i="46" s="1"/>
  <c r="CE17" i="47"/>
  <c r="Q111" i="46" s="1"/>
  <c r="CD17" i="47"/>
  <c r="P111" i="46" s="1"/>
  <c r="CC17" i="47"/>
  <c r="O111" i="46" s="1"/>
  <c r="CB17" i="47"/>
  <c r="N111" i="46" s="1"/>
  <c r="CJ16" i="47"/>
  <c r="CH16" i="47"/>
  <c r="T60" i="46" s="1"/>
  <c r="AC60" i="46" s="1"/>
  <c r="CG16" i="47"/>
  <c r="S60" i="46" s="1"/>
  <c r="AB60" i="46" s="1"/>
  <c r="CF16" i="47"/>
  <c r="R60" i="46" s="1"/>
  <c r="CE16" i="47"/>
  <c r="Q60" i="46" s="1"/>
  <c r="CD16" i="47"/>
  <c r="P60" i="46" s="1"/>
  <c r="CC16" i="47"/>
  <c r="O60" i="46" s="1"/>
  <c r="CB16" i="47"/>
  <c r="CJ15" i="47"/>
  <c r="CH15" i="47"/>
  <c r="T155" i="46" s="1"/>
  <c r="AC155" i="46" s="1"/>
  <c r="CG15" i="47"/>
  <c r="S155" i="46" s="1"/>
  <c r="AB155" i="46" s="1"/>
  <c r="CF15" i="47"/>
  <c r="R155" i="46" s="1"/>
  <c r="AA155" i="46" s="1"/>
  <c r="AM155" i="46" s="1"/>
  <c r="CE15" i="47"/>
  <c r="Q155" i="46" s="1"/>
  <c r="Z155" i="46" s="1"/>
  <c r="AL155" i="46" s="1"/>
  <c r="O16" i="98" s="1"/>
  <c r="J16" i="98" s="1"/>
  <c r="CD15" i="47"/>
  <c r="P155" i="46" s="1"/>
  <c r="Y155" i="46" s="1"/>
  <c r="CC15" i="47"/>
  <c r="O155" i="46" s="1"/>
  <c r="X155" i="46" s="1"/>
  <c r="AK155" i="46" s="1"/>
  <c r="N16" i="98" s="1"/>
  <c r="I16" i="98" s="1"/>
  <c r="CB15" i="47"/>
  <c r="CJ14" i="47"/>
  <c r="CH14" i="47"/>
  <c r="T166" i="46" s="1"/>
  <c r="CG14" i="47"/>
  <c r="S166" i="46" s="1"/>
  <c r="CF14" i="47"/>
  <c r="R166" i="46" s="1"/>
  <c r="CE14" i="47"/>
  <c r="Q166" i="46" s="1"/>
  <c r="CD14" i="47"/>
  <c r="P166" i="46" s="1"/>
  <c r="CC14" i="47"/>
  <c r="O166" i="46" s="1"/>
  <c r="CB14" i="47"/>
  <c r="N166" i="46" s="1"/>
  <c r="AQ166" i="46" s="1"/>
  <c r="CJ13" i="47"/>
  <c r="CH13" i="47"/>
  <c r="T93" i="46" s="1"/>
  <c r="CG13" i="47"/>
  <c r="S93" i="46" s="1"/>
  <c r="CF13" i="47"/>
  <c r="R93" i="46" s="1"/>
  <c r="CE13" i="47"/>
  <c r="Q93" i="46" s="1"/>
  <c r="CD13" i="47"/>
  <c r="P93" i="46" s="1"/>
  <c r="CC13" i="47"/>
  <c r="O93" i="46" s="1"/>
  <c r="CB13" i="47"/>
  <c r="CJ12" i="47"/>
  <c r="CH12" i="47"/>
  <c r="T187" i="46" s="1"/>
  <c r="CG12" i="47"/>
  <c r="S187" i="46" s="1"/>
  <c r="CF12" i="47"/>
  <c r="R187" i="46" s="1"/>
  <c r="CE12" i="47"/>
  <c r="Q187" i="46" s="1"/>
  <c r="CD12" i="47"/>
  <c r="P187" i="46" s="1"/>
  <c r="CC12" i="47"/>
  <c r="O187" i="46" s="1"/>
  <c r="CB12" i="47"/>
  <c r="N187" i="46" s="1"/>
  <c r="CJ11" i="47"/>
  <c r="CH11" i="47"/>
  <c r="T191" i="46" s="1"/>
  <c r="CG11" i="47"/>
  <c r="S191" i="46" s="1"/>
  <c r="CF11" i="47"/>
  <c r="R191" i="46" s="1"/>
  <c r="CE11" i="47"/>
  <c r="Q191" i="46" s="1"/>
  <c r="CD11" i="47"/>
  <c r="P191" i="46" s="1"/>
  <c r="CC11" i="47"/>
  <c r="O191" i="46" s="1"/>
  <c r="CB11" i="47"/>
  <c r="CJ10" i="47"/>
  <c r="CH10" i="47"/>
  <c r="T89" i="46" s="1"/>
  <c r="CG10" i="47"/>
  <c r="S89" i="46" s="1"/>
  <c r="CF10" i="47"/>
  <c r="R89" i="46" s="1"/>
  <c r="CE10" i="47"/>
  <c r="Q89" i="46" s="1"/>
  <c r="CD10" i="47"/>
  <c r="P89" i="46" s="1"/>
  <c r="CC10" i="47"/>
  <c r="O89" i="46" s="1"/>
  <c r="CB10" i="47"/>
  <c r="CJ9" i="47"/>
  <c r="CH9" i="47"/>
  <c r="T130" i="46" s="1"/>
  <c r="CG9" i="47"/>
  <c r="S130" i="46" s="1"/>
  <c r="CF9" i="47"/>
  <c r="R130" i="46" s="1"/>
  <c r="CE9" i="47"/>
  <c r="Q130" i="46" s="1"/>
  <c r="CD9" i="47"/>
  <c r="P130" i="46" s="1"/>
  <c r="CC9" i="47"/>
  <c r="O130" i="46" s="1"/>
  <c r="CB9" i="47"/>
  <c r="CJ8" i="47"/>
  <c r="CH8" i="47"/>
  <c r="T47" i="46" s="1"/>
  <c r="CG8" i="47"/>
  <c r="S47" i="46" s="1"/>
  <c r="CF8" i="47"/>
  <c r="R47" i="46" s="1"/>
  <c r="CE8" i="47"/>
  <c r="Q47" i="46" s="1"/>
  <c r="CD8" i="47"/>
  <c r="P47" i="46" s="1"/>
  <c r="CC8" i="47"/>
  <c r="O47" i="46" s="1"/>
  <c r="CB8" i="47"/>
  <c r="CJ7" i="47"/>
  <c r="CH7" i="47"/>
  <c r="T103" i="46" s="1"/>
  <c r="CG7" i="47"/>
  <c r="S103" i="46" s="1"/>
  <c r="CF7" i="47"/>
  <c r="R103" i="46" s="1"/>
  <c r="CE7" i="47"/>
  <c r="Q103" i="46" s="1"/>
  <c r="CD7" i="47"/>
  <c r="P103" i="46" s="1"/>
  <c r="CC7" i="47"/>
  <c r="O103" i="46" s="1"/>
  <c r="CB7" i="47"/>
  <c r="CJ6" i="47"/>
  <c r="CH6" i="47"/>
  <c r="T7" i="46" s="1"/>
  <c r="CG6" i="47"/>
  <c r="S7" i="46" s="1"/>
  <c r="CF6" i="47"/>
  <c r="R7" i="46" s="1"/>
  <c r="CE6" i="47"/>
  <c r="Q7" i="46" s="1"/>
  <c r="CD6" i="47"/>
  <c r="P7" i="46" s="1"/>
  <c r="CC6" i="47"/>
  <c r="O7" i="46" s="1"/>
  <c r="CB6" i="47"/>
  <c r="L5" i="46"/>
  <c r="M5" i="46"/>
  <c r="L6" i="46"/>
  <c r="M6" i="46"/>
  <c r="L7" i="46"/>
  <c r="M7" i="46"/>
  <c r="L8" i="46"/>
  <c r="M8" i="46"/>
  <c r="L9" i="46"/>
  <c r="M9" i="46"/>
  <c r="L10" i="46"/>
  <c r="M10" i="46"/>
  <c r="L11" i="46"/>
  <c r="M11" i="46"/>
  <c r="L12" i="46"/>
  <c r="M12" i="46"/>
  <c r="L13" i="46"/>
  <c r="M13" i="46"/>
  <c r="L14" i="46"/>
  <c r="M14" i="46"/>
  <c r="L15" i="46"/>
  <c r="M15" i="46"/>
  <c r="L16" i="46"/>
  <c r="M16" i="46"/>
  <c r="L17" i="46"/>
  <c r="M17" i="46"/>
  <c r="L18" i="46"/>
  <c r="M18" i="46"/>
  <c r="L19" i="46"/>
  <c r="M19" i="46"/>
  <c r="L20" i="46"/>
  <c r="M20" i="46"/>
  <c r="L21" i="46"/>
  <c r="M21" i="46"/>
  <c r="L22" i="46"/>
  <c r="M22" i="46"/>
  <c r="L23" i="46"/>
  <c r="M23" i="46"/>
  <c r="L24" i="46"/>
  <c r="M24" i="46"/>
  <c r="L25" i="46"/>
  <c r="M25" i="46"/>
  <c r="L26" i="46"/>
  <c r="M26" i="46"/>
  <c r="L27" i="46"/>
  <c r="M27" i="46"/>
  <c r="L28" i="46"/>
  <c r="M28" i="46"/>
  <c r="L29" i="46"/>
  <c r="M29" i="46"/>
  <c r="L30" i="46"/>
  <c r="M30" i="46"/>
  <c r="L31" i="46"/>
  <c r="M31" i="46"/>
  <c r="L32" i="46"/>
  <c r="M32" i="46"/>
  <c r="L33" i="46"/>
  <c r="M33" i="46"/>
  <c r="L34" i="46"/>
  <c r="M34" i="46"/>
  <c r="L35" i="46"/>
  <c r="M35" i="46"/>
  <c r="L36" i="46"/>
  <c r="M36" i="46"/>
  <c r="L37" i="46"/>
  <c r="G20" i="98" s="1"/>
  <c r="J20" i="98" s="1"/>
  <c r="M37" i="46"/>
  <c r="L38" i="46"/>
  <c r="M38" i="46"/>
  <c r="L39" i="46"/>
  <c r="M39" i="46"/>
  <c r="L40" i="46"/>
  <c r="M40" i="46"/>
  <c r="L41" i="46"/>
  <c r="M41" i="46"/>
  <c r="L42" i="46"/>
  <c r="M42" i="46"/>
  <c r="L43" i="46"/>
  <c r="M43" i="46"/>
  <c r="L44" i="46"/>
  <c r="M44" i="46"/>
  <c r="L45" i="46"/>
  <c r="M45" i="46"/>
  <c r="L46" i="46"/>
  <c r="M46" i="46"/>
  <c r="L47" i="46"/>
  <c r="M47" i="46"/>
  <c r="L48" i="46"/>
  <c r="M48" i="46"/>
  <c r="L49" i="46"/>
  <c r="M49" i="46"/>
  <c r="L50" i="46"/>
  <c r="M50" i="46"/>
  <c r="L51" i="46"/>
  <c r="M51" i="46"/>
  <c r="L52" i="46"/>
  <c r="M52" i="46"/>
  <c r="L53" i="46"/>
  <c r="M53" i="46"/>
  <c r="L54" i="46"/>
  <c r="M54" i="46"/>
  <c r="L55" i="46"/>
  <c r="M55" i="46"/>
  <c r="L56" i="46"/>
  <c r="M56" i="46"/>
  <c r="L57" i="46"/>
  <c r="M57" i="46"/>
  <c r="L58" i="46"/>
  <c r="M58" i="46"/>
  <c r="L59" i="46"/>
  <c r="M59" i="46"/>
  <c r="L60" i="46"/>
  <c r="M60" i="46"/>
  <c r="L61" i="46"/>
  <c r="M61" i="46"/>
  <c r="L62" i="46"/>
  <c r="M62" i="46"/>
  <c r="L63" i="46"/>
  <c r="M63" i="46"/>
  <c r="L64" i="46"/>
  <c r="M64" i="46"/>
  <c r="L65" i="46"/>
  <c r="M65" i="46"/>
  <c r="L66" i="46"/>
  <c r="M66" i="46"/>
  <c r="L67" i="46"/>
  <c r="M67" i="46"/>
  <c r="L68" i="46"/>
  <c r="M68" i="46"/>
  <c r="L69" i="46"/>
  <c r="M69" i="46"/>
  <c r="L70" i="46"/>
  <c r="M70" i="46"/>
  <c r="L71" i="46"/>
  <c r="M71" i="46"/>
  <c r="L72" i="46"/>
  <c r="M72" i="46"/>
  <c r="L73" i="46"/>
  <c r="M73" i="46"/>
  <c r="L74" i="46"/>
  <c r="M74" i="46"/>
  <c r="L75" i="46"/>
  <c r="M75" i="46"/>
  <c r="L76" i="46"/>
  <c r="M76" i="46"/>
  <c r="L77" i="46"/>
  <c r="M77" i="46"/>
  <c r="L78" i="46"/>
  <c r="M78" i="46"/>
  <c r="L79" i="46"/>
  <c r="M79" i="46"/>
  <c r="L80" i="46"/>
  <c r="M80" i="46"/>
  <c r="L81" i="46"/>
  <c r="M81" i="46"/>
  <c r="L82" i="46"/>
  <c r="M82" i="46"/>
  <c r="L83" i="46"/>
  <c r="M83" i="46"/>
  <c r="L84" i="46"/>
  <c r="M84" i="46"/>
  <c r="L85" i="46"/>
  <c r="M85" i="46"/>
  <c r="L86" i="46"/>
  <c r="M86" i="46"/>
  <c r="L87" i="46"/>
  <c r="M87" i="46"/>
  <c r="L88" i="46"/>
  <c r="M88" i="46"/>
  <c r="L89" i="46"/>
  <c r="M89" i="46"/>
  <c r="L90" i="46"/>
  <c r="M90" i="46"/>
  <c r="L91" i="46"/>
  <c r="M91" i="46"/>
  <c r="L92" i="46"/>
  <c r="M92" i="46"/>
  <c r="L93" i="46"/>
  <c r="M93" i="46"/>
  <c r="L94" i="46"/>
  <c r="M94" i="46"/>
  <c r="L95" i="46"/>
  <c r="M95" i="46"/>
  <c r="L96" i="46"/>
  <c r="M96" i="46"/>
  <c r="L97" i="46"/>
  <c r="M97" i="46"/>
  <c r="L98" i="46"/>
  <c r="M98" i="46"/>
  <c r="L99" i="46"/>
  <c r="M99" i="46"/>
  <c r="L100" i="46"/>
  <c r="M100" i="46"/>
  <c r="L101" i="46"/>
  <c r="M101" i="46"/>
  <c r="L102" i="46"/>
  <c r="M102" i="46"/>
  <c r="L103" i="46"/>
  <c r="M103" i="46"/>
  <c r="L104" i="46"/>
  <c r="M104" i="46"/>
  <c r="L105" i="46"/>
  <c r="M105" i="46"/>
  <c r="L106" i="46"/>
  <c r="M106" i="46"/>
  <c r="L107" i="46"/>
  <c r="M107" i="46"/>
  <c r="L108" i="46"/>
  <c r="M108" i="46"/>
  <c r="L109" i="46"/>
  <c r="M109" i="46"/>
  <c r="L110" i="46"/>
  <c r="M110" i="46"/>
  <c r="L111" i="46"/>
  <c r="M111" i="46"/>
  <c r="L112" i="46"/>
  <c r="M112" i="46"/>
  <c r="L113" i="46"/>
  <c r="M113" i="46"/>
  <c r="L114" i="46"/>
  <c r="M114" i="46"/>
  <c r="L115" i="46"/>
  <c r="M115" i="46"/>
  <c r="L116" i="46"/>
  <c r="M116" i="46"/>
  <c r="L117" i="46"/>
  <c r="M117" i="46"/>
  <c r="L118" i="46"/>
  <c r="M118" i="46"/>
  <c r="L119" i="46"/>
  <c r="M119" i="46"/>
  <c r="L120" i="46"/>
  <c r="M120" i="46"/>
  <c r="L121" i="46"/>
  <c r="M121" i="46"/>
  <c r="L122" i="46"/>
  <c r="M122" i="46"/>
  <c r="L123" i="46"/>
  <c r="M123" i="46"/>
  <c r="L124" i="46"/>
  <c r="M124" i="46"/>
  <c r="L125" i="46"/>
  <c r="M125" i="46"/>
  <c r="L126" i="46"/>
  <c r="M126" i="46"/>
  <c r="L127" i="46"/>
  <c r="M127" i="46"/>
  <c r="L128" i="46"/>
  <c r="M128" i="46"/>
  <c r="L129" i="46"/>
  <c r="M129" i="46"/>
  <c r="L130" i="46"/>
  <c r="M130" i="46"/>
  <c r="L131" i="46"/>
  <c r="M131" i="46"/>
  <c r="L132" i="46"/>
  <c r="M132" i="46"/>
  <c r="L133" i="46"/>
  <c r="M133" i="46"/>
  <c r="L134" i="46"/>
  <c r="M134" i="46"/>
  <c r="L135" i="46"/>
  <c r="M135" i="46"/>
  <c r="L136" i="46"/>
  <c r="M136" i="46"/>
  <c r="L137" i="46"/>
  <c r="M137" i="46"/>
  <c r="L138" i="46"/>
  <c r="M138" i="46"/>
  <c r="L139" i="46"/>
  <c r="M139" i="46"/>
  <c r="L140" i="46"/>
  <c r="M140" i="46"/>
  <c r="L141" i="46"/>
  <c r="M141" i="46"/>
  <c r="L142" i="46"/>
  <c r="M142" i="46"/>
  <c r="L143" i="46"/>
  <c r="M143" i="46"/>
  <c r="L144" i="46"/>
  <c r="M144" i="46"/>
  <c r="L145" i="46"/>
  <c r="M145" i="46"/>
  <c r="L146" i="46"/>
  <c r="M146" i="46"/>
  <c r="L147" i="46"/>
  <c r="M147" i="46"/>
  <c r="L148" i="46"/>
  <c r="G120" i="98" s="1"/>
  <c r="M148" i="46"/>
  <c r="L149" i="46"/>
  <c r="M149" i="46"/>
  <c r="L150" i="46"/>
  <c r="M150" i="46"/>
  <c r="L151" i="46"/>
  <c r="G63" i="98" s="1"/>
  <c r="M151" i="46"/>
  <c r="L152" i="46"/>
  <c r="M152" i="46"/>
  <c r="L153" i="46"/>
  <c r="M153" i="46"/>
  <c r="L154" i="46"/>
  <c r="M154" i="46"/>
  <c r="L155" i="46"/>
  <c r="M155" i="46"/>
  <c r="L156" i="46"/>
  <c r="G57" i="98" s="1"/>
  <c r="M156" i="46"/>
  <c r="L157" i="46"/>
  <c r="G131" i="98" s="1"/>
  <c r="M157" i="46"/>
  <c r="L158" i="46"/>
  <c r="M158" i="46"/>
  <c r="L159" i="46"/>
  <c r="M159" i="46"/>
  <c r="L160" i="46"/>
  <c r="M160" i="46"/>
  <c r="L161" i="46"/>
  <c r="M161" i="46"/>
  <c r="L162" i="46"/>
  <c r="M162" i="46"/>
  <c r="L163" i="46"/>
  <c r="G121" i="98" s="1"/>
  <c r="M163" i="46"/>
  <c r="L164" i="46"/>
  <c r="G41" i="98" s="1"/>
  <c r="M164" i="46"/>
  <c r="L165" i="46"/>
  <c r="M165" i="46"/>
  <c r="L166" i="46"/>
  <c r="M166" i="46"/>
  <c r="L167" i="46"/>
  <c r="M167" i="46"/>
  <c r="L168" i="46"/>
  <c r="M168" i="46"/>
  <c r="L169" i="46"/>
  <c r="G132" i="98" s="1"/>
  <c r="M169" i="46"/>
  <c r="L170" i="46"/>
  <c r="G137" i="98" s="1"/>
  <c r="M170" i="46"/>
  <c r="L171" i="46"/>
  <c r="M171" i="46"/>
  <c r="L172" i="46"/>
  <c r="M172" i="46"/>
  <c r="L173" i="46"/>
  <c r="G77" i="98" s="1"/>
  <c r="M173" i="46"/>
  <c r="L174" i="46"/>
  <c r="G70" i="98" s="1"/>
  <c r="M174" i="46"/>
  <c r="L175" i="46"/>
  <c r="M175" i="46"/>
  <c r="L176" i="46"/>
  <c r="M176" i="46"/>
  <c r="L177" i="46"/>
  <c r="G71" i="98" s="1"/>
  <c r="M177" i="46"/>
  <c r="L178" i="46"/>
  <c r="G51" i="98" s="1"/>
  <c r="M178" i="46"/>
  <c r="L179" i="46"/>
  <c r="G111" i="98" s="1"/>
  <c r="M179" i="46"/>
  <c r="L180" i="46"/>
  <c r="G152" i="98" s="1"/>
  <c r="M180" i="46"/>
  <c r="L181" i="46"/>
  <c r="M181" i="46"/>
  <c r="L182" i="46"/>
  <c r="M182" i="46"/>
  <c r="L183" i="46"/>
  <c r="G31" i="98" s="1"/>
  <c r="M183" i="46"/>
  <c r="L184" i="46"/>
  <c r="M184" i="46"/>
  <c r="L185" i="46"/>
  <c r="G19" i="98" s="1"/>
  <c r="M185" i="46"/>
  <c r="L186" i="46"/>
  <c r="G55" i="98" s="1"/>
  <c r="M186" i="46"/>
  <c r="L187" i="46"/>
  <c r="G13" i="98" s="1"/>
  <c r="M187" i="46"/>
  <c r="L188" i="46"/>
  <c r="G50" i="98" s="1"/>
  <c r="M188" i="46"/>
  <c r="L189" i="46"/>
  <c r="M189" i="46"/>
  <c r="L190" i="46"/>
  <c r="G110" i="98" s="1"/>
  <c r="M190" i="46"/>
  <c r="L191" i="46"/>
  <c r="G11" i="98" s="1"/>
  <c r="M191" i="46"/>
  <c r="L192" i="46"/>
  <c r="M192" i="46"/>
  <c r="L193" i="46"/>
  <c r="G140" i="98" s="1"/>
  <c r="M193" i="46"/>
  <c r="L194" i="46"/>
  <c r="M194" i="46"/>
  <c r="L195" i="46"/>
  <c r="M195" i="46"/>
  <c r="L196" i="46"/>
  <c r="G64" i="98" s="1"/>
  <c r="M196" i="46"/>
  <c r="L197" i="46"/>
  <c r="G43" i="98" s="1"/>
  <c r="M197" i="46"/>
  <c r="L198" i="46"/>
  <c r="G153" i="98" s="1"/>
  <c r="M198" i="46"/>
  <c r="L199" i="46"/>
  <c r="G67" i="98" s="1"/>
  <c r="M199" i="46"/>
  <c r="L200" i="46"/>
  <c r="G89" i="98" s="1"/>
  <c r="M200" i="46"/>
  <c r="L201" i="46"/>
  <c r="M201" i="46"/>
  <c r="L202" i="46"/>
  <c r="G114" i="98" s="1"/>
  <c r="M202" i="46"/>
  <c r="L203" i="46"/>
  <c r="G141" i="98" s="1"/>
  <c r="M203" i="46"/>
  <c r="L204" i="46"/>
  <c r="M204" i="46"/>
  <c r="L205" i="46"/>
  <c r="M205" i="46"/>
  <c r="L206" i="46"/>
  <c r="M206" i="46"/>
  <c r="L207" i="46"/>
  <c r="M207" i="46"/>
  <c r="L208" i="46"/>
  <c r="M208" i="46"/>
  <c r="L209" i="46"/>
  <c r="M209" i="46"/>
  <c r="L210" i="46"/>
  <c r="M210" i="46"/>
  <c r="L211" i="46"/>
  <c r="M211" i="46"/>
  <c r="L212" i="46"/>
  <c r="M212" i="46"/>
  <c r="L213" i="46"/>
  <c r="M213" i="46"/>
  <c r="L214" i="46"/>
  <c r="M214" i="46"/>
  <c r="L215" i="46"/>
  <c r="M215" i="46"/>
  <c r="L216" i="46"/>
  <c r="M216" i="46"/>
  <c r="L217" i="46"/>
  <c r="M217" i="46"/>
  <c r="L218" i="46"/>
  <c r="M218" i="46"/>
  <c r="L219" i="46"/>
  <c r="M219" i="46"/>
  <c r="L220" i="46"/>
  <c r="M220" i="46"/>
  <c r="L221" i="46"/>
  <c r="M221" i="46"/>
  <c r="M4" i="46"/>
  <c r="I218" i="60" l="1" a="1"/>
  <c r="I218" i="60" s="1"/>
  <c r="G217" i="67"/>
  <c r="G126" i="98"/>
  <c r="G209" i="67"/>
  <c r="G82" i="98"/>
  <c r="G207" i="67"/>
  <c r="G78" i="98"/>
  <c r="G203" i="67"/>
  <c r="G24" i="98"/>
  <c r="G193" i="67"/>
  <c r="G39" i="98"/>
  <c r="G191" i="67"/>
  <c r="G199" i="98"/>
  <c r="G159" i="67"/>
  <c r="G201" i="98"/>
  <c r="G153" i="67"/>
  <c r="G108" i="98"/>
  <c r="G145" i="67"/>
  <c r="G217" i="98"/>
  <c r="G139" i="67"/>
  <c r="G122" i="98"/>
  <c r="G129" i="67"/>
  <c r="G9" i="98"/>
  <c r="G119" i="67"/>
  <c r="G187" i="98"/>
  <c r="G111" i="67"/>
  <c r="G178" i="98"/>
  <c r="G107" i="67"/>
  <c r="G215" i="98"/>
  <c r="G99" i="67"/>
  <c r="G101" i="98"/>
  <c r="G91" i="67"/>
  <c r="G177" i="98"/>
  <c r="G83" i="67"/>
  <c r="G156" i="98"/>
  <c r="G73" i="67"/>
  <c r="G119" i="98"/>
  <c r="G65" i="67"/>
  <c r="G28" i="98"/>
  <c r="G55" i="67"/>
  <c r="G56" i="98"/>
  <c r="G47" i="67"/>
  <c r="G145" i="98"/>
  <c r="G37" i="67"/>
  <c r="G158" i="98"/>
  <c r="G27" i="67"/>
  <c r="G59" i="98"/>
  <c r="G21" i="67"/>
  <c r="G124" i="98"/>
  <c r="J124" i="98" s="1"/>
  <c r="G9" i="67"/>
  <c r="G32" i="98"/>
  <c r="AR32" i="46"/>
  <c r="N142" i="98"/>
  <c r="I142" i="98" s="1"/>
  <c r="G215" i="67"/>
  <c r="G106" i="98"/>
  <c r="G175" i="67"/>
  <c r="G151" i="98"/>
  <c r="G171" i="67"/>
  <c r="G164" i="98"/>
  <c r="G165" i="67"/>
  <c r="G15" i="98"/>
  <c r="G137" i="67"/>
  <c r="G128" i="98"/>
  <c r="G131" i="67"/>
  <c r="G99" i="98"/>
  <c r="G123" i="67"/>
  <c r="G192" i="98"/>
  <c r="G115" i="67"/>
  <c r="G172" i="98"/>
  <c r="G105" i="67"/>
  <c r="G135" i="98"/>
  <c r="G97" i="67"/>
  <c r="G210" i="98"/>
  <c r="G89" i="67"/>
  <c r="G54" i="98"/>
  <c r="G79" i="67"/>
  <c r="G100" i="98"/>
  <c r="G71" i="67"/>
  <c r="G219" i="98"/>
  <c r="G63" i="67"/>
  <c r="G155" i="98"/>
  <c r="G57" i="67"/>
  <c r="G83" i="98"/>
  <c r="G49" i="67"/>
  <c r="G75" i="98"/>
  <c r="G41" i="67"/>
  <c r="G127" i="98"/>
  <c r="G33" i="67"/>
  <c r="G81" i="98"/>
  <c r="G25" i="67"/>
  <c r="G49" i="98"/>
  <c r="G17" i="67"/>
  <c r="G220" i="98"/>
  <c r="G11" i="67"/>
  <c r="G193" i="98"/>
  <c r="G7" i="67"/>
  <c r="G91" i="98"/>
  <c r="AR62" i="46"/>
  <c r="N21" i="98"/>
  <c r="I21" i="98" s="1"/>
  <c r="AR63" i="46"/>
  <c r="N76" i="98"/>
  <c r="I76" i="98" s="1"/>
  <c r="AR133" i="46"/>
  <c r="N93" i="98"/>
  <c r="I93" i="98" s="1"/>
  <c r="AR51" i="46"/>
  <c r="N112" i="98"/>
  <c r="I112" i="98" s="1"/>
  <c r="AR49" i="46"/>
  <c r="N154" i="98"/>
  <c r="I154" i="98" s="1"/>
  <c r="AT175" i="46"/>
  <c r="P185" i="98"/>
  <c r="K185" i="98" s="1"/>
  <c r="AT161" i="46"/>
  <c r="P12" i="98"/>
  <c r="K12" i="98" s="1"/>
  <c r="AT144" i="46"/>
  <c r="P195" i="98"/>
  <c r="K195" i="98" s="1"/>
  <c r="G220" i="67"/>
  <c r="G216" i="98"/>
  <c r="G218" i="67"/>
  <c r="G208" i="98"/>
  <c r="G216" i="67"/>
  <c r="G72" i="98"/>
  <c r="G214" i="67"/>
  <c r="G143" i="98"/>
  <c r="G212" i="67"/>
  <c r="G191" i="98"/>
  <c r="G210" i="67"/>
  <c r="G188" i="98"/>
  <c r="G208" i="67"/>
  <c r="G80" i="98"/>
  <c r="G206" i="67"/>
  <c r="G68" i="98"/>
  <c r="G204" i="67"/>
  <c r="G6" i="98"/>
  <c r="G200" i="67"/>
  <c r="G97" i="98"/>
  <c r="G194" i="67"/>
  <c r="G130" i="98"/>
  <c r="G188" i="67"/>
  <c r="G62" i="98"/>
  <c r="G180" i="67"/>
  <c r="G7" i="98"/>
  <c r="G174" i="67"/>
  <c r="G185" i="98"/>
  <c r="G170" i="67"/>
  <c r="G95" i="98"/>
  <c r="G166" i="67"/>
  <c r="G175" i="98"/>
  <c r="G164" i="67"/>
  <c r="G47" i="98"/>
  <c r="G160" i="67"/>
  <c r="G12" i="98"/>
  <c r="G158" i="67"/>
  <c r="G88" i="98"/>
  <c r="G154" i="67"/>
  <c r="G16" i="98"/>
  <c r="G152" i="67"/>
  <c r="G84" i="98"/>
  <c r="G148" i="67"/>
  <c r="G160" i="98"/>
  <c r="G146" i="67"/>
  <c r="G53" i="98"/>
  <c r="G144" i="67"/>
  <c r="G211" i="98"/>
  <c r="G142" i="67"/>
  <c r="G33" i="98"/>
  <c r="G140" i="67"/>
  <c r="G116" i="98"/>
  <c r="G138" i="67"/>
  <c r="G117" i="98"/>
  <c r="G136" i="67"/>
  <c r="G218" i="98"/>
  <c r="G134" i="67"/>
  <c r="G34" i="98"/>
  <c r="G132" i="67"/>
  <c r="G93" i="98"/>
  <c r="G130" i="67"/>
  <c r="G25" i="98"/>
  <c r="G128" i="67"/>
  <c r="G147" i="98"/>
  <c r="G213" i="67"/>
  <c r="G149" i="98"/>
  <c r="G205" i="67"/>
  <c r="G42" i="98"/>
  <c r="G181" i="67"/>
  <c r="G90" i="98"/>
  <c r="G167" i="67"/>
  <c r="G40" i="98"/>
  <c r="G161" i="67"/>
  <c r="G214" i="98"/>
  <c r="G157" i="67"/>
  <c r="G198" i="98"/>
  <c r="G151" i="67"/>
  <c r="G203" i="98"/>
  <c r="G143" i="67"/>
  <c r="G195" i="98"/>
  <c r="G135" i="67"/>
  <c r="G37" i="98"/>
  <c r="G127" i="67"/>
  <c r="G204" i="98"/>
  <c r="G121" i="67"/>
  <c r="G170" i="98"/>
  <c r="G113" i="67"/>
  <c r="G144" i="98"/>
  <c r="G103" i="67"/>
  <c r="G194" i="98"/>
  <c r="G95" i="67"/>
  <c r="G183" i="98"/>
  <c r="G87" i="67"/>
  <c r="G107" i="98"/>
  <c r="G81" i="67"/>
  <c r="G66" i="98"/>
  <c r="G69" i="67"/>
  <c r="G85" i="98"/>
  <c r="G61" i="67"/>
  <c r="G21" i="98"/>
  <c r="G53" i="67"/>
  <c r="G200" i="98"/>
  <c r="G45" i="67"/>
  <c r="G98" i="98"/>
  <c r="J98" i="98" s="1"/>
  <c r="G39" i="67"/>
  <c r="G168" i="98"/>
  <c r="G31" i="67"/>
  <c r="G142" i="98"/>
  <c r="G23" i="67"/>
  <c r="G94" i="98"/>
  <c r="G15" i="67"/>
  <c r="G166" i="98"/>
  <c r="G5" i="67"/>
  <c r="G104" i="98"/>
  <c r="AR135" i="46"/>
  <c r="N34" i="98"/>
  <c r="I34" i="98" s="1"/>
  <c r="AR82" i="46"/>
  <c r="N66" i="98"/>
  <c r="I66" i="98" s="1"/>
  <c r="AR4" i="46"/>
  <c r="N27" i="98"/>
  <c r="I27" i="98" s="1"/>
  <c r="AR10" i="46"/>
  <c r="N32" i="98"/>
  <c r="I32" i="98" s="1"/>
  <c r="AT201" i="46"/>
  <c r="P97" i="98"/>
  <c r="K97" i="98" s="1"/>
  <c r="AT181" i="46"/>
  <c r="P7" i="98"/>
  <c r="K7" i="98" s="1"/>
  <c r="AT162" i="46"/>
  <c r="P214" i="98"/>
  <c r="K214" i="98" s="1"/>
  <c r="AT152" i="46"/>
  <c r="P203" i="98"/>
  <c r="K203" i="98" s="1"/>
  <c r="AT145" i="46"/>
  <c r="P211" i="98"/>
  <c r="K211" i="98" s="1"/>
  <c r="AT128" i="46"/>
  <c r="P204" i="98"/>
  <c r="K204" i="98" s="1"/>
  <c r="AR127" i="46"/>
  <c r="N179" i="98"/>
  <c r="I179" i="98" s="1"/>
  <c r="AS125" i="46"/>
  <c r="O181" i="98"/>
  <c r="J181" i="98" s="1"/>
  <c r="AT124" i="46"/>
  <c r="P192" i="98"/>
  <c r="K192" i="98" s="1"/>
  <c r="AR122" i="46"/>
  <c r="N170" i="98"/>
  <c r="I170" i="98" s="1"/>
  <c r="AS120" i="46"/>
  <c r="O187" i="98"/>
  <c r="J187" i="98" s="1"/>
  <c r="AT119" i="46"/>
  <c r="P189" i="98"/>
  <c r="K189" i="98" s="1"/>
  <c r="AR117" i="46"/>
  <c r="N205" i="98"/>
  <c r="I205" i="98" s="1"/>
  <c r="AS113" i="46"/>
  <c r="O213" i="98"/>
  <c r="J213" i="98" s="1"/>
  <c r="AT112" i="46"/>
  <c r="P178" i="98"/>
  <c r="K178" i="98" s="1"/>
  <c r="AR109" i="46"/>
  <c r="N163" i="98"/>
  <c r="I163" i="98" s="1"/>
  <c r="AS107" i="46"/>
  <c r="O197" i="98"/>
  <c r="J197" i="98" s="1"/>
  <c r="AT105" i="46"/>
  <c r="P167" i="98"/>
  <c r="K167" i="98" s="1"/>
  <c r="AR104" i="46"/>
  <c r="N194" i="98"/>
  <c r="I194" i="98" s="1"/>
  <c r="AS101" i="46"/>
  <c r="O174" i="98"/>
  <c r="J174" i="98" s="1"/>
  <c r="AT99" i="46"/>
  <c r="P196" i="98"/>
  <c r="K196" i="98" s="1"/>
  <c r="AR98" i="46"/>
  <c r="N210" i="98"/>
  <c r="I210" i="98" s="1"/>
  <c r="AS92" i="46"/>
  <c r="O177" i="98"/>
  <c r="J177" i="98" s="1"/>
  <c r="AT91" i="46"/>
  <c r="P184" i="98"/>
  <c r="K184" i="98" s="1"/>
  <c r="AR86" i="46"/>
  <c r="N206" i="98"/>
  <c r="I206" i="98" s="1"/>
  <c r="AS76" i="46"/>
  <c r="O48" i="98"/>
  <c r="J48" i="98" s="1"/>
  <c r="AT75" i="46"/>
  <c r="P5" i="98"/>
  <c r="K5" i="98" s="1"/>
  <c r="AR73" i="46"/>
  <c r="N212" i="98"/>
  <c r="I212" i="98" s="1"/>
  <c r="AS71" i="46"/>
  <c r="O45" i="98"/>
  <c r="J45" i="98" s="1"/>
  <c r="AT69" i="46"/>
  <c r="P182" i="98"/>
  <c r="K182" i="98" s="1"/>
  <c r="AR68" i="46"/>
  <c r="N162" i="98"/>
  <c r="I162" i="98" s="1"/>
  <c r="AS65" i="46"/>
  <c r="O171" i="98"/>
  <c r="J171" i="98" s="1"/>
  <c r="AT64" i="46"/>
  <c r="P155" i="98"/>
  <c r="K155" i="98" s="1"/>
  <c r="AR58" i="46"/>
  <c r="N83" i="98"/>
  <c r="I83" i="98" s="1"/>
  <c r="AT54" i="46"/>
  <c r="P200" i="98"/>
  <c r="K200" i="98" s="1"/>
  <c r="AT45" i="46"/>
  <c r="P36" i="98"/>
  <c r="K36" i="98" s="1"/>
  <c r="AR44" i="46"/>
  <c r="N165" i="98"/>
  <c r="I165" i="98" s="1"/>
  <c r="AS42" i="46"/>
  <c r="O127" i="98"/>
  <c r="J127" i="98" s="1"/>
  <c r="AR40" i="46"/>
  <c r="N168" i="98"/>
  <c r="I168" i="98" s="1"/>
  <c r="AS38" i="46"/>
  <c r="O158" i="98"/>
  <c r="J158" i="98" s="1"/>
  <c r="P20" i="98"/>
  <c r="K20" i="98" s="1"/>
  <c r="AR36" i="46"/>
  <c r="N86" i="98"/>
  <c r="I86" i="98" s="1"/>
  <c r="AT28" i="46"/>
  <c r="P59" i="98"/>
  <c r="K59" i="98" s="1"/>
  <c r="AR27" i="46"/>
  <c r="N146" i="98"/>
  <c r="I146" i="98" s="1"/>
  <c r="G219" i="67"/>
  <c r="G30" i="98"/>
  <c r="G211" i="67"/>
  <c r="G186" i="98"/>
  <c r="G183" i="67"/>
  <c r="G69" i="98"/>
  <c r="G149" i="67"/>
  <c r="G38" i="98"/>
  <c r="G141" i="67"/>
  <c r="G159" i="98"/>
  <c r="G133" i="67"/>
  <c r="G123" i="98"/>
  <c r="G125" i="67"/>
  <c r="G190" i="98"/>
  <c r="G117" i="67"/>
  <c r="G44" i="98"/>
  <c r="G109" i="67"/>
  <c r="G22" i="98"/>
  <c r="G101" i="67"/>
  <c r="G173" i="98"/>
  <c r="G93" i="67"/>
  <c r="G58" i="98"/>
  <c r="G85" i="67"/>
  <c r="G206" i="98"/>
  <c r="G77" i="67"/>
  <c r="G138" i="98"/>
  <c r="G75" i="67"/>
  <c r="G48" i="98"/>
  <c r="G67" i="67"/>
  <c r="G162" i="98"/>
  <c r="G59" i="67"/>
  <c r="G17" i="98"/>
  <c r="G51" i="67"/>
  <c r="G113" i="98"/>
  <c r="I113" i="98" s="1"/>
  <c r="G43" i="67"/>
  <c r="G165" i="98"/>
  <c r="G35" i="67"/>
  <c r="G86" i="98"/>
  <c r="G29" i="67"/>
  <c r="G136" i="98"/>
  <c r="G19" i="67"/>
  <c r="G52" i="98"/>
  <c r="G13" i="67"/>
  <c r="G87" i="98"/>
  <c r="AR34" i="46"/>
  <c r="N81" i="98"/>
  <c r="I81" i="98" s="1"/>
  <c r="AT10" i="46"/>
  <c r="P32" i="98"/>
  <c r="K32" i="98" s="1"/>
  <c r="AT219" i="46"/>
  <c r="P208" i="98"/>
  <c r="K208" i="98" s="1"/>
  <c r="AT149" i="46"/>
  <c r="P160" i="98"/>
  <c r="K160" i="98" s="1"/>
  <c r="AS128" i="46"/>
  <c r="O204" i="98"/>
  <c r="J204" i="98" s="1"/>
  <c r="AT127" i="46"/>
  <c r="P179" i="98"/>
  <c r="K179" i="98" s="1"/>
  <c r="AR126" i="46"/>
  <c r="N190" i="98"/>
  <c r="I190" i="98" s="1"/>
  <c r="AS124" i="46"/>
  <c r="O192" i="98"/>
  <c r="J192" i="98" s="1"/>
  <c r="AT122" i="46"/>
  <c r="P170" i="98"/>
  <c r="K170" i="98" s="1"/>
  <c r="AR121" i="46"/>
  <c r="N202" i="98"/>
  <c r="I202" i="98" s="1"/>
  <c r="AS119" i="46"/>
  <c r="O189" i="98"/>
  <c r="J189" i="98" s="1"/>
  <c r="AT117" i="46"/>
  <c r="P205" i="98"/>
  <c r="K205" i="98" s="1"/>
  <c r="AR116" i="46"/>
  <c r="N172" i="98"/>
  <c r="I172" i="98" s="1"/>
  <c r="AS112" i="46"/>
  <c r="O178" i="98"/>
  <c r="J178" i="98" s="1"/>
  <c r="AT109" i="46"/>
  <c r="P163" i="98"/>
  <c r="K163" i="98" s="1"/>
  <c r="AR108" i="46"/>
  <c r="N215" i="98"/>
  <c r="I215" i="98" s="1"/>
  <c r="AS105" i="46"/>
  <c r="O167" i="98"/>
  <c r="J167" i="98" s="1"/>
  <c r="AT104" i="46"/>
  <c r="P194" i="98"/>
  <c r="K194" i="98" s="1"/>
  <c r="AR102" i="46"/>
  <c r="N173" i="98"/>
  <c r="I173" i="98" s="1"/>
  <c r="AS99" i="46"/>
  <c r="O196" i="98"/>
  <c r="J196" i="98" s="1"/>
  <c r="AT98" i="46"/>
  <c r="P210" i="98"/>
  <c r="K210" i="98" s="1"/>
  <c r="AR96" i="46"/>
  <c r="N183" i="98"/>
  <c r="I183" i="98" s="1"/>
  <c r="AS91" i="46"/>
  <c r="O184" i="98"/>
  <c r="J184" i="98" s="1"/>
  <c r="AT86" i="46"/>
  <c r="P206" i="98"/>
  <c r="K206" i="98" s="1"/>
  <c r="AR85" i="46"/>
  <c r="N161" i="98"/>
  <c r="I161" i="98" s="1"/>
  <c r="AT73" i="46"/>
  <c r="P212" i="98"/>
  <c r="K212" i="98" s="1"/>
  <c r="AR72" i="46"/>
  <c r="N219" i="98"/>
  <c r="I219" i="98" s="1"/>
  <c r="AS69" i="46"/>
  <c r="O182" i="98"/>
  <c r="J182" i="98" s="1"/>
  <c r="AT68" i="46"/>
  <c r="P162" i="98"/>
  <c r="K162" i="98" s="1"/>
  <c r="AR67" i="46"/>
  <c r="N103" i="98"/>
  <c r="I103" i="98" s="1"/>
  <c r="AS64" i="46"/>
  <c r="O155" i="98"/>
  <c r="J155" i="98" s="1"/>
  <c r="AT58" i="46"/>
  <c r="P83" i="98"/>
  <c r="K83" i="98" s="1"/>
  <c r="AS54" i="46"/>
  <c r="O200" i="98"/>
  <c r="J200" i="98" s="1"/>
  <c r="AR48" i="46"/>
  <c r="N145" i="98"/>
  <c r="I145" i="98" s="1"/>
  <c r="AT44" i="46"/>
  <c r="P165" i="98"/>
  <c r="K165" i="98" s="1"/>
  <c r="AR43" i="46"/>
  <c r="N29" i="98"/>
  <c r="I29" i="98" s="1"/>
  <c r="AT40" i="46"/>
  <c r="P168" i="98"/>
  <c r="K168" i="98" s="1"/>
  <c r="AR39" i="46"/>
  <c r="N60" i="98"/>
  <c r="I60" i="98" s="1"/>
  <c r="AT36" i="46"/>
  <c r="P86" i="98"/>
  <c r="K86" i="98" s="1"/>
  <c r="AR33" i="46"/>
  <c r="N209" i="98"/>
  <c r="I209" i="98" s="1"/>
  <c r="AS28" i="46"/>
  <c r="O59" i="98"/>
  <c r="J59" i="98" s="1"/>
  <c r="AT27" i="46"/>
  <c r="P146" i="98"/>
  <c r="K146" i="98" s="1"/>
  <c r="AR25" i="46"/>
  <c r="N207" i="98"/>
  <c r="I207" i="98" s="1"/>
  <c r="AR19" i="46"/>
  <c r="N180" i="98"/>
  <c r="I180" i="98" s="1"/>
  <c r="AR18" i="46"/>
  <c r="N220" i="98"/>
  <c r="I220" i="98" s="1"/>
  <c r="AS16" i="46"/>
  <c r="O166" i="98"/>
  <c r="J166" i="98" s="1"/>
  <c r="AR14" i="46"/>
  <c r="N87" i="98"/>
  <c r="I87" i="98" s="1"/>
  <c r="AS12" i="46"/>
  <c r="O193" i="98"/>
  <c r="J193" i="98" s="1"/>
  <c r="G3" i="67"/>
  <c r="G27" i="98"/>
  <c r="F218" i="67"/>
  <c r="F208" i="98"/>
  <c r="F214" i="67"/>
  <c r="F143" i="98"/>
  <c r="F210" i="67"/>
  <c r="F188" i="98"/>
  <c r="F206" i="67"/>
  <c r="F68" i="98"/>
  <c r="F194" i="67"/>
  <c r="F130" i="98"/>
  <c r="F174" i="67"/>
  <c r="F185" i="98"/>
  <c r="F170" i="67"/>
  <c r="F95" i="98"/>
  <c r="F166" i="67"/>
  <c r="F175" i="98"/>
  <c r="F158" i="67"/>
  <c r="F88" i="98"/>
  <c r="F154" i="67"/>
  <c r="F16" i="98"/>
  <c r="F146" i="67"/>
  <c r="F53" i="98"/>
  <c r="F142" i="67"/>
  <c r="F33" i="98"/>
  <c r="F138" i="67"/>
  <c r="F117" i="98"/>
  <c r="F134" i="67"/>
  <c r="F34" i="98"/>
  <c r="F130" i="67"/>
  <c r="F25" i="98"/>
  <c r="F126" i="67"/>
  <c r="F179" i="98"/>
  <c r="F122" i="67"/>
  <c r="F74" i="98"/>
  <c r="F118" i="67"/>
  <c r="F189" i="98"/>
  <c r="F114" i="67"/>
  <c r="F23" i="98"/>
  <c r="F110" i="67"/>
  <c r="F18" i="98"/>
  <c r="F106" i="67"/>
  <c r="F197" i="98"/>
  <c r="F102" i="67"/>
  <c r="F4" i="98"/>
  <c r="F98" i="67"/>
  <c r="F196" i="98"/>
  <c r="F94" i="67"/>
  <c r="F79" i="98"/>
  <c r="F90" i="67"/>
  <c r="F184" i="98"/>
  <c r="F86" i="67"/>
  <c r="F73" i="98"/>
  <c r="F82" i="67"/>
  <c r="F46" i="98"/>
  <c r="F78" i="67"/>
  <c r="F125" i="98"/>
  <c r="F74" i="67"/>
  <c r="F5" i="98"/>
  <c r="F70" i="67"/>
  <c r="F45" i="98"/>
  <c r="F66" i="67"/>
  <c r="F103" i="98"/>
  <c r="F62" i="67"/>
  <c r="F76" i="98"/>
  <c r="F58" i="67"/>
  <c r="F61" i="98"/>
  <c r="F54" i="67"/>
  <c r="F133" i="98"/>
  <c r="F50" i="67"/>
  <c r="F112" i="98"/>
  <c r="F46" i="67"/>
  <c r="F8" i="98"/>
  <c r="F42" i="67"/>
  <c r="F29" i="98"/>
  <c r="F38" i="67"/>
  <c r="F60" i="98"/>
  <c r="F34" i="67"/>
  <c r="F109" i="98"/>
  <c r="F30" i="67"/>
  <c r="F105" i="98"/>
  <c r="F26" i="67"/>
  <c r="F146" i="98"/>
  <c r="F22" i="67"/>
  <c r="F26" i="98"/>
  <c r="F18" i="67"/>
  <c r="F180" i="98"/>
  <c r="F14" i="67"/>
  <c r="F92" i="98"/>
  <c r="F10" i="67"/>
  <c r="F35" i="98"/>
  <c r="F6" i="67"/>
  <c r="F3" i="98"/>
  <c r="G126" i="67"/>
  <c r="G179" i="98"/>
  <c r="G124" i="67"/>
  <c r="G181" i="98"/>
  <c r="G122" i="67"/>
  <c r="G74" i="98"/>
  <c r="G120" i="67"/>
  <c r="G202" i="98"/>
  <c r="G118" i="67"/>
  <c r="G189" i="98"/>
  <c r="G116" i="67"/>
  <c r="G205" i="98"/>
  <c r="G114" i="67"/>
  <c r="G23" i="98"/>
  <c r="G112" i="67"/>
  <c r="G213" i="98"/>
  <c r="G110" i="67"/>
  <c r="G18" i="98"/>
  <c r="G108" i="67"/>
  <c r="G163" i="98"/>
  <c r="G106" i="67"/>
  <c r="G197" i="98"/>
  <c r="G104" i="67"/>
  <c r="G167" i="98"/>
  <c r="G102" i="67"/>
  <c r="G4" i="98"/>
  <c r="G100" i="67"/>
  <c r="G174" i="98"/>
  <c r="G98" i="67"/>
  <c r="G196" i="98"/>
  <c r="G96" i="67"/>
  <c r="G96" i="98"/>
  <c r="G94" i="67"/>
  <c r="G79" i="98"/>
  <c r="G92" i="67"/>
  <c r="G14" i="98"/>
  <c r="G90" i="67"/>
  <c r="G184" i="98"/>
  <c r="G88" i="67"/>
  <c r="G10" i="98"/>
  <c r="G86" i="67"/>
  <c r="G73" i="98"/>
  <c r="G84" i="67"/>
  <c r="G161" i="98"/>
  <c r="G82" i="67"/>
  <c r="G46" i="98"/>
  <c r="G80" i="67"/>
  <c r="G150" i="98"/>
  <c r="G78" i="67"/>
  <c r="G125" i="98"/>
  <c r="G76" i="67"/>
  <c r="G102" i="98"/>
  <c r="G74" i="67"/>
  <c r="G5" i="98"/>
  <c r="G72" i="67"/>
  <c r="G212" i="98"/>
  <c r="G70" i="67"/>
  <c r="G45" i="98"/>
  <c r="G68" i="67"/>
  <c r="G182" i="98"/>
  <c r="G66" i="67"/>
  <c r="G103" i="98"/>
  <c r="G64" i="67"/>
  <c r="G171" i="98"/>
  <c r="G62" i="67"/>
  <c r="G76" i="98"/>
  <c r="G60" i="67"/>
  <c r="G118" i="98"/>
  <c r="G58" i="67"/>
  <c r="G61" i="98"/>
  <c r="G56" i="67"/>
  <c r="G169" i="98"/>
  <c r="J169" i="98" s="1"/>
  <c r="G54" i="67"/>
  <c r="G133" i="98"/>
  <c r="G52" i="67"/>
  <c r="G65" i="98"/>
  <c r="G50" i="67"/>
  <c r="G112" i="98"/>
  <c r="G48" i="67"/>
  <c r="G154" i="98"/>
  <c r="G46" i="67"/>
  <c r="G8" i="98"/>
  <c r="G44" i="67"/>
  <c r="G36" i="98"/>
  <c r="G42" i="67"/>
  <c r="G29" i="98"/>
  <c r="G40" i="67"/>
  <c r="G115" i="98"/>
  <c r="K115" i="98" s="1"/>
  <c r="G38" i="67"/>
  <c r="G60" i="98"/>
  <c r="G34" i="67"/>
  <c r="G109" i="98"/>
  <c r="G32" i="67"/>
  <c r="G209" i="98"/>
  <c r="G30" i="67"/>
  <c r="G105" i="98"/>
  <c r="G28" i="67"/>
  <c r="G157" i="98"/>
  <c r="G26" i="67"/>
  <c r="G146" i="98"/>
  <c r="G24" i="67"/>
  <c r="G207" i="98"/>
  <c r="G22" i="67"/>
  <c r="G26" i="98"/>
  <c r="G20" i="67"/>
  <c r="G148" i="98"/>
  <c r="G18" i="67"/>
  <c r="G180" i="98"/>
  <c r="G16" i="67"/>
  <c r="G139" i="98"/>
  <c r="G14" i="67"/>
  <c r="G92" i="98"/>
  <c r="G12" i="67"/>
  <c r="G176" i="98"/>
  <c r="G10" i="67"/>
  <c r="G35" i="98"/>
  <c r="G8" i="67"/>
  <c r="G129" i="98"/>
  <c r="I129" i="98" s="1"/>
  <c r="G6" i="67"/>
  <c r="G3" i="98"/>
  <c r="G4" i="67"/>
  <c r="G134" i="98"/>
  <c r="AS62" i="46"/>
  <c r="O21" i="98"/>
  <c r="J21" i="98" s="1"/>
  <c r="AS135" i="46"/>
  <c r="O34" i="98"/>
  <c r="J34" i="98" s="1"/>
  <c r="AS82" i="46"/>
  <c r="O66" i="98"/>
  <c r="J66" i="98" s="1"/>
  <c r="AS63" i="46"/>
  <c r="O76" i="98"/>
  <c r="J76" i="98" s="1"/>
  <c r="AS34" i="46"/>
  <c r="O81" i="98"/>
  <c r="J81" i="98" s="1"/>
  <c r="AS133" i="46"/>
  <c r="O93" i="98"/>
  <c r="J93" i="98" s="1"/>
  <c r="AS51" i="46"/>
  <c r="O112" i="98"/>
  <c r="J112" i="98" s="1"/>
  <c r="AS32" i="46"/>
  <c r="O142" i="98"/>
  <c r="J142" i="98" s="1"/>
  <c r="AS4" i="46"/>
  <c r="O27" i="98"/>
  <c r="J27" i="98" s="1"/>
  <c r="AS10" i="46"/>
  <c r="O32" i="98"/>
  <c r="J32" i="98" s="1"/>
  <c r="AT194" i="46"/>
  <c r="P39" i="98"/>
  <c r="K39" i="98" s="1"/>
  <c r="AT172" i="46"/>
  <c r="P164" i="98"/>
  <c r="K164" i="98" s="1"/>
  <c r="AT160" i="46"/>
  <c r="P201" i="98"/>
  <c r="K201" i="98" s="1"/>
  <c r="AT147" i="46"/>
  <c r="P53" i="98"/>
  <c r="K53" i="98" s="1"/>
  <c r="AT142" i="46"/>
  <c r="P159" i="98"/>
  <c r="K159" i="98" s="1"/>
  <c r="AS127" i="46"/>
  <c r="O179" i="98"/>
  <c r="J179" i="98" s="1"/>
  <c r="AT126" i="46"/>
  <c r="P190" i="98"/>
  <c r="K190" i="98" s="1"/>
  <c r="AR125" i="46"/>
  <c r="N181" i="98"/>
  <c r="I181" i="98" s="1"/>
  <c r="AS122" i="46"/>
  <c r="O170" i="98"/>
  <c r="J170" i="98" s="1"/>
  <c r="AT121" i="46"/>
  <c r="P202" i="98"/>
  <c r="K202" i="98" s="1"/>
  <c r="AR120" i="46"/>
  <c r="N187" i="98"/>
  <c r="I187" i="98" s="1"/>
  <c r="AS117" i="46"/>
  <c r="O205" i="98"/>
  <c r="J205" i="98" s="1"/>
  <c r="AT116" i="46"/>
  <c r="P172" i="98"/>
  <c r="K172" i="98" s="1"/>
  <c r="AR113" i="46"/>
  <c r="N213" i="98"/>
  <c r="I213" i="98" s="1"/>
  <c r="AS109" i="46"/>
  <c r="O163" i="98"/>
  <c r="J163" i="98" s="1"/>
  <c r="AT108" i="46"/>
  <c r="P215" i="98"/>
  <c r="K215" i="98" s="1"/>
  <c r="AR107" i="46"/>
  <c r="N197" i="98"/>
  <c r="I197" i="98" s="1"/>
  <c r="AS104" i="46"/>
  <c r="O194" i="98"/>
  <c r="J194" i="98" s="1"/>
  <c r="AT102" i="46"/>
  <c r="P173" i="98"/>
  <c r="K173" i="98" s="1"/>
  <c r="AR101" i="46"/>
  <c r="N174" i="98"/>
  <c r="I174" i="98" s="1"/>
  <c r="AS98" i="46"/>
  <c r="O210" i="98"/>
  <c r="J210" i="98" s="1"/>
  <c r="AT96" i="46"/>
  <c r="P183" i="98"/>
  <c r="K183" i="98" s="1"/>
  <c r="AR92" i="46"/>
  <c r="N177" i="98"/>
  <c r="I177" i="98" s="1"/>
  <c r="AS86" i="46"/>
  <c r="O206" i="98"/>
  <c r="J206" i="98" s="1"/>
  <c r="AT85" i="46"/>
  <c r="P161" i="98"/>
  <c r="K161" i="98" s="1"/>
  <c r="AR76" i="46"/>
  <c r="N48" i="98"/>
  <c r="I48" i="98" s="1"/>
  <c r="AS73" i="46"/>
  <c r="O212" i="98"/>
  <c r="J212" i="98" s="1"/>
  <c r="AT72" i="46"/>
  <c r="P219" i="98"/>
  <c r="K219" i="98" s="1"/>
  <c r="AR71" i="46"/>
  <c r="N45" i="98"/>
  <c r="I45" i="98" s="1"/>
  <c r="AS68" i="46"/>
  <c r="O162" i="98"/>
  <c r="J162" i="98" s="1"/>
  <c r="AT67" i="46"/>
  <c r="P103" i="98"/>
  <c r="K103" i="98" s="1"/>
  <c r="AR65" i="46"/>
  <c r="N171" i="98"/>
  <c r="I171" i="98" s="1"/>
  <c r="AS58" i="46"/>
  <c r="O83" i="98"/>
  <c r="J83" i="98" s="1"/>
  <c r="AT57" i="46"/>
  <c r="P169" i="98"/>
  <c r="K169" i="98" s="1"/>
  <c r="J113" i="98"/>
  <c r="AT48" i="46"/>
  <c r="P145" i="98"/>
  <c r="K145" i="98" s="1"/>
  <c r="AS44" i="46"/>
  <c r="O165" i="98"/>
  <c r="J165" i="98" s="1"/>
  <c r="AT43" i="46"/>
  <c r="P29" i="98"/>
  <c r="K29" i="98" s="1"/>
  <c r="AR42" i="46"/>
  <c r="N127" i="98"/>
  <c r="I127" i="98" s="1"/>
  <c r="AS40" i="46"/>
  <c r="O168" i="98"/>
  <c r="J168" i="98" s="1"/>
  <c r="AT39" i="46"/>
  <c r="P60" i="98"/>
  <c r="K60" i="98" s="1"/>
  <c r="AR38" i="46"/>
  <c r="N158" i="98"/>
  <c r="I158" i="98" s="1"/>
  <c r="AS36" i="46"/>
  <c r="O86" i="98"/>
  <c r="J86" i="98" s="1"/>
  <c r="AT33" i="46"/>
  <c r="P209" i="98"/>
  <c r="K209" i="98" s="1"/>
  <c r="AS27" i="46"/>
  <c r="O146" i="98"/>
  <c r="J146" i="98" s="1"/>
  <c r="AT25" i="46"/>
  <c r="P207" i="98"/>
  <c r="K207" i="98" s="1"/>
  <c r="AT19" i="46"/>
  <c r="P180" i="98"/>
  <c r="K180" i="98" s="1"/>
  <c r="AT155" i="46"/>
  <c r="P16" i="98"/>
  <c r="K16" i="98" s="1"/>
  <c r="AT62" i="46"/>
  <c r="P21" i="98"/>
  <c r="K21" i="98" s="1"/>
  <c r="AT182" i="46"/>
  <c r="P90" i="98"/>
  <c r="K90" i="98" s="1"/>
  <c r="AT135" i="46"/>
  <c r="P34" i="98"/>
  <c r="K34" i="98" s="1"/>
  <c r="AT82" i="46"/>
  <c r="P66" i="98"/>
  <c r="K66" i="98" s="1"/>
  <c r="AT63" i="46"/>
  <c r="P76" i="98"/>
  <c r="K76" i="98" s="1"/>
  <c r="AT34" i="46"/>
  <c r="P81" i="98"/>
  <c r="K81" i="98" s="1"/>
  <c r="AT133" i="46"/>
  <c r="P93" i="98"/>
  <c r="K93" i="98" s="1"/>
  <c r="U6" i="46"/>
  <c r="AT51" i="46"/>
  <c r="P112" i="98"/>
  <c r="K112" i="98" s="1"/>
  <c r="U5" i="46"/>
  <c r="AT32" i="46"/>
  <c r="P142" i="98"/>
  <c r="K142" i="98" s="1"/>
  <c r="U198" i="46"/>
  <c r="AT49" i="46"/>
  <c r="P154" i="98"/>
  <c r="K154" i="98" s="1"/>
  <c r="AT4" i="46"/>
  <c r="P27" i="98"/>
  <c r="K27" i="98" s="1"/>
  <c r="AT204" i="46"/>
  <c r="P24" i="98"/>
  <c r="K24" i="98" s="1"/>
  <c r="AT192" i="46"/>
  <c r="P199" i="98"/>
  <c r="K199" i="98" s="1"/>
  <c r="AT167" i="46"/>
  <c r="P175" i="98"/>
  <c r="K175" i="98" s="1"/>
  <c r="AT158" i="46"/>
  <c r="P198" i="98"/>
  <c r="K198" i="98" s="1"/>
  <c r="AT146" i="46"/>
  <c r="P217" i="98"/>
  <c r="K217" i="98" s="1"/>
  <c r="AT137" i="46"/>
  <c r="P218" i="98"/>
  <c r="K218" i="98" s="1"/>
  <c r="AR128" i="46"/>
  <c r="N204" i="98"/>
  <c r="I204" i="98" s="1"/>
  <c r="AS126" i="46"/>
  <c r="O190" i="98"/>
  <c r="J190" i="98" s="1"/>
  <c r="AT125" i="46"/>
  <c r="P181" i="98"/>
  <c r="K181" i="98" s="1"/>
  <c r="AR124" i="46"/>
  <c r="N192" i="98"/>
  <c r="I192" i="98" s="1"/>
  <c r="AS121" i="46"/>
  <c r="O202" i="98"/>
  <c r="J202" i="98" s="1"/>
  <c r="AT120" i="46"/>
  <c r="P187" i="98"/>
  <c r="K187" i="98" s="1"/>
  <c r="AR119" i="46"/>
  <c r="N189" i="98"/>
  <c r="I189" i="98" s="1"/>
  <c r="AS116" i="46"/>
  <c r="O172" i="98"/>
  <c r="J172" i="98" s="1"/>
  <c r="AT113" i="46"/>
  <c r="P213" i="98"/>
  <c r="K213" i="98" s="1"/>
  <c r="AR112" i="46"/>
  <c r="N178" i="98"/>
  <c r="I178" i="98" s="1"/>
  <c r="AS108" i="46"/>
  <c r="O215" i="98"/>
  <c r="J215" i="98" s="1"/>
  <c r="AT107" i="46"/>
  <c r="P197" i="98"/>
  <c r="K197" i="98" s="1"/>
  <c r="AR105" i="46"/>
  <c r="N167" i="98"/>
  <c r="I167" i="98" s="1"/>
  <c r="AS102" i="46"/>
  <c r="O173" i="98"/>
  <c r="J173" i="98" s="1"/>
  <c r="AT101" i="46"/>
  <c r="P174" i="98"/>
  <c r="K174" i="98" s="1"/>
  <c r="AR99" i="46"/>
  <c r="N196" i="98"/>
  <c r="I196" i="98" s="1"/>
  <c r="AS96" i="46"/>
  <c r="O183" i="98"/>
  <c r="J183" i="98" s="1"/>
  <c r="AT92" i="46"/>
  <c r="P177" i="98"/>
  <c r="K177" i="98" s="1"/>
  <c r="AR91" i="46"/>
  <c r="N184" i="98"/>
  <c r="I184" i="98" s="1"/>
  <c r="AS85" i="46"/>
  <c r="O161" i="98"/>
  <c r="J161" i="98" s="1"/>
  <c r="AT76" i="46"/>
  <c r="P48" i="98"/>
  <c r="K48" i="98" s="1"/>
  <c r="AR75" i="46"/>
  <c r="N5" i="98"/>
  <c r="I5" i="98" s="1"/>
  <c r="AS72" i="46"/>
  <c r="O219" i="98"/>
  <c r="J219" i="98" s="1"/>
  <c r="AT71" i="46"/>
  <c r="P45" i="98"/>
  <c r="K45" i="98" s="1"/>
  <c r="AR69" i="46"/>
  <c r="N182" i="98"/>
  <c r="I182" i="98" s="1"/>
  <c r="AS67" i="46"/>
  <c r="O103" i="98"/>
  <c r="J103" i="98" s="1"/>
  <c r="AT65" i="46"/>
  <c r="P171" i="98"/>
  <c r="K171" i="98" s="1"/>
  <c r="AR64" i="46"/>
  <c r="N155" i="98"/>
  <c r="I155" i="98" s="1"/>
  <c r="AR54" i="46"/>
  <c r="N200" i="98"/>
  <c r="I200" i="98" s="1"/>
  <c r="AS48" i="46"/>
  <c r="O145" i="98"/>
  <c r="J145" i="98" s="1"/>
  <c r="AR45" i="46"/>
  <c r="N36" i="98"/>
  <c r="I36" i="98" s="1"/>
  <c r="AS43" i="46"/>
  <c r="O29" i="98"/>
  <c r="J29" i="98" s="1"/>
  <c r="AT42" i="46"/>
  <c r="P127" i="98"/>
  <c r="K127" i="98" s="1"/>
  <c r="AS39" i="46"/>
  <c r="O60" i="98"/>
  <c r="J60" i="98" s="1"/>
  <c r="AT38" i="46"/>
  <c r="P158" i="98"/>
  <c r="K158" i="98" s="1"/>
  <c r="N20" i="98"/>
  <c r="I20" i="98" s="1"/>
  <c r="AS33" i="46"/>
  <c r="O209" i="98"/>
  <c r="J209" i="98" s="1"/>
  <c r="AR28" i="46"/>
  <c r="N59" i="98"/>
  <c r="I59" i="98" s="1"/>
  <c r="AS25" i="46"/>
  <c r="O207" i="98"/>
  <c r="J207" i="98" s="1"/>
  <c r="AS19" i="46"/>
  <c r="O180" i="98"/>
  <c r="J180" i="98" s="1"/>
  <c r="AT18" i="46"/>
  <c r="P220" i="98"/>
  <c r="K220" i="98" s="1"/>
  <c r="AR17" i="46"/>
  <c r="N139" i="98"/>
  <c r="I139" i="98" s="1"/>
  <c r="AT14" i="46"/>
  <c r="P87" i="98"/>
  <c r="K87" i="98" s="1"/>
  <c r="AR13" i="46"/>
  <c r="N176" i="98"/>
  <c r="I176" i="98" s="1"/>
  <c r="F3" i="67"/>
  <c r="F27" i="98"/>
  <c r="F217" i="67"/>
  <c r="F126" i="98"/>
  <c r="F213" i="67"/>
  <c r="F149" i="98"/>
  <c r="F209" i="67"/>
  <c r="F82" i="98"/>
  <c r="F205" i="67"/>
  <c r="F42" i="98"/>
  <c r="F193" i="67"/>
  <c r="F39" i="98"/>
  <c r="F181" i="67"/>
  <c r="F90" i="98"/>
  <c r="F165" i="67"/>
  <c r="F15" i="98"/>
  <c r="F161" i="67"/>
  <c r="F214" i="98"/>
  <c r="F157" i="67"/>
  <c r="F198" i="98"/>
  <c r="F153" i="67"/>
  <c r="F108" i="98"/>
  <c r="F149" i="67"/>
  <c r="F38" i="98"/>
  <c r="F145" i="67"/>
  <c r="F217" i="98"/>
  <c r="F141" i="67"/>
  <c r="F159" i="98"/>
  <c r="F137" i="67"/>
  <c r="F128" i="98"/>
  <c r="F133" i="67"/>
  <c r="F123" i="98"/>
  <c r="F129" i="67"/>
  <c r="F9" i="98"/>
  <c r="F125" i="67"/>
  <c r="F190" i="98"/>
  <c r="F121" i="67"/>
  <c r="F170" i="98"/>
  <c r="F117" i="67"/>
  <c r="F44" i="98"/>
  <c r="F113" i="67"/>
  <c r="F144" i="98"/>
  <c r="F109" i="67"/>
  <c r="F22" i="98"/>
  <c r="F105" i="67"/>
  <c r="F135" i="98"/>
  <c r="F101" i="67"/>
  <c r="F173" i="98"/>
  <c r="F97" i="67"/>
  <c r="F210" i="98"/>
  <c r="F93" i="67"/>
  <c r="F58" i="98"/>
  <c r="F89" i="67"/>
  <c r="F54" i="98"/>
  <c r="F85" i="67"/>
  <c r="F206" i="98"/>
  <c r="F81" i="67"/>
  <c r="F66" i="98"/>
  <c r="F77" i="67"/>
  <c r="F138" i="98"/>
  <c r="F73" i="67"/>
  <c r="F119" i="98"/>
  <c r="F69" i="67"/>
  <c r="F85" i="98"/>
  <c r="F65" i="67"/>
  <c r="F28" i="98"/>
  <c r="F61" i="67"/>
  <c r="F21" i="98"/>
  <c r="F57" i="67"/>
  <c r="F83" i="98"/>
  <c r="F53" i="67"/>
  <c r="F200" i="98"/>
  <c r="F49" i="67"/>
  <c r="F75" i="98"/>
  <c r="F45" i="67"/>
  <c r="F98" i="98"/>
  <c r="F41" i="67"/>
  <c r="F127" i="98"/>
  <c r="F37" i="67"/>
  <c r="F158" i="98"/>
  <c r="F33" i="67"/>
  <c r="F81" i="98"/>
  <c r="F29" i="67"/>
  <c r="F136" i="98"/>
  <c r="F25" i="67"/>
  <c r="F49" i="98"/>
  <c r="F21" i="67"/>
  <c r="F124" i="98"/>
  <c r="F17" i="67"/>
  <c r="F220" i="98"/>
  <c r="F13" i="67"/>
  <c r="F87" i="98"/>
  <c r="F9" i="67"/>
  <c r="F32" i="98"/>
  <c r="F5" i="67"/>
  <c r="F104" i="98"/>
  <c r="AS18" i="46"/>
  <c r="O220" i="98"/>
  <c r="J220" i="98" s="1"/>
  <c r="AT17" i="46"/>
  <c r="P139" i="98"/>
  <c r="K139" i="98" s="1"/>
  <c r="AR16" i="46"/>
  <c r="N166" i="98"/>
  <c r="I166" i="98" s="1"/>
  <c r="AS14" i="46"/>
  <c r="O87" i="98"/>
  <c r="J87" i="98" s="1"/>
  <c r="AT13" i="46"/>
  <c r="P176" i="98"/>
  <c r="K176" i="98" s="1"/>
  <c r="AR12" i="46"/>
  <c r="N193" i="98"/>
  <c r="I193" i="98" s="1"/>
  <c r="F220" i="67"/>
  <c r="F216" i="98"/>
  <c r="F216" i="67"/>
  <c r="F72" i="98"/>
  <c r="F212" i="67"/>
  <c r="F191" i="98"/>
  <c r="F208" i="67"/>
  <c r="F80" i="98"/>
  <c r="F204" i="67"/>
  <c r="F6" i="98"/>
  <c r="F200" i="67"/>
  <c r="F97" i="98"/>
  <c r="F188" i="67"/>
  <c r="F62" i="98"/>
  <c r="F180" i="67"/>
  <c r="F7" i="98"/>
  <c r="F164" i="67"/>
  <c r="F47" i="98"/>
  <c r="F160" i="67"/>
  <c r="F12" i="98"/>
  <c r="F152" i="67"/>
  <c r="F84" i="98"/>
  <c r="F148" i="67"/>
  <c r="F160" i="98"/>
  <c r="F144" i="67"/>
  <c r="F211" i="98"/>
  <c r="F140" i="67"/>
  <c r="F116" i="98"/>
  <c r="F136" i="67"/>
  <c r="F218" i="98"/>
  <c r="F132" i="67"/>
  <c r="F93" i="98"/>
  <c r="F128" i="67"/>
  <c r="F147" i="98"/>
  <c r="F124" i="67"/>
  <c r="F181" i="98"/>
  <c r="F120" i="67"/>
  <c r="F202" i="98"/>
  <c r="F116" i="67"/>
  <c r="F205" i="98"/>
  <c r="F112" i="67"/>
  <c r="F213" i="98"/>
  <c r="F108" i="67"/>
  <c r="F163" i="98"/>
  <c r="F104" i="67"/>
  <c r="F167" i="98"/>
  <c r="F100" i="67"/>
  <c r="F174" i="98"/>
  <c r="F96" i="67"/>
  <c r="F96" i="98"/>
  <c r="F92" i="67"/>
  <c r="F14" i="98"/>
  <c r="F88" i="67"/>
  <c r="F10" i="98"/>
  <c r="F84" i="67"/>
  <c r="F161" i="98"/>
  <c r="F80" i="67"/>
  <c r="F150" i="98"/>
  <c r="F76" i="67"/>
  <c r="F102" i="98"/>
  <c r="F72" i="67"/>
  <c r="F212" i="98"/>
  <c r="F68" i="67"/>
  <c r="F182" i="98"/>
  <c r="F64" i="67"/>
  <c r="F171" i="98"/>
  <c r="F60" i="67"/>
  <c r="F118" i="98"/>
  <c r="F56" i="67"/>
  <c r="F169" i="98"/>
  <c r="F52" i="67"/>
  <c r="F65" i="98"/>
  <c r="F48" i="67"/>
  <c r="F154" i="98"/>
  <c r="F44" i="67"/>
  <c r="F36" i="98"/>
  <c r="F40" i="67"/>
  <c r="F115" i="98"/>
  <c r="F36" i="67"/>
  <c r="F20" i="98"/>
  <c r="F32" i="67"/>
  <c r="F209" i="98"/>
  <c r="F28" i="67"/>
  <c r="F157" i="98"/>
  <c r="F24" i="67"/>
  <c r="F207" i="98"/>
  <c r="F20" i="67"/>
  <c r="F148" i="98"/>
  <c r="F16" i="67"/>
  <c r="F139" i="98"/>
  <c r="F12" i="67"/>
  <c r="F176" i="98"/>
  <c r="F8" i="67"/>
  <c r="F129" i="98"/>
  <c r="F4" i="67"/>
  <c r="F134" i="98"/>
  <c r="AS17" i="46"/>
  <c r="O139" i="98"/>
  <c r="J139" i="98" s="1"/>
  <c r="AT16" i="46"/>
  <c r="P166" i="98"/>
  <c r="K166" i="98" s="1"/>
  <c r="AS13" i="46"/>
  <c r="O176" i="98"/>
  <c r="J176" i="98" s="1"/>
  <c r="AT12" i="46"/>
  <c r="P193" i="98"/>
  <c r="K193" i="98" s="1"/>
  <c r="F219" i="67"/>
  <c r="F30" i="98"/>
  <c r="F215" i="67"/>
  <c r="F106" i="98"/>
  <c r="F211" i="67"/>
  <c r="F186" i="98"/>
  <c r="F207" i="67"/>
  <c r="F78" i="98"/>
  <c r="F203" i="67"/>
  <c r="F24" i="98"/>
  <c r="F191" i="67"/>
  <c r="F199" i="98"/>
  <c r="F183" i="67"/>
  <c r="F69" i="98"/>
  <c r="F175" i="67"/>
  <c r="F151" i="98"/>
  <c r="F171" i="67"/>
  <c r="F164" i="98"/>
  <c r="F167" i="67"/>
  <c r="F40" i="98"/>
  <c r="F159" i="67"/>
  <c r="F201" i="98"/>
  <c r="F151" i="67"/>
  <c r="F203" i="98"/>
  <c r="F143" i="67"/>
  <c r="F195" i="98"/>
  <c r="F139" i="67"/>
  <c r="F122" i="98"/>
  <c r="F135" i="67"/>
  <c r="F37" i="98"/>
  <c r="F131" i="67"/>
  <c r="F99" i="98"/>
  <c r="F127" i="67"/>
  <c r="F204" i="98"/>
  <c r="F123" i="67"/>
  <c r="F192" i="98"/>
  <c r="F119" i="67"/>
  <c r="F187" i="98"/>
  <c r="F115" i="67"/>
  <c r="F172" i="98"/>
  <c r="F111" i="67"/>
  <c r="F178" i="98"/>
  <c r="F107" i="67"/>
  <c r="F215" i="98"/>
  <c r="F103" i="67"/>
  <c r="F194" i="98"/>
  <c r="F99" i="67"/>
  <c r="F101" i="98"/>
  <c r="F95" i="67"/>
  <c r="F183" i="98"/>
  <c r="F91" i="67"/>
  <c r="F177" i="98"/>
  <c r="F87" i="67"/>
  <c r="F107" i="98"/>
  <c r="F83" i="67"/>
  <c r="F156" i="98"/>
  <c r="F79" i="67"/>
  <c r="F100" i="98"/>
  <c r="F75" i="67"/>
  <c r="F48" i="98"/>
  <c r="F71" i="67"/>
  <c r="F219" i="98"/>
  <c r="F67" i="67"/>
  <c r="F162" i="98"/>
  <c r="F63" i="67"/>
  <c r="F155" i="98"/>
  <c r="F59" i="67"/>
  <c r="F17" i="98"/>
  <c r="F55" i="67"/>
  <c r="F56" i="98"/>
  <c r="F51" i="67"/>
  <c r="F113" i="98"/>
  <c r="F47" i="67"/>
  <c r="F145" i="98"/>
  <c r="F43" i="67"/>
  <c r="F165" i="98"/>
  <c r="F39" i="67"/>
  <c r="F168" i="98"/>
  <c r="F35" i="67"/>
  <c r="F86" i="98"/>
  <c r="F31" i="67"/>
  <c r="F142" i="98"/>
  <c r="F27" i="67"/>
  <c r="F59" i="98"/>
  <c r="F23" i="67"/>
  <c r="F94" i="98"/>
  <c r="F19" i="67"/>
  <c r="F52" i="98"/>
  <c r="F15" i="67"/>
  <c r="F166" i="98"/>
  <c r="F11" i="67"/>
  <c r="F193" i="98"/>
  <c r="F7" i="67"/>
  <c r="F91" i="98"/>
  <c r="S165" i="67"/>
  <c r="V15" i="98"/>
  <c r="S109" i="67"/>
  <c r="V22" i="98"/>
  <c r="S181" i="67"/>
  <c r="V90" i="98"/>
  <c r="S197" i="67"/>
  <c r="V153" i="98"/>
  <c r="U196" i="46"/>
  <c r="U200" i="46"/>
  <c r="AR9" i="46"/>
  <c r="M154" i="67"/>
  <c r="I154" i="67" s="1"/>
  <c r="AR155" i="46"/>
  <c r="M181" i="67"/>
  <c r="I181" i="67" s="1"/>
  <c r="AR182" i="46"/>
  <c r="N220" i="67"/>
  <c r="J220" i="67" s="1"/>
  <c r="AS221" i="46"/>
  <c r="O219" i="67"/>
  <c r="K219" i="67" s="1"/>
  <c r="AT220" i="46"/>
  <c r="M218" i="67"/>
  <c r="I218" i="67" s="1"/>
  <c r="AR219" i="46"/>
  <c r="N215" i="67"/>
  <c r="J215" i="67" s="1"/>
  <c r="AS216" i="46"/>
  <c r="O214" i="67"/>
  <c r="K214" i="67" s="1"/>
  <c r="AT215" i="46"/>
  <c r="M213" i="67"/>
  <c r="I213" i="67" s="1"/>
  <c r="AR214" i="46"/>
  <c r="N211" i="67"/>
  <c r="J211" i="67" s="1"/>
  <c r="AS212" i="46"/>
  <c r="O210" i="67"/>
  <c r="K210" i="67" s="1"/>
  <c r="AT211" i="46"/>
  <c r="M209" i="67"/>
  <c r="I209" i="67" s="1"/>
  <c r="AR210" i="46"/>
  <c r="N207" i="67"/>
  <c r="J207" i="67" s="1"/>
  <c r="AS208" i="46"/>
  <c r="O206" i="67"/>
  <c r="K206" i="67" s="1"/>
  <c r="AT207" i="46"/>
  <c r="M205" i="67"/>
  <c r="I205" i="67" s="1"/>
  <c r="AR206" i="46"/>
  <c r="N203" i="67"/>
  <c r="J203" i="67" s="1"/>
  <c r="AS204" i="46"/>
  <c r="N191" i="67"/>
  <c r="J191" i="67" s="1"/>
  <c r="AS192" i="46"/>
  <c r="M174" i="67"/>
  <c r="I174" i="67" s="1"/>
  <c r="AR175" i="46"/>
  <c r="N166" i="67"/>
  <c r="J166" i="67" s="1"/>
  <c r="AS167" i="46"/>
  <c r="M160" i="67"/>
  <c r="I160" i="67" s="1"/>
  <c r="AR161" i="46"/>
  <c r="N157" i="67"/>
  <c r="J157" i="67" s="1"/>
  <c r="AS158" i="46"/>
  <c r="M148" i="67"/>
  <c r="I148" i="67" s="1"/>
  <c r="AR149" i="46"/>
  <c r="N145" i="67"/>
  <c r="J145" i="67" s="1"/>
  <c r="AS146" i="46"/>
  <c r="M143" i="67"/>
  <c r="I143" i="67" s="1"/>
  <c r="AR144" i="46"/>
  <c r="N136" i="67"/>
  <c r="J136" i="67" s="1"/>
  <c r="AS137" i="46"/>
  <c r="AR52" i="46"/>
  <c r="AS46" i="46"/>
  <c r="AT41" i="46"/>
  <c r="AT22" i="46"/>
  <c r="N219" i="67"/>
  <c r="J219" i="67" s="1"/>
  <c r="AS220" i="46"/>
  <c r="M216" i="67"/>
  <c r="I216" i="67" s="1"/>
  <c r="AR217" i="46"/>
  <c r="N214" i="67"/>
  <c r="J214" i="67" s="1"/>
  <c r="AS215" i="46"/>
  <c r="O213" i="67"/>
  <c r="K213" i="67" s="1"/>
  <c r="AT214" i="46"/>
  <c r="M212" i="67"/>
  <c r="I212" i="67" s="1"/>
  <c r="AR213" i="46"/>
  <c r="N210" i="67"/>
  <c r="J210" i="67" s="1"/>
  <c r="AS211" i="46"/>
  <c r="O209" i="67"/>
  <c r="K209" i="67" s="1"/>
  <c r="AT210" i="46"/>
  <c r="M208" i="67"/>
  <c r="I208" i="67" s="1"/>
  <c r="AR209" i="46"/>
  <c r="N206" i="67"/>
  <c r="J206" i="67" s="1"/>
  <c r="AS207" i="46"/>
  <c r="O205" i="67"/>
  <c r="K205" i="67" s="1"/>
  <c r="AT206" i="46"/>
  <c r="M204" i="67"/>
  <c r="I204" i="67" s="1"/>
  <c r="AR205" i="46"/>
  <c r="N200" i="67"/>
  <c r="J200" i="67" s="1"/>
  <c r="AS201" i="46"/>
  <c r="M193" i="67"/>
  <c r="I193" i="67" s="1"/>
  <c r="AR194" i="46"/>
  <c r="N180" i="67"/>
  <c r="J180" i="67" s="1"/>
  <c r="AS181" i="46"/>
  <c r="M171" i="67"/>
  <c r="I171" i="67" s="1"/>
  <c r="AR172" i="46"/>
  <c r="N161" i="67"/>
  <c r="J161" i="67" s="1"/>
  <c r="AS162" i="46"/>
  <c r="M159" i="67"/>
  <c r="I159" i="67" s="1"/>
  <c r="AR160" i="46"/>
  <c r="N151" i="67"/>
  <c r="J151" i="67" s="1"/>
  <c r="AS152" i="46"/>
  <c r="M146" i="67"/>
  <c r="I146" i="67" s="1"/>
  <c r="AR147" i="46"/>
  <c r="N144" i="67"/>
  <c r="J144" i="67" s="1"/>
  <c r="AS145" i="46"/>
  <c r="M141" i="67"/>
  <c r="I141" i="67" s="1"/>
  <c r="AR142" i="46"/>
  <c r="AT52" i="46"/>
  <c r="AS22" i="46"/>
  <c r="G36" i="67"/>
  <c r="J36" i="67" s="1"/>
  <c r="N154" i="67"/>
  <c r="J154" i="67" s="1"/>
  <c r="AS155" i="46"/>
  <c r="N181" i="67"/>
  <c r="J181" i="67" s="1"/>
  <c r="AS182" i="46"/>
  <c r="M220" i="67"/>
  <c r="I220" i="67" s="1"/>
  <c r="AR221" i="46"/>
  <c r="N218" i="67"/>
  <c r="J218" i="67" s="1"/>
  <c r="AS219" i="46"/>
  <c r="O216" i="67"/>
  <c r="K216" i="67" s="1"/>
  <c r="AT217" i="46"/>
  <c r="M215" i="67"/>
  <c r="I215" i="67" s="1"/>
  <c r="AR216" i="46"/>
  <c r="N213" i="67"/>
  <c r="J213" i="67" s="1"/>
  <c r="AS214" i="46"/>
  <c r="O212" i="67"/>
  <c r="K212" i="67" s="1"/>
  <c r="AT213" i="46"/>
  <c r="M211" i="67"/>
  <c r="I211" i="67" s="1"/>
  <c r="AR212" i="46"/>
  <c r="N209" i="67"/>
  <c r="J209" i="67" s="1"/>
  <c r="AS210" i="46"/>
  <c r="O208" i="67"/>
  <c r="K208" i="67" s="1"/>
  <c r="AT209" i="46"/>
  <c r="M207" i="67"/>
  <c r="I207" i="67" s="1"/>
  <c r="AR208" i="46"/>
  <c r="N205" i="67"/>
  <c r="J205" i="67" s="1"/>
  <c r="AS206" i="46"/>
  <c r="O204" i="67"/>
  <c r="K204" i="67" s="1"/>
  <c r="AT205" i="46"/>
  <c r="M203" i="67"/>
  <c r="I203" i="67" s="1"/>
  <c r="AR204" i="46"/>
  <c r="M191" i="67"/>
  <c r="I191" i="67" s="1"/>
  <c r="AR192" i="46"/>
  <c r="N174" i="67"/>
  <c r="J174" i="67" s="1"/>
  <c r="AS175" i="46"/>
  <c r="M166" i="67"/>
  <c r="I166" i="67" s="1"/>
  <c r="AR167" i="46"/>
  <c r="N160" i="67"/>
  <c r="J160" i="67" s="1"/>
  <c r="AS161" i="46"/>
  <c r="M157" i="67"/>
  <c r="I157" i="67" s="1"/>
  <c r="AR158" i="46"/>
  <c r="N148" i="67"/>
  <c r="J148" i="67" s="1"/>
  <c r="AS149" i="46"/>
  <c r="M145" i="67"/>
  <c r="I145" i="67" s="1"/>
  <c r="AR146" i="46"/>
  <c r="N143" i="67"/>
  <c r="J143" i="67" s="1"/>
  <c r="AS144" i="46"/>
  <c r="M136" i="67"/>
  <c r="I136" i="67" s="1"/>
  <c r="AR137" i="46"/>
  <c r="AS52" i="46"/>
  <c r="AR46" i="46"/>
  <c r="AS9" i="46"/>
  <c r="O220" i="67"/>
  <c r="K220" i="67" s="1"/>
  <c r="AT221" i="46"/>
  <c r="M219" i="67"/>
  <c r="I219" i="67" s="1"/>
  <c r="AR220" i="46"/>
  <c r="N216" i="67"/>
  <c r="J216" i="67" s="1"/>
  <c r="AS217" i="46"/>
  <c r="O215" i="67"/>
  <c r="K215" i="67" s="1"/>
  <c r="AT216" i="46"/>
  <c r="M214" i="67"/>
  <c r="I214" i="67" s="1"/>
  <c r="AR215" i="46"/>
  <c r="N212" i="67"/>
  <c r="J212" i="67" s="1"/>
  <c r="AS213" i="46"/>
  <c r="O211" i="67"/>
  <c r="K211" i="67" s="1"/>
  <c r="AT212" i="46"/>
  <c r="M210" i="67"/>
  <c r="I210" i="67" s="1"/>
  <c r="AR211" i="46"/>
  <c r="N208" i="67"/>
  <c r="J208" i="67" s="1"/>
  <c r="AS209" i="46"/>
  <c r="O207" i="67"/>
  <c r="K207" i="67" s="1"/>
  <c r="AT208" i="46"/>
  <c r="M206" i="67"/>
  <c r="I206" i="67" s="1"/>
  <c r="AR207" i="46"/>
  <c r="N204" i="67"/>
  <c r="J204" i="67" s="1"/>
  <c r="AS205" i="46"/>
  <c r="M200" i="67"/>
  <c r="I200" i="67" s="1"/>
  <c r="AR201" i="46"/>
  <c r="N193" i="67"/>
  <c r="J193" i="67" s="1"/>
  <c r="AS194" i="46"/>
  <c r="M180" i="67"/>
  <c r="I180" i="67" s="1"/>
  <c r="AR181" i="46"/>
  <c r="N171" i="67"/>
  <c r="J171" i="67" s="1"/>
  <c r="AS172" i="46"/>
  <c r="M161" i="67"/>
  <c r="I161" i="67" s="1"/>
  <c r="AR162" i="46"/>
  <c r="N159" i="67"/>
  <c r="J159" i="67" s="1"/>
  <c r="AS160" i="46"/>
  <c r="M151" i="67"/>
  <c r="I151" i="67" s="1"/>
  <c r="AR152" i="46"/>
  <c r="N146" i="67"/>
  <c r="J146" i="67" s="1"/>
  <c r="AS147" i="46"/>
  <c r="M144" i="67"/>
  <c r="I144" i="67" s="1"/>
  <c r="AR145" i="46"/>
  <c r="N141" i="67"/>
  <c r="J141" i="67" s="1"/>
  <c r="AS142" i="46"/>
  <c r="AS57" i="46"/>
  <c r="AT46" i="46"/>
  <c r="AR22" i="46"/>
  <c r="D6" i="88"/>
  <c r="D31" i="86"/>
  <c r="D12" i="87"/>
  <c r="D25" i="88"/>
  <c r="D9" i="86"/>
  <c r="D21" i="87"/>
  <c r="D5" i="87"/>
  <c r="D6" i="86"/>
  <c r="D20" i="88"/>
  <c r="D30" i="88"/>
  <c r="D23" i="87"/>
  <c r="D4" i="86"/>
  <c r="N18" i="67"/>
  <c r="J18" i="67" s="1"/>
  <c r="E18" i="91"/>
  <c r="O17" i="67"/>
  <c r="K17" i="67" s="1"/>
  <c r="M16" i="67"/>
  <c r="I16" i="67" s="1"/>
  <c r="E16" i="92"/>
  <c r="O13" i="67"/>
  <c r="K13" i="67" s="1"/>
  <c r="M12" i="67"/>
  <c r="I12" i="67" s="1"/>
  <c r="E12" i="92"/>
  <c r="F201" i="67"/>
  <c r="B6" i="88"/>
  <c r="B12" i="87"/>
  <c r="B31" i="86"/>
  <c r="F197" i="67"/>
  <c r="B32" i="88"/>
  <c r="B28" i="86"/>
  <c r="B30" i="87"/>
  <c r="F189" i="67"/>
  <c r="B28" i="87"/>
  <c r="B23" i="86"/>
  <c r="B21" i="88"/>
  <c r="F185" i="67"/>
  <c r="B11" i="88"/>
  <c r="B8" i="87"/>
  <c r="B20" i="86"/>
  <c r="F177" i="67"/>
  <c r="B15" i="87"/>
  <c r="B15" i="86"/>
  <c r="B10" i="88"/>
  <c r="F173" i="67"/>
  <c r="B18" i="88"/>
  <c r="B20" i="87"/>
  <c r="B13" i="86"/>
  <c r="F169" i="67"/>
  <c r="B17" i="87"/>
  <c r="B11" i="86"/>
  <c r="B24" i="88"/>
  <c r="D32" i="88"/>
  <c r="D30" i="87"/>
  <c r="D28" i="86"/>
  <c r="D21" i="88"/>
  <c r="D23" i="86"/>
  <c r="D28" i="87"/>
  <c r="D24" i="88"/>
  <c r="D17" i="87"/>
  <c r="D11" i="86"/>
  <c r="O157" i="67"/>
  <c r="K157" i="67" s="1"/>
  <c r="N125" i="67"/>
  <c r="J125" i="67" s="1"/>
  <c r="E125" i="91"/>
  <c r="N120" i="67"/>
  <c r="J120" i="67" s="1"/>
  <c r="E120" i="91"/>
  <c r="M118" i="67"/>
  <c r="I118" i="67" s="1"/>
  <c r="E118" i="92"/>
  <c r="N115" i="67"/>
  <c r="J115" i="67" s="1"/>
  <c r="E115" i="91"/>
  <c r="M111" i="67"/>
  <c r="I111" i="67" s="1"/>
  <c r="E111" i="92"/>
  <c r="N107" i="67"/>
  <c r="J107" i="67" s="1"/>
  <c r="E107" i="91"/>
  <c r="N101" i="67"/>
  <c r="J101" i="67" s="1"/>
  <c r="E101" i="91"/>
  <c r="M98" i="67"/>
  <c r="I98" i="67" s="1"/>
  <c r="E98" i="92"/>
  <c r="N95" i="67"/>
  <c r="J95" i="67" s="1"/>
  <c r="E95" i="91"/>
  <c r="N84" i="67"/>
  <c r="J84" i="67" s="1"/>
  <c r="E84" i="91"/>
  <c r="N71" i="67"/>
  <c r="J71" i="67" s="1"/>
  <c r="E71" i="91"/>
  <c r="N56" i="67"/>
  <c r="J56" i="67" s="1"/>
  <c r="E56" i="91"/>
  <c r="N47" i="67"/>
  <c r="J47" i="67" s="1"/>
  <c r="E47" i="91"/>
  <c r="G201" i="67"/>
  <c r="C12" i="87"/>
  <c r="C6" i="88"/>
  <c r="C31" i="86"/>
  <c r="G197" i="67"/>
  <c r="C32" i="88"/>
  <c r="C30" i="87"/>
  <c r="C28" i="86"/>
  <c r="G195" i="67"/>
  <c r="C14" i="88"/>
  <c r="C6" i="87"/>
  <c r="C26" i="86"/>
  <c r="G189" i="67"/>
  <c r="C28" i="87"/>
  <c r="C21" i="88"/>
  <c r="C23" i="86"/>
  <c r="G177" i="67"/>
  <c r="C15" i="87"/>
  <c r="C10" i="88"/>
  <c r="C15" i="86"/>
  <c r="M61" i="67"/>
  <c r="I61" i="67" s="1"/>
  <c r="E61" i="92"/>
  <c r="J19" i="88"/>
  <c r="J26" i="87"/>
  <c r="J18" i="86"/>
  <c r="M134" i="67"/>
  <c r="I134" i="67" s="1"/>
  <c r="E134" i="92"/>
  <c r="M81" i="67"/>
  <c r="I81" i="67" s="1"/>
  <c r="E81" i="92"/>
  <c r="M62" i="67"/>
  <c r="I62" i="67" s="1"/>
  <c r="E62" i="92"/>
  <c r="M33" i="67"/>
  <c r="I33" i="67" s="1"/>
  <c r="E33" i="92"/>
  <c r="M132" i="67"/>
  <c r="I132" i="67" s="1"/>
  <c r="E132" i="92"/>
  <c r="F26" i="88"/>
  <c r="F16" i="86"/>
  <c r="F32" i="87"/>
  <c r="J26" i="88"/>
  <c r="J32" i="87"/>
  <c r="J16" i="86"/>
  <c r="M50" i="67"/>
  <c r="I50" i="67" s="1"/>
  <c r="E50" i="92"/>
  <c r="M31" i="67"/>
  <c r="I31" i="67" s="1"/>
  <c r="E31" i="92"/>
  <c r="M48" i="67"/>
  <c r="I48" i="67" s="1"/>
  <c r="E48" i="92"/>
  <c r="E48" i="100" s="1"/>
  <c r="M3" i="67"/>
  <c r="I3" i="67" s="1"/>
  <c r="E3" i="92"/>
  <c r="M9" i="67"/>
  <c r="I9" i="67" s="1"/>
  <c r="E9" i="92"/>
  <c r="O200" i="67"/>
  <c r="K200" i="67" s="1"/>
  <c r="O180" i="67"/>
  <c r="K180" i="67" s="1"/>
  <c r="K28" i="88"/>
  <c r="Q28" i="88" s="1"/>
  <c r="K12" i="86"/>
  <c r="Q12" i="86" s="1"/>
  <c r="K31" i="87"/>
  <c r="Q31" i="87" s="1"/>
  <c r="G28" i="88"/>
  <c r="O28" i="88" s="1"/>
  <c r="G31" i="87"/>
  <c r="O31" i="87" s="1"/>
  <c r="G12" i="86"/>
  <c r="O12" i="86" s="1"/>
  <c r="O161" i="67"/>
  <c r="K161" i="67" s="1"/>
  <c r="O151" i="67"/>
  <c r="K151" i="67" s="1"/>
  <c r="O144" i="67"/>
  <c r="K144" i="67" s="1"/>
  <c r="O127" i="67"/>
  <c r="K127" i="67" s="1"/>
  <c r="M126" i="67"/>
  <c r="I126" i="67" s="1"/>
  <c r="E126" i="92"/>
  <c r="N124" i="67"/>
  <c r="J124" i="67" s="1"/>
  <c r="E124" i="91"/>
  <c r="O123" i="67"/>
  <c r="K123" i="67" s="1"/>
  <c r="M121" i="67"/>
  <c r="I121" i="67" s="1"/>
  <c r="E121" i="92"/>
  <c r="N119" i="67"/>
  <c r="J119" i="67" s="1"/>
  <c r="E119" i="91"/>
  <c r="O118" i="67"/>
  <c r="K118" i="67" s="1"/>
  <c r="M116" i="67"/>
  <c r="I116" i="67" s="1"/>
  <c r="E116" i="92"/>
  <c r="N112" i="67"/>
  <c r="J112" i="67" s="1"/>
  <c r="E112" i="91"/>
  <c r="O111" i="67"/>
  <c r="K111" i="67" s="1"/>
  <c r="M108" i="67"/>
  <c r="I108" i="67" s="1"/>
  <c r="E108" i="92"/>
  <c r="N106" i="67"/>
  <c r="J106" i="67" s="1"/>
  <c r="E106" i="91"/>
  <c r="O104" i="67"/>
  <c r="K104" i="67" s="1"/>
  <c r="M103" i="67"/>
  <c r="I103" i="67" s="1"/>
  <c r="E103" i="92"/>
  <c r="N100" i="67"/>
  <c r="J100" i="67" s="1"/>
  <c r="E100" i="91"/>
  <c r="O98" i="67"/>
  <c r="K98" i="67" s="1"/>
  <c r="M97" i="67"/>
  <c r="I97" i="67" s="1"/>
  <c r="E97" i="92"/>
  <c r="N91" i="67"/>
  <c r="J91" i="67" s="1"/>
  <c r="E91" i="91"/>
  <c r="O90" i="67"/>
  <c r="K90" i="67" s="1"/>
  <c r="M85" i="67"/>
  <c r="I85" i="67" s="1"/>
  <c r="E85" i="92"/>
  <c r="N75" i="67"/>
  <c r="J75" i="67" s="1"/>
  <c r="E75" i="91"/>
  <c r="O74" i="67"/>
  <c r="K74" i="67" s="1"/>
  <c r="M72" i="67"/>
  <c r="I72" i="67" s="1"/>
  <c r="E72" i="92"/>
  <c r="N70" i="67"/>
  <c r="J70" i="67" s="1"/>
  <c r="E70" i="91"/>
  <c r="O68" i="67"/>
  <c r="K68" i="67" s="1"/>
  <c r="M67" i="67"/>
  <c r="I67" i="67" s="1"/>
  <c r="E67" i="92"/>
  <c r="N64" i="67"/>
  <c r="J64" i="67" s="1"/>
  <c r="E64" i="91"/>
  <c r="O63" i="67"/>
  <c r="K63" i="67" s="1"/>
  <c r="M57" i="67"/>
  <c r="I57" i="67" s="1"/>
  <c r="E57" i="92"/>
  <c r="O53" i="67"/>
  <c r="K53" i="67" s="1"/>
  <c r="M51" i="67"/>
  <c r="E51" i="92"/>
  <c r="N45" i="67"/>
  <c r="J45" i="67" s="1"/>
  <c r="E45" i="91"/>
  <c r="O44" i="67"/>
  <c r="K44" i="67" s="1"/>
  <c r="M43" i="67"/>
  <c r="I43" i="67" s="1"/>
  <c r="E43" i="92"/>
  <c r="N41" i="67"/>
  <c r="J41" i="67" s="1"/>
  <c r="E41" i="91"/>
  <c r="O40" i="67"/>
  <c r="M39" i="67"/>
  <c r="I39" i="67" s="1"/>
  <c r="E39" i="92"/>
  <c r="N37" i="67"/>
  <c r="J37" i="67" s="1"/>
  <c r="E37" i="91"/>
  <c r="O36" i="67"/>
  <c r="K36" i="67" s="1"/>
  <c r="M35" i="67"/>
  <c r="I35" i="67" s="1"/>
  <c r="E35" i="92"/>
  <c r="O27" i="67"/>
  <c r="K27" i="67" s="1"/>
  <c r="M26" i="67"/>
  <c r="I26" i="67" s="1"/>
  <c r="E26" i="92"/>
  <c r="O21" i="67"/>
  <c r="K21" i="67" s="1"/>
  <c r="N17" i="67"/>
  <c r="J17" i="67" s="1"/>
  <c r="E17" i="91"/>
  <c r="O16" i="67"/>
  <c r="K16" i="67" s="1"/>
  <c r="M15" i="67"/>
  <c r="I15" i="67" s="1"/>
  <c r="E15" i="92"/>
  <c r="N13" i="67"/>
  <c r="J13" i="67" s="1"/>
  <c r="E13" i="91"/>
  <c r="O12" i="67"/>
  <c r="K12" i="67" s="1"/>
  <c r="M11" i="67"/>
  <c r="I11" i="67" s="1"/>
  <c r="E11" i="92"/>
  <c r="F196" i="67"/>
  <c r="B4" i="88"/>
  <c r="B27" i="86"/>
  <c r="B14" i="87"/>
  <c r="F192" i="67"/>
  <c r="B7" i="88"/>
  <c r="B19" i="87"/>
  <c r="B25" i="86"/>
  <c r="F184" i="67"/>
  <c r="B11" i="87"/>
  <c r="B13" i="88"/>
  <c r="B19" i="86"/>
  <c r="F176" i="67"/>
  <c r="B12" i="88"/>
  <c r="B14" i="86"/>
  <c r="B4" i="87"/>
  <c r="F172" i="67"/>
  <c r="B28" i="88"/>
  <c r="B12" i="86"/>
  <c r="B31" i="87"/>
  <c r="F168" i="67"/>
  <c r="B15" i="88"/>
  <c r="B10" i="86"/>
  <c r="B9" i="87"/>
  <c r="F156" i="67"/>
  <c r="B22" i="87"/>
  <c r="B7" i="86"/>
  <c r="B31" i="88"/>
  <c r="D9" i="88"/>
  <c r="D18" i="87"/>
  <c r="D30" i="86"/>
  <c r="D5" i="88"/>
  <c r="D22" i="86"/>
  <c r="D7" i="87"/>
  <c r="D10" i="88"/>
  <c r="D15" i="87"/>
  <c r="D15" i="86"/>
  <c r="D18" i="88"/>
  <c r="D20" i="87"/>
  <c r="D13" i="86"/>
  <c r="O61" i="67"/>
  <c r="K61" i="67" s="1"/>
  <c r="O181" i="67"/>
  <c r="K181" i="67" s="1"/>
  <c r="O81" i="67"/>
  <c r="K81" i="67" s="1"/>
  <c r="O33" i="67"/>
  <c r="K33" i="67" s="1"/>
  <c r="O132" i="67"/>
  <c r="K132" i="67" s="1"/>
  <c r="O50" i="67"/>
  <c r="K50" i="67" s="1"/>
  <c r="O31" i="67"/>
  <c r="K31" i="67" s="1"/>
  <c r="O48" i="67"/>
  <c r="K48" i="67" s="1"/>
  <c r="N8" i="67"/>
  <c r="E8" i="91"/>
  <c r="O191" i="67"/>
  <c r="K191" i="67" s="1"/>
  <c r="O166" i="67"/>
  <c r="K166" i="67" s="1"/>
  <c r="O145" i="67"/>
  <c r="K145" i="67" s="1"/>
  <c r="O119" i="67"/>
  <c r="K119" i="67" s="1"/>
  <c r="O112" i="67"/>
  <c r="K112" i="67" s="1"/>
  <c r="M90" i="67"/>
  <c r="I90" i="67" s="1"/>
  <c r="E90" i="92"/>
  <c r="O75" i="67"/>
  <c r="K75" i="67" s="1"/>
  <c r="M74" i="67"/>
  <c r="I74" i="67" s="1"/>
  <c r="E74" i="92"/>
  <c r="E74" i="100" s="1"/>
  <c r="O70" i="67"/>
  <c r="K70" i="67" s="1"/>
  <c r="M68" i="67"/>
  <c r="I68" i="67" s="1"/>
  <c r="E68" i="92"/>
  <c r="O64" i="67"/>
  <c r="K64" i="67" s="1"/>
  <c r="M63" i="67"/>
  <c r="I63" i="67" s="1"/>
  <c r="E63" i="92"/>
  <c r="M53" i="67"/>
  <c r="I53" i="67" s="1"/>
  <c r="E53" i="92"/>
  <c r="O41" i="67"/>
  <c r="K41" i="67" s="1"/>
  <c r="O37" i="67"/>
  <c r="K37" i="67" s="1"/>
  <c r="M36" i="67"/>
  <c r="I36" i="67" s="1"/>
  <c r="E36" i="92"/>
  <c r="N32" i="67"/>
  <c r="J32" i="67" s="1"/>
  <c r="E32" i="91"/>
  <c r="M27" i="67"/>
  <c r="I27" i="67" s="1"/>
  <c r="E27" i="92"/>
  <c r="N24" i="67"/>
  <c r="J24" i="67" s="1"/>
  <c r="E24" i="91"/>
  <c r="G179" i="67"/>
  <c r="C27" i="88"/>
  <c r="C25" i="87"/>
  <c r="C17" i="86"/>
  <c r="G169" i="67"/>
  <c r="C17" i="87"/>
  <c r="C24" i="88"/>
  <c r="C11" i="86"/>
  <c r="G163" i="67"/>
  <c r="C25" i="88"/>
  <c r="C21" i="87"/>
  <c r="C9" i="86"/>
  <c r="G147" i="67"/>
  <c r="C30" i="88"/>
  <c r="C23" i="87"/>
  <c r="C4" i="86"/>
  <c r="D22" i="88"/>
  <c r="D32" i="86"/>
  <c r="D24" i="87"/>
  <c r="D16" i="88"/>
  <c r="D29" i="86"/>
  <c r="D10" i="87"/>
  <c r="D29" i="88"/>
  <c r="D29" i="87"/>
  <c r="D24" i="86"/>
  <c r="D13" i="88"/>
  <c r="D11" i="87"/>
  <c r="D19" i="86"/>
  <c r="D4" i="87"/>
  <c r="D12" i="88"/>
  <c r="D14" i="86"/>
  <c r="D31" i="88"/>
  <c r="D22" i="87"/>
  <c r="D7" i="86"/>
  <c r="G26" i="88"/>
  <c r="G32" i="87"/>
  <c r="G16" i="86"/>
  <c r="K26" i="88"/>
  <c r="K16" i="86"/>
  <c r="K32" i="87"/>
  <c r="AC198" i="46"/>
  <c r="O9" i="67"/>
  <c r="K9" i="67" s="1"/>
  <c r="M8" i="67"/>
  <c r="I8" i="67" s="1"/>
  <c r="E8" i="92"/>
  <c r="O218" i="67"/>
  <c r="K218" i="67" s="1"/>
  <c r="O174" i="67"/>
  <c r="K174" i="67" s="1"/>
  <c r="J28" i="88"/>
  <c r="P28" i="88" s="1"/>
  <c r="J31" i="87"/>
  <c r="P31" i="87" s="1"/>
  <c r="J12" i="86"/>
  <c r="P12" i="86" s="1"/>
  <c r="F28" i="88"/>
  <c r="L28" i="88" s="1"/>
  <c r="F31" i="87"/>
  <c r="L31" i="87" s="1"/>
  <c r="F12" i="86"/>
  <c r="L12" i="86" s="1"/>
  <c r="O160" i="67"/>
  <c r="K160" i="67" s="1"/>
  <c r="O148" i="67"/>
  <c r="K148" i="67" s="1"/>
  <c r="O143" i="67"/>
  <c r="K143" i="67" s="1"/>
  <c r="N127" i="67"/>
  <c r="J127" i="67" s="1"/>
  <c r="E127" i="91"/>
  <c r="O126" i="67"/>
  <c r="K126" i="67" s="1"/>
  <c r="M125" i="67"/>
  <c r="I125" i="67" s="1"/>
  <c r="E125" i="92"/>
  <c r="N123" i="67"/>
  <c r="J123" i="67" s="1"/>
  <c r="E123" i="91"/>
  <c r="O121" i="67"/>
  <c r="K121" i="67" s="1"/>
  <c r="M120" i="67"/>
  <c r="I120" i="67" s="1"/>
  <c r="E120" i="92"/>
  <c r="N118" i="67"/>
  <c r="J118" i="67" s="1"/>
  <c r="E118" i="91"/>
  <c r="O116" i="67"/>
  <c r="K116" i="67" s="1"/>
  <c r="M115" i="67"/>
  <c r="I115" i="67" s="1"/>
  <c r="E115" i="92"/>
  <c r="N111" i="67"/>
  <c r="J111" i="67" s="1"/>
  <c r="E111" i="91"/>
  <c r="O108" i="67"/>
  <c r="K108" i="67" s="1"/>
  <c r="M107" i="67"/>
  <c r="I107" i="67" s="1"/>
  <c r="E107" i="92"/>
  <c r="N104" i="67"/>
  <c r="J104" i="67" s="1"/>
  <c r="E104" i="91"/>
  <c r="O103" i="67"/>
  <c r="K103" i="67" s="1"/>
  <c r="M101" i="67"/>
  <c r="I101" i="67" s="1"/>
  <c r="E101" i="92"/>
  <c r="N98" i="67"/>
  <c r="J98" i="67" s="1"/>
  <c r="E98" i="91"/>
  <c r="O97" i="67"/>
  <c r="K97" i="67" s="1"/>
  <c r="M95" i="67"/>
  <c r="I95" i="67" s="1"/>
  <c r="E95" i="92"/>
  <c r="N90" i="67"/>
  <c r="J90" i="67" s="1"/>
  <c r="E90" i="91"/>
  <c r="O85" i="67"/>
  <c r="K85" i="67" s="1"/>
  <c r="M84" i="67"/>
  <c r="I84" i="67" s="1"/>
  <c r="E84" i="92"/>
  <c r="O72" i="67"/>
  <c r="K72" i="67" s="1"/>
  <c r="M71" i="67"/>
  <c r="I71" i="67" s="1"/>
  <c r="E71" i="92"/>
  <c r="N68" i="67"/>
  <c r="J68" i="67" s="1"/>
  <c r="E68" i="91"/>
  <c r="O67" i="67"/>
  <c r="K67" i="67" s="1"/>
  <c r="M66" i="67"/>
  <c r="I66" i="67" s="1"/>
  <c r="E66" i="92"/>
  <c r="N63" i="67"/>
  <c r="J63" i="67" s="1"/>
  <c r="E63" i="91"/>
  <c r="O57" i="67"/>
  <c r="K57" i="67" s="1"/>
  <c r="N53" i="67"/>
  <c r="J53" i="67" s="1"/>
  <c r="E53" i="91"/>
  <c r="O51" i="67"/>
  <c r="M47" i="67"/>
  <c r="I47" i="67" s="1"/>
  <c r="E47" i="92"/>
  <c r="O43" i="67"/>
  <c r="K43" i="67" s="1"/>
  <c r="M42" i="67"/>
  <c r="I42" i="67" s="1"/>
  <c r="E42" i="92"/>
  <c r="O39" i="67"/>
  <c r="K39" i="67" s="1"/>
  <c r="M38" i="67"/>
  <c r="I38" i="67" s="1"/>
  <c r="E38" i="92"/>
  <c r="O35" i="67"/>
  <c r="K35" i="67" s="1"/>
  <c r="M32" i="67"/>
  <c r="I32" i="67" s="1"/>
  <c r="E32" i="92"/>
  <c r="N27" i="67"/>
  <c r="J27" i="67" s="1"/>
  <c r="E27" i="91"/>
  <c r="O26" i="67"/>
  <c r="K26" i="67" s="1"/>
  <c r="M24" i="67"/>
  <c r="I24" i="67" s="1"/>
  <c r="E24" i="92"/>
  <c r="N21" i="67"/>
  <c r="J21" i="67" s="1"/>
  <c r="E21" i="91"/>
  <c r="M18" i="67"/>
  <c r="I18" i="67" s="1"/>
  <c r="E18" i="92"/>
  <c r="N16" i="67"/>
  <c r="J16" i="67" s="1"/>
  <c r="E16" i="91"/>
  <c r="O15" i="67"/>
  <c r="K15" i="67" s="1"/>
  <c r="N12" i="67"/>
  <c r="J12" i="67" s="1"/>
  <c r="E12" i="91"/>
  <c r="O11" i="67"/>
  <c r="K11" i="67" s="1"/>
  <c r="F199" i="67"/>
  <c r="B9" i="88"/>
  <c r="B18" i="87"/>
  <c r="B30" i="86"/>
  <c r="F195" i="67"/>
  <c r="B14" i="88"/>
  <c r="B6" i="87"/>
  <c r="B26" i="86"/>
  <c r="F187" i="67"/>
  <c r="B5" i="88"/>
  <c r="B7" i="87"/>
  <c r="B22" i="86"/>
  <c r="F179" i="67"/>
  <c r="B27" i="88"/>
  <c r="B25" i="87"/>
  <c r="B17" i="86"/>
  <c r="F163" i="67"/>
  <c r="B25" i="88"/>
  <c r="B21" i="87"/>
  <c r="B9" i="86"/>
  <c r="F155" i="67"/>
  <c r="B20" i="88"/>
  <c r="B5" i="87"/>
  <c r="B6" i="86"/>
  <c r="F147" i="67"/>
  <c r="B30" i="88"/>
  <c r="B23" i="87"/>
  <c r="B4" i="86"/>
  <c r="D6" i="87"/>
  <c r="D26" i="86"/>
  <c r="D14" i="88"/>
  <c r="D11" i="88"/>
  <c r="D8" i="87"/>
  <c r="D20" i="86"/>
  <c r="D27" i="88"/>
  <c r="D25" i="87"/>
  <c r="D17" i="86"/>
  <c r="O154" i="67"/>
  <c r="K154" i="67" s="1"/>
  <c r="O134" i="67"/>
  <c r="K134" i="67" s="1"/>
  <c r="O62" i="67"/>
  <c r="K62" i="67" s="1"/>
  <c r="I32" i="87"/>
  <c r="I26" i="88"/>
  <c r="I16" i="86"/>
  <c r="O3" i="67"/>
  <c r="K3" i="67" s="1"/>
  <c r="O203" i="67"/>
  <c r="K203" i="67" s="1"/>
  <c r="H31" i="87"/>
  <c r="M31" i="87" s="1"/>
  <c r="H28" i="88"/>
  <c r="M28" i="88" s="1"/>
  <c r="H12" i="86"/>
  <c r="M12" i="86" s="1"/>
  <c r="O136" i="67"/>
  <c r="K136" i="67" s="1"/>
  <c r="M127" i="67"/>
  <c r="I127" i="67" s="1"/>
  <c r="E127" i="92"/>
  <c r="O124" i="67"/>
  <c r="K124" i="67" s="1"/>
  <c r="M123" i="67"/>
  <c r="I123" i="67" s="1"/>
  <c r="E123" i="92"/>
  <c r="O106" i="67"/>
  <c r="K106" i="67" s="1"/>
  <c r="M104" i="67"/>
  <c r="I104" i="67" s="1"/>
  <c r="E104" i="92"/>
  <c r="O100" i="67"/>
  <c r="K100" i="67" s="1"/>
  <c r="O91" i="67"/>
  <c r="K91" i="67" s="1"/>
  <c r="N66" i="67"/>
  <c r="J66" i="67" s="1"/>
  <c r="E66" i="91"/>
  <c r="O45" i="67"/>
  <c r="K45" i="67" s="1"/>
  <c r="M44" i="67"/>
  <c r="I44" i="67" s="1"/>
  <c r="E44" i="92"/>
  <c r="E44" i="100" s="1"/>
  <c r="N42" i="67"/>
  <c r="J42" i="67" s="1"/>
  <c r="E42" i="91"/>
  <c r="N38" i="67"/>
  <c r="J38" i="67" s="1"/>
  <c r="E38" i="91"/>
  <c r="M21" i="67"/>
  <c r="I21" i="67" s="1"/>
  <c r="E21" i="92"/>
  <c r="G199" i="67"/>
  <c r="C9" i="88"/>
  <c r="C18" i="87"/>
  <c r="C30" i="86"/>
  <c r="G187" i="67"/>
  <c r="C5" i="88"/>
  <c r="C7" i="87"/>
  <c r="C22" i="86"/>
  <c r="G185" i="67"/>
  <c r="C11" i="88"/>
  <c r="C20" i="86"/>
  <c r="C8" i="87"/>
  <c r="G173" i="67"/>
  <c r="C18" i="88"/>
  <c r="C20" i="87"/>
  <c r="C13" i="86"/>
  <c r="G155" i="67"/>
  <c r="C20" i="88"/>
  <c r="C5" i="87"/>
  <c r="C6" i="86"/>
  <c r="D4" i="88"/>
  <c r="D14" i="87"/>
  <c r="D27" i="86"/>
  <c r="D7" i="88"/>
  <c r="D19" i="87"/>
  <c r="D25" i="86"/>
  <c r="D8" i="88"/>
  <c r="D13" i="87"/>
  <c r="D21" i="86"/>
  <c r="D26" i="87"/>
  <c r="D18" i="86"/>
  <c r="D19" i="88"/>
  <c r="D26" i="88"/>
  <c r="D32" i="87"/>
  <c r="D16" i="86"/>
  <c r="D28" i="88"/>
  <c r="D31" i="87"/>
  <c r="D12" i="86"/>
  <c r="D9" i="87"/>
  <c r="D10" i="86"/>
  <c r="D15" i="88"/>
  <c r="D17" i="88"/>
  <c r="D8" i="86"/>
  <c r="D16" i="87"/>
  <c r="D23" i="88"/>
  <c r="D27" i="87"/>
  <c r="D5" i="86"/>
  <c r="G202" i="67"/>
  <c r="C22" i="88"/>
  <c r="C24" i="87"/>
  <c r="C32" i="86"/>
  <c r="G198" i="67"/>
  <c r="C10" i="87"/>
  <c r="C16" i="88"/>
  <c r="C29" i="86"/>
  <c r="G196" i="67"/>
  <c r="C14" i="87"/>
  <c r="C4" i="88"/>
  <c r="C27" i="86"/>
  <c r="G192" i="67"/>
  <c r="C7" i="88"/>
  <c r="C19" i="87"/>
  <c r="C25" i="86"/>
  <c r="G190" i="67"/>
  <c r="C29" i="88"/>
  <c r="C29" i="87"/>
  <c r="C24" i="86"/>
  <c r="G186" i="67"/>
  <c r="C8" i="88"/>
  <c r="C13" i="87"/>
  <c r="C21" i="86"/>
  <c r="G184" i="67"/>
  <c r="C11" i="87"/>
  <c r="C13" i="88"/>
  <c r="C19" i="86"/>
  <c r="G182" i="67"/>
  <c r="C19" i="88"/>
  <c r="C26" i="87"/>
  <c r="C18" i="86"/>
  <c r="G178" i="67"/>
  <c r="C26" i="88"/>
  <c r="C16" i="86"/>
  <c r="C32" i="87"/>
  <c r="G176" i="67"/>
  <c r="C12" i="88"/>
  <c r="C4" i="87"/>
  <c r="C14" i="86"/>
  <c r="G172" i="67"/>
  <c r="C28" i="88"/>
  <c r="C31" i="87"/>
  <c r="C12" i="86"/>
  <c r="G168" i="67"/>
  <c r="C15" i="88"/>
  <c r="C10" i="86"/>
  <c r="C9" i="87"/>
  <c r="G162" i="67"/>
  <c r="C17" i="88"/>
  <c r="C8" i="86"/>
  <c r="C16" i="87"/>
  <c r="G156" i="67"/>
  <c r="C31" i="88"/>
  <c r="C22" i="87"/>
  <c r="C7" i="86"/>
  <c r="G150" i="67"/>
  <c r="C23" i="88"/>
  <c r="C5" i="86"/>
  <c r="C27" i="87"/>
  <c r="N61" i="67"/>
  <c r="J61" i="67" s="1"/>
  <c r="E61" i="91"/>
  <c r="N134" i="67"/>
  <c r="J134" i="67" s="1"/>
  <c r="E134" i="91"/>
  <c r="N81" i="67"/>
  <c r="J81" i="67" s="1"/>
  <c r="E81" i="91"/>
  <c r="N62" i="67"/>
  <c r="J62" i="67" s="1"/>
  <c r="E62" i="91"/>
  <c r="N33" i="67"/>
  <c r="J33" i="67" s="1"/>
  <c r="E33" i="91"/>
  <c r="N132" i="67"/>
  <c r="J132" i="67" s="1"/>
  <c r="E132" i="91"/>
  <c r="H32" i="87"/>
  <c r="H16" i="86"/>
  <c r="H26" i="88"/>
  <c r="N50" i="67"/>
  <c r="J50" i="67" s="1"/>
  <c r="E50" i="91"/>
  <c r="N31" i="67"/>
  <c r="J31" i="67" s="1"/>
  <c r="E31" i="91"/>
  <c r="N3" i="67"/>
  <c r="J3" i="67" s="1"/>
  <c r="E3" i="91"/>
  <c r="N9" i="67"/>
  <c r="J9" i="67" s="1"/>
  <c r="E9" i="91"/>
  <c r="O193" i="67"/>
  <c r="K193" i="67" s="1"/>
  <c r="I31" i="87"/>
  <c r="N31" i="87" s="1"/>
  <c r="I28" i="88"/>
  <c r="N28" i="88" s="1"/>
  <c r="I12" i="86"/>
  <c r="N12" i="86" s="1"/>
  <c r="O171" i="67"/>
  <c r="K171" i="67" s="1"/>
  <c r="O159" i="67"/>
  <c r="K159" i="67" s="1"/>
  <c r="O146" i="67"/>
  <c r="K146" i="67" s="1"/>
  <c r="O141" i="67"/>
  <c r="K141" i="67" s="1"/>
  <c r="N126" i="67"/>
  <c r="J126" i="67" s="1"/>
  <c r="E126" i="91"/>
  <c r="O125" i="67"/>
  <c r="K125" i="67" s="1"/>
  <c r="M124" i="67"/>
  <c r="I124" i="67" s="1"/>
  <c r="E124" i="92"/>
  <c r="N121" i="67"/>
  <c r="J121" i="67" s="1"/>
  <c r="E121" i="91"/>
  <c r="O120" i="67"/>
  <c r="K120" i="67" s="1"/>
  <c r="M119" i="67"/>
  <c r="I119" i="67" s="1"/>
  <c r="E119" i="92"/>
  <c r="N116" i="67"/>
  <c r="J116" i="67" s="1"/>
  <c r="E116" i="91"/>
  <c r="O115" i="67"/>
  <c r="K115" i="67" s="1"/>
  <c r="M112" i="67"/>
  <c r="I112" i="67" s="1"/>
  <c r="E112" i="92"/>
  <c r="N108" i="67"/>
  <c r="J108" i="67" s="1"/>
  <c r="E108" i="91"/>
  <c r="O107" i="67"/>
  <c r="K107" i="67" s="1"/>
  <c r="M106" i="67"/>
  <c r="I106" i="67" s="1"/>
  <c r="E106" i="92"/>
  <c r="N103" i="67"/>
  <c r="J103" i="67" s="1"/>
  <c r="E103" i="91"/>
  <c r="O101" i="67"/>
  <c r="K101" i="67" s="1"/>
  <c r="M100" i="67"/>
  <c r="I100" i="67" s="1"/>
  <c r="E100" i="92"/>
  <c r="N97" i="67"/>
  <c r="J97" i="67" s="1"/>
  <c r="E97" i="91"/>
  <c r="O95" i="67"/>
  <c r="K95" i="67" s="1"/>
  <c r="M91" i="67"/>
  <c r="I91" i="67" s="1"/>
  <c r="E91" i="92"/>
  <c r="N85" i="67"/>
  <c r="J85" i="67" s="1"/>
  <c r="E85" i="91"/>
  <c r="O84" i="67"/>
  <c r="K84" i="67" s="1"/>
  <c r="M75" i="67"/>
  <c r="I75" i="67" s="1"/>
  <c r="E75" i="92"/>
  <c r="N72" i="67"/>
  <c r="J72" i="67" s="1"/>
  <c r="E72" i="91"/>
  <c r="O71" i="67"/>
  <c r="K71" i="67" s="1"/>
  <c r="M70" i="67"/>
  <c r="I70" i="67" s="1"/>
  <c r="E70" i="92"/>
  <c r="N67" i="67"/>
  <c r="J67" i="67" s="1"/>
  <c r="E67" i="91"/>
  <c r="O66" i="67"/>
  <c r="K66" i="67" s="1"/>
  <c r="M64" i="67"/>
  <c r="I64" i="67" s="1"/>
  <c r="E64" i="92"/>
  <c r="N57" i="67"/>
  <c r="J57" i="67" s="1"/>
  <c r="E57" i="91"/>
  <c r="O56" i="67"/>
  <c r="K56" i="67" s="1"/>
  <c r="N51" i="67"/>
  <c r="J51" i="67" s="1"/>
  <c r="E51" i="91"/>
  <c r="O47" i="67"/>
  <c r="K47" i="67" s="1"/>
  <c r="M45" i="67"/>
  <c r="I45" i="67" s="1"/>
  <c r="E45" i="92"/>
  <c r="N43" i="67"/>
  <c r="J43" i="67" s="1"/>
  <c r="E43" i="91"/>
  <c r="O42" i="67"/>
  <c r="K42" i="67" s="1"/>
  <c r="M41" i="67"/>
  <c r="I41" i="67" s="1"/>
  <c r="E41" i="92"/>
  <c r="N39" i="67"/>
  <c r="J39" i="67" s="1"/>
  <c r="E39" i="91"/>
  <c r="O38" i="67"/>
  <c r="K38" i="67" s="1"/>
  <c r="M37" i="67"/>
  <c r="I37" i="67" s="1"/>
  <c r="E37" i="92"/>
  <c r="F71" i="88"/>
  <c r="N35" i="67"/>
  <c r="J35" i="67" s="1"/>
  <c r="E35" i="91"/>
  <c r="O32" i="67"/>
  <c r="K32" i="67" s="1"/>
  <c r="N26" i="67"/>
  <c r="J26" i="67" s="1"/>
  <c r="E26" i="91"/>
  <c r="O24" i="67"/>
  <c r="K24" i="67" s="1"/>
  <c r="O18" i="67"/>
  <c r="K18" i="67" s="1"/>
  <c r="M17" i="67"/>
  <c r="I17" i="67" s="1"/>
  <c r="E17" i="92"/>
  <c r="N15" i="67"/>
  <c r="J15" i="67" s="1"/>
  <c r="E15" i="91"/>
  <c r="M13" i="67"/>
  <c r="I13" i="67" s="1"/>
  <c r="E13" i="92"/>
  <c r="N11" i="67"/>
  <c r="J11" i="67" s="1"/>
  <c r="E11" i="91"/>
  <c r="F202" i="67"/>
  <c r="B22" i="88"/>
  <c r="B24" i="87"/>
  <c r="B32" i="86"/>
  <c r="F198" i="67"/>
  <c r="B16" i="88"/>
  <c r="B10" i="87"/>
  <c r="B29" i="86"/>
  <c r="F190" i="67"/>
  <c r="B29" i="88"/>
  <c r="B29" i="87"/>
  <c r="B24" i="86"/>
  <c r="F186" i="67"/>
  <c r="B8" i="88"/>
  <c r="B13" i="87"/>
  <c r="B21" i="86"/>
  <c r="F182" i="67"/>
  <c r="B19" i="88"/>
  <c r="B18" i="86"/>
  <c r="B26" i="87"/>
  <c r="F178" i="67"/>
  <c r="B26" i="88"/>
  <c r="B32" i="87"/>
  <c r="B16" i="86"/>
  <c r="F162" i="67"/>
  <c r="B17" i="88"/>
  <c r="B16" i="87"/>
  <c r="B8" i="86"/>
  <c r="F150" i="67"/>
  <c r="B23" i="88"/>
  <c r="B27" i="87"/>
  <c r="B5" i="86"/>
  <c r="AM24" i="46"/>
  <c r="AL24" i="46"/>
  <c r="AK24" i="46"/>
  <c r="AK57" i="46"/>
  <c r="AL41" i="46"/>
  <c r="AM9" i="46"/>
  <c r="AK41" i="46"/>
  <c r="I149" i="60"/>
  <c r="AM179" i="46"/>
  <c r="U141" i="46"/>
  <c r="AM173" i="46"/>
  <c r="AL173" i="46"/>
  <c r="AK173" i="46"/>
  <c r="F149" i="60"/>
  <c r="AK179" i="46"/>
  <c r="AL179" i="46"/>
  <c r="AG37" i="46"/>
  <c r="AN221" i="46"/>
  <c r="M216" i="98" s="1"/>
  <c r="AN220" i="46"/>
  <c r="M30" i="98" s="1"/>
  <c r="V7" i="46"/>
  <c r="V191" i="46"/>
  <c r="U189" i="46"/>
  <c r="V8" i="46"/>
  <c r="V132" i="46"/>
  <c r="V193" i="46"/>
  <c r="V103" i="46"/>
  <c r="V131" i="46"/>
  <c r="V150" i="46"/>
  <c r="U118" i="46"/>
  <c r="V202" i="46"/>
  <c r="V218" i="46"/>
  <c r="V195" i="46"/>
  <c r="V198" i="46"/>
  <c r="V130" i="46"/>
  <c r="V164" i="46"/>
  <c r="V188" i="46"/>
  <c r="U174" i="46"/>
  <c r="V153" i="46"/>
  <c r="V190" i="46"/>
  <c r="V203" i="46"/>
  <c r="U176" i="46"/>
  <c r="AP176" i="46" s="1"/>
  <c r="U138" i="46"/>
  <c r="U154" i="46"/>
  <c r="AP154" i="46" s="1"/>
  <c r="U97" i="46"/>
  <c r="AP97" i="46" s="1"/>
  <c r="U156" i="46"/>
  <c r="U191" i="46"/>
  <c r="N8" i="46"/>
  <c r="N7" i="46"/>
  <c r="AO7" i="46" s="1"/>
  <c r="R3" i="98" s="1"/>
  <c r="S3" i="98" s="1"/>
  <c r="AP198" i="46"/>
  <c r="V186" i="46"/>
  <c r="V182" i="46"/>
  <c r="N153" i="46"/>
  <c r="W153" i="46" s="1"/>
  <c r="N130" i="46"/>
  <c r="N103" i="46"/>
  <c r="AO103" i="46" s="1"/>
  <c r="R4" i="98" s="1"/>
  <c r="S4" i="98" s="1"/>
  <c r="V97" i="46"/>
  <c r="V47" i="46"/>
  <c r="N47" i="46"/>
  <c r="AO47" i="46" s="1"/>
  <c r="R8" i="98" s="1"/>
  <c r="S8" i="98" s="1"/>
  <c r="V89" i="46"/>
  <c r="N89" i="46"/>
  <c r="AO89" i="46" s="1"/>
  <c r="N93" i="46"/>
  <c r="W93" i="46" s="1"/>
  <c r="V93" i="46"/>
  <c r="N155" i="46"/>
  <c r="AQ155" i="46" s="1"/>
  <c r="V155" i="46"/>
  <c r="N60" i="46"/>
  <c r="W60" i="46" s="1"/>
  <c r="V60" i="46"/>
  <c r="U62" i="46"/>
  <c r="V62" i="46"/>
  <c r="N62" i="46"/>
  <c r="V23" i="46"/>
  <c r="N23" i="46"/>
  <c r="AQ23" i="46" s="1"/>
  <c r="U66" i="46"/>
  <c r="V66" i="46"/>
  <c r="N66" i="46"/>
  <c r="AO66" i="46" s="1"/>
  <c r="N143" i="46"/>
  <c r="W143" i="46" s="1"/>
  <c r="V143" i="46"/>
  <c r="U135" i="46"/>
  <c r="N135" i="46"/>
  <c r="AQ135" i="46" s="1"/>
  <c r="V136" i="46"/>
  <c r="N136" i="46"/>
  <c r="W136" i="46" s="1"/>
  <c r="N118" i="46"/>
  <c r="AQ118" i="46" s="1"/>
  <c r="V118" i="46"/>
  <c r="V83" i="46"/>
  <c r="N83" i="46"/>
  <c r="AQ83" i="46" s="1"/>
  <c r="V165" i="46"/>
  <c r="N165" i="46"/>
  <c r="AO165" i="46" s="1"/>
  <c r="R47" i="98" s="1"/>
  <c r="S47" i="98" s="1"/>
  <c r="N26" i="46"/>
  <c r="AO26" i="46" s="1"/>
  <c r="R49" i="98" s="1"/>
  <c r="S49" i="98" s="1"/>
  <c r="V26" i="46"/>
  <c r="N178" i="46"/>
  <c r="W178" i="46" s="1"/>
  <c r="V178" i="46"/>
  <c r="V90" i="46"/>
  <c r="N90" i="46"/>
  <c r="AO90" i="46" s="1"/>
  <c r="R54" i="98" s="1"/>
  <c r="S54" i="98" s="1"/>
  <c r="N156" i="46"/>
  <c r="W156" i="46" s="1"/>
  <c r="V156" i="46"/>
  <c r="N94" i="46"/>
  <c r="AO94" i="46" s="1"/>
  <c r="R58" i="98" s="1"/>
  <c r="S58" i="98" s="1"/>
  <c r="V94" i="46"/>
  <c r="N53" i="46"/>
  <c r="W53" i="46" s="1"/>
  <c r="U53" i="46"/>
  <c r="V53" i="46"/>
  <c r="V82" i="46"/>
  <c r="N82" i="46"/>
  <c r="AO82" i="46" s="1"/>
  <c r="R66" i="98" s="1"/>
  <c r="S66" i="98" s="1"/>
  <c r="N184" i="46"/>
  <c r="V184" i="46"/>
  <c r="N177" i="46"/>
  <c r="AQ177" i="46" s="1"/>
  <c r="V177" i="46"/>
  <c r="N87" i="46"/>
  <c r="AQ87" i="46" s="1"/>
  <c r="U87" i="46"/>
  <c r="V123" i="46"/>
  <c r="N123" i="46"/>
  <c r="AO123" i="46" s="1"/>
  <c r="R74" i="98" s="1"/>
  <c r="S74" i="98" s="1"/>
  <c r="V50" i="46"/>
  <c r="N50" i="46"/>
  <c r="AO50" i="46" s="1"/>
  <c r="R75" i="98" s="1"/>
  <c r="S75" i="98" s="1"/>
  <c r="V63" i="46"/>
  <c r="N63" i="46"/>
  <c r="AO63" i="46" s="1"/>
  <c r="V95" i="46"/>
  <c r="N95" i="46"/>
  <c r="AQ95" i="46" s="1"/>
  <c r="N34" i="46"/>
  <c r="W34" i="46" s="1"/>
  <c r="V34" i="46"/>
  <c r="U34" i="46"/>
  <c r="V70" i="46"/>
  <c r="N70" i="46"/>
  <c r="AQ70" i="46" s="1"/>
  <c r="V159" i="46"/>
  <c r="N159" i="46"/>
  <c r="AO159" i="46" s="1"/>
  <c r="R88" i="98" s="1"/>
  <c r="S88" i="98" s="1"/>
  <c r="U133" i="46"/>
  <c r="N133" i="46"/>
  <c r="AO133" i="46" s="1"/>
  <c r="R93" i="98" s="1"/>
  <c r="S93" i="98" s="1"/>
  <c r="V171" i="46"/>
  <c r="V80" i="46"/>
  <c r="N80" i="46"/>
  <c r="AQ80" i="46" s="1"/>
  <c r="N77" i="46"/>
  <c r="V77" i="46"/>
  <c r="N31" i="46"/>
  <c r="AO31" i="46" s="1"/>
  <c r="R105" i="98" s="1"/>
  <c r="S105" i="98" s="1"/>
  <c r="V31" i="46"/>
  <c r="N88" i="46"/>
  <c r="AO88" i="46" s="1"/>
  <c r="R107" i="98" s="1"/>
  <c r="S107" i="98" s="1"/>
  <c r="V88" i="46"/>
  <c r="V35" i="46"/>
  <c r="N35" i="46"/>
  <c r="AO35" i="46" s="1"/>
  <c r="R109" i="98" s="1"/>
  <c r="S109" i="98" s="1"/>
  <c r="V179" i="46"/>
  <c r="N51" i="46"/>
  <c r="AQ51" i="46" s="1"/>
  <c r="V51" i="46"/>
  <c r="V141" i="46"/>
  <c r="N141" i="46"/>
  <c r="AO141" i="46" s="1"/>
  <c r="V139" i="46"/>
  <c r="U61" i="46"/>
  <c r="V61" i="46"/>
  <c r="N61" i="46"/>
  <c r="W61" i="46" s="1"/>
  <c r="N74" i="46"/>
  <c r="AO74" i="46" s="1"/>
  <c r="R119" i="98" s="1"/>
  <c r="S119" i="98" s="1"/>
  <c r="V74" i="46"/>
  <c r="V163" i="46"/>
  <c r="N163" i="46"/>
  <c r="AO163" i="46" s="1"/>
  <c r="R121" i="98" s="1"/>
  <c r="S121" i="98" s="1"/>
  <c r="V140" i="46"/>
  <c r="N140" i="46"/>
  <c r="U134" i="46"/>
  <c r="N134" i="46"/>
  <c r="AQ134" i="46" s="1"/>
  <c r="V79" i="46"/>
  <c r="N79" i="46"/>
  <c r="W79" i="46" s="1"/>
  <c r="V138" i="46"/>
  <c r="N138" i="46"/>
  <c r="W138" i="46" s="1"/>
  <c r="N157" i="46"/>
  <c r="AO157" i="46" s="1"/>
  <c r="R131" i="98" s="1"/>
  <c r="S131" i="98" s="1"/>
  <c r="V157" i="46"/>
  <c r="U55" i="46"/>
  <c r="N55" i="46"/>
  <c r="W55" i="46" s="1"/>
  <c r="V55" i="46"/>
  <c r="N106" i="46"/>
  <c r="W106" i="46" s="1"/>
  <c r="V106" i="46"/>
  <c r="N78" i="46"/>
  <c r="W78" i="46" s="1"/>
  <c r="V78" i="46"/>
  <c r="U78" i="46"/>
  <c r="V32" i="46"/>
  <c r="V21" i="46"/>
  <c r="N21" i="46"/>
  <c r="W21" i="46" s="1"/>
  <c r="V81" i="46"/>
  <c r="V180" i="46"/>
  <c r="U49" i="46"/>
  <c r="V49" i="46"/>
  <c r="N49" i="46"/>
  <c r="W49" i="46" s="1"/>
  <c r="V84" i="46"/>
  <c r="N84" i="46"/>
  <c r="U81" i="46"/>
  <c r="U170" i="46"/>
  <c r="AP170" i="46" s="1"/>
  <c r="U218" i="46"/>
  <c r="U139" i="46"/>
  <c r="U88" i="46"/>
  <c r="U171" i="46"/>
  <c r="U95" i="46"/>
  <c r="U186" i="46"/>
  <c r="U143" i="46"/>
  <c r="U89" i="46"/>
  <c r="V6" i="46"/>
  <c r="N6" i="46"/>
  <c r="W6" i="46" s="1"/>
  <c r="N188" i="46"/>
  <c r="AQ188" i="46" s="1"/>
  <c r="U182" i="46"/>
  <c r="U178" i="46"/>
  <c r="V170" i="46"/>
  <c r="V168" i="46"/>
  <c r="V154" i="46"/>
  <c r="N150" i="46"/>
  <c r="AQ150" i="46" s="1"/>
  <c r="V129" i="46"/>
  <c r="V114" i="46"/>
  <c r="N81" i="46"/>
  <c r="AO81" i="46" s="1"/>
  <c r="R150" i="98" s="1"/>
  <c r="S150" i="98" s="1"/>
  <c r="U7" i="46"/>
  <c r="U21" i="46"/>
  <c r="U106" i="46"/>
  <c r="U79" i="46"/>
  <c r="U31" i="46"/>
  <c r="U63" i="46"/>
  <c r="U82" i="46"/>
  <c r="U90" i="46"/>
  <c r="U164" i="46"/>
  <c r="U111" i="46"/>
  <c r="AP111" i="46" s="1"/>
  <c r="U130" i="46"/>
  <c r="V5" i="46"/>
  <c r="N5" i="46"/>
  <c r="AQ5" i="46" s="1"/>
  <c r="N190" i="46"/>
  <c r="AQ190" i="46" s="1"/>
  <c r="N189" i="46"/>
  <c r="AO189" i="46" s="1"/>
  <c r="R62" i="98" s="1"/>
  <c r="S62" i="98" s="1"/>
  <c r="V187" i="46"/>
  <c r="V183" i="46"/>
  <c r="V176" i="46"/>
  <c r="N164" i="46"/>
  <c r="W164" i="46" s="1"/>
  <c r="V151" i="46"/>
  <c r="N132" i="46"/>
  <c r="W132" i="46" s="1"/>
  <c r="V110" i="46"/>
  <c r="U29" i="46"/>
  <c r="U129" i="46"/>
  <c r="AP129" i="46" s="1"/>
  <c r="U202" i="46"/>
  <c r="U8" i="46"/>
  <c r="U50" i="46"/>
  <c r="U168" i="46"/>
  <c r="AP168" i="46" s="1"/>
  <c r="U60" i="46"/>
  <c r="U47" i="46"/>
  <c r="N203" i="46"/>
  <c r="N202" i="46"/>
  <c r="Z198" i="46"/>
  <c r="AL198" i="46" s="1"/>
  <c r="N195" i="46"/>
  <c r="AQ195" i="46" s="1"/>
  <c r="N193" i="46"/>
  <c r="AO193" i="46" s="1"/>
  <c r="R140" i="98" s="1"/>
  <c r="S140" i="98" s="1"/>
  <c r="N191" i="46"/>
  <c r="W191" i="46" s="1"/>
  <c r="V189" i="46"/>
  <c r="U183" i="46"/>
  <c r="AP183" i="46" s="1"/>
  <c r="N180" i="46"/>
  <c r="AQ180" i="46" s="1"/>
  <c r="N174" i="46"/>
  <c r="AQ174" i="46" s="1"/>
  <c r="V148" i="46"/>
  <c r="N139" i="46"/>
  <c r="V135" i="46"/>
  <c r="V133" i="46"/>
  <c r="U110" i="46"/>
  <c r="AP110" i="46" s="1"/>
  <c r="V100" i="46"/>
  <c r="U84" i="46"/>
  <c r="U114" i="46"/>
  <c r="U140" i="46"/>
  <c r="U51" i="46"/>
  <c r="U77" i="46"/>
  <c r="U123" i="46"/>
  <c r="U188" i="46"/>
  <c r="U23" i="46"/>
  <c r="U155" i="46"/>
  <c r="U103" i="46"/>
  <c r="N197" i="46"/>
  <c r="AO197" i="46" s="1"/>
  <c r="R43" i="98" s="1"/>
  <c r="S43" i="98" s="1"/>
  <c r="N196" i="46"/>
  <c r="N185" i="46"/>
  <c r="AP185" i="46" s="1"/>
  <c r="U94" i="46"/>
  <c r="V87" i="46"/>
  <c r="U32" i="46"/>
  <c r="U169" i="46"/>
  <c r="AP169" i="46" s="1"/>
  <c r="U163" i="46"/>
  <c r="U179" i="46"/>
  <c r="AP179" i="46" s="1"/>
  <c r="U100" i="46"/>
  <c r="AP100" i="46" s="1"/>
  <c r="U159" i="46"/>
  <c r="U151" i="46"/>
  <c r="AP151" i="46" s="1"/>
  <c r="U26" i="46"/>
  <c r="U136" i="46"/>
  <c r="U131" i="46"/>
  <c r="U166" i="46"/>
  <c r="N218" i="46"/>
  <c r="AQ218" i="46" s="1"/>
  <c r="V200" i="46"/>
  <c r="N200" i="46"/>
  <c r="AO200" i="46" s="1"/>
  <c r="R89" i="98" s="1"/>
  <c r="S89" i="98" s="1"/>
  <c r="V197" i="46"/>
  <c r="V196" i="46"/>
  <c r="U184" i="46"/>
  <c r="V169" i="46"/>
  <c r="U153" i="46"/>
  <c r="N131" i="46"/>
  <c r="V59" i="46"/>
  <c r="N32" i="46"/>
  <c r="W32" i="46" s="1"/>
  <c r="U203" i="46"/>
  <c r="U157" i="46"/>
  <c r="U148" i="46"/>
  <c r="AP148" i="46" s="1"/>
  <c r="U190" i="46"/>
  <c r="U80" i="46"/>
  <c r="U70" i="46"/>
  <c r="U177" i="46"/>
  <c r="U59" i="46"/>
  <c r="AP59" i="46" s="1"/>
  <c r="U165" i="46"/>
  <c r="U115" i="46"/>
  <c r="AP115" i="46" s="1"/>
  <c r="U93" i="46"/>
  <c r="V199" i="46"/>
  <c r="N199" i="46"/>
  <c r="V185" i="46"/>
  <c r="U150" i="46"/>
  <c r="V115" i="46"/>
  <c r="U180" i="46"/>
  <c r="U193" i="46"/>
  <c r="U195" i="46"/>
  <c r="U74" i="46"/>
  <c r="U35" i="46"/>
  <c r="U132" i="46"/>
  <c r="U83" i="46"/>
  <c r="U187" i="46"/>
  <c r="AP187" i="46" s="1"/>
  <c r="V174" i="46"/>
  <c r="V166" i="46"/>
  <c r="V134" i="46"/>
  <c r="V111" i="46"/>
  <c r="V29" i="46"/>
  <c r="K149" i="60"/>
  <c r="W173" i="46"/>
  <c r="Y198" i="46"/>
  <c r="AA198" i="46"/>
  <c r="AM198" i="46" s="1"/>
  <c r="X198" i="46"/>
  <c r="AK198" i="46" s="1"/>
  <c r="P149" i="60"/>
  <c r="O149" i="60"/>
  <c r="W149" i="60"/>
  <c r="Q149" i="60"/>
  <c r="V149" i="60"/>
  <c r="G149" i="60"/>
  <c r="S149" i="60"/>
  <c r="H149" i="60"/>
  <c r="R149" i="60"/>
  <c r="M149" i="60"/>
  <c r="J149" i="60"/>
  <c r="U149" i="60"/>
  <c r="N149" i="60"/>
  <c r="E149" i="60"/>
  <c r="T149" i="60"/>
  <c r="AG5" i="46"/>
  <c r="AI5" i="46" s="1"/>
  <c r="AG13" i="46"/>
  <c r="AI13" i="46" s="1"/>
  <c r="AG45" i="46"/>
  <c r="AG61" i="46"/>
  <c r="AG69" i="46"/>
  <c r="AG77" i="46"/>
  <c r="AG85" i="46"/>
  <c r="AG93" i="46"/>
  <c r="AG101" i="46"/>
  <c r="AI101" i="46" s="1"/>
  <c r="AG109" i="46"/>
  <c r="AG117" i="46"/>
  <c r="AG125" i="46"/>
  <c r="AG133" i="46"/>
  <c r="AG141" i="46"/>
  <c r="AG149" i="46"/>
  <c r="AG157" i="46"/>
  <c r="AG165" i="46"/>
  <c r="AG173" i="46"/>
  <c r="AG181" i="46"/>
  <c r="AG189" i="46"/>
  <c r="AG197" i="46"/>
  <c r="AG205" i="46"/>
  <c r="AG213" i="46"/>
  <c r="AG221" i="46"/>
  <c r="AH221" i="46"/>
  <c r="AH203" i="46"/>
  <c r="C236" i="88" s="1"/>
  <c r="AH100" i="46"/>
  <c r="C133" i="88" s="1"/>
  <c r="AH180" i="46"/>
  <c r="C213" i="88" s="1"/>
  <c r="AH5" i="46"/>
  <c r="C38" i="88" s="1"/>
  <c r="AH13" i="46"/>
  <c r="C46" i="88" s="1"/>
  <c r="AH37" i="46"/>
  <c r="C70" i="88" s="1"/>
  <c r="AH45" i="46"/>
  <c r="C78" i="88" s="1"/>
  <c r="AH61" i="46"/>
  <c r="C94" i="88" s="1"/>
  <c r="AH69" i="46"/>
  <c r="C102" i="88" s="1"/>
  <c r="AH77" i="46"/>
  <c r="C110" i="88" s="1"/>
  <c r="AH85" i="46"/>
  <c r="C118" i="88" s="1"/>
  <c r="AH93" i="46"/>
  <c r="C126" i="88" s="1"/>
  <c r="AH101" i="46"/>
  <c r="C134" i="88" s="1"/>
  <c r="AH109" i="46"/>
  <c r="C142" i="88" s="1"/>
  <c r="AH117" i="46"/>
  <c r="C150" i="88" s="1"/>
  <c r="AH125" i="46"/>
  <c r="C158" i="88" s="1"/>
  <c r="AH133" i="46"/>
  <c r="C166" i="88" s="1"/>
  <c r="AH141" i="46"/>
  <c r="C174" i="88" s="1"/>
  <c r="AH149" i="46"/>
  <c r="C182" i="88" s="1"/>
  <c r="AH157" i="46"/>
  <c r="C190" i="88" s="1"/>
  <c r="AH165" i="46"/>
  <c r="C198" i="88" s="1"/>
  <c r="AH173" i="46"/>
  <c r="C206" i="88" s="1"/>
  <c r="AH181" i="46"/>
  <c r="C214" i="88" s="1"/>
  <c r="AH189" i="46"/>
  <c r="C222" i="88" s="1"/>
  <c r="AH197" i="46"/>
  <c r="C230" i="88" s="1"/>
  <c r="AH205" i="46"/>
  <c r="AH213" i="46"/>
  <c r="AH36" i="46"/>
  <c r="C69" i="88" s="1"/>
  <c r="AH188" i="46"/>
  <c r="C221" i="88" s="1"/>
  <c r="AG6" i="46"/>
  <c r="AG46" i="46"/>
  <c r="AG54" i="46"/>
  <c r="AG70" i="46"/>
  <c r="AG78" i="46"/>
  <c r="AG86" i="46"/>
  <c r="AG94" i="46"/>
  <c r="AG102" i="46"/>
  <c r="AI102" i="46" s="1"/>
  <c r="AG110" i="46"/>
  <c r="AG118" i="46"/>
  <c r="AG126" i="46"/>
  <c r="AG134" i="46"/>
  <c r="AG142" i="46"/>
  <c r="AG150" i="46"/>
  <c r="AG158" i="46"/>
  <c r="AG166" i="46"/>
  <c r="AG174" i="46"/>
  <c r="AG182" i="46"/>
  <c r="AG190" i="46"/>
  <c r="AG198" i="46"/>
  <c r="AG206" i="46"/>
  <c r="AG214" i="46"/>
  <c r="AH52" i="46"/>
  <c r="C85" i="88" s="1"/>
  <c r="AH6" i="46"/>
  <c r="C39" i="88" s="1"/>
  <c r="AH38" i="46"/>
  <c r="C71" i="88" s="1"/>
  <c r="AH46" i="46"/>
  <c r="C79" i="88" s="1"/>
  <c r="AH54" i="46"/>
  <c r="C87" i="88" s="1"/>
  <c r="AH70" i="46"/>
  <c r="C103" i="88" s="1"/>
  <c r="AH78" i="46"/>
  <c r="C111" i="88" s="1"/>
  <c r="AH86" i="46"/>
  <c r="C119" i="88" s="1"/>
  <c r="AH94" i="46"/>
  <c r="C127" i="88" s="1"/>
  <c r="AH102" i="46"/>
  <c r="C135" i="88" s="1"/>
  <c r="AH110" i="46"/>
  <c r="C143" i="88" s="1"/>
  <c r="AH118" i="46"/>
  <c r="C151" i="88" s="1"/>
  <c r="AH126" i="46"/>
  <c r="C159" i="88" s="1"/>
  <c r="AH134" i="46"/>
  <c r="C167" i="88" s="1"/>
  <c r="AH142" i="46"/>
  <c r="C175" i="88" s="1"/>
  <c r="AH150" i="46"/>
  <c r="C183" i="88" s="1"/>
  <c r="AH158" i="46"/>
  <c r="C191" i="88" s="1"/>
  <c r="AH166" i="46"/>
  <c r="C199" i="88" s="1"/>
  <c r="AH174" i="46"/>
  <c r="C207" i="88" s="1"/>
  <c r="AH182" i="46"/>
  <c r="C215" i="88" s="1"/>
  <c r="AH190" i="46"/>
  <c r="C223" i="88" s="1"/>
  <c r="AH198" i="46"/>
  <c r="C231" i="88" s="1"/>
  <c r="AH206" i="46"/>
  <c r="AH214" i="46"/>
  <c r="AH211" i="46"/>
  <c r="AH108" i="46"/>
  <c r="C141" i="88" s="1"/>
  <c r="AH220" i="46"/>
  <c r="AG7" i="46"/>
  <c r="AG23" i="46"/>
  <c r="AG31" i="46"/>
  <c r="AG39" i="46"/>
  <c r="AG47" i="46"/>
  <c r="AG63" i="46"/>
  <c r="AG79" i="46"/>
  <c r="AG87" i="46"/>
  <c r="AG95" i="46"/>
  <c r="AG103" i="46"/>
  <c r="AG111" i="46"/>
  <c r="AG119" i="46"/>
  <c r="AG127" i="46"/>
  <c r="AG135" i="46"/>
  <c r="AG143" i="46"/>
  <c r="AG151" i="46"/>
  <c r="AG159" i="46"/>
  <c r="AG167" i="46"/>
  <c r="AG175" i="46"/>
  <c r="AG183" i="46"/>
  <c r="AG191" i="46"/>
  <c r="AG199" i="46"/>
  <c r="AG207" i="46"/>
  <c r="AG215" i="46"/>
  <c r="AH199" i="46"/>
  <c r="C232" i="88" s="1"/>
  <c r="AH215" i="46"/>
  <c r="AH195" i="46"/>
  <c r="C228" i="88" s="1"/>
  <c r="AH116" i="46"/>
  <c r="C149" i="88" s="1"/>
  <c r="AH172" i="46"/>
  <c r="C205" i="88" s="1"/>
  <c r="AH7" i="46"/>
  <c r="C40" i="88" s="1"/>
  <c r="AH23" i="46"/>
  <c r="C56" i="88" s="1"/>
  <c r="AH31" i="46"/>
  <c r="C64" i="88" s="1"/>
  <c r="AH39" i="46"/>
  <c r="C72" i="88" s="1"/>
  <c r="AH47" i="46"/>
  <c r="C80" i="88" s="1"/>
  <c r="AH63" i="46"/>
  <c r="C96" i="88" s="1"/>
  <c r="AH79" i="46"/>
  <c r="C112" i="88" s="1"/>
  <c r="AH87" i="46"/>
  <c r="C120" i="88" s="1"/>
  <c r="AH95" i="46"/>
  <c r="C128" i="88" s="1"/>
  <c r="AH103" i="46"/>
  <c r="C136" i="88" s="1"/>
  <c r="AH111" i="46"/>
  <c r="C144" i="88" s="1"/>
  <c r="AH119" i="46"/>
  <c r="C152" i="88" s="1"/>
  <c r="AH127" i="46"/>
  <c r="C160" i="88" s="1"/>
  <c r="AH135" i="46"/>
  <c r="C168" i="88" s="1"/>
  <c r="AH143" i="46"/>
  <c r="C176" i="88" s="1"/>
  <c r="AH151" i="46"/>
  <c r="C184" i="88" s="1"/>
  <c r="AH159" i="46"/>
  <c r="C192" i="88" s="1"/>
  <c r="AH167" i="46"/>
  <c r="C200" i="88" s="1"/>
  <c r="AH175" i="46"/>
  <c r="C208" i="88" s="1"/>
  <c r="AH183" i="46"/>
  <c r="C216" i="88" s="1"/>
  <c r="AH191" i="46"/>
  <c r="C224" i="88" s="1"/>
  <c r="AH207" i="46"/>
  <c r="AH187" i="46"/>
  <c r="C220" i="88" s="1"/>
  <c r="AH92" i="46"/>
  <c r="C125" i="88" s="1"/>
  <c r="AH164" i="46"/>
  <c r="C197" i="88" s="1"/>
  <c r="AG8" i="46"/>
  <c r="AG16" i="46"/>
  <c r="AG40" i="46"/>
  <c r="AG48" i="46"/>
  <c r="AG64" i="46"/>
  <c r="AG72" i="46"/>
  <c r="AG80" i="46"/>
  <c r="AG88" i="46"/>
  <c r="AG96" i="46"/>
  <c r="AG104" i="46"/>
  <c r="AG112" i="46"/>
  <c r="AG120" i="46"/>
  <c r="AG128" i="46"/>
  <c r="AG136" i="46"/>
  <c r="AG144" i="46"/>
  <c r="AG152" i="46"/>
  <c r="AG160" i="46"/>
  <c r="AG168" i="46"/>
  <c r="AG176" i="46"/>
  <c r="AG184" i="46"/>
  <c r="AG192" i="46"/>
  <c r="AG200" i="46"/>
  <c r="AG208" i="46"/>
  <c r="AG216" i="46"/>
  <c r="AH44" i="46"/>
  <c r="C77" i="88" s="1"/>
  <c r="AH148" i="46"/>
  <c r="C181" i="88" s="1"/>
  <c r="AH8" i="46"/>
  <c r="C41" i="88" s="1"/>
  <c r="AH16" i="46"/>
  <c r="C49" i="88" s="1"/>
  <c r="AH40" i="46"/>
  <c r="C73" i="88" s="1"/>
  <c r="AH48" i="46"/>
  <c r="C81" i="88" s="1"/>
  <c r="AH64" i="46"/>
  <c r="C97" i="88" s="1"/>
  <c r="AH72" i="46"/>
  <c r="C105" i="88" s="1"/>
  <c r="AH80" i="46"/>
  <c r="C113" i="88" s="1"/>
  <c r="AH88" i="46"/>
  <c r="C121" i="88" s="1"/>
  <c r="AH96" i="46"/>
  <c r="C129" i="88" s="1"/>
  <c r="AH104" i="46"/>
  <c r="C137" i="88" s="1"/>
  <c r="AH112" i="46"/>
  <c r="C145" i="88" s="1"/>
  <c r="AH120" i="46"/>
  <c r="C153" i="88" s="1"/>
  <c r="AH128" i="46"/>
  <c r="C161" i="88" s="1"/>
  <c r="AH136" i="46"/>
  <c r="C169" i="88" s="1"/>
  <c r="AH144" i="46"/>
  <c r="C177" i="88" s="1"/>
  <c r="AH152" i="46"/>
  <c r="C185" i="88" s="1"/>
  <c r="AH160" i="46"/>
  <c r="C193" i="88" s="1"/>
  <c r="AH168" i="46"/>
  <c r="C201" i="88" s="1"/>
  <c r="AH176" i="46"/>
  <c r="C209" i="88" s="1"/>
  <c r="AH184" i="46"/>
  <c r="C217" i="88" s="1"/>
  <c r="AH192" i="46"/>
  <c r="C225" i="88" s="1"/>
  <c r="AH200" i="46"/>
  <c r="C233" i="88" s="1"/>
  <c r="AH208" i="46"/>
  <c r="AH216" i="46"/>
  <c r="AH132" i="46"/>
  <c r="C165" i="88" s="1"/>
  <c r="AG25" i="46"/>
  <c r="AG33" i="46"/>
  <c r="AG41" i="46"/>
  <c r="AG49" i="46"/>
  <c r="AG65" i="46"/>
  <c r="AG73" i="46"/>
  <c r="AG81" i="46"/>
  <c r="AG89" i="46"/>
  <c r="AG97" i="46"/>
  <c r="AG105" i="46"/>
  <c r="AG113" i="46"/>
  <c r="AG121" i="46"/>
  <c r="AG129" i="46"/>
  <c r="AG137" i="46"/>
  <c r="AG145" i="46"/>
  <c r="AG153" i="46"/>
  <c r="AG161" i="46"/>
  <c r="AG169" i="46"/>
  <c r="AG177" i="46"/>
  <c r="AG185" i="46"/>
  <c r="AG193" i="46"/>
  <c r="AG201" i="46"/>
  <c r="AG209" i="46"/>
  <c r="AG217" i="46"/>
  <c r="AH68" i="46"/>
  <c r="C101" i="88" s="1"/>
  <c r="AH140" i="46"/>
  <c r="C173" i="88" s="1"/>
  <c r="AH25" i="46"/>
  <c r="C58" i="88" s="1"/>
  <c r="AH33" i="46"/>
  <c r="C66" i="88" s="1"/>
  <c r="AH41" i="46"/>
  <c r="C74" i="88" s="1"/>
  <c r="AH49" i="46"/>
  <c r="C82" i="88" s="1"/>
  <c r="AH65" i="46"/>
  <c r="C98" i="88" s="1"/>
  <c r="AH73" i="46"/>
  <c r="C106" i="88" s="1"/>
  <c r="AH81" i="46"/>
  <c r="C114" i="88" s="1"/>
  <c r="AH89" i="46"/>
  <c r="C122" i="88" s="1"/>
  <c r="AH97" i="46"/>
  <c r="C130" i="88" s="1"/>
  <c r="AH105" i="46"/>
  <c r="C138" i="88" s="1"/>
  <c r="AH113" i="46"/>
  <c r="C146" i="88" s="1"/>
  <c r="AH121" i="46"/>
  <c r="C154" i="88" s="1"/>
  <c r="AH129" i="46"/>
  <c r="C162" i="88" s="1"/>
  <c r="AH137" i="46"/>
  <c r="C170" i="88" s="1"/>
  <c r="AH145" i="46"/>
  <c r="C178" i="88" s="1"/>
  <c r="AH153" i="46"/>
  <c r="C186" i="88" s="1"/>
  <c r="AH161" i="46"/>
  <c r="C194" i="88" s="1"/>
  <c r="AH169" i="46"/>
  <c r="C202" i="88" s="1"/>
  <c r="AH177" i="46"/>
  <c r="C210" i="88" s="1"/>
  <c r="AH185" i="46"/>
  <c r="C218" i="88" s="1"/>
  <c r="AH193" i="46"/>
  <c r="C226" i="88" s="1"/>
  <c r="AH201" i="46"/>
  <c r="C234" i="88" s="1"/>
  <c r="AH209" i="46"/>
  <c r="AH217" i="46"/>
  <c r="AH76" i="46"/>
  <c r="C109" i="88" s="1"/>
  <c r="AH196" i="46"/>
  <c r="C229" i="88" s="1"/>
  <c r="AG10" i="46"/>
  <c r="AG18" i="46"/>
  <c r="AG26" i="46"/>
  <c r="AG34" i="46"/>
  <c r="AG42" i="46"/>
  <c r="AG58" i="46"/>
  <c r="AG66" i="46"/>
  <c r="AG74" i="46"/>
  <c r="AG82" i="46"/>
  <c r="AG90" i="46"/>
  <c r="AG98" i="46"/>
  <c r="AG106" i="46"/>
  <c r="AG114" i="46"/>
  <c r="AG122" i="46"/>
  <c r="AG130" i="46"/>
  <c r="AG138" i="46"/>
  <c r="AG146" i="46"/>
  <c r="AG154" i="46"/>
  <c r="AG162" i="46"/>
  <c r="AG170" i="46"/>
  <c r="AG178" i="46"/>
  <c r="AG186" i="46"/>
  <c r="AG194" i="46"/>
  <c r="AG202" i="46"/>
  <c r="AG210" i="46"/>
  <c r="AG218" i="46"/>
  <c r="AH27" i="46"/>
  <c r="C60" i="88" s="1"/>
  <c r="AH35" i="46"/>
  <c r="C68" i="88" s="1"/>
  <c r="AH83" i="46"/>
  <c r="C116" i="88" s="1"/>
  <c r="AH107" i="46"/>
  <c r="C140" i="88" s="1"/>
  <c r="AH123" i="46"/>
  <c r="C156" i="88" s="1"/>
  <c r="AH147" i="46"/>
  <c r="C180" i="88" s="1"/>
  <c r="AH171" i="46"/>
  <c r="C204" i="88" s="1"/>
  <c r="AH28" i="46"/>
  <c r="C61" i="88" s="1"/>
  <c r="AH204" i="46"/>
  <c r="C237" i="88" s="1"/>
  <c r="AH10" i="46"/>
  <c r="C43" i="88" s="1"/>
  <c r="AH18" i="46"/>
  <c r="C51" i="88" s="1"/>
  <c r="AH26" i="46"/>
  <c r="C59" i="88" s="1"/>
  <c r="AH34" i="46"/>
  <c r="C67" i="88" s="1"/>
  <c r="AH42" i="46"/>
  <c r="C75" i="88" s="1"/>
  <c r="AH58" i="46"/>
  <c r="C91" i="88" s="1"/>
  <c r="AH66" i="46"/>
  <c r="C99" i="88" s="1"/>
  <c r="AH74" i="46"/>
  <c r="C107" i="88" s="1"/>
  <c r="AH82" i="46"/>
  <c r="C115" i="88" s="1"/>
  <c r="AH90" i="46"/>
  <c r="C123" i="88" s="1"/>
  <c r="AH98" i="46"/>
  <c r="C131" i="88" s="1"/>
  <c r="AH106" i="46"/>
  <c r="C139" i="88" s="1"/>
  <c r="AH114" i="46"/>
  <c r="C147" i="88" s="1"/>
  <c r="AH122" i="46"/>
  <c r="C155" i="88" s="1"/>
  <c r="AH130" i="46"/>
  <c r="C163" i="88" s="1"/>
  <c r="AH138" i="46"/>
  <c r="C171" i="88" s="1"/>
  <c r="AH146" i="46"/>
  <c r="C179" i="88" s="1"/>
  <c r="AH154" i="46"/>
  <c r="C187" i="88" s="1"/>
  <c r="AH162" i="46"/>
  <c r="C195" i="88" s="1"/>
  <c r="AH170" i="46"/>
  <c r="C203" i="88" s="1"/>
  <c r="AH178" i="46"/>
  <c r="C211" i="88" s="1"/>
  <c r="AH186" i="46"/>
  <c r="C219" i="88" s="1"/>
  <c r="AH194" i="46"/>
  <c r="C227" i="88" s="1"/>
  <c r="AH202" i="46"/>
  <c r="C235" i="88" s="1"/>
  <c r="AH210" i="46"/>
  <c r="AH218" i="46"/>
  <c r="C238" i="88" s="1"/>
  <c r="AH19" i="46"/>
  <c r="C52" i="88" s="1"/>
  <c r="AH43" i="46"/>
  <c r="C76" i="88" s="1"/>
  <c r="AH67" i="46"/>
  <c r="C100" i="88" s="1"/>
  <c r="AH91" i="46"/>
  <c r="C124" i="88" s="1"/>
  <c r="AH115" i="46"/>
  <c r="C148" i="88" s="1"/>
  <c r="AH139" i="46"/>
  <c r="C172" i="88" s="1"/>
  <c r="AH163" i="46"/>
  <c r="C196" i="88" s="1"/>
  <c r="AH219" i="46"/>
  <c r="C239" i="88" s="1"/>
  <c r="AH84" i="46"/>
  <c r="C117" i="88" s="1"/>
  <c r="AH156" i="46"/>
  <c r="C189" i="88" s="1"/>
  <c r="AG19" i="46"/>
  <c r="AG27" i="46"/>
  <c r="AG35" i="46"/>
  <c r="AG43" i="46"/>
  <c r="AG51" i="46"/>
  <c r="AG67" i="46"/>
  <c r="AG75" i="46"/>
  <c r="AG83" i="46"/>
  <c r="AG91" i="46"/>
  <c r="AG99" i="46"/>
  <c r="AG107" i="46"/>
  <c r="AG115" i="46"/>
  <c r="AG123" i="46"/>
  <c r="AG131" i="46"/>
  <c r="AG139" i="46"/>
  <c r="AG147" i="46"/>
  <c r="AG155" i="46"/>
  <c r="AG163" i="46"/>
  <c r="AG171" i="46"/>
  <c r="AG179" i="46"/>
  <c r="AG187" i="46"/>
  <c r="AG195" i="46"/>
  <c r="AG203" i="46"/>
  <c r="AG211" i="46"/>
  <c r="AG219" i="46"/>
  <c r="AH51" i="46"/>
  <c r="C84" i="88" s="1"/>
  <c r="AH75" i="46"/>
  <c r="C108" i="88" s="1"/>
  <c r="AH99" i="46"/>
  <c r="C132" i="88" s="1"/>
  <c r="AH131" i="46"/>
  <c r="C164" i="88" s="1"/>
  <c r="AH155" i="46"/>
  <c r="C188" i="88" s="1"/>
  <c r="AH179" i="46"/>
  <c r="C212" i="88" s="1"/>
  <c r="AH212" i="46"/>
  <c r="AG28" i="46"/>
  <c r="AG36" i="46"/>
  <c r="AG44" i="46"/>
  <c r="AG52" i="46"/>
  <c r="AG68" i="46"/>
  <c r="AG76" i="46"/>
  <c r="AG84" i="46"/>
  <c r="AG92" i="46"/>
  <c r="AG100" i="46"/>
  <c r="AG108" i="46"/>
  <c r="AG116" i="46"/>
  <c r="AG124" i="46"/>
  <c r="AG132" i="46"/>
  <c r="AG140" i="46"/>
  <c r="AG148" i="46"/>
  <c r="AG156" i="46"/>
  <c r="AG164" i="46"/>
  <c r="AG172" i="46"/>
  <c r="AG180" i="46"/>
  <c r="AG188" i="46"/>
  <c r="AG196" i="46"/>
  <c r="AG204" i="46"/>
  <c r="AG212" i="46"/>
  <c r="AG220" i="46"/>
  <c r="AH124" i="46"/>
  <c r="C157" i="88" s="1"/>
  <c r="AN173" i="46"/>
  <c r="M77" i="98" s="1"/>
  <c r="AP171" i="46"/>
  <c r="AP114" i="46"/>
  <c r="AP199" i="46"/>
  <c r="AP78" i="46"/>
  <c r="Z8" i="46"/>
  <c r="AL8" i="46" s="1"/>
  <c r="Y8" i="46"/>
  <c r="AP186" i="46"/>
  <c r="W8" i="46"/>
  <c r="AP177" i="46"/>
  <c r="R60" i="67"/>
  <c r="AP196" i="46"/>
  <c r="AO196" i="46"/>
  <c r="AO148" i="46"/>
  <c r="R120" i="98" s="1"/>
  <c r="S120" i="98" s="1"/>
  <c r="AO140" i="46"/>
  <c r="R122" i="98" s="1"/>
  <c r="S122" i="98" s="1"/>
  <c r="AP182" i="46"/>
  <c r="AP174" i="46"/>
  <c r="AP166" i="46"/>
  <c r="AP221" i="46"/>
  <c r="Y7" i="46"/>
  <c r="X7" i="46"/>
  <c r="AK7" i="46" s="1"/>
  <c r="AQ173" i="46"/>
  <c r="AQ157" i="46"/>
  <c r="AO221" i="46"/>
  <c r="AO195" i="46"/>
  <c r="R130" i="98" s="1"/>
  <c r="S130" i="98" s="1"/>
  <c r="AO187" i="46"/>
  <c r="R13" i="98" s="1"/>
  <c r="S13" i="98" s="1"/>
  <c r="AO179" i="46"/>
  <c r="R111" i="98" s="1"/>
  <c r="S111" i="98" s="1"/>
  <c r="AO171" i="46"/>
  <c r="R95" i="98" s="1"/>
  <c r="S95" i="98" s="1"/>
  <c r="AO139" i="46"/>
  <c r="R117" i="98" s="1"/>
  <c r="S117" i="98" s="1"/>
  <c r="AO115" i="46"/>
  <c r="R23" i="98" s="1"/>
  <c r="S23" i="98" s="1"/>
  <c r="AP173" i="46"/>
  <c r="AP165" i="46"/>
  <c r="Z183" i="46"/>
  <c r="AQ196" i="46"/>
  <c r="AQ148" i="46"/>
  <c r="AQ140" i="46"/>
  <c r="AQ81" i="46"/>
  <c r="AQ220" i="46"/>
  <c r="Z151" i="46"/>
  <c r="AO202" i="46"/>
  <c r="R114" i="98" s="1"/>
  <c r="S114" i="98" s="1"/>
  <c r="AO186" i="46"/>
  <c r="R55" i="98" s="1"/>
  <c r="S55" i="98" s="1"/>
  <c r="AO170" i="46"/>
  <c r="R137" i="98" s="1"/>
  <c r="S137" i="98" s="1"/>
  <c r="AO154" i="46"/>
  <c r="AO130" i="46"/>
  <c r="R9" i="98" s="1"/>
  <c r="S9" i="98" s="1"/>
  <c r="AO114" i="46"/>
  <c r="R144" i="98" s="1"/>
  <c r="S144" i="98" s="1"/>
  <c r="AP220" i="46"/>
  <c r="AQ187" i="46"/>
  <c r="AQ179" i="46"/>
  <c r="AQ171" i="46"/>
  <c r="AQ139" i="46"/>
  <c r="AQ123" i="46"/>
  <c r="AQ115" i="46"/>
  <c r="AO220" i="46"/>
  <c r="AB191" i="46"/>
  <c r="AB159" i="46"/>
  <c r="AB143" i="46"/>
  <c r="AO177" i="46"/>
  <c r="R71" i="98" s="1"/>
  <c r="S71" i="98" s="1"/>
  <c r="AO169" i="46"/>
  <c r="R132" i="98" s="1"/>
  <c r="S132" i="98" s="1"/>
  <c r="AO129" i="46"/>
  <c r="R147" i="98" s="1"/>
  <c r="S147" i="98" s="1"/>
  <c r="Z199" i="46"/>
  <c r="AA191" i="46"/>
  <c r="AA159" i="46"/>
  <c r="AM159" i="46" s="1"/>
  <c r="AQ202" i="46"/>
  <c r="AQ186" i="46"/>
  <c r="AQ170" i="46"/>
  <c r="AQ154" i="46"/>
  <c r="AQ130" i="46"/>
  <c r="AQ114" i="46"/>
  <c r="S60" i="67"/>
  <c r="AO184" i="46"/>
  <c r="AO176" i="46"/>
  <c r="R151" i="98" s="1"/>
  <c r="S151" i="98" s="1"/>
  <c r="AO168" i="46"/>
  <c r="R40" i="98" s="1"/>
  <c r="S40" i="98" s="1"/>
  <c r="AO136" i="46"/>
  <c r="R37" i="98" s="1"/>
  <c r="S37" i="98" s="1"/>
  <c r="AO100" i="46"/>
  <c r="R101" i="98" s="1"/>
  <c r="S101" i="98" s="1"/>
  <c r="AO77" i="46"/>
  <c r="R102" i="98" s="1"/>
  <c r="S102" i="98" s="1"/>
  <c r="AO59" i="46"/>
  <c r="R61" i="98" s="1"/>
  <c r="S61" i="98" s="1"/>
  <c r="Y159" i="46"/>
  <c r="AQ169" i="46"/>
  <c r="AQ129" i="46"/>
  <c r="Y191" i="46"/>
  <c r="Y143" i="46"/>
  <c r="AO199" i="46"/>
  <c r="R67" i="98" s="1"/>
  <c r="S67" i="98" s="1"/>
  <c r="AO183" i="46"/>
  <c r="R31" i="98" s="1"/>
  <c r="S31" i="98" s="1"/>
  <c r="AO151" i="46"/>
  <c r="R63" i="98" s="1"/>
  <c r="S63" i="98" s="1"/>
  <c r="AO135" i="46"/>
  <c r="R34" i="98" s="1"/>
  <c r="S34" i="98" s="1"/>
  <c r="AO111" i="46"/>
  <c r="R18" i="98" s="1"/>
  <c r="S18" i="98" s="1"/>
  <c r="AO97" i="46"/>
  <c r="AO84" i="46"/>
  <c r="AO55" i="46"/>
  <c r="AQ184" i="46"/>
  <c r="AQ176" i="46"/>
  <c r="AQ168" i="46"/>
  <c r="AQ100" i="46"/>
  <c r="AQ77" i="46"/>
  <c r="AQ59" i="46"/>
  <c r="AO198" i="46"/>
  <c r="R153" i="98" s="1"/>
  <c r="S153" i="98" s="1"/>
  <c r="AO182" i="46"/>
  <c r="AO174" i="46"/>
  <c r="R70" i="98" s="1"/>
  <c r="S70" i="98" s="1"/>
  <c r="AO166" i="46"/>
  <c r="R15" i="98" s="1"/>
  <c r="S15" i="98" s="1"/>
  <c r="AO110" i="46"/>
  <c r="R22" i="98" s="1"/>
  <c r="S22" i="98" s="1"/>
  <c r="AO70" i="46"/>
  <c r="R85" i="98" s="1"/>
  <c r="S85" i="98" s="1"/>
  <c r="AQ199" i="46"/>
  <c r="AQ183" i="46"/>
  <c r="AQ151" i="46"/>
  <c r="AQ143" i="46"/>
  <c r="AQ111" i="46"/>
  <c r="AQ97" i="46"/>
  <c r="AQ84" i="46"/>
  <c r="AQ55" i="46"/>
  <c r="AA7" i="46"/>
  <c r="AM7" i="46" s="1"/>
  <c r="AO173" i="46"/>
  <c r="R77" i="98" s="1"/>
  <c r="S77" i="98" s="1"/>
  <c r="AB199" i="46"/>
  <c r="AB151" i="46"/>
  <c r="Z7" i="46"/>
  <c r="AL7" i="46" s="1"/>
  <c r="AA199" i="46"/>
  <c r="AA183" i="46"/>
  <c r="AA151" i="46"/>
  <c r="AQ221" i="46"/>
  <c r="X191" i="46"/>
  <c r="X159" i="46"/>
  <c r="AK159" i="46" s="1"/>
  <c r="N88" i="98" s="1"/>
  <c r="I88" i="98" s="1"/>
  <c r="X143" i="46"/>
  <c r="AK143" i="46" s="1"/>
  <c r="N33" i="98" s="1"/>
  <c r="I33" i="98" s="1"/>
  <c r="X111" i="46"/>
  <c r="AK111" i="46" s="1"/>
  <c r="X95" i="46"/>
  <c r="AK95" i="46" s="1"/>
  <c r="X79" i="46"/>
  <c r="AK79" i="46" s="1"/>
  <c r="X199" i="46"/>
  <c r="X183" i="46"/>
  <c r="X151" i="46"/>
  <c r="Y199" i="46"/>
  <c r="Y183" i="46"/>
  <c r="Y151" i="46"/>
  <c r="AC8" i="46"/>
  <c r="X5" i="46"/>
  <c r="AK5" i="46" s="1"/>
  <c r="AB218" i="46"/>
  <c r="AB202" i="46"/>
  <c r="W199" i="46"/>
  <c r="AC193" i="46"/>
  <c r="W183" i="46"/>
  <c r="W151" i="46"/>
  <c r="W135" i="46"/>
  <c r="AB8" i="46"/>
  <c r="AA8" i="46"/>
  <c r="AM8" i="46" s="1"/>
  <c r="AC6" i="46"/>
  <c r="AC191" i="46"/>
  <c r="AC159" i="46"/>
  <c r="AC143" i="46"/>
  <c r="AB6" i="46"/>
  <c r="AB203" i="46"/>
  <c r="W184" i="46"/>
  <c r="AC178" i="46"/>
  <c r="AB171" i="46"/>
  <c r="Y166" i="46"/>
  <c r="AA148" i="46"/>
  <c r="AC130" i="46"/>
  <c r="W88" i="46"/>
  <c r="AA84" i="46"/>
  <c r="AM84" i="46" s="1"/>
  <c r="Z77" i="46"/>
  <c r="AL77" i="46" s="1"/>
  <c r="Y70" i="46"/>
  <c r="AC66" i="46"/>
  <c r="Z61" i="46"/>
  <c r="AL61" i="46" s="1"/>
  <c r="AB59" i="46"/>
  <c r="AC50" i="46"/>
  <c r="X47" i="46"/>
  <c r="AK47" i="46" s="1"/>
  <c r="AA203" i="46"/>
  <c r="Z196" i="46"/>
  <c r="Y189" i="46"/>
  <c r="AA187" i="46"/>
  <c r="AC185" i="46"/>
  <c r="Z180" i="46"/>
  <c r="AB178" i="46"/>
  <c r="AA171" i="46"/>
  <c r="AM171" i="46" s="1"/>
  <c r="AC169" i="46"/>
  <c r="Z164" i="46"/>
  <c r="Y157" i="46"/>
  <c r="AC153" i="46"/>
  <c r="Z148" i="46"/>
  <c r="Y141" i="46"/>
  <c r="AB130" i="46"/>
  <c r="AB114" i="46"/>
  <c r="W111" i="46"/>
  <c r="AB66" i="46"/>
  <c r="AB50" i="46"/>
  <c r="X6" i="46"/>
  <c r="AK6" i="46" s="1"/>
  <c r="AA196" i="46"/>
  <c r="AB187" i="46"/>
  <c r="AA164" i="46"/>
  <c r="Y150" i="46"/>
  <c r="Z141" i="46"/>
  <c r="AL141" i="46" s="1"/>
  <c r="O116" i="98" s="1"/>
  <c r="J116" i="98" s="1"/>
  <c r="Y134" i="46"/>
  <c r="AB123" i="46"/>
  <c r="Y118" i="46"/>
  <c r="Z93" i="46"/>
  <c r="AL93" i="46" s="1"/>
  <c r="Z203" i="46"/>
  <c r="W198" i="46"/>
  <c r="Z187" i="46"/>
  <c r="Y180" i="46"/>
  <c r="AC176" i="46"/>
  <c r="AB169" i="46"/>
  <c r="W166" i="46"/>
  <c r="X157" i="46"/>
  <c r="AB153" i="46"/>
  <c r="Y148" i="46"/>
  <c r="X141" i="46"/>
  <c r="AK141" i="46" s="1"/>
  <c r="N116" i="98" s="1"/>
  <c r="I116" i="98" s="1"/>
  <c r="Z139" i="46"/>
  <c r="AL139" i="46" s="1"/>
  <c r="O117" i="98" s="1"/>
  <c r="J117" i="98" s="1"/>
  <c r="W134" i="46"/>
  <c r="Y132" i="46"/>
  <c r="AA130" i="46"/>
  <c r="AM130" i="46" s="1"/>
  <c r="AB89" i="46"/>
  <c r="AC80" i="46"/>
  <c r="Z189" i="46"/>
  <c r="AL189" i="46" s="1"/>
  <c r="O62" i="98" s="1"/>
  <c r="J62" i="98" s="1"/>
  <c r="AA180" i="46"/>
  <c r="W168" i="46"/>
  <c r="Z157" i="46"/>
  <c r="AB139" i="46"/>
  <c r="AA132" i="46"/>
  <c r="AM132" i="46" s="1"/>
  <c r="AC114" i="46"/>
  <c r="AA100" i="46"/>
  <c r="AM100" i="46" s="1"/>
  <c r="AC7" i="46"/>
  <c r="Y196" i="46"/>
  <c r="X189" i="46"/>
  <c r="AK189" i="46" s="1"/>
  <c r="N62" i="98" s="1"/>
  <c r="I62" i="98" s="1"/>
  <c r="AB185" i="46"/>
  <c r="W182" i="46"/>
  <c r="AA178" i="46"/>
  <c r="Z171" i="46"/>
  <c r="AL171" i="46" s="1"/>
  <c r="O95" i="98" s="1"/>
  <c r="J95" i="98" s="1"/>
  <c r="Y164" i="46"/>
  <c r="AB7" i="46"/>
  <c r="Y203" i="46"/>
  <c r="AC199" i="46"/>
  <c r="X196" i="46"/>
  <c r="Y187" i="46"/>
  <c r="AA185" i="46"/>
  <c r="AC183" i="46"/>
  <c r="X180" i="46"/>
  <c r="Z178" i="46"/>
  <c r="AB176" i="46"/>
  <c r="Y171" i="46"/>
  <c r="AA169" i="46"/>
  <c r="X164" i="46"/>
  <c r="AA153" i="46"/>
  <c r="AM153" i="46" s="1"/>
  <c r="X148" i="46"/>
  <c r="Y139" i="46"/>
  <c r="X132" i="46"/>
  <c r="AK132" i="46" s="1"/>
  <c r="AA89" i="46"/>
  <c r="AM89" i="46" s="1"/>
  <c r="AC5" i="46"/>
  <c r="X203" i="46"/>
  <c r="W196" i="46"/>
  <c r="AC190" i="46"/>
  <c r="X187" i="46"/>
  <c r="Z185" i="46"/>
  <c r="Y178" i="46"/>
  <c r="AA176" i="46"/>
  <c r="AM176" i="46" s="1"/>
  <c r="AC174" i="46"/>
  <c r="X171" i="46"/>
  <c r="AK171" i="46" s="1"/>
  <c r="N95" i="98" s="1"/>
  <c r="I95" i="98" s="1"/>
  <c r="Z169" i="46"/>
  <c r="Z153" i="46"/>
  <c r="AL153" i="46" s="1"/>
  <c r="O84" i="98" s="1"/>
  <c r="J84" i="98" s="1"/>
  <c r="W148" i="46"/>
  <c r="X139" i="46"/>
  <c r="AK139" i="46" s="1"/>
  <c r="N117" i="98" s="1"/>
  <c r="I117" i="98" s="1"/>
  <c r="Y130" i="46"/>
  <c r="X123" i="46"/>
  <c r="AK123" i="46" s="1"/>
  <c r="Y114" i="46"/>
  <c r="AC110" i="46"/>
  <c r="AB103" i="46"/>
  <c r="W100" i="46"/>
  <c r="AC94" i="46"/>
  <c r="Z89" i="46"/>
  <c r="AL89" i="46" s="1"/>
  <c r="AB87" i="46"/>
  <c r="W84" i="46"/>
  <c r="AA80" i="46"/>
  <c r="AM80" i="46" s="1"/>
  <c r="AC78" i="46"/>
  <c r="Y66" i="46"/>
  <c r="X59" i="46"/>
  <c r="AK59" i="46" s="1"/>
  <c r="AB55" i="46"/>
  <c r="Y50" i="46"/>
  <c r="AB23" i="46"/>
  <c r="AB5" i="46"/>
  <c r="AC197" i="46"/>
  <c r="AB190" i="46"/>
  <c r="W187" i="46"/>
  <c r="Y185" i="46"/>
  <c r="X178" i="46"/>
  <c r="Z176" i="46"/>
  <c r="AL176" i="46" s="1"/>
  <c r="O151" i="98" s="1"/>
  <c r="J151" i="98" s="1"/>
  <c r="AB174" i="46"/>
  <c r="W171" i="46"/>
  <c r="Y169" i="46"/>
  <c r="AC165" i="46"/>
  <c r="Y153" i="46"/>
  <c r="W139" i="46"/>
  <c r="X130" i="46"/>
  <c r="AK130" i="46" s="1"/>
  <c r="X114" i="46"/>
  <c r="AK114" i="46" s="1"/>
  <c r="AB110" i="46"/>
  <c r="AA103" i="46"/>
  <c r="AM103" i="46" s="1"/>
  <c r="AB94" i="46"/>
  <c r="Y89" i="46"/>
  <c r="AA87" i="46"/>
  <c r="AM87" i="46" s="1"/>
  <c r="Z80" i="46"/>
  <c r="AL80" i="46" s="1"/>
  <c r="AB78" i="46"/>
  <c r="X66" i="46"/>
  <c r="AK66" i="46" s="1"/>
  <c r="W59" i="46"/>
  <c r="AA55" i="46"/>
  <c r="AM55" i="46" s="1"/>
  <c r="X50" i="46"/>
  <c r="AK50" i="46" s="1"/>
  <c r="AC21" i="46"/>
  <c r="AA5" i="46"/>
  <c r="AM5" i="46" s="1"/>
  <c r="AB197" i="46"/>
  <c r="AA190" i="46"/>
  <c r="AC188" i="46"/>
  <c r="X185" i="46"/>
  <c r="Y176" i="46"/>
  <c r="AA174" i="46"/>
  <c r="X169" i="46"/>
  <c r="AB165" i="46"/>
  <c r="AC156" i="46"/>
  <c r="X153" i="46"/>
  <c r="AK153" i="46" s="1"/>
  <c r="N84" i="98" s="1"/>
  <c r="I84" i="98" s="1"/>
  <c r="AC140" i="46"/>
  <c r="W130" i="46"/>
  <c r="W114" i="46"/>
  <c r="AA110" i="46"/>
  <c r="AM110" i="46" s="1"/>
  <c r="Z103" i="46"/>
  <c r="AL103" i="46" s="1"/>
  <c r="AA94" i="46"/>
  <c r="AM94" i="46" s="1"/>
  <c r="X89" i="46"/>
  <c r="AK89" i="46" s="1"/>
  <c r="Z87" i="46"/>
  <c r="AL87" i="46" s="1"/>
  <c r="Y80" i="46"/>
  <c r="AA78" i="46"/>
  <c r="AM78" i="46" s="1"/>
  <c r="Z55" i="46"/>
  <c r="AL55" i="46" s="1"/>
  <c r="Z23" i="46"/>
  <c r="AL23" i="46" s="1"/>
  <c r="Z5" i="46"/>
  <c r="AL5" i="46" s="1"/>
  <c r="AA197" i="46"/>
  <c r="AC195" i="46"/>
  <c r="Z190" i="46"/>
  <c r="AB188" i="46"/>
  <c r="X176" i="46"/>
  <c r="AK176" i="46" s="1"/>
  <c r="N151" i="98" s="1"/>
  <c r="I151" i="98" s="1"/>
  <c r="Z174" i="46"/>
  <c r="W169" i="46"/>
  <c r="AA165" i="46"/>
  <c r="AM165" i="46" s="1"/>
  <c r="AC163" i="46"/>
  <c r="AB156" i="46"/>
  <c r="AB140" i="46"/>
  <c r="AC131" i="46"/>
  <c r="AC115" i="46"/>
  <c r="Z110" i="46"/>
  <c r="AL110" i="46" s="1"/>
  <c r="Y103" i="46"/>
  <c r="Z94" i="46"/>
  <c r="AL94" i="46" s="1"/>
  <c r="Y87" i="46"/>
  <c r="AC83" i="46"/>
  <c r="X80" i="46"/>
  <c r="AK80" i="46" s="1"/>
  <c r="Z78" i="46"/>
  <c r="AL78" i="46" s="1"/>
  <c r="Y55" i="46"/>
  <c r="AC35" i="46"/>
  <c r="Y23" i="46"/>
  <c r="Y5" i="46"/>
  <c r="AC218" i="46"/>
  <c r="AC202" i="46"/>
  <c r="Z197" i="46"/>
  <c r="AB195" i="46"/>
  <c r="Y190" i="46"/>
  <c r="AA188" i="46"/>
  <c r="AC186" i="46"/>
  <c r="W176" i="46"/>
  <c r="Y174" i="46"/>
  <c r="AC170" i="46"/>
  <c r="Z165" i="46"/>
  <c r="AL165" i="46" s="1"/>
  <c r="O47" i="98" s="1"/>
  <c r="J47" i="98" s="1"/>
  <c r="AB163" i="46"/>
  <c r="AA156" i="46"/>
  <c r="AC154" i="46"/>
  <c r="AA140" i="46"/>
  <c r="AM140" i="46" s="1"/>
  <c r="AC138" i="46"/>
  <c r="AB131" i="46"/>
  <c r="AB115" i="46"/>
  <c r="Y110" i="46"/>
  <c r="AC106" i="46"/>
  <c r="X103" i="46"/>
  <c r="AK103" i="46" s="1"/>
  <c r="Y94" i="46"/>
  <c r="AC90" i="46"/>
  <c r="X87" i="46"/>
  <c r="AK87" i="46" s="1"/>
  <c r="AB83" i="46"/>
  <c r="Y78" i="46"/>
  <c r="AC74" i="46"/>
  <c r="AA60" i="46"/>
  <c r="AM60" i="46" s="1"/>
  <c r="X55" i="46"/>
  <c r="AK55" i="46" s="1"/>
  <c r="AB35" i="46"/>
  <c r="Z21" i="46"/>
  <c r="AL21" i="46" s="1"/>
  <c r="Y197" i="46"/>
  <c r="AA195" i="46"/>
  <c r="AM195" i="46" s="1"/>
  <c r="X190" i="46"/>
  <c r="Z188" i="46"/>
  <c r="AB186" i="46"/>
  <c r="AC177" i="46"/>
  <c r="X174" i="46"/>
  <c r="AB170" i="46"/>
  <c r="Y165" i="46"/>
  <c r="AA163" i="46"/>
  <c r="Z156" i="46"/>
  <c r="AB154" i="46"/>
  <c r="Z140" i="46"/>
  <c r="AL140" i="46" s="1"/>
  <c r="O122" i="98" s="1"/>
  <c r="J122" i="98" s="1"/>
  <c r="AB138" i="46"/>
  <c r="AA131" i="46"/>
  <c r="AM131" i="46" s="1"/>
  <c r="AC129" i="46"/>
  <c r="AA115" i="46"/>
  <c r="AM115" i="46" s="1"/>
  <c r="X110" i="46"/>
  <c r="AK110" i="46" s="1"/>
  <c r="AB106" i="46"/>
  <c r="AC97" i="46"/>
  <c r="X94" i="46"/>
  <c r="AK94" i="46" s="1"/>
  <c r="AB90" i="46"/>
  <c r="AA83" i="46"/>
  <c r="AM83" i="46" s="1"/>
  <c r="AC81" i="46"/>
  <c r="X78" i="46"/>
  <c r="AK78" i="46" s="1"/>
  <c r="AB74" i="46"/>
  <c r="Z60" i="46"/>
  <c r="AL60" i="46" s="1"/>
  <c r="AA35" i="46"/>
  <c r="AM35" i="46" s="1"/>
  <c r="AA218" i="46"/>
  <c r="AM218" i="46" s="1"/>
  <c r="AA202" i="46"/>
  <c r="AC200" i="46"/>
  <c r="X197" i="46"/>
  <c r="Z195" i="46"/>
  <c r="AL195" i="46" s="1"/>
  <c r="O130" i="98" s="1"/>
  <c r="J130" i="98" s="1"/>
  <c r="AB193" i="46"/>
  <c r="Y188" i="46"/>
  <c r="AA186" i="46"/>
  <c r="AC184" i="46"/>
  <c r="AB177" i="46"/>
  <c r="W174" i="46"/>
  <c r="AA170" i="46"/>
  <c r="AC168" i="46"/>
  <c r="X165" i="46"/>
  <c r="AK165" i="46" s="1"/>
  <c r="N47" i="98" s="1"/>
  <c r="I47" i="98" s="1"/>
  <c r="Z163" i="46"/>
  <c r="Y156" i="46"/>
  <c r="AA154" i="46"/>
  <c r="AM154" i="46" s="1"/>
  <c r="Y140" i="46"/>
  <c r="AA138" i="46"/>
  <c r="AM138" i="46" s="1"/>
  <c r="AC136" i="46"/>
  <c r="Z131" i="46"/>
  <c r="AL131" i="46" s="1"/>
  <c r="AB129" i="46"/>
  <c r="Z115" i="46"/>
  <c r="AL115" i="46" s="1"/>
  <c r="W110" i="46"/>
  <c r="AA106" i="46"/>
  <c r="AM106" i="46" s="1"/>
  <c r="AB97" i="46"/>
  <c r="AA90" i="46"/>
  <c r="AM90" i="46" s="1"/>
  <c r="AC88" i="46"/>
  <c r="Z83" i="46"/>
  <c r="AL83" i="46" s="1"/>
  <c r="AB81" i="46"/>
  <c r="AA74" i="46"/>
  <c r="AM74" i="46" s="1"/>
  <c r="Y60" i="46"/>
  <c r="Z35" i="46"/>
  <c r="AL35" i="46" s="1"/>
  <c r="X21" i="46"/>
  <c r="AK21" i="46" s="1"/>
  <c r="Z218" i="46"/>
  <c r="AL218" i="46" s="1"/>
  <c r="O126" i="98" s="1"/>
  <c r="J126" i="98" s="1"/>
  <c r="Z202" i="46"/>
  <c r="AB200" i="46"/>
  <c r="Y195" i="46"/>
  <c r="AA193" i="46"/>
  <c r="X188" i="46"/>
  <c r="Z186" i="46"/>
  <c r="AB184" i="46"/>
  <c r="AA177" i="46"/>
  <c r="Z170" i="46"/>
  <c r="AB168" i="46"/>
  <c r="W165" i="46"/>
  <c r="Y163" i="46"/>
  <c r="X156" i="46"/>
  <c r="Z154" i="46"/>
  <c r="AL154" i="46" s="1"/>
  <c r="O108" i="98" s="1"/>
  <c r="J108" i="98" s="1"/>
  <c r="X140" i="46"/>
  <c r="AK140" i="46" s="1"/>
  <c r="N122" i="98" s="1"/>
  <c r="I122" i="98" s="1"/>
  <c r="Z138" i="46"/>
  <c r="AL138" i="46" s="1"/>
  <c r="O128" i="98" s="1"/>
  <c r="J128" i="98" s="1"/>
  <c r="AB136" i="46"/>
  <c r="Y131" i="46"/>
  <c r="AA129" i="46"/>
  <c r="AM129" i="46" s="1"/>
  <c r="Y115" i="46"/>
  <c r="AC111" i="46"/>
  <c r="Z106" i="46"/>
  <c r="AL106" i="46" s="1"/>
  <c r="AA97" i="46"/>
  <c r="AM97" i="46" s="1"/>
  <c r="AC95" i="46"/>
  <c r="Z90" i="46"/>
  <c r="AL90" i="46" s="1"/>
  <c r="AB88" i="46"/>
  <c r="Y83" i="46"/>
  <c r="AA81" i="46"/>
  <c r="AM81" i="46" s="1"/>
  <c r="AC79" i="46"/>
  <c r="Z74" i="46"/>
  <c r="AL74" i="46" s="1"/>
  <c r="X60" i="46"/>
  <c r="AK60" i="46" s="1"/>
  <c r="AC47" i="46"/>
  <c r="Y35" i="46"/>
  <c r="AC31" i="46"/>
  <c r="Z26" i="46"/>
  <c r="AL26" i="46" s="1"/>
  <c r="Y218" i="46"/>
  <c r="Y202" i="46"/>
  <c r="AA200" i="46"/>
  <c r="X195" i="46"/>
  <c r="AK195" i="46" s="1"/>
  <c r="N130" i="98" s="1"/>
  <c r="I130" i="98" s="1"/>
  <c r="Z193" i="46"/>
  <c r="Y186" i="46"/>
  <c r="AA184" i="46"/>
  <c r="AM184" i="46" s="1"/>
  <c r="Z177" i="46"/>
  <c r="Y170" i="46"/>
  <c r="AA168" i="46"/>
  <c r="AM168" i="46" s="1"/>
  <c r="AC166" i="46"/>
  <c r="X163" i="46"/>
  <c r="Y154" i="46"/>
  <c r="AC150" i="46"/>
  <c r="W140" i="46"/>
  <c r="Y138" i="46"/>
  <c r="AA136" i="46"/>
  <c r="AM136" i="46" s="1"/>
  <c r="AC134" i="46"/>
  <c r="X131" i="46"/>
  <c r="AK131" i="46" s="1"/>
  <c r="Z129" i="46"/>
  <c r="AL129" i="46" s="1"/>
  <c r="AC118" i="46"/>
  <c r="X115" i="46"/>
  <c r="AK115" i="46" s="1"/>
  <c r="AB111" i="46"/>
  <c r="Y106" i="46"/>
  <c r="Z97" i="46"/>
  <c r="AL97" i="46" s="1"/>
  <c r="AB95" i="46"/>
  <c r="Y90" i="46"/>
  <c r="AA88" i="46"/>
  <c r="AM88" i="46" s="1"/>
  <c r="X83" i="46"/>
  <c r="AK83" i="46" s="1"/>
  <c r="Z81" i="46"/>
  <c r="AL81" i="46" s="1"/>
  <c r="AB79" i="46"/>
  <c r="Y74" i="46"/>
  <c r="AC70" i="46"/>
  <c r="AB47" i="46"/>
  <c r="X35" i="46"/>
  <c r="AK35" i="46" s="1"/>
  <c r="AA6" i="46"/>
  <c r="AM6" i="46" s="1"/>
  <c r="X218" i="46"/>
  <c r="AK218" i="46" s="1"/>
  <c r="N126" i="98" s="1"/>
  <c r="I126" i="98" s="1"/>
  <c r="X202" i="46"/>
  <c r="Z200" i="46"/>
  <c r="W195" i="46"/>
  <c r="Y193" i="46"/>
  <c r="AC189" i="46"/>
  <c r="X186" i="46"/>
  <c r="Z184" i="46"/>
  <c r="AL184" i="46" s="1"/>
  <c r="O69" i="98" s="1"/>
  <c r="J69" i="98" s="1"/>
  <c r="W179" i="46"/>
  <c r="Y177" i="46"/>
  <c r="X170" i="46"/>
  <c r="Z168" i="46"/>
  <c r="AL168" i="46" s="1"/>
  <c r="O40" i="98" s="1"/>
  <c r="J40" i="98" s="1"/>
  <c r="AB166" i="46"/>
  <c r="AC157" i="46"/>
  <c r="X154" i="46"/>
  <c r="AK154" i="46" s="1"/>
  <c r="N108" i="98" s="1"/>
  <c r="I108" i="98" s="1"/>
  <c r="AB150" i="46"/>
  <c r="AA143" i="46"/>
  <c r="AM143" i="46" s="1"/>
  <c r="AC141" i="46"/>
  <c r="X138" i="46"/>
  <c r="AK138" i="46" s="1"/>
  <c r="N128" i="98" s="1"/>
  <c r="I128" i="98" s="1"/>
  <c r="Z136" i="46"/>
  <c r="AL136" i="46" s="1"/>
  <c r="AB134" i="46"/>
  <c r="Y129" i="46"/>
  <c r="AB118" i="46"/>
  <c r="W115" i="46"/>
  <c r="AA111" i="46"/>
  <c r="AM111" i="46" s="1"/>
  <c r="X106" i="46"/>
  <c r="AK106" i="46" s="1"/>
  <c r="Y97" i="46"/>
  <c r="AA95" i="46"/>
  <c r="AM95" i="46" s="1"/>
  <c r="AC93" i="46"/>
  <c r="X90" i="46"/>
  <c r="AK90" i="46" s="1"/>
  <c r="Z88" i="46"/>
  <c r="AL88" i="46" s="1"/>
  <c r="Y81" i="46"/>
  <c r="AA79" i="46"/>
  <c r="AM79" i="46" s="1"/>
  <c r="AC77" i="46"/>
  <c r="X74" i="46"/>
  <c r="AK74" i="46" s="1"/>
  <c r="AB70" i="46"/>
  <c r="AC61" i="46"/>
  <c r="AA47" i="46"/>
  <c r="AM47" i="46" s="1"/>
  <c r="X8" i="46"/>
  <c r="AK8" i="46" s="1"/>
  <c r="Z6" i="46"/>
  <c r="AL6" i="46" s="1"/>
  <c r="W202" i="46"/>
  <c r="Y200" i="46"/>
  <c r="AC196" i="46"/>
  <c r="X193" i="46"/>
  <c r="Z191" i="46"/>
  <c r="AB189" i="46"/>
  <c r="W186" i="46"/>
  <c r="Y184" i="46"/>
  <c r="AC180" i="46"/>
  <c r="X177" i="46"/>
  <c r="W170" i="46"/>
  <c r="AA166" i="46"/>
  <c r="AM166" i="46" s="1"/>
  <c r="Z159" i="46"/>
  <c r="AL159" i="46" s="1"/>
  <c r="O88" i="98" s="1"/>
  <c r="J88" i="98" s="1"/>
  <c r="AB157" i="46"/>
  <c r="W154" i="46"/>
  <c r="AA150" i="46"/>
  <c r="AM150" i="46" s="1"/>
  <c r="Z143" i="46"/>
  <c r="AL143" i="46" s="1"/>
  <c r="O33" i="98" s="1"/>
  <c r="J33" i="98" s="1"/>
  <c r="AB141" i="46"/>
  <c r="AA134" i="46"/>
  <c r="AM134" i="46" s="1"/>
  <c r="Y6" i="46"/>
  <c r="AC203" i="46"/>
  <c r="X200" i="46"/>
  <c r="AB196" i="46"/>
  <c r="AA189" i="46"/>
  <c r="AM189" i="46" s="1"/>
  <c r="AC187" i="46"/>
  <c r="X184" i="46"/>
  <c r="AK184" i="46" s="1"/>
  <c r="N69" i="98" s="1"/>
  <c r="I69" i="98" s="1"/>
  <c r="AB180" i="46"/>
  <c r="W177" i="46"/>
  <c r="AC171" i="46"/>
  <c r="X168" i="46"/>
  <c r="AK168" i="46" s="1"/>
  <c r="N40" i="98" s="1"/>
  <c r="I40" i="98" s="1"/>
  <c r="Z166" i="46"/>
  <c r="AL166" i="46" s="1"/>
  <c r="O15" i="98" s="1"/>
  <c r="J15" i="98" s="1"/>
  <c r="AB164" i="46"/>
  <c r="AA157" i="46"/>
  <c r="Z150" i="46"/>
  <c r="AL150" i="46" s="1"/>
  <c r="O38" i="98" s="1"/>
  <c r="J38" i="98" s="1"/>
  <c r="AB148" i="46"/>
  <c r="AA141" i="46"/>
  <c r="AM141" i="46" s="1"/>
  <c r="AC139" i="46"/>
  <c r="X136" i="46"/>
  <c r="AK136" i="46" s="1"/>
  <c r="Z134" i="46"/>
  <c r="AL134" i="46" s="1"/>
  <c r="AB132" i="46"/>
  <c r="W129" i="46"/>
  <c r="AC123" i="46"/>
  <c r="Z118" i="46"/>
  <c r="AL118" i="46" s="1"/>
  <c r="Y111" i="46"/>
  <c r="AB100" i="46"/>
  <c r="W97" i="46"/>
  <c r="Y95" i="46"/>
  <c r="AA93" i="46"/>
  <c r="AM93" i="46" s="1"/>
  <c r="X88" i="46"/>
  <c r="AK88" i="46" s="1"/>
  <c r="AB84" i="46"/>
  <c r="W81" i="46"/>
  <c r="Y79" i="46"/>
  <c r="AA77" i="46"/>
  <c r="AM77" i="46" s="1"/>
  <c r="Z70" i="46"/>
  <c r="AL70" i="46" s="1"/>
  <c r="AA61" i="46"/>
  <c r="AM61" i="46" s="1"/>
  <c r="AC59" i="46"/>
  <c r="Y47" i="46"/>
  <c r="AA21" i="46"/>
  <c r="AM21" i="46" s="1"/>
  <c r="AC26" i="46"/>
  <c r="X23" i="46"/>
  <c r="AK23" i="46" s="1"/>
  <c r="AB26" i="46"/>
  <c r="Y21" i="46"/>
  <c r="AA26" i="46"/>
  <c r="AM26" i="46" s="1"/>
  <c r="AB31" i="46"/>
  <c r="Y26" i="46"/>
  <c r="AA31" i="46"/>
  <c r="AM31" i="46" s="1"/>
  <c r="AC29" i="46"/>
  <c r="X26" i="46"/>
  <c r="AK26" i="46" s="1"/>
  <c r="Y168" i="46"/>
  <c r="AC164" i="46"/>
  <c r="AC148" i="46"/>
  <c r="Y136" i="46"/>
  <c r="AC132" i="46"/>
  <c r="X129" i="46"/>
  <c r="AK129" i="46" s="1"/>
  <c r="AA118" i="46"/>
  <c r="AM118" i="46" s="1"/>
  <c r="Z111" i="46"/>
  <c r="AL111" i="46" s="1"/>
  <c r="AC100" i="46"/>
  <c r="X97" i="46"/>
  <c r="AK97" i="46" s="1"/>
  <c r="Z95" i="46"/>
  <c r="AL95" i="46" s="1"/>
  <c r="AB93" i="46"/>
  <c r="Y88" i="46"/>
  <c r="AC84" i="46"/>
  <c r="X81" i="46"/>
  <c r="AK81" i="46" s="1"/>
  <c r="Z79" i="46"/>
  <c r="AL79" i="46" s="1"/>
  <c r="AB77" i="46"/>
  <c r="AA70" i="46"/>
  <c r="AM70" i="46" s="1"/>
  <c r="AB61" i="46"/>
  <c r="Z47" i="46"/>
  <c r="AL47" i="46" s="1"/>
  <c r="Z31" i="46"/>
  <c r="AL31" i="46" s="1"/>
  <c r="AB29" i="46"/>
  <c r="Y31" i="46"/>
  <c r="AA29" i="46"/>
  <c r="AM29" i="46" s="1"/>
  <c r="X31" i="46"/>
  <c r="AK31" i="46" s="1"/>
  <c r="Z29" i="46"/>
  <c r="AL29" i="46" s="1"/>
  <c r="X166" i="46"/>
  <c r="AK166" i="46" s="1"/>
  <c r="N15" i="98" s="1"/>
  <c r="I15" i="98" s="1"/>
  <c r="X150" i="46"/>
  <c r="AK150" i="46" s="1"/>
  <c r="N38" i="98" s="1"/>
  <c r="I38" i="98" s="1"/>
  <c r="AA139" i="46"/>
  <c r="AM139" i="46" s="1"/>
  <c r="X134" i="46"/>
  <c r="AK134" i="46" s="1"/>
  <c r="Z132" i="46"/>
  <c r="AL132" i="46" s="1"/>
  <c r="AA123" i="46"/>
  <c r="AM123" i="46" s="1"/>
  <c r="X118" i="46"/>
  <c r="AK118" i="46" s="1"/>
  <c r="Z100" i="46"/>
  <c r="AL100" i="46" s="1"/>
  <c r="Y93" i="46"/>
  <c r="AC89" i="46"/>
  <c r="Z84" i="46"/>
  <c r="AL84" i="46" s="1"/>
  <c r="Y77" i="46"/>
  <c r="X70" i="46"/>
  <c r="AK70" i="46" s="1"/>
  <c r="Y61" i="46"/>
  <c r="AA59" i="46"/>
  <c r="AM59" i="46" s="1"/>
  <c r="Y29" i="46"/>
  <c r="X29" i="46"/>
  <c r="AK29" i="46" s="1"/>
  <c r="Z123" i="46"/>
  <c r="AL123" i="46" s="1"/>
  <c r="AA114" i="46"/>
  <c r="AM114" i="46" s="1"/>
  <c r="Y100" i="46"/>
  <c r="X93" i="46"/>
  <c r="AK93" i="46" s="1"/>
  <c r="Y84" i="46"/>
  <c r="X77" i="46"/>
  <c r="AK77" i="46" s="1"/>
  <c r="AA66" i="46"/>
  <c r="AM66" i="46" s="1"/>
  <c r="X61" i="46"/>
  <c r="AK61" i="46" s="1"/>
  <c r="Z59" i="46"/>
  <c r="AL59" i="46" s="1"/>
  <c r="AA50" i="46"/>
  <c r="AM50" i="46" s="1"/>
  <c r="AC151" i="46"/>
  <c r="Z130" i="46"/>
  <c r="AL130" i="46" s="1"/>
  <c r="Y123" i="46"/>
  <c r="Z114" i="46"/>
  <c r="AL114" i="46" s="1"/>
  <c r="AC103" i="46"/>
  <c r="X100" i="46"/>
  <c r="AK100" i="46" s="1"/>
  <c r="AC87" i="46"/>
  <c r="X84" i="46"/>
  <c r="AK84" i="46" s="1"/>
  <c r="AB80" i="46"/>
  <c r="W77" i="46"/>
  <c r="Z66" i="46"/>
  <c r="AL66" i="46" s="1"/>
  <c r="Y59" i="46"/>
  <c r="AC55" i="46"/>
  <c r="Z50" i="46"/>
  <c r="AL50" i="46" s="1"/>
  <c r="W29" i="46"/>
  <c r="AC23" i="46"/>
  <c r="AA23" i="46"/>
  <c r="AM23" i="46" s="1"/>
  <c r="AB21" i="46"/>
  <c r="AJ38" i="46"/>
  <c r="E71" i="88" s="1"/>
  <c r="AP70" i="46" l="1"/>
  <c r="I124" i="98"/>
  <c r="I98" i="98"/>
  <c r="K124" i="98"/>
  <c r="K40" i="67"/>
  <c r="K98" i="98"/>
  <c r="J8" i="67"/>
  <c r="I51" i="67"/>
  <c r="J129" i="98"/>
  <c r="K51" i="67"/>
  <c r="AS173" i="46"/>
  <c r="O77" i="98"/>
  <c r="J77" i="98" s="1"/>
  <c r="AR41" i="46"/>
  <c r="N115" i="98"/>
  <c r="I115" i="98" s="1"/>
  <c r="AR24" i="46"/>
  <c r="N94" i="98"/>
  <c r="I94" i="98" s="1"/>
  <c r="AR198" i="46"/>
  <c r="N153" i="98"/>
  <c r="I153" i="98" s="1"/>
  <c r="AS198" i="46"/>
  <c r="O153" i="98"/>
  <c r="J153" i="98" s="1"/>
  <c r="L30" i="98"/>
  <c r="T30" i="98" s="1"/>
  <c r="Q30" i="98"/>
  <c r="AS179" i="46"/>
  <c r="O111" i="98"/>
  <c r="J111" i="98" s="1"/>
  <c r="AT179" i="46"/>
  <c r="P111" i="98"/>
  <c r="K111" i="98" s="1"/>
  <c r="AT9" i="46"/>
  <c r="P129" i="98"/>
  <c r="K129" i="98" s="1"/>
  <c r="AS24" i="46"/>
  <c r="O94" i="98"/>
  <c r="J94" i="98" s="1"/>
  <c r="AS114" i="46"/>
  <c r="O144" i="98"/>
  <c r="J144" i="98" s="1"/>
  <c r="AR77" i="46"/>
  <c r="N102" i="98"/>
  <c r="I102" i="98" s="1"/>
  <c r="AT59" i="46"/>
  <c r="P61" i="98"/>
  <c r="K61" i="98" s="1"/>
  <c r="AR118" i="46"/>
  <c r="N44" i="98"/>
  <c r="I44" i="98" s="1"/>
  <c r="AS31" i="46"/>
  <c r="O105" i="98"/>
  <c r="J105" i="98" s="1"/>
  <c r="AR83" i="46"/>
  <c r="N46" i="98"/>
  <c r="I46" i="98" s="1"/>
  <c r="AS97" i="46"/>
  <c r="O96" i="98"/>
  <c r="J96" i="98" s="1"/>
  <c r="AT136" i="46"/>
  <c r="P37" i="98"/>
  <c r="K37" i="98" s="1"/>
  <c r="AT81" i="46"/>
  <c r="P150" i="98"/>
  <c r="K150" i="98" s="1"/>
  <c r="AT74" i="46"/>
  <c r="P119" i="98"/>
  <c r="K119" i="98" s="1"/>
  <c r="AS115" i="46"/>
  <c r="O23" i="98"/>
  <c r="J23" i="98" s="1"/>
  <c r="AS60" i="46"/>
  <c r="O17" i="98"/>
  <c r="J17" i="98" s="1"/>
  <c r="AT131" i="46"/>
  <c r="P25" i="98"/>
  <c r="K25" i="98" s="1"/>
  <c r="AS110" i="46"/>
  <c r="O22" i="98"/>
  <c r="J22" i="98" s="1"/>
  <c r="AR89" i="46"/>
  <c r="N10" i="98"/>
  <c r="I10" i="98" s="1"/>
  <c r="AT55" i="46"/>
  <c r="P133" i="98"/>
  <c r="K133" i="98" s="1"/>
  <c r="AS80" i="46"/>
  <c r="O100" i="98"/>
  <c r="J100" i="98" s="1"/>
  <c r="AT103" i="46"/>
  <c r="P4" i="98"/>
  <c r="K4" i="98" s="1"/>
  <c r="AR59" i="46"/>
  <c r="N61" i="98"/>
  <c r="I61" i="98" s="1"/>
  <c r="AR123" i="46"/>
  <c r="N74" i="98"/>
  <c r="I74" i="98" s="1"/>
  <c r="AR6" i="46"/>
  <c r="N104" i="98"/>
  <c r="I104" i="98" s="1"/>
  <c r="AT171" i="46"/>
  <c r="P95" i="98"/>
  <c r="K95" i="98" s="1"/>
  <c r="AR47" i="46"/>
  <c r="N8" i="98"/>
  <c r="I8" i="98" s="1"/>
  <c r="AR111" i="46"/>
  <c r="N18" i="98"/>
  <c r="I18" i="98" s="1"/>
  <c r="S220" i="67"/>
  <c r="V216" i="98"/>
  <c r="AS7" i="46"/>
  <c r="O3" i="98"/>
  <c r="J3" i="98" s="1"/>
  <c r="AT7" i="46"/>
  <c r="P3" i="98"/>
  <c r="K3" i="98" s="1"/>
  <c r="AS47" i="46"/>
  <c r="O8" i="98"/>
  <c r="J8" i="98" s="1"/>
  <c r="AS111" i="46"/>
  <c r="O18" i="98"/>
  <c r="J18" i="98" s="1"/>
  <c r="AR26" i="46"/>
  <c r="N49" i="98"/>
  <c r="I49" i="98" s="1"/>
  <c r="AR23" i="46"/>
  <c r="N26" i="98"/>
  <c r="I26" i="98" s="1"/>
  <c r="AT93" i="46"/>
  <c r="P14" i="98"/>
  <c r="K14" i="98" s="1"/>
  <c r="AT141" i="46"/>
  <c r="P116" i="98"/>
  <c r="K116" i="98" s="1"/>
  <c r="AT189" i="46"/>
  <c r="P62" i="98"/>
  <c r="K62" i="98" s="1"/>
  <c r="AT150" i="46"/>
  <c r="P38" i="98"/>
  <c r="K38" i="98" s="1"/>
  <c r="AT166" i="46"/>
  <c r="P15" i="98"/>
  <c r="K15" i="98" s="1"/>
  <c r="AS6" i="46"/>
  <c r="O104" i="98"/>
  <c r="J104" i="98" s="1"/>
  <c r="AT95" i="46"/>
  <c r="P79" i="98"/>
  <c r="K79" i="98" s="1"/>
  <c r="AS136" i="46"/>
  <c r="O37" i="98"/>
  <c r="J37" i="98" s="1"/>
  <c r="AT6" i="46"/>
  <c r="P104" i="98"/>
  <c r="K104" i="98" s="1"/>
  <c r="AT88" i="46"/>
  <c r="P107" i="98"/>
  <c r="K107" i="98" s="1"/>
  <c r="AS129" i="46"/>
  <c r="O147" i="98"/>
  <c r="J147" i="98" s="1"/>
  <c r="AR21" i="46"/>
  <c r="N148" i="98"/>
  <c r="I148" i="98" s="1"/>
  <c r="AT78" i="46"/>
  <c r="P138" i="98"/>
  <c r="K138" i="98" s="1"/>
  <c r="AT94" i="46"/>
  <c r="P58" i="98"/>
  <c r="K58" i="98" s="1"/>
  <c r="AT5" i="46"/>
  <c r="P134" i="98"/>
  <c r="K134" i="98" s="1"/>
  <c r="AT87" i="46"/>
  <c r="P73" i="98"/>
  <c r="K73" i="98" s="1"/>
  <c r="AR132" i="46"/>
  <c r="N99" i="98"/>
  <c r="I99" i="98" s="1"/>
  <c r="Q219" i="67"/>
  <c r="R30" i="98"/>
  <c r="S30" i="98" s="1"/>
  <c r="AR7" i="46"/>
  <c r="N3" i="98"/>
  <c r="I3" i="98" s="1"/>
  <c r="AS50" i="46"/>
  <c r="O75" i="98"/>
  <c r="J75" i="98" s="1"/>
  <c r="AR100" i="46"/>
  <c r="N101" i="98"/>
  <c r="I101" i="98" s="1"/>
  <c r="AS130" i="46"/>
  <c r="O9" i="98"/>
  <c r="J9" i="98" s="1"/>
  <c r="AR61" i="46"/>
  <c r="N118" i="98"/>
  <c r="I118" i="98" s="1"/>
  <c r="AR93" i="46"/>
  <c r="N14" i="98"/>
  <c r="I14" i="98" s="1"/>
  <c r="AR29" i="46"/>
  <c r="N157" i="98"/>
  <c r="I157" i="98" s="1"/>
  <c r="AR70" i="46"/>
  <c r="N85" i="98"/>
  <c r="I85" i="98" s="1"/>
  <c r="AS132" i="46"/>
  <c r="O99" i="98"/>
  <c r="J99" i="98" s="1"/>
  <c r="AR81" i="46"/>
  <c r="N150" i="98"/>
  <c r="I150" i="98" s="1"/>
  <c r="AS95" i="46"/>
  <c r="O79" i="98"/>
  <c r="J79" i="98" s="1"/>
  <c r="AT118" i="46"/>
  <c r="P44" i="98"/>
  <c r="K44" i="98" s="1"/>
  <c r="AT26" i="46"/>
  <c r="P49" i="98"/>
  <c r="K49" i="98" s="1"/>
  <c r="AT61" i="46"/>
  <c r="P118" i="98"/>
  <c r="K118" i="98" s="1"/>
  <c r="AS118" i="46"/>
  <c r="O44" i="98"/>
  <c r="J44" i="98" s="1"/>
  <c r="AS134" i="46"/>
  <c r="O123" i="98"/>
  <c r="J123" i="98" s="1"/>
  <c r="AT134" i="46"/>
  <c r="P123" i="98"/>
  <c r="K123" i="98" s="1"/>
  <c r="AR8" i="46"/>
  <c r="N91" i="98"/>
  <c r="I91" i="98" s="1"/>
  <c r="AR74" i="46"/>
  <c r="N119" i="98"/>
  <c r="I119" i="98" s="1"/>
  <c r="AS88" i="46"/>
  <c r="O107" i="98"/>
  <c r="J107" i="98" s="1"/>
  <c r="AR35" i="46"/>
  <c r="N109" i="98"/>
  <c r="I109" i="98" s="1"/>
  <c r="AR131" i="46"/>
  <c r="N25" i="98"/>
  <c r="I25" i="98" s="1"/>
  <c r="AT184" i="46"/>
  <c r="P69" i="98"/>
  <c r="K69" i="98" s="1"/>
  <c r="AS74" i="46"/>
  <c r="O119" i="98"/>
  <c r="J119" i="98" s="1"/>
  <c r="AS106" i="46"/>
  <c r="O135" i="98"/>
  <c r="J135" i="98" s="1"/>
  <c r="AS35" i="46"/>
  <c r="O109" i="98"/>
  <c r="J109" i="98" s="1"/>
  <c r="AS83" i="46"/>
  <c r="O46" i="98"/>
  <c r="J46" i="98" s="1"/>
  <c r="AT106" i="46"/>
  <c r="P135" i="98"/>
  <c r="K135" i="98" s="1"/>
  <c r="AS131" i="46"/>
  <c r="O25" i="98"/>
  <c r="J25" i="98" s="1"/>
  <c r="AT154" i="46"/>
  <c r="P108" i="98"/>
  <c r="K108" i="98" s="1"/>
  <c r="AT218" i="46"/>
  <c r="P126" i="98"/>
  <c r="K126" i="98" s="1"/>
  <c r="AR78" i="46"/>
  <c r="N138" i="98"/>
  <c r="I138" i="98" s="1"/>
  <c r="AR94" i="46"/>
  <c r="N58" i="98"/>
  <c r="I58" i="98" s="1"/>
  <c r="AT115" i="46"/>
  <c r="P23" i="98"/>
  <c r="K23" i="98" s="1"/>
  <c r="AT60" i="46"/>
  <c r="P17" i="98"/>
  <c r="K17" i="98" s="1"/>
  <c r="AR87" i="46"/>
  <c r="N73" i="98"/>
  <c r="I73" i="98" s="1"/>
  <c r="AS78" i="46"/>
  <c r="O138" i="98"/>
  <c r="J138" i="98" s="1"/>
  <c r="AS94" i="46"/>
  <c r="O58" i="98"/>
  <c r="J58" i="98" s="1"/>
  <c r="AT165" i="46"/>
  <c r="P47" i="98"/>
  <c r="K47" i="98" s="1"/>
  <c r="AS5" i="46"/>
  <c r="O134" i="98"/>
  <c r="J134" i="98" s="1"/>
  <c r="AS103" i="46"/>
  <c r="O4" i="98"/>
  <c r="J4" i="98" s="1"/>
  <c r="AR66" i="46"/>
  <c r="N28" i="98"/>
  <c r="I28" i="98" s="1"/>
  <c r="AR114" i="46"/>
  <c r="N144" i="98"/>
  <c r="I144" i="98" s="1"/>
  <c r="AS89" i="46"/>
  <c r="O10" i="98"/>
  <c r="J10" i="98" s="1"/>
  <c r="AT100" i="46"/>
  <c r="P101" i="98"/>
  <c r="K101" i="98" s="1"/>
  <c r="AS77" i="46"/>
  <c r="O102" i="98"/>
  <c r="J102" i="98" s="1"/>
  <c r="AR5" i="46"/>
  <c r="N134" i="98"/>
  <c r="I134" i="98" s="1"/>
  <c r="AR79" i="46"/>
  <c r="N125" i="98"/>
  <c r="I125" i="98" s="1"/>
  <c r="Q220" i="67"/>
  <c r="R216" i="98"/>
  <c r="S216" i="98" s="1"/>
  <c r="AT198" i="46"/>
  <c r="P153" i="98"/>
  <c r="K153" i="98" s="1"/>
  <c r="Q216" i="98"/>
  <c r="L216" i="98"/>
  <c r="T216" i="98" s="1"/>
  <c r="AR173" i="46"/>
  <c r="N77" i="98"/>
  <c r="I77" i="98" s="1"/>
  <c r="AT173" i="46"/>
  <c r="P77" i="98"/>
  <c r="K77" i="98" s="1"/>
  <c r="AS41" i="46"/>
  <c r="O115" i="98"/>
  <c r="J115" i="98" s="1"/>
  <c r="AT24" i="46"/>
  <c r="P94" i="98"/>
  <c r="K94" i="98" s="1"/>
  <c r="K113" i="98"/>
  <c r="AR84" i="46"/>
  <c r="N156" i="98"/>
  <c r="I156" i="98" s="1"/>
  <c r="AT50" i="46"/>
  <c r="P75" i="98"/>
  <c r="K75" i="98" s="1"/>
  <c r="AT114" i="46"/>
  <c r="P144" i="98"/>
  <c r="K144" i="98" s="1"/>
  <c r="AS84" i="46"/>
  <c r="O156" i="98"/>
  <c r="J156" i="98" s="1"/>
  <c r="AT139" i="46"/>
  <c r="P117" i="98"/>
  <c r="K117" i="98" s="1"/>
  <c r="AR31" i="46"/>
  <c r="N105" i="98"/>
  <c r="I105" i="98" s="1"/>
  <c r="AT77" i="46"/>
  <c r="P102" i="98"/>
  <c r="K102" i="98" s="1"/>
  <c r="AR88" i="46"/>
  <c r="N107" i="98"/>
  <c r="I107" i="98" s="1"/>
  <c r="AT79" i="46"/>
  <c r="P125" i="98"/>
  <c r="K125" i="98" s="1"/>
  <c r="AT111" i="46"/>
  <c r="P18" i="98"/>
  <c r="K18" i="98" s="1"/>
  <c r="AT143" i="46"/>
  <c r="P33" i="98"/>
  <c r="K33" i="98" s="1"/>
  <c r="AT90" i="46"/>
  <c r="P54" i="98"/>
  <c r="K54" i="98" s="1"/>
  <c r="AT138" i="46"/>
  <c r="P128" i="98"/>
  <c r="K128" i="98" s="1"/>
  <c r="AT83" i="46"/>
  <c r="P46" i="98"/>
  <c r="K46" i="98" s="1"/>
  <c r="AS55" i="46"/>
  <c r="O133" i="98"/>
  <c r="J133" i="98" s="1"/>
  <c r="AT176" i="46"/>
  <c r="P151" i="98"/>
  <c r="K151" i="98" s="1"/>
  <c r="AT89" i="46"/>
  <c r="P10" i="98"/>
  <c r="K10" i="98" s="1"/>
  <c r="AT153" i="46"/>
  <c r="P84" i="98"/>
  <c r="K84" i="98" s="1"/>
  <c r="AT132" i="46"/>
  <c r="P99" i="98"/>
  <c r="K99" i="98" s="1"/>
  <c r="AT130" i="46"/>
  <c r="P9" i="98"/>
  <c r="K9" i="98" s="1"/>
  <c r="AT159" i="46"/>
  <c r="P88" i="98"/>
  <c r="K88" i="98" s="1"/>
  <c r="S219" i="67"/>
  <c r="V30" i="98"/>
  <c r="AS8" i="46"/>
  <c r="O91" i="98"/>
  <c r="J91" i="98" s="1"/>
  <c r="AS66" i="46"/>
  <c r="O28" i="98"/>
  <c r="J28" i="98" s="1"/>
  <c r="AS59" i="46"/>
  <c r="O61" i="98"/>
  <c r="J61" i="98" s="1"/>
  <c r="AS123" i="46"/>
  <c r="O74" i="98"/>
  <c r="J74" i="98" s="1"/>
  <c r="AT123" i="46"/>
  <c r="P74" i="98"/>
  <c r="K74" i="98" s="1"/>
  <c r="AT29" i="46"/>
  <c r="P157" i="98"/>
  <c r="K157" i="98" s="1"/>
  <c r="AS79" i="46"/>
  <c r="O125" i="98"/>
  <c r="J125" i="98" s="1"/>
  <c r="AS26" i="46"/>
  <c r="O49" i="98"/>
  <c r="J49" i="98" s="1"/>
  <c r="AR60" i="46"/>
  <c r="N17" i="98"/>
  <c r="I17" i="98" s="1"/>
  <c r="AT97" i="46"/>
  <c r="P96" i="98"/>
  <c r="K96" i="98" s="1"/>
  <c r="AT129" i="46"/>
  <c r="P147" i="98"/>
  <c r="K147" i="98" s="1"/>
  <c r="AR110" i="46"/>
  <c r="N22" i="98"/>
  <c r="I22" i="98" s="1"/>
  <c r="AT195" i="46"/>
  <c r="P130" i="98"/>
  <c r="K130" i="98" s="1"/>
  <c r="AR55" i="46"/>
  <c r="N133" i="98"/>
  <c r="I133" i="98" s="1"/>
  <c r="AR103" i="46"/>
  <c r="N4" i="98"/>
  <c r="I4" i="98" s="1"/>
  <c r="AT8" i="46"/>
  <c r="P91" i="98"/>
  <c r="K91" i="98" s="1"/>
  <c r="AT23" i="46"/>
  <c r="P26" i="98"/>
  <c r="K26" i="98" s="1"/>
  <c r="AT66" i="46"/>
  <c r="P28" i="98"/>
  <c r="K28" i="98" s="1"/>
  <c r="AS100" i="46"/>
  <c r="O101" i="98"/>
  <c r="J101" i="98" s="1"/>
  <c r="AR134" i="46"/>
  <c r="N123" i="98"/>
  <c r="I123" i="98" s="1"/>
  <c r="AS29" i="46"/>
  <c r="O157" i="98"/>
  <c r="J157" i="98" s="1"/>
  <c r="AT70" i="46"/>
  <c r="P85" i="98"/>
  <c r="K85" i="98" s="1"/>
  <c r="AR97" i="46"/>
  <c r="N96" i="98"/>
  <c r="I96" i="98" s="1"/>
  <c r="AR129" i="46"/>
  <c r="N147" i="98"/>
  <c r="I147" i="98" s="1"/>
  <c r="AT31" i="46"/>
  <c r="P105" i="98"/>
  <c r="K105" i="98" s="1"/>
  <c r="AT21" i="46"/>
  <c r="P148" i="98"/>
  <c r="K148" i="98" s="1"/>
  <c r="AS70" i="46"/>
  <c r="O85" i="98"/>
  <c r="J85" i="98" s="1"/>
  <c r="AR136" i="46"/>
  <c r="N37" i="98"/>
  <c r="I37" i="98" s="1"/>
  <c r="AT47" i="46"/>
  <c r="P8" i="98"/>
  <c r="K8" i="98" s="1"/>
  <c r="AR90" i="46"/>
  <c r="N54" i="98"/>
  <c r="I54" i="98" s="1"/>
  <c r="AR106" i="46"/>
  <c r="N135" i="98"/>
  <c r="I135" i="98" s="1"/>
  <c r="AS81" i="46"/>
  <c r="O150" i="98"/>
  <c r="J150" i="98" s="1"/>
  <c r="AR115" i="46"/>
  <c r="N23" i="98"/>
  <c r="I23" i="98" s="1"/>
  <c r="AT168" i="46"/>
  <c r="P40" i="98"/>
  <c r="K40" i="98" s="1"/>
  <c r="AS90" i="46"/>
  <c r="O54" i="98"/>
  <c r="J54" i="98" s="1"/>
  <c r="AT35" i="46"/>
  <c r="P109" i="98"/>
  <c r="K109" i="98" s="1"/>
  <c r="AS21" i="46"/>
  <c r="O148" i="98"/>
  <c r="J148" i="98" s="1"/>
  <c r="AT140" i="46"/>
  <c r="P122" i="98"/>
  <c r="K122" i="98" s="1"/>
  <c r="AR80" i="46"/>
  <c r="N100" i="98"/>
  <c r="I100" i="98" s="1"/>
  <c r="AS23" i="46"/>
  <c r="O26" i="98"/>
  <c r="J26" i="98" s="1"/>
  <c r="AS87" i="46"/>
  <c r="O73" i="98"/>
  <c r="J73" i="98" s="1"/>
  <c r="AT110" i="46"/>
  <c r="P22" i="98"/>
  <c r="K22" i="98" s="1"/>
  <c r="AR50" i="46"/>
  <c r="N75" i="98"/>
  <c r="I75" i="98" s="1"/>
  <c r="AR130" i="46"/>
  <c r="N9" i="98"/>
  <c r="I9" i="98" s="1"/>
  <c r="AT80" i="46"/>
  <c r="P100" i="98"/>
  <c r="K100" i="98" s="1"/>
  <c r="AS93" i="46"/>
  <c r="O14" i="98"/>
  <c r="J14" i="98" s="1"/>
  <c r="AS61" i="46"/>
  <c r="O118" i="98"/>
  <c r="J118" i="98" s="1"/>
  <c r="AT84" i="46"/>
  <c r="P156" i="98"/>
  <c r="K156" i="98" s="1"/>
  <c r="AR95" i="46"/>
  <c r="N79" i="98"/>
  <c r="I79" i="98" s="1"/>
  <c r="AR179" i="46"/>
  <c r="N111" i="98"/>
  <c r="I111" i="98" s="1"/>
  <c r="AR57" i="46"/>
  <c r="N169" i="98"/>
  <c r="I169" i="98" s="1"/>
  <c r="L77" i="98"/>
  <c r="T77" i="98" s="1"/>
  <c r="R182" i="67"/>
  <c r="U31" i="98"/>
  <c r="R110" i="67"/>
  <c r="U18" i="98"/>
  <c r="S133" i="67"/>
  <c r="V123" i="98"/>
  <c r="S69" i="67"/>
  <c r="V85" i="98"/>
  <c r="S110" i="67"/>
  <c r="V18" i="98"/>
  <c r="S198" i="67"/>
  <c r="V67" i="98"/>
  <c r="Q183" i="67"/>
  <c r="R69" i="98"/>
  <c r="S69" i="98" s="1"/>
  <c r="S153" i="67"/>
  <c r="V108" i="98"/>
  <c r="S195" i="67"/>
  <c r="V64" i="98"/>
  <c r="S172" i="67"/>
  <c r="V77" i="98"/>
  <c r="R176" i="67"/>
  <c r="U71" i="98"/>
  <c r="R170" i="67"/>
  <c r="U95" i="98"/>
  <c r="Q140" i="67"/>
  <c r="R116" i="98"/>
  <c r="S116" i="98" s="1"/>
  <c r="S82" i="67"/>
  <c r="V46" i="98"/>
  <c r="Q88" i="67"/>
  <c r="R10" i="98"/>
  <c r="S10" i="98" s="1"/>
  <c r="R153" i="67"/>
  <c r="U108" i="98"/>
  <c r="S54" i="67"/>
  <c r="V133" i="98"/>
  <c r="S142" i="67"/>
  <c r="V33" i="98"/>
  <c r="Q181" i="67"/>
  <c r="R90" i="98"/>
  <c r="S90" i="98" s="1"/>
  <c r="S99" i="67"/>
  <c r="V101" i="98"/>
  <c r="Q54" i="67"/>
  <c r="R133" i="98"/>
  <c r="S133" i="98" s="1"/>
  <c r="S169" i="67"/>
  <c r="V137" i="98"/>
  <c r="S170" i="67"/>
  <c r="V95" i="98"/>
  <c r="S80" i="67"/>
  <c r="V150" i="98"/>
  <c r="R173" i="67"/>
  <c r="U70" i="98"/>
  <c r="Q195" i="67"/>
  <c r="R64" i="98"/>
  <c r="S64" i="98" s="1"/>
  <c r="R77" i="67"/>
  <c r="U138" i="98"/>
  <c r="R114" i="67"/>
  <c r="U23" i="98"/>
  <c r="R69" i="67"/>
  <c r="U85" i="98"/>
  <c r="S217" i="67"/>
  <c r="V126" i="98"/>
  <c r="R178" i="67"/>
  <c r="U111" i="98"/>
  <c r="R109" i="67"/>
  <c r="U22" i="98"/>
  <c r="S4" i="67"/>
  <c r="V134" i="98"/>
  <c r="S149" i="67"/>
  <c r="V38" i="98"/>
  <c r="S79" i="67"/>
  <c r="V100" i="98"/>
  <c r="S94" i="67"/>
  <c r="V79" i="98"/>
  <c r="S22" i="67"/>
  <c r="V26" i="98"/>
  <c r="S154" i="67"/>
  <c r="V16" i="98"/>
  <c r="S76" i="67"/>
  <c r="V102" i="98"/>
  <c r="S183" i="67"/>
  <c r="V69" i="98"/>
  <c r="S138" i="67"/>
  <c r="V117" i="98"/>
  <c r="R219" i="67"/>
  <c r="U30" i="98"/>
  <c r="R165" i="67"/>
  <c r="U15" i="98"/>
  <c r="R147" i="67"/>
  <c r="U120" i="98"/>
  <c r="R99" i="67"/>
  <c r="U101" i="98"/>
  <c r="S194" i="67"/>
  <c r="V130" i="98"/>
  <c r="S189" i="67"/>
  <c r="V110" i="98"/>
  <c r="S176" i="67"/>
  <c r="V71" i="98"/>
  <c r="S83" i="67"/>
  <c r="V156" i="98"/>
  <c r="S150" i="67"/>
  <c r="V63" i="98"/>
  <c r="S167" i="67"/>
  <c r="V40" i="98"/>
  <c r="Q83" i="67"/>
  <c r="R156" i="98"/>
  <c r="S156" i="98" s="1"/>
  <c r="S113" i="67"/>
  <c r="V144" i="98"/>
  <c r="S185" i="67"/>
  <c r="V55" i="98"/>
  <c r="S114" i="67"/>
  <c r="V23" i="98"/>
  <c r="S178" i="67"/>
  <c r="V111" i="98"/>
  <c r="S139" i="67"/>
  <c r="V122" i="98"/>
  <c r="R164" i="67"/>
  <c r="U47" i="98"/>
  <c r="R181" i="67"/>
  <c r="U90" i="98"/>
  <c r="R195" i="67"/>
  <c r="U64" i="98"/>
  <c r="R185" i="67"/>
  <c r="U55" i="98"/>
  <c r="R198" i="67"/>
  <c r="U67" i="98"/>
  <c r="R150" i="67"/>
  <c r="U63" i="98"/>
  <c r="S173" i="67"/>
  <c r="V70" i="98"/>
  <c r="R167" i="67"/>
  <c r="U40" i="98"/>
  <c r="R128" i="67"/>
  <c r="U147" i="98"/>
  <c r="R169" i="67"/>
  <c r="U137" i="98"/>
  <c r="S86" i="67"/>
  <c r="V73" i="98"/>
  <c r="S134" i="67"/>
  <c r="V34" i="98"/>
  <c r="Q65" i="67"/>
  <c r="R28" i="98"/>
  <c r="S28" i="98" s="1"/>
  <c r="R197" i="67"/>
  <c r="U153" i="98"/>
  <c r="R175" i="67"/>
  <c r="U151" i="98"/>
  <c r="S168" i="67"/>
  <c r="V132" i="98"/>
  <c r="S96" i="67"/>
  <c r="V96" i="98"/>
  <c r="S182" i="67"/>
  <c r="V31" i="98"/>
  <c r="S58" i="67"/>
  <c r="V61" i="98"/>
  <c r="S175" i="67"/>
  <c r="V151" i="98"/>
  <c r="Q96" i="67"/>
  <c r="R96" i="98"/>
  <c r="S96" i="98" s="1"/>
  <c r="S128" i="67"/>
  <c r="V147" i="98"/>
  <c r="S129" i="67"/>
  <c r="V9" i="98"/>
  <c r="S201" i="67"/>
  <c r="V114" i="98"/>
  <c r="S122" i="67"/>
  <c r="V74" i="98"/>
  <c r="S186" i="67"/>
  <c r="V13" i="98"/>
  <c r="Q153" i="67"/>
  <c r="R108" i="98"/>
  <c r="S108" i="98" s="1"/>
  <c r="S147" i="67"/>
  <c r="V120" i="98"/>
  <c r="R172" i="67"/>
  <c r="U77" i="98"/>
  <c r="S156" i="67"/>
  <c r="V131" i="98"/>
  <c r="R220" i="67"/>
  <c r="U216" i="98"/>
  <c r="R113" i="67"/>
  <c r="U144" i="98"/>
  <c r="R186" i="67"/>
  <c r="U13" i="98"/>
  <c r="R58" i="67"/>
  <c r="U61" i="98"/>
  <c r="R168" i="67"/>
  <c r="U132" i="98"/>
  <c r="R184" i="67"/>
  <c r="U19" i="98"/>
  <c r="S179" i="67"/>
  <c r="V152" i="98"/>
  <c r="S187" i="67"/>
  <c r="V50" i="98"/>
  <c r="S50" i="67"/>
  <c r="V112" i="98"/>
  <c r="Q62" i="67"/>
  <c r="R76" i="98"/>
  <c r="S76" i="98" s="1"/>
  <c r="S117" i="67"/>
  <c r="V44" i="98"/>
  <c r="R96" i="67"/>
  <c r="U96" i="98"/>
  <c r="Q172" i="67"/>
  <c r="J120" i="96"/>
  <c r="Q182" i="67"/>
  <c r="J127" i="96"/>
  <c r="Q128" i="67"/>
  <c r="J88" i="96"/>
  <c r="Q139" i="67"/>
  <c r="J98" i="96"/>
  <c r="Q199" i="67"/>
  <c r="J140" i="96"/>
  <c r="Q192" i="67"/>
  <c r="J135" i="96"/>
  <c r="Q188" i="67"/>
  <c r="J132" i="96"/>
  <c r="Q156" i="67"/>
  <c r="J110" i="96"/>
  <c r="Q73" i="67"/>
  <c r="J50" i="96"/>
  <c r="Q122" i="67"/>
  <c r="J83" i="96"/>
  <c r="Q81" i="67"/>
  <c r="J56" i="96"/>
  <c r="Q6" i="67"/>
  <c r="J3" i="96"/>
  <c r="Q165" i="67"/>
  <c r="J115" i="96"/>
  <c r="Q76" i="67"/>
  <c r="J52" i="96"/>
  <c r="Q175" i="67"/>
  <c r="J122" i="96"/>
  <c r="Q178" i="67"/>
  <c r="J125" i="96"/>
  <c r="Q173" i="67"/>
  <c r="J121" i="96"/>
  <c r="Q110" i="67"/>
  <c r="J75" i="96"/>
  <c r="Q198" i="67"/>
  <c r="J139" i="96"/>
  <c r="Q99" i="67"/>
  <c r="J66" i="96"/>
  <c r="Q168" i="67"/>
  <c r="J117" i="96"/>
  <c r="Q169" i="67"/>
  <c r="J118" i="96"/>
  <c r="Q114" i="67"/>
  <c r="J78" i="96"/>
  <c r="Q186" i="67"/>
  <c r="J130" i="96"/>
  <c r="Q147" i="67"/>
  <c r="J103" i="96"/>
  <c r="Q162" i="67"/>
  <c r="J112" i="96"/>
  <c r="Q87" i="67"/>
  <c r="J60" i="96"/>
  <c r="Q132" i="67"/>
  <c r="J92" i="96"/>
  <c r="Q89" i="67"/>
  <c r="J61" i="96"/>
  <c r="Q69" i="67"/>
  <c r="J46" i="96"/>
  <c r="Q134" i="67"/>
  <c r="J94" i="96"/>
  <c r="Q135" i="67"/>
  <c r="J95" i="96"/>
  <c r="Q176" i="67"/>
  <c r="J123" i="96"/>
  <c r="Q113" i="67"/>
  <c r="J77" i="96"/>
  <c r="Q185" i="67"/>
  <c r="J129" i="96"/>
  <c r="Q138" i="67"/>
  <c r="J97" i="96"/>
  <c r="Q194" i="67"/>
  <c r="J136" i="96"/>
  <c r="AU173" i="46"/>
  <c r="E144" i="94" s="1"/>
  <c r="H120" i="96"/>
  <c r="Q196" i="67"/>
  <c r="J137" i="96"/>
  <c r="Q34" i="67"/>
  <c r="J23" i="96"/>
  <c r="Q49" i="67"/>
  <c r="Q93" i="67"/>
  <c r="J63" i="96"/>
  <c r="Q25" i="67"/>
  <c r="J16" i="96"/>
  <c r="Q102" i="67"/>
  <c r="J68" i="96"/>
  <c r="Q109" i="67"/>
  <c r="J74" i="96"/>
  <c r="Q197" i="67"/>
  <c r="J138" i="96"/>
  <c r="Q150" i="67"/>
  <c r="J106" i="96"/>
  <c r="Q58" i="67"/>
  <c r="J41" i="96"/>
  <c r="Q167" i="67"/>
  <c r="J116" i="96"/>
  <c r="Q129" i="67"/>
  <c r="J89" i="96"/>
  <c r="Q201" i="67"/>
  <c r="J141" i="96"/>
  <c r="Q170" i="67"/>
  <c r="J119" i="96"/>
  <c r="Q80" i="67"/>
  <c r="J54" i="96"/>
  <c r="Q30" i="67"/>
  <c r="J20" i="96"/>
  <c r="Q158" i="67"/>
  <c r="J111" i="96"/>
  <c r="Q164" i="67"/>
  <c r="J114" i="96"/>
  <c r="Q46" i="67"/>
  <c r="J33" i="96"/>
  <c r="N165" i="67"/>
  <c r="J165" i="67" s="1"/>
  <c r="AS166" i="46"/>
  <c r="M137" i="67"/>
  <c r="I137" i="67" s="1"/>
  <c r="AR138" i="46"/>
  <c r="N139" i="67"/>
  <c r="J139" i="67" s="1"/>
  <c r="AS140" i="46"/>
  <c r="P220" i="67"/>
  <c r="L220" i="67" s="1"/>
  <c r="AU221" i="46"/>
  <c r="M153" i="67"/>
  <c r="I153" i="67" s="1"/>
  <c r="AR154" i="46"/>
  <c r="N194" i="67"/>
  <c r="J194" i="67" s="1"/>
  <c r="AS195" i="46"/>
  <c r="M138" i="67"/>
  <c r="I138" i="67" s="1"/>
  <c r="AR139" i="46"/>
  <c r="N149" i="67"/>
  <c r="J149" i="67" s="1"/>
  <c r="AS150" i="46"/>
  <c r="M183" i="67"/>
  <c r="I183" i="67" s="1"/>
  <c r="AR184" i="46"/>
  <c r="N164" i="67"/>
  <c r="J164" i="67" s="1"/>
  <c r="AS165" i="46"/>
  <c r="M152" i="67"/>
  <c r="I152" i="67" s="1"/>
  <c r="AR153" i="46"/>
  <c r="N170" i="67"/>
  <c r="J170" i="67" s="1"/>
  <c r="AS171" i="46"/>
  <c r="M188" i="67"/>
  <c r="I188" i="67" s="1"/>
  <c r="AR189" i="46"/>
  <c r="N138" i="67"/>
  <c r="J138" i="67" s="1"/>
  <c r="AS139" i="46"/>
  <c r="N140" i="67"/>
  <c r="J140" i="67" s="1"/>
  <c r="AS141" i="46"/>
  <c r="N175" i="67"/>
  <c r="J175" i="67" s="1"/>
  <c r="AS176" i="46"/>
  <c r="M170" i="67"/>
  <c r="I170" i="67" s="1"/>
  <c r="AR171" i="46"/>
  <c r="M158" i="67"/>
  <c r="I158" i="67" s="1"/>
  <c r="AR159" i="46"/>
  <c r="M167" i="67"/>
  <c r="I167" i="67" s="1"/>
  <c r="AR168" i="46"/>
  <c r="N142" i="67"/>
  <c r="J142" i="67" s="1"/>
  <c r="AS143" i="46"/>
  <c r="N158" i="67"/>
  <c r="J158" i="67" s="1"/>
  <c r="AS159" i="46"/>
  <c r="M217" i="67"/>
  <c r="I217" i="67" s="1"/>
  <c r="AR218" i="46"/>
  <c r="N137" i="67"/>
  <c r="J137" i="67" s="1"/>
  <c r="AS138" i="46"/>
  <c r="N217" i="67"/>
  <c r="J217" i="67" s="1"/>
  <c r="AS218" i="46"/>
  <c r="N152" i="67"/>
  <c r="J152" i="67" s="1"/>
  <c r="AS153" i="46"/>
  <c r="M140" i="67"/>
  <c r="I140" i="67" s="1"/>
  <c r="AR141" i="46"/>
  <c r="M165" i="67"/>
  <c r="I165" i="67" s="1"/>
  <c r="AR166" i="46"/>
  <c r="N153" i="67"/>
  <c r="J153" i="67" s="1"/>
  <c r="AS154" i="46"/>
  <c r="M149" i="67"/>
  <c r="I149" i="67" s="1"/>
  <c r="AR150" i="46"/>
  <c r="N167" i="67"/>
  <c r="J167" i="67" s="1"/>
  <c r="AS168" i="46"/>
  <c r="N183" i="67"/>
  <c r="J183" i="67" s="1"/>
  <c r="AS184" i="46"/>
  <c r="M194" i="67"/>
  <c r="I194" i="67" s="1"/>
  <c r="AR195" i="46"/>
  <c r="M139" i="67"/>
  <c r="I139" i="67" s="1"/>
  <c r="AR140" i="46"/>
  <c r="M164" i="67"/>
  <c r="I164" i="67" s="1"/>
  <c r="AR165" i="46"/>
  <c r="M175" i="67"/>
  <c r="I175" i="67" s="1"/>
  <c r="AR176" i="46"/>
  <c r="N188" i="67"/>
  <c r="J188" i="67" s="1"/>
  <c r="AS189" i="46"/>
  <c r="M142" i="67"/>
  <c r="I142" i="67" s="1"/>
  <c r="AR143" i="46"/>
  <c r="P219" i="67"/>
  <c r="L219" i="67" s="1"/>
  <c r="AU220" i="46"/>
  <c r="AO180" i="46"/>
  <c r="R152" i="98" s="1"/>
  <c r="S152" i="98" s="1"/>
  <c r="W123" i="46"/>
  <c r="N58" i="67"/>
  <c r="J58" i="67" s="1"/>
  <c r="E58" i="91"/>
  <c r="O122" i="67"/>
  <c r="K122" i="67" s="1"/>
  <c r="N46" i="67"/>
  <c r="J46" i="67" s="1"/>
  <c r="E46" i="91"/>
  <c r="O92" i="67"/>
  <c r="K92" i="67" s="1"/>
  <c r="J25" i="88"/>
  <c r="J21" i="87"/>
  <c r="J9" i="86"/>
  <c r="O188" i="67"/>
  <c r="K188" i="67" s="1"/>
  <c r="O165" i="67"/>
  <c r="K165" i="67" s="1"/>
  <c r="F7" i="88"/>
  <c r="F25" i="86"/>
  <c r="F19" i="87"/>
  <c r="N5" i="67"/>
  <c r="J5" i="67" s="1"/>
  <c r="E5" i="91"/>
  <c r="O94" i="67"/>
  <c r="K94" i="67" s="1"/>
  <c r="N135" i="67"/>
  <c r="J135" i="67" s="1"/>
  <c r="E135" i="91"/>
  <c r="J7" i="88"/>
  <c r="J25" i="86"/>
  <c r="J19" i="87"/>
  <c r="M54" i="67"/>
  <c r="I54" i="67" s="1"/>
  <c r="E54" i="92"/>
  <c r="M46" i="67"/>
  <c r="I46" i="67" s="1"/>
  <c r="E46" i="92"/>
  <c r="N49" i="67"/>
  <c r="J49" i="67" s="1"/>
  <c r="E49" i="91"/>
  <c r="M99" i="67"/>
  <c r="I99" i="67" s="1"/>
  <c r="E99" i="92"/>
  <c r="M60" i="67"/>
  <c r="I60" i="67" s="1"/>
  <c r="E60" i="92"/>
  <c r="M28" i="67"/>
  <c r="I28" i="67" s="1"/>
  <c r="E28" i="92"/>
  <c r="M69" i="67"/>
  <c r="I69" i="67" s="1"/>
  <c r="E69" i="92"/>
  <c r="N131" i="67"/>
  <c r="J131" i="67" s="1"/>
  <c r="E131" i="91"/>
  <c r="M80" i="67"/>
  <c r="I80" i="67" s="1"/>
  <c r="E80" i="92"/>
  <c r="J27" i="88"/>
  <c r="J25" i="87"/>
  <c r="J17" i="86"/>
  <c r="J14" i="88"/>
  <c r="J26" i="86"/>
  <c r="J6" i="87"/>
  <c r="O133" i="67"/>
  <c r="K133" i="67" s="1"/>
  <c r="E24" i="88"/>
  <c r="B24" i="89"/>
  <c r="E17" i="87"/>
  <c r="E11" i="86"/>
  <c r="B11" i="89"/>
  <c r="E11" i="88"/>
  <c r="E8" i="87"/>
  <c r="E20" i="86"/>
  <c r="K14" i="88"/>
  <c r="K6" i="87"/>
  <c r="K26" i="86"/>
  <c r="M7" i="67"/>
  <c r="I7" i="67" s="1"/>
  <c r="E7" i="92"/>
  <c r="M73" i="67"/>
  <c r="I73" i="67" s="1"/>
  <c r="E73" i="92"/>
  <c r="N87" i="67"/>
  <c r="J87" i="67" s="1"/>
  <c r="E87" i="91"/>
  <c r="F11" i="88"/>
  <c r="F20" i="86"/>
  <c r="F8" i="87"/>
  <c r="H11" i="88"/>
  <c r="M11" i="88" s="1"/>
  <c r="H20" i="86"/>
  <c r="H8" i="87"/>
  <c r="J9" i="88"/>
  <c r="J18" i="87"/>
  <c r="J30" i="86"/>
  <c r="N34" i="67"/>
  <c r="J34" i="67" s="1"/>
  <c r="E34" i="91"/>
  <c r="N82" i="67"/>
  <c r="J82" i="67" s="1"/>
  <c r="E82" i="91"/>
  <c r="O105" i="67"/>
  <c r="K105" i="67" s="1"/>
  <c r="N130" i="67"/>
  <c r="J130" i="67" s="1"/>
  <c r="E130" i="91"/>
  <c r="O153" i="67"/>
  <c r="K153" i="67" s="1"/>
  <c r="O217" i="67"/>
  <c r="K217" i="67" s="1"/>
  <c r="M93" i="67"/>
  <c r="I93" i="67" s="1"/>
  <c r="E93" i="92"/>
  <c r="J11" i="88"/>
  <c r="J8" i="87"/>
  <c r="J20" i="86"/>
  <c r="G4" i="88"/>
  <c r="G14" i="87"/>
  <c r="G27" i="86"/>
  <c r="O164" i="67"/>
  <c r="K164" i="67" s="1"/>
  <c r="N4" i="67"/>
  <c r="J4" i="67" s="1"/>
  <c r="E4" i="91"/>
  <c r="N102" i="67"/>
  <c r="J102" i="67" s="1"/>
  <c r="E102" i="91"/>
  <c r="K5" i="88"/>
  <c r="K7" i="87"/>
  <c r="K22" i="86"/>
  <c r="M65" i="67"/>
  <c r="I65" i="67" s="1"/>
  <c r="E65" i="92"/>
  <c r="M113" i="67"/>
  <c r="I113" i="67" s="1"/>
  <c r="E113" i="92"/>
  <c r="J18" i="88"/>
  <c r="J20" i="87"/>
  <c r="J13" i="86"/>
  <c r="G10" i="88"/>
  <c r="G15" i="87"/>
  <c r="G15" i="86"/>
  <c r="M131" i="67"/>
  <c r="I131" i="67" s="1"/>
  <c r="E131" i="92"/>
  <c r="H10" i="88"/>
  <c r="H15" i="87"/>
  <c r="H15" i="86"/>
  <c r="J23" i="88"/>
  <c r="J27" i="87"/>
  <c r="J5" i="86"/>
  <c r="M6" i="67"/>
  <c r="I6" i="67" s="1"/>
  <c r="E6" i="92"/>
  <c r="N178" i="67"/>
  <c r="J178" i="67" s="1"/>
  <c r="E148" i="91"/>
  <c r="O178" i="67"/>
  <c r="K178" i="67" s="1"/>
  <c r="O8" i="67"/>
  <c r="K8" i="67" s="1"/>
  <c r="N23" i="67"/>
  <c r="J23" i="67" s="1"/>
  <c r="E23" i="91"/>
  <c r="C33" i="87" a="1"/>
  <c r="C33" i="87" s="1"/>
  <c r="I6" i="88"/>
  <c r="I12" i="87"/>
  <c r="I31" i="86"/>
  <c r="M109" i="67"/>
  <c r="I109" i="67" s="1"/>
  <c r="E109" i="92"/>
  <c r="I16" i="87"/>
  <c r="I17" i="88"/>
  <c r="I8" i="86"/>
  <c r="K12" i="88"/>
  <c r="K4" i="87"/>
  <c r="K14" i="86"/>
  <c r="O194" i="67"/>
  <c r="K194" i="67" s="1"/>
  <c r="M102" i="67"/>
  <c r="I102" i="67" s="1"/>
  <c r="E102" i="92"/>
  <c r="I20" i="88"/>
  <c r="I6" i="86"/>
  <c r="I5" i="87"/>
  <c r="G20" i="87"/>
  <c r="G18" i="88"/>
  <c r="G13" i="86"/>
  <c r="G21" i="88"/>
  <c r="G28" i="87"/>
  <c r="G23" i="86"/>
  <c r="K17" i="88"/>
  <c r="K16" i="87"/>
  <c r="K8" i="86"/>
  <c r="I4" i="88"/>
  <c r="I14" i="87"/>
  <c r="I27" i="86"/>
  <c r="O93" i="67"/>
  <c r="K93" i="67" s="1"/>
  <c r="O4" i="67"/>
  <c r="K4" i="67" s="1"/>
  <c r="O175" i="67"/>
  <c r="K175" i="67" s="1"/>
  <c r="O152" i="67"/>
  <c r="K152" i="67" s="1"/>
  <c r="G22" i="88"/>
  <c r="G24" i="87"/>
  <c r="G32" i="86"/>
  <c r="O131" i="67"/>
  <c r="K131" i="67" s="1"/>
  <c r="M5" i="67"/>
  <c r="I5" i="67" s="1"/>
  <c r="E5" i="92"/>
  <c r="N6" i="67"/>
  <c r="J6" i="67" s="1"/>
  <c r="E6" i="91"/>
  <c r="O6" i="67"/>
  <c r="K6" i="67" s="1"/>
  <c r="N129" i="67"/>
  <c r="J129" i="67" s="1"/>
  <c r="E129" i="91"/>
  <c r="M92" i="67"/>
  <c r="I92" i="67" s="1"/>
  <c r="E92" i="92"/>
  <c r="O60" i="67"/>
  <c r="K60" i="67" s="1"/>
  <c r="N133" i="67"/>
  <c r="J133" i="67" s="1"/>
  <c r="E133" i="91"/>
  <c r="H9" i="88"/>
  <c r="H18" i="87"/>
  <c r="H30" i="86"/>
  <c r="M130" i="67"/>
  <c r="I130" i="67" s="1"/>
  <c r="E130" i="92"/>
  <c r="O183" i="67"/>
  <c r="K183" i="67" s="1"/>
  <c r="I18" i="87"/>
  <c r="I9" i="88"/>
  <c r="I30" i="86"/>
  <c r="N73" i="67"/>
  <c r="J73" i="67" s="1"/>
  <c r="E73" i="91"/>
  <c r="N105" i="67"/>
  <c r="J105" i="67" s="1"/>
  <c r="E105" i="91"/>
  <c r="M86" i="67"/>
  <c r="I86" i="67" s="1"/>
  <c r="E86" i="92"/>
  <c r="J17" i="88"/>
  <c r="J8" i="86"/>
  <c r="J16" i="87"/>
  <c r="N77" i="67"/>
  <c r="J77" i="67" s="1"/>
  <c r="E77" i="91"/>
  <c r="J5" i="88"/>
  <c r="J7" i="87"/>
  <c r="J22" i="86"/>
  <c r="F15" i="88"/>
  <c r="F10" i="86"/>
  <c r="F9" i="87"/>
  <c r="B8" i="89"/>
  <c r="E8" i="88"/>
  <c r="E13" i="87"/>
  <c r="E21" i="86"/>
  <c r="H15" i="88"/>
  <c r="H9" i="87"/>
  <c r="H10" i="86"/>
  <c r="B14" i="89"/>
  <c r="E6" i="87"/>
  <c r="E14" i="88"/>
  <c r="E26" i="86"/>
  <c r="F21" i="87"/>
  <c r="F9" i="86"/>
  <c r="F25" i="88"/>
  <c r="G8" i="88"/>
  <c r="G13" i="87"/>
  <c r="G21" i="86"/>
  <c r="J15" i="88"/>
  <c r="J10" i="86"/>
  <c r="J9" i="87"/>
  <c r="J15" i="87"/>
  <c r="J10" i="88"/>
  <c r="J15" i="86"/>
  <c r="H19" i="88"/>
  <c r="H26" i="87"/>
  <c r="H18" i="86"/>
  <c r="N7" i="67"/>
  <c r="J7" i="67" s="1"/>
  <c r="E7" i="91"/>
  <c r="O65" i="67"/>
  <c r="K65" i="67" s="1"/>
  <c r="M133" i="67"/>
  <c r="I133" i="67" s="1"/>
  <c r="E133" i="92"/>
  <c r="F9" i="88"/>
  <c r="F18" i="87"/>
  <c r="F30" i="86"/>
  <c r="J7" i="86"/>
  <c r="J31" i="88"/>
  <c r="J22" i="87"/>
  <c r="G9" i="88"/>
  <c r="G18" i="87"/>
  <c r="G30" i="86"/>
  <c r="M89" i="67"/>
  <c r="I89" i="67" s="1"/>
  <c r="E89" i="92"/>
  <c r="G12" i="88"/>
  <c r="G14" i="86"/>
  <c r="G4" i="87"/>
  <c r="F6" i="88"/>
  <c r="F12" i="87"/>
  <c r="F31" i="86"/>
  <c r="M114" i="67"/>
  <c r="I114" i="67" s="1"/>
  <c r="E114" i="92"/>
  <c r="G11" i="88"/>
  <c r="O11" i="88" s="1"/>
  <c r="G8" i="87"/>
  <c r="O8" i="87" s="1"/>
  <c r="G20" i="86"/>
  <c r="F20" i="88"/>
  <c r="F6" i="86"/>
  <c r="F5" i="87"/>
  <c r="F5" i="88"/>
  <c r="F7" i="87"/>
  <c r="F22" i="86"/>
  <c r="H6" i="88"/>
  <c r="H12" i="87"/>
  <c r="H31" i="86"/>
  <c r="G20" i="88"/>
  <c r="G5" i="87"/>
  <c r="G6" i="86"/>
  <c r="I24" i="88"/>
  <c r="I11" i="86"/>
  <c r="I17" i="87"/>
  <c r="I8" i="87"/>
  <c r="I11" i="88"/>
  <c r="N11" i="88" s="1"/>
  <c r="I20" i="86"/>
  <c r="F4" i="88"/>
  <c r="F14" i="87"/>
  <c r="F27" i="86"/>
  <c r="O34" i="67"/>
  <c r="K34" i="67" s="1"/>
  <c r="J17" i="87"/>
  <c r="J11" i="86"/>
  <c r="J24" i="88"/>
  <c r="H5" i="88"/>
  <c r="H22" i="86"/>
  <c r="H7" i="87"/>
  <c r="N20" i="67"/>
  <c r="J20" i="67" s="1"/>
  <c r="E20" i="91"/>
  <c r="O139" i="67"/>
  <c r="K139" i="67" s="1"/>
  <c r="M49" i="67"/>
  <c r="I49" i="67" s="1"/>
  <c r="E49" i="92"/>
  <c r="J21" i="88"/>
  <c r="J23" i="86"/>
  <c r="J28" i="87"/>
  <c r="N88" i="67"/>
  <c r="J88" i="67" s="1"/>
  <c r="E88" i="91"/>
  <c r="H13" i="88"/>
  <c r="H19" i="86"/>
  <c r="H11" i="87"/>
  <c r="F22" i="88"/>
  <c r="F32" i="86"/>
  <c r="F24" i="87"/>
  <c r="I15" i="88"/>
  <c r="I9" i="87"/>
  <c r="I10" i="86"/>
  <c r="F25" i="87"/>
  <c r="F27" i="88"/>
  <c r="F17" i="86"/>
  <c r="F14" i="88"/>
  <c r="F26" i="86"/>
  <c r="F6" i="87"/>
  <c r="G21" i="87"/>
  <c r="G25" i="88"/>
  <c r="G9" i="86"/>
  <c r="J11" i="87"/>
  <c r="J19" i="86"/>
  <c r="J13" i="88"/>
  <c r="O99" i="67"/>
  <c r="K99" i="67" s="1"/>
  <c r="H31" i="88"/>
  <c r="H7" i="86"/>
  <c r="H22" i="87"/>
  <c r="H22" i="88"/>
  <c r="H24" i="87"/>
  <c r="H32" i="86"/>
  <c r="J8" i="88"/>
  <c r="J13" i="87"/>
  <c r="J21" i="86"/>
  <c r="H25" i="88"/>
  <c r="H21" i="87"/>
  <c r="H9" i="86"/>
  <c r="H27" i="88"/>
  <c r="H25" i="87"/>
  <c r="H17" i="86"/>
  <c r="H14" i="88"/>
  <c r="M14" i="88" s="1"/>
  <c r="H6" i="87"/>
  <c r="H26" i="86"/>
  <c r="N76" i="67"/>
  <c r="J76" i="67" s="1"/>
  <c r="E76" i="91"/>
  <c r="I30" i="88"/>
  <c r="I4" i="86"/>
  <c r="I23" i="87"/>
  <c r="K7" i="88"/>
  <c r="K19" i="87"/>
  <c r="K25" i="86"/>
  <c r="M4" i="67"/>
  <c r="I4" i="67" s="1"/>
  <c r="E4" i="92"/>
  <c r="G10" i="87"/>
  <c r="G16" i="88"/>
  <c r="G29" i="86"/>
  <c r="M78" i="67"/>
  <c r="I78" i="67" s="1"/>
  <c r="E78" i="92"/>
  <c r="I19" i="88"/>
  <c r="I26" i="87"/>
  <c r="I18" i="86"/>
  <c r="J16" i="88"/>
  <c r="J10" i="87"/>
  <c r="J29" i="86"/>
  <c r="G29" i="88"/>
  <c r="G29" i="87"/>
  <c r="G24" i="86"/>
  <c r="H16" i="88"/>
  <c r="H29" i="86"/>
  <c r="H10" i="87"/>
  <c r="B29" i="89"/>
  <c r="E29" i="88"/>
  <c r="E29" i="87"/>
  <c r="E24" i="86"/>
  <c r="M172" i="67"/>
  <c r="I172" i="67" s="1"/>
  <c r="E144" i="92"/>
  <c r="O172" i="67"/>
  <c r="K172" i="67" s="1"/>
  <c r="N40" i="67"/>
  <c r="J40" i="67" s="1"/>
  <c r="E40" i="91"/>
  <c r="O23" i="67"/>
  <c r="K23" i="67" s="1"/>
  <c r="C33" i="86" a="1"/>
  <c r="C33" i="86" s="1"/>
  <c r="N122" i="67"/>
  <c r="J122" i="67" s="1"/>
  <c r="E122" i="91"/>
  <c r="N78" i="67"/>
  <c r="J78" i="67" s="1"/>
  <c r="E78" i="91"/>
  <c r="O5" i="67"/>
  <c r="K5" i="67" s="1"/>
  <c r="O87" i="67"/>
  <c r="K87" i="67" s="1"/>
  <c r="N128" i="67"/>
  <c r="J128" i="67" s="1"/>
  <c r="E128" i="91"/>
  <c r="F17" i="88"/>
  <c r="F16" i="87"/>
  <c r="F8" i="86"/>
  <c r="H12" i="88"/>
  <c r="H4" i="87"/>
  <c r="H14" i="86"/>
  <c r="N25" i="67"/>
  <c r="J25" i="67" s="1"/>
  <c r="E25" i="91"/>
  <c r="M59" i="67"/>
  <c r="I59" i="67" s="1"/>
  <c r="E59" i="92"/>
  <c r="O96" i="67"/>
  <c r="K96" i="67" s="1"/>
  <c r="O128" i="67"/>
  <c r="K128" i="67" s="1"/>
  <c r="M20" i="67"/>
  <c r="I20" i="67" s="1"/>
  <c r="E20" i="92"/>
  <c r="J12" i="88"/>
  <c r="J14" i="86"/>
  <c r="J4" i="87"/>
  <c r="K28" i="87"/>
  <c r="K21" i="88"/>
  <c r="K23" i="86"/>
  <c r="I13" i="88"/>
  <c r="I11" i="87"/>
  <c r="I19" i="86"/>
  <c r="O129" i="67"/>
  <c r="K129" i="67" s="1"/>
  <c r="H8" i="88"/>
  <c r="H21" i="86"/>
  <c r="H13" i="87"/>
  <c r="I8" i="88"/>
  <c r="I13" i="87"/>
  <c r="I21" i="86"/>
  <c r="N94" i="67"/>
  <c r="J94" i="67" s="1"/>
  <c r="E94" i="91"/>
  <c r="O117" i="67"/>
  <c r="K117" i="67" s="1"/>
  <c r="K30" i="88"/>
  <c r="K23" i="87"/>
  <c r="K4" i="86"/>
  <c r="O25" i="67"/>
  <c r="K25" i="67" s="1"/>
  <c r="N117" i="67"/>
  <c r="J117" i="67" s="1"/>
  <c r="E117" i="91"/>
  <c r="J30" i="88"/>
  <c r="J4" i="86"/>
  <c r="J23" i="87"/>
  <c r="F24" i="88"/>
  <c r="L24" i="88" s="1"/>
  <c r="F17" i="87"/>
  <c r="F11" i="86"/>
  <c r="M34" i="67"/>
  <c r="I34" i="67" s="1"/>
  <c r="E34" i="92"/>
  <c r="M77" i="67"/>
  <c r="I77" i="67" s="1"/>
  <c r="E77" i="92"/>
  <c r="O114" i="67"/>
  <c r="K114" i="67" s="1"/>
  <c r="O59" i="67"/>
  <c r="K59" i="67" s="1"/>
  <c r="N93" i="67"/>
  <c r="J93" i="67" s="1"/>
  <c r="E93" i="91"/>
  <c r="G30" i="88"/>
  <c r="G23" i="87"/>
  <c r="G4" i="86"/>
  <c r="I25" i="88"/>
  <c r="I21" i="87"/>
  <c r="I9" i="86"/>
  <c r="G31" i="88"/>
  <c r="G22" i="87"/>
  <c r="G7" i="86"/>
  <c r="K15" i="87"/>
  <c r="K10" i="88"/>
  <c r="K15" i="86"/>
  <c r="O7" i="67"/>
  <c r="K7" i="67" s="1"/>
  <c r="B19" i="89"/>
  <c r="E26" i="87"/>
  <c r="P26" i="87" s="1"/>
  <c r="E19" i="88"/>
  <c r="P19" i="88" s="1"/>
  <c r="E18" i="86"/>
  <c r="P18" i="86" s="1"/>
  <c r="G19" i="88"/>
  <c r="G18" i="86"/>
  <c r="G26" i="87"/>
  <c r="F16" i="88"/>
  <c r="F10" i="87"/>
  <c r="F29" i="86"/>
  <c r="I23" i="88"/>
  <c r="I27" i="87"/>
  <c r="I5" i="86"/>
  <c r="I29" i="88"/>
  <c r="I29" i="87"/>
  <c r="I24" i="86"/>
  <c r="O22" i="67"/>
  <c r="K22" i="67" s="1"/>
  <c r="K23" i="88"/>
  <c r="K5" i="86"/>
  <c r="K27" i="87"/>
  <c r="N99" i="67"/>
  <c r="J99" i="67" s="1"/>
  <c r="E99" i="91"/>
  <c r="N28" i="67"/>
  <c r="J28" i="67" s="1"/>
  <c r="E28" i="91"/>
  <c r="O69" i="67"/>
  <c r="K69" i="67" s="1"/>
  <c r="M96" i="67"/>
  <c r="I96" i="67" s="1"/>
  <c r="E96" i="92"/>
  <c r="M128" i="67"/>
  <c r="I128" i="67" s="1"/>
  <c r="E128" i="92"/>
  <c r="K25" i="88"/>
  <c r="K21" i="87"/>
  <c r="K9" i="86"/>
  <c r="O30" i="67"/>
  <c r="K30" i="67" s="1"/>
  <c r="O20" i="67"/>
  <c r="K20" i="67" s="1"/>
  <c r="N69" i="67"/>
  <c r="J69" i="67" s="1"/>
  <c r="E69" i="91"/>
  <c r="M135" i="67"/>
  <c r="I135" i="67" s="1"/>
  <c r="E135" i="92"/>
  <c r="F12" i="88"/>
  <c r="F4" i="87"/>
  <c r="F14" i="86"/>
  <c r="O46" i="67"/>
  <c r="K46" i="67" s="1"/>
  <c r="M105" i="67"/>
  <c r="I105" i="67" s="1"/>
  <c r="E105" i="92"/>
  <c r="K22" i="87"/>
  <c r="K31" i="88"/>
  <c r="K7" i="86"/>
  <c r="N80" i="67"/>
  <c r="J80" i="67" s="1"/>
  <c r="E80" i="91"/>
  <c r="O167" i="67"/>
  <c r="K167" i="67" s="1"/>
  <c r="G12" i="87"/>
  <c r="G6" i="88"/>
  <c r="G31" i="86"/>
  <c r="N89" i="67"/>
  <c r="J89" i="67" s="1"/>
  <c r="E89" i="91"/>
  <c r="H24" i="88"/>
  <c r="M24" i="88" s="1"/>
  <c r="H11" i="86"/>
  <c r="H17" i="87"/>
  <c r="M17" i="87" s="1"/>
  <c r="K11" i="88"/>
  <c r="K8" i="87"/>
  <c r="K20" i="86"/>
  <c r="H4" i="88"/>
  <c r="H14" i="87"/>
  <c r="H27" i="86"/>
  <c r="M79" i="67"/>
  <c r="I79" i="67" s="1"/>
  <c r="E79" i="92"/>
  <c r="B15" i="89"/>
  <c r="E9" i="87"/>
  <c r="E15" i="88"/>
  <c r="E10" i="86"/>
  <c r="H21" i="88"/>
  <c r="H23" i="86"/>
  <c r="H28" i="87"/>
  <c r="N22" i="67"/>
  <c r="J22" i="67" s="1"/>
  <c r="E22" i="91"/>
  <c r="N86" i="67"/>
  <c r="J86" i="67" s="1"/>
  <c r="E86" i="91"/>
  <c r="O109" i="67"/>
  <c r="K109" i="67" s="1"/>
  <c r="I18" i="88"/>
  <c r="I13" i="86"/>
  <c r="I20" i="87"/>
  <c r="I21" i="88"/>
  <c r="I28" i="87"/>
  <c r="I23" i="86"/>
  <c r="M83" i="67"/>
  <c r="I83" i="67" s="1"/>
  <c r="E83" i="92"/>
  <c r="N113" i="67"/>
  <c r="J113" i="67" s="1"/>
  <c r="E113" i="91"/>
  <c r="O49" i="67"/>
  <c r="K49" i="67" s="1"/>
  <c r="M76" i="67"/>
  <c r="I76" i="67" s="1"/>
  <c r="E76" i="92"/>
  <c r="O113" i="67"/>
  <c r="K113" i="67" s="1"/>
  <c r="O58" i="67"/>
  <c r="K58" i="67" s="1"/>
  <c r="N83" i="67"/>
  <c r="J83" i="67" s="1"/>
  <c r="E83" i="91"/>
  <c r="M117" i="67"/>
  <c r="I117" i="67" s="1"/>
  <c r="E117" i="92"/>
  <c r="O138" i="67"/>
  <c r="K138" i="67" s="1"/>
  <c r="M30" i="67"/>
  <c r="I30" i="67" s="1"/>
  <c r="E30" i="92"/>
  <c r="N30" i="67"/>
  <c r="J30" i="67" s="1"/>
  <c r="E30" i="91"/>
  <c r="O76" i="67"/>
  <c r="K76" i="67" s="1"/>
  <c r="M87" i="67"/>
  <c r="I87" i="67" s="1"/>
  <c r="E87" i="92"/>
  <c r="I31" i="88"/>
  <c r="I7" i="86"/>
  <c r="I22" i="87"/>
  <c r="K8" i="88"/>
  <c r="K13" i="87"/>
  <c r="K21" i="86"/>
  <c r="K22" i="88"/>
  <c r="K24" i="87"/>
  <c r="K32" i="86"/>
  <c r="K27" i="88"/>
  <c r="K25" i="87"/>
  <c r="K17" i="86"/>
  <c r="H29" i="87"/>
  <c r="M29" i="87" s="1"/>
  <c r="H24" i="86"/>
  <c r="M24" i="86" s="1"/>
  <c r="H29" i="88"/>
  <c r="E6" i="88"/>
  <c r="B6" i="89"/>
  <c r="E12" i="87"/>
  <c r="E31" i="86"/>
  <c r="O78" i="67"/>
  <c r="K78" i="67" s="1"/>
  <c r="O110" i="67"/>
  <c r="K110" i="67" s="1"/>
  <c r="O142" i="67"/>
  <c r="K142" i="67" s="1"/>
  <c r="B26" i="89"/>
  <c r="E26" i="88"/>
  <c r="M26" i="88" s="1"/>
  <c r="E32" i="87"/>
  <c r="Q32" i="87" s="1"/>
  <c r="E16" i="86"/>
  <c r="L16" i="86" s="1"/>
  <c r="G19" i="87"/>
  <c r="G7" i="88"/>
  <c r="G25" i="86"/>
  <c r="M82" i="67"/>
  <c r="I82" i="67" s="1"/>
  <c r="E82" i="92"/>
  <c r="N96" i="67"/>
  <c r="J96" i="67" s="1"/>
  <c r="E96" i="91"/>
  <c r="O135" i="67"/>
  <c r="K135" i="67" s="1"/>
  <c r="G24" i="88"/>
  <c r="O24" i="88" s="1"/>
  <c r="G17" i="87"/>
  <c r="G11" i="86"/>
  <c r="H7" i="88"/>
  <c r="H19" i="87"/>
  <c r="H25" i="86"/>
  <c r="O80" i="67"/>
  <c r="K80" i="67" s="1"/>
  <c r="G17" i="88"/>
  <c r="G16" i="87"/>
  <c r="G8" i="86"/>
  <c r="I12" i="88"/>
  <c r="I4" i="87"/>
  <c r="I14" i="86"/>
  <c r="I7" i="88"/>
  <c r="I19" i="87"/>
  <c r="I25" i="86"/>
  <c r="O73" i="67"/>
  <c r="K73" i="67" s="1"/>
  <c r="O89" i="67"/>
  <c r="K89" i="67" s="1"/>
  <c r="N114" i="67"/>
  <c r="J114" i="67" s="1"/>
  <c r="E114" i="91"/>
  <c r="O137" i="67"/>
  <c r="K137" i="67" s="1"/>
  <c r="H8" i="86"/>
  <c r="H17" i="88"/>
  <c r="H16" i="87"/>
  <c r="B18" i="89"/>
  <c r="E18" i="88"/>
  <c r="E20" i="87"/>
  <c r="E13" i="86"/>
  <c r="G5" i="88"/>
  <c r="G7" i="87"/>
  <c r="G22" i="86"/>
  <c r="K9" i="88"/>
  <c r="K18" i="87"/>
  <c r="K30" i="86"/>
  <c r="N59" i="67"/>
  <c r="J59" i="67" s="1"/>
  <c r="E59" i="91"/>
  <c r="O82" i="67"/>
  <c r="K82" i="67" s="1"/>
  <c r="O130" i="67"/>
  <c r="K130" i="67" s="1"/>
  <c r="H20" i="88"/>
  <c r="H5" i="87"/>
  <c r="H6" i="86"/>
  <c r="F20" i="87"/>
  <c r="F13" i="86"/>
  <c r="F18" i="88"/>
  <c r="F21" i="88"/>
  <c r="F28" i="87"/>
  <c r="F23" i="86"/>
  <c r="K17" i="87"/>
  <c r="K24" i="88"/>
  <c r="K11" i="86"/>
  <c r="Q11" i="86" s="1"/>
  <c r="I5" i="88"/>
  <c r="I7" i="87"/>
  <c r="I22" i="86"/>
  <c r="K12" i="87"/>
  <c r="K6" i="88"/>
  <c r="K31" i="86"/>
  <c r="N109" i="67"/>
  <c r="J109" i="67" s="1"/>
  <c r="E109" i="91"/>
  <c r="J20" i="88"/>
  <c r="J5" i="87"/>
  <c r="J6" i="86"/>
  <c r="H18" i="88"/>
  <c r="H20" i="87"/>
  <c r="H13" i="86"/>
  <c r="N54" i="67"/>
  <c r="J54" i="67" s="1"/>
  <c r="E54" i="91"/>
  <c r="M88" i="67"/>
  <c r="I88" i="67" s="1"/>
  <c r="E88" i="92"/>
  <c r="K20" i="88"/>
  <c r="K5" i="87"/>
  <c r="K6" i="86"/>
  <c r="J4" i="88"/>
  <c r="J14" i="87"/>
  <c r="J27" i="86"/>
  <c r="O54" i="67"/>
  <c r="K54" i="67" s="1"/>
  <c r="N79" i="67"/>
  <c r="J79" i="67" s="1"/>
  <c r="E79" i="91"/>
  <c r="O102" i="67"/>
  <c r="K102" i="67" s="1"/>
  <c r="M129" i="67"/>
  <c r="I129" i="67" s="1"/>
  <c r="E129" i="92"/>
  <c r="G15" i="88"/>
  <c r="G9" i="87"/>
  <c r="G10" i="86"/>
  <c r="O10" i="86" s="1"/>
  <c r="F10" i="88"/>
  <c r="F15" i="87"/>
  <c r="F15" i="86"/>
  <c r="K4" i="88"/>
  <c r="K14" i="87"/>
  <c r="K27" i="86"/>
  <c r="O79" i="67"/>
  <c r="K79" i="67" s="1"/>
  <c r="B30" i="89"/>
  <c r="E30" i="88"/>
  <c r="E4" i="86"/>
  <c r="E23" i="87"/>
  <c r="K18" i="88"/>
  <c r="Q18" i="88" s="1"/>
  <c r="K20" i="87"/>
  <c r="K13" i="86"/>
  <c r="Q13" i="86" s="1"/>
  <c r="F13" i="87"/>
  <c r="L13" i="87" s="1"/>
  <c r="F21" i="86"/>
  <c r="L21" i="86" s="1"/>
  <c r="F8" i="88"/>
  <c r="F4" i="86"/>
  <c r="F23" i="87"/>
  <c r="F30" i="88"/>
  <c r="L30" i="88" s="1"/>
  <c r="K19" i="88"/>
  <c r="Q19" i="88" s="1"/>
  <c r="K26" i="87"/>
  <c r="K18" i="86"/>
  <c r="K10" i="87"/>
  <c r="K16" i="88"/>
  <c r="K29" i="86"/>
  <c r="F31" i="88"/>
  <c r="F22" i="87"/>
  <c r="F7" i="86"/>
  <c r="G25" i="87"/>
  <c r="G27" i="88"/>
  <c r="G17" i="86"/>
  <c r="N92" i="67"/>
  <c r="J92" i="67" s="1"/>
  <c r="E92" i="91"/>
  <c r="I14" i="88"/>
  <c r="N14" i="88" s="1"/>
  <c r="I6" i="87"/>
  <c r="I26" i="86"/>
  <c r="H30" i="88"/>
  <c r="H23" i="87"/>
  <c r="M23" i="87" s="1"/>
  <c r="H4" i="86"/>
  <c r="K15" i="88"/>
  <c r="K9" i="87"/>
  <c r="K10" i="86"/>
  <c r="K11" i="87"/>
  <c r="K13" i="88"/>
  <c r="K19" i="86"/>
  <c r="I24" i="87"/>
  <c r="I32" i="86"/>
  <c r="I22" i="88"/>
  <c r="N60" i="67"/>
  <c r="J60" i="67" s="1"/>
  <c r="E60" i="91"/>
  <c r="O83" i="67"/>
  <c r="K83" i="67" s="1"/>
  <c r="J22" i="88"/>
  <c r="J32" i="86"/>
  <c r="J24" i="87"/>
  <c r="K29" i="88"/>
  <c r="K29" i="87"/>
  <c r="K24" i="86"/>
  <c r="B16" i="89"/>
  <c r="E16" i="88"/>
  <c r="E10" i="87"/>
  <c r="E29" i="86"/>
  <c r="F27" i="87"/>
  <c r="F5" i="86"/>
  <c r="F23" i="88"/>
  <c r="M94" i="67"/>
  <c r="I94" i="67" s="1"/>
  <c r="E94" i="92"/>
  <c r="F29" i="88"/>
  <c r="F29" i="87"/>
  <c r="F24" i="86"/>
  <c r="I16" i="88"/>
  <c r="I10" i="87"/>
  <c r="I29" i="86"/>
  <c r="H23" i="88"/>
  <c r="H27" i="87"/>
  <c r="H5" i="86"/>
  <c r="B25" i="89"/>
  <c r="E25" i="88"/>
  <c r="E9" i="86"/>
  <c r="E21" i="87"/>
  <c r="B20" i="89"/>
  <c r="E20" i="88"/>
  <c r="E6" i="86"/>
  <c r="E5" i="87"/>
  <c r="E10" i="88"/>
  <c r="B10" i="89"/>
  <c r="E15" i="86"/>
  <c r="E15" i="87"/>
  <c r="M178" i="67"/>
  <c r="I178" i="67" s="1"/>
  <c r="E148" i="92"/>
  <c r="M56" i="67"/>
  <c r="I56" i="67" s="1"/>
  <c r="E56" i="92"/>
  <c r="M32" i="87"/>
  <c r="N16" i="86"/>
  <c r="N65" i="67"/>
  <c r="J65" i="67" s="1"/>
  <c r="E65" i="91"/>
  <c r="O28" i="67"/>
  <c r="K28" i="67" s="1"/>
  <c r="N110" i="67"/>
  <c r="J110" i="67" s="1"/>
  <c r="E110" i="91"/>
  <c r="M25" i="67"/>
  <c r="I25" i="67" s="1"/>
  <c r="E25" i="92"/>
  <c r="M22" i="67"/>
  <c r="I22" i="67" s="1"/>
  <c r="E22" i="92"/>
  <c r="O140" i="67"/>
  <c r="K140" i="67" s="1"/>
  <c r="B12" i="89"/>
  <c r="E4" i="87"/>
  <c r="E12" i="88"/>
  <c r="E14" i="86"/>
  <c r="O149" i="67"/>
  <c r="K149" i="67" s="1"/>
  <c r="O77" i="67"/>
  <c r="K77" i="67" s="1"/>
  <c r="F13" i="88"/>
  <c r="F11" i="87"/>
  <c r="F19" i="86"/>
  <c r="O86" i="67"/>
  <c r="K86" i="67" s="1"/>
  <c r="G13" i="88"/>
  <c r="G11" i="87"/>
  <c r="G19" i="86"/>
  <c r="M58" i="67"/>
  <c r="I58" i="67" s="1"/>
  <c r="E58" i="92"/>
  <c r="M122" i="67"/>
  <c r="I122" i="67" s="1"/>
  <c r="E122" i="92"/>
  <c r="O88" i="67"/>
  <c r="K88" i="67" s="1"/>
  <c r="I10" i="88"/>
  <c r="I15" i="87"/>
  <c r="I15" i="86"/>
  <c r="G14" i="88"/>
  <c r="G6" i="87"/>
  <c r="G26" i="86"/>
  <c r="I27" i="88"/>
  <c r="I17" i="86"/>
  <c r="I25" i="87"/>
  <c r="O170" i="67"/>
  <c r="K170" i="67" s="1"/>
  <c r="B23" i="89"/>
  <c r="E23" i="88"/>
  <c r="E27" i="87"/>
  <c r="E5" i="86"/>
  <c r="J6" i="88"/>
  <c r="J12" i="87"/>
  <c r="J31" i="86"/>
  <c r="G23" i="88"/>
  <c r="O23" i="88" s="1"/>
  <c r="G27" i="87"/>
  <c r="O27" i="87" s="1"/>
  <c r="G5" i="86"/>
  <c r="O5" i="86" s="1"/>
  <c r="F19" i="88"/>
  <c r="F26" i="87"/>
  <c r="F18" i="86"/>
  <c r="M110" i="67"/>
  <c r="I110" i="67" s="1"/>
  <c r="E110" i="92"/>
  <c r="O158" i="67"/>
  <c r="K158" i="67" s="1"/>
  <c r="J29" i="88"/>
  <c r="J24" i="86"/>
  <c r="J29" i="87"/>
  <c r="N172" i="67"/>
  <c r="J172" i="67" s="1"/>
  <c r="E144" i="91"/>
  <c r="M40" i="67"/>
  <c r="I40" i="67" s="1"/>
  <c r="E40" i="92"/>
  <c r="M23" i="67"/>
  <c r="I23" i="67" s="1"/>
  <c r="E23" i="92"/>
  <c r="C33" i="88" a="1"/>
  <c r="C33" i="88" s="1"/>
  <c r="M197" i="67"/>
  <c r="I197" i="67" s="1"/>
  <c r="E160" i="92"/>
  <c r="N197" i="67"/>
  <c r="J197" i="67" s="1"/>
  <c r="E160" i="91"/>
  <c r="O197" i="67"/>
  <c r="K197" i="67" s="1"/>
  <c r="AJ102" i="46"/>
  <c r="F135" i="88"/>
  <c r="E135" i="88"/>
  <c r="D135" i="88"/>
  <c r="AJ13" i="46"/>
  <c r="D46" i="88"/>
  <c r="F46" i="88"/>
  <c r="E46" i="88"/>
  <c r="AJ101" i="46"/>
  <c r="F134" i="88"/>
  <c r="E134" i="88"/>
  <c r="D134" i="88"/>
  <c r="AJ5" i="46"/>
  <c r="D38" i="88"/>
  <c r="F38" i="88"/>
  <c r="E38" i="88"/>
  <c r="P172" i="67"/>
  <c r="L172" i="67" s="1"/>
  <c r="E144" i="84"/>
  <c r="E144" i="85"/>
  <c r="AP77" i="46"/>
  <c r="AP130" i="46"/>
  <c r="AP81" i="46"/>
  <c r="AP55" i="46"/>
  <c r="AP134" i="46"/>
  <c r="W70" i="46"/>
  <c r="AN70" i="46" s="1"/>
  <c r="M85" i="98" s="1"/>
  <c r="AO134" i="46"/>
  <c r="R123" i="98" s="1"/>
  <c r="S123" i="98" s="1"/>
  <c r="AQ136" i="46"/>
  <c r="AQ165" i="46"/>
  <c r="W80" i="46"/>
  <c r="AN80" i="46" s="1"/>
  <c r="AO80" i="46"/>
  <c r="AQ94" i="46"/>
  <c r="AQ103" i="46"/>
  <c r="AO178" i="46"/>
  <c r="R51" i="98" s="1"/>
  <c r="S51" i="98" s="1"/>
  <c r="W118" i="46"/>
  <c r="AN118" i="46" s="1"/>
  <c r="M44" i="98" s="1"/>
  <c r="W193" i="46"/>
  <c r="AQ7" i="46"/>
  <c r="AP51" i="46"/>
  <c r="W7" i="46"/>
  <c r="AN7" i="46" s="1"/>
  <c r="M3" i="98" s="1"/>
  <c r="W218" i="46"/>
  <c r="AN218" i="46" s="1"/>
  <c r="M126" i="98" s="1"/>
  <c r="AO23" i="46"/>
  <c r="R26" i="98" s="1"/>
  <c r="S26" i="98" s="1"/>
  <c r="AP80" i="46"/>
  <c r="W35" i="46"/>
  <c r="AN35" i="46" s="1"/>
  <c r="M109" i="98" s="1"/>
  <c r="W94" i="46"/>
  <c r="AN94" i="46" s="1"/>
  <c r="M58" i="98" s="1"/>
  <c r="W26" i="46"/>
  <c r="AN26" i="46" s="1"/>
  <c r="M49" i="98" s="1"/>
  <c r="W50" i="46"/>
  <c r="AN50" i="46" s="1"/>
  <c r="M75" i="98" s="1"/>
  <c r="AQ35" i="46"/>
  <c r="AO218" i="46"/>
  <c r="W200" i="46"/>
  <c r="AQ74" i="46"/>
  <c r="AP118" i="46"/>
  <c r="AP178" i="46"/>
  <c r="AQ164" i="46"/>
  <c r="AO164" i="46"/>
  <c r="R41" i="98" s="1"/>
  <c r="S41" i="98" s="1"/>
  <c r="AO51" i="46"/>
  <c r="AQ200" i="46"/>
  <c r="W185" i="46"/>
  <c r="AQ185" i="46"/>
  <c r="AQ178" i="46"/>
  <c r="AP7" i="46"/>
  <c r="AQ193" i="46"/>
  <c r="AO185" i="46"/>
  <c r="R19" i="98" s="1"/>
  <c r="S19" i="98" s="1"/>
  <c r="AP200" i="46"/>
  <c r="W74" i="46"/>
  <c r="AN74" i="46" s="1"/>
  <c r="M119" i="98" s="1"/>
  <c r="W63" i="46"/>
  <c r="AN63" i="46" s="1"/>
  <c r="AO118" i="46"/>
  <c r="R44" i="98" s="1"/>
  <c r="S44" i="98" s="1"/>
  <c r="AQ63" i="46"/>
  <c r="W51" i="46"/>
  <c r="AN51" i="46" s="1"/>
  <c r="M112" i="98" s="1"/>
  <c r="AP193" i="46"/>
  <c r="AP180" i="46"/>
  <c r="AO87" i="46"/>
  <c r="R73" i="98" s="1"/>
  <c r="S73" i="98" s="1"/>
  <c r="AQ79" i="46"/>
  <c r="W31" i="46"/>
  <c r="AN31" i="46" s="1"/>
  <c r="M105" i="98" s="1"/>
  <c r="AP31" i="46"/>
  <c r="W47" i="46"/>
  <c r="AN47" i="46" s="1"/>
  <c r="M8" i="98" s="1"/>
  <c r="AP79" i="46"/>
  <c r="W87" i="46"/>
  <c r="AN87" i="46" s="1"/>
  <c r="M73" i="98" s="1"/>
  <c r="AQ159" i="46"/>
  <c r="AO79" i="46"/>
  <c r="AO106" i="46"/>
  <c r="R135" i="98" s="1"/>
  <c r="S135" i="98" s="1"/>
  <c r="AQ191" i="46"/>
  <c r="AO191" i="46"/>
  <c r="R11" i="98" s="1"/>
  <c r="S11" i="98" s="1"/>
  <c r="AQ106" i="46"/>
  <c r="AP106" i="46"/>
  <c r="W159" i="46"/>
  <c r="AN159" i="46" s="1"/>
  <c r="AQ66" i="46"/>
  <c r="AP159" i="46"/>
  <c r="W66" i="46"/>
  <c r="AN66" i="46" s="1"/>
  <c r="AQ31" i="46"/>
  <c r="AQ47" i="46"/>
  <c r="AP163" i="46"/>
  <c r="AP66" i="46"/>
  <c r="AP203" i="46"/>
  <c r="AP88" i="46"/>
  <c r="AP84" i="46"/>
  <c r="AP135" i="46"/>
  <c r="AK151" i="46"/>
  <c r="AL169" i="46"/>
  <c r="AK164" i="46"/>
  <c r="AK193" i="46"/>
  <c r="AM177" i="46"/>
  <c r="AM170" i="46"/>
  <c r="AM163" i="46"/>
  <c r="AL196" i="46"/>
  <c r="AM200" i="46"/>
  <c r="AL190" i="46"/>
  <c r="AM169" i="46"/>
  <c r="AM203" i="46"/>
  <c r="AM151" i="46"/>
  <c r="AL191" i="46"/>
  <c r="AM178" i="46"/>
  <c r="AL186" i="46"/>
  <c r="AM183" i="46"/>
  <c r="AL188" i="46"/>
  <c r="AK188" i="46"/>
  <c r="AK174" i="46"/>
  <c r="AM197" i="46"/>
  <c r="AL148" i="46"/>
  <c r="AM199" i="46"/>
  <c r="AL183" i="46"/>
  <c r="AL193" i="46"/>
  <c r="AM193" i="46"/>
  <c r="AL178" i="46"/>
  <c r="AL170" i="46"/>
  <c r="AL156" i="46"/>
  <c r="AK191" i="46"/>
  <c r="AK170" i="46"/>
  <c r="AM186" i="46"/>
  <c r="AM188" i="46"/>
  <c r="AK178" i="46"/>
  <c r="AL185" i="46"/>
  <c r="AK180" i="46"/>
  <c r="AM164" i="46"/>
  <c r="AK157" i="46"/>
  <c r="AM196" i="46"/>
  <c r="AL164" i="46"/>
  <c r="AK183" i="46"/>
  <c r="AM191" i="46"/>
  <c r="AL202" i="46"/>
  <c r="AK190" i="46"/>
  <c r="AM174" i="46"/>
  <c r="AM185" i="46"/>
  <c r="AK197" i="46"/>
  <c r="AL197" i="46"/>
  <c r="AK199" i="46"/>
  <c r="AL199" i="46"/>
  <c r="AK169" i="46"/>
  <c r="AK203" i="46"/>
  <c r="AK196" i="46"/>
  <c r="AL157" i="46"/>
  <c r="AL151" i="46"/>
  <c r="AK163" i="46"/>
  <c r="AK200" i="46"/>
  <c r="AK177" i="46"/>
  <c r="AM202" i="46"/>
  <c r="AK185" i="46"/>
  <c r="AK187" i="46"/>
  <c r="AK186" i="46"/>
  <c r="AM180" i="46"/>
  <c r="AL180" i="46"/>
  <c r="AL200" i="46"/>
  <c r="AL177" i="46"/>
  <c r="AK202" i="46"/>
  <c r="AL163" i="46"/>
  <c r="AL174" i="46"/>
  <c r="AM187" i="46"/>
  <c r="AM148" i="46"/>
  <c r="AK156" i="46"/>
  <c r="AM190" i="46"/>
  <c r="AL187" i="46"/>
  <c r="AM157" i="46"/>
  <c r="AM156" i="46"/>
  <c r="AK148" i="46"/>
  <c r="AL203" i="46"/>
  <c r="AP202" i="46"/>
  <c r="AP140" i="46"/>
  <c r="AP74" i="46"/>
  <c r="AP133" i="46"/>
  <c r="AP87" i="46"/>
  <c r="AP191" i="46"/>
  <c r="AI45" i="46"/>
  <c r="AI6" i="46"/>
  <c r="AI85" i="46"/>
  <c r="AI70" i="46"/>
  <c r="AI69" i="46"/>
  <c r="AI39" i="46"/>
  <c r="AI206" i="46"/>
  <c r="AJ206" i="46" s="1"/>
  <c r="AI142" i="46"/>
  <c r="AI78" i="46"/>
  <c r="AI189" i="46"/>
  <c r="AI125" i="46"/>
  <c r="AI61" i="46"/>
  <c r="AI156" i="46"/>
  <c r="AI211" i="46"/>
  <c r="AJ211" i="46" s="1"/>
  <c r="AI130" i="46"/>
  <c r="AI177" i="46"/>
  <c r="AI200" i="46"/>
  <c r="AI212" i="46"/>
  <c r="AJ212" i="46" s="1"/>
  <c r="AI148" i="46"/>
  <c r="AI84" i="46"/>
  <c r="AI203" i="46"/>
  <c r="AI139" i="46"/>
  <c r="AI75" i="46"/>
  <c r="AI186" i="46"/>
  <c r="AI122" i="46"/>
  <c r="AI58" i="46"/>
  <c r="AI169" i="46"/>
  <c r="AI105" i="46"/>
  <c r="AI33" i="46"/>
  <c r="AI192" i="46"/>
  <c r="AI128" i="46"/>
  <c r="AI64" i="46"/>
  <c r="AI175" i="46"/>
  <c r="AI111" i="46"/>
  <c r="AI31" i="46"/>
  <c r="AI198" i="46"/>
  <c r="AI134" i="46"/>
  <c r="AI181" i="46"/>
  <c r="AI117" i="46"/>
  <c r="AI83" i="46"/>
  <c r="AI194" i="46"/>
  <c r="AI41" i="46"/>
  <c r="AI72" i="46"/>
  <c r="AI183" i="46"/>
  <c r="AI204" i="46"/>
  <c r="AI140" i="46"/>
  <c r="AI76" i="46"/>
  <c r="AI195" i="46"/>
  <c r="AI131" i="46"/>
  <c r="AI67" i="46"/>
  <c r="AI178" i="46"/>
  <c r="AI114" i="46"/>
  <c r="AI42" i="46"/>
  <c r="AI161" i="46"/>
  <c r="AI97" i="46"/>
  <c r="AI25" i="46"/>
  <c r="AI184" i="46"/>
  <c r="AI120" i="46"/>
  <c r="AI48" i="46"/>
  <c r="AI167" i="46"/>
  <c r="AI103" i="46"/>
  <c r="AI23" i="46"/>
  <c r="AI190" i="46"/>
  <c r="AI126" i="46"/>
  <c r="AI54" i="46"/>
  <c r="AI173" i="46"/>
  <c r="AI109" i="46"/>
  <c r="AI37" i="46"/>
  <c r="AI92" i="46"/>
  <c r="AI147" i="46"/>
  <c r="AI66" i="46"/>
  <c r="AI113" i="46"/>
  <c r="AI136" i="46"/>
  <c r="AI119" i="46"/>
  <c r="AI196" i="46"/>
  <c r="AI132" i="46"/>
  <c r="AI68" i="46"/>
  <c r="AI187" i="46"/>
  <c r="AI123" i="46"/>
  <c r="AI51" i="46"/>
  <c r="AI170" i="46"/>
  <c r="AI106" i="46"/>
  <c r="AI34" i="46"/>
  <c r="AI217" i="46"/>
  <c r="AJ217" i="46" s="1"/>
  <c r="AI153" i="46"/>
  <c r="AI89" i="46"/>
  <c r="AI176" i="46"/>
  <c r="AI112" i="46"/>
  <c r="AI40" i="46"/>
  <c r="AI159" i="46"/>
  <c r="AI95" i="46"/>
  <c r="AI182" i="46"/>
  <c r="AI118" i="46"/>
  <c r="AI46" i="46"/>
  <c r="AI165" i="46"/>
  <c r="AI151" i="46"/>
  <c r="AI87" i="46"/>
  <c r="AI174" i="46"/>
  <c r="AI110" i="46"/>
  <c r="AI157" i="46"/>
  <c r="AI93" i="46"/>
  <c r="AI124" i="46"/>
  <c r="AI115" i="46"/>
  <c r="AI162" i="46"/>
  <c r="AI26" i="46"/>
  <c r="AI209" i="46"/>
  <c r="AJ209" i="46" s="1"/>
  <c r="AI81" i="46"/>
  <c r="AI168" i="46"/>
  <c r="AI104" i="46"/>
  <c r="AI16" i="46"/>
  <c r="AI215" i="46"/>
  <c r="AJ215" i="46" s="1"/>
  <c r="AI180" i="46"/>
  <c r="AI116" i="46"/>
  <c r="AI44" i="46"/>
  <c r="AI171" i="46"/>
  <c r="AI107" i="46"/>
  <c r="AI35" i="46"/>
  <c r="AI218" i="46"/>
  <c r="AI154" i="46"/>
  <c r="AI90" i="46"/>
  <c r="AI18" i="46"/>
  <c r="AI201" i="46"/>
  <c r="AI137" i="46"/>
  <c r="AI73" i="46"/>
  <c r="AI160" i="46"/>
  <c r="AI96" i="46"/>
  <c r="AI207" i="46"/>
  <c r="AJ207" i="46" s="1"/>
  <c r="AI143" i="46"/>
  <c r="AI79" i="46"/>
  <c r="AI166" i="46"/>
  <c r="AI213" i="46"/>
  <c r="AJ213" i="46" s="1"/>
  <c r="AI149" i="46"/>
  <c r="AI188" i="46"/>
  <c r="AI52" i="46"/>
  <c r="AI179" i="46"/>
  <c r="AI43" i="46"/>
  <c r="AI98" i="46"/>
  <c r="AI145" i="46"/>
  <c r="AI172" i="46"/>
  <c r="AI108" i="46"/>
  <c r="AI36" i="46"/>
  <c r="AI163" i="46"/>
  <c r="AI99" i="46"/>
  <c r="AI27" i="46"/>
  <c r="AI210" i="46"/>
  <c r="AJ210" i="46" s="1"/>
  <c r="AI146" i="46"/>
  <c r="AI82" i="46"/>
  <c r="AI193" i="46"/>
  <c r="AI129" i="46"/>
  <c r="AI65" i="46"/>
  <c r="AI216" i="46"/>
  <c r="AJ216" i="46" s="1"/>
  <c r="AI152" i="46"/>
  <c r="AI88" i="46"/>
  <c r="AI199" i="46"/>
  <c r="AI135" i="46"/>
  <c r="AI63" i="46"/>
  <c r="AI158" i="46"/>
  <c r="AI94" i="46"/>
  <c r="AI205" i="46"/>
  <c r="AJ205" i="46" s="1"/>
  <c r="AI141" i="46"/>
  <c r="AI77" i="46"/>
  <c r="AI164" i="46"/>
  <c r="AI100" i="46"/>
  <c r="AI28" i="46"/>
  <c r="AI219" i="46"/>
  <c r="AI155" i="46"/>
  <c r="AI91" i="46"/>
  <c r="AI19" i="46"/>
  <c r="AI202" i="46"/>
  <c r="AI138" i="46"/>
  <c r="AI74" i="46"/>
  <c r="AI185" i="46"/>
  <c r="AI121" i="46"/>
  <c r="AI49" i="46"/>
  <c r="AI208" i="46"/>
  <c r="AJ208" i="46" s="1"/>
  <c r="AI144" i="46"/>
  <c r="AI80" i="46"/>
  <c r="AI191" i="46"/>
  <c r="AI127" i="46"/>
  <c r="AI47" i="46"/>
  <c r="AI214" i="46"/>
  <c r="AJ214" i="46" s="1"/>
  <c r="AI150" i="46"/>
  <c r="AI86" i="46"/>
  <c r="AI197" i="46"/>
  <c r="AI133" i="46"/>
  <c r="AQ93" i="46"/>
  <c r="AO188" i="46"/>
  <c r="R50" i="98" s="1"/>
  <c r="S50" i="98" s="1"/>
  <c r="AP157" i="46"/>
  <c r="AP188" i="46"/>
  <c r="AP218" i="46"/>
  <c r="W157" i="46"/>
  <c r="AO203" i="46"/>
  <c r="W180" i="46"/>
  <c r="AQ153" i="46"/>
  <c r="AQ189" i="46"/>
  <c r="AO93" i="46"/>
  <c r="AP153" i="46"/>
  <c r="AP156" i="46"/>
  <c r="AP123" i="46"/>
  <c r="AI7" i="46"/>
  <c r="AO153" i="46"/>
  <c r="R84" i="98" s="1"/>
  <c r="S84" i="98" s="1"/>
  <c r="AQ156" i="46"/>
  <c r="W62" i="46"/>
  <c r="AP82" i="46"/>
  <c r="AI8" i="46"/>
  <c r="AP131" i="46"/>
  <c r="W82" i="46"/>
  <c r="AN82" i="46" s="1"/>
  <c r="M66" i="98" s="1"/>
  <c r="W203" i="46"/>
  <c r="AQ203" i="46"/>
  <c r="AQ82" i="46"/>
  <c r="AO156" i="46"/>
  <c r="R57" i="98" s="1"/>
  <c r="S57" i="98" s="1"/>
  <c r="W188" i="46"/>
  <c r="W189" i="46"/>
  <c r="AO95" i="46"/>
  <c r="R79" i="98" s="1"/>
  <c r="S79" i="98" s="1"/>
  <c r="AQ132" i="46"/>
  <c r="AO132" i="46"/>
  <c r="R99" i="98" s="1"/>
  <c r="S99" i="98" s="1"/>
  <c r="AP143" i="46"/>
  <c r="AO143" i="46"/>
  <c r="R33" i="98" s="1"/>
  <c r="S33" i="98" s="1"/>
  <c r="AP132" i="46"/>
  <c r="AP164" i="46"/>
  <c r="AP95" i="46"/>
  <c r="AP26" i="46"/>
  <c r="AP189" i="46"/>
  <c r="W5" i="46"/>
  <c r="AN5" i="46" s="1"/>
  <c r="W150" i="46"/>
  <c r="AO150" i="46"/>
  <c r="R38" i="98" s="1"/>
  <c r="S38" i="98" s="1"/>
  <c r="AO5" i="46"/>
  <c r="R134" i="98" s="1"/>
  <c r="S134" i="98" s="1"/>
  <c r="W95" i="46"/>
  <c r="AN95" i="46" s="1"/>
  <c r="M79" i="98" s="1"/>
  <c r="AP5" i="46"/>
  <c r="AP150" i="46"/>
  <c r="AP136" i="46"/>
  <c r="AP47" i="46"/>
  <c r="AN111" i="46"/>
  <c r="M18" i="98" s="1"/>
  <c r="AN140" i="46"/>
  <c r="AN166" i="46"/>
  <c r="M15" i="98" s="1"/>
  <c r="AN77" i="46"/>
  <c r="M102" i="98" s="1"/>
  <c r="AN115" i="46"/>
  <c r="M23" i="98" s="1"/>
  <c r="AN153" i="46"/>
  <c r="AN165" i="46"/>
  <c r="M47" i="98" s="1"/>
  <c r="AN168" i="46"/>
  <c r="AN134" i="46"/>
  <c r="M123" i="98" s="1"/>
  <c r="AN106" i="46"/>
  <c r="M135" i="98" s="1"/>
  <c r="AN114" i="46"/>
  <c r="M144" i="98" s="1"/>
  <c r="W155" i="46"/>
  <c r="AN100" i="46"/>
  <c r="M101" i="98" s="1"/>
  <c r="W23" i="46"/>
  <c r="AN97" i="46"/>
  <c r="AN138" i="46"/>
  <c r="M128" i="98" s="1"/>
  <c r="W197" i="46"/>
  <c r="AN110" i="46"/>
  <c r="M22" i="98" s="1"/>
  <c r="AN176" i="46"/>
  <c r="AN130" i="46"/>
  <c r="M9" i="98" s="1"/>
  <c r="AN184" i="46"/>
  <c r="M69" i="98" s="1"/>
  <c r="AP50" i="46"/>
  <c r="AO131" i="46"/>
  <c r="R25" i="98" s="1"/>
  <c r="S25" i="98" s="1"/>
  <c r="AP103" i="46"/>
  <c r="AP155" i="46"/>
  <c r="W131" i="46"/>
  <c r="AN59" i="46"/>
  <c r="M61" i="98" s="1"/>
  <c r="AN143" i="46"/>
  <c r="AN88" i="46"/>
  <c r="M107" i="98" s="1"/>
  <c r="W103" i="46"/>
  <c r="AQ26" i="46"/>
  <c r="AP197" i="46"/>
  <c r="AP195" i="46"/>
  <c r="AP93" i="46"/>
  <c r="AP139" i="46"/>
  <c r="AN78" i="46"/>
  <c r="M138" i="98" s="1"/>
  <c r="AP138" i="46"/>
  <c r="AN129" i="46"/>
  <c r="M147" i="98" s="1"/>
  <c r="AN139" i="46"/>
  <c r="AI10" i="46"/>
  <c r="AN55" i="46"/>
  <c r="AN171" i="46"/>
  <c r="AN198" i="46"/>
  <c r="M153" i="98" s="1"/>
  <c r="AN135" i="46"/>
  <c r="M34" i="98" s="1"/>
  <c r="AQ131" i="46"/>
  <c r="AO155" i="46"/>
  <c r="AP35" i="46"/>
  <c r="AN132" i="46"/>
  <c r="M99" i="98" s="1"/>
  <c r="AN93" i="46"/>
  <c r="AN81" i="46"/>
  <c r="M150" i="98" s="1"/>
  <c r="AN195" i="46"/>
  <c r="AN123" i="46"/>
  <c r="M74" i="98" s="1"/>
  <c r="AN84" i="46"/>
  <c r="AN79" i="46"/>
  <c r="AN136" i="46"/>
  <c r="M37" i="98" s="1"/>
  <c r="AP94" i="46"/>
  <c r="AQ50" i="46"/>
  <c r="AQ197" i="46"/>
  <c r="AN154" i="46"/>
  <c r="M108" i="98" s="1"/>
  <c r="AN182" i="46"/>
  <c r="AP184" i="46"/>
  <c r="AP23" i="46"/>
  <c r="AP63" i="46"/>
  <c r="AP190" i="46"/>
  <c r="AP89" i="46"/>
  <c r="W163" i="46"/>
  <c r="W133" i="46"/>
  <c r="AQ163" i="46"/>
  <c r="AQ138" i="46"/>
  <c r="AP141" i="46"/>
  <c r="AO83" i="46"/>
  <c r="AQ133" i="46"/>
  <c r="AP90" i="46"/>
  <c r="W90" i="46"/>
  <c r="W89" i="46"/>
  <c r="AQ78" i="46"/>
  <c r="AQ89" i="46"/>
  <c r="AO78" i="46"/>
  <c r="R138" i="98" s="1"/>
  <c r="S138" i="98" s="1"/>
  <c r="AQ90" i="46"/>
  <c r="AQ141" i="46"/>
  <c r="AP83" i="46"/>
  <c r="W190" i="46"/>
  <c r="AO190" i="46"/>
  <c r="R110" i="98" s="1"/>
  <c r="S110" i="98" s="1"/>
  <c r="AQ88" i="46"/>
  <c r="AO138" i="46"/>
  <c r="W141" i="46"/>
  <c r="W83" i="46"/>
  <c r="AN196" i="46"/>
  <c r="AN156" i="46"/>
  <c r="M57" i="98" s="1"/>
  <c r="AN186" i="46"/>
  <c r="M55" i="98" s="1"/>
  <c r="AN148" i="46"/>
  <c r="M120" i="98" s="1"/>
  <c r="AN174" i="46"/>
  <c r="M70" i="98" s="1"/>
  <c r="AN164" i="46"/>
  <c r="M41" i="98" s="1"/>
  <c r="AN177" i="46"/>
  <c r="M71" i="98" s="1"/>
  <c r="AN202" i="46"/>
  <c r="M114" i="98" s="1"/>
  <c r="AN151" i="46"/>
  <c r="M63" i="98" s="1"/>
  <c r="AN183" i="46"/>
  <c r="M31" i="98" s="1"/>
  <c r="AN191" i="46"/>
  <c r="M11" i="98" s="1"/>
  <c r="AN187" i="46"/>
  <c r="M13" i="98" s="1"/>
  <c r="AN199" i="46"/>
  <c r="M67" i="98" s="1"/>
  <c r="AN178" i="46"/>
  <c r="M51" i="98" s="1"/>
  <c r="AN170" i="46"/>
  <c r="M137" i="98" s="1"/>
  <c r="AN179" i="46"/>
  <c r="M111" i="98" s="1"/>
  <c r="AN169" i="46"/>
  <c r="M132" i="98" s="1"/>
  <c r="AN38" i="46"/>
  <c r="M158" i="98" s="1"/>
  <c r="L158" i="98" s="1"/>
  <c r="T158" i="98" s="1"/>
  <c r="AN102" i="46"/>
  <c r="M173" i="98" s="1"/>
  <c r="AN13" i="46"/>
  <c r="AN101" i="46"/>
  <c r="Q20" i="87" l="1"/>
  <c r="O20" i="86"/>
  <c r="L20" i="86"/>
  <c r="E144" i="101"/>
  <c r="O11" i="86"/>
  <c r="Q20" i="86"/>
  <c r="L11" i="86"/>
  <c r="P11" i="86"/>
  <c r="N20" i="86"/>
  <c r="N11" i="86"/>
  <c r="M11" i="86"/>
  <c r="E144" i="100"/>
  <c r="AR148" i="46"/>
  <c r="N120" i="98"/>
  <c r="I120" i="98" s="1"/>
  <c r="AT190" i="46"/>
  <c r="P110" i="98"/>
  <c r="K110" i="98" s="1"/>
  <c r="AS174" i="46"/>
  <c r="O70" i="98"/>
  <c r="J70" i="98" s="1"/>
  <c r="AS200" i="46"/>
  <c r="O89" i="98"/>
  <c r="J89" i="98" s="1"/>
  <c r="AR187" i="46"/>
  <c r="N13" i="98"/>
  <c r="I13" i="98" s="1"/>
  <c r="AR200" i="46"/>
  <c r="N89" i="98"/>
  <c r="I89" i="98" s="1"/>
  <c r="AS151" i="46"/>
  <c r="O63" i="98"/>
  <c r="J63" i="98" s="1"/>
  <c r="AR169" i="46"/>
  <c r="N132" i="98"/>
  <c r="I132" i="98" s="1"/>
  <c r="AR197" i="46"/>
  <c r="N43" i="98"/>
  <c r="I43" i="98" s="1"/>
  <c r="AS202" i="46"/>
  <c r="O114" i="98"/>
  <c r="J114" i="98" s="1"/>
  <c r="AT196" i="46"/>
  <c r="P64" i="98"/>
  <c r="K64" i="98" s="1"/>
  <c r="AT188" i="46"/>
  <c r="P50" i="98"/>
  <c r="K50" i="98" s="1"/>
  <c r="AS156" i="46"/>
  <c r="O57" i="98"/>
  <c r="J57" i="98" s="1"/>
  <c r="AS193" i="46"/>
  <c r="O140" i="98"/>
  <c r="J140" i="98" s="1"/>
  <c r="AT197" i="46"/>
  <c r="P43" i="98"/>
  <c r="K43" i="98" s="1"/>
  <c r="AT183" i="46"/>
  <c r="P31" i="98"/>
  <c r="K31" i="98" s="1"/>
  <c r="AT151" i="46"/>
  <c r="P63" i="98"/>
  <c r="K63" i="98" s="1"/>
  <c r="AT200" i="46"/>
  <c r="P89" i="98"/>
  <c r="K89" i="98" s="1"/>
  <c r="AT177" i="46"/>
  <c r="P71" i="98"/>
  <c r="K71" i="98" s="1"/>
  <c r="AT157" i="46"/>
  <c r="P131" i="98"/>
  <c r="K131" i="98" s="1"/>
  <c r="AT148" i="46"/>
  <c r="P120" i="98"/>
  <c r="K120" i="98" s="1"/>
  <c r="AR202" i="46"/>
  <c r="N114" i="98"/>
  <c r="I114" i="98" s="1"/>
  <c r="AT180" i="46"/>
  <c r="P152" i="98"/>
  <c r="K152" i="98" s="1"/>
  <c r="AT202" i="46"/>
  <c r="P114" i="98"/>
  <c r="K114" i="98" s="1"/>
  <c r="AR196" i="46"/>
  <c r="N64" i="98"/>
  <c r="I64" i="98" s="1"/>
  <c r="AR199" i="46"/>
  <c r="N67" i="98"/>
  <c r="I67" i="98" s="1"/>
  <c r="AT174" i="46"/>
  <c r="P70" i="98"/>
  <c r="K70" i="98" s="1"/>
  <c r="AR183" i="46"/>
  <c r="N31" i="98"/>
  <c r="I31" i="98" s="1"/>
  <c r="AT164" i="46"/>
  <c r="P41" i="98"/>
  <c r="K41" i="98" s="1"/>
  <c r="AS185" i="46"/>
  <c r="O19" i="98"/>
  <c r="J19" i="98" s="1"/>
  <c r="AR170" i="46"/>
  <c r="N137" i="98"/>
  <c r="I137" i="98" s="1"/>
  <c r="AS178" i="46"/>
  <c r="O51" i="98"/>
  <c r="J51" i="98" s="1"/>
  <c r="AT199" i="46"/>
  <c r="P67" i="98"/>
  <c r="K67" i="98" s="1"/>
  <c r="AR188" i="46"/>
  <c r="N50" i="98"/>
  <c r="I50" i="98" s="1"/>
  <c r="AT178" i="46"/>
  <c r="P51" i="98"/>
  <c r="K51" i="98" s="1"/>
  <c r="AT169" i="46"/>
  <c r="P132" i="98"/>
  <c r="K132" i="98" s="1"/>
  <c r="AT163" i="46"/>
  <c r="P121" i="98"/>
  <c r="K121" i="98" s="1"/>
  <c r="AR164" i="46"/>
  <c r="N41" i="98"/>
  <c r="I41" i="98" s="1"/>
  <c r="AR151" i="46"/>
  <c r="N63" i="98"/>
  <c r="I63" i="98" s="1"/>
  <c r="AS203" i="46"/>
  <c r="O141" i="98"/>
  <c r="J141" i="98" s="1"/>
  <c r="AT156" i="46"/>
  <c r="P57" i="98"/>
  <c r="K57" i="98" s="1"/>
  <c r="AS187" i="46"/>
  <c r="O13" i="98"/>
  <c r="J13" i="98" s="1"/>
  <c r="AR156" i="46"/>
  <c r="N57" i="98"/>
  <c r="I57" i="98" s="1"/>
  <c r="AT187" i="46"/>
  <c r="P13" i="98"/>
  <c r="K13" i="98" s="1"/>
  <c r="AS163" i="46"/>
  <c r="O121" i="98"/>
  <c r="J121" i="98" s="1"/>
  <c r="AS177" i="46"/>
  <c r="O71" i="98"/>
  <c r="J71" i="98" s="1"/>
  <c r="AS180" i="46"/>
  <c r="O152" i="98"/>
  <c r="J152" i="98" s="1"/>
  <c r="AR186" i="46"/>
  <c r="N55" i="98"/>
  <c r="I55" i="98" s="1"/>
  <c r="AR185" i="46"/>
  <c r="N19" i="98"/>
  <c r="I19" i="98" s="1"/>
  <c r="AR177" i="46"/>
  <c r="N71" i="98"/>
  <c r="I71" i="98" s="1"/>
  <c r="AR163" i="46"/>
  <c r="N121" i="98"/>
  <c r="I121" i="98" s="1"/>
  <c r="AS157" i="46"/>
  <c r="O131" i="98"/>
  <c r="J131" i="98" s="1"/>
  <c r="AR203" i="46"/>
  <c r="N141" i="98"/>
  <c r="I141" i="98" s="1"/>
  <c r="AS199" i="46"/>
  <c r="O67" i="98"/>
  <c r="J67" i="98" s="1"/>
  <c r="AS197" i="46"/>
  <c r="O43" i="98"/>
  <c r="J43" i="98" s="1"/>
  <c r="AT185" i="46"/>
  <c r="P19" i="98"/>
  <c r="K19" i="98" s="1"/>
  <c r="AR190" i="46"/>
  <c r="N110" i="98"/>
  <c r="I110" i="98" s="1"/>
  <c r="AT191" i="46"/>
  <c r="P11" i="98"/>
  <c r="K11" i="98" s="1"/>
  <c r="AS164" i="46"/>
  <c r="O41" i="98"/>
  <c r="J41" i="98" s="1"/>
  <c r="AR157" i="46"/>
  <c r="N131" i="98"/>
  <c r="I131" i="98" s="1"/>
  <c r="AR180" i="46"/>
  <c r="N152" i="98"/>
  <c r="I152" i="98" s="1"/>
  <c r="AR178" i="46"/>
  <c r="N51" i="98"/>
  <c r="I51" i="98" s="1"/>
  <c r="AT186" i="46"/>
  <c r="P55" i="98"/>
  <c r="K55" i="98" s="1"/>
  <c r="AR191" i="46"/>
  <c r="N11" i="98"/>
  <c r="I11" i="98" s="1"/>
  <c r="AS170" i="46"/>
  <c r="O137" i="98"/>
  <c r="J137" i="98" s="1"/>
  <c r="AT193" i="46"/>
  <c r="P140" i="98"/>
  <c r="K140" i="98" s="1"/>
  <c r="AS183" i="46"/>
  <c r="O31" i="98"/>
  <c r="J31" i="98" s="1"/>
  <c r="AS148" i="46"/>
  <c r="O120" i="98"/>
  <c r="J120" i="98" s="1"/>
  <c r="AR174" i="46"/>
  <c r="N70" i="98"/>
  <c r="I70" i="98" s="1"/>
  <c r="AS188" i="46"/>
  <c r="O50" i="98"/>
  <c r="J50" i="98" s="1"/>
  <c r="AS186" i="46"/>
  <c r="O55" i="98"/>
  <c r="J55" i="98" s="1"/>
  <c r="AS191" i="46"/>
  <c r="O11" i="98"/>
  <c r="J11" i="98" s="1"/>
  <c r="AT203" i="46"/>
  <c r="P141" i="98"/>
  <c r="K141" i="98" s="1"/>
  <c r="AS190" i="46"/>
  <c r="O110" i="98"/>
  <c r="J110" i="98" s="1"/>
  <c r="AS196" i="46"/>
  <c r="O64" i="98"/>
  <c r="J64" i="98" s="1"/>
  <c r="AT170" i="46"/>
  <c r="P137" i="98"/>
  <c r="K137" i="98" s="1"/>
  <c r="AR193" i="46"/>
  <c r="N140" i="98"/>
  <c r="I140" i="98" s="1"/>
  <c r="AS169" i="46"/>
  <c r="O132" i="98"/>
  <c r="J132" i="98" s="1"/>
  <c r="L173" i="98"/>
  <c r="T173" i="98" s="1"/>
  <c r="Q173" i="98"/>
  <c r="L132" i="98"/>
  <c r="T132" i="98" s="1"/>
  <c r="L67" i="98"/>
  <c r="T67" i="98" s="1"/>
  <c r="L71" i="98"/>
  <c r="T71" i="98" s="1"/>
  <c r="L70" i="98"/>
  <c r="T70" i="98" s="1"/>
  <c r="L107" i="98"/>
  <c r="T107" i="98" s="1"/>
  <c r="Q107" i="98"/>
  <c r="L101" i="98"/>
  <c r="T101" i="98" s="1"/>
  <c r="Q101" i="98"/>
  <c r="L135" i="98"/>
  <c r="T135" i="98" s="1"/>
  <c r="Q135" i="98"/>
  <c r="L126" i="98"/>
  <c r="Q126" i="98"/>
  <c r="L137" i="98"/>
  <c r="T137" i="98" s="1"/>
  <c r="L11" i="98"/>
  <c r="T11" i="98" s="1"/>
  <c r="L63" i="98"/>
  <c r="T63" i="98" s="1"/>
  <c r="L55" i="98"/>
  <c r="T55" i="98" s="1"/>
  <c r="L69" i="98"/>
  <c r="T69" i="98" s="1"/>
  <c r="Q69" i="98"/>
  <c r="L112" i="98"/>
  <c r="T112" i="98" s="1"/>
  <c r="L119" i="98"/>
  <c r="T119" i="98" s="1"/>
  <c r="Q119" i="98"/>
  <c r="L58" i="98"/>
  <c r="T58" i="98" s="1"/>
  <c r="Q58" i="98"/>
  <c r="L74" i="98"/>
  <c r="T74" i="98" s="1"/>
  <c r="Q74" i="98"/>
  <c r="L99" i="98"/>
  <c r="T99" i="98" s="1"/>
  <c r="Q99" i="98"/>
  <c r="L34" i="98"/>
  <c r="T34" i="98" s="1"/>
  <c r="L138" i="98"/>
  <c r="T138" i="98" s="1"/>
  <c r="Q138" i="98"/>
  <c r="L9" i="98"/>
  <c r="T9" i="98" s="1"/>
  <c r="Q9" i="98"/>
  <c r="L128" i="98"/>
  <c r="T128" i="98" s="1"/>
  <c r="Q128" i="98"/>
  <c r="L123" i="98"/>
  <c r="T123" i="98" s="1"/>
  <c r="Q123" i="98"/>
  <c r="L23" i="98"/>
  <c r="T23" i="98" s="1"/>
  <c r="Q23" i="98"/>
  <c r="L18" i="98"/>
  <c r="T18" i="98" s="1"/>
  <c r="Q18" i="98"/>
  <c r="L8" i="98"/>
  <c r="T8" i="98" s="1"/>
  <c r="Q8" i="98"/>
  <c r="L109" i="98"/>
  <c r="T109" i="98" s="1"/>
  <c r="Q109" i="98"/>
  <c r="L3" i="98"/>
  <c r="T3" i="98" s="1"/>
  <c r="Q3" i="98"/>
  <c r="L44" i="98"/>
  <c r="T44" i="98" s="1"/>
  <c r="Q44" i="98"/>
  <c r="L51" i="98"/>
  <c r="T51" i="98" s="1"/>
  <c r="L13" i="98"/>
  <c r="T13" i="98" s="1"/>
  <c r="L114" i="98"/>
  <c r="T114" i="98" s="1"/>
  <c r="L57" i="98"/>
  <c r="T57" i="98" s="1"/>
  <c r="L108" i="98"/>
  <c r="T108" i="98" s="1"/>
  <c r="Q108" i="98"/>
  <c r="L37" i="98"/>
  <c r="T37" i="98" s="1"/>
  <c r="Q37" i="98"/>
  <c r="L102" i="98"/>
  <c r="T102" i="98" s="1"/>
  <c r="Q102" i="98"/>
  <c r="L79" i="98"/>
  <c r="T79" i="98" s="1"/>
  <c r="Q79" i="98"/>
  <c r="L111" i="98"/>
  <c r="T111" i="98" s="1"/>
  <c r="L31" i="98"/>
  <c r="T31" i="98" s="1"/>
  <c r="L41" i="98"/>
  <c r="T41" i="98" s="1"/>
  <c r="L120" i="98"/>
  <c r="T120" i="98" s="1"/>
  <c r="L153" i="98"/>
  <c r="T153" i="98" s="1"/>
  <c r="Q153" i="98"/>
  <c r="L61" i="98"/>
  <c r="T61" i="98" s="1"/>
  <c r="Q61" i="98"/>
  <c r="L144" i="98"/>
  <c r="T144" i="98" s="1"/>
  <c r="Q144" i="98"/>
  <c r="L75" i="98"/>
  <c r="T75" i="98" s="1"/>
  <c r="Q75" i="98"/>
  <c r="L85" i="98"/>
  <c r="T85" i="98" s="1"/>
  <c r="Q85" i="98"/>
  <c r="L150" i="98"/>
  <c r="T150" i="98" s="1"/>
  <c r="Q150" i="98"/>
  <c r="L147" i="98"/>
  <c r="T147" i="98" s="1"/>
  <c r="Q147" i="98"/>
  <c r="L22" i="98"/>
  <c r="T22" i="98" s="1"/>
  <c r="Q22" i="98"/>
  <c r="L47" i="98"/>
  <c r="T47" i="98" s="1"/>
  <c r="Q47" i="98"/>
  <c r="L15" i="98"/>
  <c r="T15" i="98" s="1"/>
  <c r="Q15" i="98"/>
  <c r="L66" i="98"/>
  <c r="T66" i="98" s="1"/>
  <c r="L73" i="98"/>
  <c r="T73" i="98" s="1"/>
  <c r="Q73" i="98"/>
  <c r="L105" i="98"/>
  <c r="T105" i="98" s="1"/>
  <c r="Q105" i="98"/>
  <c r="L49" i="98"/>
  <c r="T49" i="98" s="1"/>
  <c r="Q49" i="98"/>
  <c r="S89" i="67"/>
  <c r="V54" i="98"/>
  <c r="J55" i="96"/>
  <c r="R46" i="98"/>
  <c r="S46" i="98" s="1"/>
  <c r="R62" i="67"/>
  <c r="U76" i="98"/>
  <c r="AU182" i="46"/>
  <c r="M90" i="98"/>
  <c r="R93" i="67"/>
  <c r="U58" i="98"/>
  <c r="R4" i="67"/>
  <c r="U134" i="98"/>
  <c r="R94" i="67"/>
  <c r="U79" i="98"/>
  <c r="R142" i="67"/>
  <c r="U33" i="98"/>
  <c r="S202" i="67"/>
  <c r="V141" i="98"/>
  <c r="R152" i="67"/>
  <c r="U84" i="98"/>
  <c r="R73" i="67"/>
  <c r="U119" i="98"/>
  <c r="R140" i="67"/>
  <c r="U116" i="98"/>
  <c r="R22" i="67"/>
  <c r="U26" i="98"/>
  <c r="H136" i="96"/>
  <c r="M130" i="98"/>
  <c r="R34" i="67"/>
  <c r="U109" i="98"/>
  <c r="H97" i="96"/>
  <c r="M117" i="98"/>
  <c r="R138" i="67"/>
  <c r="U117" i="98"/>
  <c r="S25" i="67"/>
  <c r="V49" i="98"/>
  <c r="H122" i="96"/>
  <c r="M151" i="98"/>
  <c r="AU97" i="46"/>
  <c r="E96" i="94" s="1"/>
  <c r="M96" i="98"/>
  <c r="H116" i="96"/>
  <c r="M40" i="98"/>
  <c r="R46" i="67"/>
  <c r="U8" i="98"/>
  <c r="AU5" i="46"/>
  <c r="E4" i="94" s="1"/>
  <c r="M134" i="98"/>
  <c r="R163" i="67"/>
  <c r="U41" i="98"/>
  <c r="R81" i="67"/>
  <c r="U66" i="98"/>
  <c r="Q92" i="67"/>
  <c r="R14" i="98"/>
  <c r="S14" i="98" s="1"/>
  <c r="Q202" i="67"/>
  <c r="R141" i="98"/>
  <c r="S141" i="98" s="1"/>
  <c r="R156" i="67"/>
  <c r="U131" i="98"/>
  <c r="R190" i="67"/>
  <c r="U11" i="98"/>
  <c r="R139" i="67"/>
  <c r="U122" i="98"/>
  <c r="R87" i="67"/>
  <c r="U107" i="98"/>
  <c r="S46" i="67"/>
  <c r="V8" i="98"/>
  <c r="S65" i="67"/>
  <c r="V28" i="98"/>
  <c r="S158" i="67"/>
  <c r="V88" i="98"/>
  <c r="R30" i="67"/>
  <c r="U105" i="98"/>
  <c r="R179" i="67"/>
  <c r="U152" i="98"/>
  <c r="S184" i="67"/>
  <c r="V19" i="98"/>
  <c r="S73" i="67"/>
  <c r="V119" i="98"/>
  <c r="R79" i="67"/>
  <c r="U100" i="98"/>
  <c r="R50" i="67"/>
  <c r="U112" i="98"/>
  <c r="R129" i="67"/>
  <c r="U9" i="98"/>
  <c r="Q137" i="67"/>
  <c r="R128" i="98"/>
  <c r="S128" i="98" s="1"/>
  <c r="R82" i="67"/>
  <c r="U46" i="98"/>
  <c r="S88" i="67"/>
  <c r="V10" i="98"/>
  <c r="R89" i="67"/>
  <c r="U54" i="98"/>
  <c r="S137" i="67"/>
  <c r="V128" i="98"/>
  <c r="R88" i="67"/>
  <c r="U10" i="98"/>
  <c r="R183" i="67"/>
  <c r="U69" i="98"/>
  <c r="S196" i="67"/>
  <c r="V43" i="98"/>
  <c r="AU79" i="46"/>
  <c r="E78" i="94" s="1"/>
  <c r="M125" i="98"/>
  <c r="R92" i="67"/>
  <c r="U14" i="98"/>
  <c r="R49" i="67"/>
  <c r="U75" i="98"/>
  <c r="R122" i="67"/>
  <c r="U74" i="98"/>
  <c r="S188" i="67"/>
  <c r="V62" i="98"/>
  <c r="R202" i="67"/>
  <c r="U141" i="98"/>
  <c r="S30" i="67"/>
  <c r="V105" i="98"/>
  <c r="H111" i="96"/>
  <c r="M88" i="98"/>
  <c r="S190" i="67"/>
  <c r="V11" i="98"/>
  <c r="R192" i="67"/>
  <c r="U140" i="98"/>
  <c r="AU63" i="46"/>
  <c r="E62" i="94" s="1"/>
  <c r="M76" i="98"/>
  <c r="S192" i="67"/>
  <c r="V140" i="98"/>
  <c r="S163" i="67"/>
  <c r="V41" i="98"/>
  <c r="S6" i="67"/>
  <c r="V3" i="98"/>
  <c r="S102" i="67"/>
  <c r="V4" i="98"/>
  <c r="S164" i="67"/>
  <c r="V47" i="98"/>
  <c r="R133" i="67"/>
  <c r="U123" i="98"/>
  <c r="R76" i="67"/>
  <c r="U102" i="98"/>
  <c r="Q154" i="67"/>
  <c r="R16" i="98"/>
  <c r="S16" i="98" s="1"/>
  <c r="H119" i="96"/>
  <c r="M95" i="98"/>
  <c r="AU80" i="46"/>
  <c r="E79" i="94" s="1"/>
  <c r="M100" i="98"/>
  <c r="R135" i="67"/>
  <c r="U37" i="98"/>
  <c r="R188" i="67"/>
  <c r="U62" i="98"/>
  <c r="R131" i="67"/>
  <c r="U99" i="98"/>
  <c r="S131" i="67"/>
  <c r="V99" i="98"/>
  <c r="R86" i="67"/>
  <c r="U73" i="98"/>
  <c r="R201" i="67"/>
  <c r="U114" i="98"/>
  <c r="AU101" i="46"/>
  <c r="E100" i="94" s="1"/>
  <c r="M174" i="98"/>
  <c r="AU196" i="46"/>
  <c r="E158" i="94" s="1"/>
  <c r="M64" i="98"/>
  <c r="S87" i="67"/>
  <c r="V107" i="98"/>
  <c r="S140" i="67"/>
  <c r="V116" i="98"/>
  <c r="S77" i="67"/>
  <c r="V138" i="98"/>
  <c r="S132" i="67"/>
  <c r="V93" i="98"/>
  <c r="S162" i="67"/>
  <c r="V121" i="98"/>
  <c r="R189" i="67"/>
  <c r="U110" i="98"/>
  <c r="S49" i="67"/>
  <c r="V75" i="98"/>
  <c r="AU84" i="46"/>
  <c r="E83" i="94" s="1"/>
  <c r="M156" i="98"/>
  <c r="AU93" i="46"/>
  <c r="E92" i="94" s="1"/>
  <c r="M14" i="98"/>
  <c r="S130" i="67"/>
  <c r="V25" i="98"/>
  <c r="AU55" i="46"/>
  <c r="E54" i="94" s="1"/>
  <c r="M133" i="98"/>
  <c r="R137" i="67"/>
  <c r="U128" i="98"/>
  <c r="R194" i="67"/>
  <c r="U130" i="98"/>
  <c r="R154" i="67"/>
  <c r="U16" i="98"/>
  <c r="H108" i="96"/>
  <c r="M84" i="98"/>
  <c r="H98" i="96"/>
  <c r="M122" i="98"/>
  <c r="R149" i="67"/>
  <c r="U38" i="98"/>
  <c r="R25" i="67"/>
  <c r="U49" i="98"/>
  <c r="S81" i="67"/>
  <c r="V66" i="98"/>
  <c r="R130" i="67"/>
  <c r="U25" i="98"/>
  <c r="S155" i="67"/>
  <c r="V57" i="98"/>
  <c r="R155" i="67"/>
  <c r="U57" i="98"/>
  <c r="S152" i="67"/>
  <c r="V84" i="98"/>
  <c r="R217" i="67"/>
  <c r="U126" i="98"/>
  <c r="S92" i="67"/>
  <c r="V14" i="98"/>
  <c r="R132" i="67"/>
  <c r="U93" i="98"/>
  <c r="R134" i="67"/>
  <c r="U34" i="98"/>
  <c r="R65" i="67"/>
  <c r="U28" i="98"/>
  <c r="AU66" i="46"/>
  <c r="E65" i="94" s="1"/>
  <c r="M28" i="98"/>
  <c r="R105" i="67"/>
  <c r="U135" i="98"/>
  <c r="R78" i="67"/>
  <c r="U125" i="98"/>
  <c r="S78" i="67"/>
  <c r="V125" i="98"/>
  <c r="R6" i="67"/>
  <c r="U3" i="98"/>
  <c r="S199" i="67"/>
  <c r="V89" i="98"/>
  <c r="R177" i="67"/>
  <c r="U51" i="98"/>
  <c r="Q217" i="67"/>
  <c r="R126" i="98"/>
  <c r="S126" i="98" s="1"/>
  <c r="S93" i="67"/>
  <c r="V58" i="98"/>
  <c r="S135" i="67"/>
  <c r="V37" i="98"/>
  <c r="R54" i="67"/>
  <c r="U133" i="98"/>
  <c r="AU13" i="46"/>
  <c r="E12" i="94" s="1"/>
  <c r="M176" i="98"/>
  <c r="R196" i="67"/>
  <c r="U43" i="98"/>
  <c r="H100" i="96"/>
  <c r="M33" i="98"/>
  <c r="R102" i="67"/>
  <c r="U4" i="98"/>
  <c r="R187" i="67"/>
  <c r="U50" i="98"/>
  <c r="R83" i="67"/>
  <c r="U156" i="98"/>
  <c r="R162" i="67"/>
  <c r="U121" i="98"/>
  <c r="R158" i="67"/>
  <c r="U88" i="98"/>
  <c r="S105" i="67"/>
  <c r="V135" i="98"/>
  <c r="Q78" i="67"/>
  <c r="R125" i="98"/>
  <c r="S125" i="98" s="1"/>
  <c r="S62" i="67"/>
  <c r="V76" i="98"/>
  <c r="R199" i="67"/>
  <c r="U89" i="98"/>
  <c r="S177" i="67"/>
  <c r="V51" i="98"/>
  <c r="J35" i="96"/>
  <c r="R112" i="98"/>
  <c r="S112" i="98" s="1"/>
  <c r="R117" i="67"/>
  <c r="U44" i="98"/>
  <c r="S34" i="67"/>
  <c r="V109" i="98"/>
  <c r="Q79" i="67"/>
  <c r="R100" i="98"/>
  <c r="S100" i="98" s="1"/>
  <c r="R80" i="67"/>
  <c r="U150" i="98"/>
  <c r="AU38" i="46"/>
  <c r="E37" i="94" s="1"/>
  <c r="H25" i="96"/>
  <c r="L32" i="87"/>
  <c r="Q11" i="88"/>
  <c r="AU81" i="46"/>
  <c r="E80" i="94" s="1"/>
  <c r="H54" i="96"/>
  <c r="Q189" i="67"/>
  <c r="J133" i="96"/>
  <c r="AU123" i="46"/>
  <c r="E122" i="94" s="1"/>
  <c r="H83" i="96"/>
  <c r="AU132" i="46"/>
  <c r="E131" i="94" s="1"/>
  <c r="H91" i="96"/>
  <c r="AU135" i="46"/>
  <c r="E134" i="94" s="1"/>
  <c r="H94" i="96"/>
  <c r="AU78" i="46"/>
  <c r="E77" i="94" s="1"/>
  <c r="H53" i="96"/>
  <c r="AU130" i="46"/>
  <c r="E129" i="94" s="1"/>
  <c r="H89" i="96"/>
  <c r="AU115" i="46"/>
  <c r="E114" i="94" s="1"/>
  <c r="H78" i="96"/>
  <c r="AU111" i="46"/>
  <c r="E110" i="94" s="1"/>
  <c r="H75" i="96"/>
  <c r="Q152" i="67"/>
  <c r="J108" i="96"/>
  <c r="AU47" i="46"/>
  <c r="E46" i="94" s="1"/>
  <c r="H33" i="96"/>
  <c r="Q86" i="67"/>
  <c r="J59" i="96"/>
  <c r="AU35" i="46"/>
  <c r="E34" i="94" s="1"/>
  <c r="H23" i="96"/>
  <c r="AU118" i="46"/>
  <c r="E117" i="94" s="1"/>
  <c r="H81" i="96"/>
  <c r="Q133" i="67"/>
  <c r="J93" i="96"/>
  <c r="AU102" i="46"/>
  <c r="E101" i="94" s="1"/>
  <c r="H67" i="96"/>
  <c r="AU179" i="46"/>
  <c r="E148" i="94" s="1"/>
  <c r="H125" i="96"/>
  <c r="AU178" i="46"/>
  <c r="E147" i="94" s="1"/>
  <c r="H124" i="96"/>
  <c r="AU187" i="46"/>
  <c r="E153" i="94" s="1"/>
  <c r="H130" i="96"/>
  <c r="AU183" i="46"/>
  <c r="E150" i="94" s="1"/>
  <c r="H127" i="96"/>
  <c r="AU202" i="46"/>
  <c r="E163" i="94" s="1"/>
  <c r="H141" i="96"/>
  <c r="AU164" i="46"/>
  <c r="E141" i="94" s="1"/>
  <c r="H113" i="96"/>
  <c r="AU148" i="46"/>
  <c r="E136" i="94" s="1"/>
  <c r="H103" i="96"/>
  <c r="AU156" i="46"/>
  <c r="E138" i="94" s="1"/>
  <c r="H109" i="96"/>
  <c r="Q77" i="67"/>
  <c r="J53" i="96"/>
  <c r="AU136" i="46"/>
  <c r="E135" i="94" s="1"/>
  <c r="H95" i="96"/>
  <c r="AU198" i="46"/>
  <c r="E160" i="94" s="1"/>
  <c r="H138" i="96"/>
  <c r="AU59" i="46"/>
  <c r="E58" i="94" s="1"/>
  <c r="H41" i="96"/>
  <c r="Q130" i="67"/>
  <c r="J90" i="96"/>
  <c r="AU114" i="46"/>
  <c r="E113" i="94" s="1"/>
  <c r="H77" i="96"/>
  <c r="AU77" i="46"/>
  <c r="E76" i="94" s="1"/>
  <c r="H52" i="96"/>
  <c r="AU95" i="46"/>
  <c r="E94" i="94" s="1"/>
  <c r="H64" i="96"/>
  <c r="Q131" i="67"/>
  <c r="J91" i="96"/>
  <c r="Q190" i="67"/>
  <c r="J134" i="96"/>
  <c r="Q117" i="67"/>
  <c r="J81" i="96"/>
  <c r="Q184" i="67"/>
  <c r="J128" i="96"/>
  <c r="Q163" i="67"/>
  <c r="J113" i="96"/>
  <c r="AU50" i="46"/>
  <c r="E49" i="94" s="1"/>
  <c r="H35" i="96"/>
  <c r="Q177" i="67"/>
  <c r="J124" i="96"/>
  <c r="AU70" i="46"/>
  <c r="E69" i="94" s="1"/>
  <c r="H46" i="96"/>
  <c r="Q155" i="67"/>
  <c r="J109" i="96"/>
  <c r="AU82" i="46"/>
  <c r="E81" i="94" s="1"/>
  <c r="H56" i="96"/>
  <c r="Q187" i="67"/>
  <c r="J131" i="96"/>
  <c r="Q179" i="67"/>
  <c r="J126" i="96"/>
  <c r="AU110" i="46"/>
  <c r="E109" i="94" s="1"/>
  <c r="H74" i="96"/>
  <c r="AU165" i="46"/>
  <c r="H114" i="96"/>
  <c r="AU166" i="46"/>
  <c r="H115" i="96"/>
  <c r="AU87" i="46"/>
  <c r="E86" i="94" s="1"/>
  <c r="H59" i="96"/>
  <c r="AU31" i="46"/>
  <c r="H20" i="96"/>
  <c r="AU26" i="46"/>
  <c r="E25" i="94" s="1"/>
  <c r="H16" i="96"/>
  <c r="Q22" i="67"/>
  <c r="J14" i="96"/>
  <c r="AU169" i="46"/>
  <c r="E142" i="94" s="1"/>
  <c r="H117" i="96"/>
  <c r="AU170" i="46"/>
  <c r="E143" i="94" s="1"/>
  <c r="H118" i="96"/>
  <c r="AU199" i="46"/>
  <c r="E161" i="94" s="1"/>
  <c r="H139" i="96"/>
  <c r="AU191" i="46"/>
  <c r="E156" i="94" s="1"/>
  <c r="H134" i="96"/>
  <c r="AU151" i="46"/>
  <c r="E137" i="94" s="1"/>
  <c r="H106" i="96"/>
  <c r="AU177" i="46"/>
  <c r="E146" i="94" s="1"/>
  <c r="H123" i="96"/>
  <c r="AU174" i="46"/>
  <c r="E145" i="94" s="1"/>
  <c r="H121" i="96"/>
  <c r="AU186" i="46"/>
  <c r="E152" i="94" s="1"/>
  <c r="H129" i="96"/>
  <c r="AU88" i="46"/>
  <c r="E87" i="94" s="1"/>
  <c r="H60" i="96"/>
  <c r="AU100" i="46"/>
  <c r="E99" i="94" s="1"/>
  <c r="H66" i="96"/>
  <c r="AU106" i="46"/>
  <c r="E105" i="94" s="1"/>
  <c r="H71" i="96"/>
  <c r="Q149" i="67"/>
  <c r="J105" i="96"/>
  <c r="Q142" i="67"/>
  <c r="J100" i="96"/>
  <c r="Q94" i="67"/>
  <c r="J64" i="96"/>
  <c r="Q105" i="67"/>
  <c r="J71" i="96"/>
  <c r="AU51" i="46"/>
  <c r="E50" i="94" s="1"/>
  <c r="H36" i="96"/>
  <c r="AU74" i="46"/>
  <c r="E73" i="94" s="1"/>
  <c r="H50" i="96"/>
  <c r="AU94" i="46"/>
  <c r="E93" i="94" s="1"/>
  <c r="H63" i="96"/>
  <c r="AU129" i="46"/>
  <c r="E128" i="94" s="1"/>
  <c r="H88" i="96"/>
  <c r="AU134" i="46"/>
  <c r="E133" i="94" s="1"/>
  <c r="H93" i="96"/>
  <c r="Q50" i="67"/>
  <c r="J36" i="96"/>
  <c r="AU7" i="46"/>
  <c r="E6" i="94" s="1"/>
  <c r="H3" i="96"/>
  <c r="AU184" i="46"/>
  <c r="AU153" i="46"/>
  <c r="AU140" i="46"/>
  <c r="AU218" i="46"/>
  <c r="AU143" i="46"/>
  <c r="AU138" i="46"/>
  <c r="AU154" i="46"/>
  <c r="AU195" i="46"/>
  <c r="AU139" i="46"/>
  <c r="AU176" i="46"/>
  <c r="AU168" i="46"/>
  <c r="AU171" i="46"/>
  <c r="AU159" i="46"/>
  <c r="P31" i="86"/>
  <c r="Q31" i="86"/>
  <c r="O26" i="88"/>
  <c r="P29" i="87"/>
  <c r="N29" i="88"/>
  <c r="L29" i="88"/>
  <c r="Q29" i="88"/>
  <c r="M20" i="87"/>
  <c r="M29" i="88"/>
  <c r="L26" i="87"/>
  <c r="P6" i="88"/>
  <c r="O6" i="87"/>
  <c r="P29" i="88"/>
  <c r="O32" i="87"/>
  <c r="Q10" i="86"/>
  <c r="N6" i="87"/>
  <c r="Q26" i="87"/>
  <c r="Q6" i="88"/>
  <c r="M6" i="87"/>
  <c r="L6" i="87"/>
  <c r="P20" i="86"/>
  <c r="L8" i="88"/>
  <c r="P24" i="88"/>
  <c r="O14" i="88"/>
  <c r="N10" i="88"/>
  <c r="Q24" i="88"/>
  <c r="M8" i="88"/>
  <c r="M20" i="86"/>
  <c r="Q16" i="86"/>
  <c r="Q8" i="88"/>
  <c r="N8" i="88"/>
  <c r="N24" i="88"/>
  <c r="L18" i="86"/>
  <c r="P12" i="87"/>
  <c r="O26" i="86"/>
  <c r="N15" i="86"/>
  <c r="L24" i="86"/>
  <c r="Q24" i="86"/>
  <c r="Q9" i="87"/>
  <c r="Q12" i="87"/>
  <c r="M13" i="87"/>
  <c r="P13" i="87"/>
  <c r="P24" i="86"/>
  <c r="N26" i="86"/>
  <c r="P8" i="88"/>
  <c r="L14" i="88"/>
  <c r="O8" i="88"/>
  <c r="L23" i="87"/>
  <c r="P16" i="86"/>
  <c r="Q18" i="86"/>
  <c r="O9" i="87"/>
  <c r="L20" i="87"/>
  <c r="Q13" i="87"/>
  <c r="N24" i="86"/>
  <c r="N13" i="87"/>
  <c r="M26" i="86"/>
  <c r="L11" i="88"/>
  <c r="N29" i="87"/>
  <c r="O29" i="87"/>
  <c r="L26" i="86"/>
  <c r="L19" i="88"/>
  <c r="N29" i="86"/>
  <c r="L29" i="87"/>
  <c r="Q29" i="87"/>
  <c r="M13" i="86"/>
  <c r="L13" i="86"/>
  <c r="O19" i="88"/>
  <c r="O13" i="87"/>
  <c r="P11" i="88"/>
  <c r="Q26" i="88"/>
  <c r="N16" i="88"/>
  <c r="O15" i="88"/>
  <c r="M18" i="88"/>
  <c r="Q17" i="87"/>
  <c r="O17" i="87"/>
  <c r="Q8" i="87"/>
  <c r="L17" i="87"/>
  <c r="P21" i="86"/>
  <c r="P17" i="87"/>
  <c r="N26" i="88"/>
  <c r="N15" i="87"/>
  <c r="L18" i="88"/>
  <c r="O18" i="86"/>
  <c r="N8" i="87"/>
  <c r="O21" i="86"/>
  <c r="P8" i="87"/>
  <c r="L8" i="87"/>
  <c r="L23" i="88"/>
  <c r="Q15" i="88"/>
  <c r="M30" i="88"/>
  <c r="Q21" i="86"/>
  <c r="N21" i="86"/>
  <c r="M21" i="86"/>
  <c r="N17" i="87"/>
  <c r="M8" i="87"/>
  <c r="Q6" i="86"/>
  <c r="P5" i="87"/>
  <c r="M20" i="88"/>
  <c r="N20" i="87"/>
  <c r="O12" i="87"/>
  <c r="L12" i="88"/>
  <c r="Q5" i="86"/>
  <c r="N5" i="86"/>
  <c r="L10" i="87"/>
  <c r="Q15" i="86"/>
  <c r="N9" i="86"/>
  <c r="O23" i="87"/>
  <c r="P23" i="87"/>
  <c r="Q4" i="86"/>
  <c r="P14" i="86"/>
  <c r="M10" i="87"/>
  <c r="P10" i="87"/>
  <c r="N26" i="87"/>
  <c r="O29" i="86"/>
  <c r="N30" i="88"/>
  <c r="O9" i="86"/>
  <c r="N15" i="88"/>
  <c r="L6" i="86"/>
  <c r="L31" i="86"/>
  <c r="O14" i="86"/>
  <c r="M19" i="88"/>
  <c r="M10" i="86"/>
  <c r="L10" i="86"/>
  <c r="O18" i="88"/>
  <c r="N6" i="86"/>
  <c r="Q12" i="88"/>
  <c r="N12" i="87"/>
  <c r="P32" i="87"/>
  <c r="P23" i="88"/>
  <c r="M10" i="88"/>
  <c r="O15" i="87"/>
  <c r="P20" i="87"/>
  <c r="Q6" i="87"/>
  <c r="P9" i="86"/>
  <c r="AN197" i="46"/>
  <c r="E4" i="88"/>
  <c r="M4" i="88" s="1"/>
  <c r="E14" i="87"/>
  <c r="L14" i="87" s="1"/>
  <c r="B4" i="89"/>
  <c r="E27" i="86"/>
  <c r="P27" i="86" s="1"/>
  <c r="AN188" i="46"/>
  <c r="B5" i="89"/>
  <c r="E7" i="87"/>
  <c r="L7" i="87" s="1"/>
  <c r="E5" i="88"/>
  <c r="P5" i="88" s="1"/>
  <c r="E22" i="86"/>
  <c r="L22" i="86" s="1"/>
  <c r="AN203" i="46"/>
  <c r="M141" i="98" s="1"/>
  <c r="E24" i="87"/>
  <c r="N24" i="87" s="1"/>
  <c r="B22" i="89"/>
  <c r="E22" i="88"/>
  <c r="O22" i="88" s="1"/>
  <c r="E32" i="86"/>
  <c r="M32" i="86" s="1"/>
  <c r="M147" i="67"/>
  <c r="I147" i="67" s="1"/>
  <c r="E136" i="92"/>
  <c r="O156" i="67"/>
  <c r="K156" i="67" s="1"/>
  <c r="O189" i="67"/>
  <c r="K189" i="67" s="1"/>
  <c r="O147" i="67"/>
  <c r="K147" i="67" s="1"/>
  <c r="N173" i="67"/>
  <c r="J173" i="67" s="1"/>
  <c r="E145" i="91"/>
  <c r="M201" i="67"/>
  <c r="I201" i="67" s="1"/>
  <c r="E163" i="92"/>
  <c r="N199" i="67"/>
  <c r="J199" i="67" s="1"/>
  <c r="E162" i="91"/>
  <c r="O179" i="67"/>
  <c r="K179" i="67" s="1"/>
  <c r="M186" i="67"/>
  <c r="I186" i="67" s="1"/>
  <c r="E153" i="92"/>
  <c r="O201" i="67"/>
  <c r="K201" i="67" s="1"/>
  <c r="M199" i="67"/>
  <c r="I199" i="67" s="1"/>
  <c r="E162" i="92"/>
  <c r="N150" i="67"/>
  <c r="J150" i="67" s="1"/>
  <c r="E137" i="91"/>
  <c r="M195" i="67"/>
  <c r="I195" i="67" s="1"/>
  <c r="E158" i="92"/>
  <c r="M168" i="67"/>
  <c r="I168" i="67" s="1"/>
  <c r="E142" i="92"/>
  <c r="M198" i="67"/>
  <c r="I198" i="67" s="1"/>
  <c r="E161" i="92"/>
  <c r="M196" i="67"/>
  <c r="I196" i="67" s="1"/>
  <c r="E159" i="92"/>
  <c r="O173" i="67"/>
  <c r="K173" i="67" s="1"/>
  <c r="N201" i="67"/>
  <c r="J201" i="67" s="1"/>
  <c r="E163" i="91"/>
  <c r="M182" i="67"/>
  <c r="I182" i="67" s="1"/>
  <c r="E150" i="92"/>
  <c r="O195" i="67"/>
  <c r="K195" i="67" s="1"/>
  <c r="O163" i="67"/>
  <c r="K163" i="67" s="1"/>
  <c r="N184" i="67"/>
  <c r="J184" i="67" s="1"/>
  <c r="E151" i="91"/>
  <c r="O187" i="67"/>
  <c r="K187" i="67" s="1"/>
  <c r="M169" i="67"/>
  <c r="I169" i="67" s="1"/>
  <c r="E143" i="92"/>
  <c r="N155" i="67"/>
  <c r="J155" i="67" s="1"/>
  <c r="E138" i="91"/>
  <c r="N177" i="67"/>
  <c r="J177" i="67" s="1"/>
  <c r="E147" i="91"/>
  <c r="N192" i="67"/>
  <c r="J192" i="67" s="1"/>
  <c r="E157" i="91"/>
  <c r="O198" i="67"/>
  <c r="K198" i="67" s="1"/>
  <c r="O196" i="67"/>
  <c r="K196" i="67" s="1"/>
  <c r="M187" i="67"/>
  <c r="I187" i="67" s="1"/>
  <c r="E154" i="92"/>
  <c r="O182" i="67"/>
  <c r="K182" i="67" s="1"/>
  <c r="O177" i="67"/>
  <c r="K177" i="67" s="1"/>
  <c r="O150" i="67"/>
  <c r="K150" i="67" s="1"/>
  <c r="O168" i="67"/>
  <c r="K168" i="67" s="1"/>
  <c r="O199" i="67"/>
  <c r="K199" i="67" s="1"/>
  <c r="O162" i="67"/>
  <c r="K162" i="67" s="1"/>
  <c r="O176" i="67"/>
  <c r="K176" i="67" s="1"/>
  <c r="M163" i="67"/>
  <c r="I163" i="67" s="1"/>
  <c r="E141" i="92"/>
  <c r="M150" i="67"/>
  <c r="I150" i="67" s="1"/>
  <c r="E137" i="92"/>
  <c r="M5" i="86"/>
  <c r="N10" i="87"/>
  <c r="L5" i="86"/>
  <c r="Q29" i="86"/>
  <c r="L15" i="86"/>
  <c r="Q5" i="87"/>
  <c r="P20" i="88"/>
  <c r="N14" i="86"/>
  <c r="N13" i="86"/>
  <c r="Q9" i="86"/>
  <c r="Q23" i="88"/>
  <c r="N27" i="87"/>
  <c r="L16" i="88"/>
  <c r="Q10" i="88"/>
  <c r="N21" i="87"/>
  <c r="O30" i="88"/>
  <c r="P4" i="86"/>
  <c r="Q23" i="87"/>
  <c r="P12" i="88"/>
  <c r="M14" i="86"/>
  <c r="O16" i="86"/>
  <c r="M29" i="86"/>
  <c r="O29" i="88"/>
  <c r="P16" i="88"/>
  <c r="N19" i="88"/>
  <c r="O16" i="88"/>
  <c r="M9" i="86"/>
  <c r="O25" i="88"/>
  <c r="O6" i="86"/>
  <c r="M31" i="86"/>
  <c r="L20" i="88"/>
  <c r="L12" i="87"/>
  <c r="O12" i="88"/>
  <c r="P15" i="86"/>
  <c r="P9" i="87"/>
  <c r="L25" i="88"/>
  <c r="M9" i="87"/>
  <c r="L15" i="88"/>
  <c r="O20" i="87"/>
  <c r="N20" i="88"/>
  <c r="N6" i="88"/>
  <c r="N32" i="87"/>
  <c r="O10" i="88"/>
  <c r="P18" i="88"/>
  <c r="Q14" i="88"/>
  <c r="P6" i="87"/>
  <c r="P21" i="87"/>
  <c r="P37" i="67"/>
  <c r="L37" i="67" s="1"/>
  <c r="C63" i="90"/>
  <c r="E37" i="85"/>
  <c r="E37" i="84"/>
  <c r="E21" i="88"/>
  <c r="N21" i="88" s="1"/>
  <c r="E28" i="87"/>
  <c r="L28" i="87" s="1"/>
  <c r="B21" i="89"/>
  <c r="E23" i="86"/>
  <c r="L23" i="86" s="1"/>
  <c r="B17" i="89"/>
  <c r="E17" i="88"/>
  <c r="Q17" i="88" s="1"/>
  <c r="E16" i="87"/>
  <c r="L16" i="87" s="1"/>
  <c r="E8" i="86"/>
  <c r="L8" i="86" s="1"/>
  <c r="AN185" i="46"/>
  <c r="E13" i="88"/>
  <c r="P13" i="88" s="1"/>
  <c r="B13" i="89"/>
  <c r="E11" i="87"/>
  <c r="N11" i="87" s="1"/>
  <c r="E19" i="86"/>
  <c r="Q19" i="86" s="1"/>
  <c r="AN200" i="46"/>
  <c r="M89" i="98" s="1"/>
  <c r="E18" i="87"/>
  <c r="Q18" i="87" s="1"/>
  <c r="B9" i="89"/>
  <c r="E9" i="88"/>
  <c r="O9" i="88" s="1"/>
  <c r="E30" i="86"/>
  <c r="O30" i="86" s="1"/>
  <c r="M27" i="87"/>
  <c r="L27" i="87"/>
  <c r="M4" i="86"/>
  <c r="Q16" i="88"/>
  <c r="L15" i="87"/>
  <c r="Q20" i="88"/>
  <c r="M6" i="86"/>
  <c r="N4" i="87"/>
  <c r="N18" i="88"/>
  <c r="O31" i="86"/>
  <c r="L14" i="86"/>
  <c r="Q21" i="87"/>
  <c r="N23" i="88"/>
  <c r="O26" i="87"/>
  <c r="Q15" i="87"/>
  <c r="N25" i="88"/>
  <c r="P30" i="88"/>
  <c r="Q30" i="88"/>
  <c r="M4" i="87"/>
  <c r="L26" i="88"/>
  <c r="M16" i="88"/>
  <c r="O10" i="87"/>
  <c r="N23" i="87"/>
  <c r="M21" i="87"/>
  <c r="O21" i="87"/>
  <c r="N10" i="86"/>
  <c r="O5" i="87"/>
  <c r="M12" i="87"/>
  <c r="L6" i="88"/>
  <c r="M18" i="86"/>
  <c r="P10" i="88"/>
  <c r="P10" i="86"/>
  <c r="L9" i="86"/>
  <c r="M15" i="88"/>
  <c r="Q14" i="86"/>
  <c r="P5" i="86"/>
  <c r="M15" i="86"/>
  <c r="P26" i="86"/>
  <c r="P25" i="88"/>
  <c r="AN180" i="46"/>
  <c r="M152" i="98" s="1"/>
  <c r="B27" i="89"/>
  <c r="E27" i="88"/>
  <c r="L27" i="88" s="1"/>
  <c r="E25" i="87"/>
  <c r="Q25" i="87" s="1"/>
  <c r="E17" i="86"/>
  <c r="Q17" i="86" s="1"/>
  <c r="E31" i="88"/>
  <c r="M31" i="88" s="1"/>
  <c r="B31" i="89"/>
  <c r="E22" i="87"/>
  <c r="P22" i="87" s="1"/>
  <c r="E7" i="86"/>
  <c r="O7" i="86" s="1"/>
  <c r="N202" i="67"/>
  <c r="J202" i="67" s="1"/>
  <c r="E164" i="91"/>
  <c r="O155" i="67"/>
  <c r="K155" i="67" s="1"/>
  <c r="N186" i="67"/>
  <c r="J186" i="67" s="1"/>
  <c r="E153" i="91"/>
  <c r="M155" i="67"/>
  <c r="I155" i="67" s="1"/>
  <c r="E138" i="92"/>
  <c r="O186" i="67"/>
  <c r="K186" i="67" s="1"/>
  <c r="N162" i="67"/>
  <c r="J162" i="67" s="1"/>
  <c r="E140" i="91"/>
  <c r="N176" i="67"/>
  <c r="J176" i="67" s="1"/>
  <c r="E146" i="91"/>
  <c r="N179" i="67"/>
  <c r="J179" i="67" s="1"/>
  <c r="E149" i="91"/>
  <c r="M185" i="67"/>
  <c r="I185" i="67" s="1"/>
  <c r="E152" i="92"/>
  <c r="M184" i="67"/>
  <c r="I184" i="67" s="1"/>
  <c r="E151" i="92"/>
  <c r="M176" i="67"/>
  <c r="I176" i="67" s="1"/>
  <c r="E146" i="92"/>
  <c r="M162" i="67"/>
  <c r="I162" i="67" s="1"/>
  <c r="E140" i="92"/>
  <c r="N156" i="67"/>
  <c r="J156" i="67" s="1"/>
  <c r="E139" i="91"/>
  <c r="M202" i="67"/>
  <c r="I202" i="67" s="1"/>
  <c r="E164" i="92"/>
  <c r="N198" i="67"/>
  <c r="J198" i="67" s="1"/>
  <c r="E161" i="91"/>
  <c r="N196" i="67"/>
  <c r="J196" i="67" s="1"/>
  <c r="E159" i="91"/>
  <c r="O184" i="67"/>
  <c r="K184" i="67" s="1"/>
  <c r="M189" i="67"/>
  <c r="I189" i="67" s="1"/>
  <c r="E155" i="92"/>
  <c r="O190" i="67"/>
  <c r="K190" i="67" s="1"/>
  <c r="N163" i="67"/>
  <c r="J163" i="67" s="1"/>
  <c r="E141" i="91"/>
  <c r="M156" i="67"/>
  <c r="I156" i="67" s="1"/>
  <c r="E139" i="92"/>
  <c r="M179" i="67"/>
  <c r="I179" i="67" s="1"/>
  <c r="E149" i="92"/>
  <c r="M177" i="67"/>
  <c r="I177" i="67" s="1"/>
  <c r="E147" i="92"/>
  <c r="O185" i="67"/>
  <c r="K185" i="67" s="1"/>
  <c r="M190" i="67"/>
  <c r="I190" i="67" s="1"/>
  <c r="E156" i="92"/>
  <c r="N169" i="67"/>
  <c r="J169" i="67" s="1"/>
  <c r="E143" i="91"/>
  <c r="O192" i="67"/>
  <c r="K192" i="67" s="1"/>
  <c r="N182" i="67"/>
  <c r="J182" i="67" s="1"/>
  <c r="E150" i="91"/>
  <c r="N147" i="67"/>
  <c r="J147" i="67" s="1"/>
  <c r="E136" i="91"/>
  <c r="M173" i="67"/>
  <c r="I173" i="67" s="1"/>
  <c r="E145" i="92"/>
  <c r="N187" i="67"/>
  <c r="J187" i="67" s="1"/>
  <c r="E154" i="91"/>
  <c r="N185" i="67"/>
  <c r="J185" i="67" s="1"/>
  <c r="E152" i="91"/>
  <c r="N190" i="67"/>
  <c r="J190" i="67" s="1"/>
  <c r="E156" i="91"/>
  <c r="O202" i="67"/>
  <c r="K202" i="67" s="1"/>
  <c r="N189" i="67"/>
  <c r="J189" i="67" s="1"/>
  <c r="E155" i="91"/>
  <c r="N195" i="67"/>
  <c r="J195" i="67" s="1"/>
  <c r="E158" i="91"/>
  <c r="O169" i="67"/>
  <c r="K169" i="67" s="1"/>
  <c r="M192" i="67"/>
  <c r="I192" i="67" s="1"/>
  <c r="E157" i="92"/>
  <c r="N168" i="67"/>
  <c r="J168" i="67" s="1"/>
  <c r="E142" i="91"/>
  <c r="AN193" i="46"/>
  <c r="M140" i="98" s="1"/>
  <c r="B7" i="89"/>
  <c r="E7" i="88"/>
  <c r="N7" i="88" s="1"/>
  <c r="E19" i="87"/>
  <c r="N19" i="87" s="1"/>
  <c r="E25" i="86"/>
  <c r="P25" i="86" s="1"/>
  <c r="M23" i="88"/>
  <c r="Q10" i="87"/>
  <c r="L4" i="86"/>
  <c r="L10" i="88"/>
  <c r="P6" i="86"/>
  <c r="M5" i="87"/>
  <c r="N12" i="88"/>
  <c r="O6" i="88"/>
  <c r="L4" i="87"/>
  <c r="Q25" i="88"/>
  <c r="Q27" i="87"/>
  <c r="L29" i="86"/>
  <c r="O4" i="86"/>
  <c r="P4" i="87"/>
  <c r="M12" i="88"/>
  <c r="P26" i="88"/>
  <c r="M16" i="86"/>
  <c r="O24" i="86"/>
  <c r="P29" i="86"/>
  <c r="N18" i="86"/>
  <c r="N4" i="86"/>
  <c r="M25" i="88"/>
  <c r="N9" i="87"/>
  <c r="O20" i="88"/>
  <c r="M6" i="88"/>
  <c r="L5" i="87"/>
  <c r="O4" i="87"/>
  <c r="M26" i="87"/>
  <c r="P15" i="87"/>
  <c r="P15" i="88"/>
  <c r="L21" i="87"/>
  <c r="L9" i="87"/>
  <c r="O13" i="86"/>
  <c r="N5" i="87"/>
  <c r="Q4" i="87"/>
  <c r="N31" i="86"/>
  <c r="P27" i="87"/>
  <c r="M15" i="87"/>
  <c r="O15" i="86"/>
  <c r="P13" i="86"/>
  <c r="Q26" i="86"/>
  <c r="P14" i="88"/>
  <c r="C64" i="90"/>
  <c r="C43" i="90"/>
  <c r="C66" i="90"/>
  <c r="C51" i="90"/>
  <c r="C88" i="90"/>
  <c r="C69" i="90"/>
  <c r="C31" i="90"/>
  <c r="C12" i="90"/>
  <c r="C52" i="90"/>
  <c r="C10" i="90"/>
  <c r="C14" i="90"/>
  <c r="C17" i="90"/>
  <c r="C25" i="90"/>
  <c r="C70" i="90"/>
  <c r="C85" i="90"/>
  <c r="C16" i="90"/>
  <c r="C33" i="90"/>
  <c r="C67" i="90"/>
  <c r="C77" i="90"/>
  <c r="C47" i="90"/>
  <c r="C38" i="90"/>
  <c r="C81" i="90"/>
  <c r="C5" i="90"/>
  <c r="C82" i="90"/>
  <c r="C68" i="90"/>
  <c r="C20" i="90"/>
  <c r="C36" i="90"/>
  <c r="C87" i="90"/>
  <c r="C56" i="90"/>
  <c r="C4" i="90"/>
  <c r="C26" i="90"/>
  <c r="C41" i="90"/>
  <c r="C60" i="90"/>
  <c r="C35" i="90"/>
  <c r="C39" i="90"/>
  <c r="C34" i="90"/>
  <c r="C8" i="90"/>
  <c r="C46" i="90"/>
  <c r="C75" i="90"/>
  <c r="C58" i="90"/>
  <c r="C86" i="90"/>
  <c r="P164" i="67"/>
  <c r="L164" i="67" s="1"/>
  <c r="P12" i="67"/>
  <c r="L12" i="67" s="1"/>
  <c r="E12" i="84"/>
  <c r="E12" i="85"/>
  <c r="E147" i="85"/>
  <c r="E147" i="84"/>
  <c r="P101" i="67"/>
  <c r="L101" i="67" s="1"/>
  <c r="E101" i="84"/>
  <c r="E101" i="85"/>
  <c r="E150" i="85"/>
  <c r="E150" i="84"/>
  <c r="E163" i="85"/>
  <c r="E163" i="84"/>
  <c r="E141" i="84"/>
  <c r="E141" i="85"/>
  <c r="E136" i="84"/>
  <c r="E136" i="85"/>
  <c r="E138" i="85"/>
  <c r="E138" i="84"/>
  <c r="P49" i="67"/>
  <c r="L49" i="67" s="1"/>
  <c r="E49" i="84"/>
  <c r="E49" i="85"/>
  <c r="E49" i="101" s="1"/>
  <c r="E83" i="85"/>
  <c r="E83" i="100" s="1"/>
  <c r="E83" i="84"/>
  <c r="E80" i="84"/>
  <c r="E80" i="85"/>
  <c r="E80" i="100" s="1"/>
  <c r="P128" i="67"/>
  <c r="L128" i="67" s="1"/>
  <c r="E128" i="84"/>
  <c r="E128" i="85"/>
  <c r="E128" i="100" s="1"/>
  <c r="E6" i="85"/>
  <c r="E6" i="100" s="1"/>
  <c r="E6" i="84"/>
  <c r="P58" i="67"/>
  <c r="L58" i="67" s="1"/>
  <c r="E58" i="85"/>
  <c r="E58" i="100" s="1"/>
  <c r="E58" i="84"/>
  <c r="E133" i="84"/>
  <c r="E133" i="85"/>
  <c r="E133" i="100" s="1"/>
  <c r="P114" i="67"/>
  <c r="L114" i="67" s="1"/>
  <c r="E114" i="85"/>
  <c r="E114" i="101" s="1"/>
  <c r="E114" i="84"/>
  <c r="E81" i="84"/>
  <c r="E81" i="85"/>
  <c r="AJ86" i="46"/>
  <c r="F119" i="88"/>
  <c r="E119" i="88"/>
  <c r="D119" i="88"/>
  <c r="AJ127" i="46"/>
  <c r="AQ127" i="46" s="1"/>
  <c r="D160" i="88"/>
  <c r="F160" i="88"/>
  <c r="E160" i="88"/>
  <c r="E107" i="88"/>
  <c r="D107" i="88"/>
  <c r="F107" i="88"/>
  <c r="AJ91" i="46"/>
  <c r="E124" i="88"/>
  <c r="D124" i="88"/>
  <c r="F124" i="88"/>
  <c r="AJ100" i="46"/>
  <c r="D133" i="88"/>
  <c r="F133" i="88"/>
  <c r="E133" i="88"/>
  <c r="AJ135" i="46"/>
  <c r="F168" i="88"/>
  <c r="E168" i="88"/>
  <c r="D168" i="88"/>
  <c r="F115" i="88"/>
  <c r="E115" i="88"/>
  <c r="D115" i="88"/>
  <c r="AJ99" i="46"/>
  <c r="E132" i="88"/>
  <c r="D132" i="88"/>
  <c r="F132" i="88"/>
  <c r="AJ172" i="46"/>
  <c r="AO172" i="46" s="1"/>
  <c r="E205" i="88"/>
  <c r="D205" i="88"/>
  <c r="F205" i="88"/>
  <c r="AJ179" i="46"/>
  <c r="F212" i="88"/>
  <c r="E212" i="88"/>
  <c r="D212" i="88"/>
  <c r="AJ137" i="46"/>
  <c r="AQ137" i="46" s="1"/>
  <c r="D170" i="88"/>
  <c r="F170" i="88"/>
  <c r="E170" i="88"/>
  <c r="AJ154" i="46"/>
  <c r="F187" i="88"/>
  <c r="E187" i="88"/>
  <c r="D187" i="88"/>
  <c r="AJ171" i="46"/>
  <c r="F204" i="88"/>
  <c r="E204" i="88"/>
  <c r="D204" i="88"/>
  <c r="F114" i="88"/>
  <c r="E114" i="88"/>
  <c r="D114" i="88"/>
  <c r="AJ115" i="46"/>
  <c r="E148" i="88"/>
  <c r="D148" i="88"/>
  <c r="F148" i="88"/>
  <c r="AJ110" i="46"/>
  <c r="F143" i="88"/>
  <c r="E143" i="88"/>
  <c r="D143" i="88"/>
  <c r="AJ165" i="46"/>
  <c r="D198" i="88"/>
  <c r="F198" i="88"/>
  <c r="E198" i="88"/>
  <c r="AJ95" i="46"/>
  <c r="E128" i="88"/>
  <c r="D128" i="88"/>
  <c r="F128" i="88"/>
  <c r="AJ176" i="46"/>
  <c r="E209" i="88"/>
  <c r="D209" i="88"/>
  <c r="F209" i="88"/>
  <c r="AJ34" i="46"/>
  <c r="E67" i="88" s="1"/>
  <c r="F67" i="88"/>
  <c r="D67" i="88"/>
  <c r="AJ123" i="46"/>
  <c r="D156" i="88"/>
  <c r="F156" i="88"/>
  <c r="E156" i="88"/>
  <c r="AJ196" i="46"/>
  <c r="E229" i="88"/>
  <c r="D229" i="88"/>
  <c r="F229" i="88"/>
  <c r="D99" i="88"/>
  <c r="F99" i="88"/>
  <c r="E99" i="88"/>
  <c r="AJ109" i="46"/>
  <c r="F142" i="88"/>
  <c r="E142" i="88"/>
  <c r="D142" i="88"/>
  <c r="AJ190" i="46"/>
  <c r="F223" i="88"/>
  <c r="E223" i="88"/>
  <c r="D223" i="88"/>
  <c r="AJ48" i="46"/>
  <c r="E81" i="88" s="1"/>
  <c r="F81" i="88"/>
  <c r="D81" i="88"/>
  <c r="AJ97" i="46"/>
  <c r="F130" i="88"/>
  <c r="E130" i="88"/>
  <c r="D130" i="88"/>
  <c r="AJ178" i="46"/>
  <c r="F211" i="88"/>
  <c r="E211" i="88"/>
  <c r="D211" i="88"/>
  <c r="AJ76" i="46"/>
  <c r="E109" i="88" s="1"/>
  <c r="F109" i="88"/>
  <c r="D109" i="88"/>
  <c r="AJ72" i="46"/>
  <c r="F105" i="88"/>
  <c r="E105" i="88"/>
  <c r="D105" i="88"/>
  <c r="AJ117" i="46"/>
  <c r="F150" i="88"/>
  <c r="E150" i="88"/>
  <c r="D150" i="88"/>
  <c r="AJ31" i="46"/>
  <c r="F64" i="88"/>
  <c r="E64" i="88"/>
  <c r="D64" i="88"/>
  <c r="AJ128" i="46"/>
  <c r="AP128" i="46" s="1"/>
  <c r="F161" i="88"/>
  <c r="E161" i="88"/>
  <c r="D161" i="88"/>
  <c r="AJ169" i="46"/>
  <c r="D202" i="88"/>
  <c r="F202" i="88"/>
  <c r="E202" i="88"/>
  <c r="D108" i="88"/>
  <c r="F108" i="88"/>
  <c r="AJ148" i="46"/>
  <c r="E181" i="88"/>
  <c r="D181" i="88"/>
  <c r="F181" i="88"/>
  <c r="AJ130" i="46"/>
  <c r="F163" i="88"/>
  <c r="E163" i="88"/>
  <c r="D163" i="88"/>
  <c r="AJ125" i="46"/>
  <c r="AQ125" i="46" s="1"/>
  <c r="F158" i="88"/>
  <c r="E158" i="88"/>
  <c r="D158" i="88"/>
  <c r="AJ85" i="46"/>
  <c r="AQ85" i="46" s="1"/>
  <c r="F118" i="88"/>
  <c r="E118" i="88"/>
  <c r="D118" i="88"/>
  <c r="E30" i="85"/>
  <c r="E30" i="100" s="1"/>
  <c r="E30" i="84"/>
  <c r="E62" i="85"/>
  <c r="E62" i="84"/>
  <c r="E122" i="85"/>
  <c r="E122" i="100" s="1"/>
  <c r="E122" i="84"/>
  <c r="E92" i="84"/>
  <c r="E92" i="85"/>
  <c r="E92" i="100" s="1"/>
  <c r="P54" i="67"/>
  <c r="L54" i="67" s="1"/>
  <c r="E54" i="85"/>
  <c r="E54" i="100" s="1"/>
  <c r="E54" i="84"/>
  <c r="E86" i="85"/>
  <c r="E86" i="101" s="1"/>
  <c r="E86" i="84"/>
  <c r="E96" i="84"/>
  <c r="E96" i="85"/>
  <c r="E96" i="101" s="1"/>
  <c r="E113" i="84"/>
  <c r="E113" i="85"/>
  <c r="E113" i="100" s="1"/>
  <c r="E69" i="84"/>
  <c r="E69" i="85"/>
  <c r="E69" i="101" s="1"/>
  <c r="AJ150" i="46"/>
  <c r="F183" i="88"/>
  <c r="E183" i="88"/>
  <c r="D183" i="88"/>
  <c r="F224" i="88"/>
  <c r="E224" i="88"/>
  <c r="D224" i="88"/>
  <c r="AJ49" i="46"/>
  <c r="E82" i="88" s="1"/>
  <c r="F82" i="88"/>
  <c r="D82" i="88"/>
  <c r="AJ138" i="46"/>
  <c r="F171" i="88"/>
  <c r="E171" i="88"/>
  <c r="D171" i="88"/>
  <c r="AJ155" i="46"/>
  <c r="F188" i="88"/>
  <c r="E188" i="88"/>
  <c r="D188" i="88"/>
  <c r="E197" i="88"/>
  <c r="D197" i="88"/>
  <c r="F197" i="88"/>
  <c r="F127" i="88"/>
  <c r="E127" i="88"/>
  <c r="D127" i="88"/>
  <c r="F232" i="88"/>
  <c r="E232" i="88"/>
  <c r="D232" i="88"/>
  <c r="AJ65" i="46"/>
  <c r="E98" i="88"/>
  <c r="F98" i="88"/>
  <c r="D98" i="88"/>
  <c r="AJ146" i="46"/>
  <c r="AO146" i="46" s="1"/>
  <c r="F179" i="88"/>
  <c r="E179" i="88"/>
  <c r="D179" i="88"/>
  <c r="AJ163" i="46"/>
  <c r="F196" i="88"/>
  <c r="E196" i="88"/>
  <c r="D196" i="88"/>
  <c r="AJ145" i="46"/>
  <c r="AQ145" i="46" s="1"/>
  <c r="D178" i="88"/>
  <c r="F178" i="88"/>
  <c r="E178" i="88"/>
  <c r="AJ52" i="46"/>
  <c r="E85" i="88" s="1"/>
  <c r="F85" i="88"/>
  <c r="D85" i="88"/>
  <c r="AJ166" i="46"/>
  <c r="F199" i="88"/>
  <c r="E199" i="88"/>
  <c r="D199" i="88"/>
  <c r="AJ96" i="46"/>
  <c r="D129" i="88"/>
  <c r="F129" i="88"/>
  <c r="E129" i="88"/>
  <c r="AJ201" i="46"/>
  <c r="AQ201" i="46" s="1"/>
  <c r="D234" i="88"/>
  <c r="F234" i="88"/>
  <c r="E234" i="88"/>
  <c r="AJ218" i="46"/>
  <c r="D238" i="88"/>
  <c r="F238" i="88"/>
  <c r="E238" i="88"/>
  <c r="AJ44" i="46"/>
  <c r="E77" i="88"/>
  <c r="D77" i="88"/>
  <c r="F77" i="88"/>
  <c r="AJ16" i="46"/>
  <c r="E49" i="88"/>
  <c r="D49" i="88"/>
  <c r="F49" i="88"/>
  <c r="AJ124" i="46"/>
  <c r="AQ124" i="46" s="1"/>
  <c r="F157" i="88"/>
  <c r="E157" i="88"/>
  <c r="D157" i="88"/>
  <c r="F207" i="88"/>
  <c r="E207" i="88"/>
  <c r="D207" i="88"/>
  <c r="AJ46" i="46"/>
  <c r="E79" i="88" s="1"/>
  <c r="F79" i="88"/>
  <c r="D79" i="88"/>
  <c r="F192" i="88"/>
  <c r="E192" i="88"/>
  <c r="D192" i="88"/>
  <c r="AJ89" i="46"/>
  <c r="F122" i="88"/>
  <c r="E122" i="88"/>
  <c r="D122" i="88"/>
  <c r="AJ106" i="46"/>
  <c r="F139" i="88"/>
  <c r="E139" i="88"/>
  <c r="D139" i="88"/>
  <c r="F220" i="88"/>
  <c r="E220" i="88"/>
  <c r="D220" i="88"/>
  <c r="AJ119" i="46"/>
  <c r="AQ119" i="46" s="1"/>
  <c r="E152" i="88"/>
  <c r="D152" i="88"/>
  <c r="F152" i="88"/>
  <c r="AJ147" i="46"/>
  <c r="AP147" i="46" s="1"/>
  <c r="F180" i="88"/>
  <c r="E180" i="88"/>
  <c r="D180" i="88"/>
  <c r="D206" i="88"/>
  <c r="F206" i="88"/>
  <c r="E206" i="88"/>
  <c r="AJ23" i="46"/>
  <c r="F56" i="88"/>
  <c r="E56" i="88"/>
  <c r="D56" i="88"/>
  <c r="AJ120" i="46"/>
  <c r="AQ120" i="46" s="1"/>
  <c r="D153" i="88"/>
  <c r="F153" i="88"/>
  <c r="E153" i="88"/>
  <c r="AJ161" i="46"/>
  <c r="AP161" i="46" s="1"/>
  <c r="D194" i="88"/>
  <c r="F194" i="88"/>
  <c r="E194" i="88"/>
  <c r="AJ67" i="46"/>
  <c r="E100" i="88" s="1"/>
  <c r="F100" i="88"/>
  <c r="D100" i="88"/>
  <c r="E173" i="88"/>
  <c r="D173" i="88"/>
  <c r="F173" i="88"/>
  <c r="AJ41" i="46"/>
  <c r="E74" i="88" s="1"/>
  <c r="D74" i="88"/>
  <c r="F74" i="88"/>
  <c r="AJ181" i="46"/>
  <c r="D214" i="88"/>
  <c r="F214" i="88"/>
  <c r="E214" i="88"/>
  <c r="E144" i="88"/>
  <c r="D144" i="88"/>
  <c r="F144" i="88"/>
  <c r="AJ192" i="46"/>
  <c r="E225" i="88"/>
  <c r="D225" i="88"/>
  <c r="F225" i="88"/>
  <c r="AJ58" i="46"/>
  <c r="E91" i="88" s="1"/>
  <c r="D91" i="88"/>
  <c r="F91" i="88"/>
  <c r="AJ139" i="46"/>
  <c r="F172" i="88"/>
  <c r="E172" i="88"/>
  <c r="D172" i="88"/>
  <c r="D222" i="88"/>
  <c r="F222" i="88"/>
  <c r="E222" i="88"/>
  <c r="AJ39" i="46"/>
  <c r="E72" i="88" s="1"/>
  <c r="F72" i="88"/>
  <c r="D72" i="88"/>
  <c r="F39" i="88"/>
  <c r="D39" i="88"/>
  <c r="E65" i="84"/>
  <c r="E65" i="85"/>
  <c r="E65" i="101" s="1"/>
  <c r="E50" i="85"/>
  <c r="E50" i="84"/>
  <c r="E73" i="84"/>
  <c r="E73" i="85"/>
  <c r="E73" i="100" s="1"/>
  <c r="E93" i="84"/>
  <c r="E93" i="85"/>
  <c r="E93" i="100" s="1"/>
  <c r="E142" i="85"/>
  <c r="E142" i="84"/>
  <c r="E143" i="85"/>
  <c r="E143" i="84"/>
  <c r="E161" i="84"/>
  <c r="E161" i="85"/>
  <c r="P100" i="67"/>
  <c r="L100" i="67" s="1"/>
  <c r="E100" i="84"/>
  <c r="E100" i="85"/>
  <c r="E156" i="84"/>
  <c r="E156" i="85"/>
  <c r="E137" i="84"/>
  <c r="E137" i="85"/>
  <c r="E146" i="85"/>
  <c r="E146" i="84"/>
  <c r="E145" i="84"/>
  <c r="E145" i="85"/>
  <c r="E152" i="84"/>
  <c r="E152" i="85"/>
  <c r="E158" i="85"/>
  <c r="E158" i="84"/>
  <c r="E25" i="84"/>
  <c r="E25" i="85"/>
  <c r="E25" i="100" s="1"/>
  <c r="E135" i="85"/>
  <c r="E135" i="100" s="1"/>
  <c r="E135" i="84"/>
  <c r="E131" i="85"/>
  <c r="E131" i="100" s="1"/>
  <c r="E131" i="84"/>
  <c r="E134" i="85"/>
  <c r="E134" i="84"/>
  <c r="AJ10" i="46"/>
  <c r="E43" i="88" s="1"/>
  <c r="F43" i="88"/>
  <c r="D43" i="88"/>
  <c r="E77" i="84"/>
  <c r="E77" i="85"/>
  <c r="E77" i="100" s="1"/>
  <c r="E87" i="85"/>
  <c r="E87" i="100" s="1"/>
  <c r="E87" i="84"/>
  <c r="E109" i="84"/>
  <c r="E109" i="85"/>
  <c r="E109" i="101" s="1"/>
  <c r="E79" i="85"/>
  <c r="E79" i="100" s="1"/>
  <c r="E79" i="84"/>
  <c r="E76" i="84"/>
  <c r="E76" i="85"/>
  <c r="E76" i="100" s="1"/>
  <c r="E110" i="85"/>
  <c r="E110" i="100" s="1"/>
  <c r="E110" i="84"/>
  <c r="AN8" i="46"/>
  <c r="D41" i="88"/>
  <c r="F41" i="88"/>
  <c r="AJ133" i="46"/>
  <c r="D166" i="88"/>
  <c r="F166" i="88"/>
  <c r="E166" i="88"/>
  <c r="D113" i="88"/>
  <c r="F113" i="88"/>
  <c r="E113" i="88"/>
  <c r="AJ121" i="46"/>
  <c r="AO121" i="46" s="1"/>
  <c r="R202" i="98" s="1"/>
  <c r="S202" i="98" s="1"/>
  <c r="F154" i="88"/>
  <c r="E154" i="88"/>
  <c r="D154" i="88"/>
  <c r="F235" i="88"/>
  <c r="E235" i="88"/>
  <c r="D235" i="88"/>
  <c r="AJ219" i="46"/>
  <c r="AP219" i="46" s="1"/>
  <c r="F239" i="88"/>
  <c r="E239" i="88"/>
  <c r="D239" i="88"/>
  <c r="F110" i="88"/>
  <c r="E110" i="88"/>
  <c r="D110" i="88"/>
  <c r="AJ158" i="46"/>
  <c r="AQ158" i="46" s="1"/>
  <c r="F191" i="88"/>
  <c r="E191" i="88"/>
  <c r="D191" i="88"/>
  <c r="D121" i="88"/>
  <c r="F121" i="88"/>
  <c r="E121" i="88"/>
  <c r="F162" i="88"/>
  <c r="E162" i="88"/>
  <c r="D162" i="88"/>
  <c r="AJ36" i="46"/>
  <c r="E69" i="88" s="1"/>
  <c r="D69" i="88"/>
  <c r="F69" i="88"/>
  <c r="AJ98" i="46"/>
  <c r="F131" i="88"/>
  <c r="E131" i="88"/>
  <c r="D131" i="88"/>
  <c r="AJ188" i="46"/>
  <c r="E221" i="88"/>
  <c r="D221" i="88"/>
  <c r="F221" i="88"/>
  <c r="E112" i="88"/>
  <c r="D112" i="88"/>
  <c r="F112" i="88"/>
  <c r="AJ160" i="46"/>
  <c r="AP160" i="46" s="1"/>
  <c r="E193" i="88"/>
  <c r="D193" i="88"/>
  <c r="F193" i="88"/>
  <c r="AJ18" i="46"/>
  <c r="F51" i="88"/>
  <c r="E51" i="88"/>
  <c r="D51" i="88"/>
  <c r="F68" i="88"/>
  <c r="E68" i="88"/>
  <c r="D68" i="88"/>
  <c r="AJ116" i="46"/>
  <c r="AP116" i="46" s="1"/>
  <c r="D149" i="88"/>
  <c r="F149" i="88"/>
  <c r="E149" i="88"/>
  <c r="AJ104" i="46"/>
  <c r="D137" i="88"/>
  <c r="F137" i="88"/>
  <c r="E137" i="88"/>
  <c r="F59" i="88"/>
  <c r="E59" i="88"/>
  <c r="D59" i="88"/>
  <c r="F126" i="88"/>
  <c r="E126" i="88"/>
  <c r="D126" i="88"/>
  <c r="AJ87" i="46"/>
  <c r="E120" i="88"/>
  <c r="D120" i="88"/>
  <c r="F120" i="88"/>
  <c r="F151" i="88"/>
  <c r="E151" i="88"/>
  <c r="D151" i="88"/>
  <c r="AJ40" i="46"/>
  <c r="E73" i="88"/>
  <c r="D73" i="88"/>
  <c r="F73" i="88"/>
  <c r="AJ153" i="46"/>
  <c r="D186" i="88"/>
  <c r="F186" i="88"/>
  <c r="E186" i="88"/>
  <c r="AJ170" i="46"/>
  <c r="F203" i="88"/>
  <c r="E203" i="88"/>
  <c r="D203" i="88"/>
  <c r="AJ68" i="46"/>
  <c r="F101" i="88"/>
  <c r="E101" i="88"/>
  <c r="D101" i="88"/>
  <c r="E169" i="88"/>
  <c r="D169" i="88"/>
  <c r="F169" i="88"/>
  <c r="AJ92" i="46"/>
  <c r="D125" i="88"/>
  <c r="F125" i="88"/>
  <c r="E125" i="88"/>
  <c r="AJ54" i="46"/>
  <c r="D87" i="88"/>
  <c r="F87" i="88"/>
  <c r="E87" i="88"/>
  <c r="AJ103" i="46"/>
  <c r="E136" i="88"/>
  <c r="D136" i="88"/>
  <c r="F136" i="88"/>
  <c r="E217" i="88"/>
  <c r="D217" i="88"/>
  <c r="F217" i="88"/>
  <c r="AJ42" i="46"/>
  <c r="E75" i="88" s="1"/>
  <c r="F75" i="88"/>
  <c r="D75" i="88"/>
  <c r="AJ131" i="46"/>
  <c r="E164" i="88"/>
  <c r="D164" i="88"/>
  <c r="F164" i="88"/>
  <c r="AJ204" i="46"/>
  <c r="AQ204" i="46" s="1"/>
  <c r="E237" i="88"/>
  <c r="D237" i="88"/>
  <c r="F237" i="88"/>
  <c r="AJ194" i="46"/>
  <c r="AP194" i="46" s="1"/>
  <c r="F227" i="88"/>
  <c r="E227" i="88"/>
  <c r="D227" i="88"/>
  <c r="F167" i="88"/>
  <c r="E167" i="88"/>
  <c r="D167" i="88"/>
  <c r="AJ175" i="46"/>
  <c r="AQ175" i="46" s="1"/>
  <c r="F208" i="88"/>
  <c r="E208" i="88"/>
  <c r="D208" i="88"/>
  <c r="AJ33" i="46"/>
  <c r="D66" i="88"/>
  <c r="F66" i="88"/>
  <c r="E66" i="88"/>
  <c r="AJ122" i="46"/>
  <c r="AO122" i="46" s="1"/>
  <c r="F155" i="88"/>
  <c r="E155" i="88"/>
  <c r="D155" i="88"/>
  <c r="AJ203" i="46"/>
  <c r="F236" i="88"/>
  <c r="E236" i="88"/>
  <c r="D236" i="88"/>
  <c r="AJ200" i="46"/>
  <c r="E233" i="88"/>
  <c r="D233" i="88"/>
  <c r="F233" i="88"/>
  <c r="AJ156" i="46"/>
  <c r="E189" i="88"/>
  <c r="D189" i="88"/>
  <c r="F189" i="88"/>
  <c r="AJ78" i="46"/>
  <c r="F111" i="88"/>
  <c r="E111" i="88"/>
  <c r="D111" i="88"/>
  <c r="AJ69" i="46"/>
  <c r="AP69" i="46" s="1"/>
  <c r="E102" i="88"/>
  <c r="F102" i="88"/>
  <c r="D102" i="88"/>
  <c r="D78" i="88"/>
  <c r="F78" i="88"/>
  <c r="E46" i="85"/>
  <c r="E46" i="100" s="1"/>
  <c r="E46" i="84"/>
  <c r="P34" i="67"/>
  <c r="L34" i="67" s="1"/>
  <c r="E34" i="85"/>
  <c r="E34" i="101" s="1"/>
  <c r="E34" i="84"/>
  <c r="E117" i="84"/>
  <c r="E117" i="85"/>
  <c r="E117" i="100" s="1"/>
  <c r="E148" i="84"/>
  <c r="E148" i="85"/>
  <c r="E148" i="100" s="1"/>
  <c r="E153" i="84"/>
  <c r="E153" i="85"/>
  <c r="E78" i="85"/>
  <c r="E78" i="101" s="1"/>
  <c r="E78" i="84"/>
  <c r="E160" i="84"/>
  <c r="E160" i="85"/>
  <c r="E160" i="101" s="1"/>
  <c r="E129" i="84"/>
  <c r="E129" i="85"/>
  <c r="E129" i="100" s="1"/>
  <c r="P99" i="67"/>
  <c r="L99" i="67" s="1"/>
  <c r="E99" i="85"/>
  <c r="E99" i="100" s="1"/>
  <c r="E99" i="84"/>
  <c r="E105" i="84"/>
  <c r="E105" i="85"/>
  <c r="E105" i="100" s="1"/>
  <c r="E94" i="85"/>
  <c r="E94" i="101" s="1"/>
  <c r="E94" i="84"/>
  <c r="E4" i="84"/>
  <c r="E4" i="85"/>
  <c r="E4" i="101" s="1"/>
  <c r="AJ7" i="46"/>
  <c r="F40" i="88"/>
  <c r="E40" i="88"/>
  <c r="D40" i="88"/>
  <c r="AJ197" i="46"/>
  <c r="D230" i="88"/>
  <c r="F230" i="88"/>
  <c r="E230" i="88"/>
  <c r="AJ47" i="46"/>
  <c r="F80" i="88"/>
  <c r="E80" i="88"/>
  <c r="D80" i="88"/>
  <c r="AJ144" i="46"/>
  <c r="AP144" i="46" s="1"/>
  <c r="E177" i="88"/>
  <c r="D177" i="88"/>
  <c r="F177" i="88"/>
  <c r="AJ185" i="46"/>
  <c r="D218" i="88"/>
  <c r="F218" i="88"/>
  <c r="E218" i="88"/>
  <c r="F52" i="88"/>
  <c r="E52" i="88"/>
  <c r="D52" i="88"/>
  <c r="AJ28" i="46"/>
  <c r="E61" i="88" s="1"/>
  <c r="D61" i="88"/>
  <c r="F61" i="88"/>
  <c r="AJ141" i="46"/>
  <c r="D174" i="88"/>
  <c r="F174" i="88"/>
  <c r="E174" i="88"/>
  <c r="AJ63" i="46"/>
  <c r="F96" i="88"/>
  <c r="E96" i="88"/>
  <c r="D96" i="88"/>
  <c r="E185" i="88"/>
  <c r="D185" i="88"/>
  <c r="F185" i="88"/>
  <c r="AJ193" i="46"/>
  <c r="D226" i="88"/>
  <c r="F226" i="88"/>
  <c r="E226" i="88"/>
  <c r="AJ27" i="46"/>
  <c r="E60" i="88" s="1"/>
  <c r="F60" i="88"/>
  <c r="D60" i="88"/>
  <c r="AJ108" i="46"/>
  <c r="AO108" i="46" s="1"/>
  <c r="D141" i="88"/>
  <c r="F141" i="88"/>
  <c r="E141" i="88"/>
  <c r="AJ43" i="46"/>
  <c r="E76" i="88" s="1"/>
  <c r="F76" i="88"/>
  <c r="D76" i="88"/>
  <c r="D182" i="88"/>
  <c r="F182" i="88"/>
  <c r="E182" i="88"/>
  <c r="AJ143" i="46"/>
  <c r="F176" i="88"/>
  <c r="E176" i="88"/>
  <c r="D176" i="88"/>
  <c r="AJ73" i="46"/>
  <c r="F106" i="88"/>
  <c r="E106" i="88"/>
  <c r="D106" i="88"/>
  <c r="AJ90" i="46"/>
  <c r="F123" i="88"/>
  <c r="E123" i="88"/>
  <c r="D123" i="88"/>
  <c r="AJ107" i="46"/>
  <c r="AP107" i="46" s="1"/>
  <c r="E140" i="88"/>
  <c r="D140" i="88"/>
  <c r="F140" i="88"/>
  <c r="AJ180" i="46"/>
  <c r="E213" i="88"/>
  <c r="D213" i="88"/>
  <c r="F213" i="88"/>
  <c r="AJ168" i="46"/>
  <c r="E201" i="88"/>
  <c r="D201" i="88"/>
  <c r="F201" i="88"/>
  <c r="F195" i="88"/>
  <c r="E195" i="88"/>
  <c r="D195" i="88"/>
  <c r="AJ157" i="46"/>
  <c r="D190" i="88"/>
  <c r="F190" i="88"/>
  <c r="E190" i="88"/>
  <c r="AJ151" i="46"/>
  <c r="F184" i="88"/>
  <c r="E184" i="88"/>
  <c r="D184" i="88"/>
  <c r="AJ182" i="46"/>
  <c r="F215" i="88"/>
  <c r="E215" i="88"/>
  <c r="D215" i="88"/>
  <c r="D145" i="88"/>
  <c r="F145" i="88"/>
  <c r="E145" i="88"/>
  <c r="AJ51" i="46"/>
  <c r="F84" i="88"/>
  <c r="E84" i="88"/>
  <c r="D84" i="88"/>
  <c r="AJ132" i="46"/>
  <c r="D165" i="88"/>
  <c r="E165" i="88"/>
  <c r="F165" i="88"/>
  <c r="F146" i="88"/>
  <c r="E146" i="88"/>
  <c r="D146" i="88"/>
  <c r="AJ37" i="46"/>
  <c r="E70" i="88" s="1"/>
  <c r="D70" i="88"/>
  <c r="F70" i="88"/>
  <c r="AJ126" i="46"/>
  <c r="AO126" i="46" s="1"/>
  <c r="R190" i="98" s="1"/>
  <c r="S190" i="98" s="1"/>
  <c r="E159" i="88"/>
  <c r="F159" i="88"/>
  <c r="D159" i="88"/>
  <c r="AJ167" i="46"/>
  <c r="AO167" i="46" s="1"/>
  <c r="F200" i="88"/>
  <c r="E200" i="88"/>
  <c r="D200" i="88"/>
  <c r="AJ25" i="46"/>
  <c r="AP25" i="46" s="1"/>
  <c r="D58" i="88"/>
  <c r="F58" i="88"/>
  <c r="E58" i="88"/>
  <c r="AJ114" i="46"/>
  <c r="F147" i="88"/>
  <c r="E147" i="88"/>
  <c r="D147" i="88"/>
  <c r="AJ195" i="46"/>
  <c r="F228" i="88"/>
  <c r="E228" i="88"/>
  <c r="D228" i="88"/>
  <c r="AJ183" i="46"/>
  <c r="F216" i="88"/>
  <c r="E216" i="88"/>
  <c r="D216" i="88"/>
  <c r="AJ83" i="46"/>
  <c r="E116" i="88"/>
  <c r="D116" i="88"/>
  <c r="F116" i="88"/>
  <c r="AJ198" i="46"/>
  <c r="F231" i="88"/>
  <c r="E231" i="88"/>
  <c r="D231" i="88"/>
  <c r="AJ64" i="46"/>
  <c r="AP64" i="46" s="1"/>
  <c r="F97" i="88"/>
  <c r="D97" i="88"/>
  <c r="AJ105" i="46"/>
  <c r="AQ105" i="46" s="1"/>
  <c r="F138" i="88"/>
  <c r="E138" i="88"/>
  <c r="D138" i="88"/>
  <c r="F219" i="88"/>
  <c r="E219" i="88"/>
  <c r="D219" i="88"/>
  <c r="AJ84" i="46"/>
  <c r="D117" i="88"/>
  <c r="F117" i="88"/>
  <c r="E117" i="88"/>
  <c r="AJ177" i="46"/>
  <c r="D210" i="88"/>
  <c r="F210" i="88"/>
  <c r="E210" i="88"/>
  <c r="F94" i="88"/>
  <c r="D94" i="88"/>
  <c r="AJ142" i="46"/>
  <c r="AQ142" i="46" s="1"/>
  <c r="F175" i="88"/>
  <c r="E175" i="88"/>
  <c r="D175" i="88"/>
  <c r="AJ70" i="46"/>
  <c r="D103" i="88"/>
  <c r="F103" i="88"/>
  <c r="E103" i="88"/>
  <c r="AJ45" i="46"/>
  <c r="E78" i="88" s="1"/>
  <c r="AL45" i="46"/>
  <c r="AJ75" i="46"/>
  <c r="E108" i="88" s="1"/>
  <c r="AL75" i="46"/>
  <c r="AJ6" i="46"/>
  <c r="AN6" i="46"/>
  <c r="AN27" i="46"/>
  <c r="M146" i="98" s="1"/>
  <c r="AN64" i="46"/>
  <c r="P44" i="67"/>
  <c r="L44" i="67" s="1"/>
  <c r="AN144" i="46"/>
  <c r="AN85" i="46"/>
  <c r="M161" i="98" s="1"/>
  <c r="AJ61" i="46"/>
  <c r="AO61" i="46" s="1"/>
  <c r="AN61" i="46"/>
  <c r="AJ202" i="46"/>
  <c r="AJ88" i="46"/>
  <c r="AJ26" i="46"/>
  <c r="AJ136" i="46"/>
  <c r="AJ184" i="46"/>
  <c r="AN19" i="46"/>
  <c r="AJ19" i="46"/>
  <c r="AO19" i="46" s="1"/>
  <c r="R180" i="98" s="1"/>
  <c r="S180" i="98" s="1"/>
  <c r="AJ152" i="46"/>
  <c r="AO152" i="46" s="1"/>
  <c r="R203" i="98" s="1"/>
  <c r="S203" i="98" s="1"/>
  <c r="AN162" i="46"/>
  <c r="AJ162" i="46"/>
  <c r="AP162" i="46" s="1"/>
  <c r="AJ112" i="46"/>
  <c r="AP112" i="46" s="1"/>
  <c r="AN113" i="46"/>
  <c r="AJ113" i="46"/>
  <c r="AO113" i="46" s="1"/>
  <c r="AJ186" i="46"/>
  <c r="AJ66" i="46"/>
  <c r="AJ129" i="46"/>
  <c r="AJ35" i="46"/>
  <c r="AJ93" i="46"/>
  <c r="AJ134" i="46"/>
  <c r="AN149" i="46"/>
  <c r="M160" i="98" s="1"/>
  <c r="AJ149" i="46"/>
  <c r="AP149" i="46" s="1"/>
  <c r="AJ82" i="46"/>
  <c r="AJ191" i="46"/>
  <c r="AJ164" i="46"/>
  <c r="AJ174" i="46"/>
  <c r="AJ173" i="46"/>
  <c r="AJ111" i="46"/>
  <c r="AJ80" i="46"/>
  <c r="AJ77" i="46"/>
  <c r="AJ79" i="46"/>
  <c r="AJ8" i="46"/>
  <c r="AQ8" i="46" s="1"/>
  <c r="AJ94" i="46"/>
  <c r="AJ187" i="46"/>
  <c r="AJ140" i="46"/>
  <c r="AJ118" i="46"/>
  <c r="AJ74" i="46"/>
  <c r="AJ81" i="46"/>
  <c r="AJ199" i="46"/>
  <c r="AJ159" i="46"/>
  <c r="AJ189" i="46"/>
  <c r="AN25" i="46"/>
  <c r="AN152" i="46"/>
  <c r="M203" i="98" s="1"/>
  <c r="AN43" i="46"/>
  <c r="M29" i="98" s="1"/>
  <c r="AN112" i="46"/>
  <c r="M178" i="98" s="1"/>
  <c r="P169" i="67"/>
  <c r="L169" i="67" s="1"/>
  <c r="P175" i="67"/>
  <c r="L175" i="67" s="1"/>
  <c r="P133" i="67"/>
  <c r="L133" i="67" s="1"/>
  <c r="P185" i="67"/>
  <c r="L185" i="67" s="1"/>
  <c r="P167" i="67"/>
  <c r="L167" i="67" s="1"/>
  <c r="P177" i="67"/>
  <c r="L177" i="67" s="1"/>
  <c r="P201" i="67"/>
  <c r="L201" i="67" s="1"/>
  <c r="P86" i="67"/>
  <c r="L86" i="67" s="1"/>
  <c r="P155" i="67"/>
  <c r="L155" i="67" s="1"/>
  <c r="P134" i="67"/>
  <c r="L134" i="67" s="1"/>
  <c r="P6" i="67"/>
  <c r="L6" i="67" s="1"/>
  <c r="P109" i="67"/>
  <c r="L109" i="67" s="1"/>
  <c r="P30" i="67"/>
  <c r="L30" i="67" s="1"/>
  <c r="P198" i="67"/>
  <c r="L198" i="67" s="1"/>
  <c r="P135" i="67"/>
  <c r="L135" i="67" s="1"/>
  <c r="P197" i="67"/>
  <c r="L197" i="67" s="1"/>
  <c r="P196" i="67"/>
  <c r="L196" i="67" s="1"/>
  <c r="P152" i="67"/>
  <c r="L152" i="67" s="1"/>
  <c r="Q4" i="67"/>
  <c r="P176" i="67"/>
  <c r="L176" i="67" s="1"/>
  <c r="P195" i="67"/>
  <c r="L195" i="67" s="1"/>
  <c r="P78" i="67"/>
  <c r="L78" i="67" s="1"/>
  <c r="P170" i="67"/>
  <c r="L170" i="67" s="1"/>
  <c r="P87" i="67"/>
  <c r="L87" i="67" s="1"/>
  <c r="P50" i="67"/>
  <c r="L50" i="67" s="1"/>
  <c r="P186" i="67"/>
  <c r="L186" i="67" s="1"/>
  <c r="P83" i="67"/>
  <c r="L83" i="67" s="1"/>
  <c r="P142" i="67"/>
  <c r="L142" i="67" s="1"/>
  <c r="P137" i="67"/>
  <c r="L137" i="67" s="1"/>
  <c r="P199" i="67"/>
  <c r="L199" i="67" s="1"/>
  <c r="P122" i="67"/>
  <c r="L122" i="67" s="1"/>
  <c r="P62" i="67"/>
  <c r="L62" i="67" s="1"/>
  <c r="P96" i="67"/>
  <c r="L96" i="67" s="1"/>
  <c r="P69" i="67"/>
  <c r="L69" i="67" s="1"/>
  <c r="P4" i="67"/>
  <c r="L4" i="67" s="1"/>
  <c r="Q82" i="67"/>
  <c r="P194" i="67"/>
  <c r="L194" i="67" s="1"/>
  <c r="P76" i="67"/>
  <c r="L76" i="67" s="1"/>
  <c r="P81" i="67"/>
  <c r="L81" i="67" s="1"/>
  <c r="P163" i="67"/>
  <c r="L163" i="67" s="1"/>
  <c r="P217" i="67"/>
  <c r="L217" i="67" s="1"/>
  <c r="P138" i="67"/>
  <c r="L138" i="67" s="1"/>
  <c r="P158" i="67"/>
  <c r="L158" i="67" s="1"/>
  <c r="P190" i="67"/>
  <c r="L190" i="67" s="1"/>
  <c r="P94" i="67"/>
  <c r="L94" i="67" s="1"/>
  <c r="P80" i="67"/>
  <c r="L80" i="67" s="1"/>
  <c r="P46" i="67"/>
  <c r="L46" i="67" s="1"/>
  <c r="P165" i="67"/>
  <c r="L165" i="67" s="1"/>
  <c r="P173" i="67"/>
  <c r="L173" i="67" s="1"/>
  <c r="P181" i="67"/>
  <c r="L181" i="67" s="1"/>
  <c r="P92" i="67"/>
  <c r="L92" i="67" s="1"/>
  <c r="P139" i="67"/>
  <c r="L139" i="67" s="1"/>
  <c r="P168" i="67"/>
  <c r="L168" i="67" s="1"/>
  <c r="P182" i="67"/>
  <c r="L182" i="67" s="1"/>
  <c r="P131" i="67"/>
  <c r="L131" i="67" s="1"/>
  <c r="P77" i="67"/>
  <c r="L77" i="67" s="1"/>
  <c r="P65" i="67"/>
  <c r="L65" i="67" s="1"/>
  <c r="P147" i="67"/>
  <c r="L147" i="67" s="1"/>
  <c r="P153" i="67"/>
  <c r="L153" i="67" s="1"/>
  <c r="P93" i="67"/>
  <c r="L93" i="67" s="1"/>
  <c r="P113" i="67"/>
  <c r="L113" i="67" s="1"/>
  <c r="P178" i="67"/>
  <c r="L178" i="67" s="1"/>
  <c r="P150" i="67"/>
  <c r="L150" i="67" s="1"/>
  <c r="P25" i="67"/>
  <c r="L25" i="67" s="1"/>
  <c r="P73" i="67"/>
  <c r="L73" i="67" s="1"/>
  <c r="P183" i="67"/>
  <c r="L183" i="67" s="1"/>
  <c r="P79" i="67"/>
  <c r="L79" i="67" s="1"/>
  <c r="P110" i="67"/>
  <c r="L110" i="67" s="1"/>
  <c r="P117" i="67"/>
  <c r="L117" i="67" s="1"/>
  <c r="P129" i="67"/>
  <c r="L129" i="67" s="1"/>
  <c r="P105" i="67"/>
  <c r="L105" i="67" s="1"/>
  <c r="AN69" i="46"/>
  <c r="M182" i="98" s="1"/>
  <c r="AN217" i="46"/>
  <c r="M72" i="98" s="1"/>
  <c r="AN167" i="46"/>
  <c r="M175" i="98" s="1"/>
  <c r="AN108" i="46"/>
  <c r="AN28" i="46"/>
  <c r="M59" i="98" s="1"/>
  <c r="AQ217" i="46"/>
  <c r="AN107" i="46"/>
  <c r="M197" i="98" s="1"/>
  <c r="AN73" i="46"/>
  <c r="M212" i="98" s="1"/>
  <c r="AN105" i="46"/>
  <c r="M167" i="98" s="1"/>
  <c r="AN37" i="46"/>
  <c r="M20" i="98" s="1"/>
  <c r="AN210" i="46"/>
  <c r="M82" i="98" s="1"/>
  <c r="AN126" i="46"/>
  <c r="M190" i="98" s="1"/>
  <c r="AN142" i="46"/>
  <c r="AP208" i="46"/>
  <c r="AQ205" i="46"/>
  <c r="AP216" i="46"/>
  <c r="AN117" i="46"/>
  <c r="M205" i="98" s="1"/>
  <c r="AN206" i="46"/>
  <c r="M42" i="98" s="1"/>
  <c r="AN124" i="46"/>
  <c r="AN181" i="46"/>
  <c r="M7" i="98" s="1"/>
  <c r="AN192" i="46"/>
  <c r="M199" i="98" s="1"/>
  <c r="AP211" i="46"/>
  <c r="AO214" i="46"/>
  <c r="AN121" i="46"/>
  <c r="M202" i="98" s="1"/>
  <c r="AN219" i="46"/>
  <c r="M208" i="98" s="1"/>
  <c r="AN160" i="46"/>
  <c r="M201" i="98" s="1"/>
  <c r="AP213" i="46"/>
  <c r="AP109" i="46"/>
  <c r="AN146" i="46"/>
  <c r="AN201" i="46"/>
  <c r="M97" i="98" s="1"/>
  <c r="AN209" i="46"/>
  <c r="M80" i="98" s="1"/>
  <c r="AN212" i="46"/>
  <c r="M186" i="98" s="1"/>
  <c r="AN16" i="46"/>
  <c r="AN67" i="46"/>
  <c r="M103" i="98" s="1"/>
  <c r="AN44" i="46"/>
  <c r="M165" i="98" s="1"/>
  <c r="AN58" i="46"/>
  <c r="AN65" i="46"/>
  <c r="AN46" i="46"/>
  <c r="M98" i="98" s="1"/>
  <c r="AN109" i="46"/>
  <c r="M163" i="98" s="1"/>
  <c r="AN128" i="46"/>
  <c r="M204" i="98" s="1"/>
  <c r="AN76" i="46"/>
  <c r="AN119" i="46"/>
  <c r="AN145" i="46"/>
  <c r="AN147" i="46"/>
  <c r="M53" i="98" s="1"/>
  <c r="AL49" i="46"/>
  <c r="AN96" i="46"/>
  <c r="AN120" i="46"/>
  <c r="AP209" i="46"/>
  <c r="AN39" i="46"/>
  <c r="M60" i="98" s="1"/>
  <c r="AN52" i="46"/>
  <c r="M113" i="98" s="1"/>
  <c r="AN41" i="46"/>
  <c r="M115" i="98" s="1"/>
  <c r="AN211" i="46"/>
  <c r="M188" i="98" s="1"/>
  <c r="AN161" i="46"/>
  <c r="M12" i="98" s="1"/>
  <c r="AO192" i="46"/>
  <c r="R199" i="98" s="1"/>
  <c r="S199" i="98" s="1"/>
  <c r="AP212" i="46"/>
  <c r="AQ215" i="46"/>
  <c r="AP207" i="46"/>
  <c r="AN208" i="46"/>
  <c r="M78" i="98" s="1"/>
  <c r="AN72" i="46"/>
  <c r="M219" i="98" s="1"/>
  <c r="AN207" i="46"/>
  <c r="M68" i="98" s="1"/>
  <c r="AN48" i="46"/>
  <c r="AN213" i="46"/>
  <c r="M191" i="98" s="1"/>
  <c r="AO206" i="46"/>
  <c r="AN125" i="46"/>
  <c r="M181" i="98" s="1"/>
  <c r="AN99" i="46"/>
  <c r="M196" i="98" s="1"/>
  <c r="AN91" i="46"/>
  <c r="M184" i="98" s="1"/>
  <c r="AN127" i="46"/>
  <c r="M179" i="98" s="1"/>
  <c r="AN172" i="46"/>
  <c r="M164" i="98" s="1"/>
  <c r="AN137" i="46"/>
  <c r="AN216" i="46"/>
  <c r="M106" i="98" s="1"/>
  <c r="AN86" i="46"/>
  <c r="M206" i="98" s="1"/>
  <c r="P74" i="67"/>
  <c r="L74" i="67" s="1"/>
  <c r="AN34" i="46"/>
  <c r="M81" i="98" s="1"/>
  <c r="AN205" i="46"/>
  <c r="M6" i="98" s="1"/>
  <c r="AN215" i="46"/>
  <c r="M143" i="98" s="1"/>
  <c r="AN10" i="46"/>
  <c r="AN104" i="46"/>
  <c r="M194" i="98" s="1"/>
  <c r="AN214" i="46"/>
  <c r="M149" i="98" s="1"/>
  <c r="AN175" i="46"/>
  <c r="M185" i="98" s="1"/>
  <c r="AO210" i="46"/>
  <c r="AN122" i="46"/>
  <c r="AN194" i="46"/>
  <c r="M39" i="98" s="1"/>
  <c r="AN54" i="46"/>
  <c r="AN92" i="46"/>
  <c r="AN33" i="46"/>
  <c r="AN68" i="46"/>
  <c r="M162" i="98" s="1"/>
  <c r="AN42" i="46"/>
  <c r="M127" i="98" s="1"/>
  <c r="AN40" i="46"/>
  <c r="AN36" i="46"/>
  <c r="AN204" i="46"/>
  <c r="M24" i="98" s="1"/>
  <c r="AN98" i="46"/>
  <c r="AN158" i="46"/>
  <c r="M198" i="98" s="1"/>
  <c r="AN18" i="46"/>
  <c r="AN116" i="46"/>
  <c r="M172" i="98" s="1"/>
  <c r="AO216" i="46"/>
  <c r="R106" i="98" s="1"/>
  <c r="S106" i="98" s="1"/>
  <c r="AN150" i="46"/>
  <c r="M38" i="98" s="1"/>
  <c r="AN157" i="46"/>
  <c r="M131" i="98" s="1"/>
  <c r="AN189" i="46"/>
  <c r="M62" i="98" s="1"/>
  <c r="AN83" i="46"/>
  <c r="M46" i="98" s="1"/>
  <c r="AN190" i="46"/>
  <c r="M110" i="98" s="1"/>
  <c r="AN89" i="46"/>
  <c r="AN141" i="46"/>
  <c r="AN90" i="46"/>
  <c r="M54" i="98" s="1"/>
  <c r="AN131" i="46"/>
  <c r="M25" i="98" s="1"/>
  <c r="AN163" i="46"/>
  <c r="M121" i="98" s="1"/>
  <c r="AN23" i="46"/>
  <c r="M26" i="98" s="1"/>
  <c r="AN133" i="46"/>
  <c r="M93" i="98" s="1"/>
  <c r="AN155" i="46"/>
  <c r="AN103" i="46"/>
  <c r="M4" i="98" s="1"/>
  <c r="AO205" i="46"/>
  <c r="AQ216" i="46"/>
  <c r="AO13" i="46"/>
  <c r="R176" i="98" s="1"/>
  <c r="S176" i="98" s="1"/>
  <c r="AP13" i="46"/>
  <c r="AQ13" i="46"/>
  <c r="AO102" i="46"/>
  <c r="R173" i="98" s="1"/>
  <c r="S173" i="98" s="1"/>
  <c r="AP102" i="46"/>
  <c r="AQ102" i="46"/>
  <c r="AP85" i="46"/>
  <c r="AO38" i="46"/>
  <c r="AP38" i="46"/>
  <c r="AQ38" i="46"/>
  <c r="S37" i="67" s="1"/>
  <c r="AO101" i="46"/>
  <c r="AP101" i="46"/>
  <c r="AQ101" i="46"/>
  <c r="E30" i="94" l="1"/>
  <c r="Q132" i="98"/>
  <c r="P202" i="67"/>
  <c r="L202" i="67" s="1"/>
  <c r="AQ27" i="46"/>
  <c r="AO27" i="46"/>
  <c r="E147" i="101"/>
  <c r="E143" i="100"/>
  <c r="E163" i="101"/>
  <c r="E163" i="100"/>
  <c r="E138" i="101"/>
  <c r="E150" i="100"/>
  <c r="Q57" i="98"/>
  <c r="Q114" i="98"/>
  <c r="E37" i="100"/>
  <c r="E37" i="101"/>
  <c r="E141" i="100"/>
  <c r="E142" i="100"/>
  <c r="E137" i="101"/>
  <c r="E6" i="101"/>
  <c r="E114" i="100"/>
  <c r="E117" i="101"/>
  <c r="E92" i="101"/>
  <c r="E83" i="101"/>
  <c r="E58" i="101"/>
  <c r="E87" i="101"/>
  <c r="E65" i="100"/>
  <c r="E133" i="101"/>
  <c r="E54" i="101"/>
  <c r="E49" i="100"/>
  <c r="E99" i="101"/>
  <c r="E113" i="101"/>
  <c r="E109" i="100"/>
  <c r="E34" i="100"/>
  <c r="E100" i="101"/>
  <c r="E100" i="100"/>
  <c r="E164" i="84"/>
  <c r="E134" i="101"/>
  <c r="E134" i="100"/>
  <c r="E62" i="100"/>
  <c r="E62" i="101"/>
  <c r="E158" i="101"/>
  <c r="E152" i="101"/>
  <c r="E145" i="100"/>
  <c r="E150" i="101"/>
  <c r="E143" i="101"/>
  <c r="E141" i="101"/>
  <c r="E138" i="100"/>
  <c r="Q63" i="98"/>
  <c r="E135" i="101"/>
  <c r="E131" i="101"/>
  <c r="E129" i="101"/>
  <c r="E78" i="100"/>
  <c r="E80" i="101"/>
  <c r="E128" i="101"/>
  <c r="E46" i="101"/>
  <c r="E69" i="100"/>
  <c r="E73" i="101"/>
  <c r="E4" i="100"/>
  <c r="E94" i="100"/>
  <c r="E76" i="101"/>
  <c r="E30" i="101"/>
  <c r="E110" i="101"/>
  <c r="E122" i="101"/>
  <c r="E50" i="101"/>
  <c r="E50" i="100"/>
  <c r="E81" i="100"/>
  <c r="E81" i="101"/>
  <c r="E101" i="101"/>
  <c r="E101" i="100"/>
  <c r="E137" i="100"/>
  <c r="E161" i="100"/>
  <c r="E158" i="100"/>
  <c r="E153" i="100"/>
  <c r="E145" i="101"/>
  <c r="E136" i="100"/>
  <c r="E105" i="101"/>
  <c r="E79" i="101"/>
  <c r="E160" i="100"/>
  <c r="E93" i="101"/>
  <c r="E86" i="100"/>
  <c r="E96" i="100"/>
  <c r="E25" i="101"/>
  <c r="E12" i="100"/>
  <c r="E12" i="101"/>
  <c r="E142" i="101"/>
  <c r="E156" i="101"/>
  <c r="E136" i="101"/>
  <c r="E156" i="100"/>
  <c r="E147" i="100"/>
  <c r="E161" i="101"/>
  <c r="E146" i="100"/>
  <c r="E152" i="100"/>
  <c r="E146" i="101"/>
  <c r="E153" i="101"/>
  <c r="E77" i="101"/>
  <c r="E148" i="101"/>
  <c r="Q137" i="98"/>
  <c r="Q71" i="98"/>
  <c r="Q51" i="98"/>
  <c r="Q70" i="98"/>
  <c r="N28" i="87"/>
  <c r="Q22" i="88"/>
  <c r="P4" i="88"/>
  <c r="Q13" i="98"/>
  <c r="Q55" i="98"/>
  <c r="Q11" i="98"/>
  <c r="Q67" i="98"/>
  <c r="AP43" i="46"/>
  <c r="R42" i="67" s="1"/>
  <c r="Q14" i="87"/>
  <c r="N14" i="87"/>
  <c r="Q41" i="98"/>
  <c r="J25" i="96"/>
  <c r="R158" i="98"/>
  <c r="S158" i="98" s="1"/>
  <c r="E157" i="84"/>
  <c r="Q120" i="98"/>
  <c r="Q31" i="98"/>
  <c r="L4" i="98"/>
  <c r="T4" i="98" s="1"/>
  <c r="Q4" i="98"/>
  <c r="L39" i="98"/>
  <c r="T39" i="98" s="1"/>
  <c r="Q39" i="98"/>
  <c r="L81" i="98"/>
  <c r="T81" i="98" s="1"/>
  <c r="L113" i="98"/>
  <c r="T113" i="98" s="1"/>
  <c r="Q113" i="98"/>
  <c r="L82" i="98"/>
  <c r="T82" i="98" s="1"/>
  <c r="Q82" i="98"/>
  <c r="L197" i="98"/>
  <c r="T197" i="98" s="1"/>
  <c r="Q197" i="98"/>
  <c r="L59" i="98"/>
  <c r="T59" i="98" s="1"/>
  <c r="L203" i="98"/>
  <c r="T203" i="98" s="1"/>
  <c r="Q203" i="98"/>
  <c r="L161" i="98"/>
  <c r="T161" i="98" s="1"/>
  <c r="Q161" i="98"/>
  <c r="L176" i="98"/>
  <c r="T176" i="98" s="1"/>
  <c r="Q176" i="98"/>
  <c r="L122" i="98"/>
  <c r="T122" i="98" s="1"/>
  <c r="Q122" i="98"/>
  <c r="L64" i="98"/>
  <c r="T64" i="98" s="1"/>
  <c r="Q64" i="98"/>
  <c r="L100" i="98"/>
  <c r="T100" i="98" s="1"/>
  <c r="Q100" i="98"/>
  <c r="L76" i="98"/>
  <c r="T76" i="98" s="1"/>
  <c r="L125" i="98"/>
  <c r="T125" i="98" s="1"/>
  <c r="Q125" i="98"/>
  <c r="L96" i="98"/>
  <c r="T96" i="98" s="1"/>
  <c r="Q96" i="98"/>
  <c r="L117" i="98"/>
  <c r="T117" i="98" s="1"/>
  <c r="Q117" i="98"/>
  <c r="L130" i="98"/>
  <c r="T130" i="98" s="1"/>
  <c r="Q130" i="98"/>
  <c r="L90" i="98"/>
  <c r="T90" i="98" s="1"/>
  <c r="L26" i="98"/>
  <c r="T26" i="98" s="1"/>
  <c r="Q26" i="98"/>
  <c r="L198" i="98"/>
  <c r="T198" i="98" s="1"/>
  <c r="Q198" i="98"/>
  <c r="L162" i="98"/>
  <c r="T162" i="98" s="1"/>
  <c r="Q162" i="98"/>
  <c r="L106" i="98"/>
  <c r="T106" i="98" s="1"/>
  <c r="Q106" i="98"/>
  <c r="L184" i="98"/>
  <c r="T184" i="98" s="1"/>
  <c r="Q184" i="98"/>
  <c r="L53" i="98"/>
  <c r="T53" i="98" s="1"/>
  <c r="Q53" i="98"/>
  <c r="L204" i="98"/>
  <c r="T204" i="98" s="1"/>
  <c r="Q204" i="98"/>
  <c r="L167" i="98"/>
  <c r="T167" i="98" s="1"/>
  <c r="Q167" i="98"/>
  <c r="L175" i="98"/>
  <c r="T175" i="98" s="1"/>
  <c r="Q175" i="98"/>
  <c r="L140" i="98"/>
  <c r="T140" i="98" s="1"/>
  <c r="Q140" i="98"/>
  <c r="L33" i="98"/>
  <c r="T33" i="98" s="1"/>
  <c r="Q33" i="98"/>
  <c r="L156" i="98"/>
  <c r="T156" i="98" s="1"/>
  <c r="Q156" i="98"/>
  <c r="L93" i="98"/>
  <c r="T93" i="98" s="1"/>
  <c r="L62" i="98"/>
  <c r="T62" i="98" s="1"/>
  <c r="Q62" i="98"/>
  <c r="L194" i="98"/>
  <c r="T194" i="98" s="1"/>
  <c r="Q194" i="98"/>
  <c r="L143" i="98"/>
  <c r="T143" i="98" s="1"/>
  <c r="Q143" i="98"/>
  <c r="L196" i="98"/>
  <c r="T196" i="98" s="1"/>
  <c r="Q196" i="98"/>
  <c r="L191" i="98"/>
  <c r="T191" i="98" s="1"/>
  <c r="Q191" i="98"/>
  <c r="L219" i="98"/>
  <c r="T219" i="98" s="1"/>
  <c r="Q219" i="98"/>
  <c r="L12" i="98"/>
  <c r="T12" i="98" s="1"/>
  <c r="Q12" i="98"/>
  <c r="L60" i="98"/>
  <c r="T60" i="98" s="1"/>
  <c r="L163" i="98"/>
  <c r="T163" i="98" s="1"/>
  <c r="Q163" i="98"/>
  <c r="L186" i="98"/>
  <c r="T186" i="98" s="1"/>
  <c r="Q186" i="98"/>
  <c r="L201" i="98"/>
  <c r="T201" i="98" s="1"/>
  <c r="Q201" i="98"/>
  <c r="L42" i="98"/>
  <c r="T42" i="98" s="1"/>
  <c r="Q42" i="98"/>
  <c r="L20" i="98"/>
  <c r="T20" i="98" s="1"/>
  <c r="L178" i="98"/>
  <c r="T178" i="98" s="1"/>
  <c r="Q178" i="98"/>
  <c r="L110" i="98"/>
  <c r="T110" i="98" s="1"/>
  <c r="Q110" i="98"/>
  <c r="L38" i="98"/>
  <c r="T38" i="98" s="1"/>
  <c r="Q38" i="98"/>
  <c r="L172" i="98"/>
  <c r="T172" i="98" s="1"/>
  <c r="Q172" i="98"/>
  <c r="L6" i="98"/>
  <c r="T6" i="98" s="1"/>
  <c r="Q6" i="98"/>
  <c r="L206" i="98"/>
  <c r="T206" i="98" s="1"/>
  <c r="Q206" i="98"/>
  <c r="L181" i="98"/>
  <c r="T181" i="98" s="1"/>
  <c r="Q181" i="98"/>
  <c r="L188" i="98"/>
  <c r="T188" i="98" s="1"/>
  <c r="Q188" i="98"/>
  <c r="L165" i="98"/>
  <c r="T165" i="98" s="1"/>
  <c r="Q165" i="98"/>
  <c r="L208" i="98"/>
  <c r="T208" i="98" s="1"/>
  <c r="Q208" i="98"/>
  <c r="L72" i="98"/>
  <c r="T72" i="98" s="1"/>
  <c r="Q72" i="98"/>
  <c r="L28" i="98"/>
  <c r="T28" i="98" s="1"/>
  <c r="Q28" i="98"/>
  <c r="L84" i="98"/>
  <c r="T84" i="98" s="1"/>
  <c r="Q84" i="98"/>
  <c r="L133" i="98"/>
  <c r="T133" i="98" s="1"/>
  <c r="Q133" i="98"/>
  <c r="L14" i="98"/>
  <c r="T14" i="98" s="1"/>
  <c r="Q14" i="98"/>
  <c r="L174" i="98"/>
  <c r="T174" i="98" s="1"/>
  <c r="Q174" i="98"/>
  <c r="L95" i="98"/>
  <c r="T95" i="98" s="1"/>
  <c r="Q95" i="98"/>
  <c r="L88" i="98"/>
  <c r="T88" i="98" s="1"/>
  <c r="Q88" i="98"/>
  <c r="L134" i="98"/>
  <c r="T134" i="98" s="1"/>
  <c r="Q134" i="98"/>
  <c r="L40" i="98"/>
  <c r="T40" i="98" s="1"/>
  <c r="Q40" i="98"/>
  <c r="L151" i="98"/>
  <c r="T151" i="98" s="1"/>
  <c r="Q151" i="98"/>
  <c r="L25" i="98"/>
  <c r="T25" i="98" s="1"/>
  <c r="Q25" i="98"/>
  <c r="L131" i="98"/>
  <c r="T131" i="98" s="1"/>
  <c r="Q131" i="98"/>
  <c r="L149" i="98"/>
  <c r="T149" i="98" s="1"/>
  <c r="Q149" i="98"/>
  <c r="L164" i="98"/>
  <c r="T164" i="98" s="1"/>
  <c r="Q164" i="98"/>
  <c r="L78" i="98"/>
  <c r="T78" i="98" s="1"/>
  <c r="Q78" i="98"/>
  <c r="L98" i="98"/>
  <c r="T98" i="98" s="1"/>
  <c r="Q98" i="98"/>
  <c r="L80" i="98"/>
  <c r="T80" i="98" s="1"/>
  <c r="Q80" i="98"/>
  <c r="L199" i="98"/>
  <c r="T199" i="98" s="1"/>
  <c r="Q199" i="98"/>
  <c r="L205" i="98"/>
  <c r="T205" i="98" s="1"/>
  <c r="Q205" i="98"/>
  <c r="L160" i="98"/>
  <c r="T160" i="98" s="1"/>
  <c r="Q160" i="98"/>
  <c r="L121" i="98"/>
  <c r="T121" i="98" s="1"/>
  <c r="Q121" i="98"/>
  <c r="L54" i="98"/>
  <c r="T54" i="98" s="1"/>
  <c r="Q54" i="98"/>
  <c r="L46" i="98"/>
  <c r="T46" i="98" s="1"/>
  <c r="Q46" i="98"/>
  <c r="L24" i="98"/>
  <c r="T24" i="98" s="1"/>
  <c r="Q24" i="98"/>
  <c r="L127" i="98"/>
  <c r="T127" i="98" s="1"/>
  <c r="L185" i="98"/>
  <c r="T185" i="98" s="1"/>
  <c r="Q185" i="98"/>
  <c r="L179" i="98"/>
  <c r="T179" i="98" s="1"/>
  <c r="Q179" i="98"/>
  <c r="L68" i="98"/>
  <c r="T68" i="98" s="1"/>
  <c r="Q68" i="98"/>
  <c r="L115" i="98"/>
  <c r="T115" i="98" s="1"/>
  <c r="Q115" i="98"/>
  <c r="L103" i="98"/>
  <c r="T103" i="98" s="1"/>
  <c r="L97" i="98"/>
  <c r="T97" i="98" s="1"/>
  <c r="Q97" i="98"/>
  <c r="L202" i="98"/>
  <c r="T202" i="98" s="1"/>
  <c r="Q202" i="98"/>
  <c r="L7" i="98"/>
  <c r="T7" i="98" s="1"/>
  <c r="Q7" i="98"/>
  <c r="L190" i="98"/>
  <c r="T190" i="98" s="1"/>
  <c r="Q190" i="98"/>
  <c r="L212" i="98"/>
  <c r="T212" i="98" s="1"/>
  <c r="Q212" i="98"/>
  <c r="L182" i="98"/>
  <c r="T182" i="98" s="1"/>
  <c r="Q182" i="98"/>
  <c r="L29" i="98"/>
  <c r="T29" i="98" s="1"/>
  <c r="L146" i="98"/>
  <c r="T146" i="98" s="1"/>
  <c r="L152" i="98"/>
  <c r="T152" i="98" s="1"/>
  <c r="Q152" i="98"/>
  <c r="L89" i="98"/>
  <c r="T89" i="98" s="1"/>
  <c r="Q89" i="98"/>
  <c r="L141" i="98"/>
  <c r="T141" i="98" s="1"/>
  <c r="Q141" i="98"/>
  <c r="S26" i="67"/>
  <c r="R101" i="67"/>
  <c r="U173" i="98"/>
  <c r="AU36" i="46"/>
  <c r="E35" i="94" s="1"/>
  <c r="M86" i="98"/>
  <c r="AU10" i="46"/>
  <c r="E9" i="94" s="1"/>
  <c r="M32" i="98"/>
  <c r="S214" i="67"/>
  <c r="V143" i="98"/>
  <c r="AU120" i="46"/>
  <c r="E119" i="94" s="1"/>
  <c r="M187" i="98"/>
  <c r="AU16" i="46"/>
  <c r="E15" i="94" s="1"/>
  <c r="M166" i="98"/>
  <c r="H102" i="96"/>
  <c r="M217" i="98"/>
  <c r="Q213" i="67"/>
  <c r="R149" i="98"/>
  <c r="S149" i="98" s="1"/>
  <c r="AU124" i="46"/>
  <c r="E123" i="94" s="1"/>
  <c r="M192" i="98"/>
  <c r="S204" i="67"/>
  <c r="V6" i="98"/>
  <c r="AU108" i="46"/>
  <c r="E107" i="94" s="1"/>
  <c r="M215" i="98"/>
  <c r="R161" i="67"/>
  <c r="U214" i="98"/>
  <c r="AU19" i="46"/>
  <c r="E18" i="94" s="1"/>
  <c r="M180" i="98"/>
  <c r="AU61" i="46"/>
  <c r="E60" i="94" s="1"/>
  <c r="M118" i="98"/>
  <c r="S141" i="67"/>
  <c r="V159" i="98"/>
  <c r="R63" i="67"/>
  <c r="U155" i="98"/>
  <c r="R24" i="67"/>
  <c r="U207" i="98"/>
  <c r="Q166" i="67"/>
  <c r="R175" i="98"/>
  <c r="S175" i="98" s="1"/>
  <c r="R106" i="67"/>
  <c r="U197" i="98"/>
  <c r="R115" i="67"/>
  <c r="U172" i="98"/>
  <c r="S157" i="67"/>
  <c r="V198" i="98"/>
  <c r="R218" i="67"/>
  <c r="U208" i="98"/>
  <c r="S144" i="67"/>
  <c r="V211" i="98"/>
  <c r="J102" i="96"/>
  <c r="R217" i="98"/>
  <c r="S217" i="98" s="1"/>
  <c r="R127" i="67"/>
  <c r="U204" i="98"/>
  <c r="S136" i="67"/>
  <c r="V218" i="98"/>
  <c r="Q171" i="67"/>
  <c r="R164" i="98"/>
  <c r="S164" i="98" s="1"/>
  <c r="S126" i="67"/>
  <c r="V179" i="98"/>
  <c r="H128" i="96"/>
  <c r="M19" i="98"/>
  <c r="H131" i="96"/>
  <c r="M50" i="98"/>
  <c r="Q100" i="67"/>
  <c r="R174" i="98"/>
  <c r="S174" i="98" s="1"/>
  <c r="AU141" i="46"/>
  <c r="M116" i="98"/>
  <c r="J17" i="96"/>
  <c r="R146" i="98"/>
  <c r="S146" i="98" s="1"/>
  <c r="AU89" i="46"/>
  <c r="E88" i="94" s="1"/>
  <c r="M10" i="98"/>
  <c r="AU33" i="46"/>
  <c r="E32" i="94" s="1"/>
  <c r="M209" i="98"/>
  <c r="H101" i="96"/>
  <c r="M211" i="98"/>
  <c r="R207" i="67"/>
  <c r="U78" i="98"/>
  <c r="AU25" i="46"/>
  <c r="E24" i="94" s="1"/>
  <c r="M207" i="98"/>
  <c r="R148" i="67"/>
  <c r="U160" i="98"/>
  <c r="Q112" i="67"/>
  <c r="R213" i="98"/>
  <c r="S213" i="98" s="1"/>
  <c r="AU162" i="46"/>
  <c r="M214" i="98"/>
  <c r="Q60" i="67"/>
  <c r="R118" i="98"/>
  <c r="S118" i="98" s="1"/>
  <c r="AU64" i="46"/>
  <c r="E63" i="94" s="1"/>
  <c r="M155" i="98"/>
  <c r="S104" i="67"/>
  <c r="V167" i="98"/>
  <c r="R146" i="67"/>
  <c r="U53" i="98"/>
  <c r="S118" i="67"/>
  <c r="V189" i="98"/>
  <c r="S123" i="67"/>
  <c r="V192" i="98"/>
  <c r="S200" i="67"/>
  <c r="V97" i="98"/>
  <c r="H137" i="96"/>
  <c r="M43" i="98"/>
  <c r="U29" i="98"/>
  <c r="Q204" i="67"/>
  <c r="R6" i="98"/>
  <c r="S6" i="98" s="1"/>
  <c r="AU40" i="46"/>
  <c r="E39" i="94" s="1"/>
  <c r="M168" i="98"/>
  <c r="AU122" i="46"/>
  <c r="E121" i="94" s="1"/>
  <c r="M170" i="98"/>
  <c r="H96" i="96"/>
  <c r="M218" i="98"/>
  <c r="AU58" i="46"/>
  <c r="E57" i="94" s="1"/>
  <c r="M83" i="98"/>
  <c r="R210" i="67"/>
  <c r="U188" i="98"/>
  <c r="S100" i="67"/>
  <c r="V174" i="98"/>
  <c r="R37" i="67"/>
  <c r="U158" i="98"/>
  <c r="R84" i="67"/>
  <c r="U161" i="98"/>
  <c r="S12" i="67"/>
  <c r="V176" i="98"/>
  <c r="S215" i="67"/>
  <c r="V106" i="98"/>
  <c r="AU155" i="46"/>
  <c r="M16" i="98"/>
  <c r="AU98" i="46"/>
  <c r="E97" i="94" s="1"/>
  <c r="M210" i="98"/>
  <c r="AU92" i="46"/>
  <c r="E91" i="94" s="1"/>
  <c r="M177" i="98"/>
  <c r="Q209" i="67"/>
  <c r="R82" i="98"/>
  <c r="S82" i="98" s="1"/>
  <c r="AU48" i="46"/>
  <c r="E47" i="94" s="1"/>
  <c r="M145" i="98"/>
  <c r="AU96" i="46"/>
  <c r="E95" i="94" s="1"/>
  <c r="M183" i="98"/>
  <c r="AU119" i="46"/>
  <c r="E118" i="94" s="1"/>
  <c r="M189" i="98"/>
  <c r="R108" i="67"/>
  <c r="U163" i="98"/>
  <c r="H99" i="96"/>
  <c r="M159" i="98"/>
  <c r="S7" i="67"/>
  <c r="AU113" i="46"/>
  <c r="E112" i="94" s="1"/>
  <c r="M213" i="98"/>
  <c r="AU144" i="46"/>
  <c r="M195" i="98"/>
  <c r="AS75" i="46"/>
  <c r="O5" i="98"/>
  <c r="J5" i="98" s="1"/>
  <c r="AS45" i="46"/>
  <c r="O36" i="98"/>
  <c r="J36" i="98" s="1"/>
  <c r="Q107" i="67"/>
  <c r="R215" i="98"/>
  <c r="S215" i="98" s="1"/>
  <c r="R143" i="67"/>
  <c r="U195" i="98"/>
  <c r="R193" i="67"/>
  <c r="U39" i="98"/>
  <c r="S203" i="67"/>
  <c r="V24" i="98"/>
  <c r="H4" i="96"/>
  <c r="M91" i="98"/>
  <c r="R160" i="67"/>
  <c r="U12" i="98"/>
  <c r="S119" i="67"/>
  <c r="V187" i="98"/>
  <c r="S84" i="67"/>
  <c r="V161" i="98"/>
  <c r="S124" i="67"/>
  <c r="V181" i="98"/>
  <c r="R100" i="67"/>
  <c r="U174" i="98"/>
  <c r="S101" i="67"/>
  <c r="V173" i="98"/>
  <c r="R12" i="67"/>
  <c r="U176" i="98"/>
  <c r="AU18" i="46"/>
  <c r="E17" i="94" s="1"/>
  <c r="M220" i="98"/>
  <c r="AU54" i="46"/>
  <c r="E53" i="94" s="1"/>
  <c r="M200" i="98"/>
  <c r="Q205" i="67"/>
  <c r="R42" i="98"/>
  <c r="S42" i="98" s="1"/>
  <c r="R206" i="67"/>
  <c r="U68" i="98"/>
  <c r="R211" i="67"/>
  <c r="U186" i="98"/>
  <c r="R208" i="67"/>
  <c r="U80" i="98"/>
  <c r="AS49" i="46"/>
  <c r="O154" i="98"/>
  <c r="J154" i="98" s="1"/>
  <c r="AU76" i="46"/>
  <c r="E75" i="94" s="1"/>
  <c r="M48" i="98"/>
  <c r="AU65" i="46"/>
  <c r="E64" i="94" s="1"/>
  <c r="M171" i="98"/>
  <c r="R212" i="67"/>
  <c r="U191" i="98"/>
  <c r="R215" i="67"/>
  <c r="U106" i="98"/>
  <c r="S216" i="67"/>
  <c r="V72" i="98"/>
  <c r="R111" i="67"/>
  <c r="U178" i="98"/>
  <c r="H2" i="96"/>
  <c r="M104" i="98"/>
  <c r="R68" i="67"/>
  <c r="U182" i="98"/>
  <c r="Q121" i="67"/>
  <c r="R170" i="98"/>
  <c r="S170" i="98" s="1"/>
  <c r="S174" i="67"/>
  <c r="V185" i="98"/>
  <c r="R159" i="67"/>
  <c r="U201" i="98"/>
  <c r="C32" i="89"/>
  <c r="C28" i="89"/>
  <c r="C24" i="89"/>
  <c r="C20" i="89"/>
  <c r="C16" i="89"/>
  <c r="C12" i="89"/>
  <c r="C8" i="89"/>
  <c r="C4" i="89"/>
  <c r="C30" i="89"/>
  <c r="C22" i="89"/>
  <c r="C14" i="89"/>
  <c r="C6" i="89"/>
  <c r="C29" i="89"/>
  <c r="C21" i="89"/>
  <c r="C17" i="89"/>
  <c r="C13" i="89"/>
  <c r="C5" i="89"/>
  <c r="C31" i="89"/>
  <c r="C27" i="89"/>
  <c r="C23" i="89"/>
  <c r="C19" i="89"/>
  <c r="C15" i="89"/>
  <c r="C11" i="89"/>
  <c r="C7" i="89"/>
  <c r="C26" i="89"/>
  <c r="C18" i="89"/>
  <c r="C10" i="89"/>
  <c r="C25" i="89"/>
  <c r="C9" i="89"/>
  <c r="AU90" i="46"/>
  <c r="E89" i="94" s="1"/>
  <c r="H61" i="96"/>
  <c r="AU104" i="46"/>
  <c r="E103" i="94" s="1"/>
  <c r="H69" i="96"/>
  <c r="AU109" i="46"/>
  <c r="E108" i="94" s="1"/>
  <c r="H73" i="96"/>
  <c r="AU116" i="46"/>
  <c r="E115" i="94" s="1"/>
  <c r="H79" i="96"/>
  <c r="AU86" i="46"/>
  <c r="E85" i="94" s="1"/>
  <c r="H58" i="96"/>
  <c r="AU125" i="46"/>
  <c r="E124" i="94" s="1"/>
  <c r="H84" i="96"/>
  <c r="AU46" i="46"/>
  <c r="E45" i="94" s="1"/>
  <c r="H32" i="96"/>
  <c r="AU44" i="46"/>
  <c r="E43" i="94" s="1"/>
  <c r="H30" i="96"/>
  <c r="AU117" i="46"/>
  <c r="E116" i="94" s="1"/>
  <c r="H80" i="96"/>
  <c r="AU105" i="46"/>
  <c r="E104" i="94" s="1"/>
  <c r="H70" i="96"/>
  <c r="AU107" i="46"/>
  <c r="E106" i="94" s="1"/>
  <c r="H72" i="96"/>
  <c r="AU28" i="46"/>
  <c r="E27" i="94" s="1"/>
  <c r="H18" i="96"/>
  <c r="AU152" i="46"/>
  <c r="H107" i="96"/>
  <c r="Q101" i="67"/>
  <c r="J67" i="96"/>
  <c r="AU133" i="46"/>
  <c r="E132" i="94" s="1"/>
  <c r="H92" i="96"/>
  <c r="AU189" i="46"/>
  <c r="H132" i="96"/>
  <c r="AU42" i="46"/>
  <c r="E41" i="94" s="1"/>
  <c r="H28" i="96"/>
  <c r="AU41" i="46"/>
  <c r="E40" i="94" s="1"/>
  <c r="H27" i="96"/>
  <c r="AU121" i="46"/>
  <c r="E120" i="94" s="1"/>
  <c r="H82" i="96"/>
  <c r="AU37" i="46"/>
  <c r="E36" i="94" s="1"/>
  <c r="H24" i="96"/>
  <c r="AU69" i="46"/>
  <c r="E68" i="94" s="1"/>
  <c r="H45" i="96"/>
  <c r="AU112" i="46"/>
  <c r="E111" i="94" s="1"/>
  <c r="H76" i="96"/>
  <c r="AU149" i="46"/>
  <c r="H104" i="96"/>
  <c r="AU27" i="46"/>
  <c r="E26" i="94" s="1"/>
  <c r="H17" i="96"/>
  <c r="Q120" i="67"/>
  <c r="J82" i="96"/>
  <c r="AU180" i="46"/>
  <c r="E149" i="94" s="1"/>
  <c r="H126" i="96"/>
  <c r="AU200" i="46"/>
  <c r="E162" i="94" s="1"/>
  <c r="H140" i="96"/>
  <c r="AU127" i="46"/>
  <c r="E126" i="94" s="1"/>
  <c r="H86" i="96"/>
  <c r="AU67" i="46"/>
  <c r="E66" i="94" s="1"/>
  <c r="H43" i="96"/>
  <c r="AU126" i="46"/>
  <c r="E125" i="94" s="1"/>
  <c r="H85" i="96"/>
  <c r="AU103" i="46"/>
  <c r="E102" i="94" s="1"/>
  <c r="H68" i="96"/>
  <c r="AU23" i="46"/>
  <c r="E22" i="94" s="1"/>
  <c r="H14" i="96"/>
  <c r="AU131" i="46"/>
  <c r="E130" i="94" s="1"/>
  <c r="H90" i="96"/>
  <c r="AU190" i="46"/>
  <c r="E155" i="94" s="1"/>
  <c r="H133" i="96"/>
  <c r="AU157" i="46"/>
  <c r="E139" i="94" s="1"/>
  <c r="H110" i="96"/>
  <c r="AU150" i="46"/>
  <c r="H105" i="96"/>
  <c r="AU68" i="46"/>
  <c r="E67" i="94" s="1"/>
  <c r="H44" i="96"/>
  <c r="AU34" i="46"/>
  <c r="E33" i="94" s="1"/>
  <c r="H22" i="96"/>
  <c r="AU91" i="46"/>
  <c r="E90" i="94" s="1"/>
  <c r="H62" i="96"/>
  <c r="AU52" i="46"/>
  <c r="E51" i="94" s="1"/>
  <c r="H37" i="96"/>
  <c r="AU128" i="46"/>
  <c r="E127" i="94" s="1"/>
  <c r="H87" i="96"/>
  <c r="AU85" i="46"/>
  <c r="H57" i="96"/>
  <c r="Q125" i="67"/>
  <c r="AU193" i="46"/>
  <c r="E157" i="94" s="1"/>
  <c r="H135" i="96"/>
  <c r="AU163" i="46"/>
  <c r="E140" i="94" s="1"/>
  <c r="H112" i="96"/>
  <c r="AU83" i="46"/>
  <c r="E82" i="94" s="1"/>
  <c r="H55" i="96"/>
  <c r="AU99" i="46"/>
  <c r="E98" i="94" s="1"/>
  <c r="H65" i="96"/>
  <c r="AU72" i="46"/>
  <c r="E71" i="94" s="1"/>
  <c r="H48" i="96"/>
  <c r="AU39" i="46"/>
  <c r="E38" i="94" s="1"/>
  <c r="H26" i="96"/>
  <c r="AU73" i="46"/>
  <c r="E72" i="94" s="1"/>
  <c r="H49" i="96"/>
  <c r="AU43" i="46"/>
  <c r="E42" i="94" s="1"/>
  <c r="H29" i="96"/>
  <c r="Q151" i="67"/>
  <c r="J107" i="96"/>
  <c r="M22" i="87"/>
  <c r="L22" i="87"/>
  <c r="P192" i="67"/>
  <c r="L192" i="67" s="1"/>
  <c r="Q22" i="86"/>
  <c r="O27" i="88"/>
  <c r="E157" i="85"/>
  <c r="E157" i="101" s="1"/>
  <c r="M25" i="87"/>
  <c r="O22" i="86"/>
  <c r="AU204" i="46"/>
  <c r="AU175" i="46"/>
  <c r="P204" i="67"/>
  <c r="L204" i="67" s="1"/>
  <c r="AU205" i="46"/>
  <c r="AU172" i="46"/>
  <c r="P207" i="67"/>
  <c r="L207" i="67" s="1"/>
  <c r="AU208" i="46"/>
  <c r="P210" i="67"/>
  <c r="L210" i="67" s="1"/>
  <c r="AU211" i="46"/>
  <c r="P208" i="67"/>
  <c r="L208" i="67" s="1"/>
  <c r="AU209" i="46"/>
  <c r="AU219" i="46"/>
  <c r="AU192" i="46"/>
  <c r="AU142" i="46"/>
  <c r="AU167" i="46"/>
  <c r="E159" i="85"/>
  <c r="E159" i="100" s="1"/>
  <c r="AU197" i="46"/>
  <c r="E159" i="94" s="1"/>
  <c r="AU158" i="46"/>
  <c r="AU194" i="46"/>
  <c r="P206" i="67"/>
  <c r="L206" i="67" s="1"/>
  <c r="AU207" i="46"/>
  <c r="AU201" i="46"/>
  <c r="AU181" i="46"/>
  <c r="P7" i="67"/>
  <c r="L7" i="67" s="1"/>
  <c r="AU8" i="46"/>
  <c r="E7" i="94" s="1"/>
  <c r="P215" i="67"/>
  <c r="L215" i="67" s="1"/>
  <c r="AU216" i="46"/>
  <c r="AU147" i="46"/>
  <c r="AU146" i="46"/>
  <c r="P209" i="67"/>
  <c r="L209" i="67" s="1"/>
  <c r="AU210" i="46"/>
  <c r="P216" i="67"/>
  <c r="L216" i="67" s="1"/>
  <c r="AU217" i="46"/>
  <c r="P5" i="67"/>
  <c r="L5" i="67" s="1"/>
  <c r="AU6" i="46"/>
  <c r="E5" i="94" s="1"/>
  <c r="E164" i="85"/>
  <c r="E164" i="100" s="1"/>
  <c r="AU203" i="46"/>
  <c r="E164" i="94" s="1"/>
  <c r="P213" i="67"/>
  <c r="L213" i="67" s="1"/>
  <c r="AU214" i="46"/>
  <c r="P214" i="67"/>
  <c r="L214" i="67" s="1"/>
  <c r="AU215" i="46"/>
  <c r="AU137" i="46"/>
  <c r="P212" i="67"/>
  <c r="L212" i="67" s="1"/>
  <c r="AU213" i="46"/>
  <c r="AU161" i="46"/>
  <c r="AU145" i="46"/>
  <c r="P211" i="67"/>
  <c r="L211" i="67" s="1"/>
  <c r="AU212" i="46"/>
  <c r="AU160" i="46"/>
  <c r="P205" i="67"/>
  <c r="L205" i="67" s="1"/>
  <c r="AU206" i="46"/>
  <c r="AU185" i="46"/>
  <c r="E151" i="94" s="1"/>
  <c r="P187" i="67"/>
  <c r="L187" i="67" s="1"/>
  <c r="AU188" i="46"/>
  <c r="E154" i="94" s="1"/>
  <c r="N25" i="87"/>
  <c r="P7" i="87"/>
  <c r="O23" i="86"/>
  <c r="AQ144" i="46"/>
  <c r="N5" i="88"/>
  <c r="AQ128" i="46"/>
  <c r="E159" i="84"/>
  <c r="L18" i="87"/>
  <c r="O25" i="86"/>
  <c r="L5" i="88"/>
  <c r="M27" i="86"/>
  <c r="M5" i="88"/>
  <c r="Q31" i="88"/>
  <c r="M18" i="87"/>
  <c r="P7" i="86"/>
  <c r="M16" i="87"/>
  <c r="O18" i="87"/>
  <c r="P17" i="88"/>
  <c r="P27" i="88"/>
  <c r="O27" i="86"/>
  <c r="Q5" i="88"/>
  <c r="O5" i="88"/>
  <c r="Q27" i="86"/>
  <c r="AO34" i="46"/>
  <c r="R81" i="98" s="1"/>
  <c r="S81" i="98" s="1"/>
  <c r="E154" i="84"/>
  <c r="E151" i="84"/>
  <c r="L22" i="88"/>
  <c r="Q4" i="88"/>
  <c r="M22" i="88"/>
  <c r="P22" i="88"/>
  <c r="AP34" i="46"/>
  <c r="AO69" i="46"/>
  <c r="R182" i="98" s="1"/>
  <c r="S182" i="98" s="1"/>
  <c r="AP58" i="46"/>
  <c r="E154" i="85"/>
  <c r="E154" i="101" s="1"/>
  <c r="E151" i="85"/>
  <c r="E151" i="101" s="1"/>
  <c r="N22" i="88"/>
  <c r="N4" i="88"/>
  <c r="P22" i="86"/>
  <c r="L4" i="88"/>
  <c r="AP37" i="46"/>
  <c r="P184" i="67"/>
  <c r="L184" i="67" s="1"/>
  <c r="O4" i="88"/>
  <c r="N22" i="86"/>
  <c r="E149" i="84"/>
  <c r="Q8" i="86"/>
  <c r="P23" i="86"/>
  <c r="P11" i="87"/>
  <c r="L11" i="87"/>
  <c r="AQ69" i="46"/>
  <c r="AQ126" i="46"/>
  <c r="Q23" i="86"/>
  <c r="M14" i="87"/>
  <c r="Q11" i="87"/>
  <c r="N8" i="86"/>
  <c r="L32" i="86"/>
  <c r="P14" i="87"/>
  <c r="AO64" i="46"/>
  <c r="AO25" i="46"/>
  <c r="AO142" i="46"/>
  <c r="R159" i="98" s="1"/>
  <c r="S159" i="98" s="1"/>
  <c r="AP126" i="46"/>
  <c r="P32" i="86"/>
  <c r="O14" i="87"/>
  <c r="M23" i="86"/>
  <c r="M22" i="86"/>
  <c r="AP67" i="46"/>
  <c r="AO58" i="46"/>
  <c r="AO43" i="46"/>
  <c r="Q42" i="67" s="1"/>
  <c r="AP120" i="46"/>
  <c r="P179" i="67"/>
  <c r="L179" i="67" s="1"/>
  <c r="E162" i="84"/>
  <c r="Q13" i="88"/>
  <c r="L13" i="88"/>
  <c r="N23" i="86"/>
  <c r="O11" i="87"/>
  <c r="O32" i="86"/>
  <c r="M17" i="88"/>
  <c r="AO85" i="46"/>
  <c r="R161" i="98" s="1"/>
  <c r="S161" i="98" s="1"/>
  <c r="AO67" i="46"/>
  <c r="R103" i="98" s="1"/>
  <c r="S103" i="98" s="1"/>
  <c r="E162" i="85"/>
  <c r="E162" i="100" s="1"/>
  <c r="L7" i="88"/>
  <c r="P30" i="86"/>
  <c r="N17" i="88"/>
  <c r="L17" i="86"/>
  <c r="P25" i="87"/>
  <c r="L17" i="88"/>
  <c r="M25" i="86"/>
  <c r="O22" i="87"/>
  <c r="AQ58" i="46"/>
  <c r="AQ43" i="46"/>
  <c r="AO144" i="46"/>
  <c r="E149" i="85"/>
  <c r="E149" i="100" s="1"/>
  <c r="M7" i="87"/>
  <c r="Q30" i="86"/>
  <c r="P24" i="87"/>
  <c r="M13" i="88"/>
  <c r="O17" i="88"/>
  <c r="L7" i="86"/>
  <c r="P28" i="87"/>
  <c r="M27" i="88"/>
  <c r="L19" i="87"/>
  <c r="O19" i="87"/>
  <c r="L19" i="86"/>
  <c r="O7" i="88"/>
  <c r="M9" i="88"/>
  <c r="L9" i="88"/>
  <c r="P21" i="88"/>
  <c r="Q19" i="87"/>
  <c r="M19" i="87"/>
  <c r="O19" i="86"/>
  <c r="N30" i="86"/>
  <c r="M17" i="86"/>
  <c r="N13" i="88"/>
  <c r="O31" i="88"/>
  <c r="N31" i="88"/>
  <c r="L21" i="88"/>
  <c r="O17" i="86"/>
  <c r="P7" i="88"/>
  <c r="P9" i="88"/>
  <c r="O24" i="87"/>
  <c r="L30" i="86"/>
  <c r="M19" i="86"/>
  <c r="P19" i="86"/>
  <c r="N7" i="86"/>
  <c r="O16" i="87"/>
  <c r="Q9" i="88"/>
  <c r="O13" i="88"/>
  <c r="L31" i="88"/>
  <c r="N17" i="86"/>
  <c r="P18" i="87"/>
  <c r="N16" i="87"/>
  <c r="O28" i="87"/>
  <c r="N18" i="87"/>
  <c r="M11" i="87"/>
  <c r="Q21" i="88"/>
  <c r="Q22" i="87"/>
  <c r="N22" i="87"/>
  <c r="M7" i="88"/>
  <c r="O7" i="87"/>
  <c r="N9" i="88"/>
  <c r="M21" i="88"/>
  <c r="L25" i="86"/>
  <c r="P31" i="88"/>
  <c r="N7" i="87"/>
  <c r="P17" i="86"/>
  <c r="O21" i="88"/>
  <c r="M30" i="86"/>
  <c r="L24" i="87"/>
  <c r="Q28" i="87"/>
  <c r="M28" i="87"/>
  <c r="Q24" i="87"/>
  <c r="N27" i="88"/>
  <c r="O25" i="87"/>
  <c r="Q7" i="87"/>
  <c r="Q16" i="87"/>
  <c r="P16" i="87"/>
  <c r="M7" i="86"/>
  <c r="Q7" i="88"/>
  <c r="N19" i="86"/>
  <c r="Q32" i="86"/>
  <c r="O8" i="86"/>
  <c r="P19" i="87"/>
  <c r="Q25" i="86"/>
  <c r="Q7" i="86"/>
  <c r="Q27" i="88"/>
  <c r="N25" i="86"/>
  <c r="P8" i="86"/>
  <c r="L25" i="87"/>
  <c r="M24" i="87"/>
  <c r="M8" i="86"/>
  <c r="N32" i="86"/>
  <c r="N27" i="86"/>
  <c r="L27" i="86"/>
  <c r="C42" i="90"/>
  <c r="C79" i="90"/>
  <c r="C9" i="90"/>
  <c r="C13" i="90"/>
  <c r="C24" i="90"/>
  <c r="C61" i="90"/>
  <c r="C18" i="90"/>
  <c r="C53" i="90"/>
  <c r="C21" i="90"/>
  <c r="C3" i="90"/>
  <c r="C29" i="90"/>
  <c r="C11" i="90"/>
  <c r="C73" i="90"/>
  <c r="C80" i="90"/>
  <c r="C49" i="90"/>
  <c r="C2" i="90"/>
  <c r="C45" i="90"/>
  <c r="C28" i="90"/>
  <c r="C84" i="90"/>
  <c r="C62" i="90"/>
  <c r="C74" i="90"/>
  <c r="C78" i="90"/>
  <c r="C76" i="90"/>
  <c r="C37" i="90"/>
  <c r="C6" i="90"/>
  <c r="C50" i="90"/>
  <c r="C72" i="90"/>
  <c r="AP75" i="46"/>
  <c r="AQ37" i="46"/>
  <c r="AP27" i="46"/>
  <c r="AO37" i="46"/>
  <c r="Q36" i="67" s="1"/>
  <c r="AQ45" i="46"/>
  <c r="AQ75" i="46"/>
  <c r="AP45" i="46"/>
  <c r="AQ25" i="46"/>
  <c r="AQ64" i="46"/>
  <c r="AP142" i="46"/>
  <c r="N48" i="67"/>
  <c r="J48" i="67" s="1"/>
  <c r="E48" i="91"/>
  <c r="E48" i="101" s="1"/>
  <c r="N74" i="67"/>
  <c r="J74" i="67" s="1"/>
  <c r="E74" i="91"/>
  <c r="E74" i="101" s="1"/>
  <c r="N44" i="67"/>
  <c r="J44" i="67" s="1"/>
  <c r="E44" i="91"/>
  <c r="E44" i="101" s="1"/>
  <c r="E97" i="88"/>
  <c r="P154" i="67"/>
  <c r="L154" i="67" s="1"/>
  <c r="P149" i="67"/>
  <c r="L149" i="67" s="1"/>
  <c r="P151" i="67"/>
  <c r="L151" i="67" s="1"/>
  <c r="P143" i="67"/>
  <c r="L143" i="67" s="1"/>
  <c r="P148" i="67"/>
  <c r="L148" i="67" s="1"/>
  <c r="P140" i="67"/>
  <c r="L140" i="67" s="1"/>
  <c r="P161" i="67"/>
  <c r="L161" i="67" s="1"/>
  <c r="E39" i="85"/>
  <c r="E39" i="84"/>
  <c r="E67" i="85"/>
  <c r="E67" i="84"/>
  <c r="E103" i="85"/>
  <c r="E103" i="84"/>
  <c r="E85" i="84"/>
  <c r="E85" i="85"/>
  <c r="E124" i="84"/>
  <c r="E124" i="85"/>
  <c r="E47" i="85"/>
  <c r="E47" i="84"/>
  <c r="E118" i="85"/>
  <c r="E118" i="84"/>
  <c r="E45" i="84"/>
  <c r="E45" i="85"/>
  <c r="P57" i="67"/>
  <c r="L57" i="67" s="1"/>
  <c r="E57" i="84"/>
  <c r="E57" i="85"/>
  <c r="P120" i="67"/>
  <c r="L120" i="67" s="1"/>
  <c r="E120" i="84"/>
  <c r="E120" i="85"/>
  <c r="P72" i="67"/>
  <c r="L72" i="67" s="1"/>
  <c r="E72" i="84"/>
  <c r="E72" i="85"/>
  <c r="P107" i="67"/>
  <c r="L107" i="67" s="1"/>
  <c r="E107" i="85"/>
  <c r="E107" i="84"/>
  <c r="P60" i="67"/>
  <c r="L60" i="67" s="1"/>
  <c r="E60" i="84"/>
  <c r="E60" i="85"/>
  <c r="P84" i="67"/>
  <c r="L84" i="67" s="1"/>
  <c r="E84" i="84"/>
  <c r="E84" i="85"/>
  <c r="E39" i="88"/>
  <c r="P102" i="67"/>
  <c r="L102" i="67" s="1"/>
  <c r="E102" i="85"/>
  <c r="E102" i="84"/>
  <c r="E132" i="84"/>
  <c r="E132" i="85"/>
  <c r="E88" i="84"/>
  <c r="E88" i="85"/>
  <c r="E115" i="85"/>
  <c r="E115" i="84"/>
  <c r="E97" i="84"/>
  <c r="E97" i="85"/>
  <c r="E32" i="84"/>
  <c r="E32" i="85"/>
  <c r="E121" i="84"/>
  <c r="E121" i="85"/>
  <c r="E9" i="84"/>
  <c r="E9" i="85"/>
  <c r="E126" i="85"/>
  <c r="E126" i="84"/>
  <c r="E40" i="84"/>
  <c r="E40" i="85"/>
  <c r="E95" i="85"/>
  <c r="E95" i="84"/>
  <c r="P75" i="67"/>
  <c r="L75" i="67" s="1"/>
  <c r="E75" i="85"/>
  <c r="E75" i="84"/>
  <c r="E64" i="84"/>
  <c r="E64" i="85"/>
  <c r="E43" i="85"/>
  <c r="E43" i="84"/>
  <c r="E116" i="84"/>
  <c r="E116" i="85"/>
  <c r="P36" i="67"/>
  <c r="L36" i="67" s="1"/>
  <c r="E36" i="84"/>
  <c r="E36" i="85"/>
  <c r="P104" i="67"/>
  <c r="L104" i="67" s="1"/>
  <c r="E104" i="84"/>
  <c r="E104" i="85"/>
  <c r="P106" i="67"/>
  <c r="L106" i="67" s="1"/>
  <c r="E106" i="85"/>
  <c r="E106" i="84"/>
  <c r="P27" i="67"/>
  <c r="L27" i="67" s="1"/>
  <c r="E27" i="85"/>
  <c r="E27" i="84"/>
  <c r="P68" i="67"/>
  <c r="L68" i="67" s="1"/>
  <c r="E68" i="84"/>
  <c r="E68" i="85"/>
  <c r="P42" i="67"/>
  <c r="L42" i="67" s="1"/>
  <c r="E42" i="85"/>
  <c r="E42" i="84"/>
  <c r="P112" i="67"/>
  <c r="L112" i="67" s="1"/>
  <c r="E112" i="84"/>
  <c r="E112" i="85"/>
  <c r="P63" i="67"/>
  <c r="L63" i="67" s="1"/>
  <c r="E63" i="85"/>
  <c r="E63" i="84"/>
  <c r="P22" i="67"/>
  <c r="L22" i="67" s="1"/>
  <c r="E22" i="85"/>
  <c r="E22" i="84"/>
  <c r="P130" i="67"/>
  <c r="L130" i="67" s="1"/>
  <c r="E130" i="85"/>
  <c r="E130" i="84"/>
  <c r="E155" i="85"/>
  <c r="E155" i="100" s="1"/>
  <c r="E155" i="84"/>
  <c r="E17" i="84"/>
  <c r="E17" i="85"/>
  <c r="E91" i="85"/>
  <c r="E91" i="84"/>
  <c r="P33" i="67"/>
  <c r="L33" i="67" s="1"/>
  <c r="E33" i="84"/>
  <c r="E33" i="85"/>
  <c r="P90" i="67"/>
  <c r="L90" i="67" s="1"/>
  <c r="E90" i="85"/>
  <c r="E90" i="84"/>
  <c r="E51" i="85"/>
  <c r="E51" i="84"/>
  <c r="E127" i="85"/>
  <c r="E127" i="84"/>
  <c r="P66" i="67"/>
  <c r="L66" i="67" s="1"/>
  <c r="E66" i="85"/>
  <c r="E66" i="84"/>
  <c r="P123" i="67"/>
  <c r="L123" i="67" s="1"/>
  <c r="E123" i="85"/>
  <c r="E123" i="84"/>
  <c r="P125" i="67"/>
  <c r="L125" i="67" s="1"/>
  <c r="E125" i="84"/>
  <c r="E125" i="85"/>
  <c r="E41" i="88"/>
  <c r="E140" i="84"/>
  <c r="E140" i="85"/>
  <c r="E140" i="101" s="1"/>
  <c r="P89" i="67"/>
  <c r="L89" i="67" s="1"/>
  <c r="E89" i="84"/>
  <c r="E89" i="85"/>
  <c r="E82" i="85"/>
  <c r="E82" i="84"/>
  <c r="P156" i="67"/>
  <c r="L156" i="67" s="1"/>
  <c r="E139" i="85"/>
  <c r="E139" i="100" s="1"/>
  <c r="E139" i="84"/>
  <c r="E35" i="85"/>
  <c r="E35" i="84"/>
  <c r="E41" i="84"/>
  <c r="E41" i="85"/>
  <c r="E53" i="84"/>
  <c r="E53" i="85"/>
  <c r="E98" i="85"/>
  <c r="E98" i="84"/>
  <c r="P71" i="67"/>
  <c r="L71" i="67" s="1"/>
  <c r="E71" i="85"/>
  <c r="E71" i="84"/>
  <c r="E38" i="85"/>
  <c r="E38" i="84"/>
  <c r="E119" i="85"/>
  <c r="E119" i="84"/>
  <c r="P108" i="67"/>
  <c r="L108" i="67" s="1"/>
  <c r="E108" i="84"/>
  <c r="E108" i="85"/>
  <c r="P15" i="67"/>
  <c r="L15" i="67" s="1"/>
  <c r="E15" i="85"/>
  <c r="E15" i="84"/>
  <c r="P111" i="67"/>
  <c r="L111" i="67" s="1"/>
  <c r="E111" i="85"/>
  <c r="E111" i="84"/>
  <c r="P24" i="67"/>
  <c r="L24" i="67" s="1"/>
  <c r="E24" i="84"/>
  <c r="E24" i="85"/>
  <c r="P18" i="67"/>
  <c r="L18" i="67" s="1"/>
  <c r="E18" i="85"/>
  <c r="E18" i="84"/>
  <c r="P26" i="67"/>
  <c r="L26" i="67" s="1"/>
  <c r="E26" i="85"/>
  <c r="E26" i="84"/>
  <c r="E5" i="84"/>
  <c r="E5" i="85"/>
  <c r="E94" i="88"/>
  <c r="E7" i="85"/>
  <c r="E7" i="84"/>
  <c r="AQ6" i="46"/>
  <c r="AP6" i="46"/>
  <c r="AO6" i="46"/>
  <c r="R104" i="98" s="1"/>
  <c r="S104" i="98" s="1"/>
  <c r="AQ162" i="46"/>
  <c r="AO8" i="46"/>
  <c r="R91" i="98" s="1"/>
  <c r="S91" i="98" s="1"/>
  <c r="AP8" i="46"/>
  <c r="AQ112" i="46"/>
  <c r="AO112" i="46"/>
  <c r="R178" i="98" s="1"/>
  <c r="S178" i="98" s="1"/>
  <c r="AP113" i="46"/>
  <c r="AQ113" i="46"/>
  <c r="AO162" i="46"/>
  <c r="AP152" i="46"/>
  <c r="AQ152" i="46"/>
  <c r="AQ19" i="46"/>
  <c r="AP19" i="46"/>
  <c r="AO128" i="46"/>
  <c r="R204" i="98" s="1"/>
  <c r="S204" i="98" s="1"/>
  <c r="AP205" i="46"/>
  <c r="AO161" i="46"/>
  <c r="AO120" i="46"/>
  <c r="AQ161" i="46"/>
  <c r="AP217" i="46"/>
  <c r="AO105" i="46"/>
  <c r="R167" i="98" s="1"/>
  <c r="S167" i="98" s="1"/>
  <c r="AP105" i="46"/>
  <c r="AO217" i="46"/>
  <c r="P53" i="67"/>
  <c r="L53" i="67" s="1"/>
  <c r="P51" i="67"/>
  <c r="L51" i="67" s="1"/>
  <c r="P200" i="67"/>
  <c r="L200" i="67" s="1"/>
  <c r="P124" i="67"/>
  <c r="L124" i="67" s="1"/>
  <c r="P132" i="67"/>
  <c r="L132" i="67" s="1"/>
  <c r="P157" i="67"/>
  <c r="L157" i="67" s="1"/>
  <c r="P193" i="67"/>
  <c r="L193" i="67" s="1"/>
  <c r="P38" i="67"/>
  <c r="L38" i="67" s="1"/>
  <c r="P159" i="67"/>
  <c r="L159" i="67" s="1"/>
  <c r="P121" i="67"/>
  <c r="L121" i="67" s="1"/>
  <c r="P43" i="67"/>
  <c r="L43" i="67" s="1"/>
  <c r="P145" i="67"/>
  <c r="L145" i="67" s="1"/>
  <c r="P144" i="67"/>
  <c r="L144" i="67" s="1"/>
  <c r="Q215" i="67"/>
  <c r="P97" i="67"/>
  <c r="L97" i="67" s="1"/>
  <c r="P203" i="67"/>
  <c r="L203" i="67" s="1"/>
  <c r="P118" i="67"/>
  <c r="L118" i="67" s="1"/>
  <c r="P218" i="67"/>
  <c r="L218" i="67" s="1"/>
  <c r="P116" i="67"/>
  <c r="L116" i="67" s="1"/>
  <c r="P88" i="67"/>
  <c r="L88" i="67" s="1"/>
  <c r="P35" i="67"/>
  <c r="L35" i="67" s="1"/>
  <c r="P47" i="67"/>
  <c r="L47" i="67" s="1"/>
  <c r="Q74" i="67"/>
  <c r="P189" i="67"/>
  <c r="L189" i="67" s="1"/>
  <c r="P39" i="67"/>
  <c r="L39" i="67" s="1"/>
  <c r="P85" i="67"/>
  <c r="L85" i="67" s="1"/>
  <c r="P127" i="67"/>
  <c r="L127" i="67" s="1"/>
  <c r="P166" i="67"/>
  <c r="L166" i="67" s="1"/>
  <c r="P162" i="67"/>
  <c r="L162" i="67" s="1"/>
  <c r="P82" i="67"/>
  <c r="L82" i="67" s="1"/>
  <c r="P119" i="67"/>
  <c r="L119" i="67" s="1"/>
  <c r="Q44" i="67"/>
  <c r="Q18" i="67"/>
  <c r="P174" i="67"/>
  <c r="L174" i="67" s="1"/>
  <c r="P103" i="67"/>
  <c r="L103" i="67" s="1"/>
  <c r="P191" i="67"/>
  <c r="L191" i="67" s="1"/>
  <c r="P91" i="67"/>
  <c r="L91" i="67" s="1"/>
  <c r="P95" i="67"/>
  <c r="L95" i="67" s="1"/>
  <c r="P180" i="67"/>
  <c r="L180" i="67" s="1"/>
  <c r="P136" i="67"/>
  <c r="L136" i="67" s="1"/>
  <c r="P141" i="67"/>
  <c r="L141" i="67" s="1"/>
  <c r="Q37" i="67"/>
  <c r="Q26" i="67"/>
  <c r="P188" i="67"/>
  <c r="L188" i="67" s="1"/>
  <c r="P9" i="67"/>
  <c r="L9" i="67" s="1"/>
  <c r="P171" i="67"/>
  <c r="L171" i="67" s="1"/>
  <c r="P146" i="67"/>
  <c r="L146" i="67" s="1"/>
  <c r="P45" i="67"/>
  <c r="L45" i="67" s="1"/>
  <c r="P40" i="67"/>
  <c r="L40" i="67" s="1"/>
  <c r="Q12" i="67"/>
  <c r="AQ167" i="46"/>
  <c r="P115" i="67"/>
  <c r="L115" i="67" s="1"/>
  <c r="P41" i="67"/>
  <c r="L41" i="67" s="1"/>
  <c r="P126" i="67"/>
  <c r="L126" i="67" s="1"/>
  <c r="Q191" i="67"/>
  <c r="Q145" i="67"/>
  <c r="P17" i="67"/>
  <c r="L17" i="67" s="1"/>
  <c r="P67" i="67"/>
  <c r="L67" i="67" s="1"/>
  <c r="P160" i="67"/>
  <c r="L160" i="67" s="1"/>
  <c r="P64" i="67"/>
  <c r="L64" i="67" s="1"/>
  <c r="P32" i="67"/>
  <c r="L32" i="67" s="1"/>
  <c r="P98" i="67"/>
  <c r="L98" i="67" s="1"/>
  <c r="AQ48" i="46"/>
  <c r="AP119" i="46"/>
  <c r="AP124" i="46"/>
  <c r="AO124" i="46"/>
  <c r="AQ91" i="46"/>
  <c r="AO215" i="46"/>
  <c r="AQ213" i="46"/>
  <c r="AP172" i="46"/>
  <c r="AQ172" i="46"/>
  <c r="AP48" i="46"/>
  <c r="AO73" i="46"/>
  <c r="AQ122" i="46"/>
  <c r="AP122" i="46"/>
  <c r="AP125" i="46"/>
  <c r="AO125" i="46"/>
  <c r="AP175" i="46"/>
  <c r="AO175" i="46"/>
  <c r="R185" i="98" s="1"/>
  <c r="S185" i="98" s="1"/>
  <c r="AO28" i="46"/>
  <c r="AO127" i="46"/>
  <c r="R179" i="98" s="1"/>
  <c r="S179" i="98" s="1"/>
  <c r="AQ28" i="46"/>
  <c r="AP28" i="46"/>
  <c r="AP127" i="46"/>
  <c r="AO119" i="46"/>
  <c r="R189" i="98" s="1"/>
  <c r="S189" i="98" s="1"/>
  <c r="AO145" i="46"/>
  <c r="R211" i="98" s="1"/>
  <c r="S211" i="98" s="1"/>
  <c r="AP73" i="46"/>
  <c r="AP145" i="46"/>
  <c r="AQ192" i="46"/>
  <c r="AQ73" i="46"/>
  <c r="AQ108" i="46"/>
  <c r="AP108" i="46"/>
  <c r="AP215" i="46"/>
  <c r="AO149" i="46"/>
  <c r="R160" i="98" s="1"/>
  <c r="S160" i="98" s="1"/>
  <c r="AQ149" i="46"/>
  <c r="AO209" i="46"/>
  <c r="AP16" i="46"/>
  <c r="AO16" i="46"/>
  <c r="R166" i="98" s="1"/>
  <c r="S166" i="98" s="1"/>
  <c r="AP167" i="46"/>
  <c r="AQ211" i="46"/>
  <c r="AQ107" i="46"/>
  <c r="AQ76" i="46"/>
  <c r="AO211" i="46"/>
  <c r="AP76" i="46"/>
  <c r="AO76" i="46"/>
  <c r="R48" i="98" s="1"/>
  <c r="S48" i="98" s="1"/>
  <c r="AO213" i="46"/>
  <c r="AQ209" i="46"/>
  <c r="AO107" i="46"/>
  <c r="R197" i="98" s="1"/>
  <c r="S197" i="98" s="1"/>
  <c r="AO109" i="46"/>
  <c r="R163" i="98" s="1"/>
  <c r="S163" i="98" s="1"/>
  <c r="AQ109" i="46"/>
  <c r="AQ65" i="46"/>
  <c r="AP65" i="46"/>
  <c r="AO65" i="46"/>
  <c r="R171" i="98" s="1"/>
  <c r="S171" i="98" s="1"/>
  <c r="AO137" i="46"/>
  <c r="R218" i="98" s="1"/>
  <c r="S218" i="98" s="1"/>
  <c r="AQ208" i="46"/>
  <c r="AO208" i="46"/>
  <c r="AP214" i="46"/>
  <c r="AQ214" i="46"/>
  <c r="AO194" i="46"/>
  <c r="R39" i="98" s="1"/>
  <c r="S39" i="98" s="1"/>
  <c r="AP52" i="46"/>
  <c r="AP137" i="46"/>
  <c r="AP41" i="46"/>
  <c r="AQ194" i="46"/>
  <c r="AQ41" i="46"/>
  <c r="AO41" i="46"/>
  <c r="AQ44" i="46"/>
  <c r="AP72" i="46"/>
  <c r="AP44" i="46"/>
  <c r="AO72" i="46"/>
  <c r="AO44" i="46"/>
  <c r="AO46" i="46"/>
  <c r="AP86" i="46"/>
  <c r="AQ46" i="46"/>
  <c r="AP46" i="46"/>
  <c r="AO207" i="46"/>
  <c r="AO181" i="46"/>
  <c r="AQ181" i="46"/>
  <c r="AQ54" i="46"/>
  <c r="AQ96" i="46"/>
  <c r="AP181" i="46"/>
  <c r="AP146" i="46"/>
  <c r="AP96" i="46"/>
  <c r="AQ146" i="46"/>
  <c r="AO96" i="46"/>
  <c r="AQ39" i="46"/>
  <c r="AQ42" i="46"/>
  <c r="AQ49" i="46"/>
  <c r="AP39" i="46"/>
  <c r="AP49" i="46"/>
  <c r="AQ16" i="46"/>
  <c r="AQ34" i="46"/>
  <c r="AO39" i="46"/>
  <c r="AO52" i="46"/>
  <c r="AO147" i="46"/>
  <c r="AQ52" i="46"/>
  <c r="AP192" i="46"/>
  <c r="AQ147" i="46"/>
  <c r="AQ67" i="46"/>
  <c r="AQ212" i="46"/>
  <c r="AO48" i="46"/>
  <c r="R145" i="98" s="1"/>
  <c r="S145" i="98" s="1"/>
  <c r="AO201" i="46"/>
  <c r="AP201" i="46"/>
  <c r="AO212" i="46"/>
  <c r="AO117" i="46"/>
  <c r="R205" i="98" s="1"/>
  <c r="S205" i="98" s="1"/>
  <c r="AP206" i="46"/>
  <c r="AO99" i="46"/>
  <c r="R196" i="98" s="1"/>
  <c r="S196" i="98" s="1"/>
  <c r="AQ72" i="46"/>
  <c r="AQ10" i="46"/>
  <c r="AP10" i="46"/>
  <c r="AQ99" i="46"/>
  <c r="AO10" i="46"/>
  <c r="R32" i="98" s="1"/>
  <c r="S32" i="98" s="1"/>
  <c r="AP99" i="46"/>
  <c r="AQ206" i="46"/>
  <c r="AQ207" i="46"/>
  <c r="AP117" i="46"/>
  <c r="AQ117" i="46"/>
  <c r="AQ86" i="46"/>
  <c r="AO36" i="46"/>
  <c r="R86" i="98" s="1"/>
  <c r="S86" i="98" s="1"/>
  <c r="AO86" i="46"/>
  <c r="R206" i="98" s="1"/>
  <c r="S206" i="98" s="1"/>
  <c r="AP91" i="46"/>
  <c r="AO91" i="46"/>
  <c r="AQ18" i="46"/>
  <c r="AP18" i="46"/>
  <c r="AO18" i="46"/>
  <c r="R220" i="98" s="1"/>
  <c r="S220" i="98" s="1"/>
  <c r="AQ116" i="46"/>
  <c r="AO116" i="46"/>
  <c r="R172" i="98" s="1"/>
  <c r="S172" i="98" s="1"/>
  <c r="AQ104" i="46"/>
  <c r="AQ40" i="46"/>
  <c r="AP104" i="46"/>
  <c r="AP40" i="46"/>
  <c r="AO104" i="46"/>
  <c r="AO40" i="46"/>
  <c r="R168" i="98" s="1"/>
  <c r="S168" i="98" s="1"/>
  <c r="AQ92" i="46"/>
  <c r="AO92" i="46"/>
  <c r="R177" i="98" s="1"/>
  <c r="S177" i="98" s="1"/>
  <c r="AP92" i="46"/>
  <c r="AQ210" i="46"/>
  <c r="AP210" i="46"/>
  <c r="AO98" i="46"/>
  <c r="R210" i="98" s="1"/>
  <c r="S210" i="98" s="1"/>
  <c r="AO204" i="46"/>
  <c r="R24" i="98" s="1"/>
  <c r="S24" i="98" s="1"/>
  <c r="AP204" i="46"/>
  <c r="AP68" i="46"/>
  <c r="AQ68" i="46"/>
  <c r="AO68" i="46"/>
  <c r="AO158" i="46"/>
  <c r="AP42" i="46"/>
  <c r="AP54" i="46"/>
  <c r="AO42" i="46"/>
  <c r="AO54" i="46"/>
  <c r="R200" i="98" s="1"/>
  <c r="S200" i="98" s="1"/>
  <c r="AP158" i="46"/>
  <c r="AQ33" i="46"/>
  <c r="AQ160" i="46"/>
  <c r="AP33" i="46"/>
  <c r="AO33" i="46"/>
  <c r="R209" i="98" s="1"/>
  <c r="S209" i="98" s="1"/>
  <c r="AO160" i="46"/>
  <c r="AQ98" i="46"/>
  <c r="AP98" i="46"/>
  <c r="AO219" i="46"/>
  <c r="AP121" i="46"/>
  <c r="AQ121" i="46"/>
  <c r="AQ219" i="46"/>
  <c r="AQ36" i="46"/>
  <c r="AP36" i="46"/>
  <c r="D15" i="24"/>
  <c r="D16" i="24" s="1"/>
  <c r="C15" i="24"/>
  <c r="C16" i="24" s="1"/>
  <c r="E21" i="7" s="1"/>
  <c r="C15" i="38"/>
  <c r="E27" i="7" s="1"/>
  <c r="D7" i="41"/>
  <c r="D8" i="41"/>
  <c r="D9" i="41"/>
  <c r="D10" i="41"/>
  <c r="D11" i="41"/>
  <c r="D12" i="41"/>
  <c r="D13" i="41"/>
  <c r="AD56" i="46" s="1"/>
  <c r="AK56" i="46" s="1"/>
  <c r="D14" i="41"/>
  <c r="AF56" i="46" s="1"/>
  <c r="AM56" i="46" s="1"/>
  <c r="D15" i="41"/>
  <c r="C16" i="41"/>
  <c r="D16" i="41" s="1"/>
  <c r="E30" i="7" s="1"/>
  <c r="B34" i="7"/>
  <c r="D17" i="45"/>
  <c r="E17" i="45"/>
  <c r="D18" i="45"/>
  <c r="E18" i="45"/>
  <c r="D19" i="45"/>
  <c r="E19" i="45"/>
  <c r="D20" i="45"/>
  <c r="E20" i="45"/>
  <c r="C18" i="45"/>
  <c r="H9" i="45" s="1"/>
  <c r="C19" i="45"/>
  <c r="H10" i="45" s="1"/>
  <c r="AD53" i="46" s="1"/>
  <c r="AK53" i="46" s="1"/>
  <c r="C20" i="45"/>
  <c r="H11" i="45" s="1"/>
  <c r="AE53" i="46" s="1"/>
  <c r="AL53" i="46" s="1"/>
  <c r="C17" i="45"/>
  <c r="H8" i="45" s="1"/>
  <c r="E13" i="45"/>
  <c r="E21" i="45" s="1"/>
  <c r="D13" i="45"/>
  <c r="D21" i="45" s="1"/>
  <c r="C13" i="45"/>
  <c r="C21" i="45" s="1"/>
  <c r="G12" i="44"/>
  <c r="G14" i="44"/>
  <c r="G30" i="44"/>
  <c r="N24" i="44" s="1"/>
  <c r="G9" i="44"/>
  <c r="N9" i="44" s="1"/>
  <c r="G10" i="44"/>
  <c r="N10" i="44" s="1"/>
  <c r="G11" i="44"/>
  <c r="N35" i="44" s="1"/>
  <c r="G13" i="44"/>
  <c r="G15" i="44"/>
  <c r="N12" i="44" s="1"/>
  <c r="G16" i="44"/>
  <c r="N17" i="44" s="1"/>
  <c r="G17" i="44"/>
  <c r="N13" i="44" s="1"/>
  <c r="G18" i="44"/>
  <c r="N33" i="44" s="1"/>
  <c r="G19" i="44"/>
  <c r="G20" i="44"/>
  <c r="N15" i="44" s="1"/>
  <c r="G21" i="44"/>
  <c r="N16" i="44" s="1"/>
  <c r="G22" i="44"/>
  <c r="N36" i="44" s="1"/>
  <c r="G23" i="44"/>
  <c r="N18" i="44" s="1"/>
  <c r="G24" i="44"/>
  <c r="N19" i="44" s="1"/>
  <c r="G25" i="44"/>
  <c r="N21" i="44" s="1"/>
  <c r="G26" i="44"/>
  <c r="N20" i="44" s="1"/>
  <c r="G27" i="44"/>
  <c r="G28" i="44"/>
  <c r="N22" i="44" s="1"/>
  <c r="G29" i="44"/>
  <c r="N23" i="44" s="1"/>
  <c r="G31" i="44"/>
  <c r="G32" i="44"/>
  <c r="N25" i="44" s="1"/>
  <c r="G33" i="44"/>
  <c r="G34" i="44"/>
  <c r="N26" i="44" s="1"/>
  <c r="G35" i="44"/>
  <c r="N28" i="44" s="1"/>
  <c r="G36" i="44"/>
  <c r="N29" i="44" s="1"/>
  <c r="G37" i="44"/>
  <c r="N30" i="44" s="1"/>
  <c r="G38" i="44"/>
  <c r="N31" i="44" s="1"/>
  <c r="G39" i="44"/>
  <c r="N32" i="44" s="1"/>
  <c r="G40" i="44"/>
  <c r="N34" i="44" s="1"/>
  <c r="G41" i="44"/>
  <c r="N37" i="44" s="1"/>
  <c r="G8" i="44"/>
  <c r="N8" i="44" s="1"/>
  <c r="D10" i="43"/>
  <c r="D11" i="43"/>
  <c r="AF59" i="46" s="1"/>
  <c r="D12" i="43"/>
  <c r="AE59" i="46" s="1"/>
  <c r="C13" i="43"/>
  <c r="B33" i="7"/>
  <c r="B32" i="7"/>
  <c r="B30" i="7"/>
  <c r="B27" i="7"/>
  <c r="B29" i="7"/>
  <c r="E29" i="7"/>
  <c r="B28" i="7"/>
  <c r="E28" i="7"/>
  <c r="C13" i="39"/>
  <c r="D13" i="38"/>
  <c r="D12" i="38"/>
  <c r="D11" i="38"/>
  <c r="B26" i="7"/>
  <c r="D10" i="28"/>
  <c r="D11" i="28"/>
  <c r="D12" i="28"/>
  <c r="D13" i="28"/>
  <c r="D14" i="28"/>
  <c r="D15" i="28"/>
  <c r="D16" i="28"/>
  <c r="D17" i="28"/>
  <c r="D9" i="28"/>
  <c r="E22" i="7" s="1"/>
  <c r="D12" i="30"/>
  <c r="E12" i="30"/>
  <c r="C12" i="30"/>
  <c r="C23" i="35"/>
  <c r="D23" i="35"/>
  <c r="AD15" i="46" s="1"/>
  <c r="AK15" i="46" s="1"/>
  <c r="E23" i="35"/>
  <c r="C24" i="35"/>
  <c r="D24" i="35"/>
  <c r="AF15" i="46" s="1"/>
  <c r="AM15" i="46" s="1"/>
  <c r="E24" i="35"/>
  <c r="C25" i="35"/>
  <c r="D25" i="35"/>
  <c r="E25" i="35"/>
  <c r="C26" i="35"/>
  <c r="D26" i="35"/>
  <c r="E26" i="35"/>
  <c r="C27" i="35"/>
  <c r="D27" i="35"/>
  <c r="E27" i="35"/>
  <c r="C28" i="35"/>
  <c r="D28" i="35"/>
  <c r="E28" i="35"/>
  <c r="C29" i="35"/>
  <c r="D29" i="35"/>
  <c r="E29" i="35"/>
  <c r="C30" i="35"/>
  <c r="D30" i="35"/>
  <c r="E30" i="35"/>
  <c r="D22" i="35"/>
  <c r="E22" i="35"/>
  <c r="C22" i="35"/>
  <c r="E17" i="35"/>
  <c r="E31" i="35" s="1"/>
  <c r="D17" i="35"/>
  <c r="D31" i="35" s="1"/>
  <c r="E14" i="7" s="1"/>
  <c r="C17" i="35"/>
  <c r="C31" i="35" s="1"/>
  <c r="B5" i="7"/>
  <c r="D14" i="34"/>
  <c r="E14" i="34"/>
  <c r="G13" i="7" s="1"/>
  <c r="F14" i="34"/>
  <c r="C14" i="34"/>
  <c r="E13" i="7" s="1"/>
  <c r="D9" i="33"/>
  <c r="AD11" i="46" s="1"/>
  <c r="AK11" i="46" s="1"/>
  <c r="D10" i="33"/>
  <c r="D11" i="33"/>
  <c r="D12" i="33"/>
  <c r="D13" i="33"/>
  <c r="D14" i="33"/>
  <c r="D15" i="33"/>
  <c r="D8" i="33"/>
  <c r="E9" i="7" s="1"/>
  <c r="B25" i="7"/>
  <c r="B13" i="7"/>
  <c r="B24" i="7"/>
  <c r="B17" i="7"/>
  <c r="B23" i="7"/>
  <c r="D26" i="30"/>
  <c r="E26" i="30"/>
  <c r="G16" i="7" s="1"/>
  <c r="D27" i="30"/>
  <c r="E27" i="30"/>
  <c r="D28" i="30"/>
  <c r="E28" i="30"/>
  <c r="D29" i="30"/>
  <c r="E29" i="30"/>
  <c r="D30" i="30"/>
  <c r="E30" i="30"/>
  <c r="D31" i="30"/>
  <c r="E31" i="30"/>
  <c r="C27" i="30"/>
  <c r="AD20" i="46" s="1"/>
  <c r="AK20" i="46" s="1"/>
  <c r="C28" i="30"/>
  <c r="AE20" i="46" s="1"/>
  <c r="AL20" i="46" s="1"/>
  <c r="C29" i="30"/>
  <c r="C30" i="30"/>
  <c r="AF20" i="46" s="1"/>
  <c r="AM20" i="46" s="1"/>
  <c r="C31" i="30"/>
  <c r="C26" i="30"/>
  <c r="E16" i="7" s="1"/>
  <c r="B16" i="7"/>
  <c r="C24" i="29"/>
  <c r="D24" i="29"/>
  <c r="E24" i="29"/>
  <c r="C25" i="29"/>
  <c r="D25" i="29"/>
  <c r="E25" i="29"/>
  <c r="C27" i="29"/>
  <c r="D27" i="29"/>
  <c r="E27" i="29"/>
  <c r="C28" i="29"/>
  <c r="D28" i="29"/>
  <c r="E28" i="29"/>
  <c r="C29" i="29"/>
  <c r="D29" i="29"/>
  <c r="E29" i="29"/>
  <c r="C30" i="29"/>
  <c r="D30" i="29"/>
  <c r="E30" i="29"/>
  <c r="C31" i="29"/>
  <c r="D31" i="29"/>
  <c r="E31" i="29"/>
  <c r="C32" i="29"/>
  <c r="D32" i="29"/>
  <c r="E32" i="29"/>
  <c r="C33" i="29"/>
  <c r="D33" i="29"/>
  <c r="AD30" i="46" s="1"/>
  <c r="AK30" i="46" s="1"/>
  <c r="E33" i="29"/>
  <c r="C34" i="29"/>
  <c r="D34" i="29"/>
  <c r="AF30" i="46" s="1"/>
  <c r="AM30" i="46" s="1"/>
  <c r="E34" i="29"/>
  <c r="D26" i="29"/>
  <c r="E26" i="29"/>
  <c r="C26" i="29"/>
  <c r="B3" i="7"/>
  <c r="D19" i="29"/>
  <c r="D35" i="29" s="1"/>
  <c r="E3" i="7" s="1"/>
  <c r="E19" i="29"/>
  <c r="E35" i="29" s="1"/>
  <c r="C19" i="29"/>
  <c r="C35" i="29" s="1"/>
  <c r="B22" i="7"/>
  <c r="B18" i="7"/>
  <c r="B20" i="7"/>
  <c r="B21" i="7"/>
  <c r="C15" i="25"/>
  <c r="C16" i="25"/>
  <c r="C17" i="25"/>
  <c r="C18" i="25"/>
  <c r="C14" i="25"/>
  <c r="C15" i="23"/>
  <c r="D15" i="23"/>
  <c r="E15" i="23"/>
  <c r="C16" i="23"/>
  <c r="D16" i="23"/>
  <c r="E16" i="23"/>
  <c r="C17" i="23"/>
  <c r="D17" i="23"/>
  <c r="E17" i="23"/>
  <c r="E14" i="23"/>
  <c r="C14" i="23"/>
  <c r="D14" i="23"/>
  <c r="B4" i="7"/>
  <c r="B19" i="7"/>
  <c r="B9" i="7"/>
  <c r="E18" i="22"/>
  <c r="F18" i="22"/>
  <c r="G8" i="7" s="1"/>
  <c r="G18" i="22"/>
  <c r="E19" i="22"/>
  <c r="F19" i="22"/>
  <c r="G19" i="22"/>
  <c r="E20" i="22"/>
  <c r="F20" i="22"/>
  <c r="G20" i="22"/>
  <c r="E21" i="22"/>
  <c r="F21" i="22"/>
  <c r="G21" i="22"/>
  <c r="E22" i="22"/>
  <c r="F22" i="22"/>
  <c r="G22" i="22"/>
  <c r="E23" i="22"/>
  <c r="F23" i="22"/>
  <c r="G23" i="22"/>
  <c r="E24" i="22"/>
  <c r="F24" i="22"/>
  <c r="G24" i="22"/>
  <c r="E25" i="22"/>
  <c r="F25" i="22"/>
  <c r="G25" i="22"/>
  <c r="E26" i="22"/>
  <c r="F26" i="22"/>
  <c r="G26" i="22"/>
  <c r="D19" i="22"/>
  <c r="D20" i="22"/>
  <c r="D21" i="22"/>
  <c r="D22" i="22"/>
  <c r="D23" i="22"/>
  <c r="D24" i="22"/>
  <c r="D25" i="22"/>
  <c r="D26" i="22"/>
  <c r="D18" i="22"/>
  <c r="E8" i="7" s="1"/>
  <c r="B8" i="7"/>
  <c r="E20" i="21"/>
  <c r="F20" i="21"/>
  <c r="E12" i="7" s="1"/>
  <c r="E21" i="21"/>
  <c r="F21" i="21"/>
  <c r="E22" i="21"/>
  <c r="F22" i="21"/>
  <c r="E23" i="21"/>
  <c r="F23" i="21"/>
  <c r="E24" i="21"/>
  <c r="F24" i="21"/>
  <c r="E25" i="21"/>
  <c r="F25" i="21"/>
  <c r="E26" i="21"/>
  <c r="F26" i="21"/>
  <c r="D21" i="21"/>
  <c r="D22" i="21"/>
  <c r="D23" i="21"/>
  <c r="D24" i="21"/>
  <c r="D25" i="21"/>
  <c r="D26" i="21"/>
  <c r="D20" i="21"/>
  <c r="B7" i="7"/>
  <c r="B15" i="7"/>
  <c r="B10" i="7"/>
  <c r="B11" i="7"/>
  <c r="B12" i="7"/>
  <c r="B14" i="7"/>
  <c r="B6" i="7"/>
  <c r="DL192" i="13"/>
  <c r="DK192" i="13"/>
  <c r="DJ192" i="13"/>
  <c r="DI192" i="13"/>
  <c r="DH192" i="13"/>
  <c r="DG192" i="13"/>
  <c r="DF192" i="13"/>
  <c r="DE192" i="13"/>
  <c r="DD192" i="13"/>
  <c r="DC192" i="13"/>
  <c r="DB192" i="13"/>
  <c r="DA192" i="13"/>
  <c r="CZ192" i="13"/>
  <c r="CY192" i="13"/>
  <c r="CX192" i="13"/>
  <c r="CW192" i="13"/>
  <c r="CV192" i="13"/>
  <c r="CU192" i="13"/>
  <c r="CT192" i="13"/>
  <c r="CS192" i="13"/>
  <c r="CR192" i="13"/>
  <c r="CQ192" i="13"/>
  <c r="CP192" i="13"/>
  <c r="CO192" i="13"/>
  <c r="CN192" i="13"/>
  <c r="CM192" i="13"/>
  <c r="CL192" i="13"/>
  <c r="CK192" i="13"/>
  <c r="CJ192" i="13"/>
  <c r="CI192" i="13"/>
  <c r="CH192" i="13"/>
  <c r="CG192" i="13"/>
  <c r="CF192" i="13"/>
  <c r="CE192" i="13"/>
  <c r="CD192" i="13"/>
  <c r="CC192" i="13"/>
  <c r="CB192" i="13"/>
  <c r="CA192" i="13"/>
  <c r="BZ192" i="13"/>
  <c r="BY192" i="13"/>
  <c r="BX192" i="13"/>
  <c r="BW192" i="13"/>
  <c r="BV192" i="13"/>
  <c r="BU192" i="13"/>
  <c r="BT192" i="13"/>
  <c r="BS192" i="13"/>
  <c r="BR192" i="13"/>
  <c r="BQ192" i="13"/>
  <c r="BP192" i="13"/>
  <c r="BO192" i="13"/>
  <c r="BM192" i="13"/>
  <c r="BL192" i="13"/>
  <c r="BI192" i="13"/>
  <c r="BH192" i="13"/>
  <c r="BG192" i="13"/>
  <c r="BF192" i="13"/>
  <c r="BC192" i="13"/>
  <c r="BB192" i="13"/>
  <c r="BA192" i="13"/>
  <c r="AZ192" i="13"/>
  <c r="AY192" i="13"/>
  <c r="AX192" i="13"/>
  <c r="AU192" i="13"/>
  <c r="AT192" i="13"/>
  <c r="AS192" i="13"/>
  <c r="AR192" i="13"/>
  <c r="AQ192" i="13"/>
  <c r="AP192" i="13"/>
  <c r="AO192" i="13"/>
  <c r="AN192" i="13"/>
  <c r="AM192" i="13"/>
  <c r="AL192" i="13"/>
  <c r="AK192" i="13"/>
  <c r="AI192" i="13"/>
  <c r="AG192" i="13"/>
  <c r="AF192" i="13"/>
  <c r="AE192" i="13"/>
  <c r="AD192" i="13"/>
  <c r="AC192" i="13"/>
  <c r="AB192" i="13"/>
  <c r="AA192" i="13"/>
  <c r="Z192" i="13"/>
  <c r="Y192" i="13"/>
  <c r="X192" i="13"/>
  <c r="W192" i="13"/>
  <c r="P192" i="13"/>
  <c r="O192" i="13"/>
  <c r="M192" i="13"/>
  <c r="J192" i="13" s="1"/>
  <c r="L192" i="13"/>
  <c r="K192" i="13"/>
  <c r="DL191" i="13"/>
  <c r="DK191" i="13"/>
  <c r="DJ191" i="13"/>
  <c r="DI191" i="13"/>
  <c r="DH191" i="13"/>
  <c r="DG191" i="13"/>
  <c r="DF191" i="13"/>
  <c r="DE191" i="13"/>
  <c r="DD191" i="13"/>
  <c r="DC191" i="13"/>
  <c r="DB191" i="13"/>
  <c r="DA191" i="13"/>
  <c r="CZ191" i="13"/>
  <c r="CY191" i="13"/>
  <c r="CX191" i="13"/>
  <c r="CW191" i="13"/>
  <c r="CV191" i="13"/>
  <c r="CU191" i="13"/>
  <c r="CT191" i="13"/>
  <c r="CS191" i="13"/>
  <c r="CR191" i="13"/>
  <c r="CQ191" i="13"/>
  <c r="CP191" i="13"/>
  <c r="CO191" i="13"/>
  <c r="CN191" i="13"/>
  <c r="CM191" i="13"/>
  <c r="CL191" i="13"/>
  <c r="CK191" i="13"/>
  <c r="CJ191" i="13"/>
  <c r="CI191" i="13"/>
  <c r="CH191" i="13"/>
  <c r="CG191" i="13"/>
  <c r="CF191" i="13"/>
  <c r="CE191" i="13"/>
  <c r="CD191" i="13"/>
  <c r="CC191" i="13"/>
  <c r="CB191" i="13"/>
  <c r="CA191" i="13"/>
  <c r="BZ191" i="13"/>
  <c r="BY191" i="13"/>
  <c r="BX191" i="13"/>
  <c r="BW191" i="13"/>
  <c r="BV191" i="13"/>
  <c r="BU191" i="13"/>
  <c r="BT191" i="13"/>
  <c r="BS191" i="13"/>
  <c r="BR191" i="13"/>
  <c r="BQ191" i="13"/>
  <c r="BP191" i="13"/>
  <c r="BO191" i="13"/>
  <c r="BM191" i="13"/>
  <c r="BL191" i="13"/>
  <c r="BI191" i="13"/>
  <c r="BH191" i="13"/>
  <c r="BE191" i="13"/>
  <c r="BD191" i="13"/>
  <c r="BC191" i="13"/>
  <c r="BB191" i="13"/>
  <c r="AY191" i="13"/>
  <c r="AX191" i="13"/>
  <c r="AU191" i="13"/>
  <c r="AS191" i="13"/>
  <c r="AR191" i="13"/>
  <c r="AP191" i="13"/>
  <c r="AO191" i="13"/>
  <c r="AN191" i="13"/>
  <c r="AM191" i="13"/>
  <c r="AL191" i="13"/>
  <c r="AK191" i="13"/>
  <c r="AI191" i="13"/>
  <c r="AG191" i="13"/>
  <c r="AF191" i="13"/>
  <c r="AE191" i="13"/>
  <c r="AD191" i="13"/>
  <c r="AC191" i="13"/>
  <c r="AB191" i="13"/>
  <c r="AA191" i="13"/>
  <c r="Z191" i="13"/>
  <c r="Y191" i="13"/>
  <c r="X191" i="13"/>
  <c r="W191" i="13"/>
  <c r="P191" i="13"/>
  <c r="O191" i="13"/>
  <c r="M191" i="13"/>
  <c r="J191" i="13" s="1"/>
  <c r="L191" i="13"/>
  <c r="K191" i="13"/>
  <c r="DL190" i="13"/>
  <c r="DK190" i="13"/>
  <c r="DJ190" i="13"/>
  <c r="DI190" i="13"/>
  <c r="DH190" i="13"/>
  <c r="DG190" i="13"/>
  <c r="DF190" i="13"/>
  <c r="DE190" i="13"/>
  <c r="DD190" i="13"/>
  <c r="DC190" i="13"/>
  <c r="DB190" i="13"/>
  <c r="DA190" i="13"/>
  <c r="CZ190" i="13"/>
  <c r="CY190" i="13"/>
  <c r="CX190" i="13"/>
  <c r="CW190" i="13"/>
  <c r="CV190" i="13"/>
  <c r="CU190" i="13"/>
  <c r="CT190" i="13"/>
  <c r="CS190" i="13"/>
  <c r="CR190" i="13"/>
  <c r="CQ190" i="13"/>
  <c r="CP190" i="13"/>
  <c r="CO190" i="13"/>
  <c r="CN190" i="13"/>
  <c r="CM190" i="13"/>
  <c r="CL190" i="13"/>
  <c r="CK190" i="13"/>
  <c r="CJ190" i="13"/>
  <c r="CI190" i="13"/>
  <c r="CH190" i="13"/>
  <c r="CG190" i="13"/>
  <c r="CF190" i="13"/>
  <c r="CE190" i="13"/>
  <c r="CD190" i="13"/>
  <c r="CC190" i="13"/>
  <c r="CB190" i="13"/>
  <c r="CA190" i="13"/>
  <c r="BZ190" i="13"/>
  <c r="BY190" i="13"/>
  <c r="BX190" i="13"/>
  <c r="BW190" i="13"/>
  <c r="BV190" i="13"/>
  <c r="BU190" i="13"/>
  <c r="BT190" i="13"/>
  <c r="BS190" i="13"/>
  <c r="BR190" i="13"/>
  <c r="BQ190" i="13"/>
  <c r="BP190" i="13"/>
  <c r="BO190" i="13"/>
  <c r="BM190" i="13"/>
  <c r="BL190" i="13"/>
  <c r="BG190" i="13"/>
  <c r="BF190" i="13"/>
  <c r="BE190" i="13"/>
  <c r="BD190" i="13"/>
  <c r="BA190" i="13"/>
  <c r="AZ190" i="13"/>
  <c r="AY190" i="13"/>
  <c r="AX190" i="13"/>
  <c r="AU190" i="13"/>
  <c r="AQ190" i="13"/>
  <c r="AP190" i="13"/>
  <c r="AO190" i="13"/>
  <c r="AN190" i="13"/>
  <c r="AM190" i="13"/>
  <c r="AL190" i="13"/>
  <c r="AK190" i="13"/>
  <c r="AI190" i="13"/>
  <c r="AG190" i="13"/>
  <c r="AF190" i="13"/>
  <c r="AE190" i="13"/>
  <c r="AD190" i="13"/>
  <c r="AC190" i="13"/>
  <c r="AB190" i="13"/>
  <c r="AA190" i="13"/>
  <c r="Z190" i="13"/>
  <c r="Y190" i="13"/>
  <c r="X190" i="13"/>
  <c r="W190" i="13"/>
  <c r="P190" i="13"/>
  <c r="O190" i="13"/>
  <c r="M190" i="13"/>
  <c r="J190" i="13" s="1"/>
  <c r="L190" i="13"/>
  <c r="K190" i="13"/>
  <c r="DL189" i="13"/>
  <c r="DK189" i="13"/>
  <c r="DJ189" i="13"/>
  <c r="DI189" i="13"/>
  <c r="DH189" i="13"/>
  <c r="DG189" i="13"/>
  <c r="DF189" i="13"/>
  <c r="DE189" i="13"/>
  <c r="DD189" i="13"/>
  <c r="DC189" i="13"/>
  <c r="DB189" i="13"/>
  <c r="DA189" i="13"/>
  <c r="CZ189" i="13"/>
  <c r="CY189" i="13"/>
  <c r="CX189" i="13"/>
  <c r="CW189" i="13"/>
  <c r="CV189" i="13"/>
  <c r="CU189" i="13"/>
  <c r="CT189" i="13"/>
  <c r="CS189" i="13"/>
  <c r="CR189" i="13"/>
  <c r="CQ189" i="13"/>
  <c r="CP189" i="13"/>
  <c r="CO189" i="13"/>
  <c r="CN189" i="13"/>
  <c r="CM189" i="13"/>
  <c r="CL189" i="13"/>
  <c r="CK189" i="13"/>
  <c r="CJ189" i="13"/>
  <c r="CI189" i="13"/>
  <c r="CH189" i="13"/>
  <c r="CG189" i="13"/>
  <c r="CF189" i="13"/>
  <c r="CE189" i="13"/>
  <c r="CD189" i="13"/>
  <c r="CC189" i="13"/>
  <c r="CB189" i="13"/>
  <c r="CA189" i="13"/>
  <c r="BZ189" i="13"/>
  <c r="BY189" i="13"/>
  <c r="BX189" i="13"/>
  <c r="BW189" i="13"/>
  <c r="BV189" i="13"/>
  <c r="BU189" i="13"/>
  <c r="BT189" i="13"/>
  <c r="BS189" i="13"/>
  <c r="BR189" i="13"/>
  <c r="BQ189" i="13"/>
  <c r="BP189" i="13"/>
  <c r="BO189" i="13"/>
  <c r="BM189" i="13"/>
  <c r="BL189" i="13"/>
  <c r="BG189" i="13"/>
  <c r="BF189" i="13"/>
  <c r="BE189" i="13"/>
  <c r="BD189" i="13"/>
  <c r="BC189" i="13"/>
  <c r="BB189" i="13"/>
  <c r="BA189" i="13"/>
  <c r="AZ189" i="13"/>
  <c r="AY189" i="13"/>
  <c r="AX189" i="13"/>
  <c r="AW189" i="13"/>
  <c r="AV189" i="13"/>
  <c r="AP189" i="13"/>
  <c r="AO189" i="13"/>
  <c r="AN189" i="13"/>
  <c r="AM189" i="13"/>
  <c r="AI189" i="13"/>
  <c r="AG189" i="13"/>
  <c r="AF189" i="13"/>
  <c r="AE189" i="13"/>
  <c r="AD189" i="13"/>
  <c r="AC189" i="13"/>
  <c r="AB189" i="13"/>
  <c r="AA189" i="13"/>
  <c r="Z189" i="13"/>
  <c r="Y189" i="13"/>
  <c r="X189" i="13"/>
  <c r="W189" i="13"/>
  <c r="P189" i="13"/>
  <c r="O189" i="13"/>
  <c r="M189" i="13"/>
  <c r="J189" i="13" s="1"/>
  <c r="L189" i="13"/>
  <c r="K189" i="13"/>
  <c r="DL188" i="13"/>
  <c r="DK188" i="13"/>
  <c r="DJ188" i="13"/>
  <c r="DI188" i="13"/>
  <c r="DH188" i="13"/>
  <c r="DG188" i="13"/>
  <c r="DF188" i="13"/>
  <c r="DE188" i="13"/>
  <c r="DD188" i="13"/>
  <c r="DC188" i="13"/>
  <c r="DB188" i="13"/>
  <c r="DA188" i="13"/>
  <c r="CZ188" i="13"/>
  <c r="CY188" i="13"/>
  <c r="CX188" i="13"/>
  <c r="CW188" i="13"/>
  <c r="CV188" i="13"/>
  <c r="CU188" i="13"/>
  <c r="CT188" i="13"/>
  <c r="CS188" i="13"/>
  <c r="CR188" i="13"/>
  <c r="CQ188" i="13"/>
  <c r="CP188" i="13"/>
  <c r="CO188" i="13"/>
  <c r="CN188" i="13"/>
  <c r="CM188" i="13"/>
  <c r="CL188" i="13"/>
  <c r="CK188" i="13"/>
  <c r="CJ188" i="13"/>
  <c r="CI188" i="13"/>
  <c r="CH188" i="13"/>
  <c r="CG188" i="13"/>
  <c r="CF188" i="13"/>
  <c r="CE188" i="13"/>
  <c r="CD188" i="13"/>
  <c r="CC188" i="13"/>
  <c r="CB188" i="13"/>
  <c r="CA188" i="13"/>
  <c r="BZ188" i="13"/>
  <c r="BY188" i="13"/>
  <c r="BX188" i="13"/>
  <c r="BW188" i="13"/>
  <c r="BV188" i="13"/>
  <c r="BU188" i="13"/>
  <c r="BT188" i="13"/>
  <c r="BS188" i="13"/>
  <c r="BR188" i="13"/>
  <c r="BQ188" i="13"/>
  <c r="BP188" i="13"/>
  <c r="BO188" i="13"/>
  <c r="BM188" i="13"/>
  <c r="BL188" i="13"/>
  <c r="BA188" i="13"/>
  <c r="AZ188" i="13"/>
  <c r="AU188" i="13"/>
  <c r="AP188" i="13"/>
  <c r="AO188" i="13"/>
  <c r="AN188" i="13"/>
  <c r="AM188" i="13"/>
  <c r="AL188" i="13"/>
  <c r="AK188" i="13"/>
  <c r="AI188" i="13"/>
  <c r="AG188" i="13"/>
  <c r="AF188" i="13"/>
  <c r="AE188" i="13"/>
  <c r="AD188" i="13"/>
  <c r="AC188" i="13"/>
  <c r="AB188" i="13"/>
  <c r="AA188" i="13"/>
  <c r="Z188" i="13"/>
  <c r="Y188" i="13"/>
  <c r="X188" i="13"/>
  <c r="W188" i="13"/>
  <c r="P188" i="13"/>
  <c r="O188" i="13"/>
  <c r="M188" i="13"/>
  <c r="J188" i="13" s="1"/>
  <c r="L188" i="13"/>
  <c r="K188" i="13"/>
  <c r="DL187" i="13"/>
  <c r="DK187" i="13"/>
  <c r="DJ187" i="13"/>
  <c r="DI187" i="13"/>
  <c r="DH187" i="13"/>
  <c r="DG187" i="13"/>
  <c r="DF187" i="13"/>
  <c r="DE187" i="13"/>
  <c r="DD187" i="13"/>
  <c r="DC187" i="13"/>
  <c r="DB187" i="13"/>
  <c r="DA187" i="13"/>
  <c r="CZ187" i="13"/>
  <c r="CY187" i="13"/>
  <c r="CX187" i="13"/>
  <c r="CW187" i="13"/>
  <c r="CV187" i="13"/>
  <c r="CU187" i="13"/>
  <c r="CT187" i="13"/>
  <c r="CS187" i="13"/>
  <c r="CR187" i="13"/>
  <c r="CQ187" i="13"/>
  <c r="CP187" i="13"/>
  <c r="CO187" i="13"/>
  <c r="CN187" i="13"/>
  <c r="CM187" i="13"/>
  <c r="CL187" i="13"/>
  <c r="CK187" i="13"/>
  <c r="CJ187" i="13"/>
  <c r="CI187" i="13"/>
  <c r="CH187" i="13"/>
  <c r="CG187" i="13"/>
  <c r="CF187" i="13"/>
  <c r="CE187" i="13"/>
  <c r="CD187" i="13"/>
  <c r="CC187" i="13"/>
  <c r="CB187" i="13"/>
  <c r="CA187" i="13"/>
  <c r="BZ187" i="13"/>
  <c r="BY187" i="13"/>
  <c r="BX187" i="13"/>
  <c r="BW187" i="13"/>
  <c r="BV187" i="13"/>
  <c r="BU187" i="13"/>
  <c r="BT187" i="13"/>
  <c r="BS187" i="13"/>
  <c r="BR187" i="13"/>
  <c r="BQ187" i="13"/>
  <c r="BP187" i="13"/>
  <c r="BO187" i="13"/>
  <c r="BM187" i="13"/>
  <c r="BL187" i="13"/>
  <c r="AY187" i="13"/>
  <c r="AX187" i="13"/>
  <c r="AP187" i="13"/>
  <c r="AO187" i="13"/>
  <c r="AN187" i="13"/>
  <c r="AM187" i="13"/>
  <c r="AI187" i="13"/>
  <c r="AG187" i="13"/>
  <c r="AF187" i="13"/>
  <c r="AE187" i="13"/>
  <c r="AD187" i="13"/>
  <c r="AC187" i="13"/>
  <c r="AB187" i="13"/>
  <c r="AA187" i="13"/>
  <c r="Z187" i="13"/>
  <c r="Y187" i="13"/>
  <c r="X187" i="13"/>
  <c r="W187" i="13"/>
  <c r="P187" i="13"/>
  <c r="O187" i="13"/>
  <c r="M187" i="13"/>
  <c r="J187" i="13" s="1"/>
  <c r="L187" i="13"/>
  <c r="K187" i="13"/>
  <c r="DL186" i="13"/>
  <c r="DK186" i="13"/>
  <c r="DJ186" i="13"/>
  <c r="DI186" i="13"/>
  <c r="DH186" i="13"/>
  <c r="DG186" i="13"/>
  <c r="DF186" i="13"/>
  <c r="DE186" i="13"/>
  <c r="DD186" i="13"/>
  <c r="DC186" i="13"/>
  <c r="DB186" i="13"/>
  <c r="DA186" i="13"/>
  <c r="CZ186" i="13"/>
  <c r="CY186" i="13"/>
  <c r="CX186" i="13"/>
  <c r="CW186" i="13"/>
  <c r="CV186" i="13"/>
  <c r="CU186" i="13"/>
  <c r="CT186" i="13"/>
  <c r="CS186" i="13"/>
  <c r="CR186" i="13"/>
  <c r="CQ186" i="13"/>
  <c r="CP186" i="13"/>
  <c r="CO186" i="13"/>
  <c r="CN186" i="13"/>
  <c r="CM186" i="13"/>
  <c r="CL186" i="13"/>
  <c r="CK186" i="13"/>
  <c r="CJ186" i="13"/>
  <c r="CI186" i="13"/>
  <c r="CH186" i="13"/>
  <c r="CG186" i="13"/>
  <c r="CF186" i="13"/>
  <c r="CE186" i="13"/>
  <c r="CD186" i="13"/>
  <c r="CC186" i="13"/>
  <c r="CB186" i="13"/>
  <c r="CA186" i="13"/>
  <c r="BZ186" i="13"/>
  <c r="BY186" i="13"/>
  <c r="BX186" i="13"/>
  <c r="BW186" i="13"/>
  <c r="BV186" i="13"/>
  <c r="BU186" i="13"/>
  <c r="BT186" i="13"/>
  <c r="BS186" i="13"/>
  <c r="BR186" i="13"/>
  <c r="BQ186" i="13"/>
  <c r="BP186" i="13"/>
  <c r="BO186" i="13"/>
  <c r="BM186" i="13"/>
  <c r="BL186" i="13"/>
  <c r="BI186" i="13"/>
  <c r="BH186" i="13"/>
  <c r="BC186" i="13"/>
  <c r="BB186" i="13"/>
  <c r="BA186" i="13"/>
  <c r="AZ186" i="13"/>
  <c r="AY186" i="13"/>
  <c r="AX186" i="13"/>
  <c r="AU186" i="13"/>
  <c r="AT186" i="13"/>
  <c r="AS186" i="13"/>
  <c r="AR186" i="13"/>
  <c r="AP186" i="13"/>
  <c r="AO186" i="13"/>
  <c r="AN186" i="13"/>
  <c r="AM186" i="13"/>
  <c r="AL186" i="13"/>
  <c r="AK186" i="13"/>
  <c r="AI186" i="13"/>
  <c r="AG186" i="13"/>
  <c r="AF186" i="13"/>
  <c r="AE186" i="13"/>
  <c r="AD186" i="13"/>
  <c r="AC186" i="13"/>
  <c r="AB186" i="13"/>
  <c r="AA186" i="13"/>
  <c r="Z186" i="13"/>
  <c r="Y186" i="13"/>
  <c r="X186" i="13"/>
  <c r="W186" i="13"/>
  <c r="P186" i="13"/>
  <c r="O186" i="13"/>
  <c r="M186" i="13"/>
  <c r="J186" i="13" s="1"/>
  <c r="L186" i="13"/>
  <c r="K186" i="13"/>
  <c r="DL185" i="13"/>
  <c r="DK185" i="13"/>
  <c r="DJ185" i="13"/>
  <c r="DI185" i="13"/>
  <c r="DH185" i="13"/>
  <c r="DG185" i="13"/>
  <c r="DF185" i="13"/>
  <c r="DE185" i="13"/>
  <c r="DD185" i="13"/>
  <c r="DC185" i="13"/>
  <c r="DB185" i="13"/>
  <c r="DA185" i="13"/>
  <c r="CZ185" i="13"/>
  <c r="CY185" i="13"/>
  <c r="CX185" i="13"/>
  <c r="CW185" i="13"/>
  <c r="CV185" i="13"/>
  <c r="CU185" i="13"/>
  <c r="CT185" i="13"/>
  <c r="CS185" i="13"/>
  <c r="CR185" i="13"/>
  <c r="CQ185" i="13"/>
  <c r="CP185" i="13"/>
  <c r="CO185" i="13"/>
  <c r="CN185" i="13"/>
  <c r="CM185" i="13"/>
  <c r="CL185" i="13"/>
  <c r="CK185" i="13"/>
  <c r="CJ185" i="13"/>
  <c r="CI185" i="13"/>
  <c r="CH185" i="13"/>
  <c r="CG185" i="13"/>
  <c r="CF185" i="13"/>
  <c r="CE185" i="13"/>
  <c r="CD185" i="13"/>
  <c r="CC185" i="13"/>
  <c r="CB185" i="13"/>
  <c r="CA185" i="13"/>
  <c r="BZ185" i="13"/>
  <c r="BY185" i="13"/>
  <c r="BX185" i="13"/>
  <c r="BW185" i="13"/>
  <c r="BV185" i="13"/>
  <c r="BU185" i="13"/>
  <c r="BT185" i="13"/>
  <c r="BS185" i="13"/>
  <c r="BR185" i="13"/>
  <c r="BQ185" i="13"/>
  <c r="BP185" i="13"/>
  <c r="BO185" i="13"/>
  <c r="BM185" i="13"/>
  <c r="BL185" i="13"/>
  <c r="BI185" i="13"/>
  <c r="BH185" i="13"/>
  <c r="BG185" i="13"/>
  <c r="BF185" i="13"/>
  <c r="BE185" i="13"/>
  <c r="BD185" i="13"/>
  <c r="BC185" i="13"/>
  <c r="BB185" i="13"/>
  <c r="BA185" i="13"/>
  <c r="AZ185" i="13"/>
  <c r="AY185" i="13"/>
  <c r="AX185" i="13"/>
  <c r="AW185" i="13"/>
  <c r="AV185" i="13"/>
  <c r="AU185" i="13"/>
  <c r="AT185" i="13"/>
  <c r="AS185" i="13"/>
  <c r="AR185" i="13"/>
  <c r="AQ185" i="13"/>
  <c r="AP185" i="13"/>
  <c r="AO185" i="13"/>
  <c r="AN185" i="13"/>
  <c r="AM185" i="13"/>
  <c r="AL185" i="13"/>
  <c r="AK185" i="13"/>
  <c r="AI185" i="13"/>
  <c r="AG185" i="13"/>
  <c r="AF185" i="13"/>
  <c r="AE185" i="13"/>
  <c r="AD185" i="13"/>
  <c r="AC185" i="13"/>
  <c r="AB185" i="13"/>
  <c r="AA185" i="13"/>
  <c r="Z185" i="13"/>
  <c r="Y185" i="13"/>
  <c r="X185" i="13"/>
  <c r="W185" i="13"/>
  <c r="P185" i="13"/>
  <c r="O185" i="13"/>
  <c r="M185" i="13"/>
  <c r="J185" i="13" s="1"/>
  <c r="L185" i="13"/>
  <c r="K185" i="13"/>
  <c r="DL184" i="13"/>
  <c r="DK184" i="13"/>
  <c r="DJ184" i="13"/>
  <c r="DI184" i="13"/>
  <c r="DH184" i="13"/>
  <c r="DG184" i="13"/>
  <c r="DF184" i="13"/>
  <c r="DE184" i="13"/>
  <c r="DD184" i="13"/>
  <c r="DC184" i="13"/>
  <c r="DB184" i="13"/>
  <c r="DA184" i="13"/>
  <c r="CZ184" i="13"/>
  <c r="CY184" i="13"/>
  <c r="CX184" i="13"/>
  <c r="CW184" i="13"/>
  <c r="CV184" i="13"/>
  <c r="CU184" i="13"/>
  <c r="CT184" i="13"/>
  <c r="CS184" i="13"/>
  <c r="CR184" i="13"/>
  <c r="CQ184" i="13"/>
  <c r="CP184" i="13"/>
  <c r="CO184" i="13"/>
  <c r="CN184" i="13"/>
  <c r="CM184" i="13"/>
  <c r="CL184" i="13"/>
  <c r="CK184" i="13"/>
  <c r="CJ184" i="13"/>
  <c r="CI184" i="13"/>
  <c r="CH184" i="13"/>
  <c r="CG184" i="13"/>
  <c r="CF184" i="13"/>
  <c r="CE184" i="13"/>
  <c r="CD184" i="13"/>
  <c r="CC184" i="13"/>
  <c r="CB184" i="13"/>
  <c r="CA184" i="13"/>
  <c r="BZ184" i="13"/>
  <c r="BY184" i="13"/>
  <c r="BX184" i="13"/>
  <c r="BW184" i="13"/>
  <c r="BV184" i="13"/>
  <c r="BU184" i="13"/>
  <c r="BT184" i="13"/>
  <c r="BS184" i="13"/>
  <c r="BR184" i="13"/>
  <c r="BQ184" i="13"/>
  <c r="BP184" i="13"/>
  <c r="BO184" i="13"/>
  <c r="BM184" i="13"/>
  <c r="BL184" i="13"/>
  <c r="BE184" i="13"/>
  <c r="BD184" i="13"/>
  <c r="BA184" i="13"/>
  <c r="AZ184" i="13"/>
  <c r="AP184" i="13"/>
  <c r="AO184" i="13"/>
  <c r="AN184" i="13"/>
  <c r="AM184" i="13"/>
  <c r="AI184" i="13"/>
  <c r="AG184" i="13"/>
  <c r="AF184" i="13"/>
  <c r="AE184" i="13"/>
  <c r="AD184" i="13"/>
  <c r="AC184" i="13"/>
  <c r="P184" i="13"/>
  <c r="O184" i="13"/>
  <c r="M184" i="13"/>
  <c r="J184" i="13" s="1"/>
  <c r="L184" i="13"/>
  <c r="K184" i="13"/>
  <c r="DL183" i="13"/>
  <c r="DK183" i="13"/>
  <c r="DJ183" i="13"/>
  <c r="DI183" i="13"/>
  <c r="DH183" i="13"/>
  <c r="DG183" i="13"/>
  <c r="DF183" i="13"/>
  <c r="DE183" i="13"/>
  <c r="DD183" i="13"/>
  <c r="DC183" i="13"/>
  <c r="DB183" i="13"/>
  <c r="DA183" i="13"/>
  <c r="CZ183" i="13"/>
  <c r="CY183" i="13"/>
  <c r="CX183" i="13"/>
  <c r="CW183" i="13"/>
  <c r="CV183" i="13"/>
  <c r="CU183" i="13"/>
  <c r="CT183" i="13"/>
  <c r="CS183" i="13"/>
  <c r="CR183" i="13"/>
  <c r="CQ183" i="13"/>
  <c r="CP183" i="13"/>
  <c r="CO183" i="13"/>
  <c r="CN183" i="13"/>
  <c r="CM183" i="13"/>
  <c r="CL183" i="13"/>
  <c r="CK183" i="13"/>
  <c r="CJ183" i="13"/>
  <c r="CI183" i="13"/>
  <c r="CH183" i="13"/>
  <c r="CG183" i="13"/>
  <c r="CF183" i="13"/>
  <c r="CE183" i="13"/>
  <c r="CD183" i="13"/>
  <c r="CC183" i="13"/>
  <c r="CB183" i="13"/>
  <c r="CA183" i="13"/>
  <c r="BZ183" i="13"/>
  <c r="BY183" i="13"/>
  <c r="BX183" i="13"/>
  <c r="BW183" i="13"/>
  <c r="BV183" i="13"/>
  <c r="BU183" i="13"/>
  <c r="BT183" i="13"/>
  <c r="BS183" i="13"/>
  <c r="BR183" i="13"/>
  <c r="BQ183" i="13"/>
  <c r="BP183" i="13"/>
  <c r="BO183" i="13"/>
  <c r="BM183" i="13"/>
  <c r="BL183" i="13"/>
  <c r="BG183" i="13"/>
  <c r="BF183" i="13"/>
  <c r="BC183" i="13"/>
  <c r="BB183" i="13"/>
  <c r="AY183" i="13"/>
  <c r="AX183" i="13"/>
  <c r="AP183" i="13"/>
  <c r="AO183" i="13"/>
  <c r="AN183" i="13"/>
  <c r="AM183" i="13"/>
  <c r="AI183" i="13"/>
  <c r="AG183" i="13"/>
  <c r="AF183" i="13"/>
  <c r="AE183" i="13"/>
  <c r="AD183" i="13"/>
  <c r="AC183" i="13"/>
  <c r="AB183" i="13"/>
  <c r="AA183" i="13"/>
  <c r="Z183" i="13"/>
  <c r="Y183" i="13"/>
  <c r="X183" i="13"/>
  <c r="W183" i="13"/>
  <c r="P183" i="13"/>
  <c r="O183" i="13"/>
  <c r="M183" i="13"/>
  <c r="J183" i="13" s="1"/>
  <c r="L183" i="13"/>
  <c r="K183" i="13"/>
  <c r="DL182" i="13"/>
  <c r="DK182" i="13"/>
  <c r="DJ182" i="13"/>
  <c r="DI182" i="13"/>
  <c r="DH182" i="13"/>
  <c r="DG182" i="13"/>
  <c r="DF182" i="13"/>
  <c r="DE182" i="13"/>
  <c r="DD182" i="13"/>
  <c r="DC182" i="13"/>
  <c r="DB182" i="13"/>
  <c r="DA182" i="13"/>
  <c r="CZ182" i="13"/>
  <c r="CY182" i="13"/>
  <c r="CX182" i="13"/>
  <c r="CW182" i="13"/>
  <c r="CV182" i="13"/>
  <c r="CU182" i="13"/>
  <c r="CT182" i="13"/>
  <c r="CS182" i="13"/>
  <c r="CR182" i="13"/>
  <c r="CQ182" i="13"/>
  <c r="CP182" i="13"/>
  <c r="CO182" i="13"/>
  <c r="CN182" i="13"/>
  <c r="CM182" i="13"/>
  <c r="CL182" i="13"/>
  <c r="CK182" i="13"/>
  <c r="CJ182" i="13"/>
  <c r="CI182" i="13"/>
  <c r="CH182" i="13"/>
  <c r="CG182" i="13"/>
  <c r="CF182" i="13"/>
  <c r="CE182" i="13"/>
  <c r="CD182" i="13"/>
  <c r="CC182" i="13"/>
  <c r="CB182" i="13"/>
  <c r="CA182" i="13"/>
  <c r="BZ182" i="13"/>
  <c r="BY182" i="13"/>
  <c r="BX182" i="13"/>
  <c r="BW182" i="13"/>
  <c r="BV182" i="13"/>
  <c r="BU182" i="13"/>
  <c r="BT182" i="13"/>
  <c r="BS182" i="13"/>
  <c r="BR182" i="13"/>
  <c r="BQ182" i="13"/>
  <c r="BP182" i="13"/>
  <c r="BO182" i="13"/>
  <c r="BM182" i="13"/>
  <c r="BL182" i="13"/>
  <c r="BG182" i="13"/>
  <c r="BF182" i="13"/>
  <c r="AU182" i="13"/>
  <c r="AT182" i="13"/>
  <c r="AS182" i="13"/>
  <c r="AR182" i="13"/>
  <c r="AP182" i="13"/>
  <c r="AO182" i="13"/>
  <c r="AN182" i="13"/>
  <c r="AM182" i="13"/>
  <c r="AL182" i="13"/>
  <c r="AK182" i="13"/>
  <c r="AI182" i="13"/>
  <c r="AG182" i="13"/>
  <c r="AF182" i="13"/>
  <c r="AE182" i="13"/>
  <c r="AD182" i="13"/>
  <c r="AC182" i="13"/>
  <c r="AB182" i="13"/>
  <c r="AA182" i="13"/>
  <c r="Z182" i="13"/>
  <c r="Y182" i="13"/>
  <c r="X182" i="13"/>
  <c r="W182" i="13"/>
  <c r="P182" i="13"/>
  <c r="O182" i="13"/>
  <c r="M182" i="13"/>
  <c r="J182" i="13" s="1"/>
  <c r="L182" i="13"/>
  <c r="K182" i="13"/>
  <c r="DL181" i="13"/>
  <c r="DK181" i="13"/>
  <c r="DJ181" i="13"/>
  <c r="DI181" i="13"/>
  <c r="DH181" i="13"/>
  <c r="DG181" i="13"/>
  <c r="DF181" i="13"/>
  <c r="DE181" i="13"/>
  <c r="DD181" i="13"/>
  <c r="DC181" i="13"/>
  <c r="DB181" i="13"/>
  <c r="DA181" i="13"/>
  <c r="CZ181" i="13"/>
  <c r="CY181" i="13"/>
  <c r="CX181" i="13"/>
  <c r="CW181" i="13"/>
  <c r="CV181" i="13"/>
  <c r="CU181" i="13"/>
  <c r="CT181" i="13"/>
  <c r="CS181" i="13"/>
  <c r="CR181" i="13"/>
  <c r="CQ181" i="13"/>
  <c r="CP181" i="13"/>
  <c r="CO181" i="13"/>
  <c r="CN181" i="13"/>
  <c r="CM181" i="13"/>
  <c r="CL181" i="13"/>
  <c r="CK181" i="13"/>
  <c r="CJ181" i="13"/>
  <c r="CI181" i="13"/>
  <c r="CH181" i="13"/>
  <c r="CG181" i="13"/>
  <c r="CF181" i="13"/>
  <c r="CE181" i="13"/>
  <c r="CD181" i="13"/>
  <c r="CC181" i="13"/>
  <c r="CB181" i="13"/>
  <c r="CA181" i="13"/>
  <c r="BZ181" i="13"/>
  <c r="BY181" i="13"/>
  <c r="BX181" i="13"/>
  <c r="BW181" i="13"/>
  <c r="BV181" i="13"/>
  <c r="BU181" i="13"/>
  <c r="BT181" i="13"/>
  <c r="BS181" i="13"/>
  <c r="BR181" i="13"/>
  <c r="BQ181" i="13"/>
  <c r="BP181" i="13"/>
  <c r="BO181" i="13"/>
  <c r="BM181" i="13"/>
  <c r="BL181" i="13"/>
  <c r="BI181" i="13"/>
  <c r="BH181" i="13"/>
  <c r="BG181" i="13"/>
  <c r="BF181" i="13"/>
  <c r="BE181" i="13"/>
  <c r="BD181" i="13"/>
  <c r="BC181" i="13"/>
  <c r="BB181" i="13"/>
  <c r="BA181" i="13"/>
  <c r="AZ181" i="13"/>
  <c r="AY181" i="13"/>
  <c r="AX181" i="13"/>
  <c r="AW181" i="13"/>
  <c r="AV181" i="13"/>
  <c r="AU181" i="13"/>
  <c r="AT181" i="13"/>
  <c r="AS181" i="13"/>
  <c r="AR181" i="13"/>
  <c r="AQ181" i="13"/>
  <c r="AP181" i="13"/>
  <c r="AO181" i="13"/>
  <c r="AN181" i="13"/>
  <c r="AM181" i="13"/>
  <c r="AL181" i="13"/>
  <c r="AK181" i="13"/>
  <c r="AI181" i="13"/>
  <c r="AG181" i="13"/>
  <c r="AF181" i="13"/>
  <c r="AE181" i="13"/>
  <c r="AD181" i="13"/>
  <c r="AC181" i="13"/>
  <c r="AB181" i="13"/>
  <c r="AA181" i="13"/>
  <c r="Z181" i="13"/>
  <c r="Y181" i="13"/>
  <c r="X181" i="13"/>
  <c r="W181" i="13"/>
  <c r="P181" i="13"/>
  <c r="O181" i="13"/>
  <c r="M181" i="13"/>
  <c r="J181" i="13" s="1"/>
  <c r="L181" i="13"/>
  <c r="K181" i="13"/>
  <c r="DL180" i="13"/>
  <c r="DK180" i="13"/>
  <c r="DJ180" i="13"/>
  <c r="DI180" i="13"/>
  <c r="DH180" i="13"/>
  <c r="DG180" i="13"/>
  <c r="DF180" i="13"/>
  <c r="DE180" i="13"/>
  <c r="DD180" i="13"/>
  <c r="DC180" i="13"/>
  <c r="DB180" i="13"/>
  <c r="DA180" i="13"/>
  <c r="CZ180" i="13"/>
  <c r="CY180" i="13"/>
  <c r="CX180" i="13"/>
  <c r="CW180" i="13"/>
  <c r="CV180" i="13"/>
  <c r="CU180" i="13"/>
  <c r="CT180" i="13"/>
  <c r="CS180" i="13"/>
  <c r="CR180" i="13"/>
  <c r="CQ180" i="13"/>
  <c r="CP180" i="13"/>
  <c r="CO180" i="13"/>
  <c r="CN180" i="13"/>
  <c r="CM180" i="13"/>
  <c r="CL180" i="13"/>
  <c r="CK180" i="13"/>
  <c r="CJ180" i="13"/>
  <c r="CI180" i="13"/>
  <c r="CH180" i="13"/>
  <c r="CG180" i="13"/>
  <c r="CF180" i="13"/>
  <c r="CE180" i="13"/>
  <c r="CD180" i="13"/>
  <c r="CC180" i="13"/>
  <c r="CB180" i="13"/>
  <c r="CA180" i="13"/>
  <c r="BZ180" i="13"/>
  <c r="BY180" i="13"/>
  <c r="BX180" i="13"/>
  <c r="BW180" i="13"/>
  <c r="BV180" i="13"/>
  <c r="BU180" i="13"/>
  <c r="BT180" i="13"/>
  <c r="BS180" i="13"/>
  <c r="BR180" i="13"/>
  <c r="BQ180" i="13"/>
  <c r="BP180" i="13"/>
  <c r="BO180" i="13"/>
  <c r="BM180" i="13"/>
  <c r="BL180" i="13"/>
  <c r="BI180" i="13"/>
  <c r="BH180" i="13"/>
  <c r="BG180" i="13"/>
  <c r="BF180" i="13"/>
  <c r="BE180" i="13"/>
  <c r="BD180" i="13"/>
  <c r="BC180" i="13"/>
  <c r="BB180" i="13"/>
  <c r="BA180" i="13"/>
  <c r="AZ180" i="13"/>
  <c r="AW180" i="13"/>
  <c r="AV180" i="13"/>
  <c r="AU180" i="13"/>
  <c r="AT180" i="13"/>
  <c r="AR180" i="13"/>
  <c r="AQ180" i="13"/>
  <c r="AP180" i="13"/>
  <c r="AO180" i="13"/>
  <c r="AN180" i="13"/>
  <c r="AM180" i="13"/>
  <c r="AL180" i="13"/>
  <c r="AK180" i="13"/>
  <c r="AI180" i="13"/>
  <c r="AG180" i="13"/>
  <c r="AF180" i="13"/>
  <c r="AE180" i="13"/>
  <c r="AD180" i="13"/>
  <c r="AC180" i="13"/>
  <c r="AB180" i="13"/>
  <c r="AA180" i="13"/>
  <c r="Z180" i="13"/>
  <c r="Y180" i="13"/>
  <c r="X180" i="13"/>
  <c r="W180" i="13"/>
  <c r="P180" i="13"/>
  <c r="O180" i="13"/>
  <c r="M180" i="13"/>
  <c r="J180" i="13" s="1"/>
  <c r="L180" i="13"/>
  <c r="K180" i="13"/>
  <c r="DL179" i="13"/>
  <c r="DK179" i="13"/>
  <c r="DJ179" i="13"/>
  <c r="DI179" i="13"/>
  <c r="DH179" i="13"/>
  <c r="DG179" i="13"/>
  <c r="DF179" i="13"/>
  <c r="DE179" i="13"/>
  <c r="DD179" i="13"/>
  <c r="DC179" i="13"/>
  <c r="DB179" i="13"/>
  <c r="DA179" i="13"/>
  <c r="CZ179" i="13"/>
  <c r="CY179" i="13"/>
  <c r="CX179" i="13"/>
  <c r="CW179" i="13"/>
  <c r="CV179" i="13"/>
  <c r="CU179" i="13"/>
  <c r="CT179" i="13"/>
  <c r="CS179" i="13"/>
  <c r="CR179" i="13"/>
  <c r="CQ179" i="13"/>
  <c r="CP179" i="13"/>
  <c r="CO179" i="13"/>
  <c r="CN179" i="13"/>
  <c r="CM179" i="13"/>
  <c r="CL179" i="13"/>
  <c r="CK179" i="13"/>
  <c r="CJ179" i="13"/>
  <c r="CI179" i="13"/>
  <c r="CH179" i="13"/>
  <c r="CG179" i="13"/>
  <c r="CF179" i="13"/>
  <c r="CE179" i="13"/>
  <c r="CD179" i="13"/>
  <c r="CC179" i="13"/>
  <c r="CB179" i="13"/>
  <c r="CA179" i="13"/>
  <c r="BZ179" i="13"/>
  <c r="BY179" i="13"/>
  <c r="BX179" i="13"/>
  <c r="BW179" i="13"/>
  <c r="BV179" i="13"/>
  <c r="BU179" i="13"/>
  <c r="BT179" i="13"/>
  <c r="BS179" i="13"/>
  <c r="BR179" i="13"/>
  <c r="BQ179" i="13"/>
  <c r="BP179" i="13"/>
  <c r="BO179" i="13"/>
  <c r="BM179" i="13"/>
  <c r="BL179" i="13"/>
  <c r="BI179" i="13"/>
  <c r="BH179" i="13"/>
  <c r="BG179" i="13"/>
  <c r="BF179" i="13"/>
  <c r="BA179" i="13"/>
  <c r="AZ179" i="13"/>
  <c r="AY179" i="13"/>
  <c r="AX179" i="13"/>
  <c r="AW179" i="13"/>
  <c r="AV179" i="13"/>
  <c r="AU179" i="13"/>
  <c r="AT179" i="13"/>
  <c r="AS179" i="13"/>
  <c r="AQ179" i="13"/>
  <c r="AP179" i="13"/>
  <c r="AO179" i="13"/>
  <c r="AN179" i="13"/>
  <c r="AM179" i="13"/>
  <c r="AL179" i="13"/>
  <c r="AK179" i="13"/>
  <c r="AI179" i="13"/>
  <c r="AG179" i="13"/>
  <c r="AF179" i="13"/>
  <c r="AE179" i="13"/>
  <c r="AD179" i="13"/>
  <c r="AC179" i="13"/>
  <c r="AB179" i="13"/>
  <c r="AA179" i="13"/>
  <c r="Z179" i="13"/>
  <c r="Y179" i="13"/>
  <c r="X179" i="13"/>
  <c r="W179" i="13"/>
  <c r="P179" i="13"/>
  <c r="O179" i="13"/>
  <c r="M179" i="13"/>
  <c r="J179" i="13" s="1"/>
  <c r="L179" i="13"/>
  <c r="K179" i="13"/>
  <c r="DL178" i="13"/>
  <c r="DK178" i="13"/>
  <c r="DJ178" i="13"/>
  <c r="DI178" i="13"/>
  <c r="DH178" i="13"/>
  <c r="DG178" i="13"/>
  <c r="DF178" i="13"/>
  <c r="DE178" i="13"/>
  <c r="DD178" i="13"/>
  <c r="DC178" i="13"/>
  <c r="DB178" i="13"/>
  <c r="DA178" i="13"/>
  <c r="CZ178" i="13"/>
  <c r="CY178" i="13"/>
  <c r="CX178" i="13"/>
  <c r="CW178" i="13"/>
  <c r="CV178" i="13"/>
  <c r="CU178" i="13"/>
  <c r="CT178" i="13"/>
  <c r="CS178" i="13"/>
  <c r="CR178" i="13"/>
  <c r="CQ178" i="13"/>
  <c r="CP178" i="13"/>
  <c r="CO178" i="13"/>
  <c r="CN178" i="13"/>
  <c r="CM178" i="13"/>
  <c r="CL178" i="13"/>
  <c r="CK178" i="13"/>
  <c r="CJ178" i="13"/>
  <c r="CI178" i="13"/>
  <c r="CH178" i="13"/>
  <c r="CG178" i="13"/>
  <c r="CF178" i="13"/>
  <c r="CE178" i="13"/>
  <c r="CD178" i="13"/>
  <c r="CC178" i="13"/>
  <c r="CB178" i="13"/>
  <c r="CA178" i="13"/>
  <c r="BZ178" i="13"/>
  <c r="BY178" i="13"/>
  <c r="BX178" i="13"/>
  <c r="BW178" i="13"/>
  <c r="BV178" i="13"/>
  <c r="BU178" i="13"/>
  <c r="BT178" i="13"/>
  <c r="BS178" i="13"/>
  <c r="BR178" i="13"/>
  <c r="BQ178" i="13"/>
  <c r="BP178" i="13"/>
  <c r="BO178" i="13"/>
  <c r="BM178" i="13"/>
  <c r="BL178" i="13"/>
  <c r="BG178" i="13"/>
  <c r="BF178" i="13"/>
  <c r="BC178" i="13"/>
  <c r="BB178" i="13"/>
  <c r="BA178" i="13"/>
  <c r="AZ178" i="13"/>
  <c r="AY178" i="13"/>
  <c r="AX178" i="13"/>
  <c r="AW178" i="13"/>
  <c r="AV178" i="13"/>
  <c r="AU178" i="13"/>
  <c r="AT178" i="13"/>
  <c r="AR178" i="13"/>
  <c r="AQ178" i="13"/>
  <c r="AP178" i="13"/>
  <c r="AO178" i="13"/>
  <c r="AN178" i="13"/>
  <c r="AM178" i="13"/>
  <c r="AL178" i="13"/>
  <c r="AK178" i="13"/>
  <c r="AI178" i="13"/>
  <c r="AG178" i="13"/>
  <c r="AF178" i="13"/>
  <c r="AE178" i="13"/>
  <c r="AD178" i="13"/>
  <c r="AC178" i="13"/>
  <c r="AB178" i="13"/>
  <c r="AA178" i="13"/>
  <c r="Z178" i="13"/>
  <c r="Y178" i="13"/>
  <c r="X178" i="13"/>
  <c r="W178" i="13"/>
  <c r="P178" i="13"/>
  <c r="O178" i="13"/>
  <c r="M178" i="13"/>
  <c r="J178" i="13" s="1"/>
  <c r="L178" i="13"/>
  <c r="K178" i="13"/>
  <c r="DL177" i="13"/>
  <c r="DK177" i="13"/>
  <c r="DJ177" i="13"/>
  <c r="DI177" i="13"/>
  <c r="DH177" i="13"/>
  <c r="DG177" i="13"/>
  <c r="DF177" i="13"/>
  <c r="DE177" i="13"/>
  <c r="DD177" i="13"/>
  <c r="DC177" i="13"/>
  <c r="DB177" i="13"/>
  <c r="DA177" i="13"/>
  <c r="CZ177" i="13"/>
  <c r="CY177" i="13"/>
  <c r="CX177" i="13"/>
  <c r="CW177" i="13"/>
  <c r="CV177" i="13"/>
  <c r="CU177" i="13"/>
  <c r="CT177" i="13"/>
  <c r="CS177" i="13"/>
  <c r="CR177" i="13"/>
  <c r="CQ177" i="13"/>
  <c r="CP177" i="13"/>
  <c r="CO177" i="13"/>
  <c r="CN177" i="13"/>
  <c r="CM177" i="13"/>
  <c r="CL177" i="13"/>
  <c r="CK177" i="13"/>
  <c r="CJ177" i="13"/>
  <c r="CI177" i="13"/>
  <c r="CH177" i="13"/>
  <c r="CG177" i="13"/>
  <c r="CF177" i="13"/>
  <c r="CE177" i="13"/>
  <c r="CD177" i="13"/>
  <c r="CC177" i="13"/>
  <c r="CB177" i="13"/>
  <c r="CA177" i="13"/>
  <c r="BZ177" i="13"/>
  <c r="BY177" i="13"/>
  <c r="BX177" i="13"/>
  <c r="BW177" i="13"/>
  <c r="BV177" i="13"/>
  <c r="BU177" i="13"/>
  <c r="BT177" i="13"/>
  <c r="BS177" i="13"/>
  <c r="BR177" i="13"/>
  <c r="BQ177" i="13"/>
  <c r="BP177" i="13"/>
  <c r="BO177" i="13"/>
  <c r="BM177" i="13"/>
  <c r="BL177" i="13"/>
  <c r="BI177" i="13"/>
  <c r="BH177" i="13"/>
  <c r="BG177" i="13"/>
  <c r="BF177" i="13"/>
  <c r="BE177" i="13"/>
  <c r="BD177" i="13"/>
  <c r="BC177" i="13"/>
  <c r="BB177" i="13"/>
  <c r="AW177" i="13"/>
  <c r="AV177" i="13"/>
  <c r="AU177" i="13"/>
  <c r="AR177" i="13"/>
  <c r="AQ177" i="13"/>
  <c r="AP177" i="13"/>
  <c r="AO177" i="13"/>
  <c r="AN177" i="13"/>
  <c r="AM177" i="13"/>
  <c r="AL177" i="13"/>
  <c r="AK177" i="13"/>
  <c r="AI177" i="13"/>
  <c r="AG177" i="13"/>
  <c r="AF177" i="13"/>
  <c r="AE177" i="13"/>
  <c r="AD177" i="13"/>
  <c r="AC177" i="13"/>
  <c r="AB177" i="13"/>
  <c r="AA177" i="13"/>
  <c r="Z177" i="13"/>
  <c r="Y177" i="13"/>
  <c r="X177" i="13"/>
  <c r="W177" i="13"/>
  <c r="P177" i="13"/>
  <c r="O177" i="13"/>
  <c r="M177" i="13"/>
  <c r="J177" i="13" s="1"/>
  <c r="L177" i="13"/>
  <c r="K177" i="13"/>
  <c r="DL176" i="13"/>
  <c r="DK176" i="13"/>
  <c r="DJ176" i="13"/>
  <c r="DI176" i="13"/>
  <c r="DH176" i="13"/>
  <c r="DG176" i="13"/>
  <c r="DF176" i="13"/>
  <c r="DE176" i="13"/>
  <c r="DD176" i="13"/>
  <c r="DC176" i="13"/>
  <c r="DB176" i="13"/>
  <c r="DA176" i="13"/>
  <c r="CZ176" i="13"/>
  <c r="CY176" i="13"/>
  <c r="CX176" i="13"/>
  <c r="CW176" i="13"/>
  <c r="CV176" i="13"/>
  <c r="CU176" i="13"/>
  <c r="CT176" i="13"/>
  <c r="CS176" i="13"/>
  <c r="CR176" i="13"/>
  <c r="CQ176" i="13"/>
  <c r="CP176" i="13"/>
  <c r="CO176" i="13"/>
  <c r="CN176" i="13"/>
  <c r="CM176" i="13"/>
  <c r="CL176" i="13"/>
  <c r="CK176" i="13"/>
  <c r="CJ176" i="13"/>
  <c r="CI176" i="13"/>
  <c r="CH176" i="13"/>
  <c r="CG176" i="13"/>
  <c r="CF176" i="13"/>
  <c r="CE176" i="13"/>
  <c r="CD176" i="13"/>
  <c r="CC176" i="13"/>
  <c r="CB176" i="13"/>
  <c r="CA176" i="13"/>
  <c r="BZ176" i="13"/>
  <c r="BY176" i="13"/>
  <c r="BX176" i="13"/>
  <c r="BW176" i="13"/>
  <c r="BV176" i="13"/>
  <c r="BU176" i="13"/>
  <c r="BT176" i="13"/>
  <c r="BS176" i="13"/>
  <c r="BR176" i="13"/>
  <c r="BQ176" i="13"/>
  <c r="BP176" i="13"/>
  <c r="BO176" i="13"/>
  <c r="BM176" i="13"/>
  <c r="BL176" i="13"/>
  <c r="BI176" i="13"/>
  <c r="BH176" i="13"/>
  <c r="BG176" i="13"/>
  <c r="BF176" i="13"/>
  <c r="BE176" i="13"/>
  <c r="BD176" i="13"/>
  <c r="BC176" i="13"/>
  <c r="BB176" i="13"/>
  <c r="BA176" i="13"/>
  <c r="AZ176" i="13"/>
  <c r="AY176" i="13"/>
  <c r="AX176" i="13"/>
  <c r="AW176" i="13"/>
  <c r="AV176" i="13"/>
  <c r="AU176" i="13"/>
  <c r="AT176" i="13"/>
  <c r="AS176" i="13"/>
  <c r="AR176" i="13"/>
  <c r="AP176" i="13"/>
  <c r="AO176" i="13"/>
  <c r="AN176" i="13"/>
  <c r="AM176" i="13"/>
  <c r="AL176" i="13"/>
  <c r="AK176" i="13"/>
  <c r="AI176" i="13"/>
  <c r="AG176" i="13"/>
  <c r="AF176" i="13"/>
  <c r="AE176" i="13"/>
  <c r="AD176" i="13"/>
  <c r="AC176" i="13"/>
  <c r="AB176" i="13"/>
  <c r="AA176" i="13"/>
  <c r="Z176" i="13"/>
  <c r="Y176" i="13"/>
  <c r="X176" i="13"/>
  <c r="W176" i="13"/>
  <c r="P176" i="13"/>
  <c r="O176" i="13"/>
  <c r="M176" i="13"/>
  <c r="J176" i="13" s="1"/>
  <c r="L176" i="13"/>
  <c r="K176" i="13"/>
  <c r="DL175" i="13"/>
  <c r="DK175" i="13"/>
  <c r="DJ175" i="13"/>
  <c r="DI175" i="13"/>
  <c r="DH175" i="13"/>
  <c r="DG175" i="13"/>
  <c r="DF175" i="13"/>
  <c r="DE175" i="13"/>
  <c r="DD175" i="13"/>
  <c r="DC175" i="13"/>
  <c r="DB175" i="13"/>
  <c r="DA175" i="13"/>
  <c r="CZ175" i="13"/>
  <c r="CY175" i="13"/>
  <c r="CX175" i="13"/>
  <c r="CW175" i="13"/>
  <c r="CV175" i="13"/>
  <c r="CU175" i="13"/>
  <c r="CT175" i="13"/>
  <c r="CS175" i="13"/>
  <c r="CR175" i="13"/>
  <c r="CQ175" i="13"/>
  <c r="CP175" i="13"/>
  <c r="CO175" i="13"/>
  <c r="CN175" i="13"/>
  <c r="CM175" i="13"/>
  <c r="CL175" i="13"/>
  <c r="CK175" i="13"/>
  <c r="CJ175" i="13"/>
  <c r="CI175" i="13"/>
  <c r="CH175" i="13"/>
  <c r="CG175" i="13"/>
  <c r="CF175" i="13"/>
  <c r="CE175" i="13"/>
  <c r="CD175" i="13"/>
  <c r="CC175" i="13"/>
  <c r="CB175" i="13"/>
  <c r="CA175" i="13"/>
  <c r="BZ175" i="13"/>
  <c r="BY175" i="13"/>
  <c r="BX175" i="13"/>
  <c r="BW175" i="13"/>
  <c r="BV175" i="13"/>
  <c r="BU175" i="13"/>
  <c r="BT175" i="13"/>
  <c r="BS175" i="13"/>
  <c r="BR175" i="13"/>
  <c r="BQ175" i="13"/>
  <c r="BP175" i="13"/>
  <c r="BO175" i="13"/>
  <c r="BM175" i="13"/>
  <c r="BL175" i="13"/>
  <c r="BE175" i="13"/>
  <c r="BD175" i="13"/>
  <c r="AY175" i="13"/>
  <c r="AX175" i="13"/>
  <c r="AW175" i="13"/>
  <c r="AV175" i="13"/>
  <c r="AU175" i="13"/>
  <c r="AT175" i="13"/>
  <c r="AS175" i="13"/>
  <c r="AP175" i="13"/>
  <c r="AO175" i="13"/>
  <c r="AN175" i="13"/>
  <c r="AM175" i="13"/>
  <c r="AL175" i="13"/>
  <c r="AK175" i="13"/>
  <c r="AI175" i="13"/>
  <c r="AG175" i="13"/>
  <c r="AF175" i="13"/>
  <c r="AE175" i="13"/>
  <c r="AD175" i="13"/>
  <c r="AC175" i="13"/>
  <c r="AB175" i="13"/>
  <c r="AA175" i="13"/>
  <c r="Z175" i="13"/>
  <c r="Y175" i="13"/>
  <c r="X175" i="13"/>
  <c r="W175" i="13"/>
  <c r="P175" i="13"/>
  <c r="O175" i="13"/>
  <c r="M175" i="13"/>
  <c r="J175" i="13" s="1"/>
  <c r="L175" i="13"/>
  <c r="K175" i="13"/>
  <c r="DL174" i="13"/>
  <c r="DK174" i="13"/>
  <c r="DJ174" i="13"/>
  <c r="DI174" i="13"/>
  <c r="DH174" i="13"/>
  <c r="DG174" i="13"/>
  <c r="DF174" i="13"/>
  <c r="DE174" i="13"/>
  <c r="DD174" i="13"/>
  <c r="DC174" i="13"/>
  <c r="DB174" i="13"/>
  <c r="DA174" i="13"/>
  <c r="CZ174" i="13"/>
  <c r="CY174" i="13"/>
  <c r="CX174" i="13"/>
  <c r="CW174" i="13"/>
  <c r="CV174" i="13"/>
  <c r="CU174" i="13"/>
  <c r="CT174" i="13"/>
  <c r="CS174" i="13"/>
  <c r="CR174" i="13"/>
  <c r="CQ174" i="13"/>
  <c r="CP174" i="13"/>
  <c r="CO174" i="13"/>
  <c r="CN174" i="13"/>
  <c r="CM174" i="13"/>
  <c r="CL174" i="13"/>
  <c r="CK174" i="13"/>
  <c r="CJ174" i="13"/>
  <c r="CI174" i="13"/>
  <c r="CH174" i="13"/>
  <c r="CG174" i="13"/>
  <c r="CF174" i="13"/>
  <c r="CE174" i="13"/>
  <c r="CD174" i="13"/>
  <c r="CC174" i="13"/>
  <c r="CB174" i="13"/>
  <c r="CA174" i="13"/>
  <c r="BZ174" i="13"/>
  <c r="BY174" i="13"/>
  <c r="BX174" i="13"/>
  <c r="BW174" i="13"/>
  <c r="BV174" i="13"/>
  <c r="BU174" i="13"/>
  <c r="BT174" i="13"/>
  <c r="BS174" i="13"/>
  <c r="BR174" i="13"/>
  <c r="BQ174" i="13"/>
  <c r="BP174" i="13"/>
  <c r="BO174" i="13"/>
  <c r="BM174" i="13"/>
  <c r="BL174" i="13"/>
  <c r="AU174" i="13"/>
  <c r="AT174" i="13"/>
  <c r="AQ174" i="13"/>
  <c r="AP174" i="13"/>
  <c r="AO174" i="13"/>
  <c r="AN174" i="13"/>
  <c r="AM174" i="13"/>
  <c r="AL174" i="13"/>
  <c r="AK174" i="13"/>
  <c r="AI174" i="13"/>
  <c r="AG174" i="13"/>
  <c r="AF174" i="13"/>
  <c r="AE174" i="13"/>
  <c r="AD174" i="13"/>
  <c r="AC174" i="13"/>
  <c r="AB174" i="13"/>
  <c r="AA174" i="13"/>
  <c r="Z174" i="13"/>
  <c r="Y174" i="13"/>
  <c r="X174" i="13"/>
  <c r="W174" i="13"/>
  <c r="P174" i="13"/>
  <c r="O174" i="13"/>
  <c r="M174" i="13"/>
  <c r="J174" i="13" s="1"/>
  <c r="L174" i="13"/>
  <c r="K174" i="13"/>
  <c r="DL173" i="13"/>
  <c r="DK173" i="13"/>
  <c r="DJ173" i="13"/>
  <c r="DI173" i="13"/>
  <c r="DH173" i="13"/>
  <c r="DG173" i="13"/>
  <c r="DF173" i="13"/>
  <c r="DE173" i="13"/>
  <c r="DD173" i="13"/>
  <c r="DC173" i="13"/>
  <c r="DB173" i="13"/>
  <c r="DA173" i="13"/>
  <c r="CZ173" i="13"/>
  <c r="CY173" i="13"/>
  <c r="CX173" i="13"/>
  <c r="CW173" i="13"/>
  <c r="CV173" i="13"/>
  <c r="CU173" i="13"/>
  <c r="CT173" i="13"/>
  <c r="CS173" i="13"/>
  <c r="CR173" i="13"/>
  <c r="CQ173" i="13"/>
  <c r="CP173" i="13"/>
  <c r="CO173" i="13"/>
  <c r="CN173" i="13"/>
  <c r="CM173" i="13"/>
  <c r="CL173" i="13"/>
  <c r="CK173" i="13"/>
  <c r="CJ173" i="13"/>
  <c r="CI173" i="13"/>
  <c r="CH173" i="13"/>
  <c r="CG173" i="13"/>
  <c r="CF173" i="13"/>
  <c r="CE173" i="13"/>
  <c r="CD173" i="13"/>
  <c r="CC173" i="13"/>
  <c r="CB173" i="13"/>
  <c r="CA173" i="13"/>
  <c r="BZ173" i="13"/>
  <c r="BY173" i="13"/>
  <c r="BX173" i="13"/>
  <c r="BW173" i="13"/>
  <c r="BV173" i="13"/>
  <c r="BU173" i="13"/>
  <c r="BT173" i="13"/>
  <c r="BS173" i="13"/>
  <c r="BR173" i="13"/>
  <c r="BQ173" i="13"/>
  <c r="BP173" i="13"/>
  <c r="BO173" i="13"/>
  <c r="BM173" i="13"/>
  <c r="BL173" i="13"/>
  <c r="AP173" i="13"/>
  <c r="AO173" i="13"/>
  <c r="AN173" i="13"/>
  <c r="AM173" i="13"/>
  <c r="AI173" i="13"/>
  <c r="AG173" i="13"/>
  <c r="AF173" i="13"/>
  <c r="AE173" i="13"/>
  <c r="AD173" i="13"/>
  <c r="AC173" i="13"/>
  <c r="AB173" i="13"/>
  <c r="AA173" i="13"/>
  <c r="Z173" i="13"/>
  <c r="Y173" i="13"/>
  <c r="X173" i="13"/>
  <c r="W173" i="13"/>
  <c r="P173" i="13"/>
  <c r="O173" i="13"/>
  <c r="M173" i="13"/>
  <c r="J173" i="13" s="1"/>
  <c r="L173" i="13"/>
  <c r="K173" i="13"/>
  <c r="DL172" i="13"/>
  <c r="DK172" i="13"/>
  <c r="DJ172" i="13"/>
  <c r="DI172" i="13"/>
  <c r="DH172" i="13"/>
  <c r="DG172" i="13"/>
  <c r="DF172" i="13"/>
  <c r="DE172" i="13"/>
  <c r="DD172" i="13"/>
  <c r="DC172" i="13"/>
  <c r="DB172" i="13"/>
  <c r="DA172" i="13"/>
  <c r="CZ172" i="13"/>
  <c r="CY172" i="13"/>
  <c r="CX172" i="13"/>
  <c r="CW172" i="13"/>
  <c r="CV172" i="13"/>
  <c r="CU172" i="13"/>
  <c r="CT172" i="13"/>
  <c r="CS172" i="13"/>
  <c r="CR172" i="13"/>
  <c r="CQ172" i="13"/>
  <c r="CP172" i="13"/>
  <c r="CO172" i="13"/>
  <c r="CN172" i="13"/>
  <c r="CM172" i="13"/>
  <c r="CL172" i="13"/>
  <c r="CK172" i="13"/>
  <c r="CJ172" i="13"/>
  <c r="CI172" i="13"/>
  <c r="CH172" i="13"/>
  <c r="CG172" i="13"/>
  <c r="CF172" i="13"/>
  <c r="CE172" i="13"/>
  <c r="CD172" i="13"/>
  <c r="CC172" i="13"/>
  <c r="CB172" i="13"/>
  <c r="CA172" i="13"/>
  <c r="BZ172" i="13"/>
  <c r="BY172" i="13"/>
  <c r="BX172" i="13"/>
  <c r="BW172" i="13"/>
  <c r="BV172" i="13"/>
  <c r="BU172" i="13"/>
  <c r="BT172" i="13"/>
  <c r="BS172" i="13"/>
  <c r="BR172" i="13"/>
  <c r="BQ172" i="13"/>
  <c r="BP172" i="13"/>
  <c r="BO172" i="13"/>
  <c r="BM172" i="13"/>
  <c r="BL172" i="13"/>
  <c r="BG172" i="13"/>
  <c r="BF172" i="13"/>
  <c r="BE172" i="13"/>
  <c r="BD172" i="13"/>
  <c r="BA172" i="13"/>
  <c r="AZ172" i="13"/>
  <c r="AY172" i="13"/>
  <c r="AX172" i="13"/>
  <c r="AW172" i="13"/>
  <c r="AV172" i="13"/>
  <c r="AU172" i="13"/>
  <c r="AP172" i="13"/>
  <c r="AO172" i="13"/>
  <c r="AN172" i="13"/>
  <c r="AM172" i="13"/>
  <c r="AL172" i="13"/>
  <c r="AK172" i="13"/>
  <c r="AI172" i="13"/>
  <c r="AG172" i="13"/>
  <c r="AF172" i="13"/>
  <c r="AE172" i="13"/>
  <c r="AD172" i="13"/>
  <c r="AC172" i="13"/>
  <c r="AB172" i="13"/>
  <c r="AA172" i="13"/>
  <c r="Z172" i="13"/>
  <c r="Y172" i="13"/>
  <c r="X172" i="13"/>
  <c r="W172" i="13"/>
  <c r="P172" i="13"/>
  <c r="O172" i="13"/>
  <c r="M172" i="13"/>
  <c r="J172" i="13" s="1"/>
  <c r="L172" i="13"/>
  <c r="K172" i="13"/>
  <c r="DL171" i="13"/>
  <c r="DK171" i="13"/>
  <c r="DJ171" i="13"/>
  <c r="DI171" i="13"/>
  <c r="DH171" i="13"/>
  <c r="DG171" i="13"/>
  <c r="DF171" i="13"/>
  <c r="DE171" i="13"/>
  <c r="DD171" i="13"/>
  <c r="DC171" i="13"/>
  <c r="DB171" i="13"/>
  <c r="DA171" i="13"/>
  <c r="CZ171" i="13"/>
  <c r="CY171" i="13"/>
  <c r="CX171" i="13"/>
  <c r="CW171" i="13"/>
  <c r="CV171" i="13"/>
  <c r="CU171" i="13"/>
  <c r="CT171" i="13"/>
  <c r="CS171" i="13"/>
  <c r="CR171" i="13"/>
  <c r="CQ171" i="13"/>
  <c r="CP171" i="13"/>
  <c r="CO171" i="13"/>
  <c r="CN171" i="13"/>
  <c r="CM171" i="13"/>
  <c r="CL171" i="13"/>
  <c r="CK171" i="13"/>
  <c r="CJ171" i="13"/>
  <c r="CI171" i="13"/>
  <c r="CH171" i="13"/>
  <c r="CG171" i="13"/>
  <c r="CF171" i="13"/>
  <c r="CE171" i="13"/>
  <c r="CD171" i="13"/>
  <c r="CC171" i="13"/>
  <c r="CB171" i="13"/>
  <c r="CA171" i="13"/>
  <c r="BZ171" i="13"/>
  <c r="BY171" i="13"/>
  <c r="BX171" i="13"/>
  <c r="BW171" i="13"/>
  <c r="BV171" i="13"/>
  <c r="BU171" i="13"/>
  <c r="BT171" i="13"/>
  <c r="BS171" i="13"/>
  <c r="BR171" i="13"/>
  <c r="BQ171" i="13"/>
  <c r="BP171" i="13"/>
  <c r="BO171" i="13"/>
  <c r="BM171" i="13"/>
  <c r="BL171" i="13"/>
  <c r="BI171" i="13"/>
  <c r="BH171" i="13"/>
  <c r="BG171" i="13"/>
  <c r="BF171" i="13"/>
  <c r="BE171" i="13"/>
  <c r="BD171" i="13"/>
  <c r="BC171" i="13"/>
  <c r="BB171" i="13"/>
  <c r="BA171" i="13"/>
  <c r="AZ171" i="13"/>
  <c r="AY171" i="13"/>
  <c r="AX171" i="13"/>
  <c r="AW171" i="13"/>
  <c r="AV171" i="13"/>
  <c r="AU171" i="13"/>
  <c r="AT171" i="13"/>
  <c r="AS171" i="13"/>
  <c r="AR171" i="13"/>
  <c r="AQ171" i="13"/>
  <c r="AP171" i="13"/>
  <c r="AO171" i="13"/>
  <c r="AN171" i="13"/>
  <c r="AM171" i="13"/>
  <c r="AL171" i="13"/>
  <c r="AK171" i="13"/>
  <c r="AI171" i="13"/>
  <c r="AG171" i="13"/>
  <c r="AF171" i="13"/>
  <c r="AE171" i="13"/>
  <c r="AD171" i="13"/>
  <c r="AC171" i="13"/>
  <c r="AB171" i="13"/>
  <c r="AA171" i="13"/>
  <c r="Z171" i="13"/>
  <c r="Y171" i="13"/>
  <c r="X171" i="13"/>
  <c r="W171" i="13"/>
  <c r="P171" i="13"/>
  <c r="O171" i="13"/>
  <c r="M171" i="13"/>
  <c r="J171" i="13" s="1"/>
  <c r="L171" i="13"/>
  <c r="K171" i="13"/>
  <c r="DL170" i="13"/>
  <c r="DK170" i="13"/>
  <c r="DJ170" i="13"/>
  <c r="DI170" i="13"/>
  <c r="DH170" i="13"/>
  <c r="DG170" i="13"/>
  <c r="DF170" i="13"/>
  <c r="DE170" i="13"/>
  <c r="DD170" i="13"/>
  <c r="DC170" i="13"/>
  <c r="DB170" i="13"/>
  <c r="DA170" i="13"/>
  <c r="CZ170" i="13"/>
  <c r="CY170" i="13"/>
  <c r="CX170" i="13"/>
  <c r="CW170" i="13"/>
  <c r="CV170" i="13"/>
  <c r="CU170" i="13"/>
  <c r="CT170" i="13"/>
  <c r="CS170" i="13"/>
  <c r="CR170" i="13"/>
  <c r="CQ170" i="13"/>
  <c r="CP170" i="13"/>
  <c r="CO170" i="13"/>
  <c r="CN170" i="13"/>
  <c r="CM170" i="13"/>
  <c r="CL170" i="13"/>
  <c r="CK170" i="13"/>
  <c r="CJ170" i="13"/>
  <c r="CI170" i="13"/>
  <c r="CH170" i="13"/>
  <c r="CG170" i="13"/>
  <c r="CF170" i="13"/>
  <c r="CE170" i="13"/>
  <c r="CD170" i="13"/>
  <c r="CC170" i="13"/>
  <c r="CB170" i="13"/>
  <c r="CA170" i="13"/>
  <c r="BZ170" i="13"/>
  <c r="BY170" i="13"/>
  <c r="BX170" i="13"/>
  <c r="BW170" i="13"/>
  <c r="BV170" i="13"/>
  <c r="BU170" i="13"/>
  <c r="BT170" i="13"/>
  <c r="BS170" i="13"/>
  <c r="BR170" i="13"/>
  <c r="BQ170" i="13"/>
  <c r="BP170" i="13"/>
  <c r="BO170" i="13"/>
  <c r="BM170" i="13"/>
  <c r="BL170" i="13"/>
  <c r="BE170" i="13"/>
  <c r="BD170" i="13"/>
  <c r="BC170" i="13"/>
  <c r="BB170" i="13"/>
  <c r="AY170" i="13"/>
  <c r="AX170" i="13"/>
  <c r="AU170" i="13"/>
  <c r="AT170" i="13"/>
  <c r="AS170" i="13"/>
  <c r="AP170" i="13"/>
  <c r="AO170" i="13"/>
  <c r="AN170" i="13"/>
  <c r="AM170" i="13"/>
  <c r="AL170" i="13"/>
  <c r="AK170" i="13"/>
  <c r="AI170" i="13"/>
  <c r="AG170" i="13"/>
  <c r="AF170" i="13"/>
  <c r="AE170" i="13"/>
  <c r="AD170" i="13"/>
  <c r="AC170" i="13"/>
  <c r="AB170" i="13"/>
  <c r="AA170" i="13"/>
  <c r="Z170" i="13"/>
  <c r="Y170" i="13"/>
  <c r="X170" i="13"/>
  <c r="W170" i="13"/>
  <c r="P170" i="13"/>
  <c r="O170" i="13"/>
  <c r="M170" i="13"/>
  <c r="J170" i="13" s="1"/>
  <c r="L170" i="13"/>
  <c r="K170" i="13"/>
  <c r="DL169" i="13"/>
  <c r="DK169" i="13"/>
  <c r="DJ169" i="13"/>
  <c r="DI169" i="13"/>
  <c r="DH169" i="13"/>
  <c r="DG169" i="13"/>
  <c r="DF169" i="13"/>
  <c r="DE169" i="13"/>
  <c r="DD169" i="13"/>
  <c r="DC169" i="13"/>
  <c r="DB169" i="13"/>
  <c r="DA169" i="13"/>
  <c r="CZ169" i="13"/>
  <c r="CY169" i="13"/>
  <c r="CX169" i="13"/>
  <c r="CW169" i="13"/>
  <c r="CV169" i="13"/>
  <c r="CU169" i="13"/>
  <c r="CT169" i="13"/>
  <c r="CS169" i="13"/>
  <c r="CR169" i="13"/>
  <c r="CQ169" i="13"/>
  <c r="CP169" i="13"/>
  <c r="CO169" i="13"/>
  <c r="CN169" i="13"/>
  <c r="CM169" i="13"/>
  <c r="CL169" i="13"/>
  <c r="CK169" i="13"/>
  <c r="CJ169" i="13"/>
  <c r="CI169" i="13"/>
  <c r="CH169" i="13"/>
  <c r="CG169" i="13"/>
  <c r="CF169" i="13"/>
  <c r="CE169" i="13"/>
  <c r="CD169" i="13"/>
  <c r="CC169" i="13"/>
  <c r="CB169" i="13"/>
  <c r="CA169" i="13"/>
  <c r="BZ169" i="13"/>
  <c r="BY169" i="13"/>
  <c r="BX169" i="13"/>
  <c r="BW169" i="13"/>
  <c r="BV169" i="13"/>
  <c r="BU169" i="13"/>
  <c r="BT169" i="13"/>
  <c r="BS169" i="13"/>
  <c r="BR169" i="13"/>
  <c r="BQ169" i="13"/>
  <c r="BP169" i="13"/>
  <c r="BO169" i="13"/>
  <c r="BM169" i="13"/>
  <c r="BL169" i="13"/>
  <c r="BI169" i="13"/>
  <c r="BH169" i="13"/>
  <c r="BE169" i="13"/>
  <c r="BD169" i="13"/>
  <c r="BA169" i="13"/>
  <c r="AZ169" i="13"/>
  <c r="AY169" i="13"/>
  <c r="AX169" i="13"/>
  <c r="AU169" i="13"/>
  <c r="AT169" i="13"/>
  <c r="AS169" i="13"/>
  <c r="AR169" i="13"/>
  <c r="AP169" i="13"/>
  <c r="AO169" i="13"/>
  <c r="AN169" i="13"/>
  <c r="AM169" i="13"/>
  <c r="AL169" i="13"/>
  <c r="AK169" i="13"/>
  <c r="AI169" i="13"/>
  <c r="AG169" i="13"/>
  <c r="AF169" i="13"/>
  <c r="AE169" i="13"/>
  <c r="AD169" i="13"/>
  <c r="AC169" i="13"/>
  <c r="AB169" i="13"/>
  <c r="AA169" i="13"/>
  <c r="Z169" i="13"/>
  <c r="Y169" i="13"/>
  <c r="X169" i="13"/>
  <c r="W169" i="13"/>
  <c r="P169" i="13"/>
  <c r="O169" i="13"/>
  <c r="M169" i="13"/>
  <c r="J169" i="13" s="1"/>
  <c r="L169" i="13"/>
  <c r="K169" i="13"/>
  <c r="DL168" i="13"/>
  <c r="DK168" i="13"/>
  <c r="DJ168" i="13"/>
  <c r="DI168" i="13"/>
  <c r="DH168" i="13"/>
  <c r="DG168" i="13"/>
  <c r="DF168" i="13"/>
  <c r="DE168" i="13"/>
  <c r="DD168" i="13"/>
  <c r="DC168" i="13"/>
  <c r="DB168" i="13"/>
  <c r="DA168" i="13"/>
  <c r="CZ168" i="13"/>
  <c r="CY168" i="13"/>
  <c r="CX168" i="13"/>
  <c r="CW168" i="13"/>
  <c r="CV168" i="13"/>
  <c r="CU168" i="13"/>
  <c r="CT168" i="13"/>
  <c r="CS168" i="13"/>
  <c r="CR168" i="13"/>
  <c r="CQ168" i="13"/>
  <c r="CP168" i="13"/>
  <c r="CO168" i="13"/>
  <c r="CN168" i="13"/>
  <c r="CM168" i="13"/>
  <c r="CL168" i="13"/>
  <c r="CK168" i="13"/>
  <c r="CJ168" i="13"/>
  <c r="CI168" i="13"/>
  <c r="CH168" i="13"/>
  <c r="CG168" i="13"/>
  <c r="CF168" i="13"/>
  <c r="CE168" i="13"/>
  <c r="CD168" i="13"/>
  <c r="CC168" i="13"/>
  <c r="CB168" i="13"/>
  <c r="CA168" i="13"/>
  <c r="BZ168" i="13"/>
  <c r="BY168" i="13"/>
  <c r="BX168" i="13"/>
  <c r="BW168" i="13"/>
  <c r="BV168" i="13"/>
  <c r="BU168" i="13"/>
  <c r="BT168" i="13"/>
  <c r="BS168" i="13"/>
  <c r="BR168" i="13"/>
  <c r="BQ168" i="13"/>
  <c r="BP168" i="13"/>
  <c r="BO168" i="13"/>
  <c r="BM168" i="13"/>
  <c r="BL168" i="13"/>
  <c r="BG168" i="13"/>
  <c r="BF168" i="13"/>
  <c r="BE168" i="13"/>
  <c r="BD168" i="13"/>
  <c r="BC168" i="13"/>
  <c r="BB168" i="13"/>
  <c r="AW168" i="13"/>
  <c r="AV168" i="13"/>
  <c r="AU168" i="13"/>
  <c r="AS168" i="13"/>
  <c r="AR168" i="13"/>
  <c r="AP168" i="13"/>
  <c r="AO168" i="13"/>
  <c r="AN168" i="13"/>
  <c r="AM168" i="13"/>
  <c r="AL168" i="13"/>
  <c r="AK168" i="13"/>
  <c r="AI168" i="13"/>
  <c r="AG168" i="13"/>
  <c r="AF168" i="13"/>
  <c r="AE168" i="13"/>
  <c r="AD168" i="13"/>
  <c r="AC168" i="13"/>
  <c r="AB168" i="13"/>
  <c r="AA168" i="13"/>
  <c r="Z168" i="13"/>
  <c r="Y168" i="13"/>
  <c r="X168" i="13"/>
  <c r="W168" i="13"/>
  <c r="P168" i="13"/>
  <c r="O168" i="13"/>
  <c r="M168" i="13"/>
  <c r="J168" i="13" s="1"/>
  <c r="L168" i="13"/>
  <c r="K168" i="13"/>
  <c r="DL167" i="13"/>
  <c r="DK167" i="13"/>
  <c r="DJ167" i="13"/>
  <c r="DI167" i="13"/>
  <c r="DH167" i="13"/>
  <c r="DG167" i="13"/>
  <c r="DF167" i="13"/>
  <c r="DE167" i="13"/>
  <c r="DD167" i="13"/>
  <c r="DC167" i="13"/>
  <c r="DB167" i="13"/>
  <c r="DA167" i="13"/>
  <c r="CZ167" i="13"/>
  <c r="CY167" i="13"/>
  <c r="CX167" i="13"/>
  <c r="CW167" i="13"/>
  <c r="CV167" i="13"/>
  <c r="CU167" i="13"/>
  <c r="CT167" i="13"/>
  <c r="CS167" i="13"/>
  <c r="CR167" i="13"/>
  <c r="CQ167" i="13"/>
  <c r="CP167" i="13"/>
  <c r="CO167" i="13"/>
  <c r="CN167" i="13"/>
  <c r="CM167" i="13"/>
  <c r="CL167" i="13"/>
  <c r="CK167" i="13"/>
  <c r="CJ167" i="13"/>
  <c r="CI167" i="13"/>
  <c r="CH167" i="13"/>
  <c r="CG167" i="13"/>
  <c r="CF167" i="13"/>
  <c r="CE167" i="13"/>
  <c r="CD167" i="13"/>
  <c r="CC167" i="13"/>
  <c r="CB167" i="13"/>
  <c r="CA167" i="13"/>
  <c r="BZ167" i="13"/>
  <c r="BY167" i="13"/>
  <c r="BX167" i="13"/>
  <c r="BW167" i="13"/>
  <c r="BV167" i="13"/>
  <c r="BU167" i="13"/>
  <c r="BT167" i="13"/>
  <c r="BS167" i="13"/>
  <c r="BR167" i="13"/>
  <c r="BQ167" i="13"/>
  <c r="BP167" i="13"/>
  <c r="BO167" i="13"/>
  <c r="BM167" i="13"/>
  <c r="BL167" i="13"/>
  <c r="BG167" i="13"/>
  <c r="BF167" i="13"/>
  <c r="BE167" i="13"/>
  <c r="BD167" i="13"/>
  <c r="BC167" i="13"/>
  <c r="BB167" i="13"/>
  <c r="AY167" i="13"/>
  <c r="AX167" i="13"/>
  <c r="AW167" i="13"/>
  <c r="AV167" i="13"/>
  <c r="AU167" i="13"/>
  <c r="AS167" i="13"/>
  <c r="AR167" i="13"/>
  <c r="AQ167" i="13"/>
  <c r="AP167" i="13"/>
  <c r="AO167" i="13"/>
  <c r="AN167" i="13"/>
  <c r="AM167" i="13"/>
  <c r="AL167" i="13"/>
  <c r="AK167" i="13"/>
  <c r="AI167" i="13"/>
  <c r="AG167" i="13"/>
  <c r="AF167" i="13"/>
  <c r="AE167" i="13"/>
  <c r="AD167" i="13"/>
  <c r="AC167" i="13"/>
  <c r="AB167" i="13"/>
  <c r="AA167" i="13"/>
  <c r="Z167" i="13"/>
  <c r="Y167" i="13"/>
  <c r="X167" i="13"/>
  <c r="W167" i="13"/>
  <c r="P167" i="13"/>
  <c r="O167" i="13"/>
  <c r="M167" i="13"/>
  <c r="J167" i="13" s="1"/>
  <c r="L167" i="13"/>
  <c r="K167" i="13"/>
  <c r="DL166" i="13"/>
  <c r="DK166" i="13"/>
  <c r="DJ166" i="13"/>
  <c r="DI166" i="13"/>
  <c r="DH166" i="13"/>
  <c r="DG166" i="13"/>
  <c r="DF166" i="13"/>
  <c r="DE166" i="13"/>
  <c r="DD166" i="13"/>
  <c r="DC166" i="13"/>
  <c r="DB166" i="13"/>
  <c r="DA166" i="13"/>
  <c r="CZ166" i="13"/>
  <c r="CY166" i="13"/>
  <c r="CX166" i="13"/>
  <c r="CW166" i="13"/>
  <c r="CV166" i="13"/>
  <c r="CU166" i="13"/>
  <c r="CT166" i="13"/>
  <c r="CS166" i="13"/>
  <c r="CR166" i="13"/>
  <c r="CQ166" i="13"/>
  <c r="CP166" i="13"/>
  <c r="CO166" i="13"/>
  <c r="CN166" i="13"/>
  <c r="CM166" i="13"/>
  <c r="CL166" i="13"/>
  <c r="CK166" i="13"/>
  <c r="CJ166" i="13"/>
  <c r="CI166" i="13"/>
  <c r="CH166" i="13"/>
  <c r="CG166" i="13"/>
  <c r="CF166" i="13"/>
  <c r="CE166" i="13"/>
  <c r="CD166" i="13"/>
  <c r="CC166" i="13"/>
  <c r="CB166" i="13"/>
  <c r="CA166" i="13"/>
  <c r="BZ166" i="13"/>
  <c r="BY166" i="13"/>
  <c r="BX166" i="13"/>
  <c r="BW166" i="13"/>
  <c r="BV166" i="13"/>
  <c r="BU166" i="13"/>
  <c r="BT166" i="13"/>
  <c r="BS166" i="13"/>
  <c r="BR166" i="13"/>
  <c r="BQ166" i="13"/>
  <c r="BP166" i="13"/>
  <c r="BO166" i="13"/>
  <c r="BM166" i="13"/>
  <c r="BL166" i="13"/>
  <c r="BE166" i="13"/>
  <c r="BD166" i="13"/>
  <c r="AP166" i="13"/>
  <c r="AO166" i="13"/>
  <c r="AN166" i="13"/>
  <c r="AM166" i="13"/>
  <c r="AI166" i="13"/>
  <c r="AG166" i="13"/>
  <c r="AF166" i="13"/>
  <c r="AE166" i="13"/>
  <c r="AD166" i="13"/>
  <c r="AC166" i="13"/>
  <c r="P166" i="13"/>
  <c r="O166" i="13"/>
  <c r="M166" i="13"/>
  <c r="J166" i="13" s="1"/>
  <c r="L166" i="13"/>
  <c r="K166" i="13"/>
  <c r="DL165" i="13"/>
  <c r="DK165" i="13"/>
  <c r="DJ165" i="13"/>
  <c r="DI165" i="13"/>
  <c r="DH165" i="13"/>
  <c r="DG165" i="13"/>
  <c r="DF165" i="13"/>
  <c r="DE165" i="13"/>
  <c r="DD165" i="13"/>
  <c r="DC165" i="13"/>
  <c r="DB165" i="13"/>
  <c r="DA165" i="13"/>
  <c r="CZ165" i="13"/>
  <c r="CY165" i="13"/>
  <c r="CX165" i="13"/>
  <c r="CW165" i="13"/>
  <c r="CV165" i="13"/>
  <c r="CU165" i="13"/>
  <c r="CT165" i="13"/>
  <c r="CS165" i="13"/>
  <c r="CR165" i="13"/>
  <c r="CQ165" i="13"/>
  <c r="CP165" i="13"/>
  <c r="CO165" i="13"/>
  <c r="CN165" i="13"/>
  <c r="CM165" i="13"/>
  <c r="CL165" i="13"/>
  <c r="CK165" i="13"/>
  <c r="CJ165" i="13"/>
  <c r="CI165" i="13"/>
  <c r="CH165" i="13"/>
  <c r="CG165" i="13"/>
  <c r="CF165" i="13"/>
  <c r="CE165" i="13"/>
  <c r="CD165" i="13"/>
  <c r="CC165" i="13"/>
  <c r="CB165" i="13"/>
  <c r="CA165" i="13"/>
  <c r="BZ165" i="13"/>
  <c r="BY165" i="13"/>
  <c r="BX165" i="13"/>
  <c r="BW165" i="13"/>
  <c r="BV165" i="13"/>
  <c r="BU165" i="13"/>
  <c r="BT165" i="13"/>
  <c r="BS165" i="13"/>
  <c r="BR165" i="13"/>
  <c r="BQ165" i="13"/>
  <c r="BP165" i="13"/>
  <c r="BO165" i="13"/>
  <c r="BM165" i="13"/>
  <c r="BL165" i="13"/>
  <c r="BA165" i="13"/>
  <c r="AZ165" i="13"/>
  <c r="AY165" i="13"/>
  <c r="AX165" i="13"/>
  <c r="AU165" i="13"/>
  <c r="AT165" i="13"/>
  <c r="AR165" i="13"/>
  <c r="AP165" i="13"/>
  <c r="AO165" i="13"/>
  <c r="AN165" i="13"/>
  <c r="AM165" i="13"/>
  <c r="AL165" i="13"/>
  <c r="AK165" i="13"/>
  <c r="AI165" i="13"/>
  <c r="AG165" i="13"/>
  <c r="AF165" i="13"/>
  <c r="AE165" i="13"/>
  <c r="AD165" i="13"/>
  <c r="AC165" i="13"/>
  <c r="AB165" i="13"/>
  <c r="AA165" i="13"/>
  <c r="Z165" i="13"/>
  <c r="Y165" i="13"/>
  <c r="X165" i="13"/>
  <c r="W165" i="13"/>
  <c r="P165" i="13"/>
  <c r="O165" i="13"/>
  <c r="M165" i="13"/>
  <c r="J165" i="13" s="1"/>
  <c r="L165" i="13"/>
  <c r="K165" i="13"/>
  <c r="DL164" i="13"/>
  <c r="DK164" i="13"/>
  <c r="DJ164" i="13"/>
  <c r="DI164" i="13"/>
  <c r="DH164" i="13"/>
  <c r="DG164" i="13"/>
  <c r="DF164" i="13"/>
  <c r="DE164" i="13"/>
  <c r="DD164" i="13"/>
  <c r="DC164" i="13"/>
  <c r="DB164" i="13"/>
  <c r="DA164" i="13"/>
  <c r="CZ164" i="13"/>
  <c r="CY164" i="13"/>
  <c r="CX164" i="13"/>
  <c r="CW164" i="13"/>
  <c r="CV164" i="13"/>
  <c r="CU164" i="13"/>
  <c r="CT164" i="13"/>
  <c r="CS164" i="13"/>
  <c r="CR164" i="13"/>
  <c r="CQ164" i="13"/>
  <c r="CP164" i="13"/>
  <c r="CO164" i="13"/>
  <c r="CN164" i="13"/>
  <c r="CM164" i="13"/>
  <c r="CL164" i="13"/>
  <c r="CK164" i="13"/>
  <c r="CJ164" i="13"/>
  <c r="CI164" i="13"/>
  <c r="CH164" i="13"/>
  <c r="CG164" i="13"/>
  <c r="CF164" i="13"/>
  <c r="CE164" i="13"/>
  <c r="CD164" i="13"/>
  <c r="CC164" i="13"/>
  <c r="CB164" i="13"/>
  <c r="CA164" i="13"/>
  <c r="BZ164" i="13"/>
  <c r="BY164" i="13"/>
  <c r="BX164" i="13"/>
  <c r="BW164" i="13"/>
  <c r="BV164" i="13"/>
  <c r="BU164" i="13"/>
  <c r="BT164" i="13"/>
  <c r="BS164" i="13"/>
  <c r="BR164" i="13"/>
  <c r="BQ164" i="13"/>
  <c r="BP164" i="13"/>
  <c r="BO164" i="13"/>
  <c r="BM164" i="13"/>
  <c r="BL164" i="13"/>
  <c r="BE164" i="13"/>
  <c r="BD164" i="13"/>
  <c r="BC164" i="13"/>
  <c r="BB164" i="13"/>
  <c r="BA164" i="13"/>
  <c r="AZ164" i="13"/>
  <c r="AY164" i="13"/>
  <c r="AX164" i="13"/>
  <c r="AU164" i="13"/>
  <c r="AT164" i="13"/>
  <c r="AS164" i="13"/>
  <c r="AR164" i="13"/>
  <c r="AQ164" i="13"/>
  <c r="AP164" i="13"/>
  <c r="AO164" i="13"/>
  <c r="AN164" i="13"/>
  <c r="AM164" i="13"/>
  <c r="AL164" i="13"/>
  <c r="AK164" i="13"/>
  <c r="AI164" i="13"/>
  <c r="AG164" i="13"/>
  <c r="AF164" i="13"/>
  <c r="AE164" i="13"/>
  <c r="AD164" i="13"/>
  <c r="AC164" i="13"/>
  <c r="AB164" i="13"/>
  <c r="AA164" i="13"/>
  <c r="Z164" i="13"/>
  <c r="Y164" i="13"/>
  <c r="X164" i="13"/>
  <c r="W164" i="13"/>
  <c r="P164" i="13"/>
  <c r="O164" i="13"/>
  <c r="M164" i="13"/>
  <c r="J164" i="13" s="1"/>
  <c r="L164" i="13"/>
  <c r="K164" i="13"/>
  <c r="DL163" i="13"/>
  <c r="DK163" i="13"/>
  <c r="DJ163" i="13"/>
  <c r="DI163" i="13"/>
  <c r="DH163" i="13"/>
  <c r="DG163" i="13"/>
  <c r="DF163" i="13"/>
  <c r="DE163" i="13"/>
  <c r="DD163" i="13"/>
  <c r="DC163" i="13"/>
  <c r="DB163" i="13"/>
  <c r="DA163" i="13"/>
  <c r="CZ163" i="13"/>
  <c r="CY163" i="13"/>
  <c r="CX163" i="13"/>
  <c r="CW163" i="13"/>
  <c r="CV163" i="13"/>
  <c r="CU163" i="13"/>
  <c r="CT163" i="13"/>
  <c r="CS163" i="13"/>
  <c r="CR163" i="13"/>
  <c r="CQ163" i="13"/>
  <c r="CP163" i="13"/>
  <c r="CO163" i="13"/>
  <c r="CN163" i="13"/>
  <c r="CM163" i="13"/>
  <c r="CL163" i="13"/>
  <c r="CK163" i="13"/>
  <c r="CJ163" i="13"/>
  <c r="CI163" i="13"/>
  <c r="CH163" i="13"/>
  <c r="CG163" i="13"/>
  <c r="CF163" i="13"/>
  <c r="CE163" i="13"/>
  <c r="CD163" i="13"/>
  <c r="CC163" i="13"/>
  <c r="CB163" i="13"/>
  <c r="CA163" i="13"/>
  <c r="BZ163" i="13"/>
  <c r="BY163" i="13"/>
  <c r="BX163" i="13"/>
  <c r="BW163" i="13"/>
  <c r="BV163" i="13"/>
  <c r="BU163" i="13"/>
  <c r="BT163" i="13"/>
  <c r="BS163" i="13"/>
  <c r="BR163" i="13"/>
  <c r="BQ163" i="13"/>
  <c r="BP163" i="13"/>
  <c r="BO163" i="13"/>
  <c r="BM163" i="13"/>
  <c r="BL163" i="13"/>
  <c r="BI163" i="13"/>
  <c r="BH163" i="13"/>
  <c r="BG163" i="13"/>
  <c r="BF163" i="13"/>
  <c r="BE163" i="13"/>
  <c r="BD163" i="13"/>
  <c r="BC163" i="13"/>
  <c r="BB163" i="13"/>
  <c r="BA163" i="13"/>
  <c r="AZ163" i="13"/>
  <c r="AY163" i="13"/>
  <c r="AX163" i="13"/>
  <c r="AW163" i="13"/>
  <c r="AV163" i="13"/>
  <c r="AU163" i="13"/>
  <c r="AT163" i="13"/>
  <c r="AS163" i="13"/>
  <c r="AR163" i="13"/>
  <c r="AQ163" i="13"/>
  <c r="AP163" i="13"/>
  <c r="AO163" i="13"/>
  <c r="AN163" i="13"/>
  <c r="AM163" i="13"/>
  <c r="AL163" i="13"/>
  <c r="AK163" i="13"/>
  <c r="AI163" i="13"/>
  <c r="AG163" i="13"/>
  <c r="AF163" i="13"/>
  <c r="AE163" i="13"/>
  <c r="AD163" i="13"/>
  <c r="AC163" i="13"/>
  <c r="AB163" i="13"/>
  <c r="AA163" i="13"/>
  <c r="Z163" i="13"/>
  <c r="Y163" i="13"/>
  <c r="X163" i="13"/>
  <c r="W163" i="13"/>
  <c r="P163" i="13"/>
  <c r="O163" i="13"/>
  <c r="M163" i="13"/>
  <c r="J163" i="13" s="1"/>
  <c r="L163" i="13"/>
  <c r="K163" i="13"/>
  <c r="DL162" i="13"/>
  <c r="DK162" i="13"/>
  <c r="DJ162" i="13"/>
  <c r="DI162" i="13"/>
  <c r="DH162" i="13"/>
  <c r="DG162" i="13"/>
  <c r="DF162" i="13"/>
  <c r="DE162" i="13"/>
  <c r="DD162" i="13"/>
  <c r="DC162" i="13"/>
  <c r="DB162" i="13"/>
  <c r="DA162" i="13"/>
  <c r="CZ162" i="13"/>
  <c r="CY162" i="13"/>
  <c r="CX162" i="13"/>
  <c r="CW162" i="13"/>
  <c r="CV162" i="13"/>
  <c r="CU162" i="13"/>
  <c r="CT162" i="13"/>
  <c r="CS162" i="13"/>
  <c r="CR162" i="13"/>
  <c r="CQ162" i="13"/>
  <c r="CP162" i="13"/>
  <c r="CO162" i="13"/>
  <c r="CN162" i="13"/>
  <c r="CM162" i="13"/>
  <c r="CL162" i="13"/>
  <c r="CK162" i="13"/>
  <c r="CJ162" i="13"/>
  <c r="CI162" i="13"/>
  <c r="CH162" i="13"/>
  <c r="CG162" i="13"/>
  <c r="CF162" i="13"/>
  <c r="CE162" i="13"/>
  <c r="CD162" i="13"/>
  <c r="CC162" i="13"/>
  <c r="CB162" i="13"/>
  <c r="CA162" i="13"/>
  <c r="BZ162" i="13"/>
  <c r="BY162" i="13"/>
  <c r="BX162" i="13"/>
  <c r="BW162" i="13"/>
  <c r="BV162" i="13"/>
  <c r="BU162" i="13"/>
  <c r="BT162" i="13"/>
  <c r="BS162" i="13"/>
  <c r="BR162" i="13"/>
  <c r="BQ162" i="13"/>
  <c r="BP162" i="13"/>
  <c r="BO162" i="13"/>
  <c r="BM162" i="13"/>
  <c r="BL162" i="13"/>
  <c r="BI162" i="13"/>
  <c r="BH162" i="13"/>
  <c r="AY162" i="13"/>
  <c r="AX162" i="13"/>
  <c r="AU162" i="13"/>
  <c r="AQ162" i="13"/>
  <c r="AP162" i="13"/>
  <c r="AO162" i="13"/>
  <c r="AN162" i="13"/>
  <c r="AM162" i="13"/>
  <c r="AL162" i="13"/>
  <c r="AK162" i="13"/>
  <c r="AI162" i="13"/>
  <c r="AG162" i="13"/>
  <c r="AF162" i="13"/>
  <c r="AE162" i="13"/>
  <c r="AD162" i="13"/>
  <c r="AC162" i="13"/>
  <c r="AB162" i="13"/>
  <c r="AA162" i="13"/>
  <c r="Z162" i="13"/>
  <c r="Y162" i="13"/>
  <c r="X162" i="13"/>
  <c r="W162" i="13"/>
  <c r="P162" i="13"/>
  <c r="O162" i="13"/>
  <c r="M162" i="13"/>
  <c r="J162" i="13" s="1"/>
  <c r="L162" i="13"/>
  <c r="K162" i="13"/>
  <c r="DL161" i="13"/>
  <c r="DK161" i="13"/>
  <c r="DJ161" i="13"/>
  <c r="DI161" i="13"/>
  <c r="DH161" i="13"/>
  <c r="DG161" i="13"/>
  <c r="DF161" i="13"/>
  <c r="DE161" i="13"/>
  <c r="DD161" i="13"/>
  <c r="DC161" i="13"/>
  <c r="DB161" i="13"/>
  <c r="DA161" i="13"/>
  <c r="CZ161" i="13"/>
  <c r="CY161" i="13"/>
  <c r="CX161" i="13"/>
  <c r="CW161" i="13"/>
  <c r="CV161" i="13"/>
  <c r="CU161" i="13"/>
  <c r="CT161" i="13"/>
  <c r="CS161" i="13"/>
  <c r="CR161" i="13"/>
  <c r="CQ161" i="13"/>
  <c r="CP161" i="13"/>
  <c r="CO161" i="13"/>
  <c r="CN161" i="13"/>
  <c r="CM161" i="13"/>
  <c r="CL161" i="13"/>
  <c r="CK161" i="13"/>
  <c r="CJ161" i="13"/>
  <c r="CI161" i="13"/>
  <c r="CH161" i="13"/>
  <c r="CG161" i="13"/>
  <c r="CF161" i="13"/>
  <c r="CE161" i="13"/>
  <c r="CD161" i="13"/>
  <c r="CC161" i="13"/>
  <c r="CB161" i="13"/>
  <c r="CA161" i="13"/>
  <c r="BZ161" i="13"/>
  <c r="BY161" i="13"/>
  <c r="BX161" i="13"/>
  <c r="BW161" i="13"/>
  <c r="BV161" i="13"/>
  <c r="BU161" i="13"/>
  <c r="BT161" i="13"/>
  <c r="BS161" i="13"/>
  <c r="BR161" i="13"/>
  <c r="BQ161" i="13"/>
  <c r="BP161" i="13"/>
  <c r="BO161" i="13"/>
  <c r="BM161" i="13"/>
  <c r="BL161" i="13"/>
  <c r="AY161" i="13"/>
  <c r="AX161" i="13"/>
  <c r="AU161" i="13"/>
  <c r="AR161" i="13"/>
  <c r="AQ161" i="13"/>
  <c r="AP161" i="13"/>
  <c r="AO161" i="13"/>
  <c r="AN161" i="13"/>
  <c r="AM161" i="13"/>
  <c r="AL161" i="13"/>
  <c r="AK161" i="13"/>
  <c r="AI161" i="13"/>
  <c r="AG161" i="13"/>
  <c r="AF161" i="13"/>
  <c r="AE161" i="13"/>
  <c r="AD161" i="13"/>
  <c r="AC161" i="13"/>
  <c r="AB161" i="13"/>
  <c r="AA161" i="13"/>
  <c r="Z161" i="13"/>
  <c r="Y161" i="13"/>
  <c r="X161" i="13"/>
  <c r="W161" i="13"/>
  <c r="P161" i="13"/>
  <c r="O161" i="13"/>
  <c r="M161" i="13"/>
  <c r="J161" i="13" s="1"/>
  <c r="L161" i="13"/>
  <c r="K161" i="13"/>
  <c r="DL160" i="13"/>
  <c r="DK160" i="13"/>
  <c r="DJ160" i="13"/>
  <c r="DI160" i="13"/>
  <c r="DH160" i="13"/>
  <c r="DG160" i="13"/>
  <c r="DF160" i="13"/>
  <c r="DE160" i="13"/>
  <c r="DD160" i="13"/>
  <c r="DC160" i="13"/>
  <c r="DB160" i="13"/>
  <c r="DA160" i="13"/>
  <c r="CZ160" i="13"/>
  <c r="CY160" i="13"/>
  <c r="CX160" i="13"/>
  <c r="CW160" i="13"/>
  <c r="CV160" i="13"/>
  <c r="CU160" i="13"/>
  <c r="CT160" i="13"/>
  <c r="CS160" i="13"/>
  <c r="CR160" i="13"/>
  <c r="CQ160" i="13"/>
  <c r="CP160" i="13"/>
  <c r="CO160" i="13"/>
  <c r="CN160" i="13"/>
  <c r="CM160" i="13"/>
  <c r="CL160" i="13"/>
  <c r="CK160" i="13"/>
  <c r="CJ160" i="13"/>
  <c r="CI160" i="13"/>
  <c r="CH160" i="13"/>
  <c r="CG160" i="13"/>
  <c r="CF160" i="13"/>
  <c r="CE160" i="13"/>
  <c r="CD160" i="13"/>
  <c r="CC160" i="13"/>
  <c r="CB160" i="13"/>
  <c r="CA160" i="13"/>
  <c r="BZ160" i="13"/>
  <c r="BY160" i="13"/>
  <c r="BX160" i="13"/>
  <c r="BW160" i="13"/>
  <c r="BV160" i="13"/>
  <c r="BU160" i="13"/>
  <c r="BT160" i="13"/>
  <c r="BS160" i="13"/>
  <c r="BR160" i="13"/>
  <c r="BQ160" i="13"/>
  <c r="BP160" i="13"/>
  <c r="BO160" i="13"/>
  <c r="BM160" i="13"/>
  <c r="BL160" i="13"/>
  <c r="BA160" i="13"/>
  <c r="AZ160" i="13"/>
  <c r="AP160" i="13"/>
  <c r="AO160" i="13"/>
  <c r="AN160" i="13"/>
  <c r="AM160" i="13"/>
  <c r="AI160" i="13"/>
  <c r="AG160" i="13"/>
  <c r="AF160" i="13"/>
  <c r="AE160" i="13"/>
  <c r="AD160" i="13"/>
  <c r="AC160" i="13"/>
  <c r="AB160" i="13"/>
  <c r="AA160" i="13"/>
  <c r="Z160" i="13"/>
  <c r="Y160" i="13"/>
  <c r="X160" i="13"/>
  <c r="W160" i="13"/>
  <c r="P160" i="13"/>
  <c r="O160" i="13"/>
  <c r="M160" i="13"/>
  <c r="J160" i="13" s="1"/>
  <c r="L160" i="13"/>
  <c r="K160" i="13"/>
  <c r="DL159" i="13"/>
  <c r="DK159" i="13"/>
  <c r="DJ159" i="13"/>
  <c r="DI159" i="13"/>
  <c r="DH159" i="13"/>
  <c r="DG159" i="13"/>
  <c r="DF159" i="13"/>
  <c r="DE159" i="13"/>
  <c r="DD159" i="13"/>
  <c r="DC159" i="13"/>
  <c r="DB159" i="13"/>
  <c r="DA159" i="13"/>
  <c r="CZ159" i="13"/>
  <c r="CY159" i="13"/>
  <c r="CX159" i="13"/>
  <c r="CW159" i="13"/>
  <c r="CV159" i="13"/>
  <c r="CU159" i="13"/>
  <c r="CT159" i="13"/>
  <c r="CS159" i="13"/>
  <c r="CR159" i="13"/>
  <c r="CQ159" i="13"/>
  <c r="CP159" i="13"/>
  <c r="CO159" i="13"/>
  <c r="CN159" i="13"/>
  <c r="CM159" i="13"/>
  <c r="CL159" i="13"/>
  <c r="CK159" i="13"/>
  <c r="CJ159" i="13"/>
  <c r="CI159" i="13"/>
  <c r="CH159" i="13"/>
  <c r="CG159" i="13"/>
  <c r="CF159" i="13"/>
  <c r="CE159" i="13"/>
  <c r="CD159" i="13"/>
  <c r="CC159" i="13"/>
  <c r="CB159" i="13"/>
  <c r="CA159" i="13"/>
  <c r="BZ159" i="13"/>
  <c r="BY159" i="13"/>
  <c r="BX159" i="13"/>
  <c r="BW159" i="13"/>
  <c r="BV159" i="13"/>
  <c r="BU159" i="13"/>
  <c r="BT159" i="13"/>
  <c r="BS159" i="13"/>
  <c r="BR159" i="13"/>
  <c r="BQ159" i="13"/>
  <c r="BP159" i="13"/>
  <c r="BO159" i="13"/>
  <c r="BM159" i="13"/>
  <c r="BL159" i="13"/>
  <c r="BE159" i="13"/>
  <c r="BD159" i="13"/>
  <c r="BA159" i="13"/>
  <c r="AZ159" i="13"/>
  <c r="AW159" i="13"/>
  <c r="AV159" i="13"/>
  <c r="AP159" i="13"/>
  <c r="AO159" i="13"/>
  <c r="AN159" i="13"/>
  <c r="AM159" i="13"/>
  <c r="AI159" i="13"/>
  <c r="AG159" i="13"/>
  <c r="AF159" i="13"/>
  <c r="AE159" i="13"/>
  <c r="AD159" i="13"/>
  <c r="AC159" i="13"/>
  <c r="AB159" i="13"/>
  <c r="AA159" i="13"/>
  <c r="Z159" i="13"/>
  <c r="Y159" i="13"/>
  <c r="X159" i="13"/>
  <c r="W159" i="13"/>
  <c r="P159" i="13"/>
  <c r="O159" i="13"/>
  <c r="M159" i="13"/>
  <c r="J159" i="13" s="1"/>
  <c r="L159" i="13"/>
  <c r="K159" i="13"/>
  <c r="DL158" i="13"/>
  <c r="DK158" i="13"/>
  <c r="DJ158" i="13"/>
  <c r="DI158" i="13"/>
  <c r="DH158" i="13"/>
  <c r="DG158" i="13"/>
  <c r="DF158" i="13"/>
  <c r="DE158" i="13"/>
  <c r="DD158" i="13"/>
  <c r="DC158" i="13"/>
  <c r="DB158" i="13"/>
  <c r="DA158" i="13"/>
  <c r="CZ158" i="13"/>
  <c r="CY158" i="13"/>
  <c r="CX158" i="13"/>
  <c r="CW158" i="13"/>
  <c r="CV158" i="13"/>
  <c r="CU158" i="13"/>
  <c r="CT158" i="13"/>
  <c r="CS158" i="13"/>
  <c r="CR158" i="13"/>
  <c r="CQ158" i="13"/>
  <c r="CP158" i="13"/>
  <c r="CO158" i="13"/>
  <c r="CN158" i="13"/>
  <c r="CM158" i="13"/>
  <c r="CL158" i="13"/>
  <c r="CK158" i="13"/>
  <c r="CJ158" i="13"/>
  <c r="CI158" i="13"/>
  <c r="CH158" i="13"/>
  <c r="CG158" i="13"/>
  <c r="CF158" i="13"/>
  <c r="CE158" i="13"/>
  <c r="CD158" i="13"/>
  <c r="CC158" i="13"/>
  <c r="CB158" i="13"/>
  <c r="CA158" i="13"/>
  <c r="BZ158" i="13"/>
  <c r="BY158" i="13"/>
  <c r="BX158" i="13"/>
  <c r="BW158" i="13"/>
  <c r="BV158" i="13"/>
  <c r="BU158" i="13"/>
  <c r="BT158" i="13"/>
  <c r="BS158" i="13"/>
  <c r="BR158" i="13"/>
  <c r="BQ158" i="13"/>
  <c r="BP158" i="13"/>
  <c r="BO158" i="13"/>
  <c r="BM158" i="13"/>
  <c r="BL158" i="13"/>
  <c r="BG158" i="13"/>
  <c r="BF158" i="13"/>
  <c r="BC158" i="13"/>
  <c r="BB158" i="13"/>
  <c r="AY158" i="13"/>
  <c r="AX158" i="13"/>
  <c r="AU158" i="13"/>
  <c r="AQ158" i="13"/>
  <c r="AP158" i="13"/>
  <c r="AO158" i="13"/>
  <c r="AN158" i="13"/>
  <c r="AM158" i="13"/>
  <c r="AL158" i="13"/>
  <c r="AK158" i="13"/>
  <c r="AI158" i="13"/>
  <c r="AG158" i="13"/>
  <c r="AF158" i="13"/>
  <c r="AE158" i="13"/>
  <c r="AD158" i="13"/>
  <c r="AC158" i="13"/>
  <c r="AB158" i="13"/>
  <c r="AA158" i="13"/>
  <c r="Z158" i="13"/>
  <c r="Y158" i="13"/>
  <c r="X158" i="13"/>
  <c r="W158" i="13"/>
  <c r="P158" i="13"/>
  <c r="O158" i="13"/>
  <c r="M158" i="13"/>
  <c r="J158" i="13" s="1"/>
  <c r="L158" i="13"/>
  <c r="K158" i="13"/>
  <c r="DL157" i="13"/>
  <c r="DK157" i="13"/>
  <c r="DJ157" i="13"/>
  <c r="DI157" i="13"/>
  <c r="DH157" i="13"/>
  <c r="DG157" i="13"/>
  <c r="DF157" i="13"/>
  <c r="DE157" i="13"/>
  <c r="DD157" i="13"/>
  <c r="DC157" i="13"/>
  <c r="DB157" i="13"/>
  <c r="DA157" i="13"/>
  <c r="CZ157" i="13"/>
  <c r="CY157" i="13"/>
  <c r="CX157" i="13"/>
  <c r="CW157" i="13"/>
  <c r="CV157" i="13"/>
  <c r="CU157" i="13"/>
  <c r="CT157" i="13"/>
  <c r="CS157" i="13"/>
  <c r="CR157" i="13"/>
  <c r="CQ157" i="13"/>
  <c r="CP157" i="13"/>
  <c r="CO157" i="13"/>
  <c r="CN157" i="13"/>
  <c r="CM157" i="13"/>
  <c r="CL157" i="13"/>
  <c r="CK157" i="13"/>
  <c r="CJ157" i="13"/>
  <c r="CI157" i="13"/>
  <c r="CH157" i="13"/>
  <c r="CG157" i="13"/>
  <c r="CF157" i="13"/>
  <c r="CE157" i="13"/>
  <c r="CD157" i="13"/>
  <c r="CC157" i="13"/>
  <c r="CB157" i="13"/>
  <c r="CA157" i="13"/>
  <c r="BZ157" i="13"/>
  <c r="BY157" i="13"/>
  <c r="BX157" i="13"/>
  <c r="BW157" i="13"/>
  <c r="BV157" i="13"/>
  <c r="BU157" i="13"/>
  <c r="BT157" i="13"/>
  <c r="BS157" i="13"/>
  <c r="BR157" i="13"/>
  <c r="BQ157" i="13"/>
  <c r="BP157" i="13"/>
  <c r="BO157" i="13"/>
  <c r="BM157" i="13"/>
  <c r="BL157" i="13"/>
  <c r="BG157" i="13"/>
  <c r="BF157" i="13"/>
  <c r="AY157" i="13"/>
  <c r="AX157" i="13"/>
  <c r="AU157" i="13"/>
  <c r="AQ157" i="13"/>
  <c r="AP157" i="13"/>
  <c r="AO157" i="13"/>
  <c r="AN157" i="13"/>
  <c r="AM157" i="13"/>
  <c r="AL157" i="13"/>
  <c r="AK157" i="13"/>
  <c r="AI157" i="13"/>
  <c r="AG157" i="13"/>
  <c r="AF157" i="13"/>
  <c r="AE157" i="13"/>
  <c r="AD157" i="13"/>
  <c r="AC157" i="13"/>
  <c r="AB157" i="13"/>
  <c r="AA157" i="13"/>
  <c r="Z157" i="13"/>
  <c r="Y157" i="13"/>
  <c r="X157" i="13"/>
  <c r="W157" i="13"/>
  <c r="P157" i="13"/>
  <c r="O157" i="13"/>
  <c r="M157" i="13"/>
  <c r="J157" i="13" s="1"/>
  <c r="L157" i="13"/>
  <c r="K157" i="13"/>
  <c r="DL156" i="13"/>
  <c r="DK156" i="13"/>
  <c r="DJ156" i="13"/>
  <c r="DI156" i="13"/>
  <c r="DH156" i="13"/>
  <c r="DG156" i="13"/>
  <c r="DF156" i="13"/>
  <c r="DE156" i="13"/>
  <c r="DD156" i="13"/>
  <c r="DC156" i="13"/>
  <c r="DB156" i="13"/>
  <c r="DA156" i="13"/>
  <c r="CZ156" i="13"/>
  <c r="CY156" i="13"/>
  <c r="CX156" i="13"/>
  <c r="CW156" i="13"/>
  <c r="CV156" i="13"/>
  <c r="CU156" i="13"/>
  <c r="CT156" i="13"/>
  <c r="CS156" i="13"/>
  <c r="CR156" i="13"/>
  <c r="CQ156" i="13"/>
  <c r="CP156" i="13"/>
  <c r="CO156" i="13"/>
  <c r="CN156" i="13"/>
  <c r="CM156" i="13"/>
  <c r="CL156" i="13"/>
  <c r="CK156" i="13"/>
  <c r="CJ156" i="13"/>
  <c r="CI156" i="13"/>
  <c r="CH156" i="13"/>
  <c r="CG156" i="13"/>
  <c r="CF156" i="13"/>
  <c r="CE156" i="13"/>
  <c r="CD156" i="13"/>
  <c r="CC156" i="13"/>
  <c r="CB156" i="13"/>
  <c r="CA156" i="13"/>
  <c r="BZ156" i="13"/>
  <c r="BY156" i="13"/>
  <c r="BX156" i="13"/>
  <c r="BW156" i="13"/>
  <c r="BV156" i="13"/>
  <c r="BU156" i="13"/>
  <c r="BT156" i="13"/>
  <c r="BS156" i="13"/>
  <c r="BR156" i="13"/>
  <c r="BQ156" i="13"/>
  <c r="BP156" i="13"/>
  <c r="BO156" i="13"/>
  <c r="BM156" i="13"/>
  <c r="BL156" i="13"/>
  <c r="BG156" i="13"/>
  <c r="BF156" i="13"/>
  <c r="BC156" i="13"/>
  <c r="BB156" i="13"/>
  <c r="AY156" i="13"/>
  <c r="AX156" i="13"/>
  <c r="AW156" i="13"/>
  <c r="AV156" i="13"/>
  <c r="AU156" i="13"/>
  <c r="AP156" i="13"/>
  <c r="AO156" i="13"/>
  <c r="AN156" i="13"/>
  <c r="AM156" i="13"/>
  <c r="AL156" i="13"/>
  <c r="AK156" i="13"/>
  <c r="AI156" i="13"/>
  <c r="AG156" i="13"/>
  <c r="AF156" i="13"/>
  <c r="AE156" i="13"/>
  <c r="AD156" i="13"/>
  <c r="AC156" i="13"/>
  <c r="AB156" i="13"/>
  <c r="AA156" i="13"/>
  <c r="Z156" i="13"/>
  <c r="Y156" i="13"/>
  <c r="X156" i="13"/>
  <c r="W156" i="13"/>
  <c r="P156" i="13"/>
  <c r="O156" i="13"/>
  <c r="M156" i="13"/>
  <c r="J156" i="13" s="1"/>
  <c r="L156" i="13"/>
  <c r="K156" i="13"/>
  <c r="DL155" i="13"/>
  <c r="DK155" i="13"/>
  <c r="DJ155" i="13"/>
  <c r="DI155" i="13"/>
  <c r="DH155" i="13"/>
  <c r="DG155" i="13"/>
  <c r="DF155" i="13"/>
  <c r="DE155" i="13"/>
  <c r="DD155" i="13"/>
  <c r="DC155" i="13"/>
  <c r="DB155" i="13"/>
  <c r="DA155" i="13"/>
  <c r="CZ155" i="13"/>
  <c r="CY155" i="13"/>
  <c r="CX155" i="13"/>
  <c r="CW155" i="13"/>
  <c r="CV155" i="13"/>
  <c r="CU155" i="13"/>
  <c r="CT155" i="13"/>
  <c r="CS155" i="13"/>
  <c r="CR155" i="13"/>
  <c r="CQ155" i="13"/>
  <c r="CP155" i="13"/>
  <c r="CO155" i="13"/>
  <c r="CN155" i="13"/>
  <c r="CM155" i="13"/>
  <c r="CL155" i="13"/>
  <c r="CK155" i="13"/>
  <c r="CJ155" i="13"/>
  <c r="CI155" i="13"/>
  <c r="CH155" i="13"/>
  <c r="CG155" i="13"/>
  <c r="CF155" i="13"/>
  <c r="CE155" i="13"/>
  <c r="CD155" i="13"/>
  <c r="CC155" i="13"/>
  <c r="CB155" i="13"/>
  <c r="CA155" i="13"/>
  <c r="BZ155" i="13"/>
  <c r="BY155" i="13"/>
  <c r="BX155" i="13"/>
  <c r="BW155" i="13"/>
  <c r="BV155" i="13"/>
  <c r="BU155" i="13"/>
  <c r="BT155" i="13"/>
  <c r="BS155" i="13"/>
  <c r="BR155" i="13"/>
  <c r="BQ155" i="13"/>
  <c r="BP155" i="13"/>
  <c r="BO155" i="13"/>
  <c r="BM155" i="13"/>
  <c r="BL155" i="13"/>
  <c r="BI155" i="13"/>
  <c r="BH155" i="13"/>
  <c r="BG155" i="13"/>
  <c r="BF155" i="13"/>
  <c r="BE155" i="13"/>
  <c r="BD155" i="13"/>
  <c r="BC155" i="13"/>
  <c r="BB155" i="13"/>
  <c r="BA155" i="13"/>
  <c r="AZ155" i="13"/>
  <c r="AW155" i="13"/>
  <c r="AV155" i="13"/>
  <c r="AU155" i="13"/>
  <c r="AT155" i="13"/>
  <c r="AS155" i="13"/>
  <c r="AR155" i="13"/>
  <c r="AQ155" i="13"/>
  <c r="AP155" i="13"/>
  <c r="AO155" i="13"/>
  <c r="AN155" i="13"/>
  <c r="AM155" i="13"/>
  <c r="AL155" i="13"/>
  <c r="AK155" i="13"/>
  <c r="AI155" i="13"/>
  <c r="AG155" i="13"/>
  <c r="AF155" i="13"/>
  <c r="AE155" i="13"/>
  <c r="AD155" i="13"/>
  <c r="AC155" i="13"/>
  <c r="AB155" i="13"/>
  <c r="AA155" i="13"/>
  <c r="Z155" i="13"/>
  <c r="Y155" i="13"/>
  <c r="X155" i="13"/>
  <c r="W155" i="13"/>
  <c r="P155" i="13"/>
  <c r="O155" i="13"/>
  <c r="M155" i="13"/>
  <c r="J155" i="13" s="1"/>
  <c r="L155" i="13"/>
  <c r="K155" i="13"/>
  <c r="DL154" i="13"/>
  <c r="DK154" i="13"/>
  <c r="DJ154" i="13"/>
  <c r="DI154" i="13"/>
  <c r="DH154" i="13"/>
  <c r="DG154" i="13"/>
  <c r="DF154" i="13"/>
  <c r="DE154" i="13"/>
  <c r="DD154" i="13"/>
  <c r="DC154" i="13"/>
  <c r="DB154" i="13"/>
  <c r="DA154" i="13"/>
  <c r="CZ154" i="13"/>
  <c r="CY154" i="13"/>
  <c r="CX154" i="13"/>
  <c r="CW154" i="13"/>
  <c r="CV154" i="13"/>
  <c r="CU154" i="13"/>
  <c r="CT154" i="13"/>
  <c r="CS154" i="13"/>
  <c r="CR154" i="13"/>
  <c r="CQ154" i="13"/>
  <c r="CP154" i="13"/>
  <c r="CO154" i="13"/>
  <c r="CN154" i="13"/>
  <c r="CM154" i="13"/>
  <c r="CL154" i="13"/>
  <c r="CK154" i="13"/>
  <c r="CJ154" i="13"/>
  <c r="CI154" i="13"/>
  <c r="CH154" i="13"/>
  <c r="CG154" i="13"/>
  <c r="CF154" i="13"/>
  <c r="CE154" i="13"/>
  <c r="CD154" i="13"/>
  <c r="CC154" i="13"/>
  <c r="CB154" i="13"/>
  <c r="CA154" i="13"/>
  <c r="BZ154" i="13"/>
  <c r="BY154" i="13"/>
  <c r="BX154" i="13"/>
  <c r="BW154" i="13"/>
  <c r="BV154" i="13"/>
  <c r="BU154" i="13"/>
  <c r="BT154" i="13"/>
  <c r="BS154" i="13"/>
  <c r="BR154" i="13"/>
  <c r="BQ154" i="13"/>
  <c r="BP154" i="13"/>
  <c r="BO154" i="13"/>
  <c r="BM154" i="13"/>
  <c r="BL154" i="13"/>
  <c r="BE154" i="13"/>
  <c r="BD154" i="13"/>
  <c r="BC154" i="13"/>
  <c r="BB154" i="13"/>
  <c r="AW154" i="13"/>
  <c r="AV154" i="13"/>
  <c r="AU154" i="13"/>
  <c r="AT154" i="13"/>
  <c r="AS154" i="13"/>
  <c r="AR154" i="13"/>
  <c r="AP154" i="13"/>
  <c r="AO154" i="13"/>
  <c r="AN154" i="13"/>
  <c r="AM154" i="13"/>
  <c r="AL154" i="13"/>
  <c r="AK154" i="13"/>
  <c r="AI154" i="13"/>
  <c r="AG154" i="13"/>
  <c r="AF154" i="13"/>
  <c r="AE154" i="13"/>
  <c r="AD154" i="13"/>
  <c r="AC154" i="13"/>
  <c r="AB154" i="13"/>
  <c r="AA154" i="13"/>
  <c r="Z154" i="13"/>
  <c r="Y154" i="13"/>
  <c r="X154" i="13"/>
  <c r="W154" i="13"/>
  <c r="P154" i="13"/>
  <c r="O154" i="13"/>
  <c r="M154" i="13"/>
  <c r="J154" i="13" s="1"/>
  <c r="L154" i="13"/>
  <c r="K154" i="13"/>
  <c r="DL153" i="13"/>
  <c r="DK153" i="13"/>
  <c r="DJ153" i="13"/>
  <c r="DI153" i="13"/>
  <c r="DH153" i="13"/>
  <c r="DG153" i="13"/>
  <c r="DF153" i="13"/>
  <c r="DE153" i="13"/>
  <c r="DD153" i="13"/>
  <c r="DC153" i="13"/>
  <c r="DB153" i="13"/>
  <c r="DA153" i="13"/>
  <c r="CZ153" i="13"/>
  <c r="CY153" i="13"/>
  <c r="CX153" i="13"/>
  <c r="CW153" i="13"/>
  <c r="CV153" i="13"/>
  <c r="CU153" i="13"/>
  <c r="CT153" i="13"/>
  <c r="CS153" i="13"/>
  <c r="CR153" i="13"/>
  <c r="CQ153" i="13"/>
  <c r="CP153" i="13"/>
  <c r="CO153" i="13"/>
  <c r="CN153" i="13"/>
  <c r="CM153" i="13"/>
  <c r="CL153" i="13"/>
  <c r="CK153" i="13"/>
  <c r="CJ153" i="13"/>
  <c r="CI153" i="13"/>
  <c r="CH153" i="13"/>
  <c r="CG153" i="13"/>
  <c r="CF153" i="13"/>
  <c r="CE153" i="13"/>
  <c r="CD153" i="13"/>
  <c r="CC153" i="13"/>
  <c r="CB153" i="13"/>
  <c r="CA153" i="13"/>
  <c r="BZ153" i="13"/>
  <c r="BY153" i="13"/>
  <c r="BX153" i="13"/>
  <c r="BW153" i="13"/>
  <c r="BV153" i="13"/>
  <c r="BU153" i="13"/>
  <c r="BT153" i="13"/>
  <c r="BS153" i="13"/>
  <c r="BR153" i="13"/>
  <c r="BQ153" i="13"/>
  <c r="BP153" i="13"/>
  <c r="BO153" i="13"/>
  <c r="BM153" i="13"/>
  <c r="BL153" i="13"/>
  <c r="BG153" i="13"/>
  <c r="BF153" i="13"/>
  <c r="AP153" i="13"/>
  <c r="AO153" i="13"/>
  <c r="AN153" i="13"/>
  <c r="AM153" i="13"/>
  <c r="AI153" i="13"/>
  <c r="AG153" i="13"/>
  <c r="AF153" i="13"/>
  <c r="AE153" i="13"/>
  <c r="AD153" i="13"/>
  <c r="AC153" i="13"/>
  <c r="AB153" i="13"/>
  <c r="AA153" i="13"/>
  <c r="Z153" i="13"/>
  <c r="Y153" i="13"/>
  <c r="X153" i="13"/>
  <c r="W153" i="13"/>
  <c r="P153" i="13"/>
  <c r="O153" i="13"/>
  <c r="M153" i="13"/>
  <c r="J153" i="13" s="1"/>
  <c r="L153" i="13"/>
  <c r="K153" i="13"/>
  <c r="DL152" i="13"/>
  <c r="DK152" i="13"/>
  <c r="DJ152" i="13"/>
  <c r="DI152" i="13"/>
  <c r="DH152" i="13"/>
  <c r="DG152" i="13"/>
  <c r="DF152" i="13"/>
  <c r="DE152" i="13"/>
  <c r="DD152" i="13"/>
  <c r="DC152" i="13"/>
  <c r="DB152" i="13"/>
  <c r="DA152" i="13"/>
  <c r="CZ152" i="13"/>
  <c r="CY152" i="13"/>
  <c r="CX152" i="13"/>
  <c r="CW152" i="13"/>
  <c r="CV152" i="13"/>
  <c r="CU152" i="13"/>
  <c r="CT152" i="13"/>
  <c r="CS152" i="13"/>
  <c r="CR152" i="13"/>
  <c r="CQ152" i="13"/>
  <c r="CP152" i="13"/>
  <c r="CO152" i="13"/>
  <c r="CN152" i="13"/>
  <c r="CM152" i="13"/>
  <c r="CL152" i="13"/>
  <c r="CK152" i="13"/>
  <c r="CJ152" i="13"/>
  <c r="CI152" i="13"/>
  <c r="CH152" i="13"/>
  <c r="CG152" i="13"/>
  <c r="CF152" i="13"/>
  <c r="CE152" i="13"/>
  <c r="CD152" i="13"/>
  <c r="CC152" i="13"/>
  <c r="CB152" i="13"/>
  <c r="CA152" i="13"/>
  <c r="BZ152" i="13"/>
  <c r="BY152" i="13"/>
  <c r="BX152" i="13"/>
  <c r="BW152" i="13"/>
  <c r="BV152" i="13"/>
  <c r="BU152" i="13"/>
  <c r="BT152" i="13"/>
  <c r="BS152" i="13"/>
  <c r="BR152" i="13"/>
  <c r="BQ152" i="13"/>
  <c r="BP152" i="13"/>
  <c r="BO152" i="13"/>
  <c r="BM152" i="13"/>
  <c r="BL152" i="13"/>
  <c r="BI152" i="13"/>
  <c r="BH152" i="13"/>
  <c r="BG152" i="13"/>
  <c r="BF152" i="13"/>
  <c r="BE152" i="13"/>
  <c r="BD152" i="13"/>
  <c r="BC152" i="13"/>
  <c r="BB152" i="13"/>
  <c r="BA152" i="13"/>
  <c r="AZ152" i="13"/>
  <c r="AY152" i="13"/>
  <c r="AX152" i="13"/>
  <c r="AW152" i="13"/>
  <c r="AV152" i="13"/>
  <c r="AU152" i="13"/>
  <c r="AT152" i="13"/>
  <c r="AS152" i="13"/>
  <c r="AR152" i="13"/>
  <c r="AQ152" i="13"/>
  <c r="AP152" i="13"/>
  <c r="AO152" i="13"/>
  <c r="AN152" i="13"/>
  <c r="AM152" i="13"/>
  <c r="AL152" i="13"/>
  <c r="AK152" i="13"/>
  <c r="AI152" i="13"/>
  <c r="AG152" i="13"/>
  <c r="AF152" i="13"/>
  <c r="AE152" i="13"/>
  <c r="AD152" i="13"/>
  <c r="AC152" i="13"/>
  <c r="AB152" i="13"/>
  <c r="AA152" i="13"/>
  <c r="Z152" i="13"/>
  <c r="Y152" i="13"/>
  <c r="X152" i="13"/>
  <c r="W152" i="13"/>
  <c r="P152" i="13"/>
  <c r="O152" i="13"/>
  <c r="M152" i="13"/>
  <c r="J152" i="13" s="1"/>
  <c r="L152" i="13"/>
  <c r="K152" i="13"/>
  <c r="DL151" i="13"/>
  <c r="DK151" i="13"/>
  <c r="DJ151" i="13"/>
  <c r="DI151" i="13"/>
  <c r="DH151" i="13"/>
  <c r="DG151" i="13"/>
  <c r="DF151" i="13"/>
  <c r="DE151" i="13"/>
  <c r="DD151" i="13"/>
  <c r="DC151" i="13"/>
  <c r="DB151" i="13"/>
  <c r="DA151" i="13"/>
  <c r="CZ151" i="13"/>
  <c r="CY151" i="13"/>
  <c r="CX151" i="13"/>
  <c r="CW151" i="13"/>
  <c r="CV151" i="13"/>
  <c r="CU151" i="13"/>
  <c r="CT151" i="13"/>
  <c r="CS151" i="13"/>
  <c r="CR151" i="13"/>
  <c r="CQ151" i="13"/>
  <c r="CP151" i="13"/>
  <c r="CO151" i="13"/>
  <c r="CN151" i="13"/>
  <c r="CM151" i="13"/>
  <c r="CL151" i="13"/>
  <c r="CK151" i="13"/>
  <c r="CJ151" i="13"/>
  <c r="CI151" i="13"/>
  <c r="CH151" i="13"/>
  <c r="CG151" i="13"/>
  <c r="CF151" i="13"/>
  <c r="CE151" i="13"/>
  <c r="CD151" i="13"/>
  <c r="CC151" i="13"/>
  <c r="CB151" i="13"/>
  <c r="CA151" i="13"/>
  <c r="BZ151" i="13"/>
  <c r="BY151" i="13"/>
  <c r="BX151" i="13"/>
  <c r="BW151" i="13"/>
  <c r="BV151" i="13"/>
  <c r="BU151" i="13"/>
  <c r="BT151" i="13"/>
  <c r="BS151" i="13"/>
  <c r="BR151" i="13"/>
  <c r="BQ151" i="13"/>
  <c r="BP151" i="13"/>
  <c r="BO151" i="13"/>
  <c r="BM151" i="13"/>
  <c r="BL151" i="13"/>
  <c r="BI151" i="13"/>
  <c r="BH151" i="13"/>
  <c r="BE151" i="13"/>
  <c r="BD151" i="13"/>
  <c r="BC151" i="13"/>
  <c r="BB151" i="13"/>
  <c r="AW151" i="13"/>
  <c r="AV151" i="13"/>
  <c r="AU151" i="13"/>
  <c r="AT151" i="13"/>
  <c r="AS151" i="13"/>
  <c r="AR151" i="13"/>
  <c r="AP151" i="13"/>
  <c r="AO151" i="13"/>
  <c r="AN151" i="13"/>
  <c r="AM151" i="13"/>
  <c r="AL151" i="13"/>
  <c r="AK151" i="13"/>
  <c r="AI151" i="13"/>
  <c r="AG151" i="13"/>
  <c r="AF151" i="13"/>
  <c r="AE151" i="13"/>
  <c r="AD151" i="13"/>
  <c r="AC151" i="13"/>
  <c r="AB151" i="13"/>
  <c r="AA151" i="13"/>
  <c r="Z151" i="13"/>
  <c r="Y151" i="13"/>
  <c r="X151" i="13"/>
  <c r="W151" i="13"/>
  <c r="P151" i="13"/>
  <c r="O151" i="13"/>
  <c r="M151" i="13"/>
  <c r="J151" i="13" s="1"/>
  <c r="L151" i="13"/>
  <c r="K151" i="13"/>
  <c r="DL150" i="13"/>
  <c r="DK150" i="13"/>
  <c r="DJ150" i="13"/>
  <c r="DI150" i="13"/>
  <c r="DH150" i="13"/>
  <c r="DG150" i="13"/>
  <c r="DF150" i="13"/>
  <c r="DE150" i="13"/>
  <c r="DD150" i="13"/>
  <c r="DC150" i="13"/>
  <c r="DB150" i="13"/>
  <c r="DA150" i="13"/>
  <c r="CZ150" i="13"/>
  <c r="CY150" i="13"/>
  <c r="CX150" i="13"/>
  <c r="CW150" i="13"/>
  <c r="CV150" i="13"/>
  <c r="CU150" i="13"/>
  <c r="CT150" i="13"/>
  <c r="CS150" i="13"/>
  <c r="CR150" i="13"/>
  <c r="CQ150" i="13"/>
  <c r="CP150" i="13"/>
  <c r="CO150" i="13"/>
  <c r="CN150" i="13"/>
  <c r="CM150" i="13"/>
  <c r="CL150" i="13"/>
  <c r="CK150" i="13"/>
  <c r="CJ150" i="13"/>
  <c r="CI150" i="13"/>
  <c r="CH150" i="13"/>
  <c r="CG150" i="13"/>
  <c r="CF150" i="13"/>
  <c r="CE150" i="13"/>
  <c r="CD150" i="13"/>
  <c r="CC150" i="13"/>
  <c r="CB150" i="13"/>
  <c r="CA150" i="13"/>
  <c r="BZ150" i="13"/>
  <c r="BY150" i="13"/>
  <c r="BX150" i="13"/>
  <c r="BW150" i="13"/>
  <c r="BV150" i="13"/>
  <c r="BU150" i="13"/>
  <c r="BT150" i="13"/>
  <c r="BS150" i="13"/>
  <c r="BR150" i="13"/>
  <c r="BQ150" i="13"/>
  <c r="BP150" i="13"/>
  <c r="BO150" i="13"/>
  <c r="BM150" i="13"/>
  <c r="BL150" i="13"/>
  <c r="BI150" i="13"/>
  <c r="BH150" i="13"/>
  <c r="BG150" i="13"/>
  <c r="BF150" i="13"/>
  <c r="BE150" i="13"/>
  <c r="BD150" i="13"/>
  <c r="BC150" i="13"/>
  <c r="BB150" i="13"/>
  <c r="AY150" i="13"/>
  <c r="AX150" i="13"/>
  <c r="AW150" i="13"/>
  <c r="AV150" i="13"/>
  <c r="AU150" i="13"/>
  <c r="AS150" i="13"/>
  <c r="AR150" i="13"/>
  <c r="AQ150" i="13"/>
  <c r="AP150" i="13"/>
  <c r="AO150" i="13"/>
  <c r="AN150" i="13"/>
  <c r="AM150" i="13"/>
  <c r="AL150" i="13"/>
  <c r="AK150" i="13"/>
  <c r="AI150" i="13"/>
  <c r="AG150" i="13"/>
  <c r="AF150" i="13"/>
  <c r="AE150" i="13"/>
  <c r="AD150" i="13"/>
  <c r="AC150" i="13"/>
  <c r="AB150" i="13"/>
  <c r="AA150" i="13"/>
  <c r="Z150" i="13"/>
  <c r="Y150" i="13"/>
  <c r="X150" i="13"/>
  <c r="W150" i="13"/>
  <c r="P150" i="13"/>
  <c r="O150" i="13"/>
  <c r="M150" i="13"/>
  <c r="J150" i="13" s="1"/>
  <c r="L150" i="13"/>
  <c r="K150" i="13"/>
  <c r="DL149" i="13"/>
  <c r="DK149" i="13"/>
  <c r="DJ149" i="13"/>
  <c r="DI149" i="13"/>
  <c r="DH149" i="13"/>
  <c r="DG149" i="13"/>
  <c r="DF149" i="13"/>
  <c r="DE149" i="13"/>
  <c r="DD149" i="13"/>
  <c r="DC149" i="13"/>
  <c r="DB149" i="13"/>
  <c r="DA149" i="13"/>
  <c r="CZ149" i="13"/>
  <c r="CY149" i="13"/>
  <c r="CX149" i="13"/>
  <c r="CW149" i="13"/>
  <c r="CV149" i="13"/>
  <c r="CU149" i="13"/>
  <c r="CT149" i="13"/>
  <c r="CS149" i="13"/>
  <c r="CR149" i="13"/>
  <c r="CQ149" i="13"/>
  <c r="CP149" i="13"/>
  <c r="CO149" i="13"/>
  <c r="CN149" i="13"/>
  <c r="CM149" i="13"/>
  <c r="CL149" i="13"/>
  <c r="CK149" i="13"/>
  <c r="CJ149" i="13"/>
  <c r="CI149" i="13"/>
  <c r="CH149" i="13"/>
  <c r="CG149" i="13"/>
  <c r="CF149" i="13"/>
  <c r="CE149" i="13"/>
  <c r="CD149" i="13"/>
  <c r="CC149" i="13"/>
  <c r="CB149" i="13"/>
  <c r="CA149" i="13"/>
  <c r="BZ149" i="13"/>
  <c r="BY149" i="13"/>
  <c r="BX149" i="13"/>
  <c r="BW149" i="13"/>
  <c r="BV149" i="13"/>
  <c r="BU149" i="13"/>
  <c r="BT149" i="13"/>
  <c r="BS149" i="13"/>
  <c r="BR149" i="13"/>
  <c r="BQ149" i="13"/>
  <c r="BP149" i="13"/>
  <c r="BO149" i="13"/>
  <c r="BM149" i="13"/>
  <c r="BL149" i="13"/>
  <c r="AY149" i="13"/>
  <c r="AX149" i="13"/>
  <c r="AW149" i="13"/>
  <c r="AV149" i="13"/>
  <c r="AU149" i="13"/>
  <c r="AP149" i="13"/>
  <c r="AO149" i="13"/>
  <c r="AN149" i="13"/>
  <c r="AM149" i="13"/>
  <c r="AL149" i="13"/>
  <c r="AK149" i="13"/>
  <c r="AI149" i="13"/>
  <c r="AG149" i="13"/>
  <c r="AF149" i="13"/>
  <c r="AE149" i="13"/>
  <c r="AD149" i="13"/>
  <c r="AC149" i="13"/>
  <c r="AB149" i="13"/>
  <c r="AA149" i="13"/>
  <c r="Z149" i="13"/>
  <c r="Y149" i="13"/>
  <c r="X149" i="13"/>
  <c r="W149" i="13"/>
  <c r="P149" i="13"/>
  <c r="O149" i="13"/>
  <c r="M149" i="13"/>
  <c r="J149" i="13" s="1"/>
  <c r="L149" i="13"/>
  <c r="K149" i="13"/>
  <c r="DL148" i="13"/>
  <c r="DK148" i="13"/>
  <c r="DJ148" i="13"/>
  <c r="DI148" i="13"/>
  <c r="DH148" i="13"/>
  <c r="DG148" i="13"/>
  <c r="DF148" i="13"/>
  <c r="DE148" i="13"/>
  <c r="DD148" i="13"/>
  <c r="DC148" i="13"/>
  <c r="DB148" i="13"/>
  <c r="DA148" i="13"/>
  <c r="CZ148" i="13"/>
  <c r="CY148" i="13"/>
  <c r="CX148" i="13"/>
  <c r="CW148" i="13"/>
  <c r="CV148" i="13"/>
  <c r="CU148" i="13"/>
  <c r="CT148" i="13"/>
  <c r="CS148" i="13"/>
  <c r="CR148" i="13"/>
  <c r="CQ148" i="13"/>
  <c r="CP148" i="13"/>
  <c r="CO148" i="13"/>
  <c r="CN148" i="13"/>
  <c r="CM148" i="13"/>
  <c r="CL148" i="13"/>
  <c r="CK148" i="13"/>
  <c r="CJ148" i="13"/>
  <c r="CI148" i="13"/>
  <c r="CH148" i="13"/>
  <c r="CG148" i="13"/>
  <c r="CF148" i="13"/>
  <c r="CE148" i="13"/>
  <c r="CD148" i="13"/>
  <c r="CC148" i="13"/>
  <c r="CB148" i="13"/>
  <c r="CA148" i="13"/>
  <c r="BZ148" i="13"/>
  <c r="BY148" i="13"/>
  <c r="BX148" i="13"/>
  <c r="BW148" i="13"/>
  <c r="BV148" i="13"/>
  <c r="BU148" i="13"/>
  <c r="BT148" i="13"/>
  <c r="BS148" i="13"/>
  <c r="BR148" i="13"/>
  <c r="BQ148" i="13"/>
  <c r="BP148" i="13"/>
  <c r="BO148" i="13"/>
  <c r="BM148" i="13"/>
  <c r="BL148" i="13"/>
  <c r="BG148" i="13"/>
  <c r="BF148" i="13"/>
  <c r="BE148" i="13"/>
  <c r="BD148" i="13"/>
  <c r="BC148" i="13"/>
  <c r="BB148" i="13"/>
  <c r="BA148" i="13"/>
  <c r="AZ148" i="13"/>
  <c r="AY148" i="13"/>
  <c r="AX148" i="13"/>
  <c r="AU148" i="13"/>
  <c r="AT148" i="13"/>
  <c r="AQ148" i="13"/>
  <c r="AP148" i="13"/>
  <c r="AO148" i="13"/>
  <c r="AN148" i="13"/>
  <c r="AM148" i="13"/>
  <c r="AL148" i="13"/>
  <c r="AK148" i="13"/>
  <c r="AI148" i="13"/>
  <c r="AG148" i="13"/>
  <c r="AF148" i="13"/>
  <c r="AE148" i="13"/>
  <c r="AD148" i="13"/>
  <c r="AC148" i="13"/>
  <c r="AB148" i="13"/>
  <c r="AA148" i="13"/>
  <c r="Z148" i="13"/>
  <c r="Y148" i="13"/>
  <c r="X148" i="13"/>
  <c r="W148" i="13"/>
  <c r="P148" i="13"/>
  <c r="O148" i="13"/>
  <c r="M148" i="13"/>
  <c r="J148" i="13" s="1"/>
  <c r="L148" i="13"/>
  <c r="K148" i="13"/>
  <c r="DL147" i="13"/>
  <c r="DK147" i="13"/>
  <c r="DJ147" i="13"/>
  <c r="DI147" i="13"/>
  <c r="DH147" i="13"/>
  <c r="DG147" i="13"/>
  <c r="DF147" i="13"/>
  <c r="DE147" i="13"/>
  <c r="DD147" i="13"/>
  <c r="DC147" i="13"/>
  <c r="DB147" i="13"/>
  <c r="DA147" i="13"/>
  <c r="CZ147" i="13"/>
  <c r="CY147" i="13"/>
  <c r="CX147" i="13"/>
  <c r="CW147" i="13"/>
  <c r="CV147" i="13"/>
  <c r="CU147" i="13"/>
  <c r="CT147" i="13"/>
  <c r="CS147" i="13"/>
  <c r="CR147" i="13"/>
  <c r="CQ147" i="13"/>
  <c r="CP147" i="13"/>
  <c r="CO147" i="13"/>
  <c r="CN147" i="13"/>
  <c r="CM147" i="13"/>
  <c r="CL147" i="13"/>
  <c r="CK147" i="13"/>
  <c r="CJ147" i="13"/>
  <c r="CI147" i="13"/>
  <c r="CH147" i="13"/>
  <c r="CG147" i="13"/>
  <c r="CF147" i="13"/>
  <c r="CE147" i="13"/>
  <c r="CD147" i="13"/>
  <c r="CC147" i="13"/>
  <c r="CB147" i="13"/>
  <c r="CA147" i="13"/>
  <c r="BZ147" i="13"/>
  <c r="BY147" i="13"/>
  <c r="BX147" i="13"/>
  <c r="BW147" i="13"/>
  <c r="BV147" i="13"/>
  <c r="BU147" i="13"/>
  <c r="BT147" i="13"/>
  <c r="BS147" i="13"/>
  <c r="BR147" i="13"/>
  <c r="BQ147" i="13"/>
  <c r="BP147" i="13"/>
  <c r="BO147" i="13"/>
  <c r="BM147" i="13"/>
  <c r="BL147" i="13"/>
  <c r="BG147" i="13"/>
  <c r="BF147" i="13"/>
  <c r="BE147" i="13"/>
  <c r="BD147" i="13"/>
  <c r="AY147" i="13"/>
  <c r="AX147" i="13"/>
  <c r="AU147" i="13"/>
  <c r="AP147" i="13"/>
  <c r="AO147" i="13"/>
  <c r="AN147" i="13"/>
  <c r="AM147" i="13"/>
  <c r="AL147" i="13"/>
  <c r="AK147" i="13"/>
  <c r="AI147" i="13"/>
  <c r="AG147" i="13"/>
  <c r="AF147" i="13"/>
  <c r="AE147" i="13"/>
  <c r="AD147" i="13"/>
  <c r="AC147" i="13"/>
  <c r="AB147" i="13"/>
  <c r="AA147" i="13"/>
  <c r="Z147" i="13"/>
  <c r="Y147" i="13"/>
  <c r="X147" i="13"/>
  <c r="W147" i="13"/>
  <c r="P147" i="13"/>
  <c r="O147" i="13"/>
  <c r="M147" i="13"/>
  <c r="J147" i="13" s="1"/>
  <c r="L147" i="13"/>
  <c r="K147" i="13"/>
  <c r="DL146" i="13"/>
  <c r="DK146" i="13"/>
  <c r="DJ146" i="13"/>
  <c r="DI146" i="13"/>
  <c r="DH146" i="13"/>
  <c r="DG146" i="13"/>
  <c r="DF146" i="13"/>
  <c r="DE146" i="13"/>
  <c r="DD146" i="13"/>
  <c r="DC146" i="13"/>
  <c r="DB146" i="13"/>
  <c r="DA146" i="13"/>
  <c r="CZ146" i="13"/>
  <c r="CY146" i="13"/>
  <c r="CX146" i="13"/>
  <c r="CW146" i="13"/>
  <c r="CV146" i="13"/>
  <c r="CU146" i="13"/>
  <c r="CT146" i="13"/>
  <c r="CS146" i="13"/>
  <c r="CR146" i="13"/>
  <c r="CQ146" i="13"/>
  <c r="CP146" i="13"/>
  <c r="CO146" i="13"/>
  <c r="CN146" i="13"/>
  <c r="CM146" i="13"/>
  <c r="CL146" i="13"/>
  <c r="CK146" i="13"/>
  <c r="CJ146" i="13"/>
  <c r="CI146" i="13"/>
  <c r="CH146" i="13"/>
  <c r="CG146" i="13"/>
  <c r="CF146" i="13"/>
  <c r="CE146" i="13"/>
  <c r="CD146" i="13"/>
  <c r="CC146" i="13"/>
  <c r="CB146" i="13"/>
  <c r="CA146" i="13"/>
  <c r="BZ146" i="13"/>
  <c r="BY146" i="13"/>
  <c r="BX146" i="13"/>
  <c r="BW146" i="13"/>
  <c r="BV146" i="13"/>
  <c r="BU146" i="13"/>
  <c r="BT146" i="13"/>
  <c r="BS146" i="13"/>
  <c r="BR146" i="13"/>
  <c r="BQ146" i="13"/>
  <c r="BP146" i="13"/>
  <c r="BO146" i="13"/>
  <c r="BM146" i="13"/>
  <c r="BL146" i="13"/>
  <c r="BI146" i="13"/>
  <c r="BH146" i="13"/>
  <c r="BG146" i="13"/>
  <c r="BF146" i="13"/>
  <c r="BC146" i="13"/>
  <c r="BB146" i="13"/>
  <c r="BA146" i="13"/>
  <c r="AZ146" i="13"/>
  <c r="AY146" i="13"/>
  <c r="AX146" i="13"/>
  <c r="AW146" i="13"/>
  <c r="AV146" i="13"/>
  <c r="AU146" i="13"/>
  <c r="AT146" i="13"/>
  <c r="AR146" i="13"/>
  <c r="AP146" i="13"/>
  <c r="AO146" i="13"/>
  <c r="AN146" i="13"/>
  <c r="AM146" i="13"/>
  <c r="AL146" i="13"/>
  <c r="AK146" i="13"/>
  <c r="AI146" i="13"/>
  <c r="AG146" i="13"/>
  <c r="AF146" i="13"/>
  <c r="AE146" i="13"/>
  <c r="AD146" i="13"/>
  <c r="AC146" i="13"/>
  <c r="AB146" i="13"/>
  <c r="AA146" i="13"/>
  <c r="Z146" i="13"/>
  <c r="Y146" i="13"/>
  <c r="X146" i="13"/>
  <c r="W146" i="13"/>
  <c r="P146" i="13"/>
  <c r="O146" i="13"/>
  <c r="M146" i="13"/>
  <c r="J146" i="13" s="1"/>
  <c r="L146" i="13"/>
  <c r="K146" i="13"/>
  <c r="DL145" i="13"/>
  <c r="DK145" i="13"/>
  <c r="DJ145" i="13"/>
  <c r="DI145" i="13"/>
  <c r="DH145" i="13"/>
  <c r="DG145" i="13"/>
  <c r="DF145" i="13"/>
  <c r="DE145" i="13"/>
  <c r="DD145" i="13"/>
  <c r="DC145" i="13"/>
  <c r="DB145" i="13"/>
  <c r="DA145" i="13"/>
  <c r="CZ145" i="13"/>
  <c r="CY145" i="13"/>
  <c r="CX145" i="13"/>
  <c r="CW145" i="13"/>
  <c r="CV145" i="13"/>
  <c r="CU145" i="13"/>
  <c r="CT145" i="13"/>
  <c r="CS145" i="13"/>
  <c r="CR145" i="13"/>
  <c r="CQ145" i="13"/>
  <c r="CP145" i="13"/>
  <c r="CO145" i="13"/>
  <c r="CN145" i="13"/>
  <c r="CM145" i="13"/>
  <c r="CL145" i="13"/>
  <c r="CK145" i="13"/>
  <c r="CJ145" i="13"/>
  <c r="CI145" i="13"/>
  <c r="CH145" i="13"/>
  <c r="CG145" i="13"/>
  <c r="CF145" i="13"/>
  <c r="CE145" i="13"/>
  <c r="CD145" i="13"/>
  <c r="CC145" i="13"/>
  <c r="CB145" i="13"/>
  <c r="CA145" i="13"/>
  <c r="BZ145" i="13"/>
  <c r="BY145" i="13"/>
  <c r="BX145" i="13"/>
  <c r="BW145" i="13"/>
  <c r="BV145" i="13"/>
  <c r="BU145" i="13"/>
  <c r="BT145" i="13"/>
  <c r="BS145" i="13"/>
  <c r="BR145" i="13"/>
  <c r="BQ145" i="13"/>
  <c r="BP145" i="13"/>
  <c r="BO145" i="13"/>
  <c r="BM145" i="13"/>
  <c r="BL145" i="13"/>
  <c r="AP145" i="13"/>
  <c r="AO145" i="13"/>
  <c r="AN145" i="13"/>
  <c r="AM145" i="13"/>
  <c r="AI145" i="13"/>
  <c r="AG145" i="13"/>
  <c r="AF145" i="13"/>
  <c r="AE145" i="13"/>
  <c r="AD145" i="13"/>
  <c r="AC145" i="13"/>
  <c r="AB145" i="13"/>
  <c r="AA145" i="13"/>
  <c r="Z145" i="13"/>
  <c r="Y145" i="13"/>
  <c r="X145" i="13"/>
  <c r="W145" i="13"/>
  <c r="P145" i="13"/>
  <c r="O145" i="13"/>
  <c r="M145" i="13"/>
  <c r="J145" i="13" s="1"/>
  <c r="L145" i="13"/>
  <c r="K145" i="13"/>
  <c r="DL144" i="13"/>
  <c r="DK144" i="13"/>
  <c r="DJ144" i="13"/>
  <c r="DI144" i="13"/>
  <c r="DH144" i="13"/>
  <c r="DG144" i="13"/>
  <c r="DF144" i="13"/>
  <c r="DE144" i="13"/>
  <c r="DD144" i="13"/>
  <c r="DC144" i="13"/>
  <c r="DB144" i="13"/>
  <c r="DA144" i="13"/>
  <c r="CZ144" i="13"/>
  <c r="CY144" i="13"/>
  <c r="CX144" i="13"/>
  <c r="CW144" i="13"/>
  <c r="CV144" i="13"/>
  <c r="CU144" i="13"/>
  <c r="CT144" i="13"/>
  <c r="CS144" i="13"/>
  <c r="CR144" i="13"/>
  <c r="CQ144" i="13"/>
  <c r="CP144" i="13"/>
  <c r="CO144" i="13"/>
  <c r="CN144" i="13"/>
  <c r="CM144" i="13"/>
  <c r="CL144" i="13"/>
  <c r="CK144" i="13"/>
  <c r="CJ144" i="13"/>
  <c r="CI144" i="13"/>
  <c r="CH144" i="13"/>
  <c r="CG144" i="13"/>
  <c r="CF144" i="13"/>
  <c r="CE144" i="13"/>
  <c r="CD144" i="13"/>
  <c r="CC144" i="13"/>
  <c r="CB144" i="13"/>
  <c r="CA144" i="13"/>
  <c r="BZ144" i="13"/>
  <c r="BY144" i="13"/>
  <c r="BX144" i="13"/>
  <c r="BW144" i="13"/>
  <c r="BV144" i="13"/>
  <c r="BU144" i="13"/>
  <c r="BT144" i="13"/>
  <c r="BS144" i="13"/>
  <c r="BR144" i="13"/>
  <c r="BQ144" i="13"/>
  <c r="BP144" i="13"/>
  <c r="BO144" i="13"/>
  <c r="BM144" i="13"/>
  <c r="BL144" i="13"/>
  <c r="BE144" i="13"/>
  <c r="BD144" i="13"/>
  <c r="BC144" i="13"/>
  <c r="BB144" i="13"/>
  <c r="BA144" i="13"/>
  <c r="AZ144" i="13"/>
  <c r="AW144" i="13"/>
  <c r="AV144" i="13"/>
  <c r="AU144" i="13"/>
  <c r="AT144" i="13"/>
  <c r="AS144" i="13"/>
  <c r="AR144" i="13"/>
  <c r="AP144" i="13"/>
  <c r="AO144" i="13"/>
  <c r="AN144" i="13"/>
  <c r="AM144" i="13"/>
  <c r="AL144" i="13"/>
  <c r="AK144" i="13"/>
  <c r="AI144" i="13"/>
  <c r="AG144" i="13"/>
  <c r="AF144" i="13"/>
  <c r="AE144" i="13"/>
  <c r="AD144" i="13"/>
  <c r="AC144" i="13"/>
  <c r="AB144" i="13"/>
  <c r="AA144" i="13"/>
  <c r="Z144" i="13"/>
  <c r="Y144" i="13"/>
  <c r="X144" i="13"/>
  <c r="W144" i="13"/>
  <c r="P144" i="13"/>
  <c r="O144" i="13"/>
  <c r="M144" i="13"/>
  <c r="J144" i="13" s="1"/>
  <c r="L144" i="13"/>
  <c r="K144" i="13"/>
  <c r="DL143" i="13"/>
  <c r="DK143" i="13"/>
  <c r="DJ143" i="13"/>
  <c r="DI143" i="13"/>
  <c r="DH143" i="13"/>
  <c r="DG143" i="13"/>
  <c r="DF143" i="13"/>
  <c r="DE143" i="13"/>
  <c r="DD143" i="13"/>
  <c r="DC143" i="13"/>
  <c r="DB143" i="13"/>
  <c r="DA143" i="13"/>
  <c r="CZ143" i="13"/>
  <c r="CY143" i="13"/>
  <c r="CX143" i="13"/>
  <c r="CW143" i="13"/>
  <c r="CV143" i="13"/>
  <c r="CU143" i="13"/>
  <c r="CT143" i="13"/>
  <c r="CS143" i="13"/>
  <c r="CR143" i="13"/>
  <c r="CQ143" i="13"/>
  <c r="CP143" i="13"/>
  <c r="CO143" i="13"/>
  <c r="CN143" i="13"/>
  <c r="CM143" i="13"/>
  <c r="CL143" i="13"/>
  <c r="CK143" i="13"/>
  <c r="CJ143" i="13"/>
  <c r="CI143" i="13"/>
  <c r="CH143" i="13"/>
  <c r="CG143" i="13"/>
  <c r="CF143" i="13"/>
  <c r="CE143" i="13"/>
  <c r="CD143" i="13"/>
  <c r="CC143" i="13"/>
  <c r="CB143" i="13"/>
  <c r="CA143" i="13"/>
  <c r="BZ143" i="13"/>
  <c r="BY143" i="13"/>
  <c r="BX143" i="13"/>
  <c r="BW143" i="13"/>
  <c r="BV143" i="13"/>
  <c r="BU143" i="13"/>
  <c r="BT143" i="13"/>
  <c r="BS143" i="13"/>
  <c r="BR143" i="13"/>
  <c r="BQ143" i="13"/>
  <c r="BP143" i="13"/>
  <c r="BO143" i="13"/>
  <c r="BM143" i="13"/>
  <c r="BL143" i="13"/>
  <c r="BI143" i="13"/>
  <c r="BH143" i="13"/>
  <c r="BG143" i="13"/>
  <c r="BF143" i="13"/>
  <c r="BE143" i="13"/>
  <c r="BD143" i="13"/>
  <c r="BC143" i="13"/>
  <c r="BB143" i="13"/>
  <c r="BA143" i="13"/>
  <c r="AZ143" i="13"/>
  <c r="AY143" i="13"/>
  <c r="AX143" i="13"/>
  <c r="AW143" i="13"/>
  <c r="AV143" i="13"/>
  <c r="AU143" i="13"/>
  <c r="AT143" i="13"/>
  <c r="AS143" i="13"/>
  <c r="AR143" i="13"/>
  <c r="AQ143" i="13"/>
  <c r="AP143" i="13"/>
  <c r="AO143" i="13"/>
  <c r="AN143" i="13"/>
  <c r="AM143" i="13"/>
  <c r="AL143" i="13"/>
  <c r="AK143" i="13"/>
  <c r="AI143" i="13"/>
  <c r="AG143" i="13"/>
  <c r="AF143" i="13"/>
  <c r="AE143" i="13"/>
  <c r="AD143" i="13"/>
  <c r="AC143" i="13"/>
  <c r="AB143" i="13"/>
  <c r="AA143" i="13"/>
  <c r="Z143" i="13"/>
  <c r="Y143" i="13"/>
  <c r="X143" i="13"/>
  <c r="W143" i="13"/>
  <c r="P143" i="13"/>
  <c r="O143" i="13"/>
  <c r="M143" i="13"/>
  <c r="J143" i="13" s="1"/>
  <c r="L143" i="13"/>
  <c r="K143" i="13"/>
  <c r="DL142" i="13"/>
  <c r="DK142" i="13"/>
  <c r="DJ142" i="13"/>
  <c r="DI142" i="13"/>
  <c r="DH142" i="13"/>
  <c r="DG142" i="13"/>
  <c r="DF142" i="13"/>
  <c r="DE142" i="13"/>
  <c r="DD142" i="13"/>
  <c r="DC142" i="13"/>
  <c r="DB142" i="13"/>
  <c r="DA142" i="13"/>
  <c r="CZ142" i="13"/>
  <c r="CY142" i="13"/>
  <c r="CX142" i="13"/>
  <c r="CW142" i="13"/>
  <c r="CV142" i="13"/>
  <c r="CU142" i="13"/>
  <c r="CT142" i="13"/>
  <c r="CS142" i="13"/>
  <c r="CR142" i="13"/>
  <c r="CQ142" i="13"/>
  <c r="CP142" i="13"/>
  <c r="CO142" i="13"/>
  <c r="CN142" i="13"/>
  <c r="CM142" i="13"/>
  <c r="CL142" i="13"/>
  <c r="CK142" i="13"/>
  <c r="CJ142" i="13"/>
  <c r="CI142" i="13"/>
  <c r="CH142" i="13"/>
  <c r="CG142" i="13"/>
  <c r="CF142" i="13"/>
  <c r="CE142" i="13"/>
  <c r="CD142" i="13"/>
  <c r="CC142" i="13"/>
  <c r="CB142" i="13"/>
  <c r="CA142" i="13"/>
  <c r="BZ142" i="13"/>
  <c r="BY142" i="13"/>
  <c r="BX142" i="13"/>
  <c r="BW142" i="13"/>
  <c r="BV142" i="13"/>
  <c r="BU142" i="13"/>
  <c r="BT142" i="13"/>
  <c r="BS142" i="13"/>
  <c r="BR142" i="13"/>
  <c r="BQ142" i="13"/>
  <c r="BP142" i="13"/>
  <c r="BO142" i="13"/>
  <c r="BM142" i="13"/>
  <c r="BL142" i="13"/>
  <c r="BI142" i="13"/>
  <c r="BH142" i="13"/>
  <c r="BG142" i="13"/>
  <c r="BF142" i="13"/>
  <c r="BE142" i="13"/>
  <c r="BD142" i="13"/>
  <c r="BC142" i="13"/>
  <c r="BB142" i="13"/>
  <c r="BA142" i="13"/>
  <c r="AZ142" i="13"/>
  <c r="AY142" i="13"/>
  <c r="AX142" i="13"/>
  <c r="AW142" i="13"/>
  <c r="AV142" i="13"/>
  <c r="AU142" i="13"/>
  <c r="AT142" i="13"/>
  <c r="AS142" i="13"/>
  <c r="AR142" i="13"/>
  <c r="AQ142" i="13"/>
  <c r="AP142" i="13"/>
  <c r="AO142" i="13"/>
  <c r="AN142" i="13"/>
  <c r="AM142" i="13"/>
  <c r="AL142" i="13"/>
  <c r="AK142" i="13"/>
  <c r="AI142" i="13"/>
  <c r="AG142" i="13"/>
  <c r="AF142" i="13"/>
  <c r="AE142" i="13"/>
  <c r="AD142" i="13"/>
  <c r="AC142" i="13"/>
  <c r="AB142" i="13"/>
  <c r="AA142" i="13"/>
  <c r="Z142" i="13"/>
  <c r="Y142" i="13"/>
  <c r="X142" i="13"/>
  <c r="W142" i="13"/>
  <c r="P142" i="13"/>
  <c r="O142" i="13"/>
  <c r="M142" i="13"/>
  <c r="J142" i="13" s="1"/>
  <c r="L142" i="13"/>
  <c r="K142" i="13"/>
  <c r="DL141" i="13"/>
  <c r="DK141" i="13"/>
  <c r="DJ141" i="13"/>
  <c r="DI141" i="13"/>
  <c r="DH141" i="13"/>
  <c r="DG141" i="13"/>
  <c r="DF141" i="13"/>
  <c r="DE141" i="13"/>
  <c r="DD141" i="13"/>
  <c r="DC141" i="13"/>
  <c r="DB141" i="13"/>
  <c r="DA141" i="13"/>
  <c r="CZ141" i="13"/>
  <c r="CY141" i="13"/>
  <c r="CX141" i="13"/>
  <c r="CW141" i="13"/>
  <c r="CV141" i="13"/>
  <c r="CU141" i="13"/>
  <c r="CT141" i="13"/>
  <c r="CS141" i="13"/>
  <c r="CR141" i="13"/>
  <c r="CQ141" i="13"/>
  <c r="CP141" i="13"/>
  <c r="CO141" i="13"/>
  <c r="CN141" i="13"/>
  <c r="CM141" i="13"/>
  <c r="CL141" i="13"/>
  <c r="CK141" i="13"/>
  <c r="CJ141" i="13"/>
  <c r="CI141" i="13"/>
  <c r="CH141" i="13"/>
  <c r="CG141" i="13"/>
  <c r="CF141" i="13"/>
  <c r="CE141" i="13"/>
  <c r="CD141" i="13"/>
  <c r="CC141" i="13"/>
  <c r="CB141" i="13"/>
  <c r="CA141" i="13"/>
  <c r="BZ141" i="13"/>
  <c r="BY141" i="13"/>
  <c r="BX141" i="13"/>
  <c r="BW141" i="13"/>
  <c r="BV141" i="13"/>
  <c r="BU141" i="13"/>
  <c r="BT141" i="13"/>
  <c r="BS141" i="13"/>
  <c r="BR141" i="13"/>
  <c r="BQ141" i="13"/>
  <c r="BP141" i="13"/>
  <c r="BO141" i="13"/>
  <c r="BM141" i="13"/>
  <c r="BL141" i="13"/>
  <c r="BI141" i="13"/>
  <c r="BH141" i="13"/>
  <c r="BG141" i="13"/>
  <c r="BF141" i="13"/>
  <c r="BE141" i="13"/>
  <c r="BD141" i="13"/>
  <c r="BC141" i="13"/>
  <c r="BB141" i="13"/>
  <c r="BA141" i="13"/>
  <c r="AZ141" i="13"/>
  <c r="AY141" i="13"/>
  <c r="AX141" i="13"/>
  <c r="AW141" i="13"/>
  <c r="AV141" i="13"/>
  <c r="AU141" i="13"/>
  <c r="AT141" i="13"/>
  <c r="AS141" i="13"/>
  <c r="AR141" i="13"/>
  <c r="AQ141" i="13"/>
  <c r="AP141" i="13"/>
  <c r="AO141" i="13"/>
  <c r="AN141" i="13"/>
  <c r="AM141" i="13"/>
  <c r="AL141" i="13"/>
  <c r="AK141" i="13"/>
  <c r="AI141" i="13"/>
  <c r="AG141" i="13"/>
  <c r="AF141" i="13"/>
  <c r="AE141" i="13"/>
  <c r="AD141" i="13"/>
  <c r="AC141" i="13"/>
  <c r="AB141" i="13"/>
  <c r="AA141" i="13"/>
  <c r="Z141" i="13"/>
  <c r="Y141" i="13"/>
  <c r="X141" i="13"/>
  <c r="W141" i="13"/>
  <c r="P141" i="13"/>
  <c r="O141" i="13"/>
  <c r="M141" i="13"/>
  <c r="J141" i="13" s="1"/>
  <c r="L141" i="13"/>
  <c r="K141" i="13"/>
  <c r="DL140" i="13"/>
  <c r="DK140" i="13"/>
  <c r="DJ140" i="13"/>
  <c r="DI140" i="13"/>
  <c r="DH140" i="13"/>
  <c r="DG140" i="13"/>
  <c r="DF140" i="13"/>
  <c r="DE140" i="13"/>
  <c r="DD140" i="13"/>
  <c r="DC140" i="13"/>
  <c r="DB140" i="13"/>
  <c r="DA140" i="13"/>
  <c r="CZ140" i="13"/>
  <c r="CY140" i="13"/>
  <c r="CX140" i="13"/>
  <c r="CW140" i="13"/>
  <c r="CV140" i="13"/>
  <c r="CU140" i="13"/>
  <c r="CT140" i="13"/>
  <c r="CS140" i="13"/>
  <c r="CR140" i="13"/>
  <c r="CQ140" i="13"/>
  <c r="CP140" i="13"/>
  <c r="CO140" i="13"/>
  <c r="CN140" i="13"/>
  <c r="CM140" i="13"/>
  <c r="CL140" i="13"/>
  <c r="CK140" i="13"/>
  <c r="CJ140" i="13"/>
  <c r="CI140" i="13"/>
  <c r="CH140" i="13"/>
  <c r="CG140" i="13"/>
  <c r="CF140" i="13"/>
  <c r="CE140" i="13"/>
  <c r="CD140" i="13"/>
  <c r="CC140" i="13"/>
  <c r="CB140" i="13"/>
  <c r="CA140" i="13"/>
  <c r="BZ140" i="13"/>
  <c r="BY140" i="13"/>
  <c r="BX140" i="13"/>
  <c r="BW140" i="13"/>
  <c r="BV140" i="13"/>
  <c r="BU140" i="13"/>
  <c r="BT140" i="13"/>
  <c r="BS140" i="13"/>
  <c r="BR140" i="13"/>
  <c r="BQ140" i="13"/>
  <c r="BP140" i="13"/>
  <c r="BO140" i="13"/>
  <c r="BM140" i="13"/>
  <c r="BL140" i="13"/>
  <c r="BI140" i="13"/>
  <c r="BH140" i="13"/>
  <c r="BG140" i="13"/>
  <c r="BF140" i="13"/>
  <c r="BE140" i="13"/>
  <c r="BD140" i="13"/>
  <c r="BC140" i="13"/>
  <c r="BB140" i="13"/>
  <c r="AY140" i="13"/>
  <c r="AX140" i="13"/>
  <c r="AU140" i="13"/>
  <c r="AT140" i="13"/>
  <c r="AS140" i="13"/>
  <c r="AR140" i="13"/>
  <c r="AQ140" i="13"/>
  <c r="AP140" i="13"/>
  <c r="AO140" i="13"/>
  <c r="AN140" i="13"/>
  <c r="AM140" i="13"/>
  <c r="AL140" i="13"/>
  <c r="AK140" i="13"/>
  <c r="AI140" i="13"/>
  <c r="AG140" i="13"/>
  <c r="AF140" i="13"/>
  <c r="AE140" i="13"/>
  <c r="AD140" i="13"/>
  <c r="AC140" i="13"/>
  <c r="AB140" i="13"/>
  <c r="AA140" i="13"/>
  <c r="Z140" i="13"/>
  <c r="Y140" i="13"/>
  <c r="X140" i="13"/>
  <c r="W140" i="13"/>
  <c r="P140" i="13"/>
  <c r="O140" i="13"/>
  <c r="M140" i="13"/>
  <c r="J140" i="13" s="1"/>
  <c r="L140" i="13"/>
  <c r="K140" i="13"/>
  <c r="DL139" i="13"/>
  <c r="DK139" i="13"/>
  <c r="DJ139" i="13"/>
  <c r="DI139" i="13"/>
  <c r="DH139" i="13"/>
  <c r="DG139" i="13"/>
  <c r="DF139" i="13"/>
  <c r="DE139" i="13"/>
  <c r="DD139" i="13"/>
  <c r="DC139" i="13"/>
  <c r="DB139" i="13"/>
  <c r="DA139" i="13"/>
  <c r="CZ139" i="13"/>
  <c r="CY139" i="13"/>
  <c r="CX139" i="13"/>
  <c r="CW139" i="13"/>
  <c r="CV139" i="13"/>
  <c r="CU139" i="13"/>
  <c r="CT139" i="13"/>
  <c r="CS139" i="13"/>
  <c r="CR139" i="13"/>
  <c r="CQ139" i="13"/>
  <c r="CP139" i="13"/>
  <c r="CO139" i="13"/>
  <c r="CN139" i="13"/>
  <c r="CM139" i="13"/>
  <c r="CL139" i="13"/>
  <c r="CK139" i="13"/>
  <c r="CJ139" i="13"/>
  <c r="CI139" i="13"/>
  <c r="CH139" i="13"/>
  <c r="CG139" i="13"/>
  <c r="CF139" i="13"/>
  <c r="CE139" i="13"/>
  <c r="CD139" i="13"/>
  <c r="CC139" i="13"/>
  <c r="CB139" i="13"/>
  <c r="CA139" i="13"/>
  <c r="BZ139" i="13"/>
  <c r="BY139" i="13"/>
  <c r="BX139" i="13"/>
  <c r="BW139" i="13"/>
  <c r="BV139" i="13"/>
  <c r="BU139" i="13"/>
  <c r="BT139" i="13"/>
  <c r="BS139" i="13"/>
  <c r="BR139" i="13"/>
  <c r="BQ139" i="13"/>
  <c r="BP139" i="13"/>
  <c r="BO139" i="13"/>
  <c r="BM139" i="13"/>
  <c r="BL139" i="13"/>
  <c r="AU139" i="13"/>
  <c r="AP139" i="13"/>
  <c r="AO139" i="13"/>
  <c r="AN139" i="13"/>
  <c r="AM139" i="13"/>
  <c r="AL139" i="13"/>
  <c r="AK139" i="13"/>
  <c r="AI139" i="13"/>
  <c r="AG139" i="13"/>
  <c r="AF139" i="13"/>
  <c r="AE139" i="13"/>
  <c r="AD139" i="13"/>
  <c r="AC139" i="13"/>
  <c r="AB139" i="13"/>
  <c r="AA139" i="13"/>
  <c r="Z139" i="13"/>
  <c r="Y139" i="13"/>
  <c r="X139" i="13"/>
  <c r="W139" i="13"/>
  <c r="P139" i="13"/>
  <c r="O139" i="13"/>
  <c r="M139" i="13"/>
  <c r="J139" i="13" s="1"/>
  <c r="L139" i="13"/>
  <c r="K139" i="13"/>
  <c r="DL138" i="13"/>
  <c r="DK138" i="13"/>
  <c r="DJ138" i="13"/>
  <c r="DI138" i="13"/>
  <c r="DH138" i="13"/>
  <c r="DG138" i="13"/>
  <c r="DF138" i="13"/>
  <c r="DE138" i="13"/>
  <c r="DD138" i="13"/>
  <c r="DC138" i="13"/>
  <c r="DB138" i="13"/>
  <c r="DA138" i="13"/>
  <c r="CZ138" i="13"/>
  <c r="CY138" i="13"/>
  <c r="CX138" i="13"/>
  <c r="CW138" i="13"/>
  <c r="CV138" i="13"/>
  <c r="CU138" i="13"/>
  <c r="CT138" i="13"/>
  <c r="CS138" i="13"/>
  <c r="CR138" i="13"/>
  <c r="CQ138" i="13"/>
  <c r="CP138" i="13"/>
  <c r="CO138" i="13"/>
  <c r="CN138" i="13"/>
  <c r="CM138" i="13"/>
  <c r="CL138" i="13"/>
  <c r="CK138" i="13"/>
  <c r="CJ138" i="13"/>
  <c r="CI138" i="13"/>
  <c r="CH138" i="13"/>
  <c r="CG138" i="13"/>
  <c r="CF138" i="13"/>
  <c r="CE138" i="13"/>
  <c r="CD138" i="13"/>
  <c r="CC138" i="13"/>
  <c r="CB138" i="13"/>
  <c r="CA138" i="13"/>
  <c r="BZ138" i="13"/>
  <c r="BY138" i="13"/>
  <c r="BX138" i="13"/>
  <c r="BW138" i="13"/>
  <c r="BV138" i="13"/>
  <c r="BU138" i="13"/>
  <c r="BT138" i="13"/>
  <c r="BS138" i="13"/>
  <c r="BR138" i="13"/>
  <c r="BQ138" i="13"/>
  <c r="BP138" i="13"/>
  <c r="BO138" i="13"/>
  <c r="BM138" i="13"/>
  <c r="BL138" i="13"/>
  <c r="BI138" i="13"/>
  <c r="BH138" i="13"/>
  <c r="BG138" i="13"/>
  <c r="BF138" i="13"/>
  <c r="BE138" i="13"/>
  <c r="BD138" i="13"/>
  <c r="BA138" i="13"/>
  <c r="AZ138" i="13"/>
  <c r="AW138" i="13"/>
  <c r="AV138" i="13"/>
  <c r="AU138" i="13"/>
  <c r="AT138" i="13"/>
  <c r="AS138" i="13"/>
  <c r="AR138" i="13"/>
  <c r="AP138" i="13"/>
  <c r="AO138" i="13"/>
  <c r="AN138" i="13"/>
  <c r="AM138" i="13"/>
  <c r="AL138" i="13"/>
  <c r="AK138" i="13"/>
  <c r="AI138" i="13"/>
  <c r="AG138" i="13"/>
  <c r="AF138" i="13"/>
  <c r="AE138" i="13"/>
  <c r="AD138" i="13"/>
  <c r="AC138" i="13"/>
  <c r="AB138" i="13"/>
  <c r="AA138" i="13"/>
  <c r="Z138" i="13"/>
  <c r="Y138" i="13"/>
  <c r="X138" i="13"/>
  <c r="W138" i="13"/>
  <c r="P138" i="13"/>
  <c r="O138" i="13"/>
  <c r="M138" i="13"/>
  <c r="J138" i="13" s="1"/>
  <c r="L138" i="13"/>
  <c r="K138" i="13"/>
  <c r="DL137" i="13"/>
  <c r="DK137" i="13"/>
  <c r="DJ137" i="13"/>
  <c r="DI137" i="13"/>
  <c r="DH137" i="13"/>
  <c r="DG137" i="13"/>
  <c r="DF137" i="13"/>
  <c r="DE137" i="13"/>
  <c r="DD137" i="13"/>
  <c r="DC137" i="13"/>
  <c r="DB137" i="13"/>
  <c r="DA137" i="13"/>
  <c r="CZ137" i="13"/>
  <c r="CY137" i="13"/>
  <c r="CX137" i="13"/>
  <c r="CW137" i="13"/>
  <c r="CV137" i="13"/>
  <c r="CU137" i="13"/>
  <c r="CT137" i="13"/>
  <c r="CS137" i="13"/>
  <c r="CR137" i="13"/>
  <c r="CQ137" i="13"/>
  <c r="CP137" i="13"/>
  <c r="CO137" i="13"/>
  <c r="CN137" i="13"/>
  <c r="CM137" i="13"/>
  <c r="CL137" i="13"/>
  <c r="CK137" i="13"/>
  <c r="CJ137" i="13"/>
  <c r="CI137" i="13"/>
  <c r="CH137" i="13"/>
  <c r="CG137" i="13"/>
  <c r="CF137" i="13"/>
  <c r="CE137" i="13"/>
  <c r="CD137" i="13"/>
  <c r="CC137" i="13"/>
  <c r="CB137" i="13"/>
  <c r="CA137" i="13"/>
  <c r="BZ137" i="13"/>
  <c r="BY137" i="13"/>
  <c r="BX137" i="13"/>
  <c r="BW137" i="13"/>
  <c r="BV137" i="13"/>
  <c r="BU137" i="13"/>
  <c r="BT137" i="13"/>
  <c r="BS137" i="13"/>
  <c r="BR137" i="13"/>
  <c r="BQ137" i="13"/>
  <c r="BP137" i="13"/>
  <c r="BO137" i="13"/>
  <c r="BM137" i="13"/>
  <c r="BL137" i="13"/>
  <c r="BE137" i="13"/>
  <c r="BD137" i="13"/>
  <c r="BC137" i="13"/>
  <c r="BB137" i="13"/>
  <c r="BA137" i="13"/>
  <c r="AZ137" i="13"/>
  <c r="AW137" i="13"/>
  <c r="AV137" i="13"/>
  <c r="AU137" i="13"/>
  <c r="AT137" i="13"/>
  <c r="AS137" i="13"/>
  <c r="AR137" i="13"/>
  <c r="AP137" i="13"/>
  <c r="AO137" i="13"/>
  <c r="AN137" i="13"/>
  <c r="AM137" i="13"/>
  <c r="AL137" i="13"/>
  <c r="AK137" i="13"/>
  <c r="AI137" i="13"/>
  <c r="AG137" i="13"/>
  <c r="AF137" i="13"/>
  <c r="AE137" i="13"/>
  <c r="AD137" i="13"/>
  <c r="AC137" i="13"/>
  <c r="AB137" i="13"/>
  <c r="AA137" i="13"/>
  <c r="Z137" i="13"/>
  <c r="Y137" i="13"/>
  <c r="X137" i="13"/>
  <c r="W137" i="13"/>
  <c r="P137" i="13"/>
  <c r="O137" i="13"/>
  <c r="M137" i="13"/>
  <c r="J137" i="13" s="1"/>
  <c r="L137" i="13"/>
  <c r="K137" i="13"/>
  <c r="DL136" i="13"/>
  <c r="DK136" i="13"/>
  <c r="DJ136" i="13"/>
  <c r="DI136" i="13"/>
  <c r="DH136" i="13"/>
  <c r="DG136" i="13"/>
  <c r="DF136" i="13"/>
  <c r="DE136" i="13"/>
  <c r="DD136" i="13"/>
  <c r="DC136" i="13"/>
  <c r="DB136" i="13"/>
  <c r="DA136" i="13"/>
  <c r="CZ136" i="13"/>
  <c r="CY136" i="13"/>
  <c r="CX136" i="13"/>
  <c r="CW136" i="13"/>
  <c r="CV136" i="13"/>
  <c r="CU136" i="13"/>
  <c r="CT136" i="13"/>
  <c r="CS136" i="13"/>
  <c r="CR136" i="13"/>
  <c r="CQ136" i="13"/>
  <c r="CP136" i="13"/>
  <c r="CO136" i="13"/>
  <c r="CN136" i="13"/>
  <c r="CM136" i="13"/>
  <c r="CL136" i="13"/>
  <c r="CK136" i="13"/>
  <c r="CJ136" i="13"/>
  <c r="CI136" i="13"/>
  <c r="CH136" i="13"/>
  <c r="CG136" i="13"/>
  <c r="CF136" i="13"/>
  <c r="CE136" i="13"/>
  <c r="CD136" i="13"/>
  <c r="CC136" i="13"/>
  <c r="CB136" i="13"/>
  <c r="CA136" i="13"/>
  <c r="BZ136" i="13"/>
  <c r="BY136" i="13"/>
  <c r="BX136" i="13"/>
  <c r="BW136" i="13"/>
  <c r="BV136" i="13"/>
  <c r="BU136" i="13"/>
  <c r="BT136" i="13"/>
  <c r="BS136" i="13"/>
  <c r="BR136" i="13"/>
  <c r="BQ136" i="13"/>
  <c r="BP136" i="13"/>
  <c r="BO136" i="13"/>
  <c r="BM136" i="13"/>
  <c r="BL136" i="13"/>
  <c r="BI136" i="13"/>
  <c r="BH136" i="13"/>
  <c r="BG136" i="13"/>
  <c r="BF136" i="13"/>
  <c r="BE136" i="13"/>
  <c r="BD136" i="13"/>
  <c r="BC136" i="13"/>
  <c r="BB136" i="13"/>
  <c r="BA136" i="13"/>
  <c r="AZ136" i="13"/>
  <c r="AW136" i="13"/>
  <c r="AV136" i="13"/>
  <c r="AU136" i="13"/>
  <c r="AT136" i="13"/>
  <c r="AS136" i="13"/>
  <c r="AR136" i="13"/>
  <c r="AP136" i="13"/>
  <c r="AO136" i="13"/>
  <c r="AN136" i="13"/>
  <c r="AM136" i="13"/>
  <c r="AL136" i="13"/>
  <c r="AK136" i="13"/>
  <c r="AI136" i="13"/>
  <c r="AG136" i="13"/>
  <c r="AF136" i="13"/>
  <c r="AE136" i="13"/>
  <c r="AD136" i="13"/>
  <c r="AC136" i="13"/>
  <c r="AB136" i="13"/>
  <c r="AA136" i="13"/>
  <c r="Z136" i="13"/>
  <c r="Y136" i="13"/>
  <c r="X136" i="13"/>
  <c r="W136" i="13"/>
  <c r="P136" i="13"/>
  <c r="O136" i="13"/>
  <c r="M136" i="13"/>
  <c r="J136" i="13" s="1"/>
  <c r="L136" i="13"/>
  <c r="K136" i="13"/>
  <c r="DL135" i="13"/>
  <c r="DK135" i="13"/>
  <c r="DJ135" i="13"/>
  <c r="DI135" i="13"/>
  <c r="DH135" i="13"/>
  <c r="DG135" i="13"/>
  <c r="DF135" i="13"/>
  <c r="DE135" i="13"/>
  <c r="DD135" i="13"/>
  <c r="DC135" i="13"/>
  <c r="DB135" i="13"/>
  <c r="DA135" i="13"/>
  <c r="CZ135" i="13"/>
  <c r="CY135" i="13"/>
  <c r="CX135" i="13"/>
  <c r="CW135" i="13"/>
  <c r="CV135" i="13"/>
  <c r="CU135" i="13"/>
  <c r="CT135" i="13"/>
  <c r="CS135" i="13"/>
  <c r="CR135" i="13"/>
  <c r="CQ135" i="13"/>
  <c r="CP135" i="13"/>
  <c r="CO135" i="13"/>
  <c r="CN135" i="13"/>
  <c r="CM135" i="13"/>
  <c r="CL135" i="13"/>
  <c r="CK135" i="13"/>
  <c r="CJ135" i="13"/>
  <c r="CI135" i="13"/>
  <c r="CH135" i="13"/>
  <c r="CG135" i="13"/>
  <c r="CF135" i="13"/>
  <c r="CE135" i="13"/>
  <c r="CD135" i="13"/>
  <c r="CC135" i="13"/>
  <c r="CB135" i="13"/>
  <c r="CA135" i="13"/>
  <c r="BZ135" i="13"/>
  <c r="BY135" i="13"/>
  <c r="BX135" i="13"/>
  <c r="BW135" i="13"/>
  <c r="BV135" i="13"/>
  <c r="BU135" i="13"/>
  <c r="BT135" i="13"/>
  <c r="BS135" i="13"/>
  <c r="BR135" i="13"/>
  <c r="BQ135" i="13"/>
  <c r="BP135" i="13"/>
  <c r="BO135" i="13"/>
  <c r="BM135" i="13"/>
  <c r="BL135" i="13"/>
  <c r="BG135" i="13"/>
  <c r="BF135" i="13"/>
  <c r="AY135" i="13"/>
  <c r="AX135" i="13"/>
  <c r="AW135" i="13"/>
  <c r="AV135" i="13"/>
  <c r="AU135" i="13"/>
  <c r="AT135" i="13"/>
  <c r="AS135" i="13"/>
  <c r="AR135" i="13"/>
  <c r="AP135" i="13"/>
  <c r="AO135" i="13"/>
  <c r="AN135" i="13"/>
  <c r="AM135" i="13"/>
  <c r="AL135" i="13"/>
  <c r="AK135" i="13"/>
  <c r="AI135" i="13"/>
  <c r="AG135" i="13"/>
  <c r="AF135" i="13"/>
  <c r="AE135" i="13"/>
  <c r="AD135" i="13"/>
  <c r="AC135" i="13"/>
  <c r="AB135" i="13"/>
  <c r="AA135" i="13"/>
  <c r="Z135" i="13"/>
  <c r="Y135" i="13"/>
  <c r="X135" i="13"/>
  <c r="W135" i="13"/>
  <c r="P135" i="13"/>
  <c r="O135" i="13"/>
  <c r="M135" i="13"/>
  <c r="J135" i="13" s="1"/>
  <c r="L135" i="13"/>
  <c r="K135" i="13"/>
  <c r="DL134" i="13"/>
  <c r="DK134" i="13"/>
  <c r="DJ134" i="13"/>
  <c r="DI134" i="13"/>
  <c r="DH134" i="13"/>
  <c r="DG134" i="13"/>
  <c r="DF134" i="13"/>
  <c r="DE134" i="13"/>
  <c r="DD134" i="13"/>
  <c r="DC134" i="13"/>
  <c r="DB134" i="13"/>
  <c r="DA134" i="13"/>
  <c r="CZ134" i="13"/>
  <c r="CY134" i="13"/>
  <c r="CX134" i="13"/>
  <c r="CW134" i="13"/>
  <c r="CV134" i="13"/>
  <c r="CU134" i="13"/>
  <c r="CT134" i="13"/>
  <c r="CS134" i="13"/>
  <c r="CR134" i="13"/>
  <c r="CQ134" i="13"/>
  <c r="CP134" i="13"/>
  <c r="CO134" i="13"/>
  <c r="CN134" i="13"/>
  <c r="CM134" i="13"/>
  <c r="CL134" i="13"/>
  <c r="CK134" i="13"/>
  <c r="CJ134" i="13"/>
  <c r="CI134" i="13"/>
  <c r="CH134" i="13"/>
  <c r="CG134" i="13"/>
  <c r="CF134" i="13"/>
  <c r="CE134" i="13"/>
  <c r="CD134" i="13"/>
  <c r="CC134" i="13"/>
  <c r="CB134" i="13"/>
  <c r="CA134" i="13"/>
  <c r="BZ134" i="13"/>
  <c r="BY134" i="13"/>
  <c r="BX134" i="13"/>
  <c r="BW134" i="13"/>
  <c r="BV134" i="13"/>
  <c r="BU134" i="13"/>
  <c r="BT134" i="13"/>
  <c r="BS134" i="13"/>
  <c r="BR134" i="13"/>
  <c r="BQ134" i="13"/>
  <c r="BP134" i="13"/>
  <c r="BO134" i="13"/>
  <c r="BM134" i="13"/>
  <c r="BL134" i="13"/>
  <c r="BI134" i="13"/>
  <c r="BH134" i="13"/>
  <c r="BG134" i="13"/>
  <c r="BF134" i="13"/>
  <c r="BE134" i="13"/>
  <c r="BD134" i="13"/>
  <c r="BC134" i="13"/>
  <c r="BB134" i="13"/>
  <c r="BA134" i="13"/>
  <c r="AZ134" i="13"/>
  <c r="AY134" i="13"/>
  <c r="AX134" i="13"/>
  <c r="AW134" i="13"/>
  <c r="AV134" i="13"/>
  <c r="AU134" i="13"/>
  <c r="AT134" i="13"/>
  <c r="AS134" i="13"/>
  <c r="AR134" i="13"/>
  <c r="AQ134" i="13"/>
  <c r="AP134" i="13"/>
  <c r="AO134" i="13"/>
  <c r="AN134" i="13"/>
  <c r="AM134" i="13"/>
  <c r="AL134" i="13"/>
  <c r="AK134" i="13"/>
  <c r="AI134" i="13"/>
  <c r="AG134" i="13"/>
  <c r="AF134" i="13"/>
  <c r="AE134" i="13"/>
  <c r="AD134" i="13"/>
  <c r="AC134" i="13"/>
  <c r="AB134" i="13"/>
  <c r="AA134" i="13"/>
  <c r="Z134" i="13"/>
  <c r="Y134" i="13"/>
  <c r="X134" i="13"/>
  <c r="W134" i="13"/>
  <c r="P134" i="13"/>
  <c r="O134" i="13"/>
  <c r="M134" i="13"/>
  <c r="J134" i="13" s="1"/>
  <c r="L134" i="13"/>
  <c r="K134" i="13"/>
  <c r="DL133" i="13"/>
  <c r="DK133" i="13"/>
  <c r="DJ133" i="13"/>
  <c r="DI133" i="13"/>
  <c r="DH133" i="13"/>
  <c r="DG133" i="13"/>
  <c r="DF133" i="13"/>
  <c r="DE133" i="13"/>
  <c r="DD133" i="13"/>
  <c r="DC133" i="13"/>
  <c r="DB133" i="13"/>
  <c r="DA133" i="13"/>
  <c r="CZ133" i="13"/>
  <c r="CY133" i="13"/>
  <c r="CX133" i="13"/>
  <c r="CW133" i="13"/>
  <c r="CV133" i="13"/>
  <c r="CU133" i="13"/>
  <c r="CT133" i="13"/>
  <c r="CS133" i="13"/>
  <c r="CR133" i="13"/>
  <c r="CQ133" i="13"/>
  <c r="CP133" i="13"/>
  <c r="CO133" i="13"/>
  <c r="CN133" i="13"/>
  <c r="CM133" i="13"/>
  <c r="CL133" i="13"/>
  <c r="CK133" i="13"/>
  <c r="CJ133" i="13"/>
  <c r="CI133" i="13"/>
  <c r="CH133" i="13"/>
  <c r="CG133" i="13"/>
  <c r="CF133" i="13"/>
  <c r="CE133" i="13"/>
  <c r="CD133" i="13"/>
  <c r="CC133" i="13"/>
  <c r="CB133" i="13"/>
  <c r="CA133" i="13"/>
  <c r="BZ133" i="13"/>
  <c r="BY133" i="13"/>
  <c r="BX133" i="13"/>
  <c r="BW133" i="13"/>
  <c r="BV133" i="13"/>
  <c r="BU133" i="13"/>
  <c r="BT133" i="13"/>
  <c r="BS133" i="13"/>
  <c r="BR133" i="13"/>
  <c r="BQ133" i="13"/>
  <c r="BP133" i="13"/>
  <c r="BO133" i="13"/>
  <c r="BM133" i="13"/>
  <c r="BL133" i="13"/>
  <c r="BI133" i="13"/>
  <c r="BH133" i="13"/>
  <c r="BG133" i="13"/>
  <c r="BF133" i="13"/>
  <c r="BE133" i="13"/>
  <c r="BD133" i="13"/>
  <c r="BC133" i="13"/>
  <c r="BB133" i="13"/>
  <c r="BA133" i="13"/>
  <c r="AZ133" i="13"/>
  <c r="AY133" i="13"/>
  <c r="AX133" i="13"/>
  <c r="AW133" i="13"/>
  <c r="AV133" i="13"/>
  <c r="AU133" i="13"/>
  <c r="AT133" i="13"/>
  <c r="AS133" i="13"/>
  <c r="AR133" i="13"/>
  <c r="AQ133" i="13"/>
  <c r="AP133" i="13"/>
  <c r="AO133" i="13"/>
  <c r="AN133" i="13"/>
  <c r="AM133" i="13"/>
  <c r="AL133" i="13"/>
  <c r="AK133" i="13"/>
  <c r="AI133" i="13"/>
  <c r="AG133" i="13"/>
  <c r="AF133" i="13"/>
  <c r="AE133" i="13"/>
  <c r="AD133" i="13"/>
  <c r="AC133" i="13"/>
  <c r="AB133" i="13"/>
  <c r="AA133" i="13"/>
  <c r="Z133" i="13"/>
  <c r="Y133" i="13"/>
  <c r="X133" i="13"/>
  <c r="W133" i="13"/>
  <c r="P133" i="13"/>
  <c r="O133" i="13"/>
  <c r="M133" i="13"/>
  <c r="J133" i="13" s="1"/>
  <c r="L133" i="13"/>
  <c r="K133" i="13"/>
  <c r="DL132" i="13"/>
  <c r="DK132" i="13"/>
  <c r="DJ132" i="13"/>
  <c r="DI132" i="13"/>
  <c r="DH132" i="13"/>
  <c r="DG132" i="13"/>
  <c r="DF132" i="13"/>
  <c r="DE132" i="13"/>
  <c r="DD132" i="13"/>
  <c r="DC132" i="13"/>
  <c r="DB132" i="13"/>
  <c r="DA132" i="13"/>
  <c r="CZ132" i="13"/>
  <c r="CY132" i="13"/>
  <c r="CX132" i="13"/>
  <c r="CW132" i="13"/>
  <c r="CV132" i="13"/>
  <c r="CU132" i="13"/>
  <c r="CT132" i="13"/>
  <c r="CS132" i="13"/>
  <c r="CR132" i="13"/>
  <c r="CQ132" i="13"/>
  <c r="CP132" i="13"/>
  <c r="CO132" i="13"/>
  <c r="CN132" i="13"/>
  <c r="CM132" i="13"/>
  <c r="CL132" i="13"/>
  <c r="CK132" i="13"/>
  <c r="CJ132" i="13"/>
  <c r="CI132" i="13"/>
  <c r="CH132" i="13"/>
  <c r="CG132" i="13"/>
  <c r="CF132" i="13"/>
  <c r="CE132" i="13"/>
  <c r="CD132" i="13"/>
  <c r="CC132" i="13"/>
  <c r="CB132" i="13"/>
  <c r="CA132" i="13"/>
  <c r="BZ132" i="13"/>
  <c r="BY132" i="13"/>
  <c r="BX132" i="13"/>
  <c r="BW132" i="13"/>
  <c r="BV132" i="13"/>
  <c r="BU132" i="13"/>
  <c r="BT132" i="13"/>
  <c r="BS132" i="13"/>
  <c r="BR132" i="13"/>
  <c r="BQ132" i="13"/>
  <c r="BP132" i="13"/>
  <c r="BO132" i="13"/>
  <c r="BM132" i="13"/>
  <c r="BL132" i="13"/>
  <c r="BG132" i="13"/>
  <c r="BF132" i="13"/>
  <c r="BE132" i="13"/>
  <c r="BD132" i="13"/>
  <c r="BA132" i="13"/>
  <c r="AZ132" i="13"/>
  <c r="AY132" i="13"/>
  <c r="AX132" i="13"/>
  <c r="AW132" i="13"/>
  <c r="AV132" i="13"/>
  <c r="AU132" i="13"/>
  <c r="AT132" i="13"/>
  <c r="AQ132" i="13"/>
  <c r="AP132" i="13"/>
  <c r="AO132" i="13"/>
  <c r="AN132" i="13"/>
  <c r="AM132" i="13"/>
  <c r="AL132" i="13"/>
  <c r="AK132" i="13"/>
  <c r="AI132" i="13"/>
  <c r="AG132" i="13"/>
  <c r="AF132" i="13"/>
  <c r="AE132" i="13"/>
  <c r="AD132" i="13"/>
  <c r="AC132" i="13"/>
  <c r="AB132" i="13"/>
  <c r="AA132" i="13"/>
  <c r="Z132" i="13"/>
  <c r="Y132" i="13"/>
  <c r="X132" i="13"/>
  <c r="W132" i="13"/>
  <c r="P132" i="13"/>
  <c r="O132" i="13"/>
  <c r="M132" i="13"/>
  <c r="J132" i="13" s="1"/>
  <c r="L132" i="13"/>
  <c r="K132" i="13"/>
  <c r="DL131" i="13"/>
  <c r="DK131" i="13"/>
  <c r="DJ131" i="13"/>
  <c r="DI131" i="13"/>
  <c r="DH131" i="13"/>
  <c r="DG131" i="13"/>
  <c r="DF131" i="13"/>
  <c r="DE131" i="13"/>
  <c r="DD131" i="13"/>
  <c r="DC131" i="13"/>
  <c r="DB131" i="13"/>
  <c r="DA131" i="13"/>
  <c r="CZ131" i="13"/>
  <c r="CY131" i="13"/>
  <c r="CX131" i="13"/>
  <c r="CW131" i="13"/>
  <c r="CV131" i="13"/>
  <c r="CU131" i="13"/>
  <c r="CT131" i="13"/>
  <c r="CS131" i="13"/>
  <c r="CR131" i="13"/>
  <c r="CQ131" i="13"/>
  <c r="CP131" i="13"/>
  <c r="CO131" i="13"/>
  <c r="CN131" i="13"/>
  <c r="CM131" i="13"/>
  <c r="CL131" i="13"/>
  <c r="CK131" i="13"/>
  <c r="CJ131" i="13"/>
  <c r="CI131" i="13"/>
  <c r="CH131" i="13"/>
  <c r="CG131" i="13"/>
  <c r="CF131" i="13"/>
  <c r="CE131" i="13"/>
  <c r="CD131" i="13"/>
  <c r="CC131" i="13"/>
  <c r="CB131" i="13"/>
  <c r="CA131" i="13"/>
  <c r="BZ131" i="13"/>
  <c r="BY131" i="13"/>
  <c r="BX131" i="13"/>
  <c r="BW131" i="13"/>
  <c r="BV131" i="13"/>
  <c r="BU131" i="13"/>
  <c r="BT131" i="13"/>
  <c r="BS131" i="13"/>
  <c r="BR131" i="13"/>
  <c r="BQ131" i="13"/>
  <c r="BP131" i="13"/>
  <c r="BO131" i="13"/>
  <c r="BM131" i="13"/>
  <c r="BL131" i="13"/>
  <c r="BI131" i="13"/>
  <c r="BH131" i="13"/>
  <c r="BG131" i="13"/>
  <c r="BF131" i="13"/>
  <c r="BE131" i="13"/>
  <c r="BD131" i="13"/>
  <c r="BC131" i="13"/>
  <c r="BB131" i="13"/>
  <c r="BA131" i="13"/>
  <c r="AZ131" i="13"/>
  <c r="AY131" i="13"/>
  <c r="AX131" i="13"/>
  <c r="AW131" i="13"/>
  <c r="AV131" i="13"/>
  <c r="AU131" i="13"/>
  <c r="AT131" i="13"/>
  <c r="AS131" i="13"/>
  <c r="AR131" i="13"/>
  <c r="AQ131" i="13"/>
  <c r="AP131" i="13"/>
  <c r="AO131" i="13"/>
  <c r="AN131" i="13"/>
  <c r="AM131" i="13"/>
  <c r="AL131" i="13"/>
  <c r="AK131" i="13"/>
  <c r="AI131" i="13"/>
  <c r="AG131" i="13"/>
  <c r="AF131" i="13"/>
  <c r="AE131" i="13"/>
  <c r="AD131" i="13"/>
  <c r="AC131" i="13"/>
  <c r="AB131" i="13"/>
  <c r="AA131" i="13"/>
  <c r="Z131" i="13"/>
  <c r="Y131" i="13"/>
  <c r="X131" i="13"/>
  <c r="W131" i="13"/>
  <c r="P131" i="13"/>
  <c r="O131" i="13"/>
  <c r="M131" i="13"/>
  <c r="J131" i="13" s="1"/>
  <c r="L131" i="13"/>
  <c r="K131" i="13"/>
  <c r="DL130" i="13"/>
  <c r="DK130" i="13"/>
  <c r="DJ130" i="13"/>
  <c r="DI130" i="13"/>
  <c r="DH130" i="13"/>
  <c r="DG130" i="13"/>
  <c r="DF130" i="13"/>
  <c r="DE130" i="13"/>
  <c r="DD130" i="13"/>
  <c r="DC130" i="13"/>
  <c r="DB130" i="13"/>
  <c r="DA130" i="13"/>
  <c r="CZ130" i="13"/>
  <c r="CY130" i="13"/>
  <c r="CX130" i="13"/>
  <c r="CW130" i="13"/>
  <c r="CV130" i="13"/>
  <c r="CU130" i="13"/>
  <c r="CT130" i="13"/>
  <c r="CS130" i="13"/>
  <c r="CR130" i="13"/>
  <c r="CQ130" i="13"/>
  <c r="CP130" i="13"/>
  <c r="CO130" i="13"/>
  <c r="CN130" i="13"/>
  <c r="CM130" i="13"/>
  <c r="CL130" i="13"/>
  <c r="CK130" i="13"/>
  <c r="CJ130" i="13"/>
  <c r="CI130" i="13"/>
  <c r="CH130" i="13"/>
  <c r="CG130" i="13"/>
  <c r="CF130" i="13"/>
  <c r="CE130" i="13"/>
  <c r="CD130" i="13"/>
  <c r="CC130" i="13"/>
  <c r="CB130" i="13"/>
  <c r="CA130" i="13"/>
  <c r="BZ130" i="13"/>
  <c r="BY130" i="13"/>
  <c r="BX130" i="13"/>
  <c r="BW130" i="13"/>
  <c r="BV130" i="13"/>
  <c r="BU130" i="13"/>
  <c r="BT130" i="13"/>
  <c r="BS130" i="13"/>
  <c r="BR130" i="13"/>
  <c r="BQ130" i="13"/>
  <c r="BP130" i="13"/>
  <c r="BO130" i="13"/>
  <c r="BM130" i="13"/>
  <c r="BL130" i="13"/>
  <c r="BI130" i="13"/>
  <c r="BH130" i="13"/>
  <c r="BG130" i="13"/>
  <c r="BF130" i="13"/>
  <c r="BE130" i="13"/>
  <c r="BD130" i="13"/>
  <c r="BC130" i="13"/>
  <c r="BB130" i="13"/>
  <c r="BA130" i="13"/>
  <c r="AZ130" i="13"/>
  <c r="AY130" i="13"/>
  <c r="AX130" i="13"/>
  <c r="AW130" i="13"/>
  <c r="AV130" i="13"/>
  <c r="AU130" i="13"/>
  <c r="AT130" i="13"/>
  <c r="AS130" i="13"/>
  <c r="AR130" i="13"/>
  <c r="AQ130" i="13"/>
  <c r="AP130" i="13"/>
  <c r="AO130" i="13"/>
  <c r="AN130" i="13"/>
  <c r="AM130" i="13"/>
  <c r="AL130" i="13"/>
  <c r="AK130" i="13"/>
  <c r="AI130" i="13"/>
  <c r="AG130" i="13"/>
  <c r="AF130" i="13"/>
  <c r="AE130" i="13"/>
  <c r="AD130" i="13"/>
  <c r="AC130" i="13"/>
  <c r="AB130" i="13"/>
  <c r="AA130" i="13"/>
  <c r="Z130" i="13"/>
  <c r="Y130" i="13"/>
  <c r="X130" i="13"/>
  <c r="W130" i="13"/>
  <c r="P130" i="13"/>
  <c r="O130" i="13"/>
  <c r="M130" i="13"/>
  <c r="J130" i="13" s="1"/>
  <c r="L130" i="13"/>
  <c r="K130" i="13"/>
  <c r="DL129" i="13"/>
  <c r="DK129" i="13"/>
  <c r="DJ129" i="13"/>
  <c r="DI129" i="13"/>
  <c r="DH129" i="13"/>
  <c r="DG129" i="13"/>
  <c r="DF129" i="13"/>
  <c r="DE129" i="13"/>
  <c r="DD129" i="13"/>
  <c r="DC129" i="13"/>
  <c r="DB129" i="13"/>
  <c r="DA129" i="13"/>
  <c r="CZ129" i="13"/>
  <c r="CY129" i="13"/>
  <c r="CX129" i="13"/>
  <c r="CW129" i="13"/>
  <c r="CV129" i="13"/>
  <c r="CU129" i="13"/>
  <c r="CT129" i="13"/>
  <c r="CS129" i="13"/>
  <c r="CR129" i="13"/>
  <c r="CQ129" i="13"/>
  <c r="CP129" i="13"/>
  <c r="CO129" i="13"/>
  <c r="CN129" i="13"/>
  <c r="CM129" i="13"/>
  <c r="CL129" i="13"/>
  <c r="CK129" i="13"/>
  <c r="CJ129" i="13"/>
  <c r="CI129" i="13"/>
  <c r="CH129" i="13"/>
  <c r="CG129" i="13"/>
  <c r="CF129" i="13"/>
  <c r="CE129" i="13"/>
  <c r="CD129" i="13"/>
  <c r="CC129" i="13"/>
  <c r="CB129" i="13"/>
  <c r="CA129" i="13"/>
  <c r="BZ129" i="13"/>
  <c r="BY129" i="13"/>
  <c r="BX129" i="13"/>
  <c r="BW129" i="13"/>
  <c r="BV129" i="13"/>
  <c r="BU129" i="13"/>
  <c r="BT129" i="13"/>
  <c r="BS129" i="13"/>
  <c r="BR129" i="13"/>
  <c r="BQ129" i="13"/>
  <c r="BP129" i="13"/>
  <c r="BO129" i="13"/>
  <c r="BM129" i="13"/>
  <c r="BL129" i="13"/>
  <c r="BI129" i="13"/>
  <c r="BH129" i="13"/>
  <c r="BE129" i="13"/>
  <c r="BD129" i="13"/>
  <c r="BC129" i="13"/>
  <c r="BB129" i="13"/>
  <c r="BA129" i="13"/>
  <c r="AZ129" i="13"/>
  <c r="AU129" i="13"/>
  <c r="AT129" i="13"/>
  <c r="AS129" i="13"/>
  <c r="AP129" i="13"/>
  <c r="AO129" i="13"/>
  <c r="AN129" i="13"/>
  <c r="AM129" i="13"/>
  <c r="AL129" i="13"/>
  <c r="AK129" i="13"/>
  <c r="AI129" i="13"/>
  <c r="AG129" i="13"/>
  <c r="AF129" i="13"/>
  <c r="AE129" i="13"/>
  <c r="AD129" i="13"/>
  <c r="AC129" i="13"/>
  <c r="AB129" i="13"/>
  <c r="AA129" i="13"/>
  <c r="Z129" i="13"/>
  <c r="Y129" i="13"/>
  <c r="X129" i="13"/>
  <c r="W129" i="13"/>
  <c r="P129" i="13"/>
  <c r="O129" i="13"/>
  <c r="M129" i="13"/>
  <c r="J129" i="13" s="1"/>
  <c r="L129" i="13"/>
  <c r="K129" i="13"/>
  <c r="DL128" i="13"/>
  <c r="DK128" i="13"/>
  <c r="DJ128" i="13"/>
  <c r="DI128" i="13"/>
  <c r="DH128" i="13"/>
  <c r="DG128" i="13"/>
  <c r="DF128" i="13"/>
  <c r="DE128" i="13"/>
  <c r="DD128" i="13"/>
  <c r="DC128" i="13"/>
  <c r="DB128" i="13"/>
  <c r="DA128" i="13"/>
  <c r="CZ128" i="13"/>
  <c r="CY128" i="13"/>
  <c r="CX128" i="13"/>
  <c r="CW128" i="13"/>
  <c r="CV128" i="13"/>
  <c r="CU128" i="13"/>
  <c r="CT128" i="13"/>
  <c r="CS128" i="13"/>
  <c r="CR128" i="13"/>
  <c r="CQ128" i="13"/>
  <c r="CP128" i="13"/>
  <c r="CO128" i="13"/>
  <c r="CN128" i="13"/>
  <c r="CM128" i="13"/>
  <c r="CL128" i="13"/>
  <c r="CK128" i="13"/>
  <c r="CJ128" i="13"/>
  <c r="CI128" i="13"/>
  <c r="CH128" i="13"/>
  <c r="CG128" i="13"/>
  <c r="CF128" i="13"/>
  <c r="CE128" i="13"/>
  <c r="CD128" i="13"/>
  <c r="CC128" i="13"/>
  <c r="CB128" i="13"/>
  <c r="CA128" i="13"/>
  <c r="BZ128" i="13"/>
  <c r="BY128" i="13"/>
  <c r="BX128" i="13"/>
  <c r="BW128" i="13"/>
  <c r="BV128" i="13"/>
  <c r="BU128" i="13"/>
  <c r="BT128" i="13"/>
  <c r="BS128" i="13"/>
  <c r="BR128" i="13"/>
  <c r="BQ128" i="13"/>
  <c r="BP128" i="13"/>
  <c r="BO128" i="13"/>
  <c r="BM128" i="13"/>
  <c r="BL128" i="13"/>
  <c r="BG128" i="13"/>
  <c r="BF128" i="13"/>
  <c r="BE128" i="13"/>
  <c r="BD128" i="13"/>
  <c r="BC128" i="13"/>
  <c r="BB128" i="13"/>
  <c r="BA128" i="13"/>
  <c r="AZ128" i="13"/>
  <c r="AY128" i="13"/>
  <c r="AX128" i="13"/>
  <c r="AW128" i="13"/>
  <c r="AV128" i="13"/>
  <c r="AU128" i="13"/>
  <c r="AQ128" i="13"/>
  <c r="AP128" i="13"/>
  <c r="AO128" i="13"/>
  <c r="AN128" i="13"/>
  <c r="AM128" i="13"/>
  <c r="AL128" i="13"/>
  <c r="AK128" i="13"/>
  <c r="AI128" i="13"/>
  <c r="AG128" i="13"/>
  <c r="AF128" i="13"/>
  <c r="AE128" i="13"/>
  <c r="AD128" i="13"/>
  <c r="AC128" i="13"/>
  <c r="AB128" i="13"/>
  <c r="AA128" i="13"/>
  <c r="Z128" i="13"/>
  <c r="Y128" i="13"/>
  <c r="X128" i="13"/>
  <c r="W128" i="13"/>
  <c r="P128" i="13"/>
  <c r="O128" i="13"/>
  <c r="M128" i="13"/>
  <c r="J128" i="13" s="1"/>
  <c r="L128" i="13"/>
  <c r="K128" i="13"/>
  <c r="DL127" i="13"/>
  <c r="DK127" i="13"/>
  <c r="DJ127" i="13"/>
  <c r="DI127" i="13"/>
  <c r="DH127" i="13"/>
  <c r="DG127" i="13"/>
  <c r="DF127" i="13"/>
  <c r="DE127" i="13"/>
  <c r="DD127" i="13"/>
  <c r="DC127" i="13"/>
  <c r="DB127" i="13"/>
  <c r="DA127" i="13"/>
  <c r="CZ127" i="13"/>
  <c r="CY127" i="13"/>
  <c r="CX127" i="13"/>
  <c r="CW127" i="13"/>
  <c r="CV127" i="13"/>
  <c r="CU127" i="13"/>
  <c r="CT127" i="13"/>
  <c r="CS127" i="13"/>
  <c r="CR127" i="13"/>
  <c r="CQ127" i="13"/>
  <c r="CP127" i="13"/>
  <c r="CO127" i="13"/>
  <c r="CN127" i="13"/>
  <c r="CM127" i="13"/>
  <c r="CL127" i="13"/>
  <c r="CK127" i="13"/>
  <c r="CJ127" i="13"/>
  <c r="CI127" i="13"/>
  <c r="CH127" i="13"/>
  <c r="CG127" i="13"/>
  <c r="CF127" i="13"/>
  <c r="CE127" i="13"/>
  <c r="CD127" i="13"/>
  <c r="CC127" i="13"/>
  <c r="CB127" i="13"/>
  <c r="CA127" i="13"/>
  <c r="BZ127" i="13"/>
  <c r="BY127" i="13"/>
  <c r="BX127" i="13"/>
  <c r="BW127" i="13"/>
  <c r="BV127" i="13"/>
  <c r="BU127" i="13"/>
  <c r="BT127" i="13"/>
  <c r="BS127" i="13"/>
  <c r="BR127" i="13"/>
  <c r="BQ127" i="13"/>
  <c r="BP127" i="13"/>
  <c r="BO127" i="13"/>
  <c r="BM127" i="13"/>
  <c r="BL127" i="13"/>
  <c r="BG127" i="13"/>
  <c r="BF127" i="13"/>
  <c r="BE127" i="13"/>
  <c r="BD127" i="13"/>
  <c r="BC127" i="13"/>
  <c r="BB127" i="13"/>
  <c r="AY127" i="13"/>
  <c r="AX127" i="13"/>
  <c r="AW127" i="13"/>
  <c r="AV127" i="13"/>
  <c r="AU127" i="13"/>
  <c r="AR127" i="13"/>
  <c r="AQ127" i="13"/>
  <c r="AP127" i="13"/>
  <c r="AO127" i="13"/>
  <c r="AN127" i="13"/>
  <c r="AM127" i="13"/>
  <c r="AL127" i="13"/>
  <c r="AK127" i="13"/>
  <c r="AI127" i="13"/>
  <c r="AG127" i="13"/>
  <c r="AF127" i="13"/>
  <c r="AE127" i="13"/>
  <c r="AD127" i="13"/>
  <c r="AC127" i="13"/>
  <c r="AB127" i="13"/>
  <c r="AA127" i="13"/>
  <c r="Z127" i="13"/>
  <c r="Y127" i="13"/>
  <c r="X127" i="13"/>
  <c r="W127" i="13"/>
  <c r="P127" i="13"/>
  <c r="O127" i="13"/>
  <c r="M127" i="13"/>
  <c r="J127" i="13" s="1"/>
  <c r="L127" i="13"/>
  <c r="K127" i="13"/>
  <c r="DL126" i="13"/>
  <c r="DK126" i="13"/>
  <c r="DJ126" i="13"/>
  <c r="DI126" i="13"/>
  <c r="DH126" i="13"/>
  <c r="DG126" i="13"/>
  <c r="DF126" i="13"/>
  <c r="DE126" i="13"/>
  <c r="DD126" i="13"/>
  <c r="DC126" i="13"/>
  <c r="DB126" i="13"/>
  <c r="DA126" i="13"/>
  <c r="CZ126" i="13"/>
  <c r="CY126" i="13"/>
  <c r="CX126" i="13"/>
  <c r="CW126" i="13"/>
  <c r="CV126" i="13"/>
  <c r="CU126" i="13"/>
  <c r="CT126" i="13"/>
  <c r="CS126" i="13"/>
  <c r="CR126" i="13"/>
  <c r="CQ126" i="13"/>
  <c r="CP126" i="13"/>
  <c r="CO126" i="13"/>
  <c r="CN126" i="13"/>
  <c r="CM126" i="13"/>
  <c r="CL126" i="13"/>
  <c r="CK126" i="13"/>
  <c r="CJ126" i="13"/>
  <c r="CI126" i="13"/>
  <c r="CH126" i="13"/>
  <c r="CG126" i="13"/>
  <c r="CF126" i="13"/>
  <c r="CE126" i="13"/>
  <c r="CD126" i="13"/>
  <c r="CC126" i="13"/>
  <c r="CB126" i="13"/>
  <c r="CA126" i="13"/>
  <c r="BZ126" i="13"/>
  <c r="BY126" i="13"/>
  <c r="BX126" i="13"/>
  <c r="BW126" i="13"/>
  <c r="BV126" i="13"/>
  <c r="BU126" i="13"/>
  <c r="BT126" i="13"/>
  <c r="BS126" i="13"/>
  <c r="BR126" i="13"/>
  <c r="BQ126" i="13"/>
  <c r="BP126" i="13"/>
  <c r="BO126" i="13"/>
  <c r="BM126" i="13"/>
  <c r="BL126" i="13"/>
  <c r="BI126" i="13"/>
  <c r="BH126" i="13"/>
  <c r="BG126" i="13"/>
  <c r="BF126" i="13"/>
  <c r="BE126" i="13"/>
  <c r="BD126" i="13"/>
  <c r="BC126" i="13"/>
  <c r="BB126" i="13"/>
  <c r="BA126" i="13"/>
  <c r="AZ126" i="13"/>
  <c r="AY126" i="13"/>
  <c r="AX126" i="13"/>
  <c r="AW126" i="13"/>
  <c r="AV126" i="13"/>
  <c r="AU126" i="13"/>
  <c r="AT126" i="13"/>
  <c r="AS126" i="13"/>
  <c r="AR126" i="13"/>
  <c r="AQ126" i="13"/>
  <c r="AP126" i="13"/>
  <c r="AO126" i="13"/>
  <c r="AN126" i="13"/>
  <c r="AM126" i="13"/>
  <c r="AL126" i="13"/>
  <c r="AK126" i="13"/>
  <c r="AI126" i="13"/>
  <c r="AG126" i="13"/>
  <c r="AF126" i="13"/>
  <c r="AE126" i="13"/>
  <c r="AD126" i="13"/>
  <c r="AC126" i="13"/>
  <c r="AB126" i="13"/>
  <c r="AA126" i="13"/>
  <c r="Z126" i="13"/>
  <c r="Y126" i="13"/>
  <c r="X126" i="13"/>
  <c r="W126" i="13"/>
  <c r="P126" i="13"/>
  <c r="O126" i="13"/>
  <c r="M126" i="13"/>
  <c r="J126" i="13" s="1"/>
  <c r="L126" i="13"/>
  <c r="K126" i="13"/>
  <c r="DL125" i="13"/>
  <c r="DK125" i="13"/>
  <c r="DJ125" i="13"/>
  <c r="DI125" i="13"/>
  <c r="DH125" i="13"/>
  <c r="DG125" i="13"/>
  <c r="DF125" i="13"/>
  <c r="DE125" i="13"/>
  <c r="DD125" i="13"/>
  <c r="DC125" i="13"/>
  <c r="DB125" i="13"/>
  <c r="DA125" i="13"/>
  <c r="CZ125" i="13"/>
  <c r="CY125" i="13"/>
  <c r="CX125" i="13"/>
  <c r="CW125" i="13"/>
  <c r="CV125" i="13"/>
  <c r="CU125" i="13"/>
  <c r="CT125" i="13"/>
  <c r="CS125" i="13"/>
  <c r="CR125" i="13"/>
  <c r="CQ125" i="13"/>
  <c r="CP125" i="13"/>
  <c r="CO125" i="13"/>
  <c r="CN125" i="13"/>
  <c r="CM125" i="13"/>
  <c r="CL125" i="13"/>
  <c r="CK125" i="13"/>
  <c r="CJ125" i="13"/>
  <c r="CI125" i="13"/>
  <c r="CH125" i="13"/>
  <c r="CG125" i="13"/>
  <c r="CF125" i="13"/>
  <c r="CE125" i="13"/>
  <c r="CD125" i="13"/>
  <c r="CC125" i="13"/>
  <c r="CB125" i="13"/>
  <c r="CA125" i="13"/>
  <c r="BZ125" i="13"/>
  <c r="BY125" i="13"/>
  <c r="BX125" i="13"/>
  <c r="BW125" i="13"/>
  <c r="BV125" i="13"/>
  <c r="BU125" i="13"/>
  <c r="BT125" i="13"/>
  <c r="BS125" i="13"/>
  <c r="BR125" i="13"/>
  <c r="BQ125" i="13"/>
  <c r="BP125" i="13"/>
  <c r="BO125" i="13"/>
  <c r="BM125" i="13"/>
  <c r="BL125" i="13"/>
  <c r="BE125" i="13"/>
  <c r="BD125" i="13"/>
  <c r="BA125" i="13"/>
  <c r="AZ125" i="13"/>
  <c r="AY125" i="13"/>
  <c r="AX125" i="13"/>
  <c r="AU125" i="13"/>
  <c r="AT125" i="13"/>
  <c r="AR125" i="13"/>
  <c r="AP125" i="13"/>
  <c r="AO125" i="13"/>
  <c r="AN125" i="13"/>
  <c r="AM125" i="13"/>
  <c r="AL125" i="13"/>
  <c r="AK125" i="13"/>
  <c r="AI125" i="13"/>
  <c r="AG125" i="13"/>
  <c r="AF125" i="13"/>
  <c r="AE125" i="13"/>
  <c r="AD125" i="13"/>
  <c r="AC125" i="13"/>
  <c r="AB125" i="13"/>
  <c r="AA125" i="13"/>
  <c r="Z125" i="13"/>
  <c r="Y125" i="13"/>
  <c r="X125" i="13"/>
  <c r="W125" i="13"/>
  <c r="P125" i="13"/>
  <c r="O125" i="13"/>
  <c r="M125" i="13"/>
  <c r="J125" i="13" s="1"/>
  <c r="L125" i="13"/>
  <c r="K125" i="13"/>
  <c r="DL124" i="13"/>
  <c r="DK124" i="13"/>
  <c r="DJ124" i="13"/>
  <c r="DI124" i="13"/>
  <c r="DH124" i="13"/>
  <c r="DG124" i="13"/>
  <c r="DF124" i="13"/>
  <c r="DE124" i="13"/>
  <c r="DD124" i="13"/>
  <c r="DC124" i="13"/>
  <c r="DB124" i="13"/>
  <c r="DA124" i="13"/>
  <c r="CZ124" i="13"/>
  <c r="CY124" i="13"/>
  <c r="CX124" i="13"/>
  <c r="CW124" i="13"/>
  <c r="CV124" i="13"/>
  <c r="CU124" i="13"/>
  <c r="CT124" i="13"/>
  <c r="CS124" i="13"/>
  <c r="CR124" i="13"/>
  <c r="CQ124" i="13"/>
  <c r="CP124" i="13"/>
  <c r="CO124" i="13"/>
  <c r="CN124" i="13"/>
  <c r="CM124" i="13"/>
  <c r="CL124" i="13"/>
  <c r="CK124" i="13"/>
  <c r="CJ124" i="13"/>
  <c r="CI124" i="13"/>
  <c r="CH124" i="13"/>
  <c r="CG124" i="13"/>
  <c r="CF124" i="13"/>
  <c r="CE124" i="13"/>
  <c r="CD124" i="13"/>
  <c r="CC124" i="13"/>
  <c r="CB124" i="13"/>
  <c r="CA124" i="13"/>
  <c r="BZ124" i="13"/>
  <c r="BY124" i="13"/>
  <c r="BX124" i="13"/>
  <c r="BW124" i="13"/>
  <c r="BV124" i="13"/>
  <c r="BU124" i="13"/>
  <c r="BT124" i="13"/>
  <c r="BS124" i="13"/>
  <c r="BR124" i="13"/>
  <c r="BQ124" i="13"/>
  <c r="BP124" i="13"/>
  <c r="BO124" i="13"/>
  <c r="BM124" i="13"/>
  <c r="BL124" i="13"/>
  <c r="BA124" i="13"/>
  <c r="AZ124" i="13"/>
  <c r="AY124" i="13"/>
  <c r="AX124" i="13"/>
  <c r="AU124" i="13"/>
  <c r="AT124" i="13"/>
  <c r="AP124" i="13"/>
  <c r="AO124" i="13"/>
  <c r="AN124" i="13"/>
  <c r="AM124" i="13"/>
  <c r="AL124" i="13"/>
  <c r="AK124" i="13"/>
  <c r="AI124" i="13"/>
  <c r="AG124" i="13"/>
  <c r="AF124" i="13"/>
  <c r="AE124" i="13"/>
  <c r="AD124" i="13"/>
  <c r="AC124" i="13"/>
  <c r="AB124" i="13"/>
  <c r="AA124" i="13"/>
  <c r="Z124" i="13"/>
  <c r="Y124" i="13"/>
  <c r="X124" i="13"/>
  <c r="W124" i="13"/>
  <c r="P124" i="13"/>
  <c r="O124" i="13"/>
  <c r="M124" i="13"/>
  <c r="J124" i="13" s="1"/>
  <c r="L124" i="13"/>
  <c r="K124" i="13"/>
  <c r="DL123" i="13"/>
  <c r="DK123" i="13"/>
  <c r="DJ123" i="13"/>
  <c r="DI123" i="13"/>
  <c r="DH123" i="13"/>
  <c r="DG123" i="13"/>
  <c r="DF123" i="13"/>
  <c r="DE123" i="13"/>
  <c r="DD123" i="13"/>
  <c r="DC123" i="13"/>
  <c r="DB123" i="13"/>
  <c r="DA123" i="13"/>
  <c r="CZ123" i="13"/>
  <c r="CY123" i="13"/>
  <c r="CX123" i="13"/>
  <c r="CW123" i="13"/>
  <c r="CV123" i="13"/>
  <c r="CU123" i="13"/>
  <c r="CT123" i="13"/>
  <c r="CS123" i="13"/>
  <c r="CR123" i="13"/>
  <c r="CQ123" i="13"/>
  <c r="CP123" i="13"/>
  <c r="CO123" i="13"/>
  <c r="CN123" i="13"/>
  <c r="CM123" i="13"/>
  <c r="CL123" i="13"/>
  <c r="CK123" i="13"/>
  <c r="CJ123" i="13"/>
  <c r="CI123" i="13"/>
  <c r="CH123" i="13"/>
  <c r="CG123" i="13"/>
  <c r="CF123" i="13"/>
  <c r="CE123" i="13"/>
  <c r="CD123" i="13"/>
  <c r="CC123" i="13"/>
  <c r="CB123" i="13"/>
  <c r="CA123" i="13"/>
  <c r="BZ123" i="13"/>
  <c r="BY123" i="13"/>
  <c r="BX123" i="13"/>
  <c r="BW123" i="13"/>
  <c r="BV123" i="13"/>
  <c r="BU123" i="13"/>
  <c r="BT123" i="13"/>
  <c r="BS123" i="13"/>
  <c r="BR123" i="13"/>
  <c r="BQ123" i="13"/>
  <c r="BP123" i="13"/>
  <c r="BO123" i="13"/>
  <c r="BM123" i="13"/>
  <c r="BL123" i="13"/>
  <c r="BG123" i="13"/>
  <c r="BF123" i="13"/>
  <c r="BE123" i="13"/>
  <c r="BD123" i="13"/>
  <c r="BC123" i="13"/>
  <c r="BB123" i="13"/>
  <c r="AY123" i="13"/>
  <c r="AX123" i="13"/>
  <c r="AU123" i="13"/>
  <c r="AQ123" i="13"/>
  <c r="AP123" i="13"/>
  <c r="AO123" i="13"/>
  <c r="AN123" i="13"/>
  <c r="AM123" i="13"/>
  <c r="AL123" i="13"/>
  <c r="AK123" i="13"/>
  <c r="AI123" i="13"/>
  <c r="AG123" i="13"/>
  <c r="AF123" i="13"/>
  <c r="AE123" i="13"/>
  <c r="AD123" i="13"/>
  <c r="AC123" i="13"/>
  <c r="AB123" i="13"/>
  <c r="AA123" i="13"/>
  <c r="Z123" i="13"/>
  <c r="Y123" i="13"/>
  <c r="X123" i="13"/>
  <c r="W123" i="13"/>
  <c r="P123" i="13"/>
  <c r="O123" i="13"/>
  <c r="M123" i="13"/>
  <c r="J123" i="13" s="1"/>
  <c r="L123" i="13"/>
  <c r="K123" i="13"/>
  <c r="DL122" i="13"/>
  <c r="DK122" i="13"/>
  <c r="DJ122" i="13"/>
  <c r="DI122" i="13"/>
  <c r="DH122" i="13"/>
  <c r="DG122" i="13"/>
  <c r="DF122" i="13"/>
  <c r="DE122" i="13"/>
  <c r="DD122" i="13"/>
  <c r="DC122" i="13"/>
  <c r="DB122" i="13"/>
  <c r="DA122" i="13"/>
  <c r="CZ122" i="13"/>
  <c r="CY122" i="13"/>
  <c r="CX122" i="13"/>
  <c r="CW122" i="13"/>
  <c r="CV122" i="13"/>
  <c r="CU122" i="13"/>
  <c r="CT122" i="13"/>
  <c r="CS122" i="13"/>
  <c r="CR122" i="13"/>
  <c r="CQ122" i="13"/>
  <c r="CP122" i="13"/>
  <c r="CO122" i="13"/>
  <c r="CN122" i="13"/>
  <c r="CM122" i="13"/>
  <c r="CL122" i="13"/>
  <c r="CK122" i="13"/>
  <c r="CJ122" i="13"/>
  <c r="CI122" i="13"/>
  <c r="CH122" i="13"/>
  <c r="CG122" i="13"/>
  <c r="CF122" i="13"/>
  <c r="CE122" i="13"/>
  <c r="CD122" i="13"/>
  <c r="CC122" i="13"/>
  <c r="CB122" i="13"/>
  <c r="CA122" i="13"/>
  <c r="BZ122" i="13"/>
  <c r="BY122" i="13"/>
  <c r="BX122" i="13"/>
  <c r="BW122" i="13"/>
  <c r="BV122" i="13"/>
  <c r="BU122" i="13"/>
  <c r="BT122" i="13"/>
  <c r="BS122" i="13"/>
  <c r="BR122" i="13"/>
  <c r="BQ122" i="13"/>
  <c r="BP122" i="13"/>
  <c r="BO122" i="13"/>
  <c r="BM122" i="13"/>
  <c r="BL122" i="13"/>
  <c r="BI122" i="13"/>
  <c r="BH122" i="13"/>
  <c r="BG122" i="13"/>
  <c r="BF122" i="13"/>
  <c r="BC122" i="13"/>
  <c r="BB122" i="13"/>
  <c r="BA122" i="13"/>
  <c r="AZ122" i="13"/>
  <c r="AY122" i="13"/>
  <c r="AX122" i="13"/>
  <c r="AU122" i="13"/>
  <c r="AR122" i="13"/>
  <c r="AP122" i="13"/>
  <c r="AO122" i="13"/>
  <c r="AN122" i="13"/>
  <c r="AM122" i="13"/>
  <c r="AL122" i="13"/>
  <c r="AK122" i="13"/>
  <c r="AI122" i="13"/>
  <c r="AG122" i="13"/>
  <c r="AF122" i="13"/>
  <c r="AE122" i="13"/>
  <c r="AD122" i="13"/>
  <c r="AC122" i="13"/>
  <c r="AB122" i="13"/>
  <c r="AA122" i="13"/>
  <c r="Z122" i="13"/>
  <c r="Y122" i="13"/>
  <c r="X122" i="13"/>
  <c r="W122" i="13"/>
  <c r="P122" i="13"/>
  <c r="O122" i="13"/>
  <c r="M122" i="13"/>
  <c r="J122" i="13" s="1"/>
  <c r="L122" i="13"/>
  <c r="K122" i="13"/>
  <c r="DL121" i="13"/>
  <c r="DK121" i="13"/>
  <c r="DJ121" i="13"/>
  <c r="DI121" i="13"/>
  <c r="DH121" i="13"/>
  <c r="DG121" i="13"/>
  <c r="DF121" i="13"/>
  <c r="DE121" i="13"/>
  <c r="DD121" i="13"/>
  <c r="DC121" i="13"/>
  <c r="DB121" i="13"/>
  <c r="DA121" i="13"/>
  <c r="CZ121" i="13"/>
  <c r="CY121" i="13"/>
  <c r="CX121" i="13"/>
  <c r="CW121" i="13"/>
  <c r="CV121" i="13"/>
  <c r="CU121" i="13"/>
  <c r="CT121" i="13"/>
  <c r="CS121" i="13"/>
  <c r="CR121" i="13"/>
  <c r="CQ121" i="13"/>
  <c r="CP121" i="13"/>
  <c r="CO121" i="13"/>
  <c r="CN121" i="13"/>
  <c r="CM121" i="13"/>
  <c r="CL121" i="13"/>
  <c r="CK121" i="13"/>
  <c r="CJ121" i="13"/>
  <c r="CI121" i="13"/>
  <c r="CH121" i="13"/>
  <c r="CG121" i="13"/>
  <c r="CF121" i="13"/>
  <c r="CE121" i="13"/>
  <c r="CD121" i="13"/>
  <c r="CC121" i="13"/>
  <c r="CB121" i="13"/>
  <c r="CA121" i="13"/>
  <c r="BZ121" i="13"/>
  <c r="BY121" i="13"/>
  <c r="BX121" i="13"/>
  <c r="BW121" i="13"/>
  <c r="BV121" i="13"/>
  <c r="BU121" i="13"/>
  <c r="BT121" i="13"/>
  <c r="BS121" i="13"/>
  <c r="BR121" i="13"/>
  <c r="BQ121" i="13"/>
  <c r="BP121" i="13"/>
  <c r="BO121" i="13"/>
  <c r="BM121" i="13"/>
  <c r="BL121" i="13"/>
  <c r="BI121" i="13"/>
  <c r="BH121" i="13"/>
  <c r="BE121" i="13"/>
  <c r="BD121" i="13"/>
  <c r="BC121" i="13"/>
  <c r="BB121" i="13"/>
  <c r="AW121" i="13"/>
  <c r="AV121" i="13"/>
  <c r="AU121" i="13"/>
  <c r="AS121" i="13"/>
  <c r="AR121" i="13"/>
  <c r="AP121" i="13"/>
  <c r="AO121" i="13"/>
  <c r="AN121" i="13"/>
  <c r="AM121" i="13"/>
  <c r="AL121" i="13"/>
  <c r="AK121" i="13"/>
  <c r="AI121" i="13"/>
  <c r="AG121" i="13"/>
  <c r="AF121" i="13"/>
  <c r="AE121" i="13"/>
  <c r="AD121" i="13"/>
  <c r="AC121" i="13"/>
  <c r="AB121" i="13"/>
  <c r="AA121" i="13"/>
  <c r="Z121" i="13"/>
  <c r="Y121" i="13"/>
  <c r="X121" i="13"/>
  <c r="W121" i="13"/>
  <c r="P121" i="13"/>
  <c r="O121" i="13"/>
  <c r="M121" i="13"/>
  <c r="J121" i="13" s="1"/>
  <c r="L121" i="13"/>
  <c r="K121" i="13"/>
  <c r="DL120" i="13"/>
  <c r="DK120" i="13"/>
  <c r="DJ120" i="13"/>
  <c r="DI120" i="13"/>
  <c r="DH120" i="13"/>
  <c r="DG120" i="13"/>
  <c r="DF120" i="13"/>
  <c r="DE120" i="13"/>
  <c r="DD120" i="13"/>
  <c r="DC120" i="13"/>
  <c r="DB120" i="13"/>
  <c r="DA120" i="13"/>
  <c r="CZ120" i="13"/>
  <c r="CY120" i="13"/>
  <c r="CX120" i="13"/>
  <c r="CW120" i="13"/>
  <c r="CV120" i="13"/>
  <c r="CU120" i="13"/>
  <c r="CT120" i="13"/>
  <c r="CS120" i="13"/>
  <c r="CR120" i="13"/>
  <c r="CQ120" i="13"/>
  <c r="CP120" i="13"/>
  <c r="CO120" i="13"/>
  <c r="CN120" i="13"/>
  <c r="CM120" i="13"/>
  <c r="CL120" i="13"/>
  <c r="CK120" i="13"/>
  <c r="CJ120" i="13"/>
  <c r="CI120" i="13"/>
  <c r="CH120" i="13"/>
  <c r="CG120" i="13"/>
  <c r="CF120" i="13"/>
  <c r="CE120" i="13"/>
  <c r="CD120" i="13"/>
  <c r="CC120" i="13"/>
  <c r="CB120" i="13"/>
  <c r="CA120" i="13"/>
  <c r="BZ120" i="13"/>
  <c r="BY120" i="13"/>
  <c r="BX120" i="13"/>
  <c r="BW120" i="13"/>
  <c r="BV120" i="13"/>
  <c r="BU120" i="13"/>
  <c r="BT120" i="13"/>
  <c r="BS120" i="13"/>
  <c r="BR120" i="13"/>
  <c r="BQ120" i="13"/>
  <c r="BP120" i="13"/>
  <c r="BO120" i="13"/>
  <c r="BM120" i="13"/>
  <c r="BL120" i="13"/>
  <c r="BG120" i="13"/>
  <c r="BF120" i="13"/>
  <c r="BE120" i="13"/>
  <c r="BD120" i="13"/>
  <c r="BC120" i="13"/>
  <c r="BB120" i="13"/>
  <c r="AY120" i="13"/>
  <c r="AX120" i="13"/>
  <c r="AU120" i="13"/>
  <c r="AT120" i="13"/>
  <c r="AS120" i="13"/>
  <c r="AR120" i="13"/>
  <c r="AQ120" i="13"/>
  <c r="AP120" i="13"/>
  <c r="AO120" i="13"/>
  <c r="AN120" i="13"/>
  <c r="AM120" i="13"/>
  <c r="AL120" i="13"/>
  <c r="AK120" i="13"/>
  <c r="AI120" i="13"/>
  <c r="AG120" i="13"/>
  <c r="AF120" i="13"/>
  <c r="AE120" i="13"/>
  <c r="AD120" i="13"/>
  <c r="AC120" i="13"/>
  <c r="AB120" i="13"/>
  <c r="AA120" i="13"/>
  <c r="Z120" i="13"/>
  <c r="Y120" i="13"/>
  <c r="X120" i="13"/>
  <c r="W120" i="13"/>
  <c r="P120" i="13"/>
  <c r="O120" i="13"/>
  <c r="M120" i="13"/>
  <c r="J120" i="13" s="1"/>
  <c r="L120" i="13"/>
  <c r="K120" i="13"/>
  <c r="DL119" i="13"/>
  <c r="DK119" i="13"/>
  <c r="DJ119" i="13"/>
  <c r="DI119" i="13"/>
  <c r="DH119" i="13"/>
  <c r="DG119" i="13"/>
  <c r="DF119" i="13"/>
  <c r="DE119" i="13"/>
  <c r="DD119" i="13"/>
  <c r="DC119" i="13"/>
  <c r="DB119" i="13"/>
  <c r="DA119" i="13"/>
  <c r="CZ119" i="13"/>
  <c r="CY119" i="13"/>
  <c r="CX119" i="13"/>
  <c r="CW119" i="13"/>
  <c r="CV119" i="13"/>
  <c r="CU119" i="13"/>
  <c r="CT119" i="13"/>
  <c r="CS119" i="13"/>
  <c r="CR119" i="13"/>
  <c r="CQ119" i="13"/>
  <c r="CP119" i="13"/>
  <c r="CO119" i="13"/>
  <c r="CN119" i="13"/>
  <c r="CM119" i="13"/>
  <c r="CL119" i="13"/>
  <c r="CK119" i="13"/>
  <c r="CJ119" i="13"/>
  <c r="CI119" i="13"/>
  <c r="CH119" i="13"/>
  <c r="CG119" i="13"/>
  <c r="CF119" i="13"/>
  <c r="CE119" i="13"/>
  <c r="CD119" i="13"/>
  <c r="CC119" i="13"/>
  <c r="CB119" i="13"/>
  <c r="CA119" i="13"/>
  <c r="BZ119" i="13"/>
  <c r="BY119" i="13"/>
  <c r="BX119" i="13"/>
  <c r="BW119" i="13"/>
  <c r="BV119" i="13"/>
  <c r="BU119" i="13"/>
  <c r="BT119" i="13"/>
  <c r="BS119" i="13"/>
  <c r="BR119" i="13"/>
  <c r="BQ119" i="13"/>
  <c r="BP119" i="13"/>
  <c r="BO119" i="13"/>
  <c r="BM119" i="13"/>
  <c r="BL119" i="13"/>
  <c r="BI119" i="13"/>
  <c r="BH119" i="13"/>
  <c r="BE119" i="13"/>
  <c r="BD119" i="13"/>
  <c r="BC119" i="13"/>
  <c r="BB119" i="13"/>
  <c r="BA119" i="13"/>
  <c r="AZ119" i="13"/>
  <c r="AY119" i="13"/>
  <c r="AX119" i="13"/>
  <c r="AU119" i="13"/>
  <c r="AT119" i="13"/>
  <c r="AR119" i="13"/>
  <c r="AP119" i="13"/>
  <c r="AO119" i="13"/>
  <c r="AN119" i="13"/>
  <c r="AM119" i="13"/>
  <c r="AL119" i="13"/>
  <c r="AK119" i="13"/>
  <c r="AI119" i="13"/>
  <c r="AG119" i="13"/>
  <c r="AF119" i="13"/>
  <c r="AE119" i="13"/>
  <c r="AD119" i="13"/>
  <c r="AC119" i="13"/>
  <c r="AB119" i="13"/>
  <c r="AA119" i="13"/>
  <c r="Z119" i="13"/>
  <c r="Y119" i="13"/>
  <c r="X119" i="13"/>
  <c r="W119" i="13"/>
  <c r="P119" i="13"/>
  <c r="O119" i="13"/>
  <c r="M119" i="13"/>
  <c r="J119" i="13" s="1"/>
  <c r="L119" i="13"/>
  <c r="K119" i="13"/>
  <c r="DL118" i="13"/>
  <c r="DK118" i="13"/>
  <c r="DJ118" i="13"/>
  <c r="DI118" i="13"/>
  <c r="DH118" i="13"/>
  <c r="DG118" i="13"/>
  <c r="DF118" i="13"/>
  <c r="DE118" i="13"/>
  <c r="DD118" i="13"/>
  <c r="DC118" i="13"/>
  <c r="DB118" i="13"/>
  <c r="DA118" i="13"/>
  <c r="CZ118" i="13"/>
  <c r="CY118" i="13"/>
  <c r="CX118" i="13"/>
  <c r="CW118" i="13"/>
  <c r="CV118" i="13"/>
  <c r="CU118" i="13"/>
  <c r="CT118" i="13"/>
  <c r="CS118" i="13"/>
  <c r="CR118" i="13"/>
  <c r="CQ118" i="13"/>
  <c r="CP118" i="13"/>
  <c r="CO118" i="13"/>
  <c r="CN118" i="13"/>
  <c r="CM118" i="13"/>
  <c r="CL118" i="13"/>
  <c r="CK118" i="13"/>
  <c r="CJ118" i="13"/>
  <c r="CI118" i="13"/>
  <c r="CH118" i="13"/>
  <c r="CG118" i="13"/>
  <c r="CF118" i="13"/>
  <c r="CE118" i="13"/>
  <c r="CD118" i="13"/>
  <c r="CC118" i="13"/>
  <c r="CB118" i="13"/>
  <c r="CA118" i="13"/>
  <c r="BZ118" i="13"/>
  <c r="BY118" i="13"/>
  <c r="BX118" i="13"/>
  <c r="BW118" i="13"/>
  <c r="BV118" i="13"/>
  <c r="BU118" i="13"/>
  <c r="BT118" i="13"/>
  <c r="BS118" i="13"/>
  <c r="BR118" i="13"/>
  <c r="BQ118" i="13"/>
  <c r="BP118" i="13"/>
  <c r="BO118" i="13"/>
  <c r="BM118" i="13"/>
  <c r="BL118" i="13"/>
  <c r="BI118" i="13"/>
  <c r="BH118" i="13"/>
  <c r="AY118" i="13"/>
  <c r="AX118" i="13"/>
  <c r="AU118" i="13"/>
  <c r="AR118" i="13"/>
  <c r="AP118" i="13"/>
  <c r="AO118" i="13"/>
  <c r="AN118" i="13"/>
  <c r="AM118" i="13"/>
  <c r="AL118" i="13"/>
  <c r="AK118" i="13"/>
  <c r="AI118" i="13"/>
  <c r="AG118" i="13"/>
  <c r="AF118" i="13"/>
  <c r="AE118" i="13"/>
  <c r="AD118" i="13"/>
  <c r="AC118" i="13"/>
  <c r="AB118" i="13"/>
  <c r="AA118" i="13"/>
  <c r="Z118" i="13"/>
  <c r="Y118" i="13"/>
  <c r="X118" i="13"/>
  <c r="W118" i="13"/>
  <c r="P118" i="13"/>
  <c r="O118" i="13"/>
  <c r="M118" i="13"/>
  <c r="J118" i="13" s="1"/>
  <c r="L118" i="13"/>
  <c r="K118" i="13"/>
  <c r="DL117" i="13"/>
  <c r="DK117" i="13"/>
  <c r="DJ117" i="13"/>
  <c r="DI117" i="13"/>
  <c r="DH117" i="13"/>
  <c r="DG117" i="13"/>
  <c r="DF117" i="13"/>
  <c r="DE117" i="13"/>
  <c r="DD117" i="13"/>
  <c r="DC117" i="13"/>
  <c r="DB117" i="13"/>
  <c r="DA117" i="13"/>
  <c r="CZ117" i="13"/>
  <c r="CY117" i="13"/>
  <c r="CX117" i="13"/>
  <c r="CW117" i="13"/>
  <c r="CV117" i="13"/>
  <c r="CU117" i="13"/>
  <c r="CT117" i="13"/>
  <c r="CS117" i="13"/>
  <c r="CR117" i="13"/>
  <c r="CQ117" i="13"/>
  <c r="CP117" i="13"/>
  <c r="CO117" i="13"/>
  <c r="CN117" i="13"/>
  <c r="CM117" i="13"/>
  <c r="CL117" i="13"/>
  <c r="CK117" i="13"/>
  <c r="CJ117" i="13"/>
  <c r="CI117" i="13"/>
  <c r="CH117" i="13"/>
  <c r="CG117" i="13"/>
  <c r="CF117" i="13"/>
  <c r="CE117" i="13"/>
  <c r="CD117" i="13"/>
  <c r="CC117" i="13"/>
  <c r="CB117" i="13"/>
  <c r="CA117" i="13"/>
  <c r="BZ117" i="13"/>
  <c r="BY117" i="13"/>
  <c r="BX117" i="13"/>
  <c r="BW117" i="13"/>
  <c r="BV117" i="13"/>
  <c r="BU117" i="13"/>
  <c r="BT117" i="13"/>
  <c r="BS117" i="13"/>
  <c r="BR117" i="13"/>
  <c r="BQ117" i="13"/>
  <c r="BP117" i="13"/>
  <c r="BO117" i="13"/>
  <c r="BM117" i="13"/>
  <c r="BL117" i="13"/>
  <c r="BI117" i="13"/>
  <c r="BH117" i="13"/>
  <c r="BE117" i="13"/>
  <c r="BD117" i="13"/>
  <c r="AY117" i="13"/>
  <c r="AX117" i="13"/>
  <c r="AW117" i="13"/>
  <c r="AV117" i="13"/>
  <c r="AU117" i="13"/>
  <c r="AP117" i="13"/>
  <c r="AO117" i="13"/>
  <c r="AN117" i="13"/>
  <c r="AM117" i="13"/>
  <c r="AL117" i="13"/>
  <c r="AK117" i="13"/>
  <c r="AI117" i="13"/>
  <c r="AG117" i="13"/>
  <c r="AF117" i="13"/>
  <c r="AE117" i="13"/>
  <c r="AD117" i="13"/>
  <c r="AC117" i="13"/>
  <c r="AB117" i="13"/>
  <c r="AA117" i="13"/>
  <c r="Z117" i="13"/>
  <c r="Y117" i="13"/>
  <c r="X117" i="13"/>
  <c r="W117" i="13"/>
  <c r="P117" i="13"/>
  <c r="O117" i="13"/>
  <c r="M117" i="13"/>
  <c r="J117" i="13" s="1"/>
  <c r="L117" i="13"/>
  <c r="K117" i="13"/>
  <c r="DL116" i="13"/>
  <c r="DK116" i="13"/>
  <c r="DJ116" i="13"/>
  <c r="DI116" i="13"/>
  <c r="DH116" i="13"/>
  <c r="DG116" i="13"/>
  <c r="DF116" i="13"/>
  <c r="DE116" i="13"/>
  <c r="DD116" i="13"/>
  <c r="DC116" i="13"/>
  <c r="DB116" i="13"/>
  <c r="DA116" i="13"/>
  <c r="CZ116" i="13"/>
  <c r="CY116" i="13"/>
  <c r="CX116" i="13"/>
  <c r="CW116" i="13"/>
  <c r="CV116" i="13"/>
  <c r="CU116" i="13"/>
  <c r="CT116" i="13"/>
  <c r="CS116" i="13"/>
  <c r="CR116" i="13"/>
  <c r="CQ116" i="13"/>
  <c r="CP116" i="13"/>
  <c r="CO116" i="13"/>
  <c r="CN116" i="13"/>
  <c r="CM116" i="13"/>
  <c r="CL116" i="13"/>
  <c r="CK116" i="13"/>
  <c r="CJ116" i="13"/>
  <c r="CI116" i="13"/>
  <c r="CH116" i="13"/>
  <c r="CG116" i="13"/>
  <c r="CF116" i="13"/>
  <c r="CE116" i="13"/>
  <c r="CD116" i="13"/>
  <c r="CC116" i="13"/>
  <c r="CB116" i="13"/>
  <c r="CA116" i="13"/>
  <c r="BZ116" i="13"/>
  <c r="BY116" i="13"/>
  <c r="BX116" i="13"/>
  <c r="BW116" i="13"/>
  <c r="BV116" i="13"/>
  <c r="BU116" i="13"/>
  <c r="BT116" i="13"/>
  <c r="BS116" i="13"/>
  <c r="BR116" i="13"/>
  <c r="BQ116" i="13"/>
  <c r="BP116" i="13"/>
  <c r="BO116" i="13"/>
  <c r="BM116" i="13"/>
  <c r="BL116" i="13"/>
  <c r="BI116" i="13"/>
  <c r="BH116" i="13"/>
  <c r="BG116" i="13"/>
  <c r="BF116" i="13"/>
  <c r="BE116" i="13"/>
  <c r="BD116" i="13"/>
  <c r="BC116" i="13"/>
  <c r="BB116" i="13"/>
  <c r="BA116" i="13"/>
  <c r="AZ116" i="13"/>
  <c r="AY116" i="13"/>
  <c r="AX116" i="13"/>
  <c r="AW116" i="13"/>
  <c r="AV116" i="13"/>
  <c r="AU116" i="13"/>
  <c r="AT116" i="13"/>
  <c r="AS116" i="13"/>
  <c r="AR116" i="13"/>
  <c r="AQ116" i="13"/>
  <c r="AP116" i="13"/>
  <c r="AO116" i="13"/>
  <c r="AN116" i="13"/>
  <c r="AM116" i="13"/>
  <c r="AL116" i="13"/>
  <c r="AK116" i="13"/>
  <c r="AI116" i="13"/>
  <c r="AG116" i="13"/>
  <c r="AF116" i="13"/>
  <c r="AE116" i="13"/>
  <c r="AD116" i="13"/>
  <c r="AC116" i="13"/>
  <c r="AB116" i="13"/>
  <c r="AA116" i="13"/>
  <c r="Z116" i="13"/>
  <c r="Y116" i="13"/>
  <c r="X116" i="13"/>
  <c r="W116" i="13"/>
  <c r="P116" i="13"/>
  <c r="O116" i="13"/>
  <c r="M116" i="13"/>
  <c r="J116" i="13" s="1"/>
  <c r="L116" i="13"/>
  <c r="K116" i="13"/>
  <c r="DL115" i="13"/>
  <c r="DK115" i="13"/>
  <c r="DJ115" i="13"/>
  <c r="DI115" i="13"/>
  <c r="DH115" i="13"/>
  <c r="DG115" i="13"/>
  <c r="DF115" i="13"/>
  <c r="DE115" i="13"/>
  <c r="DD115" i="13"/>
  <c r="DC115" i="13"/>
  <c r="DB115" i="13"/>
  <c r="DA115" i="13"/>
  <c r="CZ115" i="13"/>
  <c r="CY115" i="13"/>
  <c r="CX115" i="13"/>
  <c r="CW115" i="13"/>
  <c r="CV115" i="13"/>
  <c r="CU115" i="13"/>
  <c r="CT115" i="13"/>
  <c r="CS115" i="13"/>
  <c r="CR115" i="13"/>
  <c r="CQ115" i="13"/>
  <c r="CP115" i="13"/>
  <c r="CO115" i="13"/>
  <c r="CN115" i="13"/>
  <c r="CM115" i="13"/>
  <c r="CL115" i="13"/>
  <c r="CK115" i="13"/>
  <c r="CJ115" i="13"/>
  <c r="CI115" i="13"/>
  <c r="CH115" i="13"/>
  <c r="CG115" i="13"/>
  <c r="CF115" i="13"/>
  <c r="CE115" i="13"/>
  <c r="CD115" i="13"/>
  <c r="CC115" i="13"/>
  <c r="CB115" i="13"/>
  <c r="CA115" i="13"/>
  <c r="BZ115" i="13"/>
  <c r="BY115" i="13"/>
  <c r="BX115" i="13"/>
  <c r="BW115" i="13"/>
  <c r="BV115" i="13"/>
  <c r="BU115" i="13"/>
  <c r="BT115" i="13"/>
  <c r="BS115" i="13"/>
  <c r="BR115" i="13"/>
  <c r="BQ115" i="13"/>
  <c r="BP115" i="13"/>
  <c r="BO115" i="13"/>
  <c r="BM115" i="13"/>
  <c r="BL115" i="13"/>
  <c r="BG115" i="13"/>
  <c r="BF115" i="13"/>
  <c r="BE115" i="13"/>
  <c r="BD115" i="13"/>
  <c r="BC115" i="13"/>
  <c r="BB115" i="13"/>
  <c r="AY115" i="13"/>
  <c r="AX115" i="13"/>
  <c r="AU115" i="13"/>
  <c r="AT115" i="13"/>
  <c r="AR115" i="13"/>
  <c r="AQ115" i="13"/>
  <c r="AP115" i="13"/>
  <c r="AO115" i="13"/>
  <c r="AN115" i="13"/>
  <c r="AM115" i="13"/>
  <c r="AL115" i="13"/>
  <c r="AK115" i="13"/>
  <c r="AI115" i="13"/>
  <c r="AG115" i="13"/>
  <c r="AF115" i="13"/>
  <c r="AE115" i="13"/>
  <c r="AD115" i="13"/>
  <c r="AC115" i="13"/>
  <c r="AB115" i="13"/>
  <c r="AA115" i="13"/>
  <c r="Z115" i="13"/>
  <c r="Y115" i="13"/>
  <c r="X115" i="13"/>
  <c r="W115" i="13"/>
  <c r="P115" i="13"/>
  <c r="O115" i="13"/>
  <c r="M115" i="13"/>
  <c r="J115" i="13" s="1"/>
  <c r="L115" i="13"/>
  <c r="K115" i="13"/>
  <c r="DL114" i="13"/>
  <c r="DK114" i="13"/>
  <c r="DJ114" i="13"/>
  <c r="DI114" i="13"/>
  <c r="DH114" i="13"/>
  <c r="DG114" i="13"/>
  <c r="DF114" i="13"/>
  <c r="DE114" i="13"/>
  <c r="DD114" i="13"/>
  <c r="DC114" i="13"/>
  <c r="DB114" i="13"/>
  <c r="DA114" i="13"/>
  <c r="CZ114" i="13"/>
  <c r="CY114" i="13"/>
  <c r="CX114" i="13"/>
  <c r="CW114" i="13"/>
  <c r="CV114" i="13"/>
  <c r="CU114" i="13"/>
  <c r="CT114" i="13"/>
  <c r="CS114" i="13"/>
  <c r="CR114" i="13"/>
  <c r="CQ114" i="13"/>
  <c r="CP114" i="13"/>
  <c r="CO114" i="13"/>
  <c r="CN114" i="13"/>
  <c r="CM114" i="13"/>
  <c r="CL114" i="13"/>
  <c r="CK114" i="13"/>
  <c r="CJ114" i="13"/>
  <c r="CI114" i="13"/>
  <c r="CH114" i="13"/>
  <c r="CG114" i="13"/>
  <c r="CF114" i="13"/>
  <c r="CE114" i="13"/>
  <c r="CD114" i="13"/>
  <c r="CC114" i="13"/>
  <c r="CB114" i="13"/>
  <c r="CA114" i="13"/>
  <c r="BZ114" i="13"/>
  <c r="BY114" i="13"/>
  <c r="BX114" i="13"/>
  <c r="BW114" i="13"/>
  <c r="BV114" i="13"/>
  <c r="BU114" i="13"/>
  <c r="BT114" i="13"/>
  <c r="BS114" i="13"/>
  <c r="BR114" i="13"/>
  <c r="BQ114" i="13"/>
  <c r="BP114" i="13"/>
  <c r="BO114" i="13"/>
  <c r="BM114" i="13"/>
  <c r="BL114" i="13"/>
  <c r="BI114" i="13"/>
  <c r="BH114" i="13"/>
  <c r="AY114" i="13"/>
  <c r="AX114" i="13"/>
  <c r="AW114" i="13"/>
  <c r="AV114" i="13"/>
  <c r="AU114" i="13"/>
  <c r="AT114" i="13"/>
  <c r="AP114" i="13"/>
  <c r="AO114" i="13"/>
  <c r="AN114" i="13"/>
  <c r="AM114" i="13"/>
  <c r="AL114" i="13"/>
  <c r="AK114" i="13"/>
  <c r="AI114" i="13"/>
  <c r="AG114" i="13"/>
  <c r="AF114" i="13"/>
  <c r="AE114" i="13"/>
  <c r="AD114" i="13"/>
  <c r="AC114" i="13"/>
  <c r="AB114" i="13"/>
  <c r="AA114" i="13"/>
  <c r="Z114" i="13"/>
  <c r="Y114" i="13"/>
  <c r="X114" i="13"/>
  <c r="W114" i="13"/>
  <c r="P114" i="13"/>
  <c r="O114" i="13"/>
  <c r="M114" i="13"/>
  <c r="J114" i="13" s="1"/>
  <c r="L114" i="13"/>
  <c r="K114" i="13"/>
  <c r="DL113" i="13"/>
  <c r="DK113" i="13"/>
  <c r="DJ113" i="13"/>
  <c r="DI113" i="13"/>
  <c r="DH113" i="13"/>
  <c r="DG113" i="13"/>
  <c r="DF113" i="13"/>
  <c r="DE113" i="13"/>
  <c r="DD113" i="13"/>
  <c r="DC113" i="13"/>
  <c r="DB113" i="13"/>
  <c r="DA113" i="13"/>
  <c r="CZ113" i="13"/>
  <c r="CY113" i="13"/>
  <c r="CX113" i="13"/>
  <c r="CW113" i="13"/>
  <c r="CV113" i="13"/>
  <c r="CU113" i="13"/>
  <c r="CT113" i="13"/>
  <c r="CS113" i="13"/>
  <c r="CR113" i="13"/>
  <c r="CQ113" i="13"/>
  <c r="CP113" i="13"/>
  <c r="CO113" i="13"/>
  <c r="CN113" i="13"/>
  <c r="CM113" i="13"/>
  <c r="CL113" i="13"/>
  <c r="CK113" i="13"/>
  <c r="CJ113" i="13"/>
  <c r="CI113" i="13"/>
  <c r="CH113" i="13"/>
  <c r="CG113" i="13"/>
  <c r="CF113" i="13"/>
  <c r="CE113" i="13"/>
  <c r="CD113" i="13"/>
  <c r="CC113" i="13"/>
  <c r="CB113" i="13"/>
  <c r="CA113" i="13"/>
  <c r="BZ113" i="13"/>
  <c r="BY113" i="13"/>
  <c r="BX113" i="13"/>
  <c r="BW113" i="13"/>
  <c r="BV113" i="13"/>
  <c r="BU113" i="13"/>
  <c r="BT113" i="13"/>
  <c r="BS113" i="13"/>
  <c r="BR113" i="13"/>
  <c r="BQ113" i="13"/>
  <c r="BP113" i="13"/>
  <c r="BO113" i="13"/>
  <c r="BM113" i="13"/>
  <c r="BL113" i="13"/>
  <c r="BI113" i="13"/>
  <c r="BH113" i="13"/>
  <c r="BG113" i="13"/>
  <c r="BF113" i="13"/>
  <c r="BE113" i="13"/>
  <c r="BD113" i="13"/>
  <c r="BC113" i="13"/>
  <c r="BB113" i="13"/>
  <c r="BA113" i="13"/>
  <c r="AZ113" i="13"/>
  <c r="AU113" i="13"/>
  <c r="AT113" i="13"/>
  <c r="AS113" i="13"/>
  <c r="AR113" i="13"/>
  <c r="AQ113" i="13"/>
  <c r="AP113" i="13"/>
  <c r="AO113" i="13"/>
  <c r="AN113" i="13"/>
  <c r="AM113" i="13"/>
  <c r="AL113" i="13"/>
  <c r="AK113" i="13"/>
  <c r="AI113" i="13"/>
  <c r="AG113" i="13"/>
  <c r="AF113" i="13"/>
  <c r="AE113" i="13"/>
  <c r="AD113" i="13"/>
  <c r="AC113" i="13"/>
  <c r="AB113" i="13"/>
  <c r="AA113" i="13"/>
  <c r="Z113" i="13"/>
  <c r="Y113" i="13"/>
  <c r="X113" i="13"/>
  <c r="W113" i="13"/>
  <c r="P113" i="13"/>
  <c r="O113" i="13"/>
  <c r="M113" i="13"/>
  <c r="J113" i="13" s="1"/>
  <c r="L113" i="13"/>
  <c r="K113" i="13"/>
  <c r="DL112" i="13"/>
  <c r="DK112" i="13"/>
  <c r="DJ112" i="13"/>
  <c r="DI112" i="13"/>
  <c r="DH112" i="13"/>
  <c r="DG112" i="13"/>
  <c r="DF112" i="13"/>
  <c r="DE112" i="13"/>
  <c r="DD112" i="13"/>
  <c r="DC112" i="13"/>
  <c r="DB112" i="13"/>
  <c r="DA112" i="13"/>
  <c r="CZ112" i="13"/>
  <c r="CY112" i="13"/>
  <c r="CX112" i="13"/>
  <c r="CW112" i="13"/>
  <c r="CV112" i="13"/>
  <c r="CU112" i="13"/>
  <c r="CT112" i="13"/>
  <c r="CS112" i="13"/>
  <c r="CR112" i="13"/>
  <c r="CQ112" i="13"/>
  <c r="CP112" i="13"/>
  <c r="CO112" i="13"/>
  <c r="CN112" i="13"/>
  <c r="CM112" i="13"/>
  <c r="CL112" i="13"/>
  <c r="CK112" i="13"/>
  <c r="CJ112" i="13"/>
  <c r="CI112" i="13"/>
  <c r="CH112" i="13"/>
  <c r="CG112" i="13"/>
  <c r="CF112" i="13"/>
  <c r="CE112" i="13"/>
  <c r="CD112" i="13"/>
  <c r="CC112" i="13"/>
  <c r="CB112" i="13"/>
  <c r="CA112" i="13"/>
  <c r="BZ112" i="13"/>
  <c r="BY112" i="13"/>
  <c r="BX112" i="13"/>
  <c r="BW112" i="13"/>
  <c r="BV112" i="13"/>
  <c r="BU112" i="13"/>
  <c r="BT112" i="13"/>
  <c r="BS112" i="13"/>
  <c r="BR112" i="13"/>
  <c r="BQ112" i="13"/>
  <c r="BP112" i="13"/>
  <c r="BO112" i="13"/>
  <c r="BM112" i="13"/>
  <c r="BL112" i="13"/>
  <c r="AU112" i="13"/>
  <c r="AT112" i="13"/>
  <c r="AS112" i="13"/>
  <c r="AP112" i="13"/>
  <c r="AO112" i="13"/>
  <c r="AN112" i="13"/>
  <c r="AM112" i="13"/>
  <c r="AL112" i="13"/>
  <c r="AK112" i="13"/>
  <c r="AI112" i="13"/>
  <c r="AG112" i="13"/>
  <c r="AF112" i="13"/>
  <c r="AE112" i="13"/>
  <c r="AD112" i="13"/>
  <c r="AC112" i="13"/>
  <c r="AB112" i="13"/>
  <c r="AA112" i="13"/>
  <c r="Z112" i="13"/>
  <c r="Y112" i="13"/>
  <c r="X112" i="13"/>
  <c r="W112" i="13"/>
  <c r="P112" i="13"/>
  <c r="O112" i="13"/>
  <c r="M112" i="13"/>
  <c r="J112" i="13" s="1"/>
  <c r="L112" i="13"/>
  <c r="K112" i="13"/>
  <c r="DL111" i="13"/>
  <c r="DK111" i="13"/>
  <c r="DJ111" i="13"/>
  <c r="DI111" i="13"/>
  <c r="DH111" i="13"/>
  <c r="DG111" i="13"/>
  <c r="DF111" i="13"/>
  <c r="DE111" i="13"/>
  <c r="DD111" i="13"/>
  <c r="DC111" i="13"/>
  <c r="DB111" i="13"/>
  <c r="DA111" i="13"/>
  <c r="CZ111" i="13"/>
  <c r="CY111" i="13"/>
  <c r="CX111" i="13"/>
  <c r="CW111" i="13"/>
  <c r="CV111" i="13"/>
  <c r="CU111" i="13"/>
  <c r="CT111" i="13"/>
  <c r="CS111" i="13"/>
  <c r="CR111" i="13"/>
  <c r="CQ111" i="13"/>
  <c r="CP111" i="13"/>
  <c r="CO111" i="13"/>
  <c r="CN111" i="13"/>
  <c r="CM111" i="13"/>
  <c r="CL111" i="13"/>
  <c r="CK111" i="13"/>
  <c r="CJ111" i="13"/>
  <c r="CI111" i="13"/>
  <c r="CH111" i="13"/>
  <c r="CG111" i="13"/>
  <c r="CF111" i="13"/>
  <c r="CE111" i="13"/>
  <c r="CD111" i="13"/>
  <c r="CC111" i="13"/>
  <c r="CB111" i="13"/>
  <c r="CA111" i="13"/>
  <c r="BZ111" i="13"/>
  <c r="BY111" i="13"/>
  <c r="BX111" i="13"/>
  <c r="BW111" i="13"/>
  <c r="BV111" i="13"/>
  <c r="BU111" i="13"/>
  <c r="BT111" i="13"/>
  <c r="BS111" i="13"/>
  <c r="BR111" i="13"/>
  <c r="BQ111" i="13"/>
  <c r="BP111" i="13"/>
  <c r="BO111" i="13"/>
  <c r="BM111" i="13"/>
  <c r="BL111" i="13"/>
  <c r="BG111" i="13"/>
  <c r="BF111" i="13"/>
  <c r="BE111" i="13"/>
  <c r="BD111" i="13"/>
  <c r="BC111" i="13"/>
  <c r="BB111" i="13"/>
  <c r="AY111" i="13"/>
  <c r="AX111" i="13"/>
  <c r="AW111" i="13"/>
  <c r="AV111" i="13"/>
  <c r="AU111" i="13"/>
  <c r="AR111" i="13"/>
  <c r="AQ111" i="13"/>
  <c r="AP111" i="13"/>
  <c r="AO111" i="13"/>
  <c r="AN111" i="13"/>
  <c r="AM111" i="13"/>
  <c r="AL111" i="13"/>
  <c r="AK111" i="13"/>
  <c r="AI111" i="13"/>
  <c r="AG111" i="13"/>
  <c r="AF111" i="13"/>
  <c r="AE111" i="13"/>
  <c r="AD111" i="13"/>
  <c r="AC111" i="13"/>
  <c r="AB111" i="13"/>
  <c r="AA111" i="13"/>
  <c r="Z111" i="13"/>
  <c r="Y111" i="13"/>
  <c r="X111" i="13"/>
  <c r="W111" i="13"/>
  <c r="P111" i="13"/>
  <c r="O111" i="13"/>
  <c r="M111" i="13"/>
  <c r="J111" i="13" s="1"/>
  <c r="L111" i="13"/>
  <c r="K111" i="13"/>
  <c r="DL110" i="13"/>
  <c r="DK110" i="13"/>
  <c r="DJ110" i="13"/>
  <c r="DI110" i="13"/>
  <c r="DH110" i="13"/>
  <c r="DG110" i="13"/>
  <c r="DF110" i="13"/>
  <c r="DE110" i="13"/>
  <c r="DD110" i="13"/>
  <c r="DC110" i="13"/>
  <c r="DB110" i="13"/>
  <c r="DA110" i="13"/>
  <c r="CZ110" i="13"/>
  <c r="CY110" i="13"/>
  <c r="CX110" i="13"/>
  <c r="CW110" i="13"/>
  <c r="CV110" i="13"/>
  <c r="CU110" i="13"/>
  <c r="CT110" i="13"/>
  <c r="CS110" i="13"/>
  <c r="CR110" i="13"/>
  <c r="CQ110" i="13"/>
  <c r="CP110" i="13"/>
  <c r="CO110" i="13"/>
  <c r="CN110" i="13"/>
  <c r="CM110" i="13"/>
  <c r="CL110" i="13"/>
  <c r="CK110" i="13"/>
  <c r="CJ110" i="13"/>
  <c r="CI110" i="13"/>
  <c r="CH110" i="13"/>
  <c r="CG110" i="13"/>
  <c r="CF110" i="13"/>
  <c r="CE110" i="13"/>
  <c r="CD110" i="13"/>
  <c r="CC110" i="13"/>
  <c r="CB110" i="13"/>
  <c r="CA110" i="13"/>
  <c r="BZ110" i="13"/>
  <c r="BY110" i="13"/>
  <c r="BX110" i="13"/>
  <c r="BW110" i="13"/>
  <c r="BV110" i="13"/>
  <c r="BU110" i="13"/>
  <c r="BT110" i="13"/>
  <c r="BS110" i="13"/>
  <c r="BR110" i="13"/>
  <c r="BQ110" i="13"/>
  <c r="BP110" i="13"/>
  <c r="BO110" i="13"/>
  <c r="BM110" i="13"/>
  <c r="BL110" i="13"/>
  <c r="BG110" i="13"/>
  <c r="BF110" i="13"/>
  <c r="BA110" i="13"/>
  <c r="AZ110" i="13"/>
  <c r="AY110" i="13"/>
  <c r="AX110" i="13"/>
  <c r="AU110" i="13"/>
  <c r="AP110" i="13"/>
  <c r="AO110" i="13"/>
  <c r="AN110" i="13"/>
  <c r="AM110" i="13"/>
  <c r="AL110" i="13"/>
  <c r="AK110" i="13"/>
  <c r="AI110" i="13"/>
  <c r="AG110" i="13"/>
  <c r="AF110" i="13"/>
  <c r="AE110" i="13"/>
  <c r="AD110" i="13"/>
  <c r="AC110" i="13"/>
  <c r="AB110" i="13"/>
  <c r="AA110" i="13"/>
  <c r="Z110" i="13"/>
  <c r="Y110" i="13"/>
  <c r="X110" i="13"/>
  <c r="W110" i="13"/>
  <c r="P110" i="13"/>
  <c r="O110" i="13"/>
  <c r="M110" i="13"/>
  <c r="J110" i="13" s="1"/>
  <c r="L110" i="13"/>
  <c r="K110" i="13"/>
  <c r="DL109" i="13"/>
  <c r="DK109" i="13"/>
  <c r="DJ109" i="13"/>
  <c r="DI109" i="13"/>
  <c r="DH109" i="13"/>
  <c r="DG109" i="13"/>
  <c r="DF109" i="13"/>
  <c r="DE109" i="13"/>
  <c r="DD109" i="13"/>
  <c r="DC109" i="13"/>
  <c r="DB109" i="13"/>
  <c r="DA109" i="13"/>
  <c r="CZ109" i="13"/>
  <c r="CY109" i="13"/>
  <c r="CX109" i="13"/>
  <c r="CW109" i="13"/>
  <c r="CV109" i="13"/>
  <c r="CU109" i="13"/>
  <c r="CT109" i="13"/>
  <c r="CS109" i="13"/>
  <c r="CR109" i="13"/>
  <c r="CQ109" i="13"/>
  <c r="CP109" i="13"/>
  <c r="CO109" i="13"/>
  <c r="CN109" i="13"/>
  <c r="CM109" i="13"/>
  <c r="CL109" i="13"/>
  <c r="CK109" i="13"/>
  <c r="CJ109" i="13"/>
  <c r="CI109" i="13"/>
  <c r="CH109" i="13"/>
  <c r="CG109" i="13"/>
  <c r="CF109" i="13"/>
  <c r="CE109" i="13"/>
  <c r="CD109" i="13"/>
  <c r="CC109" i="13"/>
  <c r="CB109" i="13"/>
  <c r="CA109" i="13"/>
  <c r="BZ109" i="13"/>
  <c r="BY109" i="13"/>
  <c r="BX109" i="13"/>
  <c r="BW109" i="13"/>
  <c r="BV109" i="13"/>
  <c r="BU109" i="13"/>
  <c r="BT109" i="13"/>
  <c r="BS109" i="13"/>
  <c r="BR109" i="13"/>
  <c r="BQ109" i="13"/>
  <c r="BP109" i="13"/>
  <c r="BO109" i="13"/>
  <c r="BM109" i="13"/>
  <c r="BL109" i="13"/>
  <c r="BI109" i="13"/>
  <c r="BH109" i="13"/>
  <c r="BG109" i="13"/>
  <c r="BF109" i="13"/>
  <c r="BE109" i="13"/>
  <c r="BD109" i="13"/>
  <c r="BC109" i="13"/>
  <c r="BB109" i="13"/>
  <c r="AY109" i="13"/>
  <c r="AX109" i="13"/>
  <c r="AU109" i="13"/>
  <c r="AT109" i="13"/>
  <c r="AS109" i="13"/>
  <c r="AR109" i="13"/>
  <c r="AP109" i="13"/>
  <c r="AO109" i="13"/>
  <c r="AN109" i="13"/>
  <c r="AM109" i="13"/>
  <c r="AL109" i="13"/>
  <c r="AK109" i="13"/>
  <c r="AI109" i="13"/>
  <c r="AG109" i="13"/>
  <c r="AF109" i="13"/>
  <c r="AE109" i="13"/>
  <c r="AD109" i="13"/>
  <c r="AC109" i="13"/>
  <c r="AB109" i="13"/>
  <c r="AA109" i="13"/>
  <c r="Z109" i="13"/>
  <c r="Y109" i="13"/>
  <c r="X109" i="13"/>
  <c r="W109" i="13"/>
  <c r="P109" i="13"/>
  <c r="O109" i="13"/>
  <c r="M109" i="13"/>
  <c r="J109" i="13" s="1"/>
  <c r="L109" i="13"/>
  <c r="K109" i="13"/>
  <c r="DL108" i="13"/>
  <c r="DK108" i="13"/>
  <c r="DJ108" i="13"/>
  <c r="DI108" i="13"/>
  <c r="DH108" i="13"/>
  <c r="DG108" i="13"/>
  <c r="DF108" i="13"/>
  <c r="DE108" i="13"/>
  <c r="DD108" i="13"/>
  <c r="DC108" i="13"/>
  <c r="DB108" i="13"/>
  <c r="DA108" i="13"/>
  <c r="CZ108" i="13"/>
  <c r="CY108" i="13"/>
  <c r="CX108" i="13"/>
  <c r="CW108" i="13"/>
  <c r="CV108" i="13"/>
  <c r="CU108" i="13"/>
  <c r="CT108" i="13"/>
  <c r="CS108" i="13"/>
  <c r="CR108" i="13"/>
  <c r="CQ108" i="13"/>
  <c r="CP108" i="13"/>
  <c r="CO108" i="13"/>
  <c r="CN108" i="13"/>
  <c r="CM108" i="13"/>
  <c r="CL108" i="13"/>
  <c r="CK108" i="13"/>
  <c r="CJ108" i="13"/>
  <c r="CI108" i="13"/>
  <c r="CH108" i="13"/>
  <c r="CG108" i="13"/>
  <c r="CF108" i="13"/>
  <c r="CE108" i="13"/>
  <c r="CD108" i="13"/>
  <c r="CC108" i="13"/>
  <c r="CB108" i="13"/>
  <c r="CA108" i="13"/>
  <c r="BZ108" i="13"/>
  <c r="BY108" i="13"/>
  <c r="BX108" i="13"/>
  <c r="BW108" i="13"/>
  <c r="BV108" i="13"/>
  <c r="BU108" i="13"/>
  <c r="BT108" i="13"/>
  <c r="BS108" i="13"/>
  <c r="BR108" i="13"/>
  <c r="BQ108" i="13"/>
  <c r="BP108" i="13"/>
  <c r="BO108" i="13"/>
  <c r="BM108" i="13"/>
  <c r="BL108" i="13"/>
  <c r="BI108" i="13"/>
  <c r="BH108" i="13"/>
  <c r="BG108" i="13"/>
  <c r="BF108" i="13"/>
  <c r="AY108" i="13"/>
  <c r="AX108" i="13"/>
  <c r="AU108" i="13"/>
  <c r="AQ108" i="13"/>
  <c r="AP108" i="13"/>
  <c r="AO108" i="13"/>
  <c r="AN108" i="13"/>
  <c r="AM108" i="13"/>
  <c r="AL108" i="13"/>
  <c r="AK108" i="13"/>
  <c r="AI108" i="13"/>
  <c r="AG108" i="13"/>
  <c r="AF108" i="13"/>
  <c r="AE108" i="13"/>
  <c r="AD108" i="13"/>
  <c r="AC108" i="13"/>
  <c r="AB108" i="13"/>
  <c r="AA108" i="13"/>
  <c r="Z108" i="13"/>
  <c r="Y108" i="13"/>
  <c r="X108" i="13"/>
  <c r="W108" i="13"/>
  <c r="P108" i="13"/>
  <c r="O108" i="13"/>
  <c r="M108" i="13"/>
  <c r="J108" i="13" s="1"/>
  <c r="L108" i="13"/>
  <c r="K108" i="13"/>
  <c r="DL107" i="13"/>
  <c r="DK107" i="13"/>
  <c r="DJ107" i="13"/>
  <c r="DI107" i="13"/>
  <c r="DH107" i="13"/>
  <c r="DG107" i="13"/>
  <c r="DF107" i="13"/>
  <c r="DE107" i="13"/>
  <c r="DD107" i="13"/>
  <c r="DC107" i="13"/>
  <c r="DB107" i="13"/>
  <c r="DA107" i="13"/>
  <c r="CZ107" i="13"/>
  <c r="CY107" i="13"/>
  <c r="CX107" i="13"/>
  <c r="CW107" i="13"/>
  <c r="CV107" i="13"/>
  <c r="CU107" i="13"/>
  <c r="CT107" i="13"/>
  <c r="CS107" i="13"/>
  <c r="CR107" i="13"/>
  <c r="CQ107" i="13"/>
  <c r="CP107" i="13"/>
  <c r="CO107" i="13"/>
  <c r="CN107" i="13"/>
  <c r="CM107" i="13"/>
  <c r="CL107" i="13"/>
  <c r="CK107" i="13"/>
  <c r="CJ107" i="13"/>
  <c r="CI107" i="13"/>
  <c r="CH107" i="13"/>
  <c r="CG107" i="13"/>
  <c r="CF107" i="13"/>
  <c r="CE107" i="13"/>
  <c r="CD107" i="13"/>
  <c r="CC107" i="13"/>
  <c r="CB107" i="13"/>
  <c r="CA107" i="13"/>
  <c r="BZ107" i="13"/>
  <c r="BY107" i="13"/>
  <c r="BX107" i="13"/>
  <c r="BW107" i="13"/>
  <c r="BV107" i="13"/>
  <c r="BU107" i="13"/>
  <c r="BT107" i="13"/>
  <c r="BS107" i="13"/>
  <c r="BR107" i="13"/>
  <c r="BQ107" i="13"/>
  <c r="BP107" i="13"/>
  <c r="BO107" i="13"/>
  <c r="BM107" i="13"/>
  <c r="BL107" i="13"/>
  <c r="BI107" i="13"/>
  <c r="BH107" i="13"/>
  <c r="BG107" i="13"/>
  <c r="BF107" i="13"/>
  <c r="BE107" i="13"/>
  <c r="BD107" i="13"/>
  <c r="BC107" i="13"/>
  <c r="BB107" i="13"/>
  <c r="BA107" i="13"/>
  <c r="AZ107" i="13"/>
  <c r="AY107" i="13"/>
  <c r="AX107" i="13"/>
  <c r="AW107" i="13"/>
  <c r="AV107" i="13"/>
  <c r="AU107" i="13"/>
  <c r="AT107" i="13"/>
  <c r="AS107" i="13"/>
  <c r="AR107" i="13"/>
  <c r="AQ107" i="13"/>
  <c r="AP107" i="13"/>
  <c r="AO107" i="13"/>
  <c r="AN107" i="13"/>
  <c r="AM107" i="13"/>
  <c r="AL107" i="13"/>
  <c r="AK107" i="13"/>
  <c r="AI107" i="13"/>
  <c r="AG107" i="13"/>
  <c r="AF107" i="13"/>
  <c r="AE107" i="13"/>
  <c r="AD107" i="13"/>
  <c r="AC107" i="13"/>
  <c r="AB107" i="13"/>
  <c r="AA107" i="13"/>
  <c r="Z107" i="13"/>
  <c r="Y107" i="13"/>
  <c r="X107" i="13"/>
  <c r="W107" i="13"/>
  <c r="P107" i="13"/>
  <c r="O107" i="13"/>
  <c r="M107" i="13"/>
  <c r="J107" i="13" s="1"/>
  <c r="L107" i="13"/>
  <c r="K107" i="13"/>
  <c r="DL106" i="13"/>
  <c r="DK106" i="13"/>
  <c r="DJ106" i="13"/>
  <c r="DI106" i="13"/>
  <c r="DH106" i="13"/>
  <c r="DG106" i="13"/>
  <c r="DF106" i="13"/>
  <c r="DE106" i="13"/>
  <c r="DD106" i="13"/>
  <c r="DC106" i="13"/>
  <c r="DB106" i="13"/>
  <c r="DA106" i="13"/>
  <c r="CZ106" i="13"/>
  <c r="CY106" i="13"/>
  <c r="CX106" i="13"/>
  <c r="CW106" i="13"/>
  <c r="CV106" i="13"/>
  <c r="CU106" i="13"/>
  <c r="CT106" i="13"/>
  <c r="CS106" i="13"/>
  <c r="CR106" i="13"/>
  <c r="CQ106" i="13"/>
  <c r="CP106" i="13"/>
  <c r="CO106" i="13"/>
  <c r="CN106" i="13"/>
  <c r="CM106" i="13"/>
  <c r="CL106" i="13"/>
  <c r="CK106" i="13"/>
  <c r="CJ106" i="13"/>
  <c r="CI106" i="13"/>
  <c r="CH106" i="13"/>
  <c r="CG106" i="13"/>
  <c r="CF106" i="13"/>
  <c r="CE106" i="13"/>
  <c r="CD106" i="13"/>
  <c r="CC106" i="13"/>
  <c r="CB106" i="13"/>
  <c r="CA106" i="13"/>
  <c r="BZ106" i="13"/>
  <c r="BY106" i="13"/>
  <c r="BX106" i="13"/>
  <c r="BW106" i="13"/>
  <c r="BV106" i="13"/>
  <c r="BU106" i="13"/>
  <c r="BT106" i="13"/>
  <c r="BS106" i="13"/>
  <c r="BR106" i="13"/>
  <c r="BQ106" i="13"/>
  <c r="BP106" i="13"/>
  <c r="BO106" i="13"/>
  <c r="BM106" i="13"/>
  <c r="BL106" i="13"/>
  <c r="BG106" i="13"/>
  <c r="BF106" i="13"/>
  <c r="BE106" i="13"/>
  <c r="BD106" i="13"/>
  <c r="AY106" i="13"/>
  <c r="AX106" i="13"/>
  <c r="AU106" i="13"/>
  <c r="AQ106" i="13"/>
  <c r="AP106" i="13"/>
  <c r="AO106" i="13"/>
  <c r="AN106" i="13"/>
  <c r="AM106" i="13"/>
  <c r="AL106" i="13"/>
  <c r="AK106" i="13"/>
  <c r="AI106" i="13"/>
  <c r="AG106" i="13"/>
  <c r="AF106" i="13"/>
  <c r="AE106" i="13"/>
  <c r="AD106" i="13"/>
  <c r="AC106" i="13"/>
  <c r="AB106" i="13"/>
  <c r="AA106" i="13"/>
  <c r="Z106" i="13"/>
  <c r="Y106" i="13"/>
  <c r="X106" i="13"/>
  <c r="W106" i="13"/>
  <c r="P106" i="13"/>
  <c r="O106" i="13"/>
  <c r="M106" i="13"/>
  <c r="J106" i="13" s="1"/>
  <c r="L106" i="13"/>
  <c r="K106" i="13"/>
  <c r="DL105" i="13"/>
  <c r="DK105" i="13"/>
  <c r="DJ105" i="13"/>
  <c r="DI105" i="13"/>
  <c r="DH105" i="13"/>
  <c r="DG105" i="13"/>
  <c r="DF105" i="13"/>
  <c r="DE105" i="13"/>
  <c r="DD105" i="13"/>
  <c r="DC105" i="13"/>
  <c r="DB105" i="13"/>
  <c r="DA105" i="13"/>
  <c r="CZ105" i="13"/>
  <c r="CY105" i="13"/>
  <c r="CX105" i="13"/>
  <c r="CW105" i="13"/>
  <c r="CV105" i="13"/>
  <c r="CU105" i="13"/>
  <c r="CT105" i="13"/>
  <c r="CS105" i="13"/>
  <c r="CR105" i="13"/>
  <c r="CQ105" i="13"/>
  <c r="CP105" i="13"/>
  <c r="CO105" i="13"/>
  <c r="CN105" i="13"/>
  <c r="CM105" i="13"/>
  <c r="CL105" i="13"/>
  <c r="CK105" i="13"/>
  <c r="CJ105" i="13"/>
  <c r="CI105" i="13"/>
  <c r="CH105" i="13"/>
  <c r="CG105" i="13"/>
  <c r="CF105" i="13"/>
  <c r="CE105" i="13"/>
  <c r="CD105" i="13"/>
  <c r="CC105" i="13"/>
  <c r="CB105" i="13"/>
  <c r="CA105" i="13"/>
  <c r="BZ105" i="13"/>
  <c r="BY105" i="13"/>
  <c r="BX105" i="13"/>
  <c r="BW105" i="13"/>
  <c r="BV105" i="13"/>
  <c r="BU105" i="13"/>
  <c r="BT105" i="13"/>
  <c r="BS105" i="13"/>
  <c r="BR105" i="13"/>
  <c r="BQ105" i="13"/>
  <c r="BP105" i="13"/>
  <c r="BO105" i="13"/>
  <c r="BM105" i="13"/>
  <c r="BL105" i="13"/>
  <c r="BI105" i="13"/>
  <c r="BH105" i="13"/>
  <c r="BG105" i="13"/>
  <c r="BF105" i="13"/>
  <c r="BE105" i="13"/>
  <c r="BD105" i="13"/>
  <c r="BC105" i="13"/>
  <c r="BB105" i="13"/>
  <c r="BA105" i="13"/>
  <c r="AZ105" i="13"/>
  <c r="AY105" i="13"/>
  <c r="AX105" i="13"/>
  <c r="AU105" i="13"/>
  <c r="AT105" i="13"/>
  <c r="AS105" i="13"/>
  <c r="AR105" i="13"/>
  <c r="AQ105" i="13"/>
  <c r="AP105" i="13"/>
  <c r="AO105" i="13"/>
  <c r="AN105" i="13"/>
  <c r="AM105" i="13"/>
  <c r="AL105" i="13"/>
  <c r="AK105" i="13"/>
  <c r="AI105" i="13"/>
  <c r="AG105" i="13"/>
  <c r="AF105" i="13"/>
  <c r="AE105" i="13"/>
  <c r="AD105" i="13"/>
  <c r="AC105" i="13"/>
  <c r="AB105" i="13"/>
  <c r="AA105" i="13"/>
  <c r="Z105" i="13"/>
  <c r="Y105" i="13"/>
  <c r="X105" i="13"/>
  <c r="W105" i="13"/>
  <c r="P105" i="13"/>
  <c r="O105" i="13"/>
  <c r="M105" i="13"/>
  <c r="J105" i="13" s="1"/>
  <c r="L105" i="13"/>
  <c r="K105" i="13"/>
  <c r="DL104" i="13"/>
  <c r="DK104" i="13"/>
  <c r="DJ104" i="13"/>
  <c r="DI104" i="13"/>
  <c r="DH104" i="13"/>
  <c r="DG104" i="13"/>
  <c r="DF104" i="13"/>
  <c r="DE104" i="13"/>
  <c r="DD104" i="13"/>
  <c r="DC104" i="13"/>
  <c r="DB104" i="13"/>
  <c r="DA104" i="13"/>
  <c r="CZ104" i="13"/>
  <c r="CY104" i="13"/>
  <c r="CX104" i="13"/>
  <c r="CW104" i="13"/>
  <c r="CV104" i="13"/>
  <c r="CU104" i="13"/>
  <c r="CT104" i="13"/>
  <c r="CS104" i="13"/>
  <c r="CR104" i="13"/>
  <c r="CQ104" i="13"/>
  <c r="CP104" i="13"/>
  <c r="CO104" i="13"/>
  <c r="CN104" i="13"/>
  <c r="CM104" i="13"/>
  <c r="CL104" i="13"/>
  <c r="CK104" i="13"/>
  <c r="CJ104" i="13"/>
  <c r="CI104" i="13"/>
  <c r="CH104" i="13"/>
  <c r="CG104" i="13"/>
  <c r="CF104" i="13"/>
  <c r="CE104" i="13"/>
  <c r="CD104" i="13"/>
  <c r="CC104" i="13"/>
  <c r="CB104" i="13"/>
  <c r="CA104" i="13"/>
  <c r="BZ104" i="13"/>
  <c r="BY104" i="13"/>
  <c r="BX104" i="13"/>
  <c r="BW104" i="13"/>
  <c r="BV104" i="13"/>
  <c r="BU104" i="13"/>
  <c r="BT104" i="13"/>
  <c r="BS104" i="13"/>
  <c r="BR104" i="13"/>
  <c r="BQ104" i="13"/>
  <c r="BP104" i="13"/>
  <c r="BO104" i="13"/>
  <c r="BM104" i="13"/>
  <c r="BL104" i="13"/>
  <c r="BI104" i="13"/>
  <c r="BH104" i="13"/>
  <c r="BE104" i="13"/>
  <c r="BD104" i="13"/>
  <c r="BC104" i="13"/>
  <c r="BB104" i="13"/>
  <c r="BA104" i="13"/>
  <c r="AZ104" i="13"/>
  <c r="AY104" i="13"/>
  <c r="AX104" i="13"/>
  <c r="AW104" i="13"/>
  <c r="AV104" i="13"/>
  <c r="AU104" i="13"/>
  <c r="AR104" i="13"/>
  <c r="AP104" i="13"/>
  <c r="AO104" i="13"/>
  <c r="AN104" i="13"/>
  <c r="AM104" i="13"/>
  <c r="AL104" i="13"/>
  <c r="AK104" i="13"/>
  <c r="AI104" i="13"/>
  <c r="AG104" i="13"/>
  <c r="AF104" i="13"/>
  <c r="AE104" i="13"/>
  <c r="AD104" i="13"/>
  <c r="AC104" i="13"/>
  <c r="AB104" i="13"/>
  <c r="AA104" i="13"/>
  <c r="Z104" i="13"/>
  <c r="Y104" i="13"/>
  <c r="X104" i="13"/>
  <c r="W104" i="13"/>
  <c r="P104" i="13"/>
  <c r="O104" i="13"/>
  <c r="M104" i="13"/>
  <c r="J104" i="13" s="1"/>
  <c r="L104" i="13"/>
  <c r="K104" i="13"/>
  <c r="DL103" i="13"/>
  <c r="DK103" i="13"/>
  <c r="DJ103" i="13"/>
  <c r="DI103" i="13"/>
  <c r="DH103" i="13"/>
  <c r="DG103" i="13"/>
  <c r="DF103" i="13"/>
  <c r="DE103" i="13"/>
  <c r="DD103" i="13"/>
  <c r="DC103" i="13"/>
  <c r="DB103" i="13"/>
  <c r="DA103" i="13"/>
  <c r="CZ103" i="13"/>
  <c r="CY103" i="13"/>
  <c r="CX103" i="13"/>
  <c r="CW103" i="13"/>
  <c r="CV103" i="13"/>
  <c r="CU103" i="13"/>
  <c r="CT103" i="13"/>
  <c r="CS103" i="13"/>
  <c r="CR103" i="13"/>
  <c r="CQ103" i="13"/>
  <c r="CP103" i="13"/>
  <c r="CO103" i="13"/>
  <c r="CN103" i="13"/>
  <c r="CM103" i="13"/>
  <c r="CL103" i="13"/>
  <c r="CK103" i="13"/>
  <c r="CJ103" i="13"/>
  <c r="CI103" i="13"/>
  <c r="CH103" i="13"/>
  <c r="CG103" i="13"/>
  <c r="CF103" i="13"/>
  <c r="CE103" i="13"/>
  <c r="CD103" i="13"/>
  <c r="CC103" i="13"/>
  <c r="CB103" i="13"/>
  <c r="CA103" i="13"/>
  <c r="BZ103" i="13"/>
  <c r="BY103" i="13"/>
  <c r="BX103" i="13"/>
  <c r="BW103" i="13"/>
  <c r="BV103" i="13"/>
  <c r="BU103" i="13"/>
  <c r="BT103" i="13"/>
  <c r="BS103" i="13"/>
  <c r="BR103" i="13"/>
  <c r="BQ103" i="13"/>
  <c r="BP103" i="13"/>
  <c r="BO103" i="13"/>
  <c r="BM103" i="13"/>
  <c r="BL103" i="13"/>
  <c r="BI103" i="13"/>
  <c r="BH103" i="13"/>
  <c r="BG103" i="13"/>
  <c r="BF103" i="13"/>
  <c r="BE103" i="13"/>
  <c r="BD103" i="13"/>
  <c r="AY103" i="13"/>
  <c r="AX103" i="13"/>
  <c r="AU103" i="13"/>
  <c r="AT103" i="13"/>
  <c r="AQ103" i="13"/>
  <c r="AP103" i="13"/>
  <c r="AO103" i="13"/>
  <c r="AN103" i="13"/>
  <c r="AM103" i="13"/>
  <c r="AL103" i="13"/>
  <c r="AK103" i="13"/>
  <c r="AI103" i="13"/>
  <c r="AG103" i="13"/>
  <c r="AF103" i="13"/>
  <c r="AE103" i="13"/>
  <c r="AD103" i="13"/>
  <c r="AC103" i="13"/>
  <c r="AB103" i="13"/>
  <c r="AA103" i="13"/>
  <c r="Z103" i="13"/>
  <c r="Y103" i="13"/>
  <c r="X103" i="13"/>
  <c r="W103" i="13"/>
  <c r="P103" i="13"/>
  <c r="O103" i="13"/>
  <c r="M103" i="13"/>
  <c r="J103" i="13" s="1"/>
  <c r="L103" i="13"/>
  <c r="K103" i="13"/>
  <c r="DL102" i="13"/>
  <c r="DK102" i="13"/>
  <c r="DJ102" i="13"/>
  <c r="DI102" i="13"/>
  <c r="DH102" i="13"/>
  <c r="DG102" i="13"/>
  <c r="DF102" i="13"/>
  <c r="DE102" i="13"/>
  <c r="DD102" i="13"/>
  <c r="DC102" i="13"/>
  <c r="DB102" i="13"/>
  <c r="DA102" i="13"/>
  <c r="CZ102" i="13"/>
  <c r="CY102" i="13"/>
  <c r="CX102" i="13"/>
  <c r="CW102" i="13"/>
  <c r="CV102" i="13"/>
  <c r="CU102" i="13"/>
  <c r="CT102" i="13"/>
  <c r="CS102" i="13"/>
  <c r="CR102" i="13"/>
  <c r="CQ102" i="13"/>
  <c r="CP102" i="13"/>
  <c r="CO102" i="13"/>
  <c r="CN102" i="13"/>
  <c r="CM102" i="13"/>
  <c r="CL102" i="13"/>
  <c r="CK102" i="13"/>
  <c r="CJ102" i="13"/>
  <c r="CI102" i="13"/>
  <c r="CH102" i="13"/>
  <c r="CG102" i="13"/>
  <c r="CF102" i="13"/>
  <c r="CE102" i="13"/>
  <c r="CD102" i="13"/>
  <c r="CC102" i="13"/>
  <c r="CB102" i="13"/>
  <c r="CA102" i="13"/>
  <c r="BZ102" i="13"/>
  <c r="BY102" i="13"/>
  <c r="BX102" i="13"/>
  <c r="BW102" i="13"/>
  <c r="BV102" i="13"/>
  <c r="BU102" i="13"/>
  <c r="BT102" i="13"/>
  <c r="BS102" i="13"/>
  <c r="BR102" i="13"/>
  <c r="BQ102" i="13"/>
  <c r="BP102" i="13"/>
  <c r="BO102" i="13"/>
  <c r="BM102" i="13"/>
  <c r="BL102" i="13"/>
  <c r="BI102" i="13"/>
  <c r="BH102"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I102" i="13"/>
  <c r="AG102" i="13"/>
  <c r="AF102" i="13"/>
  <c r="AE102" i="13"/>
  <c r="AD102" i="13"/>
  <c r="AC102" i="13"/>
  <c r="AB102" i="13"/>
  <c r="AA102" i="13"/>
  <c r="Z102" i="13"/>
  <c r="Y102" i="13"/>
  <c r="X102" i="13"/>
  <c r="W102" i="13"/>
  <c r="P102" i="13"/>
  <c r="O102" i="13"/>
  <c r="M102" i="13"/>
  <c r="J102" i="13" s="1"/>
  <c r="L102" i="13"/>
  <c r="K102" i="13"/>
  <c r="DL101" i="13"/>
  <c r="DK101" i="13"/>
  <c r="DJ101" i="13"/>
  <c r="DI101" i="13"/>
  <c r="DH101" i="13"/>
  <c r="DG101" i="13"/>
  <c r="DF101" i="13"/>
  <c r="DE101" i="13"/>
  <c r="DD101" i="13"/>
  <c r="DC101" i="13"/>
  <c r="DB101" i="13"/>
  <c r="DA101" i="13"/>
  <c r="CZ101" i="13"/>
  <c r="CY101" i="13"/>
  <c r="CX101" i="13"/>
  <c r="CW101" i="13"/>
  <c r="CV101" i="13"/>
  <c r="CU101" i="13"/>
  <c r="CT101" i="13"/>
  <c r="CS101" i="13"/>
  <c r="CR101" i="13"/>
  <c r="CQ101" i="13"/>
  <c r="CP101" i="13"/>
  <c r="CO101" i="13"/>
  <c r="CN101" i="13"/>
  <c r="CM101" i="13"/>
  <c r="CL101" i="13"/>
  <c r="CK101" i="13"/>
  <c r="CJ101" i="13"/>
  <c r="CI101" i="13"/>
  <c r="CH101" i="13"/>
  <c r="CG101" i="13"/>
  <c r="CF101" i="13"/>
  <c r="CE101" i="13"/>
  <c r="CD101" i="13"/>
  <c r="CC101" i="13"/>
  <c r="CB101" i="13"/>
  <c r="CA101" i="13"/>
  <c r="BZ101" i="13"/>
  <c r="BY101" i="13"/>
  <c r="BX101" i="13"/>
  <c r="BW101" i="13"/>
  <c r="BV101" i="13"/>
  <c r="BU101" i="13"/>
  <c r="BT101" i="13"/>
  <c r="BS101" i="13"/>
  <c r="BR101" i="13"/>
  <c r="BQ101" i="13"/>
  <c r="BP101" i="13"/>
  <c r="BO101" i="13"/>
  <c r="BM101" i="13"/>
  <c r="BL101" i="13"/>
  <c r="BG101" i="13"/>
  <c r="BF101" i="13"/>
  <c r="BE101" i="13"/>
  <c r="BD101" i="13"/>
  <c r="BC101" i="13"/>
  <c r="BB101" i="13"/>
  <c r="AY101" i="13"/>
  <c r="AX101" i="13"/>
  <c r="AU101" i="13"/>
  <c r="AR101" i="13"/>
  <c r="AQ101" i="13"/>
  <c r="AP101" i="13"/>
  <c r="AO101" i="13"/>
  <c r="AN101" i="13"/>
  <c r="AM101" i="13"/>
  <c r="AL101" i="13"/>
  <c r="AK101" i="13"/>
  <c r="AI101" i="13"/>
  <c r="AG101" i="13"/>
  <c r="AF101" i="13"/>
  <c r="AE101" i="13"/>
  <c r="AD101" i="13"/>
  <c r="AC101" i="13"/>
  <c r="AB101" i="13"/>
  <c r="AA101" i="13"/>
  <c r="Z101" i="13"/>
  <c r="Y101" i="13"/>
  <c r="X101" i="13"/>
  <c r="W101" i="13"/>
  <c r="P101" i="13"/>
  <c r="O101" i="13"/>
  <c r="M101" i="13"/>
  <c r="J101" i="13" s="1"/>
  <c r="L101" i="13"/>
  <c r="K101" i="13"/>
  <c r="DL100" i="13"/>
  <c r="DK100" i="13"/>
  <c r="DJ100" i="13"/>
  <c r="DI100" i="13"/>
  <c r="DH100" i="13"/>
  <c r="DG100" i="13"/>
  <c r="DF100" i="13"/>
  <c r="DE100" i="13"/>
  <c r="DD100" i="13"/>
  <c r="DC100" i="13"/>
  <c r="DB100" i="13"/>
  <c r="DA100" i="13"/>
  <c r="CZ100" i="13"/>
  <c r="CY100" i="13"/>
  <c r="CX100" i="13"/>
  <c r="CW100" i="13"/>
  <c r="CV100" i="13"/>
  <c r="CU100" i="13"/>
  <c r="CT100" i="13"/>
  <c r="CS100" i="13"/>
  <c r="CR100" i="13"/>
  <c r="CQ100" i="13"/>
  <c r="CP100" i="13"/>
  <c r="CO100" i="13"/>
  <c r="CN100" i="13"/>
  <c r="CM100" i="13"/>
  <c r="CL100" i="13"/>
  <c r="CK100" i="13"/>
  <c r="CJ100" i="13"/>
  <c r="CI100" i="13"/>
  <c r="CH100" i="13"/>
  <c r="CG100" i="13"/>
  <c r="CF100" i="13"/>
  <c r="CE100" i="13"/>
  <c r="CD100" i="13"/>
  <c r="CC100" i="13"/>
  <c r="CB100" i="13"/>
  <c r="CA100" i="13"/>
  <c r="BZ100" i="13"/>
  <c r="BY100" i="13"/>
  <c r="BX100" i="13"/>
  <c r="BW100" i="13"/>
  <c r="BV100" i="13"/>
  <c r="BU100" i="13"/>
  <c r="BT100" i="13"/>
  <c r="BS100" i="13"/>
  <c r="BR100" i="13"/>
  <c r="BQ100" i="13"/>
  <c r="BP100" i="13"/>
  <c r="BO100" i="13"/>
  <c r="BM100" i="13"/>
  <c r="BL100" i="13"/>
  <c r="AU100" i="13"/>
  <c r="AT100" i="13"/>
  <c r="AS100" i="13"/>
  <c r="AP100" i="13"/>
  <c r="AO100" i="13"/>
  <c r="AN100" i="13"/>
  <c r="AM100" i="13"/>
  <c r="AL100" i="13"/>
  <c r="AK100" i="13"/>
  <c r="AI100" i="13"/>
  <c r="AG100" i="13"/>
  <c r="AF100" i="13"/>
  <c r="AE100" i="13"/>
  <c r="AD100" i="13"/>
  <c r="AC100" i="13"/>
  <c r="AB100" i="13"/>
  <c r="AA100" i="13"/>
  <c r="Z100" i="13"/>
  <c r="Y100" i="13"/>
  <c r="X100" i="13"/>
  <c r="W100" i="13"/>
  <c r="P100" i="13"/>
  <c r="O100" i="13"/>
  <c r="M100" i="13"/>
  <c r="J100" i="13" s="1"/>
  <c r="L100" i="13"/>
  <c r="K100" i="13"/>
  <c r="DL99" i="13"/>
  <c r="DK99" i="13"/>
  <c r="DJ99" i="13"/>
  <c r="DI99" i="13"/>
  <c r="DH99" i="13"/>
  <c r="DG99" i="13"/>
  <c r="DF99" i="13"/>
  <c r="DE99" i="13"/>
  <c r="DD99" i="13"/>
  <c r="DC99" i="13"/>
  <c r="DB99" i="13"/>
  <c r="DA99" i="13"/>
  <c r="CZ99" i="13"/>
  <c r="CY99" i="13"/>
  <c r="CX99" i="13"/>
  <c r="CW99" i="13"/>
  <c r="CV99" i="13"/>
  <c r="CU99" i="13"/>
  <c r="CT99" i="13"/>
  <c r="CS99" i="13"/>
  <c r="CR99" i="13"/>
  <c r="CQ99" i="13"/>
  <c r="CP99" i="13"/>
  <c r="CO99" i="13"/>
  <c r="CN99" i="13"/>
  <c r="CM99" i="13"/>
  <c r="CL99" i="13"/>
  <c r="CK99" i="13"/>
  <c r="CJ99" i="13"/>
  <c r="CI99" i="13"/>
  <c r="CH99" i="13"/>
  <c r="CG99" i="13"/>
  <c r="CF99" i="13"/>
  <c r="CE99" i="13"/>
  <c r="CD99" i="13"/>
  <c r="CC99" i="13"/>
  <c r="CB99" i="13"/>
  <c r="CA99" i="13"/>
  <c r="BZ99" i="13"/>
  <c r="BY99" i="13"/>
  <c r="BX99" i="13"/>
  <c r="BW99" i="13"/>
  <c r="BV99" i="13"/>
  <c r="BU99" i="13"/>
  <c r="BT99" i="13"/>
  <c r="BS99" i="13"/>
  <c r="BR99" i="13"/>
  <c r="BQ99" i="13"/>
  <c r="BP99" i="13"/>
  <c r="BO99" i="13"/>
  <c r="BM99" i="13"/>
  <c r="BL99" i="13"/>
  <c r="BI99" i="13"/>
  <c r="BH99" i="13"/>
  <c r="BE99" i="13"/>
  <c r="BD99" i="13"/>
  <c r="AU99" i="13"/>
  <c r="AT99" i="13"/>
  <c r="AR99" i="13"/>
  <c r="AP99" i="13"/>
  <c r="AO99" i="13"/>
  <c r="AN99" i="13"/>
  <c r="AM99" i="13"/>
  <c r="AL99" i="13"/>
  <c r="AK99" i="13"/>
  <c r="AI99" i="13"/>
  <c r="AG99" i="13"/>
  <c r="AF99" i="13"/>
  <c r="AE99" i="13"/>
  <c r="AD99" i="13"/>
  <c r="AC99" i="13"/>
  <c r="AB99" i="13"/>
  <c r="AA99" i="13"/>
  <c r="Z99" i="13"/>
  <c r="Y99" i="13"/>
  <c r="X99" i="13"/>
  <c r="W99" i="13"/>
  <c r="P99" i="13"/>
  <c r="O99" i="13"/>
  <c r="M99" i="13"/>
  <c r="J99" i="13" s="1"/>
  <c r="L99" i="13"/>
  <c r="K99" i="13"/>
  <c r="DL98" i="13"/>
  <c r="DK98" i="13"/>
  <c r="DJ98" i="13"/>
  <c r="DI98" i="13"/>
  <c r="DH98" i="13"/>
  <c r="DG98" i="13"/>
  <c r="DF98" i="13"/>
  <c r="DE98" i="13"/>
  <c r="DD98" i="13"/>
  <c r="DC98" i="13"/>
  <c r="DB98" i="13"/>
  <c r="DA98" i="13"/>
  <c r="CZ98" i="13"/>
  <c r="CY98" i="13"/>
  <c r="CX98" i="13"/>
  <c r="CW98" i="13"/>
  <c r="CV98" i="13"/>
  <c r="CU98" i="13"/>
  <c r="CT98" i="13"/>
  <c r="CS98" i="13"/>
  <c r="CR98" i="13"/>
  <c r="CQ98" i="13"/>
  <c r="CP98" i="13"/>
  <c r="CO98" i="13"/>
  <c r="CN98" i="13"/>
  <c r="CM98" i="13"/>
  <c r="CL98" i="13"/>
  <c r="CK98" i="13"/>
  <c r="CJ98" i="13"/>
  <c r="CI98" i="13"/>
  <c r="CH98" i="13"/>
  <c r="CG98" i="13"/>
  <c r="CF98" i="13"/>
  <c r="CE98" i="13"/>
  <c r="CD98" i="13"/>
  <c r="CC98" i="13"/>
  <c r="CB98" i="13"/>
  <c r="CA98" i="13"/>
  <c r="BZ98" i="13"/>
  <c r="BY98" i="13"/>
  <c r="BX98" i="13"/>
  <c r="BW98" i="13"/>
  <c r="BV98" i="13"/>
  <c r="BU98" i="13"/>
  <c r="BT98" i="13"/>
  <c r="BS98" i="13"/>
  <c r="BR98" i="13"/>
  <c r="BQ98" i="13"/>
  <c r="BP98" i="13"/>
  <c r="BO98" i="13"/>
  <c r="BM98" i="13"/>
  <c r="BL98" i="13"/>
  <c r="AU98" i="13"/>
  <c r="AS98" i="13"/>
  <c r="AP98" i="13"/>
  <c r="AO98" i="13"/>
  <c r="AN98" i="13"/>
  <c r="AM98" i="13"/>
  <c r="AL98" i="13"/>
  <c r="AK98" i="13"/>
  <c r="AI98" i="13"/>
  <c r="AG98" i="13"/>
  <c r="AF98" i="13"/>
  <c r="AE98" i="13"/>
  <c r="AD98" i="13"/>
  <c r="AC98" i="13"/>
  <c r="AB98" i="13"/>
  <c r="AA98" i="13"/>
  <c r="Z98" i="13"/>
  <c r="Y98" i="13"/>
  <c r="X98" i="13"/>
  <c r="W98" i="13"/>
  <c r="P98" i="13"/>
  <c r="O98" i="13"/>
  <c r="M98" i="13"/>
  <c r="J98" i="13" s="1"/>
  <c r="L98" i="13"/>
  <c r="K98" i="13"/>
  <c r="DL97" i="13"/>
  <c r="DK97" i="13"/>
  <c r="DJ97" i="13"/>
  <c r="DI97" i="13"/>
  <c r="DH97" i="13"/>
  <c r="DG97" i="13"/>
  <c r="DF97" i="13"/>
  <c r="DE97" i="13"/>
  <c r="DD97" i="13"/>
  <c r="DC97" i="13"/>
  <c r="DB97" i="13"/>
  <c r="DA97" i="13"/>
  <c r="CZ97" i="13"/>
  <c r="CY97" i="13"/>
  <c r="CX97" i="13"/>
  <c r="CW97" i="13"/>
  <c r="CV97" i="13"/>
  <c r="CU97" i="13"/>
  <c r="CT97" i="13"/>
  <c r="CS97" i="13"/>
  <c r="CR97" i="13"/>
  <c r="CQ97" i="13"/>
  <c r="CP97" i="13"/>
  <c r="CO97" i="13"/>
  <c r="CN97" i="13"/>
  <c r="CM97" i="13"/>
  <c r="CL97" i="13"/>
  <c r="CK97" i="13"/>
  <c r="CJ97" i="13"/>
  <c r="CI97" i="13"/>
  <c r="CH97" i="13"/>
  <c r="CG97" i="13"/>
  <c r="CF97" i="13"/>
  <c r="CE97" i="13"/>
  <c r="CD97" i="13"/>
  <c r="CC97" i="13"/>
  <c r="CB97" i="13"/>
  <c r="CA97" i="13"/>
  <c r="BZ97" i="13"/>
  <c r="BY97" i="13"/>
  <c r="BX97" i="13"/>
  <c r="BW97" i="13"/>
  <c r="BV97" i="13"/>
  <c r="BU97" i="13"/>
  <c r="BT97" i="13"/>
  <c r="BS97" i="13"/>
  <c r="BR97" i="13"/>
  <c r="BQ97" i="13"/>
  <c r="BP97" i="13"/>
  <c r="BO97" i="13"/>
  <c r="BM97" i="13"/>
  <c r="BL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I97" i="13"/>
  <c r="AG97" i="13"/>
  <c r="AF97" i="13"/>
  <c r="AE97" i="13"/>
  <c r="AD97" i="13"/>
  <c r="AC97" i="13"/>
  <c r="AB97" i="13"/>
  <c r="AA97" i="13"/>
  <c r="Z97" i="13"/>
  <c r="Y97" i="13"/>
  <c r="X97" i="13"/>
  <c r="W97" i="13"/>
  <c r="P97" i="13"/>
  <c r="O97" i="13"/>
  <c r="M97" i="13"/>
  <c r="J97" i="13" s="1"/>
  <c r="L97" i="13"/>
  <c r="K97" i="13"/>
  <c r="DL96" i="13"/>
  <c r="DK96" i="13"/>
  <c r="DJ96" i="13"/>
  <c r="DI96" i="13"/>
  <c r="DH96" i="13"/>
  <c r="DG96" i="13"/>
  <c r="DF96" i="13"/>
  <c r="DE96" i="13"/>
  <c r="DD96" i="13"/>
  <c r="DC96" i="13"/>
  <c r="DB96" i="13"/>
  <c r="DA96" i="13"/>
  <c r="CZ96" i="13"/>
  <c r="CY96" i="13"/>
  <c r="CX96" i="13"/>
  <c r="CW96" i="13"/>
  <c r="CV96" i="13"/>
  <c r="CU96" i="13"/>
  <c r="CT96" i="13"/>
  <c r="CS96" i="13"/>
  <c r="CR96" i="13"/>
  <c r="CQ96" i="13"/>
  <c r="CP96" i="13"/>
  <c r="CO96" i="13"/>
  <c r="CN96" i="13"/>
  <c r="CM96" i="13"/>
  <c r="CL96" i="13"/>
  <c r="CK96" i="13"/>
  <c r="CJ96" i="13"/>
  <c r="CI96" i="13"/>
  <c r="CH96" i="13"/>
  <c r="CG96" i="13"/>
  <c r="CF96" i="13"/>
  <c r="CE96" i="13"/>
  <c r="CD96" i="13"/>
  <c r="CC96" i="13"/>
  <c r="CB96" i="13"/>
  <c r="CA96" i="13"/>
  <c r="BZ96" i="13"/>
  <c r="BY96" i="13"/>
  <c r="BX96" i="13"/>
  <c r="BW96" i="13"/>
  <c r="BV96" i="13"/>
  <c r="BU96" i="13"/>
  <c r="BT96" i="13"/>
  <c r="BS96" i="13"/>
  <c r="BR96" i="13"/>
  <c r="BQ96" i="13"/>
  <c r="BP96" i="13"/>
  <c r="BO96" i="13"/>
  <c r="BM96" i="13"/>
  <c r="BL96" i="13"/>
  <c r="BA96" i="13"/>
  <c r="AZ96" i="13"/>
  <c r="AU96" i="13"/>
  <c r="AP96" i="13"/>
  <c r="AO96" i="13"/>
  <c r="AN96" i="13"/>
  <c r="AM96" i="13"/>
  <c r="AL96" i="13"/>
  <c r="AK96" i="13"/>
  <c r="AI96" i="13"/>
  <c r="AG96" i="13"/>
  <c r="AF96" i="13"/>
  <c r="AE96" i="13"/>
  <c r="AD96" i="13"/>
  <c r="AC96" i="13"/>
  <c r="AB96" i="13"/>
  <c r="AA96" i="13"/>
  <c r="Z96" i="13"/>
  <c r="Y96" i="13"/>
  <c r="X96" i="13"/>
  <c r="W96" i="13"/>
  <c r="P96" i="13"/>
  <c r="O96" i="13"/>
  <c r="M96" i="13"/>
  <c r="J96" i="13" s="1"/>
  <c r="L96" i="13"/>
  <c r="K96" i="13"/>
  <c r="DL95" i="13"/>
  <c r="DK95" i="13"/>
  <c r="DJ95" i="13"/>
  <c r="DI95" i="13"/>
  <c r="DH95" i="13"/>
  <c r="DG95" i="13"/>
  <c r="DF95" i="13"/>
  <c r="DE95" i="13"/>
  <c r="DD95" i="13"/>
  <c r="DC95" i="13"/>
  <c r="DB95" i="13"/>
  <c r="DA95" i="13"/>
  <c r="CZ95" i="13"/>
  <c r="CY95" i="13"/>
  <c r="CX95" i="13"/>
  <c r="CW95" i="13"/>
  <c r="CV95" i="13"/>
  <c r="CU95" i="13"/>
  <c r="CT95" i="13"/>
  <c r="CS95" i="13"/>
  <c r="CR95" i="13"/>
  <c r="CQ95" i="13"/>
  <c r="CP95" i="13"/>
  <c r="CO95" i="13"/>
  <c r="CN95" i="13"/>
  <c r="CM95" i="13"/>
  <c r="CL95" i="13"/>
  <c r="CK95" i="13"/>
  <c r="CJ95" i="13"/>
  <c r="CI95" i="13"/>
  <c r="CH95" i="13"/>
  <c r="CG95" i="13"/>
  <c r="CF95" i="13"/>
  <c r="CE95" i="13"/>
  <c r="CD95" i="13"/>
  <c r="CC95" i="13"/>
  <c r="CB95" i="13"/>
  <c r="CA95" i="13"/>
  <c r="BZ95" i="13"/>
  <c r="BY95" i="13"/>
  <c r="BX95" i="13"/>
  <c r="BW95" i="13"/>
  <c r="BV95" i="13"/>
  <c r="BU95" i="13"/>
  <c r="BT95" i="13"/>
  <c r="BS95" i="13"/>
  <c r="BR95" i="13"/>
  <c r="BQ95" i="13"/>
  <c r="BP95" i="13"/>
  <c r="BO95" i="13"/>
  <c r="BM95" i="13"/>
  <c r="BL95" i="13"/>
  <c r="BI95" i="13"/>
  <c r="BH95" i="13"/>
  <c r="BG95" i="13"/>
  <c r="BF95" i="13"/>
  <c r="BE95" i="13"/>
  <c r="BD95" i="13"/>
  <c r="AW95" i="13"/>
  <c r="AV95" i="13"/>
  <c r="AU95" i="13"/>
  <c r="AT95" i="13"/>
  <c r="AS95" i="13"/>
  <c r="AQ95" i="13"/>
  <c r="AP95" i="13"/>
  <c r="AO95" i="13"/>
  <c r="AN95" i="13"/>
  <c r="AM95" i="13"/>
  <c r="AL95" i="13"/>
  <c r="AK95" i="13"/>
  <c r="AI95" i="13"/>
  <c r="AG95" i="13"/>
  <c r="AF95" i="13"/>
  <c r="AE95" i="13"/>
  <c r="AD95" i="13"/>
  <c r="AC95" i="13"/>
  <c r="AB95" i="13"/>
  <c r="AA95" i="13"/>
  <c r="Z95" i="13"/>
  <c r="Y95" i="13"/>
  <c r="X95" i="13"/>
  <c r="W95" i="13"/>
  <c r="P95" i="13"/>
  <c r="O95" i="13"/>
  <c r="M95" i="13"/>
  <c r="J95" i="13" s="1"/>
  <c r="L95" i="13"/>
  <c r="K95" i="13"/>
  <c r="DL94" i="13"/>
  <c r="DK94" i="13"/>
  <c r="DJ94" i="13"/>
  <c r="DI94" i="13"/>
  <c r="DH94" i="13"/>
  <c r="DG94" i="13"/>
  <c r="DF94" i="13"/>
  <c r="DE94" i="13"/>
  <c r="DD94" i="13"/>
  <c r="DC94" i="13"/>
  <c r="DB94" i="13"/>
  <c r="DA94" i="13"/>
  <c r="CZ94" i="13"/>
  <c r="CY94" i="13"/>
  <c r="CX94" i="13"/>
  <c r="CW94" i="13"/>
  <c r="CV94" i="13"/>
  <c r="CU94" i="13"/>
  <c r="CT94" i="13"/>
  <c r="CS94" i="13"/>
  <c r="CR94" i="13"/>
  <c r="CQ94" i="13"/>
  <c r="CP94" i="13"/>
  <c r="CO94" i="13"/>
  <c r="CN94" i="13"/>
  <c r="CM94" i="13"/>
  <c r="CL94" i="13"/>
  <c r="CK94" i="13"/>
  <c r="CJ94" i="13"/>
  <c r="CI94" i="13"/>
  <c r="CH94" i="13"/>
  <c r="CG94" i="13"/>
  <c r="CF94" i="13"/>
  <c r="CE94" i="13"/>
  <c r="CD94" i="13"/>
  <c r="CC94" i="13"/>
  <c r="CB94" i="13"/>
  <c r="CA94" i="13"/>
  <c r="BZ94" i="13"/>
  <c r="BY94" i="13"/>
  <c r="BX94" i="13"/>
  <c r="BW94" i="13"/>
  <c r="BV94" i="13"/>
  <c r="BU94" i="13"/>
  <c r="BT94" i="13"/>
  <c r="BS94" i="13"/>
  <c r="BR94" i="13"/>
  <c r="BQ94" i="13"/>
  <c r="BP94" i="13"/>
  <c r="BO94" i="13"/>
  <c r="BM94" i="13"/>
  <c r="BL94" i="13"/>
  <c r="BE94" i="13"/>
  <c r="BD94" i="13"/>
  <c r="BC94" i="13"/>
  <c r="BB94" i="13"/>
  <c r="AY94" i="13"/>
  <c r="AX94" i="13"/>
  <c r="AU94" i="13"/>
  <c r="AT94" i="13"/>
  <c r="AR94" i="13"/>
  <c r="AQ94" i="13"/>
  <c r="AP94" i="13"/>
  <c r="AO94" i="13"/>
  <c r="AN94" i="13"/>
  <c r="AM94" i="13"/>
  <c r="AL94" i="13"/>
  <c r="AK94" i="13"/>
  <c r="AI94" i="13"/>
  <c r="AG94" i="13"/>
  <c r="AF94" i="13"/>
  <c r="AE94" i="13"/>
  <c r="AD94" i="13"/>
  <c r="AC94" i="13"/>
  <c r="AB94" i="13"/>
  <c r="AA94" i="13"/>
  <c r="Z94" i="13"/>
  <c r="Y94" i="13"/>
  <c r="X94" i="13"/>
  <c r="W94" i="13"/>
  <c r="P94" i="13"/>
  <c r="O94" i="13"/>
  <c r="M94" i="13"/>
  <c r="J94" i="13" s="1"/>
  <c r="L94" i="13"/>
  <c r="K94" i="13"/>
  <c r="DL93" i="13"/>
  <c r="DK93" i="13"/>
  <c r="DJ93" i="13"/>
  <c r="DI93" i="13"/>
  <c r="DH93" i="13"/>
  <c r="DG93" i="13"/>
  <c r="DF93" i="13"/>
  <c r="DE93" i="13"/>
  <c r="DD93" i="13"/>
  <c r="DC93" i="13"/>
  <c r="DB93" i="13"/>
  <c r="DA93" i="13"/>
  <c r="CZ93" i="13"/>
  <c r="CY93" i="13"/>
  <c r="CX93" i="13"/>
  <c r="CW93" i="13"/>
  <c r="CV93" i="13"/>
  <c r="CU93" i="13"/>
  <c r="CT93" i="13"/>
  <c r="CS93" i="13"/>
  <c r="CR93" i="13"/>
  <c r="CQ93" i="13"/>
  <c r="CP93" i="13"/>
  <c r="CO93" i="13"/>
  <c r="CN93" i="13"/>
  <c r="CM93" i="13"/>
  <c r="CL93" i="13"/>
  <c r="CK93" i="13"/>
  <c r="CJ93" i="13"/>
  <c r="CI93" i="13"/>
  <c r="CH93" i="13"/>
  <c r="CG93" i="13"/>
  <c r="CF93" i="13"/>
  <c r="CE93" i="13"/>
  <c r="CD93" i="13"/>
  <c r="CC93" i="13"/>
  <c r="CB93" i="13"/>
  <c r="CA93" i="13"/>
  <c r="BZ93" i="13"/>
  <c r="BY93" i="13"/>
  <c r="BX93" i="13"/>
  <c r="BW93" i="13"/>
  <c r="BV93" i="13"/>
  <c r="BU93" i="13"/>
  <c r="BT93" i="13"/>
  <c r="BS93" i="13"/>
  <c r="BR93" i="13"/>
  <c r="BQ93" i="13"/>
  <c r="BP93" i="13"/>
  <c r="BO93" i="13"/>
  <c r="BM93" i="13"/>
  <c r="BL93" i="13"/>
  <c r="BI93" i="13"/>
  <c r="BH93" i="13"/>
  <c r="BG93" i="13"/>
  <c r="BF93" i="13"/>
  <c r="BE93" i="13"/>
  <c r="BD93" i="13"/>
  <c r="BC93" i="13"/>
  <c r="BB93" i="13"/>
  <c r="BA93" i="13"/>
  <c r="AZ93" i="13"/>
  <c r="AY93" i="13"/>
  <c r="AX93" i="13"/>
  <c r="AW93" i="13"/>
  <c r="AV93" i="13"/>
  <c r="AU93" i="13"/>
  <c r="AS93" i="13"/>
  <c r="AR93" i="13"/>
  <c r="AQ93" i="13"/>
  <c r="AP93" i="13"/>
  <c r="AO93" i="13"/>
  <c r="AN93" i="13"/>
  <c r="AM93" i="13"/>
  <c r="AL93" i="13"/>
  <c r="AK93" i="13"/>
  <c r="AI93" i="13"/>
  <c r="AG93" i="13"/>
  <c r="AF93" i="13"/>
  <c r="AE93" i="13"/>
  <c r="AD93" i="13"/>
  <c r="AC93" i="13"/>
  <c r="AB93" i="13"/>
  <c r="AA93" i="13"/>
  <c r="Z93" i="13"/>
  <c r="Y93" i="13"/>
  <c r="X93" i="13"/>
  <c r="W93" i="13"/>
  <c r="P93" i="13"/>
  <c r="O93" i="13"/>
  <c r="M93" i="13"/>
  <c r="J93" i="13" s="1"/>
  <c r="L93" i="13"/>
  <c r="K93" i="13"/>
  <c r="DL92" i="13"/>
  <c r="DK92" i="13"/>
  <c r="DJ92" i="13"/>
  <c r="DI92" i="13"/>
  <c r="DH92" i="13"/>
  <c r="DG92" i="13"/>
  <c r="DF92" i="13"/>
  <c r="DE92" i="13"/>
  <c r="DD92" i="13"/>
  <c r="DC92" i="13"/>
  <c r="DB92" i="13"/>
  <c r="DA92" i="13"/>
  <c r="CZ92" i="13"/>
  <c r="CY92" i="13"/>
  <c r="CX92" i="13"/>
  <c r="CW92" i="13"/>
  <c r="CV92" i="13"/>
  <c r="CU92" i="13"/>
  <c r="CT92" i="13"/>
  <c r="CS92" i="13"/>
  <c r="CR92" i="13"/>
  <c r="CQ92" i="13"/>
  <c r="CP92" i="13"/>
  <c r="CO92" i="13"/>
  <c r="CN92" i="13"/>
  <c r="CM92" i="13"/>
  <c r="CL92" i="13"/>
  <c r="CK92" i="13"/>
  <c r="CJ92" i="13"/>
  <c r="CI92" i="13"/>
  <c r="CH92" i="13"/>
  <c r="CG92" i="13"/>
  <c r="CF92" i="13"/>
  <c r="CE92" i="13"/>
  <c r="CD92" i="13"/>
  <c r="CC92" i="13"/>
  <c r="CB92" i="13"/>
  <c r="CA92" i="13"/>
  <c r="BZ92" i="13"/>
  <c r="BY92" i="13"/>
  <c r="BX92" i="13"/>
  <c r="BW92" i="13"/>
  <c r="BV92" i="13"/>
  <c r="BU92" i="13"/>
  <c r="BT92" i="13"/>
  <c r="BS92" i="13"/>
  <c r="BR92" i="13"/>
  <c r="BQ92" i="13"/>
  <c r="BP92" i="13"/>
  <c r="BO92" i="13"/>
  <c r="BM92" i="13"/>
  <c r="BL92" i="13"/>
  <c r="BG92" i="13"/>
  <c r="BF92" i="13"/>
  <c r="BA92" i="13"/>
  <c r="AZ92" i="13"/>
  <c r="AY92" i="13"/>
  <c r="AX92" i="13"/>
  <c r="AW92" i="13"/>
  <c r="AV92" i="13"/>
  <c r="AU92" i="13"/>
  <c r="AT92" i="13"/>
  <c r="AQ92" i="13"/>
  <c r="AP92" i="13"/>
  <c r="AO92" i="13"/>
  <c r="AN92" i="13"/>
  <c r="AM92" i="13"/>
  <c r="AL92" i="13"/>
  <c r="AK92" i="13"/>
  <c r="AI92" i="13"/>
  <c r="AG92" i="13"/>
  <c r="AF92" i="13"/>
  <c r="AE92" i="13"/>
  <c r="AD92" i="13"/>
  <c r="AC92" i="13"/>
  <c r="AB92" i="13"/>
  <c r="AA92" i="13"/>
  <c r="Z92" i="13"/>
  <c r="Y92" i="13"/>
  <c r="X92" i="13"/>
  <c r="W92" i="13"/>
  <c r="P92" i="13"/>
  <c r="O92" i="13"/>
  <c r="M92" i="13"/>
  <c r="J92" i="13" s="1"/>
  <c r="L92" i="13"/>
  <c r="K92" i="13"/>
  <c r="DL91" i="13"/>
  <c r="DK91" i="13"/>
  <c r="DJ91" i="13"/>
  <c r="DI91" i="13"/>
  <c r="DH91" i="13"/>
  <c r="DG91" i="13"/>
  <c r="DF91" i="13"/>
  <c r="DE91" i="13"/>
  <c r="DD91" i="13"/>
  <c r="DC91" i="13"/>
  <c r="DB91" i="13"/>
  <c r="DA91" i="13"/>
  <c r="CZ91" i="13"/>
  <c r="CY91" i="13"/>
  <c r="CX91" i="13"/>
  <c r="CW91" i="13"/>
  <c r="CV91" i="13"/>
  <c r="CU91" i="13"/>
  <c r="CT91" i="13"/>
  <c r="CS91" i="13"/>
  <c r="CR91" i="13"/>
  <c r="CQ91" i="13"/>
  <c r="CP91" i="13"/>
  <c r="CO91" i="13"/>
  <c r="CN91" i="13"/>
  <c r="CM91" i="13"/>
  <c r="CL91" i="13"/>
  <c r="CK91" i="13"/>
  <c r="CJ91" i="13"/>
  <c r="CI91" i="13"/>
  <c r="CH91" i="13"/>
  <c r="CG91" i="13"/>
  <c r="CF91" i="13"/>
  <c r="CE91" i="13"/>
  <c r="CD91" i="13"/>
  <c r="CC91" i="13"/>
  <c r="CB91" i="13"/>
  <c r="CA91" i="13"/>
  <c r="BZ91" i="13"/>
  <c r="BY91" i="13"/>
  <c r="BX91" i="13"/>
  <c r="BW91" i="13"/>
  <c r="BV91" i="13"/>
  <c r="BU91" i="13"/>
  <c r="BT91" i="13"/>
  <c r="BS91" i="13"/>
  <c r="BR91" i="13"/>
  <c r="BQ91" i="13"/>
  <c r="BP91" i="13"/>
  <c r="BO91" i="13"/>
  <c r="BM91" i="13"/>
  <c r="BL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I91" i="13"/>
  <c r="AG91" i="13"/>
  <c r="AF91" i="13"/>
  <c r="AE91" i="13"/>
  <c r="AD91" i="13"/>
  <c r="AC91" i="13"/>
  <c r="AB91" i="13"/>
  <c r="AA91" i="13"/>
  <c r="Z91" i="13"/>
  <c r="Y91" i="13"/>
  <c r="X91" i="13"/>
  <c r="W91" i="13"/>
  <c r="P91" i="13"/>
  <c r="O91" i="13"/>
  <c r="M91" i="13"/>
  <c r="J91" i="13" s="1"/>
  <c r="L91" i="13"/>
  <c r="K91" i="13"/>
  <c r="DL90" i="13"/>
  <c r="DK90" i="13"/>
  <c r="DJ90" i="13"/>
  <c r="DI90" i="13"/>
  <c r="DH90" i="13"/>
  <c r="DG90" i="13"/>
  <c r="DF90" i="13"/>
  <c r="DE90" i="13"/>
  <c r="DD90" i="13"/>
  <c r="DC90" i="13"/>
  <c r="DB90" i="13"/>
  <c r="DA90" i="13"/>
  <c r="CZ90" i="13"/>
  <c r="CY90" i="13"/>
  <c r="CX90" i="13"/>
  <c r="CW90" i="13"/>
  <c r="CV90" i="13"/>
  <c r="CU90" i="13"/>
  <c r="CT90" i="13"/>
  <c r="CS90" i="13"/>
  <c r="CR90" i="13"/>
  <c r="CQ90" i="13"/>
  <c r="CP90" i="13"/>
  <c r="CO90" i="13"/>
  <c r="CN90" i="13"/>
  <c r="CM90" i="13"/>
  <c r="CL90" i="13"/>
  <c r="CK90" i="13"/>
  <c r="CJ90" i="13"/>
  <c r="CI90" i="13"/>
  <c r="CH90" i="13"/>
  <c r="CG90" i="13"/>
  <c r="CF90" i="13"/>
  <c r="CE90" i="13"/>
  <c r="CD90" i="13"/>
  <c r="CC90" i="13"/>
  <c r="CB90" i="13"/>
  <c r="CA90" i="13"/>
  <c r="BZ90" i="13"/>
  <c r="BY90" i="13"/>
  <c r="BX90" i="13"/>
  <c r="BW90" i="13"/>
  <c r="BV90" i="13"/>
  <c r="BU90" i="13"/>
  <c r="BT90" i="13"/>
  <c r="BS90" i="13"/>
  <c r="BR90" i="13"/>
  <c r="BQ90" i="13"/>
  <c r="BP90" i="13"/>
  <c r="BO90" i="13"/>
  <c r="BM90" i="13"/>
  <c r="BL90" i="13"/>
  <c r="BG90" i="13"/>
  <c r="BF90" i="13"/>
  <c r="BE90" i="13"/>
  <c r="BD90" i="13"/>
  <c r="BC90" i="13"/>
  <c r="BB90" i="13"/>
  <c r="AY90" i="13"/>
  <c r="AX90" i="13"/>
  <c r="AU90" i="13"/>
  <c r="AS90" i="13"/>
  <c r="AR90" i="13"/>
  <c r="AP90" i="13"/>
  <c r="AO90" i="13"/>
  <c r="AN90" i="13"/>
  <c r="AM90" i="13"/>
  <c r="AL90" i="13"/>
  <c r="AK90" i="13"/>
  <c r="AI90" i="13"/>
  <c r="AG90" i="13"/>
  <c r="AF90" i="13"/>
  <c r="AE90" i="13"/>
  <c r="AD90" i="13"/>
  <c r="AC90" i="13"/>
  <c r="AB90" i="13"/>
  <c r="AA90" i="13"/>
  <c r="Z90" i="13"/>
  <c r="Y90" i="13"/>
  <c r="X90" i="13"/>
  <c r="W90" i="13"/>
  <c r="P90" i="13"/>
  <c r="O90" i="13"/>
  <c r="M90" i="13"/>
  <c r="J90" i="13" s="1"/>
  <c r="L90" i="13"/>
  <c r="K90" i="13"/>
  <c r="DL89" i="13"/>
  <c r="DK89" i="13"/>
  <c r="DJ89" i="13"/>
  <c r="DI89" i="13"/>
  <c r="DH89" i="13"/>
  <c r="DG89" i="13"/>
  <c r="DF89" i="13"/>
  <c r="DE89" i="13"/>
  <c r="DD89" i="13"/>
  <c r="DC89" i="13"/>
  <c r="DB89" i="13"/>
  <c r="DA89" i="13"/>
  <c r="CZ89" i="13"/>
  <c r="CY89" i="13"/>
  <c r="CX89" i="13"/>
  <c r="CW89" i="13"/>
  <c r="CV89" i="13"/>
  <c r="CU89" i="13"/>
  <c r="CT89" i="13"/>
  <c r="CS89" i="13"/>
  <c r="CR89" i="13"/>
  <c r="CQ89" i="13"/>
  <c r="CP89" i="13"/>
  <c r="CO89" i="13"/>
  <c r="CN89" i="13"/>
  <c r="CM89" i="13"/>
  <c r="CL89" i="13"/>
  <c r="CK89" i="13"/>
  <c r="CJ89" i="13"/>
  <c r="CI89" i="13"/>
  <c r="CH89" i="13"/>
  <c r="CG89" i="13"/>
  <c r="CF89" i="13"/>
  <c r="CE89" i="13"/>
  <c r="CD89" i="13"/>
  <c r="CC89" i="13"/>
  <c r="CB89" i="13"/>
  <c r="CA89" i="13"/>
  <c r="BZ89" i="13"/>
  <c r="BY89" i="13"/>
  <c r="BX89" i="13"/>
  <c r="BW89" i="13"/>
  <c r="BV89" i="13"/>
  <c r="BU89" i="13"/>
  <c r="BT89" i="13"/>
  <c r="BS89" i="13"/>
  <c r="BR89" i="13"/>
  <c r="BQ89" i="13"/>
  <c r="BP89" i="13"/>
  <c r="BO89" i="13"/>
  <c r="BM89" i="13"/>
  <c r="BL89" i="13"/>
  <c r="BE89" i="13"/>
  <c r="BD89" i="13"/>
  <c r="AW89" i="13"/>
  <c r="AV89" i="13"/>
  <c r="AU89" i="13"/>
  <c r="AT89" i="13"/>
  <c r="AS89" i="13"/>
  <c r="AR89" i="13"/>
  <c r="AP89" i="13"/>
  <c r="AO89" i="13"/>
  <c r="AN89" i="13"/>
  <c r="AM89" i="13"/>
  <c r="AL89" i="13"/>
  <c r="AK89" i="13"/>
  <c r="AI89" i="13"/>
  <c r="AG89" i="13"/>
  <c r="AF89" i="13"/>
  <c r="AE89" i="13"/>
  <c r="AD89" i="13"/>
  <c r="AC89" i="13"/>
  <c r="AB89" i="13"/>
  <c r="AA89" i="13"/>
  <c r="Z89" i="13"/>
  <c r="Y89" i="13"/>
  <c r="X89" i="13"/>
  <c r="W89" i="13"/>
  <c r="P89" i="13"/>
  <c r="O89" i="13"/>
  <c r="M89" i="13"/>
  <c r="J89" i="13" s="1"/>
  <c r="L89" i="13"/>
  <c r="K89" i="13"/>
  <c r="DL88" i="13"/>
  <c r="DK88" i="13"/>
  <c r="DJ88" i="13"/>
  <c r="DI88" i="13"/>
  <c r="DH88" i="13"/>
  <c r="DG88" i="13"/>
  <c r="DF88" i="13"/>
  <c r="DE88" i="13"/>
  <c r="DD88" i="13"/>
  <c r="DC88" i="13"/>
  <c r="DB88" i="13"/>
  <c r="DA88" i="13"/>
  <c r="CZ88" i="13"/>
  <c r="CY88" i="13"/>
  <c r="CX88" i="13"/>
  <c r="CW88" i="13"/>
  <c r="CV88" i="13"/>
  <c r="CU88" i="13"/>
  <c r="CT88" i="13"/>
  <c r="CS88" i="13"/>
  <c r="CR88" i="13"/>
  <c r="CQ88" i="13"/>
  <c r="CP88" i="13"/>
  <c r="CO88" i="13"/>
  <c r="CN88" i="13"/>
  <c r="CM88" i="13"/>
  <c r="CL88" i="13"/>
  <c r="CK88" i="13"/>
  <c r="CJ88" i="13"/>
  <c r="CI88" i="13"/>
  <c r="CH88" i="13"/>
  <c r="CG88" i="13"/>
  <c r="CF88" i="13"/>
  <c r="CE88" i="13"/>
  <c r="CD88" i="13"/>
  <c r="CC88" i="13"/>
  <c r="CB88" i="13"/>
  <c r="CA88" i="13"/>
  <c r="BZ88" i="13"/>
  <c r="BY88" i="13"/>
  <c r="BX88" i="13"/>
  <c r="BW88" i="13"/>
  <c r="BV88" i="13"/>
  <c r="BU88" i="13"/>
  <c r="BT88" i="13"/>
  <c r="BS88" i="13"/>
  <c r="BR88" i="13"/>
  <c r="BQ88" i="13"/>
  <c r="BP88" i="13"/>
  <c r="BO88" i="13"/>
  <c r="BM88" i="13"/>
  <c r="BL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I88" i="13"/>
  <c r="AG88" i="13"/>
  <c r="AF88" i="13"/>
  <c r="AE88" i="13"/>
  <c r="AD88" i="13"/>
  <c r="AC88" i="13"/>
  <c r="AB88" i="13"/>
  <c r="AA88" i="13"/>
  <c r="Z88" i="13"/>
  <c r="Y88" i="13"/>
  <c r="X88" i="13"/>
  <c r="W88" i="13"/>
  <c r="P88" i="13"/>
  <c r="O88" i="13"/>
  <c r="M88" i="13"/>
  <c r="J88" i="13" s="1"/>
  <c r="L88" i="13"/>
  <c r="K88" i="13"/>
  <c r="DL87" i="13"/>
  <c r="DK87" i="13"/>
  <c r="DJ87" i="13"/>
  <c r="DI87" i="13"/>
  <c r="DH87" i="13"/>
  <c r="DG87" i="13"/>
  <c r="DF87" i="13"/>
  <c r="DE87" i="13"/>
  <c r="DD87" i="13"/>
  <c r="DC87" i="13"/>
  <c r="DB87" i="13"/>
  <c r="DA87" i="13"/>
  <c r="CZ87" i="13"/>
  <c r="CY87" i="13"/>
  <c r="CX87" i="13"/>
  <c r="CW87" i="13"/>
  <c r="CV87" i="13"/>
  <c r="CU87" i="13"/>
  <c r="CT87" i="13"/>
  <c r="CS87" i="13"/>
  <c r="CR87" i="13"/>
  <c r="CQ87" i="13"/>
  <c r="CP87" i="13"/>
  <c r="CO87" i="13"/>
  <c r="CN87" i="13"/>
  <c r="CM87" i="13"/>
  <c r="CL87" i="13"/>
  <c r="CK87" i="13"/>
  <c r="CJ87" i="13"/>
  <c r="CI87" i="13"/>
  <c r="CH87" i="13"/>
  <c r="CG87" i="13"/>
  <c r="CF87" i="13"/>
  <c r="CE87" i="13"/>
  <c r="CD87" i="13"/>
  <c r="CC87" i="13"/>
  <c r="CB87" i="13"/>
  <c r="CA87" i="13"/>
  <c r="BZ87" i="13"/>
  <c r="BY87" i="13"/>
  <c r="BX87" i="13"/>
  <c r="BW87" i="13"/>
  <c r="BV87" i="13"/>
  <c r="BU87" i="13"/>
  <c r="BT87" i="13"/>
  <c r="BS87" i="13"/>
  <c r="BR87" i="13"/>
  <c r="BQ87" i="13"/>
  <c r="BP87" i="13"/>
  <c r="BO87" i="13"/>
  <c r="BM87" i="13"/>
  <c r="BL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I87" i="13"/>
  <c r="AG87" i="13"/>
  <c r="AF87" i="13"/>
  <c r="AE87" i="13"/>
  <c r="AD87" i="13"/>
  <c r="AC87" i="13"/>
  <c r="AB87" i="13"/>
  <c r="AA87" i="13"/>
  <c r="Z87" i="13"/>
  <c r="Y87" i="13"/>
  <c r="X87" i="13"/>
  <c r="W87" i="13"/>
  <c r="P87" i="13"/>
  <c r="O87" i="13"/>
  <c r="M87" i="13"/>
  <c r="J87" i="13" s="1"/>
  <c r="L87" i="13"/>
  <c r="K87" i="13"/>
  <c r="DL86" i="13"/>
  <c r="DK86" i="13"/>
  <c r="DJ86" i="13"/>
  <c r="DI86" i="13"/>
  <c r="DH86" i="13"/>
  <c r="DG86" i="13"/>
  <c r="DF86" i="13"/>
  <c r="DE86" i="13"/>
  <c r="DD86" i="13"/>
  <c r="DC86" i="13"/>
  <c r="DB86" i="13"/>
  <c r="DA86" i="13"/>
  <c r="CZ86" i="13"/>
  <c r="CY86" i="13"/>
  <c r="CX86" i="13"/>
  <c r="CW86" i="13"/>
  <c r="CV86" i="13"/>
  <c r="CU86" i="13"/>
  <c r="CT86" i="13"/>
  <c r="CS86" i="13"/>
  <c r="CR86" i="13"/>
  <c r="CQ86" i="13"/>
  <c r="CP86" i="13"/>
  <c r="CO86" i="13"/>
  <c r="CN86" i="13"/>
  <c r="CM86" i="13"/>
  <c r="CL86" i="13"/>
  <c r="CK86" i="13"/>
  <c r="CJ86" i="13"/>
  <c r="CI86" i="13"/>
  <c r="CH86" i="13"/>
  <c r="CG86" i="13"/>
  <c r="CF86" i="13"/>
  <c r="CE86" i="13"/>
  <c r="CD86" i="13"/>
  <c r="CC86" i="13"/>
  <c r="CB86" i="13"/>
  <c r="CA86" i="13"/>
  <c r="BZ86" i="13"/>
  <c r="BY86" i="13"/>
  <c r="BX86" i="13"/>
  <c r="BW86" i="13"/>
  <c r="BV86" i="13"/>
  <c r="BU86" i="13"/>
  <c r="BT86" i="13"/>
  <c r="BS86" i="13"/>
  <c r="BR86" i="13"/>
  <c r="BQ86" i="13"/>
  <c r="BP86" i="13"/>
  <c r="BO86" i="13"/>
  <c r="BM86" i="13"/>
  <c r="BL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I86" i="13"/>
  <c r="AG86" i="13"/>
  <c r="AF86" i="13"/>
  <c r="AE86" i="13"/>
  <c r="AD86" i="13"/>
  <c r="AC86" i="13"/>
  <c r="AB86" i="13"/>
  <c r="AA86" i="13"/>
  <c r="Z86" i="13"/>
  <c r="Y86" i="13"/>
  <c r="X86" i="13"/>
  <c r="W86" i="13"/>
  <c r="P86" i="13"/>
  <c r="O86" i="13"/>
  <c r="M86" i="13"/>
  <c r="L86" i="13"/>
  <c r="K86" i="13"/>
  <c r="DL85" i="13"/>
  <c r="DK85" i="13"/>
  <c r="DJ85" i="13"/>
  <c r="DI85" i="13"/>
  <c r="DH85" i="13"/>
  <c r="DG85" i="13"/>
  <c r="DF85" i="13"/>
  <c r="DE85" i="13"/>
  <c r="DD85" i="13"/>
  <c r="DC85" i="13"/>
  <c r="DB85" i="13"/>
  <c r="DA85" i="13"/>
  <c r="CZ85" i="13"/>
  <c r="CY85" i="13"/>
  <c r="CX85" i="13"/>
  <c r="CW85" i="13"/>
  <c r="CV85" i="13"/>
  <c r="CU85" i="13"/>
  <c r="CT85" i="13"/>
  <c r="CS85" i="13"/>
  <c r="CR85" i="13"/>
  <c r="CQ85" i="13"/>
  <c r="CP85" i="13"/>
  <c r="CO85" i="13"/>
  <c r="CN85" i="13"/>
  <c r="CM85" i="13"/>
  <c r="CL85" i="13"/>
  <c r="CK85" i="13"/>
  <c r="CJ85" i="13"/>
  <c r="CI85" i="13"/>
  <c r="CH85" i="13"/>
  <c r="CG85" i="13"/>
  <c r="CF85" i="13"/>
  <c r="CE85" i="13"/>
  <c r="CD85" i="13"/>
  <c r="CC85" i="13"/>
  <c r="CB85" i="13"/>
  <c r="CA85" i="13"/>
  <c r="BZ85" i="13"/>
  <c r="BY85" i="13"/>
  <c r="BX85" i="13"/>
  <c r="BW85" i="13"/>
  <c r="BV85" i="13"/>
  <c r="BU85" i="13"/>
  <c r="BT85" i="13"/>
  <c r="BS85" i="13"/>
  <c r="BR85" i="13"/>
  <c r="BQ85" i="13"/>
  <c r="BP85" i="13"/>
  <c r="BO85" i="13"/>
  <c r="BM85" i="13"/>
  <c r="BL85" i="13"/>
  <c r="BE85" i="13"/>
  <c r="BD85" i="13"/>
  <c r="AY85" i="13"/>
  <c r="AX85" i="13"/>
  <c r="AU85" i="13"/>
  <c r="AR85" i="13"/>
  <c r="AN85" i="13"/>
  <c r="AM85" i="13"/>
  <c r="AL85" i="13"/>
  <c r="AK85" i="13"/>
  <c r="AI85" i="13"/>
  <c r="AG85" i="13"/>
  <c r="AF85" i="13"/>
  <c r="AE85" i="13"/>
  <c r="AD85" i="13"/>
  <c r="AC85" i="13"/>
  <c r="AB85" i="13"/>
  <c r="AA85" i="13"/>
  <c r="Z85" i="13"/>
  <c r="Y85" i="13"/>
  <c r="X85" i="13"/>
  <c r="W85" i="13"/>
  <c r="P85" i="13"/>
  <c r="O85" i="13"/>
  <c r="M85" i="13"/>
  <c r="J85" i="13" s="1"/>
  <c r="L85" i="13"/>
  <c r="K85" i="13"/>
  <c r="DL84" i="13"/>
  <c r="DK84" i="13"/>
  <c r="DJ84" i="13"/>
  <c r="DI84" i="13"/>
  <c r="DH84" i="13"/>
  <c r="DG84" i="13"/>
  <c r="DF84" i="13"/>
  <c r="DE84" i="13"/>
  <c r="DD84" i="13"/>
  <c r="DC84" i="13"/>
  <c r="DB84" i="13"/>
  <c r="DA84" i="13"/>
  <c r="CZ84" i="13"/>
  <c r="CY84" i="13"/>
  <c r="CX84" i="13"/>
  <c r="CW84" i="13"/>
  <c r="CV84" i="13"/>
  <c r="CU84" i="13"/>
  <c r="CT84" i="13"/>
  <c r="CS84" i="13"/>
  <c r="CR84" i="13"/>
  <c r="CQ84" i="13"/>
  <c r="CP84" i="13"/>
  <c r="CO84" i="13"/>
  <c r="CN84" i="13"/>
  <c r="CM84" i="13"/>
  <c r="CL84" i="13"/>
  <c r="CK84" i="13"/>
  <c r="CJ84" i="13"/>
  <c r="CI84" i="13"/>
  <c r="CH84" i="13"/>
  <c r="CG84" i="13"/>
  <c r="CF84" i="13"/>
  <c r="CE84" i="13"/>
  <c r="CD84" i="13"/>
  <c r="CC84" i="13"/>
  <c r="CB84" i="13"/>
  <c r="CA84" i="13"/>
  <c r="BZ84" i="13"/>
  <c r="BY84" i="13"/>
  <c r="BX84" i="13"/>
  <c r="BW84" i="13"/>
  <c r="BV84" i="13"/>
  <c r="BU84" i="13"/>
  <c r="BT84" i="13"/>
  <c r="BS84" i="13"/>
  <c r="BR84" i="13"/>
  <c r="BQ84" i="13"/>
  <c r="BP84" i="13"/>
  <c r="BO84" i="13"/>
  <c r="BM84" i="13"/>
  <c r="BL84" i="13"/>
  <c r="BE84" i="13"/>
  <c r="BD84" i="13"/>
  <c r="AY84" i="13"/>
  <c r="AX84" i="13"/>
  <c r="AN84" i="13"/>
  <c r="AM84" i="13"/>
  <c r="AI84" i="13"/>
  <c r="AG84" i="13"/>
  <c r="AF84" i="13"/>
  <c r="AE84" i="13"/>
  <c r="AD84" i="13"/>
  <c r="AC84" i="13"/>
  <c r="AB84" i="13"/>
  <c r="AA84" i="13"/>
  <c r="Z84" i="13"/>
  <c r="Y84" i="13"/>
  <c r="X84" i="13"/>
  <c r="W84" i="13"/>
  <c r="P84" i="13"/>
  <c r="O84" i="13"/>
  <c r="M84" i="13"/>
  <c r="J84" i="13" s="1"/>
  <c r="L84" i="13"/>
  <c r="K84" i="13"/>
  <c r="DL83" i="13"/>
  <c r="DK83" i="13"/>
  <c r="DJ83" i="13"/>
  <c r="DI83" i="13"/>
  <c r="DH83" i="13"/>
  <c r="DG83" i="13"/>
  <c r="DF83" i="13"/>
  <c r="DE83" i="13"/>
  <c r="DD83" i="13"/>
  <c r="DC83" i="13"/>
  <c r="DB83" i="13"/>
  <c r="DA83" i="13"/>
  <c r="CZ83" i="13"/>
  <c r="CY83" i="13"/>
  <c r="CX83" i="13"/>
  <c r="CW83" i="13"/>
  <c r="CV83" i="13"/>
  <c r="CU83" i="13"/>
  <c r="CT83" i="13"/>
  <c r="CS83" i="13"/>
  <c r="CR83" i="13"/>
  <c r="CQ83" i="13"/>
  <c r="CP83" i="13"/>
  <c r="CO83" i="13"/>
  <c r="CN83" i="13"/>
  <c r="CM83" i="13"/>
  <c r="CL83" i="13"/>
  <c r="CK83" i="13"/>
  <c r="CJ83" i="13"/>
  <c r="CI83" i="13"/>
  <c r="CH83" i="13"/>
  <c r="CG83" i="13"/>
  <c r="CF83" i="13"/>
  <c r="CE83" i="13"/>
  <c r="CD83" i="13"/>
  <c r="CC83" i="13"/>
  <c r="CB83" i="13"/>
  <c r="CA83" i="13"/>
  <c r="BZ83" i="13"/>
  <c r="BY83" i="13"/>
  <c r="BX83" i="13"/>
  <c r="BW83" i="13"/>
  <c r="BV83" i="13"/>
  <c r="BU83" i="13"/>
  <c r="BT83" i="13"/>
  <c r="BS83" i="13"/>
  <c r="BR83" i="13"/>
  <c r="BQ83" i="13"/>
  <c r="BP83" i="13"/>
  <c r="BO83" i="13"/>
  <c r="BM83" i="13"/>
  <c r="BL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I83" i="13"/>
  <c r="AG83" i="13"/>
  <c r="AF83" i="13"/>
  <c r="AE83" i="13"/>
  <c r="AD83" i="13"/>
  <c r="AC83" i="13"/>
  <c r="AB83" i="13"/>
  <c r="AA83" i="13"/>
  <c r="Z83" i="13"/>
  <c r="Y83" i="13"/>
  <c r="X83" i="13"/>
  <c r="W83" i="13"/>
  <c r="P83" i="13"/>
  <c r="O83" i="13"/>
  <c r="M83" i="13"/>
  <c r="L83" i="13"/>
  <c r="K83" i="13"/>
  <c r="DL82" i="13"/>
  <c r="DK82" i="13"/>
  <c r="DJ82" i="13"/>
  <c r="DI82" i="13"/>
  <c r="DH82" i="13"/>
  <c r="DG82" i="13"/>
  <c r="DF82" i="13"/>
  <c r="DE82" i="13"/>
  <c r="DD82" i="13"/>
  <c r="DC82" i="13"/>
  <c r="DB82" i="13"/>
  <c r="DA82" i="13"/>
  <c r="CZ82" i="13"/>
  <c r="CY82" i="13"/>
  <c r="CX82" i="13"/>
  <c r="CW82" i="13"/>
  <c r="CV82" i="13"/>
  <c r="CU82" i="13"/>
  <c r="CT82" i="13"/>
  <c r="CS82" i="13"/>
  <c r="CR82" i="13"/>
  <c r="CQ82" i="13"/>
  <c r="CP82" i="13"/>
  <c r="CO82" i="13"/>
  <c r="CN82" i="13"/>
  <c r="CM82" i="13"/>
  <c r="CL82" i="13"/>
  <c r="CK82" i="13"/>
  <c r="CJ82" i="13"/>
  <c r="CI82" i="13"/>
  <c r="CH82" i="13"/>
  <c r="CG82" i="13"/>
  <c r="CF82" i="13"/>
  <c r="CE82" i="13"/>
  <c r="CD82" i="13"/>
  <c r="CC82" i="13"/>
  <c r="CB82" i="13"/>
  <c r="CA82" i="13"/>
  <c r="BZ82" i="13"/>
  <c r="BY82" i="13"/>
  <c r="BX82" i="13"/>
  <c r="BW82" i="13"/>
  <c r="BV82" i="13"/>
  <c r="BU82" i="13"/>
  <c r="BT82" i="13"/>
  <c r="BS82" i="13"/>
  <c r="BR82" i="13"/>
  <c r="BQ82" i="13"/>
  <c r="BP82" i="13"/>
  <c r="BO82" i="13"/>
  <c r="BM82" i="13"/>
  <c r="BL82" i="13"/>
  <c r="BG82" i="13"/>
  <c r="BF82" i="13"/>
  <c r="BE82" i="13"/>
  <c r="BD82" i="13"/>
  <c r="BC82" i="13"/>
  <c r="BB82" i="13"/>
  <c r="BA82" i="13"/>
  <c r="AZ82" i="13"/>
  <c r="AW82" i="13"/>
  <c r="AV82" i="13"/>
  <c r="AU82" i="13"/>
  <c r="AT82" i="13"/>
  <c r="AS82" i="13"/>
  <c r="AR82" i="13"/>
  <c r="AQ82" i="13"/>
  <c r="AP82" i="13"/>
  <c r="AO82" i="13"/>
  <c r="AN82" i="13"/>
  <c r="AM82" i="13"/>
  <c r="AL82" i="13"/>
  <c r="AK82" i="13"/>
  <c r="AI82" i="13"/>
  <c r="AG82" i="13"/>
  <c r="AF82" i="13"/>
  <c r="AE82" i="13"/>
  <c r="AD82" i="13"/>
  <c r="AC82" i="13"/>
  <c r="AB82" i="13"/>
  <c r="AA82" i="13"/>
  <c r="Z82" i="13"/>
  <c r="Y82" i="13"/>
  <c r="X82" i="13"/>
  <c r="W82" i="13"/>
  <c r="P82" i="13"/>
  <c r="O82" i="13"/>
  <c r="M82" i="13"/>
  <c r="J82" i="13" s="1"/>
  <c r="L82" i="13"/>
  <c r="K82" i="13"/>
  <c r="DL81" i="13"/>
  <c r="DK81" i="13"/>
  <c r="DJ81" i="13"/>
  <c r="DI81" i="13"/>
  <c r="DH81" i="13"/>
  <c r="DG81" i="13"/>
  <c r="DF81" i="13"/>
  <c r="DE81" i="13"/>
  <c r="DD81" i="13"/>
  <c r="DC81" i="13"/>
  <c r="DB81" i="13"/>
  <c r="DA81" i="13"/>
  <c r="CZ81" i="13"/>
  <c r="CY81" i="13"/>
  <c r="CX81" i="13"/>
  <c r="CW81" i="13"/>
  <c r="CV81" i="13"/>
  <c r="CU81" i="13"/>
  <c r="CT81" i="13"/>
  <c r="CS81" i="13"/>
  <c r="CR81" i="13"/>
  <c r="CQ81" i="13"/>
  <c r="CP81" i="13"/>
  <c r="CO81" i="13"/>
  <c r="CN81" i="13"/>
  <c r="CM81" i="13"/>
  <c r="CL81" i="13"/>
  <c r="CK81" i="13"/>
  <c r="CJ81" i="13"/>
  <c r="CI81" i="13"/>
  <c r="CH81" i="13"/>
  <c r="CG81" i="13"/>
  <c r="CF81" i="13"/>
  <c r="CE81" i="13"/>
  <c r="CD81" i="13"/>
  <c r="CC81" i="13"/>
  <c r="CB81" i="13"/>
  <c r="CA81" i="13"/>
  <c r="BZ81" i="13"/>
  <c r="BY81" i="13"/>
  <c r="BX81" i="13"/>
  <c r="BW81" i="13"/>
  <c r="BV81" i="13"/>
  <c r="BU81" i="13"/>
  <c r="BT81" i="13"/>
  <c r="BS81" i="13"/>
  <c r="BR81" i="13"/>
  <c r="BQ81" i="13"/>
  <c r="BP81" i="13"/>
  <c r="BO81" i="13"/>
  <c r="BM81" i="13"/>
  <c r="BL81" i="13"/>
  <c r="BI81" i="13"/>
  <c r="BH81" i="13"/>
  <c r="BG81" i="13"/>
  <c r="BF81" i="13"/>
  <c r="BE81" i="13"/>
  <c r="BD81" i="13"/>
  <c r="BC81" i="13"/>
  <c r="BB81" i="13"/>
  <c r="BA81" i="13"/>
  <c r="AZ81" i="13"/>
  <c r="AW81" i="13"/>
  <c r="AV81" i="13"/>
  <c r="AU81" i="13"/>
  <c r="AT81" i="13"/>
  <c r="AS81" i="13"/>
  <c r="AR81" i="13"/>
  <c r="AQ81" i="13"/>
  <c r="AN81" i="13"/>
  <c r="AM81" i="13"/>
  <c r="AL81" i="13"/>
  <c r="AK81" i="13"/>
  <c r="AI81" i="13"/>
  <c r="AG81" i="13"/>
  <c r="AF81" i="13"/>
  <c r="AE81" i="13"/>
  <c r="AD81" i="13"/>
  <c r="AC81" i="13"/>
  <c r="AB81" i="13"/>
  <c r="AA81" i="13"/>
  <c r="Z81" i="13"/>
  <c r="Y81" i="13"/>
  <c r="X81" i="13"/>
  <c r="W81" i="13"/>
  <c r="P81" i="13"/>
  <c r="O81" i="13"/>
  <c r="M81" i="13"/>
  <c r="J81" i="13" s="1"/>
  <c r="L81" i="13"/>
  <c r="K81" i="13"/>
  <c r="DL80" i="13"/>
  <c r="DK80" i="13"/>
  <c r="DJ80" i="13"/>
  <c r="DI80" i="13"/>
  <c r="DH80" i="13"/>
  <c r="DG80" i="13"/>
  <c r="DF80" i="13"/>
  <c r="DE80" i="13"/>
  <c r="DD80" i="13"/>
  <c r="DC80" i="13"/>
  <c r="DB80" i="13"/>
  <c r="DA80" i="13"/>
  <c r="CZ80" i="13"/>
  <c r="CY80" i="13"/>
  <c r="CX80" i="13"/>
  <c r="CW80" i="13"/>
  <c r="CV80" i="13"/>
  <c r="CU80" i="13"/>
  <c r="CT80" i="13"/>
  <c r="CS80" i="13"/>
  <c r="CR80" i="13"/>
  <c r="CQ80" i="13"/>
  <c r="CP80" i="13"/>
  <c r="CO80" i="13"/>
  <c r="CN80" i="13"/>
  <c r="CM80" i="13"/>
  <c r="CL80" i="13"/>
  <c r="CK80" i="13"/>
  <c r="CJ80" i="13"/>
  <c r="CI80" i="13"/>
  <c r="CH80" i="13"/>
  <c r="CG80" i="13"/>
  <c r="CF80" i="13"/>
  <c r="CE80" i="13"/>
  <c r="CD80" i="13"/>
  <c r="CC80" i="13"/>
  <c r="CB80" i="13"/>
  <c r="CA80" i="13"/>
  <c r="BZ80" i="13"/>
  <c r="BY80" i="13"/>
  <c r="BX80" i="13"/>
  <c r="BW80" i="13"/>
  <c r="BV80" i="13"/>
  <c r="BU80" i="13"/>
  <c r="BT80" i="13"/>
  <c r="BS80" i="13"/>
  <c r="BR80" i="13"/>
  <c r="BQ80" i="13"/>
  <c r="BP80" i="13"/>
  <c r="BO80" i="13"/>
  <c r="BM80" i="13"/>
  <c r="BL80" i="13"/>
  <c r="BI80" i="13"/>
  <c r="BH80" i="13"/>
  <c r="BG80" i="13"/>
  <c r="BF80" i="13"/>
  <c r="AY80" i="13"/>
  <c r="AX80" i="13"/>
  <c r="AW80" i="13"/>
  <c r="AV80" i="13"/>
  <c r="AU80" i="13"/>
  <c r="AR80" i="13"/>
  <c r="AQ80" i="13"/>
  <c r="AO80" i="13"/>
  <c r="AN80" i="13"/>
  <c r="AM80" i="13"/>
  <c r="AL80" i="13"/>
  <c r="AK80" i="13"/>
  <c r="AI80" i="13"/>
  <c r="AG80" i="13"/>
  <c r="AF80" i="13"/>
  <c r="AE80" i="13"/>
  <c r="AD80" i="13"/>
  <c r="AC80" i="13"/>
  <c r="AB80" i="13"/>
  <c r="AA80" i="13"/>
  <c r="Z80" i="13"/>
  <c r="Y80" i="13"/>
  <c r="X80" i="13"/>
  <c r="W80" i="13"/>
  <c r="P80" i="13"/>
  <c r="O80" i="13"/>
  <c r="M80" i="13"/>
  <c r="J80" i="13" s="1"/>
  <c r="L80" i="13"/>
  <c r="K80" i="13"/>
  <c r="DL79" i="13"/>
  <c r="DK79" i="13"/>
  <c r="DJ79" i="13"/>
  <c r="DI79" i="13"/>
  <c r="DH79" i="13"/>
  <c r="DG79" i="13"/>
  <c r="DF79" i="13"/>
  <c r="DE79" i="13"/>
  <c r="DD79" i="13"/>
  <c r="DC79" i="13"/>
  <c r="DB79" i="13"/>
  <c r="DA79" i="13"/>
  <c r="CZ79" i="13"/>
  <c r="CY79" i="13"/>
  <c r="CX79" i="13"/>
  <c r="CW79" i="13"/>
  <c r="CV79" i="13"/>
  <c r="CU79" i="13"/>
  <c r="CT79" i="13"/>
  <c r="CS79" i="13"/>
  <c r="CR79" i="13"/>
  <c r="CQ79" i="13"/>
  <c r="CP79" i="13"/>
  <c r="CO79" i="13"/>
  <c r="CN79" i="13"/>
  <c r="CM79" i="13"/>
  <c r="CL79" i="13"/>
  <c r="CK79" i="13"/>
  <c r="CJ79" i="13"/>
  <c r="CI79" i="13"/>
  <c r="CH79" i="13"/>
  <c r="CG79" i="13"/>
  <c r="CF79" i="13"/>
  <c r="CE79" i="13"/>
  <c r="CD79" i="13"/>
  <c r="CC79" i="13"/>
  <c r="CB79" i="13"/>
  <c r="CA79" i="13"/>
  <c r="BZ79" i="13"/>
  <c r="BY79" i="13"/>
  <c r="BX79" i="13"/>
  <c r="BW79" i="13"/>
  <c r="BV79" i="13"/>
  <c r="BU79" i="13"/>
  <c r="BT79" i="13"/>
  <c r="BS79" i="13"/>
  <c r="BR79" i="13"/>
  <c r="BQ79" i="13"/>
  <c r="BP79" i="13"/>
  <c r="BO79" i="13"/>
  <c r="BM79" i="13"/>
  <c r="BL79" i="13"/>
  <c r="BI79" i="13"/>
  <c r="BH79" i="13"/>
  <c r="BG79" i="13"/>
  <c r="BF79" i="13"/>
  <c r="BE79" i="13"/>
  <c r="BD79" i="13"/>
  <c r="BC79" i="13"/>
  <c r="BB79" i="13"/>
  <c r="AW79" i="13"/>
  <c r="AV79" i="13"/>
  <c r="AN79" i="13"/>
  <c r="AM79" i="13"/>
  <c r="AI79" i="13"/>
  <c r="AG79" i="13"/>
  <c r="AF79" i="13"/>
  <c r="AE79" i="13"/>
  <c r="AD79" i="13"/>
  <c r="AC79" i="13"/>
  <c r="AB79" i="13"/>
  <c r="AA79" i="13"/>
  <c r="Z79" i="13"/>
  <c r="Y79" i="13"/>
  <c r="X79" i="13"/>
  <c r="W79" i="13"/>
  <c r="P79" i="13"/>
  <c r="O79" i="13"/>
  <c r="M79" i="13"/>
  <c r="J79" i="13" s="1"/>
  <c r="L79" i="13"/>
  <c r="K79" i="13"/>
  <c r="DL78" i="13"/>
  <c r="DK78" i="13"/>
  <c r="DJ78" i="13"/>
  <c r="DI78" i="13"/>
  <c r="DH78" i="13"/>
  <c r="DG78" i="13"/>
  <c r="DF78" i="13"/>
  <c r="DE78" i="13"/>
  <c r="DD78" i="13"/>
  <c r="DC78" i="13"/>
  <c r="DB78" i="13"/>
  <c r="DA78" i="13"/>
  <c r="CZ78" i="13"/>
  <c r="CY78" i="13"/>
  <c r="CX78" i="13"/>
  <c r="CW78" i="13"/>
  <c r="CV78" i="13"/>
  <c r="CU78" i="13"/>
  <c r="CT78" i="13"/>
  <c r="CS78" i="13"/>
  <c r="CR78" i="13"/>
  <c r="CQ78" i="13"/>
  <c r="CP78" i="13"/>
  <c r="CO78" i="13"/>
  <c r="CN78" i="13"/>
  <c r="CM78" i="13"/>
  <c r="CL78" i="13"/>
  <c r="CK78" i="13"/>
  <c r="CJ78" i="13"/>
  <c r="CI78" i="13"/>
  <c r="CH78" i="13"/>
  <c r="CG78" i="13"/>
  <c r="CF78" i="13"/>
  <c r="CE78" i="13"/>
  <c r="CD78" i="13"/>
  <c r="CC78" i="13"/>
  <c r="CB78" i="13"/>
  <c r="CA78" i="13"/>
  <c r="BZ78" i="13"/>
  <c r="BY78" i="13"/>
  <c r="BX78" i="13"/>
  <c r="BW78" i="13"/>
  <c r="BV78" i="13"/>
  <c r="BU78" i="13"/>
  <c r="BT78" i="13"/>
  <c r="BS78" i="13"/>
  <c r="BR78" i="13"/>
  <c r="BQ78" i="13"/>
  <c r="BP78" i="13"/>
  <c r="BO78" i="13"/>
  <c r="BM78" i="13"/>
  <c r="BL78" i="13"/>
  <c r="BE78" i="13"/>
  <c r="BD78" i="13"/>
  <c r="BC78" i="13"/>
  <c r="BB78" i="13"/>
  <c r="AY78" i="13"/>
  <c r="AX78" i="13"/>
  <c r="AU78" i="13"/>
  <c r="AQ78" i="13"/>
  <c r="AO78" i="13"/>
  <c r="AN78" i="13"/>
  <c r="AM78" i="13"/>
  <c r="AL78" i="13"/>
  <c r="AK78" i="13"/>
  <c r="AI78" i="13"/>
  <c r="AG78" i="13"/>
  <c r="AF78" i="13"/>
  <c r="AE78" i="13"/>
  <c r="AD78" i="13"/>
  <c r="AC78" i="13"/>
  <c r="AB78" i="13"/>
  <c r="AA78" i="13"/>
  <c r="Z78" i="13"/>
  <c r="Y78" i="13"/>
  <c r="X78" i="13"/>
  <c r="W78" i="13"/>
  <c r="P78" i="13"/>
  <c r="O78" i="13"/>
  <c r="M78" i="13"/>
  <c r="J78" i="13" s="1"/>
  <c r="L78" i="13"/>
  <c r="K78" i="13"/>
  <c r="DL77" i="13"/>
  <c r="DK77" i="13"/>
  <c r="DJ77" i="13"/>
  <c r="DI77" i="13"/>
  <c r="DH77" i="13"/>
  <c r="DG77" i="13"/>
  <c r="DF77" i="13"/>
  <c r="DE77" i="13"/>
  <c r="DD77" i="13"/>
  <c r="DC77" i="13"/>
  <c r="DB77" i="13"/>
  <c r="DA77" i="13"/>
  <c r="CZ77" i="13"/>
  <c r="CY77" i="13"/>
  <c r="CX77" i="13"/>
  <c r="CW77" i="13"/>
  <c r="CV77" i="13"/>
  <c r="CU77" i="13"/>
  <c r="CT77" i="13"/>
  <c r="CS77" i="13"/>
  <c r="CR77" i="13"/>
  <c r="CQ77" i="13"/>
  <c r="CP77" i="13"/>
  <c r="CO77" i="13"/>
  <c r="CN77" i="13"/>
  <c r="CM77" i="13"/>
  <c r="CL77" i="13"/>
  <c r="CK77" i="13"/>
  <c r="CJ77" i="13"/>
  <c r="CI77" i="13"/>
  <c r="CH77" i="13"/>
  <c r="CG77" i="13"/>
  <c r="CF77" i="13"/>
  <c r="CE77" i="13"/>
  <c r="CD77" i="13"/>
  <c r="CC77" i="13"/>
  <c r="CB77" i="13"/>
  <c r="CA77" i="13"/>
  <c r="BZ77" i="13"/>
  <c r="BY77" i="13"/>
  <c r="BX77" i="13"/>
  <c r="BW77" i="13"/>
  <c r="BV77" i="13"/>
  <c r="BU77" i="13"/>
  <c r="BT77" i="13"/>
  <c r="BS77" i="13"/>
  <c r="BR77" i="13"/>
  <c r="BQ77" i="13"/>
  <c r="BP77" i="13"/>
  <c r="BO77" i="13"/>
  <c r="BM77" i="13"/>
  <c r="BL77" i="13"/>
  <c r="BG77" i="13"/>
  <c r="BF77" i="13"/>
  <c r="BE77" i="13"/>
  <c r="BD77" i="13"/>
  <c r="AW77" i="13"/>
  <c r="AV77" i="13"/>
  <c r="AU77" i="13"/>
  <c r="AT77" i="13"/>
  <c r="AS77" i="13"/>
  <c r="AR77" i="13"/>
  <c r="AQ77" i="13"/>
  <c r="AP77" i="13"/>
  <c r="AO77" i="13"/>
  <c r="AN77" i="13"/>
  <c r="AM77" i="13"/>
  <c r="AL77" i="13"/>
  <c r="AK77" i="13"/>
  <c r="AI77" i="13"/>
  <c r="AG77" i="13"/>
  <c r="AF77" i="13"/>
  <c r="AE77" i="13"/>
  <c r="AD77" i="13"/>
  <c r="AC77" i="13"/>
  <c r="AB77" i="13"/>
  <c r="AA77" i="13"/>
  <c r="Z77" i="13"/>
  <c r="Y77" i="13"/>
  <c r="X77" i="13"/>
  <c r="W77" i="13"/>
  <c r="P77" i="13"/>
  <c r="O77" i="13"/>
  <c r="M77" i="13"/>
  <c r="J77" i="13" s="1"/>
  <c r="L77" i="13"/>
  <c r="K77" i="13"/>
  <c r="DL76" i="13"/>
  <c r="DK76" i="13"/>
  <c r="DJ76" i="13"/>
  <c r="DI76" i="13"/>
  <c r="DH76" i="13"/>
  <c r="DG76" i="13"/>
  <c r="DF76" i="13"/>
  <c r="DE76" i="13"/>
  <c r="DD76" i="13"/>
  <c r="DC76" i="13"/>
  <c r="DB76" i="13"/>
  <c r="DA76" i="13"/>
  <c r="CZ76" i="13"/>
  <c r="CY76" i="13"/>
  <c r="CX76" i="13"/>
  <c r="CW76" i="13"/>
  <c r="CV76" i="13"/>
  <c r="CU76" i="13"/>
  <c r="CT76" i="13"/>
  <c r="CS76" i="13"/>
  <c r="CR76" i="13"/>
  <c r="CQ76" i="13"/>
  <c r="CP76" i="13"/>
  <c r="CO76" i="13"/>
  <c r="CN76" i="13"/>
  <c r="CM76" i="13"/>
  <c r="CL76" i="13"/>
  <c r="CK76" i="13"/>
  <c r="CJ76" i="13"/>
  <c r="CI76" i="13"/>
  <c r="CH76" i="13"/>
  <c r="CG76" i="13"/>
  <c r="CF76" i="13"/>
  <c r="CE76" i="13"/>
  <c r="CD76" i="13"/>
  <c r="CC76" i="13"/>
  <c r="CB76" i="13"/>
  <c r="CA76" i="13"/>
  <c r="BZ76" i="13"/>
  <c r="BY76" i="13"/>
  <c r="BX76" i="13"/>
  <c r="BW76" i="13"/>
  <c r="BV76" i="13"/>
  <c r="BU76" i="13"/>
  <c r="BT76" i="13"/>
  <c r="BS76" i="13"/>
  <c r="BR76" i="13"/>
  <c r="BQ76" i="13"/>
  <c r="BP76" i="13"/>
  <c r="BO76" i="13"/>
  <c r="BM76" i="13"/>
  <c r="BL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I76" i="13"/>
  <c r="AG76" i="13"/>
  <c r="AF76" i="13"/>
  <c r="AE76" i="13"/>
  <c r="AD76" i="13"/>
  <c r="AC76" i="13"/>
  <c r="AB76" i="13"/>
  <c r="AA76" i="13"/>
  <c r="Z76" i="13"/>
  <c r="Y76" i="13"/>
  <c r="X76" i="13"/>
  <c r="W76" i="13"/>
  <c r="P76" i="13"/>
  <c r="O76" i="13"/>
  <c r="M76" i="13"/>
  <c r="L76" i="13"/>
  <c r="K76" i="13"/>
  <c r="DL75" i="13"/>
  <c r="DK75" i="13"/>
  <c r="DJ75" i="13"/>
  <c r="DI75" i="13"/>
  <c r="DH75" i="13"/>
  <c r="DG75" i="13"/>
  <c r="DF75" i="13"/>
  <c r="DE75" i="13"/>
  <c r="DD75" i="13"/>
  <c r="DC75" i="13"/>
  <c r="DB75" i="13"/>
  <c r="DA75" i="13"/>
  <c r="CZ75" i="13"/>
  <c r="CY75" i="13"/>
  <c r="CX75" i="13"/>
  <c r="CW75" i="13"/>
  <c r="CV75" i="13"/>
  <c r="CU75" i="13"/>
  <c r="CT75" i="13"/>
  <c r="CS75" i="13"/>
  <c r="CR75" i="13"/>
  <c r="CQ75" i="13"/>
  <c r="CP75" i="13"/>
  <c r="CO75" i="13"/>
  <c r="CN75" i="13"/>
  <c r="CM75" i="13"/>
  <c r="CL75" i="13"/>
  <c r="CK75" i="13"/>
  <c r="CJ75" i="13"/>
  <c r="CI75" i="13"/>
  <c r="CH75" i="13"/>
  <c r="CG75" i="13"/>
  <c r="CF75" i="13"/>
  <c r="CE75" i="13"/>
  <c r="CD75" i="13"/>
  <c r="CC75" i="13"/>
  <c r="CB75" i="13"/>
  <c r="CA75" i="13"/>
  <c r="BZ75" i="13"/>
  <c r="BY75" i="13"/>
  <c r="BX75" i="13"/>
  <c r="BW75" i="13"/>
  <c r="BV75" i="13"/>
  <c r="BU75" i="13"/>
  <c r="BT75" i="13"/>
  <c r="BS75" i="13"/>
  <c r="BR75" i="13"/>
  <c r="BQ75" i="13"/>
  <c r="BP75" i="13"/>
  <c r="BO75" i="13"/>
  <c r="BM75" i="13"/>
  <c r="BL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I75" i="13"/>
  <c r="AG75" i="13"/>
  <c r="AF75" i="13"/>
  <c r="AE75" i="13"/>
  <c r="AD75" i="13"/>
  <c r="AC75" i="13"/>
  <c r="AB75" i="13"/>
  <c r="AA75" i="13"/>
  <c r="Z75" i="13"/>
  <c r="Y75" i="13"/>
  <c r="X75" i="13"/>
  <c r="W75" i="13"/>
  <c r="P75" i="13"/>
  <c r="O75" i="13"/>
  <c r="M75" i="13"/>
  <c r="J75" i="13" s="1"/>
  <c r="L75" i="13"/>
  <c r="K75" i="13"/>
  <c r="DL74" i="13"/>
  <c r="DK74" i="13"/>
  <c r="DJ74" i="13"/>
  <c r="DI74" i="13"/>
  <c r="DH74" i="13"/>
  <c r="DG74" i="13"/>
  <c r="DF74" i="13"/>
  <c r="DE74" i="13"/>
  <c r="DD74" i="13"/>
  <c r="DC74" i="13"/>
  <c r="DB74" i="13"/>
  <c r="DA74" i="13"/>
  <c r="CZ74" i="13"/>
  <c r="CY74" i="13"/>
  <c r="CX74" i="13"/>
  <c r="CW74" i="13"/>
  <c r="CV74" i="13"/>
  <c r="CU74" i="13"/>
  <c r="CT74" i="13"/>
  <c r="CS74" i="13"/>
  <c r="CR74" i="13"/>
  <c r="CQ74" i="13"/>
  <c r="CP74" i="13"/>
  <c r="CO74" i="13"/>
  <c r="CN74" i="13"/>
  <c r="CM74" i="13"/>
  <c r="CL74" i="13"/>
  <c r="CK74" i="13"/>
  <c r="CJ74" i="13"/>
  <c r="CI74" i="13"/>
  <c r="CH74" i="13"/>
  <c r="CG74" i="13"/>
  <c r="CF74" i="13"/>
  <c r="CE74" i="13"/>
  <c r="CD74" i="13"/>
  <c r="CC74" i="13"/>
  <c r="CB74" i="13"/>
  <c r="CA74" i="13"/>
  <c r="BZ74" i="13"/>
  <c r="BY74" i="13"/>
  <c r="BX74" i="13"/>
  <c r="BW74" i="13"/>
  <c r="BV74" i="13"/>
  <c r="BU74" i="13"/>
  <c r="BT74" i="13"/>
  <c r="BS74" i="13"/>
  <c r="BR74" i="13"/>
  <c r="BQ74" i="13"/>
  <c r="BP74" i="13"/>
  <c r="BO74" i="13"/>
  <c r="BM74" i="13"/>
  <c r="BL74" i="13"/>
  <c r="BE74" i="13"/>
  <c r="BD74" i="13"/>
  <c r="BC74" i="13"/>
  <c r="BB74" i="13"/>
  <c r="AW74" i="13"/>
  <c r="AV74" i="13"/>
  <c r="AU74" i="13"/>
  <c r="AT74" i="13"/>
  <c r="AR74" i="13"/>
  <c r="AP74" i="13"/>
  <c r="AO74" i="13"/>
  <c r="AN74" i="13"/>
  <c r="AM74" i="13"/>
  <c r="AL74" i="13"/>
  <c r="AK74" i="13"/>
  <c r="AI74" i="13"/>
  <c r="AG74" i="13"/>
  <c r="AF74" i="13"/>
  <c r="AE74" i="13"/>
  <c r="AD74" i="13"/>
  <c r="AC74" i="13"/>
  <c r="AB74" i="13"/>
  <c r="AA74" i="13"/>
  <c r="Z74" i="13"/>
  <c r="Y74" i="13"/>
  <c r="X74" i="13"/>
  <c r="W74" i="13"/>
  <c r="P74" i="13"/>
  <c r="O74" i="13"/>
  <c r="M74" i="13"/>
  <c r="J74" i="13" s="1"/>
  <c r="L74" i="13"/>
  <c r="K74" i="13"/>
  <c r="DL73" i="13"/>
  <c r="DK73" i="13"/>
  <c r="DJ73" i="13"/>
  <c r="DI73" i="13"/>
  <c r="DH73" i="13"/>
  <c r="DG73" i="13"/>
  <c r="DF73" i="13"/>
  <c r="DE73" i="13"/>
  <c r="DD73" i="13"/>
  <c r="DC73" i="13"/>
  <c r="DB73" i="13"/>
  <c r="DA73" i="13"/>
  <c r="CZ73" i="13"/>
  <c r="CY73" i="13"/>
  <c r="CX73" i="13"/>
  <c r="CW73" i="13"/>
  <c r="CV73" i="13"/>
  <c r="CU73" i="13"/>
  <c r="CT73" i="13"/>
  <c r="CS73" i="13"/>
  <c r="CR73" i="13"/>
  <c r="CQ73" i="13"/>
  <c r="CP73" i="13"/>
  <c r="CO73" i="13"/>
  <c r="CN73" i="13"/>
  <c r="CM73" i="13"/>
  <c r="CL73" i="13"/>
  <c r="CK73" i="13"/>
  <c r="CJ73" i="13"/>
  <c r="CI73" i="13"/>
  <c r="CH73" i="13"/>
  <c r="CG73" i="13"/>
  <c r="CF73" i="13"/>
  <c r="CE73" i="13"/>
  <c r="CD73" i="13"/>
  <c r="CC73" i="13"/>
  <c r="CB73" i="13"/>
  <c r="CA73" i="13"/>
  <c r="BZ73" i="13"/>
  <c r="BY73" i="13"/>
  <c r="BX73" i="13"/>
  <c r="BW73" i="13"/>
  <c r="BV73" i="13"/>
  <c r="BU73" i="13"/>
  <c r="BT73" i="13"/>
  <c r="BS73" i="13"/>
  <c r="BR73" i="13"/>
  <c r="BQ73" i="13"/>
  <c r="BP73" i="13"/>
  <c r="BO73" i="13"/>
  <c r="BM73" i="13"/>
  <c r="BL73" i="13"/>
  <c r="BG73" i="13"/>
  <c r="BF73" i="13"/>
  <c r="BE73" i="13"/>
  <c r="BD73" i="13"/>
  <c r="BC73" i="13"/>
  <c r="BB73" i="13"/>
  <c r="BA73" i="13"/>
  <c r="AZ73" i="13"/>
  <c r="AY73" i="13"/>
  <c r="AX73" i="13"/>
  <c r="AW73" i="13"/>
  <c r="AV73" i="13"/>
  <c r="AU73" i="13"/>
  <c r="AT73" i="13"/>
  <c r="AR73" i="13"/>
  <c r="AQ73" i="13"/>
  <c r="AP73" i="13"/>
  <c r="AO73" i="13"/>
  <c r="AN73" i="13"/>
  <c r="AM73" i="13"/>
  <c r="AL73" i="13"/>
  <c r="AK73" i="13"/>
  <c r="AI73" i="13"/>
  <c r="AG73" i="13"/>
  <c r="AF73" i="13"/>
  <c r="AE73" i="13"/>
  <c r="AD73" i="13"/>
  <c r="AC73" i="13"/>
  <c r="AB73" i="13"/>
  <c r="AA73" i="13"/>
  <c r="Z73" i="13"/>
  <c r="Y73" i="13"/>
  <c r="X73" i="13"/>
  <c r="W73" i="13"/>
  <c r="P73" i="13"/>
  <c r="O73" i="13"/>
  <c r="M73" i="13"/>
  <c r="J73" i="13" s="1"/>
  <c r="L73" i="13"/>
  <c r="K73" i="13"/>
  <c r="DL72" i="13"/>
  <c r="DK72" i="13"/>
  <c r="DJ72" i="13"/>
  <c r="DI72" i="13"/>
  <c r="DH72" i="13"/>
  <c r="DG72" i="13"/>
  <c r="DF72" i="13"/>
  <c r="DE72" i="13"/>
  <c r="DD72" i="13"/>
  <c r="DC72" i="13"/>
  <c r="DB72" i="13"/>
  <c r="DA72" i="13"/>
  <c r="CZ72" i="13"/>
  <c r="CY72" i="13"/>
  <c r="CX72" i="13"/>
  <c r="CW72" i="13"/>
  <c r="CV72" i="13"/>
  <c r="CU72" i="13"/>
  <c r="CT72" i="13"/>
  <c r="CS72" i="13"/>
  <c r="CR72" i="13"/>
  <c r="CQ72" i="13"/>
  <c r="CP72" i="13"/>
  <c r="CO72" i="13"/>
  <c r="CN72" i="13"/>
  <c r="CM72" i="13"/>
  <c r="CL72" i="13"/>
  <c r="CK72" i="13"/>
  <c r="CJ72" i="13"/>
  <c r="CI72" i="13"/>
  <c r="CH72" i="13"/>
  <c r="CG72" i="13"/>
  <c r="CF72" i="13"/>
  <c r="CE72" i="13"/>
  <c r="CD72" i="13"/>
  <c r="CC72" i="13"/>
  <c r="CB72" i="13"/>
  <c r="CA72" i="13"/>
  <c r="BZ72" i="13"/>
  <c r="BY72" i="13"/>
  <c r="BX72" i="13"/>
  <c r="BW72" i="13"/>
  <c r="BV72" i="13"/>
  <c r="BU72" i="13"/>
  <c r="BT72" i="13"/>
  <c r="BS72" i="13"/>
  <c r="BR72" i="13"/>
  <c r="BQ72" i="13"/>
  <c r="BP72" i="13"/>
  <c r="BO72" i="13"/>
  <c r="BM72" i="13"/>
  <c r="BL72" i="13"/>
  <c r="BI72" i="13"/>
  <c r="BH72" i="13"/>
  <c r="BG72" i="13"/>
  <c r="BF72" i="13"/>
  <c r="BE72" i="13"/>
  <c r="BD72" i="13"/>
  <c r="BC72" i="13"/>
  <c r="BB72" i="13"/>
  <c r="BA72" i="13"/>
  <c r="AZ72" i="13"/>
  <c r="AY72" i="13"/>
  <c r="AX72" i="13"/>
  <c r="AW72" i="13"/>
  <c r="AV72" i="13"/>
  <c r="AU72" i="13"/>
  <c r="AT72" i="13"/>
  <c r="AS72" i="13"/>
  <c r="AR72" i="13"/>
  <c r="AQ72" i="13"/>
  <c r="AP72" i="13"/>
  <c r="AO72" i="13"/>
  <c r="AN72" i="13"/>
  <c r="AM72" i="13"/>
  <c r="AL72" i="13"/>
  <c r="AK72" i="13"/>
  <c r="AI72" i="13"/>
  <c r="AG72" i="13"/>
  <c r="AF72" i="13"/>
  <c r="AE72" i="13"/>
  <c r="AD72" i="13"/>
  <c r="AC72" i="13"/>
  <c r="AB72" i="13"/>
  <c r="AA72" i="13"/>
  <c r="Z72" i="13"/>
  <c r="Y72" i="13"/>
  <c r="X72" i="13"/>
  <c r="W72" i="13"/>
  <c r="P72" i="13"/>
  <c r="O72" i="13"/>
  <c r="M72" i="13"/>
  <c r="J72" i="13" s="1"/>
  <c r="L72" i="13"/>
  <c r="K72" i="13"/>
  <c r="DL71" i="13"/>
  <c r="DK71" i="13"/>
  <c r="DJ71" i="13"/>
  <c r="DI71" i="13"/>
  <c r="DH71" i="13"/>
  <c r="DG71" i="13"/>
  <c r="DF71" i="13"/>
  <c r="DE71" i="13"/>
  <c r="DD71" i="13"/>
  <c r="DC71" i="13"/>
  <c r="DB71" i="13"/>
  <c r="DA71" i="13"/>
  <c r="CZ71" i="13"/>
  <c r="CY71" i="13"/>
  <c r="CX71" i="13"/>
  <c r="CW71" i="13"/>
  <c r="CV71" i="13"/>
  <c r="CU71" i="13"/>
  <c r="CT71" i="13"/>
  <c r="CS71" i="13"/>
  <c r="CR71" i="13"/>
  <c r="CQ71" i="13"/>
  <c r="CP71" i="13"/>
  <c r="CO71" i="13"/>
  <c r="CN71" i="13"/>
  <c r="CM71" i="13"/>
  <c r="CL71" i="13"/>
  <c r="CK71" i="13"/>
  <c r="CJ71" i="13"/>
  <c r="CI71" i="13"/>
  <c r="CH71" i="13"/>
  <c r="CG71" i="13"/>
  <c r="CF71" i="13"/>
  <c r="CE71" i="13"/>
  <c r="CD71" i="13"/>
  <c r="CC71" i="13"/>
  <c r="CB71" i="13"/>
  <c r="CA71" i="13"/>
  <c r="BZ71" i="13"/>
  <c r="BY71" i="13"/>
  <c r="BX71" i="13"/>
  <c r="BW71" i="13"/>
  <c r="BV71" i="13"/>
  <c r="BU71" i="13"/>
  <c r="BT71" i="13"/>
  <c r="BS71" i="13"/>
  <c r="BR71" i="13"/>
  <c r="BQ71" i="13"/>
  <c r="BP71" i="13"/>
  <c r="BO71" i="13"/>
  <c r="BM71" i="13"/>
  <c r="BL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I71" i="13"/>
  <c r="AG71" i="13"/>
  <c r="AF71" i="13"/>
  <c r="AE71" i="13"/>
  <c r="AD71" i="13"/>
  <c r="AC71" i="13"/>
  <c r="AB71" i="13"/>
  <c r="AA71" i="13"/>
  <c r="Z71" i="13"/>
  <c r="Y71" i="13"/>
  <c r="X71" i="13"/>
  <c r="W71" i="13"/>
  <c r="P71" i="13"/>
  <c r="O71" i="13"/>
  <c r="M71" i="13"/>
  <c r="J71" i="13" s="1"/>
  <c r="L71" i="13"/>
  <c r="K71" i="13"/>
  <c r="DL70" i="13"/>
  <c r="DK70" i="13"/>
  <c r="DJ70" i="13"/>
  <c r="DI70" i="13"/>
  <c r="DH70" i="13"/>
  <c r="DG70" i="13"/>
  <c r="DF70" i="13"/>
  <c r="DE70" i="13"/>
  <c r="DD70" i="13"/>
  <c r="DC70" i="13"/>
  <c r="DB70" i="13"/>
  <c r="DA70" i="13"/>
  <c r="CZ70" i="13"/>
  <c r="CY70" i="13"/>
  <c r="CX70" i="13"/>
  <c r="CW70" i="13"/>
  <c r="CV70" i="13"/>
  <c r="CU70" i="13"/>
  <c r="CT70" i="13"/>
  <c r="CS70" i="13"/>
  <c r="CR70" i="13"/>
  <c r="CQ70" i="13"/>
  <c r="CP70" i="13"/>
  <c r="CO70" i="13"/>
  <c r="CN70" i="13"/>
  <c r="CM70" i="13"/>
  <c r="CL70" i="13"/>
  <c r="CK70" i="13"/>
  <c r="CJ70" i="13"/>
  <c r="CI70" i="13"/>
  <c r="CH70" i="13"/>
  <c r="CG70" i="13"/>
  <c r="CF70" i="13"/>
  <c r="CE70" i="13"/>
  <c r="CD70" i="13"/>
  <c r="CC70" i="13"/>
  <c r="CB70" i="13"/>
  <c r="CA70" i="13"/>
  <c r="BZ70" i="13"/>
  <c r="BY70" i="13"/>
  <c r="BX70" i="13"/>
  <c r="BW70" i="13"/>
  <c r="BV70" i="13"/>
  <c r="BU70" i="13"/>
  <c r="BT70" i="13"/>
  <c r="BS70" i="13"/>
  <c r="BR70" i="13"/>
  <c r="BQ70" i="13"/>
  <c r="BP70" i="13"/>
  <c r="BO70" i="13"/>
  <c r="BM70" i="13"/>
  <c r="BL70" i="13"/>
  <c r="BE70" i="13"/>
  <c r="BD70" i="13"/>
  <c r="BC70" i="13"/>
  <c r="BB70" i="13"/>
  <c r="BA70" i="13"/>
  <c r="AZ70" i="13"/>
  <c r="AU70" i="13"/>
  <c r="AS70" i="13"/>
  <c r="AP70" i="13"/>
  <c r="AL70" i="13"/>
  <c r="AK70" i="13"/>
  <c r="AI70" i="13"/>
  <c r="AG70" i="13"/>
  <c r="AF70" i="13"/>
  <c r="AE70" i="13"/>
  <c r="AD70" i="13"/>
  <c r="AC70" i="13"/>
  <c r="AB70" i="13"/>
  <c r="AA70" i="13"/>
  <c r="Z70" i="13"/>
  <c r="Y70" i="13"/>
  <c r="X70" i="13"/>
  <c r="W70" i="13"/>
  <c r="P70" i="13"/>
  <c r="O70" i="13"/>
  <c r="M70" i="13"/>
  <c r="J70" i="13" s="1"/>
  <c r="L70" i="13"/>
  <c r="K70" i="13"/>
  <c r="DL69" i="13"/>
  <c r="DK69" i="13"/>
  <c r="DJ69" i="13"/>
  <c r="DI69" i="13"/>
  <c r="DH69" i="13"/>
  <c r="DG69" i="13"/>
  <c r="DF69" i="13"/>
  <c r="DE69" i="13"/>
  <c r="DD69" i="13"/>
  <c r="DC69" i="13"/>
  <c r="DB69" i="13"/>
  <c r="DA69" i="13"/>
  <c r="CZ69" i="13"/>
  <c r="CY69" i="13"/>
  <c r="CX69" i="13"/>
  <c r="CW69" i="13"/>
  <c r="CV69" i="13"/>
  <c r="CU69" i="13"/>
  <c r="CT69" i="13"/>
  <c r="CS69" i="13"/>
  <c r="CR69" i="13"/>
  <c r="CQ69" i="13"/>
  <c r="CP69" i="13"/>
  <c r="CO69" i="13"/>
  <c r="CN69" i="13"/>
  <c r="CM69" i="13"/>
  <c r="CL69" i="13"/>
  <c r="CK69" i="13"/>
  <c r="CJ69" i="13"/>
  <c r="CI69" i="13"/>
  <c r="CH69" i="13"/>
  <c r="CG69" i="13"/>
  <c r="CF69" i="13"/>
  <c r="CE69" i="13"/>
  <c r="CD69" i="13"/>
  <c r="CC69" i="13"/>
  <c r="CB69" i="13"/>
  <c r="CA69" i="13"/>
  <c r="BZ69" i="13"/>
  <c r="BY69" i="13"/>
  <c r="BX69" i="13"/>
  <c r="BW69" i="13"/>
  <c r="BV69" i="13"/>
  <c r="BU69" i="13"/>
  <c r="BT69" i="13"/>
  <c r="BS69" i="13"/>
  <c r="BR69" i="13"/>
  <c r="BQ69" i="13"/>
  <c r="BP69" i="13"/>
  <c r="BO69" i="13"/>
  <c r="BM69" i="13"/>
  <c r="BL69" i="13"/>
  <c r="BE69" i="13"/>
  <c r="BD69" i="13"/>
  <c r="BC69" i="13"/>
  <c r="BB69" i="13"/>
  <c r="AI69" i="13"/>
  <c r="AG69" i="13"/>
  <c r="AF69" i="13"/>
  <c r="AE69" i="13"/>
  <c r="AD69" i="13"/>
  <c r="AC69" i="13"/>
  <c r="AB69" i="13"/>
  <c r="AA69" i="13"/>
  <c r="Z69" i="13"/>
  <c r="Y69" i="13"/>
  <c r="X69" i="13"/>
  <c r="W69" i="13"/>
  <c r="P69" i="13"/>
  <c r="O69" i="13"/>
  <c r="M69" i="13"/>
  <c r="J69" i="13" s="1"/>
  <c r="L69" i="13"/>
  <c r="K69" i="13"/>
  <c r="DL68" i="13"/>
  <c r="DK68" i="13"/>
  <c r="DJ68" i="13"/>
  <c r="DI68" i="13"/>
  <c r="DH68" i="13"/>
  <c r="DG68" i="13"/>
  <c r="DF68" i="13"/>
  <c r="DE68" i="13"/>
  <c r="DD68" i="13"/>
  <c r="DC68" i="13"/>
  <c r="DB68" i="13"/>
  <c r="DA68" i="13"/>
  <c r="CZ68" i="13"/>
  <c r="CY68" i="13"/>
  <c r="CX68" i="13"/>
  <c r="CW68" i="13"/>
  <c r="CV68" i="13"/>
  <c r="CU68" i="13"/>
  <c r="CT68" i="13"/>
  <c r="CS68" i="13"/>
  <c r="CR68" i="13"/>
  <c r="CQ68" i="13"/>
  <c r="CP68" i="13"/>
  <c r="CO68" i="13"/>
  <c r="CN68" i="13"/>
  <c r="CM68" i="13"/>
  <c r="CL68" i="13"/>
  <c r="CK68" i="13"/>
  <c r="CJ68" i="13"/>
  <c r="CI68" i="13"/>
  <c r="CH68" i="13"/>
  <c r="CG68" i="13"/>
  <c r="CF68" i="13"/>
  <c r="CE68" i="13"/>
  <c r="CD68" i="13"/>
  <c r="CC68" i="13"/>
  <c r="CB68" i="13"/>
  <c r="CA68" i="13"/>
  <c r="BZ68" i="13"/>
  <c r="BY68" i="13"/>
  <c r="BX68" i="13"/>
  <c r="BW68" i="13"/>
  <c r="BV68" i="13"/>
  <c r="BU68" i="13"/>
  <c r="BT68" i="13"/>
  <c r="BS68" i="13"/>
  <c r="BR68" i="13"/>
  <c r="BQ68" i="13"/>
  <c r="BP68" i="13"/>
  <c r="BO68" i="13"/>
  <c r="BM68" i="13"/>
  <c r="BL68" i="13"/>
  <c r="BG68" i="13"/>
  <c r="BF68" i="13"/>
  <c r="AW68" i="13"/>
  <c r="AV68" i="13"/>
  <c r="AU68" i="13"/>
  <c r="AS68" i="13"/>
  <c r="AQ68" i="13"/>
  <c r="AM68" i="13"/>
  <c r="AL68" i="13"/>
  <c r="AK68" i="13"/>
  <c r="AI68" i="13"/>
  <c r="AG68" i="13"/>
  <c r="AF68" i="13"/>
  <c r="AE68" i="13"/>
  <c r="AD68" i="13"/>
  <c r="AC68" i="13"/>
  <c r="AB68" i="13"/>
  <c r="AA68" i="13"/>
  <c r="Z68" i="13"/>
  <c r="Y68" i="13"/>
  <c r="X68" i="13"/>
  <c r="W68" i="13"/>
  <c r="P68" i="13"/>
  <c r="O68" i="13"/>
  <c r="M68" i="13"/>
  <c r="J68" i="13" s="1"/>
  <c r="L68" i="13"/>
  <c r="K68" i="13"/>
  <c r="DL67" i="13"/>
  <c r="DK67" i="13"/>
  <c r="DJ67" i="13"/>
  <c r="DI67" i="13"/>
  <c r="DH67" i="13"/>
  <c r="DG67" i="13"/>
  <c r="DF67" i="13"/>
  <c r="DE67" i="13"/>
  <c r="DD67" i="13"/>
  <c r="DC67" i="13"/>
  <c r="DB67" i="13"/>
  <c r="DA67" i="13"/>
  <c r="CZ67" i="13"/>
  <c r="CY67" i="13"/>
  <c r="CX67" i="13"/>
  <c r="CW67" i="13"/>
  <c r="CV67" i="13"/>
  <c r="CU67" i="13"/>
  <c r="CT67" i="13"/>
  <c r="CS67" i="13"/>
  <c r="CR67" i="13"/>
  <c r="CQ67" i="13"/>
  <c r="CP67" i="13"/>
  <c r="CO67" i="13"/>
  <c r="CN67" i="13"/>
  <c r="CM67" i="13"/>
  <c r="CL67" i="13"/>
  <c r="CK67" i="13"/>
  <c r="CJ67" i="13"/>
  <c r="CI67" i="13"/>
  <c r="CH67" i="13"/>
  <c r="CG67" i="13"/>
  <c r="CF67" i="13"/>
  <c r="CE67" i="13"/>
  <c r="CD67" i="13"/>
  <c r="CC67" i="13"/>
  <c r="CB67" i="13"/>
  <c r="CA67" i="13"/>
  <c r="BZ67" i="13"/>
  <c r="BY67" i="13"/>
  <c r="BX67" i="13"/>
  <c r="BW67" i="13"/>
  <c r="BV67" i="13"/>
  <c r="BU67" i="13"/>
  <c r="BT67" i="13"/>
  <c r="BS67" i="13"/>
  <c r="BR67" i="13"/>
  <c r="BQ67" i="13"/>
  <c r="BP67" i="13"/>
  <c r="BO67" i="13"/>
  <c r="BM67" i="13"/>
  <c r="BL67" i="13"/>
  <c r="BI67" i="13"/>
  <c r="BH67" i="13"/>
  <c r="BG67" i="13"/>
  <c r="BF67" i="13"/>
  <c r="BE67" i="13"/>
  <c r="BD67" i="13"/>
  <c r="AY67" i="13"/>
  <c r="AX67" i="13"/>
  <c r="AU67" i="13"/>
  <c r="AT67" i="13"/>
  <c r="AS67" i="13"/>
  <c r="AQ67" i="13"/>
  <c r="AP67" i="13"/>
  <c r="AN67" i="13"/>
  <c r="AL67" i="13"/>
  <c r="AK67" i="13"/>
  <c r="AI67" i="13"/>
  <c r="AG67" i="13"/>
  <c r="AF67" i="13"/>
  <c r="AE67" i="13"/>
  <c r="AD67" i="13"/>
  <c r="AC67" i="13"/>
  <c r="AB67" i="13"/>
  <c r="AA67" i="13"/>
  <c r="Z67" i="13"/>
  <c r="Y67" i="13"/>
  <c r="X67" i="13"/>
  <c r="W67" i="13"/>
  <c r="P67" i="13"/>
  <c r="O67" i="13"/>
  <c r="M67" i="13"/>
  <c r="J67" i="13" s="1"/>
  <c r="L67" i="13"/>
  <c r="K67" i="13"/>
  <c r="DL66" i="13"/>
  <c r="DK66" i="13"/>
  <c r="DJ66" i="13"/>
  <c r="DI66" i="13"/>
  <c r="DH66" i="13"/>
  <c r="DG66" i="13"/>
  <c r="DF66" i="13"/>
  <c r="DE66" i="13"/>
  <c r="DD66" i="13"/>
  <c r="DC66" i="13"/>
  <c r="DB66" i="13"/>
  <c r="DA66" i="13"/>
  <c r="CZ66" i="13"/>
  <c r="CY66" i="13"/>
  <c r="CX66" i="13"/>
  <c r="CW66" i="13"/>
  <c r="CV66" i="13"/>
  <c r="CU66" i="13"/>
  <c r="CT66" i="13"/>
  <c r="CS66" i="13"/>
  <c r="CR66" i="13"/>
  <c r="CQ66" i="13"/>
  <c r="CP66" i="13"/>
  <c r="CO66" i="13"/>
  <c r="CN66" i="13"/>
  <c r="CM66" i="13"/>
  <c r="CL66" i="13"/>
  <c r="CK66" i="13"/>
  <c r="CJ66" i="13"/>
  <c r="CI66" i="13"/>
  <c r="CH66" i="13"/>
  <c r="CG66" i="13"/>
  <c r="CF66" i="13"/>
  <c r="CE66" i="13"/>
  <c r="CD66" i="13"/>
  <c r="CC66" i="13"/>
  <c r="CB66" i="13"/>
  <c r="CA66" i="13"/>
  <c r="BZ66" i="13"/>
  <c r="BY66" i="13"/>
  <c r="BX66" i="13"/>
  <c r="BW66" i="13"/>
  <c r="BV66" i="13"/>
  <c r="BU66" i="13"/>
  <c r="BT66" i="13"/>
  <c r="BS66" i="13"/>
  <c r="BR66" i="13"/>
  <c r="BQ66" i="13"/>
  <c r="BP66" i="13"/>
  <c r="BO66" i="13"/>
  <c r="BM66" i="13"/>
  <c r="BL66" i="13"/>
  <c r="BI66" i="13"/>
  <c r="BH66" i="13"/>
  <c r="BA66" i="13"/>
  <c r="AZ66" i="13"/>
  <c r="AY66" i="13"/>
  <c r="AX66" i="13"/>
  <c r="AU66" i="13"/>
  <c r="AT66" i="13"/>
  <c r="AS66" i="13"/>
  <c r="AO66" i="13"/>
  <c r="AN66" i="13"/>
  <c r="AL66" i="13"/>
  <c r="AK66" i="13"/>
  <c r="AI66" i="13"/>
  <c r="AG66" i="13"/>
  <c r="AF66" i="13"/>
  <c r="AE66" i="13"/>
  <c r="AD66" i="13"/>
  <c r="AC66" i="13"/>
  <c r="AB66" i="13"/>
  <c r="AA66" i="13"/>
  <c r="Z66" i="13"/>
  <c r="Y66" i="13"/>
  <c r="X66" i="13"/>
  <c r="W66" i="13"/>
  <c r="P66" i="13"/>
  <c r="O66" i="13"/>
  <c r="M66" i="13"/>
  <c r="J66" i="13" s="1"/>
  <c r="L66" i="13"/>
  <c r="K66" i="13"/>
  <c r="DL65" i="13"/>
  <c r="DK65" i="13"/>
  <c r="DJ65" i="13"/>
  <c r="DI65" i="13"/>
  <c r="DH65" i="13"/>
  <c r="DG65" i="13"/>
  <c r="DF65" i="13"/>
  <c r="DE65" i="13"/>
  <c r="DD65" i="13"/>
  <c r="DC65" i="13"/>
  <c r="DB65" i="13"/>
  <c r="DA65" i="13"/>
  <c r="CZ65" i="13"/>
  <c r="CY65" i="13"/>
  <c r="CX65" i="13"/>
  <c r="CW65" i="13"/>
  <c r="CV65" i="13"/>
  <c r="CU65" i="13"/>
  <c r="CT65" i="13"/>
  <c r="CS65" i="13"/>
  <c r="CR65" i="13"/>
  <c r="CQ65" i="13"/>
  <c r="CP65" i="13"/>
  <c r="CO65" i="13"/>
  <c r="CN65" i="13"/>
  <c r="CM65" i="13"/>
  <c r="CL65" i="13"/>
  <c r="CK65" i="13"/>
  <c r="CJ65" i="13"/>
  <c r="CI65" i="13"/>
  <c r="CH65" i="13"/>
  <c r="CG65" i="13"/>
  <c r="CF65" i="13"/>
  <c r="CE65" i="13"/>
  <c r="CD65" i="13"/>
  <c r="CC65" i="13"/>
  <c r="CB65" i="13"/>
  <c r="CA65" i="13"/>
  <c r="BZ65" i="13"/>
  <c r="BY65" i="13"/>
  <c r="BX65" i="13"/>
  <c r="BW65" i="13"/>
  <c r="BV65" i="13"/>
  <c r="BU65" i="13"/>
  <c r="BT65" i="13"/>
  <c r="BS65" i="13"/>
  <c r="BR65" i="13"/>
  <c r="BQ65" i="13"/>
  <c r="BP65" i="13"/>
  <c r="BO65" i="13"/>
  <c r="BM65" i="13"/>
  <c r="BL65" i="13"/>
  <c r="BI65" i="13"/>
  <c r="BH65" i="13"/>
  <c r="BG65" i="13"/>
  <c r="BF65" i="13"/>
  <c r="BE65" i="13"/>
  <c r="BD65" i="13"/>
  <c r="BC65" i="13"/>
  <c r="BB65" i="13"/>
  <c r="BA65" i="13"/>
  <c r="AZ65" i="13"/>
  <c r="AY65" i="13"/>
  <c r="AX65" i="13"/>
  <c r="AW65" i="13"/>
  <c r="AV65" i="13"/>
  <c r="AU65" i="13"/>
  <c r="AT65" i="13"/>
  <c r="AS65" i="13"/>
  <c r="AR65" i="13"/>
  <c r="AQ65" i="13"/>
  <c r="AP65" i="13"/>
  <c r="AO65" i="13"/>
  <c r="AN65" i="13"/>
  <c r="AM65" i="13"/>
  <c r="AL65" i="13"/>
  <c r="AK65" i="13"/>
  <c r="AI65" i="13"/>
  <c r="AG65" i="13"/>
  <c r="AF65" i="13"/>
  <c r="AE65" i="13"/>
  <c r="AD65" i="13"/>
  <c r="AC65" i="13"/>
  <c r="AB65" i="13"/>
  <c r="AA65" i="13"/>
  <c r="Z65" i="13"/>
  <c r="Y65" i="13"/>
  <c r="X65" i="13"/>
  <c r="W65" i="13"/>
  <c r="P65" i="13"/>
  <c r="O65" i="13"/>
  <c r="M65" i="13"/>
  <c r="J65" i="13" s="1"/>
  <c r="L65" i="13"/>
  <c r="K65" i="13"/>
  <c r="DL64" i="13"/>
  <c r="DK64" i="13"/>
  <c r="DJ64" i="13"/>
  <c r="DI64" i="13"/>
  <c r="DH64" i="13"/>
  <c r="DG64" i="13"/>
  <c r="DF64" i="13"/>
  <c r="DE64" i="13"/>
  <c r="DD64" i="13"/>
  <c r="DC64" i="13"/>
  <c r="DB64" i="13"/>
  <c r="DA64" i="13"/>
  <c r="CZ64" i="13"/>
  <c r="CY64" i="13"/>
  <c r="CX64" i="13"/>
  <c r="CW64" i="13"/>
  <c r="CV64" i="13"/>
  <c r="CU64" i="13"/>
  <c r="CT64" i="13"/>
  <c r="CS64" i="13"/>
  <c r="CR64" i="13"/>
  <c r="CQ64" i="13"/>
  <c r="CP64" i="13"/>
  <c r="CO64" i="13"/>
  <c r="CN64" i="13"/>
  <c r="CM64" i="13"/>
  <c r="CL64" i="13"/>
  <c r="CK64" i="13"/>
  <c r="CJ64" i="13"/>
  <c r="CI64" i="13"/>
  <c r="CH64" i="13"/>
  <c r="CG64" i="13"/>
  <c r="CF64" i="13"/>
  <c r="CE64" i="13"/>
  <c r="CD64" i="13"/>
  <c r="CC64" i="13"/>
  <c r="CB64" i="13"/>
  <c r="CA64" i="13"/>
  <c r="BZ64" i="13"/>
  <c r="BY64" i="13"/>
  <c r="BX64" i="13"/>
  <c r="BW64" i="13"/>
  <c r="BV64" i="13"/>
  <c r="BU64" i="13"/>
  <c r="BT64" i="13"/>
  <c r="BS64" i="13"/>
  <c r="BR64" i="13"/>
  <c r="BQ64" i="13"/>
  <c r="BP64" i="13"/>
  <c r="BO64" i="13"/>
  <c r="BM64" i="13"/>
  <c r="BL64" i="13"/>
  <c r="BI64" i="13"/>
  <c r="BH64" i="13"/>
  <c r="AU64" i="13"/>
  <c r="AS64" i="13"/>
  <c r="AN64" i="13"/>
  <c r="AL64" i="13"/>
  <c r="AK64" i="13"/>
  <c r="AI64" i="13"/>
  <c r="AG64" i="13"/>
  <c r="AF64" i="13"/>
  <c r="AE64" i="13"/>
  <c r="AD64" i="13"/>
  <c r="AC64" i="13"/>
  <c r="AB64" i="13"/>
  <c r="AA64" i="13"/>
  <c r="Z64" i="13"/>
  <c r="Y64" i="13"/>
  <c r="X64" i="13"/>
  <c r="W64" i="13"/>
  <c r="P64" i="13"/>
  <c r="O64" i="13"/>
  <c r="M64" i="13"/>
  <c r="J64" i="13" s="1"/>
  <c r="L64" i="13"/>
  <c r="K64" i="13"/>
  <c r="DL63" i="13"/>
  <c r="DK63" i="13"/>
  <c r="DJ63" i="13"/>
  <c r="DI63" i="13"/>
  <c r="DH63" i="13"/>
  <c r="DG63" i="13"/>
  <c r="DF63" i="13"/>
  <c r="DE63" i="13"/>
  <c r="DD63" i="13"/>
  <c r="DC63" i="13"/>
  <c r="DB63" i="13"/>
  <c r="DA63" i="13"/>
  <c r="CZ63" i="13"/>
  <c r="CY63" i="13"/>
  <c r="CX63" i="13"/>
  <c r="CW63" i="13"/>
  <c r="CV63" i="13"/>
  <c r="CU63" i="13"/>
  <c r="CT63" i="13"/>
  <c r="CS63" i="13"/>
  <c r="CR63" i="13"/>
  <c r="CQ63" i="13"/>
  <c r="CP63" i="13"/>
  <c r="CO63" i="13"/>
  <c r="CN63" i="13"/>
  <c r="CM63" i="13"/>
  <c r="CL63" i="13"/>
  <c r="CK63" i="13"/>
  <c r="CJ63" i="13"/>
  <c r="CI63" i="13"/>
  <c r="CH63" i="13"/>
  <c r="CG63" i="13"/>
  <c r="CF63" i="13"/>
  <c r="CE63" i="13"/>
  <c r="CD63" i="13"/>
  <c r="CC63" i="13"/>
  <c r="CB63" i="13"/>
  <c r="CA63" i="13"/>
  <c r="BZ63" i="13"/>
  <c r="BY63" i="13"/>
  <c r="BX63" i="13"/>
  <c r="BW63" i="13"/>
  <c r="BV63" i="13"/>
  <c r="BU63" i="13"/>
  <c r="BT63" i="13"/>
  <c r="BS63" i="13"/>
  <c r="BR63" i="13"/>
  <c r="BQ63" i="13"/>
  <c r="BP63" i="13"/>
  <c r="BO63" i="13"/>
  <c r="BM63" i="13"/>
  <c r="BL63" i="13"/>
  <c r="BI63" i="13"/>
  <c r="BH63" i="13"/>
  <c r="BG63" i="13"/>
  <c r="BF63" i="13"/>
  <c r="BE63" i="13"/>
  <c r="BD63" i="13"/>
  <c r="BC63" i="13"/>
  <c r="BB63" i="13"/>
  <c r="BA63" i="13"/>
  <c r="AZ63" i="13"/>
  <c r="AY63" i="13"/>
  <c r="AX63" i="13"/>
  <c r="AW63" i="13"/>
  <c r="AV63" i="13"/>
  <c r="AU63" i="13"/>
  <c r="AT63" i="13"/>
  <c r="AS63" i="13"/>
  <c r="AR63" i="13"/>
  <c r="AQ63" i="13"/>
  <c r="AP63" i="13"/>
  <c r="AO63" i="13"/>
  <c r="AN63" i="13"/>
  <c r="AM63" i="13"/>
  <c r="AL63" i="13"/>
  <c r="AK63" i="13"/>
  <c r="AI63" i="13"/>
  <c r="AG63" i="13"/>
  <c r="AF63" i="13"/>
  <c r="AE63" i="13"/>
  <c r="AD63" i="13"/>
  <c r="AC63" i="13"/>
  <c r="AB63" i="13"/>
  <c r="AA63" i="13"/>
  <c r="Z63" i="13"/>
  <c r="Y63" i="13"/>
  <c r="X63" i="13"/>
  <c r="W63" i="13"/>
  <c r="P63" i="13"/>
  <c r="O63" i="13"/>
  <c r="M63" i="13"/>
  <c r="L63" i="13"/>
  <c r="K63" i="13"/>
  <c r="DL62" i="13"/>
  <c r="DK62" i="13"/>
  <c r="DJ62" i="13"/>
  <c r="DI62" i="13"/>
  <c r="DH62" i="13"/>
  <c r="DG62" i="13"/>
  <c r="DF62" i="13"/>
  <c r="DE62" i="13"/>
  <c r="DD62" i="13"/>
  <c r="DC62" i="13"/>
  <c r="DB62" i="13"/>
  <c r="DA62" i="13"/>
  <c r="CZ62" i="13"/>
  <c r="CY62" i="13"/>
  <c r="CX62" i="13"/>
  <c r="CW62" i="13"/>
  <c r="CV62" i="13"/>
  <c r="CU62" i="13"/>
  <c r="CT62" i="13"/>
  <c r="CS62" i="13"/>
  <c r="CR62" i="13"/>
  <c r="CQ62" i="13"/>
  <c r="CP62" i="13"/>
  <c r="CO62" i="13"/>
  <c r="CN62" i="13"/>
  <c r="CM62" i="13"/>
  <c r="CL62" i="13"/>
  <c r="CK62" i="13"/>
  <c r="CJ62" i="13"/>
  <c r="CI62" i="13"/>
  <c r="CH62" i="13"/>
  <c r="CG62" i="13"/>
  <c r="CF62" i="13"/>
  <c r="CE62" i="13"/>
  <c r="CD62" i="13"/>
  <c r="CC62" i="13"/>
  <c r="CB62" i="13"/>
  <c r="CA62" i="13"/>
  <c r="BZ62" i="13"/>
  <c r="BY62" i="13"/>
  <c r="BX62" i="13"/>
  <c r="BW62" i="13"/>
  <c r="BV62" i="13"/>
  <c r="BU62" i="13"/>
  <c r="BT62" i="13"/>
  <c r="BS62" i="13"/>
  <c r="BR62" i="13"/>
  <c r="BQ62" i="13"/>
  <c r="BP62" i="13"/>
  <c r="BO62" i="13"/>
  <c r="BM62" i="13"/>
  <c r="BL62" i="13"/>
  <c r="BI62" i="13"/>
  <c r="BH62" i="13"/>
  <c r="BG62" i="13"/>
  <c r="BF62" i="13"/>
  <c r="BE62" i="13"/>
  <c r="BD62" i="13"/>
  <c r="BC62" i="13"/>
  <c r="BB62" i="13"/>
  <c r="BA62" i="13"/>
  <c r="AZ62" i="13"/>
  <c r="AY62" i="13"/>
  <c r="AX62" i="13"/>
  <c r="AW62" i="13"/>
  <c r="AV62" i="13"/>
  <c r="AU62" i="13"/>
  <c r="AT62" i="13"/>
  <c r="AS62" i="13"/>
  <c r="AR62" i="13"/>
  <c r="AQ62" i="13"/>
  <c r="AP62" i="13"/>
  <c r="AO62" i="13"/>
  <c r="AN62" i="13"/>
  <c r="AM62" i="13"/>
  <c r="AL62" i="13"/>
  <c r="AK62" i="13"/>
  <c r="AI62" i="13"/>
  <c r="AG62" i="13"/>
  <c r="AF62" i="13"/>
  <c r="AE62" i="13"/>
  <c r="AD62" i="13"/>
  <c r="AC62" i="13"/>
  <c r="AB62" i="13"/>
  <c r="AA62" i="13"/>
  <c r="Z62" i="13"/>
  <c r="Y62" i="13"/>
  <c r="X62" i="13"/>
  <c r="W62" i="13"/>
  <c r="P62" i="13"/>
  <c r="O62" i="13"/>
  <c r="M62" i="13"/>
  <c r="J62" i="13" s="1"/>
  <c r="L62" i="13"/>
  <c r="K62" i="13"/>
  <c r="DL61" i="13"/>
  <c r="DK61" i="13"/>
  <c r="DJ61" i="13"/>
  <c r="DI61" i="13"/>
  <c r="DH61" i="13"/>
  <c r="DG61" i="13"/>
  <c r="DF61" i="13"/>
  <c r="DE61" i="13"/>
  <c r="DD61" i="13"/>
  <c r="DC61" i="13"/>
  <c r="DB61" i="13"/>
  <c r="DA61" i="13"/>
  <c r="CZ61" i="13"/>
  <c r="CY61" i="13"/>
  <c r="CX61" i="13"/>
  <c r="CW61" i="13"/>
  <c r="CV61" i="13"/>
  <c r="CU61" i="13"/>
  <c r="CT61" i="13"/>
  <c r="CS61" i="13"/>
  <c r="CR61" i="13"/>
  <c r="CQ61" i="13"/>
  <c r="CP61" i="13"/>
  <c r="CO61" i="13"/>
  <c r="CN61" i="13"/>
  <c r="CM61" i="13"/>
  <c r="CL61" i="13"/>
  <c r="CK61" i="13"/>
  <c r="CJ61" i="13"/>
  <c r="CI61" i="13"/>
  <c r="CH61" i="13"/>
  <c r="CG61" i="13"/>
  <c r="CF61" i="13"/>
  <c r="CE61" i="13"/>
  <c r="CD61" i="13"/>
  <c r="CC61" i="13"/>
  <c r="CB61" i="13"/>
  <c r="CA61" i="13"/>
  <c r="BZ61" i="13"/>
  <c r="BY61" i="13"/>
  <c r="BX61" i="13"/>
  <c r="BW61" i="13"/>
  <c r="BV61" i="13"/>
  <c r="BU61" i="13"/>
  <c r="BT61" i="13"/>
  <c r="BS61" i="13"/>
  <c r="BR61" i="13"/>
  <c r="BQ61" i="13"/>
  <c r="BP61" i="13"/>
  <c r="BO61" i="13"/>
  <c r="BM61" i="13"/>
  <c r="BL61" i="13"/>
  <c r="BI61" i="13"/>
  <c r="BH61" i="13"/>
  <c r="BG61" i="13"/>
  <c r="BF61" i="13"/>
  <c r="BE61" i="13"/>
  <c r="BD61" i="13"/>
  <c r="BC61" i="13"/>
  <c r="BB61" i="13"/>
  <c r="BA61" i="13"/>
  <c r="AZ61" i="13"/>
  <c r="AY61" i="13"/>
  <c r="AX61" i="13"/>
  <c r="AU61" i="13"/>
  <c r="AT61" i="13"/>
  <c r="AS61" i="13"/>
  <c r="AR61" i="13"/>
  <c r="AO61" i="13"/>
  <c r="AN61" i="13"/>
  <c r="AM61" i="13"/>
  <c r="AL61" i="13"/>
  <c r="AK61" i="13"/>
  <c r="AI61" i="13"/>
  <c r="AG61" i="13"/>
  <c r="AF61" i="13"/>
  <c r="AE61" i="13"/>
  <c r="AD61" i="13"/>
  <c r="AC61" i="13"/>
  <c r="AB61" i="13"/>
  <c r="AA61" i="13"/>
  <c r="Z61" i="13"/>
  <c r="Y61" i="13"/>
  <c r="X61" i="13"/>
  <c r="W61" i="13"/>
  <c r="P61" i="13"/>
  <c r="O61" i="13"/>
  <c r="M61" i="13"/>
  <c r="L61" i="13"/>
  <c r="K61" i="13"/>
  <c r="DL60" i="13"/>
  <c r="DK60" i="13"/>
  <c r="DJ60" i="13"/>
  <c r="DI60" i="13"/>
  <c r="DH60" i="13"/>
  <c r="DG60" i="13"/>
  <c r="DF60" i="13"/>
  <c r="DE60" i="13"/>
  <c r="DD60" i="13"/>
  <c r="DC60" i="13"/>
  <c r="DB60" i="13"/>
  <c r="DA60" i="13"/>
  <c r="CZ60" i="13"/>
  <c r="CY60" i="13"/>
  <c r="CX60" i="13"/>
  <c r="CW60" i="13"/>
  <c r="CV60" i="13"/>
  <c r="CU60" i="13"/>
  <c r="CT60" i="13"/>
  <c r="CS60" i="13"/>
  <c r="CR60" i="13"/>
  <c r="CQ60" i="13"/>
  <c r="CP60" i="13"/>
  <c r="CO60" i="13"/>
  <c r="CN60" i="13"/>
  <c r="CM60" i="13"/>
  <c r="CL60" i="13"/>
  <c r="CK60" i="13"/>
  <c r="CJ60" i="13"/>
  <c r="CI60" i="13"/>
  <c r="CH60" i="13"/>
  <c r="CG60" i="13"/>
  <c r="CF60" i="13"/>
  <c r="CE60" i="13"/>
  <c r="CD60" i="13"/>
  <c r="CC60" i="13"/>
  <c r="CB60" i="13"/>
  <c r="CA60" i="13"/>
  <c r="BZ60" i="13"/>
  <c r="BY60" i="13"/>
  <c r="BX60" i="13"/>
  <c r="BW60" i="13"/>
  <c r="BV60" i="13"/>
  <c r="BU60" i="13"/>
  <c r="BT60" i="13"/>
  <c r="BS60" i="13"/>
  <c r="BR60" i="13"/>
  <c r="BQ60" i="13"/>
  <c r="BP60" i="13"/>
  <c r="BO60" i="13"/>
  <c r="BM60" i="13"/>
  <c r="BL60" i="13"/>
  <c r="BI60" i="13"/>
  <c r="BH60" i="13"/>
  <c r="BG60" i="13"/>
  <c r="BF60" i="13"/>
  <c r="BE60" i="13"/>
  <c r="BD60" i="13"/>
  <c r="BC60" i="13"/>
  <c r="BB60" i="13"/>
  <c r="BA60" i="13"/>
  <c r="AZ60" i="13"/>
  <c r="AY60" i="13"/>
  <c r="AX60" i="13"/>
  <c r="AW60" i="13"/>
  <c r="AV60" i="13"/>
  <c r="AU60" i="13"/>
  <c r="AT60" i="13"/>
  <c r="AS60" i="13"/>
  <c r="AR60" i="13"/>
  <c r="AQ60" i="13"/>
  <c r="AP60" i="13"/>
  <c r="AO60" i="13"/>
  <c r="AN60" i="13"/>
  <c r="AM60" i="13"/>
  <c r="AL60" i="13"/>
  <c r="AK60" i="13"/>
  <c r="AI60" i="13"/>
  <c r="AG60" i="13"/>
  <c r="AF60" i="13"/>
  <c r="AE60" i="13"/>
  <c r="AD60" i="13"/>
  <c r="AC60" i="13"/>
  <c r="AB60" i="13"/>
  <c r="AA60" i="13"/>
  <c r="Z60" i="13"/>
  <c r="Y60" i="13"/>
  <c r="X60" i="13"/>
  <c r="W60" i="13"/>
  <c r="P60" i="13"/>
  <c r="O60" i="13"/>
  <c r="M60" i="13"/>
  <c r="J60" i="13" s="1"/>
  <c r="L60" i="13"/>
  <c r="K60" i="13"/>
  <c r="DL59" i="13"/>
  <c r="DK59" i="13"/>
  <c r="DJ59" i="13"/>
  <c r="DI59" i="13"/>
  <c r="DH59" i="13"/>
  <c r="DG59" i="13"/>
  <c r="DF59" i="13"/>
  <c r="DE59" i="13"/>
  <c r="DD59" i="13"/>
  <c r="DC59" i="13"/>
  <c r="DB59" i="13"/>
  <c r="DA59" i="13"/>
  <c r="CZ59" i="13"/>
  <c r="CY59" i="13"/>
  <c r="CX59" i="13"/>
  <c r="CW59" i="13"/>
  <c r="CV59" i="13"/>
  <c r="CU59" i="13"/>
  <c r="CT59" i="13"/>
  <c r="CS59" i="13"/>
  <c r="CR59" i="13"/>
  <c r="CQ59" i="13"/>
  <c r="CP59" i="13"/>
  <c r="CO59" i="13"/>
  <c r="CN59" i="13"/>
  <c r="CM59" i="13"/>
  <c r="CL59" i="13"/>
  <c r="CK59" i="13"/>
  <c r="CJ59" i="13"/>
  <c r="CI59" i="13"/>
  <c r="CH59" i="13"/>
  <c r="CG59" i="13"/>
  <c r="CF59" i="13"/>
  <c r="CE59" i="13"/>
  <c r="CD59" i="13"/>
  <c r="CC59" i="13"/>
  <c r="CB59" i="13"/>
  <c r="CA59" i="13"/>
  <c r="BZ59" i="13"/>
  <c r="BY59" i="13"/>
  <c r="BX59" i="13"/>
  <c r="BW59" i="13"/>
  <c r="BV59" i="13"/>
  <c r="BU59" i="13"/>
  <c r="BT59" i="13"/>
  <c r="BS59" i="13"/>
  <c r="BR59" i="13"/>
  <c r="BQ59" i="13"/>
  <c r="BP59" i="13"/>
  <c r="BO59" i="13"/>
  <c r="BM59" i="13"/>
  <c r="BL59" i="13"/>
  <c r="BI59" i="13"/>
  <c r="BH59" i="13"/>
  <c r="BG59" i="13"/>
  <c r="BF59" i="13"/>
  <c r="BE59" i="13"/>
  <c r="BD59" i="13"/>
  <c r="BC59" i="13"/>
  <c r="BB59" i="13"/>
  <c r="BA59" i="13"/>
  <c r="AZ59" i="13"/>
  <c r="AY59" i="13"/>
  <c r="AX59" i="13"/>
  <c r="AW59" i="13"/>
  <c r="AV59" i="13"/>
  <c r="AU59" i="13"/>
  <c r="AT59" i="13"/>
  <c r="AS59" i="13"/>
  <c r="AR59" i="13"/>
  <c r="AQ59" i="13"/>
  <c r="AP59" i="13"/>
  <c r="AO59" i="13"/>
  <c r="AN59" i="13"/>
  <c r="AM59" i="13"/>
  <c r="AL59" i="13"/>
  <c r="AK59" i="13"/>
  <c r="AI59" i="13"/>
  <c r="AG59" i="13"/>
  <c r="AF59" i="13"/>
  <c r="AE59" i="13"/>
  <c r="AD59" i="13"/>
  <c r="AC59" i="13"/>
  <c r="W59" i="13"/>
  <c r="P59" i="13"/>
  <c r="O59" i="13"/>
  <c r="M59" i="13"/>
  <c r="J59" i="13" s="1"/>
  <c r="L59" i="13"/>
  <c r="K59" i="13"/>
  <c r="DL58" i="13"/>
  <c r="DK58" i="13"/>
  <c r="DJ58" i="13"/>
  <c r="DI58" i="13"/>
  <c r="DH58" i="13"/>
  <c r="DG58" i="13"/>
  <c r="DF58" i="13"/>
  <c r="DE58" i="13"/>
  <c r="DD58" i="13"/>
  <c r="DC58" i="13"/>
  <c r="DB58" i="13"/>
  <c r="DA58" i="13"/>
  <c r="CZ58" i="13"/>
  <c r="CY58" i="13"/>
  <c r="CX58" i="13"/>
  <c r="CW58" i="13"/>
  <c r="CV58" i="13"/>
  <c r="CU58" i="13"/>
  <c r="CT58" i="13"/>
  <c r="CS58" i="13"/>
  <c r="CR58" i="13"/>
  <c r="CQ58" i="13"/>
  <c r="CP58" i="13"/>
  <c r="CO58" i="13"/>
  <c r="CN58" i="13"/>
  <c r="CM58" i="13"/>
  <c r="CL58" i="13"/>
  <c r="CK58" i="13"/>
  <c r="CJ58" i="13"/>
  <c r="CI58" i="13"/>
  <c r="CH58" i="13"/>
  <c r="CG58" i="13"/>
  <c r="CF58" i="13"/>
  <c r="CE58" i="13"/>
  <c r="CD58" i="13"/>
  <c r="CC58" i="13"/>
  <c r="CB58" i="13"/>
  <c r="CA58" i="13"/>
  <c r="BZ58" i="13"/>
  <c r="BY58" i="13"/>
  <c r="BX58" i="13"/>
  <c r="BW58" i="13"/>
  <c r="BV58" i="13"/>
  <c r="BU58" i="13"/>
  <c r="BT58" i="13"/>
  <c r="BS58" i="13"/>
  <c r="BR58" i="13"/>
  <c r="BQ58" i="13"/>
  <c r="BP58" i="13"/>
  <c r="BO58" i="13"/>
  <c r="BM58" i="13"/>
  <c r="BL58" i="13"/>
  <c r="BI58" i="13"/>
  <c r="BH58" i="13"/>
  <c r="BG58" i="13"/>
  <c r="BF58" i="13"/>
  <c r="BE58" i="13"/>
  <c r="BD58" i="13"/>
  <c r="BC58" i="13"/>
  <c r="BB58" i="13"/>
  <c r="BA58" i="13"/>
  <c r="AZ58" i="13"/>
  <c r="AY58" i="13"/>
  <c r="AX58" i="13"/>
  <c r="AW58" i="13"/>
  <c r="AV58" i="13"/>
  <c r="AU58" i="13"/>
  <c r="AT58" i="13"/>
  <c r="AS58" i="13"/>
  <c r="AR58" i="13"/>
  <c r="AQ58" i="13"/>
  <c r="AP58" i="13"/>
  <c r="AO58" i="13"/>
  <c r="AN58" i="13"/>
  <c r="AM58" i="13"/>
  <c r="AL58" i="13"/>
  <c r="AK58" i="13"/>
  <c r="AI58" i="13"/>
  <c r="AG58" i="13"/>
  <c r="AF58" i="13"/>
  <c r="AE58" i="13"/>
  <c r="AD58" i="13"/>
  <c r="AC58" i="13"/>
  <c r="AB58" i="13"/>
  <c r="AA58" i="13"/>
  <c r="Z58" i="13"/>
  <c r="Y58" i="13"/>
  <c r="X58" i="13"/>
  <c r="W58" i="13"/>
  <c r="P58" i="13"/>
  <c r="O58" i="13"/>
  <c r="M58" i="13"/>
  <c r="J58" i="13" s="1"/>
  <c r="L58" i="13"/>
  <c r="K58" i="13"/>
  <c r="DL57" i="13"/>
  <c r="DK57" i="13"/>
  <c r="DJ57" i="13"/>
  <c r="DI57" i="13"/>
  <c r="DH57" i="13"/>
  <c r="DG57" i="13"/>
  <c r="DF57" i="13"/>
  <c r="DE57" i="13"/>
  <c r="DD57" i="13"/>
  <c r="DC57" i="13"/>
  <c r="DB57" i="13"/>
  <c r="DA57" i="13"/>
  <c r="CZ57" i="13"/>
  <c r="CY57" i="13"/>
  <c r="CX57" i="13"/>
  <c r="CW57" i="13"/>
  <c r="CV57" i="13"/>
  <c r="CU57" i="13"/>
  <c r="CT57" i="13"/>
  <c r="CS57" i="13"/>
  <c r="CR57" i="13"/>
  <c r="CQ57" i="13"/>
  <c r="CP57" i="13"/>
  <c r="CO57" i="13"/>
  <c r="CN57" i="13"/>
  <c r="CM57" i="13"/>
  <c r="CL57" i="13"/>
  <c r="CK57" i="13"/>
  <c r="CJ57" i="13"/>
  <c r="CI57" i="13"/>
  <c r="CH57" i="13"/>
  <c r="CG57" i="13"/>
  <c r="CF57" i="13"/>
  <c r="CE57" i="13"/>
  <c r="CD57" i="13"/>
  <c r="CC57" i="13"/>
  <c r="CB57" i="13"/>
  <c r="CA57" i="13"/>
  <c r="BZ57" i="13"/>
  <c r="BY57" i="13"/>
  <c r="BX57" i="13"/>
  <c r="BW57" i="13"/>
  <c r="BV57" i="13"/>
  <c r="BU57" i="13"/>
  <c r="BT57" i="13"/>
  <c r="BS57" i="13"/>
  <c r="BR57" i="13"/>
  <c r="BQ57" i="13"/>
  <c r="BP57" i="13"/>
  <c r="BO57" i="13"/>
  <c r="BM57" i="13"/>
  <c r="BL57" i="13"/>
  <c r="BI57" i="13"/>
  <c r="BH57" i="13"/>
  <c r="BG57" i="13"/>
  <c r="BF57" i="13"/>
  <c r="BE57" i="13"/>
  <c r="BD57" i="13"/>
  <c r="BC57" i="13"/>
  <c r="BB57" i="13"/>
  <c r="BA57" i="13"/>
  <c r="AZ57" i="13"/>
  <c r="AY57" i="13"/>
  <c r="AX57" i="13"/>
  <c r="AW57" i="13"/>
  <c r="AV57" i="13"/>
  <c r="AU57" i="13"/>
  <c r="AT57" i="13"/>
  <c r="AS57" i="13"/>
  <c r="AR57" i="13"/>
  <c r="AQ57" i="13"/>
  <c r="AP57" i="13"/>
  <c r="AO57" i="13"/>
  <c r="AN57" i="13"/>
  <c r="AM57" i="13"/>
  <c r="AL57" i="13"/>
  <c r="AK57" i="13"/>
  <c r="AI57" i="13"/>
  <c r="AG57" i="13"/>
  <c r="AF57" i="13"/>
  <c r="AE57" i="13"/>
  <c r="AD57" i="13"/>
  <c r="AC57" i="13"/>
  <c r="AB57" i="13"/>
  <c r="AA57" i="13"/>
  <c r="Z57" i="13"/>
  <c r="Y57" i="13"/>
  <c r="X57" i="13"/>
  <c r="W57" i="13"/>
  <c r="P57" i="13"/>
  <c r="O57" i="13"/>
  <c r="M57" i="13"/>
  <c r="J57" i="13" s="1"/>
  <c r="L57" i="13"/>
  <c r="K57" i="13"/>
  <c r="DL56" i="13"/>
  <c r="DK56" i="13"/>
  <c r="DJ56" i="13"/>
  <c r="DI56" i="13"/>
  <c r="DH56" i="13"/>
  <c r="DG56" i="13"/>
  <c r="DF56" i="13"/>
  <c r="DE56" i="13"/>
  <c r="DD56" i="13"/>
  <c r="DC56" i="13"/>
  <c r="DB56" i="13"/>
  <c r="DA56" i="13"/>
  <c r="CZ56" i="13"/>
  <c r="CY56" i="13"/>
  <c r="CX56" i="13"/>
  <c r="CW56" i="13"/>
  <c r="CV56" i="13"/>
  <c r="CU56" i="13"/>
  <c r="CT56" i="13"/>
  <c r="CS56" i="13"/>
  <c r="CR56" i="13"/>
  <c r="CQ56" i="13"/>
  <c r="CP56" i="13"/>
  <c r="CO56" i="13"/>
  <c r="CN56" i="13"/>
  <c r="CM56" i="13"/>
  <c r="CL56" i="13"/>
  <c r="CK56" i="13"/>
  <c r="CJ56" i="13"/>
  <c r="CI56" i="13"/>
  <c r="CH56" i="13"/>
  <c r="CG56" i="13"/>
  <c r="CF56" i="13"/>
  <c r="CE56" i="13"/>
  <c r="CD56" i="13"/>
  <c r="CC56" i="13"/>
  <c r="CB56" i="13"/>
  <c r="CA56" i="13"/>
  <c r="BZ56" i="13"/>
  <c r="BY56" i="13"/>
  <c r="BX56" i="13"/>
  <c r="BW56" i="13"/>
  <c r="BV56" i="13"/>
  <c r="BU56" i="13"/>
  <c r="BT56" i="13"/>
  <c r="BS56" i="13"/>
  <c r="BR56" i="13"/>
  <c r="BQ56" i="13"/>
  <c r="BP56" i="13"/>
  <c r="BO56" i="13"/>
  <c r="BM56" i="13"/>
  <c r="BL56" i="13"/>
  <c r="BI56" i="13"/>
  <c r="BH56" i="13"/>
  <c r="BG56" i="13"/>
  <c r="BF56" i="13"/>
  <c r="BE56" i="13"/>
  <c r="BD56" i="13"/>
  <c r="BC56" i="13"/>
  <c r="BB56" i="13"/>
  <c r="BA56" i="13"/>
  <c r="AZ56" i="13"/>
  <c r="AY56" i="13"/>
  <c r="AX56" i="13"/>
  <c r="AW56" i="13"/>
  <c r="AV56" i="13"/>
  <c r="AU56" i="13"/>
  <c r="AT56" i="13"/>
  <c r="AS56" i="13"/>
  <c r="AR56" i="13"/>
  <c r="AQ56" i="13"/>
  <c r="AP56" i="13"/>
  <c r="AO56" i="13"/>
  <c r="AN56" i="13"/>
  <c r="AM56" i="13"/>
  <c r="AL56" i="13"/>
  <c r="AK56" i="13"/>
  <c r="AI56" i="13"/>
  <c r="AG56" i="13"/>
  <c r="AF56" i="13"/>
  <c r="AE56" i="13"/>
  <c r="AD56" i="13"/>
  <c r="AC56" i="13"/>
  <c r="AB56" i="13"/>
  <c r="AA56" i="13"/>
  <c r="Z56" i="13"/>
  <c r="Y56" i="13"/>
  <c r="X56" i="13"/>
  <c r="W56" i="13"/>
  <c r="P56" i="13"/>
  <c r="O56" i="13"/>
  <c r="M56" i="13"/>
  <c r="J56" i="13" s="1"/>
  <c r="L56" i="13"/>
  <c r="K56" i="13"/>
  <c r="DL55" i="13"/>
  <c r="DK55" i="13"/>
  <c r="DJ55" i="13"/>
  <c r="DI55" i="13"/>
  <c r="DH55" i="13"/>
  <c r="DG55" i="13"/>
  <c r="DF55" i="13"/>
  <c r="DE55" i="13"/>
  <c r="DD55" i="13"/>
  <c r="DC55" i="13"/>
  <c r="DB55" i="13"/>
  <c r="DA55" i="13"/>
  <c r="CZ55" i="13"/>
  <c r="CY55" i="13"/>
  <c r="CX55" i="13"/>
  <c r="CW55" i="13"/>
  <c r="CV55" i="13"/>
  <c r="CU55" i="13"/>
  <c r="CT55" i="13"/>
  <c r="CS55" i="13"/>
  <c r="CR55" i="13"/>
  <c r="CQ55" i="13"/>
  <c r="CP55" i="13"/>
  <c r="CO55" i="13"/>
  <c r="CN55" i="13"/>
  <c r="CM55" i="13"/>
  <c r="CL55" i="13"/>
  <c r="CK55" i="13"/>
  <c r="CJ55" i="13"/>
  <c r="CI55" i="13"/>
  <c r="CH55" i="13"/>
  <c r="CG55" i="13"/>
  <c r="CF55" i="13"/>
  <c r="CE55" i="13"/>
  <c r="CD55" i="13"/>
  <c r="CC55" i="13"/>
  <c r="CB55" i="13"/>
  <c r="CA55" i="13"/>
  <c r="BZ55" i="13"/>
  <c r="BY55" i="13"/>
  <c r="BX55" i="13"/>
  <c r="BW55" i="13"/>
  <c r="BV55" i="13"/>
  <c r="BU55" i="13"/>
  <c r="BT55" i="13"/>
  <c r="BS55" i="13"/>
  <c r="BR55" i="13"/>
  <c r="BQ55" i="13"/>
  <c r="BP55" i="13"/>
  <c r="BO55" i="13"/>
  <c r="BM55" i="13"/>
  <c r="BL55" i="13"/>
  <c r="BI55" i="13"/>
  <c r="BH55" i="13"/>
  <c r="BG55" i="13"/>
  <c r="BF55" i="13"/>
  <c r="BE55" i="13"/>
  <c r="BD55" i="13"/>
  <c r="BC55" i="13"/>
  <c r="BB55" i="13"/>
  <c r="BA55" i="13"/>
  <c r="AZ55" i="13"/>
  <c r="AY55" i="13"/>
  <c r="AX55" i="13"/>
  <c r="AW55" i="13"/>
  <c r="AV55" i="13"/>
  <c r="AU55" i="13"/>
  <c r="AT55" i="13"/>
  <c r="AS55" i="13"/>
  <c r="AR55" i="13"/>
  <c r="AQ55" i="13"/>
  <c r="AP55" i="13"/>
  <c r="AO55" i="13"/>
  <c r="AN55" i="13"/>
  <c r="AM55" i="13"/>
  <c r="AL55" i="13"/>
  <c r="AK55" i="13"/>
  <c r="AI55" i="13"/>
  <c r="AG55" i="13"/>
  <c r="AF55" i="13"/>
  <c r="AE55" i="13"/>
  <c r="AD55" i="13"/>
  <c r="AC55" i="13"/>
  <c r="AB55" i="13"/>
  <c r="AA55" i="13"/>
  <c r="Z55" i="13"/>
  <c r="Y55" i="13"/>
  <c r="X55" i="13"/>
  <c r="W55" i="13"/>
  <c r="U55" i="13"/>
  <c r="P55" i="13"/>
  <c r="O55" i="13"/>
  <c r="M55" i="13"/>
  <c r="J55" i="13" s="1"/>
  <c r="L55" i="13"/>
  <c r="K55" i="13"/>
  <c r="DL54" i="13"/>
  <c r="DK54" i="13"/>
  <c r="DJ54" i="13"/>
  <c r="DI54" i="13"/>
  <c r="DH54" i="13"/>
  <c r="DG54" i="13"/>
  <c r="DF54" i="13"/>
  <c r="DE54" i="13"/>
  <c r="DD54" i="13"/>
  <c r="DC54" i="13"/>
  <c r="DB54" i="13"/>
  <c r="DA54" i="13"/>
  <c r="CZ54" i="13"/>
  <c r="CY54" i="13"/>
  <c r="CX54" i="13"/>
  <c r="CW54" i="13"/>
  <c r="CV54" i="13"/>
  <c r="CU54" i="13"/>
  <c r="CT54" i="13"/>
  <c r="CS54" i="13"/>
  <c r="CR54" i="13"/>
  <c r="CQ54" i="13"/>
  <c r="CP54" i="13"/>
  <c r="CO54" i="13"/>
  <c r="CN54" i="13"/>
  <c r="CM54" i="13"/>
  <c r="CL54" i="13"/>
  <c r="CK54" i="13"/>
  <c r="CJ54" i="13"/>
  <c r="CI54" i="13"/>
  <c r="CH54" i="13"/>
  <c r="CG54" i="13"/>
  <c r="CF54" i="13"/>
  <c r="CE54" i="13"/>
  <c r="CD54" i="13"/>
  <c r="CC54" i="13"/>
  <c r="CB54" i="13"/>
  <c r="CA54" i="13"/>
  <c r="BZ54" i="13"/>
  <c r="BY54" i="13"/>
  <c r="BX54" i="13"/>
  <c r="BW54" i="13"/>
  <c r="BV54" i="13"/>
  <c r="BU54" i="13"/>
  <c r="BT54" i="13"/>
  <c r="BS54" i="13"/>
  <c r="BR54" i="13"/>
  <c r="BQ54" i="13"/>
  <c r="BP54" i="13"/>
  <c r="BO54" i="13"/>
  <c r="BM54" i="13"/>
  <c r="BL54" i="13"/>
  <c r="BI54" i="13"/>
  <c r="BH54" i="13"/>
  <c r="BG54" i="13"/>
  <c r="BF54" i="13"/>
  <c r="BE54" i="13"/>
  <c r="BD54" i="13"/>
  <c r="BC54" i="13"/>
  <c r="BB54" i="13"/>
  <c r="BA54" i="13"/>
  <c r="AZ54" i="13"/>
  <c r="AY54" i="13"/>
  <c r="AX54" i="13"/>
  <c r="AW54" i="13"/>
  <c r="AV54" i="13"/>
  <c r="AU54" i="13"/>
  <c r="AT54" i="13"/>
  <c r="AS54" i="13"/>
  <c r="AR54" i="13"/>
  <c r="AQ54" i="13"/>
  <c r="AP54" i="13"/>
  <c r="AO54" i="13"/>
  <c r="AN54" i="13"/>
  <c r="AM54" i="13"/>
  <c r="AL54" i="13"/>
  <c r="AK54" i="13"/>
  <c r="AI54" i="13"/>
  <c r="AG54" i="13"/>
  <c r="AF54" i="13"/>
  <c r="AE54" i="13"/>
  <c r="AD54" i="13"/>
  <c r="AC54" i="13"/>
  <c r="AB54" i="13"/>
  <c r="AA54" i="13"/>
  <c r="Z54" i="13"/>
  <c r="Y54" i="13"/>
  <c r="X54" i="13"/>
  <c r="W54" i="13"/>
  <c r="U54" i="13"/>
  <c r="P54" i="13"/>
  <c r="O54" i="13"/>
  <c r="M54" i="13"/>
  <c r="J54" i="13" s="1"/>
  <c r="L54" i="13"/>
  <c r="K54" i="13"/>
  <c r="DL53" i="13"/>
  <c r="DK53" i="13"/>
  <c r="DJ53" i="13"/>
  <c r="DI53" i="13"/>
  <c r="DH53" i="13"/>
  <c r="DG53" i="13"/>
  <c r="DF53" i="13"/>
  <c r="DE53" i="13"/>
  <c r="DD53" i="13"/>
  <c r="DC53" i="13"/>
  <c r="DB53" i="13"/>
  <c r="DA53" i="13"/>
  <c r="CZ53" i="13"/>
  <c r="CY53" i="13"/>
  <c r="CX53" i="13"/>
  <c r="CW53" i="13"/>
  <c r="CV53" i="13"/>
  <c r="CU53" i="13"/>
  <c r="CT53" i="13"/>
  <c r="CS53" i="13"/>
  <c r="CR53" i="13"/>
  <c r="CQ53" i="13"/>
  <c r="CP53" i="13"/>
  <c r="CO53" i="13"/>
  <c r="CN53" i="13"/>
  <c r="CM53" i="13"/>
  <c r="CL53" i="13"/>
  <c r="CK53" i="13"/>
  <c r="CJ53" i="13"/>
  <c r="CI53" i="13"/>
  <c r="CH53" i="13"/>
  <c r="CG53" i="13"/>
  <c r="CF53" i="13"/>
  <c r="CE53" i="13"/>
  <c r="CD53" i="13"/>
  <c r="CC53" i="13"/>
  <c r="CB53" i="13"/>
  <c r="CA53" i="13"/>
  <c r="BZ53" i="13"/>
  <c r="BY53" i="13"/>
  <c r="BX53" i="13"/>
  <c r="BW53" i="13"/>
  <c r="BV53" i="13"/>
  <c r="BU53" i="13"/>
  <c r="BT53" i="13"/>
  <c r="BS53" i="13"/>
  <c r="BR53" i="13"/>
  <c r="BQ53" i="13"/>
  <c r="BP53" i="13"/>
  <c r="BO53" i="13"/>
  <c r="BM53" i="13"/>
  <c r="BL53" i="13"/>
  <c r="BI53" i="13"/>
  <c r="BH53" i="13"/>
  <c r="BG53" i="13"/>
  <c r="BF53" i="13"/>
  <c r="BE53" i="13"/>
  <c r="BD53" i="13"/>
  <c r="BC53" i="13"/>
  <c r="BB53" i="13"/>
  <c r="BA53" i="13"/>
  <c r="AZ53" i="13"/>
  <c r="AY53" i="13"/>
  <c r="AX53" i="13"/>
  <c r="AW53" i="13"/>
  <c r="AV53" i="13"/>
  <c r="AU53" i="13"/>
  <c r="AT53" i="13"/>
  <c r="AS53" i="13"/>
  <c r="AR53" i="13"/>
  <c r="AQ53" i="13"/>
  <c r="AP53" i="13"/>
  <c r="AO53" i="13"/>
  <c r="AN53" i="13"/>
  <c r="AM53" i="13"/>
  <c r="AI53" i="13"/>
  <c r="AG53" i="13"/>
  <c r="AF53" i="13"/>
  <c r="AE53" i="13"/>
  <c r="AD53" i="13"/>
  <c r="AC53" i="13"/>
  <c r="AB53" i="13"/>
  <c r="AA53" i="13"/>
  <c r="Z53" i="13"/>
  <c r="Y53" i="13"/>
  <c r="X53" i="13"/>
  <c r="W53" i="13"/>
  <c r="U53" i="13"/>
  <c r="P53" i="13"/>
  <c r="O53" i="13"/>
  <c r="M53" i="13"/>
  <c r="J53" i="13" s="1"/>
  <c r="L53" i="13"/>
  <c r="K53" i="13"/>
  <c r="DL52" i="13"/>
  <c r="DK52" i="13"/>
  <c r="DJ52" i="13"/>
  <c r="DI52" i="13"/>
  <c r="DH52" i="13"/>
  <c r="DG52" i="13"/>
  <c r="DF52" i="13"/>
  <c r="DE52" i="13"/>
  <c r="DD52" i="13"/>
  <c r="DC52" i="13"/>
  <c r="DB52" i="13"/>
  <c r="DA52" i="13"/>
  <c r="CZ52" i="13"/>
  <c r="CY52" i="13"/>
  <c r="CX52" i="13"/>
  <c r="CW52" i="13"/>
  <c r="CV52" i="13"/>
  <c r="CU52" i="13"/>
  <c r="CT52" i="13"/>
  <c r="CS52" i="13"/>
  <c r="CR52" i="13"/>
  <c r="CQ52" i="13"/>
  <c r="CP52" i="13"/>
  <c r="CO52" i="13"/>
  <c r="CN52" i="13"/>
  <c r="CM52" i="13"/>
  <c r="CL52" i="13"/>
  <c r="CK52" i="13"/>
  <c r="CJ52" i="13"/>
  <c r="CI52" i="13"/>
  <c r="CH52" i="13"/>
  <c r="CG52" i="13"/>
  <c r="CF52" i="13"/>
  <c r="CE52" i="13"/>
  <c r="CD52" i="13"/>
  <c r="CC52" i="13"/>
  <c r="CB52" i="13"/>
  <c r="CA52" i="13"/>
  <c r="BZ52" i="13"/>
  <c r="BY52" i="13"/>
  <c r="BX52" i="13"/>
  <c r="BW52" i="13"/>
  <c r="BV52" i="13"/>
  <c r="BU52" i="13"/>
  <c r="BT52" i="13"/>
  <c r="BS52" i="13"/>
  <c r="BR52" i="13"/>
  <c r="BQ52" i="13"/>
  <c r="BP52" i="13"/>
  <c r="BO52" i="13"/>
  <c r="BM52" i="13"/>
  <c r="BL52" i="13"/>
  <c r="BE52" i="13"/>
  <c r="BD52" i="13"/>
  <c r="BC52" i="13"/>
  <c r="BB52" i="13"/>
  <c r="BA52" i="13"/>
  <c r="AZ52" i="13"/>
  <c r="AW52" i="13"/>
  <c r="AV52" i="13"/>
  <c r="AU52" i="13"/>
  <c r="AT52" i="13"/>
  <c r="AS52" i="13"/>
  <c r="AR52" i="13"/>
  <c r="AP52" i="13"/>
  <c r="AO52" i="13"/>
  <c r="AN52" i="13"/>
  <c r="AM52" i="13"/>
  <c r="AL52" i="13"/>
  <c r="AK52" i="13"/>
  <c r="AI52" i="13"/>
  <c r="AG52" i="13"/>
  <c r="AF52" i="13"/>
  <c r="AE52" i="13"/>
  <c r="AD52" i="13"/>
  <c r="AC52" i="13"/>
  <c r="AB52" i="13"/>
  <c r="AA52" i="13"/>
  <c r="Z52" i="13"/>
  <c r="Y52" i="13"/>
  <c r="X52" i="13"/>
  <c r="W52" i="13"/>
  <c r="U52" i="13"/>
  <c r="P52" i="13"/>
  <c r="O52" i="13"/>
  <c r="M52" i="13"/>
  <c r="J52" i="13" s="1"/>
  <c r="L52" i="13"/>
  <c r="K52" i="13"/>
  <c r="DL51" i="13"/>
  <c r="DK51" i="13"/>
  <c r="DJ51" i="13"/>
  <c r="DI51" i="13"/>
  <c r="DH51" i="13"/>
  <c r="DG51" i="13"/>
  <c r="DF51" i="13"/>
  <c r="DE51" i="13"/>
  <c r="DD51" i="13"/>
  <c r="DC51" i="13"/>
  <c r="DB51" i="13"/>
  <c r="DA51" i="13"/>
  <c r="CZ51" i="13"/>
  <c r="CY51" i="13"/>
  <c r="CX51" i="13"/>
  <c r="CW51" i="13"/>
  <c r="CV51" i="13"/>
  <c r="CU51" i="13"/>
  <c r="CT51" i="13"/>
  <c r="CS51" i="13"/>
  <c r="CR51" i="13"/>
  <c r="CQ51" i="13"/>
  <c r="CP51" i="13"/>
  <c r="CO51" i="13"/>
  <c r="CN51" i="13"/>
  <c r="CM51" i="13"/>
  <c r="CL51" i="13"/>
  <c r="CK51" i="13"/>
  <c r="CJ51" i="13"/>
  <c r="CI51" i="13"/>
  <c r="CH51" i="13"/>
  <c r="CG51" i="13"/>
  <c r="CF51" i="13"/>
  <c r="CE51" i="13"/>
  <c r="CD51" i="13"/>
  <c r="CC51" i="13"/>
  <c r="CB51" i="13"/>
  <c r="CA51" i="13"/>
  <c r="BZ51" i="13"/>
  <c r="BY51" i="13"/>
  <c r="BX51" i="13"/>
  <c r="BW51" i="13"/>
  <c r="BV51" i="13"/>
  <c r="BU51" i="13"/>
  <c r="BT51" i="13"/>
  <c r="BS51" i="13"/>
  <c r="BR51" i="13"/>
  <c r="BQ51" i="13"/>
  <c r="BP51" i="13"/>
  <c r="BO51" i="13"/>
  <c r="BM51" i="13"/>
  <c r="BL51" i="13"/>
  <c r="BI51" i="13"/>
  <c r="BH51" i="13"/>
  <c r="BG51" i="13"/>
  <c r="BF51" i="13"/>
  <c r="BE51" i="13"/>
  <c r="BD51" i="13"/>
  <c r="BC51" i="13"/>
  <c r="BB51" i="13"/>
  <c r="BA51" i="13"/>
  <c r="AZ51" i="13"/>
  <c r="AY51" i="13"/>
  <c r="AX51" i="13"/>
  <c r="AW51" i="13"/>
  <c r="AV51" i="13"/>
  <c r="AU51" i="13"/>
  <c r="AT51" i="13"/>
  <c r="AS51" i="13"/>
  <c r="AR51" i="13"/>
  <c r="AQ51" i="13"/>
  <c r="AP51" i="13"/>
  <c r="AO51" i="13"/>
  <c r="AN51" i="13"/>
  <c r="AM51" i="13"/>
  <c r="AL51" i="13"/>
  <c r="AK51" i="13"/>
  <c r="AI51" i="13"/>
  <c r="AG51" i="13"/>
  <c r="AF51" i="13"/>
  <c r="AE51" i="13"/>
  <c r="AD51" i="13"/>
  <c r="AC51" i="13"/>
  <c r="AB51" i="13"/>
  <c r="AA51" i="13"/>
  <c r="Z51" i="13"/>
  <c r="Y51" i="13"/>
  <c r="X51" i="13"/>
  <c r="W51" i="13"/>
  <c r="U51" i="13"/>
  <c r="P51" i="13"/>
  <c r="O51" i="13"/>
  <c r="M51" i="13"/>
  <c r="J51" i="13" s="1"/>
  <c r="L51" i="13"/>
  <c r="K51" i="13"/>
  <c r="DL50" i="13"/>
  <c r="DK50" i="13"/>
  <c r="DJ50" i="13"/>
  <c r="DI50" i="13"/>
  <c r="DH50" i="13"/>
  <c r="DG50" i="13"/>
  <c r="DF50" i="13"/>
  <c r="DE50" i="13"/>
  <c r="DD50" i="13"/>
  <c r="DC50" i="13"/>
  <c r="DB50" i="13"/>
  <c r="DA50" i="13"/>
  <c r="CZ50" i="13"/>
  <c r="CY50" i="13"/>
  <c r="CX50" i="13"/>
  <c r="CW50" i="13"/>
  <c r="CV50" i="13"/>
  <c r="CU50" i="13"/>
  <c r="CT50" i="13"/>
  <c r="CS50" i="13"/>
  <c r="CR50" i="13"/>
  <c r="CQ50" i="13"/>
  <c r="CP50" i="13"/>
  <c r="CO50" i="13"/>
  <c r="CN50" i="13"/>
  <c r="CM50" i="13"/>
  <c r="CL50" i="13"/>
  <c r="CK50" i="13"/>
  <c r="CJ50" i="13"/>
  <c r="CI50" i="13"/>
  <c r="CH50" i="13"/>
  <c r="CG50" i="13"/>
  <c r="CF50" i="13"/>
  <c r="CE50" i="13"/>
  <c r="CD50" i="13"/>
  <c r="CC50" i="13"/>
  <c r="CB50" i="13"/>
  <c r="CA50" i="13"/>
  <c r="BZ50" i="13"/>
  <c r="BY50" i="13"/>
  <c r="BX50" i="13"/>
  <c r="BW50" i="13"/>
  <c r="BV50" i="13"/>
  <c r="BU50" i="13"/>
  <c r="BT50" i="13"/>
  <c r="BS50" i="13"/>
  <c r="BR50" i="13"/>
  <c r="BQ50" i="13"/>
  <c r="BP50" i="13"/>
  <c r="BO50" i="13"/>
  <c r="BM50" i="13"/>
  <c r="BL50" i="13"/>
  <c r="BI50" i="13"/>
  <c r="BH50" i="13"/>
  <c r="BG50" i="13"/>
  <c r="BF50" i="13"/>
  <c r="BE50" i="13"/>
  <c r="BD50" i="13"/>
  <c r="BC50" i="13"/>
  <c r="BB50" i="13"/>
  <c r="AY50" i="13"/>
  <c r="AX50" i="13"/>
  <c r="AW50" i="13"/>
  <c r="AV50" i="13"/>
  <c r="AU50" i="13"/>
  <c r="AR50" i="13"/>
  <c r="AP50" i="13"/>
  <c r="AO50" i="13"/>
  <c r="AN50" i="13"/>
  <c r="AM50" i="13"/>
  <c r="AL50" i="13"/>
  <c r="AK50" i="13"/>
  <c r="AI50" i="13"/>
  <c r="AG50" i="13"/>
  <c r="AF50" i="13"/>
  <c r="AE50" i="13"/>
  <c r="AD50" i="13"/>
  <c r="AC50" i="13"/>
  <c r="AB50" i="13"/>
  <c r="AA50" i="13"/>
  <c r="Z50" i="13"/>
  <c r="Y50" i="13"/>
  <c r="X50" i="13"/>
  <c r="W50" i="13"/>
  <c r="U50" i="13"/>
  <c r="P50" i="13"/>
  <c r="O50" i="13"/>
  <c r="M50" i="13"/>
  <c r="J50" i="13" s="1"/>
  <c r="L50" i="13"/>
  <c r="K50" i="13"/>
  <c r="DL49" i="13"/>
  <c r="DK49" i="13"/>
  <c r="DJ49" i="13"/>
  <c r="DI49" i="13"/>
  <c r="DH49" i="13"/>
  <c r="DG49" i="13"/>
  <c r="DF49" i="13"/>
  <c r="DE49" i="13"/>
  <c r="DD49" i="13"/>
  <c r="DC49" i="13"/>
  <c r="DB49" i="13"/>
  <c r="DA49" i="13"/>
  <c r="CZ49" i="13"/>
  <c r="CY49" i="13"/>
  <c r="CX49" i="13"/>
  <c r="CW49" i="13"/>
  <c r="CV49" i="13"/>
  <c r="CU49" i="13"/>
  <c r="CT49" i="13"/>
  <c r="CS49" i="13"/>
  <c r="CR49" i="13"/>
  <c r="CQ49" i="13"/>
  <c r="CP49" i="13"/>
  <c r="CO49" i="13"/>
  <c r="CN49" i="13"/>
  <c r="CM49" i="13"/>
  <c r="CL49" i="13"/>
  <c r="CK49" i="13"/>
  <c r="CJ49" i="13"/>
  <c r="CI49" i="13"/>
  <c r="CH49" i="13"/>
  <c r="CG49" i="13"/>
  <c r="CF49" i="13"/>
  <c r="CE49" i="13"/>
  <c r="CD49" i="13"/>
  <c r="CC49" i="13"/>
  <c r="CB49" i="13"/>
  <c r="CA49" i="13"/>
  <c r="BZ49" i="13"/>
  <c r="BY49" i="13"/>
  <c r="BX49" i="13"/>
  <c r="BW49" i="13"/>
  <c r="BV49" i="13"/>
  <c r="BU49" i="13"/>
  <c r="BT49" i="13"/>
  <c r="BS49" i="13"/>
  <c r="BR49" i="13"/>
  <c r="BQ49" i="13"/>
  <c r="BP49" i="13"/>
  <c r="BO49" i="13"/>
  <c r="BM49" i="13"/>
  <c r="BL49" i="13"/>
  <c r="BI49" i="13"/>
  <c r="BH49" i="13"/>
  <c r="BG49" i="13"/>
  <c r="BF49" i="13"/>
  <c r="BE49" i="13"/>
  <c r="BD49" i="13"/>
  <c r="BC49" i="13"/>
  <c r="BB49" i="13"/>
  <c r="BA49" i="13"/>
  <c r="AZ49" i="13"/>
  <c r="AY49" i="13"/>
  <c r="AX49" i="13"/>
  <c r="AW49" i="13"/>
  <c r="AV49" i="13"/>
  <c r="AU49" i="13"/>
  <c r="AT49" i="13"/>
  <c r="AS49" i="13"/>
  <c r="AR49" i="13"/>
  <c r="AQ49" i="13"/>
  <c r="AP49" i="13"/>
  <c r="AO49" i="13"/>
  <c r="AN49" i="13"/>
  <c r="AM49" i="13"/>
  <c r="AL49" i="13"/>
  <c r="AK49" i="13"/>
  <c r="AI49" i="13"/>
  <c r="AG49" i="13"/>
  <c r="AF49" i="13"/>
  <c r="AE49" i="13"/>
  <c r="AD49" i="13"/>
  <c r="AC49" i="13"/>
  <c r="AB49" i="13"/>
  <c r="AA49" i="13"/>
  <c r="Z49" i="13"/>
  <c r="Y49" i="13"/>
  <c r="X49" i="13"/>
  <c r="W49" i="13"/>
  <c r="U49" i="13"/>
  <c r="P49" i="13"/>
  <c r="O49" i="13"/>
  <c r="M49" i="13"/>
  <c r="J49" i="13" s="1"/>
  <c r="L49" i="13"/>
  <c r="K49" i="13"/>
  <c r="DL48" i="13"/>
  <c r="DK48" i="13"/>
  <c r="DJ48" i="13"/>
  <c r="DI48" i="13"/>
  <c r="DH48" i="13"/>
  <c r="DG48" i="13"/>
  <c r="DF48" i="13"/>
  <c r="DE48" i="13"/>
  <c r="DD48" i="13"/>
  <c r="DC48" i="13"/>
  <c r="DB48" i="13"/>
  <c r="DA48" i="13"/>
  <c r="CZ48" i="13"/>
  <c r="CY48" i="13"/>
  <c r="CX48" i="13"/>
  <c r="CW48" i="13"/>
  <c r="CV48" i="13"/>
  <c r="CU48" i="13"/>
  <c r="CT48" i="13"/>
  <c r="CS48" i="13"/>
  <c r="CR48" i="13"/>
  <c r="CQ48" i="13"/>
  <c r="CP48" i="13"/>
  <c r="CO48" i="13"/>
  <c r="CN48" i="13"/>
  <c r="CM48" i="13"/>
  <c r="CL48" i="13"/>
  <c r="CK48" i="13"/>
  <c r="CJ48" i="13"/>
  <c r="CI48" i="13"/>
  <c r="CH48" i="13"/>
  <c r="CG48" i="13"/>
  <c r="CF48" i="13"/>
  <c r="CE48" i="13"/>
  <c r="CD48" i="13"/>
  <c r="CC48" i="13"/>
  <c r="CB48" i="13"/>
  <c r="CA48" i="13"/>
  <c r="BZ48" i="13"/>
  <c r="BY48" i="13"/>
  <c r="BX48" i="13"/>
  <c r="BW48" i="13"/>
  <c r="BV48" i="13"/>
  <c r="BU48" i="13"/>
  <c r="BT48" i="13"/>
  <c r="BS48" i="13"/>
  <c r="BR48" i="13"/>
  <c r="BQ48" i="13"/>
  <c r="BP48" i="13"/>
  <c r="BO48" i="13"/>
  <c r="BM48" i="13"/>
  <c r="BL48" i="13"/>
  <c r="AY48" i="13"/>
  <c r="AX48" i="13"/>
  <c r="AW48" i="13"/>
  <c r="AU48" i="13"/>
  <c r="AQ48" i="13"/>
  <c r="AP48" i="13"/>
  <c r="AO48" i="13"/>
  <c r="AN48" i="13"/>
  <c r="AM48" i="13"/>
  <c r="AL48" i="13"/>
  <c r="AK48" i="13"/>
  <c r="AI48" i="13"/>
  <c r="AG48" i="13"/>
  <c r="AF48" i="13"/>
  <c r="AE48" i="13"/>
  <c r="AD48" i="13"/>
  <c r="AC48" i="13"/>
  <c r="AB48" i="13"/>
  <c r="AA48" i="13"/>
  <c r="Z48" i="13"/>
  <c r="Y48" i="13"/>
  <c r="X48" i="13"/>
  <c r="W48" i="13"/>
  <c r="U48" i="13"/>
  <c r="P48" i="13"/>
  <c r="O48" i="13"/>
  <c r="M48" i="13"/>
  <c r="J48" i="13" s="1"/>
  <c r="L48" i="13"/>
  <c r="K48" i="13"/>
  <c r="DL47" i="13"/>
  <c r="DK47" i="13"/>
  <c r="DJ47" i="13"/>
  <c r="DI47" i="13"/>
  <c r="DH47" i="13"/>
  <c r="DG47" i="13"/>
  <c r="DF47" i="13"/>
  <c r="DE47" i="13"/>
  <c r="DD47" i="13"/>
  <c r="DC47" i="13"/>
  <c r="DB47" i="13"/>
  <c r="DA47" i="13"/>
  <c r="CZ47" i="13"/>
  <c r="CY47" i="13"/>
  <c r="CX47" i="13"/>
  <c r="CW47" i="13"/>
  <c r="CV47" i="13"/>
  <c r="CU47" i="13"/>
  <c r="CT47" i="13"/>
  <c r="CS47" i="13"/>
  <c r="CR47" i="13"/>
  <c r="CQ47" i="13"/>
  <c r="CP47" i="13"/>
  <c r="CO47" i="13"/>
  <c r="CN47" i="13"/>
  <c r="CM47" i="13"/>
  <c r="CL47" i="13"/>
  <c r="CK47" i="13"/>
  <c r="CJ47" i="13"/>
  <c r="CI47" i="13"/>
  <c r="CH47" i="13"/>
  <c r="CG47" i="13"/>
  <c r="CF47" i="13"/>
  <c r="CE47" i="13"/>
  <c r="CD47" i="13"/>
  <c r="CC47" i="13"/>
  <c r="CB47" i="13"/>
  <c r="CA47" i="13"/>
  <c r="BZ47" i="13"/>
  <c r="BY47" i="13"/>
  <c r="BX47" i="13"/>
  <c r="BW47" i="13"/>
  <c r="BV47" i="13"/>
  <c r="BU47" i="13"/>
  <c r="BT47" i="13"/>
  <c r="BS47" i="13"/>
  <c r="BR47" i="13"/>
  <c r="BQ47" i="13"/>
  <c r="BP47" i="13"/>
  <c r="BO47" i="13"/>
  <c r="BM47" i="13"/>
  <c r="BL47" i="13"/>
  <c r="BI47" i="13"/>
  <c r="BH47" i="13"/>
  <c r="BG47" i="13"/>
  <c r="BF47" i="13"/>
  <c r="BE47" i="13"/>
  <c r="BD47" i="13"/>
  <c r="BC47" i="13"/>
  <c r="BB47" i="13"/>
  <c r="BA47" i="13"/>
  <c r="AZ47" i="13"/>
  <c r="AY47" i="13"/>
  <c r="AX47" i="13"/>
  <c r="AW47" i="13"/>
  <c r="AV47" i="13"/>
  <c r="AU47" i="13"/>
  <c r="AT47" i="13"/>
  <c r="AS47" i="13"/>
  <c r="AR47" i="13"/>
  <c r="AQ47" i="13"/>
  <c r="AP47" i="13"/>
  <c r="AO47" i="13"/>
  <c r="AN47" i="13"/>
  <c r="AM47" i="13"/>
  <c r="AL47" i="13"/>
  <c r="AK47" i="13"/>
  <c r="AI47" i="13"/>
  <c r="AG47" i="13"/>
  <c r="AF47" i="13"/>
  <c r="AE47" i="13"/>
  <c r="AD47" i="13"/>
  <c r="AC47" i="13"/>
  <c r="AB47" i="13"/>
  <c r="AA47" i="13"/>
  <c r="Z47" i="13"/>
  <c r="Y47" i="13"/>
  <c r="X47" i="13"/>
  <c r="W47" i="13"/>
  <c r="U47" i="13"/>
  <c r="P47" i="13"/>
  <c r="O47" i="13"/>
  <c r="M47" i="13"/>
  <c r="J47" i="13" s="1"/>
  <c r="L47" i="13"/>
  <c r="K47" i="13"/>
  <c r="DL46" i="13"/>
  <c r="DK46" i="13"/>
  <c r="DJ46" i="13"/>
  <c r="DI46" i="13"/>
  <c r="DH46" i="13"/>
  <c r="DG46" i="13"/>
  <c r="DF46" i="13"/>
  <c r="DE46" i="13"/>
  <c r="DD46" i="13"/>
  <c r="DC46" i="13"/>
  <c r="DB46" i="13"/>
  <c r="DA46" i="13"/>
  <c r="CZ46" i="13"/>
  <c r="CY46" i="13"/>
  <c r="CX46" i="13"/>
  <c r="CW46" i="13"/>
  <c r="CV46" i="13"/>
  <c r="CU46" i="13"/>
  <c r="CT46" i="13"/>
  <c r="CS46" i="13"/>
  <c r="CR46" i="13"/>
  <c r="CQ46" i="13"/>
  <c r="CP46" i="13"/>
  <c r="CO46" i="13"/>
  <c r="CN46" i="13"/>
  <c r="CM46" i="13"/>
  <c r="CL46" i="13"/>
  <c r="CK46" i="13"/>
  <c r="CJ46" i="13"/>
  <c r="CI46" i="13"/>
  <c r="CH46" i="13"/>
  <c r="CG46" i="13"/>
  <c r="CF46" i="13"/>
  <c r="CE46" i="13"/>
  <c r="CD46" i="13"/>
  <c r="CC46" i="13"/>
  <c r="CB46" i="13"/>
  <c r="CA46" i="13"/>
  <c r="BZ46" i="13"/>
  <c r="BY46" i="13"/>
  <c r="BX46" i="13"/>
  <c r="BW46" i="13"/>
  <c r="BV46" i="13"/>
  <c r="BU46" i="13"/>
  <c r="BT46" i="13"/>
  <c r="BS46" i="13"/>
  <c r="BR46" i="13"/>
  <c r="BQ46" i="13"/>
  <c r="BP46" i="13"/>
  <c r="BO46" i="13"/>
  <c r="BM46" i="13"/>
  <c r="BL46" i="13"/>
  <c r="BI46" i="13"/>
  <c r="BH46" i="13"/>
  <c r="BG46" i="13"/>
  <c r="BF46" i="13"/>
  <c r="BE46" i="13"/>
  <c r="BD46" i="13"/>
  <c r="BC46" i="13"/>
  <c r="BB46" i="13"/>
  <c r="BA46" i="13"/>
  <c r="AZ46" i="13"/>
  <c r="AY46" i="13"/>
  <c r="AX46" i="13"/>
  <c r="AW46" i="13"/>
  <c r="AV46" i="13"/>
  <c r="AU46" i="13"/>
  <c r="AT46" i="13"/>
  <c r="AS46" i="13"/>
  <c r="AR46" i="13"/>
  <c r="AQ46" i="13"/>
  <c r="AP46" i="13"/>
  <c r="AO46" i="13"/>
  <c r="AN46" i="13"/>
  <c r="AM46" i="13"/>
  <c r="AL46" i="13"/>
  <c r="AK46" i="13"/>
  <c r="AI46" i="13"/>
  <c r="AG46" i="13"/>
  <c r="AF46" i="13"/>
  <c r="AE46" i="13"/>
  <c r="AD46" i="13"/>
  <c r="AC46" i="13"/>
  <c r="AB46" i="13"/>
  <c r="AA46" i="13"/>
  <c r="Z46" i="13"/>
  <c r="Y46" i="13"/>
  <c r="X46" i="13"/>
  <c r="W46" i="13"/>
  <c r="U46" i="13"/>
  <c r="P46" i="13"/>
  <c r="O46" i="13"/>
  <c r="M46" i="13"/>
  <c r="J46" i="13" s="1"/>
  <c r="L46" i="13"/>
  <c r="K46" i="13"/>
  <c r="DL45" i="13"/>
  <c r="DK45" i="13"/>
  <c r="DJ45" i="13"/>
  <c r="DI45" i="13"/>
  <c r="DH45" i="13"/>
  <c r="DG45" i="13"/>
  <c r="DF45" i="13"/>
  <c r="DE45" i="13"/>
  <c r="DD45" i="13"/>
  <c r="DC45" i="13"/>
  <c r="DB45" i="13"/>
  <c r="DA45" i="13"/>
  <c r="CZ45" i="13"/>
  <c r="CY45" i="13"/>
  <c r="CX45" i="13"/>
  <c r="CW45" i="13"/>
  <c r="CV45" i="13"/>
  <c r="CU45" i="13"/>
  <c r="CT45" i="13"/>
  <c r="CS45" i="13"/>
  <c r="CR45" i="13"/>
  <c r="CQ45" i="13"/>
  <c r="CP45" i="13"/>
  <c r="CO45" i="13"/>
  <c r="CN45" i="13"/>
  <c r="CM45" i="13"/>
  <c r="CL45" i="13"/>
  <c r="CK45" i="13"/>
  <c r="CJ45" i="13"/>
  <c r="CI45" i="13"/>
  <c r="CH45" i="13"/>
  <c r="CG45" i="13"/>
  <c r="CF45" i="13"/>
  <c r="CE45" i="13"/>
  <c r="CD45" i="13"/>
  <c r="CC45" i="13"/>
  <c r="CB45" i="13"/>
  <c r="CA45" i="13"/>
  <c r="BZ45" i="13"/>
  <c r="BY45" i="13"/>
  <c r="BX45" i="13"/>
  <c r="BW45" i="13"/>
  <c r="BV45" i="13"/>
  <c r="BU45" i="13"/>
  <c r="BT45" i="13"/>
  <c r="BS45" i="13"/>
  <c r="BR45" i="13"/>
  <c r="BQ45" i="13"/>
  <c r="BP45" i="13"/>
  <c r="BO45" i="13"/>
  <c r="BM45" i="13"/>
  <c r="BL45" i="13"/>
  <c r="BI45" i="13"/>
  <c r="BH45" i="13"/>
  <c r="BG45" i="13"/>
  <c r="BF45" i="13"/>
  <c r="BE45" i="13"/>
  <c r="BD45" i="13"/>
  <c r="BC45" i="13"/>
  <c r="BB45" i="13"/>
  <c r="BA45" i="13"/>
  <c r="AZ45" i="13"/>
  <c r="AY45" i="13"/>
  <c r="AX45" i="13"/>
  <c r="AW45" i="13"/>
  <c r="AV45" i="13"/>
  <c r="AU45" i="13"/>
  <c r="AT45" i="13"/>
  <c r="AS45" i="13"/>
  <c r="AR45" i="13"/>
  <c r="AQ45" i="13"/>
  <c r="AP45" i="13"/>
  <c r="AO45" i="13"/>
  <c r="AN45" i="13"/>
  <c r="AM45" i="13"/>
  <c r="AL45" i="13"/>
  <c r="AK45" i="13"/>
  <c r="AI45" i="13"/>
  <c r="AG45" i="13"/>
  <c r="AF45" i="13"/>
  <c r="AE45" i="13"/>
  <c r="AD45" i="13"/>
  <c r="AC45" i="13"/>
  <c r="AB45" i="13"/>
  <c r="AA45" i="13"/>
  <c r="Z45" i="13"/>
  <c r="Y45" i="13"/>
  <c r="X45" i="13"/>
  <c r="W45" i="13"/>
  <c r="U45" i="13"/>
  <c r="P45" i="13"/>
  <c r="O45" i="13"/>
  <c r="M45" i="13"/>
  <c r="J45" i="13" s="1"/>
  <c r="L45" i="13"/>
  <c r="K45" i="13"/>
  <c r="DL44" i="13"/>
  <c r="DK44" i="13"/>
  <c r="DJ44" i="13"/>
  <c r="DI44" i="13"/>
  <c r="DH44" i="13"/>
  <c r="DG44" i="13"/>
  <c r="DF44" i="13"/>
  <c r="DE44" i="13"/>
  <c r="DD44" i="13"/>
  <c r="DC44" i="13"/>
  <c r="DB44" i="13"/>
  <c r="DA44" i="13"/>
  <c r="CZ44" i="13"/>
  <c r="CY44" i="13"/>
  <c r="CX44" i="13"/>
  <c r="CW44" i="13"/>
  <c r="CV44" i="13"/>
  <c r="CU44" i="13"/>
  <c r="CT44" i="13"/>
  <c r="CS44" i="13"/>
  <c r="CR44" i="13"/>
  <c r="CQ44" i="13"/>
  <c r="CP44" i="13"/>
  <c r="CO44" i="13"/>
  <c r="CN44" i="13"/>
  <c r="CM44" i="13"/>
  <c r="CL44" i="13"/>
  <c r="CK44" i="13"/>
  <c r="CJ44" i="13"/>
  <c r="CI44" i="13"/>
  <c r="CH44" i="13"/>
  <c r="CG44" i="13"/>
  <c r="CF44" i="13"/>
  <c r="CE44" i="13"/>
  <c r="CD44" i="13"/>
  <c r="CC44" i="13"/>
  <c r="CB44" i="13"/>
  <c r="CA44" i="13"/>
  <c r="BZ44" i="13"/>
  <c r="BY44" i="13"/>
  <c r="BX44" i="13"/>
  <c r="BW44" i="13"/>
  <c r="BV44" i="13"/>
  <c r="BU44" i="13"/>
  <c r="BT44" i="13"/>
  <c r="BS44" i="13"/>
  <c r="BR44" i="13"/>
  <c r="BQ44" i="13"/>
  <c r="BP44" i="13"/>
  <c r="BO44" i="13"/>
  <c r="BM44" i="13"/>
  <c r="BL44" i="13"/>
  <c r="BI44" i="13"/>
  <c r="BH44" i="13"/>
  <c r="BG44" i="13"/>
  <c r="BF44" i="13"/>
  <c r="BE44" i="13"/>
  <c r="BD44" i="13"/>
  <c r="BC44" i="13"/>
  <c r="BB44" i="13"/>
  <c r="BA44" i="13"/>
  <c r="AZ44" i="13"/>
  <c r="AY44" i="13"/>
  <c r="AX44" i="13"/>
  <c r="AW44" i="13"/>
  <c r="AV44" i="13"/>
  <c r="AU44" i="13"/>
  <c r="AS44" i="13"/>
  <c r="AQ44" i="13"/>
  <c r="AP44" i="13"/>
  <c r="AO44" i="13"/>
  <c r="AN44" i="13"/>
  <c r="AM44" i="13"/>
  <c r="AL44" i="13"/>
  <c r="AK44" i="13"/>
  <c r="AI44" i="13"/>
  <c r="AG44" i="13"/>
  <c r="AF44" i="13"/>
  <c r="AE44" i="13"/>
  <c r="AD44" i="13"/>
  <c r="AC44" i="13"/>
  <c r="AB44" i="13"/>
  <c r="AA44" i="13"/>
  <c r="Z44" i="13"/>
  <c r="Y44" i="13"/>
  <c r="X44" i="13"/>
  <c r="W44" i="13"/>
  <c r="U44" i="13"/>
  <c r="P44" i="13"/>
  <c r="O44" i="13"/>
  <c r="M44" i="13"/>
  <c r="J44" i="13" s="1"/>
  <c r="L44" i="13"/>
  <c r="K44" i="13"/>
  <c r="DL43" i="13"/>
  <c r="DK43" i="13"/>
  <c r="DJ43" i="13"/>
  <c r="DI43" i="13"/>
  <c r="DH43" i="13"/>
  <c r="DG43" i="13"/>
  <c r="DF43" i="13"/>
  <c r="DE43" i="13"/>
  <c r="DD43" i="13"/>
  <c r="DC43" i="13"/>
  <c r="DB43" i="13"/>
  <c r="DA43" i="13"/>
  <c r="CZ43" i="13"/>
  <c r="CY43" i="13"/>
  <c r="CX43" i="13"/>
  <c r="CW43" i="13"/>
  <c r="CV43" i="13"/>
  <c r="CU43" i="13"/>
  <c r="CT43" i="13"/>
  <c r="CS43" i="13"/>
  <c r="CR43" i="13"/>
  <c r="CQ43" i="13"/>
  <c r="CP43" i="13"/>
  <c r="CO43" i="13"/>
  <c r="CN43" i="13"/>
  <c r="CM43" i="13"/>
  <c r="CL43" i="13"/>
  <c r="CK43" i="13"/>
  <c r="CJ43" i="13"/>
  <c r="CI43" i="13"/>
  <c r="CH43" i="13"/>
  <c r="CG43" i="13"/>
  <c r="CF43" i="13"/>
  <c r="CE43" i="13"/>
  <c r="CD43" i="13"/>
  <c r="CC43" i="13"/>
  <c r="CB43" i="13"/>
  <c r="CA43" i="13"/>
  <c r="BZ43" i="13"/>
  <c r="BY43" i="13"/>
  <c r="BX43" i="13"/>
  <c r="BW43" i="13"/>
  <c r="BV43" i="13"/>
  <c r="BU43" i="13"/>
  <c r="BT43" i="13"/>
  <c r="BS43" i="13"/>
  <c r="BR43" i="13"/>
  <c r="BQ43" i="13"/>
  <c r="BP43" i="13"/>
  <c r="BO43" i="13"/>
  <c r="BM43" i="13"/>
  <c r="BL43" i="13"/>
  <c r="BI43" i="13"/>
  <c r="BH43" i="13"/>
  <c r="BE43" i="13"/>
  <c r="BD43" i="13"/>
  <c r="BA43" i="13"/>
  <c r="AZ43" i="13"/>
  <c r="AY43" i="13"/>
  <c r="AX43" i="13"/>
  <c r="AU43" i="13"/>
  <c r="AT43" i="13"/>
  <c r="AS43" i="13"/>
  <c r="AR43" i="13"/>
  <c r="AQ43" i="13"/>
  <c r="AP43" i="13"/>
  <c r="AO43" i="13"/>
  <c r="AN43" i="13"/>
  <c r="AM43" i="13"/>
  <c r="AL43" i="13"/>
  <c r="AK43" i="13"/>
  <c r="AI43" i="13"/>
  <c r="AG43" i="13"/>
  <c r="AF43" i="13"/>
  <c r="AE43" i="13"/>
  <c r="AD43" i="13"/>
  <c r="AC43" i="13"/>
  <c r="AB43" i="13"/>
  <c r="AA43" i="13"/>
  <c r="Z43" i="13"/>
  <c r="Y43" i="13"/>
  <c r="X43" i="13"/>
  <c r="W43" i="13"/>
  <c r="U43" i="13"/>
  <c r="P43" i="13"/>
  <c r="O43" i="13"/>
  <c r="M43" i="13"/>
  <c r="J43" i="13" s="1"/>
  <c r="L43" i="13"/>
  <c r="K43" i="13"/>
  <c r="DL42" i="13"/>
  <c r="DK42" i="13"/>
  <c r="DJ42" i="13"/>
  <c r="DI42" i="13"/>
  <c r="DH42" i="13"/>
  <c r="DG42" i="13"/>
  <c r="DF42" i="13"/>
  <c r="DE42" i="13"/>
  <c r="DD42" i="13"/>
  <c r="DC42" i="13"/>
  <c r="DB42" i="13"/>
  <c r="DA42" i="13"/>
  <c r="CZ42" i="13"/>
  <c r="CY42" i="13"/>
  <c r="CX42" i="13"/>
  <c r="CW42" i="13"/>
  <c r="CV42" i="13"/>
  <c r="CU42" i="13"/>
  <c r="CT42" i="13"/>
  <c r="CS42" i="13"/>
  <c r="CR42" i="13"/>
  <c r="CQ42" i="13"/>
  <c r="CP42" i="13"/>
  <c r="CO42" i="13"/>
  <c r="CN42" i="13"/>
  <c r="CM42" i="13"/>
  <c r="CL42" i="13"/>
  <c r="CK42" i="13"/>
  <c r="CJ42" i="13"/>
  <c r="CI42" i="13"/>
  <c r="CH42" i="13"/>
  <c r="CG42" i="13"/>
  <c r="CF42" i="13"/>
  <c r="CE42" i="13"/>
  <c r="CD42" i="13"/>
  <c r="CC42" i="13"/>
  <c r="CB42" i="13"/>
  <c r="CA42" i="13"/>
  <c r="BZ42" i="13"/>
  <c r="BY42" i="13"/>
  <c r="BX42" i="13"/>
  <c r="BW42" i="13"/>
  <c r="BV42" i="13"/>
  <c r="BU42" i="13"/>
  <c r="BT42" i="13"/>
  <c r="BS42" i="13"/>
  <c r="BR42" i="13"/>
  <c r="BQ42" i="13"/>
  <c r="BP42" i="13"/>
  <c r="BO42" i="13"/>
  <c r="BM42" i="13"/>
  <c r="BL42" i="13"/>
  <c r="BG42" i="13"/>
  <c r="BF42" i="13"/>
  <c r="AY42" i="13"/>
  <c r="AX42" i="13"/>
  <c r="AU42" i="13"/>
  <c r="AQ42" i="13"/>
  <c r="AP42" i="13"/>
  <c r="AO42" i="13"/>
  <c r="AN42" i="13"/>
  <c r="AM42" i="13"/>
  <c r="AL42" i="13"/>
  <c r="AK42" i="13"/>
  <c r="AI42" i="13"/>
  <c r="AG42" i="13"/>
  <c r="AF42" i="13"/>
  <c r="AE42" i="13"/>
  <c r="AD42" i="13"/>
  <c r="AC42" i="13"/>
  <c r="AB42" i="13"/>
  <c r="AA42" i="13"/>
  <c r="Z42" i="13"/>
  <c r="Y42" i="13"/>
  <c r="X42" i="13"/>
  <c r="W42" i="13"/>
  <c r="U42" i="13"/>
  <c r="P42" i="13"/>
  <c r="O42" i="13"/>
  <c r="M42" i="13"/>
  <c r="J42" i="13" s="1"/>
  <c r="L42" i="13"/>
  <c r="K42" i="13"/>
  <c r="DL41" i="13"/>
  <c r="DK41" i="13"/>
  <c r="DJ41" i="13"/>
  <c r="DI41" i="13"/>
  <c r="DH41" i="13"/>
  <c r="DG41" i="13"/>
  <c r="DF41" i="13"/>
  <c r="DE41" i="13"/>
  <c r="DD41" i="13"/>
  <c r="DC41" i="13"/>
  <c r="DB41" i="13"/>
  <c r="DA41" i="13"/>
  <c r="CZ41" i="13"/>
  <c r="CY41" i="13"/>
  <c r="CX41" i="13"/>
  <c r="CW41" i="13"/>
  <c r="CV41" i="13"/>
  <c r="CU41" i="13"/>
  <c r="CT41" i="13"/>
  <c r="CS41" i="13"/>
  <c r="CR41" i="13"/>
  <c r="CQ41" i="13"/>
  <c r="CP41" i="13"/>
  <c r="CO41" i="13"/>
  <c r="CN41" i="13"/>
  <c r="CM41" i="13"/>
  <c r="CL41" i="13"/>
  <c r="CK41" i="13"/>
  <c r="CJ41" i="13"/>
  <c r="CI41" i="13"/>
  <c r="CH41" i="13"/>
  <c r="CG41" i="13"/>
  <c r="CF41" i="13"/>
  <c r="CE41" i="13"/>
  <c r="CD41" i="13"/>
  <c r="CC41" i="13"/>
  <c r="CB41" i="13"/>
  <c r="CA41" i="13"/>
  <c r="BZ41" i="13"/>
  <c r="BY41" i="13"/>
  <c r="BX41" i="13"/>
  <c r="BW41" i="13"/>
  <c r="BV41" i="13"/>
  <c r="BU41" i="13"/>
  <c r="BT41" i="13"/>
  <c r="BS41" i="13"/>
  <c r="BR41" i="13"/>
  <c r="BQ41" i="13"/>
  <c r="BP41" i="13"/>
  <c r="BO41" i="13"/>
  <c r="BM41" i="13"/>
  <c r="BL41" i="13"/>
  <c r="BE41" i="13"/>
  <c r="BD41" i="13"/>
  <c r="BC41" i="13"/>
  <c r="BB41" i="13"/>
  <c r="BA41" i="13"/>
  <c r="AZ41" i="13"/>
  <c r="AW41" i="13"/>
  <c r="AV41" i="13"/>
  <c r="AU41" i="13"/>
  <c r="AT41" i="13"/>
  <c r="AS41" i="13"/>
  <c r="AR41" i="13"/>
  <c r="AP41" i="13"/>
  <c r="AO41" i="13"/>
  <c r="AN41" i="13"/>
  <c r="AM41" i="13"/>
  <c r="AL41" i="13"/>
  <c r="AK41" i="13"/>
  <c r="AI41" i="13"/>
  <c r="AG41" i="13"/>
  <c r="AF41" i="13"/>
  <c r="AE41" i="13"/>
  <c r="AD41" i="13"/>
  <c r="AC41" i="13"/>
  <c r="AB41" i="13"/>
  <c r="AA41" i="13"/>
  <c r="Z41" i="13"/>
  <c r="Y41" i="13"/>
  <c r="X41" i="13"/>
  <c r="W41" i="13"/>
  <c r="U41" i="13"/>
  <c r="P41" i="13"/>
  <c r="O41" i="13"/>
  <c r="M41" i="13"/>
  <c r="J41" i="13" s="1"/>
  <c r="L41" i="13"/>
  <c r="K41" i="13"/>
  <c r="DL40" i="13"/>
  <c r="DK40" i="13"/>
  <c r="DJ40" i="13"/>
  <c r="DI40" i="13"/>
  <c r="DH40" i="13"/>
  <c r="DG40" i="13"/>
  <c r="DF40" i="13"/>
  <c r="DE40" i="13"/>
  <c r="DD40" i="13"/>
  <c r="DC40" i="13"/>
  <c r="DB40" i="13"/>
  <c r="DA40" i="13"/>
  <c r="CZ40" i="13"/>
  <c r="CY40" i="13"/>
  <c r="CX40" i="13"/>
  <c r="CW40" i="13"/>
  <c r="CV40" i="13"/>
  <c r="CU40" i="13"/>
  <c r="CT40" i="13"/>
  <c r="CS40" i="13"/>
  <c r="CR40" i="13"/>
  <c r="CQ40" i="13"/>
  <c r="CP40" i="13"/>
  <c r="CO40" i="13"/>
  <c r="CN40" i="13"/>
  <c r="CM40" i="13"/>
  <c r="CL40" i="13"/>
  <c r="CK40" i="13"/>
  <c r="CJ40" i="13"/>
  <c r="CI40" i="13"/>
  <c r="CH40" i="13"/>
  <c r="CG40" i="13"/>
  <c r="CF40" i="13"/>
  <c r="CE40" i="13"/>
  <c r="CD40" i="13"/>
  <c r="CC40" i="13"/>
  <c r="CB40" i="13"/>
  <c r="CA40" i="13"/>
  <c r="BZ40" i="13"/>
  <c r="BY40" i="13"/>
  <c r="BX40" i="13"/>
  <c r="BW40" i="13"/>
  <c r="BV40" i="13"/>
  <c r="BU40" i="13"/>
  <c r="BT40" i="13"/>
  <c r="BS40" i="13"/>
  <c r="BR40" i="13"/>
  <c r="BQ40" i="13"/>
  <c r="BP40" i="13"/>
  <c r="BO40" i="13"/>
  <c r="BM40" i="13"/>
  <c r="BL40" i="13"/>
  <c r="AW40" i="13"/>
  <c r="AV40" i="13"/>
  <c r="AU40" i="13"/>
  <c r="AP40" i="13"/>
  <c r="AO40" i="13"/>
  <c r="AN40" i="13"/>
  <c r="AM40" i="13"/>
  <c r="AL40" i="13"/>
  <c r="AK40" i="13"/>
  <c r="AI40" i="13"/>
  <c r="AG40" i="13"/>
  <c r="AF40" i="13"/>
  <c r="AE40" i="13"/>
  <c r="AD40" i="13"/>
  <c r="AC40" i="13"/>
  <c r="AB40" i="13"/>
  <c r="AA40" i="13"/>
  <c r="Z40" i="13"/>
  <c r="Y40" i="13"/>
  <c r="X40" i="13"/>
  <c r="W40" i="13"/>
  <c r="U40" i="13"/>
  <c r="P40" i="13"/>
  <c r="O40" i="13"/>
  <c r="M40" i="13"/>
  <c r="J40" i="13" s="1"/>
  <c r="L40" i="13"/>
  <c r="K40" i="13"/>
  <c r="DL39" i="13"/>
  <c r="DK39" i="13"/>
  <c r="DJ39" i="13"/>
  <c r="DI39" i="13"/>
  <c r="DH39" i="13"/>
  <c r="DG39" i="13"/>
  <c r="DF39" i="13"/>
  <c r="DE39" i="13"/>
  <c r="DD39" i="13"/>
  <c r="DC39" i="13"/>
  <c r="DB39" i="13"/>
  <c r="DA39" i="13"/>
  <c r="CZ39" i="13"/>
  <c r="CY39" i="13"/>
  <c r="CX39" i="13"/>
  <c r="CW39" i="13"/>
  <c r="CV39" i="13"/>
  <c r="CU39" i="13"/>
  <c r="CT39" i="13"/>
  <c r="CS39" i="13"/>
  <c r="CR39" i="13"/>
  <c r="CQ39" i="13"/>
  <c r="CP39" i="13"/>
  <c r="CO39" i="13"/>
  <c r="CN39" i="13"/>
  <c r="CM39" i="13"/>
  <c r="CL39" i="13"/>
  <c r="CK39" i="13"/>
  <c r="CJ39" i="13"/>
  <c r="CI39" i="13"/>
  <c r="CH39" i="13"/>
  <c r="CG39" i="13"/>
  <c r="CF39" i="13"/>
  <c r="CE39" i="13"/>
  <c r="CD39" i="13"/>
  <c r="CC39" i="13"/>
  <c r="CB39" i="13"/>
  <c r="CA39" i="13"/>
  <c r="BZ39" i="13"/>
  <c r="BY39" i="13"/>
  <c r="BX39" i="13"/>
  <c r="BW39" i="13"/>
  <c r="BV39" i="13"/>
  <c r="BU39" i="13"/>
  <c r="BT39" i="13"/>
  <c r="BS39" i="13"/>
  <c r="BR39" i="13"/>
  <c r="BQ39" i="13"/>
  <c r="BP39" i="13"/>
  <c r="BO39" i="13"/>
  <c r="BM39" i="13"/>
  <c r="BL39" i="13"/>
  <c r="BI39" i="13"/>
  <c r="BH39" i="13"/>
  <c r="BG39" i="13"/>
  <c r="BF39" i="13"/>
  <c r="BC39" i="13"/>
  <c r="BB39" i="13"/>
  <c r="AY39" i="13"/>
  <c r="AX39" i="13"/>
  <c r="AW39" i="13"/>
  <c r="AV39" i="13"/>
  <c r="AU39" i="13"/>
  <c r="AR39" i="13"/>
  <c r="AQ39" i="13"/>
  <c r="AP39" i="13"/>
  <c r="AO39" i="13"/>
  <c r="AN39" i="13"/>
  <c r="AM39" i="13"/>
  <c r="AL39" i="13"/>
  <c r="AK39" i="13"/>
  <c r="AI39" i="13"/>
  <c r="AG39" i="13"/>
  <c r="AF39" i="13"/>
  <c r="AE39" i="13"/>
  <c r="AD39" i="13"/>
  <c r="AC39" i="13"/>
  <c r="AB39" i="13"/>
  <c r="AA39" i="13"/>
  <c r="Z39" i="13"/>
  <c r="Y39" i="13"/>
  <c r="X39" i="13"/>
  <c r="W39" i="13"/>
  <c r="U39" i="13"/>
  <c r="P39" i="13"/>
  <c r="O39" i="13"/>
  <c r="M39" i="13"/>
  <c r="J39" i="13" s="1"/>
  <c r="L39" i="13"/>
  <c r="K39" i="13"/>
  <c r="DL38" i="13"/>
  <c r="DK38" i="13"/>
  <c r="DJ38" i="13"/>
  <c r="DI38" i="13"/>
  <c r="DH38" i="13"/>
  <c r="DG38" i="13"/>
  <c r="DF38" i="13"/>
  <c r="DE38" i="13"/>
  <c r="DD38" i="13"/>
  <c r="DC38" i="13"/>
  <c r="DB38" i="13"/>
  <c r="DA38" i="13"/>
  <c r="CZ38" i="13"/>
  <c r="CY38" i="13"/>
  <c r="CX38" i="13"/>
  <c r="CW38" i="13"/>
  <c r="CV38" i="13"/>
  <c r="CU38" i="13"/>
  <c r="CT38" i="13"/>
  <c r="CS38" i="13"/>
  <c r="CR38" i="13"/>
  <c r="CQ38" i="13"/>
  <c r="CP38" i="13"/>
  <c r="CO38" i="13"/>
  <c r="CN38" i="13"/>
  <c r="CM38" i="13"/>
  <c r="CL38" i="13"/>
  <c r="CK38" i="13"/>
  <c r="CJ38" i="13"/>
  <c r="CI38" i="13"/>
  <c r="CH38" i="13"/>
  <c r="CG38" i="13"/>
  <c r="CF38" i="13"/>
  <c r="CE38" i="13"/>
  <c r="CD38" i="13"/>
  <c r="CC38" i="13"/>
  <c r="CB38" i="13"/>
  <c r="CA38" i="13"/>
  <c r="BZ38" i="13"/>
  <c r="BY38" i="13"/>
  <c r="BX38" i="13"/>
  <c r="BW38" i="13"/>
  <c r="BV38" i="13"/>
  <c r="BU38" i="13"/>
  <c r="BT38" i="13"/>
  <c r="BS38" i="13"/>
  <c r="BR38" i="13"/>
  <c r="BQ38" i="13"/>
  <c r="BP38" i="13"/>
  <c r="BO38" i="13"/>
  <c r="BM38" i="13"/>
  <c r="BL38" i="13"/>
  <c r="BI38" i="13"/>
  <c r="BH38" i="13"/>
  <c r="BG38" i="13"/>
  <c r="BF38" i="13"/>
  <c r="BE38" i="13"/>
  <c r="BD38" i="13"/>
  <c r="AY38" i="13"/>
  <c r="AX38" i="13"/>
  <c r="AW38" i="13"/>
  <c r="AV38" i="13"/>
  <c r="AU38" i="13"/>
  <c r="AP38" i="13"/>
  <c r="AO38" i="13"/>
  <c r="AN38" i="13"/>
  <c r="AM38" i="13"/>
  <c r="AL38" i="13"/>
  <c r="AK38" i="13"/>
  <c r="AI38" i="13"/>
  <c r="AG38" i="13"/>
  <c r="AF38" i="13"/>
  <c r="AE38" i="13"/>
  <c r="AD38" i="13"/>
  <c r="AC38" i="13"/>
  <c r="AB38" i="13"/>
  <c r="AA38" i="13"/>
  <c r="Z38" i="13"/>
  <c r="Y38" i="13"/>
  <c r="X38" i="13"/>
  <c r="W38" i="13"/>
  <c r="U38" i="13"/>
  <c r="P38" i="13"/>
  <c r="O38" i="13"/>
  <c r="M38" i="13"/>
  <c r="J38" i="13" s="1"/>
  <c r="L38" i="13"/>
  <c r="K38" i="13"/>
  <c r="DL37" i="13"/>
  <c r="DK37" i="13"/>
  <c r="DJ37" i="13"/>
  <c r="DI37" i="13"/>
  <c r="DH37" i="13"/>
  <c r="DG37" i="13"/>
  <c r="DF37" i="13"/>
  <c r="DE37" i="13"/>
  <c r="DD37" i="13"/>
  <c r="DC37" i="13"/>
  <c r="DB37" i="13"/>
  <c r="DA37" i="13"/>
  <c r="CZ37" i="13"/>
  <c r="CY37" i="13"/>
  <c r="CX37" i="13"/>
  <c r="CW37" i="13"/>
  <c r="CV37" i="13"/>
  <c r="CU37" i="13"/>
  <c r="CT37" i="13"/>
  <c r="CS37" i="13"/>
  <c r="CR37" i="13"/>
  <c r="CQ37" i="13"/>
  <c r="CP37" i="13"/>
  <c r="CO37" i="13"/>
  <c r="CN37" i="13"/>
  <c r="CM37" i="13"/>
  <c r="CL37" i="13"/>
  <c r="CK37" i="13"/>
  <c r="CJ37" i="13"/>
  <c r="CI37" i="13"/>
  <c r="CH37" i="13"/>
  <c r="CG37" i="13"/>
  <c r="CF37" i="13"/>
  <c r="CE37" i="13"/>
  <c r="CD37" i="13"/>
  <c r="CC37" i="13"/>
  <c r="CB37" i="13"/>
  <c r="CA37" i="13"/>
  <c r="BZ37" i="13"/>
  <c r="BY37" i="13"/>
  <c r="BX37" i="13"/>
  <c r="BW37" i="13"/>
  <c r="BV37" i="13"/>
  <c r="BU37" i="13"/>
  <c r="BT37" i="13"/>
  <c r="BS37" i="13"/>
  <c r="BR37" i="13"/>
  <c r="BQ37" i="13"/>
  <c r="BP37" i="13"/>
  <c r="BO37" i="13"/>
  <c r="BM37" i="13"/>
  <c r="BL37" i="13"/>
  <c r="BE37" i="13"/>
  <c r="BD37" i="13"/>
  <c r="AY37" i="13"/>
  <c r="AX37" i="13"/>
  <c r="AU37" i="13"/>
  <c r="AP37" i="13"/>
  <c r="AO37" i="13"/>
  <c r="AN37" i="13"/>
  <c r="AM37" i="13"/>
  <c r="AL37" i="13"/>
  <c r="AK37" i="13"/>
  <c r="AI37" i="13"/>
  <c r="AG37" i="13"/>
  <c r="AF37" i="13"/>
  <c r="AE37" i="13"/>
  <c r="AD37" i="13"/>
  <c r="AC37" i="13"/>
  <c r="AB37" i="13"/>
  <c r="AA37" i="13"/>
  <c r="Z37" i="13"/>
  <c r="Y37" i="13"/>
  <c r="X37" i="13"/>
  <c r="W37" i="13"/>
  <c r="U37" i="13"/>
  <c r="P37" i="13"/>
  <c r="O37" i="13"/>
  <c r="M37" i="13"/>
  <c r="J37" i="13" s="1"/>
  <c r="L37" i="13"/>
  <c r="K37" i="13"/>
  <c r="DL36" i="13"/>
  <c r="DK36" i="13"/>
  <c r="DJ36" i="13"/>
  <c r="DI36" i="13"/>
  <c r="DH36" i="13"/>
  <c r="DG36" i="13"/>
  <c r="DF36" i="13"/>
  <c r="DE36" i="13"/>
  <c r="DD36" i="13"/>
  <c r="DC36" i="13"/>
  <c r="DB36" i="13"/>
  <c r="DA36" i="13"/>
  <c r="CZ36" i="13"/>
  <c r="CY36" i="13"/>
  <c r="CX36" i="13"/>
  <c r="CW36" i="13"/>
  <c r="CV36" i="13"/>
  <c r="CU36" i="13"/>
  <c r="CT36" i="13"/>
  <c r="CS36" i="13"/>
  <c r="CR36" i="13"/>
  <c r="CQ36" i="13"/>
  <c r="CP36" i="13"/>
  <c r="CO36" i="13"/>
  <c r="CN36" i="13"/>
  <c r="CM36" i="13"/>
  <c r="CL36" i="13"/>
  <c r="CK36" i="13"/>
  <c r="CJ36" i="13"/>
  <c r="CI36" i="13"/>
  <c r="CH36" i="13"/>
  <c r="CG36" i="13"/>
  <c r="CF36" i="13"/>
  <c r="CE36" i="13"/>
  <c r="CD36" i="13"/>
  <c r="CC36" i="13"/>
  <c r="CB36" i="13"/>
  <c r="CA36" i="13"/>
  <c r="BZ36" i="13"/>
  <c r="BY36" i="13"/>
  <c r="BX36" i="13"/>
  <c r="BW36" i="13"/>
  <c r="BV36" i="13"/>
  <c r="BU36" i="13"/>
  <c r="BT36" i="13"/>
  <c r="BS36" i="13"/>
  <c r="BR36" i="13"/>
  <c r="BQ36" i="13"/>
  <c r="BP36" i="13"/>
  <c r="BO36" i="13"/>
  <c r="BM36" i="13"/>
  <c r="BL36" i="13"/>
  <c r="BI36" i="13"/>
  <c r="BH36" i="13"/>
  <c r="BE36" i="13"/>
  <c r="BD36" i="13"/>
  <c r="BC36" i="13"/>
  <c r="BB36" i="13"/>
  <c r="BA36" i="13"/>
  <c r="AZ36" i="13"/>
  <c r="AY36" i="13"/>
  <c r="AX36" i="13"/>
  <c r="AU36" i="13"/>
  <c r="AS36" i="13"/>
  <c r="AR36" i="13"/>
  <c r="AQ36" i="13"/>
  <c r="AP36" i="13"/>
  <c r="AO36" i="13"/>
  <c r="AN36" i="13"/>
  <c r="AM36" i="13"/>
  <c r="AL36" i="13"/>
  <c r="AK36" i="13"/>
  <c r="AI36" i="13"/>
  <c r="AG36" i="13"/>
  <c r="AF36" i="13"/>
  <c r="AE36" i="13"/>
  <c r="AD36" i="13"/>
  <c r="AC36" i="13"/>
  <c r="AB36" i="13"/>
  <c r="AA36" i="13"/>
  <c r="Z36" i="13"/>
  <c r="Y36" i="13"/>
  <c r="X36" i="13"/>
  <c r="W36" i="13"/>
  <c r="U36" i="13"/>
  <c r="P36" i="13"/>
  <c r="O36" i="13"/>
  <c r="M36" i="13"/>
  <c r="J36" i="13" s="1"/>
  <c r="L36" i="13"/>
  <c r="K36" i="13"/>
  <c r="DL35" i="13"/>
  <c r="DK35" i="13"/>
  <c r="DJ35" i="13"/>
  <c r="DI35" i="13"/>
  <c r="DH35" i="13"/>
  <c r="DG35" i="13"/>
  <c r="DF35" i="13"/>
  <c r="DE35" i="13"/>
  <c r="DD35" i="13"/>
  <c r="DC35" i="13"/>
  <c r="DB35" i="13"/>
  <c r="DA35" i="13"/>
  <c r="CZ35" i="13"/>
  <c r="CY35" i="13"/>
  <c r="CX35" i="13"/>
  <c r="CW35" i="13"/>
  <c r="CV35" i="13"/>
  <c r="CU35" i="13"/>
  <c r="CT35" i="13"/>
  <c r="CS35" i="13"/>
  <c r="CR35" i="13"/>
  <c r="CQ35" i="13"/>
  <c r="CP35" i="13"/>
  <c r="CO35" i="13"/>
  <c r="CN35" i="13"/>
  <c r="CM35" i="13"/>
  <c r="CL35" i="13"/>
  <c r="CK35" i="13"/>
  <c r="CJ35" i="13"/>
  <c r="CI35" i="13"/>
  <c r="CH35" i="13"/>
  <c r="CG35" i="13"/>
  <c r="CF35" i="13"/>
  <c r="CE35" i="13"/>
  <c r="CD35" i="13"/>
  <c r="CC35" i="13"/>
  <c r="CB35" i="13"/>
  <c r="CA35" i="13"/>
  <c r="BZ35" i="13"/>
  <c r="BY35" i="13"/>
  <c r="BX35" i="13"/>
  <c r="BW35" i="13"/>
  <c r="BV35" i="13"/>
  <c r="BU35" i="13"/>
  <c r="BT35" i="13"/>
  <c r="BS35" i="13"/>
  <c r="BR35" i="13"/>
  <c r="BQ35" i="13"/>
  <c r="BP35" i="13"/>
  <c r="BO35" i="13"/>
  <c r="BM35" i="13"/>
  <c r="BL35" i="13"/>
  <c r="BI35" i="13"/>
  <c r="BH35" i="13"/>
  <c r="BG35" i="13"/>
  <c r="BF35" i="13"/>
  <c r="BE35" i="13"/>
  <c r="BD35" i="13"/>
  <c r="BC35" i="13"/>
  <c r="BB35" i="13"/>
  <c r="BA35" i="13"/>
  <c r="AZ35" i="13"/>
  <c r="AW35" i="13"/>
  <c r="AV35" i="13"/>
  <c r="AU35" i="13"/>
  <c r="AT35" i="13"/>
  <c r="AS35" i="13"/>
  <c r="AR35" i="13"/>
  <c r="AQ35" i="13"/>
  <c r="AP35" i="13"/>
  <c r="AO35" i="13"/>
  <c r="AN35" i="13"/>
  <c r="AM35" i="13"/>
  <c r="AL35" i="13"/>
  <c r="AK35" i="13"/>
  <c r="AI35" i="13"/>
  <c r="AG35" i="13"/>
  <c r="AF35" i="13"/>
  <c r="AE35" i="13"/>
  <c r="AD35" i="13"/>
  <c r="AC35" i="13"/>
  <c r="AB35" i="13"/>
  <c r="AA35" i="13"/>
  <c r="Z35" i="13"/>
  <c r="Y35" i="13"/>
  <c r="X35" i="13"/>
  <c r="W35" i="13"/>
  <c r="U35" i="13"/>
  <c r="P35" i="13"/>
  <c r="O35" i="13"/>
  <c r="M35" i="13"/>
  <c r="J35" i="13" s="1"/>
  <c r="L35" i="13"/>
  <c r="K35" i="13"/>
  <c r="DL34" i="13"/>
  <c r="DK34" i="13"/>
  <c r="DJ34" i="13"/>
  <c r="DI34" i="13"/>
  <c r="DH34" i="13"/>
  <c r="DG34" i="13"/>
  <c r="DF34" i="13"/>
  <c r="DE34" i="13"/>
  <c r="DD34" i="13"/>
  <c r="DC34" i="13"/>
  <c r="DB34" i="13"/>
  <c r="DA34" i="13"/>
  <c r="CZ34" i="13"/>
  <c r="CY34" i="13"/>
  <c r="CX34" i="13"/>
  <c r="CW34" i="13"/>
  <c r="CV34" i="13"/>
  <c r="CU34" i="13"/>
  <c r="CT34" i="13"/>
  <c r="CS34" i="13"/>
  <c r="CR34" i="13"/>
  <c r="CQ34" i="13"/>
  <c r="CP34" i="13"/>
  <c r="CO34" i="13"/>
  <c r="CN34" i="13"/>
  <c r="CM34" i="13"/>
  <c r="CL34" i="13"/>
  <c r="CK34" i="13"/>
  <c r="CJ34" i="13"/>
  <c r="CI34" i="13"/>
  <c r="CH34" i="13"/>
  <c r="CG34" i="13"/>
  <c r="CF34" i="13"/>
  <c r="CE34" i="13"/>
  <c r="CD34" i="13"/>
  <c r="CC34" i="13"/>
  <c r="CB34" i="13"/>
  <c r="CA34" i="13"/>
  <c r="BZ34" i="13"/>
  <c r="BY34" i="13"/>
  <c r="BX34" i="13"/>
  <c r="BW34" i="13"/>
  <c r="BV34" i="13"/>
  <c r="BU34" i="13"/>
  <c r="BT34" i="13"/>
  <c r="BS34" i="13"/>
  <c r="BR34" i="13"/>
  <c r="BQ34" i="13"/>
  <c r="BP34" i="13"/>
  <c r="BO34" i="13"/>
  <c r="BM34" i="13"/>
  <c r="BL34" i="13"/>
  <c r="BI34" i="13"/>
  <c r="BH34" i="13"/>
  <c r="BG34" i="13"/>
  <c r="BF34" i="13"/>
  <c r="BE34" i="13"/>
  <c r="BD34" i="13"/>
  <c r="BC34" i="13"/>
  <c r="BB34" i="13"/>
  <c r="BA34" i="13"/>
  <c r="AZ34" i="13"/>
  <c r="AY34" i="13"/>
  <c r="AX34" i="13"/>
  <c r="AW34" i="13"/>
  <c r="AV34" i="13"/>
  <c r="AU34" i="13"/>
  <c r="AT34" i="13"/>
  <c r="AS34" i="13"/>
  <c r="AR34" i="13"/>
  <c r="AQ34" i="13"/>
  <c r="AP34" i="13"/>
  <c r="AO34" i="13"/>
  <c r="AN34" i="13"/>
  <c r="AM34" i="13"/>
  <c r="AL34" i="13"/>
  <c r="AK34" i="13"/>
  <c r="AI34" i="13"/>
  <c r="AG34" i="13"/>
  <c r="AF34" i="13"/>
  <c r="AE34" i="13"/>
  <c r="AD34" i="13"/>
  <c r="AC34" i="13"/>
  <c r="AB34" i="13"/>
  <c r="AA34" i="13"/>
  <c r="Z34" i="13"/>
  <c r="Y34" i="13"/>
  <c r="X34" i="13"/>
  <c r="W34" i="13"/>
  <c r="U34" i="13"/>
  <c r="P34" i="13"/>
  <c r="O34" i="13"/>
  <c r="M34" i="13"/>
  <c r="J34" i="13" s="1"/>
  <c r="L34" i="13"/>
  <c r="K34" i="13"/>
  <c r="DL33" i="13"/>
  <c r="DK33" i="13"/>
  <c r="DJ33" i="13"/>
  <c r="DI33" i="13"/>
  <c r="DH33" i="13"/>
  <c r="DG33" i="13"/>
  <c r="DF33" i="13"/>
  <c r="DE33" i="13"/>
  <c r="DD33" i="13"/>
  <c r="DC33" i="13"/>
  <c r="DB33" i="13"/>
  <c r="DA33" i="13"/>
  <c r="CZ33" i="13"/>
  <c r="CY33" i="13"/>
  <c r="CX33" i="13"/>
  <c r="CW33" i="13"/>
  <c r="CV33" i="13"/>
  <c r="CU33" i="13"/>
  <c r="CT33" i="13"/>
  <c r="CS33" i="13"/>
  <c r="CR33" i="13"/>
  <c r="CQ33" i="13"/>
  <c r="CP33" i="13"/>
  <c r="CO33" i="13"/>
  <c r="CN33" i="13"/>
  <c r="CM33" i="13"/>
  <c r="CL33" i="13"/>
  <c r="CK33" i="13"/>
  <c r="CJ33" i="13"/>
  <c r="CI33" i="13"/>
  <c r="CH33" i="13"/>
  <c r="CG33" i="13"/>
  <c r="CF33" i="13"/>
  <c r="CE33" i="13"/>
  <c r="CD33" i="13"/>
  <c r="CC33" i="13"/>
  <c r="CB33" i="13"/>
  <c r="CA33" i="13"/>
  <c r="BZ33" i="13"/>
  <c r="BY33" i="13"/>
  <c r="BX33" i="13"/>
  <c r="BW33" i="13"/>
  <c r="BV33" i="13"/>
  <c r="BU33" i="13"/>
  <c r="BT33" i="13"/>
  <c r="BS33" i="13"/>
  <c r="BR33" i="13"/>
  <c r="BQ33" i="13"/>
  <c r="BP33" i="13"/>
  <c r="BO33" i="13"/>
  <c r="BM33" i="13"/>
  <c r="BL33" i="13"/>
  <c r="BI33" i="13"/>
  <c r="BH33" i="13"/>
  <c r="BG33" i="13"/>
  <c r="BF33" i="13"/>
  <c r="BE33" i="13"/>
  <c r="BD33" i="13"/>
  <c r="BC33" i="13"/>
  <c r="BB33" i="13"/>
  <c r="BA33" i="13"/>
  <c r="AZ33" i="13"/>
  <c r="AY33" i="13"/>
  <c r="AX33" i="13"/>
  <c r="AW33" i="13"/>
  <c r="AV33" i="13"/>
  <c r="AU33" i="13"/>
  <c r="AT33" i="13"/>
  <c r="AS33" i="13"/>
  <c r="AR33" i="13"/>
  <c r="AQ33" i="13"/>
  <c r="AP33" i="13"/>
  <c r="AO33" i="13"/>
  <c r="AN33" i="13"/>
  <c r="AM33" i="13"/>
  <c r="AL33" i="13"/>
  <c r="AK33" i="13"/>
  <c r="AI33" i="13"/>
  <c r="AH33" i="13"/>
  <c r="AG33" i="13"/>
  <c r="AF33" i="13"/>
  <c r="AE33" i="13"/>
  <c r="AD33" i="13"/>
  <c r="AC33" i="13"/>
  <c r="AB33" i="13"/>
  <c r="AA33" i="13"/>
  <c r="Z33" i="13"/>
  <c r="Y33" i="13"/>
  <c r="X33" i="13"/>
  <c r="W33" i="13"/>
  <c r="V33" i="13"/>
  <c r="U33" i="13"/>
  <c r="T33" i="13"/>
  <c r="S33" i="13"/>
  <c r="R33" i="13"/>
  <c r="P33" i="13"/>
  <c r="O33" i="13"/>
  <c r="N33" i="13"/>
  <c r="M33" i="13"/>
  <c r="L33" i="13"/>
  <c r="K33" i="13"/>
  <c r="DL32" i="13"/>
  <c r="DK32" i="13"/>
  <c r="DJ32" i="13"/>
  <c r="DI32" i="13"/>
  <c r="DH32" i="13"/>
  <c r="DG32" i="13"/>
  <c r="DF32" i="13"/>
  <c r="DE32" i="13"/>
  <c r="DD32" i="13"/>
  <c r="DC32" i="13"/>
  <c r="DB32" i="13"/>
  <c r="DA32" i="13"/>
  <c r="CZ32" i="13"/>
  <c r="CY32" i="13"/>
  <c r="CX32" i="13"/>
  <c r="CW32" i="13"/>
  <c r="CV32" i="13"/>
  <c r="CU32" i="13"/>
  <c r="CT32" i="13"/>
  <c r="CS32" i="13"/>
  <c r="CR32" i="13"/>
  <c r="CQ32" i="13"/>
  <c r="CP32" i="13"/>
  <c r="CO32" i="13"/>
  <c r="CN32" i="13"/>
  <c r="CM32" i="13"/>
  <c r="CL32" i="13"/>
  <c r="CK32" i="13"/>
  <c r="CJ32" i="13"/>
  <c r="CI32" i="13"/>
  <c r="CH32" i="13"/>
  <c r="CG32" i="13"/>
  <c r="CF32" i="13"/>
  <c r="CE32" i="13"/>
  <c r="CD32" i="13"/>
  <c r="CC32" i="13"/>
  <c r="CB32" i="13"/>
  <c r="CA32" i="13"/>
  <c r="BZ32" i="13"/>
  <c r="BY32" i="13"/>
  <c r="BX32" i="13"/>
  <c r="BW32" i="13"/>
  <c r="BV32" i="13"/>
  <c r="BU32" i="13"/>
  <c r="BT32" i="13"/>
  <c r="BS32" i="13"/>
  <c r="BR32" i="13"/>
  <c r="BQ32" i="13"/>
  <c r="BP32" i="13"/>
  <c r="BO32" i="13"/>
  <c r="BM32" i="13"/>
  <c r="BL32" i="13"/>
  <c r="BI32" i="13"/>
  <c r="BH32" i="13"/>
  <c r="BG32" i="13"/>
  <c r="BF32" i="13"/>
  <c r="BE32" i="13"/>
  <c r="BD32" i="13"/>
  <c r="BC32" i="13"/>
  <c r="BB32" i="13"/>
  <c r="BA32" i="13"/>
  <c r="AZ32" i="13"/>
  <c r="AY32" i="13"/>
  <c r="AX32" i="13"/>
  <c r="AW32" i="13"/>
  <c r="AV32" i="13"/>
  <c r="AU32" i="13"/>
  <c r="AT32" i="13"/>
  <c r="AS32" i="13"/>
  <c r="AR32" i="13"/>
  <c r="AQ32" i="13"/>
  <c r="AP32" i="13"/>
  <c r="AO32" i="13"/>
  <c r="AN32" i="13"/>
  <c r="AM32" i="13"/>
  <c r="AL32" i="13"/>
  <c r="AK32" i="13"/>
  <c r="AI32" i="13"/>
  <c r="AH32" i="13"/>
  <c r="AG32" i="13"/>
  <c r="AF32" i="13"/>
  <c r="AE32" i="13"/>
  <c r="AD32" i="13"/>
  <c r="AC32" i="13"/>
  <c r="AB32" i="13"/>
  <c r="AA32" i="13"/>
  <c r="Z32" i="13"/>
  <c r="Y32" i="13"/>
  <c r="X32" i="13"/>
  <c r="W32" i="13"/>
  <c r="V32" i="13"/>
  <c r="U32" i="13"/>
  <c r="T32" i="13"/>
  <c r="S32" i="13"/>
  <c r="R32" i="13"/>
  <c r="P32" i="13"/>
  <c r="O32" i="13"/>
  <c r="N32" i="13"/>
  <c r="M32" i="13"/>
  <c r="L32" i="13"/>
  <c r="K32" i="13"/>
  <c r="DL31" i="13"/>
  <c r="DK31" i="13"/>
  <c r="DJ31" i="13"/>
  <c r="DI31" i="13"/>
  <c r="DH31" i="13"/>
  <c r="DG31" i="13"/>
  <c r="DF31" i="13"/>
  <c r="DE31" i="13"/>
  <c r="DD31" i="13"/>
  <c r="DC31" i="13"/>
  <c r="DB31" i="13"/>
  <c r="DA31" i="13"/>
  <c r="CZ31" i="13"/>
  <c r="CY31" i="13"/>
  <c r="CX31" i="13"/>
  <c r="CW31" i="13"/>
  <c r="CV31" i="13"/>
  <c r="CU31" i="13"/>
  <c r="CT31" i="13"/>
  <c r="CS31" i="13"/>
  <c r="CR31" i="13"/>
  <c r="CQ31" i="13"/>
  <c r="CP31" i="13"/>
  <c r="CO31" i="13"/>
  <c r="CN31" i="13"/>
  <c r="CM31" i="13"/>
  <c r="CL31" i="13"/>
  <c r="CK31" i="13"/>
  <c r="CJ31" i="13"/>
  <c r="CI31" i="13"/>
  <c r="CH31" i="13"/>
  <c r="CG31" i="13"/>
  <c r="CF31" i="13"/>
  <c r="CE31" i="13"/>
  <c r="CD31" i="13"/>
  <c r="CC31" i="13"/>
  <c r="CB31" i="13"/>
  <c r="CA31" i="13"/>
  <c r="BZ31" i="13"/>
  <c r="BY31" i="13"/>
  <c r="BX31" i="13"/>
  <c r="BW31" i="13"/>
  <c r="BV31" i="13"/>
  <c r="BU31" i="13"/>
  <c r="BT31" i="13"/>
  <c r="BS31" i="13"/>
  <c r="BR31" i="13"/>
  <c r="BQ31" i="13"/>
  <c r="BP31" i="13"/>
  <c r="BO31" i="13"/>
  <c r="BM31" i="13"/>
  <c r="BL31" i="13"/>
  <c r="BI31" i="13"/>
  <c r="BH31" i="13"/>
  <c r="BG31" i="13"/>
  <c r="BF31" i="13"/>
  <c r="BC31" i="13"/>
  <c r="BB31" i="13"/>
  <c r="AY31" i="13"/>
  <c r="AX31" i="13"/>
  <c r="AU31" i="13"/>
  <c r="AT31" i="13"/>
  <c r="AR31" i="13"/>
  <c r="AQ31" i="13"/>
  <c r="AP31" i="13"/>
  <c r="AO31" i="13"/>
  <c r="AN31" i="13"/>
  <c r="AM31" i="13"/>
  <c r="AL31" i="13"/>
  <c r="AK31" i="13"/>
  <c r="AI31" i="13"/>
  <c r="AH31" i="13"/>
  <c r="AG31" i="13"/>
  <c r="AF31" i="13"/>
  <c r="AE31" i="13"/>
  <c r="AD31" i="13"/>
  <c r="AC31" i="13"/>
  <c r="AB31" i="13"/>
  <c r="AA31" i="13"/>
  <c r="Z31" i="13"/>
  <c r="Y31" i="13"/>
  <c r="X31" i="13"/>
  <c r="W31" i="13"/>
  <c r="V31" i="13"/>
  <c r="U31" i="13"/>
  <c r="T31" i="13"/>
  <c r="S31" i="13"/>
  <c r="R31" i="13"/>
  <c r="P31" i="13"/>
  <c r="O31" i="13"/>
  <c r="N31" i="13"/>
  <c r="M31" i="13"/>
  <c r="L31" i="13"/>
  <c r="K31" i="13"/>
  <c r="DL30" i="13"/>
  <c r="DK30" i="13"/>
  <c r="DJ30" i="13"/>
  <c r="DI30" i="13"/>
  <c r="DH30" i="13"/>
  <c r="DG30" i="13"/>
  <c r="DF30" i="13"/>
  <c r="DE30" i="13"/>
  <c r="DD30" i="13"/>
  <c r="DC30" i="13"/>
  <c r="DB30" i="13"/>
  <c r="DA30" i="13"/>
  <c r="CZ30" i="13"/>
  <c r="CY30" i="13"/>
  <c r="CX30" i="13"/>
  <c r="CW30" i="13"/>
  <c r="CV30" i="13"/>
  <c r="CU30" i="13"/>
  <c r="CT30" i="13"/>
  <c r="CS30" i="13"/>
  <c r="CR30" i="13"/>
  <c r="CQ30" i="13"/>
  <c r="CP30" i="13"/>
  <c r="CO30" i="13"/>
  <c r="CN30" i="13"/>
  <c r="CM30" i="13"/>
  <c r="CL30" i="13"/>
  <c r="CK30" i="13"/>
  <c r="CJ30" i="13"/>
  <c r="CI30" i="13"/>
  <c r="CH30" i="13"/>
  <c r="CG30" i="13"/>
  <c r="CF30" i="13"/>
  <c r="CE30" i="13"/>
  <c r="CD30" i="13"/>
  <c r="CC30" i="13"/>
  <c r="CB30" i="13"/>
  <c r="CA30" i="13"/>
  <c r="BZ30" i="13"/>
  <c r="BY30" i="13"/>
  <c r="BX30" i="13"/>
  <c r="BW30" i="13"/>
  <c r="BV30" i="13"/>
  <c r="BU30" i="13"/>
  <c r="BT30" i="13"/>
  <c r="BS30" i="13"/>
  <c r="BR30" i="13"/>
  <c r="BQ30" i="13"/>
  <c r="BP30" i="13"/>
  <c r="BO30" i="13"/>
  <c r="BM30" i="13"/>
  <c r="BL30" i="13"/>
  <c r="BG30" i="13"/>
  <c r="BF30" i="13"/>
  <c r="BE30" i="13"/>
  <c r="BD30" i="13"/>
  <c r="BC30" i="13"/>
  <c r="BB30" i="13"/>
  <c r="BA30" i="13"/>
  <c r="AZ30" i="13"/>
  <c r="AY30" i="13"/>
  <c r="AX30" i="13"/>
  <c r="AU30" i="13"/>
  <c r="AT30" i="13"/>
  <c r="AR30" i="13"/>
  <c r="AQ30" i="13"/>
  <c r="AP30" i="13"/>
  <c r="AO30" i="13"/>
  <c r="AN30" i="13"/>
  <c r="AM30" i="13"/>
  <c r="AL30" i="13"/>
  <c r="AK30" i="13"/>
  <c r="AI30" i="13"/>
  <c r="AH30" i="13"/>
  <c r="AG30" i="13"/>
  <c r="AF30" i="13"/>
  <c r="AE30" i="13"/>
  <c r="AD30" i="13"/>
  <c r="AC30" i="13"/>
  <c r="AB30" i="13"/>
  <c r="AA30" i="13"/>
  <c r="Z30" i="13"/>
  <c r="Y30" i="13"/>
  <c r="X30" i="13"/>
  <c r="W30" i="13"/>
  <c r="V30" i="13"/>
  <c r="U30" i="13"/>
  <c r="T30" i="13"/>
  <c r="S30" i="13"/>
  <c r="R30" i="13"/>
  <c r="P30" i="13"/>
  <c r="O30" i="13"/>
  <c r="N30" i="13"/>
  <c r="M30" i="13"/>
  <c r="L30" i="13"/>
  <c r="K30" i="13"/>
  <c r="DL29" i="13"/>
  <c r="DK29" i="13"/>
  <c r="DJ29" i="13"/>
  <c r="DI29" i="13"/>
  <c r="DH29" i="13"/>
  <c r="DG29" i="13"/>
  <c r="DF29" i="13"/>
  <c r="DE29" i="13"/>
  <c r="DD29" i="13"/>
  <c r="DC29" i="13"/>
  <c r="DB29" i="13"/>
  <c r="DA29" i="13"/>
  <c r="CZ29" i="13"/>
  <c r="CY29" i="13"/>
  <c r="CX29" i="13"/>
  <c r="CW29" i="13"/>
  <c r="CV29" i="13"/>
  <c r="CU29" i="13"/>
  <c r="CT29" i="13"/>
  <c r="CS29" i="13"/>
  <c r="CR29" i="13"/>
  <c r="CQ29" i="13"/>
  <c r="CP29" i="13"/>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M29" i="13"/>
  <c r="BL29" i="13"/>
  <c r="BE29" i="13"/>
  <c r="BD29" i="13"/>
  <c r="AP29" i="13"/>
  <c r="AO29" i="13"/>
  <c r="AN29" i="13"/>
  <c r="AM29" i="13"/>
  <c r="AI29" i="13"/>
  <c r="AH29" i="13"/>
  <c r="AG29" i="13"/>
  <c r="AF29" i="13"/>
  <c r="AE29" i="13"/>
  <c r="AD29" i="13"/>
  <c r="AC29" i="13"/>
  <c r="AB29" i="13"/>
  <c r="AA29" i="13"/>
  <c r="Z29" i="13"/>
  <c r="Y29" i="13"/>
  <c r="X29" i="13"/>
  <c r="W29" i="13"/>
  <c r="V29" i="13"/>
  <c r="U29" i="13"/>
  <c r="T29" i="13"/>
  <c r="S29" i="13"/>
  <c r="R29" i="13"/>
  <c r="P29" i="13"/>
  <c r="O29" i="13"/>
  <c r="N29" i="13"/>
  <c r="M29" i="13"/>
  <c r="L29" i="13"/>
  <c r="K29" i="13"/>
  <c r="DL28" i="13"/>
  <c r="DK28" i="13"/>
  <c r="DJ28" i="13"/>
  <c r="DI28" i="13"/>
  <c r="DH28" i="13"/>
  <c r="DG28" i="13"/>
  <c r="DF28" i="13"/>
  <c r="DE28" i="13"/>
  <c r="DD28" i="13"/>
  <c r="DC28" i="13"/>
  <c r="DB28" i="13"/>
  <c r="DA28" i="13"/>
  <c r="CZ28" i="13"/>
  <c r="CY28" i="13"/>
  <c r="CX28" i="13"/>
  <c r="CW28" i="13"/>
  <c r="CV28" i="13"/>
  <c r="CU28" i="13"/>
  <c r="CT28" i="13"/>
  <c r="CS28" i="13"/>
  <c r="CR28" i="13"/>
  <c r="CQ28" i="13"/>
  <c r="CP28" i="13"/>
  <c r="CO28" i="13"/>
  <c r="CN28" i="13"/>
  <c r="CM28" i="13"/>
  <c r="CL28" i="13"/>
  <c r="CK28" i="13"/>
  <c r="CJ28" i="13"/>
  <c r="CI28" i="13"/>
  <c r="CH28" i="13"/>
  <c r="CG28" i="13"/>
  <c r="CF28" i="13"/>
  <c r="CE28" i="13"/>
  <c r="CD28" i="13"/>
  <c r="CC28" i="13"/>
  <c r="CB28" i="13"/>
  <c r="CA28" i="13"/>
  <c r="BZ28" i="13"/>
  <c r="BY28" i="13"/>
  <c r="BX28" i="13"/>
  <c r="BW28" i="13"/>
  <c r="BV28" i="13"/>
  <c r="BU28" i="13"/>
  <c r="BT28" i="13"/>
  <c r="BS28" i="13"/>
  <c r="BR28" i="13"/>
  <c r="BQ28" i="13"/>
  <c r="BP28" i="13"/>
  <c r="BO28" i="13"/>
  <c r="BM28" i="13"/>
  <c r="BL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I28" i="13"/>
  <c r="AH28" i="13"/>
  <c r="AG28" i="13"/>
  <c r="AF28" i="13"/>
  <c r="AE28" i="13"/>
  <c r="AD28" i="13"/>
  <c r="AC28" i="13"/>
  <c r="AB28" i="13"/>
  <c r="AA28" i="13"/>
  <c r="Z28" i="13"/>
  <c r="Y28" i="13"/>
  <c r="X28" i="13"/>
  <c r="W28" i="13"/>
  <c r="V28" i="13"/>
  <c r="U28" i="13"/>
  <c r="T28" i="13"/>
  <c r="S28" i="13"/>
  <c r="R28" i="13"/>
  <c r="P28" i="13"/>
  <c r="O28" i="13"/>
  <c r="N28" i="13"/>
  <c r="M28" i="13"/>
  <c r="J28" i="13" s="1"/>
  <c r="L28" i="13"/>
  <c r="K28" i="13"/>
  <c r="DL27" i="13"/>
  <c r="DK27" i="13"/>
  <c r="DJ27" i="13"/>
  <c r="DI27" i="13"/>
  <c r="DH27" i="13"/>
  <c r="DG27" i="13"/>
  <c r="DF27" i="13"/>
  <c r="DE27" i="13"/>
  <c r="DD27" i="13"/>
  <c r="DC27" i="13"/>
  <c r="DB27" i="13"/>
  <c r="DA27" i="13"/>
  <c r="CZ27" i="13"/>
  <c r="CY27" i="13"/>
  <c r="CX27" i="13"/>
  <c r="CW27" i="13"/>
  <c r="CV27" i="13"/>
  <c r="CU27" i="13"/>
  <c r="CT27" i="13"/>
  <c r="CS27" i="13"/>
  <c r="CR27" i="13"/>
  <c r="CQ27" i="13"/>
  <c r="CP27" i="13"/>
  <c r="CO27" i="13"/>
  <c r="CN27" i="13"/>
  <c r="CM27" i="13"/>
  <c r="CL27" i="13"/>
  <c r="CK27" i="13"/>
  <c r="CJ27" i="13"/>
  <c r="CI27" i="13"/>
  <c r="CH27" i="13"/>
  <c r="CG27" i="13"/>
  <c r="CF27" i="13"/>
  <c r="CE27" i="13"/>
  <c r="CD27" i="13"/>
  <c r="CC27" i="13"/>
  <c r="CB27" i="13"/>
  <c r="CA27" i="13"/>
  <c r="BZ27" i="13"/>
  <c r="BY27" i="13"/>
  <c r="BX27" i="13"/>
  <c r="BW27" i="13"/>
  <c r="BV27" i="13"/>
  <c r="BU27" i="13"/>
  <c r="BT27" i="13"/>
  <c r="BS27" i="13"/>
  <c r="BR27" i="13"/>
  <c r="BQ27" i="13"/>
  <c r="BP27" i="13"/>
  <c r="BO27" i="13"/>
  <c r="BM27" i="13"/>
  <c r="BL27" i="13"/>
  <c r="BI27" i="13"/>
  <c r="BH27" i="13"/>
  <c r="BG27" i="13"/>
  <c r="BF27" i="13"/>
  <c r="BE27" i="13"/>
  <c r="BD27" i="13"/>
  <c r="BC27" i="13"/>
  <c r="BB27" i="13"/>
  <c r="BA27" i="13"/>
  <c r="AZ27" i="13"/>
  <c r="AY27" i="13"/>
  <c r="AX27" i="13"/>
  <c r="AW27" i="13"/>
  <c r="AV27" i="13"/>
  <c r="AU27" i="13"/>
  <c r="AT27" i="13"/>
  <c r="AS27" i="13"/>
  <c r="AR27" i="13"/>
  <c r="AQ27" i="13"/>
  <c r="AP27" i="13"/>
  <c r="AO27" i="13"/>
  <c r="AN27" i="13"/>
  <c r="AM27" i="13"/>
  <c r="AL27" i="13"/>
  <c r="AK27" i="13"/>
  <c r="AI27" i="13"/>
  <c r="AH27" i="13"/>
  <c r="AG27" i="13"/>
  <c r="AF27" i="13"/>
  <c r="AE27" i="13"/>
  <c r="AD27" i="13"/>
  <c r="AC27" i="13"/>
  <c r="AB27" i="13"/>
  <c r="AA27" i="13"/>
  <c r="Z27" i="13"/>
  <c r="Y27" i="13"/>
  <c r="X27" i="13"/>
  <c r="W27" i="13"/>
  <c r="V27" i="13"/>
  <c r="U27" i="13"/>
  <c r="T27" i="13"/>
  <c r="S27" i="13"/>
  <c r="R27" i="13"/>
  <c r="P27" i="13"/>
  <c r="O27" i="13"/>
  <c r="N27" i="13"/>
  <c r="M27" i="13"/>
  <c r="J27" i="13" s="1"/>
  <c r="L27" i="13"/>
  <c r="K27" i="13"/>
  <c r="DL26" i="13"/>
  <c r="DK26" i="13"/>
  <c r="DJ26" i="13"/>
  <c r="DI26" i="13"/>
  <c r="DH26" i="13"/>
  <c r="DG26" i="13"/>
  <c r="DF26" i="13"/>
  <c r="DE26" i="13"/>
  <c r="DD26" i="13"/>
  <c r="DC26" i="13"/>
  <c r="DB26" i="13"/>
  <c r="DA26" i="13"/>
  <c r="CZ26" i="13"/>
  <c r="CY26" i="13"/>
  <c r="CX26" i="13"/>
  <c r="CW26" i="13"/>
  <c r="CV26" i="13"/>
  <c r="CU26" i="13"/>
  <c r="CT26" i="13"/>
  <c r="CS26" i="13"/>
  <c r="CR26" i="13"/>
  <c r="CQ26" i="13"/>
  <c r="CP26" i="13"/>
  <c r="CO26" i="13"/>
  <c r="CN26" i="13"/>
  <c r="CM26" i="13"/>
  <c r="CL26" i="13"/>
  <c r="CK26" i="13"/>
  <c r="CJ26" i="13"/>
  <c r="CI26" i="13"/>
  <c r="CH26" i="13"/>
  <c r="CG26" i="13"/>
  <c r="CF26" i="13"/>
  <c r="CE26" i="13"/>
  <c r="CD26" i="13"/>
  <c r="CC26" i="13"/>
  <c r="CB26" i="13"/>
  <c r="CA26" i="13"/>
  <c r="BZ26" i="13"/>
  <c r="BY26" i="13"/>
  <c r="BX26" i="13"/>
  <c r="BW26" i="13"/>
  <c r="BV26" i="13"/>
  <c r="BU26" i="13"/>
  <c r="BT26" i="13"/>
  <c r="BS26" i="13"/>
  <c r="BR26" i="13"/>
  <c r="BQ26" i="13"/>
  <c r="BP26" i="13"/>
  <c r="BO26" i="13"/>
  <c r="BM26" i="13"/>
  <c r="BL26" i="13"/>
  <c r="BE26" i="13"/>
  <c r="BD26" i="13"/>
  <c r="BC26" i="13"/>
  <c r="BB26" i="13"/>
  <c r="BA26" i="13"/>
  <c r="AZ26" i="13"/>
  <c r="AW26" i="13"/>
  <c r="AV26" i="13"/>
  <c r="AU26" i="13"/>
  <c r="AT26" i="13"/>
  <c r="AS26" i="13"/>
  <c r="AP26" i="13"/>
  <c r="AO26" i="13"/>
  <c r="AN26" i="13"/>
  <c r="AM26" i="13"/>
  <c r="AL26" i="13"/>
  <c r="AK26" i="13"/>
  <c r="AI26" i="13"/>
  <c r="AH26" i="13"/>
  <c r="AG26" i="13"/>
  <c r="AF26" i="13"/>
  <c r="AE26" i="13"/>
  <c r="AD26" i="13"/>
  <c r="AC26" i="13"/>
  <c r="AB26" i="13"/>
  <c r="AA26" i="13"/>
  <c r="Z26" i="13"/>
  <c r="Y26" i="13"/>
  <c r="X26" i="13"/>
  <c r="W26" i="13"/>
  <c r="V26" i="13"/>
  <c r="U26" i="13"/>
  <c r="T26" i="13"/>
  <c r="S26" i="13"/>
  <c r="R26" i="13"/>
  <c r="P26" i="13"/>
  <c r="O26" i="13"/>
  <c r="N26" i="13"/>
  <c r="M26" i="13"/>
  <c r="J26" i="13" s="1"/>
  <c r="L26" i="13"/>
  <c r="K26" i="13"/>
  <c r="DL25" i="13"/>
  <c r="DK25" i="13"/>
  <c r="DJ25" i="13"/>
  <c r="DI25" i="13"/>
  <c r="DH25" i="13"/>
  <c r="DG25" i="13"/>
  <c r="DF25" i="13"/>
  <c r="DE25" i="13"/>
  <c r="DD25" i="13"/>
  <c r="DC25" i="13"/>
  <c r="DB25" i="13"/>
  <c r="DA25" i="13"/>
  <c r="CZ25" i="13"/>
  <c r="CY25" i="13"/>
  <c r="CX25" i="13"/>
  <c r="CW25" i="13"/>
  <c r="CV25" i="13"/>
  <c r="CU25" i="13"/>
  <c r="CT25" i="13"/>
  <c r="CS25" i="13"/>
  <c r="CR25" i="13"/>
  <c r="CQ25" i="13"/>
  <c r="CP25" i="13"/>
  <c r="CO25" i="13"/>
  <c r="CN25" i="13"/>
  <c r="CM25" i="13"/>
  <c r="CL25" i="13"/>
  <c r="CK25" i="13"/>
  <c r="CJ25" i="13"/>
  <c r="CI25" i="13"/>
  <c r="CH25" i="13"/>
  <c r="CG25" i="13"/>
  <c r="CF25" i="13"/>
  <c r="CE25" i="13"/>
  <c r="CD25" i="13"/>
  <c r="CC25" i="13"/>
  <c r="CB25" i="13"/>
  <c r="CA25" i="13"/>
  <c r="BZ25" i="13"/>
  <c r="BY25" i="13"/>
  <c r="BX25" i="13"/>
  <c r="BW25" i="13"/>
  <c r="BV25" i="13"/>
  <c r="BU25" i="13"/>
  <c r="BT25" i="13"/>
  <c r="BS25" i="13"/>
  <c r="BR25" i="13"/>
  <c r="BQ25" i="13"/>
  <c r="BP25" i="13"/>
  <c r="BO25" i="13"/>
  <c r="BM25" i="13"/>
  <c r="BL25" i="13"/>
  <c r="BE25" i="13"/>
  <c r="BD25" i="13"/>
  <c r="BC25" i="13"/>
  <c r="BB25" i="13"/>
  <c r="BA25" i="13"/>
  <c r="AZ25" i="13"/>
  <c r="AW25" i="13"/>
  <c r="AV25" i="13"/>
  <c r="AU25" i="13"/>
  <c r="AR25" i="13"/>
  <c r="AP25" i="13"/>
  <c r="AO25" i="13"/>
  <c r="AN25" i="13"/>
  <c r="AM25" i="13"/>
  <c r="AL25" i="13"/>
  <c r="AK25" i="13"/>
  <c r="AI25" i="13"/>
  <c r="AH25" i="13"/>
  <c r="AG25" i="13"/>
  <c r="AF25" i="13"/>
  <c r="AE25" i="13"/>
  <c r="AD25" i="13"/>
  <c r="AC25" i="13"/>
  <c r="AB25" i="13"/>
  <c r="AA25" i="13"/>
  <c r="Z25" i="13"/>
  <c r="Y25" i="13"/>
  <c r="X25" i="13"/>
  <c r="W25" i="13"/>
  <c r="V25" i="13"/>
  <c r="U25" i="13"/>
  <c r="T25" i="13"/>
  <c r="S25" i="13"/>
  <c r="R25" i="13"/>
  <c r="P25" i="13"/>
  <c r="O25" i="13"/>
  <c r="N25" i="13"/>
  <c r="M25" i="13"/>
  <c r="J25" i="13" s="1"/>
  <c r="L25" i="13"/>
  <c r="K25" i="13"/>
  <c r="DL24" i="13"/>
  <c r="DK24" i="13"/>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M24" i="13"/>
  <c r="BL24" i="13"/>
  <c r="BA24" i="13"/>
  <c r="AZ24" i="13"/>
  <c r="AW24" i="13"/>
  <c r="AV24" i="13"/>
  <c r="AP24" i="13"/>
  <c r="AO24" i="13"/>
  <c r="AN24" i="13"/>
  <c r="AM24" i="13"/>
  <c r="AI24" i="13"/>
  <c r="AH24" i="13"/>
  <c r="AG24" i="13"/>
  <c r="AF24" i="13"/>
  <c r="AE24" i="13"/>
  <c r="AD24" i="13"/>
  <c r="AC24" i="13"/>
  <c r="AB24" i="13"/>
  <c r="AA24" i="13"/>
  <c r="Z24" i="13"/>
  <c r="Y24" i="13"/>
  <c r="X24" i="13"/>
  <c r="W24" i="13"/>
  <c r="V24" i="13"/>
  <c r="U24" i="13"/>
  <c r="T24" i="13"/>
  <c r="S24" i="13"/>
  <c r="R24" i="13"/>
  <c r="P24" i="13"/>
  <c r="O24" i="13"/>
  <c r="N24" i="13"/>
  <c r="M24" i="13"/>
  <c r="J24" i="13" s="1"/>
  <c r="L24" i="13"/>
  <c r="K24" i="13"/>
  <c r="DL23" i="13"/>
  <c r="DK23" i="13"/>
  <c r="DJ23" i="13"/>
  <c r="DI23" i="13"/>
  <c r="DH23" i="13"/>
  <c r="DG23" i="13"/>
  <c r="DF23" i="13"/>
  <c r="DE23" i="13"/>
  <c r="DD23" i="13"/>
  <c r="DC23" i="13"/>
  <c r="DB23" i="13"/>
  <c r="DA23" i="13"/>
  <c r="CZ23" i="13"/>
  <c r="CY23" i="13"/>
  <c r="CX23" i="13"/>
  <c r="CW23" i="13"/>
  <c r="CV23" i="13"/>
  <c r="CU23" i="13"/>
  <c r="CT23" i="13"/>
  <c r="CS23" i="13"/>
  <c r="CR23" i="13"/>
  <c r="CQ23" i="13"/>
  <c r="CP23"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M23" i="13"/>
  <c r="BL23" i="13"/>
  <c r="BI23" i="13"/>
  <c r="BH23" i="13"/>
  <c r="BG23" i="13"/>
  <c r="BF23" i="13"/>
  <c r="BA23" i="13"/>
  <c r="AZ23" i="13"/>
  <c r="AU23" i="13"/>
  <c r="AT23" i="13"/>
  <c r="AS23" i="13"/>
  <c r="AP23" i="13"/>
  <c r="AO23" i="13"/>
  <c r="AN23" i="13"/>
  <c r="AM23" i="13"/>
  <c r="AL23" i="13"/>
  <c r="AK23" i="13"/>
  <c r="AI23" i="13"/>
  <c r="AH23" i="13"/>
  <c r="AG23" i="13"/>
  <c r="AF23" i="13"/>
  <c r="AE23" i="13"/>
  <c r="AD23" i="13"/>
  <c r="AC23" i="13"/>
  <c r="AB23" i="13"/>
  <c r="AA23" i="13"/>
  <c r="Z23" i="13"/>
  <c r="Y23" i="13"/>
  <c r="X23" i="13"/>
  <c r="W23" i="13"/>
  <c r="V23" i="13"/>
  <c r="U23" i="13"/>
  <c r="T23" i="13"/>
  <c r="S23" i="13"/>
  <c r="R23" i="13"/>
  <c r="P23" i="13"/>
  <c r="O23" i="13"/>
  <c r="N23" i="13"/>
  <c r="M23" i="13"/>
  <c r="L23" i="13"/>
  <c r="K23" i="13"/>
  <c r="DL22" i="13"/>
  <c r="DK22"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M22" i="13"/>
  <c r="BL22" i="13"/>
  <c r="AU22" i="13"/>
  <c r="AT22" i="13"/>
  <c r="AS22" i="13"/>
  <c r="AR22" i="13"/>
  <c r="AP22" i="13"/>
  <c r="AO22" i="13"/>
  <c r="AN22" i="13"/>
  <c r="AM22" i="13"/>
  <c r="AL22" i="13"/>
  <c r="AK22" i="13"/>
  <c r="AI22" i="13"/>
  <c r="AH22" i="13"/>
  <c r="AG22" i="13"/>
  <c r="AF22" i="13"/>
  <c r="AE22" i="13"/>
  <c r="AD22" i="13"/>
  <c r="AC22" i="13"/>
  <c r="AB22" i="13"/>
  <c r="AA22" i="13"/>
  <c r="Z22" i="13"/>
  <c r="Y22" i="13"/>
  <c r="X22" i="13"/>
  <c r="W22" i="13"/>
  <c r="V22" i="13"/>
  <c r="U22" i="13"/>
  <c r="T22" i="13"/>
  <c r="S22" i="13"/>
  <c r="R22" i="13"/>
  <c r="P22" i="13"/>
  <c r="O22" i="13"/>
  <c r="N22" i="13"/>
  <c r="M22" i="13"/>
  <c r="J22" i="13" s="1"/>
  <c r="L22" i="13"/>
  <c r="K22" i="13"/>
  <c r="DL21" i="13"/>
  <c r="DK21" i="13"/>
  <c r="DJ21" i="13"/>
  <c r="DI21" i="13"/>
  <c r="DH21" i="13"/>
  <c r="DG21" i="13"/>
  <c r="DF21" i="13"/>
  <c r="DE21" i="13"/>
  <c r="DD21" i="13"/>
  <c r="DC21" i="13"/>
  <c r="DB21" i="13"/>
  <c r="DA21" i="13"/>
  <c r="CZ21" i="13"/>
  <c r="CY21" i="13"/>
  <c r="CX21" i="13"/>
  <c r="CW21" i="13"/>
  <c r="CV21" i="13"/>
  <c r="CU21" i="13"/>
  <c r="CT21" i="13"/>
  <c r="CS21" i="13"/>
  <c r="CR21"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M21" i="13"/>
  <c r="BL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I21" i="13"/>
  <c r="AH21" i="13"/>
  <c r="AG21" i="13"/>
  <c r="AF21" i="13"/>
  <c r="AE21" i="13"/>
  <c r="AD21" i="13"/>
  <c r="AC21" i="13"/>
  <c r="AB21" i="13"/>
  <c r="AA21" i="13"/>
  <c r="Z21" i="13"/>
  <c r="Y21" i="13"/>
  <c r="X21" i="13"/>
  <c r="W21" i="13"/>
  <c r="V21" i="13"/>
  <c r="U21" i="13"/>
  <c r="T21" i="13"/>
  <c r="S21" i="13"/>
  <c r="R21" i="13"/>
  <c r="P21" i="13"/>
  <c r="O21" i="13"/>
  <c r="N21" i="13"/>
  <c r="M21" i="13"/>
  <c r="L21" i="13"/>
  <c r="K21" i="13"/>
  <c r="DL20" i="13"/>
  <c r="DK20" i="13"/>
  <c r="DJ20" i="13"/>
  <c r="DI20" i="13"/>
  <c r="DH20" i="13"/>
  <c r="DG20" i="13"/>
  <c r="DF20" i="13"/>
  <c r="DE20" i="13"/>
  <c r="DD20" i="13"/>
  <c r="DC20" i="13"/>
  <c r="DB20" i="13"/>
  <c r="DA20" i="13"/>
  <c r="CZ20" i="13"/>
  <c r="CY20" i="13"/>
  <c r="CX20" i="13"/>
  <c r="CW20" i="13"/>
  <c r="CV20" i="13"/>
  <c r="CU20" i="13"/>
  <c r="CT20" i="13"/>
  <c r="CS20" i="13"/>
  <c r="CR20" i="13"/>
  <c r="CQ20" i="13"/>
  <c r="CP20"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M20" i="13"/>
  <c r="BL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I20" i="13"/>
  <c r="AH20" i="13"/>
  <c r="AG20" i="13"/>
  <c r="AF20" i="13"/>
  <c r="AE20" i="13"/>
  <c r="AD20" i="13"/>
  <c r="AC20" i="13"/>
  <c r="AB20" i="13"/>
  <c r="AA20" i="13"/>
  <c r="Z20" i="13"/>
  <c r="Y20" i="13"/>
  <c r="X20" i="13"/>
  <c r="W20" i="13"/>
  <c r="V20" i="13"/>
  <c r="U20" i="13"/>
  <c r="T20" i="13"/>
  <c r="S20" i="13"/>
  <c r="R20" i="13"/>
  <c r="P20" i="13"/>
  <c r="O20" i="13"/>
  <c r="N20" i="13"/>
  <c r="M20" i="13"/>
  <c r="L20" i="13"/>
  <c r="K20" i="13"/>
  <c r="DL19" i="13"/>
  <c r="DK19" i="13"/>
  <c r="DJ19" i="13"/>
  <c r="DI19" i="13"/>
  <c r="DH19" i="13"/>
  <c r="DG19" i="13"/>
  <c r="DF19" i="13"/>
  <c r="DE19" i="13"/>
  <c r="DD19" i="13"/>
  <c r="DC19" i="13"/>
  <c r="DB19" i="13"/>
  <c r="DA19" i="13"/>
  <c r="CZ19" i="13"/>
  <c r="CY19" i="13"/>
  <c r="CX19" i="13"/>
  <c r="CW19"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M19" i="13"/>
  <c r="BL19" i="13"/>
  <c r="BI19" i="13"/>
  <c r="BH19" i="13"/>
  <c r="BG19" i="13"/>
  <c r="BF19" i="13"/>
  <c r="BC19" i="13"/>
  <c r="BB19" i="13"/>
  <c r="AY19" i="13"/>
  <c r="AX19" i="13"/>
  <c r="AU19" i="13"/>
  <c r="AT19" i="13"/>
  <c r="AS19" i="13"/>
  <c r="AR19" i="13"/>
  <c r="AQ19" i="13"/>
  <c r="AP19" i="13"/>
  <c r="AO19" i="13"/>
  <c r="AN19" i="13"/>
  <c r="AM19" i="13"/>
  <c r="AL19" i="13"/>
  <c r="AK19" i="13"/>
  <c r="AI19" i="13"/>
  <c r="AH19" i="13"/>
  <c r="AG19" i="13"/>
  <c r="AF19" i="13"/>
  <c r="AE19" i="13"/>
  <c r="AD19" i="13"/>
  <c r="AC19" i="13"/>
  <c r="AB19" i="13"/>
  <c r="AA19" i="13"/>
  <c r="Z19" i="13"/>
  <c r="Y19" i="13"/>
  <c r="X19" i="13"/>
  <c r="W19" i="13"/>
  <c r="V19" i="13"/>
  <c r="U19" i="13"/>
  <c r="T19" i="13"/>
  <c r="S19" i="13"/>
  <c r="R19" i="13"/>
  <c r="P19" i="13"/>
  <c r="O19" i="13"/>
  <c r="N19" i="13"/>
  <c r="M19" i="13"/>
  <c r="L19" i="13"/>
  <c r="K19" i="13"/>
  <c r="DL18" i="13"/>
  <c r="DK18" i="13"/>
  <c r="DJ18" i="13"/>
  <c r="DI18" i="13"/>
  <c r="DH18" i="13"/>
  <c r="DG18" i="13"/>
  <c r="DF18" i="13"/>
  <c r="DE18" i="13"/>
  <c r="DD18" i="13"/>
  <c r="DC18" i="13"/>
  <c r="DB18" i="13"/>
  <c r="DA18" i="13"/>
  <c r="CZ18" i="13"/>
  <c r="CY18" i="13"/>
  <c r="CX18" i="13"/>
  <c r="CW18" i="13"/>
  <c r="CV18" i="13"/>
  <c r="CU18" i="13"/>
  <c r="CT18" i="13"/>
  <c r="CS18" i="13"/>
  <c r="CR18" i="13"/>
  <c r="CQ18" i="13"/>
  <c r="CP18"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M18" i="13"/>
  <c r="BL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I18" i="13"/>
  <c r="AH18" i="13"/>
  <c r="AG18" i="13"/>
  <c r="AF18" i="13"/>
  <c r="AE18" i="13"/>
  <c r="AD18" i="13"/>
  <c r="AC18" i="13"/>
  <c r="AB18" i="13"/>
  <c r="AA18" i="13"/>
  <c r="Z18" i="13"/>
  <c r="Y18" i="13"/>
  <c r="X18" i="13"/>
  <c r="W18" i="13"/>
  <c r="V18" i="13"/>
  <c r="U18" i="13"/>
  <c r="T18" i="13"/>
  <c r="S18" i="13"/>
  <c r="R18" i="13"/>
  <c r="P18" i="13"/>
  <c r="O18" i="13"/>
  <c r="N18" i="13"/>
  <c r="M18" i="13"/>
  <c r="J18" i="13" s="1"/>
  <c r="L18" i="13"/>
  <c r="K18" i="13"/>
  <c r="DL17" i="13"/>
  <c r="DK17" i="13"/>
  <c r="DJ17" i="13"/>
  <c r="DI17" i="13"/>
  <c r="DH17" i="13"/>
  <c r="DG17" i="13"/>
  <c r="DF17" i="13"/>
  <c r="DE17" i="13"/>
  <c r="DD17" i="13"/>
  <c r="DC17" i="13"/>
  <c r="DB17" i="13"/>
  <c r="DA17" i="13"/>
  <c r="CZ17" i="13"/>
  <c r="CY17" i="13"/>
  <c r="CX17" i="13"/>
  <c r="CW17" i="13"/>
  <c r="CV17" i="13"/>
  <c r="CU17" i="13"/>
  <c r="CT17" i="13"/>
  <c r="CS17" i="13"/>
  <c r="CR17" i="13"/>
  <c r="CQ17" i="13"/>
  <c r="CP17" i="13"/>
  <c r="CO17" i="13"/>
  <c r="CN17" i="13"/>
  <c r="CM17" i="13"/>
  <c r="CL17" i="13"/>
  <c r="CK17" i="13"/>
  <c r="CJ17" i="13"/>
  <c r="CI17" i="13"/>
  <c r="CH17" i="13"/>
  <c r="CG17" i="13"/>
  <c r="CF17" i="13"/>
  <c r="CE17" i="13"/>
  <c r="CD17" i="13"/>
  <c r="CC17" i="13"/>
  <c r="CB17" i="13"/>
  <c r="CA17" i="13"/>
  <c r="BZ17" i="13"/>
  <c r="BY17" i="13"/>
  <c r="BX17" i="13"/>
  <c r="BW17" i="13"/>
  <c r="BV17" i="13"/>
  <c r="BU17" i="13"/>
  <c r="BT17" i="13"/>
  <c r="BS17" i="13"/>
  <c r="BR17" i="13"/>
  <c r="BQ17" i="13"/>
  <c r="BP17" i="13"/>
  <c r="BO17" i="13"/>
  <c r="BM17" i="13"/>
  <c r="BL17" i="13"/>
  <c r="BI17" i="13"/>
  <c r="BH17" i="13"/>
  <c r="BG17" i="13"/>
  <c r="BF17" i="13"/>
  <c r="BE17" i="13"/>
  <c r="BD17" i="13"/>
  <c r="BC17" i="13"/>
  <c r="BB17" i="13"/>
  <c r="AY17" i="13"/>
  <c r="AX17" i="13"/>
  <c r="AW17" i="13"/>
  <c r="AV17" i="13"/>
  <c r="AU17" i="13"/>
  <c r="AT17" i="13"/>
  <c r="AS17" i="13"/>
  <c r="AR17" i="13"/>
  <c r="AQ17" i="13"/>
  <c r="AP17" i="13"/>
  <c r="AO17" i="13"/>
  <c r="AN17" i="13"/>
  <c r="AM17" i="13"/>
  <c r="AL17" i="13"/>
  <c r="AK17" i="13"/>
  <c r="AI17" i="13"/>
  <c r="AH17" i="13"/>
  <c r="AG17" i="13"/>
  <c r="AF17" i="13"/>
  <c r="AE17" i="13"/>
  <c r="AD17" i="13"/>
  <c r="AC17" i="13"/>
  <c r="AB17" i="13"/>
  <c r="AA17" i="13"/>
  <c r="Z17" i="13"/>
  <c r="Y17" i="13"/>
  <c r="X17" i="13"/>
  <c r="W17" i="13"/>
  <c r="V17" i="13"/>
  <c r="U17" i="13"/>
  <c r="T17" i="13"/>
  <c r="S17" i="13"/>
  <c r="R17" i="13"/>
  <c r="P17" i="13"/>
  <c r="O17" i="13"/>
  <c r="N17" i="13"/>
  <c r="M17" i="13"/>
  <c r="J17" i="13" s="1"/>
  <c r="L17" i="13"/>
  <c r="K17" i="13"/>
  <c r="DL16" i="13"/>
  <c r="DK16" i="13"/>
  <c r="DJ16" i="13"/>
  <c r="DI16" i="13"/>
  <c r="DH16" i="13"/>
  <c r="DG16" i="13"/>
  <c r="DF16" i="13"/>
  <c r="DE16" i="13"/>
  <c r="DD16" i="13"/>
  <c r="DC16" i="13"/>
  <c r="DB16" i="13"/>
  <c r="DA16" i="13"/>
  <c r="CZ16" i="13"/>
  <c r="CY16" i="13"/>
  <c r="CX16" i="13"/>
  <c r="CW16"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M16" i="13"/>
  <c r="BL16" i="13"/>
  <c r="BI16" i="13"/>
  <c r="BH16" i="13"/>
  <c r="BG16" i="13"/>
  <c r="BF16" i="13"/>
  <c r="AY16" i="13"/>
  <c r="AX16" i="13"/>
  <c r="AU16" i="13"/>
  <c r="AS16" i="13"/>
  <c r="AP16" i="13"/>
  <c r="AO16" i="13"/>
  <c r="AN16" i="13"/>
  <c r="AM16" i="13"/>
  <c r="AL16" i="13"/>
  <c r="AK16" i="13"/>
  <c r="AI16" i="13"/>
  <c r="AH16" i="13"/>
  <c r="AG16" i="13"/>
  <c r="AF16" i="13"/>
  <c r="AE16" i="13"/>
  <c r="AD16" i="13"/>
  <c r="AC16" i="13"/>
  <c r="AB16" i="13"/>
  <c r="AA16" i="13"/>
  <c r="Z16" i="13"/>
  <c r="Y16" i="13"/>
  <c r="X16" i="13"/>
  <c r="W16" i="13"/>
  <c r="V16" i="13"/>
  <c r="U16" i="13"/>
  <c r="T16" i="13"/>
  <c r="S16" i="13"/>
  <c r="R16" i="13"/>
  <c r="P16" i="13"/>
  <c r="O16" i="13"/>
  <c r="N16" i="13"/>
  <c r="M16" i="13"/>
  <c r="J16" i="13" s="1"/>
  <c r="L16" i="13"/>
  <c r="K16" i="13"/>
  <c r="DL15" i="13"/>
  <c r="DK15" i="13"/>
  <c r="DJ15" i="13"/>
  <c r="DI15" i="13"/>
  <c r="DH15" i="13"/>
  <c r="DG15" i="13"/>
  <c r="DF15" i="13"/>
  <c r="DE15" i="13"/>
  <c r="DD15" i="13"/>
  <c r="DC15" i="13"/>
  <c r="DB15" i="13"/>
  <c r="DA15" i="13"/>
  <c r="CZ15" i="13"/>
  <c r="CY15" i="13"/>
  <c r="CX15" i="13"/>
  <c r="CW15" i="13"/>
  <c r="CV15" i="13"/>
  <c r="CU15" i="13"/>
  <c r="CT15" i="13"/>
  <c r="CS15" i="13"/>
  <c r="CR15" i="13"/>
  <c r="CQ15" i="13"/>
  <c r="CP15" i="13"/>
  <c r="CO15" i="13"/>
  <c r="CN15" i="13"/>
  <c r="CM15" i="13"/>
  <c r="CL15" i="13"/>
  <c r="CK15" i="13"/>
  <c r="CJ15" i="13"/>
  <c r="CI15" i="13"/>
  <c r="CH15" i="13"/>
  <c r="CG15" i="13"/>
  <c r="CF15" i="13"/>
  <c r="CE15" i="13"/>
  <c r="CD15" i="13"/>
  <c r="CC15" i="13"/>
  <c r="CB15" i="13"/>
  <c r="CA15" i="13"/>
  <c r="BZ15" i="13"/>
  <c r="BY15" i="13"/>
  <c r="BX15" i="13"/>
  <c r="BW15" i="13"/>
  <c r="BV15" i="13"/>
  <c r="BU15" i="13"/>
  <c r="BT15" i="13"/>
  <c r="BS15" i="13"/>
  <c r="BR15" i="13"/>
  <c r="BQ15" i="13"/>
  <c r="BP15" i="13"/>
  <c r="BO15" i="13"/>
  <c r="BM15" i="13"/>
  <c r="BL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I15" i="13"/>
  <c r="AH15" i="13"/>
  <c r="AG15" i="13"/>
  <c r="AF15" i="13"/>
  <c r="AE15" i="13"/>
  <c r="AD15" i="13"/>
  <c r="AC15" i="13"/>
  <c r="AB15" i="13"/>
  <c r="AA15" i="13"/>
  <c r="Z15" i="13"/>
  <c r="Y15" i="13"/>
  <c r="X15" i="13"/>
  <c r="W15" i="13"/>
  <c r="V15" i="13"/>
  <c r="U15" i="13"/>
  <c r="T15" i="13"/>
  <c r="S15" i="13"/>
  <c r="R15" i="13"/>
  <c r="P15" i="13"/>
  <c r="O15" i="13"/>
  <c r="N15" i="13"/>
  <c r="M15" i="13"/>
  <c r="J15" i="13" s="1"/>
  <c r="L15" i="13"/>
  <c r="K15" i="13"/>
  <c r="DL14" i="13"/>
  <c r="DK14" i="13"/>
  <c r="DJ14" i="13"/>
  <c r="DI14" i="13"/>
  <c r="DH14" i="13"/>
  <c r="DG14" i="13"/>
  <c r="DF14" i="13"/>
  <c r="DE14" i="13"/>
  <c r="DD14" i="13"/>
  <c r="DC14" i="13"/>
  <c r="DB14" i="13"/>
  <c r="DA14" i="13"/>
  <c r="CZ14" i="13"/>
  <c r="CY14" i="13"/>
  <c r="CX14" i="13"/>
  <c r="CW14" i="13"/>
  <c r="CV14" i="13"/>
  <c r="CU14" i="13"/>
  <c r="CT14" i="13"/>
  <c r="CS14" i="13"/>
  <c r="CR14" i="13"/>
  <c r="CQ14" i="13"/>
  <c r="CP14" i="13"/>
  <c r="CO14" i="13"/>
  <c r="CN14" i="13"/>
  <c r="CM14" i="13"/>
  <c r="CL14" i="13"/>
  <c r="CK14" i="13"/>
  <c r="CJ14" i="13"/>
  <c r="CI14" i="13"/>
  <c r="CH14" i="13"/>
  <c r="CG14" i="13"/>
  <c r="CF14" i="13"/>
  <c r="CE14" i="13"/>
  <c r="CD14" i="13"/>
  <c r="CC14" i="13"/>
  <c r="CB14" i="13"/>
  <c r="CA14" i="13"/>
  <c r="BZ14" i="13"/>
  <c r="BY14" i="13"/>
  <c r="BX14" i="13"/>
  <c r="BW14" i="13"/>
  <c r="BV14" i="13"/>
  <c r="BU14" i="13"/>
  <c r="BT14" i="13"/>
  <c r="BS14" i="13"/>
  <c r="BR14" i="13"/>
  <c r="BQ14" i="13"/>
  <c r="BP14" i="13"/>
  <c r="BO14" i="13"/>
  <c r="BM14" i="13"/>
  <c r="BL14" i="13"/>
  <c r="BI14" i="13"/>
  <c r="BH14" i="13"/>
  <c r="BG14" i="13"/>
  <c r="BF14" i="13"/>
  <c r="BE14" i="13"/>
  <c r="BD14" i="13"/>
  <c r="BC14" i="13"/>
  <c r="BB14" i="13"/>
  <c r="AY14" i="13"/>
  <c r="AX14" i="13"/>
  <c r="AU14" i="13"/>
  <c r="AT14" i="13"/>
  <c r="AS14" i="13"/>
  <c r="AR14" i="13"/>
  <c r="AQ14" i="13"/>
  <c r="AP14" i="13"/>
  <c r="AO14" i="13"/>
  <c r="AN14" i="13"/>
  <c r="AM14" i="13"/>
  <c r="AL14" i="13"/>
  <c r="AK14" i="13"/>
  <c r="AI14" i="13"/>
  <c r="AH14" i="13"/>
  <c r="AG14" i="13"/>
  <c r="AF14" i="13"/>
  <c r="AE14" i="13"/>
  <c r="AD14" i="13"/>
  <c r="AC14" i="13"/>
  <c r="AB14" i="13"/>
  <c r="AA14" i="13"/>
  <c r="Z14" i="13"/>
  <c r="Y14" i="13"/>
  <c r="X14" i="13"/>
  <c r="W14" i="13"/>
  <c r="V14" i="13"/>
  <c r="U14" i="13"/>
  <c r="T14" i="13"/>
  <c r="S14" i="13"/>
  <c r="R14" i="13"/>
  <c r="P14" i="13"/>
  <c r="O14" i="13"/>
  <c r="N14" i="13"/>
  <c r="M14" i="13"/>
  <c r="J14" i="13" s="1"/>
  <c r="L14" i="13"/>
  <c r="K14" i="13"/>
  <c r="DL13" i="13"/>
  <c r="DK13" i="13"/>
  <c r="DJ13" i="13"/>
  <c r="DI13" i="13"/>
  <c r="DH13" i="13"/>
  <c r="DG13" i="13"/>
  <c r="DF13" i="13"/>
  <c r="DE13" i="13"/>
  <c r="DD13" i="13"/>
  <c r="DC13" i="13"/>
  <c r="DB13" i="13"/>
  <c r="DA13" i="13"/>
  <c r="CZ13" i="13"/>
  <c r="CY13" i="13"/>
  <c r="CX13" i="13"/>
  <c r="CW13" i="13"/>
  <c r="CV13" i="13"/>
  <c r="CU13" i="13"/>
  <c r="CT13" i="13"/>
  <c r="CS13" i="13"/>
  <c r="CR13" i="13"/>
  <c r="CQ13" i="13"/>
  <c r="CP13" i="13"/>
  <c r="CO13" i="13"/>
  <c r="CN13" i="13"/>
  <c r="CM13" i="13"/>
  <c r="CL13" i="13"/>
  <c r="CK13" i="13"/>
  <c r="CJ13" i="13"/>
  <c r="CI13" i="13"/>
  <c r="CH13" i="13"/>
  <c r="CG13" i="13"/>
  <c r="CF13" i="13"/>
  <c r="CE13" i="13"/>
  <c r="CD13" i="13"/>
  <c r="CC13" i="13"/>
  <c r="CB13" i="13"/>
  <c r="CA13" i="13"/>
  <c r="BZ13" i="13"/>
  <c r="BY13" i="13"/>
  <c r="BX13" i="13"/>
  <c r="BW13" i="13"/>
  <c r="BV13" i="13"/>
  <c r="BU13" i="13"/>
  <c r="BT13" i="13"/>
  <c r="BS13" i="13"/>
  <c r="BR13" i="13"/>
  <c r="BQ13" i="13"/>
  <c r="BP13" i="13"/>
  <c r="BO13" i="13"/>
  <c r="BM13" i="13"/>
  <c r="BL13" i="13"/>
  <c r="BG13" i="13"/>
  <c r="BF13" i="13"/>
  <c r="AY13" i="13"/>
  <c r="AX13" i="13"/>
  <c r="AU13" i="13"/>
  <c r="AP13" i="13"/>
  <c r="AO13" i="13"/>
  <c r="AN13" i="13"/>
  <c r="AM13" i="13"/>
  <c r="AL13" i="13"/>
  <c r="AK13" i="13"/>
  <c r="AI13" i="13"/>
  <c r="AH13" i="13"/>
  <c r="AG13" i="13"/>
  <c r="AF13" i="13"/>
  <c r="AE13" i="13"/>
  <c r="AD13" i="13"/>
  <c r="AC13" i="13"/>
  <c r="AB13" i="13"/>
  <c r="AA13" i="13"/>
  <c r="Z13" i="13"/>
  <c r="Y13" i="13"/>
  <c r="X13" i="13"/>
  <c r="W13" i="13"/>
  <c r="V13" i="13"/>
  <c r="U13" i="13"/>
  <c r="T13" i="13"/>
  <c r="S13" i="13"/>
  <c r="R13" i="13"/>
  <c r="P13" i="13"/>
  <c r="O13" i="13"/>
  <c r="N13" i="13"/>
  <c r="M13" i="13"/>
  <c r="L13" i="13"/>
  <c r="K13" i="13"/>
  <c r="DL12" i="13"/>
  <c r="DK12" i="13"/>
  <c r="DJ12" i="13"/>
  <c r="DI12" i="13"/>
  <c r="DH12" i="13"/>
  <c r="DG12" i="13"/>
  <c r="DF12" i="13"/>
  <c r="DE12" i="13"/>
  <c r="DD12" i="13"/>
  <c r="DC12" i="13"/>
  <c r="DB12" i="13"/>
  <c r="DA12" i="13"/>
  <c r="CZ12" i="13"/>
  <c r="CY12" i="13"/>
  <c r="CX12" i="13"/>
  <c r="CW12" i="13"/>
  <c r="CV12" i="13"/>
  <c r="CU12" i="13"/>
  <c r="CT12" i="13"/>
  <c r="CS12" i="13"/>
  <c r="CR12" i="13"/>
  <c r="CQ12" i="13"/>
  <c r="CP12" i="13"/>
  <c r="CO12" i="13"/>
  <c r="CN12" i="13"/>
  <c r="CM12" i="13"/>
  <c r="CL12" i="13"/>
  <c r="CK12" i="13"/>
  <c r="CJ12" i="13"/>
  <c r="CI12" i="13"/>
  <c r="CH12" i="13"/>
  <c r="CG12" i="13"/>
  <c r="CF12" i="13"/>
  <c r="CE12" i="13"/>
  <c r="CD12" i="13"/>
  <c r="CC12" i="13"/>
  <c r="CB12" i="13"/>
  <c r="CA12" i="13"/>
  <c r="BZ12" i="13"/>
  <c r="BY12" i="13"/>
  <c r="BX12" i="13"/>
  <c r="BW12" i="13"/>
  <c r="BV12" i="13"/>
  <c r="BU12" i="13"/>
  <c r="BT12" i="13"/>
  <c r="BS12" i="13"/>
  <c r="BR12" i="13"/>
  <c r="BQ12" i="13"/>
  <c r="BP12" i="13"/>
  <c r="BO12" i="13"/>
  <c r="BM12" i="13"/>
  <c r="BL12" i="13"/>
  <c r="BI12" i="13"/>
  <c r="BH12" i="13"/>
  <c r="BG12" i="13"/>
  <c r="BF12" i="13"/>
  <c r="BE12" i="13"/>
  <c r="BD12" i="13"/>
  <c r="BC12" i="13"/>
  <c r="BB12" i="13"/>
  <c r="BA12" i="13"/>
  <c r="AZ12" i="13"/>
  <c r="AY12" i="13"/>
  <c r="AX12" i="13"/>
  <c r="AW12" i="13"/>
  <c r="AV12" i="13"/>
  <c r="AU12" i="13"/>
  <c r="AT12" i="13"/>
  <c r="AS12" i="13"/>
  <c r="AR12" i="13"/>
  <c r="AQ12" i="13"/>
  <c r="AP12" i="13"/>
  <c r="AO12" i="13"/>
  <c r="AN12" i="13"/>
  <c r="AM12" i="13"/>
  <c r="AL12" i="13"/>
  <c r="AK12" i="13"/>
  <c r="AI12" i="13"/>
  <c r="AH12" i="13"/>
  <c r="AG12" i="13"/>
  <c r="AF12" i="13"/>
  <c r="AE12" i="13"/>
  <c r="AD12" i="13"/>
  <c r="AC12" i="13"/>
  <c r="AB12" i="13"/>
  <c r="AA12" i="13"/>
  <c r="Z12" i="13"/>
  <c r="Y12" i="13"/>
  <c r="X12" i="13"/>
  <c r="W12" i="13"/>
  <c r="V12" i="13"/>
  <c r="U12" i="13"/>
  <c r="T12" i="13"/>
  <c r="S12" i="13"/>
  <c r="R12" i="13"/>
  <c r="P12" i="13"/>
  <c r="O12" i="13"/>
  <c r="N12" i="13"/>
  <c r="M12" i="13"/>
  <c r="L12" i="13"/>
  <c r="K12" i="13"/>
  <c r="DL11" i="13"/>
  <c r="DK11" i="13"/>
  <c r="DJ11" i="13"/>
  <c r="DI11" i="13"/>
  <c r="DH11" i="13"/>
  <c r="DG11" i="13"/>
  <c r="DF11" i="13"/>
  <c r="DE11" i="13"/>
  <c r="DD11" i="13"/>
  <c r="DC11" i="13"/>
  <c r="DB11" i="13"/>
  <c r="DA11" i="13"/>
  <c r="CZ11" i="13"/>
  <c r="CY11" i="13"/>
  <c r="CX11" i="13"/>
  <c r="CW11" i="13"/>
  <c r="CV11" i="13"/>
  <c r="CU11" i="13"/>
  <c r="CT11" i="13"/>
  <c r="CS11" i="13"/>
  <c r="CR11" i="13"/>
  <c r="CQ11" i="13"/>
  <c r="CP11" i="13"/>
  <c r="CO11" i="13"/>
  <c r="CN11" i="13"/>
  <c r="CM11" i="13"/>
  <c r="CL11" i="13"/>
  <c r="CK11" i="13"/>
  <c r="CJ11" i="13"/>
  <c r="CI11" i="13"/>
  <c r="CH11" i="13"/>
  <c r="CG11" i="13"/>
  <c r="CF11" i="13"/>
  <c r="CE11" i="13"/>
  <c r="CD11" i="13"/>
  <c r="CC11" i="13"/>
  <c r="CB11" i="13"/>
  <c r="CA11" i="13"/>
  <c r="BZ11" i="13"/>
  <c r="BY11" i="13"/>
  <c r="BX11" i="13"/>
  <c r="BW11" i="13"/>
  <c r="BV11" i="13"/>
  <c r="BU11" i="13"/>
  <c r="BT11" i="13"/>
  <c r="BS11" i="13"/>
  <c r="BR11" i="13"/>
  <c r="BQ11" i="13"/>
  <c r="BP11" i="13"/>
  <c r="BO11" i="13"/>
  <c r="BM11" i="13"/>
  <c r="BL11" i="13"/>
  <c r="BI11" i="13"/>
  <c r="BH11" i="13"/>
  <c r="BG11" i="13"/>
  <c r="BF11" i="13"/>
  <c r="BE11" i="13"/>
  <c r="BD11" i="13"/>
  <c r="BC11" i="13"/>
  <c r="BB11" i="13"/>
  <c r="BA11" i="13"/>
  <c r="AZ11" i="13"/>
  <c r="AY11" i="13"/>
  <c r="AX11" i="13"/>
  <c r="AW11" i="13"/>
  <c r="AV11" i="13"/>
  <c r="AU11" i="13"/>
  <c r="AT11" i="13"/>
  <c r="AS11" i="13"/>
  <c r="AR11" i="13"/>
  <c r="AQ11" i="13"/>
  <c r="AP11" i="13"/>
  <c r="AO11" i="13"/>
  <c r="AN11" i="13"/>
  <c r="AM11" i="13"/>
  <c r="AL11" i="13"/>
  <c r="AK11" i="13"/>
  <c r="AI11" i="13"/>
  <c r="AH11" i="13"/>
  <c r="AG11" i="13"/>
  <c r="AF11" i="13"/>
  <c r="AE11" i="13"/>
  <c r="AD11" i="13"/>
  <c r="AC11" i="13"/>
  <c r="AB11" i="13"/>
  <c r="AA11" i="13"/>
  <c r="Z11" i="13"/>
  <c r="Y11" i="13"/>
  <c r="X11" i="13"/>
  <c r="W11" i="13"/>
  <c r="V11" i="13"/>
  <c r="U11" i="13"/>
  <c r="T11" i="13"/>
  <c r="S11" i="13"/>
  <c r="R11" i="13"/>
  <c r="P11" i="13"/>
  <c r="O11" i="13"/>
  <c r="N11" i="13"/>
  <c r="M11" i="13"/>
  <c r="J11" i="13" s="1"/>
  <c r="L11" i="13"/>
  <c r="K11" i="13"/>
  <c r="DL10" i="13"/>
  <c r="DK10" i="13"/>
  <c r="DJ10" i="13"/>
  <c r="DI10" i="13"/>
  <c r="DH10" i="13"/>
  <c r="DG10" i="13"/>
  <c r="DF10" i="13"/>
  <c r="DE10" i="13"/>
  <c r="DD10" i="13"/>
  <c r="DC10" i="13"/>
  <c r="DB10" i="13"/>
  <c r="DA10" i="13"/>
  <c r="CZ10" i="13"/>
  <c r="CY10" i="13"/>
  <c r="CX10" i="13"/>
  <c r="CW10" i="13"/>
  <c r="CV10" i="13"/>
  <c r="CU10" i="13"/>
  <c r="CT10" i="13"/>
  <c r="CS10" i="13"/>
  <c r="CR10" i="13"/>
  <c r="CQ10" i="13"/>
  <c r="CP10" i="13"/>
  <c r="CO10" i="13"/>
  <c r="CN10" i="13"/>
  <c r="CM10" i="13"/>
  <c r="CL10" i="13"/>
  <c r="CK10" i="13"/>
  <c r="CJ10" i="13"/>
  <c r="CI10" i="13"/>
  <c r="CH10" i="13"/>
  <c r="CG10" i="13"/>
  <c r="CF10" i="13"/>
  <c r="CE10" i="13"/>
  <c r="CD10" i="13"/>
  <c r="CC10" i="13"/>
  <c r="CB10" i="13"/>
  <c r="CA10" i="13"/>
  <c r="BZ10" i="13"/>
  <c r="BY10" i="13"/>
  <c r="BX10" i="13"/>
  <c r="BW10" i="13"/>
  <c r="BV10" i="13"/>
  <c r="BU10" i="13"/>
  <c r="BT10" i="13"/>
  <c r="BS10" i="13"/>
  <c r="BR10" i="13"/>
  <c r="BQ10" i="13"/>
  <c r="BP10" i="13"/>
  <c r="BO10" i="13"/>
  <c r="BM10" i="13"/>
  <c r="BL10" i="13"/>
  <c r="BI10" i="13"/>
  <c r="BH10" i="13"/>
  <c r="BG10" i="13"/>
  <c r="BF10" i="13"/>
  <c r="BE10" i="13"/>
  <c r="BD10" i="13"/>
  <c r="BC10" i="13"/>
  <c r="BB10" i="13"/>
  <c r="BA10" i="13"/>
  <c r="AZ10" i="13"/>
  <c r="AY10" i="13"/>
  <c r="AX10" i="13"/>
  <c r="AW10" i="13"/>
  <c r="AV10" i="13"/>
  <c r="AU10" i="13"/>
  <c r="AT10" i="13"/>
  <c r="AS10" i="13"/>
  <c r="AR10" i="13"/>
  <c r="AQ10" i="13"/>
  <c r="AP10" i="13"/>
  <c r="AO10" i="13"/>
  <c r="AN10" i="13"/>
  <c r="AM10" i="13"/>
  <c r="AL10" i="13"/>
  <c r="AK10" i="13"/>
  <c r="AI10" i="13"/>
  <c r="AH10" i="13"/>
  <c r="AG10" i="13"/>
  <c r="AF10" i="13"/>
  <c r="AE10" i="13"/>
  <c r="AD10" i="13"/>
  <c r="AC10" i="13"/>
  <c r="AB10" i="13"/>
  <c r="AA10" i="13"/>
  <c r="Z10" i="13"/>
  <c r="Y10" i="13"/>
  <c r="X10" i="13"/>
  <c r="W10" i="13"/>
  <c r="V10" i="13"/>
  <c r="U10" i="13"/>
  <c r="T10" i="13"/>
  <c r="S10" i="13"/>
  <c r="R10" i="13"/>
  <c r="P10" i="13"/>
  <c r="O10" i="13"/>
  <c r="N10" i="13"/>
  <c r="M10" i="13"/>
  <c r="L10" i="13"/>
  <c r="K10" i="13"/>
  <c r="DL9" i="13"/>
  <c r="DK9" i="13"/>
  <c r="DJ9" i="13"/>
  <c r="DI9" i="13"/>
  <c r="DH9" i="13"/>
  <c r="DG9" i="13"/>
  <c r="DF9" i="13"/>
  <c r="DE9" i="13"/>
  <c r="DD9" i="13"/>
  <c r="DC9" i="13"/>
  <c r="DB9" i="13"/>
  <c r="DA9" i="13"/>
  <c r="CZ9" i="13"/>
  <c r="CY9" i="13"/>
  <c r="CX9" i="13"/>
  <c r="CW9" i="13"/>
  <c r="CV9" i="13"/>
  <c r="CU9" i="13"/>
  <c r="CT9" i="13"/>
  <c r="CS9" i="13"/>
  <c r="CR9" i="13"/>
  <c r="CQ9" i="13"/>
  <c r="CP9" i="13"/>
  <c r="CO9" i="13"/>
  <c r="CN9" i="13"/>
  <c r="CM9" i="13"/>
  <c r="CL9" i="13"/>
  <c r="CK9" i="13"/>
  <c r="CJ9" i="13"/>
  <c r="CI9" i="13"/>
  <c r="CH9" i="13"/>
  <c r="CG9" i="13"/>
  <c r="CF9" i="13"/>
  <c r="CE9" i="13"/>
  <c r="CD9" i="13"/>
  <c r="CC9" i="13"/>
  <c r="CB9" i="13"/>
  <c r="CA9" i="13"/>
  <c r="BZ9" i="13"/>
  <c r="BY9" i="13"/>
  <c r="BX9" i="13"/>
  <c r="BW9" i="13"/>
  <c r="BV9" i="13"/>
  <c r="BU9" i="13"/>
  <c r="BT9" i="13"/>
  <c r="BS9" i="13"/>
  <c r="BR9" i="13"/>
  <c r="BQ9" i="13"/>
  <c r="BP9" i="13"/>
  <c r="BO9" i="13"/>
  <c r="BM9" i="13"/>
  <c r="BL9" i="13"/>
  <c r="BI9" i="13"/>
  <c r="BH9" i="13"/>
  <c r="BE9" i="13"/>
  <c r="BD9" i="13"/>
  <c r="AY9" i="13"/>
  <c r="AX9" i="13"/>
  <c r="AU9" i="13"/>
  <c r="AS9" i="13"/>
  <c r="AP9" i="13"/>
  <c r="AO9" i="13"/>
  <c r="AN9" i="13"/>
  <c r="AM9" i="13"/>
  <c r="AL9" i="13"/>
  <c r="AK9" i="13"/>
  <c r="AI9" i="13"/>
  <c r="AH9" i="13"/>
  <c r="AG9" i="13"/>
  <c r="AF9" i="13"/>
  <c r="AE9" i="13"/>
  <c r="AD9" i="13"/>
  <c r="AC9" i="13"/>
  <c r="AB9" i="13"/>
  <c r="AA9" i="13"/>
  <c r="Z9" i="13"/>
  <c r="Y9" i="13"/>
  <c r="X9" i="13"/>
  <c r="W9" i="13"/>
  <c r="V9" i="13"/>
  <c r="U9" i="13"/>
  <c r="T9" i="13"/>
  <c r="S9" i="13"/>
  <c r="R9" i="13"/>
  <c r="P9" i="13"/>
  <c r="O9" i="13"/>
  <c r="N9" i="13"/>
  <c r="M9" i="13"/>
  <c r="L9" i="13"/>
  <c r="K9" i="13"/>
  <c r="DL8" i="13"/>
  <c r="DK8" i="13"/>
  <c r="DJ8" i="13"/>
  <c r="DI8" i="13"/>
  <c r="DH8" i="13"/>
  <c r="DG8" i="13"/>
  <c r="DF8" i="13"/>
  <c r="DE8" i="13"/>
  <c r="DD8" i="13"/>
  <c r="DC8" i="13"/>
  <c r="DB8" i="13"/>
  <c r="DA8" i="13"/>
  <c r="CZ8" i="13"/>
  <c r="CY8" i="13"/>
  <c r="CX8" i="13"/>
  <c r="CW8" i="13"/>
  <c r="CV8" i="13"/>
  <c r="CU8" i="13"/>
  <c r="CT8" i="13"/>
  <c r="CS8" i="13"/>
  <c r="CR8" i="13"/>
  <c r="CQ8" i="13"/>
  <c r="CP8" i="13"/>
  <c r="CO8" i="13"/>
  <c r="CN8" i="13"/>
  <c r="CM8" i="13"/>
  <c r="CL8" i="13"/>
  <c r="CK8" i="13"/>
  <c r="CJ8" i="13"/>
  <c r="CI8" i="13"/>
  <c r="CH8" i="13"/>
  <c r="CG8" i="13"/>
  <c r="CF8" i="13"/>
  <c r="CE8" i="13"/>
  <c r="CD8" i="13"/>
  <c r="CC8" i="13"/>
  <c r="CB8" i="13"/>
  <c r="CA8" i="13"/>
  <c r="BZ8" i="13"/>
  <c r="BY8" i="13"/>
  <c r="BX8" i="13"/>
  <c r="BW8" i="13"/>
  <c r="BV8" i="13"/>
  <c r="BU8" i="13"/>
  <c r="BT8" i="13"/>
  <c r="BS8" i="13"/>
  <c r="BR8" i="13"/>
  <c r="BQ8" i="13"/>
  <c r="BP8" i="13"/>
  <c r="BO8" i="13"/>
  <c r="BM8" i="13"/>
  <c r="BL8" i="13"/>
  <c r="BG8" i="13"/>
  <c r="BF8" i="13"/>
  <c r="BE8" i="13"/>
  <c r="BD8" i="13"/>
  <c r="BC8" i="13"/>
  <c r="BB8" i="13"/>
  <c r="BA8" i="13"/>
  <c r="AZ8" i="13"/>
  <c r="AW8" i="13"/>
  <c r="AV8" i="13"/>
  <c r="AU8" i="13"/>
  <c r="AT8" i="13"/>
  <c r="AR8" i="13"/>
  <c r="AQ8" i="13"/>
  <c r="AP8" i="13"/>
  <c r="AO8" i="13"/>
  <c r="AN8" i="13"/>
  <c r="AM8" i="13"/>
  <c r="AL8" i="13"/>
  <c r="AK8" i="13"/>
  <c r="AI8" i="13"/>
  <c r="AH8" i="13"/>
  <c r="AG8" i="13"/>
  <c r="AF8" i="13"/>
  <c r="AE8" i="13"/>
  <c r="AD8" i="13"/>
  <c r="AC8" i="13"/>
  <c r="V8" i="13"/>
  <c r="U8" i="13"/>
  <c r="T8" i="13"/>
  <c r="S8" i="13"/>
  <c r="R8" i="13"/>
  <c r="P8" i="13"/>
  <c r="O8" i="13"/>
  <c r="N8" i="13"/>
  <c r="M8" i="13"/>
  <c r="J8" i="13" s="1"/>
  <c r="L8" i="13"/>
  <c r="K8"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H7" i="13"/>
  <c r="CG7" i="13"/>
  <c r="CF7" i="13"/>
  <c r="CE7" i="13"/>
  <c r="CD7" i="13"/>
  <c r="CC7" i="13"/>
  <c r="CB7" i="13"/>
  <c r="CA7" i="13"/>
  <c r="BZ7" i="13"/>
  <c r="BY7" i="13"/>
  <c r="BX7" i="13"/>
  <c r="BW7" i="13"/>
  <c r="BV7" i="13"/>
  <c r="BU7" i="13"/>
  <c r="BT7" i="13"/>
  <c r="BS7" i="13"/>
  <c r="BR7" i="13"/>
  <c r="BQ7" i="13"/>
  <c r="BP7" i="13"/>
  <c r="BO7" i="13"/>
  <c r="BM7" i="13"/>
  <c r="BL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I7" i="13"/>
  <c r="AH7" i="13"/>
  <c r="AG7" i="13"/>
  <c r="AF7" i="13"/>
  <c r="AE7" i="13"/>
  <c r="AD7" i="13"/>
  <c r="AC7" i="13"/>
  <c r="AB7" i="13"/>
  <c r="AA7" i="13"/>
  <c r="Z7" i="13"/>
  <c r="Y7" i="13"/>
  <c r="X7" i="13"/>
  <c r="W7" i="13"/>
  <c r="V7" i="13"/>
  <c r="U7" i="13"/>
  <c r="T7" i="13"/>
  <c r="S7" i="13"/>
  <c r="R7" i="13"/>
  <c r="P7" i="13"/>
  <c r="O7" i="13"/>
  <c r="N7" i="13"/>
  <c r="M7" i="13"/>
  <c r="J7" i="13" s="1"/>
  <c r="L7" i="13"/>
  <c r="K7" i="13"/>
  <c r="DL6" i="13"/>
  <c r="DK6" i="13"/>
  <c r="DJ6" i="13"/>
  <c r="DI6" i="13"/>
  <c r="DH6" i="13"/>
  <c r="DG6" i="13"/>
  <c r="DF6" i="13"/>
  <c r="DE6" i="13"/>
  <c r="DD6" i="13"/>
  <c r="DC6" i="13"/>
  <c r="DB6" i="13"/>
  <c r="DA6" i="13"/>
  <c r="CZ6" i="13"/>
  <c r="CY6" i="13"/>
  <c r="CX6" i="13"/>
  <c r="CW6" i="13"/>
  <c r="CV6" i="13"/>
  <c r="CU6" i="13"/>
  <c r="CT6" i="13"/>
  <c r="CS6" i="13"/>
  <c r="CR6" i="13"/>
  <c r="CQ6" i="13"/>
  <c r="CP6" i="13"/>
  <c r="CO6" i="13"/>
  <c r="CN6" i="13"/>
  <c r="CM6" i="13"/>
  <c r="CL6" i="13"/>
  <c r="CK6" i="13"/>
  <c r="CJ6" i="13"/>
  <c r="CI6" i="13"/>
  <c r="CH6" i="13"/>
  <c r="CG6" i="13"/>
  <c r="CF6" i="13"/>
  <c r="CE6" i="13"/>
  <c r="CD6" i="13"/>
  <c r="CC6" i="13"/>
  <c r="CB6" i="13"/>
  <c r="CA6" i="13"/>
  <c r="BZ6" i="13"/>
  <c r="BY6" i="13"/>
  <c r="BX6" i="13"/>
  <c r="BW6" i="13"/>
  <c r="BV6" i="13"/>
  <c r="BU6" i="13"/>
  <c r="BT6" i="13"/>
  <c r="BS6" i="13"/>
  <c r="BR6" i="13"/>
  <c r="BQ6" i="13"/>
  <c r="BP6" i="13"/>
  <c r="BO6" i="13"/>
  <c r="BM6" i="13"/>
  <c r="BL6" i="13"/>
  <c r="BI6" i="13"/>
  <c r="BH6" i="13"/>
  <c r="BG6" i="13"/>
  <c r="BF6" i="13"/>
  <c r="AY6" i="13"/>
  <c r="AX6" i="13"/>
  <c r="AU6" i="13"/>
  <c r="AT6" i="13"/>
  <c r="AS6" i="13"/>
  <c r="AQ6" i="13"/>
  <c r="AP6" i="13"/>
  <c r="AO6" i="13"/>
  <c r="AN6" i="13"/>
  <c r="AM6" i="13"/>
  <c r="AL6" i="13"/>
  <c r="AK6" i="13"/>
  <c r="AI6" i="13"/>
  <c r="AH6" i="13"/>
  <c r="AG6" i="13"/>
  <c r="AF6" i="13"/>
  <c r="AE6" i="13"/>
  <c r="AD6" i="13"/>
  <c r="AC6" i="13"/>
  <c r="AB6" i="13"/>
  <c r="AA6" i="13"/>
  <c r="Z6" i="13"/>
  <c r="Y6" i="13"/>
  <c r="X6" i="13"/>
  <c r="W6" i="13"/>
  <c r="V6" i="13"/>
  <c r="U6" i="13"/>
  <c r="T6" i="13"/>
  <c r="S6" i="13"/>
  <c r="R6" i="13"/>
  <c r="P6" i="13"/>
  <c r="O6" i="13"/>
  <c r="N6" i="13"/>
  <c r="M6" i="13"/>
  <c r="L6" i="13"/>
  <c r="K6" i="13"/>
  <c r="DL5" i="13"/>
  <c r="DK5" i="13"/>
  <c r="DJ5" i="13"/>
  <c r="DI5" i="13"/>
  <c r="DH5" i="13"/>
  <c r="DG5" i="13"/>
  <c r="DF5" i="13"/>
  <c r="DE5" i="13"/>
  <c r="DD5" i="13"/>
  <c r="DC5" i="13"/>
  <c r="DB5" i="13"/>
  <c r="DA5" i="13"/>
  <c r="CZ5" i="13"/>
  <c r="CY5" i="13"/>
  <c r="CX5" i="13"/>
  <c r="CW5" i="13"/>
  <c r="CV5" i="13"/>
  <c r="CU5" i="13"/>
  <c r="CT5" i="13"/>
  <c r="CS5" i="13"/>
  <c r="CR5" i="13"/>
  <c r="CQ5" i="13"/>
  <c r="CP5" i="13"/>
  <c r="CO5" i="13"/>
  <c r="CN5" i="13"/>
  <c r="CM5" i="13"/>
  <c r="CL5" i="13"/>
  <c r="CK5" i="13"/>
  <c r="CJ5" i="13"/>
  <c r="CI5" i="13"/>
  <c r="CH5" i="13"/>
  <c r="CG5" i="13"/>
  <c r="CF5" i="13"/>
  <c r="CE5" i="13"/>
  <c r="CD5" i="13"/>
  <c r="CC5" i="13"/>
  <c r="CB5" i="13"/>
  <c r="CA5" i="13"/>
  <c r="BZ5" i="13"/>
  <c r="BY5" i="13"/>
  <c r="BX5" i="13"/>
  <c r="BW5" i="13"/>
  <c r="BV5" i="13"/>
  <c r="BU5" i="13"/>
  <c r="BT5" i="13"/>
  <c r="BS5" i="13"/>
  <c r="BR5" i="13"/>
  <c r="BQ5" i="13"/>
  <c r="BP5" i="13"/>
  <c r="BO5" i="13"/>
  <c r="BM5" i="13"/>
  <c r="BL5" i="13"/>
  <c r="BE5" i="13"/>
  <c r="BD5" i="13"/>
  <c r="BC5" i="13"/>
  <c r="BB5" i="13"/>
  <c r="AY5" i="13"/>
  <c r="AX5" i="13"/>
  <c r="AP5" i="13"/>
  <c r="AO5" i="13"/>
  <c r="AN5" i="13"/>
  <c r="AM5" i="13"/>
  <c r="AI5" i="13"/>
  <c r="AH5" i="13"/>
  <c r="AG5" i="13"/>
  <c r="AF5" i="13"/>
  <c r="AE5" i="13"/>
  <c r="AD5" i="13"/>
  <c r="AC5" i="13"/>
  <c r="AB5" i="13"/>
  <c r="AA5" i="13"/>
  <c r="Z5" i="13"/>
  <c r="Y5" i="13"/>
  <c r="X5" i="13"/>
  <c r="W5" i="13"/>
  <c r="V5" i="13"/>
  <c r="U5" i="13"/>
  <c r="T5" i="13"/>
  <c r="S5" i="13"/>
  <c r="R5" i="13"/>
  <c r="P5" i="13"/>
  <c r="O5" i="13"/>
  <c r="N5" i="13"/>
  <c r="M5" i="13"/>
  <c r="J5" i="13" s="1"/>
  <c r="L5" i="13"/>
  <c r="K5" i="13"/>
  <c r="DL4" i="13"/>
  <c r="DK4" i="13"/>
  <c r="DJ4" i="13"/>
  <c r="DI4" i="13"/>
  <c r="DH4" i="13"/>
  <c r="DG4" i="13"/>
  <c r="DF4" i="13"/>
  <c r="DE4" i="13"/>
  <c r="DD4" i="13"/>
  <c r="DC4" i="13"/>
  <c r="DB4" i="13"/>
  <c r="DA4" i="13"/>
  <c r="CZ4" i="13"/>
  <c r="CY4" i="13"/>
  <c r="CX4" i="13"/>
  <c r="CW4" i="13"/>
  <c r="CV4" i="13"/>
  <c r="CU4" i="13"/>
  <c r="CT4" i="13"/>
  <c r="CS4" i="13"/>
  <c r="CR4" i="13"/>
  <c r="CQ4" i="13"/>
  <c r="CP4" i="13"/>
  <c r="CO4" i="13"/>
  <c r="CN4" i="13"/>
  <c r="CM4" i="13"/>
  <c r="CL4" i="13"/>
  <c r="CK4" i="13"/>
  <c r="CJ4" i="13"/>
  <c r="CI4" i="13"/>
  <c r="CH4" i="13"/>
  <c r="CG4" i="13"/>
  <c r="CF4" i="13"/>
  <c r="CE4" i="13"/>
  <c r="CD4" i="13"/>
  <c r="CC4" i="13"/>
  <c r="CB4" i="13"/>
  <c r="CA4" i="13"/>
  <c r="BZ4" i="13"/>
  <c r="BY4" i="13"/>
  <c r="BX4" i="13"/>
  <c r="BW4" i="13"/>
  <c r="BV4" i="13"/>
  <c r="BU4" i="13"/>
  <c r="BT4" i="13"/>
  <c r="BS4" i="13"/>
  <c r="BR4" i="13"/>
  <c r="BQ4" i="13"/>
  <c r="BP4" i="13"/>
  <c r="BO4" i="13"/>
  <c r="BM4" i="13"/>
  <c r="BL4" i="13"/>
  <c r="BI4" i="13"/>
  <c r="BH4" i="13"/>
  <c r="BG4" i="13"/>
  <c r="BF4" i="13"/>
  <c r="BE4" i="13"/>
  <c r="BD4" i="13"/>
  <c r="BC4" i="13"/>
  <c r="BB4" i="13"/>
  <c r="BA4" i="13"/>
  <c r="AZ4" i="13"/>
  <c r="AY4" i="13"/>
  <c r="AX4" i="13"/>
  <c r="AW4" i="13"/>
  <c r="AV4" i="13"/>
  <c r="AU4" i="13"/>
  <c r="AT4" i="13"/>
  <c r="AS4" i="13"/>
  <c r="AR4" i="13"/>
  <c r="AQ4" i="13"/>
  <c r="AP4" i="13"/>
  <c r="AO4" i="13"/>
  <c r="AN4" i="13"/>
  <c r="AM4" i="13"/>
  <c r="AL4" i="13"/>
  <c r="AK4" i="13"/>
  <c r="AI4" i="13"/>
  <c r="AH4" i="13"/>
  <c r="AG4" i="13"/>
  <c r="AF4" i="13"/>
  <c r="AE4" i="13"/>
  <c r="AD4" i="13"/>
  <c r="AC4" i="13"/>
  <c r="V4" i="13"/>
  <c r="U4" i="13"/>
  <c r="T4" i="13"/>
  <c r="S4" i="13"/>
  <c r="R4" i="13"/>
  <c r="P4" i="13"/>
  <c r="O4" i="13"/>
  <c r="N4" i="13"/>
  <c r="M4" i="13"/>
  <c r="L4" i="13"/>
  <c r="K4" i="13"/>
  <c r="DL3" i="13"/>
  <c r="DK3" i="13"/>
  <c r="DJ3" i="13"/>
  <c r="DI3" i="13"/>
  <c r="DH3" i="13"/>
  <c r="DG3" i="13"/>
  <c r="DF3" i="13"/>
  <c r="DE3" i="13"/>
  <c r="DD3" i="13"/>
  <c r="DC3" i="13"/>
  <c r="DB3" i="13"/>
  <c r="DA3" i="13"/>
  <c r="CZ3" i="13"/>
  <c r="CY3" i="13"/>
  <c r="CX3" i="13"/>
  <c r="CW3" i="13"/>
  <c r="CV3" i="13"/>
  <c r="CU3" i="13"/>
  <c r="CT3" i="13"/>
  <c r="CS3" i="13"/>
  <c r="CR3" i="13"/>
  <c r="CQ3" i="13"/>
  <c r="CP3" i="13"/>
  <c r="CO3" i="13"/>
  <c r="CN3" i="13"/>
  <c r="CM3" i="13"/>
  <c r="CL3" i="13"/>
  <c r="CK3" i="13"/>
  <c r="CJ3" i="13"/>
  <c r="CI3" i="13"/>
  <c r="CH3" i="13"/>
  <c r="CG3" i="13"/>
  <c r="CF3" i="13"/>
  <c r="CE3" i="13"/>
  <c r="CD3" i="13"/>
  <c r="CC3" i="13"/>
  <c r="CB3" i="13"/>
  <c r="CA3" i="13"/>
  <c r="BZ3" i="13"/>
  <c r="BY3" i="13"/>
  <c r="BX3" i="13"/>
  <c r="BW3" i="13"/>
  <c r="BV3" i="13"/>
  <c r="BU3" i="13"/>
  <c r="BT3" i="13"/>
  <c r="BS3" i="13"/>
  <c r="BR3" i="13"/>
  <c r="BQ3" i="13"/>
  <c r="BP3" i="13"/>
  <c r="BO3" i="13"/>
  <c r="BN3" i="13"/>
  <c r="BM3" i="13"/>
  <c r="BL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I3" i="13"/>
  <c r="AH3" i="13"/>
  <c r="AG3" i="13"/>
  <c r="AF3" i="13"/>
  <c r="AE3" i="13"/>
  <c r="AD3" i="13"/>
  <c r="AC3" i="13"/>
  <c r="AB3" i="13"/>
  <c r="AA3" i="13"/>
  <c r="Z3" i="13"/>
  <c r="Y3" i="13"/>
  <c r="X3" i="13"/>
  <c r="W3" i="13"/>
  <c r="V3" i="13"/>
  <c r="U3" i="13"/>
  <c r="T3" i="13"/>
  <c r="S3" i="13"/>
  <c r="R3" i="13"/>
  <c r="P3" i="13"/>
  <c r="O3" i="13"/>
  <c r="N3" i="13"/>
  <c r="M3" i="13"/>
  <c r="L3" i="13"/>
  <c r="K3" i="13"/>
  <c r="E84" i="94" l="1"/>
  <c r="C4" i="104"/>
  <c r="D4" i="104" s="1"/>
  <c r="B10" i="104" s="1"/>
  <c r="C4" i="95"/>
  <c r="D4" i="95" s="1"/>
  <c r="B10" i="95" s="1"/>
  <c r="E26" i="100"/>
  <c r="E26" i="101"/>
  <c r="E15" i="101"/>
  <c r="E15" i="100"/>
  <c r="E38" i="101"/>
  <c r="E38" i="100"/>
  <c r="E41" i="100"/>
  <c r="E41" i="101"/>
  <c r="E82" i="101"/>
  <c r="E82" i="100"/>
  <c r="E17" i="101"/>
  <c r="E17" i="100"/>
  <c r="E22" i="100"/>
  <c r="E22" i="101"/>
  <c r="E104" i="100"/>
  <c r="E104" i="101"/>
  <c r="E95" i="101"/>
  <c r="E95" i="100"/>
  <c r="E126" i="101"/>
  <c r="E126" i="100"/>
  <c r="E102" i="100"/>
  <c r="E102" i="101"/>
  <c r="E72" i="100"/>
  <c r="E72" i="101"/>
  <c r="E118" i="100"/>
  <c r="E118" i="101"/>
  <c r="E103" i="101"/>
  <c r="E103" i="100"/>
  <c r="E39" i="100"/>
  <c r="E39" i="101"/>
  <c r="E139" i="101"/>
  <c r="E155" i="101"/>
  <c r="E149" i="101"/>
  <c r="E159" i="101"/>
  <c r="E154" i="100"/>
  <c r="E5" i="100"/>
  <c r="E5" i="101"/>
  <c r="E24" i="101"/>
  <c r="E24" i="100"/>
  <c r="E111" i="101"/>
  <c r="E111" i="100"/>
  <c r="E98" i="101"/>
  <c r="E98" i="100"/>
  <c r="E89" i="100"/>
  <c r="E89" i="101"/>
  <c r="E127" i="100"/>
  <c r="E127" i="101"/>
  <c r="E90" i="100"/>
  <c r="E90" i="101"/>
  <c r="E130" i="100"/>
  <c r="E130" i="101"/>
  <c r="E112" i="100"/>
  <c r="E112" i="101"/>
  <c r="E42" i="101"/>
  <c r="E42" i="100"/>
  <c r="E43" i="100"/>
  <c r="E43" i="101"/>
  <c r="E75" i="100"/>
  <c r="E75" i="101"/>
  <c r="E40" i="100"/>
  <c r="E40" i="101"/>
  <c r="E9" i="101"/>
  <c r="E9" i="100"/>
  <c r="E32" i="100"/>
  <c r="E32" i="101"/>
  <c r="E132" i="100"/>
  <c r="E132" i="101"/>
  <c r="E45" i="101"/>
  <c r="E45" i="100"/>
  <c r="E85" i="100"/>
  <c r="E85" i="101"/>
  <c r="E162" i="101"/>
  <c r="E151" i="100"/>
  <c r="E157" i="100"/>
  <c r="E108" i="100"/>
  <c r="E108" i="101"/>
  <c r="E119" i="100"/>
  <c r="E119" i="101"/>
  <c r="E71" i="101"/>
  <c r="E71" i="100"/>
  <c r="E53" i="101"/>
  <c r="E53" i="100"/>
  <c r="E66" i="100"/>
  <c r="E66" i="101"/>
  <c r="E106" i="100"/>
  <c r="E106" i="101"/>
  <c r="E116" i="100"/>
  <c r="E116" i="101"/>
  <c r="E64" i="101"/>
  <c r="E64" i="100"/>
  <c r="E115" i="100"/>
  <c r="E115" i="101"/>
  <c r="E60" i="101"/>
  <c r="E60" i="100"/>
  <c r="E107" i="100"/>
  <c r="E107" i="101"/>
  <c r="E57" i="100"/>
  <c r="E57" i="101"/>
  <c r="E47" i="100"/>
  <c r="E47" i="101"/>
  <c r="E67" i="101"/>
  <c r="E67" i="100"/>
  <c r="E140" i="100"/>
  <c r="E7" i="101"/>
  <c r="E7" i="100"/>
  <c r="E18" i="101"/>
  <c r="E18" i="100"/>
  <c r="E35" i="101"/>
  <c r="E35" i="100"/>
  <c r="E125" i="101"/>
  <c r="E125" i="100"/>
  <c r="E123" i="100"/>
  <c r="E123" i="101"/>
  <c r="E51" i="101"/>
  <c r="E51" i="100"/>
  <c r="E33" i="100"/>
  <c r="E33" i="101"/>
  <c r="E91" i="100"/>
  <c r="E91" i="101"/>
  <c r="E63" i="101"/>
  <c r="E63" i="100"/>
  <c r="E68" i="100"/>
  <c r="E68" i="101"/>
  <c r="E27" i="101"/>
  <c r="E27" i="100"/>
  <c r="E36" i="101"/>
  <c r="E36" i="100"/>
  <c r="E121" i="100"/>
  <c r="E121" i="101"/>
  <c r="E97" i="100"/>
  <c r="E97" i="101"/>
  <c r="E88" i="100"/>
  <c r="E88" i="101"/>
  <c r="E84" i="101"/>
  <c r="E84" i="100"/>
  <c r="E120" i="101"/>
  <c r="E120" i="100"/>
  <c r="E124" i="101"/>
  <c r="E124" i="100"/>
  <c r="E164" i="101"/>
  <c r="AR30" i="46"/>
  <c r="N136" i="98"/>
  <c r="I136" i="98" s="1"/>
  <c r="AR20" i="46"/>
  <c r="N52" i="98"/>
  <c r="I52" i="98" s="1"/>
  <c r="AT15" i="46"/>
  <c r="P92" i="98"/>
  <c r="K92" i="98" s="1"/>
  <c r="AS53" i="46"/>
  <c r="O65" i="98"/>
  <c r="J65" i="98" s="1"/>
  <c r="AT30" i="46"/>
  <c r="P136" i="98"/>
  <c r="K136" i="98" s="1"/>
  <c r="AT20" i="46"/>
  <c r="P52" i="98"/>
  <c r="K52" i="98" s="1"/>
  <c r="AR11" i="46"/>
  <c r="N35" i="98"/>
  <c r="I35" i="98" s="1"/>
  <c r="AE15" i="46"/>
  <c r="AL15" i="46" s="1"/>
  <c r="AR53" i="46"/>
  <c r="N65" i="98"/>
  <c r="I65" i="98" s="1"/>
  <c r="AT56" i="46"/>
  <c r="P56" i="98"/>
  <c r="K56" i="98" s="1"/>
  <c r="AS20" i="46"/>
  <c r="O52" i="98"/>
  <c r="J52" i="98" s="1"/>
  <c r="AR15" i="46"/>
  <c r="N92" i="98"/>
  <c r="I92" i="98" s="1"/>
  <c r="AR56" i="46"/>
  <c r="N56" i="98"/>
  <c r="I56" i="98" s="1"/>
  <c r="L171" i="98"/>
  <c r="T171" i="98" s="1"/>
  <c r="Q171" i="98"/>
  <c r="L220" i="98"/>
  <c r="T220" i="98" s="1"/>
  <c r="Q220" i="98"/>
  <c r="L91" i="98"/>
  <c r="T91" i="98" s="1"/>
  <c r="Q91" i="98"/>
  <c r="L159" i="98"/>
  <c r="T159" i="98" s="1"/>
  <c r="Q159" i="98"/>
  <c r="L189" i="98"/>
  <c r="T189" i="98" s="1"/>
  <c r="Q189" i="98"/>
  <c r="L145" i="98"/>
  <c r="T145" i="98" s="1"/>
  <c r="L177" i="98"/>
  <c r="T177" i="98" s="1"/>
  <c r="Q177" i="98"/>
  <c r="L168" i="98"/>
  <c r="T168" i="98" s="1"/>
  <c r="Q168" i="98"/>
  <c r="L207" i="98"/>
  <c r="T207" i="98" s="1"/>
  <c r="Q207" i="98"/>
  <c r="L211" i="98"/>
  <c r="T211" i="98" s="1"/>
  <c r="Q211" i="98"/>
  <c r="L213" i="98"/>
  <c r="T213" i="98" s="1"/>
  <c r="Q213" i="98"/>
  <c r="L16" i="98"/>
  <c r="T16" i="98" s="1"/>
  <c r="L218" i="98"/>
  <c r="T218" i="98" s="1"/>
  <c r="Q218" i="98"/>
  <c r="L50" i="98"/>
  <c r="T50" i="98" s="1"/>
  <c r="Q50" i="98"/>
  <c r="L118" i="98"/>
  <c r="T118" i="98" s="1"/>
  <c r="Q118" i="98"/>
  <c r="L166" i="98"/>
  <c r="T166" i="98" s="1"/>
  <c r="Q166" i="98"/>
  <c r="L86" i="98"/>
  <c r="T86" i="98" s="1"/>
  <c r="L10" i="98"/>
  <c r="T10" i="98" s="1"/>
  <c r="Q10" i="98"/>
  <c r="L104" i="98"/>
  <c r="T104" i="98" s="1"/>
  <c r="Q104" i="98"/>
  <c r="L48" i="98"/>
  <c r="T48" i="98" s="1"/>
  <c r="L200" i="98"/>
  <c r="T200" i="98" s="1"/>
  <c r="Q200" i="98"/>
  <c r="L195" i="98"/>
  <c r="T195" i="98" s="1"/>
  <c r="Q195" i="98"/>
  <c r="L183" i="98"/>
  <c r="T183" i="98" s="1"/>
  <c r="Q183" i="98"/>
  <c r="L210" i="98"/>
  <c r="T210" i="98" s="1"/>
  <c r="Q210" i="98"/>
  <c r="L83" i="98"/>
  <c r="T83" i="98" s="1"/>
  <c r="L170" i="98"/>
  <c r="T170" i="98" s="1"/>
  <c r="Q170" i="98"/>
  <c r="L43" i="98"/>
  <c r="T43" i="98" s="1"/>
  <c r="Q43" i="98"/>
  <c r="L155" i="98"/>
  <c r="T155" i="98" s="1"/>
  <c r="L214" i="98"/>
  <c r="T214" i="98" s="1"/>
  <c r="Q214" i="98"/>
  <c r="L209" i="98"/>
  <c r="T209" i="98" s="1"/>
  <c r="Q209" i="98"/>
  <c r="L19" i="98"/>
  <c r="T19" i="98" s="1"/>
  <c r="Q19" i="98"/>
  <c r="L180" i="98"/>
  <c r="T180" i="98" s="1"/>
  <c r="Q180" i="98"/>
  <c r="L215" i="98"/>
  <c r="T215" i="98" s="1"/>
  <c r="Q215" i="98"/>
  <c r="L192" i="98"/>
  <c r="T192" i="98" s="1"/>
  <c r="Q192" i="98"/>
  <c r="L217" i="98"/>
  <c r="T217" i="98" s="1"/>
  <c r="Q217" i="98"/>
  <c r="L187" i="98"/>
  <c r="T187" i="98" s="1"/>
  <c r="Q187" i="98"/>
  <c r="L32" i="98"/>
  <c r="T32" i="98" s="1"/>
  <c r="L116" i="98"/>
  <c r="T116" i="98" s="1"/>
  <c r="Q116" i="98"/>
  <c r="R120" i="67"/>
  <c r="U202" i="98"/>
  <c r="S97" i="67"/>
  <c r="V210" i="98"/>
  <c r="Q159" i="67"/>
  <c r="R201" i="98"/>
  <c r="S201" i="98" s="1"/>
  <c r="S32" i="67"/>
  <c r="V209" i="98"/>
  <c r="R53" i="67"/>
  <c r="U200" i="98"/>
  <c r="S67" i="67"/>
  <c r="V162" i="98"/>
  <c r="R39" i="67"/>
  <c r="U168" i="98"/>
  <c r="S17" i="67"/>
  <c r="V220" i="98"/>
  <c r="J62" i="96"/>
  <c r="R184" i="98"/>
  <c r="S184" i="98" s="1"/>
  <c r="R116" i="67"/>
  <c r="U205" i="98"/>
  <c r="S71" i="67"/>
  <c r="V219" i="98"/>
  <c r="Q211" i="67"/>
  <c r="R186" i="98"/>
  <c r="S186" i="98" s="1"/>
  <c r="S66" i="67"/>
  <c r="Q146" i="67"/>
  <c r="R53" i="98"/>
  <c r="S53" i="98" s="1"/>
  <c r="J26" i="96"/>
  <c r="R60" i="98"/>
  <c r="S60" i="98" s="1"/>
  <c r="S38" i="67"/>
  <c r="R145" i="67"/>
  <c r="U217" i="98"/>
  <c r="S53" i="67"/>
  <c r="V200" i="98"/>
  <c r="Q206" i="67"/>
  <c r="R68" i="98"/>
  <c r="S68" i="98" s="1"/>
  <c r="S45" i="67"/>
  <c r="R43" i="67"/>
  <c r="U165" i="98"/>
  <c r="R40" i="67"/>
  <c r="U115" i="98"/>
  <c r="S213" i="67"/>
  <c r="V149" i="98"/>
  <c r="S207" i="67"/>
  <c r="V78" i="98"/>
  <c r="S64" i="67"/>
  <c r="V171" i="98"/>
  <c r="S208" i="67"/>
  <c r="V80" i="98"/>
  <c r="Q210" i="67"/>
  <c r="R188" i="98"/>
  <c r="S188" i="98" s="1"/>
  <c r="R166" i="67"/>
  <c r="U175" i="98"/>
  <c r="S148" i="67"/>
  <c r="V160" i="98"/>
  <c r="S107" i="67"/>
  <c r="V215" i="98"/>
  <c r="R72" i="67"/>
  <c r="U212" i="98"/>
  <c r="R27" i="67"/>
  <c r="U59" i="98"/>
  <c r="R121" i="67"/>
  <c r="U170" i="98"/>
  <c r="S171" i="67"/>
  <c r="V164" i="98"/>
  <c r="R171" i="67"/>
  <c r="U164" i="98"/>
  <c r="R118" i="67"/>
  <c r="U189" i="98"/>
  <c r="R216" i="67"/>
  <c r="U72" i="98"/>
  <c r="R204" i="67"/>
  <c r="U6" i="98"/>
  <c r="S151" i="67"/>
  <c r="V203" i="98"/>
  <c r="R112" i="67"/>
  <c r="U213" i="98"/>
  <c r="R7" i="67"/>
  <c r="U91" i="98"/>
  <c r="R5" i="67"/>
  <c r="U104" i="98"/>
  <c r="S74" i="67"/>
  <c r="S57" i="67"/>
  <c r="R119" i="67"/>
  <c r="U187" i="98"/>
  <c r="R125" i="67"/>
  <c r="U190" i="98"/>
  <c r="Q63" i="67"/>
  <c r="R155" i="98"/>
  <c r="S155" i="98" s="1"/>
  <c r="S125" i="67"/>
  <c r="V190" i="98"/>
  <c r="R36" i="67"/>
  <c r="U20" i="98"/>
  <c r="Q218" i="67"/>
  <c r="R208" i="98"/>
  <c r="S208" i="98" s="1"/>
  <c r="R157" i="67"/>
  <c r="U198" i="98"/>
  <c r="R41" i="67"/>
  <c r="U127" i="98"/>
  <c r="R67" i="67"/>
  <c r="U162" i="98"/>
  <c r="R209" i="67"/>
  <c r="U82" i="98"/>
  <c r="R91" i="67"/>
  <c r="U177" i="98"/>
  <c r="R103" i="67"/>
  <c r="U194" i="98"/>
  <c r="S115" i="67"/>
  <c r="V172" i="98"/>
  <c r="R90" i="67"/>
  <c r="U184" i="98"/>
  <c r="S85" i="67"/>
  <c r="V206" i="98"/>
  <c r="S206" i="67"/>
  <c r="V68" i="98"/>
  <c r="S98" i="67"/>
  <c r="V196" i="98"/>
  <c r="R200" i="67"/>
  <c r="U97" i="98"/>
  <c r="S211" i="67"/>
  <c r="V186" i="98"/>
  <c r="S146" i="67"/>
  <c r="V53" i="98"/>
  <c r="S33" i="67"/>
  <c r="R38" i="67"/>
  <c r="U60" i="98"/>
  <c r="Q95" i="67"/>
  <c r="R183" i="98"/>
  <c r="S183" i="98" s="1"/>
  <c r="R180" i="67"/>
  <c r="U7" i="98"/>
  <c r="S180" i="67"/>
  <c r="V7" i="98"/>
  <c r="R85" i="67"/>
  <c r="U206" i="98"/>
  <c r="J30" i="96"/>
  <c r="R165" i="98"/>
  <c r="S165" i="98" s="1"/>
  <c r="R71" i="67"/>
  <c r="U219" i="98"/>
  <c r="J27" i="96"/>
  <c r="R115" i="98"/>
  <c r="S115" i="98" s="1"/>
  <c r="R136" i="67"/>
  <c r="U218" i="98"/>
  <c r="R213" i="67"/>
  <c r="U149" i="98"/>
  <c r="S108" i="67"/>
  <c r="V163" i="98"/>
  <c r="Q212" i="67"/>
  <c r="R191" i="98"/>
  <c r="S191" i="98" s="1"/>
  <c r="S75" i="67"/>
  <c r="S72" i="67"/>
  <c r="V212" i="98"/>
  <c r="S27" i="67"/>
  <c r="R174" i="67"/>
  <c r="U185" i="98"/>
  <c r="S121" i="67"/>
  <c r="V170" i="98"/>
  <c r="S212" i="67"/>
  <c r="V191" i="98"/>
  <c r="S47" i="67"/>
  <c r="Q216" i="67"/>
  <c r="R72" i="98"/>
  <c r="S72" i="98" s="1"/>
  <c r="S160" i="67"/>
  <c r="V12" i="98"/>
  <c r="R151" i="67"/>
  <c r="U203" i="98"/>
  <c r="S5" i="67"/>
  <c r="R141" i="67"/>
  <c r="U159" i="98"/>
  <c r="S44" i="67"/>
  <c r="R26" i="67"/>
  <c r="U146" i="98"/>
  <c r="J29" i="96"/>
  <c r="R29" i="98"/>
  <c r="S29" i="98" s="1"/>
  <c r="R33" i="67"/>
  <c r="U81" i="98"/>
  <c r="S127" i="67"/>
  <c r="V204" i="98"/>
  <c r="R35" i="67"/>
  <c r="U86" i="98"/>
  <c r="S218" i="67"/>
  <c r="V208" i="98"/>
  <c r="R97" i="67"/>
  <c r="U210" i="98"/>
  <c r="R32" i="67"/>
  <c r="U209" i="98"/>
  <c r="Q157" i="67"/>
  <c r="R198" i="98"/>
  <c r="S198" i="98" s="1"/>
  <c r="S209" i="67"/>
  <c r="V82" i="98"/>
  <c r="J69" i="96"/>
  <c r="R194" i="98"/>
  <c r="S194" i="98" s="1"/>
  <c r="S39" i="67"/>
  <c r="V168" i="98"/>
  <c r="S205" i="67"/>
  <c r="V42" i="98"/>
  <c r="R9" i="67"/>
  <c r="U32" i="98"/>
  <c r="R205" i="67"/>
  <c r="U42" i="98"/>
  <c r="Q200" i="67"/>
  <c r="R97" i="98"/>
  <c r="S97" i="98" s="1"/>
  <c r="R191" i="67"/>
  <c r="U199" i="98"/>
  <c r="S15" i="67"/>
  <c r="V166" i="98"/>
  <c r="S48" i="67"/>
  <c r="S145" i="67"/>
  <c r="V217" i="98"/>
  <c r="Q180" i="67"/>
  <c r="R7" i="98"/>
  <c r="S7" i="98" s="1"/>
  <c r="R45" i="67"/>
  <c r="U98" i="98"/>
  <c r="J48" i="96"/>
  <c r="R219" i="98"/>
  <c r="S219" i="98" s="1"/>
  <c r="S43" i="67"/>
  <c r="V165" i="98"/>
  <c r="S40" i="67"/>
  <c r="R51" i="67"/>
  <c r="U113" i="98"/>
  <c r="Q207" i="67"/>
  <c r="R78" i="98"/>
  <c r="S78" i="98" s="1"/>
  <c r="S106" i="67"/>
  <c r="V197" i="98"/>
  <c r="R15" i="67"/>
  <c r="U166" i="98"/>
  <c r="R214" i="67"/>
  <c r="U143" i="98"/>
  <c r="S191" i="67"/>
  <c r="V199" i="98"/>
  <c r="J85" i="96"/>
  <c r="R181" i="98"/>
  <c r="S181" i="98" s="1"/>
  <c r="J49" i="96"/>
  <c r="R212" i="98"/>
  <c r="S212" i="98" s="1"/>
  <c r="Q214" i="67"/>
  <c r="R143" i="98"/>
  <c r="S143" i="98" s="1"/>
  <c r="Q123" i="67"/>
  <c r="R192" i="98"/>
  <c r="S192" i="98" s="1"/>
  <c r="R104" i="67"/>
  <c r="U167" i="98"/>
  <c r="Q119" i="67"/>
  <c r="R187" i="98"/>
  <c r="S187" i="98" s="1"/>
  <c r="R18" i="67"/>
  <c r="U180" i="98"/>
  <c r="Q161" i="67"/>
  <c r="R214" i="98"/>
  <c r="S214" i="98" s="1"/>
  <c r="S111" i="67"/>
  <c r="V178" i="98"/>
  <c r="S161" i="67"/>
  <c r="V214" i="98"/>
  <c r="S24" i="67"/>
  <c r="V207" i="98"/>
  <c r="J24" i="96"/>
  <c r="R20" i="98"/>
  <c r="S20" i="98" s="1"/>
  <c r="S36" i="67"/>
  <c r="Q143" i="67"/>
  <c r="R195" i="98"/>
  <c r="S195" i="98" s="1"/>
  <c r="Q57" i="67"/>
  <c r="R83" i="98"/>
  <c r="S83" i="98" s="1"/>
  <c r="S68" i="67"/>
  <c r="V182" i="98"/>
  <c r="S35" i="67"/>
  <c r="S120" i="67"/>
  <c r="V202" i="98"/>
  <c r="S159" i="67"/>
  <c r="V201" i="98"/>
  <c r="J28" i="96"/>
  <c r="R127" i="98"/>
  <c r="S127" i="98" s="1"/>
  <c r="J44" i="96"/>
  <c r="R162" i="98"/>
  <c r="S162" i="98" s="1"/>
  <c r="R203" i="67"/>
  <c r="U24" i="98"/>
  <c r="S91" i="67"/>
  <c r="V177" i="98"/>
  <c r="S103" i="67"/>
  <c r="V194" i="98"/>
  <c r="R17" i="67"/>
  <c r="U220" i="98"/>
  <c r="S116" i="67"/>
  <c r="V205" i="98"/>
  <c r="R98" i="67"/>
  <c r="U196" i="98"/>
  <c r="S9" i="67"/>
  <c r="S51" i="67"/>
  <c r="J37" i="96"/>
  <c r="R113" i="98"/>
  <c r="S113" i="98" s="1"/>
  <c r="R48" i="67"/>
  <c r="U154" i="98"/>
  <c r="S41" i="67"/>
  <c r="R95" i="67"/>
  <c r="U183" i="98"/>
  <c r="S95" i="67"/>
  <c r="V183" i="98"/>
  <c r="J32" i="96"/>
  <c r="R98" i="98"/>
  <c r="S98" i="98" s="1"/>
  <c r="S193" i="67"/>
  <c r="V39" i="98"/>
  <c r="R64" i="67"/>
  <c r="U171" i="98"/>
  <c r="R75" i="67"/>
  <c r="U48" i="98"/>
  <c r="S210" i="67"/>
  <c r="V188" i="98"/>
  <c r="Q208" i="67"/>
  <c r="R80" i="98"/>
  <c r="S80" i="98" s="1"/>
  <c r="R107" i="67"/>
  <c r="U215" i="98"/>
  <c r="R144" i="67"/>
  <c r="U211" i="98"/>
  <c r="R126" i="67"/>
  <c r="U179" i="98"/>
  <c r="J18" i="96"/>
  <c r="R59" i="98"/>
  <c r="S59" i="98" s="1"/>
  <c r="R124" i="67"/>
  <c r="U181" i="98"/>
  <c r="R47" i="67"/>
  <c r="U145" i="98"/>
  <c r="S90" i="67"/>
  <c r="V184" i="98"/>
  <c r="R123" i="67"/>
  <c r="U192" i="98"/>
  <c r="S166" i="67"/>
  <c r="V175" i="98"/>
  <c r="Q160" i="67"/>
  <c r="R12" i="98"/>
  <c r="S12" i="98" s="1"/>
  <c r="S18" i="67"/>
  <c r="V180" i="98"/>
  <c r="S112" i="67"/>
  <c r="V213" i="98"/>
  <c r="S63" i="67"/>
  <c r="R44" i="67"/>
  <c r="U36" i="98"/>
  <c r="R74" i="67"/>
  <c r="U5" i="98"/>
  <c r="S42" i="67"/>
  <c r="R66" i="67"/>
  <c r="U103" i="98"/>
  <c r="Q24" i="67"/>
  <c r="R207" i="98"/>
  <c r="S207" i="98" s="1"/>
  <c r="R57" i="67"/>
  <c r="U83" i="98"/>
  <c r="S143" i="67"/>
  <c r="V195" i="98"/>
  <c r="D18" i="23"/>
  <c r="E4" i="7" s="1"/>
  <c r="Q115" i="67"/>
  <c r="J79" i="96"/>
  <c r="Q127" i="67"/>
  <c r="J87" i="96"/>
  <c r="Q111" i="67"/>
  <c r="J76" i="96"/>
  <c r="Q7" i="67"/>
  <c r="J4" i="96"/>
  <c r="Q68" i="67"/>
  <c r="J45" i="96"/>
  <c r="Q98" i="67"/>
  <c r="J65" i="96"/>
  <c r="Q136" i="67"/>
  <c r="J96" i="96"/>
  <c r="Q148" i="67"/>
  <c r="J104" i="96"/>
  <c r="Q144" i="67"/>
  <c r="J101" i="96"/>
  <c r="Q141" i="67"/>
  <c r="J99" i="96"/>
  <c r="Q33" i="67"/>
  <c r="J22" i="96"/>
  <c r="Q85" i="67"/>
  <c r="J58" i="96"/>
  <c r="Q108" i="67"/>
  <c r="J73" i="96"/>
  <c r="Q126" i="67"/>
  <c r="J86" i="96"/>
  <c r="Q124" i="67"/>
  <c r="J84" i="96"/>
  <c r="Q104" i="67"/>
  <c r="J70" i="96"/>
  <c r="Q5" i="67"/>
  <c r="J2" i="96"/>
  <c r="Q66" i="67"/>
  <c r="J43" i="96"/>
  <c r="Q116" i="67"/>
  <c r="J80" i="96"/>
  <c r="Q106" i="67"/>
  <c r="J72" i="96"/>
  <c r="Q84" i="67"/>
  <c r="J57" i="96"/>
  <c r="E18" i="23"/>
  <c r="AF11" i="46"/>
  <c r="AM11" i="46" s="1"/>
  <c r="C18" i="23"/>
  <c r="AE30" i="46"/>
  <c r="AL30" i="46" s="1"/>
  <c r="E29" i="91" s="1"/>
  <c r="O33" i="86" a="1"/>
  <c r="O33" i="86" s="1"/>
  <c r="M33" i="88" a="1"/>
  <c r="M33" i="88" s="1"/>
  <c r="P33" i="87" a="1"/>
  <c r="P33" i="87" s="1"/>
  <c r="P33" i="88" a="1"/>
  <c r="P33" i="88" s="1"/>
  <c r="Q33" i="88" a="1"/>
  <c r="Q33" i="88" s="1"/>
  <c r="P33" i="86" a="1"/>
  <c r="P33" i="86" s="1"/>
  <c r="O33" i="88" a="1"/>
  <c r="O33" i="88" s="1"/>
  <c r="N33" i="88" a="1"/>
  <c r="N33" i="88" s="1"/>
  <c r="M33" i="86" a="1"/>
  <c r="M33" i="86" s="1"/>
  <c r="Q33" i="86" a="1"/>
  <c r="Q33" i="86" s="1"/>
  <c r="L33" i="87" a="1"/>
  <c r="L33" i="87" s="1"/>
  <c r="N33" i="87" a="1"/>
  <c r="N33" i="87" s="1"/>
  <c r="Q33" i="87" a="1"/>
  <c r="Q33" i="87" s="1"/>
  <c r="L33" i="88" a="1"/>
  <c r="L33" i="88" s="1"/>
  <c r="N33" i="86" a="1"/>
  <c r="N33" i="86" s="1"/>
  <c r="O33" i="87" a="1"/>
  <c r="O33" i="87" s="1"/>
  <c r="M33" i="87" a="1"/>
  <c r="M33" i="87" s="1"/>
  <c r="L33" i="86" a="1"/>
  <c r="L33" i="86" s="1"/>
  <c r="M55" i="67"/>
  <c r="I55" i="67" s="1"/>
  <c r="E55" i="92"/>
  <c r="N19" i="67"/>
  <c r="J19" i="67" s="1"/>
  <c r="E19" i="91"/>
  <c r="M14" i="67"/>
  <c r="I14" i="67" s="1"/>
  <c r="E14" i="92"/>
  <c r="N52" i="67"/>
  <c r="J52" i="67" s="1"/>
  <c r="E52" i="91"/>
  <c r="M29" i="67"/>
  <c r="I29" i="67" s="1"/>
  <c r="E29" i="92"/>
  <c r="M19" i="67"/>
  <c r="I19" i="67" s="1"/>
  <c r="E19" i="92"/>
  <c r="O14" i="67"/>
  <c r="K14" i="67" s="1"/>
  <c r="M52" i="67"/>
  <c r="I52" i="67" s="1"/>
  <c r="E52" i="92"/>
  <c r="O29" i="67"/>
  <c r="K29" i="67" s="1"/>
  <c r="O19" i="67"/>
  <c r="K19" i="67" s="1"/>
  <c r="M10" i="67"/>
  <c r="I10" i="67" s="1"/>
  <c r="E10" i="92"/>
  <c r="N14" i="67"/>
  <c r="J14" i="67" s="1"/>
  <c r="E14" i="91"/>
  <c r="O55" i="67"/>
  <c r="K55" i="67" s="1"/>
  <c r="J9" i="13"/>
  <c r="J12" i="13"/>
  <c r="AE56" i="46"/>
  <c r="AL56" i="46" s="1"/>
  <c r="AE11" i="46"/>
  <c r="AL11" i="46" s="1"/>
  <c r="AF53" i="46"/>
  <c r="AM53" i="46" s="1"/>
  <c r="H12" i="45"/>
  <c r="E34" i="7" s="1"/>
  <c r="AG53" i="46" s="1"/>
  <c r="J20" i="13"/>
  <c r="J23" i="13"/>
  <c r="J19" i="13"/>
  <c r="J13" i="13"/>
  <c r="J29" i="13"/>
  <c r="J32" i="13"/>
  <c r="J3" i="13"/>
  <c r="J10" i="13"/>
  <c r="J6" i="13"/>
  <c r="J30" i="13"/>
  <c r="J31" i="13"/>
  <c r="J21" i="13"/>
  <c r="J33" i="13"/>
  <c r="Q91" i="67"/>
  <c r="Q15" i="67"/>
  <c r="Q67" i="67"/>
  <c r="Q9" i="67"/>
  <c r="Q64" i="67"/>
  <c r="Q40" i="67"/>
  <c r="Q27" i="67"/>
  <c r="Q17" i="67"/>
  <c r="Q174" i="67"/>
  <c r="Q39" i="67"/>
  <c r="Q103" i="67"/>
  <c r="Q90" i="67"/>
  <c r="Q45" i="67"/>
  <c r="Q32" i="67"/>
  <c r="Q203" i="67"/>
  <c r="Q35" i="67"/>
  <c r="Q51" i="67"/>
  <c r="Q43" i="67"/>
  <c r="Q193" i="67"/>
  <c r="Q97" i="67"/>
  <c r="Q38" i="67"/>
  <c r="Q71" i="67"/>
  <c r="Q48" i="67"/>
  <c r="Q75" i="67"/>
  <c r="Q72" i="67"/>
  <c r="Q53" i="67"/>
  <c r="Q47" i="67"/>
  <c r="Q41" i="67"/>
  <c r="Q118" i="67"/>
  <c r="C19" i="25"/>
  <c r="E5" i="7" s="1"/>
  <c r="AG4" i="46" s="1"/>
  <c r="AI4" i="46" s="1"/>
  <c r="J4" i="13"/>
  <c r="Q61" i="13"/>
  <c r="Q63" i="13"/>
  <c r="Q76" i="13"/>
  <c r="Q83" i="13"/>
  <c r="Q86" i="13"/>
  <c r="AH57" i="46"/>
  <c r="C90" i="88" s="1"/>
  <c r="AG57" i="46"/>
  <c r="D13" i="43"/>
  <c r="E31" i="7" s="1"/>
  <c r="AH56" i="46"/>
  <c r="C89" i="88" s="1"/>
  <c r="AG56" i="46"/>
  <c r="AG14" i="46"/>
  <c r="AH14" i="46"/>
  <c r="C47" i="88" s="1"/>
  <c r="AG20" i="46"/>
  <c r="AH20" i="46"/>
  <c r="C53" i="88" s="1"/>
  <c r="AH11" i="46"/>
  <c r="C44" i="88" s="1"/>
  <c r="AG11" i="46"/>
  <c r="AH53" i="46"/>
  <c r="C86" i="88" s="1"/>
  <c r="AG29" i="46"/>
  <c r="AH29" i="46"/>
  <c r="C62" i="88" s="1"/>
  <c r="AH12" i="46"/>
  <c r="C45" i="88" s="1"/>
  <c r="AG12" i="46"/>
  <c r="AG17" i="46"/>
  <c r="AH17" i="46"/>
  <c r="C50" i="88" s="1"/>
  <c r="AH30" i="46"/>
  <c r="C63" i="88" s="1"/>
  <c r="AG30" i="46"/>
  <c r="AH32" i="46"/>
  <c r="C65" i="88" s="1"/>
  <c r="AG32" i="46"/>
  <c r="AH24" i="46"/>
  <c r="C57" i="88" s="1"/>
  <c r="AG24" i="46"/>
  <c r="AG60" i="46"/>
  <c r="AH60" i="46"/>
  <c r="C93" i="88" s="1"/>
  <c r="AG15" i="46"/>
  <c r="AH15" i="46"/>
  <c r="C48" i="88" s="1"/>
  <c r="AH62" i="46"/>
  <c r="C95" i="88" s="1"/>
  <c r="AG62" i="46"/>
  <c r="AG71" i="46"/>
  <c r="AH71" i="46"/>
  <c r="C104" i="88" s="1"/>
  <c r="P7" i="44"/>
  <c r="I8" i="44"/>
  <c r="J83" i="13"/>
  <c r="J63" i="13"/>
  <c r="J86" i="13"/>
  <c r="J61" i="13"/>
  <c r="J76" i="13"/>
  <c r="Q20" i="13"/>
  <c r="Q27" i="13"/>
  <c r="Q17" i="13"/>
  <c r="Q42" i="13"/>
  <c r="Q30" i="13"/>
  <c r="Q12" i="13"/>
  <c r="Q21" i="13"/>
  <c r="Q44" i="13"/>
  <c r="Q54" i="13"/>
  <c r="Q59" i="13"/>
  <c r="Q127" i="13"/>
  <c r="Q176" i="13"/>
  <c r="Q177" i="13"/>
  <c r="Q185" i="13"/>
  <c r="Q188" i="13"/>
  <c r="Q51" i="13"/>
  <c r="Q19" i="13"/>
  <c r="Q64" i="13"/>
  <c r="Q115" i="13"/>
  <c r="Q122" i="13"/>
  <c r="Q91" i="13"/>
  <c r="Q183" i="13"/>
  <c r="Q170" i="13"/>
  <c r="Q16" i="13"/>
  <c r="Q47" i="13"/>
  <c r="Q49" i="13"/>
  <c r="Q36" i="13"/>
  <c r="Q103" i="13"/>
  <c r="Q158" i="13"/>
  <c r="Q167" i="13"/>
  <c r="Q99" i="13"/>
  <c r="Q179" i="13"/>
  <c r="Q182" i="13"/>
  <c r="Q106" i="13"/>
  <c r="Q60" i="13"/>
  <c r="Q62" i="13"/>
  <c r="Q168" i="13"/>
  <c r="Q138" i="13"/>
  <c r="Q110" i="13"/>
  <c r="Q113" i="13"/>
  <c r="Q118" i="13"/>
  <c r="Q126" i="13"/>
  <c r="Q132" i="13"/>
  <c r="Q140" i="13"/>
  <c r="Q32" i="13"/>
  <c r="Q94" i="13"/>
  <c r="Q109" i="13"/>
  <c r="Q136" i="13"/>
  <c r="Q24" i="13"/>
  <c r="Q56" i="13"/>
  <c r="Q68" i="13"/>
  <c r="Q70" i="13"/>
  <c r="Q71" i="13"/>
  <c r="Q93" i="13"/>
  <c r="Q102" i="13"/>
  <c r="Q125" i="13"/>
  <c r="Q152" i="13"/>
  <c r="Q81" i="13"/>
  <c r="Q88" i="13"/>
  <c r="Q100" i="13"/>
  <c r="Q104" i="13"/>
  <c r="Q107" i="13"/>
  <c r="Q164" i="13"/>
  <c r="Q165" i="13"/>
  <c r="Q186" i="13"/>
  <c r="Q189" i="13"/>
  <c r="Q72" i="13"/>
  <c r="Q18" i="13"/>
  <c r="Q52" i="13"/>
  <c r="Q53" i="13"/>
  <c r="Q74" i="13"/>
  <c r="Q98" i="13"/>
  <c r="Q119" i="13"/>
  <c r="Q120" i="13"/>
  <c r="Q121" i="13"/>
  <c r="Q128" i="13"/>
  <c r="Q134" i="13"/>
  <c r="Q137" i="13"/>
  <c r="Q147" i="13"/>
  <c r="Q184" i="13"/>
  <c r="Q8" i="13"/>
  <c r="Q82" i="13"/>
  <c r="Q84" i="13"/>
  <c r="Q166" i="13"/>
  <c r="Q75" i="13"/>
  <c r="Q85" i="13"/>
  <c r="Q96" i="13"/>
  <c r="Q148" i="13"/>
  <c r="Q149" i="13"/>
  <c r="Q157" i="13"/>
  <c r="Q10" i="13"/>
  <c r="Q11" i="13"/>
  <c r="Q31" i="13"/>
  <c r="Q9" i="13"/>
  <c r="Q33" i="13"/>
  <c r="Q48" i="13"/>
  <c r="Q50" i="13"/>
  <c r="Q73" i="13"/>
  <c r="Q89" i="13"/>
  <c r="Q95" i="13"/>
  <c r="Q114" i="13"/>
  <c r="Q117" i="13"/>
  <c r="Q123" i="13"/>
  <c r="Q131" i="13"/>
  <c r="Q145" i="13"/>
  <c r="Q169" i="13"/>
  <c r="Q174" i="13"/>
  <c r="Q7" i="13"/>
  <c r="Q22" i="13"/>
  <c r="Q29" i="13"/>
  <c r="Q144" i="13"/>
  <c r="Q156" i="13"/>
  <c r="Q159" i="13"/>
  <c r="Q187" i="13"/>
  <c r="Q55" i="13"/>
  <c r="Q69" i="13"/>
  <c r="Q92" i="13"/>
  <c r="Q97" i="13"/>
  <c r="Q105" i="13"/>
  <c r="Q124" i="13"/>
  <c r="Q160" i="13"/>
  <c r="Q175" i="13"/>
  <c r="Q181" i="13"/>
  <c r="Q133" i="13"/>
  <c r="Q143" i="13"/>
  <c r="Q146" i="13"/>
  <c r="Q151" i="13"/>
  <c r="Q154" i="13"/>
  <c r="Q192" i="13"/>
  <c r="Q3" i="13"/>
  <c r="Q14" i="13"/>
  <c r="Q4" i="13"/>
  <c r="Q15" i="13"/>
  <c r="Q23" i="13"/>
  <c r="Q35" i="13"/>
  <c r="Q41" i="13"/>
  <c r="Q46" i="13"/>
  <c r="Q58" i="13"/>
  <c r="Q77" i="13"/>
  <c r="Q78" i="13"/>
  <c r="Q79" i="13"/>
  <c r="Q111" i="13"/>
  <c r="Q112" i="13"/>
  <c r="Q141" i="13"/>
  <c r="Q142" i="13"/>
  <c r="Q161" i="13"/>
  <c r="Q162" i="13"/>
  <c r="Q172" i="13"/>
  <c r="Q173" i="13"/>
  <c r="Q178" i="13"/>
  <c r="Q191" i="13"/>
  <c r="Q6" i="13"/>
  <c r="Q5" i="13"/>
  <c r="Q26" i="13"/>
  <c r="Q28" i="13"/>
  <c r="Q13" i="13"/>
  <c r="Q25" i="13"/>
  <c r="Q37" i="13"/>
  <c r="Q39" i="13"/>
  <c r="Q34" i="13"/>
  <c r="Q38" i="13"/>
  <c r="Q40" i="13"/>
  <c r="Q45" i="13"/>
  <c r="Q65" i="13"/>
  <c r="Q66" i="13"/>
  <c r="Q67" i="13"/>
  <c r="Q80" i="13"/>
  <c r="Q87" i="13"/>
  <c r="Q90" i="13"/>
  <c r="Q101" i="13"/>
  <c r="Q129" i="13"/>
  <c r="Q130" i="13"/>
  <c r="Q135" i="13"/>
  <c r="Q139" i="13"/>
  <c r="Q150" i="13"/>
  <c r="Q153" i="13"/>
  <c r="Q155" i="13"/>
  <c r="Q163" i="13"/>
  <c r="Q190" i="13"/>
  <c r="Q57" i="13"/>
  <c r="Q108" i="13"/>
  <c r="Q116" i="13"/>
  <c r="Q171" i="13"/>
  <c r="Q180" i="13"/>
  <c r="Q43" i="13"/>
  <c r="AS30" i="46" l="1"/>
  <c r="O136" i="98"/>
  <c r="J136" i="98" s="1"/>
  <c r="AS15" i="46"/>
  <c r="O92" i="98"/>
  <c r="J92" i="98" s="1"/>
  <c r="AT53" i="46"/>
  <c r="P65" i="98"/>
  <c r="K65" i="98" s="1"/>
  <c r="AS56" i="46"/>
  <c r="O56" i="98"/>
  <c r="J56" i="98" s="1"/>
  <c r="AS11" i="46"/>
  <c r="O35" i="98"/>
  <c r="J35" i="98" s="1"/>
  <c r="AT11" i="46"/>
  <c r="P35" i="98"/>
  <c r="K35" i="98" s="1"/>
  <c r="N29" i="67"/>
  <c r="J29" i="67" s="1"/>
  <c r="AH4" i="46"/>
  <c r="C37" i="88" s="1"/>
  <c r="O10" i="67"/>
  <c r="K10" i="67" s="1"/>
  <c r="O52" i="67"/>
  <c r="K52" i="67" s="1"/>
  <c r="N10" i="67"/>
  <c r="J10" i="67" s="1"/>
  <c r="E10" i="91"/>
  <c r="N55" i="67"/>
  <c r="J55" i="67" s="1"/>
  <c r="E55" i="91"/>
  <c r="AJ4" i="46"/>
  <c r="D37" i="88"/>
  <c r="F37" i="88"/>
  <c r="AI24" i="46"/>
  <c r="AI20" i="46"/>
  <c r="AI32" i="46"/>
  <c r="AI15" i="46"/>
  <c r="AI29" i="46"/>
  <c r="AI14" i="46"/>
  <c r="AI62" i="46"/>
  <c r="AI30" i="46"/>
  <c r="AI56" i="46"/>
  <c r="AI53" i="46"/>
  <c r="AI12" i="46"/>
  <c r="AI11" i="46"/>
  <c r="AI71" i="46"/>
  <c r="AI60" i="46"/>
  <c r="AI17" i="46"/>
  <c r="AI57" i="46"/>
  <c r="AH59" i="46"/>
  <c r="C92" i="88" s="1"/>
  <c r="AG59" i="46"/>
  <c r="AO4" i="46"/>
  <c r="AN4" i="46"/>
  <c r="F16" i="5"/>
  <c r="C4" i="3"/>
  <c r="E15" i="7" s="1"/>
  <c r="C23" i="5"/>
  <c r="D23" i="5"/>
  <c r="Q3" i="67" l="1"/>
  <c r="R27" i="98"/>
  <c r="S27" i="98" s="1"/>
  <c r="AU4" i="46"/>
  <c r="M27" i="98"/>
  <c r="C83" i="90"/>
  <c r="E37" i="88"/>
  <c r="F93" i="88"/>
  <c r="D93" i="88"/>
  <c r="AJ53" i="46"/>
  <c r="E86" i="88" s="1"/>
  <c r="F86" i="88"/>
  <c r="D86" i="88"/>
  <c r="AJ14" i="46"/>
  <c r="E47" i="88" s="1"/>
  <c r="F47" i="88"/>
  <c r="D47" i="88"/>
  <c r="AJ20" i="46"/>
  <c r="E53" i="88" s="1"/>
  <c r="D53" i="88"/>
  <c r="F53" i="88"/>
  <c r="AJ71" i="46"/>
  <c r="E104" i="88" s="1"/>
  <c r="F104" i="88"/>
  <c r="D104" i="88"/>
  <c r="AJ56" i="46"/>
  <c r="E89" i="88" s="1"/>
  <c r="F89" i="88"/>
  <c r="D89" i="88"/>
  <c r="D62" i="88"/>
  <c r="F62" i="88"/>
  <c r="AJ24" i="46"/>
  <c r="E57" i="88" s="1"/>
  <c r="D57" i="88"/>
  <c r="F57" i="88"/>
  <c r="AJ17" i="46"/>
  <c r="E50" i="88" s="1"/>
  <c r="D50" i="88"/>
  <c r="F50" i="88"/>
  <c r="P3" i="67"/>
  <c r="L3" i="67" s="1"/>
  <c r="E3" i="85"/>
  <c r="E3" i="84"/>
  <c r="AJ57" i="46"/>
  <c r="E90" i="88"/>
  <c r="F90" i="88"/>
  <c r="D90" i="88"/>
  <c r="AJ11" i="46"/>
  <c r="E44" i="88" s="1"/>
  <c r="F44" i="88"/>
  <c r="D44" i="88"/>
  <c r="AJ30" i="46"/>
  <c r="E63" i="88" s="1"/>
  <c r="F63" i="88"/>
  <c r="D63" i="88"/>
  <c r="AJ15" i="46"/>
  <c r="E48" i="88" s="1"/>
  <c r="F48" i="88"/>
  <c r="D48" i="88"/>
  <c r="AJ12" i="46"/>
  <c r="E45" i="88"/>
  <c r="D45" i="88"/>
  <c r="F45" i="88"/>
  <c r="D95" i="88"/>
  <c r="F95" i="88"/>
  <c r="D65" i="88"/>
  <c r="F65" i="88"/>
  <c r="AJ62" i="46"/>
  <c r="AN62" i="46"/>
  <c r="AJ60" i="46"/>
  <c r="AN60" i="46"/>
  <c r="M17" i="98" s="1"/>
  <c r="AJ29" i="46"/>
  <c r="AN29" i="46"/>
  <c r="M157" i="98" s="1"/>
  <c r="AJ32" i="46"/>
  <c r="E65" i="88" s="1"/>
  <c r="AN32" i="46"/>
  <c r="M142" i="98" s="1"/>
  <c r="AN11" i="46"/>
  <c r="M35" i="98" s="1"/>
  <c r="AN20" i="46"/>
  <c r="M52" i="98" s="1"/>
  <c r="AN30" i="46"/>
  <c r="AN57" i="46"/>
  <c r="M169" i="98" s="1"/>
  <c r="AN15" i="46"/>
  <c r="M92" i="98" s="1"/>
  <c r="AN24" i="46"/>
  <c r="M94" i="98" s="1"/>
  <c r="AN53" i="46"/>
  <c r="M65" i="98" s="1"/>
  <c r="AN14" i="46"/>
  <c r="M87" i="98" s="1"/>
  <c r="AN17" i="46"/>
  <c r="M139" i="98" s="1"/>
  <c r="AN56" i="46"/>
  <c r="M56" i="98" s="1"/>
  <c r="AN71" i="46"/>
  <c r="M45" i="98" s="1"/>
  <c r="AN12" i="46"/>
  <c r="M193" i="98" s="1"/>
  <c r="AI59" i="46"/>
  <c r="AG22" i="46"/>
  <c r="AH22" i="46"/>
  <c r="C55" i="88" s="1"/>
  <c r="AQ4" i="46"/>
  <c r="AP4" i="46"/>
  <c r="E23" i="5"/>
  <c r="E10" i="7" s="1"/>
  <c r="AG9" i="46" s="1"/>
  <c r="E3" i="94" l="1"/>
  <c r="E3" i="101"/>
  <c r="E3" i="100"/>
  <c r="L65" i="98"/>
  <c r="T65" i="98" s="1"/>
  <c r="Q65" i="98"/>
  <c r="L142" i="98"/>
  <c r="T142" i="98" s="1"/>
  <c r="L17" i="98"/>
  <c r="T17" i="98" s="1"/>
  <c r="Q17" i="98"/>
  <c r="L27" i="98"/>
  <c r="T27" i="98" s="1"/>
  <c r="L56" i="98"/>
  <c r="T56" i="98" s="1"/>
  <c r="Q56" i="98"/>
  <c r="L94" i="98"/>
  <c r="T94" i="98" s="1"/>
  <c r="Q94" i="98"/>
  <c r="L52" i="98"/>
  <c r="T52" i="98" s="1"/>
  <c r="Q52" i="98"/>
  <c r="L139" i="98"/>
  <c r="T139" i="98" s="1"/>
  <c r="L92" i="98"/>
  <c r="T92" i="98" s="1"/>
  <c r="Q92" i="98"/>
  <c r="L35" i="98"/>
  <c r="T35" i="98" s="1"/>
  <c r="Q35" i="98"/>
  <c r="L157" i="98"/>
  <c r="T157" i="98" s="1"/>
  <c r="Q157" i="98"/>
  <c r="L45" i="98"/>
  <c r="T45" i="98" s="1"/>
  <c r="L193" i="98"/>
  <c r="T193" i="98" s="1"/>
  <c r="Q193" i="98"/>
  <c r="L87" i="98"/>
  <c r="T87" i="98" s="1"/>
  <c r="L169" i="98"/>
  <c r="T169" i="98" s="1"/>
  <c r="Q169" i="98"/>
  <c r="AU30" i="46"/>
  <c r="E29" i="94" s="1"/>
  <c r="M136" i="98"/>
  <c r="R3" i="67"/>
  <c r="U27" i="98"/>
  <c r="AU62" i="46"/>
  <c r="E61" i="94" s="1"/>
  <c r="M21" i="98"/>
  <c r="AU12" i="46"/>
  <c r="E11" i="94" s="1"/>
  <c r="H7" i="96"/>
  <c r="AU71" i="46"/>
  <c r="E70" i="94" s="1"/>
  <c r="H47" i="96"/>
  <c r="AU53" i="46"/>
  <c r="E52" i="94" s="1"/>
  <c r="H38" i="96"/>
  <c r="AU32" i="46"/>
  <c r="H21" i="96"/>
  <c r="AU60" i="46"/>
  <c r="E59" i="94" s="1"/>
  <c r="H42" i="96"/>
  <c r="AU56" i="46"/>
  <c r="E55" i="94" s="1"/>
  <c r="H39" i="96"/>
  <c r="AU24" i="46"/>
  <c r="E23" i="94" s="1"/>
  <c r="H15" i="96"/>
  <c r="AU20" i="46"/>
  <c r="E19" i="94" s="1"/>
  <c r="H11" i="96"/>
  <c r="AU57" i="46"/>
  <c r="E56" i="94" s="1"/>
  <c r="H40" i="96"/>
  <c r="AU17" i="46"/>
  <c r="E16" i="94" s="1"/>
  <c r="H10" i="96"/>
  <c r="AU15" i="46"/>
  <c r="E14" i="94" s="1"/>
  <c r="H9" i="96"/>
  <c r="AU11" i="46"/>
  <c r="E10" i="94" s="1"/>
  <c r="H6" i="96"/>
  <c r="AU29" i="46"/>
  <c r="E28" i="94" s="1"/>
  <c r="H19" i="96"/>
  <c r="AU14" i="46"/>
  <c r="E13" i="94" s="1"/>
  <c r="H8" i="96"/>
  <c r="S3" i="67"/>
  <c r="AZ4" i="46"/>
  <c r="C22" i="90"/>
  <c r="C30" i="90"/>
  <c r="C15" i="90"/>
  <c r="C19" i="90"/>
  <c r="C55" i="90"/>
  <c r="C71" i="90"/>
  <c r="C48" i="90"/>
  <c r="C23" i="90"/>
  <c r="C59" i="90"/>
  <c r="C44" i="90"/>
  <c r="C27" i="90"/>
  <c r="C65" i="90"/>
  <c r="C7" i="90"/>
  <c r="C32" i="90"/>
  <c r="E11" i="85"/>
  <c r="E11" i="84"/>
  <c r="E70" i="85"/>
  <c r="E70" i="84"/>
  <c r="E52" i="84"/>
  <c r="E52" i="85"/>
  <c r="E29" i="84"/>
  <c r="E29" i="85"/>
  <c r="E95" i="88"/>
  <c r="E55" i="85"/>
  <c r="E55" i="84"/>
  <c r="E23" i="85"/>
  <c r="E23" i="84"/>
  <c r="E19" i="85"/>
  <c r="E19" i="84"/>
  <c r="P31" i="67"/>
  <c r="L31" i="67" s="1"/>
  <c r="E31" i="85"/>
  <c r="E31" i="84"/>
  <c r="P59" i="67"/>
  <c r="L59" i="67" s="1"/>
  <c r="E59" i="85"/>
  <c r="E59" i="84"/>
  <c r="AJ59" i="46"/>
  <c r="E92" i="88" s="1"/>
  <c r="F92" i="88"/>
  <c r="D92" i="88"/>
  <c r="E16" i="84"/>
  <c r="E16" i="85"/>
  <c r="E14" i="85"/>
  <c r="E14" i="84"/>
  <c r="E10" i="85"/>
  <c r="E10" i="84"/>
  <c r="E62" i="88"/>
  <c r="E93" i="88"/>
  <c r="E13" i="84"/>
  <c r="E13" i="85"/>
  <c r="E56" i="84"/>
  <c r="E56" i="85"/>
  <c r="P28" i="67"/>
  <c r="L28" i="67" s="1"/>
  <c r="E28" i="84"/>
  <c r="E28" i="85"/>
  <c r="P61" i="67"/>
  <c r="L61" i="67" s="1"/>
  <c r="E61" i="84"/>
  <c r="E61" i="85"/>
  <c r="AQ62" i="46"/>
  <c r="AP62" i="46"/>
  <c r="AO62" i="46"/>
  <c r="AQ60" i="46"/>
  <c r="AP60" i="46"/>
  <c r="AO60" i="46"/>
  <c r="R17" i="98" s="1"/>
  <c r="S17" i="98" s="1"/>
  <c r="AQ29" i="46"/>
  <c r="AP29" i="46"/>
  <c r="AO29" i="46"/>
  <c r="R157" i="98" s="1"/>
  <c r="S157" i="98" s="1"/>
  <c r="AQ32" i="46"/>
  <c r="AO32" i="46"/>
  <c r="R142" i="98" s="1"/>
  <c r="S142" i="98" s="1"/>
  <c r="AP32" i="46"/>
  <c r="P52" i="67"/>
  <c r="L52" i="67" s="1"/>
  <c r="P23" i="67"/>
  <c r="L23" i="67" s="1"/>
  <c r="P11" i="67"/>
  <c r="L11" i="67" s="1"/>
  <c r="P14" i="67"/>
  <c r="L14" i="67" s="1"/>
  <c r="P56" i="67"/>
  <c r="L56" i="67" s="1"/>
  <c r="P70" i="67"/>
  <c r="L70" i="67" s="1"/>
  <c r="P19" i="67"/>
  <c r="L19" i="67" s="1"/>
  <c r="P55" i="67"/>
  <c r="L55" i="67" s="1"/>
  <c r="P13" i="67"/>
  <c r="L13" i="67" s="1"/>
  <c r="P29" i="67"/>
  <c r="L29" i="67" s="1"/>
  <c r="P16" i="67"/>
  <c r="L16" i="67" s="1"/>
  <c r="P10" i="67"/>
  <c r="L10" i="67" s="1"/>
  <c r="AQ30" i="46"/>
  <c r="AO11" i="46"/>
  <c r="AQ57" i="46"/>
  <c r="AO57" i="46"/>
  <c r="AP11" i="46"/>
  <c r="AO56" i="46"/>
  <c r="AP15" i="46"/>
  <c r="AO30" i="46"/>
  <c r="R136" i="98" s="1"/>
  <c r="S136" i="98" s="1"/>
  <c r="AQ11" i="46"/>
  <c r="AP30" i="46"/>
  <c r="AQ24" i="46"/>
  <c r="AO15" i="46"/>
  <c r="AQ15" i="46"/>
  <c r="AO71" i="46"/>
  <c r="AP20" i="46"/>
  <c r="AP57" i="46"/>
  <c r="AP53" i="46"/>
  <c r="AP17" i="46"/>
  <c r="AQ53" i="46"/>
  <c r="AO53" i="46"/>
  <c r="AO14" i="46"/>
  <c r="AO20" i="46"/>
  <c r="AP14" i="46"/>
  <c r="AQ71" i="46"/>
  <c r="AQ20" i="46"/>
  <c r="AQ17" i="46"/>
  <c r="AQ14" i="46"/>
  <c r="AP71" i="46"/>
  <c r="AO17" i="46"/>
  <c r="AQ56" i="46"/>
  <c r="AP12" i="46"/>
  <c r="AQ12" i="46"/>
  <c r="AO12" i="46"/>
  <c r="AP24" i="46"/>
  <c r="AO24" i="46"/>
  <c r="R94" i="98" s="1"/>
  <c r="S94" i="98" s="1"/>
  <c r="AP56" i="46"/>
  <c r="AI9" i="46"/>
  <c r="AI22" i="46"/>
  <c r="AH9" i="46"/>
  <c r="C42" i="88" s="1"/>
  <c r="D7" i="6"/>
  <c r="E7" i="6"/>
  <c r="D8" i="6"/>
  <c r="E8" i="6"/>
  <c r="D9" i="6"/>
  <c r="E9" i="6"/>
  <c r="C9" i="6"/>
  <c r="C8" i="6"/>
  <c r="C7" i="6"/>
  <c r="E74" i="4"/>
  <c r="E66" i="4"/>
  <c r="E59" i="4"/>
  <c r="E47" i="4"/>
  <c r="E43" i="4"/>
  <c r="E38" i="4"/>
  <c r="E34" i="4"/>
  <c r="E30" i="4"/>
  <c r="E14" i="4"/>
  <c r="J28" i="2"/>
  <c r="I28" i="2"/>
  <c r="F28" i="2"/>
  <c r="E28" i="2"/>
  <c r="D28" i="2"/>
  <c r="G27" i="2"/>
  <c r="G26" i="2"/>
  <c r="G25" i="2"/>
  <c r="G24" i="2"/>
  <c r="G23" i="2"/>
  <c r="G22" i="2"/>
  <c r="G21" i="2"/>
  <c r="G20" i="2"/>
  <c r="G19" i="2"/>
  <c r="G18" i="2"/>
  <c r="G17" i="2"/>
  <c r="G16" i="2"/>
  <c r="G15" i="2"/>
  <c r="G14" i="2"/>
  <c r="F9" i="2"/>
  <c r="F8" i="2"/>
  <c r="F7" i="2"/>
  <c r="F6" i="2"/>
  <c r="D63" i="1"/>
  <c r="D62" i="1"/>
  <c r="D61" i="1"/>
  <c r="C67" i="1"/>
  <c r="C66" i="1"/>
  <c r="C65" i="1"/>
  <c r="C64" i="1"/>
  <c r="C63" i="1"/>
  <c r="C62" i="1"/>
  <c r="C61" i="1"/>
  <c r="C56" i="1"/>
  <c r="C55" i="1"/>
  <c r="C54" i="1"/>
  <c r="C53" i="1"/>
  <c r="C49" i="1"/>
  <c r="C48" i="1"/>
  <c r="C47" i="1"/>
  <c r="C46" i="1"/>
  <c r="E44" i="1"/>
  <c r="E45" i="1"/>
  <c r="E43" i="1"/>
  <c r="D34" i="1"/>
  <c r="AE50" i="46" s="1"/>
  <c r="D33" i="1"/>
  <c r="D32" i="1"/>
  <c r="C38" i="1"/>
  <c r="C37" i="1"/>
  <c r="C36" i="1"/>
  <c r="E22" i="1"/>
  <c r="E23" i="1"/>
  <c r="E21" i="1"/>
  <c r="C27" i="1"/>
  <c r="C26" i="1"/>
  <c r="C25" i="1"/>
  <c r="C16" i="1"/>
  <c r="C15" i="1"/>
  <c r="C14" i="1"/>
  <c r="C13" i="1"/>
  <c r="E11" i="1"/>
  <c r="E12" i="1"/>
  <c r="E10" i="1"/>
  <c r="E31" i="94" l="1"/>
  <c r="C3" i="104"/>
  <c r="D3" i="104" s="1"/>
  <c r="B9" i="104" s="1"/>
  <c r="E61" i="100"/>
  <c r="E61" i="101"/>
  <c r="E13" i="100"/>
  <c r="E13" i="101"/>
  <c r="E16" i="100"/>
  <c r="E16" i="101"/>
  <c r="E19" i="100"/>
  <c r="E19" i="101"/>
  <c r="E55" i="100"/>
  <c r="E55" i="101"/>
  <c r="E52" i="100"/>
  <c r="E52" i="101"/>
  <c r="E10" i="100"/>
  <c r="E10" i="101"/>
  <c r="E31" i="100"/>
  <c r="E31" i="101"/>
  <c r="E11" i="101"/>
  <c r="E11" i="100"/>
  <c r="E56" i="101"/>
  <c r="E56" i="100"/>
  <c r="E59" i="100"/>
  <c r="E59" i="101"/>
  <c r="E23" i="100"/>
  <c r="E23" i="101"/>
  <c r="E29" i="100"/>
  <c r="E29" i="101"/>
  <c r="E28" i="101"/>
  <c r="E28" i="100"/>
  <c r="E14" i="100"/>
  <c r="E14" i="101"/>
  <c r="E70" i="100"/>
  <c r="E70" i="101"/>
  <c r="L21" i="98"/>
  <c r="T21" i="98" s="1"/>
  <c r="L136" i="98"/>
  <c r="T136" i="98" s="1"/>
  <c r="Q136" i="98"/>
  <c r="S29" i="67"/>
  <c r="R11" i="67"/>
  <c r="U193" i="98"/>
  <c r="S13" i="67"/>
  <c r="R13" i="67"/>
  <c r="U87" i="98"/>
  <c r="J38" i="96"/>
  <c r="R65" i="98"/>
  <c r="S65" i="98" s="1"/>
  <c r="R56" i="67"/>
  <c r="U169" i="98"/>
  <c r="S14" i="67"/>
  <c r="R29" i="67"/>
  <c r="U136" i="98"/>
  <c r="J40" i="96"/>
  <c r="R169" i="98"/>
  <c r="S169" i="98" s="1"/>
  <c r="R59" i="67"/>
  <c r="U17" i="98"/>
  <c r="S61" i="67"/>
  <c r="S11" i="67"/>
  <c r="V193" i="98"/>
  <c r="S70" i="67"/>
  <c r="R52" i="67"/>
  <c r="U65" i="98"/>
  <c r="S23" i="67"/>
  <c r="R14" i="67"/>
  <c r="U92" i="98"/>
  <c r="R23" i="67"/>
  <c r="U94" i="98"/>
  <c r="S55" i="67"/>
  <c r="S16" i="67"/>
  <c r="J11" i="96"/>
  <c r="R52" i="98"/>
  <c r="S52" i="98" s="1"/>
  <c r="S52" i="67"/>
  <c r="R19" i="67"/>
  <c r="U52" i="98"/>
  <c r="J9" i="96"/>
  <c r="R92" i="98"/>
  <c r="S92" i="98" s="1"/>
  <c r="S10" i="67"/>
  <c r="J39" i="96"/>
  <c r="R56" i="98"/>
  <c r="S56" i="98" s="1"/>
  <c r="S56" i="67"/>
  <c r="V169" i="98"/>
  <c r="R31" i="67"/>
  <c r="U142" i="98"/>
  <c r="R28" i="67"/>
  <c r="U157" i="98"/>
  <c r="S59" i="67"/>
  <c r="R55" i="67"/>
  <c r="U56" i="98"/>
  <c r="J7" i="96"/>
  <c r="R193" i="98"/>
  <c r="S193" i="98" s="1"/>
  <c r="J10" i="96"/>
  <c r="R139" i="98"/>
  <c r="S139" i="98" s="1"/>
  <c r="S19" i="67"/>
  <c r="J8" i="96"/>
  <c r="R87" i="98"/>
  <c r="S87" i="98" s="1"/>
  <c r="R16" i="67"/>
  <c r="U139" i="98"/>
  <c r="R10" i="67"/>
  <c r="U35" i="98"/>
  <c r="J6" i="96"/>
  <c r="R35" i="98"/>
  <c r="S35" i="98" s="1"/>
  <c r="S28" i="67"/>
  <c r="Q61" i="67"/>
  <c r="R21" i="98"/>
  <c r="S21" i="98" s="1"/>
  <c r="R70" i="67"/>
  <c r="U45" i="98"/>
  <c r="J47" i="96"/>
  <c r="R45" i="98"/>
  <c r="S45" i="98" s="1"/>
  <c r="S31" i="67"/>
  <c r="R61" i="67"/>
  <c r="U21" i="98"/>
  <c r="C3" i="95"/>
  <c r="D3" i="95" s="1"/>
  <c r="B9" i="95" s="1"/>
  <c r="Q59" i="67"/>
  <c r="J42" i="96"/>
  <c r="Q28" i="67"/>
  <c r="J19" i="96"/>
  <c r="Q23" i="67"/>
  <c r="J15" i="96"/>
  <c r="Q31" i="67"/>
  <c r="J21" i="96"/>
  <c r="AJ22" i="46"/>
  <c r="E55" i="88" s="1"/>
  <c r="F55" i="88"/>
  <c r="D55" i="88"/>
  <c r="AJ9" i="46"/>
  <c r="E42" i="88" s="1"/>
  <c r="D42" i="88"/>
  <c r="F42" i="88"/>
  <c r="Q14" i="67"/>
  <c r="Q10" i="67"/>
  <c r="Q29" i="67"/>
  <c r="Q13" i="67"/>
  <c r="Q11" i="67"/>
  <c r="Q55" i="67"/>
  <c r="Q52" i="67"/>
  <c r="Q16" i="67"/>
  <c r="Q70" i="67"/>
  <c r="Q56" i="67"/>
  <c r="Q19" i="67"/>
  <c r="AN9" i="46"/>
  <c r="M129" i="98" s="1"/>
  <c r="AN22" i="46"/>
  <c r="M124" i="98" s="1"/>
  <c r="E62" i="1"/>
  <c r="E61" i="1"/>
  <c r="E7" i="7"/>
  <c r="G28" i="2"/>
  <c r="H18" i="2" s="1"/>
  <c r="E10" i="6"/>
  <c r="E11" i="6" s="1"/>
  <c r="G11" i="7" s="1"/>
  <c r="C10" i="6"/>
  <c r="C11" i="6" s="1"/>
  <c r="E11" i="7" s="1"/>
  <c r="D10" i="6"/>
  <c r="D11" i="6" s="1"/>
  <c r="E4" i="4"/>
  <c r="C5" i="1"/>
  <c r="E6" i="7" s="1"/>
  <c r="E63" i="1"/>
  <c r="L124" i="98" l="1"/>
  <c r="T124" i="98" s="1"/>
  <c r="Q124" i="98"/>
  <c r="L129" i="98"/>
  <c r="T129" i="98" s="1"/>
  <c r="Q129" i="98"/>
  <c r="AU22" i="46"/>
  <c r="E21" i="94" s="1"/>
  <c r="H13" i="96"/>
  <c r="AU9" i="46"/>
  <c r="H5" i="96"/>
  <c r="C40" i="90"/>
  <c r="C54" i="90"/>
  <c r="E8" i="84"/>
  <c r="E8" i="85"/>
  <c r="P21" i="67"/>
  <c r="L21" i="67" s="1"/>
  <c r="E21" i="84"/>
  <c r="E21" i="85"/>
  <c r="P8" i="67"/>
  <c r="L8" i="67" s="1"/>
  <c r="AO9" i="46"/>
  <c r="AP9" i="46"/>
  <c r="AQ9" i="46"/>
  <c r="AQ22" i="46"/>
  <c r="AP22" i="46"/>
  <c r="AO22" i="46"/>
  <c r="H14" i="2"/>
  <c r="H19" i="2"/>
  <c r="H21" i="2"/>
  <c r="H26" i="2"/>
  <c r="H16" i="2"/>
  <c r="H24" i="2"/>
  <c r="H15" i="2"/>
  <c r="H23" i="2"/>
  <c r="H17" i="2"/>
  <c r="AH21" i="46"/>
  <c r="C54" i="88" s="1"/>
  <c r="AG21" i="46"/>
  <c r="H20" i="2"/>
  <c r="AG50" i="46"/>
  <c r="AH50" i="46"/>
  <c r="C83" i="88" s="1"/>
  <c r="K28" i="2"/>
  <c r="H25" i="2"/>
  <c r="H22" i="2"/>
  <c r="H27" i="2"/>
  <c r="AG55" i="46"/>
  <c r="AH55" i="46"/>
  <c r="C88" i="88" s="1"/>
  <c r="E8" i="94" l="1"/>
  <c r="E21" i="101"/>
  <c r="E21" i="100"/>
  <c r="E8" i="101"/>
  <c r="E8" i="100"/>
  <c r="S8" i="67"/>
  <c r="R21" i="67"/>
  <c r="U124" i="98"/>
  <c r="R8" i="67"/>
  <c r="U129" i="98"/>
  <c r="J5" i="96"/>
  <c r="R129" i="98"/>
  <c r="S129" i="98" s="1"/>
  <c r="J13" i="96"/>
  <c r="R124" i="98"/>
  <c r="S124" i="98" s="1"/>
  <c r="S21" i="67"/>
  <c r="Q21" i="67"/>
  <c r="Q8" i="67"/>
  <c r="AI50" i="46"/>
  <c r="AI55" i="46"/>
  <c r="AI21" i="46"/>
  <c r="H28" i="2"/>
  <c r="AJ55" i="46" l="1"/>
  <c r="E88" i="88" s="1"/>
  <c r="F88" i="88"/>
  <c r="D88" i="88"/>
  <c r="D54" i="88"/>
  <c r="F54" i="88"/>
  <c r="AJ50" i="46"/>
  <c r="E83" i="88" s="1"/>
  <c r="D83" i="88"/>
  <c r="F83" i="88"/>
  <c r="AJ21" i="46"/>
  <c r="AN21" i="46"/>
  <c r="M148" i="98" s="1"/>
  <c r="L148" i="98" l="1"/>
  <c r="T148" i="98" s="1"/>
  <c r="Q148" i="98"/>
  <c r="AU21" i="46"/>
  <c r="H12" i="96"/>
  <c r="E20" i="94"/>
  <c r="C57" i="90"/>
  <c r="E54" i="88"/>
  <c r="E20" i="84"/>
  <c r="E20" i="85"/>
  <c r="P20" i="67"/>
  <c r="L20" i="67" s="1"/>
  <c r="D235" i="46" a="1"/>
  <c r="D235" i="46" s="1"/>
  <c r="D233" i="46" a="1"/>
  <c r="D233" i="46" s="1"/>
  <c r="D232" i="46" a="1"/>
  <c r="D232" i="46" s="1"/>
  <c r="D234" i="46" a="1"/>
  <c r="D234" i="46" s="1"/>
  <c r="D226" i="46" a="1"/>
  <c r="D226" i="46" s="1"/>
  <c r="D228" i="46" a="1"/>
  <c r="D228" i="46" s="1"/>
  <c r="D227" i="46" a="1"/>
  <c r="D227" i="46" s="1"/>
  <c r="D229" i="46" a="1"/>
  <c r="D229" i="46" s="1"/>
  <c r="AQ21" i="46"/>
  <c r="AP21" i="46"/>
  <c r="AO21" i="46"/>
  <c r="C2" i="95" l="1"/>
  <c r="D2" i="95" s="1"/>
  <c r="B8" i="95" s="1"/>
  <c r="C2" i="104"/>
  <c r="D2" i="104" s="1"/>
  <c r="B8" i="104" s="1"/>
  <c r="E20" i="100"/>
  <c r="E20" i="101"/>
  <c r="J12" i="96"/>
  <c r="R148" i="98"/>
  <c r="S148" i="98" s="1"/>
  <c r="R20" i="67"/>
  <c r="U148" i="98"/>
  <c r="Q20" i="67"/>
  <c r="C239" i="46" a="1"/>
  <c r="C239" i="46" s="1"/>
  <c r="C229" i="46" a="1"/>
  <c r="C229" i="46" s="1"/>
  <c r="C243" i="46" a="1"/>
  <c r="C243" i="46" s="1"/>
  <c r="C241" i="46" a="1"/>
  <c r="C241" i="46" s="1"/>
  <c r="C226" i="46" a="1"/>
  <c r="C226" i="46" s="1"/>
  <c r="C233" i="46" a="1"/>
  <c r="C233" i="46" s="1"/>
  <c r="C242" i="46" a="1"/>
  <c r="C242" i="46" s="1"/>
  <c r="G229" i="98" s="1"/>
  <c r="C227" i="46" a="1"/>
  <c r="C227" i="46" s="1"/>
  <c r="C240" i="46" a="1"/>
  <c r="C240" i="46" s="1"/>
  <c r="C228" i="46" a="1"/>
  <c r="C228" i="46" s="1"/>
  <c r="C235" i="46" a="1"/>
  <c r="C235" i="46" s="1"/>
  <c r="C234" i="46" a="1"/>
  <c r="C234" i="46" s="1"/>
  <c r="C232" i="46" a="1"/>
  <c r="C232" i="46" s="1"/>
  <c r="S20" i="67"/>
  <c r="D242" i="46" a="1"/>
  <c r="D242" i="46" s="1"/>
  <c r="D243" i="46" a="1"/>
  <c r="D243" i="46" s="1"/>
  <c r="D240" i="46" a="1"/>
  <c r="D240" i="46" s="1"/>
  <c r="D241" i="46" a="1"/>
  <c r="D241" i="46" s="1"/>
  <c r="D239" i="46" a="1"/>
  <c r="D239" i="46" s="1"/>
  <c r="H229" i="67" l="1"/>
  <c r="H229" i="98"/>
  <c r="G230" i="98"/>
  <c r="H226" i="98"/>
  <c r="D4" i="83"/>
  <c r="H228" i="98"/>
  <c r="H227" i="98"/>
  <c r="G227" i="98"/>
  <c r="G226" i="98"/>
  <c r="H230" i="98"/>
  <c r="G228" i="98"/>
  <c r="F242" i="46"/>
  <c r="G229" i="67"/>
  <c r="H226" i="67"/>
  <c r="F243" i="46"/>
  <c r="G230" i="67"/>
  <c r="G228" i="67"/>
  <c r="F241" i="46"/>
  <c r="H228" i="67"/>
  <c r="H227" i="67"/>
  <c r="G227" i="67"/>
  <c r="F240" i="46"/>
  <c r="F239" i="46"/>
  <c r="G226" i="67"/>
  <c r="C244" i="46"/>
  <c r="H230" i="67"/>
  <c r="F4" i="83" l="1"/>
  <c r="J4" i="83" s="1"/>
  <c r="M4" i="83" s="1"/>
  <c r="M6" i="83" s="1"/>
  <c r="I4"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1" authorId="0" shapeId="0" xr:uid="{AF45A225-A5A4-AE4A-8874-E7B0E9B004EE}">
      <text>
        <r>
          <rPr>
            <b/>
            <sz val="10"/>
            <color rgb="FF000000"/>
            <rFont val="Tahoma"/>
            <family val="2"/>
          </rPr>
          <t>Microsoft Office User:</t>
        </r>
        <r>
          <rPr>
            <sz val="10"/>
            <color rgb="FF000000"/>
            <rFont val="Tahoma"/>
            <family val="2"/>
          </rPr>
          <t xml:space="preserve">
</t>
        </r>
        <r>
          <rPr>
            <sz val="10"/>
            <color rgb="FF000000"/>
            <rFont val="Tahoma"/>
            <family val="2"/>
          </rPr>
          <t xml:space="preserve">*Income groups used in this year's report are based on the World Bank's 2021 fiscal year income group classifications. Given that income group classifications are updated annually, the income groups are only displayed for the current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tc={95E9B658-9E49-4E34-A197-4D9A94C5C652}</author>
    <author>tc={10F8D29B-7AB3-43F2-ABC9-C58A8F5AB7A8}</author>
    <author>tc={DC774B71-DC80-41B9-B601-7728C2825F92}</author>
    <author>tc={9270853F-9368-4885-9380-91D793F1BA2B}</author>
  </authors>
  <commentList>
    <comment ref="B7" authorId="0" shapeId="0" xr:uid="{95E9B658-9E49-4E34-A197-4D9A94C5C652}">
      <text>
        <t>[Threaded comment]
Your version of Excel allows you to read this threaded comment; however, any edits to it will get removed if the file is opened in a newer version of Excel. Learn more: https://go.microsoft.com/fwlink/?linkid=870924
Comment:
    Breakdown from page 156</t>
      </text>
    </comment>
    <comment ref="C9" authorId="1" shapeId="0" xr:uid="{10F8D29B-7AB3-43F2-ABC9-C58A8F5AB7A8}">
      <text>
        <t xml:space="preserve">[Threaded comment]
Your version of Excel allows you to read this threaded comment; however, any edits to it will get removed if the file is opened in a newer version of Excel. Learn more: https://go.microsoft.com/fwlink/?linkid=870924
Comment:
    Page 173 breakdown of spending on police, prosecution etc </t>
      </text>
    </comment>
    <comment ref="B19" authorId="2" shapeId="0" xr:uid="{DC774B71-DC80-41B9-B601-7728C2825F92}">
      <text>
        <t>[Threaded comment]
Your version of Excel allows you to read this threaded comment; however, any edits to it will get removed if the file is opened in a newer version of Excel. Learn more: https://go.microsoft.com/fwlink/?linkid=870924
Comment:
    Breakdown from page 156</t>
      </text>
    </comment>
    <comment ref="C21" authorId="3" shapeId="0" xr:uid="{9270853F-9368-4885-9380-91D793F1BA2B}">
      <text>
        <t xml:space="preserve">[Threaded comment]
Your version of Excel allows you to read this threaded comment; however, any edits to it will get removed if the file is opened in a newer version of Excel. Learn more: https://go.microsoft.com/fwlink/?linkid=870924
Comment:
    Page 173 breakdown of spending on police, prosecution etc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tc={DEC99701-6E08-41A1-8779-A245C05550FE}</author>
  </authors>
  <commentList>
    <comment ref="C1" authorId="0" shapeId="0" xr:uid="{DEC99701-6E08-41A1-8779-A245C05550FE}">
      <text>
        <t>[Threaded comment]
Your version of Excel allows you to read this threaded comment; however, any edits to it will get removed if the file is opened in a newer version of Excel. Learn more: https://go.microsoft.com/fwlink/?linkid=870924
Comment:
    Data can be broken down by recurrent, development and other from current source. More detailed information can be found here: https://mof.gov.sl/wp-content/uploads/2021/12/FY2022-Detailed-Budget-Estimates-Report.pdf</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tc={FD3E9512-F547-4751-BD9E-3C8C533B5FC0}</author>
  </authors>
  <commentList>
    <comment ref="G16" authorId="0" shapeId="0" xr:uid="{FD3E9512-F547-4751-BD9E-3C8C533B5FC0}">
      <text>
        <t>[Threaded comment]
Your version of Excel allows you to read this threaded comment; however, any edits to it will get removed if the file is opened in a newer version of Excel. Learn more: https://go.microsoft.com/fwlink/?linkid=870924
Comment:
    Differences due to rounding - does it matter?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tc={3E08AD62-F102-46E1-AECE-4FDCC65D30B1}</author>
  </authors>
  <commentList>
    <comment ref="E12" authorId="0" shapeId="0" xr:uid="{3E08AD62-F102-46E1-AECE-4FDCC65D30B1}">
      <text>
        <t>[Threaded comment]
Your version of Excel allows you to read this threaded comment; however, any edits to it will get removed if the file is opened in a newer version of Excel. Learn more: https://go.microsoft.com/fwlink/?linkid=870924
Comment:
    Data comes from 2021 report - not reported on data hub - https://www.oecd-ilibrary.org/docserver/1c258f55-en.pdf?expires=1660229435&amp;id=id&amp;accname=guest&amp;checksum=A6AC2CC0055664EB861BA5517A4AFCA2 page 87</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<sst xmlns="http://schemas.openxmlformats.org/spreadsheetml/2006/main" count="23800" uniqueCount="2661">
  <si>
    <t>Domestic financing for justice: who spends most on justice?</t>
  </si>
  <si>
    <t>Data underlying ODI policy brief March 2023</t>
  </si>
  <si>
    <t xml:space="preserve">This spreadsheet provides data for all the figures in the paper and Annex B table. Other sheets provide summary of additional information and data on individual countries </t>
  </si>
  <si>
    <t xml:space="preserve">Data from this spreadsheet may be used provided ODI source is acknowledged - citation below </t>
  </si>
  <si>
    <t>Manuel, M., Manuel, C., Manea, S. and Nagaria, D. (2023) ‘Domestic financing for justice: who spends most on justice?’ ODI Policy Brief. London: ODI. (https://odi.org/en/about/our-work/takingpeople-centred-justice-to-scale-investing-in-what-works-to-deliversdg-163-in-lower-income-countries/).</t>
  </si>
  <si>
    <t>Methods:</t>
  </si>
  <si>
    <t>This data on justice expenditure has been collated between June and October 2022. You are welcome to draw on the data and findings, please cite the ODI (2022) and direct any queries to Marcus Manuel. As a general rule we use the latest data from either national or IMF source. The only exception is where the more recent national figure is significantly less than the IMF (as this may mean we have not included all the budget lines in our analysis of the national data).</t>
  </si>
  <si>
    <t>Authors:</t>
  </si>
  <si>
    <t>Marcus Manuel</t>
  </si>
  <si>
    <t xml:space="preserve">m.manuel@odi.org.uk </t>
  </si>
  <si>
    <t xml:space="preserve">Clare Manuel </t>
  </si>
  <si>
    <t>c.manuel@odi.org.uk</t>
  </si>
  <si>
    <t xml:space="preserve">Stephanie Manea </t>
  </si>
  <si>
    <t xml:space="preserve">Darshni Nagaria </t>
  </si>
  <si>
    <t>Data:</t>
  </si>
  <si>
    <t xml:space="preserve">Sources: </t>
  </si>
  <si>
    <t xml:space="preserve">National </t>
  </si>
  <si>
    <t xml:space="preserve">Latest national budget documents and reports from individual websites </t>
  </si>
  <si>
    <t xml:space="preserve">IMF COFOG </t>
  </si>
  <si>
    <t>Expenditure on public order and safety as a proportion of government expenditure or budgetary central government</t>
  </si>
  <si>
    <t>Gov Rev LCU bn</t>
  </si>
  <si>
    <t xml:space="preserve">IMF WEO database </t>
  </si>
  <si>
    <t xml:space="preserve">Gov Rev (% GDP and LCU) </t>
  </si>
  <si>
    <t>GNI per capita</t>
  </si>
  <si>
    <t xml:space="preserve">World Bank </t>
  </si>
  <si>
    <t xml:space="preserve">Justice spend as a % of gov revenue and GDP </t>
  </si>
  <si>
    <t>Own calculations</t>
  </si>
  <si>
    <t>Key tabs:</t>
  </si>
  <si>
    <t>Summary data</t>
  </si>
  <si>
    <t>Outlines justice expenditure per persion (USD) and as a proportion of gov revenue and GDP. Where the breakdown exists, data for expenditure on police, prisons and law courts is included</t>
  </si>
  <si>
    <t>Justice spend total</t>
  </si>
  <si>
    <t xml:space="preserve">Full justice expenditure dataset </t>
  </si>
  <si>
    <t>WJP data</t>
  </si>
  <si>
    <t>Data from the 2022 World Justice Project data release</t>
  </si>
  <si>
    <t xml:space="preserve">National budgets summary </t>
  </si>
  <si>
    <t xml:space="preserve">Collates the national budget document data from the individual country tabs </t>
  </si>
  <si>
    <t>Edu &amp; Health Expenditure</t>
  </si>
  <si>
    <t xml:space="preserve">Gov expenditure data on education and healthcare </t>
  </si>
  <si>
    <t xml:space="preserve">Definitions </t>
  </si>
  <si>
    <t xml:space="preserve">IMF, OECD and OECD DAC definitions of the justice / law and order sector </t>
  </si>
  <si>
    <t>Individual country tabs</t>
  </si>
  <si>
    <t>Data that was pulled from individual budget documents was included in a separate tab. Lists the source, budget year and where available, a breakdown of the justice budget</t>
  </si>
  <si>
    <t>IMF COFOG FULL</t>
  </si>
  <si>
    <t>All IMF COFOG data from 2016-2021 on public order and safety expenditure</t>
  </si>
  <si>
    <t>Notes:</t>
  </si>
  <si>
    <t>Data is not available</t>
  </si>
  <si>
    <t xml:space="preserve">Expenditure on Public order, law and safety as % of all government spending in OECD DAC </t>
  </si>
  <si>
    <t>Economy</t>
  </si>
  <si>
    <t>Expenditure on public order &amp; safety</t>
  </si>
  <si>
    <t>Denmark</t>
  </si>
  <si>
    <t>Finland</t>
  </si>
  <si>
    <t>Norway</t>
  </si>
  <si>
    <t>Sweden</t>
  </si>
  <si>
    <t>Austria</t>
  </si>
  <si>
    <t>Luxembourg</t>
  </si>
  <si>
    <t>France</t>
  </si>
  <si>
    <t>Germany</t>
  </si>
  <si>
    <t>Japan</t>
  </si>
  <si>
    <t>Belgium</t>
  </si>
  <si>
    <t>Iceland</t>
  </si>
  <si>
    <t>Slovenia</t>
  </si>
  <si>
    <t>Ireland</t>
  </si>
  <si>
    <t>Portugal</t>
  </si>
  <si>
    <t>Italy</t>
  </si>
  <si>
    <t>Canada</t>
  </si>
  <si>
    <t>Greece</t>
  </si>
  <si>
    <t>Netherlands</t>
  </si>
  <si>
    <t>Switzerland</t>
  </si>
  <si>
    <t>Hungary</t>
  </si>
  <si>
    <t>Spain</t>
  </si>
  <si>
    <t>Czech Republic</t>
  </si>
  <si>
    <t>New Zealand</t>
  </si>
  <si>
    <t>United Kingdom</t>
  </si>
  <si>
    <t>Korea, Rep.</t>
  </si>
  <si>
    <t>Australia</t>
  </si>
  <si>
    <t>Poland</t>
  </si>
  <si>
    <t>Slovak Republic</t>
  </si>
  <si>
    <t>United States</t>
  </si>
  <si>
    <t>Percentage of Government Revenue</t>
  </si>
  <si>
    <t>Gov Rev % GDP</t>
  </si>
  <si>
    <t>Gov Rev Yr</t>
  </si>
  <si>
    <t>Expenditure on police services</t>
  </si>
  <si>
    <t>Expenditure on fire protection services</t>
  </si>
  <si>
    <t>Expenditure on law courts</t>
  </si>
  <si>
    <t>Expenditure on prisons</t>
  </si>
  <si>
    <t>Expenditure on public order &amp; safety R&amp;D</t>
  </si>
  <si>
    <t>Expenditure on public order &amp; safety n.e.c.</t>
  </si>
  <si>
    <t>Average</t>
  </si>
  <si>
    <t>GNI percap (current US$)</t>
  </si>
  <si>
    <t>Justice % Gov Rev</t>
  </si>
  <si>
    <t>Justice % GDP</t>
  </si>
  <si>
    <t>Year</t>
  </si>
  <si>
    <t>Source</t>
  </si>
  <si>
    <t>Burundi</t>
  </si>
  <si>
    <t>Somalia</t>
  </si>
  <si>
    <t>Mozambique</t>
  </si>
  <si>
    <t>Afghanistan</t>
  </si>
  <si>
    <t>Madagascar</t>
  </si>
  <si>
    <t>Sierra Leone</t>
  </si>
  <si>
    <t>Central African Republic</t>
  </si>
  <si>
    <t>Congo, Dem. Rep.</t>
  </si>
  <si>
    <t>Niger</t>
  </si>
  <si>
    <t>Eritrea</t>
  </si>
  <si>
    <t>Liberia</t>
  </si>
  <si>
    <t>Malawi</t>
  </si>
  <si>
    <t>Chad</t>
  </si>
  <si>
    <t>Sudan</t>
  </si>
  <si>
    <t>Yemen, Rep.</t>
  </si>
  <si>
    <t>Guinea-Bissau</t>
  </si>
  <si>
    <t>Gambia, The</t>
  </si>
  <si>
    <t>Uganda</t>
  </si>
  <si>
    <t>Rwanda</t>
  </si>
  <si>
    <t>Burkina Faso</t>
  </si>
  <si>
    <t>Mali</t>
  </si>
  <si>
    <t>Syrian Arab Republic</t>
  </si>
  <si>
    <t>Ethiopia</t>
  </si>
  <si>
    <t>Togo</t>
  </si>
  <si>
    <t>Guinea</t>
  </si>
  <si>
    <t>Zambia</t>
  </si>
  <si>
    <t>South Sudan</t>
  </si>
  <si>
    <t>Myanmar</t>
  </si>
  <si>
    <t>Tanzania</t>
  </si>
  <si>
    <t>Tajikistan</t>
  </si>
  <si>
    <t>Kyrgyz Republic</t>
  </si>
  <si>
    <t>Nepal</t>
  </si>
  <si>
    <t>Lesotho</t>
  </si>
  <si>
    <t>Benin</t>
  </si>
  <si>
    <t>Zimbabwe</t>
  </si>
  <si>
    <t>Haiti</t>
  </si>
  <si>
    <t>Comoros</t>
  </si>
  <si>
    <t>Pakistan</t>
  </si>
  <si>
    <t>Senegal</t>
  </si>
  <si>
    <t>Cambodia</t>
  </si>
  <si>
    <t>Cameroon</t>
  </si>
  <si>
    <t>Congo, Rep.</t>
  </si>
  <si>
    <t>Mauritania</t>
  </si>
  <si>
    <t>Angola</t>
  </si>
  <si>
    <t>Timor-Leste</t>
  </si>
  <si>
    <t>Uzbekistan</t>
  </si>
  <si>
    <t>Kenya</t>
  </si>
  <si>
    <t>Nicaragua</t>
  </si>
  <si>
    <t>Nigeria</t>
  </si>
  <si>
    <t>India</t>
  </si>
  <si>
    <t>São Tomé and Príncipe</t>
  </si>
  <si>
    <t>Solomon Islands</t>
  </si>
  <si>
    <t>Ghana</t>
  </si>
  <si>
    <t>Côte d’Ivoire</t>
  </si>
  <si>
    <t>Lao PDR</t>
  </si>
  <si>
    <t>Honduras</t>
  </si>
  <si>
    <t>Bangladesh</t>
  </si>
  <si>
    <t>Papua New Guinea</t>
  </si>
  <si>
    <t>Bhutan</t>
  </si>
  <si>
    <t>Kiribati</t>
  </si>
  <si>
    <t>Vanuatu</t>
  </si>
  <si>
    <t>Djibouti</t>
  </si>
  <si>
    <t>Cabo Verde</t>
  </si>
  <si>
    <t>Morocco</t>
  </si>
  <si>
    <t>Bolivia</t>
  </si>
  <si>
    <t>Iran, Islamic Rep.</t>
  </si>
  <si>
    <t>Lebanon</t>
  </si>
  <si>
    <t>Egypt, Arab Rep.</t>
  </si>
  <si>
    <t>Vietnam</t>
  </si>
  <si>
    <t>Tunisia</t>
  </si>
  <si>
    <t>Philippines</t>
  </si>
  <si>
    <t>Algeria</t>
  </si>
  <si>
    <t>Eswatini</t>
  </si>
  <si>
    <t>Mongolia</t>
  </si>
  <si>
    <t>Sri Lanka</t>
  </si>
  <si>
    <t>Samoa</t>
  </si>
  <si>
    <t>Micronesia, Fed. Sts.</t>
  </si>
  <si>
    <t>Ukraine</t>
  </si>
  <si>
    <t>Indonesia</t>
  </si>
  <si>
    <t>El Salvador</t>
  </si>
  <si>
    <t>West Bank and Gaza</t>
  </si>
  <si>
    <t>Belize</t>
  </si>
  <si>
    <t>Suriname</t>
  </si>
  <si>
    <t>Jordan</t>
  </si>
  <si>
    <t>Namibia</t>
  </si>
  <si>
    <t>Armenia</t>
  </si>
  <si>
    <t>Georgia</t>
  </si>
  <si>
    <t>Jamaica</t>
  </si>
  <si>
    <t>Fiji</t>
  </si>
  <si>
    <t>Azerbaijan</t>
  </si>
  <si>
    <t>Guatemala</t>
  </si>
  <si>
    <t>Kosovo</t>
  </si>
  <si>
    <t>Iraq</t>
  </si>
  <si>
    <t>Marshall Islands</t>
  </si>
  <si>
    <t>Tonga</t>
  </si>
  <si>
    <t>Paraguay</t>
  </si>
  <si>
    <t>Moldova</t>
  </si>
  <si>
    <t>Equatorial Guinea</t>
  </si>
  <si>
    <t>Ecuador</t>
  </si>
  <si>
    <t>Albania</t>
  </si>
  <si>
    <t>North Macedonia</t>
  </si>
  <si>
    <t>Colombia</t>
  </si>
  <si>
    <t>South Africa</t>
  </si>
  <si>
    <t>Peru</t>
  </si>
  <si>
    <t>Tuvalu</t>
  </si>
  <si>
    <t>Bosnia and Herzegovina</t>
  </si>
  <si>
    <t>Botswana</t>
  </si>
  <si>
    <t>Belarus</t>
  </si>
  <si>
    <t>Gabon</t>
  </si>
  <si>
    <t>Turkmenistan</t>
  </si>
  <si>
    <t>Thailand</t>
  </si>
  <si>
    <t>Brazil</t>
  </si>
  <si>
    <t>Dominica</t>
  </si>
  <si>
    <t>St. Vincent and the Grenadines</t>
  </si>
  <si>
    <t>Dominican Republic</t>
  </si>
  <si>
    <t>Maldives</t>
  </si>
  <si>
    <t>Libya</t>
  </si>
  <si>
    <t>Serbia</t>
  </si>
  <si>
    <t>Cuba</t>
  </si>
  <si>
    <t>Kazakhstan</t>
  </si>
  <si>
    <t>Montenegro</t>
  </si>
  <si>
    <t>Guyana</t>
  </si>
  <si>
    <t>Mexico</t>
  </si>
  <si>
    <t>Grenada</t>
  </si>
  <si>
    <t>St. Lucia</t>
  </si>
  <si>
    <t>Türkiye</t>
  </si>
  <si>
    <t>Argentina</t>
  </si>
  <si>
    <t>Bulgaria</t>
  </si>
  <si>
    <t>Mauritius</t>
  </si>
  <si>
    <t>Malaysia</t>
  </si>
  <si>
    <t>Russian Federation</t>
  </si>
  <si>
    <t>China</t>
  </si>
  <si>
    <t>Costa Rica</t>
  </si>
  <si>
    <t>Venezuela, RB</t>
  </si>
  <si>
    <t>Seychelles</t>
  </si>
  <si>
    <t>Panama</t>
  </si>
  <si>
    <t>Romania</t>
  </si>
  <si>
    <t>Palau</t>
  </si>
  <si>
    <t>Antigua and Barbuda</t>
  </si>
  <si>
    <t>Chile</t>
  </si>
  <si>
    <t>Oman</t>
  </si>
  <si>
    <t>Trinidad and Tobago</t>
  </si>
  <si>
    <t>Uruguay</t>
  </si>
  <si>
    <t>Curaçao</t>
  </si>
  <si>
    <t>Barbados</t>
  </si>
  <si>
    <t>Croatia</t>
  </si>
  <si>
    <t>St. Kitts and Nevis</t>
  </si>
  <si>
    <t>Latvia</t>
  </si>
  <si>
    <t>Nauru</t>
  </si>
  <si>
    <t>Bahrain</t>
  </si>
  <si>
    <t>Puerto Rico</t>
  </si>
  <si>
    <t>Lithuania</t>
  </si>
  <si>
    <t>Saudi Arabia</t>
  </si>
  <si>
    <t>Aruba</t>
  </si>
  <si>
    <t>Turks and Caicos Islands</t>
  </si>
  <si>
    <t>Estonia</t>
  </si>
  <si>
    <t>Bahamas, The</t>
  </si>
  <si>
    <t>Sint Maarten (Dutch part)</t>
  </si>
  <si>
    <t>Cyprus</t>
  </si>
  <si>
    <t>Malta</t>
  </si>
  <si>
    <t>Brunei Darussalam</t>
  </si>
  <si>
    <t>Kuwait</t>
  </si>
  <si>
    <t>United Arab Emirates</t>
  </si>
  <si>
    <t>Andorra</t>
  </si>
  <si>
    <t>Macao SAR, China</t>
  </si>
  <si>
    <t>Israel</t>
  </si>
  <si>
    <t>Hong Kong SAR, China</t>
  </si>
  <si>
    <t>Qatar</t>
  </si>
  <si>
    <t>Cayman Islands</t>
  </si>
  <si>
    <t>Singapore</t>
  </si>
  <si>
    <t>Isle of Man</t>
  </si>
  <si>
    <t>Bermuda</t>
  </si>
  <si>
    <t>San Marino</t>
  </si>
  <si>
    <t>Taiwan, China</t>
  </si>
  <si>
    <t>Police</t>
  </si>
  <si>
    <t>Courts</t>
  </si>
  <si>
    <t>Prisons</t>
  </si>
  <si>
    <t>Fire services</t>
  </si>
  <si>
    <t xml:space="preserve">Research </t>
  </si>
  <si>
    <t>Other</t>
  </si>
  <si>
    <t>IMF Data available</t>
  </si>
  <si>
    <t>of which ODI updated</t>
  </si>
  <si>
    <t>IMF data used</t>
  </si>
  <si>
    <t xml:space="preserve">ODI new </t>
  </si>
  <si>
    <t>Total number of countries</t>
  </si>
  <si>
    <t>IMF data available</t>
  </si>
  <si>
    <t>ODI update of IMF data</t>
  </si>
  <si>
    <t>ODI new data</t>
  </si>
  <si>
    <t>total coverage</t>
  </si>
  <si>
    <t>LICs</t>
  </si>
  <si>
    <t>LMICs</t>
  </si>
  <si>
    <t>UMICs</t>
  </si>
  <si>
    <t>OECD DAC</t>
  </si>
  <si>
    <t xml:space="preserve">Total ODI data </t>
  </si>
  <si>
    <t>Percantage of countries reporting by income category OECD DAC, UMIC, LMIC, LIC with data no more than 3 years out of date (2018 onwards)</t>
  </si>
  <si>
    <t>total number of countries ODI gathered data on = number of separate tabs</t>
  </si>
  <si>
    <t>Justice</t>
  </si>
  <si>
    <t>OECD average</t>
  </si>
  <si>
    <t xml:space="preserve">Low-income </t>
  </si>
  <si>
    <t xml:space="preserve">Lower-middle income </t>
  </si>
  <si>
    <t xml:space="preserve">Upper middle-income </t>
  </si>
  <si>
    <t>OECD</t>
  </si>
  <si>
    <t>Median point</t>
  </si>
  <si>
    <t>Costs</t>
  </si>
  <si>
    <t>Current spend</t>
  </si>
  <si>
    <t>Ratio spend/costs</t>
  </si>
  <si>
    <t>LIC</t>
  </si>
  <si>
    <t>LMIC</t>
  </si>
  <si>
    <t>UMIC</t>
  </si>
  <si>
    <t>Count</t>
  </si>
  <si>
    <t>Code</t>
  </si>
  <si>
    <t>Income group</t>
  </si>
  <si>
    <t>BDI</t>
  </si>
  <si>
    <t>Low income</t>
  </si>
  <si>
    <t>SOM</t>
  </si>
  <si>
    <t>MOZ</t>
  </si>
  <si>
    <t>AFG</t>
  </si>
  <si>
    <t>MDG</t>
  </si>
  <si>
    <t>SLE</t>
  </si>
  <si>
    <t>CAF</t>
  </si>
  <si>
    <t>COD</t>
  </si>
  <si>
    <t>NER</t>
  </si>
  <si>
    <t>ERI</t>
  </si>
  <si>
    <t>LBR</t>
  </si>
  <si>
    <t>MWI</t>
  </si>
  <si>
    <t>TCD</t>
  </si>
  <si>
    <t>SDN</t>
  </si>
  <si>
    <t>YEM</t>
  </si>
  <si>
    <t>GNB</t>
  </si>
  <si>
    <t>GMB</t>
  </si>
  <si>
    <t>UGA</t>
  </si>
  <si>
    <t>RWA</t>
  </si>
  <si>
    <t>BFA</t>
  </si>
  <si>
    <t>MLI</t>
  </si>
  <si>
    <t>SYR</t>
  </si>
  <si>
    <t>ETH</t>
  </si>
  <si>
    <t>TGO</t>
  </si>
  <si>
    <t>GIN</t>
  </si>
  <si>
    <t>ZMB</t>
  </si>
  <si>
    <t>SSD</t>
  </si>
  <si>
    <t>MMR</t>
  </si>
  <si>
    <t>Lower middle income</t>
  </si>
  <si>
    <t>TZA</t>
  </si>
  <si>
    <t>TJK</t>
  </si>
  <si>
    <t>KGZ</t>
  </si>
  <si>
    <t>NPL</t>
  </si>
  <si>
    <t>LSO</t>
  </si>
  <si>
    <t>BEN</t>
  </si>
  <si>
    <t>ZWE</t>
  </si>
  <si>
    <t>HTI</t>
  </si>
  <si>
    <t>COM</t>
  </si>
  <si>
    <t>PAK</t>
  </si>
  <si>
    <t>SEN</t>
  </si>
  <si>
    <t>KHM</t>
  </si>
  <si>
    <t>CMR</t>
  </si>
  <si>
    <t>COG</t>
  </si>
  <si>
    <t>MRT</t>
  </si>
  <si>
    <t>AGO</t>
  </si>
  <si>
    <t>TLS</t>
  </si>
  <si>
    <t>UZB</t>
  </si>
  <si>
    <t>KEN</t>
  </si>
  <si>
    <t>NIC</t>
  </si>
  <si>
    <t>NGA</t>
  </si>
  <si>
    <t>IND</t>
  </si>
  <si>
    <t>STP</t>
  </si>
  <si>
    <t>SLB</t>
  </si>
  <si>
    <t>GHA</t>
  </si>
  <si>
    <t>CIV</t>
  </si>
  <si>
    <t>LAO</t>
  </si>
  <si>
    <t>HND</t>
  </si>
  <si>
    <t>BGD</t>
  </si>
  <si>
    <t>PNG</t>
  </si>
  <si>
    <t>BTN</t>
  </si>
  <si>
    <t>KIR</t>
  </si>
  <si>
    <t>VUT</t>
  </si>
  <si>
    <t>DJI</t>
  </si>
  <si>
    <t>CPV</t>
  </si>
  <si>
    <t>MAR</t>
  </si>
  <si>
    <t>BOL</t>
  </si>
  <si>
    <t>IRN</t>
  </si>
  <si>
    <t>LBN</t>
  </si>
  <si>
    <t>EGY</t>
  </si>
  <si>
    <t>VNM</t>
  </si>
  <si>
    <t>TUN</t>
  </si>
  <si>
    <t>PHL</t>
  </si>
  <si>
    <t>DZA</t>
  </si>
  <si>
    <t>SWZ</t>
  </si>
  <si>
    <t>MNG</t>
  </si>
  <si>
    <t>LKA</t>
  </si>
  <si>
    <t>WSM</t>
  </si>
  <si>
    <t>FSM</t>
  </si>
  <si>
    <t>UKR</t>
  </si>
  <si>
    <t>IDN</t>
  </si>
  <si>
    <t>SLV</t>
  </si>
  <si>
    <t>PSE</t>
  </si>
  <si>
    <t>BLZ</t>
  </si>
  <si>
    <t>Upper middle income</t>
  </si>
  <si>
    <t>SUR</t>
  </si>
  <si>
    <t>JOR</t>
  </si>
  <si>
    <t>NAM</t>
  </si>
  <si>
    <t>ARM</t>
  </si>
  <si>
    <t>GEO</t>
  </si>
  <si>
    <t>JAM</t>
  </si>
  <si>
    <t>FJI</t>
  </si>
  <si>
    <t>AZE</t>
  </si>
  <si>
    <t>GTM</t>
  </si>
  <si>
    <t>XKX</t>
  </si>
  <si>
    <t>IRQ</t>
  </si>
  <si>
    <t>MHL</t>
  </si>
  <si>
    <t>TON</t>
  </si>
  <si>
    <t>PRY</t>
  </si>
  <si>
    <t>MDA</t>
  </si>
  <si>
    <t>GNQ</t>
  </si>
  <si>
    <t>ECU</t>
  </si>
  <si>
    <t>ALB</t>
  </si>
  <si>
    <t>MKD</t>
  </si>
  <si>
    <t>COL</t>
  </si>
  <si>
    <t>ZAF</t>
  </si>
  <si>
    <t>PER</t>
  </si>
  <si>
    <t>TUV</t>
  </si>
  <si>
    <t>BIH</t>
  </si>
  <si>
    <t>BWA</t>
  </si>
  <si>
    <t>BLR</t>
  </si>
  <si>
    <t>GAB</t>
  </si>
  <si>
    <t>TKM</t>
  </si>
  <si>
    <t>THA</t>
  </si>
  <si>
    <t>BRA</t>
  </si>
  <si>
    <t>DMA</t>
  </si>
  <si>
    <t>VCT</t>
  </si>
  <si>
    <t>DOM</t>
  </si>
  <si>
    <t>MDV</t>
  </si>
  <si>
    <t>LBY</t>
  </si>
  <si>
    <t>SRB</t>
  </si>
  <si>
    <t>CUB</t>
  </si>
  <si>
    <t>KAZ</t>
  </si>
  <si>
    <t>MNE</t>
  </si>
  <si>
    <t>GUY</t>
  </si>
  <si>
    <t>MEX</t>
  </si>
  <si>
    <t>GRD</t>
  </si>
  <si>
    <t>LCA</t>
  </si>
  <si>
    <t>TUR</t>
  </si>
  <si>
    <t>ARG</t>
  </si>
  <si>
    <t>BGR</t>
  </si>
  <si>
    <t>MUS</t>
  </si>
  <si>
    <t>MYS</t>
  </si>
  <si>
    <t>RUS</t>
  </si>
  <si>
    <t>CHN</t>
  </si>
  <si>
    <t>CRI</t>
  </si>
  <si>
    <t>POL</t>
  </si>
  <si>
    <t>HUN</t>
  </si>
  <si>
    <t>GRC</t>
  </si>
  <si>
    <t>SVK</t>
  </si>
  <si>
    <t>PRT</t>
  </si>
  <si>
    <t>CZE</t>
  </si>
  <si>
    <t>SVN</t>
  </si>
  <si>
    <t>ESP</t>
  </si>
  <si>
    <t>KOR</t>
  </si>
  <si>
    <t>ITA</t>
  </si>
  <si>
    <t>JPN</t>
  </si>
  <si>
    <t>FRA</t>
  </si>
  <si>
    <t>NZL</t>
  </si>
  <si>
    <t>GBR</t>
  </si>
  <si>
    <t>CAN</t>
  </si>
  <si>
    <t>BEL</t>
  </si>
  <si>
    <t>DEU</t>
  </si>
  <si>
    <t>AUT</t>
  </si>
  <si>
    <t>FIN</t>
  </si>
  <si>
    <t>NLD</t>
  </si>
  <si>
    <t>AUS</t>
  </si>
  <si>
    <t>SWE</t>
  </si>
  <si>
    <t>ISL</t>
  </si>
  <si>
    <t>DNK</t>
  </si>
  <si>
    <t>USA</t>
  </si>
  <si>
    <t>IRL</t>
  </si>
  <si>
    <t>LUX</t>
  </si>
  <si>
    <t>NOR</t>
  </si>
  <si>
    <t>CHE</t>
  </si>
  <si>
    <t>Law courts</t>
  </si>
  <si>
    <t xml:space="preserve">Expenditure per person (current US$) </t>
  </si>
  <si>
    <t>Justice spending (% of gov't revenue)</t>
  </si>
  <si>
    <t>Expenditure (% of GDP)</t>
  </si>
  <si>
    <t xml:space="preserve">Justice spending </t>
  </si>
  <si>
    <t>Region</t>
  </si>
  <si>
    <t>Police services</t>
  </si>
  <si>
    <t xml:space="preserve">Prisons </t>
  </si>
  <si>
    <t>Total</t>
  </si>
  <si>
    <t>TOTAL JUSTICE</t>
  </si>
  <si>
    <t>% of GDP</t>
  </si>
  <si>
    <t>per person (US$)</t>
  </si>
  <si>
    <t xml:space="preserve">Methods / Notes </t>
  </si>
  <si>
    <t>South Asia</t>
  </si>
  <si>
    <t/>
  </si>
  <si>
    <t>Europe &amp; Central Asia</t>
  </si>
  <si>
    <t xml:space="preserve">UMIC </t>
  </si>
  <si>
    <t>Middle East &amp; North Africa</t>
  </si>
  <si>
    <t xml:space="preserve">LMIC </t>
  </si>
  <si>
    <t>ODI</t>
  </si>
  <si>
    <t>Figure is low because it only includes Justice, but does not include spending of ministry of the interior</t>
  </si>
  <si>
    <t>American Samoa</t>
  </si>
  <si>
    <t>ASM</t>
  </si>
  <si>
    <t>East Asia &amp; Pacific</t>
  </si>
  <si>
    <t xml:space="preserve">HIC </t>
  </si>
  <si>
    <t>AND</t>
  </si>
  <si>
    <t>Sub-Saharan Africa</t>
  </si>
  <si>
    <t>Latin America &amp; Caribbean</t>
  </si>
  <si>
    <t>ABW</t>
  </si>
  <si>
    <t>BHS</t>
  </si>
  <si>
    <t>BHR</t>
  </si>
  <si>
    <t>BMU</t>
  </si>
  <si>
    <t>North America</t>
  </si>
  <si>
    <t xml:space="preserve">Translated a citizens budget document however the figure is inflated because it includes the whole interior ministry </t>
  </si>
  <si>
    <t>British Virgin Islands</t>
  </si>
  <si>
    <t>VGB</t>
  </si>
  <si>
    <t>Collectif 2021 in Loi de Finances 2022</t>
  </si>
  <si>
    <t>CHL</t>
  </si>
  <si>
    <t>document was too big to translate but have pulled the figures from page 48. There is a lot of information in the document which is hard to decipher</t>
  </si>
  <si>
    <t>HRV</t>
  </si>
  <si>
    <t>CYM</t>
  </si>
  <si>
    <t>CYP</t>
  </si>
  <si>
    <t>Channel Islands</t>
  </si>
  <si>
    <t>CHI</t>
  </si>
  <si>
    <t>From the Budget Transparency Series: A Guide to Egypt’s State Budget, public order and safety includes the budgets of police services, fire fighters, prisons, and the judicial system.</t>
  </si>
  <si>
    <t>EST</t>
  </si>
  <si>
    <t xml:space="preserve">Figures include govt spending and GLF </t>
  </si>
  <si>
    <t>CUW</t>
  </si>
  <si>
    <t>Figures are from programme based budgets</t>
  </si>
  <si>
    <t>Actual. Budget Execution Report</t>
  </si>
  <si>
    <t>HKG</t>
  </si>
  <si>
    <t xml:space="preserve">Sum of government and state expenditure </t>
  </si>
  <si>
    <t>Faroe Islands</t>
  </si>
  <si>
    <t>FRO</t>
  </si>
  <si>
    <t>ISR</t>
  </si>
  <si>
    <t>French Polynesia</t>
  </si>
  <si>
    <t>PYF</t>
  </si>
  <si>
    <t>Gibraltar</t>
  </si>
  <si>
    <t>GIB</t>
  </si>
  <si>
    <t>Greenland</t>
  </si>
  <si>
    <t>GRL</t>
  </si>
  <si>
    <t>Guam</t>
  </si>
  <si>
    <t>GUM</t>
  </si>
  <si>
    <t>Includes only recurrent expenditure. Excludes capital expediture (not available)</t>
  </si>
  <si>
    <t>LVA</t>
  </si>
  <si>
    <t xml:space="preserve">ODI budget </t>
  </si>
  <si>
    <t>LTU</t>
  </si>
  <si>
    <t>MAC</t>
  </si>
  <si>
    <t>Includes the Human Rights Commission -JLOS definition</t>
  </si>
  <si>
    <t>Document is in French and too big to translate, have pulled the figures I think are relevant</t>
  </si>
  <si>
    <t>MLT</t>
  </si>
  <si>
    <t>IMN</t>
  </si>
  <si>
    <t>Planned</t>
  </si>
  <si>
    <t>Korea, Dem. People's Rep.</t>
  </si>
  <si>
    <t>PRK</t>
  </si>
  <si>
    <t>NRU</t>
  </si>
  <si>
    <t>PLW</t>
  </si>
  <si>
    <t>PAN</t>
  </si>
  <si>
    <t>Use ODI figures as higher, in line with IMF and more recent</t>
  </si>
  <si>
    <t>ROU</t>
  </si>
  <si>
    <t xml:space="preserve">Spending budgeted for FY 21/22. Ordinary courts falls under supreme court </t>
  </si>
  <si>
    <t>SMR</t>
  </si>
  <si>
    <t>SYC</t>
  </si>
  <si>
    <t xml:space="preserve">Actual spending pulled from government audit reports. Data excludes central intelligence and security unit and the office of ODI security. 2020 saw a 49% increase in spending on the police </t>
  </si>
  <si>
    <t>SGP</t>
  </si>
  <si>
    <t xml:space="preserve">No data for govt revenue. Which data from budget doc to use? 20/21 budget or outturns? </t>
  </si>
  <si>
    <t>Used the total number for expenditures. Of which categories do not sum</t>
  </si>
  <si>
    <t>New Caledonia</t>
  </si>
  <si>
    <t>NCL</t>
  </si>
  <si>
    <t>Northern Mariana Islands</t>
  </si>
  <si>
    <t>MNP</t>
  </si>
  <si>
    <t>ARE</t>
  </si>
  <si>
    <t>Data is only included for courts - not part of the total justice figures</t>
  </si>
  <si>
    <t xml:space="preserve">Police spending is very low </t>
  </si>
  <si>
    <t>Spend as a proportion of govt revenue is calculated using revenue estimates from ODI budget documents</t>
  </si>
  <si>
    <t>ATG</t>
  </si>
  <si>
    <t>BRB</t>
  </si>
  <si>
    <t>BRN</t>
  </si>
  <si>
    <t>Not available. Old source: UN funding figures. Also checked the Chad Loi Finances - no COFOG classification available.</t>
  </si>
  <si>
    <t>Under public order and safety and Defence, Security and Justice, they only list spending for courts / judiciary and police. Unsure if the data contains spending on prisons</t>
  </si>
  <si>
    <t>SXM</t>
  </si>
  <si>
    <t>KWT</t>
  </si>
  <si>
    <t>St. Martin (French part)</t>
  </si>
  <si>
    <t>MAF</t>
  </si>
  <si>
    <t>Liechtenstein</t>
  </si>
  <si>
    <t>LIE</t>
  </si>
  <si>
    <t>Monaco</t>
  </si>
  <si>
    <t>MCO</t>
  </si>
  <si>
    <t>OMN</t>
  </si>
  <si>
    <t>PRI</t>
  </si>
  <si>
    <t>QAT</t>
  </si>
  <si>
    <t>Extremely low % of govt spending. These figures include only capital (investment) expenditures. There is no disaggregation for Operating expenditure</t>
  </si>
  <si>
    <t>SAU</t>
  </si>
  <si>
    <t>KNA</t>
  </si>
  <si>
    <t>TWN</t>
  </si>
  <si>
    <t>TTO</t>
  </si>
  <si>
    <t>TCA</t>
  </si>
  <si>
    <t>Virgin Islands (U.S.)</t>
  </si>
  <si>
    <t>VIR</t>
  </si>
  <si>
    <t>URY</t>
  </si>
  <si>
    <t>VEN</t>
  </si>
  <si>
    <t>Data available</t>
  </si>
  <si>
    <t>HICs</t>
  </si>
  <si>
    <t>Expenditure (% of gov't revenue)</t>
  </si>
  <si>
    <t xml:space="preserve">Actual spending pulled from government audit reports. Data excludes central intelligence and security unit and the office of national security. 2020 saw a 49% increase in spending on the police </t>
  </si>
  <si>
    <t xml:space="preserve">National budget </t>
  </si>
  <si>
    <t>Spend as a proportion of govt revenue is calculated using revenue estimates from national budget documents</t>
  </si>
  <si>
    <t>Use national figures as higher, in line with IMF and more recent</t>
  </si>
  <si>
    <t>IMF (OECD) COFOG % GDP</t>
  </si>
  <si>
    <t>IMF COFOG % Government Revenue</t>
  </si>
  <si>
    <t>National Government Documents</t>
  </si>
  <si>
    <t>Final % of gov't revenue</t>
  </si>
  <si>
    <t>Final</t>
  </si>
  <si>
    <t xml:space="preserve">FINAL Expenditure per person (current US$) </t>
  </si>
  <si>
    <t>Lending category</t>
  </si>
  <si>
    <t>Other (EMU or HIPC)</t>
  </si>
  <si>
    <t>GNI year</t>
  </si>
  <si>
    <t>Level</t>
  </si>
  <si>
    <t>Justice Spend LCU bn</t>
  </si>
  <si>
    <t>Justice Spend % Gov Rev</t>
  </si>
  <si>
    <t>Justice Spend % GDP</t>
  </si>
  <si>
    <t xml:space="preserve">Police per person </t>
  </si>
  <si>
    <t>Law courts per person</t>
  </si>
  <si>
    <t>Prisons per person</t>
  </si>
  <si>
    <t>Total justice per person</t>
  </si>
  <si>
    <t>IDA</t>
  </si>
  <si>
    <t>HIPC</t>
  </si>
  <si>
    <t>Blend</t>
  </si>
  <si>
    <t>Doesn't include spending on police or prisons</t>
  </si>
  <si>
    <t>IBRD</t>
  </si>
  <si>
    <t xml:space="preserve">Extremely low % of govt spending </t>
  </si>
  <si>
    <t>National</t>
  </si>
  <si>
    <t>High income</t>
  </si>
  <si>
    <t>EMU</t>
  </si>
  <si>
    <t>Government Justice Expenditure (%GDP)</t>
  </si>
  <si>
    <t>Government Justice Expenditure (%Government Revenue)</t>
  </si>
  <si>
    <t>Means</t>
  </si>
  <si>
    <t>Medians</t>
  </si>
  <si>
    <t>Data availability check</t>
  </si>
  <si>
    <t>Proportion of countries covered</t>
  </si>
  <si>
    <t>Percentage of Justice spend</t>
  </si>
  <si>
    <t xml:space="preserve">Percentage of justice spending </t>
  </si>
  <si>
    <t>education and health as % of GDP - need to be revised</t>
  </si>
  <si>
    <t>Education</t>
  </si>
  <si>
    <t>Health</t>
  </si>
  <si>
    <t xml:space="preserve">Health </t>
  </si>
  <si>
    <t>per person</t>
  </si>
  <si>
    <t>percentage of justice</t>
  </si>
  <si>
    <t>Fire</t>
  </si>
  <si>
    <t>Research</t>
  </si>
  <si>
    <t xml:space="preserve">Other </t>
  </si>
  <si>
    <t>Country</t>
  </si>
  <si>
    <t>Country Code</t>
  </si>
  <si>
    <t>Income Group*</t>
  </si>
  <si>
    <t>WJP Rule of Law Index: Overall Score</t>
  </si>
  <si>
    <t xml:space="preserve">Justice expenditure % of gov't revenue </t>
  </si>
  <si>
    <t>Justice expenditure % of GDP</t>
  </si>
  <si>
    <t xml:space="preserve">Low </t>
  </si>
  <si>
    <t>The Gambia</t>
  </si>
  <si>
    <t xml:space="preserve">Lower middle </t>
  </si>
  <si>
    <t>Eastern Europe &amp; Central Asia</t>
  </si>
  <si>
    <t>Cote d'Ivoire</t>
  </si>
  <si>
    <t xml:space="preserve">Upper middle </t>
  </si>
  <si>
    <t>Turkey</t>
  </si>
  <si>
    <t>EU + EFTA + North America</t>
  </si>
  <si>
    <t xml:space="preserve">High </t>
  </si>
  <si>
    <t>The Bahamas</t>
  </si>
  <si>
    <t>ISO</t>
  </si>
  <si>
    <t>Income group (2022 categories)</t>
  </si>
  <si>
    <t>Year (actual spending)</t>
  </si>
  <si>
    <t>Justice spend (billions)</t>
  </si>
  <si>
    <t>Notes</t>
  </si>
  <si>
    <t>FY 20/21</t>
  </si>
  <si>
    <t>FY 21/22</t>
  </si>
  <si>
    <t xml:space="preserve">Assuming data is in millions. Also not sure if it is the right budget document as the Ministry of Finance website doesn’t seem to be working </t>
  </si>
  <si>
    <t>FY 19/20</t>
  </si>
  <si>
    <t xml:space="preserve">Sum of spending on the state department for correctional services, state law office and department of justice, the judiciary, the state department for interior and citizen services (70% of which is the police) and the national police service commission. Data has been gathered from the programme budget </t>
  </si>
  <si>
    <t>Actual spend was 91% of the budgeted amount - budgeted amount was 2,005 billion. Data pulled from Uganda's JLOS report</t>
  </si>
  <si>
    <t>FY 2020</t>
  </si>
  <si>
    <t xml:space="preserve">NA </t>
  </si>
  <si>
    <t>Data from government budget document website</t>
  </si>
  <si>
    <t>18/19</t>
  </si>
  <si>
    <t xml:space="preserve">Website doesn't seem to have any info - https://www.mof.gov.af/en/budget-document-0 </t>
  </si>
  <si>
    <t>Actual</t>
  </si>
  <si>
    <t>FY 2021</t>
  </si>
  <si>
    <t>unsecure website http://www.mef-gb.com/</t>
  </si>
  <si>
    <t>Revised budget</t>
  </si>
  <si>
    <t xml:space="preserve">Can't find a budget document </t>
  </si>
  <si>
    <t>FY 22/23</t>
  </si>
  <si>
    <t>Data is for Law and Order sector</t>
  </si>
  <si>
    <t>Côte d'Ivoire</t>
  </si>
  <si>
    <t>2019/20</t>
  </si>
  <si>
    <t>Actual. 2021 Informe de Liquidación Prepuestaria. Public Order and Safety</t>
  </si>
  <si>
    <t>20/21</t>
  </si>
  <si>
    <t>22/23</t>
  </si>
  <si>
    <t>21/22</t>
  </si>
  <si>
    <t>Figure only corresponds to courts, will not be included as total justice spending, only in disaggregation under courts</t>
  </si>
  <si>
    <t>2021/22</t>
  </si>
  <si>
    <t xml:space="preserve">total 53 countries </t>
  </si>
  <si>
    <t>Education and Health Expenditure 2022</t>
  </si>
  <si>
    <t>WB EDU</t>
  </si>
  <si>
    <t>IMF EDU</t>
  </si>
  <si>
    <t>GSW EDU</t>
  </si>
  <si>
    <t>WB HEALTH</t>
  </si>
  <si>
    <t>WHO HEALTH</t>
  </si>
  <si>
    <t>IMF HEALTH</t>
  </si>
  <si>
    <t>GSW HEALTH</t>
  </si>
  <si>
    <t>Latest EDU</t>
  </si>
  <si>
    <t>HEALTH</t>
  </si>
  <si>
    <t>WB EDU Spend</t>
  </si>
  <si>
    <t>WB EDU Year</t>
  </si>
  <si>
    <t>IMF EDU Spend</t>
  </si>
  <si>
    <t>IMF EDU Year</t>
  </si>
  <si>
    <t>GSW EDU Spend</t>
  </si>
  <si>
    <t>GSW EDU Year</t>
  </si>
  <si>
    <t>WB HEALTH Spend</t>
  </si>
  <si>
    <t>WB HEALTH Year</t>
  </si>
  <si>
    <t>WEO HEALTH Spend</t>
  </si>
  <si>
    <t>WEO HEALTH Year</t>
  </si>
  <si>
    <t>IMF HEALTH Spend</t>
  </si>
  <si>
    <t>IMF HEALTH Year</t>
  </si>
  <si>
    <t>GSW HEALTH Spend</t>
  </si>
  <si>
    <t>GSW HEALTH Year</t>
  </si>
  <si>
    <t>EDU Spend</t>
  </si>
  <si>
    <t>EDU Year</t>
  </si>
  <si>
    <t>EDU Source</t>
  </si>
  <si>
    <t>Health Spend</t>
  </si>
  <si>
    <t>Health Year</t>
  </si>
  <si>
    <t>Health Source</t>
  </si>
  <si>
    <t>WB</t>
  </si>
  <si>
    <t>WHO</t>
  </si>
  <si>
    <t>IMF</t>
  </si>
  <si>
    <t>GSW</t>
  </si>
  <si>
    <t>Government Education Expenditure (%GDP)</t>
  </si>
  <si>
    <t>Government Health Expenditure (%GDP)</t>
  </si>
  <si>
    <t>Education data available</t>
  </si>
  <si>
    <t>Health data available</t>
  </si>
  <si>
    <t xml:space="preserve">Justice definitions </t>
  </si>
  <si>
    <t>Other sources</t>
  </si>
  <si>
    <t>General government expenditures by function (COFOG)</t>
  </si>
  <si>
    <t xml:space="preserve">Public Order and Safety: police services, fire protection services, law courts, prisons and public order and safety R&amp;D </t>
  </si>
  <si>
    <t>Access to justice</t>
  </si>
  <si>
    <t>Access to justice is defined as the ability of individuals and businesses to seek and obtain a just resolution of legal problems through a wide range of legal and justice services. These services include legal information, counsel and representation, formal (e.g. courts) and alternative dispute resolution, and enforcement mechanisms (OECD, 2019). Emphasis should also be placed on legal empowerment, which enables people’s meaningful participation in the justice system and builds their capability to understand and use the law for themselves (OECD, 2019). The rule of law requires impartial and non-discriminatory justice. Without equal access, a large portion of the population can be left behind and their vulnerabilities exposed.</t>
  </si>
  <si>
    <t>Equal Access to Justice for Inclusive Growth</t>
  </si>
  <si>
    <t>Effectiveness and fairness of the justice system</t>
  </si>
  <si>
    <t>Justice systems are key to safeguarding rights and ensuring that citizens’ legal needs are met. An effective and fair justice system takes in the full continuum of services, ranging from the accessibility of legal information and legal assistance to the formal dispute resolution mechanisms (such as courts) and any alternatives, and their enforcement (OECD, 2019).</t>
  </si>
  <si>
    <t>Timeliness of civil justice services</t>
  </si>
  <si>
    <t>Delays in solving legal cases affect citizens and businesses in many ways: increasing costs, reducing productivity, creating health issues, causing employment losses and disturbing relationships, and could discourage individuals from seeking legal remedies for future disputes. A responsive justice system ensures that the “right” mix of services are provided to the “right” clients, in the “right” areas of law, in the “right” locations and at the “right” time (OECD, 2019)</t>
  </si>
  <si>
    <t>Aid for “legal and judicial development”</t>
  </si>
  <si>
    <t>Aid for “legal and judicial development” is reported under code 15130. This covers support to institutions, systems and procedures of the justice sector, both formal and informal; support to ministries of justice, the interior and home affairs; judges and courts; legal drafting services; bar and lawyers associations; professional legal education; maintenance of law and order and public safety; border management; law enforcement agencies, police, prisons and their supervision; ombudsmen; alternative dispute resolution, arbitration and mediation; legal aid and counsel; traditional, indigenous and paralegal practices that fall outside the formal legal system. Measures that support the improvement of legal frameworks, constitutions, laws and regulations; legislative and constitutional drafting and review; legal reform; integration of formal and informal systems of law. Public legal education; dissemination of information on entitlements and remedies for injustice; awareness campaigns. (Not for activities that are aimed primarily at supporting security system reform or undertaken in connection with post-conflict and peace building activities. Use code 15130 for capacity building in border management related to migration.)
Support to institutions, systems and procedures of the justice sector, both formal and informal; support to ministries of justice, the interior and home affairs; judges and courts; legal drafting services; bar and lawyers associations; professional legal education; maintenance of law and order and public safety; border management; law enforcement agencies, police, prisons and their supervision; ombudsmen; alternative dispute resolution, arbitration and mediation; legal aid and counsel; traditional, indigenous and paralegal practices that fall outside the formal legal system. Measures that support the improvement of legal frameworks, constitutions, laws and regulations; legislative and constitutional drafting and review; legal reform; integration of formal and informal systems of law. Public legal education; dissemination of information on entitlements and remedies for injustice; awareness campaigns. (Use codes 152xx for activities that are primarily aimed at supporting security system reform or undertaken in connection with post-conflict and peace building activities. Use code 15190 for capacity building in border management related to migration.)</t>
  </si>
  <si>
    <t xml:space="preserve">Aid for violence against women and girls </t>
  </si>
  <si>
    <t>Support to programmes designed to prevent and eliminate all forms of violence against women and girls/gender-based violence. This encompasses a broad range of forms of physical, sexual and psychological violence including but not limited to: intimate partner violence (domestic violence); sexual violence; female genital mutilation/cutting (FGM/C); child, early and forced marriage; acid throwing; honour killings; and trafficking of women and girls. Prevention activities may include efforts to empower women and girls; change attitudes, norms and behaviour; adopt and enact legal reforms; and strengthen implementation of laws and policies on ending violence against women and girls, including through strengthening institutional capacity. Interventions to respond to violence against women and girls/gender-based violence may include expanding access to services including legal assistance, psychosocial counselling and health care; training personnel to respond more effectively to the needs of survivors; and ensuring investigation, prosecution and punishment of perpetrators of violence.</t>
  </si>
  <si>
    <t>Aid for human rights</t>
  </si>
  <si>
    <t>Measures to support specialised official human rights institutions and mechanisms at universal, regional, national and local levels in their statutory roles to promote and protect civil and political, economic, social and cultural rights as defined in international conventions and covenants; translation of international human rights commitments into national legislation; reporting and follow-up; human rights dialogue. Human rights defenders and human rights NGOs; human rights advocacy, activism, mobilisation; awareness raising and public human rights education. Human rights programming targeting specific groups, e.g. children, persons with disabilities, migrants, ethnic, religious, linguistic and sexual minorities, indigenous people and those suffering from caste discrimination, victims of trafficking, victims of torture. (Use code 15230 when in the context of a peacekeeping operation and code 15180 for ending violence against women and girls. Use code 15190 for human rights programming for refugees or migrants, including when they are victims of trafficking.Use code 16070 for Fundamental Principles and Rights at Work, i.e. Child Labour, Forced Labour, Non-discrimination in employment and occupation, Freedom of Association and Collective Bargaining.)</t>
  </si>
  <si>
    <t xml:space="preserve">Uganda JLOS definition </t>
  </si>
  <si>
    <t>Ministry of Justice and Constitutional Affairs</t>
  </si>
  <si>
    <t>Ministry of Internal Affairs</t>
  </si>
  <si>
    <t>Judiciary</t>
  </si>
  <si>
    <t>Uganda Law Reform Commission</t>
  </si>
  <si>
    <t>Uganda Human Rights Commission</t>
  </si>
  <si>
    <t>Law Development Centre</t>
  </si>
  <si>
    <t>Uganda Registration Services Bureau</t>
  </si>
  <si>
    <t>Directorate of Citizenship and Immigration Control</t>
  </si>
  <si>
    <t>Office of the Director of Public Prosecutions</t>
  </si>
  <si>
    <t>Uganda Police Force</t>
  </si>
  <si>
    <t>Uganda Prisons Service</t>
  </si>
  <si>
    <t>Judicial Service Commission</t>
  </si>
  <si>
    <t>Directorate of Government Analytical Laboratory</t>
  </si>
  <si>
    <t>National Identification and Registration Authority</t>
  </si>
  <si>
    <t xml:space="preserve">Complementary Finance Laws </t>
  </si>
  <si>
    <t>All documents</t>
  </si>
  <si>
    <t>https://www.mf.gov.dz/index.php/fr/textes-officiels/lois-de-finances-complementaires/100-lois-de-finances-complementaires</t>
  </si>
  <si>
    <t>https://www.mf.gov.dz/images/pdf/loidefinancecomplementaire/F2022F53.pdf</t>
  </si>
  <si>
    <t>MONTANTS EN DA</t>
  </si>
  <si>
    <t xml:space="preserve">Billions </t>
  </si>
  <si>
    <t>Page 11</t>
  </si>
  <si>
    <t xml:space="preserve">Data compiled from Bangladesh Broad details of Operating Expenditure </t>
  </si>
  <si>
    <t>Source:</t>
  </si>
  <si>
    <t>https://mof.gov.bd/sites/default/files/files/mof.portal.gov.bd/budget_mof/9b4ae264_6a4e_4ae7_8dab_ba1061b945ae/e_St_03.pdf</t>
  </si>
  <si>
    <t xml:space="preserve">Sometimes the link doesn't work: </t>
  </si>
  <si>
    <t>https://www.dropbox.com/s/yp9z6yzns3ka0m2/Bangladesh%20operating%20expenditure%202022-2023.pdf?dl=0</t>
  </si>
  <si>
    <t>Taka in crore</t>
  </si>
  <si>
    <t xml:space="preserve">Other interesting sources </t>
  </si>
  <si>
    <t>Budget 2022/23</t>
  </si>
  <si>
    <t>Revised budget 2021/22</t>
  </si>
  <si>
    <t>Actual 2020/21</t>
  </si>
  <si>
    <t>Center for Policy Dialogue budget analysis (slide 112)</t>
  </si>
  <si>
    <t>https://cpd.org.bd/wp-content/uploads/2021/06/CPD-Budget-Analysis-FY2022.pdf</t>
  </si>
  <si>
    <t xml:space="preserve">Public Order and Safety </t>
  </si>
  <si>
    <t>Bangladesh justice audit 2018</t>
  </si>
  <si>
    <t>https://bangladesh.justiceaudit.org/</t>
  </si>
  <si>
    <t xml:space="preserve">page 26 (4) </t>
  </si>
  <si>
    <t xml:space="preserve">of which: </t>
  </si>
  <si>
    <t>Supreme Court of Bangladesh</t>
  </si>
  <si>
    <t>Law and Justice Division</t>
  </si>
  <si>
    <t>Public Security Division</t>
  </si>
  <si>
    <t>Legislative and Parliamentary Affairs Division</t>
  </si>
  <si>
    <t>Anti-Corruption Commission Bangladesh</t>
  </si>
  <si>
    <t>Security Service Division</t>
  </si>
  <si>
    <t>1 crore = 10,000,000</t>
  </si>
  <si>
    <t>Spending in billions = divide by 100</t>
  </si>
  <si>
    <t>Budget Proposal - 2020</t>
  </si>
  <si>
    <t>https://www.cabri-sbo.org/en/documents/management-finance-bill-2020</t>
  </si>
  <si>
    <t>https://www.dropbox.com/s/8q84xheqprh3zdk/Benin_2020_Approval_External_BudgetProposal_MinEcosFin_CEN-SADECOWAS_French.pdf?dl=0</t>
  </si>
  <si>
    <t>FCFA (millions)</t>
  </si>
  <si>
    <t>FCFA (billions)</t>
  </si>
  <si>
    <t>Page 17</t>
  </si>
  <si>
    <t>Défense, Ordre et Sécurité Publique</t>
  </si>
  <si>
    <t>% of budget</t>
  </si>
  <si>
    <t>absolute (billions)</t>
  </si>
  <si>
    <t xml:space="preserve">Pages 12-14 </t>
  </si>
  <si>
    <t>Constitutional Court</t>
  </si>
  <si>
    <t>Supreme Court</t>
  </si>
  <si>
    <t>High Court of Justice</t>
  </si>
  <si>
    <t>Ministry of justice and legislation</t>
  </si>
  <si>
    <t>Ministry of Interior and public security</t>
  </si>
  <si>
    <t>Total budget (billions)</t>
  </si>
  <si>
    <t>Budget Appropriation Bill FY 2022-23</t>
  </si>
  <si>
    <t xml:space="preserve">All documents </t>
  </si>
  <si>
    <t>https://www.mof.gov.bt/publications/reports/budget-reports/</t>
  </si>
  <si>
    <t xml:space="preserve">Budget report </t>
  </si>
  <si>
    <t>https://www.mof.gov.bt/wp-content/uploads/2022/06/Budget-Report-for-FY-2022-23-in-English.pdf</t>
  </si>
  <si>
    <t xml:space="preserve">Nu in millions </t>
  </si>
  <si>
    <t>page 53</t>
  </si>
  <si>
    <t>Law and order sector</t>
  </si>
  <si>
    <t xml:space="preserve">Human Resources Development </t>
  </si>
  <si>
    <t>page 65</t>
  </si>
  <si>
    <t>4.10.17 Legislative, Judiciary and Constitutional Bodies:</t>
  </si>
  <si>
    <t xml:space="preserve">billions </t>
  </si>
  <si>
    <t>National Assembly:</t>
  </si>
  <si>
    <t>National Council:</t>
  </si>
  <si>
    <t>Total (billions)</t>
  </si>
  <si>
    <t>http://finances.gov.bi/wp-content/uploads/2021/01/Budget-Citoyen-Fcais-2020-2021.pdf</t>
  </si>
  <si>
    <t>https://finances.gov.bi/index.php/budget/</t>
  </si>
  <si>
    <t xml:space="preserve">Translated file: </t>
  </si>
  <si>
    <t>https://www.dropbox.com/s/ec22s9q7zc69v64/Burundi%20Citizen%20Budget%202020-2021_English%20translation.pdf?dl=0</t>
  </si>
  <si>
    <t xml:space="preserve">2020 / 21 </t>
  </si>
  <si>
    <t>page 6 and 7</t>
  </si>
  <si>
    <t xml:space="preserve">Ministry of Justice </t>
  </si>
  <si>
    <t>Court of Accounts</t>
  </si>
  <si>
    <t>Supreme Court and General Prosecutor's Office of the Republic</t>
  </si>
  <si>
    <t>Ministry of Interior, Development Community and Public Safety</t>
  </si>
  <si>
    <t>But this will be inflated as it includes more than just the budget for police</t>
  </si>
  <si>
    <t>Loi de Finances 2022</t>
  </si>
  <si>
    <t>https://www.finances.gouv.cf/finances/les-lois-de-finances-ldf</t>
  </si>
  <si>
    <t xml:space="preserve">LF Recapitulee par ministere/institution 2022 </t>
  </si>
  <si>
    <t>Milliers (Thousand) FCFA</t>
  </si>
  <si>
    <t>bn FCFA</t>
  </si>
  <si>
    <t>Cour Constitutionnelle</t>
  </si>
  <si>
    <t>Haute Cour de Justice</t>
  </si>
  <si>
    <t>Ministere de la Justice, de la Promotion des Droits Humains et de la Bonne Guvernance</t>
  </si>
  <si>
    <t>Ministere de l'Interieur et de la Securite Publique</t>
  </si>
  <si>
    <t>National Expenditures 2017-2022</t>
  </si>
  <si>
    <t>http://www.cambodianbudget.org/index.php?page=00124</t>
  </si>
  <si>
    <t xml:space="preserve">Excel sheet </t>
  </si>
  <si>
    <t>https://www.dropbox.com/scl/fi/isfs61j6eysf3igzyzoiv/Cambodia-National_Expenditures_2017-2022.xlsx?dl=0&amp;rlkey=92nqvzh22bjq96nn8r33t6f91</t>
  </si>
  <si>
    <t>Total of state expenditure</t>
  </si>
  <si>
    <t xml:space="preserve">(Assuming figures are in millions) </t>
  </si>
  <si>
    <t>2022 tab</t>
  </si>
  <si>
    <t>07.1-Ministry of Interior of Public Security</t>
  </si>
  <si>
    <t>26.1-Ministry of Justice</t>
  </si>
  <si>
    <t>26.2-The Supreme Court</t>
  </si>
  <si>
    <t>26.3-Court of Appeal</t>
  </si>
  <si>
    <t>26.4-Supreme Council of Magistracy</t>
  </si>
  <si>
    <t xml:space="preserve">Total </t>
  </si>
  <si>
    <t xml:space="preserve">Source: </t>
  </si>
  <si>
    <t>Republic of the Congo - Budget Framework - 2020</t>
  </si>
  <si>
    <t>https://www.cabri-sbo.org/en/documents/medium-term-fiscal-framework-2020-2022</t>
  </si>
  <si>
    <t>https://www.dropbox.com/s/p0t5tzh7qfutgm8/Republic%20of%20the%20Congo_2020_Formulation_External_BudgetFramework_MinFin_ECCAS_French.pdf?dl=0</t>
  </si>
  <si>
    <t>Justice spending only - does not include police or prisons - can't find the data in the document or on the website</t>
  </si>
  <si>
    <t>page 34</t>
  </si>
  <si>
    <t>Gouvernance judiciare</t>
  </si>
  <si>
    <t>Côte d'Ivoire - Budget Proposal - 2020</t>
  </si>
  <si>
    <t>https://www.cabri-sbo.org/en/documents/bill-of-finances-lawon-the-state-budget-forthe-year-2020</t>
  </si>
  <si>
    <t xml:space="preserve">English Translation </t>
  </si>
  <si>
    <t>https://www.dropbox.com/s/fvyngh4gnv70h7g/CotedIvoire_2020_Approval_External_BudgetProposal_MinEcosFin_CEN-SADECOWAS_English%20translation.pdf?dl=0</t>
  </si>
  <si>
    <t>page 29</t>
  </si>
  <si>
    <t>Breakdown of State budget expenditure for the year 2020 by mission</t>
  </si>
  <si>
    <t>billions of FCFA</t>
  </si>
  <si>
    <t xml:space="preserve">Defense, security and justice </t>
  </si>
  <si>
    <t>of which:</t>
  </si>
  <si>
    <t>Army</t>
  </si>
  <si>
    <t xml:space="preserve">Police </t>
  </si>
  <si>
    <t xml:space="preserve">Sum of police and justice </t>
  </si>
  <si>
    <t>page 30</t>
  </si>
  <si>
    <t>Breakdown of State budget expenditure for the year 2020 according to functional classification</t>
  </si>
  <si>
    <t>Public order and safety</t>
  </si>
  <si>
    <t>Civil protection services</t>
  </si>
  <si>
    <t xml:space="preserve">Source </t>
  </si>
  <si>
    <t>Amending Finance Law No. 20/019 of December 24, 2020 for the 2020 financial year</t>
  </si>
  <si>
    <t>https://budget.gouv.cd/budget-2020/</t>
  </si>
  <si>
    <t>page 48</t>
  </si>
  <si>
    <t xml:space="preserve">Summary of expenditure by major functions and sub-functions </t>
  </si>
  <si>
    <t>Billions</t>
  </si>
  <si>
    <t>Public order and security</t>
  </si>
  <si>
    <t xml:space="preserve">Police services </t>
  </si>
  <si>
    <t>Administration of the judicial system</t>
  </si>
  <si>
    <t>Prison Administration</t>
  </si>
  <si>
    <t xml:space="preserve">R&amp;D for public order and security </t>
  </si>
  <si>
    <t>Citizen Version of the Executive Budget Proposal 2020/2021</t>
  </si>
  <si>
    <t>https://www.dropbox.com/s/runnnii7hvpbpcz/Egypt%20Citizen%20Version%20of%20the%20Executive%20Budget%20Proposal%202020-2021.pdf?dl=0</t>
  </si>
  <si>
    <t>LE billion</t>
  </si>
  <si>
    <t>page 21</t>
  </si>
  <si>
    <t>2019/20 budget</t>
  </si>
  <si>
    <t>2020/21 proposed budget</t>
  </si>
  <si>
    <t xml:space="preserve">Public order and public security </t>
  </si>
  <si>
    <t>https://www.dropbox.com/s/jtbygiywkokipxw/Egypt%20-%20A%20Guide%20to%20Egypt%27s%20State%20Budget.pdf?dl=0</t>
  </si>
  <si>
    <t>https://www.gov.sz/index.php/important-documents</t>
  </si>
  <si>
    <t>https://www.gov.sz/images/FinanceDocuments/Estimate-Book-2021_22_final_print.pdf</t>
  </si>
  <si>
    <t xml:space="preserve">page 7 </t>
  </si>
  <si>
    <t xml:space="preserve">Appropriated recurrent expenditure 2021/22 (000s) </t>
  </si>
  <si>
    <t>Correctional services</t>
  </si>
  <si>
    <t>page 8</t>
  </si>
  <si>
    <t xml:space="preserve">SUMMARY OF ESTIMATED CAPITAL EXPENDITURE BY ECONOMIC SECTOR 21/22 (000s) </t>
  </si>
  <si>
    <t>Public Order, Safety and Defence</t>
  </si>
  <si>
    <t xml:space="preserve">Approved budgets for 2021 and 2022 </t>
  </si>
  <si>
    <t>https://mofea.gm/directorates/budget</t>
  </si>
  <si>
    <t>https://www.dropbox.com/s/4k8cet2hvqu0itt/The%20Gambia%202022-Approved-Budget.pdf?dl=0</t>
  </si>
  <si>
    <t>https://www.dropbox.com/s/0r1udvirpyajqmc/The%20Gambia%20Approved-Budget-2021.pdf?dl=0</t>
  </si>
  <si>
    <t xml:space="preserve">Budget Appropriation report </t>
  </si>
  <si>
    <t>Departmental Expenditure Budget (GLF) Thousands</t>
  </si>
  <si>
    <t>Page 27</t>
  </si>
  <si>
    <t>2020 actual expenditure</t>
  </si>
  <si>
    <t>2021 approved expenditure</t>
  </si>
  <si>
    <t>2022 estimated expenditure</t>
  </si>
  <si>
    <t xml:space="preserve">Judiciary </t>
  </si>
  <si>
    <t xml:space="preserve">Ministry of Interior </t>
  </si>
  <si>
    <t>Function of the Government - Expenditure Overview - Loans,Grants and GLF (thousands)</t>
  </si>
  <si>
    <t>page 22</t>
  </si>
  <si>
    <t xml:space="preserve">Public order and safety </t>
  </si>
  <si>
    <t xml:space="preserve">Fire-protection services </t>
  </si>
  <si>
    <t xml:space="preserve">Law courts </t>
  </si>
  <si>
    <t>Programme budget documents:</t>
  </si>
  <si>
    <t>https://mofep.gov.gh/index.php/publications/programme-based-budgeting/2022</t>
  </si>
  <si>
    <t>Figures based on individual programme budgets (Will have to click through each document)</t>
  </si>
  <si>
    <t xml:space="preserve">Cedi </t>
  </si>
  <si>
    <t xml:space="preserve">Cedi (Billions) </t>
  </si>
  <si>
    <t>Commission of Human Rights &amp; Administrative Justice</t>
  </si>
  <si>
    <t>Electoral Commission</t>
  </si>
  <si>
    <t>Judicial Service</t>
  </si>
  <si>
    <t>Legal Aid Commission</t>
  </si>
  <si>
    <t>Ministry of Justice and Attorney General's Department</t>
  </si>
  <si>
    <t>Ministry of the Interior</t>
  </si>
  <si>
    <t xml:space="preserve">Maintaining law, order and crime prevention (police service remit) </t>
  </si>
  <si>
    <t>Custody of inmates and correctional services</t>
  </si>
  <si>
    <t>Office of The Special Prosecutor</t>
  </si>
  <si>
    <t xml:space="preserve">Total (only including relevant parts of the ministry of the interior budget) </t>
  </si>
  <si>
    <t>Ministry of the budget</t>
  </si>
  <si>
    <t>RAPPORT SUR L’EXECUTION ANNUELLE DU BUDGET DE L’ETAT, EXERCICE 2021</t>
  </si>
  <si>
    <t xml:space="preserve">French original </t>
  </si>
  <si>
    <t>https://mbudget.gov.gn/wp-content/uploads/2022/04/VF-Rapport-execution-budgetaire-fin-2021-VF.pdf</t>
  </si>
  <si>
    <t>English translation</t>
  </si>
  <si>
    <t>https://www.dropbox.com/s/eud6d6nao330wyh/Guinea%20-%20VF-Rapport-execution-budgetaire-fin-2021-VF_English%20translation%20%281%29.pdf?dl=0</t>
  </si>
  <si>
    <t xml:space="preserve">LFR = law of finance </t>
  </si>
  <si>
    <t>Page 12</t>
  </si>
  <si>
    <t>Execution by major functions on a payment basis at the end of December 2021 (in billions of GNF)</t>
  </si>
  <si>
    <t>Md GNF</t>
  </si>
  <si>
    <t>% GDP</t>
  </si>
  <si>
    <t>LFR 2021</t>
  </si>
  <si>
    <t>Total (Paid)</t>
  </si>
  <si>
    <t xml:space="preserve">Public security and order </t>
  </si>
  <si>
    <t xml:space="preserve">WB GDP </t>
  </si>
  <si>
    <t>BUDGET RECTIFICATIF 2020-2021 DETAIL DES CREDITS PAR ENTITE ADMINISTRATIVE ET PAR TITRE</t>
  </si>
  <si>
    <t>https://www.haitilibre.com/docs/budget-2020-2021-rectificatif.pdf</t>
  </si>
  <si>
    <t>DETAIL DES CREDITS PAR ENTITE ADMINISTRATIVE ET PAR TITRE</t>
  </si>
  <si>
    <t xml:space="preserve">p. 7- </t>
  </si>
  <si>
    <t>Total des crédits 20-21 (En Gourdes)</t>
  </si>
  <si>
    <t>Bn Gourdes</t>
  </si>
  <si>
    <t>Ministry of Justice (Includes Police)</t>
  </si>
  <si>
    <t>MINISTERE DE LA JUSTICE (Includes:  Police Nationale d'Haiti)</t>
  </si>
  <si>
    <t>MINISTERE DE L'INTERIEUR &amp; DES COLLECTIVITÉS TERRITORIALES</t>
  </si>
  <si>
    <t>Superior Council of Justice</t>
  </si>
  <si>
    <t>CONSEIL SUPERIEUR DU POUVOIR JUDICIAIRE</t>
  </si>
  <si>
    <t xml:space="preserve"> COUR SUPERIEURE DES COMPTES ET DU CONTENTIEUX</t>
  </si>
  <si>
    <t>Citizen Protection Office</t>
  </si>
  <si>
    <t>OFFICE DE PROTECTION DU CITOYEN</t>
  </si>
  <si>
    <t>TOTAL</t>
  </si>
  <si>
    <t>https://www.sefin.gob.hn/liquidacion-presupuestaria/</t>
  </si>
  <si>
    <t xml:space="preserve">2021 budget settlement report </t>
  </si>
  <si>
    <t>https://www.dropbox.com/s/x92gl6u7zxsmhm5/Honduras%202021%20Informe-de-Liquidacion-del-Presupuesto-2021.pdf?dl=0</t>
  </si>
  <si>
    <t xml:space="preserve">Central administration expenses by purpose and function </t>
  </si>
  <si>
    <t>Page 110</t>
  </si>
  <si>
    <t xml:space="preserve">Defense and security </t>
  </si>
  <si>
    <t>2021 (paid)</t>
  </si>
  <si>
    <t>Police service</t>
  </si>
  <si>
    <t>Fire service</t>
  </si>
  <si>
    <t>Penal service</t>
  </si>
  <si>
    <t xml:space="preserve">Judical system </t>
  </si>
  <si>
    <t>LIQUIDACIÓN DEL PRESUPUESTO GENERAL DE INGRESOS Y EGRESOS DE LA REPÚBLICA Ejercicio Fiscal 2021</t>
  </si>
  <si>
    <t>https://www.sefin.gob.hn/ejecucion-y-seguimiento/</t>
  </si>
  <si>
    <t>COFOG</t>
  </si>
  <si>
    <t>Anexo 14. Egresos Totales de la AC por Finalidad y Función del Ejercicio Fiscal 2021</t>
  </si>
  <si>
    <t>Devengado</t>
  </si>
  <si>
    <t>Aprobado</t>
  </si>
  <si>
    <t>Vigente</t>
  </si>
  <si>
    <t>Compromiso</t>
  </si>
  <si>
    <t>Pagado</t>
  </si>
  <si>
    <t>Defense and Safety</t>
  </si>
  <si>
    <t>DEFENSA Y SEGURIDAD</t>
  </si>
  <si>
    <t>Military Defence</t>
  </si>
  <si>
    <t>Defensa Militar</t>
  </si>
  <si>
    <t>Civil Defence</t>
  </si>
  <si>
    <t>Defensa Civil</t>
  </si>
  <si>
    <t>Police Services</t>
  </si>
  <si>
    <t>Servicio de Policia</t>
  </si>
  <si>
    <t>Fire Protection</t>
  </si>
  <si>
    <t>Servicio de Protección contra Incendios</t>
  </si>
  <si>
    <t>Sistema Penal</t>
  </si>
  <si>
    <t>Justice (Judicial Service)</t>
  </si>
  <si>
    <t>Servicio Judicial</t>
  </si>
  <si>
    <t>Defence and Safety n.e.c.</t>
  </si>
  <si>
    <t>Defensa y Seguridad sin Discriminar</t>
  </si>
  <si>
    <t>Total Public Order and Safety</t>
  </si>
  <si>
    <t xml:space="preserve">National government budget </t>
  </si>
  <si>
    <t>All</t>
  </si>
  <si>
    <t>https://www.indiabudget.gov.in/</t>
  </si>
  <si>
    <t xml:space="preserve">Interesting source: </t>
  </si>
  <si>
    <t>https://www.indiaspend.com/explainers/how-the-union-budget-funds-indias-justice-system-804821#:~:text=Combining%20all%20three%2C%20the%20allocation,expenses%20is%20related%20to%20elections.</t>
  </si>
  <si>
    <t>Jails &amp; Human Rights Commission</t>
  </si>
  <si>
    <t>https://www.indiabudget.gov.in/doc/eb/sbe49.pdf</t>
  </si>
  <si>
    <t>https://www.indiabudget.gov.in/doc/eb/sbe51.pdf</t>
  </si>
  <si>
    <t>Ministry of Law and Justice</t>
  </si>
  <si>
    <t>https://www.indiabudget.gov.in/doc/eb/sbe65.pdf</t>
  </si>
  <si>
    <t>Total expenditure (national and state, billions)</t>
  </si>
  <si>
    <t>Crore</t>
  </si>
  <si>
    <t xml:space="preserve">20/21 (year is a combination) </t>
  </si>
  <si>
    <t xml:space="preserve">Only police and justice have state breakdowns included </t>
  </si>
  <si>
    <t>Actual 20/21</t>
  </si>
  <si>
    <t>Revised 21/22</t>
  </si>
  <si>
    <t>Budget 22/23</t>
  </si>
  <si>
    <t>Jails</t>
  </si>
  <si>
    <t>Human Rights Commission</t>
  </si>
  <si>
    <t>State budget (17/18)</t>
  </si>
  <si>
    <t>https://www.tatatrusts.org/Upload/pdf/ijr-2020-overall-report-january-26.pdf</t>
  </si>
  <si>
    <t xml:space="preserve">On page 84 in the report they used the figures from 17/18 and 2019 population </t>
  </si>
  <si>
    <t>Per capita 17/18</t>
  </si>
  <si>
    <t>Total spend by state (LCU)</t>
  </si>
  <si>
    <t>States</t>
  </si>
  <si>
    <t xml:space="preserve">Population </t>
  </si>
  <si>
    <t>Andhra Pradesh</t>
  </si>
  <si>
    <t>Bihar</t>
  </si>
  <si>
    <t>Chhattisgarh</t>
  </si>
  <si>
    <t>Gujarat</t>
  </si>
  <si>
    <t>Haryana</t>
  </si>
  <si>
    <t>Jharkhand</t>
  </si>
  <si>
    <t>Karnataka</t>
  </si>
  <si>
    <t>Kerala</t>
  </si>
  <si>
    <t>Madhya Pradesh</t>
  </si>
  <si>
    <t>Maharashtra</t>
  </si>
  <si>
    <t>Odisha</t>
  </si>
  <si>
    <t>Punjab</t>
  </si>
  <si>
    <t>Rajasthan</t>
  </si>
  <si>
    <t>Tamil Nadu</t>
  </si>
  <si>
    <t>Telangana</t>
  </si>
  <si>
    <t>Uttar Pradesh</t>
  </si>
  <si>
    <t>Uttarakhand</t>
  </si>
  <si>
    <t>West Bengal</t>
  </si>
  <si>
    <t>Arunachal Pradesh</t>
  </si>
  <si>
    <t>Goa</t>
  </si>
  <si>
    <t>Himachal Pradesh</t>
  </si>
  <si>
    <t>Meghalaya</t>
  </si>
  <si>
    <t>Mizoram</t>
  </si>
  <si>
    <t>Sikkim</t>
  </si>
  <si>
    <t>Tripura</t>
  </si>
  <si>
    <t>Assam</t>
  </si>
  <si>
    <t>Jammu &amp; Kashmir</t>
  </si>
  <si>
    <t>Manipur</t>
  </si>
  <si>
    <t>Nagaland</t>
  </si>
  <si>
    <t xml:space="preserve">Programme based budget </t>
  </si>
  <si>
    <t>https://www.treasury.go.ke/wp-content/uploads/2021/07/PBB_July2021_Approved.pdf</t>
  </si>
  <si>
    <t xml:space="preserve">Total actual expenditure (sum of the below) </t>
  </si>
  <si>
    <t xml:space="preserve">Notes </t>
  </si>
  <si>
    <t xml:space="preserve">Page </t>
  </si>
  <si>
    <t>60 onwards</t>
  </si>
  <si>
    <t>State Department for Correctional Services</t>
  </si>
  <si>
    <t>Budget allocation (KSh, billions)</t>
  </si>
  <si>
    <t>Actual expenditure</t>
  </si>
  <si>
    <t xml:space="preserve">% spent </t>
  </si>
  <si>
    <t>FY 17/18</t>
  </si>
  <si>
    <t>FY 18/19</t>
  </si>
  <si>
    <t>FY 23/24</t>
  </si>
  <si>
    <t>742 onwards</t>
  </si>
  <si>
    <t>State Law Office and Department of Justice</t>
  </si>
  <si>
    <t>765 onwards</t>
  </si>
  <si>
    <t xml:space="preserve">The Judiciary </t>
  </si>
  <si>
    <t>23 onwards</t>
  </si>
  <si>
    <t>State Department for Interior and Citizen Services</t>
  </si>
  <si>
    <t xml:space="preserve">Category includes: </t>
  </si>
  <si>
    <t>Policing Services</t>
  </si>
  <si>
    <t>Government Printing Services</t>
  </si>
  <si>
    <t>Migration &amp; Citizen Services Management</t>
  </si>
  <si>
    <t>Road Safety</t>
  </si>
  <si>
    <t>Population Management Services</t>
  </si>
  <si>
    <t>General Administration and Support Services</t>
  </si>
  <si>
    <t>Policy Coordination Services</t>
  </si>
  <si>
    <t>page 44</t>
  </si>
  <si>
    <t>of which: policing services</t>
  </si>
  <si>
    <t xml:space="preserve">footnote that 70% of the above is for the police </t>
  </si>
  <si>
    <t>903 onwards</t>
  </si>
  <si>
    <t>National Police Service Commission</t>
  </si>
  <si>
    <t xml:space="preserve">Krygz Republic Public Expenditure and Financial Accountability (PEFA) performance assessment report </t>
  </si>
  <si>
    <t>https://www.pefa.org/sites/pefa/files/2021-10/KG-Aug21-PFMPR-Public%20with%20PEFA%20Check.pdf</t>
  </si>
  <si>
    <t>https://openknowledge.worldbank.org/bitstream/handle/10986/35789/Kyrgyz-Republic-Public-Expenditure-Review-Creating-Fiscal-Space-for-Inclusive-Growth.pdf?sequence=1&amp;isAllowed=y</t>
  </si>
  <si>
    <t>Page 23</t>
  </si>
  <si>
    <t>Actual budgetary allocations by sectors (as a percentage of total RB expenditures)</t>
  </si>
  <si>
    <t xml:space="preserve">No information of the breakdown to understand what is included in defense </t>
  </si>
  <si>
    <t xml:space="preserve">Defense and Public Order </t>
  </si>
  <si>
    <t xml:space="preserve">Page 23 - focuses on the main budget of the central govt which is the Republican Budget but the Republican Budget and sum of local budgets makes up the State Budget </t>
  </si>
  <si>
    <t>Total Republican Budget (KGS billions)</t>
  </si>
  <si>
    <t>Amount spent on defense and public order (billions)</t>
  </si>
  <si>
    <t xml:space="preserve">page 43 (45) </t>
  </si>
  <si>
    <t>Functional Classification of the Outturns of State Budget Expenditures, 2013–18 (%)</t>
  </si>
  <si>
    <t xml:space="preserve">Cannot find how much the total expenditure was in 2018 to work out the monetary value </t>
  </si>
  <si>
    <t>Defense, Public Order, and Safety</t>
  </si>
  <si>
    <t>State Budget Expenditures Plan for the Fiscal Year 2022 (Excluding capital investment plan)</t>
  </si>
  <si>
    <t>https://www.mof.gov.la/wp-content/uploads/2022/04/State-budget-plan-excluding-Capital-investment-Year-2022.pdf</t>
  </si>
  <si>
    <t>More documents can be found here:</t>
  </si>
  <si>
    <t>https://www.mof.gov.la/index.php/en/publications-and-statistics/</t>
  </si>
  <si>
    <t>Millions</t>
  </si>
  <si>
    <t xml:space="preserve">Justice </t>
  </si>
  <si>
    <t>Home affairs</t>
  </si>
  <si>
    <t>Supreme People's Court</t>
  </si>
  <si>
    <t>Public Prosecutor General</t>
  </si>
  <si>
    <t>Draft budget estimates book 22/23</t>
  </si>
  <si>
    <t>Website</t>
  </si>
  <si>
    <t>http://www.finance.gov.ls/official_documents.php?id=budget_documents&amp;div=budget_book</t>
  </si>
  <si>
    <t>Document</t>
  </si>
  <si>
    <t>http://www.finance.gov.ls/documents/Budget%20Formulation/budget%20book/Draft%20Budget%20Estimates%20Book%202022-23.pdf</t>
  </si>
  <si>
    <t>page 13 onwards</t>
  </si>
  <si>
    <t xml:space="preserve">Recurrent Estimates by Ministry and programme </t>
  </si>
  <si>
    <t xml:space="preserve">Total Capital Budget </t>
  </si>
  <si>
    <t>Approved budget 21/22</t>
  </si>
  <si>
    <t xml:space="preserve">Proposed budget 22/23 </t>
  </si>
  <si>
    <t>page 23</t>
  </si>
  <si>
    <t>Ministry of Justice and Correctional Services</t>
  </si>
  <si>
    <t>page 57</t>
  </si>
  <si>
    <t>Legal Aid Services</t>
  </si>
  <si>
    <t>Probation Services and Restorative Justice</t>
  </si>
  <si>
    <t>Ministry of Police and Public Safety</t>
  </si>
  <si>
    <t>Safe Custody and Rehabilitation</t>
  </si>
  <si>
    <t>Ministry of Law and Constitutional Affairs</t>
  </si>
  <si>
    <t>Legal services</t>
  </si>
  <si>
    <t>page 42</t>
  </si>
  <si>
    <t>Ombudsman</t>
  </si>
  <si>
    <t>page 47</t>
  </si>
  <si>
    <t>page 52</t>
  </si>
  <si>
    <t>Total (recurrent + capital)</t>
  </si>
  <si>
    <t>total (billions)</t>
  </si>
  <si>
    <t xml:space="preserve">Data from the Ministry of Finance and Development Planning </t>
  </si>
  <si>
    <t xml:space="preserve">Approved budget 2022 </t>
  </si>
  <si>
    <t>https://www.mfdp.gov.lr/index.php/docs/the-national-budget</t>
  </si>
  <si>
    <t xml:space="preserve">Downloaded document </t>
  </si>
  <si>
    <t>https://www.dropbox.com/s/tkbhyim80ouobal/Liberia%20national%20budget%202022.pdf?dl=0</t>
  </si>
  <si>
    <t xml:space="preserve">FY2020/21 actual </t>
  </si>
  <si>
    <t>FY 2022 budget</t>
  </si>
  <si>
    <t>FY 2023 projection</t>
  </si>
  <si>
    <t xml:space="preserve">FY 2024 projection </t>
  </si>
  <si>
    <t xml:space="preserve">Data can be broken down into </t>
  </si>
  <si>
    <t>Security and rule of law sector</t>
  </si>
  <si>
    <t xml:space="preserve">compensation of employees </t>
  </si>
  <si>
    <t>page 157</t>
  </si>
  <si>
    <t>Law reform commission</t>
  </si>
  <si>
    <t>use of goods and services</t>
  </si>
  <si>
    <t xml:space="preserve">grants </t>
  </si>
  <si>
    <t>social benefits</t>
  </si>
  <si>
    <t xml:space="preserve">Ministry of National Defense </t>
  </si>
  <si>
    <t xml:space="preserve">non finanical assets </t>
  </si>
  <si>
    <t xml:space="preserve">National Security Agency </t>
  </si>
  <si>
    <t xml:space="preserve">Executive Protection Services </t>
  </si>
  <si>
    <t xml:space="preserve">Human Rights Commission </t>
  </si>
  <si>
    <t>National Commission on Small Arms</t>
  </si>
  <si>
    <t>Malawi Budget Framework 2020</t>
  </si>
  <si>
    <t>https://www.cabri-sbo.org/en/documents/2019-2020-draft-financial-statement</t>
  </si>
  <si>
    <t>https://www.dropbox.com/s/jrfnqgw770cg1ek/Malawi_2020_Formulation_External_BudgetFramework_MinFin_COMESASADC_English%20%281%29.pdf?dl=0</t>
  </si>
  <si>
    <t>ANNEX 2: SUMMARY OF 2018/19 APPROVED AND REVISED BUDGET AND 2019/20 BUDGET ESTIMATES</t>
  </si>
  <si>
    <t xml:space="preserve">2018/19 Approved Estimates  </t>
  </si>
  <si>
    <t>2018/19 Revised Estimates</t>
  </si>
  <si>
    <t>2019/20 Proposed Estimates</t>
  </si>
  <si>
    <t>page 35</t>
  </si>
  <si>
    <t>Malawi Police Service</t>
  </si>
  <si>
    <t>Malawi Prisons Service</t>
  </si>
  <si>
    <t>page 36</t>
  </si>
  <si>
    <t>Directorate of Public Prosecution and State Advocate</t>
  </si>
  <si>
    <t>page 37</t>
  </si>
  <si>
    <t>Malawi Human Rights Commission</t>
  </si>
  <si>
    <t>page 38</t>
  </si>
  <si>
    <t>Legal Aid Bureau</t>
  </si>
  <si>
    <t>Office of the Ombudsman</t>
  </si>
  <si>
    <t xml:space="preserve">Law Commission </t>
  </si>
  <si>
    <t xml:space="preserve">Mali budget proposal 2021 </t>
  </si>
  <si>
    <t>https://www.cabri-sbo.org/en/documents/2021-finance-bill-1</t>
  </si>
  <si>
    <t>https://www.dropbox.com/s/zfdkuxcvoqoswwa/Mali_2021_Approval_External_BudgetProposal_MinFin_CEN-SADECOWAS_French%20%281%29.pdf?dl=0</t>
  </si>
  <si>
    <t xml:space="preserve">page 347 </t>
  </si>
  <si>
    <t>Budgetary allocations by axis, by function and by group (in billions of FCFA), 2020-2023</t>
  </si>
  <si>
    <t xml:space="preserve">Courts </t>
  </si>
  <si>
    <t xml:space="preserve">Prison administration </t>
  </si>
  <si>
    <t xml:space="preserve">Other public order and safety </t>
  </si>
  <si>
    <t>total</t>
  </si>
  <si>
    <t>page 390</t>
  </si>
  <si>
    <t xml:space="preserve">STATE BUDGET: EXPENDITURE </t>
  </si>
  <si>
    <t>Breakdown of general budget appropriations</t>
  </si>
  <si>
    <t>by endowment and program</t>
  </si>
  <si>
    <t>Loi de Finances Rectificative pour 2021</t>
  </si>
  <si>
    <t>http://www.mef.gov.mg/dgcf/info%20utiles/5113.pdf</t>
  </si>
  <si>
    <t>p. 64</t>
  </si>
  <si>
    <t>Tableau de repartition par institutions et ministeres</t>
  </si>
  <si>
    <t>milliers d'Ariary (thousand)</t>
  </si>
  <si>
    <t>bn Ariary</t>
  </si>
  <si>
    <t>Haute Cour Constitutionnelle</t>
  </si>
  <si>
    <t>Ministere de la Justice</t>
  </si>
  <si>
    <t>Ministere de la Securite Publique</t>
  </si>
  <si>
    <t>Secretariat d’Etat charge de la Gendarmerie</t>
  </si>
  <si>
    <t>Haut Conseil pour la Defense de la Democratie et de l’Etat de Droit</t>
  </si>
  <si>
    <t>Commission Nationale Independante des Droit de l’Homme</t>
  </si>
  <si>
    <t>WB GDP (WB)</t>
  </si>
  <si>
    <t>Notes: did not include ministere de l'interiur et de la decentralisation</t>
  </si>
  <si>
    <t xml:space="preserve">MAURITANIA LOI DE FINANCES  2021 </t>
  </si>
  <si>
    <t>https://impots.gov.mr:8080/DGI/files/Loi%202021%20FR.pdf</t>
  </si>
  <si>
    <t>p. 256-260</t>
  </si>
  <si>
    <t>CLASSIFICATION FONCTIONNELLE DES DEPENSES (COFOG)</t>
  </si>
  <si>
    <t>LOI DE FINANCES  2021 SUIVANT LA NOMENCLATURE FONCTIONNELLE</t>
  </si>
  <si>
    <t>Public Order and Safety</t>
  </si>
  <si>
    <t>ORDRE ET SÉCURITÉ PUBLIQUE</t>
  </si>
  <si>
    <t>Unit: MRU</t>
  </si>
  <si>
    <t>Unit: bn MRU</t>
  </si>
  <si>
    <t>Unit: % GDP</t>
  </si>
  <si>
    <t>TOTAL DE LA FONCTION PRINCIPALE:</t>
  </si>
  <si>
    <t>Fonction 01 Services généraux de sécurité publique 1 809 216 536</t>
  </si>
  <si>
    <t>General Services of Public Safety</t>
  </si>
  <si>
    <t>Fonction 01 Services généraux de sécurité publique</t>
  </si>
  <si>
    <t>Sous Fonction 0 Services généraux de sécurité publique 1 809 216 536</t>
  </si>
  <si>
    <t xml:space="preserve">   Sous Fonction 0 Services généraux de sécurité publique</t>
  </si>
  <si>
    <t>Justice Services</t>
  </si>
  <si>
    <t>Fonction 03 Services de la justice</t>
  </si>
  <si>
    <t>General Justice Services</t>
  </si>
  <si>
    <t xml:space="preserve">   Sous Fonction 1 Services généraux de la justice</t>
  </si>
  <si>
    <t xml:space="preserve">   Supreme Court</t>
  </si>
  <si>
    <t xml:space="preserve">   Sous Fonction 2 Cour suprême</t>
  </si>
  <si>
    <t xml:space="preserve">   Prosecutor offices</t>
  </si>
  <si>
    <t xml:space="preserve">   Sous Fonction 4 Parquets</t>
  </si>
  <si>
    <t xml:space="preserve">   Prisons</t>
  </si>
  <si>
    <t>Fonction 04 Prisons</t>
  </si>
  <si>
    <t xml:space="preserve">   Sous Fonction 1 Prisons</t>
  </si>
  <si>
    <t>Order and Safety n.e.c.</t>
  </si>
  <si>
    <t>Fonction 07 Ordre et sécurité n.c.a.</t>
  </si>
  <si>
    <t xml:space="preserve">   Sous Fonction 1 Ordre et sécurité n.c.a.</t>
  </si>
  <si>
    <t>WB GDP local currency 2021</t>
  </si>
  <si>
    <t>Citizen Budget 2022</t>
  </si>
  <si>
    <t>https://www.finances.gov.ma/Publication/db/2021/BC_LF2022_VFR.pdf</t>
  </si>
  <si>
    <t>Classification des dépenses de l’Etat - Classification fonctionnelle (p.47)</t>
  </si>
  <si>
    <t>dirhams</t>
  </si>
  <si>
    <t>bn dirhams</t>
  </si>
  <si>
    <t>Ordre et sécurité publics</t>
  </si>
  <si>
    <t>WB GDP 2021 LCU</t>
  </si>
  <si>
    <t>Budget Execution January-December 2021</t>
  </si>
  <si>
    <t>Relatório de Execução do Orçamento do Estado - Janeiro a Dezembro de 2021</t>
  </si>
  <si>
    <t>https://www.mef.gov.mz/index.php/todas-publicacoes/instrumentos-de-gestao-economica-e-social/execucao-do-orcamento-do-estado/reo-2021/1525-relatorio-de-execucao-do-orcamento-do-estado-janeiro-a-dezembro-de-2021/file?force-download=1</t>
  </si>
  <si>
    <t>p. 41</t>
  </si>
  <si>
    <t>DESPESAS SEGUNDO A CLASSIFICAÇÃO FUNCIONAL</t>
  </si>
  <si>
    <t>Em Milhões de Meticais</t>
  </si>
  <si>
    <t>bn Meticais</t>
  </si>
  <si>
    <t>Unit</t>
  </si>
  <si>
    <t>Realised</t>
  </si>
  <si>
    <t>Segurança e Ordem Pública</t>
  </si>
  <si>
    <t>Budget appropriation bill 2022</t>
  </si>
  <si>
    <t>https://www.budgetoffice.gov.ng/index.php/mda-s-proposed-budget-details?task=document.viewdoc&amp;id=952</t>
  </si>
  <si>
    <t>Total allocation</t>
  </si>
  <si>
    <t>page 1</t>
  </si>
  <si>
    <t>Federal Ministry of police affairs</t>
  </si>
  <si>
    <t>Ministry of interior</t>
  </si>
  <si>
    <t>Nigeria correctional service</t>
  </si>
  <si>
    <t>Code of conduct tribunal</t>
  </si>
  <si>
    <t>Police service commission</t>
  </si>
  <si>
    <t>page 2</t>
  </si>
  <si>
    <t>Federal Ministry of Justice</t>
  </si>
  <si>
    <t>Federal Budget 2022 / 23</t>
  </si>
  <si>
    <t>https://www.finance.gov.pk/budget/Budget_2022_23/Annual_Budget_Statement_English.pdf</t>
  </si>
  <si>
    <t>Current Expenditure on Revenue Account</t>
  </si>
  <si>
    <t>Development Expenditure on Revenue Account</t>
  </si>
  <si>
    <t>Revised estimate 21/22</t>
  </si>
  <si>
    <t>Budget Estimate 22/23</t>
  </si>
  <si>
    <t>page 10 (16)</t>
  </si>
  <si>
    <t>Public Order and Safety Affairs</t>
  </si>
  <si>
    <t>page 14 (20)</t>
  </si>
  <si>
    <t>Law Courts</t>
  </si>
  <si>
    <t>Police &amp; Civil Armed Forces</t>
  </si>
  <si>
    <t>Administration of Public Order</t>
  </si>
  <si>
    <t>Prison Administration and Operation</t>
  </si>
  <si>
    <t>R&amp;D Public Order and Safety</t>
  </si>
  <si>
    <t>2022 BUDGET ESTIMATES OF REVENUE AND EXPENDITURE FOR NATIONAL GOVERNMENT DEPARTMENTS</t>
  </si>
  <si>
    <t>https://www.treasury.gov.pg/html/national_budget/files/2022/Volume%202a.pdf</t>
  </si>
  <si>
    <t>Appropriation</t>
  </si>
  <si>
    <t>page 11 (16)</t>
  </si>
  <si>
    <t xml:space="preserve">Law and order </t>
  </si>
  <si>
    <t>of which</t>
  </si>
  <si>
    <t>Office of the Public Prosecutor</t>
  </si>
  <si>
    <t>Office of the Public Solicitor</t>
  </si>
  <si>
    <t>Judiciary Services</t>
  </si>
  <si>
    <t>Magisterial Services</t>
  </si>
  <si>
    <t>Department of Attorney-General</t>
  </si>
  <si>
    <t>Department of Corrective Institutional Services</t>
  </si>
  <si>
    <t>Department of Police</t>
  </si>
  <si>
    <t>National Intelligence Organisation</t>
  </si>
  <si>
    <t>Dept of Defence</t>
  </si>
  <si>
    <t>Ombudsman Commission</t>
  </si>
  <si>
    <t>Legal Training Institute</t>
  </si>
  <si>
    <t>National Narcotics Bureau</t>
  </si>
  <si>
    <t>Constitutional &amp; Law Reform Commission</t>
  </si>
  <si>
    <t>State finances for the fiscal year 2021/22</t>
  </si>
  <si>
    <t>https://www.minecofin.gov.rw/index.php?eID=dumpFile&amp;t=f&amp;f=39352&amp;token=b89323526750a33d63c612a27ff7e6e809dcf5c7</t>
  </si>
  <si>
    <t>Total spending FY 21/22</t>
  </si>
  <si>
    <t>Page</t>
  </si>
  <si>
    <t>518 onwards</t>
  </si>
  <si>
    <t>Budget by budget agency (billions)</t>
  </si>
  <si>
    <t>MINIJUST (Ministry of Justice, total of breakdown below)</t>
  </si>
  <si>
    <t xml:space="preserve">Actuals from an audit report </t>
  </si>
  <si>
    <t xml:space="preserve">JLOS report </t>
  </si>
  <si>
    <t>RWANDA NATIONAL POLICE (RNP)</t>
  </si>
  <si>
    <t xml:space="preserve">courts </t>
  </si>
  <si>
    <t>RWANDA CORRECTIONAL SERVICE(RCS)</t>
  </si>
  <si>
    <t>MINIJUST</t>
  </si>
  <si>
    <t>INSTITUTE OF LEGAL PRACTICE AND DEVELOPMENT (ILPD)</t>
  </si>
  <si>
    <t>RWANDA LAW REFORM COMMISSION (RLRC)</t>
  </si>
  <si>
    <t>RWANDA FORENSIC LABORATORY (RFL)</t>
  </si>
  <si>
    <t>RWANDA INVESTIGATION BUREAU (RIB)</t>
  </si>
  <si>
    <t>NATIONAL COMMISSION FOR THE FIGHT AGAINST GENOCIDE(CNLG)</t>
  </si>
  <si>
    <t>page 516</t>
  </si>
  <si>
    <t xml:space="preserve">Supreme Court </t>
  </si>
  <si>
    <t>page 518</t>
  </si>
  <si>
    <t xml:space="preserve">National Public Prosecution Authority </t>
  </si>
  <si>
    <t>National Cyber Security Authority (NCSA)</t>
  </si>
  <si>
    <t>Senegal Enacted Budget 2021</t>
  </si>
  <si>
    <t>https://www.cabri-sbo.org/en/documents/finance-law-2021-2</t>
  </si>
  <si>
    <t>https://www.dropbox.com/s/isw8p3gaywjolzt/Senegal_2021_Approval_External_EnactedBudget_MinFin_CEN-SADECOWAS_French.pdf?dl=0</t>
  </si>
  <si>
    <t xml:space="preserve">Based on page 12 and 13 of this document I have chosen to report CP figures rather than AE </t>
  </si>
  <si>
    <t>https://www.dropbox.com/s/yyj586kp1fj7g3c/Senegal%20-%20Law%20of%20finances%20explainer%20%28French%29.pdf?dl=0</t>
  </si>
  <si>
    <t>Ordre et securite publics</t>
  </si>
  <si>
    <t>CP</t>
  </si>
  <si>
    <t>(Billions)</t>
  </si>
  <si>
    <t>Page 125</t>
  </si>
  <si>
    <t>Budget Audit reports - 2019 &amp; 2020</t>
  </si>
  <si>
    <t>https://www.auditservice.gov.sl/wp-content/uploads/2020/12/Annual-Report-on-the-Account-of-Sierra-Leone-2019.pdf</t>
  </si>
  <si>
    <t xml:space="preserve">https://www.auditservice.gov.sl/wp-content/uploads/2021/12/Auditor-Generals-Annual-Report-2020.pdf </t>
  </si>
  <si>
    <t>Billions (Leones)</t>
  </si>
  <si>
    <t>FY 2018</t>
  </si>
  <si>
    <t>FY 2019</t>
  </si>
  <si>
    <t>Court of Appeal</t>
  </si>
  <si>
    <t>High Court</t>
  </si>
  <si>
    <t>Law Officers Department</t>
  </si>
  <si>
    <t>Local Court's Administration</t>
  </si>
  <si>
    <t>Independent Police Complaints Board</t>
  </si>
  <si>
    <t>Justice and Legal Service Commission</t>
  </si>
  <si>
    <t>National Commission for Human Rights</t>
  </si>
  <si>
    <t>Rights to Access Information Commission</t>
  </si>
  <si>
    <t>Sierra Leone Police</t>
  </si>
  <si>
    <t>Sierra Leone Correctional Services</t>
  </si>
  <si>
    <t>National Fire Authority</t>
  </si>
  <si>
    <t>Central Intelligence and Security Unit</t>
  </si>
  <si>
    <t>Office of National Security</t>
  </si>
  <si>
    <t>Immigration Department</t>
  </si>
  <si>
    <t>National Drugs Law Enforcement Agency</t>
  </si>
  <si>
    <t xml:space="preserve">minus the central intelligence and security unit and the office of national security </t>
  </si>
  <si>
    <t xml:space="preserve">Summary of budget expenditures - 2022 </t>
  </si>
  <si>
    <t>https://mof.gov.sl/wp-content/uploads/2021/12/FY2022-Summary-Budget-Estimates-Report.pdf</t>
  </si>
  <si>
    <t>Pages</t>
  </si>
  <si>
    <t>page 13</t>
  </si>
  <si>
    <t xml:space="preserve">Office of the Chief of Justice </t>
  </si>
  <si>
    <t>Oversight, Supervision, Research and Development</t>
  </si>
  <si>
    <t>General Administration, Court Operations and Support Services</t>
  </si>
  <si>
    <t>Adjudication of Supreme Court and Appeal Court Matters</t>
  </si>
  <si>
    <t>Adjudication of High Court and Magistrate Courts Matter</t>
  </si>
  <si>
    <t>Support to Social, Economic &amp; Commercial Law and Justice</t>
  </si>
  <si>
    <t xml:space="preserve">TOTAL </t>
  </si>
  <si>
    <t>page 17</t>
  </si>
  <si>
    <t>Office Of The Attorney General And Ministry Of Justice</t>
  </si>
  <si>
    <t xml:space="preserve">Office of the Solicitor General </t>
  </si>
  <si>
    <t>Office Of The Permanent Secretary</t>
  </si>
  <si>
    <t>Prosecution</t>
  </si>
  <si>
    <t>Parliamentary Functions/Legislative Drafting</t>
  </si>
  <si>
    <t xml:space="preserve">Legal Advice And Representation </t>
  </si>
  <si>
    <t>Justice Sector Coordinating Office</t>
  </si>
  <si>
    <t>Administrative And Support Services</t>
  </si>
  <si>
    <t>Sierra Leone Law School</t>
  </si>
  <si>
    <t>Legal Aid Board</t>
  </si>
  <si>
    <t>Administrator And Registrar General</t>
  </si>
  <si>
    <t>page 18</t>
  </si>
  <si>
    <t xml:space="preserve">Local courts </t>
  </si>
  <si>
    <t>Local Court Administration</t>
  </si>
  <si>
    <t>page 19</t>
  </si>
  <si>
    <t>General Administration And Support Services</t>
  </si>
  <si>
    <t>page 39</t>
  </si>
  <si>
    <t>Justice And Legal Service Commission</t>
  </si>
  <si>
    <t>Office Of The Chief Justice</t>
  </si>
  <si>
    <t>page 40</t>
  </si>
  <si>
    <t>National commission for human rights</t>
  </si>
  <si>
    <t>page 46</t>
  </si>
  <si>
    <t>General Administration Division</t>
  </si>
  <si>
    <t>General Administrative Services</t>
  </si>
  <si>
    <t>Police Health Services</t>
  </si>
  <si>
    <t>Support Services Division</t>
  </si>
  <si>
    <t xml:space="preserve">Procurement and logistic </t>
  </si>
  <si>
    <t>Gender Division</t>
  </si>
  <si>
    <t>Gender Mainstreaming</t>
  </si>
  <si>
    <t xml:space="preserve">Operations division </t>
  </si>
  <si>
    <t>Operations</t>
  </si>
  <si>
    <t>Office Of Director General Of Correctional Services</t>
  </si>
  <si>
    <t>General Administrative And Support Services 1</t>
  </si>
  <si>
    <t>Correctional Health Services</t>
  </si>
  <si>
    <t>Custody And Welfare Division</t>
  </si>
  <si>
    <t>General Admin/ Support Services</t>
  </si>
  <si>
    <t>Improved Delivery Of Fire Services</t>
  </si>
  <si>
    <t>Fire Engines</t>
  </si>
  <si>
    <t>Regional District Fire Stations</t>
  </si>
  <si>
    <t xml:space="preserve">Data for the Solomon Islands has been compiled from the recurrent and development budget estimates </t>
  </si>
  <si>
    <t>Sources:</t>
  </si>
  <si>
    <t>https://solomons.gov.sb/wp-content/uploads/2022/05/2022-Approved-Recurrent-Budget.pdf</t>
  </si>
  <si>
    <t>https://solomons.gov.sb/wp-content/uploads/2022/05/2022-Approved-Development-Budget.pdf</t>
  </si>
  <si>
    <t xml:space="preserve">Total: </t>
  </si>
  <si>
    <t>2020 actual</t>
  </si>
  <si>
    <t xml:space="preserve">2021 budget estimate </t>
  </si>
  <si>
    <t xml:space="preserve">2022 budget estimate </t>
  </si>
  <si>
    <t>Police, Nat. Security &amp; Correctional Services</t>
  </si>
  <si>
    <t>Justice and Legal Affairs</t>
  </si>
  <si>
    <t>National Judiciary</t>
  </si>
  <si>
    <t>Total (millions)</t>
  </si>
  <si>
    <t xml:space="preserve">Recurrent </t>
  </si>
  <si>
    <t>Page 14</t>
  </si>
  <si>
    <t>Page 340</t>
  </si>
  <si>
    <t xml:space="preserve">Royal Solomon Islands Police Force </t>
  </si>
  <si>
    <t>Page 336</t>
  </si>
  <si>
    <t>Corrections (I think this is prisons)</t>
  </si>
  <si>
    <t>Page 482</t>
  </si>
  <si>
    <t xml:space="preserve">Public Solicitor </t>
  </si>
  <si>
    <t>Page 484</t>
  </si>
  <si>
    <t>Attorney General</t>
  </si>
  <si>
    <t>Page 486</t>
  </si>
  <si>
    <t>Director of Public Prosecutions</t>
  </si>
  <si>
    <t>Page 488</t>
  </si>
  <si>
    <t xml:space="preserve">Law Reform Commissions </t>
  </si>
  <si>
    <t>Page 540</t>
  </si>
  <si>
    <t xml:space="preserve">Can be broken down by </t>
  </si>
  <si>
    <t xml:space="preserve">High Court Registry </t>
  </si>
  <si>
    <t>Local Court</t>
  </si>
  <si>
    <t>High Court Judges</t>
  </si>
  <si>
    <t>Different regional magistrates</t>
  </si>
  <si>
    <t xml:space="preserve">Development </t>
  </si>
  <si>
    <t>Page 9</t>
  </si>
  <si>
    <t xml:space="preserve">2021/22 national budget plan </t>
  </si>
  <si>
    <t>http://www.mofep-grss.org/documents/</t>
  </si>
  <si>
    <t>https://secureservercdn.net/160.153.138.42/330.9b9.myftpupload.com/wp-content/uploads/2022/03/DRAFT-BUDGET-BOOK-FY-2021-2022-small.pdf?time=1658157035</t>
  </si>
  <si>
    <t>2021 / 22</t>
  </si>
  <si>
    <t>Page 312</t>
  </si>
  <si>
    <t>Rule of law sector</t>
  </si>
  <si>
    <t xml:space="preserve">20/21 budget </t>
  </si>
  <si>
    <t xml:space="preserve">20/21 outturns </t>
  </si>
  <si>
    <t xml:space="preserve">21/22 budget </t>
  </si>
  <si>
    <t xml:space="preserve">Bureau of community security and small arms </t>
  </si>
  <si>
    <t>Human rights commission</t>
  </si>
  <si>
    <t xml:space="preserve">Law review commission </t>
  </si>
  <si>
    <t>page 342 (pdf page)</t>
  </si>
  <si>
    <t xml:space="preserve">Interior headquarters </t>
  </si>
  <si>
    <t xml:space="preserve">Ministry of justice and constitutional affairs </t>
  </si>
  <si>
    <t xml:space="preserve">Commission for Refugees Affairs </t>
  </si>
  <si>
    <t>Fire Brigade</t>
  </si>
  <si>
    <t xml:space="preserve">Judiciary of South Sudan </t>
  </si>
  <si>
    <t xml:space="preserve">Judicial Service Commission </t>
  </si>
  <si>
    <t xml:space="preserve">Police Service </t>
  </si>
  <si>
    <t xml:space="preserve">Prisons Service </t>
  </si>
  <si>
    <t>2021 year budget</t>
  </si>
  <si>
    <t>http://mof.gov.sd/en/images/Budget/Sudan-2021-MOF-FinalBudgetEnglish_-February22021.pdf</t>
  </si>
  <si>
    <t>FY 2021 revenue and expenditure estimates for the government ministries and units</t>
  </si>
  <si>
    <t>FY 2021 revenue estimates for government ministries and units</t>
  </si>
  <si>
    <t>Page 37</t>
  </si>
  <si>
    <t>Estimated revenue (millions of SDG)</t>
  </si>
  <si>
    <t>Public order and safety affairs</t>
  </si>
  <si>
    <t xml:space="preserve">Judicial authority </t>
  </si>
  <si>
    <t xml:space="preserve">Constitutional Court </t>
  </si>
  <si>
    <t>Ministry of Justice</t>
  </si>
  <si>
    <t>Public order and public safety affairs not elsewhere classified</t>
  </si>
  <si>
    <t>Refugee Legation</t>
  </si>
  <si>
    <t>Page 43 - 45</t>
  </si>
  <si>
    <t>Expenditure estimates for government ministries and units for FY 2021</t>
  </si>
  <si>
    <t>Estimated expenditures</t>
  </si>
  <si>
    <t>National Judicial Service Commission</t>
  </si>
  <si>
    <t>Institute of Judicial and Legal Sciences</t>
  </si>
  <si>
    <t>https://www.cabri-sbo.org/uploads/bia/Tanzania_2020_Formulation_Internal_TreasuryGuidelines_MinFin_EACSADC_English.pdf</t>
  </si>
  <si>
    <t xml:space="preserve">Expenditure Projections by Divisions and Groups of CoFoG (is this in actual shillings or millions??) </t>
  </si>
  <si>
    <t>2020/21</t>
  </si>
  <si>
    <t xml:space="preserve">2022/23 </t>
  </si>
  <si>
    <t>Page 37 (48)</t>
  </si>
  <si>
    <t xml:space="preserve">Defence, public order and safety </t>
  </si>
  <si>
    <t xml:space="preserve">Defence </t>
  </si>
  <si>
    <t>Public Safety</t>
  </si>
  <si>
    <t xml:space="preserve">In billions (assuming it is in millions) </t>
  </si>
  <si>
    <t xml:space="preserve">Public safety + law courts </t>
  </si>
  <si>
    <t xml:space="preserve">2021 general state budget </t>
  </si>
  <si>
    <t>http://www.laohamutuk.org/econ/OGE21/20OGE21.htm#docs</t>
  </si>
  <si>
    <t>Scroll down to documents, budget execution reports for 2021, Jan-Dec</t>
  </si>
  <si>
    <t>http://www.laohamutuk.org/econ/OGE21/exec/220317Relatorio-Execucao-Orcamento-Quarto-Trimestre-AF-2021.pdf</t>
  </si>
  <si>
    <t xml:space="preserve">US$ (000s) </t>
  </si>
  <si>
    <t xml:space="preserve">US$ (billions) </t>
  </si>
  <si>
    <t>Page 29 (30)</t>
  </si>
  <si>
    <t>Ordem Pública e Segurança</t>
  </si>
  <si>
    <t>BUDGET PROGRAMME DE L’ETAT 2021-2023</t>
  </si>
  <si>
    <t>https://finances.gouv.tg/wp-content/uploads/2020/12/Budget-programme-de-lEtat-2021-2023.pdf</t>
  </si>
  <si>
    <t>CFA (millions)</t>
  </si>
  <si>
    <t xml:space="preserve">Cour constitutionnelle </t>
  </si>
  <si>
    <t xml:space="preserve">Cour suprême </t>
  </si>
  <si>
    <t xml:space="preserve">Médiateur de la République </t>
  </si>
  <si>
    <t xml:space="preserve">Cour des comptes </t>
  </si>
  <si>
    <t xml:space="preserve">Ministère de la justice et de la législation  </t>
  </si>
  <si>
    <t xml:space="preserve">Conseil supérieur de la magistrature </t>
  </si>
  <si>
    <t xml:space="preserve">Ministère de la sécurité et de la protection civile </t>
  </si>
  <si>
    <t>page 24</t>
  </si>
  <si>
    <t xml:space="preserve">Ministère des droits de l'homme, de la formation à la citoyenneté, des relations avec les institutions de la République </t>
  </si>
  <si>
    <t xml:space="preserve">Commission nationale des droits de l'homme </t>
  </si>
  <si>
    <t>The Justice Law and Order Sector Annual Performance Report 2020 / 21</t>
  </si>
  <si>
    <t>https://www.dropbox.com/s/y8ktf1p2lf982ar/Uganda%20JLOS%20Annual%20report%20_%202020%20-%202021_final.pdf?dl=0</t>
  </si>
  <si>
    <t>Breakdown of the budget for the SDPV Period (amount in billion)</t>
  </si>
  <si>
    <t>Wage</t>
  </si>
  <si>
    <t>Non-wage</t>
  </si>
  <si>
    <t>Development</t>
  </si>
  <si>
    <t>Institution</t>
  </si>
  <si>
    <t>Budget allocation to JLOS for FY 2020/21 - final revised budget (amount in billion)</t>
  </si>
  <si>
    <t>% share</t>
  </si>
  <si>
    <t xml:space="preserve">Amount Released </t>
  </si>
  <si>
    <t>Amount Spent</t>
  </si>
  <si>
    <t>MOJCA</t>
  </si>
  <si>
    <t>MIA</t>
  </si>
  <si>
    <t>ULRC</t>
  </si>
  <si>
    <t>UHRC</t>
  </si>
  <si>
    <t>LDC</t>
  </si>
  <si>
    <t>URSB</t>
  </si>
  <si>
    <t>DCIC</t>
  </si>
  <si>
    <t>ODPP</t>
  </si>
  <si>
    <t>UPF</t>
  </si>
  <si>
    <t>UPS</t>
  </si>
  <si>
    <t>JSC</t>
  </si>
  <si>
    <t>DGAL</t>
  </si>
  <si>
    <t>NIRA</t>
  </si>
  <si>
    <t xml:space="preserve">The data above can be broken down into wage, non wage and development spending </t>
  </si>
  <si>
    <t xml:space="preserve">Citizens Budget 2020 </t>
  </si>
  <si>
    <t>https://www.undp.org/sites/g/files/zskgke326/files/migration/uz/63a150a93a5a45e6ac392fc9c7e56ff696373c3586f12d4863aee3c6b31f19a6.pdf</t>
  </si>
  <si>
    <t>Billions, 2020</t>
  </si>
  <si>
    <t xml:space="preserve">Parameter </t>
  </si>
  <si>
    <t>Revised</t>
  </si>
  <si>
    <t>page 49</t>
  </si>
  <si>
    <t>Ministry of Justice of the Republic of Uzbekistan</t>
  </si>
  <si>
    <t>Page 51</t>
  </si>
  <si>
    <t>Supreme Court of the Republic of Uzbekistan</t>
  </si>
  <si>
    <t>Constitutional Court of the Republic of Uzbekistan</t>
  </si>
  <si>
    <t>High Judicial Council of the Republic of Uzbekistan</t>
  </si>
  <si>
    <t>State budget expenditures website</t>
  </si>
  <si>
    <t>https://openbudget.uz/en/outcomesView</t>
  </si>
  <si>
    <t>https://doft.gov.vu/images/2021/Budget/Book/2021_Budget_Book_Volume_1_2__English.pdf</t>
  </si>
  <si>
    <t xml:space="preserve">Budgeted </t>
  </si>
  <si>
    <t xml:space="preserve">Forecasted </t>
  </si>
  <si>
    <t xml:space="preserve">Ministry </t>
  </si>
  <si>
    <t>page 31 (33)</t>
  </si>
  <si>
    <t>Public Prosecutor</t>
  </si>
  <si>
    <t>Public Solicitor</t>
  </si>
  <si>
    <t>Public Service Commission</t>
  </si>
  <si>
    <t>Judicial Services Commission</t>
  </si>
  <si>
    <t>State Law Office</t>
  </si>
  <si>
    <t>page 33 (35)</t>
  </si>
  <si>
    <t>Ministry of Internal Affairs (of which: )</t>
  </si>
  <si>
    <t>page 34 (36)</t>
  </si>
  <si>
    <t>Ministry of Justice and Social Welfare</t>
  </si>
  <si>
    <t>Cabinet Support</t>
  </si>
  <si>
    <t xml:space="preserve">Women's affairs </t>
  </si>
  <si>
    <t>Correctional Services</t>
  </si>
  <si>
    <t xml:space="preserve">Lands Tribunal </t>
  </si>
  <si>
    <t xml:space="preserve">2022 yellow book </t>
  </si>
  <si>
    <t>https://www.parliament.gov.zm/sites/default/files/images/publication_docs/2022%20YELLOW%20BOOK.pdf</t>
  </si>
  <si>
    <t xml:space="preserve">All yellow books </t>
  </si>
  <si>
    <t>https://www.parliament.gov.zm/publications/yellow-book</t>
  </si>
  <si>
    <t xml:space="preserve">2021 approved budget </t>
  </si>
  <si>
    <t>2022 estimated budget</t>
  </si>
  <si>
    <t xml:space="preserve">page 106 (149) </t>
  </si>
  <si>
    <t>ZAMBIA POLICE SERVICE COMMISSION</t>
  </si>
  <si>
    <t xml:space="preserve">50% increase in the budget </t>
  </si>
  <si>
    <t>page 116 (159)</t>
  </si>
  <si>
    <t>ZAMBIA POLICE SERVICE</t>
  </si>
  <si>
    <t>page 138 (181)</t>
  </si>
  <si>
    <t>OFFICE OF THE PUBLIC PROTECTOR</t>
  </si>
  <si>
    <t>page 219 (262)</t>
  </si>
  <si>
    <t>JUDICIARY</t>
  </si>
  <si>
    <t>page 316 (359)</t>
  </si>
  <si>
    <t>ZAMBIA CORRECTIONAL SERVICES</t>
  </si>
  <si>
    <t>page 332 (375)</t>
  </si>
  <si>
    <t>MINISTRY OF JUSTICE</t>
  </si>
  <si>
    <t>page 364 (407)</t>
  </si>
  <si>
    <t>HUMAN RIGHTS COMMISSION</t>
  </si>
  <si>
    <t>page 386 (429)</t>
  </si>
  <si>
    <t>ZAMBIA CORRECTIONAL SERVICE COMMISSION</t>
  </si>
  <si>
    <t>MINISTRY OF HOME AFFAIRS AND INTERNAL SECURITY</t>
  </si>
  <si>
    <t xml:space="preserve">remit includes strengthening the judicial system to ensure justice for all but I can't see how much of the budget is allocated to it </t>
  </si>
  <si>
    <t>Citizens budget 2022</t>
  </si>
  <si>
    <t>http://www.veritaszim.net/node/5362</t>
  </si>
  <si>
    <t>http://www.veritaszim.net/sites/veritas_d/files/2022_Citizens_Budget.pdf</t>
  </si>
  <si>
    <t>Other information (but I don't know where police and prisons fit)</t>
  </si>
  <si>
    <t>Page 10</t>
  </si>
  <si>
    <t>2022 proposed budget estimates (millions)</t>
  </si>
  <si>
    <t>Justice, Legal and Parliamentary Affairs</t>
  </si>
  <si>
    <t>page 9</t>
  </si>
  <si>
    <t xml:space="preserve">percentage of total expenditure spent on public order and safety </t>
  </si>
  <si>
    <t>National Prosecuting Authority</t>
  </si>
  <si>
    <t>Zimbabwe Anti-Corruption Commission</t>
  </si>
  <si>
    <t>Amount of budget spent on PO&amp;S (millions)</t>
  </si>
  <si>
    <t>page 11</t>
  </si>
  <si>
    <t>2022 Total expenditure</t>
  </si>
  <si>
    <t>ZWL$, billion</t>
  </si>
  <si>
    <t>2022 Total Revenue</t>
  </si>
  <si>
    <t>Note:</t>
  </si>
  <si>
    <t xml:space="preserve">Due to inflation, revenue figures from national government documents and estimates from international organisations do not match   </t>
  </si>
  <si>
    <t>Calc Public order and safety expenditure as a percentage of government revenue</t>
  </si>
  <si>
    <t>Expenditure by Functions of Government (COFOG)</t>
  </si>
  <si>
    <t>General government</t>
  </si>
  <si>
    <t>Budgetary central government</t>
  </si>
  <si>
    <t>Latest Expenditure</t>
  </si>
  <si>
    <t>Latest Year</t>
  </si>
  <si>
    <t>Afghanistan, Islamic Rep. of</t>
  </si>
  <si>
    <t>Armenia, Rep. of</t>
  </si>
  <si>
    <t>Azerbaijan, Rep. of</t>
  </si>
  <si>
    <t>Bahrain, Kingdom of</t>
  </si>
  <si>
    <t>Belarus, Rep. of</t>
  </si>
  <si>
    <t>China, P.R.: Hong Kong</t>
  </si>
  <si>
    <t>China, P.R.: Macao</t>
  </si>
  <si>
    <t>China, P.R.: Mainland</t>
  </si>
  <si>
    <t>Croatia, Rep. of</t>
  </si>
  <si>
    <t>Czech Rep.</t>
  </si>
  <si>
    <t>Dominican Rep.</t>
  </si>
  <si>
    <t>Estonia, Rep. of</t>
  </si>
  <si>
    <t>Ethiopia, The Federal Dem. Rep. of</t>
  </si>
  <si>
    <t>Kazakhstan, Rep. of</t>
  </si>
  <si>
    <t>Kosovo, Rep. of</t>
  </si>
  <si>
    <t>Kyrgyz Rep.</t>
  </si>
  <si>
    <t>Madagascar, Rep. of</t>
  </si>
  <si>
    <t>Marshall Islands, Rep. of the</t>
  </si>
  <si>
    <t>Micronesia, Federated States of</t>
  </si>
  <si>
    <t>Moldova, Rep. of</t>
  </si>
  <si>
    <t>Mozambique, Rep. of</t>
  </si>
  <si>
    <t>Nauru, Rep. of</t>
  </si>
  <si>
    <t>Netherlands, The</t>
  </si>
  <si>
    <t>Palau, Rep. of</t>
  </si>
  <si>
    <t>Poland, Rep. of</t>
  </si>
  <si>
    <t>San Marino, Rep. of</t>
  </si>
  <si>
    <t>Slovak Rep.</t>
  </si>
  <si>
    <t>Slovenia, Rep. of</t>
  </si>
  <si>
    <t>Tanzania, United Rep. of</t>
  </si>
  <si>
    <t>Uzbekistan, Rep. of</t>
  </si>
  <si>
    <t>Social Protection Expenditure 2022 Excel file</t>
  </si>
  <si>
    <t>WEO Apr 2022</t>
  </si>
  <si>
    <t>https://www.imf.org/en/Publications/WEO/weo-database/2022/April/select-subjects?c=171,193,122,124,156,423,935,128,939,172,132,134,174,532,176,178,436,136,158,542,941,946,137,546,181,138,196,142,182,359,135,576,936,961,184,144,146,528,112,111,</t>
  </si>
  <si>
    <t>ISO imf</t>
  </si>
  <si>
    <t>WEO Country Code</t>
  </si>
  <si>
    <t>ISO wb</t>
  </si>
  <si>
    <t>WEO Subject Code</t>
  </si>
  <si>
    <t>Subject Descriptor</t>
  </si>
  <si>
    <t>Subject Notes</t>
  </si>
  <si>
    <t>Units</t>
  </si>
  <si>
    <t>Scale</t>
  </si>
  <si>
    <t>Country/Series-specific Notes</t>
  </si>
  <si>
    <t>Estimates Start After</t>
  </si>
  <si>
    <t>Latest Actual General government revenue LCU</t>
  </si>
  <si>
    <t>Same year GDP</t>
  </si>
  <si>
    <t>Latest GDP current LCU</t>
  </si>
  <si>
    <t>Latest GDP current LCU year</t>
  </si>
  <si>
    <t>Government Revenue % GDP</t>
  </si>
  <si>
    <t>GGR</t>
  </si>
  <si>
    <t>General government revenue</t>
  </si>
  <si>
    <t>Revenue consists of taxes, social contributions, grants receivable, and other revenue. Revenue increases government's net worth, which is the difference between its assets and liabilities (GFSM 2001, paragraph 4.20). Note: Transactions that merely change the composition of the balance sheet do not change the net worth position, for example, proceeds from sales of nonfinancial and financial assets or incurrence of liabilities.</t>
  </si>
  <si>
    <t>National currency</t>
  </si>
  <si>
    <t>Source: Ministry of Finance or Treasury Latest actual data: 2020 Fiscal assumptions: Informed views Reporting in calendar year: Yes Start/end months of reporting year: January/December. Until 2012 fiscal accounts have been compiled on the basis of a solar year, which runs from March 21 to March 20. From 2013 data is compiled on a new fiscal year basis that runs from December 21 to December 20. Pre-2013 data is converted to the new fiscal year for the purpose of WEO publication. GFS Manual used: Government Finance Statistics Manual (GFSM) 2001 Basis of recording: Cash General government includes: Central Government;. Data on general government not available. Valuation of public debt: Nominal value. Debt figures incorporate committed but not yet delivered debt relief. Instruments included in gross and net debt: Securities Other than Shares; Loans;. Securities are promissory note issued by the MOF. Loans are mainly loans from abroad. Primary domestic currency: Afghan afghani Data last updated: 01/2022</t>
  </si>
  <si>
    <t>n/a</t>
  </si>
  <si>
    <t>Source: IMF Staff Estimates Latest actual data: 2020 Reporting in calendar year: Yes Start/end months of reporting year: January/December GFS Manual used: Government Finance Statistics Manual (GFSM) 1986 Basis of recording: Modified Cash Basis General government includes: Central Government; Local Government; Social Security Funds; Monetary Public Corporations, incl. central bank; Nonfinancial Public Corporation; Valuation of public debt: Nominal value Instruments included in gross and net debt: Currency and Deposits; Loans; Other Accounts Receivable/Payable Primary domestic currency: Albanian lek Data last updated: 04/2022</t>
  </si>
  <si>
    <t>Source: Ministry of Finance or Treasury Latest actual data: 2020 Notes: Calculated as debt liabilities minus government deposits. Fiscal assumptions: Data for 2021 is based on outturns until end-October. Projections for 2022-2026 are based on IMF staff estimates and the authorities' 2022 budget law. Reporting in calendar year: Yes Start/end months of reporting year: January/December GFS Manual used: Government Finance Statistics Manual (GFSM) 1986 Basis of recording: Cash General government includes: Central Government; Valuation of public debt: Face value Instruments included in gross and net debt: Securities Other than Shares; Loans Primary domestic currency: Algerian dinar Data last updated: 03/2022</t>
  </si>
  <si>
    <t>Source: National Statistics Office. Ministry of Finance Latest actual data: 2020 Fiscal assumptions: Expenditure: Approved budget and authorities' medium term fiscal framework. Revenue: GDP growth projections combined with assumptions of multipliers and revenue elasticities. Reporting in calendar year: Yes Start/end months of reporting year: January/December GFS Manual used: Other Basis of recording: Cash General government includes: Central Government; Local Government; Social Security Funds; Valuation of public debt: Current market value Instruments included in gross and net debt: Currency and Deposits; Securities Other than Shares; Loans Primary domestic currency: Euro Data last updated: 03/2022</t>
  </si>
  <si>
    <t>Source: Ministry of Finance or Treasury Latest actual data: 2020 Fiscal assumptions: Oil revenue: effective tax rate approach, based on WEO oil price and oil production from authorities; non-oil revenue: relies on non-oil output as key taxable base; expenditure: current year based on the budget, medium term based on desk's assumptions. Reporting in calendar year: Yes Start/end months of reporting year: January/December GFS Manual used: Government Finance Statistics Manual (GFSM) 2001 Basis of recording: Other General government includes: Central Government and provincial governments Valuation of public debt: Nominal value Instruments included in gross and net debt: Securities Other than Shares; Loans; Other Accounts Receivable/Payable Primary domestic currency: Angolan kwanza Data last updated: 04/2022</t>
  </si>
  <si>
    <t>Source: Ministry of Finance or Treasury Latest actual data: 2020 Reporting in calendar year: Yes Start/end months of reporting year: January/December GFS Manual used: Government Finance Statistics Manual (GFSM) 2001. Ongoing efforts to adopt the GFSM2014 Basis of recording: Mixed General government includes: Central Government;. Central government and government guaranteed debt Valuation of public debt: Nominal value Instruments included in gross and net debt: Securities Other than Shares; Loans; Other Primary domestic currency: Eastern Caribbean dollar Data last updated: 03/2022</t>
  </si>
  <si>
    <t>Source: Ministry of Economy and/or Planning Latest actual data: 2021 Notes: Government gross debt refers to the central government including untendered debt. Fiscal assumptions: Fiscal projections are based on the available information regarding budget outturn and budget plans for the federal government, on fiscal measures announced by the authorities, and on IMF staff macroeconomic projections. Reporting in calendar year: Yes Start/end months of reporting year: January/December GFS Manual used: Government Finance Statistics Manual (GFSM) 1986 Basis of recording: Cash. Central (National) government net lending/borrowing includes cash interest payments only. General government includes: Central Government; State Government; Social Security Funds; Valuation of public debt: Nominal value Instruments included in gross and net debt: Securities Other than Shares; Loans Primary domestic currency: Argentine peso Data last updated: 03/2022</t>
  </si>
  <si>
    <t>Source: Ministry of Finance or Treasury Latest actual data: 2020 Notes: Since the general government accounts for Armenia are not available, all general government series are equal to the central government series. Fiscal assumptions: Staff estimates Reporting in calendar year: Yes Start/end months of reporting year: January/December GFS Manual used: Government Finance Statistics Manual (GFSM) 2001 Basis of recording: Cash General government includes: Central Government; Valuation of public debt: Face value Instruments included in gross and net debt: Currency and Deposits; Loans Primary domestic currency: Armenian dram Data last updated: 04/2022</t>
  </si>
  <si>
    <t>Source: Ministry of Finance or Treasury Latest actual data: 2020 Fiscal assumptions: Government budget and projected nominal GDP Reporting in calendar year: Yes Start/end months of reporting year: January/December GFS Manual used: Government Finance Statistics Manual (GFSM) 2001 Basis of recording: Mixed General government includes: Central Government; Valuation of public debt: Nominal value Instruments included in gross and net debt: Securities Other than Shares; Loans Primary domestic currency: Aruban Florin Data last updated: 03/2022</t>
  </si>
  <si>
    <t>Source: Ministry of Finance or Treasury. Treasury Department Latest actual data: 2020 Notes: Social Benefits series comprises social security and welfare spending for which we do not have comparable data prior to 2004 Fiscal assumptions: Fiscal projections are based on data from the Australian Bureau of Statistics, the FY2022/23 budget published by the Commonwealth Government in March 2022, the FY2021/22 budget published by each state/territory government, the FY2021/22 budget update published by some state governments, and the IMF staff's estimates and projections Reporting in calendar year: Yes. Data are converted by averaging two FYs. Example: Avg(2009/10, 2010/11)=2010. Start/end months of reporting year: January/December. July/June by authorities, and Jan/Dec by staff GFS Manual used: Government Finance Statistics Manual (GFSM) 2014. The IMF has published a revised Government Finance Statistics Manual (GFSM 2014), and the Australian system has been updated to reflect the new international standards. These changes are presented in the Australian System of Government Finance Statistics: Concepts, Sources and Methods, 2015 (cat. no. 5514.0), and will be implemented for data reported for periods from 1 July 2017 onwards, Source: ABS Basis of recording: Accrual General government includes: Central Government; State Government; Local Government; Other;. Other includes Territory governments Valuation of public debt: Current market value Instruments included in gross and net debt: Currency and Deposits; Securities Other than Shares; Loans; Shares and Other Equity; Other Accounts Receivable/Payable Primary domestic currency: Australian dollar Data last updated: 03/2022</t>
  </si>
  <si>
    <t>Source: National Statistics Office Latest actual data: 2020 Fiscal assumptions: Fiscal projections are based on the 2022 budget, the Austria Stability Programme, and Austria National Reform Programme 2021. The new EU recovery funds and latest announcement on fiscal measures. Reporting in calendar year: Yes Start/end months of reporting year: January/December GFS Manual used: Government Finance Statistics Manual (GFSM) 2014 Basis of recording: Accrual General government includes: Central Government; State Government; Local Government; Social Security Funds; Valuation of public debt: Face value Instruments included in gross and net debt: Currency and Deposits; Securities Other than Shares; Loans;. Our framework follows the Maastricht debt criteria. Primary domestic currency: Euro Data last updated: 03/2022</t>
  </si>
  <si>
    <t>Source: Ministry of Finance or Treasury Latest actual data: 2021 Notes: Since the general government accounts for Azerbaijan are not available, all general government series are equal to the central government series. Central government includes state budget and main extrabudgetary funds, including operations of the oil fund and the social protection fund. Fiscal assumptions: WEO Oil and GAS assumptions. Reporting in calendar year: Yes Start/end months of reporting year: January/December GFS Manual used: Government Finance Statistics Manual (GFSM) 2001 Basis of recording: Cash General government includes: Central Government; Valuation of public debt: Face value Instruments included in gross and net debt: Securities Other than Shares; Loans;. Treasury bills (Manat); treasury bonds (Manat); sovereign external debt (US dollar). Primary domestic currency: Azerbaijan manat Data last updated: 03/2022</t>
  </si>
  <si>
    <t>Source: Ministry of Finance or Treasury Latest actual data: FY2020/21 Notes: All fiscal and debt series data in WEO are on fiscal year basis. Fiscal assumptions: Revenue projection is driven by nominal GDP with the elasticity higher than 1 due to "recovery" from the crises (Hurrican Dorian and Covid-19 pandemic). Expenditure projection is based on the budget and additional expenditure measures. The FY2019/20 fiscal outturn is IMF staff's estimate based on the authorities' published data. Because of classification differences, total expenditure and the overall deficit for FY2019/20 are smaller than the authorities' estimates. Reporting in calendar year: No. Original source is in fiscal year for fiscal series. Debt series are provided in quarterly frequency. Start/end months of reporting year: July/June GFS Manual used: Government Finance Statistics Manual (GFSM) 2014 Basis of recording: Cash General government includes: Central Government; Valuation of public debt: Nominal value Primary domestic currency: Bahamian dollar Data last updated: 03/2022</t>
  </si>
  <si>
    <t>Source: Ministry of Finance or Treasury. Ministry of Finance and National Economy Latest actual data: 2020 Notes: The projections use the 2001 Manual --- all the series are on cash basis only. Fiscal assumptions: The projections are based on the current WEO assumptions for oil prices. Reporting in calendar year: Yes Start/end months of reporting year: January/December GFS Manual used: Government Finance Statistics Manual (GFSM) 2001 Basis of recording: Cash General government includes: Central Government;. Fiscal statistics are for central government only Valuation of public debt: Face value Instruments included in gross and net debt: Currency and Deposits; Securities Other than Shares; Loans; Monetary Gold and SDRs Primary domestic currency: Bahrain dinar Data last updated: 04/2022</t>
  </si>
  <si>
    <t>Source: Ministry of Finance or Treasury. GGR (Total Revenue) includes Grants starting 1990 on wards. Before, GGR does not include grants. Latest actual data: FY2018/19 Reporting in calendar year: No. Fiscal year data are mapped to calendar year as follows: FY(t-1/t) = CY(t) Start/end months of reporting year: July/June GFS Manual used: Other Basis of recording: Cash General government includes: Central Government; Valuation of public debt: Nominal value Instruments included in gross and net debt: Securities Other than Shares; Loans; Other Primary domestic currency: Bangladesh taka Data last updated: 03/2022</t>
  </si>
  <si>
    <t>Source: Ministry of Finance or Treasury Latest actual data: FY2019/20 Notes: Fiscal perimeter = budgetary central government. Authorities do not consolidate general government. Reporting in calendar year: No. Fiscal year data are mapped to calendar year as follows: FY(t-1/t) = CY(t) Start/end months of reporting year: April/March GFS Manual used: Government Finance Statistics Manual (GFSM) 1986 Basis of recording: Cash General government includes: Central Government;. Data covers the Budgetary Central Government only. Valuation of public debt: Nominal value Instruments included in gross and net debt: Securities Other than Shares; Loans;. Central Government Gross Debt includes Guaranteed, non-Guaranteed and Arrears; Central Government Net Debt is derived by Central Government Gross Debt subtract Government's deposits in CBB and Commercial Banks; Forecast (2018-2023) for Government's deposits is to remain constant with 2017. Primary domestic currency: Barbados dollar Data last updated: 03/2022</t>
  </si>
  <si>
    <t>Source: Ministry of Finance or Treasury Latest actual data: 2020 Notes: The overall fiscal balance includes off balance sheet items. General government debt includes guarantees. Up to 2018, external public debt includes SDRs holdings and allocations, thereafter these are reclassified as NBRB external debt based on the internal agreement. Fiscal assumptions: IMF staff projections. Reporting in calendar year: Yes Start/end months of reporting year: January/December GFS Manual used: Government Finance Statistics Manual (GFSM) 2001 Basis of recording: Cash General government includes: Central Government; Local Government; Social Security Funds; Valuation of public debt: Nominal value. Includes general government and off-balance sheet operations. Instruments included in gross and net debt: Securities Other than Shares; Loans; Other;. Includes government guarantees as other. Primary domestic currency: Belarusian ruble Data last updated: 03/2022</t>
  </si>
  <si>
    <t>Source: Central Bank Latest actual data: 2020 Fiscal assumptions: Projections are based on the 2021-24 Stability Program, the Draft Budgetary Plan for 2022, and other available information on the authorities' fiscal plans, with adjustments for the IMF staff's assumptions. Reporting in calendar year: Yes Start/end months of reporting year: January/December GFS Manual used: European System of Accounts (ESA) 2010 Basis of recording: Accrual General government includes: Central Government; State Government; Local Government; Social Security Funds; Other; Valuation of public debt: Face value Instruments included in gross and net debt: Currency and Deposits; Securities Other than Shares; Loans Primary domestic currency: Euro Data last updated: 03/2022</t>
  </si>
  <si>
    <t>Source: Ministry of Finance or Treasury Latest actual data: 2020 Notes: Gross debt-to-GDP ratios is calculated dividing debt at end of calendar year by calendar year GDP. Fiscal assumptions: Based on WEO assumptions and staff assessment of policies likely to be implemented. Reporting in calendar year: Yes. Fiscal data from the authorities is collected in fiscal year frequency, which goes from April 1 of the current year to March 31 of the following year. The calendar year estimates are calculated as a weighted average of the fiscal year data with a weight of 0.25 for the previous fiscal year and 0.75 for the current fiscal year. Start/end months of reporting year: January/December GFS Manual used: Government Finance Statistics Manual (GFSM) 1986. Belize does not follow GFSM2001 convention due to limited capacity to implement it. Basis of recording: Authorities report debt service on accrual basis, but other expenditures on a cash basis. General government includes: Central Government; Monetary Public Corporations, incl. central bank; Valuation of public debt: Nominal value Instruments included in gross and net debt: Securities Other than Shares; Loans; Other Accounts Receivable/Payable Primary domestic currency: Belize dollar Data last updated: 03/2022</t>
  </si>
  <si>
    <t>Source: Ministry of Finance or Treasury Latest actual data: 2021 Fiscal assumptions: Authorities budget laws, real sector forecasts. Reporting in calendar year: Yes Start/end months of reporting year: January/December GFS Manual used: Government Finance Statistics Manual (GFSM) 1986 Basis of recording: Cash General government includes: Central Government; Other; Valuation of public debt: Nominal value Instruments included in gross and net debt: Securities Other than Shares; Loans Primary domestic currency: CFA franc Data last updated: 03/2022</t>
  </si>
  <si>
    <t>Source: Ministry of Finance or Treasury Latest actual data: FY2020/21 Fiscal assumptions: Royal Government of Bhutan's Medium Term Expenditure Framework as detailed in Five Year Plans (including foreign grants projections), technical data on projected hydropower generation and sales, and staff projections of other non-hydropower revenues. Reporting in calendar year: No. Fiscal year data are mapped to calendar year as follows: FY(t-1/t) = CY(t) Start/end months of reporting year: July/June GFS Manual used: Government Finance Statistics Manual (GFSM) 1986 Basis of recording: Cash General government includes: Central Government; Valuation of public debt: Face value Instruments included in gross and net debt: Loans Primary domestic currency: Bhutanese ngultrum Data last updated: 04/2022</t>
  </si>
  <si>
    <t>Source: Ministry of Finance or Treasury Latest actual data: 2020 Reporting in calendar year: Yes Start/end months of reporting year: January/December GFS Manual used: Government Finance Statistics Manual (GFSM) 2001 Basis of recording: Cash General government includes: Central Government; Local Government; Social Security Funds; Nonmonetary Financial Public Corporations; Nonfinancial Public Corporation; Valuation of public debt: Nominal value Primary domestic currency: Bolivian boliviano Data last updated: 03/2022</t>
  </si>
  <si>
    <t>--</t>
  </si>
  <si>
    <t>Source: Ministry of Finance or Treasury. Additional data received from the Indirect Tax Authority Latest actual data: 2020 Notes: Gross debt excludes other accounts payable. Net debt is calculated as gross debt minus currency and deposits only. Fiscal assumptions: Budget, latest fiscal developments and policy, ongoing fiscal structural reforms, and WEO. Reporting in calendar year: Yes Start/end months of reporting year: January/December GFS Manual used: Government Finance Statistics Manual (GFSM) 2014 Basis of recording: Accrual. Revenues are on cash basis and expenditures on accrual basis. General government includes: Central Government; State Government; Local Government; Social Security Funds; Other; Valuation of public debt: Face value Instruments included in gross and net debt: Securities Other than Shares; Loans Primary domestic currency: Bosnian convertible marka Data last updated: 03/2022</t>
  </si>
  <si>
    <t>Source: Ministry of Finance or Treasury Latest actual data: FY2020/21 Reporting in calendar year: No. FY(t/t+1) = CY(t) Start/end months of reporting year: April/March GFS Manual used: Government Finance Statistics Manual (GFSM) 1986 Basis of recording: Cash General government includes: Central Government; Valuation of public debt: Nominal value Primary domestic currency: Botswana pula Data last updated: 03/2022</t>
  </si>
  <si>
    <t>Source: Ministry of Finance or Treasury Latest actual data: 2020 Notes: General Government (GG) data refers to the non-financial public sector, which includes the federal, state and local governments as well as public enterprises (excluding Petrobras and Eletrobras), and is consolidated with the Sovereign Wealth Fund (SWF). Revenue and expenditures of federal public enterprises are added in full to the respective aggregates. Transfers or withdrawals from the SWF do not impact the primary balance. Disaggregated data on gross interest payments and interest receipts is available from 2003 onwards only. Prior to 2003, Total Revenue of the GG excludes interest receipts, while Total Expenditure of the GG includes net interest payments. In 2015, interest income is negative to account for Central Bank losses with swap operations. Fiscal assumptions: Fiscal projections for 2021 reflect the latest policy announcement. Reporting in calendar year: Yes Start/end months of reporting year: January/December GFS Manual used: Government Finance Statistics Manual (GFSM) 2001. Total Revenue includes disposal of non financial assets, and Net Acquisition of Nonfinancial Assets does not net out these proceeds. Basis of recording: Cash General government includes: Central Government; State Government; Local Government; Social Security Funds; Nonfinancial Public Corporation; Valuation of public debt: Nominal value Instruments included in gross and net debt: Currency and Deposits; Securities Other than Shares; Loans;. Gross public debt includes the treasury bills at the central bank's balance sheet, including those not used under repurchase agreements. Primary domestic currency: Brazilian real Data last updated: 03/2022</t>
  </si>
  <si>
    <t>Source: Ministry of Finance or Treasury Latest actual data: 2020 Fiscal assumptions: Projections based on budget, fiscal policies and price and production outlook of oil and gas Reporting in calendar year: Yes. Data are converted to CY for WEO reporting by averaging the 2 FY, CY 2020 = AVE(FY2019, FY2020) Start/end months of reporting year: January/December GFS Manual used: Government Finance Statistics Manual (GFSM) 1986 Basis of recording: Cash General government includes: Central Government;. Budgetary central govt. Valuation of public debt: Face value. No liabilities Instruments included in gross and net debt: No liabilities Primary domestic currency: Brunei dollar Data last updated: 03/2022</t>
  </si>
  <si>
    <t>Source: Ministry of Finance or Treasury Latest actual data: 2021 Notes: Gross debt is calculated using the national presentation, i.e. the Government Debt Act (GDA). Net debt: gross debt, adjusted for currency depositions, debt securities, and loans of general government. Fiscal assumptions: The expenditure projections are in line with the authorities' 2022 budget and medium-term fiscal framework. Reporting in calendar year: Yes Start/end months of reporting year: January/December GFS Manual used: Government Finance Statistics Manual (GFSM) 2001 Basis of recording: Cash General government includes: Central Government; Local Government; Social Security Funds; Valuation of public debt: Nominal value Instruments included in gross and net debt: Currency and Deposits; Securities Other than Shares; Loans Primary domestic currency: Bulgarian lev Data last updated: 03/2022</t>
  </si>
  <si>
    <t>Source: Ministry of Finance or Treasury Latest actual data: 2020 Fiscal assumptions: Discussion with the authorities, past trends and impact of on going structural reforms Reporting in calendar year: Yes Start/end months of reporting year: January/December GFS Manual used: Government Finance Statistics Manual (GFSM) 2001 Basis of recording: Commitment basis , with cash adjustment General government includes: Central Government; Valuation of public debt: Face value Instruments included in gross and net debt: Securities Other than Shares; Loans Primary domestic currency: CFA franc Data last updated: 04/2022</t>
  </si>
  <si>
    <t>Source: Ministry of Finance or Treasury Latest actual data: 2020 Reporting in calendar year: Yes Start/end months of reporting year: January/December. Reporting is on calendar year (January-December) GFS Manual used: Government Finance Statistics Manual (GFSM) 2001 Basis of recording: Mixed. Mix of cash and accrual basis General government includes: Central Government; Valuation of public debt: Nominal value Instruments included in gross and net debt: Currency and Deposits; Securities Other than Shares; Loans Primary domestic currency: Burundi franc Data last updated: 04/2022</t>
  </si>
  <si>
    <t>Source: Ministry of Finance or Treasury Latest actual data: 2020 Reporting in calendar year: Yes Start/end months of reporting year: January/December GFS Manual used: Government Finance Statistics Manual (GFSM) 2001 Basis of recording: Accrual General government includes: Central Government; Valuation of public debt: Nominal value Primary domestic currency: Cabo Verdean escudo Data last updated: 03/2022</t>
  </si>
  <si>
    <t>Source: Ministry of Finance or Treasury Latest actual data: 2019 Fiscal assumptions: Historical fiscal and monetary data are from the Cambodia authorities. Projections are based on staff's assumptions given discussions with the authorities. Reporting in calendar year: Yes Start/end months of reporting year: January/December GFS Manual used: Government Finance Statistics Manual (GFSM) 2001 Basis of recording: Mixed General government includes: Central Government; Local Government; Valuation of public debt: Face value Instruments included in gross and net debt: Loans Primary domestic currency: Cambodian riel Data last updated: 02/2022</t>
  </si>
  <si>
    <t>Source: Ministry of Finance or Treasury Latest actual data: 2020 Fiscal assumptions: Actual fiscal data and WEO projections Reporting in calendar year: Yes Start/end months of reporting year: January/December GFS Manual used: Government Finance Statistics Manual (GFSM) 2001 Basis of recording: Mixed General government includes: Central Government; Nonmonetary Financial Public Corporations; Nonfinancial Public Corporation; Valuation of public debt: Current market value Instruments included in gross and net debt: Currency and Deposits; Loans; Other Accounts Receivable/Payable Primary domestic currency: CFA franc Data last updated: 03/2022</t>
  </si>
  <si>
    <t>Source: Ministry of Finance or Treasury. Some historical data is also from National Statistics Office Latest actual data: 2021 Notes: Fiscal data are on a calendar year basis. Government financial assets (used for the calculation of net debt) include currency and deposits, accounts receivable, short-term and other bonds, investment fund shares, loans, and equity. Fiscal assumptions: Projections use the baseline forecasts from the 2022 Federal Budget and the latest provincial budgets. The IMF staff makes some adjustments to these forecasts, including for differences in macroeconomic projections. The IMF staff's forecast also incorporates the most recent data releases from Statistics Canada's National Economic Accounts, including quarterly federal, provincial, and territorial budgetary outturns. Reporting in calendar year: Yes Start/end months of reporting year: January/December GFS Manual used: Government Finance Statistics Manual (GFSM) 2001. Comment: Preliminary data: based on quarterly data. Basis of recording: Accrual General government includes: Central Government; State Government; Local Government; Social Security Funds; Other; Valuation of public debt: Face value Instruments included in gross and net debt: Securities Other than Shares; Loans; Other Accounts Receivable/Payable; Other;. Gross debt includes debt securities, loans, life insurance and pension, and other accounts payable but excludes unfunded pension liabilities. Net debt is estimated as gross debt minus financial assets which include currency and deposits, debt securities, loans, equity and investment fund shares, and accounts receivable. Primary domestic currency: Canadian dollar Data last updated: 04/2022</t>
  </si>
  <si>
    <t>Source: Ministry of Finance or Treasury Latest actual data: 2020 Fiscal assumptions: Cash Reporting in calendar year: Yes Start/end months of reporting year: January/December GFS Manual used: Government Finance Statistics Manual (GFSM) 2001 Basis of recording: Cash General government includes: Central Government; Valuation of public debt: Nominal value Instruments included in gross and net debt: Loans Primary domestic currency: CFA franc Data last updated: 03/2022</t>
  </si>
  <si>
    <t>2020e</t>
  </si>
  <si>
    <t>Source: Ministry of Finance or Treasury Latest actual data: 2020 Fiscal assumptions: Historical data series, annual budget, and additional data from the authorities Reporting in calendar year: Yes Start/end months of reporting year: January/December GFS Manual used: Government Finance Statistics Manual (GFSM) 1986 Basis of recording: Cash General government includes: Central Government; Nonfinancial Public Corporation; Valuation of public debt: Face value Primary domestic currency: CFA franc Data last updated: 04/2022</t>
  </si>
  <si>
    <t>Source: Ministry of Finance or Treasury Latest actual data: 2021 Notes: GGCB and GGSB are approximated by the Central Government Cyclical-Adjusted Balance and Structural Balance, respectively as more than 90% of the expenditures and revenues are from the Central Government. Fiscal assumptions: Projections are based on the authorities' budget projections, adjusted to reflect the IMF staff's projections for GDP, copper prices, depreciation, and inflation. Reporting in calendar year: Yes Start/end months of reporting year: January/December GFS Manual used: Government Finance Statistics Manual (GFSM) 2001 Basis of recording: Accrual. Some elements including tax revenues are recorded on a cash basis General government includes: Central Government; Local Government; Valuation of public debt: Face value Instruments included in gross and net debt: Currency and Deposits; Securities Other than Shares; Loans Primary domestic currency: Chilean peso Data last updated: 03/2022</t>
  </si>
  <si>
    <t>Source: Ministry of Finance or Treasury. Ministry of Finance (data retrieved from CEIC) and National Audit Office (NAO) (data obtained from NAO audit report) Latest actual data: 2020 Notes: Fiscal Balance: Data differ from official figures released by China's Ministry of Finance mainly because of a difference in treatment of net contributions to the other accounts (e.g. Budget Stabilization Fund), the inclusion of social security receipts and payments, and expenditures financed by special bond issuances. General Government Debt: Data differ from official figures released by China's Ministry of Finance because IMF numbers include, from 2010 onward, includes a portion of LGFV debt, which is categorized categorized as government explicit debt in line with NAO report (2013). Annually, we include 2/3 of estimated new LGFV debt in general government debt. Fiscal assumptions: After a significant fiscal tightening in 2021, the pace of fiscal tightening is projected to slow in 2022 based on Article IV consultation findings and public statements by the authorities. Reporting in calendar year: Yes Start/end months of reporting year: January/December GFS Manual used: Authorities do not publish in GFS Manual 2001. Data estimated by staff. Basis of recording: Cash General government includes: Central Government; Local Government; Social Security Funds;. Includes adjustments of stabilization fund, social security fund, and government-managed funds. Valuation of public debt: Face value Instruments included in gross and net debt: Securities Other than Shares; Loans; Other Accounts Receivable/Payable Primary domestic currency: Chinese yuan Data last updated: 03/2022</t>
  </si>
  <si>
    <t>Source: Ministry of Finance or Treasury Latest actual data: 2020 Notes: Headline balance includes Central Bank utilities distributed to the Central Government. Structural balance based on staff estimates; adjusts for the cyclical variation of GDP, oil prices and oil production levels. Fiscal assumptions: Financing Plan 2022 and Medium-Term Fiscal Framework 2021. Reporting in calendar year: Yes Start/end months of reporting year: January/December GFS Manual used: Government Finance Statistics Manual (GFSM) 2001. Transitioning toward 2014 manual Basis of recording: Revenue (cash); Expenditure (cash modified) General government includes: Central Government; State Government; Local Government; Social Security Funds; Other; Valuation of public debt: Face value Primary domestic currency: Colombian peso Data last updated: 03/2022</t>
  </si>
  <si>
    <t>Source: Ministry of Finance or Treasury Latest actual data: 2020 Reporting in calendar year: Yes Start/end months of reporting year: January/December GFS Manual used: Government Finance Statistics Manual (GFSM) 1986 Basis of recording: Cash for expenditures, accrual for revenues General government includes: Central Government; Valuation of public debt: Nominal value Instruments included in gross and net debt: Loans Primary domestic currency: Comorian franc Data last updated: 03/2022</t>
  </si>
  <si>
    <t>Democratic Republic of the Congo</t>
  </si>
  <si>
    <t>Source: Ministry of Finance or Treasury Latest actual data: 2020 Reporting in calendar year: Yes Start/end months of reporting year: January/December GFS Manual used: Government Finance Statistics Manual (GFSM) 2001 Basis of recording: Accrual General government includes: Central Government; Local Government; Valuation of public debt: Nominal value Instruments included in gross and net debt: Loans; Other Primary domestic currency: Congolese franc Data last updated: 03/2022</t>
  </si>
  <si>
    <t>Republic of Congo</t>
  </si>
  <si>
    <t>Source: Ministry of Finance or Treasury Latest actual data: 2020 Reporting in calendar year: Yes Start/end months of reporting year: January/December GFS Manual used: Government Finance Statistics Manual (GFSM) 2001 Basis of recording: Accrual General government includes: Central Government; Valuation of public debt: Nominal value Instruments included in gross and net debt: Currency and Deposits; Securities Other than Shares; Loans Primary domestic currency: CFA franc Data last updated: 03/2022</t>
  </si>
  <si>
    <t>Source: Ministry of Finance and Central Bank. Latest actual data: 2021 Fiscal assumptions: under the EFF-supported program scenario Reporting in calendar year: Yes Start/end months of reporting year: January/December GFS Manual used: Government Finance Statistics Manual (GFSM) 1986. Country has committed to mid-term goals for a transition to the GFSM 2014. Basis of recording: Cash General government includes: Central Government;. As of January 1, 2021, the central government definition for Costa Rica has been expanded to include 51 public entities as per Law 9524. Data reported in WEO are adjusted back to 2019 for comparability. Valuation of public debt: Nominal value Instruments included in gross and net debt: Currency and Deposits; Securities Other than Shares; Loans; Shares and Other Equity; Insurance Technical Reserves; Financial Derivatives; Other Accounts Receivable/Payable; Monetary Gold and SDRs; Other Primary domestic currency: Costa Rican colón Data last updated: 04/2022</t>
  </si>
  <si>
    <t>Source: Ministry of Finance or Treasury Latest actual data: 2020 Fiscal assumptions: Based on the adopted budget and staff estimates. Reporting in calendar year: Yes Start/end months of reporting year: January/December. The 2011 government finance data cover only the April/December period due to post-election crisis in 2011Q1, thus the fiscal GDP also covers the same 3 quarters. GFS Manual used: Government Finance Statistics Manual (GFSM) 1986 Basis of recording: Accrual General government includes: Central Government; Valuation of public debt: Nominal value Instruments included in gross and net debt: Securities Other than Shares; Loans;. Public (and publicly guaranteed) external debt covers the central government debt, which includes French claims under C2D debt-for-development swaps that were cancelled in the context of the HIPC Initiative debt relief. These C2D claims are excluded in the Debt Sustainability Analysis for Cote d'Ivoire. Data for net external debt (which would require knowing the stock of foreign exchange reserves belonging to the country) is not available. Primary domestic currency: CFA franc Data last updated: 03/2022</t>
  </si>
  <si>
    <t>Source: Ministry of Finance or Treasury Latest actual data: 2020 Notes: Gross debt follows the Maastricht definition of gross debt, and excludes other accounts payable. Net debt is calculated as gross debt minus deposits, loans and debt securities. Fiscal assumptions: Projections based on macro framework and authorities' medium-term fiscal guidelines. Reporting in calendar year: Yes Start/end months of reporting year: January/December GFS Manual used: Government Finance Statistics Manual (GFSM) 2014. Before ESA 2010 was introduced, Government Finance Statistics Manual (GFSM) 2001 Basis of recording: Accrual General government includes: Central Government; Local Government; Other; Valuation of public debt: Nominal value Instruments included in gross and net debt: Currency and Deposits; Securities Other than Shares; Loans Primary domestic currency: Croatian kuna Data last updated: 03/2022</t>
  </si>
  <si>
    <t>Source: EUROSTAT until 2014. CYSTAT thereafter. The fiscal balances in 2014 and 2015 exclude the Euro 1.5 billion and Euro 0.175 billion coop recapitalizations, respectively, to better capture the underlying fiscal position. For 2015 and thereafter, FISIM on ESM loans is included in intermediate consumption rather than in the interest payment. Latest actual data: 2020 Notes: Gross debt follows the Maastricht definition of gross debt, and excludes other accounts payable. Net debt is derived as Maastricht definition gross debt minus assets in the form of currency and deposits and loans and debt securities (from Government Finance Statistics data up to 2009 and from IFS from 2010. Fiscal assumptions: Projections are based on staff's assessment of authorities' budget plans and staff's macroeconomic assumptions. Reporting in calendar year: Yes Start/end months of reporting year: January/December GFS Manual used: European System of Accounts (ESA) 2010 Basis of recording: Accrual General government includes: Central Government; Local Government; Social Security Funds;. Extra-Budgetary Funds and entities referred as semi-public entities in the national classification are also covered as part of the Central Government fiscal information. Valuation of public debt: Face value Primary domestic currency: Euro Data last updated: 03/2022</t>
  </si>
  <si>
    <t>Source: Ministry of Finance or Treasury Latest actual data: 2020 Notes: Gross debt follows the Maastricht definition of gross debt, and excludes other accounts payable. Structural balances are net of temporary fluctuations in some revenues and one-offs. COVID-related one-offs are however included. Fiscal assumptions: The fiscal projections are based on the authorities' latest-available convergence program, budget and medium-term fiscal framework, as well as staff's macroeconomic framework.Structural balances are net of temporary fluctuations in some revenues and one-offs. COVID-related one-offs are however included. Reporting in calendar year: Yes Start/end months of reporting year: January/December GFS Manual used: Government Finance Statistics Manual (GFSM) 2014 Basis of recording: Accrual General government includes: Central Government; Local Government; Social Security Funds; Valuation of public debt: Nominal value Instruments included in gross and net debt: Currency and Deposits; Securities Other than Shares; Loans; Shares and Other Equity; Insurance Technical Reserves; Financial Derivatives Primary domestic currency: Czech koruna Data last updated: 03/2022</t>
  </si>
  <si>
    <t>Source: National Statistics Office. Denmark does not publish the policy rate (GGAAFPL_T). Latest actual data: 2020 Notes: Gross debt follows the Maastricht definition of gross debt, and excludes other accounts payable Fiscal assumptions: Estimates for the current year are aligned with the latest official budget numbers, adjusted where appropriate for the IMF staff's macroeconomic assumptions. Beyond the current year, the projections incorporate key features of the medium-term fiscal plan as embodied in the authorities' latest budget. Structural balances are net of temporary fluctuations in some revenues (for example, North Sea revenue, pension yield tax revenue) and one-offs (COVID-19-related one-offs are, however, included). Reporting in calendar year: Yes Start/end months of reporting year: January/December GFS Manual used: Government Finance Statistics Manual (GFSM) 2014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Subtracted items include Currency and Deposits, Securities Other than Shares, Loans and Other Financial Assets. Primary domestic currency: Danish krone Data last updated: 03/2022</t>
  </si>
  <si>
    <t>Source: Ministry of Finance or Treasury Latest actual data: 2020 Notes: GGE series was changed as of July 2011 = current expenditure (before = total expenditure) Fiscal assumptions: Desk projections in absence of projections from authorities. Reporting in calendar year: Yes Start/end months of reporting year: January/December GFS Manual used: Government Finance Statistics Manual (GFSM) 2001 Basis of recording: Accrual General government includes: Central Government; Valuation of public debt: Current market value Instruments included in gross and net debt: Loans Primary domestic currency: Djibouti franc Data last updated: 03/2022</t>
  </si>
  <si>
    <t>Source: Ministry of Finance or Treasury Latest actual data: FY2020/21 Reporting in calendar year: No. Fiscal year data are mapped to calendar year as follows: FY(t/t+1) = CY(t) Start/end months of reporting year: July/June GFS Manual used: Government Finance Statistics Manual (GFSM) 1986 Basis of recording: Cash General government includes: Central Government;. Debt corresponds to nonfinancial public sector (central government and SOEs) Valuation of public debt: Nominal value Instruments included in gross and net debt: Securities Other than Shares; Loans Primary domestic currency: Eastern Caribbean dollar Data last updated: 03/2022</t>
  </si>
  <si>
    <t>Source: Ministry of Finance or Treasury Latest actual data: 2020 Notes: For the Dominican Republic, the fiscal series have the following coverage: (i) public debt, debt service and the cyclically-adjusted/structural balances are for the Consolidated Public Sector (which includes central government, rest of the non-financial public sector, and the central bank); and (ii) the remaining fiscal series refer to the Central Government. Reporting in calendar year: Yes Start/end months of reporting year: January/December GFS Manual used: Government Finance Statistics Manual (GFSM) 2014. Data starting in 2014 follows GFSM 2014, but previous years have not been converted yet. Basis of recording: Accrual. Accrual General government includes: Central Government; Local Government; Social Security Funds; Nonmonetary Financial Public Corporations; Valuation of public debt: Face value Instruments included in gross and net debt: Currency and Deposits; Securities Other than Shares; Loans; Monetary Gold and SDRs Primary domestic currency: Dominican peso Data last updated: 03/2022</t>
  </si>
  <si>
    <t>Source: Source: Central Bank and Ministry of Finance Latest actual data: 2020 Notes: Fiscal sector projections are excluded from publication for 2022-27 because of ongoing program review discussions. The authorities are undertaking revisions of the historical fiscal data with technical support from the IMF. Fiscal assumptions: The fiscal series uses the classification based on 1986 methodology and the recording based on modified cash accounting. Reporting in calendar year: Yes Start/end months of reporting year: January/December GFS Manual used: Government Finance Statistics Manual (GFSM) 1986 Basis of recording: Mixed General government includes: Central Government; State Government; Local Government; Social Security Funds; Nonfinancial Public Corporation; Valuation of public debt: Nominal value. In late 2016, the authorities changed the definition of debt to a consolidated basis; both the historic (since 2001) and projection numbers are now presented on a consolidated basis. The IMF's definition of debt includes advanced oil sales, treasury certificates, central bank loans, and domestic arrears that are excluded from the official debt definition. The debt limit applies only to the official debt definition. Instruments included in gross and net debt: Securities Other than Shares; Loans; Other;. Other includes advanced oil sales, treasury certificates, central bank loans, and domestic arrears that are excluded from the official debt definition. Primary domestic currency: US dollar Data last updated: 04/2022</t>
  </si>
  <si>
    <t>Egypt</t>
  </si>
  <si>
    <t>Source: Ministry of Finance or Treasury Latest actual data: FY2020/21 Fiscal assumptions: Fiscal projections are mainly based on budget sector operations. Projections are based on the budget for 2021/22 and the Fund's macroeconomic outlook. Reporting in calendar year: No. Fiscal year data are mapped to calendar year as follows: FY(t-1/t) = CY(t) Start/end months of reporting year: July/June GFS Manual used: Government Finance Statistics Manual (GFSM) 2001 Basis of recording: Cash General government includes: Central Government; Local Government; Social Security Funds; Other;. Central Government, Local Government, Social Security Funds, Other. General government includes budget sector (central government, local governorates and public service authorities), social insurance fund and national investment bank Valuation of public debt: Nominal value Instruments included in gross and net debt: Currency and Deposits; Securities Other than Shares; Loans Primary domestic currency: Egyptian pound Data last updated: 03/2022</t>
  </si>
  <si>
    <t>Source: Ministry of Finance and Central Bank Latest actual data: 2020 Reporting in calendar year: Yes Start/end months of reporting year: January/December GFS Manual used: Government Finance Statistics Manual (GFSM) 1986 Basis of recording: Cash. Adjustments were made to cash data on the expenditure side (starting from 2012) to reflect identifiable delays in payments. General government includes: Central Government; Local Government; Social Security Funds; Nonfinancial Public Corporation; Valuation of public debt: Current market value Instruments included in gross and net debt: Securities Other than Shares; Loans Primary domestic currency: US dollar Data last updated: 03/2022</t>
  </si>
  <si>
    <t>Source: Ministry of Economy and/or Planning. Ministry of Finance, Economy and Planning Latest actual data: 2020 Fiscal assumptions: Actual fiscal data and WEO projections Reporting in calendar year: Yes Start/end months of reporting year: January/December GFS Manual used: Government Finance Statistics Manual (GFSM) 1986 Basis of recording: Cash. Commitment basis from 2013 General government includes: Central Government;. State/local government and other public institution are not covered due to limited information. Valuation of public debt: Nominal value Instruments included in gross and net debt: Currency and Deposits; Securities Other than Shares; Loans Primary domestic currency: CFA franc Data last updated: 03/2022</t>
  </si>
  <si>
    <t>Source: Ministry of Finance or Treasury Latest actual data: 2018 Reporting in calendar year: Yes Start/end months of reporting year: January/December GFS Manual used: Government Finance Statistics Manual (GFSM) 2001 Basis of recording: Cash General government includes: Central Government Primary domestic currency: Eritrean nakfa Data last updated: 03/2022</t>
  </si>
  <si>
    <t>Source: Ministry of Finance or Treasury Latest actual data: 2021 Notes: gross debt follows the Maastricht definition of gross debt, and excludes other accounts payable Fiscal assumptions: The forecast incorporates the authorities' approved supplementary budget for 2021, and the approved budget for 2022, adjusted for newly available information (e.g., measures to mitigate the impact of higher energy costs; and the impact of Russia-Ukraine conflict) for Staff's macroeconomic scenario. Reporting in calendar year: Yes Start/end months of reporting year: January/December GFS Manual used: Hybrid of 1986 and 2001 manuals used Basis of recording: Cash General government includes: Central Government; Local Government; Social Security Funds; Valuation of public debt: Nominal value. This is the format of data provided by the authorities. Primary domestic currency: Euro Data last updated: 03/2022</t>
  </si>
  <si>
    <t>Source: Ministry of Finance or Treasury Latest actual data: FY2019/20 Reporting in calendar year: No. Fiscal year data are mapped to calendar year as follows: FY(t/t+1) = CY(t) Start/end months of reporting year: April/March GFS Manual used: Government Finance Statistics Manual (GFSM) 2001 Basis of recording: Accrual General government includes: Central Government; Valuation of public debt: Nominal value Instruments included in gross and net debt: Securities Other than Shares; Loans; Other Primary domestic currency: Swazi lilangeni Data last updated: 03/2022</t>
  </si>
  <si>
    <t>Source: Ministry of Finance or Treasury Latest actual data: FY2020/21 Reporting in calendar year: No. Fiscal year data are mapped to calendar year as follows: FY(t-1/t) = CY(t). Start/end months of reporting year: July/June GFS Manual used: Government Finance Statistics Manual (GFSM) 1986 Basis of recording: Cash General government includes: Central Government; State Government; Local Government; Nonfinancial Public Corporation; Valuation of public debt: Nominal value Instruments included in gross and net debt: Loans; Shares and Other Equity; Insurance Technical Reserves; Other Accounts Receivable/Payable; Monetary Gold and SDRs Primary domestic currency: Ethiopian birr Data last updated: 03/2022</t>
  </si>
  <si>
    <t>Source: Ministry of Finance or Treasury Latest actual data: FY2020/21 Reporting in calendar year: No. Fiji has changed to August/July fiscal year starting 2016 and reporting 2014/2015 in the new fiscal year cycle. Fiscal year data are mapped to calendar year as follows: FY(t/t+1) = CY(t)_x001D_  Start/end months of reporting year: August/July GFS Manual used: Government Finance Statistics Manual (GFSM) 1986 Basis of recording: Cash General government includes: Central Government; Valuation of public debt: Face value Primary domestic currency: Fijian dollar Data last updated: 04/2022</t>
  </si>
  <si>
    <t>Source: Ministry of Finance or Treasury Latest actual data: 2020 Fiscal assumptions: Based on announced policies by the authorities, adjusted for the Staff macroeconomic scenario. Reporting in calendar year: Yes Start/end months of reporting year: January/December GFS Manual used: Government Finance Statistics Manual (GFSM) 2014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Data reported are based on the Maastricht definition. It covers all general governments in the sense of the national accounts: the State, other government bodies (ODAC), local governments and social security administrations. It does not include all financial liabilities but only cash and deposits, securities other than shares as well as loans; excluded are derivative products and other accounts payable. Primary domestic currency: Euro Data last updated: 03/2022</t>
  </si>
  <si>
    <t>Source: National Statistics Office Latest actual data: 2021 Fiscal assumptions: Projections for 2022 onward are based on the measures of the 2018-22 budget laws adjusted for differences in revenue projections and assumptions on macroeconomic and financial variables. Reporting in calendar year: Yes Start/end months of reporting year: January/December GFS Manual used: Government Finance Statistics Manual (GFSM) 2014 Basis of recording: Accrual General government includes: Central Government; Local Government; Social Security Funds; Other; Valuation of public debt: Face value Instruments included in gross and net debt: Currency and Deposits; Securities Other than Shares; Loans Primary domestic currency: Euro Data last updated: 03/2022</t>
  </si>
  <si>
    <t>Source: IMF Staff Estimates Latest actual data: 2020 Reporting in calendar year: Yes Start/end months of reporting year: January/December GFS Manual used: Government Finance Statistics Manual (GFSM) 2001 Basis of recording: Accrual General government includes: Central Government; Valuation of public debt: Nominal value Instruments included in gross and net debt: Loans Primary domestic currency: CFA franc Data last updated: 03/2022</t>
  </si>
  <si>
    <t>Source: Ministry of Finance or Treasury Latest actual data: 2020 Fiscal assumptions: Projections are based on known projects and commitments (taking into account the implementation capacity of the authorities) , macroeconomic projections, and anticipated policy changes. Reporting in calendar year: Yes Start/end months of reporting year: January/December GFS Manual used: Government Finance Statistics Manual (GFSM) 1986 Basis of recording: Cash General government includes: Central Government; Valuation of public debt: Nominal value Instruments included in gross and net debt: Securities Other than Shares; Loans Primary domestic currency: Gambian dalasi Data last updated: 03/2022</t>
  </si>
  <si>
    <t>Source: Ministry of Finance or Treasury Latest actual data: 2021 Fiscal assumptions: Authorities' intentions  during 2021 Article IV Discussion. Reporting in calendar year: Yes Start/end months of reporting year: January/December GFS Manual used: Government Finance Statistics Manual (GFSM) 2001 Basis of recording: Cash General government includes: Central Government; Local Government; Valuation of public debt: Nominal value Instruments included in gross and net debt: Securities Other than Shares; Loans Primary domestic currency: Georgian lari Data last updated: 04/2022</t>
  </si>
  <si>
    <t>Source: National Statistics Office. Data of general government gross debt comes from EUROSTAT Latest actual data: 2021 Fiscal assumptions: The IMF staff's projections for 2022 and beyond are based on the provisional 2022 budget, the federal government's medium-term budget plan, and data updates from the national statistical agency (Destatis) and the ministry of finance, adjusted for differences in the IMF staff's macroeconomic framework and assumptions concerning revenue elasticities. The estimate of gross debt includes portfolios of impaired assets and noncore business transferred to institutions that are winding up as well as other financial sector and EU support operations. Reporting in calendar year: Yes Start/end months of reporting year: January/December GFS Manual used: European System of Accounts (ESA) 2010 Basis of recording: Accrual General government includes: Central Government; State Government; Local Government; Social Security Funds;. other refers to special funds Valuation of public debt: Face value Instruments included in gross and net debt: Currency and Deposits; Securities Other than Shares; Loans Primary domestic currency: Euro Data last updated: 04/2022</t>
  </si>
  <si>
    <t>Source: Ministry of Finance or Treasury Latest actual data: 2018 Reporting in calendar year: Yes Start/end months of reporting year: January/December GFS Manual used: Government Finance Statistics Manual (GFSM) 2001 Basis of recording: Cash General government includes: Central Government; Valuation of public debt: Face value Instruments included in gross and net debt: Securities Other than Shares; Loans Primary domestic currency: Ghanaian cedi Data last updated: 03/2022</t>
  </si>
  <si>
    <t>Source: National Statistics Office Latest actual data: 2021 Fiscal assumptions: Data since 2010 reflect adjustments in line with the primary balance definition under the enhanced surveillance framework for Greece. Reporting in calendar year: Yes Start/end months of reporting year: January/December GFS Manual used: European System of Accounts (ESA) 2010 Basis of recording: Accrual. Data in line with ESA-2010. General government includes: Central Government; Local Government; Social Security Funds; Valuation of public debt: Nominal value. General debt data, including historical data, are provisional and subject to revisions. Public debt includes the stock of deferred interest payments on EFSF loans Instruments included in gross and net debt: Currency and Deposits; Securities Other than Shares; Loans Primary domestic currency: Euro Data last updated: 04/2022</t>
  </si>
  <si>
    <t>Source: Ministry of Finance or Treasury Latest actual data: 2020 Reporting in calendar year: Yes Start/end months of reporting year: January/December GFS Manual used: Government Finance Statistics Manual (GFSM) 2014 Basis of recording: Commitments Basis General government includes: Central Government;. Debt corresponds to central government + guaranteed Valuation of public debt: Nominal value Instruments included in gross and net debt: Securities Other than Shares; Loans Primary domestic currency: Eastern Caribbean dollar Data last updated: 03/2022</t>
  </si>
  <si>
    <t>Source: Ministry of Finance or Treasury. The Ministry has been making progress in publishing consolidated data of Guatemala's public sector. Latest actual data: 2021 Reporting in calendar year: Yes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Securities Other than Shares; Loans; Other Accounts Receivable/Payable Primary domestic currency: Guatemalan quetzal Data last updated: 03/2022</t>
  </si>
  <si>
    <t>Source: Ministry of Finance or Treasury Latest actual data: 2021 Reporting in calendar year: Yes Start/end months of reporting year: January/December GFS Manual used: Government Finance Statistics Manual (GFSM) 1986. In the process of migration to GFSM 2014 Basis of recording: Cash General government includes: Central Government; Valuation of public debt: Nominal value Primary domestic currency: Guinean franc Data last updated: 03/2022</t>
  </si>
  <si>
    <t>Source: Ministry of Finance or Treasury Latest actual data: 2020 Reporting in calendar year: Yes Start/end months of reporting year: January/December GFS Manual used: Government Finance Statistics Manual (GFSM) 2001 Basis of recording: Accrual. Guinea-Bissau fiscal is anchored on an accrual basis. Only overall balance is presented on both cash and accrual basis. General government includes: Central Government;. General government is only composed of central government. Valuation of public debt: Nominal value Primary domestic currency: CFA franc Data last updated: 03/2022</t>
  </si>
  <si>
    <t>Source: Ministry of Finance or Treasury Latest actual data: 2021 Fiscal assumptions: Consistent with other sectors. Reporting in calendar year: Yes Start/end months of reporting year: January/December GFS Manual used: Government Finance Statistics Manual (GFSM) 1986 Basis of recording: Cash General government includes: Central Government; Social Security Funds; Nonfinancial Public Corporation; Valuation of public debt: Nominal value Instruments included in gross and net debt: Currency and Deposits;. Net debt is equal to gross debt minus CG deposits in the banking system. In 2016, CG was borrowing from the CB, therefore, CG had no deposit and the net debt is equal to gross debt. Primary domestic currency: Guyanese dollar Data last updated: 03/2022</t>
  </si>
  <si>
    <t>Source: Ministry of Finance or Treasury Latest actual data: FY2020/21 Notes: General Government only includes Central Government due to data availability Reporting in calendar year: No. Fiscal year data are mapped to calendar year as follows: FY(t-1/t) = CY(t) Start/end months of reporting year: October/September GFS Manual used: Government Finance Statistics Manual (GFSM) 1986 Basis of recording: Cash General government includes: Central Government; Valuation of public debt: Nominal value Primary domestic currency: Haitian gourde Data last updated: 04/2022</t>
  </si>
  <si>
    <t>Source: Ministry of Finance or Treasury Latest actual data: 2021 Reporting in calendar year: Yes Start/end months of reporting year: January/December GFS Manual used: Government Finance Statistics Manual (GFSM) 2014. Starting with the year 2008, data are provided by authorities in GFS2014. The prior data are based on GFS1986 Basis of recording: Mixed. Spending is recorded in accrual basis while revenues is recorded in cash basis General government includes: Central Government; Local Government; Social Security Funds; Other; Valuation of public debt: Nominal value Instruments included in gross and net debt: Securities Other than Shares; Loans; Other Accounts Receivable/Payable; Other;. staff does not report net debt Primary domestic currency: Honduran lempira Data last updated: 04/2022</t>
  </si>
  <si>
    <t>Hong Kong SAR</t>
  </si>
  <si>
    <t>Source: Ministry of Finance or Treasury. Data retrieved from CEIC Latest actual data: FY2020/21 Fiscal assumptions: Projections are based on the authorities' medium-term fiscal projections of expenditures. Reporting in calendar year: No Start/end months of reporting year: April/March GFS Manual used: Government Finance Statistics Manual (GFSM) 2001 Basis of recording: Cash General government includes: Central Government; Valuation of public debt: Face value Instruments included in gross and net debt: Securities Other than Shares;. The definition of general government gross debt is revised to include debt liabilities identified in Hong Kong SAR's consolidated financial statement. It excludes the debt issued under the "bond fund" or provision for pension. As a result, the debt level is significantly lower. Primary domestic currency: Hong Kong dollar Data last updated: 03/2022</t>
  </si>
  <si>
    <t>Source: Ministry of Economy and/or Planning. Ministry of National Economy; Eurostat Latest actual data: 2020 Fiscal assumptions: Fiscal projections include the IMF staff's projections of the macroeconomic framework and fiscal policy plans announced in the 2020 budget. Reporting in calendar year: Yes Start/end months of reporting year: January/December GFS Manual used: European System of Accounts (ESA) 2010 Basis of recording: Accrual General government includes: Central Government; Local Government; Social Security Funds; Nonmonetary Financial Public Corporations;. State Government does not apply to Hungary Valuation of public debt: Face value Instruments included in gross and net debt: Currency and Deposits; Securities Other than Shares; Loans Primary domestic currency: Hungarian forint Data last updated: 03/2022</t>
  </si>
  <si>
    <t>Source: National Statistics Office Latest actual data: 2020 Reporting in calendar year: Yes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Securities Other than Shares; Loans;. Gross debt follows the Maastricht definition of gross debt, and excludes other accounts payable. Net debt is calculated as gross debt minus assets in the form of currency and deposits. Primary domestic currency: Icelandic króna Data last updated: 04/2022</t>
  </si>
  <si>
    <t>Source: Ministry of Finance or Treasury. and IMF staff calculations Latest actual data: FY2019/20 Fiscal assumptions: Projections are based on available information on the authorities' fiscal plans, with adjustments for the IMF staff's assumptions. Subnational data are incorporated with a lag of up to one year; general government data are thus finalized well after central government data. IMF and Indian presentations differ, particularly regarding disinvestment and license-auction proceeds, net versus gross recording of revenues in certain minor categories, and some public sector lending. Starting in FY2020/21 expenditure also includes the off-budget component of food subsidies consistent with the revised treatment of food subsidies in the budget. Staff adjust expenditure to take out payments for previous years' food subsidies, which are included as expenditure in budget estimates for FY2020/21. Reporting in calendar year: No. Fiscal data are mapped to calendar year as follows: FY(t/t+1) = CY(t). Start/end months of reporting year: April/March. The original data from the authority is on FY (Apr/Mar) basis. GFS Manual used: Government Finance Statistics Manual (GFSM) 2001. Authority reported in GFSM 1986, staffs converted to GFSM 2001 Basis of recording: Cash General government includes: Central Government; State Government;. This is according to the authorities' account standards. Valuation of public debt: Nominal value. Authorities debt figures often Instruments included in gross and net debt: Securities Other than Shares; Loans; Other Primary domestic currency: Indian rupee Data last updated: 03/2022</t>
  </si>
  <si>
    <t>Source: Ministry of Finance or Treasury Latest actual data: 2021 Fiscal assumptions: The IMF staff's projections are based on moderate tax policy and administration reforms, some expenditure realization, and a gradual increase in capital spending over the medium term in line with fiscal space. Reporting in calendar year: Yes Start/end months of reporting year: January/December. From 2000 onward GFS Manual used: Government Finance Statistics Manual (GFSM) 2001 Basis of recording: Cash. The budget in Indonesia is reported on cash basis. There is an ongoing project to change to accrual basis in their reporting in the coming years. General government includes: Central Government; Local Government;. The general government composition consists of Central Government and Subnational levels, including Provinces and municipalities. Social Security Funds will be included in the general government reporting in the future. Valuation of public debt: Face value Instruments included in gross and net debt: Securities Other than Shares; Loans Primary domestic currency: Indonesian rupiah Data last updated: 03/2022</t>
  </si>
  <si>
    <t>Islamic Republic of Iran</t>
  </si>
  <si>
    <t>Source: Ministry of Finance or Treasury. Policy Lending series does not exist Latest actual data: FY2018/19 Notes: Excludes Targeted Subsidy Organization and National Development Fund Accounts Reporting in calendar year: No. Iranian year starts in March 21 and ends in March 20. Fiscal year data are mapped to calendar year as follows: FY(t/t+1) = CY(t) Start/end months of reporting year: April/March. Iranian year starts in March 21 and ends in March 20 GFS Manual used: Government Finance Statistics Manual (GFSM) 2001 Basis of recording: Cash. Accrual accounting method is not used General government includes: Central Government;. General Government data set equal to Central Government since General Government data are not reported. Valuation of public debt: Nominal value Instruments included in gross and net debt: types of instruments are unavailable. Primary domestic currency: Iranian rial Data last updated: 04/2022</t>
  </si>
  <si>
    <t>Source: Ministry of Finance or Treasury Latest actual data: 2020 Reporting in calendar year: Yes Start/end months of reporting year: January/December GFS Manual used: Government Finance Statistics Manual (GFSM) 2001 Basis of recording: Cash General government includes: Central Government; Valuation of public debt: Current market value Instruments included in gross and net debt: Securities Other than Shares; Loans; Other Accounts Receivable/Payable; Other Primary domestic currency: Iraqi dinar  Data last updated: 03/2022</t>
  </si>
  <si>
    <t>Source: Ministry of Finance or Treasury. Eurostat Latest actual data: 2020 Fiscal assumptions: Fiscal projections are based on the country's Budget 2022. Reporting in calendar year: Yes Start/end months of reporting year: January/December GFS Manual used: Government Finance Statistics Manual (GFSM) 2001 Basis of recording: Accrual General government includes: Central Government; Local Government; Social Security Funds; Other; Valuation of public debt: Nominal value Instruments included in gross and net debt: Currency and Deposits; Securities Other than Shares; Loans;. Gross debt follows the Maastricht definition of gross debt, and excludes other accounts payable. Net debt is defined as gross debt less currency and deposits, debt securities, and loans. Primary domestic currency: Euro Data last updated: 03/2022</t>
  </si>
  <si>
    <t>Source: Ministry of Finance and National Statistics Office Latest actual data: 2020 Fiscal assumptions: Projections differ from the authorities medium-term budget targets, assuming more modest spending cuts. Reporting in calendar year: Yes Start/end months of reporting year: January/December GFS Manual used: Government Finance Statistics Manual (GFSM) 2014 Basis of recording: Quasi-accrual basis. General government includes: Central Government; Local Government; Social Security Funds; Valuation of public debt: Nominal value Instruments included in gross and net debt: Currency and Deposits; Securities Other than Shares; Loans;. Net debt subtracts liquidity financial assets from gross debt Primary domestic currency: Israeli new shekel Data last updated: 03/2022</t>
  </si>
  <si>
    <t>Source: National Statistics Office Latest actual data: 2020 Fiscal assumptions: The IMF staff's estimates and projections are informed by the fiscal plans included in the government's 2021 budget and amendments. The stock of maturing postal bonds is included in the debt projections. Reporting in calendar year: Yes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Primary domestic currency: Euro Data last updated: 04/2022</t>
  </si>
  <si>
    <t>Source: Ministry of Finance or Treasury Latest actual data: FY2020/21 Notes: All fiscal and debt series data in WEO are on fiscal year basis. Fiscal assumptions: Based on policies outline under the RFI Reporting in calendar year: No. Fiscal year data are mapped to calendar year as follows: FY(t/t+1)= CY(t). Start/end months of reporting year: April/March GFS Manual used: Government Finance Statistics Manual (GFSM) 1986. Public Bodies also report in 1986 format. Basis of recording: Cash General government includes: Central Government;. The fiscal coverage is central government only Valuation of public debt: Nominal value. The debt coverage is central government and public bodies Instruments included in gross and net debt: Currency and Deposits; Securities Other than Shares; Loans; Shares and Other Equity; Other Accounts Receivable/Payable; Monetary Gold and SDRs Primary domestic currency: Jamaican dollar Data last updated: 03/2022</t>
  </si>
  <si>
    <t>Source: Cabinet Office of Japan via Haver database. Latest actual data: 2020 Fiscal assumptions: The projections reflect fiscal measures already announced by the government, with adjustments for the IMF staff's assumptions. Reporting in calendar year: Yes Start/end months of reporting year: January/December GFS Manual used: Government Finance Statistics Manual (GFSM) 2014 Basis of recording: Accrual General government includes: Central Government; Local Government; Social Security Funds;. Government in Japan consists of 3 layers: central, prefectural, and municipal. The latter two government levels are covered under local government. There is no government at the state level in Japan. Valuation of public debt: Current market value. Gross public debt is on unconsolidated basis. Instruments included in gross and net debt: Currency and Deposits; Securities Other than Shares; Loans; Insurance Technical Reserves; Other Accounts Receivable/Payable; Monetary Gold and SDRs; Other Primary domestic currency: Japanese yen Data last updated: 03/2022</t>
  </si>
  <si>
    <t>Source: Ministry of Finance or Treasury Latest actual data: 2020 Reporting in calendar year: Yes Start/end months of reporting year: January/December GFS Manual used: Government Finance Statistics Manual (GFSM) 2001 Basis of recording: Cash General government includes: Central Government; Nonfinancial Public Corporation;. Public sector coverage corresponds to the central government and, starting in 2007, it also includes the fiscal performance of two key SOEs: NEPCO (National Electric Power Company) and WAJ (Water Authority of Jordan). Due to data limitations, the net overall deficit of both public entities is included under other transfers. Public debt is on consolidated basis (consolidating the expanded central government with the social security corporation). Valuation of public debt: Face value Instruments included in gross and net debt: Currency and Deposits; Securities Other than Shares; Loans Primary domestic currency: Jordanian dinar Data last updated: 03/2022</t>
  </si>
  <si>
    <t>Source: National Statistics Office Latest actual data: 2021 Fiscal assumptions: Budget Law and staff projections Reporting in calendar year: Yes Start/end months of reporting year: January/December GFS Manual used: Government Finance Statistics Manual (GFSM) 2001 Basis of recording: Cash General government includes: Central Government; Local Government; Valuation of public debt: Nominal value Instruments included in gross and net debt: Currency and Deposits; Securities Other than Shares; Loans Primary domestic currency: Kazakhstani tenge Data last updated: 03/2022</t>
  </si>
  <si>
    <t>Source: Ministry of Finance or Treasury Latest actual data: 2020 Reporting in calendar year: Yes Start/end months of reporting year: January/December. Reporting year is calendar year, done by taking the average of fiscal years. For example, 2000 is the average of 1999/2000 and 2000/2001. GFS Manual used: Government Finance Statistics Manual (GFSM) 2001 Basis of recording: Cash General government includes: Central Government; Valuation of public debt: Current market value Instruments included in gross and net debt: Loans; Shares and Other Equity Primary domestic currency: Kenyan shilling Data last updated: 03/2022</t>
  </si>
  <si>
    <t>Source: Ministry of Finance or Treasury Latest actual data: 2020 Reporting in calendar year: Yes Start/end months of reporting year: January/December GFS Manual used: Government Finance Statistics Manual (GFSM) 1986. GFS manual adjusted for data shortcomings Basis of recording: Cash General government includes: Central Government; Valuation of public debt: Nominal value Primary domestic currency: Australian dollar Data last updated: 03/2022</t>
  </si>
  <si>
    <t>Korea</t>
  </si>
  <si>
    <t>Source: Ministry of Finance or Treasury Latest actual data: 2019 Notes: The series on general government debt does not include non-market non-profit institutions. Fiscal assumptions: The forecast incorporates the overall fiscal balance in the 2022 annual budget and supplementary budget, the medium-term fiscal plan announced with the 2022 budget, and IMF staff's adjustments. Reporting in calendar year: Yes Start/end months of reporting year: January/December GFS Manual used: Government Finance Statistics Manual (GFSM) 2001 Basis of recording: Cash General government includes: Central Government; Social Security Funds;. For government gross/net debt only, general government includes central government and local governments. The series on general government debt does not include non-market non-profit institutions. Valuation of public debt: Nominal value Instruments included in gross and net debt: Currency and Deposits; Securities Other than Shares; Loans Primary domestic currency: South Korean won Data last updated: 03/2022</t>
  </si>
  <si>
    <t>UVK</t>
  </si>
  <si>
    <t>Source: Ministry of Finance or Treasury Latest actual data: 2021 Notes: Includes IFI and privatization-proceed financed capital projects, which are not part of the "fiscal rule" definition. Fiscal assumptions: Authorities Budget and medium-term expenditure framework as well as staff expectations. Reporting in calendar year: Yes Start/end months of reporting year: January/December GFS Manual used: Other Basis of recording: Cash General government includes: Central Government; Local Government; Other; Valuation of public debt: Face value Primary domestic currency: Euro Data last updated: 03/2022</t>
  </si>
  <si>
    <t>Source: Ministry of Finance or Treasury Latest actual data: 2020 Fiscal assumptions: Staff projections Reporting in calendar year: Yes. FY data is from April to March. Hence the data for CY is calculated as 75 percent current FY data  + 25 percent next FY data. Start/end months of reporting year: January/December. Source data comes in fiscal year (March/April) basis. Calendar year data calculated by IMF staff using a weighted average of the fiscal data. GFS Manual used: Government Finance Statistics Manual (GFSM) 2014 Basis of recording: Mixed. Some transactions recorded on accrual basis. General government includes: Central Government; Social Security Funds; Valuation of public debt: Nominal value Instruments included in gross and net debt: Loans Primary domestic currency: Kuwaiti dinar Data last updated: 03/2022</t>
  </si>
  <si>
    <t>Source: Ministry of Finance or Treasury Latest actual data: 2021 Fiscal assumptions: Historical plus domestic and global assumptions Reporting in calendar year: Yes Start/end months of reporting year: January/December GFS Manual used: Not reported according to GFS Basis of recording: Cash General government includes: Central Government; Local Government; Social Security Funds;. Net lending/borrowing Includes loans on-lent to state-owned enterprises in the energy sector as part of the government's public investment program - but the repayment of which is uncertain. Valuation of public debt: Face value Instruments included in gross and net debt: Currency and Deposits; Securities Other than Shares; Loans; Shares and Other Equity; Insurance Technical Reserves; Other Accounts Receivable/Payable; Monetary Gold and SDRs Primary domestic currency: Kyrgyz som Data last updated: 03/2022</t>
  </si>
  <si>
    <t>Lao P.D.R.</t>
  </si>
  <si>
    <t>Source: Ministry of Finance or Treasury Latest actual data: 2020 Reporting in calendar year: Yes Start/end months of reporting year: January/December GFS Manual used: Government Finance Statistics Manual (GFSM) 2001 Basis of recording: Cash General government includes: Central Government; Valuation of public debt: Nominal value Primary domestic currency: Lao kip Data last updated: 02/2022</t>
  </si>
  <si>
    <t>Source: Ministry of Finance or Treasury Latest actual data: 2020 Notes: Public debt covers debt of the general government excluding debt of the commercial companies and institutional units, reclassified by the Central Statistical Bureau (CSB) in the general government (central and local government) sector. It does not include liabilities in the form of other accounts payable. Fiscal assumptions: Cash Basis Reporting in calendar year: Yes Start/end months of reporting year: January/December GFS Manual used: European System of Accounts (ESA) 2010 Basis of recording: Cash General government includes: Central Government; Local Government; Social Security Funds; Valuation of public debt: Nominal value Instruments included in gross and net debt: Currency and Deposits; Securities Other than Shares; Loans Primary domestic currency: Euro Data last updated: 04/2022</t>
  </si>
  <si>
    <t>Source: Ministry of Finance or Treasury Latest actual data: 2020 Fiscal assumptions: Revenue projections are made based on the macroeconomic assumptions and revenue buoyancy of various taxes (as measures by elasticity measures and staff's understanding of the authorities' tax policy measures). On the spending side, staff assumptions on policy measures and the impact of the crisis. Reporting in calendar year: Yes Start/end months of reporting year: January/December GFS Manual used: Government Finance Statistics Manual (GFSM) 2001. GFSM 2001 has been adopted but should be refined. Budgetary expenditure data are reported on a modified cash basis, corresponding to the issuance of payment orders. Basis of recording: Cash. Modified cash basis (only corrects for arrears) General government includes: Central Government; Valuation of public debt: Nominal value Instruments included in gross and net debt: Currency and Deposits;. Information on the size of public assets is not available in case of Lebanon. Net debt is calculated as gross debt minus value of government's accounts at the central bank. Primary domestic currency: Lebanese pound Data last updated: 03/2022</t>
  </si>
  <si>
    <t>Source: Ministry of Finance or Treasury Latest actual data: FY2020/21 Fiscal assumptions: Revenues: SACU transfers and grants are taken from the authorities' March 2022 Budget Document; tax and nontax revenues assume growth is in line with nominal GDP. Expenditures: current spending is based on the authorities' March 2022 Budget Document except interest expenses, which are from DSA. Capital spending: project loans are from DSA, and project grants are linked to capital grants under revenues. Reporting in calendar year: No Start/end months of reporting year: April/March GFS Manual used: Government Finance Statistics Manual (GFSM) 2001 Basis of recording: Cash General government includes: Central Government; Local Government; Valuation of public debt: Current market value Instruments included in gross and net debt: Securities Other than Shares; Loans Primary domestic currency: Lesotho loti Data last updated: 03/2022</t>
  </si>
  <si>
    <t>Source: Ministry of Finance or Treasury. GGRSS, GGROPI, GGESS, GGAAN_T, GGAAFPL_T, GGCB and GGSB are not available, because the authorities do not generate those data. Latest actual data: 2020 Notes: Grants include most of off-budget grant disbursements. The fiscal data are observed from 2014, and the historical series are spliced. Debt relief was granted in 2009, which explained the high number for that year in general government net lending/borrowing. Reporting in calendar year: Yes Start/end months of reporting year: January/December GFS Manual used: Government Finance Statistics Manual (GFSM) 2001 Basis of recording: Accrual General government includes: Central Government; Valuation of public debt: Face value Instruments included in gross and net debt: Currency and Deposits; Loans; Other Accounts Receivable/Payable Primary domestic currency: US dollar Data last updated: 03/2022</t>
  </si>
  <si>
    <t>Source: Central Bank. Last updated in December 2021 Latest actual data: 2021 Fiscal assumptions: Staff judgement based on 2021 fiscal accounts Reporting in calendar year: Yes Start/end months of reporting year: January/December GFS Manual used: Government Finance Statistics Manual (GFSM) 1986 Basis of recording: Cash General government includes: Central Government; State Government; Local Government; Valuation of public debt: Face value Primary domestic currency: Libyan dinar Data last updated: 03/2022</t>
  </si>
  <si>
    <t>Source: Ministry of Finance or Treasury Latest actual data: 2020 Notes: gross debt follows the Maastricht definition of gross debt, and excludes other accounts payable Fiscal assumptions: Fiscal projections are passive on the basis on announced policy measures. Reporting in calendar year: Yes Start/end months of reporting year: January/December GFS Manual used: Government Finance Statistics Manual (GFSM) 2014 Basis of recording: Accrual General government includes: Central Government; Local Government; Social Security Funds; Valuation of public debt: Nominal value. This is the format of data presented by the authorities. Primary domestic currency: Euro Data last updated: 03/2022</t>
  </si>
  <si>
    <t>Source: Ministry of Finance or Treasury Latest actual data: 2020 Notes: Gross debt follows the Maastricht definition of gross debt, and excludes other accounts payable Fiscal assumptions: Projections are based on the 2022 budget and the authorities' multiyear forecast as well as staff's judgement. Reporting in calendar year: Yes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Primary domestic currency: Euro Data last updated: 03/2022</t>
  </si>
  <si>
    <t>Macao SAR</t>
  </si>
  <si>
    <t>Source: Ministry of Finance or Treasury Latest actual data: 2020 Reporting in calendar year: Yes Start/end months of reporting year: January/December GFS Manual used: Government Finance Statistics Manual (GFSM) 2014 Basis of recording: Cash General government includes: Central Government; Social Security Funds; Valuation of public debt: Face value Primary domestic currency: Macanese pataca Data last updated: 04/2022</t>
  </si>
  <si>
    <t>Source: Ministry of Finance or Treasury Latest actual data: 2020 Reporting in calendar year: Yes Start/end months of reporting year: January/December GFS Manual used: Government Finance Statistics Manual (GFSM) 1986 Basis of recording: Commitments Basis General government includes: Central Government;. Data is for central government Valuation of public debt: Nominal value Instruments included in gross and net debt: Securities Other than Shares; Shares and Other Equity; Other Accounts Receivable/Payable; Monetary Gold and SDRs; Other Primary domestic currency: Malagasy ariary Data last updated: 03/2022</t>
  </si>
  <si>
    <t>Source: Ministry of Finance or Treasury Latest actual data: 2021 Reporting in calendar year: Yes Start/end months of reporting year: January/December GFS Manual used: Government Finance Statistics Manual (GFSM) 2014 Basis of recording: Cash General government includes: Central Government; Valuation of public debt: Current market value Instruments included in gross and net debt: Securities Other than Shares; Loans Primary domestic currency: Malawian kwacha Data last updated: 04/2022</t>
  </si>
  <si>
    <t>Source: Ministry of Finance or Treasury Latest actual data: 2020 Fiscal assumptions: Fiscal projections are based on budget numbers, discussion with the authorities, and IMF staff estimates Reporting in calendar year: Yes Start/end months of reporting year: January/December GFS Manual used: Government Finance Statistics Manual (GFSM) 2001 Basis of recording: Cash General government includes: Central Government; State Government; Local Government;. General government also includes 79 statutory bodies with individual budgets. Valuation of public debt: Nominal value Instruments included in gross and net debt: Securities Other than Shares; Loans Primary domestic currency: Malaysian ringgit Data last updated: 03/2022</t>
  </si>
  <si>
    <t>Source: Ministry of Finance or Treasury Latest actual data: 2020 Reporting in calendar year: Yes Start/end months of reporting year: January/December GFS Manual used: Government Finance Statistics Manual (GFSM) 1986 Basis of recording: Cash General government includes: Central Government; Valuation of public debt: Nominal value. During the mission in Oct/Nov 2010, we found that the public guaranteed SOE debt for 2009 was only 20 percent of the figure previously reported. As a result, public debt to GDP ratio has declined significantly for 2009. Primary domestic currency: Maldivian rufiyaa Data last updated: 04/2022</t>
  </si>
  <si>
    <t>Source: Ministry of Finance or Treasury Latest actual data: 2019 Fiscal assumptions: Approved budget and agreed program budget for current year; authorities' medium-term fiscal framework plus staff estimates for outer years and the estimated impact of the sanctions imposed on Mali in January 2022 under the assumption that the sanctions will last for 4-5 months. Reporting in calendar year: Yes Start/end months of reporting year: January/December GFS Manual used: Government Finance Statistics Manual (GFSM) 2001 Basis of recording: Expenditure is reported on accrual basis, revenue on a cash basis (except for corporate income tax, which has a separate reporting regime) General government includes: Central Government; Valuation of public debt: Nominal value Instruments included in gross and net debt: Securities Other than Shares Primary domestic currency: CFA franc Data last updated: 03/2022</t>
  </si>
  <si>
    <t>Source: NSO data via Eurostat Latest actual data: 2020 Notes: Fiscal balance for 2022 has been revised down by 0.9 percent of GDP due mainly to higher expenditures (270 million Euro from social transfers and subsidies) as announced most recently by the authorities. Upward revision for 2021 is based on the latest quarterly data. Fiscal assumptions: Projections are based on the authorities' budget documents and the latest Stability Programme, taking also into account other recently adopted fiscal measures, adjusted for staff's macroeconomic and other assumptions Reporting in calendar year: Yes Start/end months of reporting year: January/December GFS Manual used: Government Finance Statistics Manual (GFSM) 2001 Basis of recording: Accrual General government includes: Central Government; Social Security Funds; Valuation of public debt: Nominal value Instruments included in gross and net debt: Currency and Deposits; Securities Other than Shares; Loans;. Gross debt follows the Maastricht definition of gross debt, and excludes other accounts payable. Primary domestic currency: Euro Data last updated: 03/2022</t>
  </si>
  <si>
    <t>Source: Ministry of Finance or Treasury Latest actual data: FY2019/20 Reporting in calendar year: No. Fiscal year data are mapped to calendar year as follows: FY(t-1/t) = CY(t) Start/end months of reporting year: October/September. Data only available for Fiscal Year for most series, the desk estimates calendar year data are the same with fiscal year data. GFS Manual used: Government Finance Statistics Manual (GFSM) 2001 Basis of recording: Accrual General government includes: Central Government; Local Government; Social Security Funds; Valuation of public debt: Face value Primary domestic currency: US dollar Data last updated: 03/2022</t>
  </si>
  <si>
    <t>Source: Ministry of Finance or Treasury Latest actual data: 2020 Reporting in calendar year: Yes Start/end months of reporting year: January/December GFS Manual used: Government Finance Statistics Manual (GFSM) 1986 Basis of recording: Cash General government includes: Central Government; Valuation of public debt: Nominal value Instruments included in gross and net debt: Loans Primary domestic currency: New Mauritanian ouguiya Data last updated: 04/2022</t>
  </si>
  <si>
    <t>Source: Ministry of Finance or Treasury. In the past the authorities shifted from FY to CY and have now returned to fiscal year reporting. Latest actual data: FY2020/21 Notes: The overall balance (Central Government net lending and borrowing) and primary balance series do not include flows from extra-budgetary funds starting in 2007. Fiscal assumptions: Authorities and Staff Calculations Reporting in calendar year: No. Fiscal year data are mapped to calendar year as follows: FY(t/t+1) = CY(t). Start/end months of reporting year: July/June GFS Manual used: Government Finance Statistics Manual (GFSM) 2001 Basis of recording: Cash. Few non-cash calculations. General government includes: Central Government; Local Government; Nonfinancial Public Corporation; Valuation of public debt: Face value Instruments included in gross and net debt: Currency and Deposits; Securities Other than Shares; Loans Primary domestic currency: Mauritian rupee Data last updated: 03/2022</t>
  </si>
  <si>
    <t>Source: Ministry of Finance or Treasury Latest actual data: 2021 Fiscal assumptions: The 2020 public sector borrowing requirements estimated by the IMF staff adjusts for some statistical discrepancies between above-the-line and below-the-line numbers. Fiscal projections for 2022 are informed by the estimates in the 2022 budget proposal; projections for 2023 onward assume continued compliance with rules established in the Fiscal Responsibility Law. Reporting in calendar year: Yes Start/end months of reporting year: January/December GFS Manual used: Government Finance Statistics Manual (GFSM) 2014. Currently the Mexico team is submitting data to WEO using GFSM 2014 classification by making a range of adjustments based on additional data provided by the Mexican authorities for the period 2008-2019. Thus, the series display a statistical break in 2008. The GFSM classification is also used to present fiscal tables in the Art IV reports (in addition to standard tables used for discussion with Mexican authorities). Accrual data are not available to the Mexico team. Basis of recording: Cash General government includes: Central Government; Social Security Funds; Nonmonetary Financial Public Corporations; Nonfinancial Public Corporation;. Includes central government, social security funds, state-owned enterprises, public development banks but excludes state and local governments. Valuation of public debt: Face value Instruments included in gross and net debt: Securities Other than Shares; Loans; Insurance Technical Reserves Primary domestic currency: Mexican peso Data last updated: 03/2022</t>
  </si>
  <si>
    <t>Micronesia</t>
  </si>
  <si>
    <t>Source: Ministry of Finance or Treasury Latest actual data: FY2017/18 Fiscal assumptions: Cash basis following fiscal year Reporting in calendar year: No. Fiscal year data are mapped to calendar year as follows: FY(t-1/t) = CY(t) Start/end months of reporting year: October/September GFS Manual used: Government Finance Statistics Manual (GFSM) 2001 Basis of recording: Other General government includes: Central Government; State Government; Valuation of public debt: Face value Primary domestic currency: US dollar Data last updated: 03/2022</t>
  </si>
  <si>
    <t>Source: Ministry of Finance or Treasury Latest actual data: 2021 Fiscal assumptions: Various bases and growth rates for GDP, consumption , import, wages, energy prices, demographic changes. Reporting in calendar year: Yes Start/end months of reporting year: January/December GFS Manual used: Government Finance Statistics Manual (GFSM) 1986 Basis of recording: Cash General government includes: Central Government; Local Government;. Total Debt reflects the Public and Publicly Guaranteed Debt that includes General Government direct and guaranteed debt, non-financial public corporation's debt, and Central Bank liabilities to the IMF. Expenditure arrears and guarantees issued in 2014 and 2015 are included under General Government guaranteed debt. Local government debt and non-financial public corporation's debt is recorded starting from 2007 and is available for maturities longer than one year. Valuation of public debt: Nominal value Primary domestic currency: Moldovan leu Data last updated: 04/2022</t>
  </si>
  <si>
    <t>Source: Ministry of Finance or Treasury Latest actual data: 2021 Reporting in calendar year: Yes Start/end months of reporting year: January/December GFS Manual used: Government Finance Statistics Manual (GFSM) 2001 Basis of recording: Cash General government includes: Central Government; State Government; Local Government; Social Security Funds; Other; Valuation of public debt: Face value Primary domestic currency: Mongolian tögrög   Data last updated: 03/2022</t>
  </si>
  <si>
    <t>Source: Ministry of Finance or Treasury Latest actual data: 2020 Fiscal assumptions: Authorities' budget and medium-term projections. Reporting in calendar year: Yes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Net debt data is available only for the most recent years due to unavailability of earlier data. Primary domestic currency: Euro Data last updated: 03/2022</t>
  </si>
  <si>
    <t>Source: Ministry of Economy and/or Planning Latest actual data: 2020 Fiscal assumptions: Authorities' and staff estimates Reporting in calendar year: Yes Start/end months of reporting year: January/December GFS Manual used: Government Finance Statistics Manual (GFSM) 2001 Basis of recording: Accrual General government includes: Central Government;. Other level fiscal data is not available from the authorities. Valuation of public debt: Face value Instruments included in gross and net debt: Currency and Deposits; Securities Other than Shares; Loans;. Net debt is calculated as gross debt minus government deposits in the central bank. Primary domestic currency: Moroccan dirham Data last updated: 04/2022</t>
  </si>
  <si>
    <t>Source: Ministry of Finance or Treasury Latest actual data: 2020 Fiscal assumptions: Fiscal projections assume an increase in non-LNG revenue broadly in line with non-LNG GDP while primary spending increases to reflect additional spending to address COVID, security issues, and wage increases in 2021 and 2022. Primary spending is then assumed to increase in line with a fraction of non-LNG GDP and/or inflation. Reporting in calendar year: Yes Start/end months of reporting year: January/December GFS Manual used: Government Finance Statistics Manual (GFSM) 2001 Basis of recording: Mix accrual and cash basis General government includes: Central Government; State Government; Valuation of public debt: Nominal value. Authorities report on stock of debt on a nominal basis. Data for the DSA are calculated discounting maturities over the relevant period Instruments included in gross and net debt: OT's BT's, other financing , leasing and captures State-owned Enterprises debt not previously reported. Primary domestic currency: Mozambican metical Data last updated: 04/2022</t>
  </si>
  <si>
    <t>Source: Historical data up to 2017/18 have been re-estimated by IMF staff to ensure data consistency after the change of fiscal year from April-March to October-September. Latest actual data: FY2019/20 Fiscal assumptions: Fiscal projections are made based on budget numbers and changed macro environment. Reporting in calendar year: No. Fiscal year data are mapped to calendar year as follows: FY(t-1/t) = CY(t) Start/end months of reporting year: October/September. In 2018, Myanmar authorities changed the fiscal year to 1 October to 30 September from previously 1 April to 31 March. Historical data up to 2017 have been re-estimated by IMF staff to ensure data consistency. GFS Manual used: Government Finance Statistics Manual (GFSM) 2014. Includes adjustments by staff towards GFSM 2014 presentation. Historical data up to 2011/2012 are calculated by staff using GFSM 2001 manual, as they are not available in GFSM 2014 presentation. Basis of recording: Cash General government includes: Central Government; Nonfinancial Public Corporation; Valuation of public debt: Face value Instruments included in gross and net debt: Securities Other than Shares; Loans Primary domestic currency: Myanmar kyat Data last updated: 03/2022</t>
  </si>
  <si>
    <t>Source: Ministry of Finance or Treasury Latest actual data: 2020 Reporting in calendar year: Yes. Data are converted by (CY(t)=FY(t/t+1)*0.75+FY(t-1/t)*0.25) Start/end months of reporting year: January/December GFS Manual used: Government Finance Statistics Manual (GFSM) 2001 Basis of recording: Cash General government includes: Central Government; Valuation of public debt: Nominal value Primary domestic currency: Namibian dollar Data last updated: 03/2022</t>
  </si>
  <si>
    <t>Source: Ministry of Finance or Treasury Latest actual data: FY2020/21 Reporting in calendar year: No. Fiscal year data are mapped to calendar year as follows: FY(t-1/t) = CY(t) Start/end months of reporting year: July/June GFS Manual used: Government Finance Statistics Manual (GFSM) 2001. The GFS manual is only partially used. Basis of recording: Mixed General government includes: Central Government; Valuation of public debt: Face value Primary domestic currency: Australian dollar Data last updated: 03/2022</t>
  </si>
  <si>
    <t>Source: Ministry of Finance or Treasury Latest actual data: FY2019/20 Reporting in calendar year: No. Fiscal year data are mapped to calendar year as follows: FY(t-1/t) = CY(t) Start/end months of reporting year: August/July. Fiscal year starts on July 16th, and ends July 15th the following year GFS Manual used: Government Finance Statistics Manual (GFSM) 2001 Basis of recording: Cash General government includes: Central Government;. Coverage of fiscal accounts in Nepal is limited to Central Government. Valuation of public debt: Face value Instruments included in gross and net debt: Currency and Deposits; Securities Other than Shares; Loans Primary domestic currency: Nepalese rupee Data last updated: 03/2022</t>
  </si>
  <si>
    <t>Source: Ministry of Finance or Treasury Latest actual data: 2020 Notes: Gross debt follows the Maastricht definition of gross debt, and excludes other accounts payable. Fiscal assumptions: Fiscal projections for 2021-27 are based on the IMF staff's forecast framework and are also informed by the authorities' draft budget plan and Bureau for Economic Policy Analysis projections. Reporting in calendar year: Yes Start/end months of reporting year: January/December GFS Manual used: Government Finance Statistics Manual (GFSM) 2001 Basis of recording: Accrual General government includes: Central Government; Local Government; Social Security Funds; Valuation of public debt: Nominal value Instruments included in gross and net debt: Currency and Deposits; Securities Other than Shares; Loans Primary domestic currency: Euro Data last updated: 03/2022</t>
  </si>
  <si>
    <t>Source: National Statistics Office Latest actual data: 2020 Fiscal assumptions: Fiscal projections are based on the Half Year Economic and Fiscal Update 2021 and the IMF staff estimates. Reporting in calendar year: Yes. Data are converted by averaging two FYs. Example: Avg(2009/10, 2010/11) = 2010 Start/end months of reporting year: January/December. Original reporting period July/June GFS Manual used: Government Finance Statistics Manual (GFSM) 2014 Basis of recording: Accrual General government includes: Central Government; Local Government;. Central government and local governments Valuation of public debt: Current market value Instruments included in gross and net debt: Currency and Deposits; Securities Other than Shares; Loans; Shares and Other Equity; Insurance Technical Reserves; Financial Derivatives; Other Accounts Receivable/Payable; Monetary Gold and SDRs Primary domestic currency: New Zealand dollar Data last updated: 03/2022</t>
  </si>
  <si>
    <t>Source: Ministry of Finance or Treasury Latest actual data: 2020 Reporting in calendar year: Yes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Currency and Deposits; Loans; Shares and Other Equity; Other Accounts Receivable/Payable Primary domestic currency: Nicaraguan córdoba Data last updated: 03/2022</t>
  </si>
  <si>
    <t>Source: Ministry of Finance or Treasury Latest actual data: 2020 Fiscal assumptions: Fiscal data contains preliminary outturns as of end-2021. Reporting in calendar year: Yes Start/end months of reporting year: January/December GFS Manual used: Government Finance Statistics Manual (GFSM) 1986 Basis of recording: Accrual General government includes: Central Government; Valuation of public debt: Nominal value Instruments included in gross and net debt: Loans;. Loans and government deposits at Central Bank. Primary domestic currency: CFA franc Data last updated: 03/2022</t>
  </si>
  <si>
    <t>Source: Ministry of Finance or Treasury Latest actual data: 2020 Fiscal assumptions: Historical data series, annual budget and MTEF at the Federal Government level, and additional data from the authorities Reporting in calendar year: Yes Start/end months of reporting year: January/December GFS Manual used: Government Finance Statistics Manual (GFSM) 2001 Basis of recording: Cash. Fiscal data are based on execution data received from the authorities. General government includes: Central Government; State Government; Local Government; Valuation of public debt: Current market value Instruments included in gross and net debt: Currency and Deposits;. AMCON debt and CBN overdraft. Primary domestic currency: Nigerian naira Data last updated: 03/2022</t>
  </si>
  <si>
    <t>Source: Ministry of Finance or Treasury Latest actual data: 2021 Notes: Due to limited data on government assets, our net debt currently reflects gross debt net of government deposits. Fiscal assumptions: Budget forecast and medium term projections. Reporting in calendar year: Yes Start/end months of reporting year: January/December GFS Manual used: Government Finance Statistics Manual (GFSM) 1986. Lending minus repayment is included in total expenditures Basis of recording: Cash General government includes: Central Government; State Government; Social Security Funds; Valuation of public debt: Nominal value Instruments included in gross and net debt: Currency and Deposits; Loans Primary domestic currency: Macedonian denar Data last updated: 03/2022</t>
  </si>
  <si>
    <t>Source: National Statistical Office and Ministry of Finance Latest actual data: 2021 Fiscal assumptions: The fiscal projections are based on the 2022 budget. And subsequent ad-hoc updates. Reporting in calendar year: Yes Start/end months of reporting year: January/December GFS Manual used: Government Finance Statistics Manual (GFSM) 2014 Basis of recording: Accrual General government includes: Central Government; Local Government; Social Security Funds; Valuation of public debt: Current market value Instruments included in gross and net debt: Securities Other than Shares;. Treasury bills with maturity of up to one year, and bonds with maturity of up to 10 years. Gross debt follows the Maastricht definition of gross debt, and excludes other accounts payable. Primary domestic currency: Norwegian krone Data last updated: 03/2022</t>
  </si>
  <si>
    <t>Source: Ministry of Finance or Treasury Latest actual data: 2021 Fiscal assumptions: Staff estimates Reporting in calendar year: Yes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Securities Other than Shares; Loans; Shares and Other Equity;. Gross debt includes loans and securities other than Shares. Securities include government treasury bills and bonds. Net debt is equal to gross debt less governments deposits with central bank and banks and Oman Investment Authority's liquid assets. Primary domestic currency: Omani rial Data last updated: 03/2022</t>
  </si>
  <si>
    <t>Source: Ministry of Finance or Treasury Latest actual data: FY2020/21 Notes: Pakistan's data for the projection years exclude payments for electricity arrears and commodity operations. Fiscal assumptions: Based on fiscal data through December 2021. Reporting in calendar year: No. Fiscal year data are mapped to calendar year as follows: FY(t-1/t) = CY(t) Start/end months of reporting year: July/June GFS Manual used: Government Finance Statistics Manual (GFSM) 1986 Basis of recording: Cash General government includes: Central Government; State Government; Local Government; Valuation of public debt: Nominal value Instruments included in gross and net debt: Currency and Deposits; Securities Other than Shares; Loans; Other;. Government gross debt and net debt figures include IMF obligations. Primary domestic currency: Pakistan rupee Data last updated: 03/2022</t>
  </si>
  <si>
    <t>Source: Ministry of Finance or Treasury Latest actual data: FY2019/20 Reporting in calendar year: No. Fiscal year data are mapped to calendar year as follows: FY(t-1/t) = CY(t). Start/end months of reporting year: October/September GFS Manual used: Government Finance Statistics Manual (GFSM) 2001 Basis of recording: Other General government includes: Central Government; Valuation of public debt: Face value Primary domestic currency: US dollar Data last updated: 04/2022</t>
  </si>
  <si>
    <t>Source: Ministry of Finance or Treasury Latest actual data: 2021 Notes: Net debt is calculated as the difference between gross debt of the NFPS and assets of Panama's Sovereign Wealth Fund. Fiscal assumptions: Ministry of Economy and Finance (MEF) Reporting in calendar year: Yes Start/end months of reporting year: January/December GFS Manual used: Government Finance Statistics Manual (GFSM) 2014 Basis of recording: Cash General government includes: Central Government; State Government; Local Government; Social Security Funds; Nonfinancial Public Corporation; Valuation of public debt: Nominal value Instruments included in gross and net debt: Securities Other than Shares; Loans;. Net public debt follows the national definition of net debt, so it is defined as gross debt minus the assets of Panama's sovereign wealth fund (Fondo de Ahorro de Panama). Primary domestic currency: US dollar Data last updated: 03/2022</t>
  </si>
  <si>
    <t>Source: Ministry of Finance or Treasury Latest actual data: 2020 Fiscal assumptions: For 2022, agreement with authorities for program. For 2023 onwards, staff's projections. Reporting in calendar year: Yes Start/end months of reporting year: January/December GFS Manual used: Government Finance Statistics Manual (GFSM) 1986 Basis of recording: Cash General government includes: Central Government; Valuation of public debt: Face value Instruments included in gross and net debt: Securities Other than Shares; Loans Primary domestic currency: Papua New Guinea kina Data last updated: 03/2022</t>
  </si>
  <si>
    <t>Source: Ministry of Finance or Treasury Latest actual data: 2021 Fiscal assumptions: General Government accounts on a cash basis Reporting in calendar year: Yes Start/end months of reporting year: January/December GFS Manual used: Government Finance Statistics Manual (GFSM) 2001 Basis of recording: Cash General government includes: Central Government; State Government; Local Government; Social Security Funds; Monetary Public Corporations, incl. central bank; Valuation of public debt: Face value Instruments included in gross and net debt: Currency and Deposits; Securities Other than Shares; Loans Primary domestic currency: Paraguayan guaraní Data last updated: 04/2022</t>
  </si>
  <si>
    <t>Source: Ministry of Finance or Treasury. Ministry of Finance and Central Bank Latest actual data: 2021 Fiscal assumptions: Calendar year. Reporting in calendar year: Yes Start/end months of reporting year: January/December GFS Manual used: Government Finance Statistics Manual (GFSM) 2001 Basis of recording: Cash. Cash for revenues and accrual for expenditures General government includes: Central Government; State Government; Local Government; Social Security Funds; Valuation of public debt: Face value Instruments included in gross and net debt: Securities Other than Shares; Loans; Other Primary domestic currency: Peruvian sol Data last updated: 03/2022</t>
  </si>
  <si>
    <t>Source: Ministry of Finance or Treasury. Department of Finance Latest actual data: 2021 Fiscal assumptions: Revenue projections reflect the IMF staff's macroeconomic assumptions and incorporate the updated data. Expenditure projections are based on budgeted figures, institutional arrangements, and current data in each year. Reporting in calendar year: Yes Start/end months of reporting year: January/December GFS Manual used: Government Finance Statistics Manual (GFSM) 2001 Basis of recording: Cash. Classification of revenues and expenses is based on GFSM 2001, but the accounting method is on a cash basis. General government includes: Central Government; Local Government; Social Security Funds;. Local governments comprise provinces, cities, and municipalities. Valuation of public debt: Nominal value Instruments included in gross and net debt: Securities Other than Shares; Loans; Other Accounts Receivable/Payable;. There is no information on the government's unfunded pension liabilities, thus, gross debt (GGXWDG) does not include that information. Primary domestic currency: Philippine peso Data last updated: 03/2022</t>
  </si>
  <si>
    <t>Source: Ministry of Finance or Treasury. Eurostat Latest actual data: 2020 Notes: gross debt follows the Maastricht definition of gross debt, and excludes other accounts payable Fiscal assumptions: Data is on a ESA-95 2004 and prior. Data is on ESA-2010 beginning 2005 (accrual) basis. 2021 data are estimates based on the 2021 budget and estimated COVID-related expenditures for 2021. Projections begin in 2022, based on the 2022 budget and subsequent temporary tax relief measures known as the _x0018_ Anti-Inflation Shield.' Reporting in calendar year: Yes Start/end months of reporting year: January/December GFS Manual used: European System of Accounts (ESA) 2010 Basis of recording: Accrual General government includes: Central Government; Local Government; Social Security Funds; Valuation of public debt: Face value Primary domestic currency: Polish zloty Data last updated: 03/2022</t>
  </si>
  <si>
    <t>Source: National Statistics Office Latest actual data: 2021 Notes: Gross debt follows the Maastricht definition of gross debt, and excludes other accounts payable. Fiscal assumptions: The projections for the current year are based on the authorities' approved budget, adjusted to reflect the IMF staff's macroeconomic forecast. Projections thereafter are based on the assumption of unchanged policies. Reporting in calendar year: Yes Start/end months of reporting year: January/December GFS Manual used: Government Finance Statistics Manual (GFSM) 2001 Basis of recording: Accrual General government includes: Central Government; Local Government; Social Security Funds; Other; Valuation of public debt: Nominal value Instruments included in gross and net debt: Currency and Deposits; Securities Other than Shares; Loans Primary domestic currency: Euro Data last updated: 04/2022</t>
  </si>
  <si>
    <t>Source: Government Development Bank of Puerto Rico; and Fiscal and Economic Growth Plan Latest actual data: FY2019/20 Fiscal assumptions: Fiscal projections are based on the Puerto Rico Fiscal and Economic Growth Plans (FEGPs), which were prepared in January 2022, and are certified by the Financial Oversight and Management Board. The 2022 Fiscal Plan calls for a series of structural reforms, such as earned income tax credit benefits; the Natural Assistance Program; a lowering of barriers to entry for foreign firms; and investment in education, the power sector, and infrastructure. The new fiscal plan also pays particular attention to allocating strategic investment to emergency response and frontline service delivery, as the island is highly vulnerable to natural disasters and battling an ongoing pandemic. This plan represents an unprecedented level of fiscal support_x0014_ over 100 percent of Puerto Rico's gross national product. The Fiscal Plan also focuses on the implementation of fiscal measures (centralization of fiscal authority, improvement of agencies' efficiency, Medicaid reform, pension reform, reduction of appropriations, enhanced tax compliance, and optimized taxes and fees) that will result in a smaller government deficit in the long term. The IMF staff's fiscal projections rely on the information presented above as well as on the assumption that the fiscal position will deteriorate over time. Previous WEO submissions (prior to fall 2021) relied on the assumption of fiscal consolidation. Although IMF policy assumptions are similar to those in the FEGP scenario with full measures, the IMF staff's projections of fiscal revenues, expenditures, and balance are different from the FEGPs'. This stems from two main differences in methodologies: first, while IMF staff's projections are on an accrual basis, the FEGPs' are on a cash basis. Second, the IMF staff and the FEGP make very different macroeconomic assumptions. Reporting in calendar year: No. Fiscal year data are mapped to calendar year as follows: FY(t-1/t) = CY(t) Start/end months of reporting year: July/June GFS Manual used: Government Finance Statistics Manual (GFSM) 2001 Basis of recording: Accrual. IMF calculations are based on an accrual basis, whereas authorities' calculations are based on a cash basis. General government includes: General government is defined as all general governmental entities, excluding Puerto Rico Electric Power Authority (PREPA) and Puerto Rico Aqueducts and Sewers Authority (PRASA). General government entities include the General Fund, Puerto Rico Infrastructure Financing Authority (PRIFA), Puerto Rico Sales Tax Financing Corporation (COFINA), Puerto Rico Industrial Development Company (PRIDCO), Highways and Transportation Authority (HTA), University of Puerto Rico (UPR), Government Development Bank of Puerto Rico (GDB), and Municipal Revenues Collection Center (CRIM). In addition, pension funds (ERS, TRS, and JRS) are also considered as part of general government. Valuation of public debt: Current market value. Data for public debt have been provided by the authorities. The definition of government for public debt data excludes PREPA and PRASA and includes all other entities of general government in fiscal accounts. Primary domestic currency: US dollar Data last updated: 03/2022</t>
  </si>
  <si>
    <t>Source: Ministry of Finance or Treasury Latest actual data: 2020 Reporting in calendar year: Yes Start/end months of reporting year: January/December GFS Manual used: Government Finance Statistics Manual (GFSM) 1986 Basis of recording: Cash General government includes: Central Government; Other;. As a first step towards a more comprehensive coverage of fiscal data, staff estimated SWF return and added it to government's revenues (and therefore to the balance). This adjustment was done at the level of general government, in order to avoid changes to central government data (which is official). In addition, Net Debt now includes SWF assets. Valuation of public debt: Nominal value Instruments included in gross and net debt: Currency and Deposits; Securities Other than Shares; Loans; Shares and Other Equity; Other Primary domestic currency: Qatari riyal Data last updated: 04/2022</t>
  </si>
  <si>
    <t>Source: Ministry of Finance or Treasury Latest actual data: 2020 Notes: Gross debt: gross debt excluding guarantees (calculated using the national presentation, i.e. GEO no 64/2007). Net debt: gross debt excluding guarantees (calculated using the national presentation, i.e. GEO no 64/2007), adjusted for currency and deposits, debt securities and loans of general government. Fiscal assumptions: Fiscal projections reflect legislated changes up to the end of 2021. Medium term projections include a gradual implementation of recovery measures from the temporary recovery instrument Next Generation EU. Reporting in calendar year: Yes Start/end months of reporting year: January/December GFS Manual used: Government Finance Statistics Manual (GFSM) 2001. Fiscal sector records on a majority-accrual basis, except with respect to WEO indicators, which are recorded on a GFS-01 cash basis. Basis of recording: Cash General government includes: Central Government; Local Government; Social Security Funds; Other;. Also includes Road Company and Health and Employment Funds. Valuation of public debt: Face value Primary domestic currency: Romanian leu Data last updated: 03/2022</t>
  </si>
  <si>
    <t>Russia</t>
  </si>
  <si>
    <t>Source: Ministry of Finance or Treasury Latest actual data: 2021 Fiscal assumptions: The fiscal rule has been suspended by the government in response to the sanctions imposed after the invasion of Ukraine. The projection assumes an increase in discretionary spending by the amount of what would otherwise have been saved according to the fiscal rule and a decline in revenues due to the projected deep recession. Reporting in calendar year: Yes Start/end months of reporting year: January/December GFS Manual used: Government Finance Statistics Manual (GFSM) 2014 Basis of recording: Cash is reported on a high frequency basis, accrual is reported on an annual basis with a significant lag. General government includes: Central Government; State Government; Social Security Funds; Valuation of public debt: Current market value Instruments included in gross and net debt: Currency and Deposits; Securities Other than Shares; Loans; Shares and Other Equity; Other Accounts Receivable/Payable Primary domestic currency: Russian ruble Data last updated: 04/2022</t>
  </si>
  <si>
    <t>Source: Ministry of Finance or Treasury Latest actual data: 2019 Reporting in calendar year: Yes Start/end months of reporting year: January/December GFS Manual used: Government Finance Statistics Manual (GFSM) 2014. Authorities are transitioning to GFSM 2014, with projections done on this basis Basis of recording: Expenditures are recorded on accrual basis, while revenues are recorded on cash basis. General government includes: Central Government; Valuation of public debt: Nominal value Instruments included in gross and net debt: Loans; Shares and Other Equity Primary domestic currency: Rwandan franc Data last updated: 03/2022</t>
  </si>
  <si>
    <t>Source: Ministry of Finance or Treasury Latest actual data: FY2020/21 Reporting in calendar year: No. Fiscal year data are mapped to calendar year as follows: FY(t-1/t) = CY(t) Start/end months of reporting year: July/June GFS Manual used: Government Finance Statistics Manual (GFSM) 2001 Basis of recording: Accrual General government includes: Central Government; Valuation of public debt: Nominal value Primary domestic currency: Samoan tala Data last updated: 03/2022</t>
  </si>
  <si>
    <t>Source: Ministry of Finance or Treasury Latest actual data: 2020 Notes: Gross debt is defined as the sum of loans, bonds and net account payable. Fiscal assumptions: Share of GDP, share of consumption, elasticity with respect to GDP, elasticity with respect to consumption Reporting in calendar year: Yes Start/end months of reporting year: January/December GFS Manual used: The authorities have provided data for the central government, state-owned enterprises, and social security fund for 2004-2019. However not all series are updated to 2019 and not all data have been compiled in accordance with IMF standards. Basis of recording: Other General government includes: Central Government; Valuation of public debt: Current market value Instruments included in gross and net debt: Securities Other than Shares; Loans; Other Accounts Receivable/Payable; Monetary Gold and SDRs; Other Primary domestic currency: Euro Data last updated: 03/2022</t>
  </si>
  <si>
    <t>Source: Ministry of Finance or Treasury. Fuel tax revenue from Customs Department Latest actual data: 2020 Reporting in calendar year: Yes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Other Accounts Receivable/Payable; Monetary Gold and SDRs Primary domestic currency: São Tomé and Príncipe dobra Data last updated: 04/2022</t>
  </si>
  <si>
    <t>Source: Ministry of Finance or Treasury Latest actual data: 2021 Fiscal assumptions: The IMF staff's baseline fiscal projections are primarily based on its understanding of government policies as outlined in the 2022 budget. Export oil revenues are based on WEO baseline oil price assumptions and staff's understanding of current oil policy under the OPEC+ (Organization of the Petroleum Exporting Countries, including Russia and other non-OPEC oil exporters) agreement. Reporting in calendar year: Yes Start/end months of reporting year: January/December GFS Manual used: Government Finance Statistics Manual (GFSM) 2014 Basis of recording: Cash General government includes: Central Government;. The country team submits Central Government data, not General Government. Valuation of public debt: Nominal value Instruments included in gross and net debt: Securities Other than Shares; Loans;. Net debt is gross debt (Loans and Securities) less government deposits at SAMA. Primary domestic currency: Saudi riyal Data last updated: 03/2022</t>
  </si>
  <si>
    <t>Source: Ministry of Finance or Treasury Latest actual data: 2020 Fiscal assumptions: Based on program targets for first 1-2 years, thereafter on WAEMU convergence criteria and DSA considerations. Fiscal accounts are shown in accordance with the 2001 GFS methodology. Reporting in calendar year: Yes Start/end months of reporting year: January/December GFS Manual used: Government Finance Statistics Manual (GFSM) 2001 Basis of recording: Cash General government includes: Central Government; Valuation of public debt: Nominal value Primary domestic currency: CFA franc Data last updated: 03/2022</t>
  </si>
  <si>
    <t>Source: Ministry of Finance or Treasury. Ministry of Finance Latest actual data: 2020 Notes: Gross debt also includes accounts payable &gt; 60 days and net debt only includes currency and deposits as government assets. Fiscal assumptions: Medium-term framework and monetary policy Reporting in calendar year: Yes Start/end months of reporting year: January/December GFS Manual used: Government Finance Statistics Manual (GFSM) 1986. Combination of GFSM1986 and GFSM2001 Basis of recording: Cash General government includes: Central Government; State Government; Local Government; Social Security Funds; Other;. General government covers the following entities: Central government (Republican Budget, comprising direct budget users covering the three branches of government, President's office, ministries, parliament, judiciary, other budget agencies); Mandatory social insurance funds (Pension Insurance Fund, Health Insurance Fund, Unemployment Fund and Military Health Fund); Extrabudgetary funds (PE Roads of Serbia and Koridori Ltd); Indirect budget users of the Republic; Subnational governments (Autonomous province of Vojvodina; Local government - Cities and Municipalities; Indirect budget users of local governments). Excluded from the data coverage are some indirect budget users of the Republican budget and Local government. Valuation of public debt: Current market value Instruments included in gross and net debt: Currency and Deposits; Securities Other than Shares; Insurance Technical Reserves; Financial Derivatives; Monetary Gold and SDRs; Other;. Recorded on a gross basis. Primary domestic currency: Serbian dinar Data last updated: 03/2022</t>
  </si>
  <si>
    <t>Source: Ministry of Finance or Treasury Latest actual data: 2020 Fiscal assumptions: Staff projections Reporting in calendar year: Yes Start/end months of reporting year: January/December GFS Manual used: Government Finance Statistics Manual (GFSM) 1986. Change in presentation to reflect 2011 Budget classification and transition to GFS2001. Data prior to 2007 may not add up due to breaks in the GFS1986/2001 coverage. Basis of recording: Cash General government includes: Central Government; Social Security Funds;. Change in coverage of general government as of 2011 Budget and incorporation of budget dependent entities Valuation of public debt: Nominal value. Book value Instruments included in gross and net debt: Currency and Deposits; Securities Other than Shares; Loans; Financial Derivatives; Other Accounts Receivable/Payable; Other Primary domestic currency: Seychelles rupee Data last updated: 04/2022</t>
  </si>
  <si>
    <t>Source: Ministry of Finance or Treasury Latest actual data: 2020 Fiscal assumptions: Projections use the baseline forecasts from the real sector and prices for 2022 and the preliminary 2021 budget out-turn. Reporting in calendar year: Yes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Securities Other than Shares; Loans; Monetary Gold and SDRs Primary domestic currency: Sierra Leonean leone Data last updated: 03/2022</t>
  </si>
  <si>
    <t>Source: National Statistics Office. Data complemented with data from the Ministry of Finance or Treasury Latest actual data: FY2021/22 Notes: Government debt is issued to deepen the domestic market, to meet the investment needs of the Central Provident Fund, and to provide individuals a long-term savings option. Fiscal assumptions: FY2020 figures are based on budget execution. FY2021 projections are based on revised figures based budget execution through end-2021. FY2022 projections are based on the initial FY2022 budget of February 18, 2022. The IMF staff assumes gradual withdrawal of remaining pandemic-related measures and the implementation of various revenue measures announced in the FY2022 budget for the remainder of the projection period. These include (i) the increase of the Good and Services Tax (GST) from 7 percent to 8 percent on 1 January 2023, and to 9 percent on 1 January 2024; (ii) the increase of the property tax in 2023 for non-owner-occupied properties (from 10-20 percent to 12-36 percent) and owner-occupied properties with an annual value in excess of $30,000 (from 4-16 percent to 6-32 percent); and (iii) the increase of the carbon tax from S$5 per tonne of CO2 emissions to S$25 per tonne in 2024 and 2025 and $45 per tonne in 2026 and 2027. Reporting in calendar year: No. Fiscal year data are mapped to calendar year as follows: FY(t/t+1) = CY(t) Start/end months of reporting year: April/March GFS Manual used: Government Finance Statistics Manual (GFSM) 2014 Basis of recording: Cash. Authorities use cash accounting. General government includes: Central Government;. There is no local government in Singapore and thus the general government only includes central government Valuation of public debt: Nominal value Instruments included in gross and net debt: Currency and Deposits; Securities Other than Shares; Shares and Other Equity Primary domestic currency: Singapore dollar Data last updated: 04/2022</t>
  </si>
  <si>
    <t>Source: Eurostat Latest actual data: 2020 Notes: Gross debt follows the Maastricht definition of gross debt, and excludes other accounts payable. Fiscal assumptions: The fiscal projection is based on the 2022 budget but takes into consideration of available data for 2021. Reporting in calendar year: Yes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Shares and Other Equity; Other Accounts Receivable/Payable; Monetary Gold and SDRs;. Our framework follows the Maastricht debt criteria. Primary domestic currency: Euro Data last updated: 03/2022</t>
  </si>
  <si>
    <t>Source: Ministry of Finance or Treasury Latest actual data: 2021 Notes: Gross debt follows the Maastricht definition of gross debt, and excludes other accounts payable. Fiscal assumptions: The fiscal projections are based on staff's macroeconomic framework and the authorities' budget and medium-term fiscal framework. Reporting in calendar year: Yes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Other Primary domestic currency: Euro Data last updated: 04/2022</t>
  </si>
  <si>
    <t>Source: Ministry of Finance or Treasury Latest actual data: 2020 Fiscal assumptions: Fiscal projections are based on the staff's assessment on the current fiscal situation and the authorities' fiscal policy. Reporting in calendar year: Yes Start/end months of reporting year: January/December GFS Manual used: Government Finance Statistics Manual (GFSM) 1986 Basis of recording: Cash General government includes: Central Government; Valuation of public debt: Nominal value Instruments included in gross and net debt: Loans Primary domestic currency: Solomon Islands dollar Data last updated: 03/2022</t>
  </si>
  <si>
    <t>Source: Ministry of Finance or Treasury Latest actual data: 2020 Fiscal assumptions: IMF staff estimates Reporting in calendar year: Yes Start/end months of reporting year: January/December GFS Manual used: Government Finance Statistics Manual (GFSM) 2001 Basis of recording: Cash General government includes: Central Government; Valuation of public debt: Nominal value Primary domestic currency: US dollar Data last updated: 04/2022</t>
  </si>
  <si>
    <t>Source: Ministry of Finance or Treasury Latest actual data: 2021 Notes: Gross debt does not include other accounts payable and refers to Central Government debt only. Net debt is calculated as gross debt minus government deposits. Fiscal assumptions: Fiscal assumptions draw on the 2022 Budget Review. Nontax revenue excludes transactions in financial assets and liabilities, as they involve primarily revenues associated with realized exchange rate valuation gains from the holding of foreign currency deposits, sale of assets, and conceptually similar items. Reporting in calendar year: Yes Start/end months of reporting year: January/December GFS Manual used: Government Finance Statistics Manual (GFSM) 2001 Basis of recording: Cash General government includes: Central Government; State Government; Social Security Funds; Other. Selected Public Entities Valuation of public debt: Nominal value Instruments included in gross and net debt: Currency and Deposits; Securities Other than Shares; Loans Primary domestic currency: South African rand Data last updated: 04/2022</t>
  </si>
  <si>
    <t>Source: Ministry of Finance or Treasury. Ministry of Finance, Commerce, Investment and Economic Planning Latest actual data: 2019 Reporting in calendar year: Yes Start/end months of reporting year: January/December. Authorities reports on fiscal year July to June GFS Manual used: Other Basis of recording: Cash General government includes: Central Government; Valuation of public debt: Nominal value Instruments included in gross and net debt: Currency and Deposits; Loans; Other Primary domestic currency: South Sudanese pound Data last updated: 03/2022</t>
  </si>
  <si>
    <t>Source: Ministry of Finance or Treasury. Eurostat Latest actual data: 2020 Notes: Gross debt follows the Maastricht definition of gross debt, and excludes other accounts payable. Fiscal assumptions: Fiscal projections for 2021 include COVID19-related support measures, the legislated increase in pensions, and the legislated revenue measures. Fiscal projections from 2022 onward assume no policy changes. Disbursements under the EU Recovery and Resilience Facility are reflected in the projections for 2021-24. Reporting in calendar year: Yes Start/end months of reporting year: January/December GFS Manual used: European System of Accounts (ESA) 2010 Basis of recording: Accrual General government includes: Central Government; State Government; Local Government; Social Security Funds; Valuation of public debt: Nominal value Instruments included in gross and net debt: Currency and Deposits; Securities Other than Shares; Loans Primary domestic currency: Euro Data last updated: 03/2022</t>
  </si>
  <si>
    <t>Source: Ministry of Finance or Treasury Latest actual data: 2020 Fiscal assumptions: Fiscal projections are based on staff judgment. Reporting in calendar year: Yes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Other;. Gross debt includes domestic securities, loans, overdrafts, and Central Bank advances owed by the central government; International Sovereign Bonds, external syndicated loans, and official project loans owed by the central government. Primary domestic currency: Sri Lankan rupee Data last updated: 03/2022</t>
  </si>
  <si>
    <t>Source: Ministry of Finance or Treasury Latest actual data: 2021 Notes: Government expenses in social benefits is included in expenses not elsewhere classified. Reporting in calendar year: Yes Start/end months of reporting year: January/December GFS Manual used: Government Finance Statistics Manual (GFSM) 1986 Basis of recording: Cash General government includes: Central Government; State Government;. Debt corresponds to public sector (central government, local government and SOEs) Valuation of public debt: Nominal value Instruments included in gross and net debt: Currency and Deposits; Securities Other than Shares; Loans; Other Accounts Receivable/Payable Primary domestic currency: Eastern Caribbean dollar Data last updated: 03/2022</t>
  </si>
  <si>
    <t>Source: Ministry of Finance or Treasury Latest actual data: FY2019/20 Reporting in calendar year: No. Fiscal year data are mapped to calendar year as follows: FY(t-1/t) = CY(t) Start/end months of reporting year: April/March GFS Manual used: Government Finance Statistics Manual (GFSM) 1986 Basis of recording: Cash General government includes: Central Government;. Debt corresponds to nonfinancial public sector (central government and SOEs) Valuation of public debt: Nominal value Instruments included in gross and net debt: Currency and Deposits; Securities Other than Shares; Loans Primary domestic currency: Eastern Caribbean dollar Data last updated: 03/2022</t>
  </si>
  <si>
    <t>Source: Ministry of Finance or Treasury Latest actual data: 2021 Fiscal assumptions: Discussions with the authorities and projections for growth and inflation Reporting in calendar year: Yes Start/end months of reporting year: January/December GFS Manual used: Government Finance Statistics Manual (GFSM) 2001. The authorities are using the GFS 1986. But the data was transformed to GFS 2001 format for WEO purpose. Basis of recording: Cash General government includes: Central Government;. Debt corresponds to nonfinancial public sector (central government and SOEs) Valuation of public debt: Nominal value Instruments included in gross and net debt: Securities Other than Shares; Loans Primary domestic currency: Eastern Caribbean dollar Data last updated: 03/2022</t>
  </si>
  <si>
    <t>Source: Ministry of Finance or Treasury Latest actual data: 2019 Reporting in calendar year: Yes Start/end months of reporting year: January/December GFS Manual used: Government Finance Statistics Manual (GFSM) 2001 Basis of recording: Mixed. Revenue - cash, Expenditure - adjusted cash (arrears of more than 90 days need to be recorded on accrual basis) General government includes: Central Government; Valuation of public debt: Nominal value Instruments included in gross and net debt: Loans;. The net debt data is unavailable. Primary domestic currency: Sudanese pound Data last updated: 03/2022</t>
  </si>
  <si>
    <t>Source: Ministry of Finance or Treasury Latest actual data: 2021 Notes: Revenues and expenditures (subsidies) are adjusted upward by the amounts netted out by taxpayer companies for settling arrears from other SOEs. Fiscal assumptions: IMF staff projections Reporting in calendar year: Yes. Calendar year same as FY Start/end months of reporting year: January/December GFS Manual used: Government Finance Statistics Manual (GFSM) 1986 Basis of recording: Mixed General government includes: Central Government; Valuation of public debt: Current market value Instruments included in gross and net debt: Gross debt includes loans and securities other than shares. Net debt is currently not compiled. Primary domestic currency: Surinamese dollar Data last updated: 03/2022</t>
  </si>
  <si>
    <t>Source: Ministry of Finance or Treasury Latest actual data: 2020 Notes: Gross debt follows the Maastricht definition of gross debt, and excludes other accounts payable Fiscal assumptions: Fiscal estimates for 2021 are based on preliminary information on the fall 2021 budget bill. The impact of cyclical developments on the fiscal accounts is calculated using the 2014 Organisation for Economic Co-operation and Development elasticity to take into account output and employment gaps. Reporting in calendar year: Yes Start/end months of reporting year: January/December GFS Manual used: Government Finance Statistics Manual (GFSM) 2001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Net debt is defined as gross debt minus the asset holdings of currency and deposits, debt securities, and loans. Primary domestic currency: Swedish krona Data last updated: 03/2022</t>
  </si>
  <si>
    <t>Source: Ministry of Finance or Treasury Latest actual data: 2019 Fiscal assumptions: The authorities' announced discretionary stimulus_x0014_ as reflected in the fiscal projections for 2021 and 2022_x0014_ is permitted within the context of the debt brake rule in the event of _x001C_ exceptional circumstances._x001D_  Reporting in calendar year: Yes Start/end months of reporting year: January/December GFS Manual used: Government Finance Statistics Manual (GFSM) 2001 Basis of recording: Accrual General government includes: Central Government; State Government; Local Government; Social Security Funds; Other;. Other refers to Cantons. Valuation of public debt: Nominal value Primary domestic currency: Swiss franc Data last updated: 03/2022</t>
  </si>
  <si>
    <t>Syria</t>
  </si>
  <si>
    <t>Source: Ministry of Finance or Treasury Latest actual data: 2009 Start/end months of reporting year: January/December GFS Manual used: Government Finance Statistics Manual (GFSM) 1986 Basis of recording: Cash General government includes: Central Government; Valuation of public debt: Face value Primary domestic currency: Syrian pound Data last updated: n/a</t>
  </si>
  <si>
    <t>Taiwan Province of China</t>
  </si>
  <si>
    <t>Source: Ministry of Finance or Treasury. Data retrieved from CEIC Latest actual data: 2020 Notes: We do not have data on policy lending. Fiscal assumptions: Projections for 2021-27 are based on the assumptions underlying the IMF staff's medium-term macroeconomic scenario. Reporting in calendar year: Yes Start/end months of reporting year: January/December GFS Manual used: Government Finance Statistics Manual (GFSM) 2001 Basis of recording: Cash General government includes: Central Government; Local Government; Social Security Funds; Valuation of public debt: Nominal value. General government gross debt includes non-self redeeming debt maturity &gt;= 1 year. Instruments included in gross and net debt: Currency and Deposits; Securities Other than Shares; Loans Primary domestic currency: New Taiwan dollar Data last updated: 03/2022</t>
  </si>
  <si>
    <t>Source: Ministry of Finance or Treasury Latest actual data: 2020 Reporting in calendar year: Yes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Securities Other than Shares; Loans; Monetary Gold and SDRs Primary domestic currency: Tajik somoni Data last updated: 03/2022</t>
  </si>
  <si>
    <t>Source: Ministry of Finance or Treasury Latest actual data: 2021 Fiscal assumptions: Cash basis Reporting in calendar year: Yes. Data are converted by averaging two FYs (i.e. Avg[FY(t-1/t), FY(t/t+1)] = CY(t)). Start/end months of reporting year: January/December GFS Manual used: Government Finance Statistics Manual (GFSM) 1986 Basis of recording: Cash General government includes: Central Government; Local Government; Valuation of public debt: Nominal value Instruments included in gross and net debt: Securities Other than Shares; Loans; Shares and Other Equity; Other Accounts Receivable/Payable;. Stocks, T-bonds (special bonds, 2-y, 5-y, 7-y, 10-y, and 15-y), T-bills, other (tax reserve certificates) Primary domestic currency: Tanzanian shilling Data last updated: 03/2022</t>
  </si>
  <si>
    <t>Source: Ministry of Finance or Treasury. Downloaded from MoF website Latest actual data: FY2019/20 Reporting in calendar year: No. Fiscal year data are mapped to calendar year as follows: FY(t-1/t) = CY(t) Start/end months of reporting year: October/September GFS Manual used: Government Finance Statistics Manual (GFSM) 2001 Basis of recording: Accrual General government includes: Central Government; Local Government;. Thailand does not have State Government system. Its central government consists of budgetary central government, extra budgetary funds, and institutions and social security funds. Public debt data includes debt of the central government and non-monetary public corporations. It excludes debt of subnational governments and non-guaranteed debt of financial public corporations. Valuation of public debt: Nominal value. Book value. Instruments included in gross and net debt: Insurance Technical Reserves Primary domestic currency: Thai baht Data last updated: 03/2022</t>
  </si>
  <si>
    <t>Source: Ministry of Finance or Treasury Latest actual data: 2019 Reporting in calendar year: Yes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Monetary Gold and SDRs Primary domestic currency: US dollar Data last updated: 03/2022</t>
  </si>
  <si>
    <t>Source: Ministry of Finance or Treasury Latest actual data: 2020 Reporting in calendar year: Yes Start/end months of reporting year: January/December GFS Manual used: Government Finance Statistics Manual (GFSM) 2001 Basis of recording: Cash General government includes: Central Government; Valuation of public debt: Nominal value Instruments included in gross and net debt: Loans; Monetary Gold and SDRs Primary domestic currency: CFA franc Data last updated: 03/2022</t>
  </si>
  <si>
    <t>Source: Ministry of Finance or Treasury Latest actual data: FY2019/20 Reporting in calendar year: No. Fiscal year data are mapped to calendar year as follows: FY(t-1/t) = CY(t) Start/end months of reporting year: July/June GFS Manual used: Government Finance Statistics Manual (GFSM) 2014 Basis of recording: Cash General government includes: Central Government; Valuation of public debt: Face value Primary domestic currency: Tongan pa'anga Data last updated: 03/2022</t>
  </si>
  <si>
    <t>Source: Ministry of Finance or Treasury Latest actual data: FY2020/21 Fiscal assumptions: Fiscal projections are predicated on the latest fiscal data available, as well as the current budget and subsequent official measures and supplementary budgets. However, it is modified by, among other influences, the Fund staff's macroeconomic projections. Reporting in calendar year: No. Fiscal year data are mapped to calendar year as follows: FY(t-1/t) = CY(t) Start/end months of reporting year: October/September GFS Manual used: Government Finance Statistics Manual (GFSM) 1986 Basis of recording: Cash General government includes: Central Government; Valuation of public debt: Nominal value Instruments included in gross and net debt: Currency and Deposits; Other;. Central government debt excludes short-term debt issued for open market monetary policy purposes. These instruments were matched by corresponding _x001C_ frozen_x001D_  government deposits in the domestic banking system, and cannot be used to finance budgetary operations. Net debt is gross debt minus CG deposits at the Central Bank and Heritage Stabilization Fund assets (about 65% fixed income instruments and 35% equity). Primary domestic currency: Trinidad and Tobago dollar Data last updated: 03/2022</t>
  </si>
  <si>
    <t>Source: Ministry of Finance or Treasury Latest actual data: 2021 Fiscal assumptions: Based on year-on-year growth rate Reporting in calendar year: Yes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Loans Primary domestic currency: Tunisian dinar Data last updated: 03/2022</t>
  </si>
  <si>
    <t>Source: Ministry of Finance or Treasury Latest actual data: 2021 Notes: Gross debt follows the Maastricht definition of gross debt, and excludes other accounts payable. Fiscal assumptions: The basis for the projections in the WEO and Fiscal Monitor is the IMF-defined fiscal balance, which excludes some revenue and expenditure items that are included in the authorities' headline balance. Reporting in calendar year: Yes Start/end months of reporting year: January/December GFS Manual used: Government Finance Statistics Manual (GFSM) 2001 Basis of recording: Accrual General government includes: Central Government; Local Government; Social Security Funds; Other;. Other includes Extra-Budgetary Funds, Revolving Funds and Unemployment Fund. General government budget follows the program definition. Valuation of public debt: Nominal value Instruments included in gross and net debt: Currency and Deposits; Securities Other than Shares; Loans Primary domestic currency: Turkish lira Data last updated: 03/2022</t>
  </si>
  <si>
    <t>Source: Ministry of Finance or Treasury. The authorities have recently submitted detailed data which dates back to 2009. Latest actual data: 2020 Notes: Staff estimates and projections of the fiscal balance exclude receipts from domestic bond issuances as well as privatization operations, in line with GFSM 2014. The authorities' official estimates, which are compiled using domestic statistical methodologies, include bond issuance and privatization proceeds as part of government revenues. Reporting in calendar year: Yes Start/end months of reporting year: January/December GFS Manual used: Government Finance Statistics Manual (GFSM) 1986. The central budget data are not reported according to GFSM 2001 by the authorities. Basis of recording: Cash General government includes: Central Government; Local Government; Valuation of public debt: Nominal value Instruments included in gross and net debt: Treasury bills held by commercial banks; net domestic debt; external public debt (including SOEs). Primary domestic currency: New Turkmen manat Data last updated: 03/2022</t>
  </si>
  <si>
    <t>Source: Ministry of Finance or Treasury Latest actual data: 2019 Reporting in calendar year: Yes Start/end months of reporting year: January/December GFS Manual used: Currently not compiling on GFS manual basis Basis of recording: Tax and grant revenue in cash, others in accrual basis General government includes: Central Government; Valuation of public debt: Current market value Primary domestic currency: Australian dollar Data last updated: 03/2022</t>
  </si>
  <si>
    <t>Source: Ministry of Finance or Treasury Latest actual data: 2020 Reporting in calendar year: Yes. Fiscal sector projections and historical data are both in calendar year. Start/end months of reporting year: January/December GFS Manual used: Government Finance Statistics Manual (GFSM) 2001 Basis of recording: Cash. Cash basis. Moving government accounting to an accrual basis is a medium term objective for Uganda, given the important technical challenges. General government includes: Central Government;. Central Government. There is no framework in place to report fiscal accounts beyond the central government. This is part of Fund's involvement with Uganda over the medium term. Valuation of public debt: Nominal value Instruments included in gross and net debt: Securities Other than Shares; Loans;. Ugandan government gross debt includes Ugandan domestic treasury securities, multilateral and bilateral external loans, as well as some commercial external loans Primary domestic currency: Ugandan shilling Data last updated: 03/2022</t>
  </si>
  <si>
    <t>Source: Ministry of Finance or Treasury Latest actual data: 2021 Fiscal assumptions: Projections based on IMF staff estimates. Reporting in calendar year: Yes Start/end months of reporting year: January/December GFS Manual used: Government Finance Statistics Manual (GFSM) 2001. GFSM 1986 manual is used, certain expenditure data is already in line with the GFSM2001 on cash basis. Basis of recording: Cash General government includes: Central Government; Local Government; Social Security Funds; Valuation of public debt: Nominal value Instruments included in gross and net debt: Currency and Deposits; Securities Other than Shares; Loans Primary domestic currency: Ukrainian hryvnia Data last updated: 03/2022</t>
  </si>
  <si>
    <t>Source: Ministry of Finance or Treasury Latest actual data: 2020 Reporting in calendar year: Yes Start/end months of reporting year: January/December GFS Manual used: Government Finance Statistics Manual (GFSM) 2001. Accrual accounting Basis of recording: Mixed. Fiscal recording varies by emirates; some use cash; some modified cash with some elements of accrual accounting General government includes: Central Government; State Government; Social Security Funds; Other;. Other refers to Budgetary Central Government Valuation of public debt: Nominal value Instruments included in gross and net debt: Securities Other than Shares; Loans;. Includes debt guaranteed by the government Primary domestic currency: U.A.E. dirham Data last updated: 04/2022</t>
  </si>
  <si>
    <t>Source: National Statistics Office. Data takes into account statistical revisions (including on student loans accounting) implemented on September 24, 2019, and revisions to historical data released on December 22, 2020. Latest actual data: 2021 Notes: Note the general government variables exclude the temporary effects of financial interventions. Fiscal assumptions: Fiscal projections are based on the latest GDP data published by the Office of National Statistics on February 11, 2022, and forecasts by the Office for Budget Responsibility from October 27, 2021. Revenue projections are adjusted for differences between the IMF staff's forecasts of macroeconomic variables (such as GDP growth and inflation) and the forecasts of these variables assumed in the authorities' fiscal projections. Projections assume that there is some additional fiscal consolidation relative to the policies announced to date starting in FY2023/24 with the goal of complying with the new fiscal rules announced at the time of the Spending Review on October 27, 2021, and to secure public debt sustainability.  The IMF staff's data exclude public sector banks and the effect of transferring assets from the Royal Mail Pension Plan to the public sector in April 2012. Real government consumption and investment are part of the real GDP path, which, according to the IMF staff, may or may not be the same as projected by the UK Office for Budget Responsibility. Data are presented on a calendar year basis. Reporting in calendar year: Yes. Annual CY data are reconstructed from quarterly data. Start/end months of reporting year: January/December GFS Manual used: Government Finance Statistics Manual (GFSM) 2001 Basis of recording: Accrual General government includes: Central Government; Local Government;. The concept of "state government" and "social security funds" is not applicable to the UK. Valuation of public debt: Nominal value Instruments included in gross and net debt: Currency and Deposits; Securities Other than Shares; Loans;. Net debt is defined as total gross financial liabilities less liquid financial assets, where liquid assets are cash and short-term assets, which can be released for cash at short notice without significant loss Primary domestic currency: British pound Data last updated: 04/2022</t>
  </si>
  <si>
    <t>Source: BEA and IMF's Government Finance Statistics Yearbook (revenue, expenditure, and net lending); Flow of Funds (debt) Latest actual data: 2020 Notes: Revenue, expenditure, and net lending data are is compiled using SNA 2008, and when translated into GFS this is in accordance with GFSM 2014. Due to data limitations, most series begin 2001. Fiscal assumptions: Fiscal projections are based on the July 2021 Congressional Budget Office baseline, adjusted for the IMF staff's policy and macroeconomic assumptions. Projections incorporate the effects of the proposed American Jobs Plan; the American Families Plan; the Bipartisan Infrastructure Law; the legislated American Rescue Plan; the Coronavirus Preparedness and Response Supplemental Appropriations Act; the Families First Coronavirus Response Act; the Coronavirus Aid, Relief, and Economic Security Act; and the Paycheck Protection Program and Health Care Enhancement Act. Finally, fiscal projections are adjusted to reflect the IMF staff's forecasts for key macroeconomic and financial variables and different accounting treatment of financial sector support and of defined-benefit pension plans, and are converted to a general government basis. Reporting in calendar year: Yes. Original Federal Government data are in Fiscal year, all else in calendar year. Start/end months of reporting year: January/December GFS Manual used: Government Finance Statistics Manual (GFSM) 2014 Basis of recording: Accrual General government includes: Central Government; State Government; Local Government; Valuation of public debt: Nominal value Instruments included in gross and net debt: Currency and Deposits; Loans; Insurance Technical Reserves; Financial Derivatives; Monetary Gold and SDRs Primary domestic currency: US dollar Data last updated: 04/2022</t>
  </si>
  <si>
    <t>Source: Ministry of Finance or Treasury Latest actual data: 2021 Notes: Starting from October 2018, the public pension system has been receiving transfers in the context of a new law that compensates persons affected by the creation of the mixed pension system. These funds are recorded as revenues, consistent with IMF's methodology. Therefore, data and projections for 2018 - 2021 are affected by these transfers, which amounted to 1.2 percent of GDP in 2018, 1.1 percent of GDP in 2019, 0.6 percent of GDP in 2020, and are projected to be 0.3 percent of GDP in 2021 and zero percent thereafter. Please see IMF country report No. 19/64 for further details. The disclaimer about the public pension system applies only for the revenues and net lending/borrowing series. Reporting in calendar year: Yes Start/end months of reporting year: January/December GFS Manual used: Government Finance Statistics Manual (GFSM) 1986 Basis of recording: Cash General government includes: Central Government; Local Government; Social Security Funds; Nonmonetary Financial Public Corporations; Nonfinancial Public Corporation;. The coverage of the fiscal data was changed from consolidated public sector to nonfinancial public sector (NFPS) with the October 2019 submission. In Uruguay, NFPS coverage includes Central Government, Local Government, Social Security Funds, Nonfinancial Public Corporations, and Banco de Seguros del Estado. Historical data was revised accordingly. Under this narrower fiscal perimeter assets and liabilities held by the NFPS where the counterpart is the central bank are not netted out in debt figures. In this context, capitalization bonds issued in the past by the government to the central bank are now part of the NFPS debt. Gross and net debt estimates for the period 2008-2011 are preliminary. Valuation of public debt: Face value Instruments included in gross and net debt: Currency and Deposits; Loans; Financial Derivatives; Other Accounts Receivable/Payable; Other Primary domestic currency: Uruguayan peso Data last updated: 04/2022</t>
  </si>
  <si>
    <t>Source: Ministry of Finance or Treasury Latest actual data: 2021 Fiscal assumptions: Based on IMF staff projections for the next five years, except that expenditures in the first projection year are based on the government's budget. Reporting in calendar year: Yes Start/end months of reporting year: January/December GFS Manual used: Government Finance Statistics Manual (GFSM) 2014 Basis of recording: Cash General government includes: Central Government; State Government; Local Government; Social Security Funds; Other; Valuation of public debt: Nominal value Instruments included in gross and net debt: Securities Other than Shares; Loans; Other;. Guarantees Primary domestic currency: Uzbek som Data last updated: 04/2022</t>
  </si>
  <si>
    <t>Source: Ministry of Finance or Treasury Latest actual data: 2020 Reporting in calendar year: Yes Start/end months of reporting year: January/December GFS Manual used: Government Finance Statistics Manual (GFSM) 2001 Basis of recording: Cash General government includes: Central Government; Valuation of public debt: Current market value Primary domestic currency: Vanuatu vatu Data last updated: 04/2022</t>
  </si>
  <si>
    <t>Venezuela</t>
  </si>
  <si>
    <t xml:space="preserve"> </t>
  </si>
  <si>
    <t>Source: Ministry of Finance or Treasury Latest actual data: 2020 Fiscal assumptions: Projections starting 2021 use authorities' 2021 budget numbers and staff own projections Reporting in calendar year: Yes Start/end months of reporting year: January/December GFS Manual used: Government Finance Statistics Manual (GFSM) 2001 Basis of recording: Cash. Accrual based reporting is not available. General government includes: Central Government; State Government; Local Government; Valuation of public debt: Nominal value Primary domestic currency: Vietnamese dong Data last updated: 03/2022</t>
  </si>
  <si>
    <t>WBG</t>
  </si>
  <si>
    <t>Source: Ministry of Finance or Treasury Latest actual data: 2021 Fiscal assumptions: largely growth Reporting in calendar year: Yes Start/end months of reporting year: January/December GFS Manual used: Government Finance Statistics Manual (GFSM) 2001 Basis of recording: Mixed. Authorities produce tables both on commitment and cash basis but these distinctions are not always accurate General government includes: Central Government; Valuation of public debt: Nominal value Instruments included in gross and net debt: Loans; Other Accounts Receivable/Payable Primary domestic currency: Israeli new shekel Data last updated: 03/2022</t>
  </si>
  <si>
    <t>Yemen</t>
  </si>
  <si>
    <t>Source: Ministry of Finance or Treasury Latest actual data: 2020 Fiscal assumptions: Hydrocarbon revenue projection are based on WEO assumptions for hydrocarbon prices and authorities' projections for oil and gas production. Non-hydrocarbon revenues largely reflect authorities projection and the evolution of other key indicators. Over the medium term, we assume conflict resolution, a recovery in economic activity, and additional expenditures associated with reconstruction costs. Reporting in calendar year: Yes Start/end months of reporting year: January/December GFS Manual used: Government Finance Statistics Manual (GFSM) 2001 Basis of recording: Cash General government includes: Central Government; Local Government; Valuation of public debt: Nominal value Primary domestic currency: Yemeni rial Data last updated: 03/2022</t>
  </si>
  <si>
    <t>Source: Ministry of Finance or Treasury Latest actual data: 2021 Fiscal assumptions: Staff estimates. Reporting in calendar year: Yes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Securities Other than Shares; Loans Primary domestic currency: Zambian kwacha Data last updated: 04/2022</t>
  </si>
  <si>
    <t>Source: Ministry of Finance or Treasury Latest actual data: 2019 Notes: Fiscal data prior to 2009 are not reliable. Reporting in calendar year: Yes Start/end months of reporting year: January/December GFS Manual used: Government Finance Statistics Manual (GFSM) 1986 Basis of recording: Cash General government includes: Central Government; Valuation of public debt: Current market value. In U.S. dollars Instruments included in gross and net debt: Securities Other than Shares; Loans Primary domestic currency: Zimbabwe dollar Data last updated: 03/2022</t>
  </si>
  <si>
    <t>International Monetary Fund, World Economic Outlook Database, April 2022</t>
  </si>
  <si>
    <t>Latest GDP</t>
  </si>
  <si>
    <t>Yr</t>
  </si>
  <si>
    <t>NGDP</t>
  </si>
  <si>
    <t>Gross domestic product, current prices</t>
  </si>
  <si>
    <t>Expressed in billions of national currency units. Expenditure-based GDP is total final expenditures at purchasers' prices (including the f.o.b. value of exports of goods and services), less the f.o.b. value of imports of goods and services. [SNA 1993]</t>
  </si>
  <si>
    <t>Source: National Statistics Office Latest actual data: 2020 Notes: National accounts data is originally compiled on the basis of a solar year, which runs from March 21 to March 20. Data is converted to calendar years for the purpose of WEO publication. National accounts manual used: System of National Accounts (SNA) 2008 GDP valuation: Market prices Reporting in calendar year: Yes. National accounts data is originally compiled on the basis of a solar year, which runs from March 21 to March 20 Start/end months of reporting year: January/December Base year: 2016. Base year is the solar year 2002/03 Chain-weighted: No Primary domestic currency: Afghan afghani Data last updated: 01/2022</t>
  </si>
  <si>
    <t>Source: IMF Staff Estimates. Official national accounts, including real GDP growth, rates available from 1996 onwards. Latest actual data: 2020 National accounts manual used: European System of Accounts (ESA) 2010 GDP valuation: Market prices Reporting in calendar year: Yes Start/end months of reporting year: January/December Base year: 1996 Chain-weighted: Yes, from 1996 Primary domestic currency: Albanian lek Data last updated: 04/2022</t>
  </si>
  <si>
    <t>Source: National Statistics Office Latest actual data: 2020 National accounts manual used: System of National Accounts (SNA) 1993 GDP valuation: Market prices Reporting in calendar year: Yes Start/end months of reporting year: January/December Base year: 2001 Chain-weighted: Yes, from 2005 Primary domestic currency: Algerian dinar Data last updated: 03/2022</t>
  </si>
  <si>
    <t>Source: National Statistics Office Latest actual data: 2021 National accounts manual used: Other GDP valuation: Market prices Reporting in calendar year: Yes Start/end months of reporting year: January/December Base year: 2010 Chain-weighted: No Primary domestic currency: Euro Data last updated: 03/2022</t>
  </si>
  <si>
    <t>Source: National Statistics Office. Ministry of Planning Latest actual data: 2020. Starting from the year 2002, historical National Accounts data are provided by Angola's National Institute of Statistics (INE). Data for prior years are based on different sources and/or estimated by IMF staff, including using a ratio slicing method in order to avoid breaks in the data. Notes: Starting from the year 2002, the composition of aggregate demand was revised taking into account updated information from the authorities' National Accounts statistics. Data for prior years are based on [old information] and/or estimated by IMF staff, including using a ratio slicing method in order to avoid breaks in the data. National accounts manual used: European System of Accounts (ESA) 1995 GDP valuation: Market prices Reporting in calendar year: Yes Start/end months of reporting year: January/December Base year: 2002 Chain-weighted: No Primary domestic currency: Angolan kwanza Data last updated: 04/2022</t>
  </si>
  <si>
    <t>Source: Central Bank Latest actual data: 2019.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Nominal and real GDP are measured at market prices Reporting in calendar year: Yes Start/end months of reporting year: January/December Base year: 2006 Chain-weighted: No Primary domestic currency: Eastern Caribbean dollar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</si>
  <si>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2004 Chain-weighted: No Primary domestic currency: Argentine peso Data last updated: 03/2022</t>
  </si>
  <si>
    <t>Source: National Statistics Office Latest actual data: 2021 National accounts manual used: System of National Accounts (SNA) 2008 GDP valuation: Market prices Reporting in calendar year: Yes Start/end months of reporting year: January/December Base year: 2005 Chain-weighted: No Primary domestic currency: Armenian dram Data last updated: 04/2022</t>
  </si>
  <si>
    <t>Source: National Statistics Office Latest actual data: 2020. The Central Bureau of Statistics (CBS) has compiled GDP at current prices by the production and expenditure approaches up to 2009 and has recently done so for the period 2013-17. GDP at constant prices by the expenditure approach has been estimated and disseminated by the Central Bank of Aruba up to 2017. In 2021, the CBS is still working on their update and revision of Aruba's National Account Statistics. National accounts manual used: System of National Accounts (SNA) 1993 GDP valuation: Market prices Reporting in calendar year: Yes Start/end months of reporting year: January/December Base year: 2013 Chain-weighted: Yes, from 2000 Primary domestic currency: Aruban Florin Data last updated: 03/2022</t>
  </si>
  <si>
    <t>Source: National Statistics Office. Australian Bureau of Statistics (via Haver Analytics) Latest actual data: 2021. Data refer to calendar years National accounts manual used: System of National Accounts (SNA) 2008 GDP valuation: Market prices Reporting in calendar year: Yes. Annual CY data are reconstructed from quarterly data Start/end months of reporting year: January/December Base year: 2020. The base period is 2019Q3-2020Q2 Chain-weighted: Yes, from before 1980. Annually-reweighted Primary domestic currency: Australian dollar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</si>
  <si>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2015 Chain-weighted: Yes, from 1995 Primary domestic currency: Euro Data last updated: 03/2022</t>
  </si>
  <si>
    <t>Source: National Statistics Office Latest actual data: 2021 Notes: Data prior to 2001 cannot be confirmed at this time. National accounts manual used: System of National Accounts (SNA) 1993 GDP valuation: Market prices Reporting in calendar year: Yes Start/end months of reporting year: January/December Base year: 2005 Chain-weighted: Yes, from 1994 Primary domestic currency: Azerbaijan manat Data last updated: 03/2022</t>
  </si>
  <si>
    <t>Source: National Statistics Office Latest actual data: 2020 National accounts manual used: System of National Accounts (SNA) 1993 GDP valuation: Market prices Reporting in calendar year: Yes Start/end months of reporting year: January/December Base year: 2012 Chain-weighted: No Primary domestic currency: Bahamian dollar Data last updated: 03/2022</t>
  </si>
  <si>
    <t>Source: National Statistics Office. Prior to 1990 data are IMF staff estimates Latest actual data: 2020 National accounts manual used: System of National Accounts (SNA) 2008 GDP valuation: Market prices Reporting in calendar year: Yes Start/end months of reporting year: January/December Base year: 2010 Chain-weighted: No Primary domestic currency: Bahrain dinar Data last updated: 04/2022</t>
  </si>
  <si>
    <t>Source: National Statistics Office. Bangladesh Bureau of Statistics Latest actual data: FY2019/20 National accounts manual used: System of National Accounts (SNA) 2008 GDP valuation: Market prices Reporting in calendar year: No. Fiscal year data are mapped to calendar year as follows: FY(t-1/t) = CY(t) Start/end months of reporting year: July/June. Authorities report July/June Base year: FY2005/06. The base year is in fiscal year Chain-weighted: No Primary domestic currency: Bangladesh taka Data last updated: 03/2022</t>
  </si>
  <si>
    <t>Source: National Statistics Office. The National Statistics Office is the primary source of National Accounts Data. Partial data is published on the central bank website. Expenditure side not available. Latest actual data: 2019 National accounts manual used: System of National Accounts (SNA) 1993 GDP valuation: Factor costs Reporting in calendar year: Yes Start/end months of reporting year: January/December Base year: 2010. Constant price GDP is based on 1974 as base year, compiled by the Central bank of Barbados (CBB). Currently, the Barbados Statistical Services (BSS) ,with the assistance of CARTAC, began compiling constant price GDP by industry using 2010 as base year. Chain-weighted: No Primary domestic currency: Barbados dollar Data last updated: 03/2022</t>
  </si>
  <si>
    <t>Source: National Statistics Office. Formally, the National Statistical Committee of the Republic of Belarus Latest actual data: 2020 Notes: The national accounts have been updated from 2014 onwards. Prior to 2014 the data are adjusted to produce smooth series with the use of a splicing technique. These estimates continue to serve as proxies for historical series when complete information is unavailable. Statistical discrepancies between GDP and components are a consequence of statistical discrepancies reported by the authorities and chain-weighting. National accounts manual used: System of National Accounts (SNA) 2008 GDP valuation: Market prices Reporting in calendar year: Yes Start/end months of reporting year: January/December Base year: 2018 Chain-weighted: Yes, from 2005 Primary domestic currency: Belarusian ruble Data last updated: 03/2022</t>
  </si>
  <si>
    <t>Source: Central Bank. Data before 1995 were spliced with older series. Data from 1995 reflect current official series, following benchmark national account revision 1995-2018 released in Sept 2019. Latest actual data: 2020 National accounts manual used: European System of Accounts (ESA) 2010 GDP valuation: Market prices Reporting in calendar year: Yes Start/end months of reporting year: January/December Base year: 2015 Chain-weighted: Yes, from 1995. Data before 1995 are spliced with older series. Primary domestic currency: Euro Data last updated: 03/2022</t>
  </si>
  <si>
    <t>Source: National Statistics Office Latest actual data: 2020. National accounts data in real and nominal terms from the production and expenditure sides are available at annual frequency and are published once a year. Data up to 2020 was released on November 2021. Real GDP from the supply side is also published at quarterly frequency. The latest data published goes to the fourth quarter of 2021. National accounts manual used: System of National Accounts (SNA) 1993 GDP valuation: Market prices Reporting in calendar year: Yes Start/end months of reporting year: January/December Base year: 2000 Chain-weighted: No Primary domestic currency: Belize dollar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</si>
  <si>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2015 Chain-weighted: No Primary domestic currency: CFA franc Data last updated: 03/2022</t>
  </si>
  <si>
    <t>Source: National Statistics Office Latest actual data: FY2020/21 National accounts manual used: System of National Accounts (SNA) 2008 GDP valuation: Market prices Reporting in calendar year: No Start/end months of reporting year: July/June Base year: FY1999/2000 Chain-weighted: No Primary domestic currency: Bhutanese ngultrum Data last updated: 04/2022</t>
  </si>
  <si>
    <t>Source: National Statistics Office Latest actual data: 2020 National accounts manual used: System of National Accounts (SNA) 2008 GDP valuation: Market prices Reporting in calendar year: Yes Start/end months of reporting year: January/December Base year: 1990 Chain-weighted: No Primary domestic currency: Bolivian boliviano Data last updated: 03/2022</t>
  </si>
  <si>
    <t>Source: National Statistics Office Latest actual data: 2020 National accounts manual used: European System of Accounts (ESA) 2010 GDP valuation: Market prices Reporting in calendar year: Yes Start/end months of reporting year: January/December Base year: 2015 Chain-weighted: Yes, from 2000 Primary domestic currency: Bosnian convertible marka Data last updated: 03/2022</t>
  </si>
  <si>
    <t>Source: National Statistics Office Latest actual data: 2020 National accounts manual used: System of National Accounts (SNA) 2008. The authority just updated and rebased their Nas using 2008 SNA from 2014 onwards. Before that, data are still based on 1993 SNA GDP valuation: Market prices Reporting in calendar year: Yes Start/end months of reporting year: January/December Base year: 2016 Chain-weighted: No Primary domestic currency: Botswana pula Data last updated: 03/2022</t>
  </si>
  <si>
    <t>Source: National Statistics Office Latest actual data: 2020 National accounts manual used: System of National Accounts (SNA) 2008 GDP valuation: Market prices Reporting in calendar year: Yes Start/end months of reporting year: January/December Base year: 1995 Chain-weighted: No Primary domestic currency: Brazilian real Data last updated: 03/2022</t>
  </si>
  <si>
    <t>Source: Ministry of Finance or Treasury. Department of Economic Planning and Statistics Latest actual data: 2020. None National accounts manual used: System of National Accounts (SNA) 2008 GDP valuation: Market prices Reporting in calendar year: Yes Start/end months of reporting year: January/December Base year: 2010 Chain-weighted: No Primary domestic currency: Brunei dollar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</si>
  <si>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2015 Chain-weighted: Yes, from 1996 Primary domestic currency: Bulgarian lev Data last updated: 03/2022</t>
  </si>
  <si>
    <t>Source: National Statistics Office. The ministry of economy also provides estimates Latest actual data: 2020 National accounts manual used: System of National Accounts (SNA) 2008 GDP valuation: Market prices Reporting in calendar year: Yes Start/end months of reporting year: January/December Base year: 2015 Chain-weighted: No Primary domestic currency: CFA franc Data last updated: 04/2022</t>
  </si>
  <si>
    <t>Source: National Statistics Office. National Statistics Office / World Bank. World Bank estimates from 2012 onwards. Latest actual data: 2019. World Bank estimates used 2012-2019. National accounts manual used: System of National Accounts (SNA) 1993 GDP valuation: Market prices Reporting in calendar year: Yes Start/end months of reporting year: January/December Base year: 2005 Chain-weighted: No Primary domestic currency: Burundi franc Data last updated: 04/2022</t>
  </si>
  <si>
    <t>Source: National Statistics Office Latest actual data: 2020 Notes: The national accounts data have been revised from 2002 onward. The new data are obtained through a new computation methodology that uses an updated input-output table. The base year for the constant prices data is 2007. National accounts manual used: System of National Accounts (SNA) 2008 GDP valuation: Market prices Reporting in calendar year: Yes Start/end months of reporting year: January/December Base year: 2007 Chain-weighted: Yes, from 2011 Primary domestic currency: Cabo Verdean escudo Data last updated: 03/2022</t>
  </si>
  <si>
    <t>Source: National Statistics Office Latest actual data: 2020 National accounts manual used: System of National Accounts (SNA) 1993 GDP valuation: Market prices Reporting in calendar year: Yes Start/end months of reporting year: January/December Base year: 2000. The GDP deflator data from the authorities do not equal 100 in the base period Chain-weighted: No Primary domestic currency: Cambodian riel Data last updated: 02/2022</t>
  </si>
  <si>
    <t>Source: National Statistics Office Latest actual data: 2020 National accounts manual used: System of National Accounts (SNA) 2008 GDP valuation: Market prices Reporting in calendar year: Yes Start/end months of reporting year: January/December Base year: 2016 Chain-weighted: Yes, from 2016. GDP and components are derived using chained price volumes - components are non-additive Primary domestic currency: CFA franc Data last updated: 03/2022</t>
  </si>
  <si>
    <t>Source: National Statistics Office Latest actual data: 2021 National accounts manual used: System of National Accounts (SNA) 2008 GDP valuation: Market prices Reporting in calendar year: Yes Start/end months of reporting year: January/December Base year: 2012 Chain-weighted: Yes, from 1980 Primary domestic currency: Canadian dollar Data last updated: 04/2022</t>
  </si>
  <si>
    <t>Source: National Statistics Office Latest actual data: 2017 National accounts manual used: System of National Accounts (SNA) 1993 GDP valuation: Market prices Reporting in calendar year: Yes Start/end months of reporting year: January/December Base year: 2005 Chain-weighted: No Primary domestic currency: CFA franc Data last updated: 03/2022</t>
  </si>
  <si>
    <t>Source: Central Bank Latest actual data: 2017 National accounts manual used: System of National Accounts (SNA) 1993 GDP valuation: Market prices Reporting in calendar year: Yes Start/end months of reporting year: January/December Base year: 2005 Chain-weighted: No Primary domestic currency: CFA franc Data last updated: 04/2022</t>
  </si>
  <si>
    <t>Source: Central Bank. Real annual data based on seasonally adjusted quarterly data. Latest actual data: 2021 National accounts manual used: System of National Accounts (SNA) 2008 GDP valuation: Market prices Reporting in calendar year: Yes Start/end months of reporting year: January/December Base year: 2018 Chain-weighted: Yes, from 2003 Primary domestic currency: Chilean peso Data last updated: 03/2022</t>
  </si>
  <si>
    <t>Source: National Statistics Office. Data retrieved from CEIC Latest actual data: 2021 National accounts manual used: System of National Accounts (SNA) 2008 GDP valuation: Market prices. Authorities publish production-based measure; staff estimates expenditure-based measures. Reporting in calendar year: Yes Start/end months of reporting year: January/December Base year: 2015 Chain-weighted: No Primary domestic currency: Chinese yuan Data last updated: 03/2022</t>
  </si>
  <si>
    <t>Source: National Statistics Office Latest actual data: 2021 National accounts manual used: System of National Accounts (SNA) 2008 GDP valuation: Market prices Reporting in calendar year: Yes Start/end months of reporting year: January/December Base year: 2015. DANE (Colombia Institute of Statistics) has done a rebasing of the national accounts (now base year is 2015 and before 2005). Data with the new base is ONLY AVAILABLE FROM 2005. The change also includes methodological changes (for example, direct estimation of private consumption based on a survey) and most important, change in the index formulae (historically a Laspeyres fixed-base index and now a Laspeyres chain index). The main implications are that the 2005 and 2015 series are not comparable and the chain index is associated with non-additivity of the components. Chain-weighted: Yes, from 2005 Primary domestic currency: Colombian peso Data last updated: 03/2022</t>
  </si>
  <si>
    <t>Source: Ministry of Finance or Treasury. Planning Commissariat Latest actual data: 2019 National accounts manual used: System of National Accounts (SNA) 1993 GDP valuation: Market prices Reporting in calendar year: Yes Start/end months of reporting year: January/December Base year: 2007 Chain-weighted: Yes, from 2007 Primary domestic currency: Comorian franc Data last updated: 03/2022</t>
  </si>
  <si>
    <t>Source: National Statistics Office Latest actual data: 2020 Notes: Data prior to 2001 cannot be confirmed by national sources at this time. National accounts manual used: System of National Accounts (SNA) 1993 GDP valuation: Market prices Reporting in calendar year: Yes Start/end months of reporting year: January/December Base year: 2005 Chain-weighted: No Primary domestic currency: Congolese franc Data last updated: 03/2022</t>
  </si>
  <si>
    <t>Source: National Statistics Office Latest actual data: 2019 National accounts manual used: System of National Accounts (SNA) 1993 GDP valuation: Market prices Reporting in calendar year: Yes Start/end months of reporting year: January/December Base year: 2005 Chain-weighted: No Primary domestic currency: CFA franc Data last updated: 03/2022</t>
  </si>
  <si>
    <t>Source: Central Bank Latest actual data: 2021 National accounts manual used: System of National Accounts (SNA) 2008 GDP valuation: Market prices Reporting in calendar year: Yes Start/end months of reporting year: January/December Base year: 2017. As of January 2021, national accounts data reflect an updated series (including for all historical years) with 2017 as the benchmark year. Chain-weighted: No Primary domestic currency: Costa Rican colón Data last updated: 04/2022</t>
  </si>
  <si>
    <t>Source: National Statistics Office Latest actual data: 2019 National accounts manual used: System of National Accounts (SNA) 2008 GDP valuation: Market prices Reporting in calendar year: Yes Start/end months of reporting year: January/December Base year: 2015. The authorities' rebasing exercise to 2015 is ongoing Chain-weighted: No Primary domestic currency: CFA franc Data last updated: 03/2022</t>
  </si>
  <si>
    <t>Source: National Statistics Office. By the former Central Bureau of Statistics of the Republic of Croatia (CroStat), now the Croatian Bureau of Statistics (CBS, www.dzs.hr). Latest actual data: 2020 Notes: The authorities produce data from 1995 only; Earlier data for the GDP and its components result from splicing. The GDP estimates include all economic activities within the ESA 2010 production boundary, covering both registered and unregistered activities. In addition to the unregistered activities covered since the implementation of ESA 1995 in 2009, since September 2014 CBS is also covering data on illegal activities within ESA 2010. National accounts manual used: European System of Accounts (ESA) 2010 GDP valuation: Market prices. Gross domestic product (GDP) by expenditure approach is valued at market prices and gross value added (GVA) by production approach is valued at basic prices. Reporting in calendar year: Yes Start/end months of reporting year: January/December Base year: 2015 Chain-weighted: No Primary domestic currency: Croatian kuna Data last updated: 03/2022</t>
  </si>
  <si>
    <t>Source: Eurostat Latest actual data: 2021 National accounts manual used: European System of Accounts (ESA) 2010 GDP valuation: Market prices Reporting in calendar year: Yes Start/end months of reporting year: January/December Base year: 2010 Chain-weighted: Yes, from 1995 Primary domestic currency: Euro Data last updated: 03/2022</t>
  </si>
  <si>
    <t>Source: National Statistics Office Latest actual data: 2020 National accounts manual used: European System of Accounts (ESA) 2010 GDP valuation: Market prices Reporting in calendar year: Yes Start/end months of reporting year: January/December Base year: 2015 Chain-weighted: Yes, from 1995 Primary domestic currency: Czech koruna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</si>
  <si>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2010 Chain-weighted: Yes, from 1980 Primary domestic currency: Danish krone Data last updated: 03/2022</t>
  </si>
  <si>
    <t>Source: National Statistics Office Latest actual data: 2018. 2019 actual data delayed; annual data only National accounts manual used: System of National Accounts (SNA) 2008 GDP valuation: Market prices Reporting in calendar year: Yes Start/end months of reporting year: January/December Base year: 2013 Chain-weighted: No Primary domestic currency: Djibouti franc Data last updated: 03/2022</t>
  </si>
  <si>
    <t>Source: National Statistics Office Latest actual data: 2018 National accounts manual used: System of National Accounts (SNA) 1993 GDP valuation: Market prices Reporting in calendar year: Yes Start/end months of reporting year: January/December Base year: 2006 Chain-weighted: No Primary domestic currency: Eastern Caribbean dollar Data last updated: 03/2022</t>
  </si>
  <si>
    <t>Source: Central Bank Latest actual data: 2021 National accounts manual used: System of National Accounts (SNA) 2008 GDP valuation: Market prices Reporting in calendar year: Yes Start/end months of reporting year: January/December Base year: 2007 Chain-weighted: Yes, from 2007 Primary domestic currency: Dominican peso Data last updated: 03/2022</t>
  </si>
  <si>
    <t>Source: Central Bank Latest actual data: 2021 Notes: The national accounts have been updated from 2002 onwards. Prior to 2002 the data are adjusted to produce smooth series with the use of splicing technique. These estimates continue to serve as proxies for historical series when complete information is unavailable. National accounts manual used: System of National Accounts (SNA) 2008 GDP valuation: Market prices Reporting in calendar year: Yes Start/end months of reporting year: January/December Base year: 2007 Chain-weighted: No Primary domestic currency: US dollar Data last updated: 04/2022</t>
  </si>
  <si>
    <t>Source: Ministry of Economy and/or Planning. Ministry of Planning Latest actual data: FY2020/21 Notes: Data prior to 1987 cannot be confirmed by national sources at this time. National accounts manual used: System of National Accounts (SNA) 2008 GDP valuation: Market prices. Data refer to fiscal years Reporting in calendar year: No. Fiscal year data are mapped to calendar year as follows: FY(t-1/t) = CY(t) Start/end months of reporting year: July/June Base year: FY2016/17 Chain-weighted: No Primary domestic currency: Egyptian pound Data last updated: 03/2022</t>
  </si>
  <si>
    <t>Source: Central Bank Latest actual data: 2020 Notes: The output gap does not close by 2027 because desk assumes a much deeper hit to the potential in 2020 due to long and strict lockdown, and political uncertainty impacting both the actual and potential GDP medium-term growth. National accounts manual used: System of National Accounts (SNA) 2008 GDP valuation: Market prices Reporting in calendar year: Yes Start/end months of reporting year: January/December Base year: 2014 Chain-weighted: No Primary domestic currency: US dollar Data last updated: 03/2022</t>
  </si>
  <si>
    <t>Source: Ministry of Economy and/or Planning. Ministry of Economy, Planning, and Public Investment, and Banque des Etats de l'Afrique Centrale (Central Bank) Latest actual data: 2020 Notes: Since 2006, IMF staff have estimated real GDP growth from hydrocarbon production and investment data and the government expenditure. The national authorities are considering the adoption of the IMF staff estimates. National accounts manual used: System of National Accounts (SNA) 1993 GDP valuation: Market prices Reporting in calendar year: Yes Start/end months of reporting year: January/December Base year: 2006 Chain-weighted: No Primary domestic currency: CFA franc Data last updated: 03/2022</t>
  </si>
  <si>
    <t>Source: IMF Staff Estimates Latest actual data: 2018 National accounts manual used: System of National Accounts (SNA) 1993 GDP valuation: Market prices Reporting in calendar year: Yes Start/end months of reporting year: January/December Base year: 2011 Chain-weighted: No Primary domestic currency: Eritrean nakfa Data last updated: 03/2022</t>
  </si>
  <si>
    <t>Source: National Statistics Office Latest actual data: 2021 Notes: Data from 2003 onwards reflect methodological revisions. National accounts manual used: European System of Accounts (ESA) 2010 GDP valuation: Market prices Reporting in calendar year: Yes Start/end months of reporting year: January/December Base year: 2015 Chain-weighted: Yes, from 2010 Primary domestic currency: Euro Data last updated: 03/2022</t>
  </si>
  <si>
    <t>Source: National Statistics Office. Updated methodology has been applied to the series. Prior to 2000, the data are adjusted using previous historical data as proxies to produce smooth series with the use of splicing technique. Historical data are updated on a continual basis as more information becomes available. Prior to 1990, trade data are calculated from external sector statistics. Latest actual data: 2020 National accounts manual used: System of National Accounts (SNA) 2008 GDP valuation: Market prices Reporting in calendar year: Yes Start/end months of reporting year: January/December Base year: 2011 Chain-weighted: No Primary domestic currency: Swazi lilangeni Data last updated: 03/2022</t>
  </si>
  <si>
    <t>Source: National Statistics Office Latest actual data: FY2020/21 National accounts manual used: System of National Accounts (SNA) 2008 GDP valuation: Factor costs. Data refer to fiscal years (July/June). Data for 2011 represent fiscal year 2010/11. Reporting in calendar year: No. Fiscal year data are mapped to calendar year as follows: FY(t-1/t) = CY(t). Start/end months of reporting year: July/June Base year: FY2020/21 Chain-weighted: No Primary domestic currency: Ethiopian birr Data last updated: 03/2022</t>
  </si>
  <si>
    <t>Source: National Statistics Office. Fiji Islands Bureau of Statistics Latest actual data: 2020 National accounts manual used: System of National Accounts (SNA) 2008 GDP valuation: Factor costs Reporting in calendar year: Yes Start/end months of reporting year: January/December Base year: 2014 Chain-weighted: No Primary domestic currency: Fijian dollar Data last updated: 04/2022</t>
  </si>
  <si>
    <t>Source: National Statistics Office. Downloaded through Haver Analytics Latest actual data: 2020 National accounts manual used: European System of Accounts (ESA) 2010 GDP valuation: Market prices Reporting in calendar year: Yes Start/end months of reporting year: January/December Base year: 2015 Chain-weighted: Yes, from 1980 Primary domestic currency: Euro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</si>
  <si>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2014 Chain-weighted: Yes, from 1980 Primary domestic currency: Euro Data last updated: 03/2022</t>
  </si>
  <si>
    <t>Source: Ministry of Finance or Treasury Latest actual data: 2020 National accounts manual used: System of National Accounts (SNA) 1993 GDP valuation: Market prices Reporting in calendar year: Yes Start/end months of reporting year: January/December Base year: 2001 Chain-weighted: No Primary domestic currency: CFA franc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</si>
  <si>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2013 Chain-weighted: No Primary domestic currency: Gambian dalasi Data last updated: 03/2022</t>
  </si>
  <si>
    <t>Source: National Statistics Office Latest actual data: 2021 Notes: Data prior to 1996 cannot be confirmed by national sources. Data prior to 2010 are based on staff estimates. National accounts manual used: System of National Accounts (SNA) 2008 GDP valuation: Market prices Reporting in calendar year: Yes Start/end months of reporting year: January/December Base year: 2015 Chain-weighted: Yes, from 1996 Primary domestic currency: Georgian lari Data last updated: 04/2022</t>
  </si>
  <si>
    <t>Source: National Statistics Office Latest actual data: 2021 Notes: Data until 1990 refers to German federation only (West Germany). National accounts data until 1990 do not include FISIM. Data from 1991 refer to United Germany and include FISIM. National accounts manual used: European System of Accounts (ESA) 2010 GDP valuation: Market prices Reporting in calendar year: Yes Start/end months of reporting year: January/December Base year: 2015 Chain-weighted: Yes, from 1991 Primary domestic currency: Euro Data last updated: 04/2022</t>
  </si>
  <si>
    <t>Source: National Statistics Office Latest actual data: 2019 National accounts manual used: System of National Accounts (SNA) 2008 GDP valuation: Market prices Reporting in calendar year: Yes Start/end months of reporting year: January/December Base year: 2013 Chain-weighted: No Primary domestic currency: Ghanaian cedi Data last updated: 03/2022</t>
  </si>
  <si>
    <t>Source: National Statistics Office. Formally, the National Statistical Office (ELSTAT) Latest actual data: 2021 Notes: The National Statistical Office has significantly and repeatedly revised national accounts data over the course of the past several years. Official data are only available from 1995. Data prior to 1995 came from European Commission Macro Forecasts (AMECO database). National accounts manual used: European System of Accounts (ESA) 2010 GDP valuation: Market prices Reporting in calendar year: Yes Start/end months of reporting year: January/December Base year: 2015 Chain-weighted: Yes, from 1995 Primary domestic currency: Euro Data last updated: 04/2022</t>
  </si>
  <si>
    <t>Source: National Statistics Office Latest actual data: 2020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Reporting in calendar year: Yes Start/end months of reporting year: January/December Base year: 2006 Chain-weighted: No Primary domestic currency: Eastern Caribbean dollar Data last updated: 03/2022</t>
  </si>
  <si>
    <t>Source: Central Bank. Also use data from Haver. Latest actual data: 2021 National accounts manual used: System of National Accounts (SNA) 2008 GDP valuation: Market prices Reporting in calendar year: Yes Start/end months of reporting year: January/December Base year: 2013 Chain-weighted: Yes, from 2001 Primary domestic currency: Guatemalan quetzal Data last updated: 03/2022</t>
  </si>
  <si>
    <t>Source: National Statistics Office Latest actual data: 2019. No quarterly data produced Notes: Data prior to 1995 cannot be confirmed by national sources at this time. National accounts manual used: System of National Accounts (SNA) 1993 GDP valuation: Market prices Reporting in calendar year: Yes Start/end months of reporting year: January/December Base year: 2010 Chain-weighted: No Primary domestic currency: Guinean franc Data last updated: 03/2022</t>
  </si>
  <si>
    <t>Source: National Statistics Office Latest actual data: 2017 Notes: Data prior to 1997 cannot be confirmed by national sources at this time. National accounts manual used: System of National Accounts (SNA) 2008 GDP valuation: Market prices Reporting in calendar year: Yes Start/end months of reporting year: January/December Base year: 2015 Chain-weighted: No Primary domestic currency: CFA franc Data last updated: 03/2022</t>
  </si>
  <si>
    <t>Source: National Statistics Office Latest actual data: 2021 Notes: Components of GDP by expenditure after 2007 (private and public consumption, private and public investment) are estimates because authorities stopped producing the data. National accounts manual used: System of National Accounts (SNA) 1993 GDP valuation: Factor costs Reporting in calendar year: Yes Start/end months of reporting year: January/December Base year: 2012. Projected real GDP growth in 2020 is potentially overstated and subject to large subsequent revisions because of the very high growth rate of oil GDP, which in turn is elevated on account of the very high oil price in the base year, 2012. A rebasing exercise is expected in 2021 that will resolve this problem, once the data becomes available Chain-weighted: No Primary domestic currency: Guyanese dollar Data last updated: 03/2022</t>
  </si>
  <si>
    <t>Source: National Statistics Office Latest actual data: FY2020/21 National accounts manual used: System of National Accounts (SNA) 2008 GDP valuation: Market prices Reporting in calendar year: No. Fiscal year data are mapped to calendar year as follows: FY(t-1/t) = CY(t) Start/end months of reporting year: October/September Base year: FY2011/12. Fiscal year 2011-2012 Chain-weighted: No Primary domestic currency: Haitian gourde Data last updated: 04/2022</t>
  </si>
  <si>
    <t>Source: Central Bank Latest actual data: 2021 National accounts manual used: System of National Accounts (SNA) 1993 GDP valuation: Market prices Reporting in calendar year: Yes Start/end months of reporting year: January/December Base year: 2000 Chain-weighted: No Primary domestic currency: Honduran lempira Data last updated: 04/2022</t>
  </si>
  <si>
    <t>Source: National Statistics Office. Data retrieved from Haver Latest actual data: 2021 National accounts manual used: System of National Accounts (SNA) 2008 GDP valuation: Market prices Reporting in calendar year: Yes Start/end months of reporting year: January/December Base year: 2019 Chain-weighted: Yes, from 1980 Primary domestic currency: Hong Kong dollar Data last updated: 03/2022</t>
  </si>
  <si>
    <t>Source: National Statistics Office Latest actual data: 2021 Notes: We maintain data only after 1995, as this is what the Statistical office provides. National accounts manual used: European System of Accounts (ESA) 2010 GDP valuation: Market prices Reporting in calendar year: Yes Start/end months of reporting year: January/December Base year: 2015 Chain-weighted: Yes, from 1995. Changes in inventories is an estimate. Primary domestic currency: Hungarian forint Data last updated: 03/2022</t>
  </si>
  <si>
    <t>Source: National Statistics Office Latest actual data: 2020 National accounts manual used: European System of Accounts (ESA) 2010 GDP valuation: Market prices Reporting in calendar year: Yes Start/end months of reporting year: January/December Base year: 2015 Chain-weighted: Yes, from 1990 Primary domestic currency: Icelandic króna Data last updated: 04/2022</t>
  </si>
  <si>
    <t>Source: National Statistics Office. The original data is in fiscal years, which begins in April and ends in March, to match with authorities' reporting methods. Latest actual data: FY2020/21. Latest quarterly data is as of June 2021 National accounts manual used: System of National Accounts (SNA) 2008 GDP valuation: Market prices Reporting in calendar year: No. Fiscal data are mapped to calendar year as follows: FY(t/t+1) = CY(t). Start/end months of reporting year: April/March Base year: FY2011/12. The base year is by Fiscal Year, which is April to March (e.g. FY2004: April 2004 - March 2005). Growth rates of real GDP calculated from 1998 to 2011 are as per national accounts with base year 2004/05, and thereafter are as per national accounts with base year 2011/12 Chain-weighted: No Primary domestic currency: Indian rupee Data last updated: 03/2022</t>
  </si>
  <si>
    <t>Source: National Statistics Office. Accessed via Haver Data. Latest actual data: 2021 National accounts manual used: System of National Accounts (SNA) 2008 GDP valuation: Market prices Reporting in calendar year: Yes Start/end months of reporting year: January/December Base year: 2010 Chain-weighted: No Primary domestic currency: Indonesian rupiah Data last updated: 03/2022</t>
  </si>
  <si>
    <t>Source: Central Bank. The accuracy of data before 1990, the time of the Iran-Iraq war, cannot be verified. Latest actual data: FY2020/21. The fiscal year data are mapped to calendar year as follows: FY(t/t+1) = CY(t) Notes: GDP in current prices in U.S. dollars is calculated by using the official exchange rate of the Central Bank of Iran (CBI). National accounts manual used: System of National Accounts (SNA) 2008 GDP valuation: Market prices Reporting in calendar year: No. Iranian year starts in March 21 and ends in March 20. Fiscal year data are mapped to calendar year as follows: FY(t/t+1) = CY(t) Start/end months of reporting year: April/March Base year: FY2016/17. 2016/17=100 Chain-weighted: No Primary domestic currency: Iranian rial Data last updated: 04/2022</t>
  </si>
  <si>
    <t>Source: National Statistics Office Latest actual data: 2020 National accounts manual used: Other GDP valuation: Market prices Reporting in calendar year: Yes Start/end months of reporting year: January/December Base year: 2007. Base year rebased from 1988 to 2007 in end-2014. Chain-weighted: No Primary domestic currency: Iraqi dinar  Data last updated: 03/2022</t>
  </si>
  <si>
    <t>Source: National Statistics Office. Central Statistical Office of Ireland (CSO) Latest actual data: 2021 Notes: Prior to 1995 Real GDP is calculated using implied growth rates and excludes services produced by financial intermediaries (FISIM). National accounts manual used: European System of Accounts (ESA) 2010 GDP valuation: Market prices Reporting in calendar year: Yes Start/end months of reporting year: January/December Base year: 2017. Base year changes every year. Due to chain-linking, the base equals to 100.1 instead of 100. Chain-weighted: Yes, from 1995 Primary domestic currency: Euro Data last updated: 03/2022</t>
  </si>
  <si>
    <t>Source: National Statistics Office Latest actual data: 2021 National accounts manual used: System of National Accounts (SNA) 2008 GDP valuation: Market prices Reporting in calendar year: Yes Start/end months of reporting year: January/December Base year: 2015 Chain-weighted: Yes, from 1995 Primary domestic currency: Israeli new shekel Data last updated: 03/2022</t>
  </si>
  <si>
    <t>Source: National Statistics Office Latest actual data: 2020. Annual and quarterly data are on the work-adjusted basis. National accounts manual used: European System of Accounts (ESA) 2010 GDP valuation: Market prices Reporting in calendar year: Yes Start/end months of reporting year: January/December Base year: 2015 Chain-weighted: Yes, from 1980 Primary domestic currency: Euro Data last updated: 04/2022</t>
  </si>
  <si>
    <t>Source: National Statistics Office Latest actual data: 2020 National accounts manual used: System of National Accounts (SNA) 1993 GDP valuation: Market prices Reporting in calendar year: Yes. CY data are constructed from quarterly data. Start/end months of reporting year: January/December Base year: 2007. Base year was changed from 2003 to 2007 for the Spring 2012 WEO round. Chain-weighted: No Primary domestic currency: Jamaican dollar Data last updated: 03/2022</t>
  </si>
  <si>
    <t>Source: Cabinet Office of Japan via Haver database. Latest actual data: 2020 Notes: the recent revision didn't go back pre-1994 National accounts manual used: System of National Accounts (SNA) 2008 GDP valuation: Market prices Reporting in calendar year: Yes Start/end months of reporting year: January/December Base year: 2015 Chain-weighted: Yes, from 1980 Primary domestic currency: Japanese yen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</si>
  <si>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2016 Chain-weighted: No Primary domestic currency: Jordanian dinar Data last updated: 03/2022</t>
  </si>
  <si>
    <t>Source: National Statistics Office Latest actual data: 2020 Notes: Data prior to 1996 cannot be confirmed by national sources at this time. National accounts manual used: System of National Accounts (SNA) 1993 GDP valuation: Market prices. Official GDP is calculated based on production, which does not match the total by expenditure's components. Reporting in calendar year: Yes Start/end months of reporting year: January/December Base year: 2005 Chain-weighted: Yes, from 1994 Primary domestic currency: Kazakhstani tenge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</si>
  <si>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2016 Chain-weighted: No Primary domestic currency: Kenyan shilling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</si>
  <si>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2006 Chain-weighted: No Primary domestic currency: Australian dollar Data last updated: 03/2022</t>
  </si>
  <si>
    <t>Source: Central Bank Latest actual data: 2021. Some components are through 2020. National accounts manual used: System of National Accounts (SNA) 2008 GDP valuation: Market prices Reporting in calendar year: Yes Start/end months of reporting year: January/December Base year: 2015 Chain-weighted: Yes, from before 1980 Primary domestic currency: South Korean won Data last updated: 03/2022</t>
  </si>
  <si>
    <t>Source: National Statistics Office Latest actual data: 2020 National accounts manual used: European System of Accounts (ESA) 2010 GDP valuation: Market prices Reporting in calendar year: Yes Start/end months of reporting year: January/December Base year: 2016. Base year changes as new data is released - previous year's prices Chain-weighted: No Primary domestic currency: Euro Data last updated: 03/2022</t>
  </si>
  <si>
    <t>Source: Ministry of Planning and Central Statistical Office Latest actual data: 2020. Preliminary numbers Notes: Real GDP data for the period 1990-2009 have been adjusted by desk economist to account for breaks in the source data. The breaks are associated with changes in the base year from 1984 to 1995, to 2000, and subsequently to 2010. Pre-revision data exist for the period prior to 1995. The nominal data were revised back to 1995. The latest revision of nominal and real data go to 2010. Using the pre-revision data, desk economist recalculated the constant price data for the period prior to 1995 so that y-o-y change of each component remains unchanged. A similar adjustment was made to the period 1995-2009. National accounts manual used: System of National Accounts (SNA) 1993 GDP valuation: Market prices Reporting in calendar year: Yes Start/end months of reporting year: January/December Base year: 2010. Nominal data has been revised by country authorities, therefore, deflators do not add to 100 until the Real figures get revised. Chain-weighted: No Primary domestic currency: Kuwaiti dinar Data last updated: 03/2022</t>
  </si>
  <si>
    <t>Source: National Statistics Office Latest actual data: 2021 National accounts manual used: System of National Accounts (SNA) 1993 GDP valuation: Market prices Reporting in calendar year: Yes Start/end months of reporting year: January/December Base year: 2005 Chain-weighted: Yes, from 2010 Primary domestic currency: Kyrgyz som Data last updated: 03/2022</t>
  </si>
  <si>
    <t>Source: National Statistics Office Latest actual data: 2020 National accounts manual used: System of National Accounts (SNA) 1993 GDP valuation: Market prices Reporting in calendar year: Yes Start/end months of reporting year: January/December Base year: 2012 Chain-weighted: No Primary domestic currency: Lao kip Data last updated: 02/2022</t>
  </si>
  <si>
    <t>Source: National Statistics Office Latest actual data: 2021 National accounts manual used: European System of Accounts (ESA) 2010 GDP valuation: Market prices Reporting in calendar year: Yes Start/end months of reporting year: January/December Base year: 2015 Chain-weighted: Yes, from 1995 Primary domestic currency: Euro Data last updated: 04/2022</t>
  </si>
  <si>
    <t>Source: National Statistics Office Latest actual data: 2019 Notes: We use a weighted average of the official and parallel exchange rates for 2019-21. Starting in 2022, the exchange rate applied throughout the series is the parallel market exchange rate. National accounts manual used: System of National Accounts (SNA) 2008 GDP valuation: Market prices Reporting in calendar year: Yes Start/end months of reporting year: January/December Base year: 2010. Official quarterly data are based on 2015; annual on 2010. We re-base quarterly data in our files. Chain-weighted: Yes, from 2010. Official quarterly data are based on 2015; annual on 2010. We re-base quarterly data in our files. Primary domestic currency: Lebanese pound Data last updated: 03/2022</t>
  </si>
  <si>
    <t>Source: National Statistics Office Latest actual data: FY2019/20. Fiscal year data are mapped to calendar year as follows: FY(t/t+1) = CY(t) Notes: The national accounts real values have been updated from 2015 onwards. Prior to 2015 the data has been adjusted to produce smooth series with the use of splicing technique. These estimates continue to serve as proxies for historical series when complete information is unavailable. National accounts manual used: System of National Accounts (SNA) 2008 GDP valuation: Market prices Reporting in calendar year: No Start/end months of reporting year: April/March Base year: FY2012/13 Chain-weighted: No Primary domestic currency: Lesotho loti Data last updated: 03/2022</t>
  </si>
  <si>
    <t>Source: IMF Staff Estimates. IMF STA preliminary survey; Publish growth rate from 2000 only, no data prior to 1999 due to civil war in the country. Latest actual data: 2016 Notes: Real GDP are in billions of U.S. dollars. The National Accounts data are staff estimates and are based on the preliminary results of the 2016 Household Income and Expenditure Survey, and of an ongoing STA technical assistance on National Accounts. The pre-2016 data were spliced with a constant ratio. These staff estimates will be replaced once official data become available. National accounts manual used: System of National Accounts (SNA) 1993 GDP valuation: Market prices Reporting in calendar year: Yes Start/end months of reporting year: January/December Base year: 2018. Official base year is 1992. Chain-weighted: No Primary domestic currency: US dollar Data last updated: 03/2022</t>
  </si>
  <si>
    <t>Source: Central Bank Latest actual data: 2020 National accounts manual used: System of National Accounts (SNA) 1993 GDP valuation: Market prices Reporting in calendar year: Yes Start/end months of reporting year: January/December Base year: 2007 Chain-weighted: No Primary domestic currency: Libyan dinar Data last updated: 03/2022</t>
  </si>
  <si>
    <t>Source: National Statistics Office. Data from Statistics Lithuania: http://www.stat.gov.lt/en/ Latest actual data: 2021 Notes: Data prior to 1995 cannot be confirmed by national sources at this time. National accounts manual used: European System of Accounts (ESA) 2010 GDP valuation: Market prices Reporting in calendar year: Yes Start/end months of reporting year: January/December Base year: 2015 Chain-weighted: Yes, from 2005 Primary domestic currency: Euro Data last updated: 03/2022</t>
  </si>
  <si>
    <t>Source: National Statistics Office Latest actual data: 2020 National accounts manual used: European System of Accounts (ESA) 2010 GDP valuation: Market prices Reporting in calendar year: Yes Start/end months of reporting year: January/December Base year: 2015 Chain-weighted: Yes, from 1995. The Luxembourg statistics office (STATEC) publishes the national accounts data starting from 2000 only. Previously, the same data were published from 1995, but when the authorities moved to the ESA 2010 standard, the historical data were only revised back to 2000. Primary domestic currency: Euro Data last updated: 03/2022</t>
  </si>
  <si>
    <t>Source: National Statistics Office Latest actual data: 2021 National accounts manual used: System of National Accounts (SNA) 2008 GDP valuation: Market prices Reporting in calendar year: Yes Start/end months of reporting year: January/December Base year: 2019 Chain-weighted: Yes, from 2001 Primary domestic currency: Macanese pataca Data last updated: 04/2022</t>
  </si>
  <si>
    <t>Source: National Statistics Office Latest actual data: 2018. 2019 and 2020 are preliminary data National accounts manual used: System of National Accounts (SNA) 1993 GDP valuation: Market prices Reporting in calendar year: Yes Start/end months of reporting year: January/December Base year: 2007 Chain-weighted: No Primary domestic currency: Malagasy ariary Data last updated: 03/2022</t>
  </si>
  <si>
    <t>Source: National Statistics Office Latest actual data: 2020. Since 2011 we have used IMF staff's and Malawian authorities' combined estimates for National Accounts data. National accounts manual used: System of National Accounts (SNA) 2008 GDP valuation: Market prices Reporting in calendar year: Yes Start/end months of reporting year: January/December Base year: 2017. Rebased to 2017 from 2010 Chain-weighted: No Primary domestic currency: Malawian kwacha Data last updated: 04/2022</t>
  </si>
  <si>
    <t>Source: National Statistics Office. From Department of Statistics Malaysia (DOS) downloaded via CEIC Latest actual data: 2021 Notes: GDP was rebased by the National Statistical Office, new base year is 2015. The official series starts in 2015. Data prior to that is spliced based on the old series. National accounts manual used: System of National Accounts (SNA) 2008 GDP valuation: Market prices Reporting in calendar year: Yes Start/end months of reporting year: January/December Base year: 2015. Data prior to 2015 are spliced by the country team. Chain-weighted: No Primary domestic currency: Malaysian ringgit Data last updated: 03/2022</t>
  </si>
  <si>
    <t>Source: Ministry of Finance or Treasury. National Bureau of Statistics Latest actual data: 2020 National accounts manual used: System of National Accounts (SNA) 1993 GDP valuation: Market prices. Production-based measure. Reporting in calendar year: Yes Start/end months of reporting year: January/December Base year: 2014 Chain-weighted: No Primary domestic currency: Maldivian rufiyaa Data last updated: 04/2022</t>
  </si>
  <si>
    <t>Source: National Statistics Office Latest actual data: 2019 Notes: National accounts have new methodology starting in 1990. Projections from 2022 are based on the assumption that the sanctions imposed on Mali in January 2022 will last for 4-5 months. National accounts manual used: System of National Accounts (SNA) 1993 GDP valuation: Market prices Reporting in calendar year: Yes Start/end months of reporting year: January/December Base year: 1999 Chain-weighted: No Primary domestic currency: CFA franc Data last updated: 03/2022</t>
  </si>
  <si>
    <t>Source: National Statistics Office. Eurostat Latest actual data: 2021 National accounts manual used: European System of Accounts (ESA) 2010 GDP valuation: Market prices Reporting in calendar year: Yes Start/end months of reporting year: January/December Base year: 2015 Chain-weighted: Yes, from 2000 Primary domestic currency: Euro Data last updated: 03/2022</t>
  </si>
  <si>
    <t>Source: National Statistics Office Latest actual data: FY2019/20 National accounts manual used: System of National Accounts (SNA) 2008 GDP valuation: Market prices Reporting in calendar year: No. Fiscal year data are mapped to calendar year as follows: FY(t-1/t) = CY(t) Start/end months of reporting year: October/September Base year: FY2003/04. Base year is Fiscal Year 2004 (Calendar Year 2003/2004). Chain-weighted: No Primary domestic currency: US dollar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</si>
  <si>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2014 Chain-weighted: Yes, from 2014 Primary domestic currency: New Mauritanian ouguiya Data last updated: 04/2022</t>
  </si>
  <si>
    <t>Source: National Statistics Office Latest actual data: 2020 Notes: Figures for exports and imports of services are not equal to those compiled by the BOM, due to the difference in sectoral coverage and the treatment of FISIM by CSO and BOM. National accounts manual used: System of National Accounts (SNA) 2008 GDP valuation: Market prices Reporting in calendar year: Yes Start/end months of reporting year: January/December Base year: 2006 Chain-weighted: Yes, from 1999 Primary domestic currency: Mauritian rupee Data last updated: 03/2022</t>
  </si>
  <si>
    <t>Source: National Statistics Office Latest actual data: 2021 National accounts manual used: System of National Accounts (SNA) 2008 GDP valuation: Market prices Reporting in calendar year: Yes Start/end months of reporting year: January/December Base year: 2013 Chain-weighted: No Primary domestic currency: Mexican peso Data last updated: 03/2022</t>
  </si>
  <si>
    <t>Source: National Statistics Office Latest actual data: FY2017/18 National accounts manual used: System of National Accounts (SNA) 1993 GDP valuation: Market prices Reporting in calendar year: No. Fiscal year data are mapped to calendar year as follows: FY(t-1/t) = CY(t) Start/end months of reporting year: October/September Base year: FY2003/04 Chain-weighted: No Primary domestic currency: US dollar Data last updated: 03/2022</t>
  </si>
  <si>
    <t>Source: National Statistics Office Latest actual data: 2021 Notes: National accounts data from 2010 onwards sourced from the latest update by the National Bureau of Statistics. National accounts data prior to 2010 have been back spliced by IMF staff. National accounts manual used: System of National Accounts (SNA) 2008 GDP valuation: Market prices Reporting in calendar year: Yes Start/end months of reporting year: January/December Base year: 1995. The National Statistics Office is using 2010 as a base year while this submission is based on 1995. Chain-weighted: No Primary domestic currency: Moldovan leu Data last updated: 04/2022</t>
  </si>
  <si>
    <t>Source: National Statistics Office. Discrepancies rise from staff estimates based on the balance of payment data and the authorities' data on net exports at constant price. Latest actual data: 2021 Notes: Data prior to 1991 cannot be confirmed by national sources. Data after 2000 has been rebased National accounts manual used: System of National Accounts (SNA) 2008 GDP valuation: Market prices Reporting in calendar year: Yes Start/end months of reporting year: January/December Base year: 2015 Chain-weighted: No Primary domestic currency: Mongolian tögrög   Data last updated: 03/2022</t>
  </si>
  <si>
    <t>Source: National Statistics Office. MONSTAT Latest actual data: 2020 National accounts manual used: European System of Accounts (ESA) 2010 GDP valuation: Market prices Reporting in calendar year: Yes Start/end months of reporting year: January/December Base year: 2006 Chain-weighted: No Primary domestic currency: Euro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</si>
  <si>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2007 Chain-weighted: Yes, from 2007 Primary domestic currency: Moroccan dirham Data last updated: 04/2022</t>
  </si>
  <si>
    <t>Source: National Statistics Office. Instituto Nacional de Estadistica (INE). Latest actual data: 2020. (1) There are discrepancies in the demand side of the national accounts. The reason for the discrepancies is that we don't adopt the authorities data for exports and imports in the national accounts, because the trade data in the national accounts do not include trades related to megaprojects (mainly natural resource projects). The authorities are currently working on addressing this issue supported by STA's TAs   (2) no constant price data on inventories, removed from dataset that was leading to zeros. (3) quarterly data from the demand side are not available. Notes: Data prior to 1992 cannot be confirmed by national sources at this time. National accounts manual used: System of National Accounts (SNA) 1993 GDP valuation: Market prices Reporting in calendar year: Yes Start/end months of reporting year: January/December Base year: 2014 Chain-weighted: No Primary domestic currency: Mozambican metical Data last updated: 04/2022</t>
  </si>
  <si>
    <t>Source: Ministry of National Planning and Economic Development. Historical data up to 2015/16 have been re-estimated by IMF staff to ensure data consistency after the change of fiscal year from April-March to October-September. Latest actual data: FY2019/20. FY(t/t+1) = CY(t+1) National accounts manual used: Other GDP valuation: Market prices. Data refer to fiscal years Reporting in calendar year: No. Fiscal year data are mapped to calendar year as follows: FY(t-1/t) = CY(t) Start/end months of reporting year: October/September. In 2018 Myanmar authorities changed the fiscal year to 1 October to 30 September from previously 1 April to 31 March. Historical data up to 2015/16 have been re-estimated by IMF staff to ensure data consistency. Base year: FY2015/16 Chain-weighted: No Primary domestic currency: Myanmar kyat Data last updated: 03/2022</t>
  </si>
  <si>
    <t>Source: National Statistics Office Latest actual data: 2020 National accounts manual used: System of National Accounts (SNA) 1993 GDP valuation: Market prices Reporting in calendar year: Yes. Annual CY data are reconstructed from quarterly data Start/end months of reporting year: January/December Base year: 2015 Chain-weighted: No Primary domestic currency: Namibian dollar Data last updated: 03/2022</t>
  </si>
  <si>
    <t>Source: Nauru Authorities, IMF staff estimates Latest actual data: FY2018/19 National accounts manual used: System of National Accounts (SNA) 2008 GDP valuation: Market prices Reporting in calendar year: No. Fiscal year data are mapped to calendar year as follows: FY(t-1/t) = CY(t) Start/end months of reporting year: July/June Base year: FY2006/07 Chain-weighted: No Primary domestic currency: Australian dollar Data last updated: 03/2022</t>
  </si>
  <si>
    <t>Source: National Statistics Office Latest actual data: FY2019/20 National accounts manual used: System of National Accounts (SNA) 1993 GDP valuation: Market prices. Data refer to fiscal years Reporting in calendar year: No. Fiscal year data are mapped to calendar year as follows: FY(t-1/t) = CY(t) Start/end months of reporting year: August/July. Fiscal year starts on July 16th, and ends July 15th the following year Base year: FY2000/01. Data prior to 2000/01 were estimated by IMF staff by using data splicing Chain-weighted: No Primary domestic currency: Nepalese rupee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</si>
  <si>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2015 Chain-weighted: Yes, from 1980 Primary domestic currency: Euro Data last updated: 03/2022</t>
  </si>
  <si>
    <t>Source: National Statistics Office. Statistics New Zealand Latest actual data: 2021. Authorities' actual annual data are April/March recalculated using quarterly data as Jan/Dec Notes: Starting with the April 2021 WEO, real GDP data and forecasts are reported on a production basis. Nominal GDP data are reported on expenditure basis. National accounts manual used: System of National Accounts (SNA) 2008 GDP valuation: Market prices. Data refer to calendar years Reporting in calendar year: Yes. Annual CY data are reconstructed from quarterly data Start/end months of reporting year: January/December Base year: 2009. The base year is 2009Q2 to 2010Q1 Chain-weighted: Yes, from 1987 Primary domestic currency: New Zealand dollar Data last updated: 03/2022</t>
  </si>
  <si>
    <t>Source: Central Bank Latest actual data: 2020. Real sector indicators may be lagged by one quarter Notes: Due to political and economic events (civil war and hyperinflation) data prior to 1995 are less reliable. National accounts manual used: System of National Accounts (SNA) 1993 GDP valuation: Market prices Reporting in calendar year: Yes Start/end months of reporting year: January/December Base year: 2006 Chain-weighted: Yes, from 1994. annual overlap Primary domestic currency: Nicaraguan córdoba Data last updated: 03/2022</t>
  </si>
  <si>
    <t>Source: National Statistics Office Latest actual data: 2020. 2020 is an estimate. National accounts manual used: System of National Accounts (SNA) 2008 GDP valuation: Factor costs Reporting in calendar year: Yes Start/end months of reporting year: January/December Base year: 2015 Chain-weighted: No Primary domestic currency: CFA franc Data last updated: 03/2022</t>
  </si>
  <si>
    <t>Source: National Statistics Office. Official re-based (2010) data for 2010-13 was published in July 2014, based on SNA 2008. Official back casted data were published in July 2016 and 1990-2009 nominal and real GDP numbers were updated. However expenditure components of GDP are still IMF staff estimates and are subject to revision with official back casted data. Latest actual data: 2020 Notes: Official back casted data were published in July 2016 and 1990-2009 nominal and real GDP numbers were updated. However expenditure components of GDP are still IMF staff estimates and are subject to revision with official back casted data. National accounts manual used: System of National Accounts (SNA) 2008 GDP valuation: Market prices Reporting in calendar year: Yes Start/end months of reporting year: January/December Base year: 2010 Chain-weighted: No Primary domestic currency: Nigerian naira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</si>
  <si>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2005 Chain-weighted: No Primary domestic currency: Macedonian denar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</si>
  <si>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2019 Chain-weighted: Yes, from 1980 Primary domestic currency: Norwegian krone Data last updated: 03/2022</t>
  </si>
  <si>
    <t>Source: National Statistics Office Latest actual data: 2020 National accounts manual used: System of National Accounts (SNA) 1993 GDP valuation: Market prices Reporting in calendar year: Yes Start/end months of reporting year: January/December Base year: 2010 Chain-weighted: No Primary domestic currency: Omani rial Data last updated: 03/2022</t>
  </si>
  <si>
    <t>Source: National Statistics Office Latest actual data: FY2020/21. Fiscal year data are mapped to calendar year as follows: FY(t/t+1) = CY(t+1) National accounts manual used: System of National Accounts (SNA) 2008 GDP valuation: Real GDP is based on factor costs whereas nominal GDP is based on market prices. Reporting in calendar year: No. Fiscal year data are mapped to calendar year as follows: FY(t-1/t) = CY(t) Start/end months of reporting year: July/June Base year: FY2015/16. Data before 2016 were extended backwards using growth rates for overall GDP and expenditure component shares of the original series. Real GDP is based on factor costs whereas nominal GDP is based on market prices. As a result, any calculated GDP deflator using these the two different concepts will not be accurate. Chain-weighted: No Primary domestic currency: Pakistan rupee Data last updated: 03/2022</t>
  </si>
  <si>
    <t>Source: Ministry of Finance or Treasury Latest actual data: FY2019/20 National accounts manual used: System of National Accounts (SNA) 1993 GDP valuation: Market prices Reporting in calendar year: No. Fiscal year data are mapped to calendar year as follows: FY(t-1/t) = CY(t). Start/end months of reporting year: October/September Base year: FY2018/19 Chain-weighted: No Primary domestic currency: US dollar Data last updated: 04/2022</t>
  </si>
  <si>
    <t>Source: National Statistics Office Latest actual data: 2020 National accounts manual used: System of National Accounts (SNA) 1993 GDP valuation: Market prices Reporting in calendar year: Yes Start/end months of reporting year: January/December Base year: 2007. The deflator in base year 2007 is not exactly 100 because of data splicing. In October 2015 the authorities published new national accounts with a base year of 2007. The new methodology uses chain-linked volume measures as opposed to constant prices. Data for years before 2007 currently do not exist for the re-based series. Chain-weighted: Yes, from 2007 Primary domestic currency: US dollar Data last updated: 03/2022</t>
  </si>
  <si>
    <t>Source: National Statistical Office and MOF Latest actual data: 2020 National accounts manual used: System of National Accounts (SNA) 2008 GDP valuation: Market prices Reporting in calendar year: Yes Start/end months of reporting year: January/December Base year: 2013 Chain-weighted: No Primary domestic currency: Papua New Guinea kina Data last updated: 03/2022</t>
  </si>
  <si>
    <t>Source: Central Bank Latest actual data: 2020 Notes: Before 2008, GDP data were constructed backward using the new 2014 base year. National accounts manual used: System of National Accounts (SNA) 2008 GDP valuation: Market prices Reporting in calendar year: Yes Start/end months of reporting year: January/December Base year: 2014 Chain-weighted: No Primary domestic currency: Paraguayan guaraní Data last updated: 04/2022</t>
  </si>
  <si>
    <t>Source: Central Bank Latest actual data: 2021 National accounts manual used: System of National Accounts (SNA) 2008 GDP valuation: Market prices Reporting in calendar year: Yes Start/end months of reporting year: January/December Base year: 2007 Chain-weighted: No Primary domestic currency: Peruvian sol Data last updated: 03/2022</t>
  </si>
  <si>
    <t>Source: National Statistics Office. accessed via Haver Latest actual data: 2021 National accounts manual used: System of National Accounts (SNA) 2008 GDP valuation: Market prices Reporting in calendar year: Yes Start/end months of reporting year: January/December Base year: 2018 Chain-weighted: No Primary domestic currency: Philippine peso Data last updated: 03/2022</t>
  </si>
  <si>
    <t>Source: National Statistics Office Latest actual data: 2021 Notes: Data prior to 1995 cannot be confirmed by national sources at this time. National accounts manual used: European System of Accounts (ESA) 2010 GDP valuation: Market prices Reporting in calendar year: Yes Start/end months of reporting year: January/December Base year: 2015 Chain-weighted: Yes, from 2015 Primary domestic currency: Polish zloty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</si>
  <si>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2016 Chain-weighted: Yes, from 1980 Primary domestic currency: Euro Data last updated: 04/2022</t>
  </si>
  <si>
    <t>Source: National Statistics Office. Puerto Rico Planning Board Latest actual data: FY2019/20 National accounts manual used: Other GDP valuation: Market prices Reporting in calendar year: No. Fiscal year data are mapped to calendar year as follows: FY(t-1/t) = CY(t) Start/end months of reporting year: July/June Base year: 1954 Chain-weighted: No Primary domestic currency: US dollar Data last updated: 03/2022</t>
  </si>
  <si>
    <t>Source: National Statistics Office. Qatar Planning and Statistics Authority(from 2010); Haver and IMF staff estimates (pre-2010). Latest actual data: 2020 National accounts manual used: System of National Accounts (SNA) 1993 GDP valuation: Market prices Reporting in calendar year: Yes Start/end months of reporting year: January/December Base year: 2018 Chain-weighted: No Primary domestic currency: Qatari riyal Data last updated: 04/2022</t>
  </si>
  <si>
    <t>Source: National Statistics Office. Source: Eurostat and National Institute of Statistics. Minor differences between National Statistical Office and Eurostat. Latest actual data: 2020 National accounts manual used: European System of Accounts (ESA) 2010 GDP valuation: Market prices Reporting in calendar year: Yes Start/end months of reporting year: January/December Base year: 2015 Chain-weighted: Yes, from 2000 Primary domestic currency: Romanian leu Data last updated: 03/2022</t>
  </si>
  <si>
    <t>Source: National Statistics Office Latest actual data: 2021 Notes: Gross capital formation includes statistical discrepancy. National accounts manual used: System of National Accounts (SNA) 2008 GDP valuation: Market prices Reporting in calendar year: Yes Start/end months of reporting year: January/December Base year: 2016. The discrepancy in historical national account comes from source data which recently got rebased. In the new methodology they rebased all the components of GDP prior to Q1 2016 by using the growth rates of the old series in 2011 prices. Chain-weighted: Yes, from 1995 Primary domestic currency: Russian ruble Data last updated: 04/2022</t>
  </si>
  <si>
    <t>Source: National Statistics Office Latest actual data: 2019 National accounts manual used: System of National Accounts (SNA) 2008 GDP valuation: Market prices Reporting in calendar year: Yes Start/end months of reporting year: January/December Base year: 2017 Chain-weighted: No Primary domestic currency: Rwandan franc Data last updated: 03/2022</t>
  </si>
  <si>
    <t>Source: National Statistics Office Latest actual data: FY2020/21 Notes: Data prior to 2000 cannot be confirmed by national sources at this time. National accounts manual used: System of National Accounts (SNA) 2008 GDP valuation: Market prices. Data refer to fiscal years Reporting in calendar year: No. Fiscal year data are mapped to calendar year as follows: FY(t-1/t) = CY(t) Start/end months of reporting year: July/June Base year: FY2012/13. Base year was updated from 2009 to 2013, affecting the data from 2009. Chain-weighted: No Primary domestic currency: Samoan tala Data last updated: 03/2022</t>
  </si>
  <si>
    <t>Source: National Statistics Office Latest actual data: 2020 National accounts manual used: European System of Accounts (ESA) 2010 GDP valuation: Market prices Reporting in calendar year: Yes Start/end months of reporting year: January/December Base year: 2007 Chain-weighted: No Primary domestic currency: Euro Data last updated: 03/2022</t>
  </si>
  <si>
    <t>Source: National Statistics Office. Instituto Nacional de Estatistica de Sao Tome &amp; Principe. Latest actual data: 2020 Notes: There is a break in the series for 2001 onwards due to revision in GDP data. National accounts manual used: System of National Accounts (SNA) 1993 GDP valuation: Market prices Reporting in calendar year: Yes Start/end months of reporting year: January/December Base year: 2008. Previously it was 2000. Manual revision to 2000 to smooth the series since the authorities did not splice and provide 2000. The rebased series begins in 2001 Chain-weighted: No Primary domestic currency: São Tomé and Príncipe dobra Data last updated: 04/2022</t>
  </si>
  <si>
    <t>Source: National Statistics Office. General Authority for Statistics, Kingdom of Saudi Arabia (GSTAT) Latest actual data: 2021 National accounts manual used: System of National Accounts (SNA) 2008 GDP valuation: Factor costs Reporting in calendar year: Yes Start/end months of reporting year: January/December Base year: 2010 Chain-weighted: No Primary domestic currency: Saudi riyal Data last updated: 03/2022</t>
  </si>
  <si>
    <t>Source: National Statistics Office Latest actual data: 2019 National accounts manual used: System of National Accounts (SNA) 2008 GDP valuation: Market prices Reporting in calendar year: Yes Start/end months of reporting year: January/December Base year: 2014 Chain-weighted: No Primary domestic currency: CFA franc Data last updated: 03/2022</t>
  </si>
  <si>
    <t>Source: National Statistics Office. Statistical Office of the Republic of Serbia Latest actual data: 2020. The country in its current form has been in existence since 1992. Official data are only available from 1999 onward. The data prior to 1992 is presumably for the former SFR Yugoslavia. Metadata analysis available through the statistics office. National accounts manual used: European System of Accounts (ESA) 2010 GDP valuation: Market prices Reporting in calendar year: Yes Start/end months of reporting year: January/December Base year: 2015 Chain-weighted: Yes, from 2010 Primary domestic currency: Serbian dinar Data last updated: 03/2022</t>
  </si>
  <si>
    <t>Source: National Statistics Office Latest actual data: 2020 National accounts manual used: System of National Accounts (SNA) 1993 GDP valuation: Market prices Reporting in calendar year: Yes Start/end months of reporting year: January/December Base year: 2006 Chain-weighted: No Primary domestic currency: Seychelles rupee Data last updated: 04/2022</t>
  </si>
  <si>
    <t>Source: National Statistics Office Latest actual data: 2020 National accounts manual used: System of National Accounts (SNA) 2008 GDP valuation: Market prices Reporting in calendar year: Yes Start/end months of reporting year: January/December Base year: 2006 Chain-weighted: Yes, from 2010 Primary domestic currency: Sierra Leonean leone Data last updated: 03/2022</t>
  </si>
  <si>
    <t>Source: National Statistics Office Latest actual data: 2021 National accounts manual used: System of National Accounts (SNA) 2008 GDP valuation: Market prices Reporting in calendar year: Yes Start/end months of reporting year: January/December Base year: 2015 Chain-weighted: Yes, from 2015 Primary domestic currency: Singapore dollar Data last updated: 04/2022</t>
  </si>
  <si>
    <t>Source: National Statistics Office. Eurostat &amp; Haver Analytics Latest actual data: 2020 National accounts manual used: European System of Accounts (ESA) 2010 GDP valuation: Market prices Reporting in calendar year: Yes Start/end months of reporting year: January/December Base year: 2015 Chain-weighted: Yes, from 1997 Primary domestic currency: Euro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</si>
  <si>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2010 Chain-weighted: Yes, from 2000 Primary domestic currency: Euro Data last updated: 04/2022</t>
  </si>
  <si>
    <t>Source: Central Bank. For data prior to 1990, the source is IMF staff estimates. Latest actual data: 2017 National accounts manual used: System of National Accounts (SNA) 1993 GDP valuation: Market prices. This has been updated till 2016 with data provided by the country authorities. For 2017 and onwards, real GDP is estimated by the staff, based on sectoral growth assumptions provided by the Central Bank of Solomon Islands. Reporting in calendar year: Yes Start/end months of reporting year: January/December Base year: 2012 Chain-weighted: No Primary domestic currency: Solomon Islands dollar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</si>
  <si>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2017 Chain-weighted: No Primary domestic currency: US dollar Data last updated: 04/2022</t>
  </si>
  <si>
    <t>Source: National Statistics Office Latest actual data: 2021 National accounts manual used: System of National Accounts (SNA) 2008 GDP valuation: Market prices Reporting in calendar year: Yes Start/end months of reporting year: January/December Base year: 2015 Chain-weighted: No Primary domestic currency: South African rand Data last updated: 04/2022</t>
  </si>
  <si>
    <t>Source: IMF Staff Estimates. National Bureau of Statistics Latest actual data: 2018 Notes: Preliminary results by NBS, will be revised with time. National accounts manual used: System of National Accounts (SNA) 1993 GDP valuation: Market prices Reporting in calendar year: Yes Start/end months of reporting year: January/December. Authorities report on fiscal year July/June Base year: 2010 Chain-weighted: No Primary domestic currency: South Sudanese pound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</si>
  <si>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2015 Chain-weighted: Yes, from 1995. Chain-weighted and converted to market prices Primary domestic currency: Euro Data last updated: 03/2022</t>
  </si>
  <si>
    <t>Source: National Statistics Office. Department of Census and Statistics Latest actual data: 2020 National accounts manual used: System of National Accounts (SNA) 2008 GDP valuation: Market prices Reporting in calendar year: Yes Start/end months of reporting year: January/December Base year: 2010. Staff used splicing method for the historical series. Chain-weighted: No Primary domestic currency: Sri Lankan rupee Data last updated: 03/2022</t>
  </si>
  <si>
    <t>Source: National Statistics Office Latest actual data: 2020.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Reporting in calendar year: Yes Start/end months of reporting year: January/December Base year: 2006 Chain-weighted: No Primary domestic currency: Eastern Caribbean dollar Data last updated: 03/2022</t>
  </si>
  <si>
    <t>Source: National Statistics Office Latest actual data: 2020. Estimates.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2008 GDP valuation: Market prices Reporting in calendar year: Yes Start/end months of reporting year: January/December Base year: 2018 Chain-weighted: No Primary domestic currency: Eastern Caribbean dollar Data last updated: 03/2022</t>
  </si>
  <si>
    <t>Source: National Statistics Office Latest actual data: 2020.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Real GDP at market prices begins in 2000 Reporting in calendar year: Yes Start/end months of reporting year: January/December Base year: 2018 Chain-weighted: No Primary domestic currency: Eastern Caribbean dollar Data last updated: 03/2022</t>
  </si>
  <si>
    <t>Source: National Statistics Office. Central Bureau of Statistics. Latest actual data: 2019. Substantial delay occurred in the regular production of national accounts data. National accounts manual used: Other GDP valuation: Factor costs Reporting in calendar year: Yes Start/end months of reporting year: January/December Base year: 1982. Fiscal year and calendar year are the same. Chain-weighted: No Primary domestic currency: Sudanese pound Data last updated: 03/2022</t>
  </si>
  <si>
    <t>Source: National Statistics Office. IMF Staff reports, National Statistical Office, and IMF staff estimates. Latest actual data: 2020 National accounts manual used: System of National Accounts (SNA) 2008 GDP valuation: Market prices Reporting in calendar year: Yes Start/end months of reporting year: January/December Base year: 2015 Chain-weighted: No Primary domestic currency: Surinamese dollar Data last updated: 03/2022</t>
  </si>
  <si>
    <t>Source: National Statistics Office. In June 2010, the authorities performed a major revision of historical time series data 1993-2009 which involved the introduction of new methods, improved source data and a further adjustment to recommendations from the European Union. Annual data do not always match annual average quarterly data. These discrepancies are because of seasonal adjustment. Latest actual data: 2021 National accounts manual used: European System of Accounts (ESA) 2010 GDP valuation: Market prices Reporting in calendar year: Yes Start/end months of reporting year: January/December Base year: 2020 Chain-weighted: Yes, from 1993 Primary domestic currency: Swedish krona Data last updated: 03/2022</t>
  </si>
  <si>
    <t>Source: National Statistics Office Latest actual data: 2021 National accounts manual used: European System of Accounts (ESA) 2010 GDP valuation: Market prices Reporting in calendar year: Yes Start/end months of reporting year: January/December Base year: 2015 Chain-weighted: Yes, from 1980 Primary domestic currency: Swiss franc Data last updated: 03/2022</t>
  </si>
  <si>
    <t>Source: National Statistics Office. Central Bureau of Statistics. Latest actual data: 2010 National accounts manual used: System of National Accounts (SNA) 1993 GDP valuation: Market prices Start/end months of reporting year: January/December Base year: 2000 Chain-weighted: No Primary domestic currency: Syrian pound Data last updated: n/a</t>
  </si>
  <si>
    <t>Source: National Statistics Office. Data retrieved from CEIC Latest actual data: 2021 National accounts manual used: System of National Accounts (SNA) 2008 GDP valuation: Market prices. Expenditure-based measure Reporting in calendar year: Yes Start/end months of reporting year: January/December Base year: 2016 Chain-weighted: No Primary domestic currency: New Taiwan dollar Data last updated: 03/2022</t>
  </si>
  <si>
    <t>Source: National Statistics Office Latest actual data: 2020 National accounts manual used: System of National Accounts (SNA) 1993 GDP valuation: Market prices Reporting in calendar year: Yes Start/end months of reporting year: January/December Base year: 1995 Chain-weighted: No Primary domestic currency: Tajik somoni Data last updated: 03/2022</t>
  </si>
  <si>
    <t>Source: National Statistics Office Latest actual data: 2021 National accounts manual used: System of National Accounts (SNA) 2008 GDP valuation: Market prices Reporting in calendar year: Yes. Original base year 1992._x001D_  Start/end months of reporting year: January/December Base year: 2015 Chain-weighted: No Primary domestic currency: Tanzanian shilling Data last updated: 03/2022</t>
  </si>
  <si>
    <t>Source: National Economic and Social Development Board Latest actual data: 2020 National accounts manual used: System of National Accounts (SNA) 1993 GDP valuation: Market prices Reporting in calendar year: Yes. Annual CY data are constructed from quarterly data. Start/end months of reporting year: January/December Base year: 2002 Chain-weighted: Yes, from 1993. Ratio splicing for years before 1993 Primary domestic currency: Thai baht Data last updated: 03/2022</t>
  </si>
  <si>
    <t>Source: National Statistics Office Latest actual data: 2019 National accounts manual used: System of National Accounts (SNA) 2008 GDP valuation: Market prices Reporting in calendar year: Yes Start/end months of reporting year: January/December Base year: 2015 Chain-weighted: No Primary domestic currency: US dollar Data last updated: 03/2022</t>
  </si>
  <si>
    <t>Source: National Statistics Office Latest actual data: 2020 National accounts manual used: System of National Accounts (SNA) 1993 GDP valuation: Market prices Reporting in calendar year: Yes Start/end months of reporting year: January/December Base year: 2016 Chain-weighted: No Primary domestic currency: CFA franc Data last updated: 03/2022</t>
  </si>
  <si>
    <t>Source: Central Bank. National Reserve Bank of Tonga Latest actual data: FY2019/20 Notes: Prior to 1994,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National accounts manual used: System of National Accounts (SNA) 1993 GDP valuation: Market prices Reporting in calendar year: No. Fiscal year data are mapped to calendar year as follows: FY(t-1/t) = CY(t) Start/end months of reporting year: July/June Base year: FY2016/17 Chain-weighted: No Primary domestic currency: Tongan pa'anga Data last updated: 03/2022</t>
  </si>
  <si>
    <t>Source: National Statistics Office Latest actual data: 2020 Notes: Trinidad and Tobago's growth forecast estimates for 2020 are based on energy sector data from the Ministry of Energy and Ministry of Finance up until September, preliminary national accounts data for 2019 from the Central Statistical Office, and staff projections for the fourth quarter nonenergy output based on available information. Growth estimates are subject to revision once the finalized data for the full year become available. National accounts manual used: System of National Accounts (SNA) 1993 GDP valuation: Market prices Reporting in calendar year: Yes Start/end months of reporting year: January/December Base year: 2012 Chain-weighted: No Primary domestic currency: Trinidad and Tobago dollar Data last updated: 03/2022</t>
  </si>
  <si>
    <t>Source: National Statistics Office Latest actual data: 2020 National accounts manual used: System of National Accounts (SNA) 1993 GDP valuation: Market prices Reporting in calendar year: Yes. No Start/end months of reporting year: January/December Base year: 2015 Chain-weighted: Yes, from 2009 Primary domestic currency: Tunisian dinar Data last updated: 03/2022</t>
  </si>
  <si>
    <t>Source: National Statistics Office. Data from Turkish Statistical Institute (TurkStat) Latest actual data: 2021 National accounts manual used: European System of Accounts (ESA) 2010 GDP valuation: Market prices Reporting in calendar year: Yes Start/end months of reporting year: January/December Base year: 2009 Chain-weighted: Yes, from 2009 Primary domestic currency: Turkish lira Data last updated: 03/2022</t>
  </si>
  <si>
    <t>Source: IMF Staff Estimates. Staff estimates, compiled in line with international (System of National Accounts) methodologies, using official estimates and sources, as well as UN and World Bank databases. Staff estimates are revised in line with newly available data, including from official sources. Latest actual data: 2020 Notes: Data prior to 2009 cannot be confirmed by national sources at this time. National accounts manual used: Not applicable GDP valuation: Market prices Reporting in calendar year: Yes Start/end months of reporting year: January/December Base year: 2006 Chain-weighted: Yes, from 2007 Primary domestic currency: New Turkmen manat Data last updated: 03/2022</t>
  </si>
  <si>
    <t>Source: PFTAC advisors Latest actual data: 2019 National accounts manual used: System of National Accounts (SNA) 1993 GDP valuation: Market prices Reporting in calendar year: Yes Start/end months of reporting year: January/December Base year: 2016 Chain-weighted: No Primary domestic currency: Australian dollar Data last updated: 03/2022</t>
  </si>
  <si>
    <t>Source: National Statistics Office Latest actual data: 2020. Historical data are in CY, but projections are conversions using averages of FY. For example, the projection of 2020 is the average of 2019/20 and 2020/21. National accounts manual used: System of National Accounts (SNA) 2008 GDP valuation: Market prices Reporting in calendar year: Yes. Historical calendar year data are calculated by adding up quarterly data from Haver. For example, the calendar year 2018 GDP is the sum of 2018Q1, 2018Q2,2018Q3 and 2018Q4 GDP data. The GDP components(consumption, investment, exports and imports) are distributed proportionally based on the average share of two fiscal year GDP data. For example, CY2018 gross capital formation= CY2018 GDP *average(FY2017/18+FY 2018/19 gross capital formation)/average(FY2017/18+FY 2018/19 GDP). Start/end months of reporting year: January/December. Prior to 2009, the data are in fiscal year (FY) reporting basis converted to calendar year (CY) by averaging two FYs (e.g. CY2008 is the average of FY2007/08 and FY2008/09). Historical quarterly data are taken from Haver to have a smooth series. Base year: 2016. National Accounts were rebased on a FY basis and this rebasing was then applied to CY historical data. As a result real GDP and nominal GDP are not equal in CY 2016. Chain-weighted: No Primary domestic currency: Ugandan shilling Data last updated: 03/2022</t>
  </si>
  <si>
    <t>Source: National Statistics Office. Formally, the State Statistics Service of Ukraine Latest actual data: 2020. Starting in 2014, the data was changed to SNA 2008. Revised National Accounts data is available from 2000 on an annual basis and from 2010 on a quarterly basis. The data excludes Crimea and Sevastopol from 2010. The revised quarterly GDP data based on SNA 2008 excluding Crimea and Sevastopol are available from 2010. National accounts manual used: System of National Accounts (SNA) 2008 GDP valuation: Market prices Reporting in calendar year: Yes Start/end months of reporting year: January/December Base year: 2016 Chain-weighted: Yes, from 2005 Primary domestic currency: Ukrainian hryvnia Data last updated: 03/2022</t>
  </si>
  <si>
    <t>Source: National Statistics Office Latest actual data: 2020. Preliminary official data, not published yet National accounts manual used: System of National Accounts (SNA) 2008 GDP valuation: Factor costs Reporting in calendar year: Yes Start/end months of reporting year: January/December Base year: 2010 Chain-weighted: No Primary domestic currency: U.A.E. dirham Data last updated: 04/2022</t>
  </si>
  <si>
    <t>Source: National Statistics Office Latest actual data: 2020 National accounts manual used: European System of Accounts (ESA) 2010 GDP valuation: Market prices Reporting in calendar year: Yes Start/end months of reporting year: January/December Base year: 2019 Chain-weighted: Yes, from before 1980 Primary domestic currency: British pound Data last updated: 04/2022</t>
  </si>
  <si>
    <t>Source: National Statistics Office Latest actual data: 2021 National accounts manual used: System of National Accounts (SNA) 2008 GDP valuation: Market prices. Real Gross Domestic Product determined by chained Fisher quantity growth rates. Reporting in calendar year: Yes Start/end months of reporting year: January/December Base year: 2012 Chain-weighted: Yes, from 1980 Primary domestic currency: US dollar Data last updated: 04/2022</t>
  </si>
  <si>
    <t>Source: Central Bank Latest actual data: 2020 Notes: Data for years between 2016 and last actual for these series are reported by national authorities. Data prior to 2016 are the staff's estimates, representing best effort to preserve the previously reported growth rates and avoid structural breaks. National accounts manual used: System of National Accounts (SNA) 2008 GDP valuation: Market prices Reporting in calendar year: Yes Start/end months of reporting year: January/December Base year: 2016 Chain-weighted: No Primary domestic currency: Uruguayan peso Data last updated: 04/2022</t>
  </si>
  <si>
    <t>Source: National Statistics Office Latest actual data: 2021. Latest annual data is 2021. National accounts manual used: System of National Accounts (SNA) 1993 GDP valuation: Market prices Reporting in calendar year: Yes Start/end months of reporting year: January/December Base year: 2020 Chain-weighted: No Primary domestic currency: Uzbek som Data last updated: 04/2022</t>
  </si>
  <si>
    <t>Source: National Statistics Office Latest actual data: 2019 National accounts manual used: System of National Accounts (SNA) 1993 GDP valuation: Market prices Reporting in calendar year: Yes Start/end months of reporting year: January/December Base year: 2006 Chain-weighted: No Primary domestic currency: Vanuatu vatu Data last updated: 04/2022</t>
  </si>
  <si>
    <t>Source: National Statistics Office. Country authorities revised their methodology for GDP calculation in 2019, and 'revised' GDP data is currently only available starting in 2010. 'Revised' and 'unrevised' GDP data are substantially different, leading to sharp breaks in national accounts variables in 2010. Latest actual data: 2020 National accounts manual used: System of National Accounts (SNA) 1993 GDP valuation: Market prices. Production-based measure Reporting in calendar year: Yes Start/end months of reporting year: January/December Base year: 2010 Chain-weighted: No Primary domestic currency: Vietnamese dong Data last updated: 03/2022</t>
  </si>
  <si>
    <t>Source: National Statistics Office. National accounts are reported in USD, although NIS is the most commonly used currency and the most common means of transaction. Latest actual data: 2020 National accounts manual used: System of National Accounts (SNA) 2008 GDP valuation: Market prices Reporting in calendar year: Yes Start/end months of reporting year: January/December Base year: 2015 Chain-weighted: No Primary domestic currency: Israeli new shekel Data last updated: 03/2022</t>
  </si>
  <si>
    <t>Source: IMF Staff Estimates Latest actual data: 2020 Notes: GDP in current prices in U.S. dollars is calculated by using the market exchange rate since 2015, whereas in prior years, the official exchange rate has been used. National accounts manual used: System of National Accounts (SNA) 1993 GDP valuation: Factor costs Reporting in calendar year: Yes Start/end months of reporting year: January/December Base year: 1990 Chain-weighted: No Primary domestic currency: Yemeni rial Data last updated: 03/2022</t>
  </si>
  <si>
    <t>Source: National Statistics Office Latest actual data: 2020 National accounts manual used: System of National Accounts (SNA) 2008 GDP valuation: Market prices Reporting in calendar year: Yes Start/end months of reporting year: January/December Base year: 2010 Chain-weighted: No Primary domestic currency: Zambian kwacha Data last updated: 04/2022</t>
  </si>
  <si>
    <t>Source: National Statistics Office Latest actual data: 2019. Data before 2009 are unreliable Notes: The Zimbabwe dollar ceased circulating in 2009. Between 2009_x0014_ 19 Zimbabwe operated under a multi-currency regime with the US dollar as the unit of account. In 2019, Zimbabwe authorities introduced the RTGS dollar, later renamed the Zimbabwe dollar and are currently redenominating their national accounts statistics. National accounts manual used: System of National Accounts (SNA) 2008 GDP valuation: Market prices Reporting in calendar year: Yes Start/end months of reporting year: January/December Base year: 2012 Chain-weighted: No Primary domestic currency: Zimbabwe dollar Data last updated: 03/2022</t>
  </si>
  <si>
    <t>IMF COFOG</t>
  </si>
  <si>
    <t>OECD COFOG</t>
  </si>
  <si>
    <t>https://stats.oecd.org/Index.aspx?DataSetCode=SNA_TABLE11#</t>
  </si>
  <si>
    <t>Expenditure on Justice</t>
  </si>
  <si>
    <t>Percentage of GDP</t>
  </si>
  <si>
    <t>check</t>
  </si>
  <si>
    <t>YES</t>
  </si>
  <si>
    <t>Korea, Rep. of</t>
  </si>
  <si>
    <t>WEO Government Revenue</t>
  </si>
  <si>
    <t>Bn LCU</t>
  </si>
  <si>
    <t>WEO GDP</t>
  </si>
  <si>
    <t>AVERAGE</t>
  </si>
  <si>
    <t>MEDIAN</t>
  </si>
  <si>
    <t>TABLE</t>
  </si>
  <si>
    <t>AVERAGE OECD DAC EXPENDITURE ON JUSTICE</t>
  </si>
  <si>
    <t>Expenditure on police services (right axis)</t>
  </si>
  <si>
    <t>Expenditure on fire protection services (left axis)</t>
  </si>
  <si>
    <t>Expenditure on law courts (left axis)</t>
  </si>
  <si>
    <t>Percentage of Expenditure on public order &amp; safety</t>
  </si>
  <si>
    <t>Expenditure on prisons (left axis)</t>
  </si>
  <si>
    <t>Other Expenditures</t>
  </si>
  <si>
    <t>Expenditure on public order &amp; safety % GDP</t>
  </si>
  <si>
    <t>2020</t>
  </si>
  <si>
    <t>Expenditure on public order &amp; safety (not disaggregated)</t>
  </si>
  <si>
    <t>average</t>
  </si>
  <si>
    <t>median</t>
  </si>
  <si>
    <t>Column1</t>
  </si>
  <si>
    <t xml:space="preserve">Korea </t>
  </si>
  <si>
    <t xml:space="preserve">Poland </t>
  </si>
  <si>
    <t xml:space="preserve">Slovenia </t>
  </si>
  <si>
    <t xml:space="preserve">Nerlands </t>
  </si>
  <si>
    <t>Government Revenue 2021</t>
  </si>
  <si>
    <t>Latest</t>
  </si>
  <si>
    <t>Latest % GDP</t>
  </si>
  <si>
    <t>&lt;?xml version="1.0" encoding="utf-16"?&gt;&lt;WebTableParameter xmlns:xsd="http://www.w3.org/2001/XMLSchema" xmlns:xsi="http://www.w3.org/2001/XMLSchema-instance" xmlns="http://stats.oecd.org/OECDStatWS/2004/03/01/"&gt;&lt;DataTable Code="GOV" HasMetadata="true"&gt;&lt;Name LocaleIsoCode="en"&gt;Government at a Glance - yearly updates&lt;/Name&gt;&lt;Name LocaleIsoCode="fr"&gt;Government at a Glance - yearly updates&lt;/Name&gt;&lt;Dimension Code="COU" HasMetadata="false" CommonCode="LOCATION" Display="labels"&gt;&lt;Name LocaleIsoCode="en"&gt;Country&lt;/Name&gt;&lt;Name LocaleIsoCode="fr"&gt;Pays&lt;/Name&gt;&lt;Member Code="OAVG" HasMetadata="true" HasOnlyUnitMetadata="false" HasChild="0"&gt;&lt;Name LocaleIsoCode="en"&gt;OECD - Average&lt;/Name&gt;&lt;Name LocaleIsoCode="fr"&gt;Moyenne OCDE&lt;/Name&gt;&lt;/Member&gt;&lt;/Dimension&gt;&lt;Dimension Code="IND" HasMetadata="false" Display="labels"&gt;&lt;Name LocaleIsoCode="en"&gt;Indicator&lt;/Name&gt;&lt;Name LocaleIsoCode="fr"&gt;Indicator&lt;/Name&gt;&lt;Member Code="GTE_GDP" HasMetadata="true" HasOnlyUnitMetadata="false" HasChild="0"&gt;&lt;Name LocaleIsoCode="en"&gt;General government expenditures as a percentage of GDP&lt;/Name&gt;&lt;Name LocaleIsoCode="fr"&gt;General government expenditures as a percentage of GDP&lt;/Name&gt;&lt;/Member&gt;&lt;Member Code="GE_F_G030GS13_GDP" HasMetadata="true" HasOnlyUnitMetadata="false" HasChild="0"&gt;&lt;Name LocaleIsoCode="en"&gt;General government expenditures by function, Public order and safety, percentage of GDP&lt;/Name&gt;&lt;Name LocaleIsoCode="fr"&gt;General government expenditures by function, Public order and safety, percentage of GDP&lt;/Name&gt;&lt;/Member&gt;&lt;Member Code="GE_F_G070GS13_GDP" HasMetadata="true" HasOnlyUnitMetadata="false" HasChild="0"&gt;&lt;Name LocaleIsoCode="en"&gt;General government expenditures by function, Health, percentage of GDP&lt;/Name&gt;&lt;Name LocaleIsoCode="fr"&gt;General government expenditures by function, Health, percentage of GDP&lt;/Name&gt;&lt;/Member&gt;&lt;Member Code="GE_F_G090GS13_GDP" HasMetadata="true" HasOnlyUnitMetadata="false" HasChild="0"&gt;&lt;Name LocaleIsoCode="en"&gt;General government expenditures by function, Education, percentage of GDP&lt;/Name&gt;&lt;Name LocaleIsoCode="fr"&gt;General government expenditures by function, Education, percentage of GDP&lt;/Name&gt;&lt;/Member&gt;&lt;Member Code="GE_F_G100GS13_GDP" HasMetadata="true" HasOnlyUnitMetadata="false" HasChild="0"&gt;&lt;Name LocaleIsoCode="en"&gt;General government expenditures by function, Social protection, percentage of GDP&lt;/Name&gt;&lt;Name LocaleIsoCode="fr"&gt;General government expenditures by function, Social protection, percentage of GDP&lt;/Name&gt;&lt;/Member&gt;&lt;Member Code="GINV_GDP" HasMetadata="true" HasOnlyUnitMetadata="false" HasChild="0"&gt;&lt;Name LocaleIsoCode="en"&gt;Government investment as a percentage of GDP&lt;/Name&gt;&lt;Name LocaleIsoCode="fr"&gt;Government investment as a percentage of GDP&lt;/Name&gt;&lt;/Member&gt;&lt;/Dimension&gt;&lt;Dimension Code="YEAR" HasMetadata="false" CommonCode="TIME"&gt;&lt;Name LocaleIsoCode="en"&gt;Year&lt;/Name&gt;&lt;Name LocaleIsoCode="fr"&gt;Année&lt;/Name&gt;&lt;Member Code="2019" HasMetadata="false"&gt;&lt;Name LocaleIsoCode="en"&gt;2019&lt;/Name&gt;&lt;Name LocaleIsoCode="fr"&gt;2019&lt;/Name&gt;&lt;/Member&gt;&lt;Member Code="2020" HasMetadata="false"&gt;&lt;Name LocaleIsoCode="en"&gt;2020&lt;/Name&gt;&lt;Name LocaleIsoCode="fr"&gt;2020&lt;/Name&gt;&lt;/Member&gt;&lt;Member Code="2021" HasMetadata="false"&gt;&lt;Name LocaleIsoCode="en"&gt;2021&lt;/Name&gt;&lt;Name LocaleIsoCode="fr"&gt;2021&lt;/Name&gt;&lt;/Member&gt;&lt;/Dimension&gt;&lt;WBOSInformations&gt;&lt;TimeDimension WebTreeWasUsed="false"&gt;&lt;StartCodes Annual="2019" /&gt;&lt;EndCodes Annual="2021" /&gt;&lt;/TimeDimension&gt;&lt;/WBOSInformations&gt;&lt;Tabulation Axis="horizontal"&gt;&lt;Dimension Code="IND" /&gt;&lt;Dimension Code="YEAR" CommonCode="TIME" /&gt;&lt;/Tabulation&gt;&lt;Tabulation Axis="vertical"&gt;&lt;Dimension Code="COU" CommonCode="LOCATION" /&gt;&lt;/Tabulation&gt;&lt;Tabulation Axis="page" /&gt;&lt;Formatting&gt;&lt;Labels LocaleIsoCode="en" /&gt;&lt;Power&gt;0&lt;/Power&gt;&lt;Decimals&gt;-1&lt;/Decimals&gt;&lt;SkipEmptyLines&gt;tru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false&lt;/FreezePanes&gt;&lt;MaxBarChartLen&gt;65&lt;/MaxBarChartLen&gt;&lt;/Format&gt;&lt;Query&gt;&lt;AbsoluteUri&gt;http://stats.oecd.org//View.aspx?QueryId=66882&amp;amp;QueryType=Public&amp;amp;Lang=en&lt;/AbsoluteUri&gt;&lt;/Query&gt;&lt;/WebTableParameter&gt;</t>
  </si>
  <si>
    <t>Dataset: Government at a Glance - yearly updates</t>
  </si>
  <si>
    <t>Indicator</t>
  </si>
  <si>
    <t>General government expenditures as a percentage of GDP</t>
  </si>
  <si>
    <t>General government expenditures by function, Public order and safety, percentage of GDP</t>
  </si>
  <si>
    <t>General government expenditures by function, Health, percentage of GDP</t>
  </si>
  <si>
    <t>General government expenditures by function, Education, percentage of GDP</t>
  </si>
  <si>
    <t>General government expenditures by function, Social protection, percentage of GDP</t>
  </si>
  <si>
    <t>Government investment as a percentage of GDP</t>
  </si>
  <si>
    <t>2019</t>
  </si>
  <si>
    <t>2021</t>
  </si>
  <si>
    <t>Percentage</t>
  </si>
  <si>
    <t>OECD - Average</t>
  </si>
  <si>
    <t>..</t>
  </si>
  <si>
    <t>Data extracted on 01 Dec 2022 15:18 UTC (GMT) from OECD.Stat</t>
  </si>
  <si>
    <t>share of total expenditure</t>
  </si>
  <si>
    <t xml:space="preserve">education </t>
  </si>
  <si>
    <t xml:space="preserve">health </t>
  </si>
  <si>
    <t xml:space="preserve">social protection </t>
  </si>
  <si>
    <t xml:space="preserve">public order and safety </t>
  </si>
  <si>
    <t>Government spending on Public Order and Safety</t>
  </si>
  <si>
    <t>https://data.oecd.org/gga/general-government-spending.htm#indicator-chart</t>
  </si>
  <si>
    <t>raw data</t>
  </si>
  <si>
    <t>https://www.dropbox.com/scl/fi/syzfm5dddbomsyeu8voum/OECD-data-spending-on-PO-S-as-of-govt-spending.xlsx?dl=0&amp;rlkey=l6fwwqwkh3vmzocycsl8ksb19</t>
  </si>
  <si>
    <t xml:space="preserve">% of GDP, need to change to govt expenditure </t>
  </si>
  <si>
    <t xml:space="preserve">All data available from OECD </t>
  </si>
  <si>
    <t xml:space="preserve">Latest year available </t>
  </si>
  <si>
    <t>Excludes (OECD countries)</t>
  </si>
  <si>
    <t xml:space="preserve">OECD DAC average </t>
  </si>
  <si>
    <t>AUSTRALIA</t>
  </si>
  <si>
    <t>AUSTRIA</t>
  </si>
  <si>
    <t>BELGIUM</t>
  </si>
  <si>
    <t xml:space="preserve">New Zealand </t>
  </si>
  <si>
    <t>SWITZERLAND</t>
  </si>
  <si>
    <t>CHILE</t>
  </si>
  <si>
    <t>COLOMBIA</t>
  </si>
  <si>
    <t>COSTA RICA</t>
  </si>
  <si>
    <t>European Union</t>
  </si>
  <si>
    <t>CZECH REPUBLIC</t>
  </si>
  <si>
    <t>GERMANY</t>
  </si>
  <si>
    <t>DENMARK</t>
  </si>
  <si>
    <t>SPAIN</t>
  </si>
  <si>
    <t>ESTONIA</t>
  </si>
  <si>
    <t>FINLAND</t>
  </si>
  <si>
    <t>FRANCE</t>
  </si>
  <si>
    <t>UNITED KINGDOM</t>
  </si>
  <si>
    <t>GREECE</t>
  </si>
  <si>
    <t>HUNGARY</t>
  </si>
  <si>
    <t>IRELAND</t>
  </si>
  <si>
    <t>ICELAND</t>
  </si>
  <si>
    <t>ISRAEL</t>
  </si>
  <si>
    <t>ITALY</t>
  </si>
  <si>
    <t>JAPAN</t>
  </si>
  <si>
    <t>KOREA</t>
  </si>
  <si>
    <t>LITHUANIA</t>
  </si>
  <si>
    <t>LUXEMBOURG</t>
  </si>
  <si>
    <t>LATVIA</t>
  </si>
  <si>
    <t>NETHERLANDS</t>
  </si>
  <si>
    <t>NORWAY</t>
  </si>
  <si>
    <t>POLAND</t>
  </si>
  <si>
    <t>PORTUGAL</t>
  </si>
  <si>
    <t>SLOVAK REPUBLIC</t>
  </si>
  <si>
    <t>SLOVENIA</t>
  </si>
  <si>
    <t>SWEDEN</t>
  </si>
  <si>
    <t>UNITED STATES</t>
  </si>
  <si>
    <t>Data Source</t>
  </si>
  <si>
    <t>World Development Indicators</t>
  </si>
  <si>
    <t>Last Updated Date</t>
  </si>
  <si>
    <t>Data downloaded 30th June 2022</t>
  </si>
  <si>
    <t>Country Name</t>
  </si>
  <si>
    <t>Indicator Name</t>
  </si>
  <si>
    <t>Indicator Code</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</si>
  <si>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</si>
  <si>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</si>
  <si>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</si>
  <si>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</si>
  <si>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</si>
  <si>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</si>
  <si>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</si>
  <si>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</si>
  <si>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</si>
  <si>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</si>
  <si>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</si>
  <si>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</si>
  <si>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</si>
  <si>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</si>
  <si>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</si>
  <si>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</si>
  <si>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</si>
  <si>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</si>
  <si>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</si>
  <si>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</si>
  <si>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</si>
  <si>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</si>
  <si>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</si>
  <si>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</si>
  <si>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</si>
  <si>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</si>
  <si>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</si>
  <si>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</si>
  <si>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</si>
  <si>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</si>
  <si>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</si>
  <si>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</si>
  <si>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</si>
  <si>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</si>
  <si>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</si>
  <si>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</si>
  <si>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</si>
  <si>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</si>
  <si>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</si>
  <si>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</si>
  <si>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</si>
  <si>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</si>
  <si>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</si>
  <si>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</si>
  <si>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</si>
  <si>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</si>
  <si>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</si>
  <si>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</si>
  <si>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</si>
  <si>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</si>
  <si>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</si>
  <si>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</si>
  <si>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</si>
  <si>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</si>
  <si>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</si>
  <si>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</si>
  <si>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</si>
  <si>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</si>
  <si>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</si>
  <si>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GNI per capita, Atlas method (current US$)</t>
  </si>
  <si>
    <t>NY.GNP.PCAP.CD</t>
  </si>
  <si>
    <t>Africa Eastern and Southern</t>
  </si>
  <si>
    <t>AFE</t>
  </si>
  <si>
    <t>Africa Western and Central</t>
  </si>
  <si>
    <t>AFW</t>
  </si>
  <si>
    <t>Arab World</t>
  </si>
  <si>
    <t>ARB</t>
  </si>
  <si>
    <t>Central Europe and the Baltics</t>
  </si>
  <si>
    <t>CEB</t>
  </si>
  <si>
    <t>Caribbean small states</t>
  </si>
  <si>
    <t>CSS</t>
  </si>
  <si>
    <t>Curacao</t>
  </si>
  <si>
    <t>East Asia &amp; Pacific (excluding high income)</t>
  </si>
  <si>
    <t>EAP</t>
  </si>
  <si>
    <t>Early-demographic dividend</t>
  </si>
  <si>
    <t>EAR</t>
  </si>
  <si>
    <t>EAS</t>
  </si>
  <si>
    <t>Europe &amp; Central Asia (excluding high income)</t>
  </si>
  <si>
    <t>ECA</t>
  </si>
  <si>
    <t>ECS</t>
  </si>
  <si>
    <t>Euro area</t>
  </si>
  <si>
    <t>EUU</t>
  </si>
  <si>
    <t>Fragile and conflict affected situations</t>
  </si>
  <si>
    <t>FCS</t>
  </si>
  <si>
    <t>HIC</t>
  </si>
  <si>
    <t>Heavily indebted poor countries (HIPC)</t>
  </si>
  <si>
    <t>HPC</t>
  </si>
  <si>
    <t>IBRD only</t>
  </si>
  <si>
    <t>IBD</t>
  </si>
  <si>
    <t>IDA &amp; IBRD total</t>
  </si>
  <si>
    <t>IBT</t>
  </si>
  <si>
    <t>IDA total</t>
  </si>
  <si>
    <t>IDA blend</t>
  </si>
  <si>
    <t>IDB</t>
  </si>
  <si>
    <t>IDA only</t>
  </si>
  <si>
    <t>IDX</t>
  </si>
  <si>
    <t>Not classified</t>
  </si>
  <si>
    <t>INX</t>
  </si>
  <si>
    <t>Latin America &amp; Caribbean (excluding high income)</t>
  </si>
  <si>
    <t>LAC</t>
  </si>
  <si>
    <t>LCN</t>
  </si>
  <si>
    <t>Least developed countries: UN classification</t>
  </si>
  <si>
    <t>LMC</t>
  </si>
  <si>
    <t>Low &amp; middle income</t>
  </si>
  <si>
    <t>LMY</t>
  </si>
  <si>
    <t>Late-demographic dividend</t>
  </si>
  <si>
    <t>LTE</t>
  </si>
  <si>
    <t>MEA</t>
  </si>
  <si>
    <t>Middle income</t>
  </si>
  <si>
    <t>MIC</t>
  </si>
  <si>
    <t>Middle East &amp; North Africa (excluding high income)</t>
  </si>
  <si>
    <t>MNA</t>
  </si>
  <si>
    <t>NAC</t>
  </si>
  <si>
    <t>OECD members</t>
  </si>
  <si>
    <t>OED</t>
  </si>
  <si>
    <t>Other small states</t>
  </si>
  <si>
    <t>OSS</t>
  </si>
  <si>
    <t>Pre-demographic dividend</t>
  </si>
  <si>
    <t>PRE</t>
  </si>
  <si>
    <t>Pacific island small states</t>
  </si>
  <si>
    <t>PSS</t>
  </si>
  <si>
    <t>Post-demographic dividend</t>
  </si>
  <si>
    <t>PST</t>
  </si>
  <si>
    <t>SAS</t>
  </si>
  <si>
    <t>Sub-Saharan Africa (excluding high income)</t>
  </si>
  <si>
    <t>SSA</t>
  </si>
  <si>
    <t>SSF</t>
  </si>
  <si>
    <t>Small states</t>
  </si>
  <si>
    <t>SST</t>
  </si>
  <si>
    <t>Sao Tome and Principe</t>
  </si>
  <si>
    <t>East Asia &amp; Pacific (IDA &amp; IBRD countries)</t>
  </si>
  <si>
    <t>TEA</t>
  </si>
  <si>
    <t>Europe &amp; Central Asia (IDA &amp; IBRD countries)</t>
  </si>
  <si>
    <t>TEC</t>
  </si>
  <si>
    <t>Latin America &amp; the Caribbean (IDA &amp; IBRD countries)</t>
  </si>
  <si>
    <t>TLA</t>
  </si>
  <si>
    <t>Middle East &amp; North Africa (IDA &amp; IBRD countries)</t>
  </si>
  <si>
    <t>TMN</t>
  </si>
  <si>
    <t>South Asia (IDA &amp; IBRD)</t>
  </si>
  <si>
    <t>TSA</t>
  </si>
  <si>
    <t>Sub-Saharan Africa (IDA &amp; IBRD countries)</t>
  </si>
  <si>
    <t>TSS</t>
  </si>
  <si>
    <t>UMC</t>
  </si>
  <si>
    <t>World</t>
  </si>
  <si>
    <t>WLD</t>
  </si>
  <si>
    <t>country</t>
  </si>
  <si>
    <t>iso3</t>
  </si>
  <si>
    <t>From WDI</t>
  </si>
  <si>
    <t>General government revenue % GDP</t>
  </si>
  <si>
    <t>Poverty headcount form ODI Masterfile</t>
  </si>
  <si>
    <t>Poverty headcount from ODI Masterfile</t>
  </si>
  <si>
    <t>Revenue Capacity % from ODI Masterfile</t>
  </si>
  <si>
    <t>Ten-year growth rates of GDP constantUSD</t>
  </si>
  <si>
    <t>Cumulative % growth over ten years</t>
  </si>
  <si>
    <t>Five-year growth rates of GDP constantUSD</t>
  </si>
  <si>
    <t>Cumulative % growth over five years</t>
  </si>
  <si>
    <t>Risk of Debt distress</t>
  </si>
  <si>
    <t>Total Social Expenditure (% of GDP)</t>
  </si>
  <si>
    <t>conditional cash transfers</t>
  </si>
  <si>
    <t>unconditional cash transfers</t>
  </si>
  <si>
    <t>Subsaharan Africa (=1)</t>
  </si>
  <si>
    <t>Total Population in thousands</t>
  </si>
  <si>
    <t>% of Total Population</t>
  </si>
  <si>
    <t>ctr</t>
  </si>
  <si>
    <t>ctr_id</t>
  </si>
  <si>
    <t>region</t>
  </si>
  <si>
    <t>income_group</t>
  </si>
  <si>
    <t>incgrp</t>
  </si>
  <si>
    <t>lic</t>
  </si>
  <si>
    <t>lmic</t>
  </si>
  <si>
    <t>umic</t>
  </si>
  <si>
    <t>hic</t>
  </si>
  <si>
    <t>Gov't revenue LCU 2020 (billions)</t>
  </si>
  <si>
    <t>gdp_current_USD2020</t>
  </si>
  <si>
    <t>gdp_currentUSD_latest</t>
  </si>
  <si>
    <t>GDP_currentLCU2020</t>
  </si>
  <si>
    <t>gdp_currentLCU_latest</t>
  </si>
  <si>
    <t>GNI_currentUSD2020</t>
  </si>
  <si>
    <t>GNI_currentLCU2020</t>
  </si>
  <si>
    <t>GDP/GNI Ratio</t>
  </si>
  <si>
    <t>gni_pcatlas_2020</t>
  </si>
  <si>
    <t>latest_gnipc_atlas</t>
  </si>
  <si>
    <t>latest_pppconv</t>
  </si>
  <si>
    <t>latest_population</t>
  </si>
  <si>
    <t>govrev_2020</t>
  </si>
  <si>
    <t>govrev_2021</t>
  </si>
  <si>
    <t>govrev_2022</t>
  </si>
  <si>
    <t>govrev_2023</t>
  </si>
  <si>
    <t>govrev_2024</t>
  </si>
  <si>
    <t>govrev_2025</t>
  </si>
  <si>
    <t>govrev_2026</t>
  </si>
  <si>
    <t>currentheadcount_2018</t>
  </si>
  <si>
    <t>projectedheadcount_2030</t>
  </si>
  <si>
    <t>revenuecapacity</t>
  </si>
  <si>
    <t>GDP_10yrGR</t>
  </si>
  <si>
    <t>GDP_10yrCUMGR</t>
  </si>
  <si>
    <t>GDP_5yrGR</t>
  </si>
  <si>
    <t>GDP_5yrCUMGR</t>
  </si>
  <si>
    <t>debt_distress</t>
  </si>
  <si>
    <t>soc_exp_year</t>
  </si>
  <si>
    <t>totalSoc_exp_pctofgdp</t>
  </si>
  <si>
    <t>cct</t>
  </si>
  <si>
    <t>uct</t>
  </si>
  <si>
    <t>socialpension</t>
  </si>
  <si>
    <t>schoolfeeding</t>
  </si>
  <si>
    <t>publicworks</t>
  </si>
  <si>
    <t>foodandinkind</t>
  </si>
  <si>
    <t>feewaivers</t>
  </si>
  <si>
    <t>othersocialassistance</t>
  </si>
  <si>
    <t>totalexcludinghealthfeewaivers</t>
  </si>
  <si>
    <t>cct_noofbeneficiaries</t>
  </si>
  <si>
    <t>cct_year</t>
  </si>
  <si>
    <t>uct_noofbeneficiaries</t>
  </si>
  <si>
    <t>uct_year</t>
  </si>
  <si>
    <t>socpension_noofbeneficiaries</t>
  </si>
  <si>
    <t>socpension_year</t>
  </si>
  <si>
    <t>foodandinkind_noofbeneficiaries</t>
  </si>
  <si>
    <t>foodandinkind_year</t>
  </si>
  <si>
    <t>schoolfeeding_noofbeneficiaries</t>
  </si>
  <si>
    <t>schoolfeeding_year</t>
  </si>
  <si>
    <t>publicworks_noofbeneficiaries</t>
  </si>
  <si>
    <t>publicworks_year</t>
  </si>
  <si>
    <t>feewaivers_noofbeneficiaries</t>
  </si>
  <si>
    <t>feewaivers_year</t>
  </si>
  <si>
    <t>ssa_marker</t>
  </si>
  <si>
    <t>un_countrycode</t>
  </si>
  <si>
    <t>pop2020_total</t>
  </si>
  <si>
    <t>pop2021_total</t>
  </si>
  <si>
    <t>pop2022_total</t>
  </si>
  <si>
    <t>pop2023_total</t>
  </si>
  <si>
    <t>pop2024_total</t>
  </si>
  <si>
    <t>pop2025_total</t>
  </si>
  <si>
    <t>pop2026_total</t>
  </si>
  <si>
    <t>pop2027_total</t>
  </si>
  <si>
    <t>pop2028_total</t>
  </si>
  <si>
    <t>pop2029_total</t>
  </si>
  <si>
    <t>pop20230_total</t>
  </si>
  <si>
    <t>pop2020_age0_4</t>
  </si>
  <si>
    <t>pop2020_age5_9</t>
  </si>
  <si>
    <t>pop2020_age10_14</t>
  </si>
  <si>
    <t>pop2020_age15_19</t>
  </si>
  <si>
    <t>pop2020_age20_24</t>
  </si>
  <si>
    <t>pop2020_age25_29</t>
  </si>
  <si>
    <t>pop2020_age30_34</t>
  </si>
  <si>
    <t>pop2020_age35_39</t>
  </si>
  <si>
    <t>pop2020_age40_44</t>
  </si>
  <si>
    <t>pop2020_age45_49</t>
  </si>
  <si>
    <t>pop2020_age50_54</t>
  </si>
  <si>
    <t>pop2020_age55_59</t>
  </si>
  <si>
    <t>pop2020_age60_64</t>
  </si>
  <si>
    <t>pop2020_age65_69</t>
  </si>
  <si>
    <t>pop2020_age70_74</t>
  </si>
  <si>
    <t>pop2020_age75_79</t>
  </si>
  <si>
    <t>pop2020_age80_84</t>
  </si>
  <si>
    <t>pop2020_age85_89</t>
  </si>
  <si>
    <t>pop2020_age90_94</t>
  </si>
  <si>
    <t>pop2020_age95_99</t>
  </si>
  <si>
    <t>pop2020_age100plus</t>
  </si>
  <si>
    <t>pop2030_age0_4</t>
  </si>
  <si>
    <t>pop2030_age5_9</t>
  </si>
  <si>
    <t>pop2030_age10_14</t>
  </si>
  <si>
    <t>pop2030_age15_19</t>
  </si>
  <si>
    <t>pop2030_age20_24</t>
  </si>
  <si>
    <t>pop2030_age25_29</t>
  </si>
  <si>
    <t>pop2030_age30_34</t>
  </si>
  <si>
    <t>pop2030_age35_39</t>
  </si>
  <si>
    <t>pop2030_age40_44</t>
  </si>
  <si>
    <t>pop2030_age45_49</t>
  </si>
  <si>
    <t>pop2030_age50_54</t>
  </si>
  <si>
    <t>pop2030_age55_59</t>
  </si>
  <si>
    <t>pop2030_age60_64</t>
  </si>
  <si>
    <t>pop2030_age65_69</t>
  </si>
  <si>
    <t>pop2030_age70_74</t>
  </si>
  <si>
    <t>pop2030_age75_79</t>
  </si>
  <si>
    <t>pop2030_age80_84</t>
  </si>
  <si>
    <t>pop2030_age85_89</t>
  </si>
  <si>
    <t>pop2030_age90_94</t>
  </si>
  <si>
    <t>pop2030_age95_99</t>
  </si>
  <si>
    <t>pop2030_age100plus</t>
  </si>
  <si>
    <t>High</t>
  </si>
  <si>
    <t>Moderate</t>
  </si>
  <si>
    <t>Low</t>
  </si>
  <si>
    <t>In debt distress</t>
  </si>
  <si>
    <t>…</t>
  </si>
  <si>
    <t>São Tomé and Principe</t>
  </si>
  <si>
    <t>OECD DAC Members</t>
  </si>
  <si>
    <t>The Netherlands</t>
  </si>
  <si>
    <t>Table 3.16. Government Current Expenditures by Function</t>
  </si>
  <si>
    <t>Source: BEA NIPA</t>
  </si>
  <si>
    <t>[Billions of dollars]</t>
  </si>
  <si>
    <t>Bureau of Economic Analysis</t>
  </si>
  <si>
    <t>Last Revised on: October 29, 2021</t>
  </si>
  <si>
    <t>Line</t>
  </si>
  <si>
    <t>1</t>
  </si>
  <si>
    <t xml:space="preserve">            Government1</t>
  </si>
  <si>
    <t>2</t>
  </si>
  <si>
    <t>General public service</t>
  </si>
  <si>
    <t>3</t>
  </si>
  <si>
    <t xml:space="preserve">    Executive and legislative</t>
  </si>
  <si>
    <t>4</t>
  </si>
  <si>
    <t xml:space="preserve">    Tax collection and financial management</t>
  </si>
  <si>
    <t>5</t>
  </si>
  <si>
    <t xml:space="preserve">    Interest payments2</t>
  </si>
  <si>
    <t>6</t>
  </si>
  <si>
    <t xml:space="preserve">    Other3</t>
  </si>
  <si>
    <t>7</t>
  </si>
  <si>
    <t>National defense</t>
  </si>
  <si>
    <t>8</t>
  </si>
  <si>
    <t>9</t>
  </si>
  <si>
    <t xml:space="preserve">    Police</t>
  </si>
  <si>
    <t>10</t>
  </si>
  <si>
    <t xml:space="preserve">    Fire</t>
  </si>
  <si>
    <t>11</t>
  </si>
  <si>
    <t xml:space="preserve">    Law courts</t>
  </si>
  <si>
    <t>12</t>
  </si>
  <si>
    <t xml:space="preserve">    Prisons</t>
  </si>
  <si>
    <t>13</t>
  </si>
  <si>
    <t>Economic affairs</t>
  </si>
  <si>
    <t>14</t>
  </si>
  <si>
    <t xml:space="preserve">    Transportation</t>
  </si>
  <si>
    <t>15</t>
  </si>
  <si>
    <t xml:space="preserve">        Highways</t>
  </si>
  <si>
    <t>16</t>
  </si>
  <si>
    <t xml:space="preserve">        Air</t>
  </si>
  <si>
    <t>17</t>
  </si>
  <si>
    <t xml:space="preserve">        Water</t>
  </si>
  <si>
    <t>18</t>
  </si>
  <si>
    <t xml:space="preserve">        Transit and railroad</t>
  </si>
  <si>
    <t>19</t>
  </si>
  <si>
    <t xml:space="preserve">    Space</t>
  </si>
  <si>
    <t>20</t>
  </si>
  <si>
    <t xml:space="preserve">    Other economic affairs</t>
  </si>
  <si>
    <t>21</t>
  </si>
  <si>
    <t xml:space="preserve">        General economic and labor affairs</t>
  </si>
  <si>
    <t>22</t>
  </si>
  <si>
    <t xml:space="preserve">        Agriculture</t>
  </si>
  <si>
    <t>23</t>
  </si>
  <si>
    <t xml:space="preserve">        Energy</t>
  </si>
  <si>
    <t>24</t>
  </si>
  <si>
    <t xml:space="preserve">        Natural resources</t>
  </si>
  <si>
    <t>25</t>
  </si>
  <si>
    <t xml:space="preserve">        Postal service</t>
  </si>
  <si>
    <t>26</t>
  </si>
  <si>
    <t xml:space="preserve">        Other4</t>
  </si>
  <si>
    <t>27</t>
  </si>
  <si>
    <t>Housing and community services</t>
  </si>
  <si>
    <t>28</t>
  </si>
  <si>
    <t>29</t>
  </si>
  <si>
    <t>Recreation and culture</t>
  </si>
  <si>
    <t>30</t>
  </si>
  <si>
    <t>31</t>
  </si>
  <si>
    <t xml:space="preserve">    Elementary and secondary</t>
  </si>
  <si>
    <t>32</t>
  </si>
  <si>
    <t xml:space="preserve">    Higher</t>
  </si>
  <si>
    <t>33</t>
  </si>
  <si>
    <t xml:space="preserve">    Libraries and other</t>
  </si>
  <si>
    <t>34</t>
  </si>
  <si>
    <t xml:space="preserve">        Libraries</t>
  </si>
  <si>
    <t>35</t>
  </si>
  <si>
    <t xml:space="preserve">        Other</t>
  </si>
  <si>
    <t>36</t>
  </si>
  <si>
    <t>Income security</t>
  </si>
  <si>
    <t>37</t>
  </si>
  <si>
    <t xml:space="preserve">    Disability</t>
  </si>
  <si>
    <t>38</t>
  </si>
  <si>
    <t xml:space="preserve">    Retirement5</t>
  </si>
  <si>
    <t>39</t>
  </si>
  <si>
    <t xml:space="preserve">    Welfare and social services</t>
  </si>
  <si>
    <t>40</t>
  </si>
  <si>
    <t xml:space="preserve">    Unemployment</t>
  </si>
  <si>
    <t>41</t>
  </si>
  <si>
    <t xml:space="preserve">    Other</t>
  </si>
  <si>
    <t>42</t>
  </si>
  <si>
    <t xml:space="preserve">            Federal</t>
  </si>
  <si>
    <t>43</t>
  </si>
  <si>
    <t>44</t>
  </si>
  <si>
    <t>45</t>
  </si>
  <si>
    <t>46</t>
  </si>
  <si>
    <t>47</t>
  </si>
  <si>
    <t xml:space="preserve">    Other6</t>
  </si>
  <si>
    <t>48</t>
  </si>
  <si>
    <t>49</t>
  </si>
  <si>
    <t>50</t>
  </si>
  <si>
    <t>51</t>
  </si>
  <si>
    <t>52</t>
  </si>
  <si>
    <t>53</t>
  </si>
  <si>
    <t>54</t>
  </si>
  <si>
    <t>55</t>
  </si>
  <si>
    <t>56</t>
  </si>
  <si>
    <t>57</t>
  </si>
  <si>
    <t>58</t>
  </si>
  <si>
    <t>59</t>
  </si>
  <si>
    <t>60</t>
  </si>
  <si>
    <t>61</t>
  </si>
  <si>
    <t>62</t>
  </si>
  <si>
    <t>63</t>
  </si>
  <si>
    <t>64</t>
  </si>
  <si>
    <t>65</t>
  </si>
  <si>
    <t>66</t>
  </si>
  <si>
    <t>---</t>
  </si>
  <si>
    <t>67</t>
  </si>
  <si>
    <t>68</t>
  </si>
  <si>
    <t>69</t>
  </si>
  <si>
    <t>70</t>
  </si>
  <si>
    <t>71</t>
  </si>
  <si>
    <t>72</t>
  </si>
  <si>
    <t>73</t>
  </si>
  <si>
    <t>74</t>
  </si>
  <si>
    <t>75</t>
  </si>
  <si>
    <t>76</t>
  </si>
  <si>
    <t>77</t>
  </si>
  <si>
    <t>78</t>
  </si>
  <si>
    <t>79</t>
  </si>
  <si>
    <t>80</t>
  </si>
  <si>
    <t xml:space="preserve">            State and local</t>
  </si>
  <si>
    <t>81</t>
  </si>
  <si>
    <t>82</t>
  </si>
  <si>
    <t>83</t>
  </si>
  <si>
    <t>84</t>
  </si>
  <si>
    <t xml:space="preserve">    Interest payments</t>
  </si>
  <si>
    <t>85</t>
  </si>
  <si>
    <t xml:space="preserve">    Other7</t>
  </si>
  <si>
    <t>86</t>
  </si>
  <si>
    <t>87</t>
  </si>
  <si>
    <t>88</t>
  </si>
  <si>
    <t>89</t>
  </si>
  <si>
    <t>90</t>
  </si>
  <si>
    <t>91</t>
  </si>
  <si>
    <t>92</t>
  </si>
  <si>
    <t>93</t>
  </si>
  <si>
    <t>94</t>
  </si>
  <si>
    <t>95</t>
  </si>
  <si>
    <t>96</t>
  </si>
  <si>
    <t>97</t>
  </si>
  <si>
    <t>98</t>
  </si>
  <si>
    <t>99</t>
  </si>
  <si>
    <t>100</t>
  </si>
  <si>
    <t>101</t>
  </si>
  <si>
    <t>Housing and community services8</t>
  </si>
  <si>
    <t>102</t>
  </si>
  <si>
    <t>Health (net)</t>
  </si>
  <si>
    <t>103</t>
  </si>
  <si>
    <t xml:space="preserve">    Gross expenditures</t>
  </si>
  <si>
    <t>104</t>
  </si>
  <si>
    <t xml:space="preserve">    Less: Sales to other sectors</t>
  </si>
  <si>
    <t>105</t>
  </si>
  <si>
    <t>106</t>
  </si>
  <si>
    <t>107</t>
  </si>
  <si>
    <t>108</t>
  </si>
  <si>
    <t>109</t>
  </si>
  <si>
    <t>110</t>
  </si>
  <si>
    <t>111</t>
  </si>
  <si>
    <t>112</t>
  </si>
  <si>
    <t>113</t>
  </si>
  <si>
    <t>114</t>
  </si>
  <si>
    <t>Legend / Footnotes:</t>
  </si>
  <si>
    <t>1. Equals federal government current expenditures less grants-in-aid to state and local governments plus state and local government current expenditures. Federal grants-in-aid to state and local governments by function are shown in table 3.17.</t>
  </si>
  <si>
    <t>2. Prior to 1960, federal interest receipts are not available separately but are included in interest payments, which is shown net of federal interest receipts. Interest payments includes interest accrued on the actuarial liabilities of defined benefit pension plans for government employees.</t>
  </si>
  <si>
    <t>3. Equals unallocable state and local government expenditures; includes federal government revenue sharing grants to state and local governments beginning with 1972 and ending with 1987.</t>
  </si>
  <si>
    <t>4. Consists of state and local government publicly owned liquor store systems, government-administered lotteries and parimutuels, and other commercial activities.</t>
  </si>
  <si>
    <t>5. Consists of social insurance funds, including old age, survivors, and disability insurance (social security), and railroad retirement. Excludes government employee retirement plans.</t>
  </si>
  <si>
    <t>6. Consists primarily of federal government revenue sharing grants to state and local governments beginning with 1972 and ending with 1987.</t>
  </si>
  <si>
    <t>7. Equals unallocable state and local government expenditures.</t>
  </si>
  <si>
    <t>8. Consists of current expenditures for sanitation. Beginning with 2007, includes housing subsidies related to Hurricanes Katrina and Rita.</t>
  </si>
  <si>
    <t>Dataset: 11. Government expenditure by function (COFOG)</t>
  </si>
  <si>
    <t>Function</t>
  </si>
  <si>
    <t>030: Public order and safety</t>
  </si>
  <si>
    <t>Sector</t>
  </si>
  <si>
    <t>GS13: General government</t>
  </si>
  <si>
    <t>Measure</t>
  </si>
  <si>
    <t>Current prices</t>
  </si>
  <si>
    <t>Won, Millions</t>
  </si>
  <si>
    <t>Transaction</t>
  </si>
  <si>
    <t>i</t>
  </si>
  <si>
    <t>TLYCG: Total government expenditure</t>
  </si>
  <si>
    <t>Data extracted on 23 Aug 2022 06:55 UTC (GMT) from OECD.Stat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</si>
</sst>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0.0%"/>
    <numFmt numFmtId="166" formatCode="#,##0.0"/>
    <numFmt numFmtId="167" formatCode="0.000"/>
    <numFmt numFmtId="168" formatCode="0.0"/>
    <numFmt numFmtId="169" formatCode="_-* #,##0_-;\-* #,##0_-;_-* &quot;-&quot;??_-;_-@_-"/>
    <numFmt numFmtId="170" formatCode="_-* #,##0.00000_-;\-* #,##0.00000_-;_-* &quot;-&quot;??_-;_-@_-"/>
  </numFmts>
  <fonts count="60">
    <font>
      <sz val="11"/>
      <color theme="1"/>
      <name val="Calibri"/>
      <family val="2"/>
      <scheme val="minor"/>
    </font>
    <font>
      <b/>
      <sz val="11"/>
      <color theme="1"/>
      <name val="Calibri"/>
      <family val="2"/>
      <scheme val="minor"/>
    </font>
    <font>
      <i/>
      <sz val="9"/>
      <color theme="1"/>
      <name val="Calibri"/>
      <family val="2"/>
      <scheme val="minor"/>
    </font>
    <font>
      <sz val="11"/>
      <color theme="1"/>
      <name val="Calibri"/>
      <family val="2"/>
      <scheme val="minor"/>
    </font>
    <font>
      <sz val="11"/>
      <name val="Calibri"/>
      <family val="2"/>
      <scheme val="minor"/>
    </font>
    <font>
      <i/>
      <sz val="11"/>
      <color theme="1"/>
      <name val="Calibri"/>
      <family val="2"/>
      <scheme val="minor"/>
    </font>
    <font>
      <u/>
      <sz val="11"/>
      <color theme="10"/>
      <name val="Calibri"/>
      <family val="2"/>
      <scheme val="minor"/>
    </font>
    <font>
      <sz val="10"/>
      <color rgb="FF000000"/>
      <name val="Lucida Sans Unicode"/>
      <family val="2"/>
    </font>
    <font>
      <sz val="11"/>
      <color rgb="FF333333"/>
      <name val="Calibri"/>
      <family val="2"/>
      <scheme val="minor"/>
    </font>
    <font>
      <sz val="11"/>
      <color rgb="FF222222"/>
      <name val="Calibri"/>
      <family val="2"/>
      <scheme val="minor"/>
    </font>
    <font>
      <sz val="11"/>
      <color rgb="FFFF0000"/>
      <name val="Calibri"/>
      <family val="2"/>
      <scheme val="minor"/>
    </font>
    <font>
      <sz val="10"/>
      <name val="Arial"/>
      <family val="2"/>
    </font>
    <font>
      <sz val="10"/>
      <name val="Arial"/>
      <family val="2"/>
    </font>
    <font>
      <u/>
      <sz val="10"/>
      <color indexed="12"/>
      <name val="Arial"/>
      <family val="2"/>
    </font>
    <font>
      <sz val="10"/>
      <color theme="1"/>
      <name val="Arial"/>
      <family val="2"/>
    </font>
    <font>
      <u/>
      <sz val="8"/>
      <color theme="10"/>
      <name val="Verdana"/>
      <family val="2"/>
    </font>
    <font>
      <sz val="8"/>
      <color theme="1"/>
      <name val="Verdana"/>
      <family val="2"/>
    </font>
    <font>
      <sz val="10"/>
      <color theme="1"/>
      <name val="Arial Narrow"/>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4"/>
      <name val="Arial"/>
      <family val="2"/>
    </font>
    <font>
      <sz val="13"/>
      <name val="Arial"/>
      <family val="2"/>
    </font>
    <font>
      <b/>
      <sz val="10"/>
      <color rgb="FFFFFFFF"/>
      <name val="Arial"/>
      <family val="2"/>
    </font>
    <font>
      <b/>
      <sz val="10"/>
      <name val="Arial"/>
      <family val="2"/>
    </font>
    <font>
      <b/>
      <i/>
      <sz val="15"/>
      <name val="Arial"/>
      <family val="2"/>
    </font>
    <font>
      <i/>
      <sz val="10"/>
      <name val="Arial"/>
      <family val="2"/>
    </font>
    <font>
      <i/>
      <sz val="10"/>
      <color theme="1"/>
      <name val="Calibri"/>
      <family val="2"/>
      <scheme val="minor"/>
    </font>
    <font>
      <sz val="10"/>
      <name val="Arial"/>
    </font>
    <font>
      <sz val="8"/>
      <name val="Arial"/>
      <family val="2"/>
    </font>
    <font>
      <b/>
      <u/>
      <sz val="9"/>
      <color indexed="18"/>
      <name val="Verdana"/>
      <family val="2"/>
    </font>
    <font>
      <b/>
      <sz val="8"/>
      <color indexed="9"/>
      <name val="Verdana"/>
      <family val="2"/>
    </font>
    <font>
      <u/>
      <sz val="8"/>
      <color indexed="9"/>
      <name val="Verdana"/>
      <family val="2"/>
    </font>
    <font>
      <sz val="8"/>
      <color indexed="9"/>
      <name val="Verdana"/>
      <family val="2"/>
    </font>
    <font>
      <b/>
      <sz val="8"/>
      <name val="Verdana"/>
      <family val="2"/>
    </font>
    <font>
      <b/>
      <sz val="9"/>
      <color indexed="10"/>
      <name val="Courier New"/>
      <family val="3"/>
    </font>
    <font>
      <u/>
      <sz val="8"/>
      <name val="Verdana"/>
      <family val="2"/>
    </font>
    <font>
      <u/>
      <sz val="8"/>
      <name val="Arial"/>
      <family val="2"/>
    </font>
    <font>
      <sz val="11"/>
      <color theme="1"/>
      <name val="Calibri"/>
      <family val="2"/>
    </font>
    <font>
      <b/>
      <sz val="11"/>
      <color theme="1"/>
      <name val="Calibri"/>
      <family val="2"/>
    </font>
    <font>
      <b/>
      <sz val="11"/>
      <color rgb="FF000000"/>
      <name val="Calibri"/>
      <family val="2"/>
    </font>
    <font>
      <b/>
      <sz val="11"/>
      <color theme="0"/>
      <name val="Calibri"/>
      <family val="2"/>
    </font>
    <font>
      <sz val="11"/>
      <name val="Calibri"/>
      <family val="2"/>
    </font>
    <font>
      <sz val="10"/>
      <color rgb="FF000000"/>
      <name val="Tahoma"/>
      <family val="2"/>
    </font>
    <font>
      <b/>
      <sz val="10"/>
      <color rgb="FF000000"/>
      <name val="Tahoma"/>
      <family val="2"/>
    </font>
    <font>
      <sz val="11"/>
      <color rgb="FF000000"/>
      <name val="Calibri"/>
      <family val="2"/>
      <scheme val="minor"/>
    </font>
    <font>
      <b/>
      <sz val="11"/>
      <color rgb="FF000000"/>
      <name val="Calibri"/>
      <family val="2"/>
      <scheme val="minor"/>
    </font>
    <font>
      <b/>
      <sz val="16"/>
      <color rgb="FF000000"/>
      <name val="Calibri"/>
      <family val="2"/>
      <scheme val="minor"/>
    </font>
    <font>
      <sz val="14"/>
      <color rgb="FF595959"/>
      <name val="Calibri"/>
      <family val="2"/>
      <scheme val="minor"/>
    </font>
  </fonts>
  <fills count="45">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5" tint="0.39997558519241921"/>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3366"/>
        <bgColor rgb="FF808080"/>
      </patternFill>
    </fill>
    <fill>
      <patternFill patternType="solid">
        <fgColor rgb="FFFFC000"/>
        <bgColor indexed="64"/>
      </patternFill>
    </fill>
    <fill>
      <patternFill patternType="solid">
        <fgColor rgb="FF00A1E3"/>
        <bgColor indexed="64"/>
      </patternFill>
    </fill>
    <fill>
      <patternFill patternType="solid">
        <fgColor rgb="FFC4D8ED"/>
        <bgColor indexed="64"/>
      </patternFill>
    </fill>
    <fill>
      <patternFill patternType="mediumGray">
        <fgColor rgb="FFC0C0C0"/>
        <bgColor rgb="FFFFFFFF"/>
      </patternFill>
    </fill>
    <fill>
      <patternFill patternType="solid">
        <fgColor rgb="FFCAC4D9"/>
        <bgColor rgb="FF000000"/>
      </patternFill>
    </fill>
    <fill>
      <patternFill patternType="solid">
        <fgColor rgb="FF482D8B"/>
        <bgColor rgb="FF000000"/>
      </patternFill>
    </fill>
  </fills>
  <borders count="32">
    <border>
      <left/>
      <right/>
      <top/>
      <bottom/>
      <diagonal/>
    </border>
    <border>
      <left/>
      <right/>
      <top style="thin">
        <color rgb="FF9EB9D6"/>
      </top>
      <bottom style="thin">
        <color rgb="FF9EB9D6"/>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FFFF"/>
      </left>
      <right style="thin">
        <color rgb="FFFFFFFF"/>
      </right>
      <top style="thin">
        <color rgb="FFFFFFFF"/>
      </top>
      <bottom style="thin">
        <color rgb="FFFFFFFF"/>
      </bottom>
      <diagonal/>
    </border>
    <border>
      <left/>
      <right style="thin">
        <color indexed="64"/>
      </right>
      <top/>
      <bottom/>
      <diagonal/>
    </border>
    <border>
      <left style="thin">
        <color indexed="64"/>
      </left>
      <right/>
      <top/>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top style="thin">
        <color rgb="FFC0C0C0"/>
      </top>
      <bottom style="thin">
        <color rgb="FFC0C0C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62">
    <xf numFmtId="0" fontId="0" fillId="0" borderId="0"/>
    <xf numFmtId="164" fontId="3" fillId="0" borderId="0" applyFon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xf numFmtId="0" fontId="7" fillId="0" borderId="0"/>
    <xf numFmtId="0" fontId="11" fillId="0" borderId="0"/>
    <xf numFmtId="0" fontId="13" fillId="0" borderId="0" applyNumberFormat="0" applyFill="0" applyBorder="0" applyAlignment="0" applyProtection="0">
      <alignment vertical="top"/>
      <protection locked="0"/>
    </xf>
    <xf numFmtId="0" fontId="15" fillId="0" borderId="0" applyNumberFormat="0" applyFill="0" applyBorder="0" applyAlignment="0" applyProtection="0"/>
    <xf numFmtId="0" fontId="12" fillId="0" borderId="0"/>
    <xf numFmtId="0" fontId="14" fillId="0" borderId="0"/>
    <xf numFmtId="0" fontId="12" fillId="0" borderId="0"/>
    <xf numFmtId="0" fontId="16" fillId="0" borderId="0"/>
    <xf numFmtId="0" fontId="14" fillId="0" borderId="0"/>
    <xf numFmtId="0" fontId="14" fillId="0" borderId="0"/>
    <xf numFmtId="0" fontId="12" fillId="0" borderId="0"/>
    <xf numFmtId="0" fontId="18" fillId="0" borderId="0" applyNumberFormat="0" applyFill="0" applyBorder="0" applyAlignment="0" applyProtection="0"/>
    <xf numFmtId="0" fontId="19" fillId="0" borderId="12"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0" applyNumberFormat="0" applyFill="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15" applyNumberFormat="0" applyAlignment="0" applyProtection="0"/>
    <xf numFmtId="0" fontId="26" fillId="11" borderId="16" applyNumberFormat="0" applyAlignment="0" applyProtection="0"/>
    <xf numFmtId="0" fontId="27" fillId="11" borderId="15" applyNumberFormat="0" applyAlignment="0" applyProtection="0"/>
    <xf numFmtId="0" fontId="28" fillId="0" borderId="17" applyNumberFormat="0" applyFill="0" applyAlignment="0" applyProtection="0"/>
    <xf numFmtId="0" fontId="29" fillId="12" borderId="18" applyNumberFormat="0" applyAlignment="0" applyProtection="0"/>
    <xf numFmtId="0" fontId="10" fillId="0" borderId="0" applyNumberFormat="0" applyFill="0" applyBorder="0" applyAlignment="0" applyProtection="0"/>
    <xf numFmtId="0" fontId="3" fillId="13" borderId="19" applyNumberFormat="0" applyFont="0" applyAlignment="0" applyProtection="0"/>
    <xf numFmtId="0" fontId="30" fillId="0" borderId="0" applyNumberFormat="0" applyFill="0" applyBorder="0" applyAlignment="0" applyProtection="0"/>
    <xf numFmtId="0" fontId="1" fillId="0" borderId="20" applyNumberFormat="0" applyFill="0" applyAlignment="0" applyProtection="0"/>
    <xf numFmtId="0" fontId="31"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1"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1"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1"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1"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1"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39" fillId="0" borderId="0"/>
  </cellStyleXfs>
  <cellXfs count="185">
    <xf numFmtId="0" fontId="0" fillId="0" borderId="0" xfId="0"/>
    <xf numFmtId="0" fontId="1" fillId="0" borderId="0" xfId="0" applyFont="1"/>
    <xf numFmtId="0" fontId="2" fillId="0" borderId="0" xfId="0" applyFont="1" applyAlignment="1">
      <alignment horizontal="right"/>
    </xf>
    <xf numFmtId="0" fontId="2" fillId="0" borderId="0" xfId="0" applyFont="1" applyAlignment="1">
      <alignment horizontal="left"/>
    </xf>
    <xf numFmtId="9" fontId="0" fillId="0" borderId="0" xfId="2" applyFont="1"/>
    <xf numFmtId="165" fontId="0" fillId="0" borderId="0" xfId="2" applyNumberFormat="1" applyFont="1"/>
    <xf numFmtId="3" fontId="0" fillId="0" borderId="0" xfId="0" applyNumberFormat="1"/>
    <xf numFmtId="1" fontId="0" fillId="0" borderId="0" xfId="0" applyNumberFormat="1"/>
    <xf numFmtId="166" fontId="0" fillId="0" borderId="0" xfId="0" applyNumberFormat="1"/>
    <xf numFmtId="0" fontId="4" fillId="0" borderId="0" xfId="0" applyFont="1"/>
    <xf numFmtId="166" fontId="4" fillId="0" borderId="0" xfId="0" applyNumberFormat="1" applyFont="1"/>
    <xf numFmtId="9" fontId="0" fillId="0" borderId="0" xfId="0" applyNumberFormat="1"/>
    <xf numFmtId="0" fontId="5" fillId="0" borderId="0" xfId="0" applyFont="1"/>
    <xf numFmtId="4" fontId="0" fillId="0" borderId="0" xfId="0" applyNumberFormat="1"/>
    <xf numFmtId="167" fontId="0" fillId="0" borderId="0" xfId="0" applyNumberFormat="1"/>
    <xf numFmtId="2" fontId="0" fillId="0" borderId="0" xfId="0" applyNumberFormat="1"/>
    <xf numFmtId="168" fontId="0" fillId="0" borderId="0" xfId="0" applyNumberFormat="1"/>
    <xf numFmtId="169" fontId="0" fillId="0" borderId="0" xfId="1" applyNumberFormat="1" applyFont="1"/>
    <xf numFmtId="169" fontId="0" fillId="2" borderId="0" xfId="1" applyNumberFormat="1" applyFont="1" applyFill="1"/>
    <xf numFmtId="169" fontId="1" fillId="0" borderId="0" xfId="1" applyNumberFormat="1" applyFont="1"/>
    <xf numFmtId="169" fontId="1" fillId="2" borderId="0" xfId="1" applyNumberFormat="1" applyFont="1" applyFill="1"/>
    <xf numFmtId="9" fontId="1" fillId="0" borderId="0" xfId="2" applyFont="1"/>
    <xf numFmtId="0" fontId="0" fillId="0" borderId="0" xfId="0" applyAlignment="1">
      <alignment horizontal="right"/>
    </xf>
    <xf numFmtId="0" fontId="1" fillId="0" borderId="0" xfId="0" applyFont="1" applyAlignment="1">
      <alignment wrapText="1"/>
    </xf>
    <xf numFmtId="1" fontId="1" fillId="0" borderId="0" xfId="0" applyNumberFormat="1" applyFont="1"/>
    <xf numFmtId="0" fontId="5" fillId="0" borderId="0" xfId="0" applyFont="1" applyAlignment="1">
      <alignment horizontal="right"/>
    </xf>
    <xf numFmtId="3" fontId="1" fillId="0" borderId="0" xfId="0" applyNumberFormat="1" applyFont="1"/>
    <xf numFmtId="166" fontId="1" fillId="0" borderId="0" xfId="0" applyNumberFormat="1" applyFont="1"/>
    <xf numFmtId="4" fontId="1" fillId="0" borderId="0" xfId="0" applyNumberFormat="1" applyFont="1"/>
    <xf numFmtId="1" fontId="5" fillId="0" borderId="0" xfId="0" applyNumberFormat="1" applyFont="1"/>
    <xf numFmtId="168" fontId="5" fillId="0" borderId="0" xfId="0" applyNumberFormat="1" applyFont="1"/>
    <xf numFmtId="0" fontId="6" fillId="0" borderId="0" xfId="3"/>
    <xf numFmtId="0" fontId="0" fillId="2" borderId="0" xfId="0" applyFill="1"/>
    <xf numFmtId="164" fontId="0" fillId="2" borderId="0" xfId="1" applyFont="1" applyFill="1"/>
    <xf numFmtId="0" fontId="0" fillId="0" borderId="0" xfId="0" applyAlignment="1">
      <alignment wrapText="1"/>
    </xf>
    <xf numFmtId="164" fontId="0" fillId="0" borderId="0" xfId="1" applyFont="1"/>
    <xf numFmtId="164" fontId="1" fillId="0" borderId="0" xfId="1" applyFont="1"/>
    <xf numFmtId="164" fontId="0" fillId="0" borderId="0" xfId="0" applyNumberFormat="1"/>
    <xf numFmtId="14" fontId="0" fillId="0" borderId="0" xfId="0" applyNumberFormat="1"/>
    <xf numFmtId="0" fontId="6" fillId="0" borderId="0" xfId="3" applyAlignment="1">
      <alignment wrapText="1"/>
    </xf>
    <xf numFmtId="0" fontId="8" fillId="0" borderId="1" xfId="0" applyFont="1" applyBorder="1" applyAlignment="1">
      <alignment vertical="center" wrapText="1"/>
    </xf>
    <xf numFmtId="0" fontId="9" fillId="0" borderId="0" xfId="0" applyFont="1" applyAlignment="1">
      <alignment wrapText="1"/>
    </xf>
    <xf numFmtId="0" fontId="0" fillId="3" borderId="0" xfId="0" applyFill="1" applyAlignment="1">
      <alignment wrapText="1"/>
    </xf>
    <xf numFmtId="1" fontId="0" fillId="0" borderId="0" xfId="0" applyNumberFormat="1" applyAlignment="1">
      <alignment wrapText="1"/>
    </xf>
    <xf numFmtId="0" fontId="4" fillId="0" borderId="0" xfId="0" applyFont="1" applyAlignment="1">
      <alignment wrapText="1"/>
    </xf>
    <xf numFmtId="11" fontId="0" fillId="0" borderId="0" xfId="0" applyNumberFormat="1"/>
    <xf numFmtId="0" fontId="0" fillId="2" borderId="0" xfId="0" applyFill="1" applyAlignment="1">
      <alignment wrapText="1"/>
    </xf>
    <xf numFmtId="169" fontId="0" fillId="0" borderId="0" xfId="0" applyNumberFormat="1"/>
    <xf numFmtId="0" fontId="0" fillId="0" borderId="0" xfId="0" applyAlignment="1">
      <alignment horizontal="left"/>
    </xf>
    <xf numFmtId="0" fontId="2" fillId="0" borderId="0" xfId="0" applyFont="1"/>
    <xf numFmtId="170" fontId="0" fillId="0" borderId="0" xfId="0" applyNumberFormat="1"/>
    <xf numFmtId="0" fontId="10" fillId="0" borderId="0" xfId="0" applyFont="1"/>
    <xf numFmtId="0" fontId="0" fillId="4" borderId="0" xfId="0" applyFill="1"/>
    <xf numFmtId="0" fontId="0" fillId="0" borderId="0" xfId="0" applyAlignment="1">
      <alignment vertical="center"/>
    </xf>
    <xf numFmtId="0" fontId="0" fillId="0" borderId="0" xfId="0" applyAlignment="1">
      <alignment horizontal="right" vertical="center"/>
    </xf>
    <xf numFmtId="164" fontId="0" fillId="0" borderId="0" xfId="1" applyFont="1" applyFill="1"/>
    <xf numFmtId="0" fontId="8" fillId="0" borderId="0" xfId="0" applyFont="1" applyAlignment="1">
      <alignment wrapText="1"/>
    </xf>
    <xf numFmtId="0" fontId="0" fillId="5" borderId="0" xfId="0" applyFill="1"/>
    <xf numFmtId="2" fontId="0" fillId="5" borderId="0" xfId="0" applyNumberFormat="1" applyFill="1"/>
    <xf numFmtId="0" fontId="0" fillId="5" borderId="0" xfId="0" applyFill="1" applyAlignment="1">
      <alignment wrapText="1"/>
    </xf>
    <xf numFmtId="0" fontId="1" fillId="6" borderId="2" xfId="0" applyFont="1" applyFill="1" applyBorder="1"/>
    <xf numFmtId="10" fontId="0" fillId="0" borderId="0" xfId="2" applyNumberFormat="1" applyFont="1"/>
    <xf numFmtId="169" fontId="5" fillId="0" borderId="0" xfId="1" applyNumberFormat="1" applyFont="1"/>
    <xf numFmtId="0" fontId="17" fillId="0" borderId="3" xfId="9" applyFont="1" applyBorder="1" applyAlignment="1">
      <alignment vertical="center" wrapText="1"/>
    </xf>
    <xf numFmtId="164" fontId="0" fillId="0" borderId="0" xfId="1" applyFont="1" applyAlignment="1">
      <alignment horizontal="center" vertical="center" wrapText="1"/>
    </xf>
    <xf numFmtId="164" fontId="0" fillId="0" borderId="0" xfId="1" applyFont="1" applyFill="1" applyAlignment="1">
      <alignment vertical="center"/>
    </xf>
    <xf numFmtId="164" fontId="0" fillId="4" borderId="0" xfId="1" applyFont="1" applyFill="1"/>
    <xf numFmtId="164" fontId="0" fillId="5" borderId="0" xfId="1" applyFont="1" applyFill="1"/>
    <xf numFmtId="0" fontId="0" fillId="0" borderId="5" xfId="0" applyBorder="1"/>
    <xf numFmtId="0" fontId="0" fillId="0" borderId="6" xfId="0" applyBorder="1"/>
    <xf numFmtId="9" fontId="0" fillId="0" borderId="0" xfId="2" applyFont="1" applyBorder="1"/>
    <xf numFmtId="9" fontId="0" fillId="0" borderId="8" xfId="2" applyFont="1" applyBorder="1"/>
    <xf numFmtId="2" fontId="0" fillId="0" borderId="9" xfId="0" applyNumberFormat="1" applyBorder="1"/>
    <xf numFmtId="9" fontId="0" fillId="0" borderId="10" xfId="2" applyFont="1" applyBorder="1"/>
    <xf numFmtId="9" fontId="0" fillId="0" borderId="11" xfId="2" applyFont="1" applyBorder="1"/>
    <xf numFmtId="2" fontId="1" fillId="0" borderId="0" xfId="0" applyNumberFormat="1" applyFont="1"/>
    <xf numFmtId="1" fontId="0" fillId="0" borderId="10" xfId="0" applyNumberFormat="1" applyBorder="1"/>
    <xf numFmtId="0" fontId="0" fillId="0" borderId="4" xfId="0" applyBorder="1"/>
    <xf numFmtId="0" fontId="0" fillId="0" borderId="7" xfId="0" applyBorder="1"/>
    <xf numFmtId="1" fontId="0" fillId="0" borderId="8" xfId="0" applyNumberFormat="1" applyBorder="1"/>
    <xf numFmtId="0" fontId="34" fillId="38" borderId="21" xfId="0" applyFont="1" applyFill="1" applyBorder="1" applyAlignment="1">
      <alignment horizontal="center"/>
    </xf>
    <xf numFmtId="0" fontId="35" fillId="0" borderId="0" xfId="0" applyFont="1"/>
    <xf numFmtId="0" fontId="0" fillId="0" borderId="22" xfId="0" applyBorder="1"/>
    <xf numFmtId="168" fontId="0" fillId="0" borderId="22" xfId="0" applyNumberFormat="1" applyBorder="1"/>
    <xf numFmtId="0" fontId="32" fillId="0" borderId="0" xfId="0" applyFont="1"/>
    <xf numFmtId="168" fontId="0" fillId="0" borderId="0" xfId="2" applyNumberFormat="1" applyFont="1"/>
    <xf numFmtId="0" fontId="0" fillId="0" borderId="22" xfId="0" applyBorder="1" applyAlignment="1">
      <alignment wrapText="1"/>
    </xf>
    <xf numFmtId="2" fontId="0" fillId="0" borderId="0" xfId="2" applyNumberFormat="1" applyFont="1"/>
    <xf numFmtId="2" fontId="0" fillId="0" borderId="22" xfId="0" applyNumberFormat="1" applyBorder="1"/>
    <xf numFmtId="2" fontId="0" fillId="0" borderId="0" xfId="0" applyNumberFormat="1" applyAlignment="1">
      <alignment wrapText="1"/>
    </xf>
    <xf numFmtId="10" fontId="0" fillId="0" borderId="0" xfId="0" applyNumberFormat="1"/>
    <xf numFmtId="169" fontId="6" fillId="0" borderId="0" xfId="1" applyNumberFormat="1" applyFont="1"/>
    <xf numFmtId="169" fontId="3" fillId="0" borderId="0" xfId="1" applyNumberFormat="1" applyFont="1"/>
    <xf numFmtId="3" fontId="0" fillId="0" borderId="0" xfId="0" applyNumberFormat="1" applyAlignment="1">
      <alignment wrapText="1"/>
    </xf>
    <xf numFmtId="4" fontId="0" fillId="0" borderId="0" xfId="0" applyNumberFormat="1" applyAlignment="1">
      <alignment wrapText="1"/>
    </xf>
    <xf numFmtId="0" fontId="6" fillId="0" borderId="0" xfId="3" applyFill="1"/>
    <xf numFmtId="0" fontId="1" fillId="0" borderId="0" xfId="0" applyFont="1" applyAlignment="1">
      <alignment vertical="center"/>
    </xf>
    <xf numFmtId="0" fontId="0" fillId="3" borderId="0" xfId="0" applyFill="1"/>
    <xf numFmtId="2" fontId="0" fillId="3" borderId="0" xfId="0" applyNumberFormat="1" applyFill="1"/>
    <xf numFmtId="0" fontId="38" fillId="0" borderId="0" xfId="0" applyFont="1"/>
    <xf numFmtId="0" fontId="0" fillId="0" borderId="9" xfId="0" applyBorder="1"/>
    <xf numFmtId="0" fontId="0" fillId="0" borderId="10" xfId="0" applyBorder="1"/>
    <xf numFmtId="0" fontId="8" fillId="0" borderId="0" xfId="0" applyFont="1" applyAlignment="1">
      <alignment vertical="center" wrapText="1"/>
    </xf>
    <xf numFmtId="2" fontId="1" fillId="0" borderId="0" xfId="0" applyNumberFormat="1" applyFont="1" applyAlignment="1">
      <alignment wrapText="1"/>
    </xf>
    <xf numFmtId="2" fontId="4" fillId="0" borderId="0" xfId="0" applyNumberFormat="1" applyFont="1"/>
    <xf numFmtId="2" fontId="0" fillId="0" borderId="0" xfId="1" applyNumberFormat="1" applyFont="1" applyFill="1"/>
    <xf numFmtId="2" fontId="0" fillId="0" borderId="0" xfId="0" applyNumberFormat="1" applyAlignment="1">
      <alignment vertical="center"/>
    </xf>
    <xf numFmtId="2" fontId="0" fillId="0" borderId="5" xfId="0" applyNumberFormat="1" applyBorder="1"/>
    <xf numFmtId="2" fontId="0" fillId="0" borderId="10" xfId="0" applyNumberFormat="1" applyBorder="1"/>
    <xf numFmtId="0" fontId="0" fillId="39" borderId="0" xfId="0" applyFill="1"/>
    <xf numFmtId="2" fontId="0" fillId="39" borderId="0" xfId="0" applyNumberFormat="1" applyFill="1"/>
    <xf numFmtId="0" fontId="0" fillId="0" borderId="8" xfId="0" applyBorder="1"/>
    <xf numFmtId="0" fontId="0" fillId="0" borderId="11" xfId="0" applyBorder="1"/>
    <xf numFmtId="0" fontId="9" fillId="0" borderId="0" xfId="0" applyFont="1" applyAlignment="1">
      <alignment horizontal="left" vertical="center" indent="1"/>
    </xf>
    <xf numFmtId="2" fontId="1" fillId="5" borderId="0" xfId="0" applyNumberFormat="1" applyFont="1" applyFill="1"/>
    <xf numFmtId="2" fontId="0" fillId="2" borderId="0" xfId="0" applyNumberFormat="1" applyFill="1"/>
    <xf numFmtId="168" fontId="0" fillId="3" borderId="0" xfId="0" applyNumberFormat="1" applyFill="1"/>
    <xf numFmtId="168" fontId="0" fillId="39" borderId="0" xfId="0" applyNumberFormat="1" applyFill="1"/>
    <xf numFmtId="0" fontId="0" fillId="3" borderId="0" xfId="0" applyFill="1" applyAlignment="1">
      <alignment horizontal="right"/>
    </xf>
    <xf numFmtId="0" fontId="0" fillId="39" borderId="0" xfId="0" applyFill="1" applyAlignment="1">
      <alignment horizontal="right"/>
    </xf>
    <xf numFmtId="0" fontId="40" fillId="0" borderId="24" xfId="61" applyFont="1" applyBorder="1"/>
    <xf numFmtId="0" fontId="39" fillId="0" borderId="0" xfId="61"/>
    <xf numFmtId="0" fontId="41" fillId="0" borderId="24" xfId="61" applyFont="1" applyBorder="1" applyAlignment="1">
      <alignment horizontal="left" wrapText="1"/>
    </xf>
    <xf numFmtId="0" fontId="44" fillId="40" borderId="24" xfId="61" applyFont="1" applyFill="1" applyBorder="1" applyAlignment="1">
      <alignment horizontal="center" vertical="top" wrapText="1"/>
    </xf>
    <xf numFmtId="0" fontId="45" fillId="41" borderId="24" xfId="61" applyFont="1" applyFill="1" applyBorder="1" applyAlignment="1">
      <alignment wrapText="1"/>
    </xf>
    <xf numFmtId="0" fontId="46" fillId="42" borderId="24" xfId="61" applyFont="1" applyFill="1" applyBorder="1" applyAlignment="1">
      <alignment horizontal="center"/>
    </xf>
    <xf numFmtId="0" fontId="47" fillId="41" borderId="24" xfId="61" applyFont="1" applyFill="1" applyBorder="1" applyAlignment="1">
      <alignment vertical="top" wrapText="1"/>
    </xf>
    <xf numFmtId="0" fontId="48" fillId="0" borderId="24" xfId="61" applyFont="1" applyBorder="1" applyAlignment="1">
      <alignment horizontal="right"/>
    </xf>
    <xf numFmtId="0" fontId="47" fillId="0" borderId="0" xfId="61" applyFont="1" applyAlignment="1">
      <alignment horizontal="left"/>
    </xf>
    <xf numFmtId="165" fontId="39" fillId="0" borderId="0" xfId="2" applyNumberFormat="1" applyFont="1"/>
    <xf numFmtId="0" fontId="50" fillId="0" borderId="0" xfId="0" applyFont="1" applyAlignment="1">
      <alignment wrapText="1"/>
    </xf>
    <xf numFmtId="0" fontId="52" fillId="44" borderId="28" xfId="0" applyFont="1" applyFill="1" applyBorder="1" applyAlignment="1">
      <alignment horizontal="center" vertical="center" wrapText="1"/>
    </xf>
    <xf numFmtId="0" fontId="53" fillId="0" borderId="0" xfId="0" applyFont="1" applyAlignment="1">
      <alignment horizontal="center" vertical="center"/>
    </xf>
    <xf numFmtId="2" fontId="51" fillId="43" borderId="0" xfId="0" applyNumberFormat="1" applyFont="1" applyFill="1" applyAlignment="1">
      <alignment horizontal="center" vertical="center"/>
    </xf>
    <xf numFmtId="0" fontId="49" fillId="0" borderId="0" xfId="0" applyFont="1" applyAlignment="1">
      <alignment horizontal="center" vertical="center"/>
    </xf>
    <xf numFmtId="0" fontId="51" fillId="43" borderId="0" xfId="0" applyFont="1" applyFill="1" applyAlignment="1">
      <alignment wrapText="1"/>
    </xf>
    <xf numFmtId="0" fontId="56" fillId="0" borderId="0" xfId="0" applyFont="1"/>
    <xf numFmtId="0" fontId="57" fillId="0" borderId="0" xfId="0" applyFont="1"/>
    <xf numFmtId="0" fontId="57" fillId="0" borderId="0" xfId="0" applyFont="1" applyAlignment="1">
      <alignment wrapText="1"/>
    </xf>
    <xf numFmtId="0" fontId="56" fillId="0" borderId="0" xfId="0" applyFont="1" applyAlignment="1">
      <alignment wrapText="1"/>
    </xf>
    <xf numFmtId="0" fontId="58" fillId="0" borderId="0" xfId="0" applyFont="1"/>
    <xf numFmtId="0" fontId="59" fillId="0" borderId="0" xfId="0" applyFont="1" applyAlignment="1">
      <alignment horizontal="center" vertical="center" readingOrder="1"/>
    </xf>
    <xf numFmtId="169" fontId="0" fillId="0" borderId="0" xfId="1" applyNumberFormat="1" applyFont="1" applyFill="1"/>
    <xf numFmtId="0" fontId="1" fillId="0" borderId="0" xfId="0" applyFont="1" applyAlignment="1">
      <alignment horizontal="right"/>
    </xf>
    <xf numFmtId="0" fontId="1" fillId="0" borderId="0" xfId="0" applyFont="1" applyAlignment="1">
      <alignment horizontal="right" wrapText="1"/>
    </xf>
    <xf numFmtId="2" fontId="1" fillId="0" borderId="0" xfId="0" applyNumberFormat="1" applyFont="1" applyAlignment="1">
      <alignment horizontal="right" wrapText="1"/>
    </xf>
    <xf numFmtId="0" fontId="14" fillId="0" borderId="29" xfId="0" applyFont="1" applyBorder="1" applyAlignment="1">
      <alignment vertical="center" wrapText="1"/>
    </xf>
    <xf numFmtId="0" fontId="14" fillId="0" borderId="30" xfId="0" applyFont="1" applyBorder="1" applyAlignment="1">
      <alignment vertical="center" wrapText="1"/>
    </xf>
    <xf numFmtId="0" fontId="14" fillId="0" borderId="31" xfId="0" applyFont="1" applyBorder="1" applyAlignment="1">
      <alignment vertical="center" wrapText="1"/>
    </xf>
    <xf numFmtId="0" fontId="14" fillId="0" borderId="11" xfId="0" applyFont="1" applyBorder="1" applyAlignment="1">
      <alignment vertical="center" wrapText="1"/>
    </xf>
    <xf numFmtId="0" fontId="6" fillId="0" borderId="0" xfId="3" applyAlignment="1">
      <alignment vertical="center"/>
    </xf>
    <xf numFmtId="0" fontId="11" fillId="0" borderId="0" xfId="0" applyFont="1"/>
    <xf numFmtId="0" fontId="1" fillId="0" borderId="0" xfId="0" applyFont="1" applyAlignment="1">
      <alignment horizontal="center" vertical="center"/>
    </xf>
    <xf numFmtId="2" fontId="1" fillId="0" borderId="0" xfId="0" applyNumberFormat="1" applyFont="1" applyAlignment="1">
      <alignment horizontal="center" vertical="center" wrapText="1"/>
    </xf>
    <xf numFmtId="0" fontId="1" fillId="0" borderId="0" xfId="0" applyFont="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center" wrapText="1"/>
    </xf>
    <xf numFmtId="0" fontId="9" fillId="0" borderId="0" xfId="0" applyFont="1" applyAlignment="1">
      <alignment horizontal="left" wrapText="1"/>
    </xf>
    <xf numFmtId="0" fontId="1" fillId="0" borderId="0" xfId="0" applyFont="1" applyAlignment="1">
      <alignment horizontal="center" vertical="center"/>
    </xf>
    <xf numFmtId="2" fontId="1" fillId="0" borderId="0" xfId="0" applyNumberFormat="1" applyFont="1" applyAlignment="1">
      <alignment horizontal="center" vertical="center" wrapText="1"/>
    </xf>
    <xf numFmtId="0" fontId="1" fillId="0" borderId="0" xfId="0" applyFont="1" applyAlignment="1">
      <alignment horizontal="center"/>
    </xf>
    <xf numFmtId="2" fontId="1" fillId="0" borderId="0" xfId="0" applyNumberFormat="1" applyFont="1" applyAlignment="1">
      <alignment horizontal="center"/>
    </xf>
    <xf numFmtId="0" fontId="6" fillId="0" borderId="0" xfId="3"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center" wrapText="1"/>
    </xf>
    <xf numFmtId="0" fontId="1" fillId="0" borderId="0" xfId="0" applyFont="1" applyAlignment="1">
      <alignment horizontal="center" wrapText="1"/>
    </xf>
    <xf numFmtId="3" fontId="1" fillId="0" borderId="0" xfId="0" applyNumberFormat="1" applyFont="1" applyAlignment="1">
      <alignment horizontal="center"/>
    </xf>
    <xf numFmtId="0" fontId="0" fillId="0" borderId="23" xfId="0" applyBorder="1" applyAlignment="1">
      <alignment horizontal="center"/>
    </xf>
    <xf numFmtId="0" fontId="0" fillId="0" borderId="22" xfId="0" applyBorder="1" applyAlignment="1">
      <alignment horizontal="center"/>
    </xf>
    <xf numFmtId="0" fontId="43" fillId="40" borderId="25" xfId="61" applyFont="1" applyFill="1" applyBorder="1" applyAlignment="1">
      <alignment horizontal="center" vertical="top" wrapText="1"/>
    </xf>
    <xf numFmtId="0" fontId="43" fillId="40" borderId="27" xfId="61" applyFont="1" applyFill="1" applyBorder="1" applyAlignment="1">
      <alignment horizontal="center" vertical="top" wrapText="1"/>
    </xf>
    <xf numFmtId="0" fontId="43" fillId="40" borderId="26" xfId="61" applyFont="1" applyFill="1" applyBorder="1" applyAlignment="1">
      <alignment horizontal="center" vertical="top" wrapText="1"/>
    </xf>
    <xf numFmtId="0" fontId="42" fillId="40" borderId="25" xfId="61" applyFont="1" applyFill="1" applyBorder="1" applyAlignment="1">
      <alignment horizontal="right" vertical="center" wrapText="1"/>
    </xf>
    <xf numFmtId="0" fontId="42" fillId="40" borderId="26" xfId="61" applyFont="1" applyFill="1" applyBorder="1" applyAlignment="1">
      <alignment horizontal="right" vertical="center" wrapText="1"/>
    </xf>
    <xf numFmtId="0" fontId="44" fillId="40" borderId="25" xfId="61" applyFont="1" applyFill="1" applyBorder="1" applyAlignment="1">
      <alignment horizontal="center" vertical="top" wrapText="1"/>
    </xf>
    <xf numFmtId="0" fontId="44" fillId="40" borderId="27" xfId="61" applyFont="1" applyFill="1" applyBorder="1" applyAlignment="1">
      <alignment horizontal="center" vertical="top" wrapText="1"/>
    </xf>
    <xf numFmtId="0" fontId="44" fillId="40" borderId="26" xfId="61" applyFont="1" applyFill="1" applyBorder="1" applyAlignment="1">
      <alignment horizontal="center" vertical="top" wrapText="1"/>
    </xf>
    <xf numFmtId="0" fontId="33" fillId="0" borderId="0" xfId="0" applyFont="1" applyAlignment="1"/>
    <xf numFmtId="0" fontId="11" fillId="0" borderId="0" xfId="0" applyFont="1" applyAlignment="1"/>
    <xf numFmtId="0" fontId="36" fillId="0" borderId="0" xfId="0" applyFont="1" applyAlignment="1">
      <alignment wrapText="1"/>
    </xf>
    <xf numFmtId="0" fontId="37" fillId="0" borderId="0" xfId="0" applyFont="1" applyAlignment="1">
      <alignment wrapText="1"/>
    </xf>
  </cellXfs>
  <cellStyles count="62">
    <cellStyle name="20% - Accent1" xfId="33" builtinId="30" customBuiltin="1"/>
    <cellStyle name="20% - Accent2" xfId="37" builtinId="34" customBuiltin="1"/>
    <cellStyle name="20% - Accent3" xfId="41" builtinId="38" customBuiltin="1"/>
    <cellStyle name="20% - Accent4" xfId="45" builtinId="42" customBuiltin="1"/>
    <cellStyle name="20% - Accent5" xfId="49" builtinId="46" customBuiltin="1"/>
    <cellStyle name="20% - Accent6" xfId="53" builtinId="50" customBuiltin="1"/>
    <cellStyle name="40% - Accent1" xfId="34" builtinId="31" customBuiltin="1"/>
    <cellStyle name="40% - Accent2" xfId="38" builtinId="35" customBuiltin="1"/>
    <cellStyle name="40% - Accent3" xfId="42" builtinId="39" customBuiltin="1"/>
    <cellStyle name="40% - Accent4" xfId="46" builtinId="43" customBuiltin="1"/>
    <cellStyle name="40% - Accent5" xfId="50" builtinId="47" customBuiltin="1"/>
    <cellStyle name="40% - Accent6" xfId="54" builtinId="51" customBuiltin="1"/>
    <cellStyle name="60% - Accent1" xfId="35" builtinId="32" customBuiltin="1"/>
    <cellStyle name="60% - Accent2" xfId="39" builtinId="36" customBuiltin="1"/>
    <cellStyle name="60% - Accent3" xfId="43" builtinId="40" customBuiltin="1"/>
    <cellStyle name="60% - Accent4" xfId="47" builtinId="44" customBuiltin="1"/>
    <cellStyle name="60% - Accent5" xfId="51" builtinId="48" customBuiltin="1"/>
    <cellStyle name="60% - Accent6" xfId="55" builtinId="52" customBuiltin="1"/>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1" builtinId="27" customBuiltin="1"/>
    <cellStyle name="Calculation" xfId="25" builtinId="22" customBuiltin="1"/>
    <cellStyle name="Check Cell" xfId="27" builtinId="23" customBuiltin="1"/>
    <cellStyle name="Comma" xfId="1" builtinId="3"/>
    <cellStyle name="Explanatory Text" xfId="30"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xfId="3" builtinId="8"/>
    <cellStyle name="Hyperlink 2" xfId="6" xr:uid="{7968DCC3-F134-4BA7-9C02-BF3069A4006E}"/>
    <cellStyle name="Hyperlink 3" xfId="7" xr:uid="{334AB06E-AFC3-496E-9292-14B23758B4C1}"/>
    <cellStyle name="Input" xfId="23" builtinId="20" customBuiltin="1"/>
    <cellStyle name="Linked Cell" xfId="26" builtinId="24" customBuiltin="1"/>
    <cellStyle name="Neutral" xfId="22" builtinId="28" customBuiltin="1"/>
    <cellStyle name="Normal" xfId="0" builtinId="0"/>
    <cellStyle name="Normal 2" xfId="4" xr:uid="{7225782B-00D1-490C-A048-20319A4A23CC}"/>
    <cellStyle name="Normal 2 2" xfId="8" xr:uid="{B3517C17-E69B-4C5C-9897-5A31D6637A00}"/>
    <cellStyle name="Normal 2 3" xfId="57" xr:uid="{D77A5F77-32CF-4798-8326-E031A8133997}"/>
    <cellStyle name="Normal 3" xfId="9" xr:uid="{6FE2C1FC-974F-4092-B752-811143FE36BC}"/>
    <cellStyle name="Normal 3 2" xfId="59" xr:uid="{0DC24EBF-11EE-4A55-BA05-59465B710202}"/>
    <cellStyle name="Normal 3 2 2" xfId="56" xr:uid="{E0F60348-3184-45AC-8422-0EABF2511C38}"/>
    <cellStyle name="Normal 3 3" xfId="58" xr:uid="{0A3E6B35-039F-44FF-B5A4-C5DB9FC77370}"/>
    <cellStyle name="Normal 4" xfId="10" xr:uid="{B2F2E3DC-739A-4CD7-8F9B-2FC2F04716D9}"/>
    <cellStyle name="Normal 5" xfId="11" xr:uid="{33E6F03C-54BE-43B0-A2CF-3B659DD91755}"/>
    <cellStyle name="Normal 6" xfId="12" xr:uid="{9D8BA0B2-64DE-46A4-BBA6-6438172BE8AB}"/>
    <cellStyle name="Normal 7" xfId="13" xr:uid="{EF1310F8-8D65-418F-804E-BCCA8B4968B2}"/>
    <cellStyle name="Normal 8" xfId="5" xr:uid="{30AD9D79-6115-41B1-836F-A1815E813229}"/>
    <cellStyle name="Normal 9" xfId="61" xr:uid="{222D74DB-1761-43B5-82B9-49670A02E1CD}"/>
    <cellStyle name="Note" xfId="29" builtinId="10" customBuiltin="1"/>
    <cellStyle name="Output" xfId="24" builtinId="21" customBuiltin="1"/>
    <cellStyle name="Percent" xfId="2" builtinId="5"/>
    <cellStyle name="Percent 2" xfId="60" xr:uid="{897009C8-DC4D-43D4-B761-8D2C9A57828F}"/>
    <cellStyle name="Standard_crs++_debtDR_VOR" xfId="14" xr:uid="{E0DB286B-3067-4505-827A-C615E0DF03CF}"/>
    <cellStyle name="Title" xfId="15" builtinId="15" customBuiltin="1"/>
    <cellStyle name="Total" xfId="31" builtinId="25" customBuiltin="1"/>
    <cellStyle name="Warning Text" xfId="28" builtinId="11" customBuiltin="1"/>
  </cellStyles>
  <dxfs count="57">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alignment horizontal="general" vertical="bottom" textRotation="0" wrapText="1" indent="0" justifyLastLine="0" shrinkToFit="0" readingOrder="0"/>
    </dxf>
    <dxf>
      <numFmt numFmtId="1" formatCode="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general" vertical="bottom" textRotation="0" wrapText="1" indent="0" justifyLastLine="0" shrinkToFit="0" readingOrder="0"/>
    </dxf>
    <dxf>
      <numFmt numFmtId="168" formatCode="0.0"/>
    </dxf>
    <dxf>
      <alignment horizontal="general" vertical="bottom" textRotation="0" wrapText="1" indent="0" justifyLastLine="0" shrinkToFit="0" readingOrder="0"/>
    </dxf>
    <dxf>
      <numFmt numFmtId="168" formatCode="0.0"/>
    </dxf>
    <dxf>
      <alignment horizontal="general" vertical="bottom" textRotation="0" wrapText="1" indent="0" justifyLastLine="0" shrinkToFit="0" readingOrder="0"/>
    </dxf>
    <dxf>
      <numFmt numFmtId="2" formatCode="0.00"/>
    </dxf>
    <dxf>
      <numFmt numFmtId="2" formatCode="0.00"/>
    </dxf>
    <dxf>
      <numFmt numFmtId="2" formatCode="0.00"/>
    </dxf>
    <dxf>
      <numFmt numFmtId="2" formatCode="0.00"/>
      <alignment horizontal="general" vertical="bottom" textRotation="0" wrapText="1" indent="0" justifyLastLine="0" shrinkToFit="0" readingOrder="0"/>
    </dxf>
    <dxf>
      <numFmt numFmtId="168" formatCode="0.0"/>
    </dxf>
    <dxf>
      <alignment horizontal="general" vertical="bottom" textRotation="0" wrapText="1" indent="0" justifyLastLine="0" shrinkToFit="0" readingOrder="0"/>
    </dxf>
    <dxf>
      <numFmt numFmtId="2" formatCode="0.00"/>
    </dxf>
    <dxf>
      <alignment horizontal="general" vertical="bottom" textRotation="0" wrapText="1" indent="0" justifyLastLine="0" shrinkToFit="0" readingOrder="0"/>
    </dxf>
    <dxf>
      <fill>
        <patternFill>
          <bgColor theme="7" tint="0.79998168889431442"/>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2" formatCode="0.00"/>
    </dxf>
    <dxf>
      <font>
        <b/>
        <i val="0"/>
        <strike val="0"/>
        <condense val="0"/>
        <extend val="0"/>
        <outline val="0"/>
        <shadow val="0"/>
        <u val="none"/>
        <vertAlign val="baseline"/>
        <sz val="11"/>
        <color theme="1"/>
        <name val="Calibri"/>
        <family val="2"/>
        <scheme val="minor"/>
      </font>
    </dxf>
    <dxf>
      <numFmt numFmtId="2" formatCode="0.00"/>
      <fill>
        <patternFill patternType="solid">
          <fgColor indexed="64"/>
          <bgColor rgb="FFFF0000"/>
        </patternFill>
      </fill>
    </dxf>
    <dxf>
      <numFmt numFmtId="2" formatCode="0.00"/>
      <fill>
        <patternFill patternType="solid">
          <fgColor indexed="64"/>
          <bgColor rgb="FFFF0000"/>
        </patternFill>
      </fill>
    </dxf>
    <dxf>
      <numFmt numFmtId="2" formatCode="0.00"/>
    </dxf>
    <dxf>
      <font>
        <b/>
        <i val="0"/>
        <strike val="0"/>
        <condense val="0"/>
        <extend val="0"/>
        <outline val="0"/>
        <shadow val="0"/>
        <u val="none"/>
        <vertAlign val="baseline"/>
        <sz val="11"/>
        <color theme="1"/>
        <name val="Calibri"/>
        <family val="2"/>
        <scheme val="minor"/>
      </font>
    </dxf>
    <dxf>
      <numFmt numFmtId="2" formatCode="0.00"/>
    </dxf>
    <dxf>
      <font>
        <b/>
        <i val="0"/>
        <strike val="0"/>
        <condense val="0"/>
        <extend val="0"/>
        <outline val="0"/>
        <shadow val="0"/>
        <u val="none"/>
        <vertAlign val="baseline"/>
        <sz val="11"/>
        <color theme="1"/>
        <name val="Calibri"/>
        <family val="2"/>
        <scheme val="minor"/>
      </font>
    </dxf>
    <dxf>
      <numFmt numFmtId="2" formatCode="0.00"/>
    </dxf>
    <dxf>
      <font>
        <b/>
        <i val="0"/>
        <strike val="0"/>
        <condense val="0"/>
        <extend val="0"/>
        <outline val="0"/>
        <shadow val="0"/>
        <u val="none"/>
        <vertAlign val="baseline"/>
        <sz val="11"/>
        <color theme="1"/>
        <name val="Calibri"/>
        <family val="2"/>
        <scheme val="minor"/>
      </font>
    </dxf>
    <dxf>
      <numFmt numFmtId="2" formatCode="0.00"/>
    </dxf>
    <dxf>
      <font>
        <b/>
        <i val="0"/>
        <strike val="0"/>
        <condense val="0"/>
        <extend val="0"/>
        <outline val="0"/>
        <shadow val="0"/>
        <u val="none"/>
        <vertAlign val="baseline"/>
        <sz val="11"/>
        <color theme="1"/>
        <name val="Calibri"/>
        <family val="2"/>
        <scheme val="minor"/>
      </font>
    </dxf>
    <dxf>
      <numFmt numFmtId="2" formatCode="0.00"/>
    </dxf>
    <dxf>
      <font>
        <b/>
        <i val="0"/>
        <strike val="0"/>
        <condense val="0"/>
        <extend val="0"/>
        <outline val="0"/>
        <shadow val="0"/>
        <u val="none"/>
        <vertAlign val="baseline"/>
        <sz val="11"/>
        <color theme="1"/>
        <name val="Calibri"/>
        <family val="2"/>
        <scheme val="minor"/>
      </font>
    </dxf>
    <dxf>
      <numFmt numFmtId="2" formatCode="0.00"/>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17/10/relationships/person" Target="persons/perso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1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2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2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2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2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714306389591008E-2"/>
          <c:y val="3.3281164436490054E-2"/>
          <c:w val="0.93146783956262014"/>
          <c:h val="0.58239235335308792"/>
        </c:manualLayout>
      </c:layout>
      <c:lineChart>
        <c:grouping val="standard"/>
        <c:varyColors val="0"/>
        <c:ser>
          <c:idx val="4"/>
          <c:order val="0"/>
          <c:spPr>
            <a:ln w="28575" cap="rnd">
              <a:noFill/>
              <a:round/>
            </a:ln>
            <a:effectLst/>
          </c:spPr>
          <c:marker>
            <c:symbol val="circle"/>
            <c:size val="10"/>
            <c:spPr>
              <a:solidFill>
                <a:schemeClr val="accent5"/>
              </a:solidFill>
              <a:ln w="9525">
                <a:solidFill>
                  <a:schemeClr val="tx1"/>
                </a:solidFill>
              </a:ln>
              <a:effectLst/>
            </c:spPr>
          </c:marker>
          <c:dLbls>
            <c:delete val="1"/>
          </c:dLbls>
          <c:cat>
            <c:strRef>
              <c:f>'Fig 1 OECD % rev'!$A$4:$A$32</c:f>
              <c:strCache>
                <c:ptCount val="29"/>
                <c:pt idx="0">
                  <c:v>Denmark</c:v>
                </c:pt>
                <c:pt idx="1">
                  <c:v>Finland</c:v>
                </c:pt>
                <c:pt idx="2">
                  <c:v>Norway</c:v>
                </c:pt>
                <c:pt idx="3">
                  <c:v>Sweden</c:v>
                </c:pt>
                <c:pt idx="4">
                  <c:v>Austria</c:v>
                </c:pt>
                <c:pt idx="5">
                  <c:v>Luxembourg</c:v>
                </c:pt>
                <c:pt idx="6">
                  <c:v>France</c:v>
                </c:pt>
                <c:pt idx="7">
                  <c:v>Germany</c:v>
                </c:pt>
                <c:pt idx="8">
                  <c:v>Japan</c:v>
                </c:pt>
                <c:pt idx="9">
                  <c:v>Belgium</c:v>
                </c:pt>
                <c:pt idx="10">
                  <c:v>Iceland</c:v>
                </c:pt>
                <c:pt idx="11">
                  <c:v>Slovenia</c:v>
                </c:pt>
                <c:pt idx="12">
                  <c:v>Ireland</c:v>
                </c:pt>
                <c:pt idx="13">
                  <c:v>Portugal</c:v>
                </c:pt>
                <c:pt idx="14">
                  <c:v>Italy</c:v>
                </c:pt>
                <c:pt idx="15">
                  <c:v>Canada</c:v>
                </c:pt>
                <c:pt idx="16">
                  <c:v>Greece</c:v>
                </c:pt>
                <c:pt idx="17">
                  <c:v>Netherlands</c:v>
                </c:pt>
                <c:pt idx="18">
                  <c:v>Switzerland</c:v>
                </c:pt>
                <c:pt idx="19">
                  <c:v>Hungary</c:v>
                </c:pt>
                <c:pt idx="20">
                  <c:v>Spain</c:v>
                </c:pt>
                <c:pt idx="21">
                  <c:v>Czech Republic</c:v>
                </c:pt>
                <c:pt idx="22">
                  <c:v>New Zealand</c:v>
                </c:pt>
                <c:pt idx="23">
                  <c:v>United Kingdom</c:v>
                </c:pt>
                <c:pt idx="24">
                  <c:v>Korea, Rep.</c:v>
                </c:pt>
                <c:pt idx="25">
                  <c:v>Australia</c:v>
                </c:pt>
                <c:pt idx="26">
                  <c:v>Poland</c:v>
                </c:pt>
                <c:pt idx="27">
                  <c:v>Slovak Republic</c:v>
                </c:pt>
                <c:pt idx="28">
                  <c:v>United States</c:v>
                </c:pt>
              </c:strCache>
            </c:strRef>
          </c:cat>
          <c:val>
            <c:numRef>
              <c:f>'Fig 1 OECD % rev'!$B$4:$B$32</c:f>
              <c:numCache>
                <c:formatCode>0.0</c:formatCode>
                <c:ptCount val="29"/>
                <c:pt idx="0">
                  <c:v>1.8717948950808341</c:v>
                </c:pt>
                <c:pt idx="1">
                  <c:v>2.2688017089777439</c:v>
                </c:pt>
                <c:pt idx="2">
                  <c:v>2.59494485451527</c:v>
                </c:pt>
                <c:pt idx="3">
                  <c:v>2.8760157631548267</c:v>
                </c:pt>
                <c:pt idx="4">
                  <c:v>2.9337578452132038</c:v>
                </c:pt>
                <c:pt idx="5">
                  <c:v>2.9497514856108795</c:v>
                </c:pt>
                <c:pt idx="6">
                  <c:v>3.3586684324843326</c:v>
                </c:pt>
                <c:pt idx="7">
                  <c:v>3.5912676468270579</c:v>
                </c:pt>
                <c:pt idx="8">
                  <c:v>3.6215735478668494</c:v>
                </c:pt>
                <c:pt idx="9">
                  <c:v>3.6316378268193934</c:v>
                </c:pt>
                <c:pt idx="10">
                  <c:v>3.7817087899709736</c:v>
                </c:pt>
                <c:pt idx="11">
                  <c:v>3.9926879257798338</c:v>
                </c:pt>
                <c:pt idx="12">
                  <c:v>4.1719395809414452</c:v>
                </c:pt>
                <c:pt idx="13">
                  <c:v>4.2070412482048241</c:v>
                </c:pt>
                <c:pt idx="14">
                  <c:v>4.2647744835080026</c:v>
                </c:pt>
                <c:pt idx="15">
                  <c:v>4.5190995076261862</c:v>
                </c:pt>
                <c:pt idx="16">
                  <c:v>4.814678045888118</c:v>
                </c:pt>
                <c:pt idx="17">
                  <c:v>4.8244359369198815</c:v>
                </c:pt>
                <c:pt idx="18">
                  <c:v>4.917265226815668</c:v>
                </c:pt>
                <c:pt idx="19">
                  <c:v>4.9827226697495757</c:v>
                </c:pt>
                <c:pt idx="20">
                  <c:v>5.0253753800642604</c:v>
                </c:pt>
                <c:pt idx="21">
                  <c:v>5.1339470741581055</c:v>
                </c:pt>
                <c:pt idx="22">
                  <c:v>5.1822363589645422</c:v>
                </c:pt>
                <c:pt idx="23">
                  <c:v>5.4670681658715186</c:v>
                </c:pt>
                <c:pt idx="24">
                  <c:v>5.5826616010953236</c:v>
                </c:pt>
                <c:pt idx="25">
                  <c:v>5.5920195991271333</c:v>
                </c:pt>
                <c:pt idx="26">
                  <c:v>5.6499465673918348</c:v>
                </c:pt>
                <c:pt idx="27">
                  <c:v>6.2488653886606258</c:v>
                </c:pt>
                <c:pt idx="28">
                  <c:v>6.3624993202457985</c:v>
                </c:pt>
              </c:numCache>
            </c:numRef>
          </c:val>
          <c:smooth val="0"/>
          <c:extLst>
            <c:ext xmlns:c16="http://schemas.microsoft.com/office/drawing/2014/chart" uri="{C3380CC4-5D6E-409C-BE32-E72D297353CC}">
              <c16:uniqueId val="{00000000-EF3B-49E6-8A2C-9C84508ECC55}"/>
            </c:ext>
          </c:extLst>
        </c:ser>
        <c:ser>
          <c:idx val="0"/>
          <c:order val="1"/>
          <c:spPr>
            <a:ln w="28575" cap="rnd">
              <a:solidFill>
                <a:schemeClr val="tx1"/>
              </a:solidFill>
              <a:round/>
            </a:ln>
            <a:effectLst/>
          </c:spPr>
          <c:marker>
            <c:symbol val="none"/>
          </c:marker>
          <c:dLbls>
            <c:delete val="1"/>
          </c:dLbls>
          <c:cat>
            <c:strRef>
              <c:f>'Fig 1 OECD % rev'!$A$4:$A$32</c:f>
              <c:strCache>
                <c:ptCount val="29"/>
                <c:pt idx="0">
                  <c:v>Denmark</c:v>
                </c:pt>
                <c:pt idx="1">
                  <c:v>Finland</c:v>
                </c:pt>
                <c:pt idx="2">
                  <c:v>Norway</c:v>
                </c:pt>
                <c:pt idx="3">
                  <c:v>Sweden</c:v>
                </c:pt>
                <c:pt idx="4">
                  <c:v>Austria</c:v>
                </c:pt>
                <c:pt idx="5">
                  <c:v>Luxembourg</c:v>
                </c:pt>
                <c:pt idx="6">
                  <c:v>France</c:v>
                </c:pt>
                <c:pt idx="7">
                  <c:v>Germany</c:v>
                </c:pt>
                <c:pt idx="8">
                  <c:v>Japan</c:v>
                </c:pt>
                <c:pt idx="9">
                  <c:v>Belgium</c:v>
                </c:pt>
                <c:pt idx="10">
                  <c:v>Iceland</c:v>
                </c:pt>
                <c:pt idx="11">
                  <c:v>Slovenia</c:v>
                </c:pt>
                <c:pt idx="12">
                  <c:v>Ireland</c:v>
                </c:pt>
                <c:pt idx="13">
                  <c:v>Portugal</c:v>
                </c:pt>
                <c:pt idx="14">
                  <c:v>Italy</c:v>
                </c:pt>
                <c:pt idx="15">
                  <c:v>Canada</c:v>
                </c:pt>
                <c:pt idx="16">
                  <c:v>Greece</c:v>
                </c:pt>
                <c:pt idx="17">
                  <c:v>Netherlands</c:v>
                </c:pt>
                <c:pt idx="18">
                  <c:v>Switzerland</c:v>
                </c:pt>
                <c:pt idx="19">
                  <c:v>Hungary</c:v>
                </c:pt>
                <c:pt idx="20">
                  <c:v>Spain</c:v>
                </c:pt>
                <c:pt idx="21">
                  <c:v>Czech Republic</c:v>
                </c:pt>
                <c:pt idx="22">
                  <c:v>New Zealand</c:v>
                </c:pt>
                <c:pt idx="23">
                  <c:v>United Kingdom</c:v>
                </c:pt>
                <c:pt idx="24">
                  <c:v>Korea, Rep.</c:v>
                </c:pt>
                <c:pt idx="25">
                  <c:v>Australia</c:v>
                </c:pt>
                <c:pt idx="26">
                  <c:v>Poland</c:v>
                </c:pt>
                <c:pt idx="27">
                  <c:v>Slovak Republic</c:v>
                </c:pt>
                <c:pt idx="28">
                  <c:v>United States</c:v>
                </c:pt>
              </c:strCache>
            </c:strRef>
          </c:cat>
          <c:val>
            <c:numRef>
              <c:f>'Fig 1 OECD % rev'!$C$4:$C$32</c:f>
              <c:numCache>
                <c:formatCode>0.00</c:formatCode>
                <c:ptCount val="29"/>
                <c:pt idx="0">
                  <c:v>4.2647744835080026</c:v>
                </c:pt>
                <c:pt idx="1">
                  <c:v>4.2647744835080026</c:v>
                </c:pt>
                <c:pt idx="2">
                  <c:v>4.2647744835080026</c:v>
                </c:pt>
                <c:pt idx="3">
                  <c:v>4.2647744835080026</c:v>
                </c:pt>
                <c:pt idx="4">
                  <c:v>4.2647744835080026</c:v>
                </c:pt>
                <c:pt idx="5">
                  <c:v>4.2647744835080026</c:v>
                </c:pt>
                <c:pt idx="6">
                  <c:v>4.2647744835080026</c:v>
                </c:pt>
                <c:pt idx="7">
                  <c:v>4.2647744835080026</c:v>
                </c:pt>
                <c:pt idx="8">
                  <c:v>4.2647744835080026</c:v>
                </c:pt>
                <c:pt idx="9">
                  <c:v>4.2647744835080026</c:v>
                </c:pt>
                <c:pt idx="10">
                  <c:v>4.2647744835080026</c:v>
                </c:pt>
                <c:pt idx="11">
                  <c:v>4.2647744835080026</c:v>
                </c:pt>
                <c:pt idx="12">
                  <c:v>4.2647744835080026</c:v>
                </c:pt>
                <c:pt idx="13">
                  <c:v>4.2647744835080026</c:v>
                </c:pt>
                <c:pt idx="14">
                  <c:v>4.2647744835080026</c:v>
                </c:pt>
                <c:pt idx="15">
                  <c:v>4.2647744835080026</c:v>
                </c:pt>
                <c:pt idx="16">
                  <c:v>4.2647744835080026</c:v>
                </c:pt>
                <c:pt idx="17">
                  <c:v>4.2647744835080026</c:v>
                </c:pt>
                <c:pt idx="18">
                  <c:v>4.2647744835080026</c:v>
                </c:pt>
                <c:pt idx="19">
                  <c:v>4.2647744835080026</c:v>
                </c:pt>
                <c:pt idx="20">
                  <c:v>4.2647744835080026</c:v>
                </c:pt>
                <c:pt idx="21">
                  <c:v>4.2647744835080026</c:v>
                </c:pt>
                <c:pt idx="22">
                  <c:v>4.2647744835080026</c:v>
                </c:pt>
                <c:pt idx="23">
                  <c:v>4.2647744835080026</c:v>
                </c:pt>
                <c:pt idx="24">
                  <c:v>4.2647744835080026</c:v>
                </c:pt>
                <c:pt idx="25">
                  <c:v>4.2647744835080026</c:v>
                </c:pt>
                <c:pt idx="26">
                  <c:v>4.2647744835080026</c:v>
                </c:pt>
                <c:pt idx="27">
                  <c:v>4.2647744835080026</c:v>
                </c:pt>
                <c:pt idx="28">
                  <c:v>4.2647744835080026</c:v>
                </c:pt>
              </c:numCache>
            </c:numRef>
          </c:val>
          <c:smooth val="0"/>
          <c:extLst>
            <c:ext xmlns:c16="http://schemas.microsoft.com/office/drawing/2014/chart" uri="{C3380CC4-5D6E-409C-BE32-E72D297353CC}">
              <c16:uniqueId val="{00000000-223D-4B24-9DF7-821C0688AD31}"/>
            </c:ext>
          </c:extLst>
        </c:ser>
        <c:dLbls>
          <c:dLblPos val="ctr"/>
          <c:showLegendKey val="0"/>
          <c:showVal val="1"/>
          <c:showCatName val="0"/>
          <c:showSerName val="0"/>
          <c:showPercent val="0"/>
          <c:showBubbleSize val="0"/>
        </c:dLbls>
        <c:marker val="1"/>
        <c:smooth val="0"/>
        <c:axId val="1257473568"/>
        <c:axId val="1257473984"/>
      </c:line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aseline="0"/>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7 OLD cost %'!$B$7</c:f>
              <c:strCache>
                <c:ptCount val="1"/>
                <c:pt idx="0">
                  <c:v>Ratio spend/costs</c:v>
                </c:pt>
              </c:strCache>
            </c:strRef>
          </c:tx>
          <c:spPr>
            <a:solidFill>
              <a:schemeClr val="accent1"/>
            </a:solidFill>
            <a:ln>
              <a:noFill/>
            </a:ln>
            <a:effectLst/>
          </c:spPr>
          <c:invertIfNegative val="0"/>
          <c:cat>
            <c:strRef>
              <c:f>'Fig 7 OLD cost %'!$A$8:$A$11</c:f>
              <c:strCache>
                <c:ptCount val="4"/>
                <c:pt idx="0">
                  <c:v>LIC</c:v>
                </c:pt>
                <c:pt idx="1">
                  <c:v>LMIC</c:v>
                </c:pt>
                <c:pt idx="2">
                  <c:v>UMIC</c:v>
                </c:pt>
                <c:pt idx="3">
                  <c:v>OECD DAC</c:v>
                </c:pt>
              </c:strCache>
            </c:strRef>
          </c:cat>
          <c:val>
            <c:numRef>
              <c:f>'Fig 7 OLD cost %'!$B$8:$B$11</c:f>
              <c:numCache>
                <c:formatCode>0%</c:formatCode>
                <c:ptCount val="4"/>
                <c:pt idx="0">
                  <c:v>0.38075953617824276</c:v>
                </c:pt>
                <c:pt idx="1">
                  <c:v>0.84196802318733555</c:v>
                </c:pt>
                <c:pt idx="2">
                  <c:v>1.7886480631620176</c:v>
                </c:pt>
                <c:pt idx="3">
                  <c:v>3.2478260869565219</c:v>
                </c:pt>
              </c:numCache>
            </c:numRef>
          </c:val>
          <c:extLst>
            <c:ext xmlns:c16="http://schemas.microsoft.com/office/drawing/2014/chart" uri="{C3380CC4-5D6E-409C-BE32-E72D297353CC}">
              <c16:uniqueId val="{00000000-18F0-4B46-B52F-79DFCE4DCE0C}"/>
            </c:ext>
          </c:extLst>
        </c:ser>
        <c:dLbls>
          <c:showLegendKey val="0"/>
          <c:showVal val="0"/>
          <c:showCatName val="0"/>
          <c:showSerName val="0"/>
          <c:showPercent val="0"/>
          <c:showBubbleSize val="0"/>
        </c:dLbls>
        <c:gapWidth val="219"/>
        <c:overlap val="-27"/>
        <c:axId val="1455738991"/>
        <c:axId val="1455739407"/>
      </c:barChart>
      <c:catAx>
        <c:axId val="1455738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5739407"/>
        <c:crosses val="autoZero"/>
        <c:auto val="1"/>
        <c:lblAlgn val="ctr"/>
        <c:lblOffset val="100"/>
        <c:noMultiLvlLbl val="0"/>
      </c:catAx>
      <c:valAx>
        <c:axId val="1455739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57389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Expenditure</a:t>
            </a:r>
            <a:r>
              <a:rPr lang="en-GB" baseline="0"/>
              <a:t> on Justice by category in OECD DAC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4"/>
          <c:order val="0"/>
          <c:spPr>
            <a:solidFill>
              <a:schemeClr val="accent5"/>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0-A322-43A2-AC07-B1240218379E}"/>
            </c:ext>
          </c:extLst>
        </c:ser>
        <c:ser>
          <c:idx val="5"/>
          <c:order val="1"/>
          <c:spPr>
            <a:solidFill>
              <a:schemeClr val="accent6"/>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1-A322-43A2-AC07-B1240218379E}"/>
            </c:ext>
          </c:extLst>
        </c:ser>
        <c:ser>
          <c:idx val="6"/>
          <c:order val="2"/>
          <c:spPr>
            <a:solidFill>
              <a:schemeClr val="accent1">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2-A322-43A2-AC07-B1240218379E}"/>
            </c:ext>
          </c:extLst>
        </c:ser>
        <c:ser>
          <c:idx val="7"/>
          <c:order val="3"/>
          <c:spPr>
            <a:solidFill>
              <a:schemeClr val="accent2">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3-A322-43A2-AC07-B1240218379E}"/>
            </c:ext>
          </c:extLst>
        </c:ser>
        <c:ser>
          <c:idx val="8"/>
          <c:order val="4"/>
          <c:spPr>
            <a:solidFill>
              <a:schemeClr val="accent3">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4-A322-43A2-AC07-B1240218379E}"/>
            </c:ext>
          </c:extLst>
        </c:ser>
        <c:ser>
          <c:idx val="9"/>
          <c:order val="5"/>
          <c:spPr>
            <a:solidFill>
              <a:schemeClr val="accent4">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5-A322-43A2-AC07-B1240218379E}"/>
            </c:ext>
          </c:extLst>
        </c:ser>
        <c:dLbls>
          <c:showLegendKey val="0"/>
          <c:showVal val="0"/>
          <c:showCatName val="0"/>
          <c:showSerName val="0"/>
          <c:showPercent val="0"/>
          <c:showBubbleSize val="0"/>
        </c:dLbls>
        <c:gapWidth val="219"/>
        <c:overlap val="100"/>
        <c:axId val="1257473568"/>
        <c:axId val="1257473984"/>
      </c:bar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Expenditure</a:t>
            </a:r>
            <a:r>
              <a:rPr lang="en-GB" baseline="0"/>
              <a:t> on Justice by category in OECD DAC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4"/>
          <c:order val="0"/>
          <c:spPr>
            <a:solidFill>
              <a:schemeClr val="accent5"/>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0-2934-446B-B323-502F5FAF4022}"/>
            </c:ext>
          </c:extLst>
        </c:ser>
        <c:ser>
          <c:idx val="5"/>
          <c:order val="1"/>
          <c:spPr>
            <a:solidFill>
              <a:schemeClr val="accent6"/>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1-2934-446B-B323-502F5FAF4022}"/>
            </c:ext>
          </c:extLst>
        </c:ser>
        <c:ser>
          <c:idx val="6"/>
          <c:order val="2"/>
          <c:spPr>
            <a:solidFill>
              <a:schemeClr val="accent1">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2-2934-446B-B323-502F5FAF4022}"/>
            </c:ext>
          </c:extLst>
        </c:ser>
        <c:ser>
          <c:idx val="7"/>
          <c:order val="3"/>
          <c:spPr>
            <a:solidFill>
              <a:schemeClr val="accent2">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3-2934-446B-B323-502F5FAF4022}"/>
            </c:ext>
          </c:extLst>
        </c:ser>
        <c:ser>
          <c:idx val="8"/>
          <c:order val="4"/>
          <c:spPr>
            <a:solidFill>
              <a:schemeClr val="accent3">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4-2934-446B-B323-502F5FAF4022}"/>
            </c:ext>
          </c:extLst>
        </c:ser>
        <c:ser>
          <c:idx val="9"/>
          <c:order val="5"/>
          <c:spPr>
            <a:solidFill>
              <a:schemeClr val="accent4">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5-2934-446B-B323-502F5FAF4022}"/>
            </c:ext>
          </c:extLst>
        </c:ser>
        <c:dLbls>
          <c:showLegendKey val="0"/>
          <c:showVal val="0"/>
          <c:showCatName val="0"/>
          <c:showSerName val="0"/>
          <c:showPercent val="0"/>
          <c:showBubbleSize val="0"/>
        </c:dLbls>
        <c:gapWidth val="219"/>
        <c:overlap val="100"/>
        <c:axId val="1257473568"/>
        <c:axId val="1257473984"/>
      </c:bar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Expenditure</a:t>
            </a:r>
            <a:r>
              <a:rPr lang="en-GB" baseline="0"/>
              <a:t> on Justice by category in OECD DAC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4"/>
          <c:order val="0"/>
          <c:spPr>
            <a:solidFill>
              <a:schemeClr val="accent5"/>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0-4D90-49F4-AC15-81EE22E30F56}"/>
            </c:ext>
          </c:extLst>
        </c:ser>
        <c:ser>
          <c:idx val="5"/>
          <c:order val="1"/>
          <c:spPr>
            <a:solidFill>
              <a:schemeClr val="accent6"/>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1-4D90-49F4-AC15-81EE22E30F56}"/>
            </c:ext>
          </c:extLst>
        </c:ser>
        <c:ser>
          <c:idx val="6"/>
          <c:order val="2"/>
          <c:spPr>
            <a:solidFill>
              <a:schemeClr val="accent1">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2-4D90-49F4-AC15-81EE22E30F56}"/>
            </c:ext>
          </c:extLst>
        </c:ser>
        <c:ser>
          <c:idx val="7"/>
          <c:order val="3"/>
          <c:spPr>
            <a:solidFill>
              <a:schemeClr val="accent2">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3-4D90-49F4-AC15-81EE22E30F56}"/>
            </c:ext>
          </c:extLst>
        </c:ser>
        <c:ser>
          <c:idx val="8"/>
          <c:order val="4"/>
          <c:spPr>
            <a:solidFill>
              <a:schemeClr val="accent3">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4-4D90-49F4-AC15-81EE22E30F56}"/>
            </c:ext>
          </c:extLst>
        </c:ser>
        <c:ser>
          <c:idx val="9"/>
          <c:order val="5"/>
          <c:spPr>
            <a:solidFill>
              <a:schemeClr val="accent4">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5-4D90-49F4-AC15-81EE22E30F56}"/>
            </c:ext>
          </c:extLst>
        </c:ser>
        <c:dLbls>
          <c:showLegendKey val="0"/>
          <c:showVal val="0"/>
          <c:showCatName val="0"/>
          <c:showSerName val="0"/>
          <c:showPercent val="0"/>
          <c:showBubbleSize val="0"/>
        </c:dLbls>
        <c:gapWidth val="219"/>
        <c:overlap val="100"/>
        <c:axId val="1257473568"/>
        <c:axId val="1257473984"/>
      </c:bar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Expenditure</a:t>
            </a:r>
            <a:r>
              <a:rPr lang="en-GB" baseline="0"/>
              <a:t> on Justice by category in OECD DAC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4"/>
          <c:order val="0"/>
          <c:spPr>
            <a:solidFill>
              <a:schemeClr val="accent5"/>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0-0C43-4747-AC99-3A4BCD8BE381}"/>
            </c:ext>
          </c:extLst>
        </c:ser>
        <c:ser>
          <c:idx val="5"/>
          <c:order val="1"/>
          <c:spPr>
            <a:solidFill>
              <a:schemeClr val="accent6"/>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1-0C43-4747-AC99-3A4BCD8BE381}"/>
            </c:ext>
          </c:extLst>
        </c:ser>
        <c:ser>
          <c:idx val="6"/>
          <c:order val="2"/>
          <c:spPr>
            <a:solidFill>
              <a:schemeClr val="accent1">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2-0C43-4747-AC99-3A4BCD8BE381}"/>
            </c:ext>
          </c:extLst>
        </c:ser>
        <c:ser>
          <c:idx val="7"/>
          <c:order val="3"/>
          <c:spPr>
            <a:solidFill>
              <a:schemeClr val="accent2">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3-0C43-4747-AC99-3A4BCD8BE381}"/>
            </c:ext>
          </c:extLst>
        </c:ser>
        <c:ser>
          <c:idx val="8"/>
          <c:order val="4"/>
          <c:spPr>
            <a:solidFill>
              <a:schemeClr val="accent3">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4-0C43-4747-AC99-3A4BCD8BE381}"/>
            </c:ext>
          </c:extLst>
        </c:ser>
        <c:ser>
          <c:idx val="9"/>
          <c:order val="5"/>
          <c:spPr>
            <a:solidFill>
              <a:schemeClr val="accent4">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5-0C43-4747-AC99-3A4BCD8BE381}"/>
            </c:ext>
          </c:extLst>
        </c:ser>
        <c:dLbls>
          <c:showLegendKey val="0"/>
          <c:showVal val="0"/>
          <c:showCatName val="0"/>
          <c:showSerName val="0"/>
          <c:showPercent val="0"/>
          <c:showBubbleSize val="0"/>
        </c:dLbls>
        <c:gapWidth val="219"/>
        <c:overlap val="100"/>
        <c:axId val="1257473568"/>
        <c:axId val="1257473984"/>
      </c:bar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Expenditure</a:t>
            </a:r>
            <a:r>
              <a:rPr lang="en-GB" baseline="0"/>
              <a:t> on Justice by category in OECD DAC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4"/>
          <c:order val="0"/>
          <c:spPr>
            <a:solidFill>
              <a:schemeClr val="accent5"/>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0-DC2E-4189-BED0-CA08B9A3FC16}"/>
            </c:ext>
          </c:extLst>
        </c:ser>
        <c:ser>
          <c:idx val="5"/>
          <c:order val="1"/>
          <c:spPr>
            <a:solidFill>
              <a:schemeClr val="accent6"/>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1-DC2E-4189-BED0-CA08B9A3FC16}"/>
            </c:ext>
          </c:extLst>
        </c:ser>
        <c:ser>
          <c:idx val="6"/>
          <c:order val="2"/>
          <c:spPr>
            <a:solidFill>
              <a:schemeClr val="accent1">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2-DC2E-4189-BED0-CA08B9A3FC16}"/>
            </c:ext>
          </c:extLst>
        </c:ser>
        <c:ser>
          <c:idx val="7"/>
          <c:order val="3"/>
          <c:spPr>
            <a:solidFill>
              <a:schemeClr val="accent2">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3-DC2E-4189-BED0-CA08B9A3FC16}"/>
            </c:ext>
          </c:extLst>
        </c:ser>
        <c:ser>
          <c:idx val="8"/>
          <c:order val="4"/>
          <c:spPr>
            <a:solidFill>
              <a:schemeClr val="accent3">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4-DC2E-4189-BED0-CA08B9A3FC16}"/>
            </c:ext>
          </c:extLst>
        </c:ser>
        <c:ser>
          <c:idx val="9"/>
          <c:order val="5"/>
          <c:spPr>
            <a:solidFill>
              <a:schemeClr val="accent4">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5-DC2E-4189-BED0-CA08B9A3FC16}"/>
            </c:ext>
          </c:extLst>
        </c:ser>
        <c:dLbls>
          <c:showLegendKey val="0"/>
          <c:showVal val="0"/>
          <c:showCatName val="0"/>
          <c:showSerName val="0"/>
          <c:showPercent val="0"/>
          <c:showBubbleSize val="0"/>
        </c:dLbls>
        <c:gapWidth val="219"/>
        <c:overlap val="100"/>
        <c:axId val="1257473568"/>
        <c:axId val="1257473984"/>
      </c:bar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Expenditure</a:t>
            </a:r>
            <a:r>
              <a:rPr lang="en-GB" baseline="0"/>
              <a:t> on Justice by category in OECD DAC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4"/>
          <c:order val="0"/>
          <c:spPr>
            <a:solidFill>
              <a:schemeClr val="accent5"/>
            </a:solidFill>
            <a:ln>
              <a:noFill/>
            </a:ln>
            <a:effectLst/>
          </c:spPr>
          <c:invertIfNegative val="0"/>
          <c:val>
            <c:numRef>
              <c:f>'C jhe%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 jhe% '!#REF!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'C jhe% '!#REF!</c15:sqref>
                        </c15:formulaRef>
                      </c:ext>
                    </c:extLst>
                    <c:strCache>
                      <c:ptCount val="1"/>
                      <c:pt idx="0">
                        <c:v>#REF!</c:v>
                      </c:pt>
                    </c:strCache>
                  </c:strRef>
                </c15:cat>
              </c15:filteredCategoryTitle>
            </c:ext>
            <c:ext xmlns:c16="http://schemas.microsoft.com/office/drawing/2014/chart" uri="{C3380CC4-5D6E-409C-BE32-E72D297353CC}">
              <c16:uniqueId val="{00000000-6519-42CA-83FE-FC625F007B02}"/>
            </c:ext>
          </c:extLst>
        </c:ser>
        <c:ser>
          <c:idx val="5"/>
          <c:order val="1"/>
          <c:spPr>
            <a:solidFill>
              <a:schemeClr val="accent6"/>
            </a:solidFill>
            <a:ln>
              <a:noFill/>
            </a:ln>
            <a:effectLst/>
          </c:spPr>
          <c:invertIfNegative val="0"/>
          <c:val>
            <c:numRef>
              <c:f>'C jhe%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 jhe% '!#REF!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'C jhe% '!#REF!</c15:sqref>
                        </c15:formulaRef>
                      </c:ext>
                    </c:extLst>
                    <c:strCache>
                      <c:ptCount val="1"/>
                      <c:pt idx="0">
                        <c:v>#REF!</c:v>
                      </c:pt>
                    </c:strCache>
                  </c:strRef>
                </c15:cat>
              </c15:filteredCategoryTitle>
            </c:ext>
            <c:ext xmlns:c16="http://schemas.microsoft.com/office/drawing/2014/chart" uri="{C3380CC4-5D6E-409C-BE32-E72D297353CC}">
              <c16:uniqueId val="{00000001-6519-42CA-83FE-FC625F007B02}"/>
            </c:ext>
          </c:extLst>
        </c:ser>
        <c:ser>
          <c:idx val="6"/>
          <c:order val="2"/>
          <c:spPr>
            <a:solidFill>
              <a:schemeClr val="accent1">
                <a:lumMod val="60000"/>
              </a:schemeClr>
            </a:solidFill>
            <a:ln>
              <a:noFill/>
            </a:ln>
            <a:effectLst/>
          </c:spPr>
          <c:invertIfNegative val="0"/>
          <c:val>
            <c:numRef>
              <c:f>'C jhe%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 jhe% '!#REF!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'C jhe% '!#REF!</c15:sqref>
                        </c15:formulaRef>
                      </c:ext>
                    </c:extLst>
                    <c:strCache>
                      <c:ptCount val="1"/>
                      <c:pt idx="0">
                        <c:v>#REF!</c:v>
                      </c:pt>
                    </c:strCache>
                  </c:strRef>
                </c15:cat>
              </c15:filteredCategoryTitle>
            </c:ext>
            <c:ext xmlns:c16="http://schemas.microsoft.com/office/drawing/2014/chart" uri="{C3380CC4-5D6E-409C-BE32-E72D297353CC}">
              <c16:uniqueId val="{00000002-6519-42CA-83FE-FC625F007B02}"/>
            </c:ext>
          </c:extLst>
        </c:ser>
        <c:ser>
          <c:idx val="7"/>
          <c:order val="3"/>
          <c:spPr>
            <a:solidFill>
              <a:schemeClr val="accent2">
                <a:lumMod val="60000"/>
              </a:schemeClr>
            </a:solidFill>
            <a:ln>
              <a:noFill/>
            </a:ln>
            <a:effectLst/>
          </c:spPr>
          <c:invertIfNegative val="0"/>
          <c:val>
            <c:numRef>
              <c:f>'C jhe%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 jhe% '!#REF!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'C jhe% '!#REF!</c15:sqref>
                        </c15:formulaRef>
                      </c:ext>
                    </c:extLst>
                    <c:strCache>
                      <c:ptCount val="1"/>
                      <c:pt idx="0">
                        <c:v>#REF!</c:v>
                      </c:pt>
                    </c:strCache>
                  </c:strRef>
                </c15:cat>
              </c15:filteredCategoryTitle>
            </c:ext>
            <c:ext xmlns:c16="http://schemas.microsoft.com/office/drawing/2014/chart" uri="{C3380CC4-5D6E-409C-BE32-E72D297353CC}">
              <c16:uniqueId val="{00000003-6519-42CA-83FE-FC625F007B02}"/>
            </c:ext>
          </c:extLst>
        </c:ser>
        <c:ser>
          <c:idx val="8"/>
          <c:order val="4"/>
          <c:spPr>
            <a:solidFill>
              <a:schemeClr val="accent3">
                <a:lumMod val="60000"/>
              </a:schemeClr>
            </a:solidFill>
            <a:ln>
              <a:noFill/>
            </a:ln>
            <a:effectLst/>
          </c:spPr>
          <c:invertIfNegative val="0"/>
          <c:val>
            <c:numRef>
              <c:f>'C jhe%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 jhe% '!#REF!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'C jhe% '!#REF!</c15:sqref>
                        </c15:formulaRef>
                      </c:ext>
                    </c:extLst>
                    <c:strCache>
                      <c:ptCount val="1"/>
                      <c:pt idx="0">
                        <c:v>#REF!</c:v>
                      </c:pt>
                    </c:strCache>
                  </c:strRef>
                </c15:cat>
              </c15:filteredCategoryTitle>
            </c:ext>
            <c:ext xmlns:c16="http://schemas.microsoft.com/office/drawing/2014/chart" uri="{C3380CC4-5D6E-409C-BE32-E72D297353CC}">
              <c16:uniqueId val="{00000004-6519-42CA-83FE-FC625F007B02}"/>
            </c:ext>
          </c:extLst>
        </c:ser>
        <c:ser>
          <c:idx val="9"/>
          <c:order val="5"/>
          <c:spPr>
            <a:solidFill>
              <a:schemeClr val="accent4">
                <a:lumMod val="60000"/>
              </a:schemeClr>
            </a:solidFill>
            <a:ln>
              <a:noFill/>
            </a:ln>
            <a:effectLst/>
          </c:spPr>
          <c:invertIfNegative val="0"/>
          <c:val>
            <c:numRef>
              <c:f>'C jhe%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 jhe% '!#REF!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'C jhe% '!#REF!</c15:sqref>
                        </c15:formulaRef>
                      </c:ext>
                    </c:extLst>
                    <c:strCache>
                      <c:ptCount val="1"/>
                      <c:pt idx="0">
                        <c:v>#REF!</c:v>
                      </c:pt>
                    </c:strCache>
                  </c:strRef>
                </c15:cat>
              </c15:filteredCategoryTitle>
            </c:ext>
            <c:ext xmlns:c16="http://schemas.microsoft.com/office/drawing/2014/chart" uri="{C3380CC4-5D6E-409C-BE32-E72D297353CC}">
              <c16:uniqueId val="{00000005-6519-42CA-83FE-FC625F007B02}"/>
            </c:ext>
          </c:extLst>
        </c:ser>
        <c:dLbls>
          <c:showLegendKey val="0"/>
          <c:showVal val="0"/>
          <c:showCatName val="0"/>
          <c:showSerName val="0"/>
          <c:showPercent val="0"/>
          <c:showBubbleSize val="0"/>
        </c:dLbls>
        <c:gapWidth val="219"/>
        <c:overlap val="100"/>
        <c:axId val="1257473568"/>
        <c:axId val="1257473984"/>
      </c:bar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 j &amp; h % rev'!$A$2</c:f>
              <c:strCache>
                <c:ptCount val="1"/>
                <c:pt idx="0">
                  <c:v>Justice</c:v>
                </c:pt>
              </c:strCache>
            </c:strRef>
          </c:tx>
          <c:spPr>
            <a:solidFill>
              <a:schemeClr val="accent1"/>
            </a:solidFill>
            <a:ln>
              <a:noFill/>
            </a:ln>
            <a:effectLst/>
          </c:spPr>
          <c:invertIfNegative val="0"/>
          <c:cat>
            <c:strRef>
              <c:f>'C j &amp; h % rev'!$B$1:$E$1</c:f>
              <c:strCache>
                <c:ptCount val="4"/>
                <c:pt idx="0">
                  <c:v>Low-income </c:v>
                </c:pt>
                <c:pt idx="1">
                  <c:v>Lower-middle income </c:v>
                </c:pt>
                <c:pt idx="2">
                  <c:v>Upper middle-income </c:v>
                </c:pt>
                <c:pt idx="3">
                  <c:v>OECD</c:v>
                </c:pt>
              </c:strCache>
            </c:strRef>
          </c:cat>
          <c:val>
            <c:numRef>
              <c:f>'C j &amp; h % rev'!$B$2:$E$2</c:f>
              <c:numCache>
                <c:formatCode>General</c:formatCode>
                <c:ptCount val="4"/>
                <c:pt idx="0">
                  <c:v>7.4</c:v>
                </c:pt>
                <c:pt idx="1">
                  <c:v>7.3</c:v>
                </c:pt>
                <c:pt idx="2">
                  <c:v>7.5</c:v>
                </c:pt>
                <c:pt idx="3">
                  <c:v>4.3</c:v>
                </c:pt>
              </c:numCache>
            </c:numRef>
          </c:val>
          <c:extLst>
            <c:ext xmlns:c16="http://schemas.microsoft.com/office/drawing/2014/chart" uri="{C3380CC4-5D6E-409C-BE32-E72D297353CC}">
              <c16:uniqueId val="{00000000-9C48-4267-B663-22F1303DEBDE}"/>
            </c:ext>
          </c:extLst>
        </c:ser>
        <c:ser>
          <c:idx val="1"/>
          <c:order val="1"/>
          <c:tx>
            <c:strRef>
              <c:f>'C j &amp; h % rev'!$A$3</c:f>
              <c:strCache>
                <c:ptCount val="1"/>
                <c:pt idx="0">
                  <c:v>Health </c:v>
                </c:pt>
              </c:strCache>
            </c:strRef>
          </c:tx>
          <c:spPr>
            <a:solidFill>
              <a:schemeClr val="accent2"/>
            </a:solidFill>
            <a:ln>
              <a:noFill/>
            </a:ln>
            <a:effectLst/>
          </c:spPr>
          <c:invertIfNegative val="0"/>
          <c:cat>
            <c:strRef>
              <c:f>'C j &amp; h % rev'!$B$1:$E$1</c:f>
              <c:strCache>
                <c:ptCount val="4"/>
                <c:pt idx="0">
                  <c:v>Low-income </c:v>
                </c:pt>
                <c:pt idx="1">
                  <c:v>Lower-middle income </c:v>
                </c:pt>
                <c:pt idx="2">
                  <c:v>Upper middle-income </c:v>
                </c:pt>
                <c:pt idx="3">
                  <c:v>OECD</c:v>
                </c:pt>
              </c:strCache>
            </c:strRef>
          </c:cat>
          <c:val>
            <c:numRef>
              <c:f>'C j &amp; h % rev'!$B$3:$E$3</c:f>
              <c:numCache>
                <c:formatCode>General</c:formatCode>
                <c:ptCount val="4"/>
                <c:pt idx="0">
                  <c:v>10</c:v>
                </c:pt>
                <c:pt idx="1">
                  <c:v>9</c:v>
                </c:pt>
                <c:pt idx="2">
                  <c:v>12</c:v>
                </c:pt>
                <c:pt idx="3">
                  <c:v>15</c:v>
                </c:pt>
              </c:numCache>
            </c:numRef>
          </c:val>
          <c:extLst>
            <c:ext xmlns:c16="http://schemas.microsoft.com/office/drawing/2014/chart" uri="{C3380CC4-5D6E-409C-BE32-E72D297353CC}">
              <c16:uniqueId val="{00000001-9C48-4267-B663-22F1303DEBDE}"/>
            </c:ext>
          </c:extLst>
        </c:ser>
        <c:dLbls>
          <c:showLegendKey val="0"/>
          <c:showVal val="0"/>
          <c:showCatName val="0"/>
          <c:showSerName val="0"/>
          <c:showPercent val="0"/>
          <c:showBubbleSize val="0"/>
        </c:dLbls>
        <c:gapWidth val="219"/>
        <c:overlap val="-27"/>
        <c:axId val="1075231103"/>
        <c:axId val="1075230271"/>
      </c:barChart>
      <c:catAx>
        <c:axId val="1075231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75230271"/>
        <c:crosses val="autoZero"/>
        <c:auto val="1"/>
        <c:lblAlgn val="ctr"/>
        <c:lblOffset val="100"/>
        <c:noMultiLvlLbl val="0"/>
      </c:catAx>
      <c:valAx>
        <c:axId val="10752302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baseline="0"/>
                  <a:t> % of government revenues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5231103"/>
        <c:crosses val="autoZero"/>
        <c:crossBetween val="between"/>
      </c:valAx>
      <c:spPr>
        <a:noFill/>
        <a:ln>
          <a:noFill/>
        </a:ln>
        <a:effectLst/>
      </c:spPr>
    </c:plotArea>
    <c:legend>
      <c:legendPos val="r"/>
      <c:layout>
        <c:manualLayout>
          <c:xMode val="edge"/>
          <c:yMode val="edge"/>
          <c:x val="0.15520363079615049"/>
          <c:y val="4.2244823563721209E-2"/>
          <c:w val="0.50312970253718281"/>
          <c:h val="0.24421405657626122"/>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Expenditure</a:t>
            </a:r>
            <a:r>
              <a:rPr lang="en-GB" baseline="0"/>
              <a:t> on Justice by category in OECD DAC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4"/>
          <c:order val="0"/>
          <c:spPr>
            <a:solidFill>
              <a:schemeClr val="accent5"/>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0-3D64-4BAF-8473-826EC1CC2695}"/>
            </c:ext>
          </c:extLst>
        </c:ser>
        <c:ser>
          <c:idx val="5"/>
          <c:order val="1"/>
          <c:spPr>
            <a:solidFill>
              <a:schemeClr val="accent6"/>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1-3D64-4BAF-8473-826EC1CC2695}"/>
            </c:ext>
          </c:extLst>
        </c:ser>
        <c:ser>
          <c:idx val="6"/>
          <c:order val="2"/>
          <c:spPr>
            <a:solidFill>
              <a:schemeClr val="accent1">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2-3D64-4BAF-8473-826EC1CC2695}"/>
            </c:ext>
          </c:extLst>
        </c:ser>
        <c:ser>
          <c:idx val="7"/>
          <c:order val="3"/>
          <c:spPr>
            <a:solidFill>
              <a:schemeClr val="accent2">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3-3D64-4BAF-8473-826EC1CC2695}"/>
            </c:ext>
          </c:extLst>
        </c:ser>
        <c:ser>
          <c:idx val="8"/>
          <c:order val="4"/>
          <c:spPr>
            <a:solidFill>
              <a:schemeClr val="accent3">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4-3D64-4BAF-8473-826EC1CC2695}"/>
            </c:ext>
          </c:extLst>
        </c:ser>
        <c:ser>
          <c:idx val="9"/>
          <c:order val="5"/>
          <c:spPr>
            <a:solidFill>
              <a:schemeClr val="accent4">
                <a:lumMod val="60000"/>
              </a:schemeClr>
            </a:solidFill>
            <a:ln>
              <a:noFill/>
            </a:ln>
            <a:effectLst/>
          </c:spPr>
          <c:invertIfNegative val="0"/>
          <c:val>
            <c:numRef>
              <c:f>'[3]C j%'!#REF!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'[3]C j%'!#REF!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'[3]C j%'!#REF!</c15:sqref>
                        </c15:formulaRef>
                      </c:ext>
                    </c:extLst>
                    <c:strCache>
                      <c:ptCount val="1"/>
                      <c:pt idx="0">
                        <c:v>#REF!</c:v>
                      </c:pt>
                    </c:strCache>
                  </c:strRef>
                </c15:cat>
              </c15:filteredCategoryTitle>
            </c:ext>
            <c:ext xmlns:c16="http://schemas.microsoft.com/office/drawing/2014/chart" uri="{C3380CC4-5D6E-409C-BE32-E72D297353CC}">
              <c16:uniqueId val="{00000005-3D64-4BAF-8473-826EC1CC2695}"/>
            </c:ext>
          </c:extLst>
        </c:ser>
        <c:dLbls>
          <c:showLegendKey val="0"/>
          <c:showVal val="0"/>
          <c:showCatName val="0"/>
          <c:showSerName val="0"/>
          <c:showPercent val="0"/>
          <c:showBubbleSize val="0"/>
        </c:dLbls>
        <c:gapWidth val="219"/>
        <c:overlap val="100"/>
        <c:axId val="1257473568"/>
        <c:axId val="1257473984"/>
      </c:bar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Expenditure</a:t>
            </a:r>
            <a:r>
              <a:rPr lang="en-GB" baseline="0"/>
              <a:t> on prisons as % of total government spending in OECD DAC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4032783062989"/>
          <c:y val="0.1217648699155921"/>
          <c:w val="0.80532842473354393"/>
          <c:h val="0.69951585153354334"/>
        </c:manualLayout>
      </c:layout>
      <c:barChart>
        <c:barDir val="col"/>
        <c:grouping val="stacked"/>
        <c:varyColors val="0"/>
        <c:ser>
          <c:idx val="4"/>
          <c:order val="0"/>
          <c:tx>
            <c:strRef>
              <c:f>'C OECDprison'!$I$3</c:f>
              <c:strCache>
                <c:ptCount val="1"/>
                <c:pt idx="0">
                  <c:v>Expenditure on prisons</c:v>
                </c:pt>
              </c:strCache>
            </c:strRef>
          </c:tx>
          <c:spPr>
            <a:solidFill>
              <a:schemeClr val="accent5"/>
            </a:solidFill>
            <a:ln>
              <a:noFill/>
            </a:ln>
            <a:effectLst/>
          </c:spPr>
          <c:invertIfNegative val="0"/>
          <c:cat>
            <c:strRef>
              <c:f>'C OECDprison'!$A$4:$A$32</c:f>
              <c:strCache>
                <c:ptCount val="29"/>
                <c:pt idx="0">
                  <c:v>Japan</c:v>
                </c:pt>
                <c:pt idx="1">
                  <c:v>Greece</c:v>
                </c:pt>
                <c:pt idx="2">
                  <c:v>Iceland</c:v>
                </c:pt>
                <c:pt idx="3">
                  <c:v>Finland</c:v>
                </c:pt>
                <c:pt idx="4">
                  <c:v>Germany</c:v>
                </c:pt>
                <c:pt idx="5">
                  <c:v>Slovenia</c:v>
                </c:pt>
                <c:pt idx="6">
                  <c:v>Ireland</c:v>
                </c:pt>
                <c:pt idx="7">
                  <c:v>Belgium</c:v>
                </c:pt>
                <c:pt idx="8">
                  <c:v>Norway</c:v>
                </c:pt>
                <c:pt idx="9">
                  <c:v>Austria</c:v>
                </c:pt>
                <c:pt idx="10">
                  <c:v>Denmark</c:v>
                </c:pt>
                <c:pt idx="11">
                  <c:v>France</c:v>
                </c:pt>
                <c:pt idx="12">
                  <c:v>Portugal</c:v>
                </c:pt>
                <c:pt idx="13">
                  <c:v>Spain</c:v>
                </c:pt>
                <c:pt idx="14">
                  <c:v>Luxembourg</c:v>
                </c:pt>
                <c:pt idx="15">
                  <c:v>Sweden</c:v>
                </c:pt>
                <c:pt idx="16">
                  <c:v>Italy</c:v>
                </c:pt>
                <c:pt idx="17">
                  <c:v>Czech Republic</c:v>
                </c:pt>
                <c:pt idx="18">
                  <c:v>Slovak Republic</c:v>
                </c:pt>
                <c:pt idx="19">
                  <c:v>Poland</c:v>
                </c:pt>
                <c:pt idx="20">
                  <c:v>Switzerland</c:v>
                </c:pt>
                <c:pt idx="21">
                  <c:v>United Kingdom</c:v>
                </c:pt>
                <c:pt idx="22">
                  <c:v>Canada</c:v>
                </c:pt>
                <c:pt idx="23">
                  <c:v>Hungary</c:v>
                </c:pt>
                <c:pt idx="24">
                  <c:v>Netherlands</c:v>
                </c:pt>
                <c:pt idx="25">
                  <c:v>Australia</c:v>
                </c:pt>
                <c:pt idx="26">
                  <c:v>United States</c:v>
                </c:pt>
                <c:pt idx="27">
                  <c:v>Korea, Rep.</c:v>
                </c:pt>
                <c:pt idx="28">
                  <c:v>New Zealand</c:v>
                </c:pt>
              </c:strCache>
            </c:strRef>
          </c:cat>
          <c:val>
            <c:numRef>
              <c:f>'C OECDprison'!$I$4:$I$32</c:f>
              <c:numCache>
                <c:formatCode>0.00</c:formatCode>
                <c:ptCount val="29"/>
                <c:pt idx="0">
                  <c:v>0.13224964506419412</c:v>
                </c:pt>
                <c:pt idx="1">
                  <c:v>0.17677553253643272</c:v>
                </c:pt>
                <c:pt idx="2">
                  <c:v>0.18249562869120178</c:v>
                </c:pt>
                <c:pt idx="3">
                  <c:v>0.18591341052536986</c:v>
                </c:pt>
                <c:pt idx="4">
                  <c:v>0.20680480244039132</c:v>
                </c:pt>
                <c:pt idx="5">
                  <c:v>0.23177158362154199</c:v>
                </c:pt>
                <c:pt idx="6">
                  <c:v>0.24872512437810923</c:v>
                </c:pt>
                <c:pt idx="7">
                  <c:v>0.28056785977571125</c:v>
                </c:pt>
                <c:pt idx="8">
                  <c:v>0.29638929710409445</c:v>
                </c:pt>
                <c:pt idx="9">
                  <c:v>0.31439402423458473</c:v>
                </c:pt>
                <c:pt idx="10">
                  <c:v>0.31567393665532012</c:v>
                </c:pt>
                <c:pt idx="11">
                  <c:v>0.32674847243978283</c:v>
                </c:pt>
                <c:pt idx="12">
                  <c:v>0.3272779751607181</c:v>
                </c:pt>
                <c:pt idx="13">
                  <c:v>0.40311302060976345</c:v>
                </c:pt>
                <c:pt idx="14">
                  <c:v>0.40855208996668901</c:v>
                </c:pt>
                <c:pt idx="15">
                  <c:v>0.44371800513285037</c:v>
                </c:pt>
                <c:pt idx="16">
                  <c:v>0.45231876017916867</c:v>
                </c:pt>
                <c:pt idx="17">
                  <c:v>0.47975768807602098</c:v>
                </c:pt>
                <c:pt idx="18">
                  <c:v>0.54633100541888924</c:v>
                </c:pt>
                <c:pt idx="19">
                  <c:v>0.57846255854828732</c:v>
                </c:pt>
                <c:pt idx="20">
                  <c:v>0.59833396399787186</c:v>
                </c:pt>
                <c:pt idx="21">
                  <c:v>0.60801230806830764</c:v>
                </c:pt>
                <c:pt idx="22">
                  <c:v>0.61267498214638538</c:v>
                </c:pt>
                <c:pt idx="23">
                  <c:v>0.67260091381224452</c:v>
                </c:pt>
                <c:pt idx="24">
                  <c:v>0.8767551841459772</c:v>
                </c:pt>
                <c:pt idx="25">
                  <c:v>0.9619332048128556</c:v>
                </c:pt>
                <c:pt idx="26">
                  <c:v>1.4232110811587673</c:v>
                </c:pt>
                <c:pt idx="27">
                  <c:v>#N/A</c:v>
                </c:pt>
                <c:pt idx="28">
                  <c:v>#N/A</c:v>
                </c:pt>
              </c:numCache>
            </c:numRef>
          </c:val>
          <c:extLst>
            <c:ext xmlns:c16="http://schemas.microsoft.com/office/drawing/2014/chart" uri="{C3380CC4-5D6E-409C-BE32-E72D297353CC}">
              <c16:uniqueId val="{00000000-FCF2-4836-A618-0680CD9981B3}"/>
            </c:ext>
          </c:extLst>
        </c:ser>
        <c:dLbls>
          <c:showLegendKey val="0"/>
          <c:showVal val="0"/>
          <c:showCatName val="0"/>
          <c:showSerName val="0"/>
          <c:showPercent val="0"/>
          <c:showBubbleSize val="0"/>
        </c:dLbls>
        <c:gapWidth val="219"/>
        <c:overlap val="100"/>
        <c:axId val="1257473568"/>
        <c:axId val="1257473984"/>
      </c:bar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total</a:t>
                </a:r>
                <a:r>
                  <a:rPr lang="en-GB" baseline="0"/>
                  <a:t> government spend</a:t>
                </a:r>
              </a:p>
              <a:p>
                <a:pPr>
                  <a:defRPr/>
                </a:pPr>
                <a:r>
                  <a:rPr lang="en-GB" baseline="0"/>
                  <a:t> </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Public Expenditure on Justice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'Fig 2 OECD category '!$C$36</c:f>
              <c:strCache>
                <c:ptCount val="1"/>
                <c:pt idx="0">
                  <c:v>Justice % Gov Rev</c:v>
                </c:pt>
              </c:strCache>
            </c:strRef>
          </c:tx>
          <c:spPr>
            <a:ln w="25400" cap="rnd">
              <a:noFill/>
              <a:round/>
            </a:ln>
            <a:effectLst/>
          </c:spPr>
          <c:marker>
            <c:symbol val="circle"/>
            <c:size val="5"/>
            <c:spPr>
              <a:solidFill>
                <a:schemeClr val="accent1"/>
              </a:solidFill>
              <a:ln w="9525">
                <a:solidFill>
                  <a:schemeClr val="accent1"/>
                </a:solidFill>
              </a:ln>
              <a:effectLst/>
            </c:spPr>
          </c:marker>
          <c:dLbls>
            <c:delete val="1"/>
          </c:dLbls>
          <c:trendline>
            <c:spPr>
              <a:ln w="19050" cap="rnd">
                <a:solidFill>
                  <a:schemeClr val="accent1"/>
                </a:solidFill>
                <a:prstDash val="sysDot"/>
              </a:ln>
              <a:effectLst/>
            </c:spPr>
            <c:trendlineType val="linear"/>
            <c:dispRSqr val="0"/>
            <c:dispEq val="0"/>
          </c:trendline>
          <c:xVal>
            <c:numRef>
              <c:f>'Fig 2 OECD category '!$B$37:$B$239</c:f>
              <c:numCache>
                <c:formatCode>General</c:formatCode>
                <c:ptCount val="203"/>
                <c:pt idx="0">
                  <c:v>240</c:v>
                </c:pt>
                <c:pt idx="1">
                  <c:v>450</c:v>
                </c:pt>
                <c:pt idx="2">
                  <c:v>480</c:v>
                </c:pt>
                <c:pt idx="3">
                  <c:v>500</c:v>
                </c:pt>
                <c:pt idx="4">
                  <c:v>500</c:v>
                </c:pt>
                <c:pt idx="5">
                  <c:v>510</c:v>
                </c:pt>
                <c:pt idx="6">
                  <c:v>530</c:v>
                </c:pt>
                <c:pt idx="7">
                  <c:v>580</c:v>
                </c:pt>
                <c:pt idx="8">
                  <c:v>590</c:v>
                </c:pt>
                <c:pt idx="9">
                  <c:v>600</c:v>
                </c:pt>
                <c:pt idx="10">
                  <c:v>620</c:v>
                </c:pt>
                <c:pt idx="11">
                  <c:v>630</c:v>
                </c:pt>
                <c:pt idx="12">
                  <c:v>650</c:v>
                </c:pt>
                <c:pt idx="13">
                  <c:v>670</c:v>
                </c:pt>
                <c:pt idx="14">
                  <c:v>670</c:v>
                </c:pt>
                <c:pt idx="15">
                  <c:v>780</c:v>
                </c:pt>
                <c:pt idx="16">
                  <c:v>800</c:v>
                </c:pt>
                <c:pt idx="17">
                  <c:v>840</c:v>
                </c:pt>
                <c:pt idx="18">
                  <c:v>850</c:v>
                </c:pt>
                <c:pt idx="19">
                  <c:v>860</c:v>
                </c:pt>
                <c:pt idx="20">
                  <c:v>870</c:v>
                </c:pt>
                <c:pt idx="21">
                  <c:v>930</c:v>
                </c:pt>
                <c:pt idx="22">
                  <c:v>960</c:v>
                </c:pt>
                <c:pt idx="23">
                  <c:v>980</c:v>
                </c:pt>
                <c:pt idx="24">
                  <c:v>1010</c:v>
                </c:pt>
                <c:pt idx="25">
                  <c:v>1040</c:v>
                </c:pt>
                <c:pt idx="26">
                  <c:v>1090</c:v>
                </c:pt>
                <c:pt idx="27">
                  <c:v>1140</c:v>
                </c:pt>
                <c:pt idx="28">
                  <c:v>1140</c:v>
                </c:pt>
                <c:pt idx="29">
                  <c:v>1150</c:v>
                </c:pt>
                <c:pt idx="30">
                  <c:v>1180</c:v>
                </c:pt>
                <c:pt idx="31">
                  <c:v>1230</c:v>
                </c:pt>
                <c:pt idx="32">
                  <c:v>1270</c:v>
                </c:pt>
                <c:pt idx="33">
                  <c:v>1370</c:v>
                </c:pt>
                <c:pt idx="34">
                  <c:v>1400</c:v>
                </c:pt>
                <c:pt idx="35">
                  <c:v>1420</c:v>
                </c:pt>
                <c:pt idx="36">
                  <c:v>1460</c:v>
                </c:pt>
                <c:pt idx="37">
                  <c:v>1500</c:v>
                </c:pt>
                <c:pt idx="38">
                  <c:v>1540</c:v>
                </c:pt>
                <c:pt idx="39">
                  <c:v>1550</c:v>
                </c:pt>
                <c:pt idx="40">
                  <c:v>1590</c:v>
                </c:pt>
                <c:pt idx="41">
                  <c:v>1630</c:v>
                </c:pt>
                <c:pt idx="42">
                  <c:v>1730</c:v>
                </c:pt>
                <c:pt idx="43">
                  <c:v>1770</c:v>
                </c:pt>
                <c:pt idx="44">
                  <c:v>1940</c:v>
                </c:pt>
                <c:pt idx="45">
                  <c:v>1960</c:v>
                </c:pt>
                <c:pt idx="46">
                  <c:v>2010</c:v>
                </c:pt>
                <c:pt idx="47">
                  <c:v>2010</c:v>
                </c:pt>
                <c:pt idx="48">
                  <c:v>2100</c:v>
                </c:pt>
                <c:pt idx="49">
                  <c:v>2170</c:v>
                </c:pt>
                <c:pt idx="50">
                  <c:v>2280</c:v>
                </c:pt>
                <c:pt idx="51">
                  <c:v>2300</c:v>
                </c:pt>
                <c:pt idx="52">
                  <c:v>2360</c:v>
                </c:pt>
                <c:pt idx="53">
                  <c:v>2450</c:v>
                </c:pt>
                <c:pt idx="54">
                  <c:v>2520</c:v>
                </c:pt>
                <c:pt idx="55">
                  <c:v>2540</c:v>
                </c:pt>
                <c:pt idx="56">
                  <c:v>2620</c:v>
                </c:pt>
                <c:pt idx="57">
                  <c:v>2790</c:v>
                </c:pt>
                <c:pt idx="58">
                  <c:v>2840</c:v>
                </c:pt>
                <c:pt idx="59">
                  <c:v>2910</c:v>
                </c:pt>
                <c:pt idx="60">
                  <c:v>3140</c:v>
                </c:pt>
                <c:pt idx="61">
                  <c:v>3300</c:v>
                </c:pt>
                <c:pt idx="62">
                  <c:v>3330</c:v>
                </c:pt>
                <c:pt idx="63">
                  <c:v>3350</c:v>
                </c:pt>
                <c:pt idx="64">
                  <c:v>3360</c:v>
                </c:pt>
                <c:pt idx="65">
                  <c:v>3370</c:v>
                </c:pt>
                <c:pt idx="66">
                  <c:v>3450</c:v>
                </c:pt>
                <c:pt idx="67">
                  <c:v>3510</c:v>
                </c:pt>
                <c:pt idx="68">
                  <c:v>3560</c:v>
                </c:pt>
                <c:pt idx="69">
                  <c:v>3630</c:v>
                </c:pt>
                <c:pt idx="70">
                  <c:v>3640</c:v>
                </c:pt>
                <c:pt idx="71">
                  <c:v>3660</c:v>
                </c:pt>
                <c:pt idx="72">
                  <c:v>3680</c:v>
                </c:pt>
                <c:pt idx="73">
                  <c:v>3760</c:v>
                </c:pt>
                <c:pt idx="74">
                  <c:v>3820</c:v>
                </c:pt>
                <c:pt idx="75">
                  <c:v>3860</c:v>
                </c:pt>
                <c:pt idx="76">
                  <c:v>3880</c:v>
                </c:pt>
                <c:pt idx="77">
                  <c:v>4120</c:v>
                </c:pt>
                <c:pt idx="78">
                  <c:v>4140</c:v>
                </c:pt>
                <c:pt idx="79">
                  <c:v>4140</c:v>
                </c:pt>
                <c:pt idx="80">
                  <c:v>4220</c:v>
                </c:pt>
                <c:pt idx="81">
                  <c:v>4290</c:v>
                </c:pt>
                <c:pt idx="82">
                  <c:v>4440</c:v>
                </c:pt>
                <c:pt idx="83">
                  <c:v>4480</c:v>
                </c:pt>
                <c:pt idx="84">
                  <c:v>4550</c:v>
                </c:pt>
                <c:pt idx="85">
                  <c:v>4560</c:v>
                </c:pt>
                <c:pt idx="86">
                  <c:v>4740</c:v>
                </c:pt>
                <c:pt idx="87">
                  <c:v>4800</c:v>
                </c:pt>
                <c:pt idx="88">
                  <c:v>4860</c:v>
                </c:pt>
                <c:pt idx="89">
                  <c:v>4880</c:v>
                </c:pt>
                <c:pt idx="90">
                  <c:v>4940</c:v>
                </c:pt>
                <c:pt idx="91">
                  <c:v>4970</c:v>
                </c:pt>
                <c:pt idx="92">
                  <c:v>5040</c:v>
                </c:pt>
                <c:pt idx="93">
                  <c:v>5050</c:v>
                </c:pt>
                <c:pt idx="94">
                  <c:v>5190</c:v>
                </c:pt>
                <c:pt idx="95">
                  <c:v>5340</c:v>
                </c:pt>
                <c:pt idx="96">
                  <c:v>5460</c:v>
                </c:pt>
                <c:pt idx="97">
                  <c:v>5810</c:v>
                </c:pt>
                <c:pt idx="98">
                  <c:v>5930</c:v>
                </c:pt>
                <c:pt idx="99">
                  <c:v>6110</c:v>
                </c:pt>
                <c:pt idx="100">
                  <c:v>6130</c:v>
                </c:pt>
                <c:pt idx="101">
                  <c:v>6160</c:v>
                </c:pt>
                <c:pt idx="102">
                  <c:v>6440</c:v>
                </c:pt>
                <c:pt idx="103">
                  <c:v>6520</c:v>
                </c:pt>
                <c:pt idx="104">
                  <c:v>6760</c:v>
                </c:pt>
                <c:pt idx="105">
                  <c:v>6770</c:v>
                </c:pt>
                <c:pt idx="106">
                  <c:v>6940</c:v>
                </c:pt>
                <c:pt idx="107">
                  <c:v>6950</c:v>
                </c:pt>
                <c:pt idx="108">
                  <c:v>7100</c:v>
                </c:pt>
                <c:pt idx="109">
                  <c:v>7220</c:v>
                </c:pt>
                <c:pt idx="110">
                  <c:v>7260</c:v>
                </c:pt>
                <c:pt idx="111">
                  <c:v>7720</c:v>
                </c:pt>
                <c:pt idx="112">
                  <c:v>7760</c:v>
                </c:pt>
                <c:pt idx="113">
                  <c:v>8100</c:v>
                </c:pt>
                <c:pt idx="114">
                  <c:v>8220</c:v>
                </c:pt>
                <c:pt idx="115">
                  <c:v>8400</c:v>
                </c:pt>
                <c:pt idx="116">
                  <c:v>8430</c:v>
                </c:pt>
                <c:pt idx="117">
                  <c:v>8440</c:v>
                </c:pt>
                <c:pt idx="118">
                  <c:v>8630</c:v>
                </c:pt>
                <c:pt idx="119">
                  <c:v>8720</c:v>
                </c:pt>
                <c:pt idx="120">
                  <c:v>9300</c:v>
                </c:pt>
                <c:pt idx="121">
                  <c:v>9380</c:v>
                </c:pt>
                <c:pt idx="122">
                  <c:v>9380</c:v>
                </c:pt>
                <c:pt idx="123">
                  <c:v>9630</c:v>
                </c:pt>
                <c:pt idx="124">
                  <c:v>9680</c:v>
                </c:pt>
                <c:pt idx="125">
                  <c:v>9830</c:v>
                </c:pt>
                <c:pt idx="126">
                  <c:v>10050</c:v>
                </c:pt>
                <c:pt idx="127">
                  <c:v>10720</c:v>
                </c:pt>
                <c:pt idx="128">
                  <c:v>10860</c:v>
                </c:pt>
                <c:pt idx="129">
                  <c:v>10930</c:v>
                </c:pt>
                <c:pt idx="130">
                  <c:v>11600</c:v>
                </c:pt>
                <c:pt idx="131">
                  <c:v>11890</c:v>
                </c:pt>
                <c:pt idx="132">
                  <c:v>12310</c:v>
                </c:pt>
                <c:pt idx="133">
                  <c:v>13080</c:v>
                </c:pt>
                <c:pt idx="134">
                  <c:v>13260</c:v>
                </c:pt>
                <c:pt idx="135">
                  <c:v>14010</c:v>
                </c:pt>
                <c:pt idx="136">
                  <c:v>14170</c:v>
                </c:pt>
                <c:pt idx="137">
                  <c:v>14390</c:v>
                </c:pt>
                <c:pt idx="138">
                  <c:v>14900</c:v>
                </c:pt>
                <c:pt idx="139">
                  <c:v>15000</c:v>
                </c:pt>
                <c:pt idx="140">
                  <c:v>15030</c:v>
                </c:pt>
                <c:pt idx="141">
                  <c:v>15070</c:v>
                </c:pt>
                <c:pt idx="142">
                  <c:v>15800</c:v>
                </c:pt>
                <c:pt idx="143">
                  <c:v>16560</c:v>
                </c:pt>
                <c:pt idx="144">
                  <c:v>16670</c:v>
                </c:pt>
                <c:pt idx="145">
                  <c:v>16720</c:v>
                </c:pt>
                <c:pt idx="146">
                  <c:v>17150</c:v>
                </c:pt>
                <c:pt idx="147">
                  <c:v>17740</c:v>
                </c:pt>
                <c:pt idx="148">
                  <c:v>18560</c:v>
                </c:pt>
                <c:pt idx="149">
                  <c:v>19370</c:v>
                </c:pt>
                <c:pt idx="150">
                  <c:v>19470</c:v>
                </c:pt>
                <c:pt idx="151">
                  <c:v>19930</c:v>
                </c:pt>
                <c:pt idx="152">
                  <c:v>20140</c:v>
                </c:pt>
                <c:pt idx="153">
                  <c:v>20250</c:v>
                </c:pt>
                <c:pt idx="154">
                  <c:v>21160</c:v>
                </c:pt>
                <c:pt idx="155">
                  <c:v>21610</c:v>
                </c:pt>
                <c:pt idx="156">
                  <c:v>22270</c:v>
                </c:pt>
                <c:pt idx="157">
                  <c:v>23070</c:v>
                </c:pt>
                <c:pt idx="158">
                  <c:v>23600</c:v>
                </c:pt>
                <c:pt idx="159">
                  <c:v>23730</c:v>
                </c:pt>
                <c:pt idx="160">
                  <c:v>24070</c:v>
                </c:pt>
                <c:pt idx="161">
                  <c:v>25970</c:v>
                </c:pt>
                <c:pt idx="162">
                  <c:v>27220</c:v>
                </c:pt>
                <c:pt idx="163">
                  <c:v>27510</c:v>
                </c:pt>
                <c:pt idx="164">
                  <c:v>28130</c:v>
                </c:pt>
                <c:pt idx="165">
                  <c:v>28240</c:v>
                </c:pt>
                <c:pt idx="166">
                  <c:v>29740</c:v>
                </c:pt>
                <c:pt idx="167">
                  <c:v>30560</c:v>
                </c:pt>
                <c:pt idx="168">
                  <c:v>31510</c:v>
                </c:pt>
                <c:pt idx="169">
                  <c:v>34980</c:v>
                </c:pt>
                <c:pt idx="170">
                  <c:v>35710</c:v>
                </c:pt>
                <c:pt idx="171">
                  <c:v>36200</c:v>
                </c:pt>
                <c:pt idx="172">
                  <c:v>39410</c:v>
                </c:pt>
                <c:pt idx="173">
                  <c:v>42620</c:v>
                </c:pt>
                <c:pt idx="174">
                  <c:v>43880</c:v>
                </c:pt>
                <c:pt idx="175">
                  <c:v>45340</c:v>
                </c:pt>
                <c:pt idx="176">
                  <c:v>45380</c:v>
                </c:pt>
                <c:pt idx="177">
                  <c:v>46040</c:v>
                </c:pt>
                <c:pt idx="178">
                  <c:v>46730</c:v>
                </c:pt>
                <c:pt idx="179">
                  <c:v>48310</c:v>
                </c:pt>
                <c:pt idx="180">
                  <c:v>49560</c:v>
                </c:pt>
                <c:pt idx="181">
                  <c:v>50510</c:v>
                </c:pt>
                <c:pt idx="182">
                  <c:v>51040</c:v>
                </c:pt>
                <c:pt idx="183">
                  <c:v>52210</c:v>
                </c:pt>
                <c:pt idx="184">
                  <c:v>53660</c:v>
                </c:pt>
                <c:pt idx="185">
                  <c:v>54450</c:v>
                </c:pt>
                <c:pt idx="186">
                  <c:v>56370</c:v>
                </c:pt>
                <c:pt idx="187">
                  <c:v>56760</c:v>
                </c:pt>
                <c:pt idx="188">
                  <c:v>57120</c:v>
                </c:pt>
                <c:pt idx="189">
                  <c:v>58890</c:v>
                </c:pt>
                <c:pt idx="190">
                  <c:v>63370</c:v>
                </c:pt>
                <c:pt idx="191">
                  <c:v>64010</c:v>
                </c:pt>
                <c:pt idx="192">
                  <c:v>64410</c:v>
                </c:pt>
                <c:pt idx="193">
                  <c:v>68110</c:v>
                </c:pt>
                <c:pt idx="194">
                  <c:v>70430</c:v>
                </c:pt>
                <c:pt idx="195">
                  <c:v>74520</c:v>
                </c:pt>
                <c:pt idx="196">
                  <c:v>81110</c:v>
                </c:pt>
                <c:pt idx="197">
                  <c:v>83920</c:v>
                </c:pt>
                <c:pt idx="198">
                  <c:v>84090</c:v>
                </c:pt>
                <c:pt idx="199">
                  <c:v>90360</c:v>
                </c:pt>
                <c:pt idx="200">
                  <c:v>116540</c:v>
                </c:pt>
                <c:pt idx="201">
                  <c:v>#N/A</c:v>
                </c:pt>
                <c:pt idx="202">
                  <c:v>#N/A</c:v>
                </c:pt>
              </c:numCache>
            </c:numRef>
          </c:xVal>
          <c:yVal>
            <c:numRef>
              <c:f>'Fig 2 OECD category '!$C$37:$C$239</c:f>
              <c:numCache>
                <c:formatCode>0.00</c:formatCode>
                <c:ptCount val="203"/>
                <c:pt idx="0">
                  <c:v>#N/A</c:v>
                </c:pt>
                <c:pt idx="1">
                  <c:v>#N/A</c:v>
                </c:pt>
                <c:pt idx="2">
                  <c:v>2021</c:v>
                </c:pt>
                <c:pt idx="3">
                  <c:v>#N/A</c:v>
                </c:pt>
                <c:pt idx="4">
                  <c:v>2021</c:v>
                </c:pt>
                <c:pt idx="5">
                  <c:v>#N/A</c:v>
                </c:pt>
                <c:pt idx="6">
                  <c:v>2021</c:v>
                </c:pt>
                <c:pt idx="7">
                  <c:v>2020</c:v>
                </c:pt>
                <c:pt idx="8">
                  <c:v>#N/A</c:v>
                </c:pt>
                <c:pt idx="9">
                  <c:v>#N/A</c:v>
                </c:pt>
                <c:pt idx="10">
                  <c:v>#N/A</c:v>
                </c:pt>
                <c:pt idx="11">
                  <c:v>#N/A</c:v>
                </c:pt>
                <c:pt idx="12">
                  <c:v>#N/A</c:v>
                </c:pt>
                <c:pt idx="13">
                  <c:v>#N/A</c:v>
                </c:pt>
                <c:pt idx="14">
                  <c:v>#N/A</c:v>
                </c:pt>
                <c:pt idx="15">
                  <c:v>#N/A</c:v>
                </c:pt>
                <c:pt idx="16">
                  <c:v>2020</c:v>
                </c:pt>
                <c:pt idx="17">
                  <c:v>#N/A</c:v>
                </c:pt>
                <c:pt idx="18">
                  <c:v>#N/A</c:v>
                </c:pt>
                <c:pt idx="19">
                  <c:v>#N/A</c:v>
                </c:pt>
                <c:pt idx="20">
                  <c:v>2020</c:v>
                </c:pt>
                <c:pt idx="21">
                  <c:v>#N/A</c:v>
                </c:pt>
                <c:pt idx="22">
                  <c:v>#N/A</c:v>
                </c:pt>
                <c:pt idx="23">
                  <c:v>2021</c:v>
                </c:pt>
                <c:pt idx="24">
                  <c:v>2021</c:v>
                </c:pt>
                <c:pt idx="25">
                  <c:v>2021</c:v>
                </c:pt>
                <c:pt idx="26">
                  <c:v>#N/A</c:v>
                </c:pt>
                <c:pt idx="27">
                  <c:v>#N/A</c:v>
                </c:pt>
                <c:pt idx="28">
                  <c:v>#N/A</c:v>
                </c:pt>
                <c:pt idx="29">
                  <c:v>#N/A</c:v>
                </c:pt>
                <c:pt idx="30">
                  <c:v>2019</c:v>
                </c:pt>
                <c:pt idx="31">
                  <c:v>#N/A</c:v>
                </c:pt>
                <c:pt idx="32">
                  <c:v>#N/A</c:v>
                </c:pt>
                <c:pt idx="33">
                  <c:v>2020</c:v>
                </c:pt>
                <c:pt idx="34">
                  <c:v>2022</c:v>
                </c:pt>
                <c:pt idx="35">
                  <c:v>#N/A</c:v>
                </c:pt>
                <c:pt idx="36">
                  <c:v>#N/A</c:v>
                </c:pt>
                <c:pt idx="37">
                  <c:v>#N/A</c:v>
                </c:pt>
                <c:pt idx="38">
                  <c:v>2021</c:v>
                </c:pt>
                <c:pt idx="39">
                  <c:v>2022</c:v>
                </c:pt>
                <c:pt idx="40">
                  <c:v>#N/A</c:v>
                </c:pt>
                <c:pt idx="41">
                  <c:v>2020</c:v>
                </c:pt>
                <c:pt idx="42">
                  <c:v>2021</c:v>
                </c:pt>
                <c:pt idx="43">
                  <c:v>#N/A</c:v>
                </c:pt>
                <c:pt idx="44">
                  <c:v>2021</c:v>
                </c:pt>
                <c:pt idx="45">
                  <c:v>2020</c:v>
                </c:pt>
                <c:pt idx="46">
                  <c:v>#N/A</c:v>
                </c:pt>
                <c:pt idx="47">
                  <c:v>#N/A</c:v>
                </c:pt>
                <c:pt idx="48">
                  <c:v>2022</c:v>
                </c:pt>
                <c:pt idx="49">
                  <c:v>#N/A</c:v>
                </c:pt>
                <c:pt idx="50">
                  <c:v>#N/A</c:v>
                </c:pt>
                <c:pt idx="51">
                  <c:v>2020</c:v>
                </c:pt>
                <c:pt idx="52">
                  <c:v>2022</c:v>
                </c:pt>
                <c:pt idx="53">
                  <c:v>#N/A</c:v>
                </c:pt>
                <c:pt idx="54">
                  <c:v>2022</c:v>
                </c:pt>
                <c:pt idx="55">
                  <c:v>2021</c:v>
                </c:pt>
                <c:pt idx="56">
                  <c:v>#N/A</c:v>
                </c:pt>
                <c:pt idx="57">
                  <c:v>2022</c:v>
                </c:pt>
                <c:pt idx="58">
                  <c:v>#N/A</c:v>
                </c:pt>
                <c:pt idx="59">
                  <c:v>#N/A</c:v>
                </c:pt>
                <c:pt idx="60">
                  <c:v>2021</c:v>
                </c:pt>
                <c:pt idx="61">
                  <c:v>#N/A</c:v>
                </c:pt>
                <c:pt idx="62">
                  <c:v>#N/A</c:v>
                </c:pt>
                <c:pt idx="63">
                  <c:v>2022</c:v>
                </c:pt>
                <c:pt idx="64">
                  <c:v>#N/A</c:v>
                </c:pt>
                <c:pt idx="65">
                  <c:v>#N/A</c:v>
                </c:pt>
                <c:pt idx="66">
                  <c:v>#N/A</c:v>
                </c:pt>
                <c:pt idx="67">
                  <c:v>#N/A</c:v>
                </c:pt>
                <c:pt idx="68">
                  <c:v>#N/A</c:v>
                </c:pt>
                <c:pt idx="69">
                  <c:v>#N/A</c:v>
                </c:pt>
                <c:pt idx="70">
                  <c:v>#N/A</c:v>
                </c:pt>
                <c:pt idx="71">
                  <c:v>2021</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numCache>
            </c:numRef>
          </c:yVal>
          <c:smooth val="0"/>
          <c:extLst>
            <c:ext xmlns:c16="http://schemas.microsoft.com/office/drawing/2014/chart" uri="{C3380CC4-5D6E-409C-BE32-E72D297353CC}">
              <c16:uniqueId val="{00000001-49E2-44B3-84D8-082DAA3C9A76}"/>
            </c:ext>
          </c:extLst>
        </c:ser>
        <c:dLbls>
          <c:dLblPos val="t"/>
          <c:showLegendKey val="0"/>
          <c:showVal val="1"/>
          <c:showCatName val="0"/>
          <c:showSerName val="0"/>
          <c:showPercent val="0"/>
          <c:showBubbleSize val="0"/>
        </c:dLbls>
        <c:axId val="961511984"/>
        <c:axId val="206422480"/>
      </c:scatterChart>
      <c:valAx>
        <c:axId val="961511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GNI per capita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422480"/>
        <c:crosses val="autoZero"/>
        <c:crossBetween val="midCat"/>
      </c:valAx>
      <c:valAx>
        <c:axId val="2064224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Public Expenditure on Justice as Percentage of Government</a:t>
                </a:r>
                <a:r>
                  <a:rPr lang="en-GB" baseline="0"/>
                  <a:t> Revenue</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119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'WJP data'!$E$2:$E$141</c:f>
              <c:numCache>
                <c:formatCode>0.00</c:formatCode>
                <c:ptCount val="140"/>
                <c:pt idx="0">
                  <c:v>0.39592811055441374</c:v>
                </c:pt>
                <c:pt idx="1">
                  <c:v>0.33064326393729665</c:v>
                </c:pt>
                <c:pt idx="2">
                  <c:v>0.43570993758663012</c:v>
                </c:pt>
                <c:pt idx="3">
                  <c:v>0.44874598604768634</c:v>
                </c:pt>
                <c:pt idx="4">
                  <c:v>0.34204308135640688</c:v>
                </c:pt>
                <c:pt idx="5">
                  <c:v>0.44273859773093643</c:v>
                </c:pt>
                <c:pt idx="6">
                  <c:v>0.43381401218229437</c:v>
                </c:pt>
                <c:pt idx="7">
                  <c:v>0.52451345717521813</c:v>
                </c:pt>
                <c:pt idx="8">
                  <c:v>0.39105023802049999</c:v>
                </c:pt>
                <c:pt idx="9">
                  <c:v>0.48740342674777687</c:v>
                </c:pt>
                <c:pt idx="10">
                  <c:v>0.39053380337926152</c:v>
                </c:pt>
                <c:pt idx="11">
                  <c:v>0.6286870956943249</c:v>
                </c:pt>
                <c:pt idx="12">
                  <c:v>0.49164622423078619</c:v>
                </c:pt>
                <c:pt idx="13">
                  <c:v>0.42400321418278591</c:v>
                </c:pt>
                <c:pt idx="14">
                  <c:v>0.39285608677771916</c:v>
                </c:pt>
                <c:pt idx="15">
                  <c:v>0.45878699607846302</c:v>
                </c:pt>
                <c:pt idx="16">
                  <c:v>0.40989861294948604</c:v>
                </c:pt>
                <c:pt idx="17">
                  <c:v>0.44988086690298446</c:v>
                </c:pt>
                <c:pt idx="18">
                  <c:v>0.36216918097650935</c:v>
                </c:pt>
                <c:pt idx="19">
                  <c:v>0.46134454161235328</c:v>
                </c:pt>
                <c:pt idx="20">
                  <c:v>0.46017618918109954</c:v>
                </c:pt>
                <c:pt idx="21">
                  <c:v>0.52079139228462323</c:v>
                </c:pt>
                <c:pt idx="22">
                  <c:v>0.48727713251856353</c:v>
                </c:pt>
                <c:pt idx="23">
                  <c:v>0.39141420307577152</c:v>
                </c:pt>
                <c:pt idx="24">
                  <c:v>0.35244977127370086</c:v>
                </c:pt>
                <c:pt idx="25">
                  <c:v>0.38589709321677923</c:v>
                </c:pt>
                <c:pt idx="26">
                  <c:v>0.56084044519117404</c:v>
                </c:pt>
                <c:pt idx="27">
                  <c:v>0.31169007925336023</c:v>
                </c:pt>
                <c:pt idx="28">
                  <c:v>0.35544640938311206</c:v>
                </c:pt>
                <c:pt idx="29">
                  <c:v>0.40570027316098867</c:v>
                </c:pt>
                <c:pt idx="30">
                  <c:v>0.36652338848107258</c:v>
                </c:pt>
                <c:pt idx="31">
                  <c:v>0.42649878122283563</c:v>
                </c:pt>
                <c:pt idx="32">
                  <c:v>0.4960157145109621</c:v>
                </c:pt>
                <c:pt idx="33">
                  <c:v>0.36155580585936148</c:v>
                </c:pt>
                <c:pt idx="34">
                  <c:v>0.44887327169828972</c:v>
                </c:pt>
                <c:pt idx="35">
                  <c:v>0.40770426213737687</c:v>
                </c:pt>
                <c:pt idx="36">
                  <c:v>0.49720986505711517</c:v>
                </c:pt>
                <c:pt idx="37">
                  <c:v>0.55197597104972529</c:v>
                </c:pt>
                <c:pt idx="38">
                  <c:v>0.44560572471215865</c:v>
                </c:pt>
                <c:pt idx="39">
                  <c:v>0.40562311721041994</c:v>
                </c:pt>
                <c:pt idx="40">
                  <c:v>0.39067526930635516</c:v>
                </c:pt>
                <c:pt idx="41">
                  <c:v>0.47941581227372976</c:v>
                </c:pt>
                <c:pt idx="42">
                  <c:v>0.37531330448533873</c:v>
                </c:pt>
                <c:pt idx="43">
                  <c:v>0.40627680449168091</c:v>
                </c:pt>
                <c:pt idx="44">
                  <c:v>0.44684708442547377</c:v>
                </c:pt>
                <c:pt idx="45">
                  <c:v>0.3526603064355095</c:v>
                </c:pt>
                <c:pt idx="46">
                  <c:v>0.48919497518810318</c:v>
                </c:pt>
                <c:pt idx="47">
                  <c:v>0.51838096586597326</c:v>
                </c:pt>
                <c:pt idx="48">
                  <c:v>0.46706073519138719</c:v>
                </c:pt>
                <c:pt idx="49">
                  <c:v>0.48632899718774558</c:v>
                </c:pt>
                <c:pt idx="50">
                  <c:v>0.53675718787644822</c:v>
                </c:pt>
                <c:pt idx="51">
                  <c:v>0.500822663863703</c:v>
                </c:pt>
                <c:pt idx="52">
                  <c:v>0.49965252609521632</c:v>
                </c:pt>
                <c:pt idx="53">
                  <c:v>0.45752250468604477</c:v>
                </c:pt>
                <c:pt idx="54">
                  <c:v>0.5313633133991077</c:v>
                </c:pt>
                <c:pt idx="55">
                  <c:v>0.48743911655266625</c:v>
                </c:pt>
                <c:pt idx="56">
                  <c:v>0.4958658805202979</c:v>
                </c:pt>
                <c:pt idx="57">
                  <c:v>0.54025209583917788</c:v>
                </c:pt>
                <c:pt idx="58">
                  <c:v>0.61206267147688209</c:v>
                </c:pt>
                <c:pt idx="59">
                  <c:v>0.60198646153317337</c:v>
                </c:pt>
                <c:pt idx="60">
                  <c:v>0.58043448637514494</c:v>
                </c:pt>
                <c:pt idx="61">
                  <c:v>0.43906860469717968</c:v>
                </c:pt>
                <c:pt idx="62">
                  <c:v>0.55934098636817053</c:v>
                </c:pt>
                <c:pt idx="63">
                  <c:v>0.46843073165710469</c:v>
                </c:pt>
                <c:pt idx="64">
                  <c:v>0.52175817742577146</c:v>
                </c:pt>
                <c:pt idx="65">
                  <c:v>0.48184314073804174</c:v>
                </c:pt>
                <c:pt idx="66">
                  <c:v>0.487371486399233</c:v>
                </c:pt>
                <c:pt idx="67">
                  <c:v>0.53345230124601695</c:v>
                </c:pt>
                <c:pt idx="68">
                  <c:v>0.48385825165732904</c:v>
                </c:pt>
                <c:pt idx="69">
                  <c:v>0.57650900042914544</c:v>
                </c:pt>
                <c:pt idx="70">
                  <c:v>0.48525663888287573</c:v>
                </c:pt>
                <c:pt idx="71">
                  <c:v>0.52037398109697364</c:v>
                </c:pt>
                <c:pt idx="72">
                  <c:v>0.59273560228496436</c:v>
                </c:pt>
                <c:pt idx="73">
                  <c:v>0.46071290691703293</c:v>
                </c:pt>
                <c:pt idx="74">
                  <c:v>0.39095852997867064</c:v>
                </c:pt>
                <c:pt idx="75">
                  <c:v>0.49527540789685631</c:v>
                </c:pt>
                <c:pt idx="76">
                  <c:v>0.49426575123650235</c:v>
                </c:pt>
                <c:pt idx="77">
                  <c:v>0.57722908299473241</c:v>
                </c:pt>
                <c:pt idx="78">
                  <c:v>0.63037907489271217</c:v>
                </c:pt>
                <c:pt idx="79">
                  <c:v>0.48334889432078121</c:v>
                </c:pt>
                <c:pt idx="80">
                  <c:v>0.48983764441399291</c:v>
                </c:pt>
                <c:pt idx="81">
                  <c:v>0.52827254011105362</c:v>
                </c:pt>
                <c:pt idx="82">
                  <c:v>0.42293661165192037</c:v>
                </c:pt>
                <c:pt idx="83">
                  <c:v>0.50021651786549315</c:v>
                </c:pt>
                <c:pt idx="84">
                  <c:v>0.59408021403127509</c:v>
                </c:pt>
                <c:pt idx="85">
                  <c:v>0.61387657719062894</c:v>
                </c:pt>
                <c:pt idx="86">
                  <c:v>0.41690652831467212</c:v>
                </c:pt>
                <c:pt idx="87">
                  <c:v>0.54863303507863292</c:v>
                </c:pt>
                <c:pt idx="88">
                  <c:v>0.54690553815329424</c:v>
                </c:pt>
                <c:pt idx="89">
                  <c:v>0.61207993665308214</c:v>
                </c:pt>
                <c:pt idx="90">
                  <c:v>0.56517864785215832</c:v>
                </c:pt>
                <c:pt idx="91">
                  <c:v>0.44582296653705533</c:v>
                </c:pt>
                <c:pt idx="92">
                  <c:v>0.47180559340345174</c:v>
                </c:pt>
                <c:pt idx="93">
                  <c:v>0.68203073309003259</c:v>
                </c:pt>
                <c:pt idx="94">
                  <c:v>0.26138050224502368</c:v>
                </c:pt>
                <c:pt idx="95">
                  <c:v>0.51674775457498956</c:v>
                </c:pt>
                <c:pt idx="96">
                  <c:v>0.63331282494856578</c:v>
                </c:pt>
                <c:pt idx="97">
                  <c:v>0.63111846455828502</c:v>
                </c:pt>
                <c:pt idx="98">
                  <c:v>0.66265491356488715</c:v>
                </c:pt>
                <c:pt idx="99">
                  <c:v>0.52278850392272136</c:v>
                </c:pt>
                <c:pt idx="100">
                  <c:v>0.71388384254059112</c:v>
                </c:pt>
                <c:pt idx="101">
                  <c:v>0.64296522205769757</c:v>
                </c:pt>
                <c:pt idx="102">
                  <c:v>0.65758330906834384</c:v>
                </c:pt>
                <c:pt idx="103">
                  <c:v>0.61204190673840841</c:v>
                </c:pt>
                <c:pt idx="104">
                  <c:v>0.516065936934747</c:v>
                </c:pt>
                <c:pt idx="105">
                  <c:v>0.63255727779902693</c:v>
                </c:pt>
                <c:pt idx="106">
                  <c:v>0.72252398877127566</c:v>
                </c:pt>
                <c:pt idx="107">
                  <c:v>0.61340122103735595</c:v>
                </c:pt>
                <c:pt idx="108">
                  <c:v>0.65700589728356762</c:v>
                </c:pt>
                <c:pt idx="109">
                  <c:v>0.7645346925240939</c:v>
                </c:pt>
                <c:pt idx="110">
                  <c:v>0.68929429919681551</c:v>
                </c:pt>
                <c:pt idx="111">
                  <c:v>0.73170490621804518</c:v>
                </c:pt>
                <c:pt idx="112">
                  <c:v>0.81657482614756616</c:v>
                </c:pt>
                <c:pt idx="113">
                  <c:v>0.60546757482015967</c:v>
                </c:pt>
                <c:pt idx="114">
                  <c:v>0.68292710233989862</c:v>
                </c:pt>
                <c:pt idx="115">
                  <c:v>0.67723968442348481</c:v>
                </c:pt>
                <c:pt idx="116">
                  <c:v>0.72674802495436486</c:v>
                </c:pt>
                <c:pt idx="117">
                  <c:v>0.67892337761060417</c:v>
                </c:pt>
                <c:pt idx="118">
                  <c:v>0.73253562939315076</c:v>
                </c:pt>
                <c:pt idx="119">
                  <c:v>0.66556907059401782</c:v>
                </c:pt>
                <c:pt idx="120">
                  <c:v>0.63381972109357498</c:v>
                </c:pt>
                <c:pt idx="121">
                  <c:v>0.78572999043668323</c:v>
                </c:pt>
                <c:pt idx="122">
                  <c:v>0.73079553987634294</c:v>
                </c:pt>
                <c:pt idx="123">
                  <c:v>0.82710330182542613</c:v>
                </c:pt>
                <c:pt idx="124">
                  <c:v>0.78774403373479041</c:v>
                </c:pt>
                <c:pt idx="125">
                  <c:v>0.79988396362297742</c:v>
                </c:pt>
                <c:pt idx="126">
                  <c:v>0.79133690326422901</c:v>
                </c:pt>
                <c:pt idx="127">
                  <c:v>0.83425990001168271</c:v>
                </c:pt>
                <c:pt idx="128">
                  <c:v>0.80269746451525903</c:v>
                </c:pt>
                <c:pt idx="129">
                  <c:v>0.8707964443527102</c:v>
                </c:pt>
                <c:pt idx="130">
                  <c:v>0.72739209213900036</c:v>
                </c:pt>
                <c:pt idx="131">
                  <c:v>0.83492212169578972</c:v>
                </c:pt>
                <c:pt idx="132">
                  <c:v>0.79407671718229889</c:v>
                </c:pt>
                <c:pt idx="133">
                  <c:v>0.85742130272246331</c:v>
                </c:pt>
                <c:pt idx="134">
                  <c:v>0.77688745127576797</c:v>
                </c:pt>
                <c:pt idx="135">
                  <c:v>0.90182166845325074</c:v>
                </c:pt>
                <c:pt idx="136">
                  <c:v>0.70723520754349622</c:v>
                </c:pt>
                <c:pt idx="137">
                  <c:v>0.80918564153998274</c:v>
                </c:pt>
                <c:pt idx="138">
                  <c:v>0.82638409063169993</c:v>
                </c:pt>
                <c:pt idx="139">
                  <c:v>0.8894315771536605</c:v>
                </c:pt>
              </c:numCache>
            </c:numRef>
          </c:xVal>
          <c:yVal>
            <c:numRef>
              <c:f>'WJP data'!$F$2:$F$141</c:f>
              <c:numCache>
                <c:formatCode>_-* #,##0_-;\-* #,##0_-;_-* "-"??_-;_-@_-</c:formatCode>
                <c:ptCount val="140"/>
                <c:pt idx="0">
                  <c:v>480</c:v>
                </c:pt>
                <c:pt idx="1">
                  <c:v>500</c:v>
                </c:pt>
                <c:pt idx="2">
                  <c:v>500</c:v>
                </c:pt>
                <c:pt idx="3">
                  <c:v>510</c:v>
                </c:pt>
                <c:pt idx="4">
                  <c:v>580</c:v>
                </c:pt>
                <c:pt idx="5">
                  <c:v>590</c:v>
                </c:pt>
                <c:pt idx="6">
                  <c:v>620</c:v>
                </c:pt>
                <c:pt idx="7">
                  <c:v>630</c:v>
                </c:pt>
                <c:pt idx="8">
                  <c:v>670</c:v>
                </c:pt>
                <c:pt idx="9">
                  <c:v>800</c:v>
                </c:pt>
                <c:pt idx="10">
                  <c:v>840</c:v>
                </c:pt>
                <c:pt idx="11">
                  <c:v>850</c:v>
                </c:pt>
                <c:pt idx="12">
                  <c:v>860</c:v>
                </c:pt>
                <c:pt idx="13">
                  <c:v>870</c:v>
                </c:pt>
                <c:pt idx="14">
                  <c:v>960</c:v>
                </c:pt>
                <c:pt idx="15">
                  <c:v>980</c:v>
                </c:pt>
                <c:pt idx="16">
                  <c:v>1010</c:v>
                </c:pt>
                <c:pt idx="17">
                  <c:v>1040</c:v>
                </c:pt>
                <c:pt idx="18">
                  <c:v>1140</c:v>
                </c:pt>
                <c:pt idx="19">
                  <c:v>1140</c:v>
                </c:pt>
                <c:pt idx="20">
                  <c:v>1180</c:v>
                </c:pt>
                <c:pt idx="21">
                  <c:v>1230</c:v>
                </c:pt>
                <c:pt idx="22">
                  <c:v>1370</c:v>
                </c:pt>
                <c:pt idx="23">
                  <c:v>1400</c:v>
                </c:pt>
                <c:pt idx="24">
                  <c:v>1420</c:v>
                </c:pt>
                <c:pt idx="25">
                  <c:v>1500</c:v>
                </c:pt>
                <c:pt idx="26">
                  <c:v>1540</c:v>
                </c:pt>
                <c:pt idx="27">
                  <c:v>1550</c:v>
                </c:pt>
                <c:pt idx="28">
                  <c:v>1590</c:v>
                </c:pt>
                <c:pt idx="29">
                  <c:v>1630</c:v>
                </c:pt>
                <c:pt idx="30">
                  <c:v>1730</c:v>
                </c:pt>
                <c:pt idx="31">
                  <c:v>1770</c:v>
                </c:pt>
                <c:pt idx="32">
                  <c:v>1960</c:v>
                </c:pt>
                <c:pt idx="33">
                  <c:v>2010</c:v>
                </c:pt>
                <c:pt idx="34">
                  <c:v>2010</c:v>
                </c:pt>
                <c:pt idx="35">
                  <c:v>2100</c:v>
                </c:pt>
                <c:pt idx="36">
                  <c:v>2170</c:v>
                </c:pt>
                <c:pt idx="37">
                  <c:v>2360</c:v>
                </c:pt>
                <c:pt idx="38">
                  <c:v>2450</c:v>
                </c:pt>
                <c:pt idx="39">
                  <c:v>2540</c:v>
                </c:pt>
                <c:pt idx="40">
                  <c:v>2620</c:v>
                </c:pt>
                <c:pt idx="41">
                  <c:v>3350</c:v>
                </c:pt>
                <c:pt idx="42">
                  <c:v>3360</c:v>
                </c:pt>
                <c:pt idx="43">
                  <c:v>3370</c:v>
                </c:pt>
                <c:pt idx="44">
                  <c:v>3450</c:v>
                </c:pt>
                <c:pt idx="45">
                  <c:v>3510</c:v>
                </c:pt>
                <c:pt idx="46">
                  <c:v>3560</c:v>
                </c:pt>
                <c:pt idx="47">
                  <c:v>3630</c:v>
                </c:pt>
                <c:pt idx="48">
                  <c:v>3640</c:v>
                </c:pt>
                <c:pt idx="49">
                  <c:v>3660</c:v>
                </c:pt>
                <c:pt idx="50">
                  <c:v>3760</c:v>
                </c:pt>
                <c:pt idx="51">
                  <c:v>3820</c:v>
                </c:pt>
                <c:pt idx="52">
                  <c:v>4120</c:v>
                </c:pt>
                <c:pt idx="53">
                  <c:v>4140</c:v>
                </c:pt>
                <c:pt idx="54">
                  <c:v>4140</c:v>
                </c:pt>
                <c:pt idx="55">
                  <c:v>4290</c:v>
                </c:pt>
                <c:pt idx="56">
                  <c:v>4440</c:v>
                </c:pt>
                <c:pt idx="57">
                  <c:v>4480</c:v>
                </c:pt>
                <c:pt idx="58">
                  <c:v>4550</c:v>
                </c:pt>
                <c:pt idx="59">
                  <c:v>4740</c:v>
                </c:pt>
                <c:pt idx="60">
                  <c:v>4800</c:v>
                </c:pt>
                <c:pt idx="61">
                  <c:v>4940</c:v>
                </c:pt>
                <c:pt idx="62">
                  <c:v>4970</c:v>
                </c:pt>
                <c:pt idx="63">
                  <c:v>5340</c:v>
                </c:pt>
                <c:pt idx="64">
                  <c:v>5460</c:v>
                </c:pt>
                <c:pt idx="65">
                  <c:v>5930</c:v>
                </c:pt>
                <c:pt idx="66">
                  <c:v>6110</c:v>
                </c:pt>
                <c:pt idx="67">
                  <c:v>6130</c:v>
                </c:pt>
                <c:pt idx="68">
                  <c:v>6160</c:v>
                </c:pt>
                <c:pt idx="69">
                  <c:v>6440</c:v>
                </c:pt>
                <c:pt idx="70">
                  <c:v>6520</c:v>
                </c:pt>
                <c:pt idx="71">
                  <c:v>6770</c:v>
                </c:pt>
                <c:pt idx="72">
                  <c:v>6940</c:v>
                </c:pt>
                <c:pt idx="73">
                  <c:v>6950</c:v>
                </c:pt>
                <c:pt idx="74">
                  <c:v>7100</c:v>
                </c:pt>
                <c:pt idx="75">
                  <c:v>7260</c:v>
                </c:pt>
                <c:pt idx="76">
                  <c:v>7720</c:v>
                </c:pt>
                <c:pt idx="77">
                  <c:v>7760</c:v>
                </c:pt>
                <c:pt idx="78">
                  <c:v>8100</c:v>
                </c:pt>
                <c:pt idx="79">
                  <c:v>8220</c:v>
                </c:pt>
                <c:pt idx="80">
                  <c:v>8440</c:v>
                </c:pt>
                <c:pt idx="81">
                  <c:v>8720</c:v>
                </c:pt>
                <c:pt idx="82">
                  <c:v>9380</c:v>
                </c:pt>
                <c:pt idx="83">
                  <c:v>9380</c:v>
                </c:pt>
                <c:pt idx="84">
                  <c:v>9630</c:v>
                </c:pt>
                <c:pt idx="85">
                  <c:v>9680</c:v>
                </c:pt>
                <c:pt idx="86">
                  <c:v>9830</c:v>
                </c:pt>
                <c:pt idx="87">
                  <c:v>10050</c:v>
                </c:pt>
                <c:pt idx="88">
                  <c:v>10720</c:v>
                </c:pt>
                <c:pt idx="89">
                  <c:v>10860</c:v>
                </c:pt>
                <c:pt idx="90">
                  <c:v>10930</c:v>
                </c:pt>
                <c:pt idx="91">
                  <c:v>11600</c:v>
                </c:pt>
                <c:pt idx="92">
                  <c:v>11890</c:v>
                </c:pt>
                <c:pt idx="93">
                  <c:v>12310</c:v>
                </c:pt>
                <c:pt idx="94">
                  <c:v>13080</c:v>
                </c:pt>
                <c:pt idx="95">
                  <c:v>14010</c:v>
                </c:pt>
                <c:pt idx="96">
                  <c:v>14170</c:v>
                </c:pt>
                <c:pt idx="97">
                  <c:v>14900</c:v>
                </c:pt>
                <c:pt idx="98">
                  <c:v>15000</c:v>
                </c:pt>
                <c:pt idx="99">
                  <c:v>15070</c:v>
                </c:pt>
                <c:pt idx="100">
                  <c:v>15800</c:v>
                </c:pt>
                <c:pt idx="101">
                  <c:v>16670</c:v>
                </c:pt>
                <c:pt idx="102">
                  <c:v>16720</c:v>
                </c:pt>
                <c:pt idx="103">
                  <c:v>17150</c:v>
                </c:pt>
                <c:pt idx="104">
                  <c:v>17740</c:v>
                </c:pt>
                <c:pt idx="105">
                  <c:v>18560</c:v>
                </c:pt>
                <c:pt idx="106">
                  <c:v>19370</c:v>
                </c:pt>
                <c:pt idx="107">
                  <c:v>20140</c:v>
                </c:pt>
                <c:pt idx="108">
                  <c:v>20250</c:v>
                </c:pt>
                <c:pt idx="109">
                  <c:v>21610</c:v>
                </c:pt>
                <c:pt idx="110">
                  <c:v>23730</c:v>
                </c:pt>
                <c:pt idx="111">
                  <c:v>24070</c:v>
                </c:pt>
                <c:pt idx="112">
                  <c:v>25970</c:v>
                </c:pt>
                <c:pt idx="113">
                  <c:v>27220</c:v>
                </c:pt>
                <c:pt idx="114">
                  <c:v>28130</c:v>
                </c:pt>
                <c:pt idx="115">
                  <c:v>28240</c:v>
                </c:pt>
                <c:pt idx="116">
                  <c:v>29740</c:v>
                </c:pt>
                <c:pt idx="117">
                  <c:v>30560</c:v>
                </c:pt>
                <c:pt idx="118">
                  <c:v>34980</c:v>
                </c:pt>
                <c:pt idx="119">
                  <c:v>35710</c:v>
                </c:pt>
                <c:pt idx="120">
                  <c:v>39410</c:v>
                </c:pt>
                <c:pt idx="121">
                  <c:v>42620</c:v>
                </c:pt>
                <c:pt idx="122">
                  <c:v>43880</c:v>
                </c:pt>
                <c:pt idx="123">
                  <c:v>45340</c:v>
                </c:pt>
                <c:pt idx="124">
                  <c:v>45380</c:v>
                </c:pt>
                <c:pt idx="125">
                  <c:v>48310</c:v>
                </c:pt>
                <c:pt idx="126">
                  <c:v>50510</c:v>
                </c:pt>
                <c:pt idx="127">
                  <c:v>51040</c:v>
                </c:pt>
                <c:pt idx="128">
                  <c:v>52210</c:v>
                </c:pt>
                <c:pt idx="129">
                  <c:v>53660</c:v>
                </c:pt>
                <c:pt idx="130">
                  <c:v>54450</c:v>
                </c:pt>
                <c:pt idx="131">
                  <c:v>56370</c:v>
                </c:pt>
                <c:pt idx="132">
                  <c:v>56760</c:v>
                </c:pt>
                <c:pt idx="133">
                  <c:v>58890</c:v>
                </c:pt>
                <c:pt idx="134">
                  <c:v>64010</c:v>
                </c:pt>
                <c:pt idx="135">
                  <c:v>68110</c:v>
                </c:pt>
                <c:pt idx="136">
                  <c:v>70430</c:v>
                </c:pt>
                <c:pt idx="137">
                  <c:v>74520</c:v>
                </c:pt>
                <c:pt idx="138">
                  <c:v>81110</c:v>
                </c:pt>
                <c:pt idx="139">
                  <c:v>84090</c:v>
                </c:pt>
              </c:numCache>
            </c:numRef>
          </c:yVal>
          <c:smooth val="0"/>
          <c:extLst>
            <c:ext xmlns:c16="http://schemas.microsoft.com/office/drawing/2014/chart" uri="{C3380CC4-5D6E-409C-BE32-E72D297353CC}">
              <c16:uniqueId val="{00000000-97B4-B74D-BC11-CE3697F85DB5}"/>
            </c:ext>
          </c:extLst>
        </c:ser>
        <c:dLbls>
          <c:showLegendKey val="0"/>
          <c:showVal val="0"/>
          <c:showCatName val="0"/>
          <c:showSerName val="0"/>
          <c:showPercent val="0"/>
          <c:showBubbleSize val="0"/>
        </c:dLbls>
        <c:axId val="2033000848"/>
        <c:axId val="2032963296"/>
      </c:scatterChart>
      <c:valAx>
        <c:axId val="20330008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WJP Rule of Law Index: Overall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2963296"/>
        <c:crosses val="autoZero"/>
        <c:crossBetween val="midCat"/>
      </c:valAx>
      <c:valAx>
        <c:axId val="2032963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GNI per capita (USD)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30008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rule of law score in order of ascending GNI per capita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'WJP data'!$A$2:$A$141</c:f>
              <c:strCache>
                <c:ptCount val="140"/>
                <c:pt idx="0">
                  <c:v>Mozambique</c:v>
                </c:pt>
                <c:pt idx="1">
                  <c:v>Afghanistan</c:v>
                </c:pt>
                <c:pt idx="2">
                  <c:v>Madagascar</c:v>
                </c:pt>
                <c:pt idx="3">
                  <c:v>Sierra Leone</c:v>
                </c:pt>
                <c:pt idx="4">
                  <c:v>Congo, Dem. Rep.</c:v>
                </c:pt>
                <c:pt idx="5">
                  <c:v>Niger</c:v>
                </c:pt>
                <c:pt idx="6">
                  <c:v>Liberia</c:v>
                </c:pt>
                <c:pt idx="7">
                  <c:v>Malawi</c:v>
                </c:pt>
                <c:pt idx="8">
                  <c:v>Sudan</c:v>
                </c:pt>
                <c:pt idx="9">
                  <c:v>The Gambia</c:v>
                </c:pt>
                <c:pt idx="10">
                  <c:v>Uganda</c:v>
                </c:pt>
                <c:pt idx="11">
                  <c:v>Rwanda</c:v>
                </c:pt>
                <c:pt idx="12">
                  <c:v>Burkina Faso</c:v>
                </c:pt>
                <c:pt idx="13">
                  <c:v>Mali</c:v>
                </c:pt>
                <c:pt idx="14">
                  <c:v>Ethiopia</c:v>
                </c:pt>
                <c:pt idx="15">
                  <c:v>Togo</c:v>
                </c:pt>
                <c:pt idx="16">
                  <c:v>Guinea</c:v>
                </c:pt>
                <c:pt idx="17">
                  <c:v>Zambia</c:v>
                </c:pt>
                <c:pt idx="18">
                  <c:v>Myanmar</c:v>
                </c:pt>
                <c:pt idx="19">
                  <c:v>Tanzania</c:v>
                </c:pt>
                <c:pt idx="20">
                  <c:v>Kyrgyz Republic</c:v>
                </c:pt>
                <c:pt idx="21">
                  <c:v>Nepal</c:v>
                </c:pt>
                <c:pt idx="22">
                  <c:v>Benin</c:v>
                </c:pt>
                <c:pt idx="23">
                  <c:v>Zimbabwe</c:v>
                </c:pt>
                <c:pt idx="24">
                  <c:v>Haiti</c:v>
                </c:pt>
                <c:pt idx="25">
                  <c:v>Pakistan</c:v>
                </c:pt>
                <c:pt idx="26">
                  <c:v>Senegal</c:v>
                </c:pt>
                <c:pt idx="27">
                  <c:v>Cambodia</c:v>
                </c:pt>
                <c:pt idx="28">
                  <c:v>Cameroon</c:v>
                </c:pt>
                <c:pt idx="29">
                  <c:v>Congo, Rep.</c:v>
                </c:pt>
                <c:pt idx="30">
                  <c:v>Mauritania</c:v>
                </c:pt>
                <c:pt idx="31">
                  <c:v>Angola</c:v>
                </c:pt>
                <c:pt idx="32">
                  <c:v>Uzbekistan</c:v>
                </c:pt>
                <c:pt idx="33">
                  <c:v>Nicaragua</c:v>
                </c:pt>
                <c:pt idx="34">
                  <c:v>Kenya</c:v>
                </c:pt>
                <c:pt idx="35">
                  <c:v>Nigeria</c:v>
                </c:pt>
                <c:pt idx="36">
                  <c:v>India</c:v>
                </c:pt>
                <c:pt idx="37">
                  <c:v>Ghana</c:v>
                </c:pt>
                <c:pt idx="38">
                  <c:v>Cote d'Ivoire</c:v>
                </c:pt>
                <c:pt idx="39">
                  <c:v>Honduras</c:v>
                </c:pt>
                <c:pt idx="40">
                  <c:v>Bangladesh</c:v>
                </c:pt>
                <c:pt idx="41">
                  <c:v>Morocco</c:v>
                </c:pt>
                <c:pt idx="42">
                  <c:v>Bolivia</c:v>
                </c:pt>
                <c:pt idx="43">
                  <c:v>Iran, Islamic Rep.</c:v>
                </c:pt>
                <c:pt idx="44">
                  <c:v>Lebanon</c:v>
                </c:pt>
                <c:pt idx="45">
                  <c:v>Egypt, Arab Rep.</c:v>
                </c:pt>
                <c:pt idx="46">
                  <c:v>Vietnam</c:v>
                </c:pt>
                <c:pt idx="47">
                  <c:v>Tunisia</c:v>
                </c:pt>
                <c:pt idx="48">
                  <c:v>Philippines</c:v>
                </c:pt>
                <c:pt idx="49">
                  <c:v>Algeria</c:v>
                </c:pt>
                <c:pt idx="50">
                  <c:v>Mongolia</c:v>
                </c:pt>
                <c:pt idx="51">
                  <c:v>Sri Lanka</c:v>
                </c:pt>
                <c:pt idx="52">
                  <c:v>Ukraine</c:v>
                </c:pt>
                <c:pt idx="53">
                  <c:v>El Salvador</c:v>
                </c:pt>
                <c:pt idx="54">
                  <c:v>Indonesia</c:v>
                </c:pt>
                <c:pt idx="55">
                  <c:v>Belize</c:v>
                </c:pt>
                <c:pt idx="56">
                  <c:v>Suriname</c:v>
                </c:pt>
                <c:pt idx="57">
                  <c:v>Jordan</c:v>
                </c:pt>
                <c:pt idx="58">
                  <c:v>Namibia</c:v>
                </c:pt>
                <c:pt idx="59">
                  <c:v>Georgia</c:v>
                </c:pt>
                <c:pt idx="60">
                  <c:v>Jamaica</c:v>
                </c:pt>
                <c:pt idx="61">
                  <c:v>Guatemala</c:v>
                </c:pt>
                <c:pt idx="62">
                  <c:v>Kosovo</c:v>
                </c:pt>
                <c:pt idx="63">
                  <c:v>Paraguay</c:v>
                </c:pt>
                <c:pt idx="64">
                  <c:v>Moldova</c:v>
                </c:pt>
                <c:pt idx="65">
                  <c:v>Ecuador</c:v>
                </c:pt>
                <c:pt idx="66">
                  <c:v>Albania</c:v>
                </c:pt>
                <c:pt idx="67">
                  <c:v>North Macedonia</c:v>
                </c:pt>
                <c:pt idx="68">
                  <c:v>Colombia</c:v>
                </c:pt>
                <c:pt idx="69">
                  <c:v>South Africa</c:v>
                </c:pt>
                <c:pt idx="70">
                  <c:v>Peru</c:v>
                </c:pt>
                <c:pt idx="71">
                  <c:v>Bosnia and Herzegovina</c:v>
                </c:pt>
                <c:pt idx="72">
                  <c:v>Botswana</c:v>
                </c:pt>
                <c:pt idx="73">
                  <c:v>Belarus</c:v>
                </c:pt>
                <c:pt idx="74">
                  <c:v>Gabon</c:v>
                </c:pt>
                <c:pt idx="75">
                  <c:v>Thailand</c:v>
                </c:pt>
                <c:pt idx="76">
                  <c:v>Brazil</c:v>
                </c:pt>
                <c:pt idx="77">
                  <c:v>Dominica</c:v>
                </c:pt>
                <c:pt idx="78">
                  <c:v>St. Vincent and the Grenadines</c:v>
                </c:pt>
                <c:pt idx="79">
                  <c:v>Dominican Republic</c:v>
                </c:pt>
                <c:pt idx="80">
                  <c:v>Serbia</c:v>
                </c:pt>
                <c:pt idx="81">
                  <c:v>Kazakhstan</c:v>
                </c:pt>
                <c:pt idx="82">
                  <c:v>Mexico</c:v>
                </c:pt>
                <c:pt idx="83">
                  <c:v>Guyana</c:v>
                </c:pt>
                <c:pt idx="84">
                  <c:v>Grenada</c:v>
                </c:pt>
                <c:pt idx="85">
                  <c:v>St. Lucia</c:v>
                </c:pt>
                <c:pt idx="86">
                  <c:v>Turkey</c:v>
                </c:pt>
                <c:pt idx="87">
                  <c:v>Argentina</c:v>
                </c:pt>
                <c:pt idx="88">
                  <c:v>Bulgaria</c:v>
                </c:pt>
                <c:pt idx="89">
                  <c:v>Mauritius</c:v>
                </c:pt>
                <c:pt idx="90">
                  <c:v>Malaysia</c:v>
                </c:pt>
                <c:pt idx="91">
                  <c:v>Russian Federation</c:v>
                </c:pt>
                <c:pt idx="92">
                  <c:v>China</c:v>
                </c:pt>
                <c:pt idx="93">
                  <c:v>Costa Rica</c:v>
                </c:pt>
                <c:pt idx="94">
                  <c:v>Venezuela, RB</c:v>
                </c:pt>
                <c:pt idx="95">
                  <c:v>Panama</c:v>
                </c:pt>
                <c:pt idx="96">
                  <c:v>Romania</c:v>
                </c:pt>
                <c:pt idx="97">
                  <c:v>Antigua and Barbuda</c:v>
                </c:pt>
                <c:pt idx="98">
                  <c:v>Chile</c:v>
                </c:pt>
                <c:pt idx="99">
                  <c:v>Trinidad and Tobago</c:v>
                </c:pt>
                <c:pt idx="100">
                  <c:v>Uruguay</c:v>
                </c:pt>
                <c:pt idx="101">
                  <c:v>Poland</c:v>
                </c:pt>
                <c:pt idx="102">
                  <c:v>Barbados</c:v>
                </c:pt>
                <c:pt idx="103">
                  <c:v>Croatia</c:v>
                </c:pt>
                <c:pt idx="104">
                  <c:v>Hungary</c:v>
                </c:pt>
                <c:pt idx="105">
                  <c:v>St. Kitts and Nevis</c:v>
                </c:pt>
                <c:pt idx="106">
                  <c:v>Latvia</c:v>
                </c:pt>
                <c:pt idx="107">
                  <c:v>Greece</c:v>
                </c:pt>
                <c:pt idx="108">
                  <c:v>Slovak Republic</c:v>
                </c:pt>
                <c:pt idx="109">
                  <c:v>Lithuania</c:v>
                </c:pt>
                <c:pt idx="110">
                  <c:v>Portugal</c:v>
                </c:pt>
                <c:pt idx="111">
                  <c:v>Czech Republic</c:v>
                </c:pt>
                <c:pt idx="112">
                  <c:v>Estonia</c:v>
                </c:pt>
                <c:pt idx="113">
                  <c:v>The Bahamas</c:v>
                </c:pt>
                <c:pt idx="114">
                  <c:v>Cyprus</c:v>
                </c:pt>
                <c:pt idx="115">
                  <c:v>Slovenia</c:v>
                </c:pt>
                <c:pt idx="116">
                  <c:v>Spain</c:v>
                </c:pt>
                <c:pt idx="117">
                  <c:v>Malta</c:v>
                </c:pt>
                <c:pt idx="118">
                  <c:v>Korea, Rep.</c:v>
                </c:pt>
                <c:pt idx="119">
                  <c:v>Italy</c:v>
                </c:pt>
                <c:pt idx="120">
                  <c:v>United Arab Emirates</c:v>
                </c:pt>
                <c:pt idx="121">
                  <c:v>Japan</c:v>
                </c:pt>
                <c:pt idx="122">
                  <c:v>France</c:v>
                </c:pt>
                <c:pt idx="123">
                  <c:v>New Zealand</c:v>
                </c:pt>
                <c:pt idx="124">
                  <c:v>United Kingdom</c:v>
                </c:pt>
                <c:pt idx="125">
                  <c:v>Canada</c:v>
                </c:pt>
                <c:pt idx="126">
                  <c:v>Belgium</c:v>
                </c:pt>
                <c:pt idx="127">
                  <c:v>Germany</c:v>
                </c:pt>
                <c:pt idx="128">
                  <c:v>Austria</c:v>
                </c:pt>
                <c:pt idx="129">
                  <c:v>Finland</c:v>
                </c:pt>
                <c:pt idx="130">
                  <c:v>Hong Kong SAR, China</c:v>
                </c:pt>
                <c:pt idx="131">
                  <c:v>Netherlands</c:v>
                </c:pt>
                <c:pt idx="132">
                  <c:v>Australia</c:v>
                </c:pt>
                <c:pt idx="133">
                  <c:v>Sweden</c:v>
                </c:pt>
                <c:pt idx="134">
                  <c:v>Singapore</c:v>
                </c:pt>
                <c:pt idx="135">
                  <c:v>Denmark</c:v>
                </c:pt>
                <c:pt idx="136">
                  <c:v>United States</c:v>
                </c:pt>
                <c:pt idx="137">
                  <c:v>Ireland</c:v>
                </c:pt>
                <c:pt idx="138">
                  <c:v>Luxembourg</c:v>
                </c:pt>
                <c:pt idx="139">
                  <c:v>Norway</c:v>
                </c:pt>
              </c:strCache>
            </c:strRef>
          </c:cat>
          <c:val>
            <c:numRef>
              <c:f>'WJP data'!$E$2:$E$141</c:f>
              <c:numCache>
                <c:formatCode>0.00</c:formatCode>
                <c:ptCount val="140"/>
                <c:pt idx="0">
                  <c:v>0.39592811055441374</c:v>
                </c:pt>
                <c:pt idx="1">
                  <c:v>0.33064326393729665</c:v>
                </c:pt>
                <c:pt idx="2">
                  <c:v>0.43570993758663012</c:v>
                </c:pt>
                <c:pt idx="3">
                  <c:v>0.44874598604768634</c:v>
                </c:pt>
                <c:pt idx="4">
                  <c:v>0.34204308135640688</c:v>
                </c:pt>
                <c:pt idx="5">
                  <c:v>0.44273859773093643</c:v>
                </c:pt>
                <c:pt idx="6">
                  <c:v>0.43381401218229437</c:v>
                </c:pt>
                <c:pt idx="7">
                  <c:v>0.52451345717521813</c:v>
                </c:pt>
                <c:pt idx="8">
                  <c:v>0.39105023802049999</c:v>
                </c:pt>
                <c:pt idx="9">
                  <c:v>0.48740342674777687</c:v>
                </c:pt>
                <c:pt idx="10">
                  <c:v>0.39053380337926152</c:v>
                </c:pt>
                <c:pt idx="11">
                  <c:v>0.6286870956943249</c:v>
                </c:pt>
                <c:pt idx="12">
                  <c:v>0.49164622423078619</c:v>
                </c:pt>
                <c:pt idx="13">
                  <c:v>0.42400321418278591</c:v>
                </c:pt>
                <c:pt idx="14">
                  <c:v>0.39285608677771916</c:v>
                </c:pt>
                <c:pt idx="15">
                  <c:v>0.45878699607846302</c:v>
                </c:pt>
                <c:pt idx="16">
                  <c:v>0.40989861294948604</c:v>
                </c:pt>
                <c:pt idx="17">
                  <c:v>0.44988086690298446</c:v>
                </c:pt>
                <c:pt idx="18">
                  <c:v>0.36216918097650935</c:v>
                </c:pt>
                <c:pt idx="19">
                  <c:v>0.46134454161235328</c:v>
                </c:pt>
                <c:pt idx="20">
                  <c:v>0.46017618918109954</c:v>
                </c:pt>
                <c:pt idx="21">
                  <c:v>0.52079139228462323</c:v>
                </c:pt>
                <c:pt idx="22">
                  <c:v>0.48727713251856353</c:v>
                </c:pt>
                <c:pt idx="23">
                  <c:v>0.39141420307577152</c:v>
                </c:pt>
                <c:pt idx="24">
                  <c:v>0.35244977127370086</c:v>
                </c:pt>
                <c:pt idx="25">
                  <c:v>0.38589709321677923</c:v>
                </c:pt>
                <c:pt idx="26">
                  <c:v>0.56084044519117404</c:v>
                </c:pt>
                <c:pt idx="27">
                  <c:v>0.31169007925336023</c:v>
                </c:pt>
                <c:pt idx="28">
                  <c:v>0.35544640938311206</c:v>
                </c:pt>
                <c:pt idx="29">
                  <c:v>0.40570027316098867</c:v>
                </c:pt>
                <c:pt idx="30">
                  <c:v>0.36652338848107258</c:v>
                </c:pt>
                <c:pt idx="31">
                  <c:v>0.42649878122283563</c:v>
                </c:pt>
                <c:pt idx="32">
                  <c:v>0.4960157145109621</c:v>
                </c:pt>
                <c:pt idx="33">
                  <c:v>0.36155580585936148</c:v>
                </c:pt>
                <c:pt idx="34">
                  <c:v>0.44887327169828972</c:v>
                </c:pt>
                <c:pt idx="35">
                  <c:v>0.40770426213737687</c:v>
                </c:pt>
                <c:pt idx="36">
                  <c:v>0.49720986505711517</c:v>
                </c:pt>
                <c:pt idx="37">
                  <c:v>0.55197597104972529</c:v>
                </c:pt>
                <c:pt idx="38">
                  <c:v>0.44560572471215865</c:v>
                </c:pt>
                <c:pt idx="39">
                  <c:v>0.40562311721041994</c:v>
                </c:pt>
                <c:pt idx="40">
                  <c:v>0.39067526930635516</c:v>
                </c:pt>
                <c:pt idx="41">
                  <c:v>0.47941581227372976</c:v>
                </c:pt>
                <c:pt idx="42">
                  <c:v>0.37531330448533873</c:v>
                </c:pt>
                <c:pt idx="43">
                  <c:v>0.40627680449168091</c:v>
                </c:pt>
                <c:pt idx="44">
                  <c:v>0.44684708442547377</c:v>
                </c:pt>
                <c:pt idx="45">
                  <c:v>0.3526603064355095</c:v>
                </c:pt>
                <c:pt idx="46">
                  <c:v>0.48919497518810318</c:v>
                </c:pt>
                <c:pt idx="47">
                  <c:v>0.51838096586597326</c:v>
                </c:pt>
                <c:pt idx="48">
                  <c:v>0.46706073519138719</c:v>
                </c:pt>
                <c:pt idx="49">
                  <c:v>0.48632899718774558</c:v>
                </c:pt>
                <c:pt idx="50">
                  <c:v>0.53675718787644822</c:v>
                </c:pt>
                <c:pt idx="51">
                  <c:v>0.500822663863703</c:v>
                </c:pt>
                <c:pt idx="52">
                  <c:v>0.49965252609521632</c:v>
                </c:pt>
                <c:pt idx="53">
                  <c:v>0.45752250468604477</c:v>
                </c:pt>
                <c:pt idx="54">
                  <c:v>0.5313633133991077</c:v>
                </c:pt>
                <c:pt idx="55">
                  <c:v>0.48743911655266625</c:v>
                </c:pt>
                <c:pt idx="56">
                  <c:v>0.4958658805202979</c:v>
                </c:pt>
                <c:pt idx="57">
                  <c:v>0.54025209583917788</c:v>
                </c:pt>
                <c:pt idx="58">
                  <c:v>0.61206267147688209</c:v>
                </c:pt>
                <c:pt idx="59">
                  <c:v>0.60198646153317337</c:v>
                </c:pt>
                <c:pt idx="60">
                  <c:v>0.58043448637514494</c:v>
                </c:pt>
                <c:pt idx="61">
                  <c:v>0.43906860469717968</c:v>
                </c:pt>
                <c:pt idx="62">
                  <c:v>0.55934098636817053</c:v>
                </c:pt>
                <c:pt idx="63">
                  <c:v>0.46843073165710469</c:v>
                </c:pt>
                <c:pt idx="64">
                  <c:v>0.52175817742577146</c:v>
                </c:pt>
                <c:pt idx="65">
                  <c:v>0.48184314073804174</c:v>
                </c:pt>
                <c:pt idx="66">
                  <c:v>0.487371486399233</c:v>
                </c:pt>
                <c:pt idx="67">
                  <c:v>0.53345230124601695</c:v>
                </c:pt>
                <c:pt idx="68">
                  <c:v>0.48385825165732904</c:v>
                </c:pt>
                <c:pt idx="69">
                  <c:v>0.57650900042914544</c:v>
                </c:pt>
                <c:pt idx="70">
                  <c:v>0.48525663888287573</c:v>
                </c:pt>
                <c:pt idx="71">
                  <c:v>0.52037398109697364</c:v>
                </c:pt>
                <c:pt idx="72">
                  <c:v>0.59273560228496436</c:v>
                </c:pt>
                <c:pt idx="73">
                  <c:v>0.46071290691703293</c:v>
                </c:pt>
                <c:pt idx="74">
                  <c:v>0.39095852997867064</c:v>
                </c:pt>
                <c:pt idx="75">
                  <c:v>0.49527540789685631</c:v>
                </c:pt>
                <c:pt idx="76">
                  <c:v>0.49426575123650235</c:v>
                </c:pt>
                <c:pt idx="77">
                  <c:v>0.57722908299473241</c:v>
                </c:pt>
                <c:pt idx="78">
                  <c:v>0.63037907489271217</c:v>
                </c:pt>
                <c:pt idx="79">
                  <c:v>0.48334889432078121</c:v>
                </c:pt>
                <c:pt idx="80">
                  <c:v>0.48983764441399291</c:v>
                </c:pt>
                <c:pt idx="81">
                  <c:v>0.52827254011105362</c:v>
                </c:pt>
                <c:pt idx="82">
                  <c:v>0.42293661165192037</c:v>
                </c:pt>
                <c:pt idx="83">
                  <c:v>0.50021651786549315</c:v>
                </c:pt>
                <c:pt idx="84">
                  <c:v>0.59408021403127509</c:v>
                </c:pt>
                <c:pt idx="85">
                  <c:v>0.61387657719062894</c:v>
                </c:pt>
                <c:pt idx="86">
                  <c:v>0.41690652831467212</c:v>
                </c:pt>
                <c:pt idx="87">
                  <c:v>0.54863303507863292</c:v>
                </c:pt>
                <c:pt idx="88">
                  <c:v>0.54690553815329424</c:v>
                </c:pt>
                <c:pt idx="89">
                  <c:v>0.61207993665308214</c:v>
                </c:pt>
                <c:pt idx="90">
                  <c:v>0.56517864785215832</c:v>
                </c:pt>
                <c:pt idx="91">
                  <c:v>0.44582296653705533</c:v>
                </c:pt>
                <c:pt idx="92">
                  <c:v>0.47180559340345174</c:v>
                </c:pt>
                <c:pt idx="93">
                  <c:v>0.68203073309003259</c:v>
                </c:pt>
                <c:pt idx="94">
                  <c:v>0.26138050224502368</c:v>
                </c:pt>
                <c:pt idx="95">
                  <c:v>0.51674775457498956</c:v>
                </c:pt>
                <c:pt idx="96">
                  <c:v>0.63331282494856578</c:v>
                </c:pt>
                <c:pt idx="97">
                  <c:v>0.63111846455828502</c:v>
                </c:pt>
                <c:pt idx="98">
                  <c:v>0.66265491356488715</c:v>
                </c:pt>
                <c:pt idx="99">
                  <c:v>0.52278850392272136</c:v>
                </c:pt>
                <c:pt idx="100">
                  <c:v>0.71388384254059112</c:v>
                </c:pt>
                <c:pt idx="101">
                  <c:v>0.64296522205769757</c:v>
                </c:pt>
                <c:pt idx="102">
                  <c:v>0.65758330906834384</c:v>
                </c:pt>
                <c:pt idx="103">
                  <c:v>0.61204190673840841</c:v>
                </c:pt>
                <c:pt idx="104">
                  <c:v>0.516065936934747</c:v>
                </c:pt>
                <c:pt idx="105">
                  <c:v>0.63255727779902693</c:v>
                </c:pt>
                <c:pt idx="106">
                  <c:v>0.72252398877127566</c:v>
                </c:pt>
                <c:pt idx="107">
                  <c:v>0.61340122103735595</c:v>
                </c:pt>
                <c:pt idx="108">
                  <c:v>0.65700589728356762</c:v>
                </c:pt>
                <c:pt idx="109">
                  <c:v>0.7645346925240939</c:v>
                </c:pt>
                <c:pt idx="110">
                  <c:v>0.68929429919681551</c:v>
                </c:pt>
                <c:pt idx="111">
                  <c:v>0.73170490621804518</c:v>
                </c:pt>
                <c:pt idx="112">
                  <c:v>0.81657482614756616</c:v>
                </c:pt>
                <c:pt idx="113">
                  <c:v>0.60546757482015967</c:v>
                </c:pt>
                <c:pt idx="114">
                  <c:v>0.68292710233989862</c:v>
                </c:pt>
                <c:pt idx="115">
                  <c:v>0.67723968442348481</c:v>
                </c:pt>
                <c:pt idx="116">
                  <c:v>0.72674802495436486</c:v>
                </c:pt>
                <c:pt idx="117">
                  <c:v>0.67892337761060417</c:v>
                </c:pt>
                <c:pt idx="118">
                  <c:v>0.73253562939315076</c:v>
                </c:pt>
                <c:pt idx="119">
                  <c:v>0.66556907059401782</c:v>
                </c:pt>
                <c:pt idx="120">
                  <c:v>0.63381972109357498</c:v>
                </c:pt>
                <c:pt idx="121">
                  <c:v>0.78572999043668323</c:v>
                </c:pt>
                <c:pt idx="122">
                  <c:v>0.73079553987634294</c:v>
                </c:pt>
                <c:pt idx="123">
                  <c:v>0.82710330182542613</c:v>
                </c:pt>
                <c:pt idx="124">
                  <c:v>0.78774403373479041</c:v>
                </c:pt>
                <c:pt idx="125">
                  <c:v>0.79988396362297742</c:v>
                </c:pt>
                <c:pt idx="126">
                  <c:v>0.79133690326422901</c:v>
                </c:pt>
                <c:pt idx="127">
                  <c:v>0.83425990001168271</c:v>
                </c:pt>
                <c:pt idx="128">
                  <c:v>0.80269746451525903</c:v>
                </c:pt>
                <c:pt idx="129">
                  <c:v>0.8707964443527102</c:v>
                </c:pt>
                <c:pt idx="130">
                  <c:v>0.72739209213900036</c:v>
                </c:pt>
                <c:pt idx="131">
                  <c:v>0.83492212169578972</c:v>
                </c:pt>
                <c:pt idx="132">
                  <c:v>0.79407671718229889</c:v>
                </c:pt>
                <c:pt idx="133">
                  <c:v>0.85742130272246331</c:v>
                </c:pt>
                <c:pt idx="134">
                  <c:v>0.77688745127576797</c:v>
                </c:pt>
                <c:pt idx="135">
                  <c:v>0.90182166845325074</c:v>
                </c:pt>
                <c:pt idx="136">
                  <c:v>0.70723520754349622</c:v>
                </c:pt>
                <c:pt idx="137">
                  <c:v>0.80918564153998274</c:v>
                </c:pt>
                <c:pt idx="138">
                  <c:v>0.82638409063169993</c:v>
                </c:pt>
                <c:pt idx="139">
                  <c:v>0.8894315771536605</c:v>
                </c:pt>
              </c:numCache>
            </c:numRef>
          </c:val>
          <c:extLst>
            <c:ext xmlns:c16="http://schemas.microsoft.com/office/drawing/2014/chart" uri="{C3380CC4-5D6E-409C-BE32-E72D297353CC}">
              <c16:uniqueId val="{00000000-3135-9841-9D89-A37CD59CF4EC}"/>
            </c:ext>
          </c:extLst>
        </c:ser>
        <c:dLbls>
          <c:showLegendKey val="0"/>
          <c:showVal val="0"/>
          <c:showCatName val="0"/>
          <c:showSerName val="0"/>
          <c:showPercent val="0"/>
          <c:showBubbleSize val="0"/>
        </c:dLbls>
        <c:gapWidth val="219"/>
        <c:overlap val="-27"/>
        <c:axId val="2032939440"/>
        <c:axId val="2032589984"/>
      </c:barChart>
      <c:catAx>
        <c:axId val="203293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2589984"/>
        <c:crosses val="autoZero"/>
        <c:auto val="1"/>
        <c:lblAlgn val="ctr"/>
        <c:lblOffset val="100"/>
        <c:noMultiLvlLbl val="0"/>
      </c:catAx>
      <c:valAx>
        <c:axId val="2032589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WJP Rule of Law Index: Overall 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2939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Government</a:t>
            </a:r>
            <a:r>
              <a:rPr lang="en-GB" baseline="0"/>
              <a:t> Expenditure on Justice in the OECD DAC 2000-2020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DAC_HIST'!$D$140:$W$140</c:f>
              <c:numCache>
                <c:formatCode>0.00</c:formatCode>
                <c:ptCount val="20"/>
                <c:pt idx="0">
                  <c:v>4.086888771704035</c:v>
                </c:pt>
                <c:pt idx="1">
                  <c:v>4.176399451278404</c:v>
                </c:pt>
                <c:pt idx="2">
                  <c:v>4.1858365609110058</c:v>
                </c:pt>
                <c:pt idx="3">
                  <c:v>4.0875054847720609</c:v>
                </c:pt>
                <c:pt idx="4">
                  <c:v>4.0504569710565121</c:v>
                </c:pt>
                <c:pt idx="5">
                  <c:v>3.9951553743679873</c:v>
                </c:pt>
                <c:pt idx="6">
                  <c:v>3.9568041845662325</c:v>
                </c:pt>
                <c:pt idx="7">
                  <c:v>4.0823031527758058</c:v>
                </c:pt>
                <c:pt idx="8">
                  <c:v>4.5037305112283317</c:v>
                </c:pt>
                <c:pt idx="9">
                  <c:v>4.3724071549985508</c:v>
                </c:pt>
                <c:pt idx="10">
                  <c:v>4.2916362751477264</c:v>
                </c:pt>
                <c:pt idx="11">
                  <c:v>4.1427127383838327</c:v>
                </c:pt>
                <c:pt idx="12">
                  <c:v>4.0995477910778311</c:v>
                </c:pt>
                <c:pt idx="13">
                  <c:v>4.0451460080850863</c:v>
                </c:pt>
                <c:pt idx="14">
                  <c:v>4.011685183503868</c:v>
                </c:pt>
                <c:pt idx="15">
                  <c:v>4.0100467953841692</c:v>
                </c:pt>
                <c:pt idx="16">
                  <c:v>3.9458681971701672</c:v>
                </c:pt>
                <c:pt idx="17">
                  <c:v>3.9532546780903934</c:v>
                </c:pt>
                <c:pt idx="18">
                  <c:v>4.0054977575358341</c:v>
                </c:pt>
                <c:pt idx="19">
                  <c:v>4.2490883723317934</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15-F896-4717-A657-6848084EF9B2}"/>
            </c:ext>
          </c:extLst>
        </c:ser>
        <c:ser>
          <c:idx val="1"/>
          <c:order val="1"/>
          <c:spPr>
            <a:ln w="28575" cap="rnd">
              <a:solidFill>
                <a:schemeClr val="accent2"/>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DAC_HIST'!$D$141:$W$141</c:f>
              <c:numCache>
                <c:formatCode>0.00</c:formatCode>
                <c:ptCount val="20"/>
                <c:pt idx="0">
                  <c:v>2.1237143199957109</c:v>
                </c:pt>
                <c:pt idx="1">
                  <c:v>2.1708915165192613</c:v>
                </c:pt>
                <c:pt idx="2">
                  <c:v>2.1443969946945969</c:v>
                </c:pt>
                <c:pt idx="3">
                  <c:v>2.1334260567764383</c:v>
                </c:pt>
                <c:pt idx="4">
                  <c:v>2.0789701852517228</c:v>
                </c:pt>
                <c:pt idx="5">
                  <c:v>2.0599581148957014</c:v>
                </c:pt>
                <c:pt idx="6">
                  <c:v>2.0524668352617197</c:v>
                </c:pt>
                <c:pt idx="7">
                  <c:v>2.0989976997997721</c:v>
                </c:pt>
                <c:pt idx="8">
                  <c:v>2.2868361511541337</c:v>
                </c:pt>
                <c:pt idx="9">
                  <c:v>2.2202244997446456</c:v>
                </c:pt>
                <c:pt idx="10">
                  <c:v>2.1507424917442828</c:v>
                </c:pt>
                <c:pt idx="11">
                  <c:v>2.0500241486150874</c:v>
                </c:pt>
                <c:pt idx="12">
                  <c:v>2.0337903939554653</c:v>
                </c:pt>
                <c:pt idx="13">
                  <c:v>1.9724306294374157</c:v>
                </c:pt>
                <c:pt idx="14">
                  <c:v>1.9613051866932614</c:v>
                </c:pt>
                <c:pt idx="15">
                  <c:v>1.986833889681336</c:v>
                </c:pt>
                <c:pt idx="16">
                  <c:v>2.0141619240071145</c:v>
                </c:pt>
                <c:pt idx="17">
                  <c:v>2.0012220677252803</c:v>
                </c:pt>
                <c:pt idx="18">
                  <c:v>2.0168621831153568</c:v>
                </c:pt>
                <c:pt idx="19">
                  <c:v>2.1348389632520934</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16-F896-4717-A657-6848084EF9B2}"/>
            </c:ext>
          </c:extLst>
        </c:ser>
        <c:ser>
          <c:idx val="2"/>
          <c:order val="2"/>
          <c:spPr>
            <a:ln w="28575" cap="rnd">
              <a:solidFill>
                <a:schemeClr val="accent3"/>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DAC_HIST'!$D$142:$W$142</c:f>
              <c:numCache>
                <c:formatCode>0.00</c:formatCode>
                <c:ptCount val="20"/>
                <c:pt idx="0">
                  <c:v>0.44770064404663984</c:v>
                </c:pt>
                <c:pt idx="1">
                  <c:v>0.48306219597914102</c:v>
                </c:pt>
                <c:pt idx="2">
                  <c:v>0.46125137978264646</c:v>
                </c:pt>
                <c:pt idx="3">
                  <c:v>0.44704117854982778</c:v>
                </c:pt>
                <c:pt idx="4">
                  <c:v>0.4500339567487463</c:v>
                </c:pt>
                <c:pt idx="5">
                  <c:v>0.44785795194060518</c:v>
                </c:pt>
                <c:pt idx="6">
                  <c:v>0.46642041832624564</c:v>
                </c:pt>
                <c:pt idx="7">
                  <c:v>0.47342586133753312</c:v>
                </c:pt>
                <c:pt idx="8">
                  <c:v>0.5325143483372915</c:v>
                </c:pt>
                <c:pt idx="9">
                  <c:v>0.51412269493949259</c:v>
                </c:pt>
                <c:pt idx="10">
                  <c:v>0.48527318629476579</c:v>
                </c:pt>
                <c:pt idx="11">
                  <c:v>0.48757397531652774</c:v>
                </c:pt>
                <c:pt idx="12">
                  <c:v>0.49291753784416276</c:v>
                </c:pt>
                <c:pt idx="13">
                  <c:v>0.46695504355134182</c:v>
                </c:pt>
                <c:pt idx="14">
                  <c:v>0.48339812036229274</c:v>
                </c:pt>
                <c:pt idx="15">
                  <c:v>0.44500147031972864</c:v>
                </c:pt>
                <c:pt idx="16">
                  <c:v>0.45643691160532901</c:v>
                </c:pt>
                <c:pt idx="17">
                  <c:v>0.47881773134733147</c:v>
                </c:pt>
                <c:pt idx="18">
                  <c:v>0.49852603925638472</c:v>
                </c:pt>
                <c:pt idx="19">
                  <c:v>0.52819838458230273</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17-F896-4717-A657-6848084EF9B2}"/>
            </c:ext>
          </c:extLst>
        </c:ser>
        <c:ser>
          <c:idx val="3"/>
          <c:order val="3"/>
          <c:spPr>
            <a:ln w="28575" cap="rnd">
              <a:solidFill>
                <a:schemeClr val="accent4"/>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DAC_HIST'!$D$143:$W$143</c:f>
              <c:numCache>
                <c:formatCode>0.00</c:formatCode>
                <c:ptCount val="20"/>
                <c:pt idx="0">
                  <c:v>0.76826739664391808</c:v>
                </c:pt>
                <c:pt idx="1">
                  <c:v>0.82106717561924203</c:v>
                </c:pt>
                <c:pt idx="2">
                  <c:v>0.81655839591610213</c:v>
                </c:pt>
                <c:pt idx="3">
                  <c:v>0.81048243390809593</c:v>
                </c:pt>
                <c:pt idx="4">
                  <c:v>0.75896636653048166</c:v>
                </c:pt>
                <c:pt idx="5">
                  <c:v>0.73671191617088527</c:v>
                </c:pt>
                <c:pt idx="6">
                  <c:v>0.72680742133417842</c:v>
                </c:pt>
                <c:pt idx="7">
                  <c:v>0.7528650966314131</c:v>
                </c:pt>
                <c:pt idx="8">
                  <c:v>0.82409446710626455</c:v>
                </c:pt>
                <c:pt idx="9">
                  <c:v>0.81341672340178561</c:v>
                </c:pt>
                <c:pt idx="10">
                  <c:v>0.79058317890245722</c:v>
                </c:pt>
                <c:pt idx="11">
                  <c:v>0.75968162089449354</c:v>
                </c:pt>
                <c:pt idx="12">
                  <c:v>0.73510591552541038</c:v>
                </c:pt>
                <c:pt idx="13">
                  <c:v>0.7253229902099313</c:v>
                </c:pt>
                <c:pt idx="14">
                  <c:v>0.69905195087362759</c:v>
                </c:pt>
                <c:pt idx="15">
                  <c:v>0.70967463787239715</c:v>
                </c:pt>
                <c:pt idx="16">
                  <c:v>0.71405426686557982</c:v>
                </c:pt>
                <c:pt idx="17">
                  <c:v>0.70111826169109837</c:v>
                </c:pt>
                <c:pt idx="18">
                  <c:v>0.71147705924336013</c:v>
                </c:pt>
                <c:pt idx="19">
                  <c:v>0.74683518421261941</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18-F896-4717-A657-6848084EF9B2}"/>
            </c:ext>
          </c:extLst>
        </c:ser>
        <c:ser>
          <c:idx val="4"/>
          <c:order val="4"/>
          <c:spPr>
            <a:ln w="28575" cap="rnd">
              <a:solidFill>
                <a:schemeClr val="accent5"/>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DAC_HIST'!$D$144:$W$144</c:f>
              <c:numCache>
                <c:formatCode>0.00</c:formatCode>
                <c:ptCount val="20"/>
                <c:pt idx="0">
                  <c:v>0.45202723126893951</c:v>
                </c:pt>
                <c:pt idx="1">
                  <c:v>0.48154732208001638</c:v>
                </c:pt>
                <c:pt idx="2">
                  <c:v>0.46769808075881986</c:v>
                </c:pt>
                <c:pt idx="3">
                  <c:v>0.46600861924477077</c:v>
                </c:pt>
                <c:pt idx="4">
                  <c:v>0.44951657335369138</c:v>
                </c:pt>
                <c:pt idx="5">
                  <c:v>0.42332763393377359</c:v>
                </c:pt>
                <c:pt idx="6">
                  <c:v>0.41813429732597418</c:v>
                </c:pt>
                <c:pt idx="7">
                  <c:v>0.44870511122172979</c:v>
                </c:pt>
                <c:pt idx="8">
                  <c:v>0.46081648420791899</c:v>
                </c:pt>
                <c:pt idx="9">
                  <c:v>0.47296664872675248</c:v>
                </c:pt>
                <c:pt idx="10">
                  <c:v>0.46456673802072296</c:v>
                </c:pt>
                <c:pt idx="11">
                  <c:v>0.43642432873821779</c:v>
                </c:pt>
                <c:pt idx="12">
                  <c:v>0.45166595982457136</c:v>
                </c:pt>
                <c:pt idx="13">
                  <c:v>0.43454505848618047</c:v>
                </c:pt>
                <c:pt idx="14">
                  <c:v>0.43625950856674806</c:v>
                </c:pt>
                <c:pt idx="15">
                  <c:v>0.43468420196664503</c:v>
                </c:pt>
                <c:pt idx="16">
                  <c:v>0.42785378046647821</c:v>
                </c:pt>
                <c:pt idx="17">
                  <c:v>0.41568555999835799</c:v>
                </c:pt>
                <c:pt idx="18">
                  <c:v>0.41501284968327118</c:v>
                </c:pt>
                <c:pt idx="19">
                  <c:v>0.45655670839019397</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19-F896-4717-A657-6848084EF9B2}"/>
            </c:ext>
          </c:extLst>
        </c:ser>
        <c:dLbls>
          <c:showLegendKey val="0"/>
          <c:showVal val="0"/>
          <c:showCatName val="0"/>
          <c:showSerName val="0"/>
          <c:showPercent val="0"/>
          <c:showBubbleSize val="0"/>
        </c:dLbls>
        <c:smooth val="0"/>
        <c:axId val="1021649919"/>
        <c:axId val="841448815"/>
      </c:lineChart>
      <c:catAx>
        <c:axId val="1021649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448815"/>
        <c:crosses val="autoZero"/>
        <c:auto val="1"/>
        <c:lblAlgn val="ctr"/>
        <c:lblOffset val="100"/>
        <c:noMultiLvlLbl val="0"/>
      </c:catAx>
      <c:valAx>
        <c:axId val="84144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49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Government</a:t>
            </a:r>
            <a:r>
              <a:rPr lang="en-GB" baseline="0"/>
              <a:t> Expenditure on Justice in the OECD DAC 2000-2020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'COFOG_OECD DAC_HIST'!$C$140</c:f>
              <c:strCache>
                <c:ptCount val="1"/>
                <c:pt idx="0">
                  <c:v>Expenditure on public order &amp; safety</c:v>
                </c:pt>
              </c:strCache>
            </c:strRef>
          </c:tx>
          <c:spPr>
            <a:solidFill>
              <a:schemeClr val="accent1"/>
            </a:solidFill>
            <a:ln>
              <a:noFill/>
            </a:ln>
            <a:effectLst/>
          </c:spPr>
          <c:invertIfNegative val="0"/>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DAC_HIST'!$D$140:$W$140</c:f>
              <c:numCache>
                <c:formatCode>0.00</c:formatCode>
                <c:ptCount val="20"/>
                <c:pt idx="0">
                  <c:v>4.086888771704035</c:v>
                </c:pt>
                <c:pt idx="1">
                  <c:v>4.176399451278404</c:v>
                </c:pt>
                <c:pt idx="2">
                  <c:v>4.1858365609110058</c:v>
                </c:pt>
                <c:pt idx="3">
                  <c:v>4.0875054847720609</c:v>
                </c:pt>
                <c:pt idx="4">
                  <c:v>4.0504569710565121</c:v>
                </c:pt>
                <c:pt idx="5">
                  <c:v>3.9951553743679873</c:v>
                </c:pt>
                <c:pt idx="6">
                  <c:v>3.9568041845662325</c:v>
                </c:pt>
                <c:pt idx="7">
                  <c:v>4.0823031527758058</c:v>
                </c:pt>
                <c:pt idx="8">
                  <c:v>4.5037305112283317</c:v>
                </c:pt>
                <c:pt idx="9">
                  <c:v>4.3724071549985508</c:v>
                </c:pt>
                <c:pt idx="10">
                  <c:v>4.2916362751477264</c:v>
                </c:pt>
                <c:pt idx="11">
                  <c:v>4.1427127383838327</c:v>
                </c:pt>
                <c:pt idx="12">
                  <c:v>4.0995477910778311</c:v>
                </c:pt>
                <c:pt idx="13">
                  <c:v>4.0451460080850863</c:v>
                </c:pt>
                <c:pt idx="14">
                  <c:v>4.011685183503868</c:v>
                </c:pt>
                <c:pt idx="15">
                  <c:v>4.0100467953841692</c:v>
                </c:pt>
                <c:pt idx="16">
                  <c:v>3.9458681971701672</c:v>
                </c:pt>
                <c:pt idx="17">
                  <c:v>3.9532546780903934</c:v>
                </c:pt>
                <c:pt idx="18">
                  <c:v>4.0054977575358341</c:v>
                </c:pt>
                <c:pt idx="19">
                  <c:v>4.2490883723317934</c:v>
                </c:pt>
              </c:numCache>
            </c:numRef>
          </c:val>
          <c:extLst>
            <c:ext xmlns:c16="http://schemas.microsoft.com/office/drawing/2014/chart" uri="{C3380CC4-5D6E-409C-BE32-E72D297353CC}">
              <c16:uniqueId val="{00000000-5835-42FE-B2D2-21642017B29F}"/>
            </c:ext>
          </c:extLst>
        </c:ser>
        <c:dLbls>
          <c:showLegendKey val="0"/>
          <c:showVal val="0"/>
          <c:showCatName val="0"/>
          <c:showSerName val="0"/>
          <c:showPercent val="0"/>
          <c:showBubbleSize val="0"/>
        </c:dLbls>
        <c:gapWidth val="150"/>
        <c:axId val="1021649919"/>
        <c:axId val="841448815"/>
      </c:barChart>
      <c:catAx>
        <c:axId val="1021649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448815"/>
        <c:crosses val="autoZero"/>
        <c:auto val="1"/>
        <c:lblAlgn val="ctr"/>
        <c:lblOffset val="100"/>
        <c:noMultiLvlLbl val="0"/>
      </c:catAx>
      <c:valAx>
        <c:axId val="84144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49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Government</a:t>
            </a:r>
            <a:r>
              <a:rPr lang="en-GB" baseline="0"/>
              <a:t> Expenditure on Justice in the OECD DAC 2000-2020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'COFOG_OECD DAC_HIST'!$C$141</c:f>
              <c:strCache>
                <c:ptCount val="1"/>
                <c:pt idx="0">
                  <c:v>Expenditure on police services (right axis)</c:v>
                </c:pt>
              </c:strCache>
            </c:strRef>
          </c:tx>
          <c:spPr>
            <a:solidFill>
              <a:schemeClr val="accent2"/>
            </a:solidFill>
            <a:ln>
              <a:noFill/>
            </a:ln>
            <a:effectLst/>
          </c:spPr>
          <c:invertIfNegative val="0"/>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DAC_HIST'!$D$141:$W$141</c:f>
              <c:numCache>
                <c:formatCode>0.00</c:formatCode>
                <c:ptCount val="20"/>
                <c:pt idx="0">
                  <c:v>2.1237143199957109</c:v>
                </c:pt>
                <c:pt idx="1">
                  <c:v>2.1708915165192613</c:v>
                </c:pt>
                <c:pt idx="2">
                  <c:v>2.1443969946945969</c:v>
                </c:pt>
                <c:pt idx="3">
                  <c:v>2.1334260567764383</c:v>
                </c:pt>
                <c:pt idx="4">
                  <c:v>2.0789701852517228</c:v>
                </c:pt>
                <c:pt idx="5">
                  <c:v>2.0599581148957014</c:v>
                </c:pt>
                <c:pt idx="6">
                  <c:v>2.0524668352617197</c:v>
                </c:pt>
                <c:pt idx="7">
                  <c:v>2.0989976997997721</c:v>
                </c:pt>
                <c:pt idx="8">
                  <c:v>2.2868361511541337</c:v>
                </c:pt>
                <c:pt idx="9">
                  <c:v>2.2202244997446456</c:v>
                </c:pt>
                <c:pt idx="10">
                  <c:v>2.1507424917442828</c:v>
                </c:pt>
                <c:pt idx="11">
                  <c:v>2.0500241486150874</c:v>
                </c:pt>
                <c:pt idx="12">
                  <c:v>2.0337903939554653</c:v>
                </c:pt>
                <c:pt idx="13">
                  <c:v>1.9724306294374157</c:v>
                </c:pt>
                <c:pt idx="14">
                  <c:v>1.9613051866932614</c:v>
                </c:pt>
                <c:pt idx="15">
                  <c:v>1.986833889681336</c:v>
                </c:pt>
                <c:pt idx="16">
                  <c:v>2.0141619240071145</c:v>
                </c:pt>
                <c:pt idx="17">
                  <c:v>2.0012220677252803</c:v>
                </c:pt>
                <c:pt idx="18">
                  <c:v>2.0168621831153568</c:v>
                </c:pt>
                <c:pt idx="19">
                  <c:v>2.1348389632520934</c:v>
                </c:pt>
              </c:numCache>
            </c:numRef>
          </c:val>
          <c:extLst>
            <c:ext xmlns:c16="http://schemas.microsoft.com/office/drawing/2014/chart" uri="{C3380CC4-5D6E-409C-BE32-E72D297353CC}">
              <c16:uniqueId val="{00000001-3CE1-42CC-8127-EE2BFAB96FE4}"/>
            </c:ext>
          </c:extLst>
        </c:ser>
        <c:ser>
          <c:idx val="2"/>
          <c:order val="1"/>
          <c:tx>
            <c:strRef>
              <c:f>'COFOG_OECD DAC_HIST'!$C$142</c:f>
              <c:strCache>
                <c:ptCount val="1"/>
                <c:pt idx="0">
                  <c:v>Expenditure on fire protection services (left axis)</c:v>
                </c:pt>
              </c:strCache>
            </c:strRef>
          </c:tx>
          <c:spPr>
            <a:solidFill>
              <a:schemeClr val="accent3"/>
            </a:solidFill>
            <a:ln>
              <a:noFill/>
            </a:ln>
            <a:effectLst/>
          </c:spPr>
          <c:invertIfNegative val="0"/>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DAC_HIST'!$D$142:$W$142</c:f>
              <c:numCache>
                <c:formatCode>0.00</c:formatCode>
                <c:ptCount val="20"/>
                <c:pt idx="0">
                  <c:v>0.44770064404663984</c:v>
                </c:pt>
                <c:pt idx="1">
                  <c:v>0.48306219597914102</c:v>
                </c:pt>
                <c:pt idx="2">
                  <c:v>0.46125137978264646</c:v>
                </c:pt>
                <c:pt idx="3">
                  <c:v>0.44704117854982778</c:v>
                </c:pt>
                <c:pt idx="4">
                  <c:v>0.4500339567487463</c:v>
                </c:pt>
                <c:pt idx="5">
                  <c:v>0.44785795194060518</c:v>
                </c:pt>
                <c:pt idx="6">
                  <c:v>0.46642041832624564</c:v>
                </c:pt>
                <c:pt idx="7">
                  <c:v>0.47342586133753312</c:v>
                </c:pt>
                <c:pt idx="8">
                  <c:v>0.5325143483372915</c:v>
                </c:pt>
                <c:pt idx="9">
                  <c:v>0.51412269493949259</c:v>
                </c:pt>
                <c:pt idx="10">
                  <c:v>0.48527318629476579</c:v>
                </c:pt>
                <c:pt idx="11">
                  <c:v>0.48757397531652774</c:v>
                </c:pt>
                <c:pt idx="12">
                  <c:v>0.49291753784416276</c:v>
                </c:pt>
                <c:pt idx="13">
                  <c:v>0.46695504355134182</c:v>
                </c:pt>
                <c:pt idx="14">
                  <c:v>0.48339812036229274</c:v>
                </c:pt>
                <c:pt idx="15">
                  <c:v>0.44500147031972864</c:v>
                </c:pt>
                <c:pt idx="16">
                  <c:v>0.45643691160532901</c:v>
                </c:pt>
                <c:pt idx="17">
                  <c:v>0.47881773134733147</c:v>
                </c:pt>
                <c:pt idx="18">
                  <c:v>0.49852603925638472</c:v>
                </c:pt>
                <c:pt idx="19">
                  <c:v>0.52819838458230273</c:v>
                </c:pt>
              </c:numCache>
            </c:numRef>
          </c:val>
          <c:extLst>
            <c:ext xmlns:c16="http://schemas.microsoft.com/office/drawing/2014/chart" uri="{C3380CC4-5D6E-409C-BE32-E72D297353CC}">
              <c16:uniqueId val="{00000002-3CE1-42CC-8127-EE2BFAB96FE4}"/>
            </c:ext>
          </c:extLst>
        </c:ser>
        <c:ser>
          <c:idx val="3"/>
          <c:order val="2"/>
          <c:tx>
            <c:strRef>
              <c:f>'COFOG_OECD DAC_HIST'!$C$143</c:f>
              <c:strCache>
                <c:ptCount val="1"/>
                <c:pt idx="0">
                  <c:v>Expenditure on law courts (left axis)</c:v>
                </c:pt>
              </c:strCache>
            </c:strRef>
          </c:tx>
          <c:spPr>
            <a:solidFill>
              <a:schemeClr val="accent4"/>
            </a:solidFill>
            <a:ln>
              <a:noFill/>
            </a:ln>
            <a:effectLst/>
          </c:spPr>
          <c:invertIfNegative val="0"/>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DAC_HIST'!$D$143:$W$143</c:f>
              <c:numCache>
                <c:formatCode>0.00</c:formatCode>
                <c:ptCount val="20"/>
                <c:pt idx="0">
                  <c:v>0.76826739664391808</c:v>
                </c:pt>
                <c:pt idx="1">
                  <c:v>0.82106717561924203</c:v>
                </c:pt>
                <c:pt idx="2">
                  <c:v>0.81655839591610213</c:v>
                </c:pt>
                <c:pt idx="3">
                  <c:v>0.81048243390809593</c:v>
                </c:pt>
                <c:pt idx="4">
                  <c:v>0.75896636653048166</c:v>
                </c:pt>
                <c:pt idx="5">
                  <c:v>0.73671191617088527</c:v>
                </c:pt>
                <c:pt idx="6">
                  <c:v>0.72680742133417842</c:v>
                </c:pt>
                <c:pt idx="7">
                  <c:v>0.7528650966314131</c:v>
                </c:pt>
                <c:pt idx="8">
                  <c:v>0.82409446710626455</c:v>
                </c:pt>
                <c:pt idx="9">
                  <c:v>0.81341672340178561</c:v>
                </c:pt>
                <c:pt idx="10">
                  <c:v>0.79058317890245722</c:v>
                </c:pt>
                <c:pt idx="11">
                  <c:v>0.75968162089449354</c:v>
                </c:pt>
                <c:pt idx="12">
                  <c:v>0.73510591552541038</c:v>
                </c:pt>
                <c:pt idx="13">
                  <c:v>0.7253229902099313</c:v>
                </c:pt>
                <c:pt idx="14">
                  <c:v>0.69905195087362759</c:v>
                </c:pt>
                <c:pt idx="15">
                  <c:v>0.70967463787239715</c:v>
                </c:pt>
                <c:pt idx="16">
                  <c:v>0.71405426686557982</c:v>
                </c:pt>
                <c:pt idx="17">
                  <c:v>0.70111826169109837</c:v>
                </c:pt>
                <c:pt idx="18">
                  <c:v>0.71147705924336013</c:v>
                </c:pt>
                <c:pt idx="19">
                  <c:v>0.74683518421261941</c:v>
                </c:pt>
              </c:numCache>
            </c:numRef>
          </c:val>
          <c:extLst>
            <c:ext xmlns:c16="http://schemas.microsoft.com/office/drawing/2014/chart" uri="{C3380CC4-5D6E-409C-BE32-E72D297353CC}">
              <c16:uniqueId val="{00000003-3CE1-42CC-8127-EE2BFAB96FE4}"/>
            </c:ext>
          </c:extLst>
        </c:ser>
        <c:ser>
          <c:idx val="4"/>
          <c:order val="3"/>
          <c:tx>
            <c:strRef>
              <c:f>'COFOG_OECD DAC_HIST'!$C$144</c:f>
              <c:strCache>
                <c:ptCount val="1"/>
                <c:pt idx="0">
                  <c:v>Expenditure on prisons (left axis)</c:v>
                </c:pt>
              </c:strCache>
            </c:strRef>
          </c:tx>
          <c:spPr>
            <a:solidFill>
              <a:schemeClr val="accent5"/>
            </a:solidFill>
            <a:ln>
              <a:noFill/>
            </a:ln>
            <a:effectLst/>
          </c:spPr>
          <c:invertIfNegative val="0"/>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DAC_HIST'!$D$144:$W$144</c:f>
              <c:numCache>
                <c:formatCode>0.00</c:formatCode>
                <c:ptCount val="20"/>
                <c:pt idx="0">
                  <c:v>0.45202723126893951</c:v>
                </c:pt>
                <c:pt idx="1">
                  <c:v>0.48154732208001638</c:v>
                </c:pt>
                <c:pt idx="2">
                  <c:v>0.46769808075881986</c:v>
                </c:pt>
                <c:pt idx="3">
                  <c:v>0.46600861924477077</c:v>
                </c:pt>
                <c:pt idx="4">
                  <c:v>0.44951657335369138</c:v>
                </c:pt>
                <c:pt idx="5">
                  <c:v>0.42332763393377359</c:v>
                </c:pt>
                <c:pt idx="6">
                  <c:v>0.41813429732597418</c:v>
                </c:pt>
                <c:pt idx="7">
                  <c:v>0.44870511122172979</c:v>
                </c:pt>
                <c:pt idx="8">
                  <c:v>0.46081648420791899</c:v>
                </c:pt>
                <c:pt idx="9">
                  <c:v>0.47296664872675248</c:v>
                </c:pt>
                <c:pt idx="10">
                  <c:v>0.46456673802072296</c:v>
                </c:pt>
                <c:pt idx="11">
                  <c:v>0.43642432873821779</c:v>
                </c:pt>
                <c:pt idx="12">
                  <c:v>0.45166595982457136</c:v>
                </c:pt>
                <c:pt idx="13">
                  <c:v>0.43454505848618047</c:v>
                </c:pt>
                <c:pt idx="14">
                  <c:v>0.43625950856674806</c:v>
                </c:pt>
                <c:pt idx="15">
                  <c:v>0.43468420196664503</c:v>
                </c:pt>
                <c:pt idx="16">
                  <c:v>0.42785378046647821</c:v>
                </c:pt>
                <c:pt idx="17">
                  <c:v>0.41568555999835799</c:v>
                </c:pt>
                <c:pt idx="18">
                  <c:v>0.41501284968327118</c:v>
                </c:pt>
                <c:pt idx="19">
                  <c:v>0.45655670839019397</c:v>
                </c:pt>
              </c:numCache>
            </c:numRef>
          </c:val>
          <c:extLst>
            <c:ext xmlns:c16="http://schemas.microsoft.com/office/drawing/2014/chart" uri="{C3380CC4-5D6E-409C-BE32-E72D297353CC}">
              <c16:uniqueId val="{00000004-3CE1-42CC-8127-EE2BFAB96FE4}"/>
            </c:ext>
          </c:extLst>
        </c:ser>
        <c:dLbls>
          <c:showLegendKey val="0"/>
          <c:showVal val="0"/>
          <c:showCatName val="0"/>
          <c:showSerName val="0"/>
          <c:showPercent val="0"/>
          <c:showBubbleSize val="0"/>
        </c:dLbls>
        <c:gapWidth val="150"/>
        <c:axId val="1021649919"/>
        <c:axId val="841448815"/>
      </c:barChart>
      <c:catAx>
        <c:axId val="1021649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448815"/>
        <c:crosses val="autoZero"/>
        <c:auto val="1"/>
        <c:lblAlgn val="ctr"/>
        <c:lblOffset val="100"/>
        <c:noMultiLvlLbl val="0"/>
      </c:catAx>
      <c:valAx>
        <c:axId val="84144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49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Composition of Government Expenditure</a:t>
            </a:r>
            <a:r>
              <a:rPr lang="en-GB" baseline="0"/>
              <a:t> on justice in the OECD DAC 2000-2020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val>
            <c:numRef>
              <c:f>'COFOG_OECD DAC_HIST'!$D$145:$W$145</c:f>
              <c:numCache>
                <c:formatCode>0.00</c:formatCode>
                <c:ptCount val="20"/>
                <c:pt idx="0">
                  <c:v>51.964084139002019</c:v>
                </c:pt>
                <c:pt idx="1">
                  <c:v>51.97997801323212</c:v>
                </c:pt>
                <c:pt idx="2">
                  <c:v>51.229830966641707</c:v>
                </c:pt>
                <c:pt idx="3">
                  <c:v>52.193839610111461</c:v>
                </c:pt>
                <c:pt idx="4">
                  <c:v>51.326805842093634</c:v>
                </c:pt>
                <c:pt idx="5">
                  <c:v>51.561401794581663</c:v>
                </c:pt>
                <c:pt idx="6">
                  <c:v>51.871832406250931</c:v>
                </c:pt>
                <c:pt idx="7">
                  <c:v>51.416997250009132</c:v>
                </c:pt>
                <c:pt idx="8">
                  <c:v>50.776487302088377</c:v>
                </c:pt>
                <c:pt idx="9">
                  <c:v>50.77808221053882</c:v>
                </c:pt>
                <c:pt idx="10">
                  <c:v>50.114743045652212</c:v>
                </c:pt>
                <c:pt idx="11">
                  <c:v>49.485066382248093</c:v>
                </c:pt>
                <c:pt idx="12">
                  <c:v>49.610115495708179</c:v>
                </c:pt>
                <c:pt idx="13">
                  <c:v>48.760431032528686</c:v>
                </c:pt>
                <c:pt idx="14">
                  <c:v>48.889808072632135</c:v>
                </c:pt>
                <c:pt idx="15">
                  <c:v>49.546401602303348</c:v>
                </c:pt>
                <c:pt idx="16">
                  <c:v>51.044835340714066</c:v>
                </c:pt>
                <c:pt idx="17">
                  <c:v>50.622138735872291</c:v>
                </c:pt>
                <c:pt idx="18">
                  <c:v>50.352348327268125</c:v>
                </c:pt>
                <c:pt idx="19">
                  <c:v>50.242282018732112</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4E61-47E9-9FF1-5A91FCC09E98}"/>
            </c:ext>
          </c:extLst>
        </c:ser>
        <c:dLbls>
          <c:showLegendKey val="0"/>
          <c:showVal val="0"/>
          <c:showCatName val="0"/>
          <c:showSerName val="0"/>
          <c:showPercent val="0"/>
          <c:showBubbleSize val="0"/>
        </c:dLbls>
        <c:gapWidth val="219"/>
        <c:overlap val="100"/>
        <c:axId val="1777888799"/>
        <c:axId val="1777889215"/>
      </c:barChart>
      <c:catAx>
        <c:axId val="1777888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889215"/>
        <c:crosses val="autoZero"/>
        <c:auto val="1"/>
        <c:lblAlgn val="ctr"/>
        <c:lblOffset val="100"/>
        <c:noMultiLvlLbl val="0"/>
      </c:catAx>
      <c:valAx>
        <c:axId val="1777889215"/>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Expenditure</a:t>
                </a:r>
                <a:r>
                  <a:rPr lang="en-GB" baseline="0"/>
                  <a:t> on Public order and safety</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8887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Composition of Government Expenditure</a:t>
            </a:r>
            <a:r>
              <a:rPr lang="en-GB" baseline="0"/>
              <a:t> on justice in the OECD DAC 2000-2020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'COFOG_OECD DAC_HIST'!$C$146</c:f>
              <c:strCache>
                <c:ptCount val="1"/>
                <c:pt idx="0">
                  <c:v>Expenditure on fire protection services (left axis)</c:v>
                </c:pt>
              </c:strCache>
            </c:strRef>
          </c:tx>
          <c:spPr>
            <a:ln w="28575" cap="rnd">
              <a:solidFill>
                <a:schemeClr val="accent2"/>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DAC_HIST'!$D$146:$W$146</c:f>
              <c:numCache>
                <c:formatCode>0.00</c:formatCode>
                <c:ptCount val="20"/>
                <c:pt idx="0">
                  <c:v>10.954559055933649</c:v>
                </c:pt>
                <c:pt idx="1">
                  <c:v>11.566474941262497</c:v>
                </c:pt>
                <c:pt idx="2">
                  <c:v>11.019335635079351</c:v>
                </c:pt>
                <c:pt idx="3">
                  <c:v>10.936772567407502</c:v>
                </c:pt>
                <c:pt idx="4">
                  <c:v>11.110695903315829</c:v>
                </c:pt>
                <c:pt idx="5">
                  <c:v>11.210025893209572</c:v>
                </c:pt>
                <c:pt idx="6">
                  <c:v>11.787806435950211</c:v>
                </c:pt>
                <c:pt idx="7">
                  <c:v>11.597028530711203</c:v>
                </c:pt>
                <c:pt idx="8">
                  <c:v>11.823850183967943</c:v>
                </c:pt>
                <c:pt idx="9">
                  <c:v>11.758344470545151</c:v>
                </c:pt>
                <c:pt idx="10">
                  <c:v>11.307416453368051</c:v>
                </c:pt>
                <c:pt idx="11">
                  <c:v>11.769437228870991</c:v>
                </c:pt>
                <c:pt idx="12">
                  <c:v>12.02370512467102</c:v>
                </c:pt>
                <c:pt idx="13">
                  <c:v>11.543589344316192</c:v>
                </c:pt>
                <c:pt idx="14">
                  <c:v>12.049752117888906</c:v>
                </c:pt>
                <c:pt idx="15">
                  <c:v>11.097164023919994</c:v>
                </c:pt>
                <c:pt idx="16">
                  <c:v>11.567464719999236</c:v>
                </c:pt>
                <c:pt idx="17">
                  <c:v>12.111987977931712</c:v>
                </c:pt>
                <c:pt idx="18">
                  <c:v>12.446044647471627</c:v>
                </c:pt>
                <c:pt idx="19">
                  <c:v>12.43086371236004</c:v>
                </c:pt>
              </c:numCache>
            </c:numRef>
          </c:val>
          <c:smooth val="0"/>
          <c:extLst>
            <c:ext xmlns:c16="http://schemas.microsoft.com/office/drawing/2014/chart" uri="{C3380CC4-5D6E-409C-BE32-E72D297353CC}">
              <c16:uniqueId val="{00000001-5009-4C4D-BBF6-9FB44FF708DD}"/>
            </c:ext>
          </c:extLst>
        </c:ser>
        <c:ser>
          <c:idx val="2"/>
          <c:order val="2"/>
          <c:tx>
            <c:strRef>
              <c:f>'COFOG_OECD DAC_HIST'!$C$147</c:f>
              <c:strCache>
                <c:ptCount val="1"/>
                <c:pt idx="0">
                  <c:v>Expenditure on law courts (left axis)</c:v>
                </c:pt>
              </c:strCache>
            </c:strRef>
          </c:tx>
          <c:spPr>
            <a:ln w="28575" cap="rnd">
              <a:solidFill>
                <a:schemeClr val="accent3"/>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DAC_HIST'!$D$147:$W$147</c:f>
              <c:numCache>
                <c:formatCode>0.00</c:formatCode>
                <c:ptCount val="20"/>
                <c:pt idx="0">
                  <c:v>18.798343668246879</c:v>
                </c:pt>
                <c:pt idx="1">
                  <c:v>19.659689768609461</c:v>
                </c:pt>
                <c:pt idx="2">
                  <c:v>19.507651195496901</c:v>
                </c:pt>
                <c:pt idx="3">
                  <c:v>19.828289819488582</c:v>
                </c:pt>
                <c:pt idx="4">
                  <c:v>18.737796054960054</c:v>
                </c:pt>
                <c:pt idx="5">
                  <c:v>18.440131788051652</c:v>
                </c:pt>
                <c:pt idx="6">
                  <c:v>18.368546620758671</c:v>
                </c:pt>
                <c:pt idx="7">
                  <c:v>18.442165328155369</c:v>
                </c:pt>
                <c:pt idx="8">
                  <c:v>18.298041258279106</c:v>
                </c:pt>
                <c:pt idx="9">
                  <c:v>18.603407563997894</c:v>
                </c:pt>
                <c:pt idx="10">
                  <c:v>18.421486077014851</c:v>
                </c:pt>
                <c:pt idx="11">
                  <c:v>18.337781759660768</c:v>
                </c:pt>
                <c:pt idx="12">
                  <c:v>17.931390313958026</c:v>
                </c:pt>
                <c:pt idx="13">
                  <c:v>17.930699874867774</c:v>
                </c:pt>
                <c:pt idx="14">
                  <c:v>17.425394040094265</c:v>
                </c:pt>
                <c:pt idx="15">
                  <c:v>17.697415369049555</c:v>
                </c:pt>
                <c:pt idx="16">
                  <c:v>18.096252362855747</c:v>
                </c:pt>
                <c:pt idx="17">
                  <c:v>17.735216139167921</c:v>
                </c:pt>
                <c:pt idx="18">
                  <c:v>17.762512983681155</c:v>
                </c:pt>
                <c:pt idx="19">
                  <c:v>17.576362710544778</c:v>
                </c:pt>
              </c:numCache>
            </c:numRef>
          </c:val>
          <c:smooth val="0"/>
          <c:extLst>
            <c:ext xmlns:c16="http://schemas.microsoft.com/office/drawing/2014/chart" uri="{C3380CC4-5D6E-409C-BE32-E72D297353CC}">
              <c16:uniqueId val="{00000002-5009-4C4D-BBF6-9FB44FF708DD}"/>
            </c:ext>
          </c:extLst>
        </c:ser>
        <c:ser>
          <c:idx val="3"/>
          <c:order val="3"/>
          <c:tx>
            <c:strRef>
              <c:f>'COFOG_OECD DAC_HIST'!$C$148</c:f>
              <c:strCache>
                <c:ptCount val="1"/>
                <c:pt idx="0">
                  <c:v>Expenditure on prisons (left axis)</c:v>
                </c:pt>
              </c:strCache>
            </c:strRef>
          </c:tx>
          <c:spPr>
            <a:ln w="28575" cap="rnd">
              <a:solidFill>
                <a:schemeClr val="accent4"/>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DAC_HIST'!$D$148:$W$148</c:f>
              <c:numCache>
                <c:formatCode>0.00</c:formatCode>
                <c:ptCount val="20"/>
                <c:pt idx="0">
                  <c:v>11.060424115248578</c:v>
                </c:pt>
                <c:pt idx="1">
                  <c:v>11.530202694874262</c:v>
                </c:pt>
                <c:pt idx="2">
                  <c:v>11.173347882866933</c:v>
                </c:pt>
                <c:pt idx="3">
                  <c:v>11.400807191106624</c:v>
                </c:pt>
                <c:pt idx="4">
                  <c:v>11.097922445931834</c:v>
                </c:pt>
                <c:pt idx="5">
                  <c:v>10.596024291063818</c:v>
                </c:pt>
                <c:pt idx="6">
                  <c:v>10.567475109254426</c:v>
                </c:pt>
                <c:pt idx="7">
                  <c:v>10.991469629506273</c:v>
                </c:pt>
                <c:pt idx="8">
                  <c:v>10.231884058316746</c:v>
                </c:pt>
                <c:pt idx="9">
                  <c:v>10.817077000389943</c:v>
                </c:pt>
                <c:pt idx="10">
                  <c:v>10.824932688517078</c:v>
                </c:pt>
                <c:pt idx="11">
                  <c:v>10.534747550670794</c:v>
                </c:pt>
                <c:pt idx="12">
                  <c:v>11.017458091537987</c:v>
                </c:pt>
                <c:pt idx="13">
                  <c:v>10.742382539904606</c:v>
                </c:pt>
                <c:pt idx="14">
                  <c:v>10.874719441113081</c:v>
                </c:pt>
                <c:pt idx="15">
                  <c:v>10.83987853874911</c:v>
                </c:pt>
                <c:pt idx="16">
                  <c:v>10.84308342517166</c:v>
                </c:pt>
                <c:pt idx="17">
                  <c:v>10.515021010464054</c:v>
                </c:pt>
                <c:pt idx="18">
                  <c:v>10.361080564893022</c:v>
                </c:pt>
                <c:pt idx="19">
                  <c:v>10.744815555333981</c:v>
                </c:pt>
              </c:numCache>
            </c:numRef>
          </c:val>
          <c:smooth val="0"/>
          <c:extLst>
            <c:ext xmlns:c16="http://schemas.microsoft.com/office/drawing/2014/chart" uri="{C3380CC4-5D6E-409C-BE32-E72D297353CC}">
              <c16:uniqueId val="{00000003-5009-4C4D-BBF6-9FB44FF708DD}"/>
            </c:ext>
          </c:extLst>
        </c:ser>
        <c:dLbls>
          <c:showLegendKey val="0"/>
          <c:showVal val="0"/>
          <c:showCatName val="0"/>
          <c:showSerName val="0"/>
          <c:showPercent val="0"/>
          <c:showBubbleSize val="0"/>
        </c:dLbls>
        <c:marker val="1"/>
        <c:smooth val="0"/>
        <c:axId val="1777888799"/>
        <c:axId val="1777889215"/>
      </c:lineChart>
      <c:lineChart>
        <c:grouping val="standard"/>
        <c:varyColors val="0"/>
        <c:ser>
          <c:idx val="0"/>
          <c:order val="0"/>
          <c:tx>
            <c:strRef>
              <c:f>'COFOG_OECD DAC_HIST'!$C$145</c:f>
              <c:strCache>
                <c:ptCount val="1"/>
                <c:pt idx="0">
                  <c:v>Expenditure on police services (right axis)</c:v>
                </c:pt>
              </c:strCache>
            </c:strRef>
          </c:tx>
          <c:spPr>
            <a:ln w="28575" cap="rnd">
              <a:solidFill>
                <a:schemeClr val="accent1"/>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DAC_HIST'!$D$145:$W$145</c:f>
              <c:numCache>
                <c:formatCode>0.00</c:formatCode>
                <c:ptCount val="20"/>
                <c:pt idx="0">
                  <c:v>51.964084139002019</c:v>
                </c:pt>
                <c:pt idx="1">
                  <c:v>51.97997801323212</c:v>
                </c:pt>
                <c:pt idx="2">
                  <c:v>51.229830966641707</c:v>
                </c:pt>
                <c:pt idx="3">
                  <c:v>52.193839610111461</c:v>
                </c:pt>
                <c:pt idx="4">
                  <c:v>51.326805842093634</c:v>
                </c:pt>
                <c:pt idx="5">
                  <c:v>51.561401794581663</c:v>
                </c:pt>
                <c:pt idx="6">
                  <c:v>51.871832406250931</c:v>
                </c:pt>
                <c:pt idx="7">
                  <c:v>51.416997250009132</c:v>
                </c:pt>
                <c:pt idx="8">
                  <c:v>50.776487302088377</c:v>
                </c:pt>
                <c:pt idx="9">
                  <c:v>50.77808221053882</c:v>
                </c:pt>
                <c:pt idx="10">
                  <c:v>50.114743045652212</c:v>
                </c:pt>
                <c:pt idx="11">
                  <c:v>49.485066382248093</c:v>
                </c:pt>
                <c:pt idx="12">
                  <c:v>49.610115495708179</c:v>
                </c:pt>
                <c:pt idx="13">
                  <c:v>48.760431032528686</c:v>
                </c:pt>
                <c:pt idx="14">
                  <c:v>48.889808072632135</c:v>
                </c:pt>
                <c:pt idx="15">
                  <c:v>49.546401602303348</c:v>
                </c:pt>
                <c:pt idx="16">
                  <c:v>51.044835340714066</c:v>
                </c:pt>
                <c:pt idx="17">
                  <c:v>50.622138735872291</c:v>
                </c:pt>
                <c:pt idx="18">
                  <c:v>50.352348327268125</c:v>
                </c:pt>
                <c:pt idx="19">
                  <c:v>50.242282018732112</c:v>
                </c:pt>
              </c:numCache>
            </c:numRef>
          </c:val>
          <c:smooth val="0"/>
          <c:extLst>
            <c:ext xmlns:c16="http://schemas.microsoft.com/office/drawing/2014/chart" uri="{C3380CC4-5D6E-409C-BE32-E72D297353CC}">
              <c16:uniqueId val="{00000000-5009-4C4D-BBF6-9FB44FF708DD}"/>
            </c:ext>
          </c:extLst>
        </c:ser>
        <c:dLbls>
          <c:showLegendKey val="0"/>
          <c:showVal val="0"/>
          <c:showCatName val="0"/>
          <c:showSerName val="0"/>
          <c:showPercent val="0"/>
          <c:showBubbleSize val="0"/>
        </c:dLbls>
        <c:marker val="1"/>
        <c:smooth val="0"/>
        <c:axId val="1738029935"/>
        <c:axId val="1738047407"/>
      </c:lineChart>
      <c:catAx>
        <c:axId val="1777888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889215"/>
        <c:crosses val="autoZero"/>
        <c:auto val="1"/>
        <c:lblAlgn val="ctr"/>
        <c:lblOffset val="100"/>
        <c:noMultiLvlLbl val="0"/>
      </c:catAx>
      <c:valAx>
        <c:axId val="1777889215"/>
        <c:scaling>
          <c:orientation val="minMax"/>
          <c:max val="20"/>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Expenditure</a:t>
                </a:r>
                <a:r>
                  <a:rPr lang="en-GB" baseline="0"/>
                  <a:t> on Public order and safety</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888799"/>
        <c:crosses val="autoZero"/>
        <c:crossBetween val="between"/>
      </c:valAx>
      <c:valAx>
        <c:axId val="1738047407"/>
        <c:scaling>
          <c:orientation val="minMax"/>
          <c:max val="55"/>
          <c:min val="4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029935"/>
        <c:crosses val="max"/>
        <c:crossBetween val="between"/>
      </c:valAx>
      <c:catAx>
        <c:axId val="1738029935"/>
        <c:scaling>
          <c:orientation val="minMax"/>
        </c:scaling>
        <c:delete val="1"/>
        <c:axPos val="b"/>
        <c:numFmt formatCode="General" sourceLinked="1"/>
        <c:majorTickMark val="out"/>
        <c:minorTickMark val="none"/>
        <c:tickLblPos val="nextTo"/>
        <c:crossAx val="173804740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'COFOG_OECD DAC_HIST'!$E$219</c:f>
              <c:strCache>
                <c:ptCount val="1"/>
                <c:pt idx="0">
                  <c:v>Expenditure on public order &amp; safety</c:v>
                </c:pt>
              </c:strCache>
            </c:strRef>
          </c:tx>
          <c:spPr>
            <a:solidFill>
              <a:schemeClr val="accent1"/>
            </a:solidFill>
            <a:ln>
              <a:noFill/>
            </a:ln>
            <a:effectLst/>
          </c:spPr>
          <c:invertIfNegative val="0"/>
          <c:cat>
            <c:strRef>
              <c:f>'COFOG_OECD DAC_HIST'!$D$220:$D$248</c:f>
              <c:strCache>
                <c:ptCount val="29"/>
                <c:pt idx="0">
                  <c:v>United States</c:v>
                </c:pt>
                <c:pt idx="1">
                  <c:v>Slovak Rep.</c:v>
                </c:pt>
                <c:pt idx="2">
                  <c:v>Korea </c:v>
                </c:pt>
                <c:pt idx="3">
                  <c:v>Australia</c:v>
                </c:pt>
                <c:pt idx="4">
                  <c:v>Poland </c:v>
                </c:pt>
                <c:pt idx="5">
                  <c:v>United Kingdom</c:v>
                </c:pt>
                <c:pt idx="6">
                  <c:v>New Zealand</c:v>
                </c:pt>
                <c:pt idx="7">
                  <c:v>Hungary</c:v>
                </c:pt>
                <c:pt idx="8">
                  <c:v>Spain</c:v>
                </c:pt>
                <c:pt idx="9">
                  <c:v>Czech Rep.</c:v>
                </c:pt>
                <c:pt idx="10">
                  <c:v>Greece</c:v>
                </c:pt>
                <c:pt idx="11">
                  <c:v>Nerlands </c:v>
                </c:pt>
                <c:pt idx="12">
                  <c:v>Switzerland</c:v>
                </c:pt>
                <c:pt idx="13">
                  <c:v>Canada</c:v>
                </c:pt>
                <c:pt idx="14">
                  <c:v>Portugal</c:v>
                </c:pt>
                <c:pt idx="15">
                  <c:v>Italy</c:v>
                </c:pt>
                <c:pt idx="16">
                  <c:v>Slovenia</c:v>
                </c:pt>
                <c:pt idx="17">
                  <c:v>Ireland</c:v>
                </c:pt>
                <c:pt idx="18">
                  <c:v>Iceland</c:v>
                </c:pt>
                <c:pt idx="19">
                  <c:v>Japan</c:v>
                </c:pt>
                <c:pt idx="20">
                  <c:v>Germany</c:v>
                </c:pt>
                <c:pt idx="21">
                  <c:v>Belgium</c:v>
                </c:pt>
                <c:pt idx="22">
                  <c:v>France</c:v>
                </c:pt>
                <c:pt idx="23">
                  <c:v>Luxembourg</c:v>
                </c:pt>
                <c:pt idx="24">
                  <c:v>Sweden</c:v>
                </c:pt>
                <c:pt idx="25">
                  <c:v>Austria</c:v>
                </c:pt>
                <c:pt idx="26">
                  <c:v>Norway</c:v>
                </c:pt>
                <c:pt idx="27">
                  <c:v>Finland</c:v>
                </c:pt>
                <c:pt idx="28">
                  <c:v>Denmark</c:v>
                </c:pt>
              </c:strCache>
            </c:strRef>
          </c:cat>
          <c:val>
            <c:numRef>
              <c:f>'COFOG_OECD DAC_HIST'!$E$220:$E$248</c:f>
              <c:numCache>
                <c:formatCode>0.00</c:formatCode>
                <c:ptCount val="29"/>
                <c:pt idx="0">
                  <c:v>6.3624993202457985</c:v>
                </c:pt>
                <c:pt idx="1">
                  <c:v>6.2414592484138609</c:v>
                </c:pt>
                <c:pt idx="2">
                  <c:v>5.5826616010953236</c:v>
                </c:pt>
                <c:pt idx="3">
                  <c:v>5.5417288586139204</c:v>
                </c:pt>
                <c:pt idx="4">
                  <c:v>5.5380900882254007</c:v>
                </c:pt>
                <c:pt idx="5">
                  <c:v>5.5309052234669567</c:v>
                </c:pt>
                <c:pt idx="6">
                  <c:v>5.3123335491219583</c:v>
                </c:pt>
                <c:pt idx="7">
                  <c:v>5.0818639321985932</c:v>
                </c:pt>
                <c:pt idx="8">
                  <c:v>5.0627445587359983</c:v>
                </c:pt>
                <c:pt idx="9">
                  <c:v>5.0433212433047965</c:v>
                </c:pt>
                <c:pt idx="10">
                  <c:v>4.9047850970987783</c:v>
                </c:pt>
                <c:pt idx="11">
                  <c:v>4.8697496637228461</c:v>
                </c:pt>
                <c:pt idx="12">
                  <c:v>4.7533260100085437</c:v>
                </c:pt>
                <c:pt idx="13">
                  <c:v>4.5621649382458136</c:v>
                </c:pt>
                <c:pt idx="14">
                  <c:v>4.3677297794117642</c:v>
                </c:pt>
                <c:pt idx="15">
                  <c:v>4.2194148699130887</c:v>
                </c:pt>
                <c:pt idx="16">
                  <c:v>4.137187086660461</c:v>
                </c:pt>
                <c:pt idx="17">
                  <c:v>4.01337184270953</c:v>
                </c:pt>
                <c:pt idx="18">
                  <c:v>3.8044121109766897</c:v>
                </c:pt>
                <c:pt idx="19">
                  <c:v>3.6548449803753784</c:v>
                </c:pt>
                <c:pt idx="20">
                  <c:v>3.65364001301942</c:v>
                </c:pt>
                <c:pt idx="21">
                  <c:v>3.5916515997170029</c:v>
                </c:pt>
                <c:pt idx="22">
                  <c:v>3.4199152717332959</c:v>
                </c:pt>
                <c:pt idx="23">
                  <c:v>2.9602276353579406</c:v>
                </c:pt>
                <c:pt idx="24">
                  <c:v>2.8794447445800326</c:v>
                </c:pt>
                <c:pt idx="25">
                  <c:v>2.8718567990698429</c:v>
                </c:pt>
                <c:pt idx="26">
                  <c:v>2.3863841880893943</c:v>
                </c:pt>
                <c:pt idx="27">
                  <c:v>2.3315318551415598</c:v>
                </c:pt>
                <c:pt idx="28">
                  <c:v>1.8778899171315255</c:v>
                </c:pt>
              </c:numCache>
            </c:numRef>
          </c:val>
          <c:extLst>
            <c:ext xmlns:c16="http://schemas.microsoft.com/office/drawing/2014/chart" uri="{C3380CC4-5D6E-409C-BE32-E72D297353CC}">
              <c16:uniqueId val="{00000000-05AB-49EC-A584-8DFD17B71D87}"/>
            </c:ext>
          </c:extLst>
        </c:ser>
        <c:dLbls>
          <c:showLegendKey val="0"/>
          <c:showVal val="0"/>
          <c:showCatName val="0"/>
          <c:showSerName val="0"/>
          <c:showPercent val="0"/>
          <c:showBubbleSize val="0"/>
        </c:dLbls>
        <c:gapWidth val="219"/>
        <c:overlap val="-27"/>
        <c:axId val="1883322207"/>
        <c:axId val="1883318463"/>
      </c:barChart>
      <c:catAx>
        <c:axId val="1883322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18463"/>
        <c:crosses val="autoZero"/>
        <c:auto val="1"/>
        <c:lblAlgn val="ctr"/>
        <c:lblOffset val="100"/>
        <c:noMultiLvlLbl val="0"/>
      </c:catAx>
      <c:valAx>
        <c:axId val="1883318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22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'COFOG_OECD DAC_HIST'!$O$219</c:f>
              <c:strCache>
                <c:ptCount val="1"/>
                <c:pt idx="0">
                  <c:v>Expenditure on police services</c:v>
                </c:pt>
              </c:strCache>
            </c:strRef>
          </c:tx>
          <c:spPr>
            <a:solidFill>
              <a:schemeClr val="accent1"/>
            </a:solidFill>
            <a:ln>
              <a:noFill/>
            </a:ln>
            <a:effectLst/>
          </c:spPr>
          <c:invertIfNegative val="0"/>
          <c:cat>
            <c:strRef>
              <c:f>'COFOG_OECD DAC_HIST'!$N$222:$N$248</c:f>
              <c:strCache>
                <c:ptCount val="27"/>
                <c:pt idx="0">
                  <c:v>Spain</c:v>
                </c:pt>
                <c:pt idx="1">
                  <c:v>Greece</c:v>
                </c:pt>
                <c:pt idx="2">
                  <c:v>United Kingdom</c:v>
                </c:pt>
                <c:pt idx="3">
                  <c:v>United States</c:v>
                </c:pt>
                <c:pt idx="4">
                  <c:v>Hungary</c:v>
                </c:pt>
                <c:pt idx="5">
                  <c:v>Slovak Rep.</c:v>
                </c:pt>
                <c:pt idx="6">
                  <c:v>Poland </c:v>
                </c:pt>
                <c:pt idx="7">
                  <c:v>Italy</c:v>
                </c:pt>
                <c:pt idx="8">
                  <c:v>Portugal</c:v>
                </c:pt>
                <c:pt idx="9">
                  <c:v>Czech Rep.</c:v>
                </c:pt>
                <c:pt idx="10">
                  <c:v>Ireland</c:v>
                </c:pt>
                <c:pt idx="11">
                  <c:v>Belgium</c:v>
                </c:pt>
                <c:pt idx="12">
                  <c:v>Nerlands </c:v>
                </c:pt>
                <c:pt idx="13">
                  <c:v>Canada</c:v>
                </c:pt>
                <c:pt idx="14">
                  <c:v>Iceland</c:v>
                </c:pt>
                <c:pt idx="15">
                  <c:v>Switzerland</c:v>
                </c:pt>
                <c:pt idx="16">
                  <c:v>Slovenia</c:v>
                </c:pt>
                <c:pt idx="17">
                  <c:v>Japan</c:v>
                </c:pt>
                <c:pt idx="18">
                  <c:v>Australia</c:v>
                </c:pt>
                <c:pt idx="19">
                  <c:v>France</c:v>
                </c:pt>
                <c:pt idx="20">
                  <c:v>Germany</c:v>
                </c:pt>
                <c:pt idx="21">
                  <c:v>Sweden</c:v>
                </c:pt>
                <c:pt idx="22">
                  <c:v>Austria</c:v>
                </c:pt>
                <c:pt idx="23">
                  <c:v>Luxembourg</c:v>
                </c:pt>
                <c:pt idx="24">
                  <c:v>Denmark</c:v>
                </c:pt>
                <c:pt idx="25">
                  <c:v>Norway</c:v>
                </c:pt>
                <c:pt idx="26">
                  <c:v>Finland</c:v>
                </c:pt>
              </c:strCache>
            </c:strRef>
          </c:cat>
          <c:val>
            <c:numRef>
              <c:f>'COFOG_OECD DAC_HIST'!$O$222:$O$248</c:f>
              <c:numCache>
                <c:formatCode>0.0</c:formatCode>
                <c:ptCount val="27"/>
                <c:pt idx="0">
                  <c:v>3.134079964931809</c:v>
                </c:pt>
                <c:pt idx="1">
                  <c:v>3.0654906856867368</c:v>
                </c:pt>
                <c:pt idx="2">
                  <c:v>3.0419978729068262</c:v>
                </c:pt>
                <c:pt idx="3">
                  <c:v>2.9645051777848557</c:v>
                </c:pt>
                <c:pt idx="4">
                  <c:v>2.7719257811992319</c:v>
                </c:pt>
                <c:pt idx="5">
                  <c:v>2.7462420693020988</c:v>
                </c:pt>
                <c:pt idx="6">
                  <c:v>2.6486517813251917</c:v>
                </c:pt>
                <c:pt idx="7">
                  <c:v>2.5316489219478528</c:v>
                </c:pt>
                <c:pt idx="8">
                  <c:v>2.528685661764706</c:v>
                </c:pt>
                <c:pt idx="9">
                  <c:v>2.4015815444308553</c:v>
                </c:pt>
                <c:pt idx="10">
                  <c:v>2.2296510237275164</c:v>
                </c:pt>
                <c:pt idx="11">
                  <c:v>2.1948981998270578</c:v>
                </c:pt>
                <c:pt idx="12">
                  <c:v>2.1913873486752808</c:v>
                </c:pt>
                <c:pt idx="13">
                  <c:v>2.1610254970638065</c:v>
                </c:pt>
                <c:pt idx="14">
                  <c:v>2.1399818124243875</c:v>
                </c:pt>
                <c:pt idx="15">
                  <c:v>2.0795801293787375</c:v>
                </c:pt>
                <c:pt idx="16">
                  <c:v>2.0685935433302305</c:v>
                </c:pt>
                <c:pt idx="17">
                  <c:v>1.9679934509713572</c:v>
                </c:pt>
                <c:pt idx="18">
                  <c:v>1.939605100514872</c:v>
                </c:pt>
                <c:pt idx="19">
                  <c:v>1.89995292874072</c:v>
                </c:pt>
                <c:pt idx="20">
                  <c:v>1.719360006126786</c:v>
                </c:pt>
                <c:pt idx="21">
                  <c:v>1.4397223722900163</c:v>
                </c:pt>
                <c:pt idx="22">
                  <c:v>1.4359283995349215</c:v>
                </c:pt>
                <c:pt idx="23">
                  <c:v>1.1385490905222848</c:v>
                </c:pt>
                <c:pt idx="24">
                  <c:v>1.1267339502789151</c:v>
                </c:pt>
                <c:pt idx="25">
                  <c:v>1.1014080868104896</c:v>
                </c:pt>
                <c:pt idx="26">
                  <c:v>0.97147160630898333</c:v>
                </c:pt>
              </c:numCache>
            </c:numRef>
          </c:val>
          <c:extLst>
            <c:ext xmlns:c16="http://schemas.microsoft.com/office/drawing/2014/chart" uri="{C3380CC4-5D6E-409C-BE32-E72D297353CC}">
              <c16:uniqueId val="{00000000-7378-493F-BE8C-8E4BD3706913}"/>
            </c:ext>
          </c:extLst>
        </c:ser>
        <c:dLbls>
          <c:showLegendKey val="0"/>
          <c:showVal val="0"/>
          <c:showCatName val="0"/>
          <c:showSerName val="0"/>
          <c:showPercent val="0"/>
          <c:showBubbleSize val="0"/>
        </c:dLbls>
        <c:gapWidth val="219"/>
        <c:overlap val="-27"/>
        <c:axId val="1883322207"/>
        <c:axId val="1883318463"/>
      </c:barChart>
      <c:catAx>
        <c:axId val="1883322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18463"/>
        <c:crosses val="autoZero"/>
        <c:auto val="1"/>
        <c:lblAlgn val="ctr"/>
        <c:lblOffset val="100"/>
        <c:noMultiLvlLbl val="0"/>
      </c:catAx>
      <c:valAx>
        <c:axId val="1883318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22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'COFOG_OECD DAC_HIST'!$Z$219</c:f>
              <c:strCache>
                <c:ptCount val="1"/>
                <c:pt idx="0">
                  <c:v>Expenditure on fire protection services</c:v>
                </c:pt>
              </c:strCache>
            </c:strRef>
          </c:tx>
          <c:spPr>
            <a:solidFill>
              <a:schemeClr val="accent1"/>
            </a:solidFill>
            <a:ln>
              <a:noFill/>
            </a:ln>
            <a:effectLst/>
          </c:spPr>
          <c:invertIfNegative val="0"/>
          <c:cat>
            <c:strRef>
              <c:f>'COFOG_OECD DAC_HIST'!$Y$222:$Y$248</c:f>
              <c:strCache>
                <c:ptCount val="27"/>
                <c:pt idx="0">
                  <c:v>Japan</c:v>
                </c:pt>
                <c:pt idx="1">
                  <c:v>United States</c:v>
                </c:pt>
                <c:pt idx="2">
                  <c:v>Australia</c:v>
                </c:pt>
                <c:pt idx="3">
                  <c:v>Czech Rep.</c:v>
                </c:pt>
                <c:pt idx="4">
                  <c:v>Luxembourg</c:v>
                </c:pt>
                <c:pt idx="5">
                  <c:v>Germany</c:v>
                </c:pt>
                <c:pt idx="6">
                  <c:v>Greece</c:v>
                </c:pt>
                <c:pt idx="7">
                  <c:v>Finland</c:v>
                </c:pt>
                <c:pt idx="8">
                  <c:v>France</c:v>
                </c:pt>
                <c:pt idx="9">
                  <c:v>United Kingdom</c:v>
                </c:pt>
                <c:pt idx="10">
                  <c:v>Norway</c:v>
                </c:pt>
                <c:pt idx="11">
                  <c:v>Slovak Rep.</c:v>
                </c:pt>
                <c:pt idx="12">
                  <c:v>Nerlands </c:v>
                </c:pt>
                <c:pt idx="13">
                  <c:v>Spain</c:v>
                </c:pt>
                <c:pt idx="14">
                  <c:v>Poland </c:v>
                </c:pt>
                <c:pt idx="15">
                  <c:v>Canada</c:v>
                </c:pt>
                <c:pt idx="16">
                  <c:v>Hungary</c:v>
                </c:pt>
                <c:pt idx="17">
                  <c:v>Slovenia</c:v>
                </c:pt>
                <c:pt idx="18">
                  <c:v>Ireland</c:v>
                </c:pt>
                <c:pt idx="19">
                  <c:v>Italy</c:v>
                </c:pt>
                <c:pt idx="20">
                  <c:v>Sweden</c:v>
                </c:pt>
                <c:pt idx="21">
                  <c:v>Austria</c:v>
                </c:pt>
                <c:pt idx="22">
                  <c:v>Belgium</c:v>
                </c:pt>
                <c:pt idx="23">
                  <c:v>Switzerland</c:v>
                </c:pt>
                <c:pt idx="24">
                  <c:v>Iceland</c:v>
                </c:pt>
                <c:pt idx="25">
                  <c:v>Portugal</c:v>
                </c:pt>
                <c:pt idx="26">
                  <c:v>Denmark</c:v>
                </c:pt>
              </c:strCache>
            </c:strRef>
          </c:cat>
          <c:val>
            <c:numRef>
              <c:f>'COFOG_OECD DAC_HIST'!$Z$222:$Z$248</c:f>
              <c:numCache>
                <c:formatCode>0.00</c:formatCode>
                <c:ptCount val="27"/>
                <c:pt idx="0">
                  <c:v>1.1245676862693472</c:v>
                </c:pt>
                <c:pt idx="1">
                  <c:v>0.99438328814586363</c:v>
                </c:pt>
                <c:pt idx="2">
                  <c:v>0.83125932879208797</c:v>
                </c:pt>
                <c:pt idx="3">
                  <c:v>0.72047446332925658</c:v>
                </c:pt>
                <c:pt idx="4">
                  <c:v>0.68312945431337091</c:v>
                </c:pt>
                <c:pt idx="5">
                  <c:v>0.64476000229754471</c:v>
                </c:pt>
                <c:pt idx="6">
                  <c:v>0.61309813713734729</c:v>
                </c:pt>
                <c:pt idx="7">
                  <c:v>0.58288296378538995</c:v>
                </c:pt>
                <c:pt idx="8">
                  <c:v>0.56998587862221595</c:v>
                </c:pt>
                <c:pt idx="9">
                  <c:v>0.55309052234669565</c:v>
                </c:pt>
                <c:pt idx="10">
                  <c:v>0.55070404340524481</c:v>
                </c:pt>
                <c:pt idx="11">
                  <c:v>0.49931673987310887</c:v>
                </c:pt>
                <c:pt idx="12">
                  <c:v>0.4869749663722846</c:v>
                </c:pt>
                <c:pt idx="13">
                  <c:v>0.48216614845104749</c:v>
                </c:pt>
                <c:pt idx="14">
                  <c:v>0.4815730511500349</c:v>
                </c:pt>
                <c:pt idx="15">
                  <c:v>0.48022788823640145</c:v>
                </c:pt>
                <c:pt idx="16">
                  <c:v>0.46198763019987205</c:v>
                </c:pt>
                <c:pt idx="17">
                  <c:v>0.45968745407338463</c:v>
                </c:pt>
                <c:pt idx="18">
                  <c:v>0.44593020474550321</c:v>
                </c:pt>
                <c:pt idx="19">
                  <c:v>0.4219414869913089</c:v>
                </c:pt>
                <c:pt idx="20">
                  <c:v>0.41134924922571897</c:v>
                </c:pt>
                <c:pt idx="21">
                  <c:v>0.41026525700997762</c:v>
                </c:pt>
                <c:pt idx="22">
                  <c:v>0.39907239996855592</c:v>
                </c:pt>
                <c:pt idx="23">
                  <c:v>0.29708287562553398</c:v>
                </c:pt>
                <c:pt idx="24">
                  <c:v>0.23777575693604311</c:v>
                </c:pt>
                <c:pt idx="25">
                  <c:v>0.22988051470588236</c:v>
                </c:pt>
                <c:pt idx="26">
                  <c:v>0.18778899171315255</c:v>
                </c:pt>
              </c:numCache>
            </c:numRef>
          </c:val>
          <c:extLst>
            <c:ext xmlns:c16="http://schemas.microsoft.com/office/drawing/2014/chart" uri="{C3380CC4-5D6E-409C-BE32-E72D297353CC}">
              <c16:uniqueId val="{00000000-69CA-4F45-A624-4CC7312B0DFF}"/>
            </c:ext>
          </c:extLst>
        </c:ser>
        <c:dLbls>
          <c:showLegendKey val="0"/>
          <c:showVal val="0"/>
          <c:showCatName val="0"/>
          <c:showSerName val="0"/>
          <c:showPercent val="0"/>
          <c:showBubbleSize val="0"/>
        </c:dLbls>
        <c:gapWidth val="219"/>
        <c:overlap val="-27"/>
        <c:axId val="1883322207"/>
        <c:axId val="1883318463"/>
      </c:barChart>
      <c:catAx>
        <c:axId val="1883322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18463"/>
        <c:crosses val="autoZero"/>
        <c:auto val="1"/>
        <c:lblAlgn val="ctr"/>
        <c:lblOffset val="100"/>
        <c:noMultiLvlLbl val="0"/>
      </c:catAx>
      <c:valAx>
        <c:axId val="1883318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22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4"/>
          <c:order val="0"/>
          <c:tx>
            <c:strRef>
              <c:f>'Fig 2 OECD category '!$F$3</c:f>
              <c:strCache>
                <c:ptCount val="1"/>
                <c:pt idx="0">
                  <c:v>Expenditure on police services</c:v>
                </c:pt>
              </c:strCache>
            </c:strRef>
          </c:tx>
          <c:spPr>
            <a:solidFill>
              <a:schemeClr val="accent5"/>
            </a:solidFill>
            <a:ln>
              <a:noFill/>
            </a:ln>
            <a:effectLst/>
          </c:spPr>
          <c:invertIfNegative val="0"/>
          <c:cat>
            <c:strRef>
              <c:extLst>
                <c:ext xmlns:c15="http://schemas.microsoft.com/office/drawing/2012/chart" uri="{02D57815-91ED-43cb-92C2-25804820EDAC}">
                  <c15:fullRef>
                    <c15:sqref>'Fig 2 OECD category '!$A$4:$A$32</c15:sqref>
                  </c15:fullRef>
                </c:ext>
              </c:extLst>
              <c:f>('Fig 2 OECD category '!$A$4:$A$25,'Fig 2 OECD category '!$A$27,'Fig 2 OECD category '!$A$29:$A$32)</c:f>
              <c:strCache>
                <c:ptCount val="27"/>
                <c:pt idx="0">
                  <c:v>Denmark</c:v>
                </c:pt>
                <c:pt idx="1">
                  <c:v>Finland</c:v>
                </c:pt>
                <c:pt idx="2">
                  <c:v>Norway</c:v>
                </c:pt>
                <c:pt idx="3">
                  <c:v>Sweden</c:v>
                </c:pt>
                <c:pt idx="4">
                  <c:v>Austria</c:v>
                </c:pt>
                <c:pt idx="5">
                  <c:v>Luxembourg</c:v>
                </c:pt>
                <c:pt idx="6">
                  <c:v>France</c:v>
                </c:pt>
                <c:pt idx="7">
                  <c:v>Germany</c:v>
                </c:pt>
                <c:pt idx="8">
                  <c:v>Japan</c:v>
                </c:pt>
                <c:pt idx="9">
                  <c:v>Belgium</c:v>
                </c:pt>
                <c:pt idx="10">
                  <c:v>Iceland</c:v>
                </c:pt>
                <c:pt idx="11">
                  <c:v>Slovenia</c:v>
                </c:pt>
                <c:pt idx="12">
                  <c:v>Ireland</c:v>
                </c:pt>
                <c:pt idx="13">
                  <c:v>Portugal</c:v>
                </c:pt>
                <c:pt idx="14">
                  <c:v>Italy</c:v>
                </c:pt>
                <c:pt idx="15">
                  <c:v>Canada</c:v>
                </c:pt>
                <c:pt idx="16">
                  <c:v>Greece</c:v>
                </c:pt>
                <c:pt idx="17">
                  <c:v>Netherlands</c:v>
                </c:pt>
                <c:pt idx="18">
                  <c:v>Switzerland</c:v>
                </c:pt>
                <c:pt idx="19">
                  <c:v>Hungary</c:v>
                </c:pt>
                <c:pt idx="20">
                  <c:v>Spain</c:v>
                </c:pt>
                <c:pt idx="21">
                  <c:v>Czech Republic</c:v>
                </c:pt>
                <c:pt idx="22">
                  <c:v>United Kingdom</c:v>
                </c:pt>
                <c:pt idx="23">
                  <c:v>Australia</c:v>
                </c:pt>
                <c:pt idx="24">
                  <c:v>Poland</c:v>
                </c:pt>
                <c:pt idx="25">
                  <c:v>Slovak Republic</c:v>
                </c:pt>
                <c:pt idx="26">
                  <c:v>United States</c:v>
                </c:pt>
              </c:strCache>
            </c:strRef>
          </c:cat>
          <c:val>
            <c:numRef>
              <c:extLst>
                <c:ext xmlns:c15="http://schemas.microsoft.com/office/drawing/2012/chart" uri="{02D57815-91ED-43cb-92C2-25804820EDAC}">
                  <c15:fullRef>
                    <c15:sqref>'Fig 2 OECD category '!$F$4:$F$32</c15:sqref>
                  </c15:fullRef>
                </c:ext>
              </c:extLst>
              <c:f>('Fig 2 OECD category '!$F$4:$F$25,'Fig 2 OECD category '!$F$27,'Fig 2 OECD category '!$F$29:$F$32)</c:f>
              <c:numCache>
                <c:formatCode>0.00</c:formatCode>
                <c:ptCount val="27"/>
                <c:pt idx="0">
                  <c:v>1.0926864686830617</c:v>
                </c:pt>
                <c:pt idx="1">
                  <c:v>1.0381536463850289</c:v>
                </c:pt>
                <c:pt idx="2">
                  <c:v>1.2701896078386221</c:v>
                </c:pt>
                <c:pt idx="3">
                  <c:v>1.4622759670595156</c:v>
                </c:pt>
                <c:pt idx="4">
                  <c:v>1.4895610408931321</c:v>
                </c:pt>
                <c:pt idx="5">
                  <c:v>1.2163161309693518</c:v>
                </c:pt>
                <c:pt idx="6">
                  <c:v>1.8928224922084176</c:v>
                </c:pt>
                <c:pt idx="7">
                  <c:v>1.69801225977282</c:v>
                </c:pt>
                <c:pt idx="8">
                  <c:v>1.8790513894598453</c:v>
                </c:pt>
                <c:pt idx="9">
                  <c:v>2.1813885743343491</c:v>
                </c:pt>
                <c:pt idx="10">
                  <c:v>2.1155731072844337</c:v>
                </c:pt>
                <c:pt idx="11">
                  <c:v>2.0380765355266757</c:v>
                </c:pt>
                <c:pt idx="12">
                  <c:v>2.3501746077305796</c:v>
                </c:pt>
                <c:pt idx="13">
                  <c:v>2.4984380619043374</c:v>
                </c:pt>
                <c:pt idx="14">
                  <c:v>2.6164487898192252</c:v>
                </c:pt>
                <c:pt idx="15">
                  <c:v>2.0775703677724975</c:v>
                </c:pt>
                <c:pt idx="16">
                  <c:v>3.0837509564688887</c:v>
                </c:pt>
                <c:pt idx="17">
                  <c:v>2.1953876773443532</c:v>
                </c:pt>
                <c:pt idx="18">
                  <c:v>2.0488886818484255</c:v>
                </c:pt>
                <c:pt idx="19">
                  <c:v>2.7951416358141477</c:v>
                </c:pt>
                <c:pt idx="20">
                  <c:v>3.1655975584344604</c:v>
                </c:pt>
                <c:pt idx="21">
                  <c:v>2.4676987834107256</c:v>
                </c:pt>
                <c:pt idx="22">
                  <c:v>2.9748858481849183</c:v>
                </c:pt>
                <c:pt idx="23">
                  <c:v>1.8677125912320978</c:v>
                </c:pt>
                <c:pt idx="24">
                  <c:v>2.758189876067398</c:v>
                </c:pt>
                <c:pt idx="25">
                  <c:v>2.8113473867083587</c:v>
                </c:pt>
                <c:pt idx="26">
                  <c:v>2.9645051777848557</c:v>
                </c:pt>
              </c:numCache>
            </c:numRef>
          </c:val>
          <c:extLst>
            <c:ext xmlns:c16="http://schemas.microsoft.com/office/drawing/2014/chart" uri="{C3380CC4-5D6E-409C-BE32-E72D297353CC}">
              <c16:uniqueId val="{00000000-35E0-4740-BF64-12056899061E}"/>
            </c:ext>
          </c:extLst>
        </c:ser>
        <c:ser>
          <c:idx val="6"/>
          <c:order val="1"/>
          <c:tx>
            <c:strRef>
              <c:f>'Fig 2 OECD category '!$H$3</c:f>
              <c:strCache>
                <c:ptCount val="1"/>
                <c:pt idx="0">
                  <c:v>Expenditure on law courts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'Fig 2 OECD category '!$A$4:$A$32</c15:sqref>
                  </c15:fullRef>
                </c:ext>
              </c:extLst>
              <c:f>('Fig 2 OECD category '!$A$4:$A$25,'Fig 2 OECD category '!$A$27,'Fig 2 OECD category '!$A$29:$A$32)</c:f>
              <c:strCache>
                <c:ptCount val="27"/>
                <c:pt idx="0">
                  <c:v>Denmark</c:v>
                </c:pt>
                <c:pt idx="1">
                  <c:v>Finland</c:v>
                </c:pt>
                <c:pt idx="2">
                  <c:v>Norway</c:v>
                </c:pt>
                <c:pt idx="3">
                  <c:v>Sweden</c:v>
                </c:pt>
                <c:pt idx="4">
                  <c:v>Austria</c:v>
                </c:pt>
                <c:pt idx="5">
                  <c:v>Luxembourg</c:v>
                </c:pt>
                <c:pt idx="6">
                  <c:v>France</c:v>
                </c:pt>
                <c:pt idx="7">
                  <c:v>Germany</c:v>
                </c:pt>
                <c:pt idx="8">
                  <c:v>Japan</c:v>
                </c:pt>
                <c:pt idx="9">
                  <c:v>Belgium</c:v>
                </c:pt>
                <c:pt idx="10">
                  <c:v>Iceland</c:v>
                </c:pt>
                <c:pt idx="11">
                  <c:v>Slovenia</c:v>
                </c:pt>
                <c:pt idx="12">
                  <c:v>Ireland</c:v>
                </c:pt>
                <c:pt idx="13">
                  <c:v>Portugal</c:v>
                </c:pt>
                <c:pt idx="14">
                  <c:v>Italy</c:v>
                </c:pt>
                <c:pt idx="15">
                  <c:v>Canada</c:v>
                </c:pt>
                <c:pt idx="16">
                  <c:v>Greece</c:v>
                </c:pt>
                <c:pt idx="17">
                  <c:v>Netherlands</c:v>
                </c:pt>
                <c:pt idx="18">
                  <c:v>Switzerland</c:v>
                </c:pt>
                <c:pt idx="19">
                  <c:v>Hungary</c:v>
                </c:pt>
                <c:pt idx="20">
                  <c:v>Spain</c:v>
                </c:pt>
                <c:pt idx="21">
                  <c:v>Czech Republic</c:v>
                </c:pt>
                <c:pt idx="22">
                  <c:v>United Kingdom</c:v>
                </c:pt>
                <c:pt idx="23">
                  <c:v>Australia</c:v>
                </c:pt>
                <c:pt idx="24">
                  <c:v>Poland</c:v>
                </c:pt>
                <c:pt idx="25">
                  <c:v>Slovak Republic</c:v>
                </c:pt>
                <c:pt idx="26">
                  <c:v>United States</c:v>
                </c:pt>
              </c:strCache>
            </c:strRef>
          </c:cat>
          <c:val>
            <c:numRef>
              <c:extLst>
                <c:ext xmlns:c15="http://schemas.microsoft.com/office/drawing/2012/chart" uri="{02D57815-91ED-43cb-92C2-25804820EDAC}">
                  <c15:fullRef>
                    <c15:sqref>'Fig 2 OECD category '!$H$4:$H$32</c15:sqref>
                  </c15:fullRef>
                </c:ext>
              </c:extLst>
              <c:f>('Fig 2 OECD category '!$H$4:$H$25,'Fig 2 OECD category '!$H$27,'Fig 2 OECD category '!$H$29:$H$32)</c:f>
              <c:numCache>
                <c:formatCode>0.00</c:formatCode>
                <c:ptCount val="27"/>
                <c:pt idx="0">
                  <c:v>0.31019236676447148</c:v>
                </c:pt>
                <c:pt idx="1">
                  <c:v>0.46560615202371308</c:v>
                </c:pt>
                <c:pt idx="2">
                  <c:v>0.33354785244599555</c:v>
                </c:pt>
                <c:pt idx="3">
                  <c:v>0.55374983488674978</c:v>
                </c:pt>
                <c:pt idx="4">
                  <c:v>0.58526955878447229</c:v>
                </c:pt>
                <c:pt idx="5">
                  <c:v>0.53735441633848069</c:v>
                </c:pt>
                <c:pt idx="6">
                  <c:v>0.46710067235289687</c:v>
                </c:pt>
                <c:pt idx="7">
                  <c:v>0.8287110388143365</c:v>
                </c:pt>
                <c:pt idx="8">
                  <c:v>0.29482172256023442</c:v>
                </c:pt>
                <c:pt idx="9">
                  <c:v>0.5308411130025007</c:v>
                </c:pt>
                <c:pt idx="10">
                  <c:v>0.59163518228178669</c:v>
                </c:pt>
                <c:pt idx="11">
                  <c:v>1.1029669464965985</c:v>
                </c:pt>
                <c:pt idx="12">
                  <c:v>0.88441207424416324</c:v>
                </c:pt>
                <c:pt idx="13">
                  <c:v>0.7991711494908309</c:v>
                </c:pt>
                <c:pt idx="14">
                  <c:v>0.72695455074262627</c:v>
                </c:pt>
                <c:pt idx="15">
                  <c:v>0.62725985097295445</c:v>
                </c:pt>
                <c:pt idx="16">
                  <c:v>0.81267640652165651</c:v>
                </c:pt>
                <c:pt idx="17">
                  <c:v>0.70785579948751853</c:v>
                </c:pt>
                <c:pt idx="18">
                  <c:v>0.90042950420487888</c:v>
                </c:pt>
                <c:pt idx="19">
                  <c:v>0.97480153299556327</c:v>
                </c:pt>
                <c:pt idx="20">
                  <c:v>0.94740155003648474</c:v>
                </c:pt>
                <c:pt idx="21">
                  <c:v>0.78588998921384312</c:v>
                </c:pt>
                <c:pt idx="22">
                  <c:v>1.1123990475626662</c:v>
                </c:pt>
                <c:pt idx="23">
                  <c:v>1.1253281500634362</c:v>
                </c:pt>
                <c:pt idx="24">
                  <c:v>1.3441087297140182</c:v>
                </c:pt>
                <c:pt idx="25">
                  <c:v>0.81697143969368924</c:v>
                </c:pt>
                <c:pt idx="26">
                  <c:v>0.98039977315631244</c:v>
                </c:pt>
              </c:numCache>
            </c:numRef>
          </c:val>
          <c:extLst>
            <c:ext xmlns:c16="http://schemas.microsoft.com/office/drawing/2014/chart" uri="{C3380CC4-5D6E-409C-BE32-E72D297353CC}">
              <c16:uniqueId val="{00000002-35E0-4740-BF64-12056899061E}"/>
            </c:ext>
          </c:extLst>
        </c:ser>
        <c:ser>
          <c:idx val="7"/>
          <c:order val="2"/>
          <c:tx>
            <c:strRef>
              <c:f>'Fig 2 OECD category '!$I$3</c:f>
              <c:strCache>
                <c:ptCount val="1"/>
                <c:pt idx="0">
                  <c:v>Expenditure on prisons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'Fig 2 OECD category '!$A$4:$A$32</c15:sqref>
                  </c15:fullRef>
                </c:ext>
              </c:extLst>
              <c:f>('Fig 2 OECD category '!$A$4:$A$25,'Fig 2 OECD category '!$A$27,'Fig 2 OECD category '!$A$29:$A$32)</c:f>
              <c:strCache>
                <c:ptCount val="27"/>
                <c:pt idx="0">
                  <c:v>Denmark</c:v>
                </c:pt>
                <c:pt idx="1">
                  <c:v>Finland</c:v>
                </c:pt>
                <c:pt idx="2">
                  <c:v>Norway</c:v>
                </c:pt>
                <c:pt idx="3">
                  <c:v>Sweden</c:v>
                </c:pt>
                <c:pt idx="4">
                  <c:v>Austria</c:v>
                </c:pt>
                <c:pt idx="5">
                  <c:v>Luxembourg</c:v>
                </c:pt>
                <c:pt idx="6">
                  <c:v>France</c:v>
                </c:pt>
                <c:pt idx="7">
                  <c:v>Germany</c:v>
                </c:pt>
                <c:pt idx="8">
                  <c:v>Japan</c:v>
                </c:pt>
                <c:pt idx="9">
                  <c:v>Belgium</c:v>
                </c:pt>
                <c:pt idx="10">
                  <c:v>Iceland</c:v>
                </c:pt>
                <c:pt idx="11">
                  <c:v>Slovenia</c:v>
                </c:pt>
                <c:pt idx="12">
                  <c:v>Ireland</c:v>
                </c:pt>
                <c:pt idx="13">
                  <c:v>Portugal</c:v>
                </c:pt>
                <c:pt idx="14">
                  <c:v>Italy</c:v>
                </c:pt>
                <c:pt idx="15">
                  <c:v>Canada</c:v>
                </c:pt>
                <c:pt idx="16">
                  <c:v>Greece</c:v>
                </c:pt>
                <c:pt idx="17">
                  <c:v>Netherlands</c:v>
                </c:pt>
                <c:pt idx="18">
                  <c:v>Switzerland</c:v>
                </c:pt>
                <c:pt idx="19">
                  <c:v>Hungary</c:v>
                </c:pt>
                <c:pt idx="20">
                  <c:v>Spain</c:v>
                </c:pt>
                <c:pt idx="21">
                  <c:v>Czech Republic</c:v>
                </c:pt>
                <c:pt idx="22">
                  <c:v>United Kingdom</c:v>
                </c:pt>
                <c:pt idx="23">
                  <c:v>Australia</c:v>
                </c:pt>
                <c:pt idx="24">
                  <c:v>Poland</c:v>
                </c:pt>
                <c:pt idx="25">
                  <c:v>Slovak Republic</c:v>
                </c:pt>
                <c:pt idx="26">
                  <c:v>United States</c:v>
                </c:pt>
              </c:strCache>
            </c:strRef>
          </c:cat>
          <c:val>
            <c:numRef>
              <c:extLst>
                <c:ext xmlns:c15="http://schemas.microsoft.com/office/drawing/2012/chart" uri="{02D57815-91ED-43cb-92C2-25804820EDAC}">
                  <c15:fullRef>
                    <c15:sqref>'Fig 2 OECD category '!$I$4:$I$32</c15:sqref>
                  </c15:fullRef>
                </c:ext>
              </c:extLst>
              <c:f>('Fig 2 OECD category '!$I$4:$I$25,'Fig 2 OECD category '!$I$27,'Fig 2 OECD category '!$I$29:$I$32)</c:f>
              <c:numCache>
                <c:formatCode>0.00</c:formatCode>
                <c:ptCount val="27"/>
                <c:pt idx="0">
                  <c:v>0.31567393665532012</c:v>
                </c:pt>
                <c:pt idx="1">
                  <c:v>0.18591341052536986</c:v>
                </c:pt>
                <c:pt idx="2">
                  <c:v>0.29638929710409445</c:v>
                </c:pt>
                <c:pt idx="3">
                  <c:v>0.44371800513285037</c:v>
                </c:pt>
                <c:pt idx="4">
                  <c:v>0.31439402423458473</c:v>
                </c:pt>
                <c:pt idx="5">
                  <c:v>0.40855208996668901</c:v>
                </c:pt>
                <c:pt idx="6">
                  <c:v>0.32674847243978283</c:v>
                </c:pt>
                <c:pt idx="7">
                  <c:v>0.20680480244039132</c:v>
                </c:pt>
                <c:pt idx="8">
                  <c:v>0.13224964506419412</c:v>
                </c:pt>
                <c:pt idx="9">
                  <c:v>0.28056785977571125</c:v>
                </c:pt>
                <c:pt idx="10">
                  <c:v>0.18249562869120178</c:v>
                </c:pt>
                <c:pt idx="11">
                  <c:v>0.23177158362154199</c:v>
                </c:pt>
                <c:pt idx="12">
                  <c:v>0.24872512437810923</c:v>
                </c:pt>
                <c:pt idx="13">
                  <c:v>0.3272779751607181</c:v>
                </c:pt>
                <c:pt idx="14">
                  <c:v>0.45231876017916867</c:v>
                </c:pt>
                <c:pt idx="15">
                  <c:v>0.61267498214638538</c:v>
                </c:pt>
                <c:pt idx="16">
                  <c:v>0.17677553253643272</c:v>
                </c:pt>
                <c:pt idx="17">
                  <c:v>0.8767551841459772</c:v>
                </c:pt>
                <c:pt idx="18">
                  <c:v>0.59833396399787186</c:v>
                </c:pt>
                <c:pt idx="19">
                  <c:v>0.67260091381224452</c:v>
                </c:pt>
                <c:pt idx="20">
                  <c:v>0.40311302060976345</c:v>
                </c:pt>
                <c:pt idx="21">
                  <c:v>0.47975768807602098</c:v>
                </c:pt>
                <c:pt idx="22">
                  <c:v>0.60801230806830764</c:v>
                </c:pt>
                <c:pt idx="23">
                  <c:v>0.9619332048128556</c:v>
                </c:pt>
                <c:pt idx="24">
                  <c:v>0.57846255854828732</c:v>
                </c:pt>
                <c:pt idx="25">
                  <c:v>0.54633100541888924</c:v>
                </c:pt>
                <c:pt idx="26">
                  <c:v>1.4232110811587673</c:v>
                </c:pt>
              </c:numCache>
            </c:numRef>
          </c:val>
          <c:extLst>
            <c:ext xmlns:c16="http://schemas.microsoft.com/office/drawing/2014/chart" uri="{C3380CC4-5D6E-409C-BE32-E72D297353CC}">
              <c16:uniqueId val="{00000003-35E0-4740-BF64-12056899061E}"/>
            </c:ext>
          </c:extLst>
        </c:ser>
        <c:ser>
          <c:idx val="5"/>
          <c:order val="3"/>
          <c:tx>
            <c:strRef>
              <c:f>'Fig 2 OECD category '!$G$3</c:f>
              <c:strCache>
                <c:ptCount val="1"/>
                <c:pt idx="0">
                  <c:v>Expenditure on fire protection services</c:v>
                </c:pt>
              </c:strCache>
            </c:strRef>
          </c:tx>
          <c:spPr>
            <a:solidFill>
              <a:schemeClr val="accent6"/>
            </a:solidFill>
            <a:ln>
              <a:noFill/>
            </a:ln>
            <a:effectLst/>
          </c:spPr>
          <c:invertIfNegative val="0"/>
          <c:cat>
            <c:strRef>
              <c:extLst>
                <c:ext xmlns:c15="http://schemas.microsoft.com/office/drawing/2012/chart" uri="{02D57815-91ED-43cb-92C2-25804820EDAC}">
                  <c15:fullRef>
                    <c15:sqref>'Fig 2 OECD category '!$A$4:$A$32</c15:sqref>
                  </c15:fullRef>
                </c:ext>
              </c:extLst>
              <c:f>('Fig 2 OECD category '!$A$4:$A$25,'Fig 2 OECD category '!$A$27,'Fig 2 OECD category '!$A$29:$A$32)</c:f>
              <c:strCache>
                <c:ptCount val="27"/>
                <c:pt idx="0">
                  <c:v>Denmark</c:v>
                </c:pt>
                <c:pt idx="1">
                  <c:v>Finland</c:v>
                </c:pt>
                <c:pt idx="2">
                  <c:v>Norway</c:v>
                </c:pt>
                <c:pt idx="3">
                  <c:v>Sweden</c:v>
                </c:pt>
                <c:pt idx="4">
                  <c:v>Austria</c:v>
                </c:pt>
                <c:pt idx="5">
                  <c:v>Luxembourg</c:v>
                </c:pt>
                <c:pt idx="6">
                  <c:v>France</c:v>
                </c:pt>
                <c:pt idx="7">
                  <c:v>Germany</c:v>
                </c:pt>
                <c:pt idx="8">
                  <c:v>Japan</c:v>
                </c:pt>
                <c:pt idx="9">
                  <c:v>Belgium</c:v>
                </c:pt>
                <c:pt idx="10">
                  <c:v>Iceland</c:v>
                </c:pt>
                <c:pt idx="11">
                  <c:v>Slovenia</c:v>
                </c:pt>
                <c:pt idx="12">
                  <c:v>Ireland</c:v>
                </c:pt>
                <c:pt idx="13">
                  <c:v>Portugal</c:v>
                </c:pt>
                <c:pt idx="14">
                  <c:v>Italy</c:v>
                </c:pt>
                <c:pt idx="15">
                  <c:v>Canada</c:v>
                </c:pt>
                <c:pt idx="16">
                  <c:v>Greece</c:v>
                </c:pt>
                <c:pt idx="17">
                  <c:v>Netherlands</c:v>
                </c:pt>
                <c:pt idx="18">
                  <c:v>Switzerland</c:v>
                </c:pt>
                <c:pt idx="19">
                  <c:v>Hungary</c:v>
                </c:pt>
                <c:pt idx="20">
                  <c:v>Spain</c:v>
                </c:pt>
                <c:pt idx="21">
                  <c:v>Czech Republic</c:v>
                </c:pt>
                <c:pt idx="22">
                  <c:v>United Kingdom</c:v>
                </c:pt>
                <c:pt idx="23">
                  <c:v>Australia</c:v>
                </c:pt>
                <c:pt idx="24">
                  <c:v>Poland</c:v>
                </c:pt>
                <c:pt idx="25">
                  <c:v>Slovak Republic</c:v>
                </c:pt>
                <c:pt idx="26">
                  <c:v>United States</c:v>
                </c:pt>
              </c:strCache>
            </c:strRef>
          </c:cat>
          <c:val>
            <c:numRef>
              <c:extLst>
                <c:ext xmlns:c15="http://schemas.microsoft.com/office/drawing/2012/chart" uri="{02D57815-91ED-43cb-92C2-25804820EDAC}">
                  <c15:fullRef>
                    <c15:sqref>'Fig 2 OECD category '!$G$4:$G$32</c15:sqref>
                  </c15:fullRef>
                </c:ext>
              </c:extLst>
              <c:f>('Fig 2 OECD category '!$G$4:$G$25,'Fig 2 OECD category '!$G$27,'Fig 2 OECD category '!$G$29:$G$32)</c:f>
              <c:numCache>
                <c:formatCode>0.00</c:formatCode>
                <c:ptCount val="27"/>
                <c:pt idx="0">
                  <c:v>0.11591908092705601</c:v>
                </c:pt>
                <c:pt idx="1">
                  <c:v>0.48946229762210269</c:v>
                </c:pt>
                <c:pt idx="2">
                  <c:v>0.5904928155672825</c:v>
                </c:pt>
                <c:pt idx="3">
                  <c:v>0.39328331047445941</c:v>
                </c:pt>
                <c:pt idx="4">
                  <c:v>0.35834012096966933</c:v>
                </c:pt>
                <c:pt idx="5">
                  <c:v>0.64924438168179743</c:v>
                </c:pt>
                <c:pt idx="6">
                  <c:v>0.54677336228599871</c:v>
                </c:pt>
                <c:pt idx="7">
                  <c:v>0.65858036725456848</c:v>
                </c:pt>
                <c:pt idx="8">
                  <c:v>1.0571099292720003</c:v>
                </c:pt>
                <c:pt idx="9">
                  <c:v>0.41054720086663304</c:v>
                </c:pt>
                <c:pt idx="10">
                  <c:v>0.23695000335615893</c:v>
                </c:pt>
                <c:pt idx="11">
                  <c:v>0.35724596548161741</c:v>
                </c:pt>
                <c:pt idx="12">
                  <c:v>0.44465174129353219</c:v>
                </c:pt>
                <c:pt idx="13">
                  <c:v>0.29198187522846625</c:v>
                </c:pt>
                <c:pt idx="14">
                  <c:v>0.45129685956311694</c:v>
                </c:pt>
                <c:pt idx="15">
                  <c:v>0.58615703882535275</c:v>
                </c:pt>
                <c:pt idx="16">
                  <c:v>0.70219169868638531</c:v>
                </c:pt>
                <c:pt idx="17">
                  <c:v>0.50913273970018047</c:v>
                </c:pt>
                <c:pt idx="18">
                  <c:v>0.3295003279241917</c:v>
                </c:pt>
                <c:pt idx="19">
                  <c:v>0.49973583123590376</c:v>
                </c:pt>
                <c:pt idx="20">
                  <c:v>0.4527500716549962</c:v>
                </c:pt>
                <c:pt idx="21">
                  <c:v>0.71600967195452736</c:v>
                </c:pt>
                <c:pt idx="22">
                  <c:v>0.44614463160973195</c:v>
                </c:pt>
                <c:pt idx="23">
                  <c:v>0.75941354398978167</c:v>
                </c:pt>
                <c:pt idx="24">
                  <c:v>0.51608750061904918</c:v>
                </c:pt>
                <c:pt idx="25">
                  <c:v>0.61248179932390046</c:v>
                </c:pt>
                <c:pt idx="26">
                  <c:v>0.99438328814586363</c:v>
                </c:pt>
              </c:numCache>
            </c:numRef>
          </c:val>
          <c:extLst>
            <c:ext xmlns:c16="http://schemas.microsoft.com/office/drawing/2014/chart" uri="{C3380CC4-5D6E-409C-BE32-E72D297353CC}">
              <c16:uniqueId val="{00000001-35E0-4740-BF64-12056899061E}"/>
            </c:ext>
          </c:extLst>
        </c:ser>
        <c:ser>
          <c:idx val="8"/>
          <c:order val="4"/>
          <c:tx>
            <c:strRef>
              <c:f>'Fig 2 OECD category '!$J$3</c:f>
              <c:strCache>
                <c:ptCount val="1"/>
                <c:pt idx="0">
                  <c:v>Expenditure on public order &amp; safety R&amp;D</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'Fig 2 OECD category '!$A$4:$A$32</c15:sqref>
                  </c15:fullRef>
                </c:ext>
              </c:extLst>
              <c:f>('Fig 2 OECD category '!$A$4:$A$25,'Fig 2 OECD category '!$A$27,'Fig 2 OECD category '!$A$29:$A$32)</c:f>
              <c:strCache>
                <c:ptCount val="27"/>
                <c:pt idx="0">
                  <c:v>Denmark</c:v>
                </c:pt>
                <c:pt idx="1">
                  <c:v>Finland</c:v>
                </c:pt>
                <c:pt idx="2">
                  <c:v>Norway</c:v>
                </c:pt>
                <c:pt idx="3">
                  <c:v>Sweden</c:v>
                </c:pt>
                <c:pt idx="4">
                  <c:v>Austria</c:v>
                </c:pt>
                <c:pt idx="5">
                  <c:v>Luxembourg</c:v>
                </c:pt>
                <c:pt idx="6">
                  <c:v>France</c:v>
                </c:pt>
                <c:pt idx="7">
                  <c:v>Germany</c:v>
                </c:pt>
                <c:pt idx="8">
                  <c:v>Japan</c:v>
                </c:pt>
                <c:pt idx="9">
                  <c:v>Belgium</c:v>
                </c:pt>
                <c:pt idx="10">
                  <c:v>Iceland</c:v>
                </c:pt>
                <c:pt idx="11">
                  <c:v>Slovenia</c:v>
                </c:pt>
                <c:pt idx="12">
                  <c:v>Ireland</c:v>
                </c:pt>
                <c:pt idx="13">
                  <c:v>Portugal</c:v>
                </c:pt>
                <c:pt idx="14">
                  <c:v>Italy</c:v>
                </c:pt>
                <c:pt idx="15">
                  <c:v>Canada</c:v>
                </c:pt>
                <c:pt idx="16">
                  <c:v>Greece</c:v>
                </c:pt>
                <c:pt idx="17">
                  <c:v>Netherlands</c:v>
                </c:pt>
                <c:pt idx="18">
                  <c:v>Switzerland</c:v>
                </c:pt>
                <c:pt idx="19">
                  <c:v>Hungary</c:v>
                </c:pt>
                <c:pt idx="20">
                  <c:v>Spain</c:v>
                </c:pt>
                <c:pt idx="21">
                  <c:v>Czech Republic</c:v>
                </c:pt>
                <c:pt idx="22">
                  <c:v>United Kingdom</c:v>
                </c:pt>
                <c:pt idx="23">
                  <c:v>Australia</c:v>
                </c:pt>
                <c:pt idx="24">
                  <c:v>Poland</c:v>
                </c:pt>
                <c:pt idx="25">
                  <c:v>Slovak Republic</c:v>
                </c:pt>
                <c:pt idx="26">
                  <c:v>United States</c:v>
                </c:pt>
              </c:strCache>
            </c:strRef>
          </c:cat>
          <c:val>
            <c:numRef>
              <c:extLst>
                <c:ext xmlns:c15="http://schemas.microsoft.com/office/drawing/2012/chart" uri="{02D57815-91ED-43cb-92C2-25804820EDAC}">
                  <c15:fullRef>
                    <c15:sqref>'Fig 2 OECD category '!$J$4:$J$32</c15:sqref>
                  </c15:fullRef>
                </c:ext>
              </c:extLst>
              <c:f>('Fig 2 OECD category '!$J$4:$J$25,'Fig 2 OECD category '!$J$27,'Fig 2 OECD category '!$J$29:$J$32)</c:f>
              <c:numCache>
                <c:formatCode>0.00</c:formatCode>
                <c:ptCount val="27"/>
                <c:pt idx="0">
                  <c:v>0</c:v>
                </c:pt>
                <c:pt idx="1">
                  <c:v>2.467877130867734E-3</c:v>
                </c:pt>
                <c:pt idx="2">
                  <c:v>5.5210345634181486E-2</c:v>
                </c:pt>
                <c:pt idx="3">
                  <c:v>0</c:v>
                </c:pt>
                <c:pt idx="4">
                  <c:v>5.7337233983833072E-2</c:v>
                </c:pt>
                <c:pt idx="5">
                  <c:v>3.883381975031814E-2</c:v>
                </c:pt>
                <c:pt idx="6">
                  <c:v>1.2333233735774406E-3</c:v>
                </c:pt>
                <c:pt idx="7">
                  <c:v>1.9891054036947774E-3</c:v>
                </c:pt>
                <c:pt idx="8">
                  <c:v>1.3569418988433502E-3</c:v>
                </c:pt>
                <c:pt idx="9">
                  <c:v>8.0490779443851534E-3</c:v>
                </c:pt>
                <c:pt idx="10">
                  <c:v>0</c:v>
                </c:pt>
                <c:pt idx="11">
                  <c:v>3.4607262491290081E-3</c:v>
                </c:pt>
                <c:pt idx="12">
                  <c:v>9.3881553769613281E-4</c:v>
                </c:pt>
                <c:pt idx="13">
                  <c:v>1.4361716847394212E-2</c:v>
                </c:pt>
                <c:pt idx="14">
                  <c:v>0</c:v>
                </c:pt>
                <c:pt idx="15">
                  <c:v>#N/A</c:v>
                </c:pt>
                <c:pt idx="16">
                  <c:v>0</c:v>
                </c:pt>
                <c:pt idx="17">
                  <c:v>5.3560885945745151E-2</c:v>
                </c:pt>
                <c:pt idx="18">
                  <c:v>0</c:v>
                </c:pt>
                <c:pt idx="19">
                  <c:v>1.0644103715971594E-4</c:v>
                </c:pt>
                <c:pt idx="20">
                  <c:v>2.1487900885381827E-4</c:v>
                </c:pt>
                <c:pt idx="21">
                  <c:v>3.120786648877087E-3</c:v>
                </c:pt>
                <c:pt idx="22">
                  <c:v>8.3203011263753446E-3</c:v>
                </c:pt>
                <c:pt idx="23">
                  <c:v>4.5035643824449566E-3</c:v>
                </c:pt>
                <c:pt idx="24">
                  <c:v>2.7286996117312043E-2</c:v>
                </c:pt>
                <c:pt idx="25">
                  <c:v>5.8082027708344984E-4</c:v>
                </c:pt>
                <c:pt idx="26">
                  <c:v>0</c:v>
                </c:pt>
              </c:numCache>
            </c:numRef>
          </c:val>
          <c:extLst>
            <c:ext xmlns:c16="http://schemas.microsoft.com/office/drawing/2014/chart" uri="{C3380CC4-5D6E-409C-BE32-E72D297353CC}">
              <c16:uniqueId val="{00000004-35E0-4740-BF64-12056899061E}"/>
            </c:ext>
          </c:extLst>
        </c:ser>
        <c:ser>
          <c:idx val="9"/>
          <c:order val="5"/>
          <c:tx>
            <c:strRef>
              <c:f>'Fig 2 OECD category '!$K$3</c:f>
              <c:strCache>
                <c:ptCount val="1"/>
                <c:pt idx="0">
                  <c:v>Expenditure on public order &amp; safety n.e.c.</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'Fig 2 OECD category '!$A$4:$A$32</c15:sqref>
                  </c15:fullRef>
                </c:ext>
              </c:extLst>
              <c:f>('Fig 2 OECD category '!$A$4:$A$25,'Fig 2 OECD category '!$A$27,'Fig 2 OECD category '!$A$29:$A$32)</c:f>
              <c:strCache>
                <c:ptCount val="27"/>
                <c:pt idx="0">
                  <c:v>Denmark</c:v>
                </c:pt>
                <c:pt idx="1">
                  <c:v>Finland</c:v>
                </c:pt>
                <c:pt idx="2">
                  <c:v>Norway</c:v>
                </c:pt>
                <c:pt idx="3">
                  <c:v>Sweden</c:v>
                </c:pt>
                <c:pt idx="4">
                  <c:v>Austria</c:v>
                </c:pt>
                <c:pt idx="5">
                  <c:v>Luxembourg</c:v>
                </c:pt>
                <c:pt idx="6">
                  <c:v>France</c:v>
                </c:pt>
                <c:pt idx="7">
                  <c:v>Germany</c:v>
                </c:pt>
                <c:pt idx="8">
                  <c:v>Japan</c:v>
                </c:pt>
                <c:pt idx="9">
                  <c:v>Belgium</c:v>
                </c:pt>
                <c:pt idx="10">
                  <c:v>Iceland</c:v>
                </c:pt>
                <c:pt idx="11">
                  <c:v>Slovenia</c:v>
                </c:pt>
                <c:pt idx="12">
                  <c:v>Ireland</c:v>
                </c:pt>
                <c:pt idx="13">
                  <c:v>Portugal</c:v>
                </c:pt>
                <c:pt idx="14">
                  <c:v>Italy</c:v>
                </c:pt>
                <c:pt idx="15">
                  <c:v>Canada</c:v>
                </c:pt>
                <c:pt idx="16">
                  <c:v>Greece</c:v>
                </c:pt>
                <c:pt idx="17">
                  <c:v>Netherlands</c:v>
                </c:pt>
                <c:pt idx="18">
                  <c:v>Switzerland</c:v>
                </c:pt>
                <c:pt idx="19">
                  <c:v>Hungary</c:v>
                </c:pt>
                <c:pt idx="20">
                  <c:v>Spain</c:v>
                </c:pt>
                <c:pt idx="21">
                  <c:v>Czech Republic</c:v>
                </c:pt>
                <c:pt idx="22">
                  <c:v>United Kingdom</c:v>
                </c:pt>
                <c:pt idx="23">
                  <c:v>Australia</c:v>
                </c:pt>
                <c:pt idx="24">
                  <c:v>Poland</c:v>
                </c:pt>
                <c:pt idx="25">
                  <c:v>Slovak Republic</c:v>
                </c:pt>
                <c:pt idx="26">
                  <c:v>United States</c:v>
                </c:pt>
              </c:strCache>
            </c:strRef>
          </c:cat>
          <c:val>
            <c:numRef>
              <c:extLst>
                <c:ext xmlns:c15="http://schemas.microsoft.com/office/drawing/2012/chart" uri="{02D57815-91ED-43cb-92C2-25804820EDAC}">
                  <c15:fullRef>
                    <c15:sqref>'Fig 2 OECD category '!$K$4:$K$32</c15:sqref>
                  </c15:fullRef>
                </c:ext>
              </c:extLst>
              <c:f>('Fig 2 OECD category '!$K$4:$K$25,'Fig 2 OECD category '!$K$27,'Fig 2 OECD category '!$K$29:$K$32)</c:f>
              <c:numCache>
                <c:formatCode>0.00</c:formatCode>
                <c:ptCount val="27"/>
                <c:pt idx="0">
                  <c:v>3.7323042050922788E-2</c:v>
                </c:pt>
                <c:pt idx="1">
                  <c:v>8.71983252906601E-2</c:v>
                </c:pt>
                <c:pt idx="2">
                  <c:v>4.9114935925099967E-2</c:v>
                </c:pt>
                <c:pt idx="3">
                  <c:v>2.2988645601246058E-2</c:v>
                </c:pt>
                <c:pt idx="4">
                  <c:v>0.12885586634750601</c:v>
                </c:pt>
                <c:pt idx="5">
                  <c:v>9.9447096870432516E-2</c:v>
                </c:pt>
                <c:pt idx="6">
                  <c:v>0.12390788826541362</c:v>
                </c:pt>
                <c:pt idx="7">
                  <c:v>0.19717007314124468</c:v>
                </c:pt>
                <c:pt idx="8">
                  <c:v>0.25693172953868504</c:v>
                </c:pt>
                <c:pt idx="9">
                  <c:v>0.2202882265988039</c:v>
                </c:pt>
                <c:pt idx="10">
                  <c:v>0.65505486835739546</c:v>
                </c:pt>
                <c:pt idx="11">
                  <c:v>0.25916616840426704</c:v>
                </c:pt>
                <c:pt idx="12">
                  <c:v>0.24303721775736711</c:v>
                </c:pt>
                <c:pt idx="13">
                  <c:v>0.2758104695730737</c:v>
                </c:pt>
                <c:pt idx="14">
                  <c:v>1.7755523203870169E-2</c:v>
                </c:pt>
                <c:pt idx="15">
                  <c:v>0.61543726790899389</c:v>
                </c:pt>
                <c:pt idx="16">
                  <c:v>3.9283451674762784E-2</c:v>
                </c:pt>
                <c:pt idx="17">
                  <c:v>0.48174365029610561</c:v>
                </c:pt>
                <c:pt idx="18">
                  <c:v>1.0401127488402917</c:v>
                </c:pt>
                <c:pt idx="19">
                  <c:v>4.03363148545706E-2</c:v>
                </c:pt>
                <c:pt idx="20">
                  <c:v>5.6298300319700435E-2</c:v>
                </c:pt>
                <c:pt idx="21">
                  <c:v>0.68147015485411877</c:v>
                </c:pt>
                <c:pt idx="22">
                  <c:v>0.31730602931949525</c:v>
                </c:pt>
                <c:pt idx="23">
                  <c:v>0.87312854464651912</c:v>
                </c:pt>
                <c:pt idx="24">
                  <c:v>0.42581090632578777</c:v>
                </c:pt>
                <c:pt idx="25">
                  <c:v>1.4611529372386929</c:v>
                </c:pt>
                <c:pt idx="26">
                  <c:v>0</c:v>
                </c:pt>
              </c:numCache>
            </c:numRef>
          </c:val>
          <c:extLst>
            <c:ext xmlns:c16="http://schemas.microsoft.com/office/drawing/2014/chart" uri="{C3380CC4-5D6E-409C-BE32-E72D297353CC}">
              <c16:uniqueId val="{00000005-35E0-4740-BF64-12056899061E}"/>
            </c:ext>
          </c:extLst>
        </c:ser>
        <c:dLbls>
          <c:showLegendKey val="0"/>
          <c:showVal val="0"/>
          <c:showCatName val="0"/>
          <c:showSerName val="0"/>
          <c:showPercent val="0"/>
          <c:showBubbleSize val="0"/>
        </c:dLbls>
        <c:gapWidth val="219"/>
        <c:overlap val="100"/>
        <c:axId val="1257473568"/>
        <c:axId val="1257473984"/>
      </c:barChart>
      <c:catAx>
        <c:axId val="12574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984"/>
        <c:crosses val="autoZero"/>
        <c:auto val="1"/>
        <c:lblAlgn val="ctr"/>
        <c:lblOffset val="100"/>
        <c:noMultiLvlLbl val="0"/>
      </c:catAx>
      <c:valAx>
        <c:axId val="125747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4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'COFOG_OECD DAC_HIST'!$AI$219</c:f>
              <c:strCache>
                <c:ptCount val="1"/>
                <c:pt idx="0">
                  <c:v>Expenditure on law courts</c:v>
                </c:pt>
              </c:strCache>
            </c:strRef>
          </c:tx>
          <c:spPr>
            <a:solidFill>
              <a:schemeClr val="accent1"/>
            </a:solidFill>
            <a:ln>
              <a:noFill/>
            </a:ln>
            <a:effectLst/>
          </c:spPr>
          <c:invertIfNegative val="0"/>
          <c:cat>
            <c:strRef>
              <c:f>'COFOG_OECD DAC_HIST'!$AH$222:$AH$248</c:f>
              <c:strCache>
                <c:ptCount val="27"/>
                <c:pt idx="0">
                  <c:v>Poland </c:v>
                </c:pt>
                <c:pt idx="1">
                  <c:v>Slovenia </c:v>
                </c:pt>
                <c:pt idx="2">
                  <c:v>Australia</c:v>
                </c:pt>
                <c:pt idx="3">
                  <c:v>United Kingdom</c:v>
                </c:pt>
                <c:pt idx="4">
                  <c:v>United States</c:v>
                </c:pt>
                <c:pt idx="5">
                  <c:v>Spain</c:v>
                </c:pt>
                <c:pt idx="6">
                  <c:v>Hungary</c:v>
                </c:pt>
                <c:pt idx="7">
                  <c:v>Portugal</c:v>
                </c:pt>
                <c:pt idx="8">
                  <c:v>Ireland</c:v>
                </c:pt>
                <c:pt idx="9">
                  <c:v>Switzerland</c:v>
                </c:pt>
                <c:pt idx="10">
                  <c:v>Germany</c:v>
                </c:pt>
                <c:pt idx="11">
                  <c:v>Greece</c:v>
                </c:pt>
                <c:pt idx="12">
                  <c:v>Slovak Rep.</c:v>
                </c:pt>
                <c:pt idx="13">
                  <c:v>Nerlands </c:v>
                </c:pt>
                <c:pt idx="14">
                  <c:v>Czech Rep.</c:v>
                </c:pt>
                <c:pt idx="15">
                  <c:v>Canada</c:v>
                </c:pt>
                <c:pt idx="16">
                  <c:v>Italy</c:v>
                </c:pt>
                <c:pt idx="17">
                  <c:v>Sweden</c:v>
                </c:pt>
                <c:pt idx="18">
                  <c:v>Austria</c:v>
                </c:pt>
                <c:pt idx="19">
                  <c:v>Belgium</c:v>
                </c:pt>
                <c:pt idx="20">
                  <c:v>Iceland</c:v>
                </c:pt>
                <c:pt idx="21">
                  <c:v>Luxembourg</c:v>
                </c:pt>
                <c:pt idx="22">
                  <c:v>Finland</c:v>
                </c:pt>
                <c:pt idx="23">
                  <c:v>France</c:v>
                </c:pt>
                <c:pt idx="24">
                  <c:v>Denmark</c:v>
                </c:pt>
                <c:pt idx="25">
                  <c:v>Norway</c:v>
                </c:pt>
                <c:pt idx="26">
                  <c:v>Japan</c:v>
                </c:pt>
              </c:strCache>
            </c:strRef>
          </c:cat>
          <c:val>
            <c:numRef>
              <c:f>'COFOG_OECD DAC_HIST'!$AI$222:$AI$248</c:f>
              <c:numCache>
                <c:formatCode>0.0</c:formatCode>
                <c:ptCount val="27"/>
                <c:pt idx="0">
                  <c:v>1.4447191534501045</c:v>
                </c:pt>
                <c:pt idx="1">
                  <c:v>1.1492186351834615</c:v>
                </c:pt>
                <c:pt idx="2">
                  <c:v>1.108345771722784</c:v>
                </c:pt>
                <c:pt idx="3">
                  <c:v>1.1061810446933913</c:v>
                </c:pt>
                <c:pt idx="4">
                  <c:v>0.98039977315631244</c:v>
                </c:pt>
                <c:pt idx="5">
                  <c:v>0.96433229690209499</c:v>
                </c:pt>
                <c:pt idx="6">
                  <c:v>0.92397526039974409</c:v>
                </c:pt>
                <c:pt idx="7">
                  <c:v>0.91952205882352944</c:v>
                </c:pt>
                <c:pt idx="8">
                  <c:v>0.89186040949100642</c:v>
                </c:pt>
                <c:pt idx="9">
                  <c:v>0.89124862687660189</c:v>
                </c:pt>
                <c:pt idx="10">
                  <c:v>0.85968000306339298</c:v>
                </c:pt>
                <c:pt idx="11">
                  <c:v>0.81746418284979661</c:v>
                </c:pt>
                <c:pt idx="12">
                  <c:v>0.74897510980966331</c:v>
                </c:pt>
                <c:pt idx="13">
                  <c:v>0.73046244955842687</c:v>
                </c:pt>
                <c:pt idx="14">
                  <c:v>0.72047446332925658</c:v>
                </c:pt>
                <c:pt idx="15">
                  <c:v>0.72034183235460214</c:v>
                </c:pt>
                <c:pt idx="16">
                  <c:v>0.63291223048696321</c:v>
                </c:pt>
                <c:pt idx="17">
                  <c:v>0.61702387383857837</c:v>
                </c:pt>
                <c:pt idx="18">
                  <c:v>0.61539788551496644</c:v>
                </c:pt>
                <c:pt idx="19">
                  <c:v>0.59860859995283378</c:v>
                </c:pt>
                <c:pt idx="20">
                  <c:v>0.47555151387208622</c:v>
                </c:pt>
                <c:pt idx="21">
                  <c:v>0.45541963620891401</c:v>
                </c:pt>
                <c:pt idx="22">
                  <c:v>0.38858864252359337</c:v>
                </c:pt>
                <c:pt idx="23">
                  <c:v>0.37999058574814404</c:v>
                </c:pt>
                <c:pt idx="24">
                  <c:v>0.37557798342630511</c:v>
                </c:pt>
                <c:pt idx="25">
                  <c:v>0.36713602893682989</c:v>
                </c:pt>
                <c:pt idx="26">
                  <c:v>0.28114192156733681</c:v>
                </c:pt>
              </c:numCache>
            </c:numRef>
          </c:val>
          <c:extLst>
            <c:ext xmlns:c16="http://schemas.microsoft.com/office/drawing/2014/chart" uri="{C3380CC4-5D6E-409C-BE32-E72D297353CC}">
              <c16:uniqueId val="{00000000-BF4E-41DA-982A-0C8AEBF7CAFF}"/>
            </c:ext>
          </c:extLst>
        </c:ser>
        <c:dLbls>
          <c:showLegendKey val="0"/>
          <c:showVal val="0"/>
          <c:showCatName val="0"/>
          <c:showSerName val="0"/>
          <c:showPercent val="0"/>
          <c:showBubbleSize val="0"/>
        </c:dLbls>
        <c:gapWidth val="219"/>
        <c:overlap val="-27"/>
        <c:axId val="1883322207"/>
        <c:axId val="1883318463"/>
      </c:barChart>
      <c:catAx>
        <c:axId val="1883322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18463"/>
        <c:crosses val="autoZero"/>
        <c:auto val="1"/>
        <c:lblAlgn val="ctr"/>
        <c:lblOffset val="100"/>
        <c:noMultiLvlLbl val="0"/>
      </c:catAx>
      <c:valAx>
        <c:axId val="1883318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22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'COFOG_OECD DAC_HIST'!$AT$219</c:f>
              <c:strCache>
                <c:ptCount val="1"/>
                <c:pt idx="0">
                  <c:v>Expenditure on prisons</c:v>
                </c:pt>
              </c:strCache>
            </c:strRef>
          </c:tx>
          <c:spPr>
            <a:solidFill>
              <a:schemeClr val="accent1"/>
            </a:solidFill>
            <a:ln>
              <a:noFill/>
            </a:ln>
            <a:effectLst/>
          </c:spPr>
          <c:invertIfNegative val="0"/>
          <c:cat>
            <c:strRef>
              <c:f>'COFOG_OECD DAC_HIST'!$AS$222:$AS$248</c:f>
              <c:strCache>
                <c:ptCount val="27"/>
                <c:pt idx="0">
                  <c:v>United States</c:v>
                </c:pt>
                <c:pt idx="1">
                  <c:v>Nerlands </c:v>
                </c:pt>
                <c:pt idx="2">
                  <c:v>Australia</c:v>
                </c:pt>
                <c:pt idx="3">
                  <c:v>Canada</c:v>
                </c:pt>
                <c:pt idx="4">
                  <c:v>Hungary</c:v>
                </c:pt>
                <c:pt idx="5">
                  <c:v>Switzerland</c:v>
                </c:pt>
                <c:pt idx="6">
                  <c:v>United Kingdom</c:v>
                </c:pt>
                <c:pt idx="7">
                  <c:v>Slovak Rep.</c:v>
                </c:pt>
                <c:pt idx="8">
                  <c:v>Spain</c:v>
                </c:pt>
                <c:pt idx="9">
                  <c:v>Poland </c:v>
                </c:pt>
                <c:pt idx="10">
                  <c:v>Czech Rep.</c:v>
                </c:pt>
                <c:pt idx="11">
                  <c:v>Luxembourg</c:v>
                </c:pt>
                <c:pt idx="12">
                  <c:v>Ireland</c:v>
                </c:pt>
                <c:pt idx="13">
                  <c:v>Italy</c:v>
                </c:pt>
                <c:pt idx="14">
                  <c:v>Sweden</c:v>
                </c:pt>
                <c:pt idx="15">
                  <c:v>Austria</c:v>
                </c:pt>
                <c:pt idx="16">
                  <c:v>France</c:v>
                </c:pt>
                <c:pt idx="17">
                  <c:v>Denmark</c:v>
                </c:pt>
                <c:pt idx="18">
                  <c:v>Iceland</c:v>
                </c:pt>
                <c:pt idx="19">
                  <c:v>Portugal</c:v>
                </c:pt>
                <c:pt idx="20">
                  <c:v>Slovenia</c:v>
                </c:pt>
                <c:pt idx="21">
                  <c:v>Germany</c:v>
                </c:pt>
                <c:pt idx="22">
                  <c:v>Greece</c:v>
                </c:pt>
                <c:pt idx="23">
                  <c:v>Belgium</c:v>
                </c:pt>
                <c:pt idx="24">
                  <c:v>Finland</c:v>
                </c:pt>
                <c:pt idx="25">
                  <c:v>Norway</c:v>
                </c:pt>
                <c:pt idx="26">
                  <c:v>Japan</c:v>
                </c:pt>
              </c:strCache>
            </c:strRef>
          </c:cat>
          <c:val>
            <c:numRef>
              <c:f>'COFOG_OECD DAC_HIST'!$AT$222:$AT$248</c:f>
              <c:numCache>
                <c:formatCode>0.0</c:formatCode>
                <c:ptCount val="27"/>
                <c:pt idx="0">
                  <c:v>1.4232110811587673</c:v>
                </c:pt>
                <c:pt idx="1">
                  <c:v>0.9739499327445692</c:v>
                </c:pt>
                <c:pt idx="2">
                  <c:v>0.83125932879208797</c:v>
                </c:pt>
                <c:pt idx="3">
                  <c:v>0.72034183235460214</c:v>
                </c:pt>
                <c:pt idx="4">
                  <c:v>0.69298144529980799</c:v>
                </c:pt>
                <c:pt idx="5">
                  <c:v>0.59416575125106796</c:v>
                </c:pt>
                <c:pt idx="6">
                  <c:v>0.55309052234669565</c:v>
                </c:pt>
                <c:pt idx="7">
                  <c:v>0.49931673987310887</c:v>
                </c:pt>
                <c:pt idx="8">
                  <c:v>0.48216614845104749</c:v>
                </c:pt>
                <c:pt idx="9">
                  <c:v>0.4815730511500349</c:v>
                </c:pt>
                <c:pt idx="10">
                  <c:v>0.48031630888617116</c:v>
                </c:pt>
                <c:pt idx="11">
                  <c:v>0.45541963620891401</c:v>
                </c:pt>
                <c:pt idx="12">
                  <c:v>0.44593020474550321</c:v>
                </c:pt>
                <c:pt idx="13">
                  <c:v>0.4219414869913089</c:v>
                </c:pt>
                <c:pt idx="14">
                  <c:v>0.41134924922571897</c:v>
                </c:pt>
                <c:pt idx="15">
                  <c:v>0.41026525700997762</c:v>
                </c:pt>
                <c:pt idx="16">
                  <c:v>0.37999058574814404</c:v>
                </c:pt>
                <c:pt idx="17">
                  <c:v>0.37557798342630511</c:v>
                </c:pt>
                <c:pt idx="18">
                  <c:v>0.23777575693604311</c:v>
                </c:pt>
                <c:pt idx="19">
                  <c:v>0.22988051470588236</c:v>
                </c:pt>
                <c:pt idx="20">
                  <c:v>0.22984372703669231</c:v>
                </c:pt>
                <c:pt idx="21">
                  <c:v>0.21492000076584825</c:v>
                </c:pt>
                <c:pt idx="22">
                  <c:v>0.20436604571244915</c:v>
                </c:pt>
                <c:pt idx="23">
                  <c:v>0.19953619998427796</c:v>
                </c:pt>
                <c:pt idx="24">
                  <c:v>0.19429432126179669</c:v>
                </c:pt>
                <c:pt idx="25">
                  <c:v>0.18356801446841495</c:v>
                </c:pt>
                <c:pt idx="26">
                  <c:v>0</c:v>
                </c:pt>
              </c:numCache>
            </c:numRef>
          </c:val>
          <c:extLst>
            <c:ext xmlns:c16="http://schemas.microsoft.com/office/drawing/2014/chart" uri="{C3380CC4-5D6E-409C-BE32-E72D297353CC}">
              <c16:uniqueId val="{00000000-40BE-4D2B-979E-E14BE678FD2C}"/>
            </c:ext>
          </c:extLst>
        </c:ser>
        <c:dLbls>
          <c:showLegendKey val="0"/>
          <c:showVal val="0"/>
          <c:showCatName val="0"/>
          <c:showSerName val="0"/>
          <c:showPercent val="0"/>
          <c:showBubbleSize val="0"/>
        </c:dLbls>
        <c:gapWidth val="219"/>
        <c:overlap val="-27"/>
        <c:axId val="1883322207"/>
        <c:axId val="1883318463"/>
      </c:barChart>
      <c:catAx>
        <c:axId val="1883322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18463"/>
        <c:crosses val="autoZero"/>
        <c:auto val="1"/>
        <c:lblAlgn val="ctr"/>
        <c:lblOffset val="100"/>
        <c:noMultiLvlLbl val="0"/>
      </c:catAx>
      <c:valAx>
        <c:axId val="1883318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22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Government Expenditure on Public Order and safety by</a:t>
            </a:r>
            <a:r>
              <a:rPr lang="en-GB" baseline="0"/>
              <a:t> country - OECD DAC members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'COFOG_OECD DAC_HIST'!$X$187</c:f>
              <c:strCache>
                <c:ptCount val="1"/>
                <c:pt idx="0">
                  <c:v>Expenditure on police services</c:v>
                </c:pt>
              </c:strCache>
            </c:strRef>
          </c:tx>
          <c:spPr>
            <a:solidFill>
              <a:schemeClr val="accent2"/>
            </a:solidFill>
            <a:ln>
              <a:noFill/>
            </a:ln>
            <a:effectLst/>
          </c:spPr>
          <c:invertIfNegative val="0"/>
          <c:cat>
            <c:strRef>
              <c:f>'COFOG_OECD DAC_HIST'!$V$188:$V$216</c:f>
              <c:strCache>
                <c:ptCount val="29"/>
                <c:pt idx="0">
                  <c:v>United States</c:v>
                </c:pt>
                <c:pt idx="1">
                  <c:v>Slovak Rep.</c:v>
                </c:pt>
                <c:pt idx="2">
                  <c:v>Korea</c:v>
                </c:pt>
                <c:pt idx="3">
                  <c:v>Australia</c:v>
                </c:pt>
                <c:pt idx="4">
                  <c:v>Poland</c:v>
                </c:pt>
                <c:pt idx="5">
                  <c:v>United Kingdom</c:v>
                </c:pt>
                <c:pt idx="6">
                  <c:v>New Zealand</c:v>
                </c:pt>
                <c:pt idx="7">
                  <c:v>Hungary</c:v>
                </c:pt>
                <c:pt idx="8">
                  <c:v>Spain</c:v>
                </c:pt>
                <c:pt idx="9">
                  <c:v>Czech Rep.</c:v>
                </c:pt>
                <c:pt idx="10">
                  <c:v>Greece</c:v>
                </c:pt>
                <c:pt idx="11">
                  <c:v>Netherlands</c:v>
                </c:pt>
                <c:pt idx="12">
                  <c:v>Switzerland</c:v>
                </c:pt>
                <c:pt idx="13">
                  <c:v>Canada</c:v>
                </c:pt>
                <c:pt idx="14">
                  <c:v>Portugal</c:v>
                </c:pt>
                <c:pt idx="15">
                  <c:v>Italy</c:v>
                </c:pt>
                <c:pt idx="16">
                  <c:v>Slovenia</c:v>
                </c:pt>
                <c:pt idx="17">
                  <c:v>Ireland</c:v>
                </c:pt>
                <c:pt idx="18">
                  <c:v>Iceland</c:v>
                </c:pt>
                <c:pt idx="19">
                  <c:v>Japan</c:v>
                </c:pt>
                <c:pt idx="20">
                  <c:v>Germany</c:v>
                </c:pt>
                <c:pt idx="21">
                  <c:v>Belgium</c:v>
                </c:pt>
                <c:pt idx="22">
                  <c:v>France</c:v>
                </c:pt>
                <c:pt idx="23">
                  <c:v>Luxembourg</c:v>
                </c:pt>
                <c:pt idx="24">
                  <c:v>Sweden</c:v>
                </c:pt>
                <c:pt idx="25">
                  <c:v>Austria</c:v>
                </c:pt>
                <c:pt idx="26">
                  <c:v>Norway</c:v>
                </c:pt>
                <c:pt idx="27">
                  <c:v>Finland</c:v>
                </c:pt>
                <c:pt idx="28">
                  <c:v>Denmark</c:v>
                </c:pt>
              </c:strCache>
            </c:strRef>
          </c:cat>
          <c:val>
            <c:numRef>
              <c:f>'COFOG_OECD DAC_HIST'!$X$188:$X$216</c:f>
              <c:numCache>
                <c:formatCode>0.00</c:formatCode>
                <c:ptCount val="29"/>
                <c:pt idx="0">
                  <c:v>2.9645051777848557</c:v>
                </c:pt>
                <c:pt idx="1">
                  <c:v>2.7462420693020988</c:v>
                </c:pt>
                <c:pt idx="2">
                  <c:v>#N/A</c:v>
                </c:pt>
                <c:pt idx="3">
                  <c:v>1.939605100514872</c:v>
                </c:pt>
                <c:pt idx="4">
                  <c:v>2.6486517813251917</c:v>
                </c:pt>
                <c:pt idx="5">
                  <c:v>3.0419978729068262</c:v>
                </c:pt>
                <c:pt idx="6">
                  <c:v>#N/A</c:v>
                </c:pt>
                <c:pt idx="7">
                  <c:v>2.7719257811992319</c:v>
                </c:pt>
                <c:pt idx="8">
                  <c:v>3.134079964931809</c:v>
                </c:pt>
                <c:pt idx="9">
                  <c:v>2.4015815444308553</c:v>
                </c:pt>
                <c:pt idx="10">
                  <c:v>3.0654906856867368</c:v>
                </c:pt>
                <c:pt idx="11">
                  <c:v>2.1913873486752808</c:v>
                </c:pt>
                <c:pt idx="12">
                  <c:v>2.0795801293787375</c:v>
                </c:pt>
                <c:pt idx="13">
                  <c:v>2.1610254970638065</c:v>
                </c:pt>
                <c:pt idx="14">
                  <c:v>2.528685661764706</c:v>
                </c:pt>
                <c:pt idx="15">
                  <c:v>2.5316489219478528</c:v>
                </c:pt>
                <c:pt idx="16">
                  <c:v>2.0685935433302305</c:v>
                </c:pt>
                <c:pt idx="17">
                  <c:v>2.2296510237275164</c:v>
                </c:pt>
                <c:pt idx="18">
                  <c:v>2.1399818124243875</c:v>
                </c:pt>
                <c:pt idx="19">
                  <c:v>1.9679934509713572</c:v>
                </c:pt>
                <c:pt idx="20">
                  <c:v>1.719360006126786</c:v>
                </c:pt>
                <c:pt idx="21">
                  <c:v>2.1948981998270578</c:v>
                </c:pt>
                <c:pt idx="22">
                  <c:v>1.89995292874072</c:v>
                </c:pt>
                <c:pt idx="23">
                  <c:v>1.1385490905222848</c:v>
                </c:pt>
                <c:pt idx="24">
                  <c:v>1.4397223722900163</c:v>
                </c:pt>
                <c:pt idx="25">
                  <c:v>1.4359283995349215</c:v>
                </c:pt>
                <c:pt idx="26">
                  <c:v>1.1014080868104896</c:v>
                </c:pt>
                <c:pt idx="27">
                  <c:v>0.97147160630898333</c:v>
                </c:pt>
                <c:pt idx="28">
                  <c:v>1.1267339502789151</c:v>
                </c:pt>
              </c:numCache>
            </c:numRef>
          </c:val>
          <c:extLst>
            <c:ext xmlns:c16="http://schemas.microsoft.com/office/drawing/2014/chart" uri="{C3380CC4-5D6E-409C-BE32-E72D297353CC}">
              <c16:uniqueId val="{00000001-2088-4AB5-AF53-9F4F983EBECF}"/>
            </c:ext>
          </c:extLst>
        </c:ser>
        <c:ser>
          <c:idx val="2"/>
          <c:order val="2"/>
          <c:tx>
            <c:strRef>
              <c:f>'COFOG_OECD DAC_HIST'!$Y$187</c:f>
              <c:strCache>
                <c:ptCount val="1"/>
                <c:pt idx="0">
                  <c:v>Expenditure on fire protection services</c:v>
                </c:pt>
              </c:strCache>
            </c:strRef>
          </c:tx>
          <c:spPr>
            <a:solidFill>
              <a:schemeClr val="accent3"/>
            </a:solidFill>
            <a:ln>
              <a:noFill/>
            </a:ln>
            <a:effectLst/>
          </c:spPr>
          <c:invertIfNegative val="0"/>
          <c:cat>
            <c:strRef>
              <c:f>'COFOG_OECD DAC_HIST'!$V$188:$V$216</c:f>
              <c:strCache>
                <c:ptCount val="29"/>
                <c:pt idx="0">
                  <c:v>United States</c:v>
                </c:pt>
                <c:pt idx="1">
                  <c:v>Slovak Rep.</c:v>
                </c:pt>
                <c:pt idx="2">
                  <c:v>Korea</c:v>
                </c:pt>
                <c:pt idx="3">
                  <c:v>Australia</c:v>
                </c:pt>
                <c:pt idx="4">
                  <c:v>Poland</c:v>
                </c:pt>
                <c:pt idx="5">
                  <c:v>United Kingdom</c:v>
                </c:pt>
                <c:pt idx="6">
                  <c:v>New Zealand</c:v>
                </c:pt>
                <c:pt idx="7">
                  <c:v>Hungary</c:v>
                </c:pt>
                <c:pt idx="8">
                  <c:v>Spain</c:v>
                </c:pt>
                <c:pt idx="9">
                  <c:v>Czech Rep.</c:v>
                </c:pt>
                <c:pt idx="10">
                  <c:v>Greece</c:v>
                </c:pt>
                <c:pt idx="11">
                  <c:v>Netherlands</c:v>
                </c:pt>
                <c:pt idx="12">
                  <c:v>Switzerland</c:v>
                </c:pt>
                <c:pt idx="13">
                  <c:v>Canada</c:v>
                </c:pt>
                <c:pt idx="14">
                  <c:v>Portugal</c:v>
                </c:pt>
                <c:pt idx="15">
                  <c:v>Italy</c:v>
                </c:pt>
                <c:pt idx="16">
                  <c:v>Slovenia</c:v>
                </c:pt>
                <c:pt idx="17">
                  <c:v>Ireland</c:v>
                </c:pt>
                <c:pt idx="18">
                  <c:v>Iceland</c:v>
                </c:pt>
                <c:pt idx="19">
                  <c:v>Japan</c:v>
                </c:pt>
                <c:pt idx="20">
                  <c:v>Germany</c:v>
                </c:pt>
                <c:pt idx="21">
                  <c:v>Belgium</c:v>
                </c:pt>
                <c:pt idx="22">
                  <c:v>France</c:v>
                </c:pt>
                <c:pt idx="23">
                  <c:v>Luxembourg</c:v>
                </c:pt>
                <c:pt idx="24">
                  <c:v>Sweden</c:v>
                </c:pt>
                <c:pt idx="25">
                  <c:v>Austria</c:v>
                </c:pt>
                <c:pt idx="26">
                  <c:v>Norway</c:v>
                </c:pt>
                <c:pt idx="27">
                  <c:v>Finland</c:v>
                </c:pt>
                <c:pt idx="28">
                  <c:v>Denmark</c:v>
                </c:pt>
              </c:strCache>
            </c:strRef>
          </c:cat>
          <c:val>
            <c:numRef>
              <c:f>'COFOG_OECD DAC_HIST'!$Y$188:$Y$216</c:f>
              <c:numCache>
                <c:formatCode>0.00</c:formatCode>
                <c:ptCount val="29"/>
                <c:pt idx="0">
                  <c:v>0.99438328814586363</c:v>
                </c:pt>
                <c:pt idx="1">
                  <c:v>0.49931673987310887</c:v>
                </c:pt>
                <c:pt idx="2">
                  <c:v>#N/A</c:v>
                </c:pt>
                <c:pt idx="3">
                  <c:v>0.83125932879208797</c:v>
                </c:pt>
                <c:pt idx="4">
                  <c:v>0.4815730511500349</c:v>
                </c:pt>
                <c:pt idx="5">
                  <c:v>0.55309052234669565</c:v>
                </c:pt>
                <c:pt idx="6">
                  <c:v>#N/A</c:v>
                </c:pt>
                <c:pt idx="7">
                  <c:v>0.46198763019987205</c:v>
                </c:pt>
                <c:pt idx="8">
                  <c:v>0.48216614845104749</c:v>
                </c:pt>
                <c:pt idx="9">
                  <c:v>0.72047446332925658</c:v>
                </c:pt>
                <c:pt idx="10">
                  <c:v>0.61309813713734729</c:v>
                </c:pt>
                <c:pt idx="11">
                  <c:v>0.4869749663722846</c:v>
                </c:pt>
                <c:pt idx="12">
                  <c:v>0.29708287562553398</c:v>
                </c:pt>
                <c:pt idx="13">
                  <c:v>0.48022788823640145</c:v>
                </c:pt>
                <c:pt idx="14">
                  <c:v>0.22988051470588236</c:v>
                </c:pt>
                <c:pt idx="15">
                  <c:v>0.4219414869913089</c:v>
                </c:pt>
                <c:pt idx="16">
                  <c:v>0.45968745407338463</c:v>
                </c:pt>
                <c:pt idx="17">
                  <c:v>0.44593020474550321</c:v>
                </c:pt>
                <c:pt idx="18">
                  <c:v>0.23777575693604311</c:v>
                </c:pt>
                <c:pt idx="19">
                  <c:v>1.1245676862693472</c:v>
                </c:pt>
                <c:pt idx="20">
                  <c:v>0.64476000229754471</c:v>
                </c:pt>
                <c:pt idx="21">
                  <c:v>0.39907239996855592</c:v>
                </c:pt>
                <c:pt idx="22">
                  <c:v>0.56998587862221595</c:v>
                </c:pt>
                <c:pt idx="23">
                  <c:v>0.68312945431337091</c:v>
                </c:pt>
                <c:pt idx="24">
                  <c:v>0.41134924922571897</c:v>
                </c:pt>
                <c:pt idx="25">
                  <c:v>0.41026525700997762</c:v>
                </c:pt>
                <c:pt idx="26">
                  <c:v>0.55070404340524481</c:v>
                </c:pt>
                <c:pt idx="27">
                  <c:v>0.58288296378538995</c:v>
                </c:pt>
                <c:pt idx="28">
                  <c:v>0.18778899171315255</c:v>
                </c:pt>
              </c:numCache>
            </c:numRef>
          </c:val>
          <c:extLst>
            <c:ext xmlns:c16="http://schemas.microsoft.com/office/drawing/2014/chart" uri="{C3380CC4-5D6E-409C-BE32-E72D297353CC}">
              <c16:uniqueId val="{00000002-2088-4AB5-AF53-9F4F983EBECF}"/>
            </c:ext>
          </c:extLst>
        </c:ser>
        <c:ser>
          <c:idx val="3"/>
          <c:order val="3"/>
          <c:tx>
            <c:strRef>
              <c:f>'COFOG_OECD DAC_HIST'!$Z$187</c:f>
              <c:strCache>
                <c:ptCount val="1"/>
                <c:pt idx="0">
                  <c:v>Expenditure on law courts</c:v>
                </c:pt>
              </c:strCache>
            </c:strRef>
          </c:tx>
          <c:spPr>
            <a:solidFill>
              <a:schemeClr val="accent4"/>
            </a:solidFill>
            <a:ln>
              <a:noFill/>
            </a:ln>
            <a:effectLst/>
          </c:spPr>
          <c:invertIfNegative val="0"/>
          <c:cat>
            <c:strRef>
              <c:f>'COFOG_OECD DAC_HIST'!$V$188:$V$216</c:f>
              <c:strCache>
                <c:ptCount val="29"/>
                <c:pt idx="0">
                  <c:v>United States</c:v>
                </c:pt>
                <c:pt idx="1">
                  <c:v>Slovak Rep.</c:v>
                </c:pt>
                <c:pt idx="2">
                  <c:v>Korea</c:v>
                </c:pt>
                <c:pt idx="3">
                  <c:v>Australia</c:v>
                </c:pt>
                <c:pt idx="4">
                  <c:v>Poland</c:v>
                </c:pt>
                <c:pt idx="5">
                  <c:v>United Kingdom</c:v>
                </c:pt>
                <c:pt idx="6">
                  <c:v>New Zealand</c:v>
                </c:pt>
                <c:pt idx="7">
                  <c:v>Hungary</c:v>
                </c:pt>
                <c:pt idx="8">
                  <c:v>Spain</c:v>
                </c:pt>
                <c:pt idx="9">
                  <c:v>Czech Rep.</c:v>
                </c:pt>
                <c:pt idx="10">
                  <c:v>Greece</c:v>
                </c:pt>
                <c:pt idx="11">
                  <c:v>Netherlands</c:v>
                </c:pt>
                <c:pt idx="12">
                  <c:v>Switzerland</c:v>
                </c:pt>
                <c:pt idx="13">
                  <c:v>Canada</c:v>
                </c:pt>
                <c:pt idx="14">
                  <c:v>Portugal</c:v>
                </c:pt>
                <c:pt idx="15">
                  <c:v>Italy</c:v>
                </c:pt>
                <c:pt idx="16">
                  <c:v>Slovenia</c:v>
                </c:pt>
                <c:pt idx="17">
                  <c:v>Ireland</c:v>
                </c:pt>
                <c:pt idx="18">
                  <c:v>Iceland</c:v>
                </c:pt>
                <c:pt idx="19">
                  <c:v>Japan</c:v>
                </c:pt>
                <c:pt idx="20">
                  <c:v>Germany</c:v>
                </c:pt>
                <c:pt idx="21">
                  <c:v>Belgium</c:v>
                </c:pt>
                <c:pt idx="22">
                  <c:v>France</c:v>
                </c:pt>
                <c:pt idx="23">
                  <c:v>Luxembourg</c:v>
                </c:pt>
                <c:pt idx="24">
                  <c:v>Sweden</c:v>
                </c:pt>
                <c:pt idx="25">
                  <c:v>Austria</c:v>
                </c:pt>
                <c:pt idx="26">
                  <c:v>Norway</c:v>
                </c:pt>
                <c:pt idx="27">
                  <c:v>Finland</c:v>
                </c:pt>
                <c:pt idx="28">
                  <c:v>Denmark</c:v>
                </c:pt>
              </c:strCache>
            </c:strRef>
          </c:cat>
          <c:val>
            <c:numRef>
              <c:f>'COFOG_OECD DAC_HIST'!$Z$188:$Z$216</c:f>
              <c:numCache>
                <c:formatCode>0.00</c:formatCode>
                <c:ptCount val="29"/>
                <c:pt idx="0">
                  <c:v>0.98039977315631244</c:v>
                </c:pt>
                <c:pt idx="1">
                  <c:v>0.74897510980966331</c:v>
                </c:pt>
                <c:pt idx="2">
                  <c:v>#N/A</c:v>
                </c:pt>
                <c:pt idx="3">
                  <c:v>1.108345771722784</c:v>
                </c:pt>
                <c:pt idx="4">
                  <c:v>1.4447191534501045</c:v>
                </c:pt>
                <c:pt idx="5">
                  <c:v>1.1061810446933913</c:v>
                </c:pt>
                <c:pt idx="6">
                  <c:v>#N/A</c:v>
                </c:pt>
                <c:pt idx="7">
                  <c:v>0.92397526039974409</c:v>
                </c:pt>
                <c:pt idx="8">
                  <c:v>0.96433229690209499</c:v>
                </c:pt>
                <c:pt idx="9">
                  <c:v>0.72047446332925658</c:v>
                </c:pt>
                <c:pt idx="10">
                  <c:v>0.81746418284979661</c:v>
                </c:pt>
                <c:pt idx="11">
                  <c:v>0.73046244955842687</c:v>
                </c:pt>
                <c:pt idx="12">
                  <c:v>0.89124862687660189</c:v>
                </c:pt>
                <c:pt idx="13">
                  <c:v>0.72034183235460214</c:v>
                </c:pt>
                <c:pt idx="14">
                  <c:v>0.91952205882352944</c:v>
                </c:pt>
                <c:pt idx="15">
                  <c:v>0.63291223048696321</c:v>
                </c:pt>
                <c:pt idx="16">
                  <c:v>1.1492186351834615</c:v>
                </c:pt>
                <c:pt idx="17">
                  <c:v>0.89186040949100642</c:v>
                </c:pt>
                <c:pt idx="18">
                  <c:v>0.47555151387208622</c:v>
                </c:pt>
                <c:pt idx="19">
                  <c:v>0.28114192156733681</c:v>
                </c:pt>
                <c:pt idx="20">
                  <c:v>0.85968000306339298</c:v>
                </c:pt>
                <c:pt idx="21">
                  <c:v>0.59860859995283378</c:v>
                </c:pt>
                <c:pt idx="22">
                  <c:v>0.37999058574814404</c:v>
                </c:pt>
                <c:pt idx="23">
                  <c:v>0.45541963620891401</c:v>
                </c:pt>
                <c:pt idx="24">
                  <c:v>0.61702387383857837</c:v>
                </c:pt>
                <c:pt idx="25">
                  <c:v>0.61539788551496644</c:v>
                </c:pt>
                <c:pt idx="26">
                  <c:v>0.36713602893682989</c:v>
                </c:pt>
                <c:pt idx="27">
                  <c:v>0.38858864252359337</c:v>
                </c:pt>
                <c:pt idx="28">
                  <c:v>0.37557798342630511</c:v>
                </c:pt>
              </c:numCache>
            </c:numRef>
          </c:val>
          <c:extLst>
            <c:ext xmlns:c16="http://schemas.microsoft.com/office/drawing/2014/chart" uri="{C3380CC4-5D6E-409C-BE32-E72D297353CC}">
              <c16:uniqueId val="{00000003-2088-4AB5-AF53-9F4F983EBECF}"/>
            </c:ext>
          </c:extLst>
        </c:ser>
        <c:ser>
          <c:idx val="4"/>
          <c:order val="4"/>
          <c:tx>
            <c:strRef>
              <c:f>'COFOG_OECD DAC_HIST'!$AA$187</c:f>
              <c:strCache>
                <c:ptCount val="1"/>
                <c:pt idx="0">
                  <c:v>Expenditure on prisons</c:v>
                </c:pt>
              </c:strCache>
            </c:strRef>
          </c:tx>
          <c:spPr>
            <a:solidFill>
              <a:schemeClr val="accent5"/>
            </a:solidFill>
            <a:ln>
              <a:noFill/>
            </a:ln>
            <a:effectLst/>
          </c:spPr>
          <c:invertIfNegative val="0"/>
          <c:cat>
            <c:strRef>
              <c:f>'COFOG_OECD DAC_HIST'!$V$188:$V$216</c:f>
              <c:strCache>
                <c:ptCount val="29"/>
                <c:pt idx="0">
                  <c:v>United States</c:v>
                </c:pt>
                <c:pt idx="1">
                  <c:v>Slovak Rep.</c:v>
                </c:pt>
                <c:pt idx="2">
                  <c:v>Korea</c:v>
                </c:pt>
                <c:pt idx="3">
                  <c:v>Australia</c:v>
                </c:pt>
                <c:pt idx="4">
                  <c:v>Poland</c:v>
                </c:pt>
                <c:pt idx="5">
                  <c:v>United Kingdom</c:v>
                </c:pt>
                <c:pt idx="6">
                  <c:v>New Zealand</c:v>
                </c:pt>
                <c:pt idx="7">
                  <c:v>Hungary</c:v>
                </c:pt>
                <c:pt idx="8">
                  <c:v>Spain</c:v>
                </c:pt>
                <c:pt idx="9">
                  <c:v>Czech Rep.</c:v>
                </c:pt>
                <c:pt idx="10">
                  <c:v>Greece</c:v>
                </c:pt>
                <c:pt idx="11">
                  <c:v>Netherlands</c:v>
                </c:pt>
                <c:pt idx="12">
                  <c:v>Switzerland</c:v>
                </c:pt>
                <c:pt idx="13">
                  <c:v>Canada</c:v>
                </c:pt>
                <c:pt idx="14">
                  <c:v>Portugal</c:v>
                </c:pt>
                <c:pt idx="15">
                  <c:v>Italy</c:v>
                </c:pt>
                <c:pt idx="16">
                  <c:v>Slovenia</c:v>
                </c:pt>
                <c:pt idx="17">
                  <c:v>Ireland</c:v>
                </c:pt>
                <c:pt idx="18">
                  <c:v>Iceland</c:v>
                </c:pt>
                <c:pt idx="19">
                  <c:v>Japan</c:v>
                </c:pt>
                <c:pt idx="20">
                  <c:v>Germany</c:v>
                </c:pt>
                <c:pt idx="21">
                  <c:v>Belgium</c:v>
                </c:pt>
                <c:pt idx="22">
                  <c:v>France</c:v>
                </c:pt>
                <c:pt idx="23">
                  <c:v>Luxembourg</c:v>
                </c:pt>
                <c:pt idx="24">
                  <c:v>Sweden</c:v>
                </c:pt>
                <c:pt idx="25">
                  <c:v>Austria</c:v>
                </c:pt>
                <c:pt idx="26">
                  <c:v>Norway</c:v>
                </c:pt>
                <c:pt idx="27">
                  <c:v>Finland</c:v>
                </c:pt>
                <c:pt idx="28">
                  <c:v>Denmark</c:v>
                </c:pt>
              </c:strCache>
            </c:strRef>
          </c:cat>
          <c:val>
            <c:numRef>
              <c:f>'COFOG_OECD DAC_HIST'!$AA$188:$AA$216</c:f>
              <c:numCache>
                <c:formatCode>0.00</c:formatCode>
                <c:ptCount val="29"/>
                <c:pt idx="0">
                  <c:v>1.4232110811587673</c:v>
                </c:pt>
                <c:pt idx="1">
                  <c:v>0.49931673987310887</c:v>
                </c:pt>
                <c:pt idx="2">
                  <c:v>#N/A</c:v>
                </c:pt>
                <c:pt idx="3">
                  <c:v>0.83125932879208797</c:v>
                </c:pt>
                <c:pt idx="4">
                  <c:v>0.4815730511500349</c:v>
                </c:pt>
                <c:pt idx="5">
                  <c:v>0.55309052234669565</c:v>
                </c:pt>
                <c:pt idx="6">
                  <c:v>#N/A</c:v>
                </c:pt>
                <c:pt idx="7">
                  <c:v>0.69298144529980799</c:v>
                </c:pt>
                <c:pt idx="8">
                  <c:v>0.48216614845104749</c:v>
                </c:pt>
                <c:pt idx="9">
                  <c:v>0.48031630888617116</c:v>
                </c:pt>
                <c:pt idx="10">
                  <c:v>0.20436604571244915</c:v>
                </c:pt>
                <c:pt idx="11">
                  <c:v>0.9739499327445692</c:v>
                </c:pt>
                <c:pt idx="12">
                  <c:v>0.59416575125106796</c:v>
                </c:pt>
                <c:pt idx="13">
                  <c:v>0.72034183235460214</c:v>
                </c:pt>
                <c:pt idx="14">
                  <c:v>0.22988051470588236</c:v>
                </c:pt>
                <c:pt idx="15">
                  <c:v>0.4219414869913089</c:v>
                </c:pt>
                <c:pt idx="16">
                  <c:v>0.22984372703669231</c:v>
                </c:pt>
                <c:pt idx="17">
                  <c:v>0.44593020474550321</c:v>
                </c:pt>
                <c:pt idx="18">
                  <c:v>0.23777575693604311</c:v>
                </c:pt>
                <c:pt idx="19">
                  <c:v>0</c:v>
                </c:pt>
                <c:pt idx="20">
                  <c:v>0.21492000076584825</c:v>
                </c:pt>
                <c:pt idx="21">
                  <c:v>0.19953619998427796</c:v>
                </c:pt>
                <c:pt idx="22">
                  <c:v>0.37999058574814404</c:v>
                </c:pt>
                <c:pt idx="23">
                  <c:v>0.45541963620891401</c:v>
                </c:pt>
                <c:pt idx="24">
                  <c:v>0.41134924922571897</c:v>
                </c:pt>
                <c:pt idx="25">
                  <c:v>0.41026525700997762</c:v>
                </c:pt>
                <c:pt idx="26">
                  <c:v>0.18356801446841495</c:v>
                </c:pt>
                <c:pt idx="27">
                  <c:v>0.19429432126179669</c:v>
                </c:pt>
                <c:pt idx="28">
                  <c:v>0.37557798342630511</c:v>
                </c:pt>
              </c:numCache>
            </c:numRef>
          </c:val>
          <c:extLst>
            <c:ext xmlns:c16="http://schemas.microsoft.com/office/drawing/2014/chart" uri="{C3380CC4-5D6E-409C-BE32-E72D297353CC}">
              <c16:uniqueId val="{00000004-2088-4AB5-AF53-9F4F983EBECF}"/>
            </c:ext>
          </c:extLst>
        </c:ser>
        <c:ser>
          <c:idx val="5"/>
          <c:order val="5"/>
          <c:tx>
            <c:strRef>
              <c:f>'COFOG_OECD DAC_HIST'!$AB$187</c:f>
              <c:strCache>
                <c:ptCount val="1"/>
                <c:pt idx="0">
                  <c:v>Other</c:v>
                </c:pt>
              </c:strCache>
            </c:strRef>
          </c:tx>
          <c:spPr>
            <a:solidFill>
              <a:schemeClr val="accent6"/>
            </a:solidFill>
            <a:ln>
              <a:noFill/>
            </a:ln>
            <a:effectLst/>
          </c:spPr>
          <c:invertIfNegative val="0"/>
          <c:cat>
            <c:strRef>
              <c:f>'COFOG_OECD DAC_HIST'!$V$188:$V$216</c:f>
              <c:strCache>
                <c:ptCount val="29"/>
                <c:pt idx="0">
                  <c:v>United States</c:v>
                </c:pt>
                <c:pt idx="1">
                  <c:v>Slovak Rep.</c:v>
                </c:pt>
                <c:pt idx="2">
                  <c:v>Korea</c:v>
                </c:pt>
                <c:pt idx="3">
                  <c:v>Australia</c:v>
                </c:pt>
                <c:pt idx="4">
                  <c:v>Poland</c:v>
                </c:pt>
                <c:pt idx="5">
                  <c:v>United Kingdom</c:v>
                </c:pt>
                <c:pt idx="6">
                  <c:v>New Zealand</c:v>
                </c:pt>
                <c:pt idx="7">
                  <c:v>Hungary</c:v>
                </c:pt>
                <c:pt idx="8">
                  <c:v>Spain</c:v>
                </c:pt>
                <c:pt idx="9">
                  <c:v>Czech Rep.</c:v>
                </c:pt>
                <c:pt idx="10">
                  <c:v>Greece</c:v>
                </c:pt>
                <c:pt idx="11">
                  <c:v>Netherlands</c:v>
                </c:pt>
                <c:pt idx="12">
                  <c:v>Switzerland</c:v>
                </c:pt>
                <c:pt idx="13">
                  <c:v>Canada</c:v>
                </c:pt>
                <c:pt idx="14">
                  <c:v>Portugal</c:v>
                </c:pt>
                <c:pt idx="15">
                  <c:v>Italy</c:v>
                </c:pt>
                <c:pt idx="16">
                  <c:v>Slovenia</c:v>
                </c:pt>
                <c:pt idx="17">
                  <c:v>Ireland</c:v>
                </c:pt>
                <c:pt idx="18">
                  <c:v>Iceland</c:v>
                </c:pt>
                <c:pt idx="19">
                  <c:v>Japan</c:v>
                </c:pt>
                <c:pt idx="20">
                  <c:v>Germany</c:v>
                </c:pt>
                <c:pt idx="21">
                  <c:v>Belgium</c:v>
                </c:pt>
                <c:pt idx="22">
                  <c:v>France</c:v>
                </c:pt>
                <c:pt idx="23">
                  <c:v>Luxembourg</c:v>
                </c:pt>
                <c:pt idx="24">
                  <c:v>Sweden</c:v>
                </c:pt>
                <c:pt idx="25">
                  <c:v>Austria</c:v>
                </c:pt>
                <c:pt idx="26">
                  <c:v>Norway</c:v>
                </c:pt>
                <c:pt idx="27">
                  <c:v>Finland</c:v>
                </c:pt>
                <c:pt idx="28">
                  <c:v>Denmark</c:v>
                </c:pt>
              </c:strCache>
            </c:strRef>
          </c:cat>
          <c:val>
            <c:numRef>
              <c:f>'COFOG_OECD DAC_HIST'!$AB$188:$AB$216</c:f>
              <c:numCache>
                <c:formatCode>0.00</c:formatCode>
                <c:ptCount val="29"/>
                <c:pt idx="0">
                  <c:v>0</c:v>
                </c:pt>
                <c:pt idx="1">
                  <c:v>1.7476085895558811</c:v>
                </c:pt>
                <c:pt idx="2">
                  <c:v>#N/A</c:v>
                </c:pt>
                <c:pt idx="3">
                  <c:v>0.83125932879208797</c:v>
                </c:pt>
                <c:pt idx="4">
                  <c:v>0.48157305115003446</c:v>
                </c:pt>
                <c:pt idx="5">
                  <c:v>0.27654526117334743</c:v>
                </c:pt>
                <c:pt idx="6">
                  <c:v>#N/A</c:v>
                </c:pt>
                <c:pt idx="7">
                  <c:v>0.23099381509993666</c:v>
                </c:pt>
                <c:pt idx="8">
                  <c:v>0</c:v>
                </c:pt>
                <c:pt idx="9">
                  <c:v>0.72047446332925702</c:v>
                </c:pt>
                <c:pt idx="10">
                  <c:v>0.20436604571244832</c:v>
                </c:pt>
                <c:pt idx="11">
                  <c:v>0.48697496637228532</c:v>
                </c:pt>
                <c:pt idx="12">
                  <c:v>0.89124862687660267</c:v>
                </c:pt>
                <c:pt idx="13">
                  <c:v>0.48022788823640106</c:v>
                </c:pt>
                <c:pt idx="14">
                  <c:v>0.459761029411764</c:v>
                </c:pt>
                <c:pt idx="15">
                  <c:v>0.21097074349565492</c:v>
                </c:pt>
                <c:pt idx="16">
                  <c:v>0.22984372703669154</c:v>
                </c:pt>
                <c:pt idx="17">
                  <c:v>8.8817841970012523E-16</c:v>
                </c:pt>
                <c:pt idx="18">
                  <c:v>0.71332727080812974</c:v>
                </c:pt>
                <c:pt idx="19">
                  <c:v>0.28114192156733697</c:v>
                </c:pt>
                <c:pt idx="20">
                  <c:v>0.21492000076584805</c:v>
                </c:pt>
                <c:pt idx="21">
                  <c:v>0.1995361999842773</c:v>
                </c:pt>
                <c:pt idx="22">
                  <c:v>0.1899952928740718</c:v>
                </c:pt>
                <c:pt idx="23">
                  <c:v>0.22770981810445701</c:v>
                </c:pt>
                <c:pt idx="24">
                  <c:v>0</c:v>
                </c:pt>
                <c:pt idx="25">
                  <c:v>0</c:v>
                </c:pt>
                <c:pt idx="26">
                  <c:v>0.18356801446841509</c:v>
                </c:pt>
                <c:pt idx="27">
                  <c:v>0.19429432126179647</c:v>
                </c:pt>
                <c:pt idx="28">
                  <c:v>0</c:v>
                </c:pt>
              </c:numCache>
            </c:numRef>
          </c:val>
          <c:extLst>
            <c:ext xmlns:c16="http://schemas.microsoft.com/office/drawing/2014/chart" uri="{C3380CC4-5D6E-409C-BE32-E72D297353CC}">
              <c16:uniqueId val="{00000005-2088-4AB5-AF53-9F4F983EBECF}"/>
            </c:ext>
          </c:extLst>
        </c:ser>
        <c:ser>
          <c:idx val="6"/>
          <c:order val="6"/>
          <c:tx>
            <c:strRef>
              <c:f>'COFOG_OECD DAC_HIST'!$AC$187</c:f>
              <c:strCache>
                <c:ptCount val="1"/>
                <c:pt idx="0">
                  <c:v>Expenditure on public order &amp; safety (not disaggregated)</c:v>
                </c:pt>
              </c:strCache>
            </c:strRef>
          </c:tx>
          <c:spPr>
            <a:solidFill>
              <a:schemeClr val="accent1">
                <a:lumMod val="60000"/>
              </a:schemeClr>
            </a:solidFill>
            <a:ln>
              <a:noFill/>
            </a:ln>
            <a:effectLst/>
          </c:spPr>
          <c:invertIfNegative val="0"/>
          <c:cat>
            <c:strRef>
              <c:f>'COFOG_OECD DAC_HIST'!$V$188:$V$216</c:f>
              <c:strCache>
                <c:ptCount val="29"/>
                <c:pt idx="0">
                  <c:v>United States</c:v>
                </c:pt>
                <c:pt idx="1">
                  <c:v>Slovak Rep.</c:v>
                </c:pt>
                <c:pt idx="2">
                  <c:v>Korea</c:v>
                </c:pt>
                <c:pt idx="3">
                  <c:v>Australia</c:v>
                </c:pt>
                <c:pt idx="4">
                  <c:v>Poland</c:v>
                </c:pt>
                <c:pt idx="5">
                  <c:v>United Kingdom</c:v>
                </c:pt>
                <c:pt idx="6">
                  <c:v>New Zealand</c:v>
                </c:pt>
                <c:pt idx="7">
                  <c:v>Hungary</c:v>
                </c:pt>
                <c:pt idx="8">
                  <c:v>Spain</c:v>
                </c:pt>
                <c:pt idx="9">
                  <c:v>Czech Rep.</c:v>
                </c:pt>
                <c:pt idx="10">
                  <c:v>Greece</c:v>
                </c:pt>
                <c:pt idx="11">
                  <c:v>Netherlands</c:v>
                </c:pt>
                <c:pt idx="12">
                  <c:v>Switzerland</c:v>
                </c:pt>
                <c:pt idx="13">
                  <c:v>Canada</c:v>
                </c:pt>
                <c:pt idx="14">
                  <c:v>Portugal</c:v>
                </c:pt>
                <c:pt idx="15">
                  <c:v>Italy</c:v>
                </c:pt>
                <c:pt idx="16">
                  <c:v>Slovenia</c:v>
                </c:pt>
                <c:pt idx="17">
                  <c:v>Ireland</c:v>
                </c:pt>
                <c:pt idx="18">
                  <c:v>Iceland</c:v>
                </c:pt>
                <c:pt idx="19">
                  <c:v>Japan</c:v>
                </c:pt>
                <c:pt idx="20">
                  <c:v>Germany</c:v>
                </c:pt>
                <c:pt idx="21">
                  <c:v>Belgium</c:v>
                </c:pt>
                <c:pt idx="22">
                  <c:v>France</c:v>
                </c:pt>
                <c:pt idx="23">
                  <c:v>Luxembourg</c:v>
                </c:pt>
                <c:pt idx="24">
                  <c:v>Sweden</c:v>
                </c:pt>
                <c:pt idx="25">
                  <c:v>Austria</c:v>
                </c:pt>
                <c:pt idx="26">
                  <c:v>Norway</c:v>
                </c:pt>
                <c:pt idx="27">
                  <c:v>Finland</c:v>
                </c:pt>
                <c:pt idx="28">
                  <c:v>Denmark</c:v>
                </c:pt>
              </c:strCache>
            </c:strRef>
          </c:cat>
          <c:val>
            <c:numRef>
              <c:f>'COFOG_OECD DAC_HIST'!$AC$188:$AC$216</c:f>
              <c:numCache>
                <c:formatCode>0.00</c:formatCode>
                <c:ptCount val="29"/>
                <c:pt idx="0">
                  <c:v>0</c:v>
                </c:pt>
                <c:pt idx="1">
                  <c:v>0</c:v>
                </c:pt>
                <c:pt idx="2">
                  <c:v>5.5826616010953236</c:v>
                </c:pt>
                <c:pt idx="3">
                  <c:v>0</c:v>
                </c:pt>
                <c:pt idx="4">
                  <c:v>0</c:v>
                </c:pt>
                <c:pt idx="5">
                  <c:v>0</c:v>
                </c:pt>
                <c:pt idx="6">
                  <c:v>5.3123335491219583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2088-4AB5-AF53-9F4F983EBECF}"/>
            </c:ext>
          </c:extLst>
        </c:ser>
        <c:dLbls>
          <c:showLegendKey val="0"/>
          <c:showVal val="0"/>
          <c:showCatName val="0"/>
          <c:showSerName val="0"/>
          <c:showPercent val="0"/>
          <c:showBubbleSize val="0"/>
        </c:dLbls>
        <c:gapWidth val="150"/>
        <c:overlap val="100"/>
        <c:axId val="1738018287"/>
        <c:axId val="1738000399"/>
        <c:extLst>
          <c:ext xmlns:c15="http://schemas.microsoft.com/office/drawing/2012/chart" uri="{02D57815-91ED-43cb-92C2-25804820EDAC}">
            <c15:filteredBarSeries>
              <c15:ser>
                <c:idx val="0"/>
                <c:order val="0"/>
                <c:tx>
                  <c:strRef>
                    <c:extLst>
                      <c:ext uri="{02D57815-91ED-43cb-92C2-25804820EDAC}">
                        <c15:formulaRef>
                          <c15:sqref>'COFOG_OECD DAC_HIST'!$W$187</c15:sqref>
                        </c15:formulaRef>
                      </c:ext>
                    </c:extLst>
                    <c:strCache>
                      <c:ptCount val="1"/>
                      <c:pt idx="0">
                        <c:v>Expenditure on public order &amp; safety</c:v>
                      </c:pt>
                    </c:strCache>
                  </c:strRef>
                </c:tx>
                <c:spPr>
                  <a:solidFill>
                    <a:schemeClr val="accent1"/>
                  </a:solidFill>
                  <a:ln>
                    <a:noFill/>
                  </a:ln>
                  <a:effectLst/>
                </c:spPr>
                <c:invertIfNegative val="0"/>
                <c:cat>
                  <c:strRef>
                    <c:extLst>
                      <c:ext uri="{02D57815-91ED-43cb-92C2-25804820EDAC}">
                        <c15:formulaRef>
                          <c15:sqref>'COFOG_OECD DAC_HIST'!$V$188:$V$216</c15:sqref>
                        </c15:formulaRef>
                      </c:ext>
                    </c:extLst>
                    <c:strCache>
                      <c:ptCount val="29"/>
                      <c:pt idx="0">
                        <c:v>United States</c:v>
                      </c:pt>
                      <c:pt idx="1">
                        <c:v>Slovak Rep.</c:v>
                      </c:pt>
                      <c:pt idx="2">
                        <c:v>Korea</c:v>
                      </c:pt>
                      <c:pt idx="3">
                        <c:v>Australia</c:v>
                      </c:pt>
                      <c:pt idx="4">
                        <c:v>Poland</c:v>
                      </c:pt>
                      <c:pt idx="5">
                        <c:v>United Kingdom</c:v>
                      </c:pt>
                      <c:pt idx="6">
                        <c:v>New Zealand</c:v>
                      </c:pt>
                      <c:pt idx="7">
                        <c:v>Hungary</c:v>
                      </c:pt>
                      <c:pt idx="8">
                        <c:v>Spain</c:v>
                      </c:pt>
                      <c:pt idx="9">
                        <c:v>Czech Rep.</c:v>
                      </c:pt>
                      <c:pt idx="10">
                        <c:v>Greece</c:v>
                      </c:pt>
                      <c:pt idx="11">
                        <c:v>Netherlands</c:v>
                      </c:pt>
                      <c:pt idx="12">
                        <c:v>Switzerland</c:v>
                      </c:pt>
                      <c:pt idx="13">
                        <c:v>Canada</c:v>
                      </c:pt>
                      <c:pt idx="14">
                        <c:v>Portugal</c:v>
                      </c:pt>
                      <c:pt idx="15">
                        <c:v>Italy</c:v>
                      </c:pt>
                      <c:pt idx="16">
                        <c:v>Slovenia</c:v>
                      </c:pt>
                      <c:pt idx="17">
                        <c:v>Ireland</c:v>
                      </c:pt>
                      <c:pt idx="18">
                        <c:v>Iceland</c:v>
                      </c:pt>
                      <c:pt idx="19">
                        <c:v>Japan</c:v>
                      </c:pt>
                      <c:pt idx="20">
                        <c:v>Germany</c:v>
                      </c:pt>
                      <c:pt idx="21">
                        <c:v>Belgium</c:v>
                      </c:pt>
                      <c:pt idx="22">
                        <c:v>France</c:v>
                      </c:pt>
                      <c:pt idx="23">
                        <c:v>Luxembourg</c:v>
                      </c:pt>
                      <c:pt idx="24">
                        <c:v>Sweden</c:v>
                      </c:pt>
                      <c:pt idx="25">
                        <c:v>Austria</c:v>
                      </c:pt>
                      <c:pt idx="26">
                        <c:v>Norway</c:v>
                      </c:pt>
                      <c:pt idx="27">
                        <c:v>Finland</c:v>
                      </c:pt>
                      <c:pt idx="28">
                        <c:v>Denmark</c:v>
                      </c:pt>
                    </c:strCache>
                  </c:strRef>
                </c:cat>
                <c:val>
                  <c:numRef>
                    <c:extLst>
                      <c:ext uri="{02D57815-91ED-43cb-92C2-25804820EDAC}">
                        <c15:formulaRef>
                          <c15:sqref>'COFOG_OECD DAC_HIST'!$W$188:$W$216</c15:sqref>
                        </c15:formulaRef>
                      </c:ext>
                    </c:extLst>
                    <c:numCache>
                      <c:formatCode>0.00</c:formatCode>
                      <c:ptCount val="29"/>
                      <c:pt idx="0">
                        <c:v>6.3624993202457985</c:v>
                      </c:pt>
                      <c:pt idx="1">
                        <c:v>6.2414592484138609</c:v>
                      </c:pt>
                      <c:pt idx="2">
                        <c:v>5.5826616010953236</c:v>
                      </c:pt>
                      <c:pt idx="3">
                        <c:v>5.5417288586139204</c:v>
                      </c:pt>
                      <c:pt idx="4">
                        <c:v>5.5380900882254007</c:v>
                      </c:pt>
                      <c:pt idx="5">
                        <c:v>5.5309052234669567</c:v>
                      </c:pt>
                      <c:pt idx="6">
                        <c:v>5.3123335491219583</c:v>
                      </c:pt>
                      <c:pt idx="7">
                        <c:v>5.0818639321985932</c:v>
                      </c:pt>
                      <c:pt idx="8">
                        <c:v>5.0627445587359983</c:v>
                      </c:pt>
                      <c:pt idx="9">
                        <c:v>5.0433212433047965</c:v>
                      </c:pt>
                      <c:pt idx="10">
                        <c:v>4.9047850970987783</c:v>
                      </c:pt>
                      <c:pt idx="11">
                        <c:v>4.8697496637228461</c:v>
                      </c:pt>
                      <c:pt idx="12">
                        <c:v>4.7533260100085437</c:v>
                      </c:pt>
                      <c:pt idx="13">
                        <c:v>4.5621649382458136</c:v>
                      </c:pt>
                      <c:pt idx="14">
                        <c:v>4.3677297794117642</c:v>
                      </c:pt>
                      <c:pt idx="15">
                        <c:v>4.2194148699130887</c:v>
                      </c:pt>
                      <c:pt idx="16">
                        <c:v>4.137187086660461</c:v>
                      </c:pt>
                      <c:pt idx="17">
                        <c:v>4.01337184270953</c:v>
                      </c:pt>
                      <c:pt idx="18">
                        <c:v>3.8044121109766897</c:v>
                      </c:pt>
                      <c:pt idx="19">
                        <c:v>3.6548449803753784</c:v>
                      </c:pt>
                      <c:pt idx="20">
                        <c:v>3.65364001301942</c:v>
                      </c:pt>
                      <c:pt idx="21">
                        <c:v>3.5916515997170029</c:v>
                      </c:pt>
                      <c:pt idx="22">
                        <c:v>3.4199152717332959</c:v>
                      </c:pt>
                      <c:pt idx="23">
                        <c:v>2.9602276353579406</c:v>
                      </c:pt>
                      <c:pt idx="24">
                        <c:v>2.8794447445800326</c:v>
                      </c:pt>
                      <c:pt idx="25">
                        <c:v>2.8718567990698429</c:v>
                      </c:pt>
                      <c:pt idx="26">
                        <c:v>2.3863841880893943</c:v>
                      </c:pt>
                      <c:pt idx="27">
                        <c:v>2.3315318551415598</c:v>
                      </c:pt>
                      <c:pt idx="28">
                        <c:v>1.8778899171315255</c:v>
                      </c:pt>
                    </c:numCache>
                  </c:numRef>
                </c:val>
                <c:extLst>
                  <c:ext xmlns:c16="http://schemas.microsoft.com/office/drawing/2014/chart" uri="{C3380CC4-5D6E-409C-BE32-E72D297353CC}">
                    <c16:uniqueId val="{00000000-2088-4AB5-AF53-9F4F983EBECF}"/>
                  </c:ext>
                </c:extLst>
              </c15:ser>
            </c15:filteredBarSeries>
          </c:ext>
        </c:extLst>
      </c:barChart>
      <c:catAx>
        <c:axId val="1738018287"/>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000399"/>
        <c:crosses val="autoZero"/>
        <c:auto val="1"/>
        <c:lblAlgn val="ctr"/>
        <c:lblOffset val="100"/>
        <c:noMultiLvlLbl val="0"/>
      </c:catAx>
      <c:valAx>
        <c:axId val="1738000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018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Composition of Government Expenditure</a:t>
            </a:r>
            <a:r>
              <a:rPr lang="en-GB" baseline="0"/>
              <a:t> on justice in the OECD DAC 2000-2020</a:t>
            </a:r>
            <a:endParaRPr lang="en-GB"/>
          </a:p>
        </c:rich>
      </c:tx>
      <c:overlay val="0"/>
      <c:spPr>
        <a:noFill/>
        <a:ln>
          <a:noFill/>
        </a:ln>
        <a:effectLst/>
      </c:spPr>
    </c:title>
    <c:autoTitleDeleted val="0"/>
    <c:plotArea>
      <c:layout/>
      <c:lineChart>
        <c:grouping val="standard"/>
        <c:varyColors val="0"/>
        <c:ser>
          <c:idx val="2"/>
          <c:order val="1"/>
          <c:tx>
            <c:strRef>
              <c:f>'COFOG_OECD DAC_HIST'!$C$142</c:f>
              <c:strCache>
                <c:ptCount val="1"/>
                <c:pt idx="0">
                  <c:v>Expenditure on fire protection services (left axis)</c:v>
                </c:pt>
              </c:strCache>
            </c:strRef>
          </c:tx>
          <c:spPr>
            <a:ln w="28575" cap="rnd">
              <a:solidFill>
                <a:schemeClr val="accent1"/>
              </a:solidFill>
              <a:prstDash val="dashDot"/>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DAC_HIST'!$D$142:$W$142</c:f>
              <c:numCache>
                <c:formatCode>0.00</c:formatCode>
                <c:ptCount val="20"/>
                <c:pt idx="0">
                  <c:v>0.44770064404663984</c:v>
                </c:pt>
                <c:pt idx="1">
                  <c:v>0.48306219597914102</c:v>
                </c:pt>
                <c:pt idx="2">
                  <c:v>0.46125137978264646</c:v>
                </c:pt>
                <c:pt idx="3">
                  <c:v>0.44704117854982778</c:v>
                </c:pt>
                <c:pt idx="4">
                  <c:v>0.4500339567487463</c:v>
                </c:pt>
                <c:pt idx="5">
                  <c:v>0.44785795194060518</c:v>
                </c:pt>
                <c:pt idx="6">
                  <c:v>0.46642041832624564</c:v>
                </c:pt>
                <c:pt idx="7">
                  <c:v>0.47342586133753312</c:v>
                </c:pt>
                <c:pt idx="8">
                  <c:v>0.5325143483372915</c:v>
                </c:pt>
                <c:pt idx="9">
                  <c:v>0.51412269493949259</c:v>
                </c:pt>
                <c:pt idx="10">
                  <c:v>0.48527318629476579</c:v>
                </c:pt>
                <c:pt idx="11">
                  <c:v>0.48757397531652774</c:v>
                </c:pt>
                <c:pt idx="12">
                  <c:v>0.49291753784416276</c:v>
                </c:pt>
                <c:pt idx="13">
                  <c:v>0.46695504355134182</c:v>
                </c:pt>
                <c:pt idx="14">
                  <c:v>0.48339812036229274</c:v>
                </c:pt>
                <c:pt idx="15">
                  <c:v>0.44500147031972864</c:v>
                </c:pt>
                <c:pt idx="16">
                  <c:v>0.45643691160532901</c:v>
                </c:pt>
                <c:pt idx="17">
                  <c:v>0.47881773134733147</c:v>
                </c:pt>
                <c:pt idx="18">
                  <c:v>0.49852603925638472</c:v>
                </c:pt>
                <c:pt idx="19">
                  <c:v>0.52819838458230273</c:v>
                </c:pt>
              </c:numCache>
            </c:numRef>
          </c:val>
          <c:smooth val="0"/>
          <c:extLst>
            <c:ext xmlns:c16="http://schemas.microsoft.com/office/drawing/2014/chart" uri="{C3380CC4-5D6E-409C-BE32-E72D297353CC}">
              <c16:uniqueId val="{00000006-06C2-49E0-9CD2-DE6654D1CC36}"/>
            </c:ext>
          </c:extLst>
        </c:ser>
        <c:ser>
          <c:idx val="3"/>
          <c:order val="2"/>
          <c:tx>
            <c:strRef>
              <c:f>'COFOG_OECD DAC_HIST'!$C$143</c:f>
              <c:strCache>
                <c:ptCount val="1"/>
                <c:pt idx="0">
                  <c:v>Expenditure on law courts (left axis)</c:v>
                </c:pt>
              </c:strCache>
            </c:strRef>
          </c:tx>
          <c:spPr>
            <a:ln w="28575" cap="rnd">
              <a:solidFill>
                <a:schemeClr val="accent1"/>
              </a:solidFill>
              <a:prstDash val="dash"/>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DAC_HIST'!$D$143:$W$143</c:f>
              <c:numCache>
                <c:formatCode>0.00</c:formatCode>
                <c:ptCount val="20"/>
                <c:pt idx="0">
                  <c:v>0.76826739664391808</c:v>
                </c:pt>
                <c:pt idx="1">
                  <c:v>0.82106717561924203</c:v>
                </c:pt>
                <c:pt idx="2">
                  <c:v>0.81655839591610213</c:v>
                </c:pt>
                <c:pt idx="3">
                  <c:v>0.81048243390809593</c:v>
                </c:pt>
                <c:pt idx="4">
                  <c:v>0.75896636653048166</c:v>
                </c:pt>
                <c:pt idx="5">
                  <c:v>0.73671191617088527</c:v>
                </c:pt>
                <c:pt idx="6">
                  <c:v>0.72680742133417842</c:v>
                </c:pt>
                <c:pt idx="7">
                  <c:v>0.7528650966314131</c:v>
                </c:pt>
                <c:pt idx="8">
                  <c:v>0.82409446710626455</c:v>
                </c:pt>
                <c:pt idx="9">
                  <c:v>0.81341672340178561</c:v>
                </c:pt>
                <c:pt idx="10">
                  <c:v>0.79058317890245722</c:v>
                </c:pt>
                <c:pt idx="11">
                  <c:v>0.75968162089449354</c:v>
                </c:pt>
                <c:pt idx="12">
                  <c:v>0.73510591552541038</c:v>
                </c:pt>
                <c:pt idx="13">
                  <c:v>0.7253229902099313</c:v>
                </c:pt>
                <c:pt idx="14">
                  <c:v>0.69905195087362759</c:v>
                </c:pt>
                <c:pt idx="15">
                  <c:v>0.70967463787239715</c:v>
                </c:pt>
                <c:pt idx="16">
                  <c:v>0.71405426686557982</c:v>
                </c:pt>
                <c:pt idx="17">
                  <c:v>0.70111826169109837</c:v>
                </c:pt>
                <c:pt idx="18">
                  <c:v>0.71147705924336013</c:v>
                </c:pt>
                <c:pt idx="19">
                  <c:v>0.74683518421261941</c:v>
                </c:pt>
              </c:numCache>
            </c:numRef>
          </c:val>
          <c:smooth val="0"/>
          <c:extLst>
            <c:ext xmlns:c16="http://schemas.microsoft.com/office/drawing/2014/chart" uri="{C3380CC4-5D6E-409C-BE32-E72D297353CC}">
              <c16:uniqueId val="{00000008-06C2-49E0-9CD2-DE6654D1CC36}"/>
            </c:ext>
          </c:extLst>
        </c:ser>
        <c:ser>
          <c:idx val="4"/>
          <c:order val="3"/>
          <c:tx>
            <c:strRef>
              <c:f>'COFOG_OECD DAC_HIST'!$C$144</c:f>
              <c:strCache>
                <c:ptCount val="1"/>
                <c:pt idx="0">
                  <c:v>Expenditure on prisons (left axis)</c:v>
                </c:pt>
              </c:strCache>
            </c:strRef>
          </c:tx>
          <c:spPr>
            <a:ln w="28575" cap="rnd">
              <a:solidFill>
                <a:schemeClr val="accent1"/>
              </a:solidFill>
              <a:prstDash val="sysDash"/>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DAC_HIST'!$D$144:$W$144</c:f>
              <c:numCache>
                <c:formatCode>0.00</c:formatCode>
                <c:ptCount val="20"/>
                <c:pt idx="0">
                  <c:v>0.45202723126893951</c:v>
                </c:pt>
                <c:pt idx="1">
                  <c:v>0.48154732208001638</c:v>
                </c:pt>
                <c:pt idx="2">
                  <c:v>0.46769808075881986</c:v>
                </c:pt>
                <c:pt idx="3">
                  <c:v>0.46600861924477077</c:v>
                </c:pt>
                <c:pt idx="4">
                  <c:v>0.44951657335369138</c:v>
                </c:pt>
                <c:pt idx="5">
                  <c:v>0.42332763393377359</c:v>
                </c:pt>
                <c:pt idx="6">
                  <c:v>0.41813429732597418</c:v>
                </c:pt>
                <c:pt idx="7">
                  <c:v>0.44870511122172979</c:v>
                </c:pt>
                <c:pt idx="8">
                  <c:v>0.46081648420791899</c:v>
                </c:pt>
                <c:pt idx="9">
                  <c:v>0.47296664872675248</c:v>
                </c:pt>
                <c:pt idx="10">
                  <c:v>0.46456673802072296</c:v>
                </c:pt>
                <c:pt idx="11">
                  <c:v>0.43642432873821779</c:v>
                </c:pt>
                <c:pt idx="12">
                  <c:v>0.45166595982457136</c:v>
                </c:pt>
                <c:pt idx="13">
                  <c:v>0.43454505848618047</c:v>
                </c:pt>
                <c:pt idx="14">
                  <c:v>0.43625950856674806</c:v>
                </c:pt>
                <c:pt idx="15">
                  <c:v>0.43468420196664503</c:v>
                </c:pt>
                <c:pt idx="16">
                  <c:v>0.42785378046647821</c:v>
                </c:pt>
                <c:pt idx="17">
                  <c:v>0.41568555999835799</c:v>
                </c:pt>
                <c:pt idx="18">
                  <c:v>0.41501284968327118</c:v>
                </c:pt>
                <c:pt idx="19">
                  <c:v>0.45655670839019397</c:v>
                </c:pt>
              </c:numCache>
            </c:numRef>
          </c:val>
          <c:smooth val="0"/>
          <c:extLst>
            <c:ext xmlns:c16="http://schemas.microsoft.com/office/drawing/2014/chart" uri="{C3380CC4-5D6E-409C-BE32-E72D297353CC}">
              <c16:uniqueId val="{0000000A-06C2-49E0-9CD2-DE6654D1CC36}"/>
            </c:ext>
          </c:extLst>
        </c:ser>
        <c:dLbls>
          <c:showLegendKey val="0"/>
          <c:showVal val="0"/>
          <c:showCatName val="0"/>
          <c:showSerName val="0"/>
          <c:showPercent val="0"/>
          <c:showBubbleSize val="0"/>
        </c:dLbls>
        <c:marker val="1"/>
        <c:smooth val="0"/>
        <c:axId val="1777888799"/>
        <c:axId val="1777889215"/>
      </c:lineChart>
      <c:lineChart>
        <c:grouping val="standard"/>
        <c:varyColors val="0"/>
        <c:ser>
          <c:idx val="1"/>
          <c:order val="0"/>
          <c:tx>
            <c:strRef>
              <c:f>'COFOG_OECD DAC_HIST'!$C$141</c:f>
              <c:strCache>
                <c:ptCount val="1"/>
                <c:pt idx="0">
                  <c:v>Expenditure on police services (right axis)</c:v>
                </c:pt>
              </c:strCache>
            </c:strRef>
          </c:tx>
          <c:spPr>
            <a:ln w="28575" cap="rnd">
              <a:solidFill>
                <a:schemeClr val="accent1"/>
              </a:solidFill>
              <a:round/>
            </a:ln>
            <a:effectLst/>
          </c:spPr>
          <c:marker>
            <c:symbol val="none"/>
          </c:marker>
          <c:cat>
            <c:numRef>
              <c:f>'COFOG_OECD DAC_HIST'!$D$139:$W$139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'COFOG_OECD DAC_HIST'!$D$141:$W$141</c:f>
              <c:numCache>
                <c:formatCode>0.00</c:formatCode>
                <c:ptCount val="20"/>
                <c:pt idx="0">
                  <c:v>2.1237143199957109</c:v>
                </c:pt>
                <c:pt idx="1">
                  <c:v>2.1708915165192613</c:v>
                </c:pt>
                <c:pt idx="2">
                  <c:v>2.1443969946945969</c:v>
                </c:pt>
                <c:pt idx="3">
                  <c:v>2.1334260567764383</c:v>
                </c:pt>
                <c:pt idx="4">
                  <c:v>2.0789701852517228</c:v>
                </c:pt>
                <c:pt idx="5">
                  <c:v>2.0599581148957014</c:v>
                </c:pt>
                <c:pt idx="6">
                  <c:v>2.0524668352617197</c:v>
                </c:pt>
                <c:pt idx="7">
                  <c:v>2.0989976997997721</c:v>
                </c:pt>
                <c:pt idx="8">
                  <c:v>2.2868361511541337</c:v>
                </c:pt>
                <c:pt idx="9">
                  <c:v>2.2202244997446456</c:v>
                </c:pt>
                <c:pt idx="10">
                  <c:v>2.1507424917442828</c:v>
                </c:pt>
                <c:pt idx="11">
                  <c:v>2.0500241486150874</c:v>
                </c:pt>
                <c:pt idx="12">
                  <c:v>2.0337903939554653</c:v>
                </c:pt>
                <c:pt idx="13">
                  <c:v>1.9724306294374157</c:v>
                </c:pt>
                <c:pt idx="14">
                  <c:v>1.9613051866932614</c:v>
                </c:pt>
                <c:pt idx="15">
                  <c:v>1.986833889681336</c:v>
                </c:pt>
                <c:pt idx="16">
                  <c:v>2.0141619240071145</c:v>
                </c:pt>
                <c:pt idx="17">
                  <c:v>2.0012220677252803</c:v>
                </c:pt>
                <c:pt idx="18">
                  <c:v>2.0168621831153568</c:v>
                </c:pt>
                <c:pt idx="19">
                  <c:v>2.1348389632520934</c:v>
                </c:pt>
              </c:numCache>
            </c:numRef>
          </c:val>
          <c:smooth val="0"/>
          <c:extLst>
            <c:ext xmlns:c16="http://schemas.microsoft.com/office/drawing/2014/chart" uri="{C3380CC4-5D6E-409C-BE32-E72D297353CC}">
              <c16:uniqueId val="{0000000C-06C2-49E0-9CD2-DE6654D1CC36}"/>
            </c:ext>
          </c:extLst>
        </c:ser>
        <c:dLbls>
          <c:showLegendKey val="0"/>
          <c:showVal val="0"/>
          <c:showCatName val="0"/>
          <c:showSerName val="0"/>
          <c:showPercent val="0"/>
          <c:showBubbleSize val="0"/>
        </c:dLbls>
        <c:marker val="1"/>
        <c:smooth val="0"/>
        <c:axId val="2014914079"/>
        <c:axId val="2014905759"/>
      </c:lineChart>
      <c:catAx>
        <c:axId val="1777888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889215"/>
        <c:crosses val="autoZero"/>
        <c:auto val="1"/>
        <c:lblAlgn val="ctr"/>
        <c:lblOffset val="100"/>
        <c:noMultiLvlLbl val="0"/>
      </c:catAx>
      <c:valAx>
        <c:axId val="1777889215"/>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Government Revenue</a:t>
                </a:r>
              </a:p>
            </c:rich>
          </c:tx>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888799"/>
        <c:crosses val="autoZero"/>
        <c:crossBetween val="between"/>
      </c:valAx>
      <c:valAx>
        <c:axId val="2014905759"/>
        <c:scaling>
          <c:orientation val="minMax"/>
          <c:min val="1.8"/>
        </c:scaling>
        <c:delete val="0"/>
        <c:axPos val="r"/>
        <c:numFmt formatCode="0.00" sourceLinked="1"/>
        <c:majorTickMark val="out"/>
        <c:minorTickMark val="none"/>
        <c:tickLblPos val="nextTo"/>
        <c:crossAx val="2014914079"/>
        <c:crosses val="max"/>
        <c:crossBetween val="between"/>
      </c:valAx>
      <c:catAx>
        <c:axId val="2014914079"/>
        <c:scaling>
          <c:orientation val="minMax"/>
        </c:scaling>
        <c:delete val="1"/>
        <c:axPos val="b"/>
        <c:numFmt formatCode="General" sourceLinked="1"/>
        <c:majorTickMark val="out"/>
        <c:minorTickMark val="none"/>
        <c:tickLblPos val="nextTo"/>
        <c:crossAx val="2014905759"/>
        <c:crosses val="autoZero"/>
        <c:auto val="1"/>
        <c:lblAlgn val="ctr"/>
        <c:lblOffset val="100"/>
        <c:noMultiLvlLbl val="0"/>
      </c:cat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'COFOG_OECD DAC_HIST'!$E$253</c:f>
              <c:strCache>
                <c:ptCount val="1"/>
                <c:pt idx="0">
                  <c:v>Government Revenue 2021</c:v>
                </c:pt>
              </c:strCache>
            </c:strRef>
          </c:tx>
          <c:spPr>
            <a:solidFill>
              <a:schemeClr val="accent1"/>
            </a:solidFill>
            <a:ln>
              <a:noFill/>
            </a:ln>
            <a:effectLst/>
          </c:spPr>
          <c:invertIfNegative val="0"/>
          <c:cat>
            <c:strRef>
              <c:f>'COFOG_OECD DAC_HIST'!$D$254:$D$282</c:f>
              <c:strCache>
                <c:ptCount val="29"/>
                <c:pt idx="0">
                  <c:v>France</c:v>
                </c:pt>
                <c:pt idx="1">
                  <c:v>Finland</c:v>
                </c:pt>
                <c:pt idx="2">
                  <c:v>Denmark</c:v>
                </c:pt>
                <c:pt idx="3">
                  <c:v>Norway</c:v>
                </c:pt>
                <c:pt idx="4">
                  <c:v>Austria</c:v>
                </c:pt>
                <c:pt idx="5">
                  <c:v>Sweden</c:v>
                </c:pt>
                <c:pt idx="6">
                  <c:v>Belgium</c:v>
                </c:pt>
                <c:pt idx="7">
                  <c:v>Greece</c:v>
                </c:pt>
                <c:pt idx="8">
                  <c:v>Italy</c:v>
                </c:pt>
                <c:pt idx="9">
                  <c:v>Germany</c:v>
                </c:pt>
                <c:pt idx="10">
                  <c:v>Portugal</c:v>
                </c:pt>
                <c:pt idx="11">
                  <c:v>Slovenia, Rep. of</c:v>
                </c:pt>
                <c:pt idx="12">
                  <c:v>Luxembourg</c:v>
                </c:pt>
                <c:pt idx="13">
                  <c:v>Spain</c:v>
                </c:pt>
                <c:pt idx="14">
                  <c:v>Slovak Rep.</c:v>
                </c:pt>
                <c:pt idx="15">
                  <c:v>Poland, Rep. of</c:v>
                </c:pt>
                <c:pt idx="16">
                  <c:v>Netherlands, The</c:v>
                </c:pt>
                <c:pt idx="17">
                  <c:v>Canada</c:v>
                </c:pt>
                <c:pt idx="18">
                  <c:v>Czech Rep.</c:v>
                </c:pt>
                <c:pt idx="19">
                  <c:v>Iceland</c:v>
                </c:pt>
                <c:pt idx="20">
                  <c:v>Hungary</c:v>
                </c:pt>
                <c:pt idx="21">
                  <c:v>New Zealand</c:v>
                </c:pt>
                <c:pt idx="22">
                  <c:v>United Kingdom</c:v>
                </c:pt>
                <c:pt idx="23">
                  <c:v>Japan</c:v>
                </c:pt>
                <c:pt idx="24">
                  <c:v>Australia</c:v>
                </c:pt>
                <c:pt idx="25">
                  <c:v>Switzerland</c:v>
                </c:pt>
                <c:pt idx="26">
                  <c:v>United States</c:v>
                </c:pt>
                <c:pt idx="27">
                  <c:v>Korea, Rep. of</c:v>
                </c:pt>
                <c:pt idx="28">
                  <c:v>Ireland</c:v>
                </c:pt>
              </c:strCache>
            </c:strRef>
          </c:cat>
          <c:val>
            <c:numRef>
              <c:f>'COFOG_OECD DAC_HIST'!$E$254:$E$282</c:f>
              <c:numCache>
                <c:formatCode>0</c:formatCode>
                <c:ptCount val="29"/>
                <c:pt idx="0">
                  <c:v>52.81372023581654</c:v>
                </c:pt>
                <c:pt idx="1">
                  <c:v>52.606297248171451</c:v>
                </c:pt>
                <c:pt idx="2">
                  <c:v>52.469974436066046</c:v>
                </c:pt>
                <c:pt idx="3">
                  <c:v>49.984677121615391</c:v>
                </c:pt>
                <c:pt idx="4">
                  <c:v>49.758534348117117</c:v>
                </c:pt>
                <c:pt idx="5">
                  <c:v>49.570546674942292</c:v>
                </c:pt>
                <c:pt idx="6">
                  <c:v>49.466614064503403</c:v>
                </c:pt>
                <c:pt idx="7">
                  <c:v>49.122135316961106</c:v>
                </c:pt>
                <c:pt idx="8">
                  <c:v>48.274286937322579</c:v>
                </c:pt>
                <c:pt idx="9">
                  <c:v>47.772375665850745</c:v>
                </c:pt>
                <c:pt idx="10">
                  <c:v>45.319436950368711</c:v>
                </c:pt>
                <c:pt idx="11">
                  <c:v>43.9119569396386</c:v>
                </c:pt>
                <c:pt idx="12">
                  <c:v>43.117276372861937</c:v>
                </c:pt>
                <c:pt idx="13">
                  <c:v>43.055781454865318</c:v>
                </c:pt>
                <c:pt idx="14">
                  <c:v>42.310266363271317</c:v>
                </c:pt>
                <c:pt idx="15">
                  <c:v>41.97556000322691</c:v>
                </c:pt>
                <c:pt idx="16">
                  <c:v>41.50622909451284</c:v>
                </c:pt>
                <c:pt idx="17">
                  <c:v>41.012431044359957</c:v>
                </c:pt>
                <c:pt idx="18">
                  <c:v>40.889550426463245</c:v>
                </c:pt>
                <c:pt idx="19">
                  <c:v>40.418187442004331</c:v>
                </c:pt>
                <c:pt idx="20">
                  <c:v>40.248635731685454</c:v>
                </c:pt>
                <c:pt idx="21">
                  <c:v>37.637329676921759</c:v>
                </c:pt>
                <c:pt idx="22">
                  <c:v>36.888370988973044</c:v>
                </c:pt>
                <c:pt idx="23">
                  <c:v>35.548413241179148</c:v>
                </c:pt>
                <c:pt idx="24">
                  <c:v>35.131756399103359</c:v>
                </c:pt>
                <c:pt idx="25">
                  <c:v>33.155611698653416</c:v>
                </c:pt>
                <c:pt idx="26">
                  <c:v>31.216697467115996</c:v>
                </c:pt>
                <c:pt idx="27">
                  <c:v>25.662572127592842</c:v>
                </c:pt>
                <c:pt idx="28">
                  <c:v>22.845403281861984</c:v>
                </c:pt>
              </c:numCache>
            </c:numRef>
          </c:val>
          <c:extLst>
            <c:ext xmlns:c16="http://schemas.microsoft.com/office/drawing/2014/chart" uri="{C3380CC4-5D6E-409C-BE32-E72D297353CC}">
              <c16:uniqueId val="{00000000-FD25-4437-9F17-CA1AB0F8D634}"/>
            </c:ext>
          </c:extLst>
        </c:ser>
        <c:dLbls>
          <c:showLegendKey val="0"/>
          <c:showVal val="0"/>
          <c:showCatName val="0"/>
          <c:showSerName val="0"/>
          <c:showPercent val="0"/>
          <c:showBubbleSize val="0"/>
        </c:dLbls>
        <c:gapWidth val="219"/>
        <c:overlap val="-27"/>
        <c:axId val="2014923231"/>
        <c:axId val="2014914911"/>
      </c:barChart>
      <c:catAx>
        <c:axId val="2014923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914911"/>
        <c:crosses val="autoZero"/>
        <c:auto val="1"/>
        <c:lblAlgn val="ctr"/>
        <c:lblOffset val="100"/>
        <c:noMultiLvlLbl val="0"/>
      </c:catAx>
      <c:valAx>
        <c:axId val="2014914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9232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'COFOG_OECD DAC_HIST'!$D$187</c:f>
              <c:strCache>
                <c:ptCount val="1"/>
                <c:pt idx="0">
                  <c:v>Expenditure on public order &amp; safety</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1.0651450468606161E-2"/>
                  <c:y val="7.6714945234136528E-3"/>
                </c:manualLayout>
              </c:layout>
              <c:tx>
                <c:rich>
                  <a:bodyPr/>
                  <a:lstStyle/>
                  <a:p>
                    <a:fld id="{40F3D30C-D452-4AA5-A1C7-5636FFFE300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564-4083-B537-F8CB849180C3}"/>
                </c:ext>
              </c:extLst>
            </c:dLbl>
            <c:dLbl>
              <c:idx val="1"/>
              <c:layout>
                <c:manualLayout>
                  <c:x val="-5.3257252343031775E-3"/>
                  <c:y val="-1.4064244154909803E-16"/>
                </c:manualLayout>
              </c:layout>
              <c:tx>
                <c:rich>
                  <a:bodyPr/>
                  <a:lstStyle/>
                  <a:p>
                    <a:fld id="{CA52C3BC-5C42-44E9-91B6-BAC1F0D7999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564-4083-B537-F8CB849180C3}"/>
                </c:ext>
              </c:extLst>
            </c:dLbl>
            <c:dLbl>
              <c:idx val="2"/>
              <c:tx>
                <c:rich>
                  <a:bodyPr/>
                  <a:lstStyle/>
                  <a:p>
                    <a:fld id="{B2B27318-A6D3-47BE-83F7-52B890FE71D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564-4083-B537-F8CB849180C3}"/>
                </c:ext>
              </c:extLst>
            </c:dLbl>
            <c:dLbl>
              <c:idx val="3"/>
              <c:tx>
                <c:rich>
                  <a:bodyPr/>
                  <a:lstStyle/>
                  <a:p>
                    <a:fld id="{4295E621-A3E7-4A11-A17E-51F8E7C5A4F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564-4083-B537-F8CB849180C3}"/>
                </c:ext>
              </c:extLst>
            </c:dLbl>
            <c:dLbl>
              <c:idx val="4"/>
              <c:layout>
                <c:manualLayout>
                  <c:x val="-6.6571565428788504E-3"/>
                  <c:y val="0"/>
                </c:manualLayout>
              </c:layout>
              <c:tx>
                <c:rich>
                  <a:bodyPr/>
                  <a:lstStyle/>
                  <a:p>
                    <a:fld id="{9702A2EA-59AE-4B89-8BB7-15C064A7352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564-4083-B537-F8CB849180C3}"/>
                </c:ext>
              </c:extLst>
            </c:dLbl>
            <c:dLbl>
              <c:idx val="5"/>
              <c:tx>
                <c:rich>
                  <a:bodyPr/>
                  <a:lstStyle/>
                  <a:p>
                    <a:fld id="{F84FA758-7B4E-460A-A4FB-C1D38D38AFC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564-4083-B537-F8CB849180C3}"/>
                </c:ext>
              </c:extLst>
            </c:dLbl>
            <c:dLbl>
              <c:idx val="6"/>
              <c:tx>
                <c:rich>
                  <a:bodyPr/>
                  <a:lstStyle/>
                  <a:p>
                    <a:fld id="{D327C39E-7624-4E37-A66C-972B17E1F98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564-4083-B537-F8CB849180C3}"/>
                </c:ext>
              </c:extLst>
            </c:dLbl>
            <c:dLbl>
              <c:idx val="7"/>
              <c:tx>
                <c:rich>
                  <a:bodyPr/>
                  <a:lstStyle/>
                  <a:p>
                    <a:fld id="{C3848F2A-1CB0-4479-ABAE-29B51092E9B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564-4083-B537-F8CB849180C3}"/>
                </c:ext>
              </c:extLst>
            </c:dLbl>
            <c:dLbl>
              <c:idx val="8"/>
              <c:tx>
                <c:rich>
                  <a:bodyPr/>
                  <a:lstStyle/>
                  <a:p>
                    <a:fld id="{CD29B51F-12EB-45D8-9F6C-2C0C7644347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564-4083-B537-F8CB849180C3}"/>
                </c:ext>
              </c:extLst>
            </c:dLbl>
            <c:dLbl>
              <c:idx val="9"/>
              <c:tx>
                <c:rich>
                  <a:bodyPr/>
                  <a:lstStyle/>
                  <a:p>
                    <a:fld id="{F1E9C4CD-04E0-45F9-ABB7-0948BAF90AF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564-4083-B537-F8CB849180C3}"/>
                </c:ext>
              </c:extLst>
            </c:dLbl>
            <c:dLbl>
              <c:idx val="10"/>
              <c:layout>
                <c:manualLayout>
                  <c:x val="-9.3200191600303905E-3"/>
                  <c:y val="-1.1507241785120567E-2"/>
                </c:manualLayout>
              </c:layout>
              <c:tx>
                <c:rich>
                  <a:bodyPr/>
                  <a:lstStyle/>
                  <a:p>
                    <a:fld id="{A3B01123-9915-423B-8E3B-4D1C1B73075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564-4083-B537-F8CB849180C3}"/>
                </c:ext>
              </c:extLst>
            </c:dLbl>
            <c:dLbl>
              <c:idx val="11"/>
              <c:tx>
                <c:rich>
                  <a:bodyPr/>
                  <a:lstStyle/>
                  <a:p>
                    <a:fld id="{3297D92D-B229-4AC8-862F-086E0EFCAD1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564-4083-B537-F8CB849180C3}"/>
                </c:ext>
              </c:extLst>
            </c:dLbl>
            <c:dLbl>
              <c:idx val="12"/>
              <c:tx>
                <c:rich>
                  <a:bodyPr/>
                  <a:lstStyle/>
                  <a:p>
                    <a:fld id="{EE48C392-1A98-402B-814D-DFB0B2FD0A1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564-4083-B537-F8CB849180C3}"/>
                </c:ext>
              </c:extLst>
            </c:dLbl>
            <c:dLbl>
              <c:idx val="13"/>
              <c:tx>
                <c:rich>
                  <a:bodyPr/>
                  <a:lstStyle/>
                  <a:p>
                    <a:fld id="{C797CDEA-F346-49CD-B981-D9F8FEBDB28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564-4083-B537-F8CB849180C3}"/>
                </c:ext>
              </c:extLst>
            </c:dLbl>
            <c:dLbl>
              <c:idx val="14"/>
              <c:tx>
                <c:rich>
                  <a:bodyPr/>
                  <a:lstStyle/>
                  <a:p>
                    <a:fld id="{6BAF21E8-CE6E-4E21-90A6-3A753D02210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564-4083-B537-F8CB849180C3}"/>
                </c:ext>
              </c:extLst>
            </c:dLbl>
            <c:dLbl>
              <c:idx val="15"/>
              <c:tx>
                <c:rich>
                  <a:bodyPr/>
                  <a:lstStyle/>
                  <a:p>
                    <a:fld id="{14EA53AC-F8FA-483B-BFA4-3583FD01F11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564-4083-B537-F8CB849180C3}"/>
                </c:ext>
              </c:extLst>
            </c:dLbl>
            <c:dLbl>
              <c:idx val="16"/>
              <c:tx>
                <c:rich>
                  <a:bodyPr/>
                  <a:lstStyle/>
                  <a:p>
                    <a:fld id="{160AD256-1730-4440-8146-A9661EA4FC3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564-4083-B537-F8CB849180C3}"/>
                </c:ext>
              </c:extLst>
            </c:dLbl>
            <c:dLbl>
              <c:idx val="17"/>
              <c:tx>
                <c:rich>
                  <a:bodyPr/>
                  <a:lstStyle/>
                  <a:p>
                    <a:fld id="{84B34798-96B5-4F11-88A0-71382816D9F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564-4083-B537-F8CB849180C3}"/>
                </c:ext>
              </c:extLst>
            </c:dLbl>
            <c:dLbl>
              <c:idx val="18"/>
              <c:tx>
                <c:rich>
                  <a:bodyPr/>
                  <a:lstStyle/>
                  <a:p>
                    <a:fld id="{1A612FC3-0F86-4000-AEA0-042BC891B42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564-4083-B537-F8CB849180C3}"/>
                </c:ext>
              </c:extLst>
            </c:dLbl>
            <c:dLbl>
              <c:idx val="19"/>
              <c:tx>
                <c:rich>
                  <a:bodyPr/>
                  <a:lstStyle/>
                  <a:p>
                    <a:fld id="{D8008D8F-CE26-4B40-9F98-BAB86D07926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564-4083-B537-F8CB849180C3}"/>
                </c:ext>
              </c:extLst>
            </c:dLbl>
            <c:dLbl>
              <c:idx val="20"/>
              <c:tx>
                <c:rich>
                  <a:bodyPr/>
                  <a:lstStyle/>
                  <a:p>
                    <a:fld id="{3134B38C-C30A-4196-9EC6-ECF557C76E1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564-4083-B537-F8CB849180C3}"/>
                </c:ext>
              </c:extLst>
            </c:dLbl>
            <c:dLbl>
              <c:idx val="21"/>
              <c:tx>
                <c:rich>
                  <a:bodyPr/>
                  <a:lstStyle/>
                  <a:p>
                    <a:fld id="{BDA5A638-C13F-40FB-84ED-281FF26E9B3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564-4083-B537-F8CB849180C3}"/>
                </c:ext>
              </c:extLst>
            </c:dLbl>
            <c:dLbl>
              <c:idx val="22"/>
              <c:tx>
                <c:rich>
                  <a:bodyPr/>
                  <a:lstStyle/>
                  <a:p>
                    <a:fld id="{35ABAF8B-CF33-4022-BFC9-DB562AF8957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564-4083-B537-F8CB849180C3}"/>
                </c:ext>
              </c:extLst>
            </c:dLbl>
            <c:dLbl>
              <c:idx val="23"/>
              <c:tx>
                <c:rich>
                  <a:bodyPr/>
                  <a:lstStyle/>
                  <a:p>
                    <a:fld id="{89731476-F37D-4C26-B13B-4BAFB7B711A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564-4083-B537-F8CB849180C3}"/>
                </c:ext>
              </c:extLst>
            </c:dLbl>
            <c:dLbl>
              <c:idx val="24"/>
              <c:tx>
                <c:rich>
                  <a:bodyPr/>
                  <a:lstStyle/>
                  <a:p>
                    <a:fld id="{80C440FB-CA23-481B-8311-C2715DC146C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564-4083-B537-F8CB849180C3}"/>
                </c:ext>
              </c:extLst>
            </c:dLbl>
            <c:dLbl>
              <c:idx val="25"/>
              <c:layout>
                <c:manualLayout>
                  <c:x val="-5.7251546268758113E-2"/>
                  <c:y val="1.9178736308534221E-3"/>
                </c:manualLayout>
              </c:layout>
              <c:tx>
                <c:rich>
                  <a:bodyPr/>
                  <a:lstStyle/>
                  <a:p>
                    <a:fld id="{1B558F3A-3726-4858-8D3F-85AE34674E2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564-4083-B537-F8CB849180C3}"/>
                </c:ext>
              </c:extLst>
            </c:dLbl>
            <c:dLbl>
              <c:idx val="26"/>
              <c:tx>
                <c:rich>
                  <a:bodyPr/>
                  <a:lstStyle/>
                  <a:p>
                    <a:fld id="{A05C65A1-1E05-4558-8846-2C591F07F7B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564-4083-B537-F8CB849180C3}"/>
                </c:ext>
              </c:extLst>
            </c:dLbl>
            <c:dLbl>
              <c:idx val="27"/>
              <c:tx>
                <c:rich>
                  <a:bodyPr/>
                  <a:lstStyle/>
                  <a:p>
                    <a:fld id="{7F05339C-19C4-4FE6-81B0-B1EEB200F5F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564-4083-B537-F8CB849180C3}"/>
                </c:ext>
              </c:extLst>
            </c:dLbl>
            <c:dLbl>
              <c:idx val="28"/>
              <c:tx>
                <c:rich>
                  <a:bodyPr/>
                  <a:lstStyle/>
                  <a:p>
                    <a:fld id="{F6948E2C-0D3F-4FE7-A782-BCFA81DB4C2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564-4083-B537-F8CB849180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'COFOG_OECD DAC_HIST'!$J$188:$J$216</c:f>
              <c:numCache>
                <c:formatCode>0.00</c:formatCode>
                <c:ptCount val="29"/>
                <c:pt idx="0">
                  <c:v>35.131756399103359</c:v>
                </c:pt>
                <c:pt idx="1">
                  <c:v>49.758534348117117</c:v>
                </c:pt>
                <c:pt idx="2">
                  <c:v>49.466614064503403</c:v>
                </c:pt>
                <c:pt idx="3">
                  <c:v>41.012431044359957</c:v>
                </c:pt>
                <c:pt idx="4">
                  <c:v>40.889550426463245</c:v>
                </c:pt>
                <c:pt idx="5">
                  <c:v>52.469974436066046</c:v>
                </c:pt>
                <c:pt idx="6">
                  <c:v>52.606297248171451</c:v>
                </c:pt>
                <c:pt idx="7">
                  <c:v>52.81372023581654</c:v>
                </c:pt>
                <c:pt idx="8">
                  <c:v>47.772375665850745</c:v>
                </c:pt>
                <c:pt idx="9">
                  <c:v>49.122135316961106</c:v>
                </c:pt>
                <c:pt idx="10">
                  <c:v>40.248635731685454</c:v>
                </c:pt>
                <c:pt idx="11">
                  <c:v>40.418187442004331</c:v>
                </c:pt>
                <c:pt idx="12">
                  <c:v>22.845403281861984</c:v>
                </c:pt>
                <c:pt idx="13">
                  <c:v>48.274286937322579</c:v>
                </c:pt>
                <c:pt idx="14">
                  <c:v>35.548413241179148</c:v>
                </c:pt>
                <c:pt idx="15">
                  <c:v>25.662572127592842</c:v>
                </c:pt>
                <c:pt idx="16">
                  <c:v>43.117276372861937</c:v>
                </c:pt>
                <c:pt idx="17">
                  <c:v>41.50622909451284</c:v>
                </c:pt>
                <c:pt idx="18">
                  <c:v>37.637329676921759</c:v>
                </c:pt>
                <c:pt idx="19">
                  <c:v>49.984677121615391</c:v>
                </c:pt>
                <c:pt idx="20">
                  <c:v>41.97556000322691</c:v>
                </c:pt>
                <c:pt idx="21">
                  <c:v>45.319436950368711</c:v>
                </c:pt>
                <c:pt idx="22">
                  <c:v>42.310266363271317</c:v>
                </c:pt>
                <c:pt idx="23">
                  <c:v>43.9119569396386</c:v>
                </c:pt>
                <c:pt idx="24">
                  <c:v>43.055781454865318</c:v>
                </c:pt>
                <c:pt idx="25">
                  <c:v>49.570546674942292</c:v>
                </c:pt>
                <c:pt idx="26">
                  <c:v>33.155611698653416</c:v>
                </c:pt>
                <c:pt idx="27">
                  <c:v>36.888370988973044</c:v>
                </c:pt>
                <c:pt idx="28">
                  <c:v>31.216697467115996</c:v>
                </c:pt>
              </c:numCache>
            </c:numRef>
          </c:xVal>
          <c:yVal>
            <c:numRef>
              <c:f>'COFOG_OECD DAC_HIST'!$D$188:$D$216</c:f>
              <c:numCache>
                <c:formatCode>0.00</c:formatCode>
                <c:ptCount val="29"/>
                <c:pt idx="0">
                  <c:v>5.5417288586139204</c:v>
                </c:pt>
                <c:pt idx="1">
                  <c:v>2.8718567990698429</c:v>
                </c:pt>
                <c:pt idx="2">
                  <c:v>3.5916515997170029</c:v>
                </c:pt>
                <c:pt idx="3">
                  <c:v>4.5621649382458136</c:v>
                </c:pt>
                <c:pt idx="4">
                  <c:v>5.0433212433047965</c:v>
                </c:pt>
                <c:pt idx="5">
                  <c:v>1.8778899171315255</c:v>
                </c:pt>
                <c:pt idx="6">
                  <c:v>2.3315318551415598</c:v>
                </c:pt>
                <c:pt idx="7">
                  <c:v>3.4199152717332959</c:v>
                </c:pt>
                <c:pt idx="8">
                  <c:v>3.65364001301942</c:v>
                </c:pt>
                <c:pt idx="9">
                  <c:v>4.9047850970987783</c:v>
                </c:pt>
                <c:pt idx="10">
                  <c:v>5.0818639321985932</c:v>
                </c:pt>
                <c:pt idx="11">
                  <c:v>3.8044121109766897</c:v>
                </c:pt>
                <c:pt idx="12">
                  <c:v>4.01337184270953</c:v>
                </c:pt>
                <c:pt idx="13">
                  <c:v>4.2194148699130887</c:v>
                </c:pt>
                <c:pt idx="14">
                  <c:v>3.6548449803753784</c:v>
                </c:pt>
                <c:pt idx="15">
                  <c:v>5.5826616010953236</c:v>
                </c:pt>
                <c:pt idx="16">
                  <c:v>2.9602276353579406</c:v>
                </c:pt>
                <c:pt idx="17">
                  <c:v>4.8697496637228461</c:v>
                </c:pt>
                <c:pt idx="18">
                  <c:v>5.3123335491219583</c:v>
                </c:pt>
                <c:pt idx="19">
                  <c:v>2.3863841880893943</c:v>
                </c:pt>
                <c:pt idx="20">
                  <c:v>5.5380900882254007</c:v>
                </c:pt>
                <c:pt idx="21">
                  <c:v>4.3677297794117642</c:v>
                </c:pt>
                <c:pt idx="22">
                  <c:v>6.2414592484138609</c:v>
                </c:pt>
                <c:pt idx="23">
                  <c:v>4.137187086660461</c:v>
                </c:pt>
                <c:pt idx="24">
                  <c:v>5.0627445587359983</c:v>
                </c:pt>
                <c:pt idx="25">
                  <c:v>2.8794447445800326</c:v>
                </c:pt>
                <c:pt idx="26">
                  <c:v>4.7533260100085437</c:v>
                </c:pt>
                <c:pt idx="27">
                  <c:v>5.5309052234669567</c:v>
                </c:pt>
                <c:pt idx="28">
                  <c:v>6.3624993202457985</c:v>
                </c:pt>
              </c:numCache>
            </c:numRef>
          </c:yVal>
          <c:smooth val="0"/>
          <c:extLst>
            <c:ext xmlns:c15="http://schemas.microsoft.com/office/drawing/2012/chart" uri="{02D57815-91ED-43cb-92C2-25804820EDAC}">
              <c15:datalabelsRange>
                <c15:f>'COFOG_OECD DAC_HIST'!$C$188:$C$216</c15:f>
                <c15:dlblRangeCache>
                  <c:ptCount val="29"/>
                  <c:pt idx="0">
                    <c:v>Australia</c:v>
                  </c:pt>
                  <c:pt idx="1">
                    <c:v>Austria</c:v>
                  </c:pt>
                  <c:pt idx="2">
                    <c:v>Belgium</c:v>
                  </c:pt>
                  <c:pt idx="3">
                    <c:v>Canada</c:v>
                  </c:pt>
                  <c:pt idx="4">
                    <c:v>Czech Rep.</c:v>
                  </c:pt>
                  <c:pt idx="5">
                    <c:v>Denmark</c:v>
                  </c:pt>
                  <c:pt idx="6">
                    <c:v>Finland</c:v>
                  </c:pt>
                  <c:pt idx="7">
                    <c:v>France</c:v>
                  </c:pt>
                  <c:pt idx="8">
                    <c:v>Germany</c:v>
                  </c:pt>
                  <c:pt idx="9">
                    <c:v>Greece</c:v>
                  </c:pt>
                  <c:pt idx="10">
                    <c:v>Hungary</c:v>
                  </c:pt>
                  <c:pt idx="11">
                    <c:v>Iceland</c:v>
                  </c:pt>
                  <c:pt idx="12">
                    <c:v>Ireland</c:v>
                  </c:pt>
                  <c:pt idx="13">
                    <c:v>Italy</c:v>
                  </c:pt>
                  <c:pt idx="14">
                    <c:v>Japan</c:v>
                  </c:pt>
                  <c:pt idx="15">
                    <c:v>Korea</c:v>
                  </c:pt>
                  <c:pt idx="16">
                    <c:v>Luxembourg</c:v>
                  </c:pt>
                  <c:pt idx="17">
                    <c:v>Netherlands</c:v>
                  </c:pt>
                  <c:pt idx="18">
                    <c:v>New Zealand</c:v>
                  </c:pt>
                  <c:pt idx="19">
                    <c:v>Norway</c:v>
                  </c:pt>
                  <c:pt idx="20">
                    <c:v>Poland</c:v>
                  </c:pt>
                  <c:pt idx="21">
                    <c:v>Portugal</c:v>
                  </c:pt>
                  <c:pt idx="22">
                    <c:v>Slovak Rep.</c:v>
                  </c:pt>
                  <c:pt idx="23">
                    <c:v>Slovenia</c:v>
                  </c:pt>
                  <c:pt idx="24">
                    <c:v>Spain</c:v>
                  </c:pt>
                  <c:pt idx="25">
                    <c:v>Sweden</c:v>
                  </c:pt>
                  <c:pt idx="26">
                    <c:v>Switzerland</c:v>
                  </c:pt>
                  <c:pt idx="27">
                    <c:v>United Kingdom</c:v>
                  </c:pt>
                  <c:pt idx="28">
                    <c:v>United States</c:v>
                  </c:pt>
                </c15:dlblRangeCache>
              </c15:datalabelsRange>
            </c:ext>
            <c:ext xmlns:c16="http://schemas.microsoft.com/office/drawing/2014/chart" uri="{C3380CC4-5D6E-409C-BE32-E72D297353CC}">
              <c16:uniqueId val="{00000001-9564-4083-B537-F8CB849180C3}"/>
            </c:ext>
          </c:extLst>
        </c:ser>
        <c:dLbls>
          <c:showLegendKey val="0"/>
          <c:showVal val="0"/>
          <c:showCatName val="0"/>
          <c:showSerName val="0"/>
          <c:showPercent val="0"/>
          <c:showBubbleSize val="0"/>
        </c:dLbls>
        <c:axId val="1918878127"/>
        <c:axId val="1918879791"/>
      </c:scatterChart>
      <c:valAx>
        <c:axId val="1918878127"/>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Government Revenue</a:t>
                </a:r>
                <a:r>
                  <a:rPr lang="en-GB" baseline="0"/>
                  <a:t> as a </a:t>
                </a:r>
                <a:r>
                  <a:rPr lang="en-GB"/>
                  <a:t>Percentage of GDP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8879791"/>
        <c:crosses val="autoZero"/>
        <c:crossBetween val="midCat"/>
      </c:valAx>
      <c:valAx>
        <c:axId val="1918879791"/>
        <c:scaling>
          <c:orientation val="minMax"/>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Expenditure</a:t>
                </a:r>
                <a:r>
                  <a:rPr lang="en-GB" baseline="0"/>
                  <a:t> on Public order and safety as a Percentage of Government Revenue</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88781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Expenditure on public order &amp; safety</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'COFOG_OECD DAC_HIST'!$D$288:$D$316</c:f>
              <c:strCache>
                <c:ptCount val="29"/>
                <c:pt idx="0">
                  <c:v>Slovak Rep.</c:v>
                </c:pt>
                <c:pt idx="1">
                  <c:v>Greece</c:v>
                </c:pt>
                <c:pt idx="2">
                  <c:v>Poland</c:v>
                </c:pt>
                <c:pt idx="3">
                  <c:v>Hungary</c:v>
                </c:pt>
                <c:pt idx="4">
                  <c:v>Czech Rep.</c:v>
                </c:pt>
                <c:pt idx="5">
                  <c:v>Spain</c:v>
                </c:pt>
                <c:pt idx="6">
                  <c:v>Australia</c:v>
                </c:pt>
                <c:pt idx="7">
                  <c:v>Italy</c:v>
                </c:pt>
                <c:pt idx="8">
                  <c:v>Netherlands</c:v>
                </c:pt>
                <c:pt idx="9">
                  <c:v>New Zealand</c:v>
                </c:pt>
                <c:pt idx="10">
                  <c:v>United Kingdom</c:v>
                </c:pt>
                <c:pt idx="11">
                  <c:v>United States</c:v>
                </c:pt>
                <c:pt idx="12">
                  <c:v>Canada</c:v>
                </c:pt>
                <c:pt idx="13">
                  <c:v>Portugal</c:v>
                </c:pt>
                <c:pt idx="14">
                  <c:v>Belgium</c:v>
                </c:pt>
                <c:pt idx="15">
                  <c:v>France</c:v>
                </c:pt>
                <c:pt idx="16">
                  <c:v>Slovenia</c:v>
                </c:pt>
                <c:pt idx="17">
                  <c:v>Germany</c:v>
                </c:pt>
                <c:pt idx="18">
                  <c:v>Iceland</c:v>
                </c:pt>
                <c:pt idx="19">
                  <c:v>Switzerland</c:v>
                </c:pt>
                <c:pt idx="20">
                  <c:v>Austria</c:v>
                </c:pt>
                <c:pt idx="21">
                  <c:v>Sweden</c:v>
                </c:pt>
                <c:pt idx="22">
                  <c:v>Japan</c:v>
                </c:pt>
                <c:pt idx="23">
                  <c:v>Luxembourg</c:v>
                </c:pt>
                <c:pt idx="24">
                  <c:v>Norway</c:v>
                </c:pt>
                <c:pt idx="25">
                  <c:v>Korea</c:v>
                </c:pt>
                <c:pt idx="26">
                  <c:v>Finland</c:v>
                </c:pt>
                <c:pt idx="27">
                  <c:v>Denmark</c:v>
                </c:pt>
                <c:pt idx="28">
                  <c:v>Ireland</c:v>
                </c:pt>
              </c:strCache>
            </c:strRef>
          </c:cat>
          <c:val>
            <c:numRef>
              <c:f>'COFOG_OECD DAC_HIST'!$E$288:$E$316</c:f>
              <c:numCache>
                <c:formatCode>General</c:formatCode>
                <c:ptCount val="29"/>
                <c:pt idx="0">
                  <c:v>2.5</c:v>
                </c:pt>
                <c:pt idx="1">
                  <c:v>2.4</c:v>
                </c:pt>
                <c:pt idx="2">
                  <c:v>2.2999999999999998</c:v>
                </c:pt>
                <c:pt idx="3">
                  <c:v>2.2000000000000002</c:v>
                </c:pt>
                <c:pt idx="4">
                  <c:v>2.1</c:v>
                </c:pt>
                <c:pt idx="5">
                  <c:v>2.1</c:v>
                </c:pt>
                <c:pt idx="6">
                  <c:v>2</c:v>
                </c:pt>
                <c:pt idx="7">
                  <c:v>2</c:v>
                </c:pt>
                <c:pt idx="8">
                  <c:v>2</c:v>
                </c:pt>
                <c:pt idx="9">
                  <c:v>2</c:v>
                </c:pt>
                <c:pt idx="10">
                  <c:v>2</c:v>
                </c:pt>
                <c:pt idx="11" formatCode="0.0">
                  <c:v>1.9599162428956027</c:v>
                </c:pt>
                <c:pt idx="12">
                  <c:v>1.9</c:v>
                </c:pt>
                <c:pt idx="13">
                  <c:v>1.9</c:v>
                </c:pt>
                <c:pt idx="14">
                  <c:v>1.8</c:v>
                </c:pt>
                <c:pt idx="15">
                  <c:v>1.8</c:v>
                </c:pt>
                <c:pt idx="16">
                  <c:v>1.8</c:v>
                </c:pt>
                <c:pt idx="17">
                  <c:v>1.7</c:v>
                </c:pt>
                <c:pt idx="18">
                  <c:v>1.6</c:v>
                </c:pt>
                <c:pt idx="19">
                  <c:v>1.6</c:v>
                </c:pt>
                <c:pt idx="20">
                  <c:v>1.4</c:v>
                </c:pt>
                <c:pt idx="21">
                  <c:v>1.4</c:v>
                </c:pt>
                <c:pt idx="22">
                  <c:v>1.3</c:v>
                </c:pt>
                <c:pt idx="23">
                  <c:v>1.3</c:v>
                </c:pt>
                <c:pt idx="24">
                  <c:v>1.3</c:v>
                </c:pt>
                <c:pt idx="25" formatCode="0.0">
                  <c:v>1.2796999529227882</c:v>
                </c:pt>
                <c:pt idx="26">
                  <c:v>1.2</c:v>
                </c:pt>
                <c:pt idx="27">
                  <c:v>1</c:v>
                </c:pt>
                <c:pt idx="28">
                  <c:v>0.9</c:v>
                </c:pt>
              </c:numCache>
            </c:numRef>
          </c:val>
          <c:extLst>
            <c:ext xmlns:c16="http://schemas.microsoft.com/office/drawing/2014/chart" uri="{C3380CC4-5D6E-409C-BE32-E72D297353CC}">
              <c16:uniqueId val="{00000000-CAF0-4D76-9F1D-1C1E366A8C33}"/>
            </c:ext>
          </c:extLst>
        </c:ser>
        <c:dLbls>
          <c:showLegendKey val="0"/>
          <c:showVal val="0"/>
          <c:showCatName val="0"/>
          <c:showSerName val="0"/>
          <c:showPercent val="0"/>
          <c:showBubbleSize val="0"/>
        </c:dLbls>
        <c:gapWidth val="219"/>
        <c:overlap val="-27"/>
        <c:axId val="832168384"/>
        <c:axId val="832169632"/>
      </c:barChart>
      <c:catAx>
        <c:axId val="83216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169632"/>
        <c:crosses val="autoZero"/>
        <c:auto val="1"/>
        <c:lblAlgn val="ctr"/>
        <c:lblOffset val="100"/>
        <c:noMultiLvlLbl val="0"/>
      </c:catAx>
      <c:valAx>
        <c:axId val="832169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16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'COFOG_OECD DAC_HIST'!$D$187</c:f>
              <c:strCache>
                <c:ptCount val="1"/>
                <c:pt idx="0">
                  <c:v>Expenditure on public order &amp; safety</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'COFOG_OECD DAC_HIST'!$J$188:$J$216</c:f>
              <c:numCache>
                <c:formatCode>0.00</c:formatCode>
                <c:ptCount val="29"/>
                <c:pt idx="0">
                  <c:v>35.131756399103359</c:v>
                </c:pt>
                <c:pt idx="1">
                  <c:v>49.758534348117117</c:v>
                </c:pt>
                <c:pt idx="2">
                  <c:v>49.466614064503403</c:v>
                </c:pt>
                <c:pt idx="3">
                  <c:v>41.012431044359957</c:v>
                </c:pt>
                <c:pt idx="4">
                  <c:v>40.889550426463245</c:v>
                </c:pt>
                <c:pt idx="5">
                  <c:v>52.469974436066046</c:v>
                </c:pt>
                <c:pt idx="6">
                  <c:v>52.606297248171451</c:v>
                </c:pt>
                <c:pt idx="7">
                  <c:v>52.81372023581654</c:v>
                </c:pt>
                <c:pt idx="8">
                  <c:v>47.772375665850745</c:v>
                </c:pt>
                <c:pt idx="9">
                  <c:v>49.122135316961106</c:v>
                </c:pt>
                <c:pt idx="10">
                  <c:v>40.248635731685454</c:v>
                </c:pt>
                <c:pt idx="11">
                  <c:v>40.418187442004331</c:v>
                </c:pt>
                <c:pt idx="12">
                  <c:v>22.845403281861984</c:v>
                </c:pt>
                <c:pt idx="13">
                  <c:v>48.274286937322579</c:v>
                </c:pt>
                <c:pt idx="14">
                  <c:v>35.548413241179148</c:v>
                </c:pt>
                <c:pt idx="15">
                  <c:v>25.662572127592842</c:v>
                </c:pt>
                <c:pt idx="16">
                  <c:v>43.117276372861937</c:v>
                </c:pt>
                <c:pt idx="17">
                  <c:v>41.50622909451284</c:v>
                </c:pt>
                <c:pt idx="18">
                  <c:v>37.637329676921759</c:v>
                </c:pt>
                <c:pt idx="19">
                  <c:v>49.984677121615391</c:v>
                </c:pt>
                <c:pt idx="20">
                  <c:v>41.97556000322691</c:v>
                </c:pt>
                <c:pt idx="21">
                  <c:v>45.319436950368711</c:v>
                </c:pt>
                <c:pt idx="22">
                  <c:v>42.310266363271317</c:v>
                </c:pt>
                <c:pt idx="23">
                  <c:v>43.9119569396386</c:v>
                </c:pt>
                <c:pt idx="24">
                  <c:v>43.055781454865318</c:v>
                </c:pt>
                <c:pt idx="25">
                  <c:v>49.570546674942292</c:v>
                </c:pt>
                <c:pt idx="26">
                  <c:v>33.155611698653416</c:v>
                </c:pt>
                <c:pt idx="27">
                  <c:v>36.888370988973044</c:v>
                </c:pt>
                <c:pt idx="28">
                  <c:v>31.216697467115996</c:v>
                </c:pt>
              </c:numCache>
            </c:numRef>
          </c:xVal>
          <c:yVal>
            <c:numRef>
              <c:f>'COFOG_OECD DAC_HIST'!$O$188:$O$216</c:f>
              <c:numCache>
                <c:formatCode>0.00</c:formatCode>
                <c:ptCount val="29"/>
                <c:pt idx="0">
                  <c:v>2</c:v>
                </c:pt>
                <c:pt idx="1">
                  <c:v>1.4</c:v>
                </c:pt>
                <c:pt idx="2">
                  <c:v>1.8</c:v>
                </c:pt>
                <c:pt idx="3">
                  <c:v>1.9</c:v>
                </c:pt>
                <c:pt idx="4">
                  <c:v>2.1</c:v>
                </c:pt>
                <c:pt idx="5">
                  <c:v>1</c:v>
                </c:pt>
                <c:pt idx="6">
                  <c:v>1.2</c:v>
                </c:pt>
                <c:pt idx="7">
                  <c:v>1.8</c:v>
                </c:pt>
                <c:pt idx="8">
                  <c:v>1.7</c:v>
                </c:pt>
                <c:pt idx="9">
                  <c:v>2.4</c:v>
                </c:pt>
                <c:pt idx="10">
                  <c:v>2.2000000000000002</c:v>
                </c:pt>
                <c:pt idx="11">
                  <c:v>1.6</c:v>
                </c:pt>
                <c:pt idx="12">
                  <c:v>0.9</c:v>
                </c:pt>
                <c:pt idx="13">
                  <c:v>2</c:v>
                </c:pt>
                <c:pt idx="14">
                  <c:v>1.3</c:v>
                </c:pt>
                <c:pt idx="15">
                  <c:v>1.2796999529227882</c:v>
                </c:pt>
                <c:pt idx="16">
                  <c:v>1.3</c:v>
                </c:pt>
                <c:pt idx="17">
                  <c:v>2</c:v>
                </c:pt>
                <c:pt idx="18">
                  <c:v>2</c:v>
                </c:pt>
                <c:pt idx="19">
                  <c:v>1.3</c:v>
                </c:pt>
                <c:pt idx="20">
                  <c:v>2.2999999999999998</c:v>
                </c:pt>
                <c:pt idx="21">
                  <c:v>1.9</c:v>
                </c:pt>
                <c:pt idx="22">
                  <c:v>2.5</c:v>
                </c:pt>
                <c:pt idx="23">
                  <c:v>1.8</c:v>
                </c:pt>
                <c:pt idx="24">
                  <c:v>2.1</c:v>
                </c:pt>
                <c:pt idx="25">
                  <c:v>1.4</c:v>
                </c:pt>
                <c:pt idx="26">
                  <c:v>1.6</c:v>
                </c:pt>
                <c:pt idx="27">
                  <c:v>2</c:v>
                </c:pt>
                <c:pt idx="28">
                  <c:v>1.9599162428956027</c:v>
                </c:pt>
              </c:numCache>
            </c:numRef>
          </c:yVal>
          <c:smooth val="0"/>
          <c:extLst>
            <c:ext xmlns:c16="http://schemas.microsoft.com/office/drawing/2014/chart" uri="{C3380CC4-5D6E-409C-BE32-E72D297353CC}">
              <c16:uniqueId val="{0000001E-2D2C-4A48-A2A5-4E668368DBD5}"/>
            </c:ext>
          </c:extLst>
        </c:ser>
        <c:dLbls>
          <c:showLegendKey val="0"/>
          <c:showVal val="0"/>
          <c:showCatName val="0"/>
          <c:showSerName val="0"/>
          <c:showPercent val="0"/>
          <c:showBubbleSize val="0"/>
        </c:dLbls>
        <c:axId val="1918878127"/>
        <c:axId val="1918879791"/>
      </c:scatterChart>
      <c:valAx>
        <c:axId val="1918878127"/>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Government Revenue</a:t>
                </a:r>
                <a:r>
                  <a:rPr lang="en-GB" baseline="0"/>
                  <a:t> as a </a:t>
                </a:r>
                <a:r>
                  <a:rPr lang="en-GB"/>
                  <a:t>Percentage of GDP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8879791"/>
        <c:crosses val="autoZero"/>
        <c:crossBetween val="midCat"/>
      </c:valAx>
      <c:valAx>
        <c:axId val="1918879791"/>
        <c:scaling>
          <c:orientation val="minMax"/>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Expenditure</a:t>
                </a:r>
                <a:r>
                  <a:rPr lang="en-GB" baseline="0"/>
                  <a:t> on Public order and safety as a Percentage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88781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Government Expenditure on Public Order and safety by</a:t>
            </a:r>
            <a:r>
              <a:rPr lang="en-GB" baseline="0"/>
              <a:t> country - OECD DAC members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'COFOG_OECD DAC_HIST'!$O$322</c:f>
              <c:strCache>
                <c:ptCount val="1"/>
                <c:pt idx="0">
                  <c:v>Expenditure on police services</c:v>
                </c:pt>
              </c:strCache>
            </c:strRef>
          </c:tx>
          <c:spPr>
            <a:solidFill>
              <a:schemeClr val="accent2"/>
            </a:solidFill>
            <a:ln>
              <a:noFill/>
            </a:ln>
            <a:effectLst/>
          </c:spPr>
          <c:invertIfNegative val="0"/>
          <c:cat>
            <c:strRef>
              <c:f>'COFOG_OECD DAC_HIST'!$M$323:$M$351</c:f>
              <c:strCache>
                <c:ptCount val="29"/>
                <c:pt idx="0">
                  <c:v>Slovak Rep.</c:v>
                </c:pt>
                <c:pt idx="1">
                  <c:v>Greece</c:v>
                </c:pt>
                <c:pt idx="2">
                  <c:v>Poland</c:v>
                </c:pt>
                <c:pt idx="3">
                  <c:v>Hungary</c:v>
                </c:pt>
                <c:pt idx="4">
                  <c:v>Czech Rep.</c:v>
                </c:pt>
                <c:pt idx="5">
                  <c:v>Spain</c:v>
                </c:pt>
                <c:pt idx="6">
                  <c:v>Australia</c:v>
                </c:pt>
                <c:pt idx="7">
                  <c:v>Italy</c:v>
                </c:pt>
                <c:pt idx="8">
                  <c:v>Netherlands</c:v>
                </c:pt>
                <c:pt idx="9">
                  <c:v>New Zealand</c:v>
                </c:pt>
                <c:pt idx="10">
                  <c:v>United Kingdom</c:v>
                </c:pt>
                <c:pt idx="11">
                  <c:v>United States</c:v>
                </c:pt>
                <c:pt idx="12">
                  <c:v>Canada</c:v>
                </c:pt>
                <c:pt idx="13">
                  <c:v>Portugal</c:v>
                </c:pt>
                <c:pt idx="14">
                  <c:v>Belgium</c:v>
                </c:pt>
                <c:pt idx="15">
                  <c:v>France</c:v>
                </c:pt>
                <c:pt idx="16">
                  <c:v>Slovenia</c:v>
                </c:pt>
                <c:pt idx="17">
                  <c:v>Germany</c:v>
                </c:pt>
                <c:pt idx="18">
                  <c:v>Iceland</c:v>
                </c:pt>
                <c:pt idx="19">
                  <c:v>Switzerland</c:v>
                </c:pt>
                <c:pt idx="20">
                  <c:v>Austria</c:v>
                </c:pt>
                <c:pt idx="21">
                  <c:v>Sweden</c:v>
                </c:pt>
                <c:pt idx="22">
                  <c:v>Japan</c:v>
                </c:pt>
                <c:pt idx="23">
                  <c:v>Luxembourg</c:v>
                </c:pt>
                <c:pt idx="24">
                  <c:v>Norway</c:v>
                </c:pt>
                <c:pt idx="25">
                  <c:v>Korea</c:v>
                </c:pt>
                <c:pt idx="26">
                  <c:v>Finland</c:v>
                </c:pt>
                <c:pt idx="27">
                  <c:v>Denmark</c:v>
                </c:pt>
                <c:pt idx="28">
                  <c:v>Ireland</c:v>
                </c:pt>
              </c:strCache>
            </c:strRef>
          </c:cat>
          <c:val>
            <c:numRef>
              <c:f>'COFOG_OECD DAC_HIST'!$O$323:$O$351</c:f>
              <c:numCache>
                <c:formatCode>0.0</c:formatCode>
                <c:ptCount val="29"/>
                <c:pt idx="0">
                  <c:v>1.1000000000000001</c:v>
                </c:pt>
                <c:pt idx="1">
                  <c:v>1.5</c:v>
                </c:pt>
                <c:pt idx="2">
                  <c:v>1.1000000000000001</c:v>
                </c:pt>
                <c:pt idx="3">
                  <c:v>1.2</c:v>
                </c:pt>
                <c:pt idx="4">
                  <c:v>1</c:v>
                </c:pt>
                <c:pt idx="5">
                  <c:v>1.3</c:v>
                </c:pt>
                <c:pt idx="6">
                  <c:v>0.7</c:v>
                </c:pt>
                <c:pt idx="7">
                  <c:v>1.2</c:v>
                </c:pt>
                <c:pt idx="8">
                  <c:v>0.9</c:v>
                </c:pt>
                <c:pt idx="9">
                  <c:v>0</c:v>
                </c:pt>
                <c:pt idx="10">
                  <c:v>1.1000000000000001</c:v>
                </c:pt>
                <c:pt idx="11">
                  <c:v>0.91319174394256653</c:v>
                </c:pt>
                <c:pt idx="12">
                  <c:v>0.9</c:v>
                </c:pt>
                <c:pt idx="13">
                  <c:v>1.1000000000000001</c:v>
                </c:pt>
                <c:pt idx="14">
                  <c:v>1.1000000000000001</c:v>
                </c:pt>
                <c:pt idx="15">
                  <c:v>1</c:v>
                </c:pt>
                <c:pt idx="16">
                  <c:v>0.9</c:v>
                </c:pt>
                <c:pt idx="17">
                  <c:v>0.8</c:v>
                </c:pt>
                <c:pt idx="18">
                  <c:v>0.9</c:v>
                </c:pt>
                <c:pt idx="19">
                  <c:v>0.7</c:v>
                </c:pt>
                <c:pt idx="20">
                  <c:v>0.7</c:v>
                </c:pt>
                <c:pt idx="21">
                  <c:v>0.7</c:v>
                </c:pt>
                <c:pt idx="22">
                  <c:v>0.7</c:v>
                </c:pt>
                <c:pt idx="23">
                  <c:v>0.5</c:v>
                </c:pt>
                <c:pt idx="24">
                  <c:v>0.6</c:v>
                </c:pt>
                <c:pt idx="25">
                  <c:v>0</c:v>
                </c:pt>
                <c:pt idx="26">
                  <c:v>0.5</c:v>
                </c:pt>
                <c:pt idx="27">
                  <c:v>0.6</c:v>
                </c:pt>
                <c:pt idx="28">
                  <c:v>0.5</c:v>
                </c:pt>
              </c:numCache>
            </c:numRef>
          </c:val>
          <c:extLst>
            <c:ext xmlns:c16="http://schemas.microsoft.com/office/drawing/2014/chart" uri="{C3380CC4-5D6E-409C-BE32-E72D297353CC}">
              <c16:uniqueId val="{00000000-EBB2-4C23-AF85-63A21BC6DB42}"/>
            </c:ext>
          </c:extLst>
        </c:ser>
        <c:ser>
          <c:idx val="2"/>
          <c:order val="2"/>
          <c:tx>
            <c:strRef>
              <c:f>'COFOG_OECD DAC_HIST'!$P$322</c:f>
              <c:strCache>
                <c:ptCount val="1"/>
                <c:pt idx="0">
                  <c:v>Expenditure on fire protection services</c:v>
                </c:pt>
              </c:strCache>
            </c:strRef>
          </c:tx>
          <c:spPr>
            <a:solidFill>
              <a:schemeClr val="accent3"/>
            </a:solidFill>
            <a:ln>
              <a:noFill/>
            </a:ln>
            <a:effectLst/>
          </c:spPr>
          <c:invertIfNegative val="0"/>
          <c:cat>
            <c:strRef>
              <c:f>'COFOG_OECD DAC_HIST'!$M$323:$M$351</c:f>
              <c:strCache>
                <c:ptCount val="29"/>
                <c:pt idx="0">
                  <c:v>Slovak Rep.</c:v>
                </c:pt>
                <c:pt idx="1">
                  <c:v>Greece</c:v>
                </c:pt>
                <c:pt idx="2">
                  <c:v>Poland</c:v>
                </c:pt>
                <c:pt idx="3">
                  <c:v>Hungary</c:v>
                </c:pt>
                <c:pt idx="4">
                  <c:v>Czech Rep.</c:v>
                </c:pt>
                <c:pt idx="5">
                  <c:v>Spain</c:v>
                </c:pt>
                <c:pt idx="6">
                  <c:v>Australia</c:v>
                </c:pt>
                <c:pt idx="7">
                  <c:v>Italy</c:v>
                </c:pt>
                <c:pt idx="8">
                  <c:v>Netherlands</c:v>
                </c:pt>
                <c:pt idx="9">
                  <c:v>New Zealand</c:v>
                </c:pt>
                <c:pt idx="10">
                  <c:v>United Kingdom</c:v>
                </c:pt>
                <c:pt idx="11">
                  <c:v>United States</c:v>
                </c:pt>
                <c:pt idx="12">
                  <c:v>Canada</c:v>
                </c:pt>
                <c:pt idx="13">
                  <c:v>Portugal</c:v>
                </c:pt>
                <c:pt idx="14">
                  <c:v>Belgium</c:v>
                </c:pt>
                <c:pt idx="15">
                  <c:v>France</c:v>
                </c:pt>
                <c:pt idx="16">
                  <c:v>Slovenia</c:v>
                </c:pt>
                <c:pt idx="17">
                  <c:v>Germany</c:v>
                </c:pt>
                <c:pt idx="18">
                  <c:v>Iceland</c:v>
                </c:pt>
                <c:pt idx="19">
                  <c:v>Switzerland</c:v>
                </c:pt>
                <c:pt idx="20">
                  <c:v>Austria</c:v>
                </c:pt>
                <c:pt idx="21">
                  <c:v>Sweden</c:v>
                </c:pt>
                <c:pt idx="22">
                  <c:v>Japan</c:v>
                </c:pt>
                <c:pt idx="23">
                  <c:v>Luxembourg</c:v>
                </c:pt>
                <c:pt idx="24">
                  <c:v>Norway</c:v>
                </c:pt>
                <c:pt idx="25">
                  <c:v>Korea</c:v>
                </c:pt>
                <c:pt idx="26">
                  <c:v>Finland</c:v>
                </c:pt>
                <c:pt idx="27">
                  <c:v>Denmark</c:v>
                </c:pt>
                <c:pt idx="28">
                  <c:v>Ireland</c:v>
                </c:pt>
              </c:strCache>
            </c:strRef>
          </c:cat>
          <c:val>
            <c:numRef>
              <c:f>'COFOG_OECD DAC_HIST'!$P$323:$P$351</c:f>
              <c:numCache>
                <c:formatCode>0.0</c:formatCode>
                <c:ptCount val="29"/>
                <c:pt idx="0">
                  <c:v>0.2</c:v>
                </c:pt>
                <c:pt idx="1">
                  <c:v>0.3</c:v>
                </c:pt>
                <c:pt idx="2">
                  <c:v>0.2</c:v>
                </c:pt>
                <c:pt idx="3">
                  <c:v>0.2</c:v>
                </c:pt>
                <c:pt idx="4">
                  <c:v>0.3</c:v>
                </c:pt>
                <c:pt idx="5">
                  <c:v>0.2</c:v>
                </c:pt>
                <c:pt idx="6">
                  <c:v>0.3</c:v>
                </c:pt>
                <c:pt idx="7">
                  <c:v>0.2</c:v>
                </c:pt>
                <c:pt idx="8">
                  <c:v>0.2</c:v>
                </c:pt>
                <c:pt idx="9">
                  <c:v>0</c:v>
                </c:pt>
                <c:pt idx="10">
                  <c:v>0.2</c:v>
                </c:pt>
                <c:pt idx="11">
                  <c:v>0.30631169608136405</c:v>
                </c:pt>
                <c:pt idx="12">
                  <c:v>0.2</c:v>
                </c:pt>
                <c:pt idx="13">
                  <c:v>0.1</c:v>
                </c:pt>
                <c:pt idx="14">
                  <c:v>0.2</c:v>
                </c:pt>
                <c:pt idx="15">
                  <c:v>0.3</c:v>
                </c:pt>
                <c:pt idx="16">
                  <c:v>0.2</c:v>
                </c:pt>
                <c:pt idx="17">
                  <c:v>0.3</c:v>
                </c:pt>
                <c:pt idx="18">
                  <c:v>0.1</c:v>
                </c:pt>
                <c:pt idx="19">
                  <c:v>0.1</c:v>
                </c:pt>
                <c:pt idx="20">
                  <c:v>0.2</c:v>
                </c:pt>
                <c:pt idx="21">
                  <c:v>0.2</c:v>
                </c:pt>
                <c:pt idx="22">
                  <c:v>0.4</c:v>
                </c:pt>
                <c:pt idx="23">
                  <c:v>0.3</c:v>
                </c:pt>
                <c:pt idx="24">
                  <c:v>0.3</c:v>
                </c:pt>
                <c:pt idx="25">
                  <c:v>0</c:v>
                </c:pt>
                <c:pt idx="26">
                  <c:v>0.3</c:v>
                </c:pt>
                <c:pt idx="27">
                  <c:v>0.1</c:v>
                </c:pt>
                <c:pt idx="28">
                  <c:v>0.1</c:v>
                </c:pt>
              </c:numCache>
            </c:numRef>
          </c:val>
          <c:extLst>
            <c:ext xmlns:c16="http://schemas.microsoft.com/office/drawing/2014/chart" uri="{C3380CC4-5D6E-409C-BE32-E72D297353CC}">
              <c16:uniqueId val="{00000001-EBB2-4C23-AF85-63A21BC6DB42}"/>
            </c:ext>
          </c:extLst>
        </c:ser>
        <c:ser>
          <c:idx val="3"/>
          <c:order val="3"/>
          <c:tx>
            <c:strRef>
              <c:f>'COFOG_OECD DAC_HIST'!$Q$322</c:f>
              <c:strCache>
                <c:ptCount val="1"/>
                <c:pt idx="0">
                  <c:v>Expenditure on law courts</c:v>
                </c:pt>
              </c:strCache>
            </c:strRef>
          </c:tx>
          <c:spPr>
            <a:solidFill>
              <a:schemeClr val="accent4"/>
            </a:solidFill>
            <a:ln>
              <a:noFill/>
            </a:ln>
            <a:effectLst/>
          </c:spPr>
          <c:invertIfNegative val="0"/>
          <c:cat>
            <c:strRef>
              <c:f>'COFOG_OECD DAC_HIST'!$M$323:$M$351</c:f>
              <c:strCache>
                <c:ptCount val="29"/>
                <c:pt idx="0">
                  <c:v>Slovak Rep.</c:v>
                </c:pt>
                <c:pt idx="1">
                  <c:v>Greece</c:v>
                </c:pt>
                <c:pt idx="2">
                  <c:v>Poland</c:v>
                </c:pt>
                <c:pt idx="3">
                  <c:v>Hungary</c:v>
                </c:pt>
                <c:pt idx="4">
                  <c:v>Czech Rep.</c:v>
                </c:pt>
                <c:pt idx="5">
                  <c:v>Spain</c:v>
                </c:pt>
                <c:pt idx="6">
                  <c:v>Australia</c:v>
                </c:pt>
                <c:pt idx="7">
                  <c:v>Italy</c:v>
                </c:pt>
                <c:pt idx="8">
                  <c:v>Netherlands</c:v>
                </c:pt>
                <c:pt idx="9">
                  <c:v>New Zealand</c:v>
                </c:pt>
                <c:pt idx="10">
                  <c:v>United Kingdom</c:v>
                </c:pt>
                <c:pt idx="11">
                  <c:v>United States</c:v>
                </c:pt>
                <c:pt idx="12">
                  <c:v>Canada</c:v>
                </c:pt>
                <c:pt idx="13">
                  <c:v>Portugal</c:v>
                </c:pt>
                <c:pt idx="14">
                  <c:v>Belgium</c:v>
                </c:pt>
                <c:pt idx="15">
                  <c:v>France</c:v>
                </c:pt>
                <c:pt idx="16">
                  <c:v>Slovenia</c:v>
                </c:pt>
                <c:pt idx="17">
                  <c:v>Germany</c:v>
                </c:pt>
                <c:pt idx="18">
                  <c:v>Iceland</c:v>
                </c:pt>
                <c:pt idx="19">
                  <c:v>Switzerland</c:v>
                </c:pt>
                <c:pt idx="20">
                  <c:v>Austria</c:v>
                </c:pt>
                <c:pt idx="21">
                  <c:v>Sweden</c:v>
                </c:pt>
                <c:pt idx="22">
                  <c:v>Japan</c:v>
                </c:pt>
                <c:pt idx="23">
                  <c:v>Luxembourg</c:v>
                </c:pt>
                <c:pt idx="24">
                  <c:v>Norway</c:v>
                </c:pt>
                <c:pt idx="25">
                  <c:v>Korea</c:v>
                </c:pt>
                <c:pt idx="26">
                  <c:v>Finland</c:v>
                </c:pt>
                <c:pt idx="27">
                  <c:v>Denmark</c:v>
                </c:pt>
                <c:pt idx="28">
                  <c:v>Ireland</c:v>
                </c:pt>
              </c:strCache>
            </c:strRef>
          </c:cat>
          <c:val>
            <c:numRef>
              <c:f>'COFOG_OECD DAC_HIST'!$Q$323:$Q$351</c:f>
              <c:numCache>
                <c:formatCode>0.0</c:formatCode>
                <c:ptCount val="29"/>
                <c:pt idx="0">
                  <c:v>0.3</c:v>
                </c:pt>
                <c:pt idx="1">
                  <c:v>0.4</c:v>
                </c:pt>
                <c:pt idx="2">
                  <c:v>0.6</c:v>
                </c:pt>
                <c:pt idx="3">
                  <c:v>0.4</c:v>
                </c:pt>
                <c:pt idx="4">
                  <c:v>0.3</c:v>
                </c:pt>
                <c:pt idx="5">
                  <c:v>0.4</c:v>
                </c:pt>
                <c:pt idx="6">
                  <c:v>0.4</c:v>
                </c:pt>
                <c:pt idx="7">
                  <c:v>0.3</c:v>
                </c:pt>
                <c:pt idx="8">
                  <c:v>0.3</c:v>
                </c:pt>
                <c:pt idx="9">
                  <c:v>0</c:v>
                </c:pt>
                <c:pt idx="10">
                  <c:v>0.4</c:v>
                </c:pt>
                <c:pt idx="11">
                  <c:v>0.30200418785521987</c:v>
                </c:pt>
                <c:pt idx="12">
                  <c:v>0.3</c:v>
                </c:pt>
                <c:pt idx="13">
                  <c:v>0.4</c:v>
                </c:pt>
                <c:pt idx="14">
                  <c:v>0.3</c:v>
                </c:pt>
                <c:pt idx="15">
                  <c:v>0.2</c:v>
                </c:pt>
                <c:pt idx="16">
                  <c:v>0.5</c:v>
                </c:pt>
                <c:pt idx="17">
                  <c:v>0.4</c:v>
                </c:pt>
                <c:pt idx="18">
                  <c:v>0.2</c:v>
                </c:pt>
                <c:pt idx="19">
                  <c:v>0.3</c:v>
                </c:pt>
                <c:pt idx="20">
                  <c:v>0.3</c:v>
                </c:pt>
                <c:pt idx="21">
                  <c:v>0.3</c:v>
                </c:pt>
                <c:pt idx="22">
                  <c:v>0.1</c:v>
                </c:pt>
                <c:pt idx="23">
                  <c:v>0.2</c:v>
                </c:pt>
                <c:pt idx="24">
                  <c:v>0.2</c:v>
                </c:pt>
                <c:pt idx="25">
                  <c:v>0</c:v>
                </c:pt>
                <c:pt idx="26">
                  <c:v>0.2</c:v>
                </c:pt>
                <c:pt idx="27">
                  <c:v>0.2</c:v>
                </c:pt>
                <c:pt idx="28">
                  <c:v>0.2</c:v>
                </c:pt>
              </c:numCache>
            </c:numRef>
          </c:val>
          <c:extLst>
            <c:ext xmlns:c16="http://schemas.microsoft.com/office/drawing/2014/chart" uri="{C3380CC4-5D6E-409C-BE32-E72D297353CC}">
              <c16:uniqueId val="{00000002-EBB2-4C23-AF85-63A21BC6DB42}"/>
            </c:ext>
          </c:extLst>
        </c:ser>
        <c:ser>
          <c:idx val="4"/>
          <c:order val="4"/>
          <c:tx>
            <c:strRef>
              <c:f>'COFOG_OECD DAC_HIST'!$R$322</c:f>
              <c:strCache>
                <c:ptCount val="1"/>
                <c:pt idx="0">
                  <c:v>Expenditure on prisons</c:v>
                </c:pt>
              </c:strCache>
            </c:strRef>
          </c:tx>
          <c:spPr>
            <a:solidFill>
              <a:schemeClr val="accent5"/>
            </a:solidFill>
            <a:ln>
              <a:noFill/>
            </a:ln>
            <a:effectLst/>
          </c:spPr>
          <c:invertIfNegative val="0"/>
          <c:cat>
            <c:strRef>
              <c:f>'COFOG_OECD DAC_HIST'!$M$323:$M$351</c:f>
              <c:strCache>
                <c:ptCount val="29"/>
                <c:pt idx="0">
                  <c:v>Slovak Rep.</c:v>
                </c:pt>
                <c:pt idx="1">
                  <c:v>Greece</c:v>
                </c:pt>
                <c:pt idx="2">
                  <c:v>Poland</c:v>
                </c:pt>
                <c:pt idx="3">
                  <c:v>Hungary</c:v>
                </c:pt>
                <c:pt idx="4">
                  <c:v>Czech Rep.</c:v>
                </c:pt>
                <c:pt idx="5">
                  <c:v>Spain</c:v>
                </c:pt>
                <c:pt idx="6">
                  <c:v>Australia</c:v>
                </c:pt>
                <c:pt idx="7">
                  <c:v>Italy</c:v>
                </c:pt>
                <c:pt idx="8">
                  <c:v>Netherlands</c:v>
                </c:pt>
                <c:pt idx="9">
                  <c:v>New Zealand</c:v>
                </c:pt>
                <c:pt idx="10">
                  <c:v>United Kingdom</c:v>
                </c:pt>
                <c:pt idx="11">
                  <c:v>United States</c:v>
                </c:pt>
                <c:pt idx="12">
                  <c:v>Canada</c:v>
                </c:pt>
                <c:pt idx="13">
                  <c:v>Portugal</c:v>
                </c:pt>
                <c:pt idx="14">
                  <c:v>Belgium</c:v>
                </c:pt>
                <c:pt idx="15">
                  <c:v>France</c:v>
                </c:pt>
                <c:pt idx="16">
                  <c:v>Slovenia</c:v>
                </c:pt>
                <c:pt idx="17">
                  <c:v>Germany</c:v>
                </c:pt>
                <c:pt idx="18">
                  <c:v>Iceland</c:v>
                </c:pt>
                <c:pt idx="19">
                  <c:v>Switzerland</c:v>
                </c:pt>
                <c:pt idx="20">
                  <c:v>Austria</c:v>
                </c:pt>
                <c:pt idx="21">
                  <c:v>Sweden</c:v>
                </c:pt>
                <c:pt idx="22">
                  <c:v>Japan</c:v>
                </c:pt>
                <c:pt idx="23">
                  <c:v>Luxembourg</c:v>
                </c:pt>
                <c:pt idx="24">
                  <c:v>Norway</c:v>
                </c:pt>
                <c:pt idx="25">
                  <c:v>Korea</c:v>
                </c:pt>
                <c:pt idx="26">
                  <c:v>Finland</c:v>
                </c:pt>
                <c:pt idx="27">
                  <c:v>Denmark</c:v>
                </c:pt>
                <c:pt idx="28">
                  <c:v>Ireland</c:v>
                </c:pt>
              </c:strCache>
            </c:strRef>
          </c:cat>
          <c:val>
            <c:numRef>
              <c:f>'COFOG_OECD DAC_HIST'!$R$323:$R$351</c:f>
              <c:numCache>
                <c:formatCode>0.0</c:formatCode>
                <c:ptCount val="29"/>
                <c:pt idx="0">
                  <c:v>0.2</c:v>
                </c:pt>
                <c:pt idx="1">
                  <c:v>0.1</c:v>
                </c:pt>
                <c:pt idx="2">
                  <c:v>0.2</c:v>
                </c:pt>
                <c:pt idx="3">
                  <c:v>0.3</c:v>
                </c:pt>
                <c:pt idx="4">
                  <c:v>0.2</c:v>
                </c:pt>
                <c:pt idx="5">
                  <c:v>0.2</c:v>
                </c:pt>
                <c:pt idx="6">
                  <c:v>0.3</c:v>
                </c:pt>
                <c:pt idx="7">
                  <c:v>0.2</c:v>
                </c:pt>
                <c:pt idx="8">
                  <c:v>0.4</c:v>
                </c:pt>
                <c:pt idx="9">
                  <c:v>0</c:v>
                </c:pt>
                <c:pt idx="10">
                  <c:v>0.2</c:v>
                </c:pt>
                <c:pt idx="11">
                  <c:v>0.43840861501645229</c:v>
                </c:pt>
                <c:pt idx="12">
                  <c:v>0.3</c:v>
                </c:pt>
                <c:pt idx="13">
                  <c:v>0.1</c:v>
                </c:pt>
                <c:pt idx="14">
                  <c:v>0.1</c:v>
                </c:pt>
                <c:pt idx="15">
                  <c:v>0.2</c:v>
                </c:pt>
                <c:pt idx="16">
                  <c:v>0.1</c:v>
                </c:pt>
                <c:pt idx="17">
                  <c:v>0.1</c:v>
                </c:pt>
                <c:pt idx="18">
                  <c:v>0.1</c:v>
                </c:pt>
                <c:pt idx="19">
                  <c:v>0.2</c:v>
                </c:pt>
                <c:pt idx="20">
                  <c:v>0.2</c:v>
                </c:pt>
                <c:pt idx="21">
                  <c:v>0.2</c:v>
                </c:pt>
                <c:pt idx="22">
                  <c:v>0</c:v>
                </c:pt>
                <c:pt idx="23">
                  <c:v>0.2</c:v>
                </c:pt>
                <c:pt idx="24">
                  <c:v>0.1</c:v>
                </c:pt>
                <c:pt idx="25">
                  <c:v>0</c:v>
                </c:pt>
                <c:pt idx="26">
                  <c:v>0.1</c:v>
                </c:pt>
                <c:pt idx="27">
                  <c:v>0.2</c:v>
                </c:pt>
                <c:pt idx="28">
                  <c:v>0.1</c:v>
                </c:pt>
              </c:numCache>
            </c:numRef>
          </c:val>
          <c:extLst>
            <c:ext xmlns:c16="http://schemas.microsoft.com/office/drawing/2014/chart" uri="{C3380CC4-5D6E-409C-BE32-E72D297353CC}">
              <c16:uniqueId val="{00000003-EBB2-4C23-AF85-63A21BC6DB42}"/>
            </c:ext>
          </c:extLst>
        </c:ser>
        <c:ser>
          <c:idx val="5"/>
          <c:order val="5"/>
          <c:tx>
            <c:strRef>
              <c:f>'COFOG_OECD DAC_HIST'!$S$322</c:f>
              <c:strCache>
                <c:ptCount val="1"/>
                <c:pt idx="0">
                  <c:v>Other</c:v>
                </c:pt>
              </c:strCache>
            </c:strRef>
          </c:tx>
          <c:spPr>
            <a:solidFill>
              <a:schemeClr val="accent6"/>
            </a:solidFill>
            <a:ln>
              <a:noFill/>
            </a:ln>
            <a:effectLst/>
          </c:spPr>
          <c:invertIfNegative val="0"/>
          <c:cat>
            <c:strRef>
              <c:f>'COFOG_OECD DAC_HIST'!$M$323:$M$351</c:f>
              <c:strCache>
                <c:ptCount val="29"/>
                <c:pt idx="0">
                  <c:v>Slovak Rep.</c:v>
                </c:pt>
                <c:pt idx="1">
                  <c:v>Greece</c:v>
                </c:pt>
                <c:pt idx="2">
                  <c:v>Poland</c:v>
                </c:pt>
                <c:pt idx="3">
                  <c:v>Hungary</c:v>
                </c:pt>
                <c:pt idx="4">
                  <c:v>Czech Rep.</c:v>
                </c:pt>
                <c:pt idx="5">
                  <c:v>Spain</c:v>
                </c:pt>
                <c:pt idx="6">
                  <c:v>Australia</c:v>
                </c:pt>
                <c:pt idx="7">
                  <c:v>Italy</c:v>
                </c:pt>
                <c:pt idx="8">
                  <c:v>Netherlands</c:v>
                </c:pt>
                <c:pt idx="9">
                  <c:v>New Zealand</c:v>
                </c:pt>
                <c:pt idx="10">
                  <c:v>United Kingdom</c:v>
                </c:pt>
                <c:pt idx="11">
                  <c:v>United States</c:v>
                </c:pt>
                <c:pt idx="12">
                  <c:v>Canada</c:v>
                </c:pt>
                <c:pt idx="13">
                  <c:v>Portugal</c:v>
                </c:pt>
                <c:pt idx="14">
                  <c:v>Belgium</c:v>
                </c:pt>
                <c:pt idx="15">
                  <c:v>France</c:v>
                </c:pt>
                <c:pt idx="16">
                  <c:v>Slovenia</c:v>
                </c:pt>
                <c:pt idx="17">
                  <c:v>Germany</c:v>
                </c:pt>
                <c:pt idx="18">
                  <c:v>Iceland</c:v>
                </c:pt>
                <c:pt idx="19">
                  <c:v>Switzerland</c:v>
                </c:pt>
                <c:pt idx="20">
                  <c:v>Austria</c:v>
                </c:pt>
                <c:pt idx="21">
                  <c:v>Sweden</c:v>
                </c:pt>
                <c:pt idx="22">
                  <c:v>Japan</c:v>
                </c:pt>
                <c:pt idx="23">
                  <c:v>Luxembourg</c:v>
                </c:pt>
                <c:pt idx="24">
                  <c:v>Norway</c:v>
                </c:pt>
                <c:pt idx="25">
                  <c:v>Korea</c:v>
                </c:pt>
                <c:pt idx="26">
                  <c:v>Finland</c:v>
                </c:pt>
                <c:pt idx="27">
                  <c:v>Denmark</c:v>
                </c:pt>
                <c:pt idx="28">
                  <c:v>Ireland</c:v>
                </c:pt>
              </c:strCache>
            </c:strRef>
          </c:cat>
          <c:val>
            <c:numRef>
              <c:f>'COFOG_OECD DAC_HIST'!$S$323:$S$351</c:f>
              <c:numCache>
                <c:formatCode>0.0</c:formatCode>
                <c:ptCount val="29"/>
                <c:pt idx="0">
                  <c:v>0.7</c:v>
                </c:pt>
                <c:pt idx="1">
                  <c:v>9.9999999999999645E-2</c:v>
                </c:pt>
                <c:pt idx="2">
                  <c:v>0.19999999999999973</c:v>
                </c:pt>
                <c:pt idx="3">
                  <c:v>0.10000000000000053</c:v>
                </c:pt>
                <c:pt idx="4">
                  <c:v>0.30000000000000004</c:v>
                </c:pt>
                <c:pt idx="5">
                  <c:v>0</c:v>
                </c:pt>
                <c:pt idx="6">
                  <c:v>0.30000000000000004</c:v>
                </c:pt>
                <c:pt idx="7">
                  <c:v>0.10000000000000009</c:v>
                </c:pt>
                <c:pt idx="8">
                  <c:v>0.19999999999999973</c:v>
                </c:pt>
                <c:pt idx="10">
                  <c:v>9.9999999999999867E-2</c:v>
                </c:pt>
                <c:pt idx="11">
                  <c:v>0</c:v>
                </c:pt>
                <c:pt idx="12">
                  <c:v>0.19999999999999973</c:v>
                </c:pt>
                <c:pt idx="13">
                  <c:v>0.19999999999999973</c:v>
                </c:pt>
                <c:pt idx="14">
                  <c:v>9.9999999999999867E-2</c:v>
                </c:pt>
                <c:pt idx="15">
                  <c:v>0.10000000000000009</c:v>
                </c:pt>
                <c:pt idx="16">
                  <c:v>9.9999999999999867E-2</c:v>
                </c:pt>
                <c:pt idx="17">
                  <c:v>9.9999999999999867E-2</c:v>
                </c:pt>
                <c:pt idx="18">
                  <c:v>0.30000000000000004</c:v>
                </c:pt>
                <c:pt idx="19">
                  <c:v>0.30000000000000027</c:v>
                </c:pt>
                <c:pt idx="20">
                  <c:v>0</c:v>
                </c:pt>
                <c:pt idx="21">
                  <c:v>0</c:v>
                </c:pt>
                <c:pt idx="22">
                  <c:v>9.9999999999999867E-2</c:v>
                </c:pt>
                <c:pt idx="23">
                  <c:v>0.10000000000000009</c:v>
                </c:pt>
                <c:pt idx="24">
                  <c:v>0.10000000000000009</c:v>
                </c:pt>
                <c:pt idx="26">
                  <c:v>9.9999999999999867E-2</c:v>
                </c:pt>
                <c:pt idx="27">
                  <c:v>0</c:v>
                </c:pt>
                <c:pt idx="28">
                  <c:v>0</c:v>
                </c:pt>
              </c:numCache>
            </c:numRef>
          </c:val>
          <c:extLst>
            <c:ext xmlns:c16="http://schemas.microsoft.com/office/drawing/2014/chart" uri="{C3380CC4-5D6E-409C-BE32-E72D297353CC}">
              <c16:uniqueId val="{00000004-EBB2-4C23-AF85-63A21BC6DB42}"/>
            </c:ext>
          </c:extLst>
        </c:ser>
        <c:ser>
          <c:idx val="6"/>
          <c:order val="6"/>
          <c:tx>
            <c:strRef>
              <c:f>'COFOG_OECD DAC_HIST'!$T$322</c:f>
              <c:strCache>
                <c:ptCount val="1"/>
                <c:pt idx="0">
                  <c:v>Expenditure on public order &amp; safety (not disaggregated)</c:v>
                </c:pt>
              </c:strCache>
            </c:strRef>
          </c:tx>
          <c:spPr>
            <a:solidFill>
              <a:schemeClr val="accent1">
                <a:lumMod val="60000"/>
              </a:schemeClr>
            </a:solidFill>
            <a:ln>
              <a:noFill/>
            </a:ln>
            <a:effectLst/>
          </c:spPr>
          <c:invertIfNegative val="0"/>
          <c:cat>
            <c:strRef>
              <c:f>'COFOG_OECD DAC_HIST'!$M$323:$M$351</c:f>
              <c:strCache>
                <c:ptCount val="29"/>
                <c:pt idx="0">
                  <c:v>Slovak Rep.</c:v>
                </c:pt>
                <c:pt idx="1">
                  <c:v>Greece</c:v>
                </c:pt>
                <c:pt idx="2">
                  <c:v>Poland</c:v>
                </c:pt>
                <c:pt idx="3">
                  <c:v>Hungary</c:v>
                </c:pt>
                <c:pt idx="4">
                  <c:v>Czech Rep.</c:v>
                </c:pt>
                <c:pt idx="5">
                  <c:v>Spain</c:v>
                </c:pt>
                <c:pt idx="6">
                  <c:v>Australia</c:v>
                </c:pt>
                <c:pt idx="7">
                  <c:v>Italy</c:v>
                </c:pt>
                <c:pt idx="8">
                  <c:v>Netherlands</c:v>
                </c:pt>
                <c:pt idx="9">
                  <c:v>New Zealand</c:v>
                </c:pt>
                <c:pt idx="10">
                  <c:v>United Kingdom</c:v>
                </c:pt>
                <c:pt idx="11">
                  <c:v>United States</c:v>
                </c:pt>
                <c:pt idx="12">
                  <c:v>Canada</c:v>
                </c:pt>
                <c:pt idx="13">
                  <c:v>Portugal</c:v>
                </c:pt>
                <c:pt idx="14">
                  <c:v>Belgium</c:v>
                </c:pt>
                <c:pt idx="15">
                  <c:v>France</c:v>
                </c:pt>
                <c:pt idx="16">
                  <c:v>Slovenia</c:v>
                </c:pt>
                <c:pt idx="17">
                  <c:v>Germany</c:v>
                </c:pt>
                <c:pt idx="18">
                  <c:v>Iceland</c:v>
                </c:pt>
                <c:pt idx="19">
                  <c:v>Switzerland</c:v>
                </c:pt>
                <c:pt idx="20">
                  <c:v>Austria</c:v>
                </c:pt>
                <c:pt idx="21">
                  <c:v>Sweden</c:v>
                </c:pt>
                <c:pt idx="22">
                  <c:v>Japan</c:v>
                </c:pt>
                <c:pt idx="23">
                  <c:v>Luxembourg</c:v>
                </c:pt>
                <c:pt idx="24">
                  <c:v>Norway</c:v>
                </c:pt>
                <c:pt idx="25">
                  <c:v>Korea</c:v>
                </c:pt>
                <c:pt idx="26">
                  <c:v>Finland</c:v>
                </c:pt>
                <c:pt idx="27">
                  <c:v>Denmark</c:v>
                </c:pt>
                <c:pt idx="28">
                  <c:v>Ireland</c:v>
                </c:pt>
              </c:strCache>
            </c:strRef>
          </c:cat>
          <c:val>
            <c:numRef>
              <c:f>'COFOG_OECD DAC_HIST'!$T$323:$T$351</c:f>
              <c:numCache>
                <c:formatCode>0.0</c:formatCode>
                <c:ptCount val="29"/>
                <c:pt idx="0">
                  <c:v>0</c:v>
                </c:pt>
                <c:pt idx="1">
                  <c:v>0</c:v>
                </c:pt>
                <c:pt idx="2">
                  <c:v>0</c:v>
                </c:pt>
                <c:pt idx="3">
                  <c:v>0</c:v>
                </c:pt>
                <c:pt idx="4">
                  <c:v>0</c:v>
                </c:pt>
                <c:pt idx="5">
                  <c:v>0</c:v>
                </c:pt>
                <c:pt idx="6">
                  <c:v>0</c:v>
                </c:pt>
                <c:pt idx="7">
                  <c:v>0</c:v>
                </c:pt>
                <c:pt idx="8">
                  <c:v>0</c:v>
                </c:pt>
                <c:pt idx="9">
                  <c:v>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1.2796999529227882</c:v>
                </c:pt>
                <c:pt idx="26">
                  <c:v>0</c:v>
                </c:pt>
                <c:pt idx="27">
                  <c:v>0</c:v>
                </c:pt>
                <c:pt idx="28">
                  <c:v>0</c:v>
                </c:pt>
              </c:numCache>
            </c:numRef>
          </c:val>
          <c:extLst>
            <c:ext xmlns:c16="http://schemas.microsoft.com/office/drawing/2014/chart" uri="{C3380CC4-5D6E-409C-BE32-E72D297353CC}">
              <c16:uniqueId val="{00000005-EBB2-4C23-AF85-63A21BC6DB42}"/>
            </c:ext>
          </c:extLst>
        </c:ser>
        <c:dLbls>
          <c:showLegendKey val="0"/>
          <c:showVal val="0"/>
          <c:showCatName val="0"/>
          <c:showSerName val="0"/>
          <c:showPercent val="0"/>
          <c:showBubbleSize val="0"/>
        </c:dLbls>
        <c:gapWidth val="150"/>
        <c:overlap val="100"/>
        <c:axId val="1738018287"/>
        <c:axId val="1738000399"/>
        <c:extLst>
          <c:ext xmlns:c15="http://schemas.microsoft.com/office/drawing/2012/chart" uri="{02D57815-91ED-43cb-92C2-25804820EDAC}">
            <c15:filteredBarSeries>
              <c15:ser>
                <c:idx val="0"/>
                <c:order val="0"/>
                <c:tx>
                  <c:strRef>
                    <c:extLst>
                      <c:ext uri="{02D57815-91ED-43cb-92C2-25804820EDAC}">
                        <c15:formulaRef>
                          <c15:sqref>'COFOG_OECD DAC_HIST'!$N$322</c15:sqref>
                        </c15:formulaRef>
                      </c:ext>
                    </c:extLst>
                    <c:strCache>
                      <c:ptCount val="1"/>
                      <c:pt idx="0">
                        <c:v>Expenditure on public order &amp; safety</c:v>
                      </c:pt>
                    </c:strCache>
                  </c:strRef>
                </c:tx>
                <c:spPr>
                  <a:solidFill>
                    <a:schemeClr val="accent1"/>
                  </a:solidFill>
                  <a:ln>
                    <a:noFill/>
                  </a:ln>
                  <a:effectLst/>
                </c:spPr>
                <c:invertIfNegative val="0"/>
                <c:cat>
                  <c:strRef>
                    <c:extLst>
                      <c:ext uri="{02D57815-91ED-43cb-92C2-25804820EDAC}">
                        <c15:formulaRef>
                          <c15:sqref>'COFOG_OECD DAC_HIST'!$M$323:$M$351</c15:sqref>
                        </c15:formulaRef>
                      </c:ext>
                    </c:extLst>
                    <c:strCache>
                      <c:ptCount val="29"/>
                      <c:pt idx="0">
                        <c:v>Slovak Rep.</c:v>
                      </c:pt>
                      <c:pt idx="1">
                        <c:v>Greece</c:v>
                      </c:pt>
                      <c:pt idx="2">
                        <c:v>Poland</c:v>
                      </c:pt>
                      <c:pt idx="3">
                        <c:v>Hungary</c:v>
                      </c:pt>
                      <c:pt idx="4">
                        <c:v>Czech Rep.</c:v>
                      </c:pt>
                      <c:pt idx="5">
                        <c:v>Spain</c:v>
                      </c:pt>
                      <c:pt idx="6">
                        <c:v>Australia</c:v>
                      </c:pt>
                      <c:pt idx="7">
                        <c:v>Italy</c:v>
                      </c:pt>
                      <c:pt idx="8">
                        <c:v>Netherlands</c:v>
                      </c:pt>
                      <c:pt idx="9">
                        <c:v>New Zealand</c:v>
                      </c:pt>
                      <c:pt idx="10">
                        <c:v>United Kingdom</c:v>
                      </c:pt>
                      <c:pt idx="11">
                        <c:v>United States</c:v>
                      </c:pt>
                      <c:pt idx="12">
                        <c:v>Canada</c:v>
                      </c:pt>
                      <c:pt idx="13">
                        <c:v>Portugal</c:v>
                      </c:pt>
                      <c:pt idx="14">
                        <c:v>Belgium</c:v>
                      </c:pt>
                      <c:pt idx="15">
                        <c:v>France</c:v>
                      </c:pt>
                      <c:pt idx="16">
                        <c:v>Slovenia</c:v>
                      </c:pt>
                      <c:pt idx="17">
                        <c:v>Germany</c:v>
                      </c:pt>
                      <c:pt idx="18">
                        <c:v>Iceland</c:v>
                      </c:pt>
                      <c:pt idx="19">
                        <c:v>Switzerland</c:v>
                      </c:pt>
                      <c:pt idx="20">
                        <c:v>Austria</c:v>
                      </c:pt>
                      <c:pt idx="21">
                        <c:v>Sweden</c:v>
                      </c:pt>
                      <c:pt idx="22">
                        <c:v>Japan</c:v>
                      </c:pt>
                      <c:pt idx="23">
                        <c:v>Luxembourg</c:v>
                      </c:pt>
                      <c:pt idx="24">
                        <c:v>Norway</c:v>
                      </c:pt>
                      <c:pt idx="25">
                        <c:v>Korea</c:v>
                      </c:pt>
                      <c:pt idx="26">
                        <c:v>Finland</c:v>
                      </c:pt>
                      <c:pt idx="27">
                        <c:v>Denmark</c:v>
                      </c:pt>
                      <c:pt idx="28">
                        <c:v>Ireland</c:v>
                      </c:pt>
                    </c:strCache>
                  </c:strRef>
                </c:cat>
                <c:val>
                  <c:numRef>
                    <c:extLst>
                      <c:ext uri="{02D57815-91ED-43cb-92C2-25804820EDAC}">
                        <c15:formulaRef>
                          <c15:sqref>'COFOG_OECD DAC_HIST'!$N$323:$N$351</c15:sqref>
                        </c15:formulaRef>
                      </c:ext>
                    </c:extLst>
                    <c:numCache>
                      <c:formatCode>0.0</c:formatCode>
                      <c:ptCount val="29"/>
                      <c:pt idx="0">
                        <c:v>2.5</c:v>
                      </c:pt>
                      <c:pt idx="1">
                        <c:v>2.4</c:v>
                      </c:pt>
                      <c:pt idx="2">
                        <c:v>2.2999999999999998</c:v>
                      </c:pt>
                      <c:pt idx="3">
                        <c:v>2.2000000000000002</c:v>
                      </c:pt>
                      <c:pt idx="4">
                        <c:v>2.1</c:v>
                      </c:pt>
                      <c:pt idx="5">
                        <c:v>2.1</c:v>
                      </c:pt>
                      <c:pt idx="6">
                        <c:v>2</c:v>
                      </c:pt>
                      <c:pt idx="7">
                        <c:v>2</c:v>
                      </c:pt>
                      <c:pt idx="8">
                        <c:v>2</c:v>
                      </c:pt>
                      <c:pt idx="9">
                        <c:v>2</c:v>
                      </c:pt>
                      <c:pt idx="10">
                        <c:v>2</c:v>
                      </c:pt>
                      <c:pt idx="11">
                        <c:v>1.9599162428956027</c:v>
                      </c:pt>
                      <c:pt idx="12">
                        <c:v>1.9</c:v>
                      </c:pt>
                      <c:pt idx="13">
                        <c:v>1.9</c:v>
                      </c:pt>
                      <c:pt idx="14">
                        <c:v>1.8</c:v>
                      </c:pt>
                      <c:pt idx="15">
                        <c:v>1.8</c:v>
                      </c:pt>
                      <c:pt idx="16">
                        <c:v>1.8</c:v>
                      </c:pt>
                      <c:pt idx="17">
                        <c:v>1.7</c:v>
                      </c:pt>
                      <c:pt idx="18">
                        <c:v>1.6</c:v>
                      </c:pt>
                      <c:pt idx="19">
                        <c:v>1.6</c:v>
                      </c:pt>
                      <c:pt idx="20">
                        <c:v>1.4</c:v>
                      </c:pt>
                      <c:pt idx="21">
                        <c:v>1.4</c:v>
                      </c:pt>
                      <c:pt idx="22">
                        <c:v>1.3</c:v>
                      </c:pt>
                      <c:pt idx="23">
                        <c:v>1.3</c:v>
                      </c:pt>
                      <c:pt idx="24">
                        <c:v>1.3</c:v>
                      </c:pt>
                      <c:pt idx="25">
                        <c:v>1.2796999529227882</c:v>
                      </c:pt>
                      <c:pt idx="26">
                        <c:v>1.2</c:v>
                      </c:pt>
                      <c:pt idx="27">
                        <c:v>1</c:v>
                      </c:pt>
                      <c:pt idx="28">
                        <c:v>0.9</c:v>
                      </c:pt>
                    </c:numCache>
                  </c:numRef>
                </c:val>
                <c:extLst>
                  <c:ext xmlns:c16="http://schemas.microsoft.com/office/drawing/2014/chart" uri="{C3380CC4-5D6E-409C-BE32-E72D297353CC}">
                    <c16:uniqueId val="{00000006-EBB2-4C23-AF85-63A21BC6DB42}"/>
                  </c:ext>
                </c:extLst>
              </c15:ser>
            </c15:filteredBarSeries>
          </c:ext>
        </c:extLst>
      </c:barChart>
      <c:catAx>
        <c:axId val="1738018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000399"/>
        <c:crosses val="autoZero"/>
        <c:auto val="1"/>
        <c:lblAlgn val="ctr"/>
        <c:lblOffset val="100"/>
        <c:noMultiLvlLbl val="0"/>
      </c:catAx>
      <c:valAx>
        <c:axId val="1738000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018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47A-43E3-BC10-8CE3BF05AAA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7A-43E3-BC10-8CE3BF05AAA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7A-43E3-BC10-8CE3BF05AAA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47A-43E3-BC10-8CE3BF05AAA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47A-43E3-BC10-8CE3BF05AAA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47A-43E3-BC10-8CE3BF05AAA3}"/>
              </c:ext>
            </c:extLst>
          </c:dPt>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 3 OECDpie'!$L$3:$Q$3</c:f>
              <c:strCache>
                <c:ptCount val="6"/>
                <c:pt idx="0">
                  <c:v>Police</c:v>
                </c:pt>
                <c:pt idx="1">
                  <c:v>Courts</c:v>
                </c:pt>
                <c:pt idx="2">
                  <c:v>Prisons</c:v>
                </c:pt>
                <c:pt idx="3">
                  <c:v>Fire services</c:v>
                </c:pt>
                <c:pt idx="4">
                  <c:v>Research </c:v>
                </c:pt>
                <c:pt idx="5">
                  <c:v>Other</c:v>
                </c:pt>
              </c:strCache>
            </c:strRef>
          </c:cat>
          <c:val>
            <c:numRef>
              <c:f>'Fig 3 OECDpie'!$L$33:$Q$33</c:f>
              <c:numCache>
                <c:formatCode>0%</c:formatCode>
                <c:ptCount val="6"/>
                <c:pt idx="0">
                  <c:v>0.51412839697961432</c:v>
                </c:pt>
                <c:pt idx="1">
                  <c:v>0.17697402663506079</c:v>
                </c:pt>
                <c:pt idx="2">
                  <c:v>0.10608395073248955</c:v>
                </c:pt>
                <c:pt idx="3">
                  <c:v>0.13000983310823602</c:v>
                </c:pt>
                <c:pt idx="4">
                  <c:v>3.158245942294267E-3</c:v>
                </c:pt>
                <c:pt idx="5">
                  <c:v>6.9761484715184896E-2</c:v>
                </c:pt>
              </c:numCache>
            </c:numRef>
          </c:val>
          <c:extLst>
            <c:ext xmlns:c15="http://schemas.microsoft.com/office/drawing/2012/chart" uri="{02D57815-91ED-43cb-92C2-25804820EDAC}">
              <c15:filteredSeriesTitle>
                <c15:tx>
                  <c:strRef>
                    <c:extLst>
                      <c:ext uri="{02D57815-91ED-43cb-92C2-25804820EDAC}">
                        <c15:formulaRef>
                          <c15:sqref>'[1]C OECDpie'!#REF!</c15:sqref>
                        </c15:formulaRef>
                      </c:ext>
                    </c:extLst>
                    <c:strCache>
                      <c:ptCount val="1"/>
                      <c:pt idx="0">
                        <c:v>#REF!</c:v>
                      </c:pt>
                    </c:strCache>
                  </c:strRef>
                </c15:tx>
              </c15:filteredSeriesTitle>
            </c:ext>
            <c:ext xmlns:c16="http://schemas.microsoft.com/office/drawing/2014/chart" uri="{C3380CC4-5D6E-409C-BE32-E72D297353CC}">
              <c16:uniqueId val="{0000000C-847A-43E3-BC10-8CE3BF05AAA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 IMF ODI data'!$J$1</c:f>
              <c:strCache>
                <c:ptCount val="1"/>
                <c:pt idx="0">
                  <c:v>IMF data used</c:v>
                </c:pt>
              </c:strCache>
            </c:strRef>
          </c:tx>
          <c:spPr>
            <a:solidFill>
              <a:schemeClr val="accent1"/>
            </a:solidFill>
            <a:ln>
              <a:noFill/>
            </a:ln>
            <a:effectLst/>
          </c:spPr>
          <c:invertIfNegative val="0"/>
          <c:cat>
            <c:strRef>
              <c:f>'Fig 4 IMF ODI data'!$B$2:$B$5</c:f>
              <c:strCache>
                <c:ptCount val="4"/>
                <c:pt idx="0">
                  <c:v>LICs</c:v>
                </c:pt>
                <c:pt idx="1">
                  <c:v>LMICs</c:v>
                </c:pt>
                <c:pt idx="2">
                  <c:v>UMICs</c:v>
                </c:pt>
                <c:pt idx="3">
                  <c:v>OECD DAC</c:v>
                </c:pt>
              </c:strCache>
            </c:strRef>
          </c:cat>
          <c:val>
            <c:numRef>
              <c:f>'Fig 4 IMF ODI data'!$J$2:$J$5</c:f>
              <c:numCache>
                <c:formatCode>0%</c:formatCode>
                <c:ptCount val="4"/>
                <c:pt idx="0">
                  <c:v>0.14285714285714285</c:v>
                </c:pt>
                <c:pt idx="1">
                  <c:v>0.35185185185185186</c:v>
                </c:pt>
                <c:pt idx="2">
                  <c:v>0.48148148148148145</c:v>
                </c:pt>
                <c:pt idx="3">
                  <c:v>1</c:v>
                </c:pt>
              </c:numCache>
            </c:numRef>
          </c:val>
          <c:extLst>
            <c:ext xmlns:c16="http://schemas.microsoft.com/office/drawing/2014/chart" uri="{C3380CC4-5D6E-409C-BE32-E72D297353CC}">
              <c16:uniqueId val="{00000000-7160-4944-AE71-5184498F2D65}"/>
            </c:ext>
          </c:extLst>
        </c:ser>
        <c:ser>
          <c:idx val="1"/>
          <c:order val="1"/>
          <c:tx>
            <c:strRef>
              <c:f>'Fig 4 IMF ODI data'!$K$1</c:f>
              <c:strCache>
                <c:ptCount val="1"/>
                <c:pt idx="0">
                  <c:v>ODI update of IMF data</c:v>
                </c:pt>
              </c:strCache>
            </c:strRef>
          </c:tx>
          <c:spPr>
            <a:solidFill>
              <a:schemeClr val="accent2"/>
            </a:solidFill>
            <a:ln>
              <a:noFill/>
            </a:ln>
            <a:effectLst/>
          </c:spPr>
          <c:invertIfNegative val="0"/>
          <c:cat>
            <c:strRef>
              <c:f>'Fig 4 IMF ODI data'!$B$2:$B$5</c:f>
              <c:strCache>
                <c:ptCount val="4"/>
                <c:pt idx="0">
                  <c:v>LICs</c:v>
                </c:pt>
                <c:pt idx="1">
                  <c:v>LMICs</c:v>
                </c:pt>
                <c:pt idx="2">
                  <c:v>UMICs</c:v>
                </c:pt>
                <c:pt idx="3">
                  <c:v>OECD DAC</c:v>
                </c:pt>
              </c:strCache>
            </c:strRef>
          </c:cat>
          <c:val>
            <c:numRef>
              <c:f>'Fig 4 IMF ODI data'!$K$2:$K$5</c:f>
              <c:numCache>
                <c:formatCode>0%</c:formatCode>
                <c:ptCount val="4"/>
                <c:pt idx="0">
                  <c:v>0.14285714285714285</c:v>
                </c:pt>
                <c:pt idx="1">
                  <c:v>7.407407407407407E-2</c:v>
                </c:pt>
                <c:pt idx="2">
                  <c:v>0</c:v>
                </c:pt>
                <c:pt idx="3">
                  <c:v>0</c:v>
                </c:pt>
              </c:numCache>
            </c:numRef>
          </c:val>
          <c:extLst>
            <c:ext xmlns:c16="http://schemas.microsoft.com/office/drawing/2014/chart" uri="{C3380CC4-5D6E-409C-BE32-E72D297353CC}">
              <c16:uniqueId val="{00000001-7160-4944-AE71-5184498F2D65}"/>
            </c:ext>
          </c:extLst>
        </c:ser>
        <c:ser>
          <c:idx val="2"/>
          <c:order val="2"/>
          <c:tx>
            <c:strRef>
              <c:f>'Fig 4 IMF ODI data'!$L$1</c:f>
              <c:strCache>
                <c:ptCount val="1"/>
                <c:pt idx="0">
                  <c:v>ODI new data</c:v>
                </c:pt>
              </c:strCache>
            </c:strRef>
          </c:tx>
          <c:spPr>
            <a:solidFill>
              <a:schemeClr val="accent3"/>
            </a:solidFill>
            <a:ln>
              <a:noFill/>
            </a:ln>
            <a:effectLst/>
          </c:spPr>
          <c:invertIfNegative val="0"/>
          <c:cat>
            <c:strRef>
              <c:f>'Fig 4 IMF ODI data'!$B$2:$B$5</c:f>
              <c:strCache>
                <c:ptCount val="4"/>
                <c:pt idx="0">
                  <c:v>LICs</c:v>
                </c:pt>
                <c:pt idx="1">
                  <c:v>LMICs</c:v>
                </c:pt>
                <c:pt idx="2">
                  <c:v>UMICs</c:v>
                </c:pt>
                <c:pt idx="3">
                  <c:v>OECD DAC</c:v>
                </c:pt>
              </c:strCache>
            </c:strRef>
          </c:cat>
          <c:val>
            <c:numRef>
              <c:f>'Fig 4 IMF ODI data'!$L$2:$L$5</c:f>
              <c:numCache>
                <c:formatCode>0%</c:formatCode>
                <c:ptCount val="4"/>
                <c:pt idx="0">
                  <c:v>0.4642857142857143</c:v>
                </c:pt>
                <c:pt idx="1">
                  <c:v>0.3888888888888889</c:v>
                </c:pt>
                <c:pt idx="2">
                  <c:v>0</c:v>
                </c:pt>
                <c:pt idx="3">
                  <c:v>0</c:v>
                </c:pt>
              </c:numCache>
            </c:numRef>
          </c:val>
          <c:extLst>
            <c:ext xmlns:c16="http://schemas.microsoft.com/office/drawing/2014/chart" uri="{C3380CC4-5D6E-409C-BE32-E72D297353CC}">
              <c16:uniqueId val="{00000000-395B-44A5-9CE3-828CBAAC5946}"/>
            </c:ext>
          </c:extLst>
        </c:ser>
        <c:dLbls>
          <c:showLegendKey val="0"/>
          <c:showVal val="0"/>
          <c:showCatName val="0"/>
          <c:showSerName val="0"/>
          <c:showPercent val="0"/>
          <c:showBubbleSize val="0"/>
        </c:dLbls>
        <c:gapWidth val="219"/>
        <c:overlap val="100"/>
        <c:axId val="205012704"/>
        <c:axId val="2008157104"/>
      </c:barChart>
      <c:catAx>
        <c:axId val="20501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08157104"/>
        <c:crosses val="autoZero"/>
        <c:auto val="1"/>
        <c:lblAlgn val="ctr"/>
        <c:lblOffset val="100"/>
        <c:noMultiLvlLbl val="0"/>
      </c:catAx>
      <c:valAx>
        <c:axId val="2008157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5012704"/>
        <c:crosses val="autoZero"/>
        <c:crossBetween val="between"/>
      </c:valAx>
      <c:spPr>
        <a:noFill/>
        <a:ln>
          <a:noFill/>
        </a:ln>
        <a:effectLst/>
      </c:spPr>
    </c:plotArea>
    <c:legend>
      <c:legendPos val="r"/>
      <c:layout>
        <c:manualLayout>
          <c:xMode val="edge"/>
          <c:yMode val="edge"/>
          <c:x val="0.79896826385702169"/>
          <c:y val="0.13954644759000501"/>
          <c:w val="0.15729058086187703"/>
          <c:h val="0.5039756952346274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Expenditure on</a:t>
            </a:r>
            <a:r>
              <a:rPr lang="en-US" baseline="0"/>
              <a:t> Justice by category in OECD DAC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B18-4A18-84B7-C4E6EC4A29D2}"/>
              </c:ext>
            </c:extLst>
          </c:dPt>
          <c:val>
            <c:numRef>
              <c:f>'[2]C JvGNI'!#REF!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'[2]C JvGNI'!#REF!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'[2]C JvGNI'!#REF!</c15:sqref>
                        </c15:formulaRef>
                      </c:ext>
                    </c:extLst>
                    <c:strCache>
                      <c:ptCount val="1"/>
                      <c:pt idx="0">
                        <c:v>#REF!</c:v>
                      </c:pt>
                    </c:strCache>
                  </c:strRef>
                </c15:cat>
              </c15:filteredCategoryTitle>
            </c:ext>
            <c:ext xmlns:c16="http://schemas.microsoft.com/office/drawing/2014/chart" uri="{C3380CC4-5D6E-409C-BE32-E72D297353CC}">
              <c16:uniqueId val="{0000000C-2B18-4A18-84B7-C4E6EC4A29D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9662448365764"/>
          <c:y val="8.0208515602216396E-2"/>
          <c:w val="0.82084129600563904"/>
          <c:h val="0.88587926509186354"/>
        </c:manualLayout>
      </c:layout>
      <c:lineChart>
        <c:grouping val="standard"/>
        <c:varyColors val="0"/>
        <c:ser>
          <c:idx val="1"/>
          <c:order val="1"/>
          <c:tx>
            <c:strRef>
              <c:f>'Fig 5 all % rev'!$C$1</c:f>
              <c:strCache>
                <c:ptCount val="1"/>
                <c:pt idx="0">
                  <c:v>Justice</c:v>
                </c:pt>
              </c:strCache>
            </c:strRef>
          </c:tx>
          <c:spPr>
            <a:ln w="28575" cap="rnd">
              <a:noFill/>
              <a:round/>
            </a:ln>
            <a:effectLst/>
          </c:spPr>
          <c:marker>
            <c:symbol val="circle"/>
            <c:size val="5"/>
            <c:spPr>
              <a:solidFill>
                <a:schemeClr val="accent2"/>
              </a:solidFill>
              <a:ln w="9525">
                <a:solidFill>
                  <a:schemeClr val="accent1"/>
                </a:solidFill>
              </a:ln>
              <a:effectLst/>
            </c:spPr>
          </c:marker>
          <c:cat>
            <c:strRef>
              <c:f>'Fig 5 all % rev'!$A$2:$A$88</c:f>
              <c:strCache>
                <c:ptCount val="87"/>
                <c:pt idx="0">
                  <c:v>Burkina Faso</c:v>
                </c:pt>
                <c:pt idx="1">
                  <c:v>Lao PDR</c:v>
                </c:pt>
                <c:pt idx="2">
                  <c:v>Micronesia, Fed. Sts.</c:v>
                </c:pt>
                <c:pt idx="3">
                  <c:v>Ethiopia</c:v>
                </c:pt>
                <c:pt idx="4">
                  <c:v>Pakistan</c:v>
                </c:pt>
                <c:pt idx="5">
                  <c:v>Zambia</c:v>
                </c:pt>
                <c:pt idx="6">
                  <c:v>Argentina</c:v>
                </c:pt>
                <c:pt idx="7">
                  <c:v>Guinea</c:v>
                </c:pt>
                <c:pt idx="8">
                  <c:v>Myanmar</c:v>
                </c:pt>
                <c:pt idx="9">
                  <c:v>Vanuatu</c:v>
                </c:pt>
                <c:pt idx="10">
                  <c:v>Brazil</c:v>
                </c:pt>
                <c:pt idx="11">
                  <c:v>Togo</c:v>
                </c:pt>
                <c:pt idx="12">
                  <c:v>Kiribati</c:v>
                </c:pt>
                <c:pt idx="13">
                  <c:v>South Sudan</c:v>
                </c:pt>
                <c:pt idx="14">
                  <c:v>Marshall Islands</c:v>
                </c:pt>
                <c:pt idx="15">
                  <c:v>Kazakhstan</c:v>
                </c:pt>
                <c:pt idx="16">
                  <c:v>Kyrgyz Republic</c:v>
                </c:pt>
                <c:pt idx="17">
                  <c:v>Tanzania</c:v>
                </c:pt>
                <c:pt idx="18">
                  <c:v>China</c:v>
                </c:pt>
                <c:pt idx="19">
                  <c:v>Mauritania</c:v>
                </c:pt>
                <c:pt idx="20">
                  <c:v>Egypt, Arab Rep.</c:v>
                </c:pt>
                <c:pt idx="21">
                  <c:v>Gambia, The</c:v>
                </c:pt>
                <c:pt idx="22">
                  <c:v>Malaysia</c:v>
                </c:pt>
                <c:pt idx="23">
                  <c:v>Azerbaijan</c:v>
                </c:pt>
                <c:pt idx="24">
                  <c:v>Mongolia</c:v>
                </c:pt>
                <c:pt idx="25">
                  <c:v>Malawi</c:v>
                </c:pt>
                <c:pt idx="26">
                  <c:v>Senegal</c:v>
                </c:pt>
                <c:pt idx="27">
                  <c:v>Cambodia</c:v>
                </c:pt>
                <c:pt idx="28">
                  <c:v>India</c:v>
                </c:pt>
                <c:pt idx="29">
                  <c:v>Russian Federation</c:v>
                </c:pt>
                <c:pt idx="30">
                  <c:v>Bhutan</c:v>
                </c:pt>
                <c:pt idx="31">
                  <c:v>Thailand</c:v>
                </c:pt>
                <c:pt idx="32">
                  <c:v>Samoa</c:v>
                </c:pt>
                <c:pt idx="33">
                  <c:v>Nepal</c:v>
                </c:pt>
                <c:pt idx="34">
                  <c:v>Sri Lanka</c:v>
                </c:pt>
                <c:pt idx="35">
                  <c:v>Central African Republic</c:v>
                </c:pt>
                <c:pt idx="36">
                  <c:v>Philippines</c:v>
                </c:pt>
                <c:pt idx="37">
                  <c:v>Dominican Republic</c:v>
                </c:pt>
                <c:pt idx="38">
                  <c:v>Rwanda</c:v>
                </c:pt>
                <c:pt idx="39">
                  <c:v>Belarus</c:v>
                </c:pt>
                <c:pt idx="40">
                  <c:v>Lesotho</c:v>
                </c:pt>
                <c:pt idx="41">
                  <c:v>West Bank and Gaza</c:v>
                </c:pt>
                <c:pt idx="42">
                  <c:v>Sudan</c:v>
                </c:pt>
                <c:pt idx="43">
                  <c:v>Bulgaria</c:v>
                </c:pt>
                <c:pt idx="44">
                  <c:v>Moldova</c:v>
                </c:pt>
                <c:pt idx="45">
                  <c:v>Nicaragua</c:v>
                </c:pt>
                <c:pt idx="46">
                  <c:v>Mali</c:v>
                </c:pt>
                <c:pt idx="47">
                  <c:v>Albania</c:v>
                </c:pt>
                <c:pt idx="48">
                  <c:v>Benin</c:v>
                </c:pt>
                <c:pt idx="49">
                  <c:v>Türkiye</c:v>
                </c:pt>
                <c:pt idx="50">
                  <c:v>Indonesia</c:v>
                </c:pt>
                <c:pt idx="51">
                  <c:v>Nigeria</c:v>
                </c:pt>
                <c:pt idx="52">
                  <c:v>Sierra Leone</c:v>
                </c:pt>
                <c:pt idx="53">
                  <c:v>Bangladesh</c:v>
                </c:pt>
                <c:pt idx="54">
                  <c:v>Botswana</c:v>
                </c:pt>
                <c:pt idx="55">
                  <c:v>Uganda</c:v>
                </c:pt>
                <c:pt idx="56">
                  <c:v>Kosovo</c:v>
                </c:pt>
                <c:pt idx="57">
                  <c:v>Liberia</c:v>
                </c:pt>
                <c:pt idx="58">
                  <c:v>Angola</c:v>
                </c:pt>
                <c:pt idx="59">
                  <c:v>Armenia</c:v>
                </c:pt>
                <c:pt idx="60">
                  <c:v>Eswatini</c:v>
                </c:pt>
                <c:pt idx="61">
                  <c:v>Zimbabwe</c:v>
                </c:pt>
                <c:pt idx="62">
                  <c:v>Kenya</c:v>
                </c:pt>
                <c:pt idx="63">
                  <c:v>Congo, Dem. Rep.</c:v>
                </c:pt>
                <c:pt idx="64">
                  <c:v>Ukraine</c:v>
                </c:pt>
                <c:pt idx="65">
                  <c:v>Lebanon</c:v>
                </c:pt>
                <c:pt idx="66">
                  <c:v>Mauritius</c:v>
                </c:pt>
                <c:pt idx="67">
                  <c:v>Honduras</c:v>
                </c:pt>
                <c:pt idx="68">
                  <c:v>Solomon Islands</c:v>
                </c:pt>
                <c:pt idx="69">
                  <c:v>Ghana</c:v>
                </c:pt>
                <c:pt idx="70">
                  <c:v>Papua New Guinea</c:v>
                </c:pt>
                <c:pt idx="71">
                  <c:v>Madagascar</c:v>
                </c:pt>
                <c:pt idx="72">
                  <c:v>Georgia</c:v>
                </c:pt>
                <c:pt idx="73">
                  <c:v>South Africa</c:v>
                </c:pt>
                <c:pt idx="74">
                  <c:v>Timor-Leste</c:v>
                </c:pt>
                <c:pt idx="75">
                  <c:v>Cabo Verde</c:v>
                </c:pt>
                <c:pt idx="76">
                  <c:v>El Salvador</c:v>
                </c:pt>
                <c:pt idx="77">
                  <c:v>Morocco</c:v>
                </c:pt>
                <c:pt idx="78">
                  <c:v>Mozambique</c:v>
                </c:pt>
                <c:pt idx="79">
                  <c:v>Guatemala</c:v>
                </c:pt>
                <c:pt idx="80">
                  <c:v>Costa Rica</c:v>
                </c:pt>
                <c:pt idx="81">
                  <c:v>Burundi</c:v>
                </c:pt>
                <c:pt idx="82">
                  <c:v>Haiti</c:v>
                </c:pt>
                <c:pt idx="83">
                  <c:v>Jordan</c:v>
                </c:pt>
                <c:pt idx="84">
                  <c:v>Somalia</c:v>
                </c:pt>
                <c:pt idx="85">
                  <c:v>Namibia</c:v>
                </c:pt>
                <c:pt idx="86">
                  <c:v>Afghanistan</c:v>
                </c:pt>
              </c:strCache>
            </c:strRef>
          </c:cat>
          <c:val>
            <c:numRef>
              <c:f>'Fig 5 all % rev'!$C$2:$C$88</c:f>
              <c:numCache>
                <c:formatCode>0.00</c:formatCode>
                <c:ptCount val="87"/>
                <c:pt idx="0">
                  <c:v>1.7010389421096062</c:v>
                </c:pt>
                <c:pt idx="1">
                  <c:v>1.9645703775836318</c:v>
                </c:pt>
                <c:pt idx="2">
                  <c:v>2.0585992931719943</c:v>
                </c:pt>
                <c:pt idx="3">
                  <c:v>2.1822794133400376</c:v>
                </c:pt>
                <c:pt idx="4">
                  <c:v>2.8356336080008888</c:v>
                </c:pt>
                <c:pt idx="5">
                  <c:v>2.8744483824346863</c:v>
                </c:pt>
                <c:pt idx="6">
                  <c:v>2.8755995341126996</c:v>
                </c:pt>
                <c:pt idx="7">
                  <c:v>3.1633198566082625</c:v>
                </c:pt>
                <c:pt idx="8">
                  <c:v>3.5156234228405929</c:v>
                </c:pt>
                <c:pt idx="9">
                  <c:v>3.5660555312737228</c:v>
                </c:pt>
                <c:pt idx="10">
                  <c:v>3.6720610239801097</c:v>
                </c:pt>
                <c:pt idx="11">
                  <c:v>3.7638283356616098</c:v>
                </c:pt>
                <c:pt idx="12">
                  <c:v>4.0841156451358946</c:v>
                </c:pt>
                <c:pt idx="13">
                  <c:v>4.161804473527118</c:v>
                </c:pt>
                <c:pt idx="14">
                  <c:v>4.9891233164721704</c:v>
                </c:pt>
                <c:pt idx="15">
                  <c:v>4.9920464788473904</c:v>
                </c:pt>
                <c:pt idx="16">
                  <c:v>5.0470867520410456</c:v>
                </c:pt>
                <c:pt idx="17">
                  <c:v>5.0542729215615552</c:v>
                </c:pt>
                <c:pt idx="18">
                  <c:v>5.2624841560543532</c:v>
                </c:pt>
                <c:pt idx="19">
                  <c:v>5.3690922482514285</c:v>
                </c:pt>
                <c:pt idx="20">
                  <c:v>5.5291385602123189</c:v>
                </c:pt>
                <c:pt idx="21">
                  <c:v>5.5622493705119833</c:v>
                </c:pt>
                <c:pt idx="22">
                  <c:v>5.5892660773992198</c:v>
                </c:pt>
                <c:pt idx="23">
                  <c:v>5.732971595393332</c:v>
                </c:pt>
                <c:pt idx="24">
                  <c:v>5.741427106532826</c:v>
                </c:pt>
                <c:pt idx="25">
                  <c:v>5.9198582358868865</c:v>
                </c:pt>
                <c:pt idx="26">
                  <c:v>5.966313259786677</c:v>
                </c:pt>
                <c:pt idx="27">
                  <c:v>5.9769169855292441</c:v>
                </c:pt>
                <c:pt idx="28">
                  <c:v>6.2854468431273407</c:v>
                </c:pt>
                <c:pt idx="29">
                  <c:v>6.3197202475278988</c:v>
                </c:pt>
                <c:pt idx="30">
                  <c:v>6.3679090726346823</c:v>
                </c:pt>
                <c:pt idx="31">
                  <c:v>6.369857992540612</c:v>
                </c:pt>
                <c:pt idx="32">
                  <c:v>6.4914035505065417</c:v>
                </c:pt>
                <c:pt idx="33">
                  <c:v>6.5903818984189302</c:v>
                </c:pt>
                <c:pt idx="34">
                  <c:v>6.5945076793827102</c:v>
                </c:pt>
                <c:pt idx="35">
                  <c:v>6.6046458821047134</c:v>
                </c:pt>
                <c:pt idx="36">
                  <c:v>6.7211417188083269</c:v>
                </c:pt>
                <c:pt idx="37">
                  <c:v>6.7215292248574476</c:v>
                </c:pt>
                <c:pt idx="38">
                  <c:v>6.7482845078752964</c:v>
                </c:pt>
                <c:pt idx="39">
                  <c:v>6.7488466916679455</c:v>
                </c:pt>
                <c:pt idx="40">
                  <c:v>7.2660882762281052</c:v>
                </c:pt>
                <c:pt idx="41">
                  <c:v>7.3448317479129557</c:v>
                </c:pt>
                <c:pt idx="42">
                  <c:v>7.3551871389098205</c:v>
                </c:pt>
                <c:pt idx="43">
                  <c:v>7.3808149367373277</c:v>
                </c:pt>
                <c:pt idx="44">
                  <c:v>7.4861736496858624</c:v>
                </c:pt>
                <c:pt idx="45">
                  <c:v>7.4880644866092094</c:v>
                </c:pt>
                <c:pt idx="46">
                  <c:v>7.7393825058666526</c:v>
                </c:pt>
                <c:pt idx="47">
                  <c:v>7.7628589284695115</c:v>
                </c:pt>
                <c:pt idx="48">
                  <c:v>7.8511923826011687</c:v>
                </c:pt>
                <c:pt idx="49">
                  <c:v>7.9948456128853733</c:v>
                </c:pt>
                <c:pt idx="50">
                  <c:v>8.2684142285504016</c:v>
                </c:pt>
                <c:pt idx="51">
                  <c:v>8.5336919981642545</c:v>
                </c:pt>
                <c:pt idx="52">
                  <c:v>8.5446280214440229</c:v>
                </c:pt>
                <c:pt idx="53">
                  <c:v>9.2123163714881251</c:v>
                </c:pt>
                <c:pt idx="54">
                  <c:v>9.2846466192784192</c:v>
                </c:pt>
                <c:pt idx="55">
                  <c:v>9.2859942129042068</c:v>
                </c:pt>
                <c:pt idx="56">
                  <c:v>9.4105946106878555</c:v>
                </c:pt>
                <c:pt idx="57">
                  <c:v>9.4417222105263168</c:v>
                </c:pt>
                <c:pt idx="58">
                  <c:v>9.4822313304155088</c:v>
                </c:pt>
                <c:pt idx="59">
                  <c:v>9.7017207449999034</c:v>
                </c:pt>
                <c:pt idx="60">
                  <c:v>9.8110889320796346</c:v>
                </c:pt>
                <c:pt idx="61">
                  <c:v>9.8152941176470581</c:v>
                </c:pt>
                <c:pt idx="62">
                  <c:v>9.8828966175336799</c:v>
                </c:pt>
                <c:pt idx="63">
                  <c:v>9.9122587063871759</c:v>
                </c:pt>
                <c:pt idx="64">
                  <c:v>10.404548691131007</c:v>
                </c:pt>
                <c:pt idx="65">
                  <c:v>10.510120990502802</c:v>
                </c:pt>
                <c:pt idx="66">
                  <c:v>10.554366064873475</c:v>
                </c:pt>
                <c:pt idx="67">
                  <c:v>10.611992546944284</c:v>
                </c:pt>
                <c:pt idx="68">
                  <c:v>10.618260250382619</c:v>
                </c:pt>
                <c:pt idx="69">
                  <c:v>10.977701900144751</c:v>
                </c:pt>
                <c:pt idx="70">
                  <c:v>11.458695112875219</c:v>
                </c:pt>
                <c:pt idx="71">
                  <c:v>11.773836910501457</c:v>
                </c:pt>
                <c:pt idx="72">
                  <c:v>11.874177688065121</c:v>
                </c:pt>
                <c:pt idx="73">
                  <c:v>13.35145145515299</c:v>
                </c:pt>
                <c:pt idx="74">
                  <c:v>13.415927189988624</c:v>
                </c:pt>
                <c:pt idx="75">
                  <c:v>13.473230999861412</c:v>
                </c:pt>
                <c:pt idx="76">
                  <c:v>13.553025108417636</c:v>
                </c:pt>
                <c:pt idx="77">
                  <c:v>14.333665437879844</c:v>
                </c:pt>
                <c:pt idx="78">
                  <c:v>14.806539728742408</c:v>
                </c:pt>
                <c:pt idx="79">
                  <c:v>14.929194840439303</c:v>
                </c:pt>
                <c:pt idx="80">
                  <c:v>15.191325655425752</c:v>
                </c:pt>
                <c:pt idx="81">
                  <c:v>15.622320649234567</c:v>
                </c:pt>
                <c:pt idx="82">
                  <c:v>17.816601534233381</c:v>
                </c:pt>
                <c:pt idx="83">
                  <c:v>20.352648406310909</c:v>
                </c:pt>
                <c:pt idx="84">
                  <c:v>21.027975161403319</c:v>
                </c:pt>
                <c:pt idx="85">
                  <c:v>21.332191660194656</c:v>
                </c:pt>
                <c:pt idx="86">
                  <c:v>34.231205732872709</c:v>
                </c:pt>
              </c:numCache>
            </c:numRef>
          </c:val>
          <c:smooth val="0"/>
          <c:extLst>
            <c:ext xmlns:c16="http://schemas.microsoft.com/office/drawing/2014/chart" uri="{C3380CC4-5D6E-409C-BE32-E72D297353CC}">
              <c16:uniqueId val="{00000001-91A0-4949-AF34-E53A2D369EA0}"/>
            </c:ext>
          </c:extLst>
        </c:ser>
        <c:ser>
          <c:idx val="2"/>
          <c:order val="2"/>
          <c:tx>
            <c:strRef>
              <c:f>'Fig 5 all % rev'!$D$1</c:f>
              <c:strCache>
                <c:ptCount val="1"/>
                <c:pt idx="0">
                  <c:v>OECD average</c:v>
                </c:pt>
              </c:strCache>
            </c:strRef>
          </c:tx>
          <c:spPr>
            <a:ln w="28575" cap="rnd">
              <a:solidFill>
                <a:schemeClr val="accent3"/>
              </a:solidFill>
              <a:round/>
            </a:ln>
            <a:effectLst/>
          </c:spPr>
          <c:marker>
            <c:symbol val="none"/>
          </c:marker>
          <c:cat>
            <c:strRef>
              <c:f>'Fig 5 all % rev'!$A$2:$A$88</c:f>
              <c:strCache>
                <c:ptCount val="87"/>
                <c:pt idx="0">
                  <c:v>Burkina Faso</c:v>
                </c:pt>
                <c:pt idx="1">
                  <c:v>Lao PDR</c:v>
                </c:pt>
                <c:pt idx="2">
                  <c:v>Micronesia, Fed. Sts.</c:v>
                </c:pt>
                <c:pt idx="3">
                  <c:v>Ethiopia</c:v>
                </c:pt>
                <c:pt idx="4">
                  <c:v>Pakistan</c:v>
                </c:pt>
                <c:pt idx="5">
                  <c:v>Zambia</c:v>
                </c:pt>
                <c:pt idx="6">
                  <c:v>Argentina</c:v>
                </c:pt>
                <c:pt idx="7">
                  <c:v>Guinea</c:v>
                </c:pt>
                <c:pt idx="8">
                  <c:v>Myanmar</c:v>
                </c:pt>
                <c:pt idx="9">
                  <c:v>Vanuatu</c:v>
                </c:pt>
                <c:pt idx="10">
                  <c:v>Brazil</c:v>
                </c:pt>
                <c:pt idx="11">
                  <c:v>Togo</c:v>
                </c:pt>
                <c:pt idx="12">
                  <c:v>Kiribati</c:v>
                </c:pt>
                <c:pt idx="13">
                  <c:v>South Sudan</c:v>
                </c:pt>
                <c:pt idx="14">
                  <c:v>Marshall Islands</c:v>
                </c:pt>
                <c:pt idx="15">
                  <c:v>Kazakhstan</c:v>
                </c:pt>
                <c:pt idx="16">
                  <c:v>Kyrgyz Republic</c:v>
                </c:pt>
                <c:pt idx="17">
                  <c:v>Tanzania</c:v>
                </c:pt>
                <c:pt idx="18">
                  <c:v>China</c:v>
                </c:pt>
                <c:pt idx="19">
                  <c:v>Mauritania</c:v>
                </c:pt>
                <c:pt idx="20">
                  <c:v>Egypt, Arab Rep.</c:v>
                </c:pt>
                <c:pt idx="21">
                  <c:v>Gambia, The</c:v>
                </c:pt>
                <c:pt idx="22">
                  <c:v>Malaysia</c:v>
                </c:pt>
                <c:pt idx="23">
                  <c:v>Azerbaijan</c:v>
                </c:pt>
                <c:pt idx="24">
                  <c:v>Mongolia</c:v>
                </c:pt>
                <c:pt idx="25">
                  <c:v>Malawi</c:v>
                </c:pt>
                <c:pt idx="26">
                  <c:v>Senegal</c:v>
                </c:pt>
                <c:pt idx="27">
                  <c:v>Cambodia</c:v>
                </c:pt>
                <c:pt idx="28">
                  <c:v>India</c:v>
                </c:pt>
                <c:pt idx="29">
                  <c:v>Russian Federation</c:v>
                </c:pt>
                <c:pt idx="30">
                  <c:v>Bhutan</c:v>
                </c:pt>
                <c:pt idx="31">
                  <c:v>Thailand</c:v>
                </c:pt>
                <c:pt idx="32">
                  <c:v>Samoa</c:v>
                </c:pt>
                <c:pt idx="33">
                  <c:v>Nepal</c:v>
                </c:pt>
                <c:pt idx="34">
                  <c:v>Sri Lanka</c:v>
                </c:pt>
                <c:pt idx="35">
                  <c:v>Central African Republic</c:v>
                </c:pt>
                <c:pt idx="36">
                  <c:v>Philippines</c:v>
                </c:pt>
                <c:pt idx="37">
                  <c:v>Dominican Republic</c:v>
                </c:pt>
                <c:pt idx="38">
                  <c:v>Rwanda</c:v>
                </c:pt>
                <c:pt idx="39">
                  <c:v>Belarus</c:v>
                </c:pt>
                <c:pt idx="40">
                  <c:v>Lesotho</c:v>
                </c:pt>
                <c:pt idx="41">
                  <c:v>West Bank and Gaza</c:v>
                </c:pt>
                <c:pt idx="42">
                  <c:v>Sudan</c:v>
                </c:pt>
                <c:pt idx="43">
                  <c:v>Bulgaria</c:v>
                </c:pt>
                <c:pt idx="44">
                  <c:v>Moldova</c:v>
                </c:pt>
                <c:pt idx="45">
                  <c:v>Nicaragua</c:v>
                </c:pt>
                <c:pt idx="46">
                  <c:v>Mali</c:v>
                </c:pt>
                <c:pt idx="47">
                  <c:v>Albania</c:v>
                </c:pt>
                <c:pt idx="48">
                  <c:v>Benin</c:v>
                </c:pt>
                <c:pt idx="49">
                  <c:v>Türkiye</c:v>
                </c:pt>
                <c:pt idx="50">
                  <c:v>Indonesia</c:v>
                </c:pt>
                <c:pt idx="51">
                  <c:v>Nigeria</c:v>
                </c:pt>
                <c:pt idx="52">
                  <c:v>Sierra Leone</c:v>
                </c:pt>
                <c:pt idx="53">
                  <c:v>Bangladesh</c:v>
                </c:pt>
                <c:pt idx="54">
                  <c:v>Botswana</c:v>
                </c:pt>
                <c:pt idx="55">
                  <c:v>Uganda</c:v>
                </c:pt>
                <c:pt idx="56">
                  <c:v>Kosovo</c:v>
                </c:pt>
                <c:pt idx="57">
                  <c:v>Liberia</c:v>
                </c:pt>
                <c:pt idx="58">
                  <c:v>Angola</c:v>
                </c:pt>
                <c:pt idx="59">
                  <c:v>Armenia</c:v>
                </c:pt>
                <c:pt idx="60">
                  <c:v>Eswatini</c:v>
                </c:pt>
                <c:pt idx="61">
                  <c:v>Zimbabwe</c:v>
                </c:pt>
                <c:pt idx="62">
                  <c:v>Kenya</c:v>
                </c:pt>
                <c:pt idx="63">
                  <c:v>Congo, Dem. Rep.</c:v>
                </c:pt>
                <c:pt idx="64">
                  <c:v>Ukraine</c:v>
                </c:pt>
                <c:pt idx="65">
                  <c:v>Lebanon</c:v>
                </c:pt>
                <c:pt idx="66">
                  <c:v>Mauritius</c:v>
                </c:pt>
                <c:pt idx="67">
                  <c:v>Honduras</c:v>
                </c:pt>
                <c:pt idx="68">
                  <c:v>Solomon Islands</c:v>
                </c:pt>
                <c:pt idx="69">
                  <c:v>Ghana</c:v>
                </c:pt>
                <c:pt idx="70">
                  <c:v>Papua New Guinea</c:v>
                </c:pt>
                <c:pt idx="71">
                  <c:v>Madagascar</c:v>
                </c:pt>
                <c:pt idx="72">
                  <c:v>Georgia</c:v>
                </c:pt>
                <c:pt idx="73">
                  <c:v>South Africa</c:v>
                </c:pt>
                <c:pt idx="74">
                  <c:v>Timor-Leste</c:v>
                </c:pt>
                <c:pt idx="75">
                  <c:v>Cabo Verde</c:v>
                </c:pt>
                <c:pt idx="76">
                  <c:v>El Salvador</c:v>
                </c:pt>
                <c:pt idx="77">
                  <c:v>Morocco</c:v>
                </c:pt>
                <c:pt idx="78">
                  <c:v>Mozambique</c:v>
                </c:pt>
                <c:pt idx="79">
                  <c:v>Guatemala</c:v>
                </c:pt>
                <c:pt idx="80">
                  <c:v>Costa Rica</c:v>
                </c:pt>
                <c:pt idx="81">
                  <c:v>Burundi</c:v>
                </c:pt>
                <c:pt idx="82">
                  <c:v>Haiti</c:v>
                </c:pt>
                <c:pt idx="83">
                  <c:v>Jordan</c:v>
                </c:pt>
                <c:pt idx="84">
                  <c:v>Somalia</c:v>
                </c:pt>
                <c:pt idx="85">
                  <c:v>Namibia</c:v>
                </c:pt>
                <c:pt idx="86">
                  <c:v>Afghanistan</c:v>
                </c:pt>
              </c:strCache>
            </c:strRef>
          </c:cat>
          <c:val>
            <c:numRef>
              <c:f>'Fig 5 all % rev'!$D$2:$D$88</c:f>
              <c:numCache>
                <c:formatCode>0.00</c:formatCode>
                <c:ptCount val="87"/>
                <c:pt idx="0">
                  <c:v>4.3</c:v>
                </c:pt>
                <c:pt idx="1">
                  <c:v>4.3</c:v>
                </c:pt>
                <c:pt idx="2">
                  <c:v>4.3</c:v>
                </c:pt>
                <c:pt idx="3">
                  <c:v>4.3</c:v>
                </c:pt>
                <c:pt idx="4">
                  <c:v>4.3</c:v>
                </c:pt>
                <c:pt idx="5">
                  <c:v>4.3</c:v>
                </c:pt>
                <c:pt idx="6">
                  <c:v>4.3</c:v>
                </c:pt>
                <c:pt idx="7">
                  <c:v>4.3</c:v>
                </c:pt>
                <c:pt idx="8">
                  <c:v>4.3</c:v>
                </c:pt>
                <c:pt idx="9">
                  <c:v>4.3</c:v>
                </c:pt>
                <c:pt idx="10">
                  <c:v>4.3</c:v>
                </c:pt>
                <c:pt idx="11">
                  <c:v>4.3</c:v>
                </c:pt>
                <c:pt idx="12">
                  <c:v>4.3</c:v>
                </c:pt>
                <c:pt idx="13">
                  <c:v>4.3</c:v>
                </c:pt>
                <c:pt idx="14">
                  <c:v>4.3</c:v>
                </c:pt>
                <c:pt idx="15">
                  <c:v>4.3</c:v>
                </c:pt>
                <c:pt idx="16">
                  <c:v>4.3</c:v>
                </c:pt>
                <c:pt idx="17">
                  <c:v>4.3</c:v>
                </c:pt>
                <c:pt idx="18">
                  <c:v>4.3</c:v>
                </c:pt>
                <c:pt idx="19">
                  <c:v>4.3</c:v>
                </c:pt>
                <c:pt idx="20">
                  <c:v>4.3</c:v>
                </c:pt>
                <c:pt idx="21">
                  <c:v>4.3</c:v>
                </c:pt>
                <c:pt idx="22">
                  <c:v>4.3</c:v>
                </c:pt>
                <c:pt idx="23">
                  <c:v>4.3</c:v>
                </c:pt>
                <c:pt idx="24">
                  <c:v>4.3</c:v>
                </c:pt>
                <c:pt idx="25">
                  <c:v>4.3</c:v>
                </c:pt>
                <c:pt idx="26">
                  <c:v>4.3</c:v>
                </c:pt>
                <c:pt idx="27">
                  <c:v>4.3</c:v>
                </c:pt>
                <c:pt idx="28">
                  <c:v>4.3</c:v>
                </c:pt>
                <c:pt idx="29">
                  <c:v>4.3</c:v>
                </c:pt>
                <c:pt idx="30">
                  <c:v>4.3</c:v>
                </c:pt>
                <c:pt idx="31">
                  <c:v>4.3</c:v>
                </c:pt>
                <c:pt idx="32">
                  <c:v>4.3</c:v>
                </c:pt>
                <c:pt idx="33">
                  <c:v>4.3</c:v>
                </c:pt>
                <c:pt idx="34">
                  <c:v>4.3</c:v>
                </c:pt>
                <c:pt idx="35">
                  <c:v>4.3</c:v>
                </c:pt>
                <c:pt idx="36">
                  <c:v>4.3</c:v>
                </c:pt>
                <c:pt idx="37">
                  <c:v>4.3</c:v>
                </c:pt>
                <c:pt idx="38">
                  <c:v>4.3</c:v>
                </c:pt>
                <c:pt idx="39">
                  <c:v>4.3</c:v>
                </c:pt>
                <c:pt idx="40">
                  <c:v>4.3</c:v>
                </c:pt>
                <c:pt idx="41">
                  <c:v>4.3</c:v>
                </c:pt>
                <c:pt idx="42">
                  <c:v>4.3</c:v>
                </c:pt>
                <c:pt idx="43">
                  <c:v>4.3</c:v>
                </c:pt>
                <c:pt idx="44">
                  <c:v>4.3</c:v>
                </c:pt>
                <c:pt idx="45">
                  <c:v>4.3</c:v>
                </c:pt>
                <c:pt idx="46">
                  <c:v>4.3</c:v>
                </c:pt>
                <c:pt idx="47">
                  <c:v>4.3</c:v>
                </c:pt>
                <c:pt idx="48">
                  <c:v>4.3</c:v>
                </c:pt>
                <c:pt idx="49">
                  <c:v>4.3</c:v>
                </c:pt>
                <c:pt idx="50">
                  <c:v>4.3</c:v>
                </c:pt>
                <c:pt idx="51">
                  <c:v>4.3</c:v>
                </c:pt>
                <c:pt idx="52">
                  <c:v>4.3</c:v>
                </c:pt>
                <c:pt idx="53">
                  <c:v>4.3</c:v>
                </c:pt>
                <c:pt idx="54">
                  <c:v>4.3</c:v>
                </c:pt>
                <c:pt idx="55">
                  <c:v>4.3</c:v>
                </c:pt>
                <c:pt idx="56">
                  <c:v>4.3</c:v>
                </c:pt>
                <c:pt idx="57">
                  <c:v>4.3</c:v>
                </c:pt>
                <c:pt idx="58">
                  <c:v>4.3</c:v>
                </c:pt>
                <c:pt idx="59">
                  <c:v>4.3</c:v>
                </c:pt>
                <c:pt idx="60">
                  <c:v>4.3</c:v>
                </c:pt>
                <c:pt idx="61">
                  <c:v>4.3</c:v>
                </c:pt>
                <c:pt idx="62">
                  <c:v>4.3</c:v>
                </c:pt>
                <c:pt idx="63">
                  <c:v>4.3</c:v>
                </c:pt>
                <c:pt idx="64">
                  <c:v>4.3</c:v>
                </c:pt>
                <c:pt idx="65">
                  <c:v>4.3</c:v>
                </c:pt>
                <c:pt idx="66">
                  <c:v>4.3</c:v>
                </c:pt>
                <c:pt idx="67">
                  <c:v>4.3</c:v>
                </c:pt>
                <c:pt idx="68">
                  <c:v>4.3</c:v>
                </c:pt>
                <c:pt idx="69">
                  <c:v>4.3</c:v>
                </c:pt>
                <c:pt idx="70">
                  <c:v>4.3</c:v>
                </c:pt>
                <c:pt idx="71">
                  <c:v>4.3</c:v>
                </c:pt>
                <c:pt idx="72">
                  <c:v>4.3</c:v>
                </c:pt>
                <c:pt idx="73">
                  <c:v>4.3</c:v>
                </c:pt>
                <c:pt idx="74">
                  <c:v>4.3</c:v>
                </c:pt>
                <c:pt idx="75">
                  <c:v>4.3</c:v>
                </c:pt>
                <c:pt idx="76">
                  <c:v>4.3</c:v>
                </c:pt>
                <c:pt idx="77">
                  <c:v>4.3</c:v>
                </c:pt>
                <c:pt idx="78">
                  <c:v>4.3</c:v>
                </c:pt>
                <c:pt idx="79">
                  <c:v>4.3</c:v>
                </c:pt>
                <c:pt idx="80">
                  <c:v>4.3</c:v>
                </c:pt>
                <c:pt idx="81">
                  <c:v>4.3</c:v>
                </c:pt>
                <c:pt idx="82">
                  <c:v>4.3</c:v>
                </c:pt>
                <c:pt idx="83">
                  <c:v>4.3</c:v>
                </c:pt>
                <c:pt idx="84">
                  <c:v>4.3</c:v>
                </c:pt>
                <c:pt idx="85">
                  <c:v>4.3</c:v>
                </c:pt>
                <c:pt idx="86">
                  <c:v>4.3</c:v>
                </c:pt>
              </c:numCache>
            </c:numRef>
          </c:val>
          <c:smooth val="0"/>
          <c:extLst>
            <c:ext xmlns:c16="http://schemas.microsoft.com/office/drawing/2014/chart" uri="{C3380CC4-5D6E-409C-BE32-E72D297353CC}">
              <c16:uniqueId val="{00000000-D3BA-4ABC-9293-892B1D793B31}"/>
            </c:ext>
          </c:extLst>
        </c:ser>
        <c:dLbls>
          <c:showLegendKey val="0"/>
          <c:showVal val="0"/>
          <c:showCatName val="0"/>
          <c:showSerName val="0"/>
          <c:showPercent val="0"/>
          <c:showBubbleSize val="0"/>
        </c:dLbls>
        <c:marker val="1"/>
        <c:smooth val="0"/>
        <c:axId val="806154991"/>
        <c:axId val="806164143"/>
        <c:extLst>
          <c:ext xmlns:c15="http://schemas.microsoft.com/office/drawing/2012/chart" uri="{02D57815-91ED-43cb-92C2-25804820EDAC}">
            <c15:filteredLineSeries>
              <c15:ser>
                <c:idx val="0"/>
                <c:order val="0"/>
                <c:tx>
                  <c:strRef>
                    <c:extLst>
                      <c:ext uri="{02D57815-91ED-43cb-92C2-25804820EDAC}">
                        <c15:formulaRef>
                          <c15:sqref>'Fig 5 all % rev'!$B$1</c15:sqref>
                        </c15:formulaRef>
                      </c:ext>
                    </c:extLst>
                    <c:strCache>
                      <c:ptCount val="1"/>
                      <c:pt idx="0">
                        <c:v>GNI percap (current US$)</c:v>
                      </c:pt>
                    </c:strCache>
                  </c:strRef>
                </c:tx>
                <c:spPr>
                  <a:ln w="28575" cap="rnd">
                    <a:solidFill>
                      <a:schemeClr val="accent1"/>
                    </a:solidFill>
                    <a:round/>
                  </a:ln>
                  <a:effectLst/>
                </c:spPr>
                <c:marker>
                  <c:symbol val="none"/>
                </c:marker>
                <c:cat>
                  <c:strRef>
                    <c:extLst>
                      <c:ext uri="{02D57815-91ED-43cb-92C2-25804820EDAC}">
                        <c15:formulaRef>
                          <c15:sqref>'Fig 5 all % rev'!$A$2:$A$88</c15:sqref>
                        </c15:formulaRef>
                      </c:ext>
                    </c:extLst>
                    <c:strCache>
                      <c:ptCount val="87"/>
                      <c:pt idx="0">
                        <c:v>Burkina Faso</c:v>
                      </c:pt>
                      <c:pt idx="1">
                        <c:v>Lao PDR</c:v>
                      </c:pt>
                      <c:pt idx="2">
                        <c:v>Micronesia, Fed. Sts.</c:v>
                      </c:pt>
                      <c:pt idx="3">
                        <c:v>Ethiopia</c:v>
                      </c:pt>
                      <c:pt idx="4">
                        <c:v>Pakistan</c:v>
                      </c:pt>
                      <c:pt idx="5">
                        <c:v>Zambia</c:v>
                      </c:pt>
                      <c:pt idx="6">
                        <c:v>Argentina</c:v>
                      </c:pt>
                      <c:pt idx="7">
                        <c:v>Guinea</c:v>
                      </c:pt>
                      <c:pt idx="8">
                        <c:v>Myanmar</c:v>
                      </c:pt>
                      <c:pt idx="9">
                        <c:v>Vanuatu</c:v>
                      </c:pt>
                      <c:pt idx="10">
                        <c:v>Brazil</c:v>
                      </c:pt>
                      <c:pt idx="11">
                        <c:v>Togo</c:v>
                      </c:pt>
                      <c:pt idx="12">
                        <c:v>Kiribati</c:v>
                      </c:pt>
                      <c:pt idx="13">
                        <c:v>South Sudan</c:v>
                      </c:pt>
                      <c:pt idx="14">
                        <c:v>Marshall Islands</c:v>
                      </c:pt>
                      <c:pt idx="15">
                        <c:v>Kazakhstan</c:v>
                      </c:pt>
                      <c:pt idx="16">
                        <c:v>Kyrgyz Republic</c:v>
                      </c:pt>
                      <c:pt idx="17">
                        <c:v>Tanzania</c:v>
                      </c:pt>
                      <c:pt idx="18">
                        <c:v>China</c:v>
                      </c:pt>
                      <c:pt idx="19">
                        <c:v>Mauritania</c:v>
                      </c:pt>
                      <c:pt idx="20">
                        <c:v>Egypt, Arab Rep.</c:v>
                      </c:pt>
                      <c:pt idx="21">
                        <c:v>Gambia, The</c:v>
                      </c:pt>
                      <c:pt idx="22">
                        <c:v>Malaysia</c:v>
                      </c:pt>
                      <c:pt idx="23">
                        <c:v>Azerbaijan</c:v>
                      </c:pt>
                      <c:pt idx="24">
                        <c:v>Mongolia</c:v>
                      </c:pt>
                      <c:pt idx="25">
                        <c:v>Malawi</c:v>
                      </c:pt>
                      <c:pt idx="26">
                        <c:v>Senegal</c:v>
                      </c:pt>
                      <c:pt idx="27">
                        <c:v>Cambodia</c:v>
                      </c:pt>
                      <c:pt idx="28">
                        <c:v>India</c:v>
                      </c:pt>
                      <c:pt idx="29">
                        <c:v>Russian Federation</c:v>
                      </c:pt>
                      <c:pt idx="30">
                        <c:v>Bhutan</c:v>
                      </c:pt>
                      <c:pt idx="31">
                        <c:v>Thailand</c:v>
                      </c:pt>
                      <c:pt idx="32">
                        <c:v>Samoa</c:v>
                      </c:pt>
                      <c:pt idx="33">
                        <c:v>Nepal</c:v>
                      </c:pt>
                      <c:pt idx="34">
                        <c:v>Sri Lanka</c:v>
                      </c:pt>
                      <c:pt idx="35">
                        <c:v>Central African Republic</c:v>
                      </c:pt>
                      <c:pt idx="36">
                        <c:v>Philippines</c:v>
                      </c:pt>
                      <c:pt idx="37">
                        <c:v>Dominican Republic</c:v>
                      </c:pt>
                      <c:pt idx="38">
                        <c:v>Rwanda</c:v>
                      </c:pt>
                      <c:pt idx="39">
                        <c:v>Belarus</c:v>
                      </c:pt>
                      <c:pt idx="40">
                        <c:v>Lesotho</c:v>
                      </c:pt>
                      <c:pt idx="41">
                        <c:v>West Bank and Gaza</c:v>
                      </c:pt>
                      <c:pt idx="42">
                        <c:v>Sudan</c:v>
                      </c:pt>
                      <c:pt idx="43">
                        <c:v>Bulgaria</c:v>
                      </c:pt>
                      <c:pt idx="44">
                        <c:v>Moldova</c:v>
                      </c:pt>
                      <c:pt idx="45">
                        <c:v>Nicaragua</c:v>
                      </c:pt>
                      <c:pt idx="46">
                        <c:v>Mali</c:v>
                      </c:pt>
                      <c:pt idx="47">
                        <c:v>Albania</c:v>
                      </c:pt>
                      <c:pt idx="48">
                        <c:v>Benin</c:v>
                      </c:pt>
                      <c:pt idx="49">
                        <c:v>Türkiye</c:v>
                      </c:pt>
                      <c:pt idx="50">
                        <c:v>Indonesia</c:v>
                      </c:pt>
                      <c:pt idx="51">
                        <c:v>Nigeria</c:v>
                      </c:pt>
                      <c:pt idx="52">
                        <c:v>Sierra Leone</c:v>
                      </c:pt>
                      <c:pt idx="53">
                        <c:v>Bangladesh</c:v>
                      </c:pt>
                      <c:pt idx="54">
                        <c:v>Botswana</c:v>
                      </c:pt>
                      <c:pt idx="55">
                        <c:v>Uganda</c:v>
                      </c:pt>
                      <c:pt idx="56">
                        <c:v>Kosovo</c:v>
                      </c:pt>
                      <c:pt idx="57">
                        <c:v>Liberia</c:v>
                      </c:pt>
                      <c:pt idx="58">
                        <c:v>Angola</c:v>
                      </c:pt>
                      <c:pt idx="59">
                        <c:v>Armenia</c:v>
                      </c:pt>
                      <c:pt idx="60">
                        <c:v>Eswatini</c:v>
                      </c:pt>
                      <c:pt idx="61">
                        <c:v>Zimbabwe</c:v>
                      </c:pt>
                      <c:pt idx="62">
                        <c:v>Kenya</c:v>
                      </c:pt>
                      <c:pt idx="63">
                        <c:v>Congo, Dem. Rep.</c:v>
                      </c:pt>
                      <c:pt idx="64">
                        <c:v>Ukraine</c:v>
                      </c:pt>
                      <c:pt idx="65">
                        <c:v>Lebanon</c:v>
                      </c:pt>
                      <c:pt idx="66">
                        <c:v>Mauritius</c:v>
                      </c:pt>
                      <c:pt idx="67">
                        <c:v>Honduras</c:v>
                      </c:pt>
                      <c:pt idx="68">
                        <c:v>Solomon Islands</c:v>
                      </c:pt>
                      <c:pt idx="69">
                        <c:v>Ghana</c:v>
                      </c:pt>
                      <c:pt idx="70">
                        <c:v>Papua New Guinea</c:v>
                      </c:pt>
                      <c:pt idx="71">
                        <c:v>Madagascar</c:v>
                      </c:pt>
                      <c:pt idx="72">
                        <c:v>Georgia</c:v>
                      </c:pt>
                      <c:pt idx="73">
                        <c:v>South Africa</c:v>
                      </c:pt>
                      <c:pt idx="74">
                        <c:v>Timor-Leste</c:v>
                      </c:pt>
                      <c:pt idx="75">
                        <c:v>Cabo Verde</c:v>
                      </c:pt>
                      <c:pt idx="76">
                        <c:v>El Salvador</c:v>
                      </c:pt>
                      <c:pt idx="77">
                        <c:v>Morocco</c:v>
                      </c:pt>
                      <c:pt idx="78">
                        <c:v>Mozambique</c:v>
                      </c:pt>
                      <c:pt idx="79">
                        <c:v>Guatemala</c:v>
                      </c:pt>
                      <c:pt idx="80">
                        <c:v>Costa Rica</c:v>
                      </c:pt>
                      <c:pt idx="81">
                        <c:v>Burundi</c:v>
                      </c:pt>
                      <c:pt idx="82">
                        <c:v>Haiti</c:v>
                      </c:pt>
                      <c:pt idx="83">
                        <c:v>Jordan</c:v>
                      </c:pt>
                      <c:pt idx="84">
                        <c:v>Somalia</c:v>
                      </c:pt>
                      <c:pt idx="85">
                        <c:v>Namibia</c:v>
                      </c:pt>
                      <c:pt idx="86">
                        <c:v>Afghanistan</c:v>
                      </c:pt>
                    </c:strCache>
                  </c:strRef>
                </c:cat>
                <c:val>
                  <c:numRef>
                    <c:extLst>
                      <c:ext uri="{02D57815-91ED-43cb-92C2-25804820EDAC}">
                        <c15:formulaRef>
                          <c15:sqref>'Fig 5 all % rev'!$B$2:$B$88</c15:sqref>
                        </c15:formulaRef>
                      </c:ext>
                    </c:extLst>
                    <c:numCache>
                      <c:formatCode>General</c:formatCode>
                      <c:ptCount val="87"/>
                      <c:pt idx="0">
                        <c:v>860</c:v>
                      </c:pt>
                      <c:pt idx="1">
                        <c:v>2520</c:v>
                      </c:pt>
                      <c:pt idx="2">
                        <c:v>3880</c:v>
                      </c:pt>
                      <c:pt idx="3">
                        <c:v>960</c:v>
                      </c:pt>
                      <c:pt idx="4">
                        <c:v>1500</c:v>
                      </c:pt>
                      <c:pt idx="5">
                        <c:v>1040</c:v>
                      </c:pt>
                      <c:pt idx="6">
                        <c:v>10050</c:v>
                      </c:pt>
                      <c:pt idx="7">
                        <c:v>1010</c:v>
                      </c:pt>
                      <c:pt idx="8">
                        <c:v>1140</c:v>
                      </c:pt>
                      <c:pt idx="9">
                        <c:v>3140</c:v>
                      </c:pt>
                      <c:pt idx="10">
                        <c:v>7720</c:v>
                      </c:pt>
                      <c:pt idx="11">
                        <c:v>980</c:v>
                      </c:pt>
                      <c:pt idx="12">
                        <c:v>2910</c:v>
                      </c:pt>
                      <c:pt idx="13">
                        <c:v>1090</c:v>
                      </c:pt>
                      <c:pt idx="14">
                        <c:v>5050</c:v>
                      </c:pt>
                      <c:pt idx="15">
                        <c:v>8720</c:v>
                      </c:pt>
                      <c:pt idx="16">
                        <c:v>1180</c:v>
                      </c:pt>
                      <c:pt idx="17">
                        <c:v>1140</c:v>
                      </c:pt>
                      <c:pt idx="18">
                        <c:v>11890</c:v>
                      </c:pt>
                      <c:pt idx="19">
                        <c:v>1730</c:v>
                      </c:pt>
                      <c:pt idx="20">
                        <c:v>3510</c:v>
                      </c:pt>
                      <c:pt idx="21">
                        <c:v>800</c:v>
                      </c:pt>
                      <c:pt idx="22">
                        <c:v>10930</c:v>
                      </c:pt>
                      <c:pt idx="23">
                        <c:v>4880</c:v>
                      </c:pt>
                      <c:pt idx="24">
                        <c:v>3760</c:v>
                      </c:pt>
                      <c:pt idx="25">
                        <c:v>630</c:v>
                      </c:pt>
                      <c:pt idx="26">
                        <c:v>1540</c:v>
                      </c:pt>
                      <c:pt idx="27">
                        <c:v>1550</c:v>
                      </c:pt>
                      <c:pt idx="28">
                        <c:v>2170</c:v>
                      </c:pt>
                      <c:pt idx="29">
                        <c:v>11600</c:v>
                      </c:pt>
                      <c:pt idx="30">
                        <c:v>2840</c:v>
                      </c:pt>
                      <c:pt idx="31">
                        <c:v>7260</c:v>
                      </c:pt>
                      <c:pt idx="32">
                        <c:v>3860</c:v>
                      </c:pt>
                      <c:pt idx="33">
                        <c:v>1230</c:v>
                      </c:pt>
                      <c:pt idx="34">
                        <c:v>3820</c:v>
                      </c:pt>
                      <c:pt idx="35">
                        <c:v>530</c:v>
                      </c:pt>
                      <c:pt idx="36">
                        <c:v>3640</c:v>
                      </c:pt>
                      <c:pt idx="37">
                        <c:v>8220</c:v>
                      </c:pt>
                      <c:pt idx="38">
                        <c:v>850</c:v>
                      </c:pt>
                      <c:pt idx="39">
                        <c:v>6950</c:v>
                      </c:pt>
                      <c:pt idx="40">
                        <c:v>1270</c:v>
                      </c:pt>
                      <c:pt idx="41">
                        <c:v>4220</c:v>
                      </c:pt>
                      <c:pt idx="42">
                        <c:v>670</c:v>
                      </c:pt>
                      <c:pt idx="43">
                        <c:v>10720</c:v>
                      </c:pt>
                      <c:pt idx="44">
                        <c:v>5460</c:v>
                      </c:pt>
                      <c:pt idx="45">
                        <c:v>2010</c:v>
                      </c:pt>
                      <c:pt idx="46">
                        <c:v>870</c:v>
                      </c:pt>
                      <c:pt idx="47">
                        <c:v>6110</c:v>
                      </c:pt>
                      <c:pt idx="48">
                        <c:v>1370</c:v>
                      </c:pt>
                      <c:pt idx="49">
                        <c:v>9830</c:v>
                      </c:pt>
                      <c:pt idx="50">
                        <c:v>4140</c:v>
                      </c:pt>
                      <c:pt idx="51">
                        <c:v>2100</c:v>
                      </c:pt>
                      <c:pt idx="52">
                        <c:v>510</c:v>
                      </c:pt>
                      <c:pt idx="53">
                        <c:v>2620</c:v>
                      </c:pt>
                      <c:pt idx="54">
                        <c:v>6940</c:v>
                      </c:pt>
                      <c:pt idx="55">
                        <c:v>840</c:v>
                      </c:pt>
                      <c:pt idx="56">
                        <c:v>4970</c:v>
                      </c:pt>
                      <c:pt idx="57">
                        <c:v>620</c:v>
                      </c:pt>
                      <c:pt idx="58">
                        <c:v>1770</c:v>
                      </c:pt>
                      <c:pt idx="59">
                        <c:v>4560</c:v>
                      </c:pt>
                      <c:pt idx="60">
                        <c:v>3680</c:v>
                      </c:pt>
                      <c:pt idx="61">
                        <c:v>1400</c:v>
                      </c:pt>
                      <c:pt idx="62">
                        <c:v>2010</c:v>
                      </c:pt>
                      <c:pt idx="63">
                        <c:v>580</c:v>
                      </c:pt>
                      <c:pt idx="64">
                        <c:v>4120</c:v>
                      </c:pt>
                      <c:pt idx="65">
                        <c:v>3450</c:v>
                      </c:pt>
                      <c:pt idx="66">
                        <c:v>10860</c:v>
                      </c:pt>
                      <c:pt idx="67">
                        <c:v>2540</c:v>
                      </c:pt>
                      <c:pt idx="68">
                        <c:v>2300</c:v>
                      </c:pt>
                      <c:pt idx="69">
                        <c:v>2360</c:v>
                      </c:pt>
                      <c:pt idx="70">
                        <c:v>2790</c:v>
                      </c:pt>
                      <c:pt idx="71">
                        <c:v>500</c:v>
                      </c:pt>
                      <c:pt idx="72">
                        <c:v>4740</c:v>
                      </c:pt>
                      <c:pt idx="73">
                        <c:v>6440</c:v>
                      </c:pt>
                      <c:pt idx="74">
                        <c:v>1940</c:v>
                      </c:pt>
                      <c:pt idx="75">
                        <c:v>3330</c:v>
                      </c:pt>
                      <c:pt idx="76">
                        <c:v>4140</c:v>
                      </c:pt>
                      <c:pt idx="77">
                        <c:v>3350</c:v>
                      </c:pt>
                      <c:pt idx="78">
                        <c:v>480</c:v>
                      </c:pt>
                      <c:pt idx="79">
                        <c:v>4940</c:v>
                      </c:pt>
                      <c:pt idx="80">
                        <c:v>12310</c:v>
                      </c:pt>
                      <c:pt idx="81">
                        <c:v>240</c:v>
                      </c:pt>
                      <c:pt idx="82">
                        <c:v>1420</c:v>
                      </c:pt>
                      <c:pt idx="83">
                        <c:v>4480</c:v>
                      </c:pt>
                      <c:pt idx="84">
                        <c:v>450</c:v>
                      </c:pt>
                      <c:pt idx="85">
                        <c:v>4550</c:v>
                      </c:pt>
                      <c:pt idx="86">
                        <c:v>500</c:v>
                      </c:pt>
                    </c:numCache>
                  </c:numRef>
                </c:val>
                <c:smooth val="0"/>
                <c:extLst>
                  <c:ext xmlns:c16="http://schemas.microsoft.com/office/drawing/2014/chart" uri="{C3380CC4-5D6E-409C-BE32-E72D297353CC}">
                    <c16:uniqueId val="{00000000-91A0-4949-AF34-E53A2D369EA0}"/>
                  </c:ext>
                </c:extLst>
              </c15:ser>
            </c15:filteredLineSeries>
          </c:ext>
        </c:extLst>
      </c:lineChart>
      <c:catAx>
        <c:axId val="806154991"/>
        <c:scaling>
          <c:orientation val="minMax"/>
        </c:scaling>
        <c:delete val="1"/>
        <c:axPos val="b"/>
        <c:numFmt formatCode="General" sourceLinked="1"/>
        <c:majorTickMark val="none"/>
        <c:minorTickMark val="none"/>
        <c:tickLblPos val="nextTo"/>
        <c:crossAx val="806164143"/>
        <c:crosses val="autoZero"/>
        <c:auto val="1"/>
        <c:lblAlgn val="ctr"/>
        <c:lblOffset val="100"/>
        <c:noMultiLvlLbl val="0"/>
      </c:catAx>
      <c:valAx>
        <c:axId val="8061641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aseline="0"/>
                  <a:t>% of government revenues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61549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6 income gps %rev'!$A$2</c:f>
              <c:strCache>
                <c:ptCount val="1"/>
                <c:pt idx="0">
                  <c:v>Median point</c:v>
                </c:pt>
              </c:strCache>
            </c:strRef>
          </c:tx>
          <c:spPr>
            <a:solidFill>
              <a:schemeClr val="accent1"/>
            </a:solidFill>
            <a:ln>
              <a:noFill/>
            </a:ln>
            <a:effectLst/>
          </c:spPr>
          <c:invertIfNegative val="0"/>
          <c:cat>
            <c:strRef>
              <c:f>'Fig 6 income gps %rev'!$B$1:$E$1</c:f>
              <c:strCache>
                <c:ptCount val="4"/>
                <c:pt idx="0">
                  <c:v>Low-income </c:v>
                </c:pt>
                <c:pt idx="1">
                  <c:v>Lower-middle income </c:v>
                </c:pt>
                <c:pt idx="2">
                  <c:v>Upper middle-income </c:v>
                </c:pt>
                <c:pt idx="3">
                  <c:v>OECD</c:v>
                </c:pt>
              </c:strCache>
            </c:strRef>
          </c:cat>
          <c:val>
            <c:numRef>
              <c:f>'Fig 6 income gps %rev'!$B$2:$E$2</c:f>
              <c:numCache>
                <c:formatCode>General</c:formatCode>
                <c:ptCount val="4"/>
                <c:pt idx="0">
                  <c:v>7.4</c:v>
                </c:pt>
                <c:pt idx="1">
                  <c:v>7.3</c:v>
                </c:pt>
                <c:pt idx="2">
                  <c:v>7.5</c:v>
                </c:pt>
                <c:pt idx="3">
                  <c:v>4.3</c:v>
                </c:pt>
              </c:numCache>
            </c:numRef>
          </c:val>
          <c:extLst>
            <c:ext xmlns:c16="http://schemas.microsoft.com/office/drawing/2014/chart" uri="{C3380CC4-5D6E-409C-BE32-E72D297353CC}">
              <c16:uniqueId val="{00000000-5E32-4637-B3E3-68882F452EE5}"/>
            </c:ext>
          </c:extLst>
        </c:ser>
        <c:dLbls>
          <c:showLegendKey val="0"/>
          <c:showVal val="0"/>
          <c:showCatName val="0"/>
          <c:showSerName val="0"/>
          <c:showPercent val="0"/>
          <c:showBubbleSize val="0"/>
        </c:dLbls>
        <c:gapWidth val="219"/>
        <c:overlap val="-27"/>
        <c:axId val="1075231103"/>
        <c:axId val="1075230271"/>
      </c:barChart>
      <c:catAx>
        <c:axId val="1075231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5230271"/>
        <c:crosses val="autoZero"/>
        <c:auto val="1"/>
        <c:lblAlgn val="ctr"/>
        <c:lblOffset val="100"/>
        <c:noMultiLvlLbl val="0"/>
      </c:catAx>
      <c:valAx>
        <c:axId val="10752302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baseline="0"/>
                  <a:t> % of government revenues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52311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Costs</a:t>
            </a:r>
            <a:r>
              <a:rPr lang="en-GB" baseline="0"/>
              <a:t> of basic justice system and current levels of government spend on justice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'Fig 7 NEW Cost pp '!$B$1</c:f>
              <c:strCache>
                <c:ptCount val="1"/>
                <c:pt idx="0">
                  <c:v>Costs</c:v>
                </c:pt>
              </c:strCache>
            </c:strRef>
          </c:tx>
          <c:spPr>
            <a:solidFill>
              <a:schemeClr val="accent1"/>
            </a:solidFill>
            <a:ln>
              <a:noFill/>
            </a:ln>
            <a:effectLst/>
          </c:spPr>
          <c:invertIfNegative val="0"/>
          <c:cat>
            <c:strRef>
              <c:f>'Fig 7 NEW Cost pp '!$A$2:$A$4</c:f>
              <c:strCache>
                <c:ptCount val="3"/>
                <c:pt idx="0">
                  <c:v>LIC</c:v>
                </c:pt>
                <c:pt idx="1">
                  <c:v>LMIC</c:v>
                </c:pt>
                <c:pt idx="2">
                  <c:v>UMIC</c:v>
                </c:pt>
              </c:strCache>
            </c:strRef>
          </c:cat>
          <c:val>
            <c:numRef>
              <c:f>'Fig 7 NEW Cost pp '!$B$2:$B$4</c:f>
              <c:numCache>
                <c:formatCode>General</c:formatCode>
                <c:ptCount val="3"/>
                <c:pt idx="0">
                  <c:v>20</c:v>
                </c:pt>
                <c:pt idx="1">
                  <c:v>48</c:v>
                </c:pt>
                <c:pt idx="2">
                  <c:v>80</c:v>
                </c:pt>
              </c:numCache>
            </c:numRef>
          </c:val>
          <c:extLst>
            <c:ext xmlns:c16="http://schemas.microsoft.com/office/drawing/2014/chart" uri="{C3380CC4-5D6E-409C-BE32-E72D297353CC}">
              <c16:uniqueId val="{00000000-7E43-488A-BF02-37E5599A993F}"/>
            </c:ext>
          </c:extLst>
        </c:ser>
        <c:ser>
          <c:idx val="1"/>
          <c:order val="1"/>
          <c:tx>
            <c:strRef>
              <c:f>'Fig 7 NEW Cost pp '!$C$1</c:f>
              <c:strCache>
                <c:ptCount val="1"/>
                <c:pt idx="0">
                  <c:v>Current spend</c:v>
                </c:pt>
              </c:strCache>
            </c:strRef>
          </c:tx>
          <c:spPr>
            <a:solidFill>
              <a:schemeClr val="accent2"/>
            </a:solidFill>
            <a:ln>
              <a:noFill/>
            </a:ln>
            <a:effectLst/>
          </c:spPr>
          <c:invertIfNegative val="0"/>
          <c:cat>
            <c:strRef>
              <c:f>'Fig 7 NEW Cost pp '!$A$2:$A$4</c:f>
              <c:strCache>
                <c:ptCount val="3"/>
                <c:pt idx="0">
                  <c:v>LIC</c:v>
                </c:pt>
                <c:pt idx="1">
                  <c:v>LMIC</c:v>
                </c:pt>
                <c:pt idx="2">
                  <c:v>UMIC</c:v>
                </c:pt>
              </c:strCache>
            </c:strRef>
          </c:cat>
          <c:val>
            <c:numRef>
              <c:f>'Fig 7 NEW Cost pp '!$C$2:$C$4</c:f>
              <c:numCache>
                <c:formatCode>0</c:formatCode>
                <c:ptCount val="3"/>
                <c:pt idx="0">
                  <c:v>7.6151907235648553</c:v>
                </c:pt>
                <c:pt idx="1">
                  <c:v>40.414465112992104</c:v>
                </c:pt>
                <c:pt idx="2">
                  <c:v>143.09184505296142</c:v>
                </c:pt>
              </c:numCache>
            </c:numRef>
          </c:val>
          <c:extLst>
            <c:ext xmlns:c16="http://schemas.microsoft.com/office/drawing/2014/chart" uri="{C3380CC4-5D6E-409C-BE32-E72D297353CC}">
              <c16:uniqueId val="{00000001-7E43-488A-BF02-37E5599A993F}"/>
            </c:ext>
          </c:extLst>
        </c:ser>
        <c:dLbls>
          <c:showLegendKey val="0"/>
          <c:showVal val="0"/>
          <c:showCatName val="0"/>
          <c:showSerName val="0"/>
          <c:showPercent val="0"/>
          <c:showBubbleSize val="0"/>
        </c:dLbls>
        <c:gapWidth val="219"/>
        <c:overlap val="-27"/>
        <c:axId val="623337680"/>
        <c:axId val="623334352"/>
      </c:barChart>
      <c:catAx>
        <c:axId val="62333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23334352"/>
        <c:crosses val="autoZero"/>
        <c:auto val="1"/>
        <c:lblAlgn val="ctr"/>
        <c:lblOffset val="100"/>
        <c:noMultiLvlLbl val="0"/>
      </c:catAx>
      <c:valAx>
        <c:axId val="623334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a:t>
                </a:r>
                <a:r>
                  <a:rPr lang="en-GB" baseline="0"/>
                  <a:t> per person per year (US$)</a:t>
                </a:r>
                <a:endParaRPr lang="en-GB"/>
              </a:p>
            </c:rich>
          </c:tx>
          <c:layout>
            <c:manualLayout>
              <c:xMode val="edge"/>
              <c:yMode val="edge"/>
              <c:x val="2.7777777777777776E-2"/>
              <c:y val="0.1813888888888888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333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txData>
          <cx:v>Public Expenditure on Justice as a Percentage of Government Revenue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Public Expenditure on Justice as a Percentage of Government Revenue</a:t>
          </a:r>
        </a:p>
      </cx:txPr>
    </cx:title>
    <cx:plotArea>
      <cx:plotAreaRegion>
        <cx:series layoutId="boxWhisker" uniqueId="{82CC40F1-931D-46E0-B717-B851D5159219}">
          <cx:tx>
            <cx:txData>
              <cx:f>_xlchart.v1.1</cx:f>
              <cx:v>Justice</cx:v>
            </cx:txData>
          </cx:tx>
          <cx:dataId val="0"/>
          <cx:layoutPr>
            <cx:visibility meanLine="0" meanMarker="0" nonoutliers="0" outliers="1"/>
            <cx:statistics quartileMethod="exclusive"/>
          </cx:layoutPr>
        </cx:series>
      </cx:plotAreaRegion>
      <cx:axis id="0">
        <cx:catScaling gapWidth="1"/>
        <cx:tickLabels/>
      </cx:axis>
      <cx:axis id="1">
        <cx:valScaling/>
        <cx:majorGridlines/>
        <cx:tickLabels/>
        <cx:numFmt formatCode="0" sourceLinked="0"/>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title pos="t" align="ctr" overlay="0">
      <cx:tx>
        <cx:txData>
          <cx:v>Public Expenditure on Law courts as a Percentage of Government Revenue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Public Expenditure on Law courts as a Percentage of Government Revenue</a:t>
          </a:r>
        </a:p>
      </cx:txPr>
    </cx:title>
    <cx:plotArea>
      <cx:plotAreaRegion>
        <cx:series layoutId="boxWhisker" uniqueId="{82CC40F1-931D-46E0-B717-B851D5159219}">
          <cx:tx>
            <cx:txData>
              <cx:f>_xlchart.v1.4</cx:f>
              <cx:v>Law courts</cx:v>
            </cx:txData>
          </cx:tx>
          <cx:dataLabels>
            <cx:visibility seriesName="0" categoryName="0" value="1"/>
          </cx:dataLabels>
          <cx:dataId val="0"/>
          <cx:layoutPr>
            <cx:visibility meanLine="0" meanMarker="0" nonoutliers="0" outliers="1"/>
            <cx:statistics quartileMethod="exclusive"/>
          </cx:layoutPr>
        </cx:series>
      </cx:plotAreaRegion>
      <cx:axis id="0">
        <cx:catScaling gapWidth="1"/>
        <cx:tickLabels/>
      </cx:axis>
      <cx:axis id="1">
        <cx:valScaling max="6"/>
        <cx:majorGridlines/>
        <cx:tickLabels/>
        <cx:numFmt formatCode="0" sourceLinked="0"/>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_xlchart.v1.8</cx:f>
      </cx:numDim>
    </cx:data>
  </cx:chartData>
  <cx:chart>
    <cx:title pos="t" align="ctr" overlay="0">
      <cx:tx>
        <cx:txData>
          <cx:v>Public Expenditure on Police as a Percentage of Government Revenue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Public Expenditure on Police as a Percentage of Government Revenue</a:t>
          </a:r>
        </a:p>
      </cx:txPr>
    </cx:title>
    <cx:plotArea>
      <cx:plotAreaRegion>
        <cx:series layoutId="boxWhisker" uniqueId="{82CC40F1-931D-46E0-B717-B851D5159219}">
          <cx:tx>
            <cx:txData>
              <cx:f>_xlchart.v1.7</cx:f>
              <cx:v>Police</cx:v>
            </cx:txData>
          </cx:tx>
          <cx:dataLabels>
            <cx:visibility seriesName="0" categoryName="0" value="1"/>
          </cx:dataLabels>
          <cx:dataId val="0"/>
          <cx:layoutPr>
            <cx:visibility meanLine="0" meanMarker="0" nonoutliers="0" outliers="1"/>
            <cx:statistics quartileMethod="exclusive"/>
          </cx:layoutPr>
        </cx:series>
      </cx:plotAreaRegion>
      <cx:axis id="0">
        <cx:catScaling gapWidth="1"/>
        <cx:tickLabels/>
      </cx:axis>
      <cx:axis id="1">
        <cx:valScaling max="15"/>
        <cx:majorGridlines/>
        <cx:tickLabels/>
        <cx:numFmt formatCode="0" sourceLinked="0"/>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val">
        <cx:f>_xlchart.v1.11</cx:f>
      </cx:numDim>
    </cx:data>
  </cx:chartData>
  <cx:chart>
    <cx:title pos="t" align="ctr" overlay="0">
      <cx:tx>
        <cx:txData>
          <cx:v>Public Expenditure on Police as a Percentage of Total Justice Spend </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Public Expenditure on Police as a Percentage of Total Justice Spend </a:t>
          </a:r>
        </a:p>
      </cx:txPr>
    </cx:title>
    <cx:plotArea>
      <cx:plotAreaRegion>
        <cx:series layoutId="boxWhisker" uniqueId="{82CC40F1-931D-46E0-B717-B851D5159219}">
          <cx:tx>
            <cx:txData>
              <cx:f>_xlchart.v1.10</cx:f>
              <cx:v>Police</cx:v>
            </cx:txData>
          </cx:tx>
          <cx:dataId val="0"/>
          <cx:layoutPr>
            <cx:visibility meanLine="0" meanMarker="0" nonoutliers="0" outliers="1"/>
            <cx:statistics quartileMethod="exclusive"/>
          </cx:layoutPr>
        </cx:series>
      </cx:plotAreaRegion>
      <cx:axis id="0">
        <cx:catScaling gapWidth="1"/>
        <cx:tickLabels/>
      </cx:axis>
      <cx:axis id="1">
        <cx:valScaling max="1"/>
        <cx:majorGridlines/>
        <cx:tickLabels/>
        <cx:numFmt formatCode="0%" sourceLinked="0"/>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_xlchart.v1.12</cx:f>
      </cx:strDim>
      <cx:numDim type="val">
        <cx:f>_xlchart.v1.14</cx:f>
      </cx:numDim>
    </cx:data>
  </cx:chartData>
  <cx:chart>
    <cx:title pos="t" align="ctr" overlay="0">
      <cx:tx>
        <cx:txData>
          <cx:v>Public Expenditure on Law courts as a Percentage of total Justice spending </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Public Expenditure on Law courts as a Percentage of total Justice spending </a:t>
          </a:r>
        </a:p>
      </cx:txPr>
    </cx:title>
    <cx:plotArea>
      <cx:plotAreaRegion>
        <cx:series layoutId="boxWhisker" uniqueId="{82CC40F1-931D-46E0-B717-B851D5159219}">
          <cx:tx>
            <cx:txData>
              <cx:f>_xlchart.v1.13</cx:f>
              <cx:v>Law courts</cx:v>
            </cx:txData>
          </cx:tx>
          <cx:dataId val="0"/>
          <cx:layoutPr>
            <cx:visibility meanLine="0" meanMarker="0" nonoutliers="0" outliers="1"/>
            <cx:statistics quartileMethod="exclusive"/>
          </cx:layoutPr>
        </cx:series>
      </cx:plotAreaRegion>
      <cx:axis id="0">
        <cx:catScaling gapWidth="1"/>
        <cx:tickLabels/>
      </cx:axis>
      <cx:axis id="1">
        <cx:valScaling max="1"/>
        <cx:majorGridlines/>
        <cx:tickLabels/>
        <cx:numFmt formatCode="0%" sourceLinked="0"/>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_xlchart.v1.15</cx:f>
      </cx:strDim>
      <cx:numDim type="val">
        <cx:f>_xlchart.v1.17</cx:f>
      </cx:numDim>
    </cx:data>
    <cx:data id="1">
      <cx:strDim type="cat">
        <cx:f>_xlchart.v1.15</cx:f>
      </cx:strDim>
      <cx:numDim type="val">
        <cx:f>_xlchart.v1.19</cx:f>
      </cx:numDim>
    </cx:data>
    <cx:data id="2">
      <cx:strDim type="cat">
        <cx:f>_xlchart.v1.15</cx:f>
      </cx:strDim>
      <cx:numDim type="val">
        <cx:f>_xlchart.v1.21</cx:f>
      </cx:numDim>
    </cx:data>
  </cx:chartData>
  <cx:chart>
    <cx:title pos="t" align="ctr" overlay="0">
      <cx:tx>
        <cx:txData>
          <cx:v>Public Expenditure on Justice in LICS, LMICs, UMICs and OECD DAC</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Public Expenditure on Justice in LICS, LMICs, UMICs and OECD DAC</a:t>
          </a:r>
        </a:p>
      </cx:txPr>
    </cx:title>
    <cx:plotArea>
      <cx:plotAreaRegion>
        <cx:series layoutId="boxWhisker" uniqueId="{770AADEE-F163-476E-84A5-C7CFA2E85A1B}">
          <cx:tx>
            <cx:txData>
              <cx:f>_xlchart.v1.16</cx:f>
              <cx:v>Justice</cx:v>
            </cx:txData>
          </cx:tx>
          <cx:dataId val="0"/>
          <cx:layoutPr>
            <cx:visibility meanLine="0" meanMarker="1" nonoutliers="0" outliers="1"/>
            <cx:statistics quartileMethod="exclusive"/>
          </cx:layoutPr>
        </cx:series>
        <cx:series layoutId="boxWhisker" uniqueId="{3A7A8798-804F-4719-87C3-C6748C30D7FF}">
          <cx:tx>
            <cx:txData>
              <cx:f>_xlchart.v1.18</cx:f>
              <cx:v>Education</cx:v>
            </cx:txData>
          </cx:tx>
          <cx:dataId val="1"/>
          <cx:layoutPr>
            <cx:visibility meanLine="0" meanMarker="1" nonoutliers="0" outliers="1"/>
            <cx:statistics quartileMethod="exclusive"/>
          </cx:layoutPr>
        </cx:series>
        <cx:series layoutId="boxWhisker" uniqueId="{B91C8E8A-04ED-4A7C-97DC-B7054D56E03F}">
          <cx:tx>
            <cx:txData>
              <cx:f>_xlchart.v1.20</cx:f>
              <cx:v>Health</cx:v>
            </cx:txData>
          </cx:tx>
          <cx:dataId val="2"/>
          <cx:layoutPr>
            <cx:visibility meanLine="0" meanMarker="1" nonoutliers="0" outliers="1"/>
            <cx:statistics quartileMethod="exclusive"/>
          </cx:layoutPr>
        </cx:series>
      </cx:plotAreaRegion>
      <cx:axis id="0">
        <cx:catScaling gapWidth="1"/>
        <cx:tickLabels/>
      </cx:axis>
      <cx:axis id="1">
        <cx:valScaling max="35"/>
        <cx:majorGridlines/>
        <cx:tickLabels/>
        <cx:numFmt formatCode="0" sourceLinked="0"/>
      </cx:axis>
    </cx:plotArea>
    <cx:legend pos="t" align="ctr" overlay="0"/>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_xlchart.v1.22</cx:f>
      </cx:strDim>
      <cx:numDim type="val">
        <cx:f>_xlchart.v1.24</cx:f>
      </cx:numDim>
    </cx:data>
  </cx:chartData>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Public Expenditure on Justice per person</a:t>
            </a:r>
          </a:p>
          <a:p>
            <a:pPr algn="ctr" rtl="0">
              <a:defRPr/>
            </a:pPr>
            <a:r>
              <a:rPr lang="en-US" sz="1400" b="0" i="0" u="none" strike="noStrike" baseline="0">
                <a:solidFill>
                  <a:sysClr val="windowText" lastClr="000000">
                    <a:lumMod val="65000"/>
                    <a:lumOff val="35000"/>
                  </a:sysClr>
                </a:solidFill>
                <a:latin typeface="Calibri" panose="020F0502020204030204"/>
              </a:rPr>
              <a:t> </a:t>
            </a:r>
          </a:p>
        </cx:rich>
      </cx:tx>
    </cx:title>
    <cx:plotArea>
      <cx:plotAreaRegion>
        <cx:series layoutId="boxWhisker" uniqueId="{82CC40F1-931D-46E0-B717-B851D5159219}">
          <cx:tx>
            <cx:txData>
              <cx:f>_xlchart.v1.23</cx:f>
              <cx:v>Justice</cx:v>
            </cx:txData>
          </cx:tx>
          <cx:dataLabels pos="r">
            <cx:numFmt formatCode="0" sourceLinked="0"/>
            <cx:visibility seriesName="0" categoryName="0" value="1"/>
            <cx:separator>, </cx:separator>
          </cx:dataLabels>
          <cx:dataId val="0"/>
          <cx:layoutPr>
            <cx:visibility meanLine="0" meanMarker="0" nonoutliers="0" outliers="1"/>
            <cx:statistics quartileMethod="exclusive"/>
          </cx:layoutPr>
        </cx:series>
      </cx:plotAreaRegion>
      <cx:axis id="0">
        <cx:catScaling gapWidth="1"/>
        <cx:tickLabels/>
      </cx:axis>
      <cx:axis id="1">
        <cx:valScaling/>
        <cx:majorGridlines/>
        <cx:tickLabels/>
        <cx:numFmt formatCode="0" sourceLinked="0"/>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microsoft.com/office/2014/relationships/chartEx" Target="../charts/chartEx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microsoft.com/office/2014/relationships/chartEx" Target="../charts/chartEx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microsoft.com/office/2014/relationships/chartEx" Target="../charts/chartEx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microsoft.com/office/2014/relationships/chartEx" Target="../charts/chartEx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microsoft.com/office/2014/relationships/chartEx" Target="../charts/chartEx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microsoft.com/office/2014/relationships/chartEx" Target="../charts/chartEx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microsoft.com/office/2014/relationships/chartEx" Target="../charts/chartEx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17" Type="http://schemas.openxmlformats.org/officeDocument/2006/relationships/chart" Target="../charts/chart38.xml"/><Relationship Id="rId2" Type="http://schemas.openxmlformats.org/officeDocument/2006/relationships/chart" Target="../charts/chart23.xml"/><Relationship Id="rId16" Type="http://schemas.openxmlformats.org/officeDocument/2006/relationships/chart" Target="../charts/chart37.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82587</xdr:colOff>
      <xdr:row>4</xdr:row>
      <xdr:rowOff>171450</xdr:rowOff>
    </xdr:from>
    <xdr:to>
      <xdr:col>16</xdr:col>
      <xdr:colOff>388619</xdr:colOff>
      <xdr:row>27</xdr:row>
      <xdr:rowOff>158002</xdr:rowOff>
    </xdr:to>
    <xdr:graphicFrame macro="">
      <xdr:nvGraphicFramePr>
        <xdr:cNvPr id="2" name="Chart 1">
          <a:extLst>
            <a:ext uri="{FF2B5EF4-FFF2-40B4-BE49-F238E27FC236}">
              <a16:creationId xmlns:a16="http://schemas.microsoft.com/office/drawing/2014/main" id="{C745E6F6-1DD9-4D61-83C1-A6B2B3306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289560</xdr:colOff>
      <xdr:row>5</xdr:row>
      <xdr:rowOff>120015</xdr:rowOff>
    </xdr:from>
    <xdr:to>
      <xdr:col>11</xdr:col>
      <xdr:colOff>381000</xdr:colOff>
      <xdr:row>20</xdr:row>
      <xdr:rowOff>120015</xdr:rowOff>
    </xdr:to>
    <xdr:graphicFrame macro="">
      <xdr:nvGraphicFramePr>
        <xdr:cNvPr id="3" name="Chart 2">
          <a:extLst>
            <a:ext uri="{FF2B5EF4-FFF2-40B4-BE49-F238E27FC236}">
              <a16:creationId xmlns:a16="http://schemas.microsoft.com/office/drawing/2014/main" id="{2A3CD7CA-96A1-9677-7048-4CC10F9C5F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148590</xdr:colOff>
      <xdr:row>1</xdr:row>
      <xdr:rowOff>64770</xdr:rowOff>
    </xdr:from>
    <xdr:to>
      <xdr:col>11</xdr:col>
      <xdr:colOff>582930</xdr:colOff>
      <xdr:row>22</xdr:row>
      <xdr:rowOff>17145</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4B21DEF1-B99C-43BE-B1BB-D2084B60A38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242607</xdr:colOff>
      <xdr:row>163</xdr:row>
      <xdr:rowOff>77039</xdr:rowOff>
    </xdr:from>
    <xdr:to>
      <xdr:col>33</xdr:col>
      <xdr:colOff>590549</xdr:colOff>
      <xdr:row>165</xdr:row>
      <xdr:rowOff>0</xdr:rowOff>
    </xdr:to>
    <xdr:graphicFrame macro="">
      <xdr:nvGraphicFramePr>
        <xdr:cNvPr id="6" name="Chart 5">
          <a:extLst>
            <a:ext uri="{FF2B5EF4-FFF2-40B4-BE49-F238E27FC236}">
              <a16:creationId xmlns:a16="http://schemas.microsoft.com/office/drawing/2014/main" id="{7912D432-3612-47D2-9FC5-B2350B2E2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148590</xdr:colOff>
      <xdr:row>1</xdr:row>
      <xdr:rowOff>64770</xdr:rowOff>
    </xdr:from>
    <xdr:to>
      <xdr:col>11</xdr:col>
      <xdr:colOff>582930</xdr:colOff>
      <xdr:row>22</xdr:row>
      <xdr:rowOff>17145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AA9F249-E0E3-4967-AF88-EA7BBC04500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242607</xdr:colOff>
      <xdr:row>163</xdr:row>
      <xdr:rowOff>77039</xdr:rowOff>
    </xdr:from>
    <xdr:to>
      <xdr:col>33</xdr:col>
      <xdr:colOff>590549</xdr:colOff>
      <xdr:row>165</xdr:row>
      <xdr:rowOff>0</xdr:rowOff>
    </xdr:to>
    <xdr:graphicFrame macro="">
      <xdr:nvGraphicFramePr>
        <xdr:cNvPr id="3" name="Chart 2">
          <a:extLst>
            <a:ext uri="{FF2B5EF4-FFF2-40B4-BE49-F238E27FC236}">
              <a16:creationId xmlns:a16="http://schemas.microsoft.com/office/drawing/2014/main" id="{A39AB2F1-9DF0-4CBA-B00D-A56E49E7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148590</xdr:colOff>
      <xdr:row>1</xdr:row>
      <xdr:rowOff>64770</xdr:rowOff>
    </xdr:from>
    <xdr:to>
      <xdr:col>11</xdr:col>
      <xdr:colOff>582930</xdr:colOff>
      <xdr:row>22</xdr:row>
      <xdr:rowOff>17145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764E7AE4-0B6A-48B8-BC96-3232791CE85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242607</xdr:colOff>
      <xdr:row>163</xdr:row>
      <xdr:rowOff>77039</xdr:rowOff>
    </xdr:from>
    <xdr:to>
      <xdr:col>33</xdr:col>
      <xdr:colOff>590549</xdr:colOff>
      <xdr:row>165</xdr:row>
      <xdr:rowOff>0</xdr:rowOff>
    </xdr:to>
    <xdr:graphicFrame macro="">
      <xdr:nvGraphicFramePr>
        <xdr:cNvPr id="3" name="Chart 2">
          <a:extLst>
            <a:ext uri="{FF2B5EF4-FFF2-40B4-BE49-F238E27FC236}">
              <a16:creationId xmlns:a16="http://schemas.microsoft.com/office/drawing/2014/main" id="{E3B14996-79E8-4A42-B316-B94C9BFB4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148590</xdr:colOff>
      <xdr:row>1</xdr:row>
      <xdr:rowOff>64770</xdr:rowOff>
    </xdr:from>
    <xdr:to>
      <xdr:col>11</xdr:col>
      <xdr:colOff>582930</xdr:colOff>
      <xdr:row>22</xdr:row>
      <xdr:rowOff>17145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C53F8C3-34E2-4242-9C4E-96381B5F732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242607</xdr:colOff>
      <xdr:row>163</xdr:row>
      <xdr:rowOff>77039</xdr:rowOff>
    </xdr:from>
    <xdr:to>
      <xdr:col>33</xdr:col>
      <xdr:colOff>590549</xdr:colOff>
      <xdr:row>165</xdr:row>
      <xdr:rowOff>0</xdr:rowOff>
    </xdr:to>
    <xdr:graphicFrame macro="">
      <xdr:nvGraphicFramePr>
        <xdr:cNvPr id="3" name="Chart 2">
          <a:extLst>
            <a:ext uri="{FF2B5EF4-FFF2-40B4-BE49-F238E27FC236}">
              <a16:creationId xmlns:a16="http://schemas.microsoft.com/office/drawing/2014/main" id="{1B50B8B4-1DDD-4DDE-BD8C-778ECDCAB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148590</xdr:colOff>
      <xdr:row>1</xdr:row>
      <xdr:rowOff>64770</xdr:rowOff>
    </xdr:from>
    <xdr:to>
      <xdr:col>11</xdr:col>
      <xdr:colOff>582930</xdr:colOff>
      <xdr:row>22</xdr:row>
      <xdr:rowOff>17145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BB809086-48EA-4DE2-9FF4-2BC6D531384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242607</xdr:colOff>
      <xdr:row>163</xdr:row>
      <xdr:rowOff>77039</xdr:rowOff>
    </xdr:from>
    <xdr:to>
      <xdr:col>33</xdr:col>
      <xdr:colOff>590549</xdr:colOff>
      <xdr:row>165</xdr:row>
      <xdr:rowOff>0</xdr:rowOff>
    </xdr:to>
    <xdr:graphicFrame macro="">
      <xdr:nvGraphicFramePr>
        <xdr:cNvPr id="3" name="Chart 2">
          <a:extLst>
            <a:ext uri="{FF2B5EF4-FFF2-40B4-BE49-F238E27FC236}">
              <a16:creationId xmlns:a16="http://schemas.microsoft.com/office/drawing/2014/main" id="{0B05172C-055A-40B4-937A-034901727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335280</xdr:colOff>
      <xdr:row>1</xdr:row>
      <xdr:rowOff>11430</xdr:rowOff>
    </xdr:from>
    <xdr:to>
      <xdr:col>13</xdr:col>
      <xdr:colOff>339090</xdr:colOff>
      <xdr:row>55</xdr:row>
      <xdr:rowOff>175260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7400FE33-63DF-46AC-A1E0-89489AD11EC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242607</xdr:colOff>
      <xdr:row>163</xdr:row>
      <xdr:rowOff>77039</xdr:rowOff>
    </xdr:from>
    <xdr:to>
      <xdr:col>33</xdr:col>
      <xdr:colOff>590549</xdr:colOff>
      <xdr:row>164</xdr:row>
      <xdr:rowOff>0</xdr:rowOff>
    </xdr:to>
    <xdr:graphicFrame macro="">
      <xdr:nvGraphicFramePr>
        <xdr:cNvPr id="6" name="Chart 5">
          <a:extLst>
            <a:ext uri="{FF2B5EF4-FFF2-40B4-BE49-F238E27FC236}">
              <a16:creationId xmlns:a16="http://schemas.microsoft.com/office/drawing/2014/main" id="{77F56574-035D-4629-8588-75005F9AB4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289560</xdr:colOff>
      <xdr:row>3</xdr:row>
      <xdr:rowOff>62865</xdr:rowOff>
    </xdr:from>
    <xdr:to>
      <xdr:col>11</xdr:col>
      <xdr:colOff>381000</xdr:colOff>
      <xdr:row>18</xdr:row>
      <xdr:rowOff>62865</xdr:rowOff>
    </xdr:to>
    <xdr:graphicFrame macro="">
      <xdr:nvGraphicFramePr>
        <xdr:cNvPr id="2" name="Chart 1">
          <a:extLst>
            <a:ext uri="{FF2B5EF4-FFF2-40B4-BE49-F238E27FC236}">
              <a16:creationId xmlns:a16="http://schemas.microsoft.com/office/drawing/2014/main" id="{57603B6C-66E6-461D-8A88-73A83833D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339090</xdr:colOff>
      <xdr:row>1</xdr:row>
      <xdr:rowOff>64770</xdr:rowOff>
    </xdr:from>
    <xdr:to>
      <xdr:col>16</xdr:col>
      <xdr:colOff>609600</xdr:colOff>
      <xdr:row>66</xdr:row>
      <xdr:rowOff>99060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53C605-4B05-4BDC-BCBF-BE5E0573830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242607</xdr:colOff>
      <xdr:row>163</xdr:row>
      <xdr:rowOff>77039</xdr:rowOff>
    </xdr:from>
    <xdr:to>
      <xdr:col>33</xdr:col>
      <xdr:colOff>590549</xdr:colOff>
      <xdr:row>165</xdr:row>
      <xdr:rowOff>0</xdr:rowOff>
    </xdr:to>
    <xdr:graphicFrame macro="">
      <xdr:nvGraphicFramePr>
        <xdr:cNvPr id="3" name="Chart 2">
          <a:extLst>
            <a:ext uri="{FF2B5EF4-FFF2-40B4-BE49-F238E27FC236}">
              <a16:creationId xmlns:a16="http://schemas.microsoft.com/office/drawing/2014/main" id="{73E7A1DA-C4BF-4A5E-87D9-A4DA0A839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387387</xdr:colOff>
      <xdr:row>0</xdr:row>
      <xdr:rowOff>83820</xdr:rowOff>
    </xdr:from>
    <xdr:to>
      <xdr:col>31</xdr:col>
      <xdr:colOff>95249</xdr:colOff>
      <xdr:row>23</xdr:row>
      <xdr:rowOff>58942</xdr:rowOff>
    </xdr:to>
    <xdr:graphicFrame macro="">
      <xdr:nvGraphicFramePr>
        <xdr:cNvPr id="3" name="Chart 2">
          <a:extLst>
            <a:ext uri="{FF2B5EF4-FFF2-40B4-BE49-F238E27FC236}">
              <a16:creationId xmlns:a16="http://schemas.microsoft.com/office/drawing/2014/main" id="{F0A963DF-DF47-46FE-96FF-144C01DFA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0.04334</cdr:x>
      <cdr:y>0.13176</cdr:y>
    </cdr:from>
    <cdr:to>
      <cdr:x>0.4168</cdr:x>
      <cdr:y>0.30169</cdr:y>
    </cdr:to>
    <cdr:sp macro="" textlink="">
      <cdr:nvSpPr>
        <cdr:cNvPr id="2" name="TextBox 1">
          <a:extLst xmlns:a="http://schemas.openxmlformats.org/drawingml/2006/main">
            <a:ext uri="{FF2B5EF4-FFF2-40B4-BE49-F238E27FC236}">
              <a16:creationId xmlns:a16="http://schemas.microsoft.com/office/drawing/2014/main" id="{60B09D00-758A-62BA-4DF4-BD20C3F0EDBB}"/>
            </a:ext>
          </a:extLst>
        </cdr:cNvPr>
        <cdr:cNvSpPr txBox="1"/>
      </cdr:nvSpPr>
      <cdr:spPr>
        <a:xfrm xmlns:a="http://schemas.openxmlformats.org/drawingml/2006/main">
          <a:off x="347973" y="552450"/>
          <a:ext cx="2998440" cy="7124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a:t>OECD  </a:t>
          </a:r>
          <a:r>
            <a:rPr lang="en-GB" sz="1600" baseline="0"/>
            <a:t>average</a:t>
          </a:r>
          <a:r>
            <a:rPr lang="en-GB" sz="1100" baseline="0"/>
            <a:t> </a:t>
          </a:r>
          <a:r>
            <a:rPr lang="en-GB" sz="1600" baseline="0"/>
            <a:t>(median) = 4.3%</a:t>
          </a:r>
          <a:endParaRPr lang="en-GB" sz="1600"/>
        </a:p>
      </cdr:txBody>
    </cdr:sp>
  </cdr:relSizeAnchor>
</c:userShapes>
</file>

<file path=xl/drawings/drawing20.xml><?xml version="1.0" encoding="utf-8"?>
<xdr:wsDr xmlns:xdr="http://schemas.openxmlformats.org/drawingml/2006/spreadsheetDrawing" xmlns:a="http://schemas.openxmlformats.org/drawingml/2006/main">
  <xdr:twoCellAnchor>
    <xdr:from>
      <xdr:col>11</xdr:col>
      <xdr:colOff>819150</xdr:colOff>
      <xdr:row>1</xdr:row>
      <xdr:rowOff>0</xdr:rowOff>
    </xdr:from>
    <xdr:to>
      <xdr:col>19</xdr:col>
      <xdr:colOff>88900</xdr:colOff>
      <xdr:row>7</xdr:row>
      <xdr:rowOff>203200</xdr:rowOff>
    </xdr:to>
    <xdr:graphicFrame macro="">
      <xdr:nvGraphicFramePr>
        <xdr:cNvPr id="3" name="Chart 2">
          <a:extLst>
            <a:ext uri="{FF2B5EF4-FFF2-40B4-BE49-F238E27FC236}">
              <a16:creationId xmlns:a16="http://schemas.microsoft.com/office/drawing/2014/main" id="{5F40DAE0-0A24-3881-2AB1-38A1752D9C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6350</xdr:colOff>
      <xdr:row>7</xdr:row>
      <xdr:rowOff>317500</xdr:rowOff>
    </xdr:from>
    <xdr:to>
      <xdr:col>32</xdr:col>
      <xdr:colOff>533400</xdr:colOff>
      <xdr:row>16</xdr:row>
      <xdr:rowOff>12700</xdr:rowOff>
    </xdr:to>
    <xdr:graphicFrame macro="">
      <xdr:nvGraphicFramePr>
        <xdr:cNvPr id="4" name="Chart 3">
          <a:extLst>
            <a:ext uri="{FF2B5EF4-FFF2-40B4-BE49-F238E27FC236}">
              <a16:creationId xmlns:a16="http://schemas.microsoft.com/office/drawing/2014/main" id="{EF0705AE-EDCB-4922-28AC-004A125486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571500</xdr:colOff>
      <xdr:row>136</xdr:row>
      <xdr:rowOff>80961</xdr:rowOff>
    </xdr:from>
    <xdr:to>
      <xdr:col>38</xdr:col>
      <xdr:colOff>180975</xdr:colOff>
      <xdr:row>164</xdr:row>
      <xdr:rowOff>142874</xdr:rowOff>
    </xdr:to>
    <xdr:graphicFrame macro="">
      <xdr:nvGraphicFramePr>
        <xdr:cNvPr id="3" name="Chart 2">
          <a:extLst>
            <a:ext uri="{FF2B5EF4-FFF2-40B4-BE49-F238E27FC236}">
              <a16:creationId xmlns:a16="http://schemas.microsoft.com/office/drawing/2014/main" id="{850DD3F3-DC65-72FF-C124-02DFEB4DAE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269740</xdr:colOff>
      <xdr:row>147</xdr:row>
      <xdr:rowOff>36418</xdr:rowOff>
    </xdr:from>
    <xdr:to>
      <xdr:col>28</xdr:col>
      <xdr:colOff>541885</xdr:colOff>
      <xdr:row>169</xdr:row>
      <xdr:rowOff>111257</xdr:rowOff>
    </xdr:to>
    <xdr:graphicFrame macro="">
      <xdr:nvGraphicFramePr>
        <xdr:cNvPr id="2" name="Chart 1">
          <a:extLst>
            <a:ext uri="{FF2B5EF4-FFF2-40B4-BE49-F238E27FC236}">
              <a16:creationId xmlns:a16="http://schemas.microsoft.com/office/drawing/2014/main" id="{5166AE1D-583F-4340-BD1E-D8B1DB452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xdr:colOff>
      <xdr:row>168</xdr:row>
      <xdr:rowOff>0</xdr:rowOff>
    </xdr:from>
    <xdr:to>
      <xdr:col>36</xdr:col>
      <xdr:colOff>200025</xdr:colOff>
      <xdr:row>185</xdr:row>
      <xdr:rowOff>9525</xdr:rowOff>
    </xdr:to>
    <xdr:graphicFrame macro="">
      <xdr:nvGraphicFramePr>
        <xdr:cNvPr id="4" name="Chart 3">
          <a:extLst>
            <a:ext uri="{FF2B5EF4-FFF2-40B4-BE49-F238E27FC236}">
              <a16:creationId xmlns:a16="http://schemas.microsoft.com/office/drawing/2014/main" id="{B419BE65-37C0-4CE6-9EED-31FF34551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285750</xdr:colOff>
      <xdr:row>150</xdr:row>
      <xdr:rowOff>176211</xdr:rowOff>
    </xdr:from>
    <xdr:to>
      <xdr:col>17</xdr:col>
      <xdr:colOff>209550</xdr:colOff>
      <xdr:row>167</xdr:row>
      <xdr:rowOff>180974</xdr:rowOff>
    </xdr:to>
    <xdr:graphicFrame macro="">
      <xdr:nvGraphicFramePr>
        <xdr:cNvPr id="5" name="Chart 4">
          <a:extLst>
            <a:ext uri="{FF2B5EF4-FFF2-40B4-BE49-F238E27FC236}">
              <a16:creationId xmlns:a16="http://schemas.microsoft.com/office/drawing/2014/main" id="{DD08F3CC-1D33-63EC-F26D-B165FB9C7B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653143</xdr:colOff>
      <xdr:row>162</xdr:row>
      <xdr:rowOff>149679</xdr:rowOff>
    </xdr:from>
    <xdr:to>
      <xdr:col>19</xdr:col>
      <xdr:colOff>666750</xdr:colOff>
      <xdr:row>186</xdr:row>
      <xdr:rowOff>190500</xdr:rowOff>
    </xdr:to>
    <xdr:graphicFrame macro="">
      <xdr:nvGraphicFramePr>
        <xdr:cNvPr id="6" name="Chart 5">
          <a:extLst>
            <a:ext uri="{FF2B5EF4-FFF2-40B4-BE49-F238E27FC236}">
              <a16:creationId xmlns:a16="http://schemas.microsoft.com/office/drawing/2014/main" id="{A4BD872F-7978-432A-BBAA-AB0E2F5E5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266699</xdr:colOff>
      <xdr:row>219</xdr:row>
      <xdr:rowOff>147637</xdr:rowOff>
    </xdr:from>
    <xdr:to>
      <xdr:col>12</xdr:col>
      <xdr:colOff>514349</xdr:colOff>
      <xdr:row>236</xdr:row>
      <xdr:rowOff>9525</xdr:rowOff>
    </xdr:to>
    <xdr:graphicFrame macro="">
      <xdr:nvGraphicFramePr>
        <xdr:cNvPr id="9" name="Chart 8">
          <a:extLst>
            <a:ext uri="{FF2B5EF4-FFF2-40B4-BE49-F238E27FC236}">
              <a16:creationId xmlns:a16="http://schemas.microsoft.com/office/drawing/2014/main" id="{CE920F08-B7C8-CA7E-63D0-122D77C6CB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67237</xdr:colOff>
      <xdr:row>225</xdr:row>
      <xdr:rowOff>52107</xdr:rowOff>
    </xdr:from>
    <xdr:to>
      <xdr:col>23</xdr:col>
      <xdr:colOff>474570</xdr:colOff>
      <xdr:row>241</xdr:row>
      <xdr:rowOff>56029</xdr:rowOff>
    </xdr:to>
    <xdr:graphicFrame macro="">
      <xdr:nvGraphicFramePr>
        <xdr:cNvPr id="10" name="Chart 9">
          <a:extLst>
            <a:ext uri="{FF2B5EF4-FFF2-40B4-BE49-F238E27FC236}">
              <a16:creationId xmlns:a16="http://schemas.microsoft.com/office/drawing/2014/main" id="{CC55EE64-309C-447D-87D1-9322DEB20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302559</xdr:colOff>
      <xdr:row>234</xdr:row>
      <xdr:rowOff>19050</xdr:rowOff>
    </xdr:from>
    <xdr:to>
      <xdr:col>32</xdr:col>
      <xdr:colOff>333375</xdr:colOff>
      <xdr:row>249</xdr:row>
      <xdr:rowOff>145676</xdr:rowOff>
    </xdr:to>
    <xdr:graphicFrame macro="">
      <xdr:nvGraphicFramePr>
        <xdr:cNvPr id="11" name="Chart 10">
          <a:extLst>
            <a:ext uri="{FF2B5EF4-FFF2-40B4-BE49-F238E27FC236}">
              <a16:creationId xmlns:a16="http://schemas.microsoft.com/office/drawing/2014/main" id="{69D53139-088C-4BE1-9A5D-9C568D805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302558</xdr:colOff>
      <xdr:row>229</xdr:row>
      <xdr:rowOff>168089</xdr:rowOff>
    </xdr:from>
    <xdr:to>
      <xdr:col>44</xdr:col>
      <xdr:colOff>459440</xdr:colOff>
      <xdr:row>247</xdr:row>
      <xdr:rowOff>56029</xdr:rowOff>
    </xdr:to>
    <xdr:graphicFrame macro="">
      <xdr:nvGraphicFramePr>
        <xdr:cNvPr id="12" name="Chart 11">
          <a:extLst>
            <a:ext uri="{FF2B5EF4-FFF2-40B4-BE49-F238E27FC236}">
              <a16:creationId xmlns:a16="http://schemas.microsoft.com/office/drawing/2014/main" id="{8833E722-0F29-4F95-A965-50646A7A0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47</xdr:col>
      <xdr:colOff>231913</xdr:colOff>
      <xdr:row>226</xdr:row>
      <xdr:rowOff>74543</xdr:rowOff>
    </xdr:from>
    <xdr:to>
      <xdr:col>55</xdr:col>
      <xdr:colOff>327163</xdr:colOff>
      <xdr:row>241</xdr:row>
      <xdr:rowOff>169793</xdr:rowOff>
    </xdr:to>
    <xdr:graphicFrame macro="">
      <xdr:nvGraphicFramePr>
        <xdr:cNvPr id="13" name="Chart 12">
          <a:extLst>
            <a:ext uri="{FF2B5EF4-FFF2-40B4-BE49-F238E27FC236}">
              <a16:creationId xmlns:a16="http://schemas.microsoft.com/office/drawing/2014/main" id="{63510570-E02C-4307-AF69-69ECA96E7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380999</xdr:colOff>
      <xdr:row>200</xdr:row>
      <xdr:rowOff>166688</xdr:rowOff>
    </xdr:from>
    <xdr:to>
      <xdr:col>43</xdr:col>
      <xdr:colOff>537883</xdr:colOff>
      <xdr:row>224</xdr:row>
      <xdr:rowOff>156882</xdr:rowOff>
    </xdr:to>
    <xdr:graphicFrame macro="">
      <xdr:nvGraphicFramePr>
        <xdr:cNvPr id="15" name="Chart 14">
          <a:extLst>
            <a:ext uri="{FF2B5EF4-FFF2-40B4-BE49-F238E27FC236}">
              <a16:creationId xmlns:a16="http://schemas.microsoft.com/office/drawing/2014/main" id="{3B20BB66-303B-BA73-84EC-4279F816F7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37</xdr:col>
      <xdr:colOff>217714</xdr:colOff>
      <xdr:row>163</xdr:row>
      <xdr:rowOff>122465</xdr:rowOff>
    </xdr:from>
    <xdr:to>
      <xdr:col>53</xdr:col>
      <xdr:colOff>435428</xdr:colOff>
      <xdr:row>197</xdr:row>
      <xdr:rowOff>163286</xdr:rowOff>
    </xdr:to>
    <xdr:graphicFrame macro="">
      <xdr:nvGraphicFramePr>
        <xdr:cNvPr id="16" name="Chart 15">
          <a:extLst>
            <a:ext uri="{FF2B5EF4-FFF2-40B4-BE49-F238E27FC236}">
              <a16:creationId xmlns:a16="http://schemas.microsoft.com/office/drawing/2014/main" id="{55BFE49B-97A8-41F9-A193-367D96161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180975</xdr:colOff>
      <xdr:row>257</xdr:row>
      <xdr:rowOff>119062</xdr:rowOff>
    </xdr:from>
    <xdr:to>
      <xdr:col>13</xdr:col>
      <xdr:colOff>76200</xdr:colOff>
      <xdr:row>272</xdr:row>
      <xdr:rowOff>4762</xdr:rowOff>
    </xdr:to>
    <xdr:graphicFrame macro="">
      <xdr:nvGraphicFramePr>
        <xdr:cNvPr id="17" name="Chart 16">
          <a:extLst>
            <a:ext uri="{FF2B5EF4-FFF2-40B4-BE49-F238E27FC236}">
              <a16:creationId xmlns:a16="http://schemas.microsoft.com/office/drawing/2014/main" id="{ABC0159D-9B74-AEC3-9AA9-76C3AC5D23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571499</xdr:colOff>
      <xdr:row>254</xdr:row>
      <xdr:rowOff>100011</xdr:rowOff>
    </xdr:from>
    <xdr:to>
      <xdr:col>27</xdr:col>
      <xdr:colOff>231321</xdr:colOff>
      <xdr:row>289</xdr:row>
      <xdr:rowOff>54428</xdr:rowOff>
    </xdr:to>
    <xdr:graphicFrame macro="">
      <xdr:nvGraphicFramePr>
        <xdr:cNvPr id="18" name="Chart 17">
          <a:extLst>
            <a:ext uri="{FF2B5EF4-FFF2-40B4-BE49-F238E27FC236}">
              <a16:creationId xmlns:a16="http://schemas.microsoft.com/office/drawing/2014/main" id="{D5D7064C-BADF-F425-548B-88E8263DE7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364190</xdr:colOff>
      <xdr:row>289</xdr:row>
      <xdr:rowOff>40340</xdr:rowOff>
    </xdr:from>
    <xdr:to>
      <xdr:col>15</xdr:col>
      <xdr:colOff>347381</xdr:colOff>
      <xdr:row>310</xdr:row>
      <xdr:rowOff>44823</xdr:rowOff>
    </xdr:to>
    <xdr:graphicFrame macro="">
      <xdr:nvGraphicFramePr>
        <xdr:cNvPr id="7" name="Chart 6">
          <a:extLst>
            <a:ext uri="{FF2B5EF4-FFF2-40B4-BE49-F238E27FC236}">
              <a16:creationId xmlns:a16="http://schemas.microsoft.com/office/drawing/2014/main" id="{3645BD8E-2CD8-9EDD-9A7C-39EF2B597E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0</xdr:colOff>
      <xdr:row>293</xdr:row>
      <xdr:rowOff>0</xdr:rowOff>
    </xdr:from>
    <xdr:to>
      <xdr:col>32</xdr:col>
      <xdr:colOff>477852</xdr:colOff>
      <xdr:row>327</xdr:row>
      <xdr:rowOff>144917</xdr:rowOff>
    </xdr:to>
    <xdr:graphicFrame macro="">
      <xdr:nvGraphicFramePr>
        <xdr:cNvPr id="8" name="Chart 7">
          <a:extLst>
            <a:ext uri="{FF2B5EF4-FFF2-40B4-BE49-F238E27FC236}">
              <a16:creationId xmlns:a16="http://schemas.microsoft.com/office/drawing/2014/main" id="{68DD5E7D-7557-4A56-8BEE-D16E9E926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335</xdr:row>
      <xdr:rowOff>190499</xdr:rowOff>
    </xdr:from>
    <xdr:to>
      <xdr:col>39</xdr:col>
      <xdr:colOff>358588</xdr:colOff>
      <xdr:row>365</xdr:row>
      <xdr:rowOff>78440</xdr:rowOff>
    </xdr:to>
    <xdr:graphicFrame macro="">
      <xdr:nvGraphicFramePr>
        <xdr:cNvPr id="14" name="Chart 13">
          <a:extLst>
            <a:ext uri="{FF2B5EF4-FFF2-40B4-BE49-F238E27FC236}">
              <a16:creationId xmlns:a16="http://schemas.microsoft.com/office/drawing/2014/main" id="{5562FAA9-1E8F-4D53-9FA2-FAC460455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39</xdr:row>
      <xdr:rowOff>57150</xdr:rowOff>
    </xdr:from>
    <xdr:to>
      <xdr:col>16</xdr:col>
      <xdr:colOff>476250</xdr:colOff>
      <xdr:row>65</xdr:row>
      <xdr:rowOff>142875</xdr:rowOff>
    </xdr:to>
    <xdr:graphicFrame macro="">
      <xdr:nvGraphicFramePr>
        <xdr:cNvPr id="2" name="Chart 1">
          <a:extLst>
            <a:ext uri="{FF2B5EF4-FFF2-40B4-BE49-F238E27FC236}">
              <a16:creationId xmlns:a16="http://schemas.microsoft.com/office/drawing/2014/main" id="{37E9950D-5D28-47F5-A9C2-B96B202D8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242607</xdr:colOff>
      <xdr:row>0</xdr:row>
      <xdr:rowOff>0</xdr:rowOff>
    </xdr:from>
    <xdr:to>
      <xdr:col>33</xdr:col>
      <xdr:colOff>590549</xdr:colOff>
      <xdr:row>22</xdr:row>
      <xdr:rowOff>158002</xdr:rowOff>
    </xdr:to>
    <xdr:graphicFrame macro="">
      <xdr:nvGraphicFramePr>
        <xdr:cNvPr id="3" name="Chart 2">
          <a:extLst>
            <a:ext uri="{FF2B5EF4-FFF2-40B4-BE49-F238E27FC236}">
              <a16:creationId xmlns:a16="http://schemas.microsoft.com/office/drawing/2014/main" id="{10F75ECD-67A5-4FF0-A85E-E64A43B7B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388172</xdr:colOff>
      <xdr:row>0</xdr:row>
      <xdr:rowOff>41964</xdr:rowOff>
    </xdr:from>
    <xdr:to>
      <xdr:col>30</xdr:col>
      <xdr:colOff>96819</xdr:colOff>
      <xdr:row>22</xdr:row>
      <xdr:rowOff>116989</xdr:rowOff>
    </xdr:to>
    <xdr:graphicFrame macro="">
      <xdr:nvGraphicFramePr>
        <xdr:cNvPr id="7" name="Chart 6">
          <a:extLst>
            <a:ext uri="{FF2B5EF4-FFF2-40B4-BE49-F238E27FC236}">
              <a16:creationId xmlns:a16="http://schemas.microsoft.com/office/drawing/2014/main" id="{56479744-F8FA-456B-B2AD-D08191A71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752475</xdr:colOff>
      <xdr:row>8</xdr:row>
      <xdr:rowOff>39052</xdr:rowOff>
    </xdr:from>
    <xdr:to>
      <xdr:col>12</xdr:col>
      <xdr:colOff>581025</xdr:colOff>
      <xdr:row>22</xdr:row>
      <xdr:rowOff>115252</xdr:rowOff>
    </xdr:to>
    <xdr:graphicFrame macro="">
      <xdr:nvGraphicFramePr>
        <xdr:cNvPr id="2" name="Chart 1">
          <a:extLst>
            <a:ext uri="{FF2B5EF4-FFF2-40B4-BE49-F238E27FC236}">
              <a16:creationId xmlns:a16="http://schemas.microsoft.com/office/drawing/2014/main" id="{BDAAF994-2FF7-4FFB-8E83-E32B777A8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19</xdr:col>
      <xdr:colOff>593912</xdr:colOff>
      <xdr:row>0</xdr:row>
      <xdr:rowOff>0</xdr:rowOff>
    </xdr:from>
    <xdr:to>
      <xdr:col>32</xdr:col>
      <xdr:colOff>302559</xdr:colOff>
      <xdr:row>10</xdr:row>
      <xdr:rowOff>56029</xdr:rowOff>
    </xdr:to>
    <xdr:graphicFrame macro="">
      <xdr:nvGraphicFramePr>
        <xdr:cNvPr id="7" name="Chart 6">
          <a:extLst>
            <a:ext uri="{FF2B5EF4-FFF2-40B4-BE49-F238E27FC236}">
              <a16:creationId xmlns:a16="http://schemas.microsoft.com/office/drawing/2014/main" id="{F2041467-148B-4406-90CA-34DAC3ED6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735330</xdr:colOff>
      <xdr:row>1</xdr:row>
      <xdr:rowOff>95250</xdr:rowOff>
    </xdr:from>
    <xdr:to>
      <xdr:col>11</xdr:col>
      <xdr:colOff>342900</xdr:colOff>
      <xdr:row>16</xdr:row>
      <xdr:rowOff>95250</xdr:rowOff>
    </xdr:to>
    <xdr:graphicFrame macro="">
      <xdr:nvGraphicFramePr>
        <xdr:cNvPr id="8" name="Chart 7">
          <a:extLst>
            <a:ext uri="{FF2B5EF4-FFF2-40B4-BE49-F238E27FC236}">
              <a16:creationId xmlns:a16="http://schemas.microsoft.com/office/drawing/2014/main" id="{FF8A4F04-9B58-C5DA-1068-5019ED873F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0.6397</cdr:x>
      <cdr:y>0.85278</cdr:y>
    </cdr:from>
    <cdr:to>
      <cdr:x>0.97832</cdr:x>
      <cdr:y>0.96389</cdr:y>
    </cdr:to>
    <cdr:sp macro="" textlink="">
      <cdr:nvSpPr>
        <cdr:cNvPr id="3" name="TextBox 2">
          <a:extLst xmlns:a="http://schemas.openxmlformats.org/drawingml/2006/main">
            <a:ext uri="{FF2B5EF4-FFF2-40B4-BE49-F238E27FC236}">
              <a16:creationId xmlns:a16="http://schemas.microsoft.com/office/drawing/2014/main" id="{B420CF9B-A030-2F97-8031-C469143D57D5}"/>
            </a:ext>
          </a:extLst>
        </cdr:cNvPr>
        <cdr:cNvSpPr txBox="1"/>
      </cdr:nvSpPr>
      <cdr:spPr>
        <a:xfrm xmlns:a="http://schemas.openxmlformats.org/drawingml/2006/main">
          <a:off x="2922270" y="2339340"/>
          <a:ext cx="154686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OECD average (4.3%)</a:t>
          </a:r>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289560</xdr:colOff>
      <xdr:row>3</xdr:row>
      <xdr:rowOff>62865</xdr:rowOff>
    </xdr:from>
    <xdr:to>
      <xdr:col>11</xdr:col>
      <xdr:colOff>381000</xdr:colOff>
      <xdr:row>18</xdr:row>
      <xdr:rowOff>62865</xdr:rowOff>
    </xdr:to>
    <xdr:graphicFrame macro="">
      <xdr:nvGraphicFramePr>
        <xdr:cNvPr id="2" name="Chart 1">
          <a:extLst>
            <a:ext uri="{FF2B5EF4-FFF2-40B4-BE49-F238E27FC236}">
              <a16:creationId xmlns:a16="http://schemas.microsoft.com/office/drawing/2014/main" id="{8D39239E-BD94-60EF-1A70-F82E4576C0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434975</xdr:colOff>
      <xdr:row>0</xdr:row>
      <xdr:rowOff>53975</xdr:rowOff>
    </xdr:from>
    <xdr:to>
      <xdr:col>15</xdr:col>
      <xdr:colOff>79375</xdr:colOff>
      <xdr:row>15</xdr:row>
      <xdr:rowOff>34925</xdr:rowOff>
    </xdr:to>
    <xdr:graphicFrame macro="">
      <xdr:nvGraphicFramePr>
        <xdr:cNvPr id="4" name="Chart 3">
          <a:extLst>
            <a:ext uri="{FF2B5EF4-FFF2-40B4-BE49-F238E27FC236}">
              <a16:creationId xmlns:a16="http://schemas.microsoft.com/office/drawing/2014/main" id="{7000FC2E-0796-4CC1-A40A-275B2C8BA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rsh/Downloads/Masterfile_A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ster"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ources"/>
      <sheetName val="Summary"/>
      <sheetName val="Sheet1"/>
      <sheetName val="CALC GDP GrowthRates WEO"/>
      <sheetName val="CALC GDP Growth rates WDI"/>
      <sheetName val="Data_UN_PopulationTot.&amp;%"/>
      <sheetName val="Data_Aspire"/>
      <sheetName val="Source Gov. Revenue WEO"/>
      <sheetName val="Source GDP Constant LCU"/>
      <sheetName val="Source GDP Current LCU"/>
      <sheetName val="Source GDP Constant USD"/>
      <sheetName val="Source GDP Current USD"/>
      <sheetName val="Source GDP PC Current LCU"/>
      <sheetName val="Source GDP PC Current USD"/>
      <sheetName val="Source_PPP_Conversion"/>
      <sheetName val="Source GNI Current LCU"/>
      <sheetName val="Source GNI Current USD"/>
      <sheetName val="Source GNI PC Atlas"/>
      <sheetName val="Source PopulationTotal"/>
      <sheetName val="Source_WEOOct2021all"/>
      <sheetName val="Source_WEOOct2021Groups"/>
      <sheetName val="Source_WDI_POP_GDP"/>
      <sheetName val="Source_WDI_GNI"/>
      <sheetName val="Source_WDI_POV"/>
      <sheetName val="Source_Aspire_Social_EXP"/>
      <sheetName val="Source_Aspire_Transfers"/>
      <sheetName val="Source_Aspire_FoodSch_Program"/>
      <sheetName val="Source_Aspire_PublicWorks"/>
      <sheetName val="Source_DebtDistress"/>
      <sheetName val="Source_UN_POP_TOTAL"/>
      <sheetName val="Source_UN_POP_Age_Disaag"/>
      <sheetName val="Source_UNPOP_AgeProjections"/>
      <sheetName val="Source_WB income group"/>
      <sheetName val="Source_IMF LIC_LIDC"/>
      <sheetName val="Source_UN_LDC list"/>
      <sheetName val="C OECDpie"/>
    </sheetNames>
    <sheetDataSet>
      <sheetData sheetId="0"/>
      <sheetData sheetId="1"/>
      <sheetData sheetId="2"/>
      <sheetData sheetId="3"/>
      <sheetData sheetId="4">
        <row r="1">
          <cell r="B1" t="str">
            <v>Country Code</v>
          </cell>
          <cell r="C1" t="str">
            <v>Series Name</v>
          </cell>
          <cell r="D1" t="str">
            <v>Series Code</v>
          </cell>
          <cell r="E1" t="str">
            <v>2009 [YR2009]</v>
          </cell>
          <cell r="F1" t="str">
            <v>2010 [YR2010]</v>
          </cell>
          <cell r="G1" t="str">
            <v>2011 [YR2011]</v>
          </cell>
          <cell r="H1" t="str">
            <v>2012 [YR2012]</v>
          </cell>
          <cell r="I1" t="str">
            <v>2013 [YR2013]</v>
          </cell>
          <cell r="J1" t="str">
            <v>2014 [YR2014]</v>
          </cell>
          <cell r="K1" t="str">
            <v>2015 [YR2015]</v>
          </cell>
          <cell r="L1" t="str">
            <v>2016 [YR2016]</v>
          </cell>
          <cell r="M1" t="str">
            <v>2017 [YR2017]</v>
          </cell>
          <cell r="N1" t="str">
            <v>2018 [YR2018]</v>
          </cell>
          <cell r="O1" t="str">
            <v>2019 [YR2019]</v>
          </cell>
          <cell r="P1" t="str">
            <v>2020 [YR2020]</v>
          </cell>
          <cell r="Q1" t="str">
            <v>gr2010</v>
          </cell>
          <cell r="R1" t="str">
            <v>gr2011</v>
          </cell>
          <cell r="S1" t="str">
            <v>gr2012</v>
          </cell>
          <cell r="T1" t="str">
            <v>gr2013</v>
          </cell>
          <cell r="U1" t="str">
            <v>gr2014</v>
          </cell>
          <cell r="V1" t="str">
            <v>gr2015</v>
          </cell>
          <cell r="W1" t="str">
            <v>gr2016</v>
          </cell>
          <cell r="X1" t="str">
            <v>gr2017</v>
          </cell>
          <cell r="Y1" t="str">
            <v>gr2018</v>
          </cell>
          <cell r="Z1" t="str">
            <v>gr2019</v>
          </cell>
          <cell r="AA1" t="str">
            <v>gr2020</v>
          </cell>
          <cell r="AB1" t="str">
            <v>GDP_10yrGR</v>
          </cell>
          <cell r="AC1" t="str">
            <v>GDP_5yrGR</v>
          </cell>
          <cell r="AD1" t="str">
            <v>GDP_10yrCUMGR</v>
          </cell>
          <cell r="AE1" t="str">
            <v>GDP_5yrCUMGR</v>
          </cell>
        </row>
        <row r="2">
          <cell r="B2" t="str">
            <v>AFG</v>
          </cell>
          <cell r="C2" t="str">
            <v>GDP (constant 2015 US$)</v>
          </cell>
          <cell r="D2" t="str">
            <v>NY.GDP.MKTP.KD</v>
          </cell>
          <cell r="E2">
            <v>13426265139.5021</v>
          </cell>
          <cell r="F2">
            <v>15354604611.6719</v>
          </cell>
          <cell r="G2">
            <v>15420069703.0793</v>
          </cell>
          <cell r="H2">
            <v>17386481260.896198</v>
          </cell>
          <cell r="I2">
            <v>18360253681.3442</v>
          </cell>
          <cell r="J2">
            <v>18860486754.623402</v>
          </cell>
          <cell r="K2">
            <v>19134211763.859001</v>
          </cell>
          <cell r="L2">
            <v>19566705069.665199</v>
          </cell>
          <cell r="M2">
            <v>20084636379.3769</v>
          </cell>
          <cell r="N2">
            <v>20323488524.683399</v>
          </cell>
          <cell r="O2">
            <v>21118462796.760899</v>
          </cell>
          <cell r="P2">
            <v>20621946475.7248</v>
          </cell>
          <cell r="Q2">
            <v>14.362441469268575</v>
          </cell>
          <cell r="R2">
            <v>0.42635478452917258</v>
          </cell>
          <cell r="S2">
            <v>12.752287088716708</v>
          </cell>
          <cell r="T2">
            <v>5.6007446580815978</v>
          </cell>
          <cell r="U2">
            <v>2.7245433639486523</v>
          </cell>
          <cell r="V2">
            <v>1.4513146600975153</v>
          </cell>
          <cell r="W2">
            <v>2.2603142013045878</v>
          </cell>
          <cell r="X2">
            <v>2.6470032019579195</v>
          </cell>
          <cell r="Y2">
            <v>1.1892281283805326</v>
          </cell>
          <cell r="Z2">
            <v>3.9116034194227169</v>
          </cell>
          <cell r="AA2">
            <v>-2.3511006734460476</v>
          </cell>
          <cell r="AB2">
            <v>34.304640186233762</v>
          </cell>
          <cell r="AC2">
            <v>7.7752599909856519</v>
          </cell>
          <cell r="AD2">
            <v>51.397249686625287</v>
          </cell>
          <cell r="AE2">
            <v>7.7755649750525402</v>
          </cell>
        </row>
        <row r="3">
          <cell r="B3" t="str">
            <v>ALB</v>
          </cell>
          <cell r="C3" t="str">
            <v>GDP (constant 2015 US$)</v>
          </cell>
          <cell r="D3" t="str">
            <v>NY.GDP.MKTP.KD</v>
          </cell>
          <cell r="E3">
            <v>10047742806.9025</v>
          </cell>
          <cell r="F3">
            <v>10420206418.264299</v>
          </cell>
          <cell r="G3">
            <v>10685442992.7045</v>
          </cell>
          <cell r="H3">
            <v>10836881664.207199</v>
          </cell>
          <cell r="I3">
            <v>10945469119.3118</v>
          </cell>
          <cell r="J3">
            <v>11139690870.770599</v>
          </cell>
          <cell r="K3">
            <v>11386850129.841101</v>
          </cell>
          <cell r="L3">
            <v>11764322012.1672</v>
          </cell>
          <cell r="M3">
            <v>12211628287.160101</v>
          </cell>
          <cell r="N3">
            <v>12702457551.514999</v>
          </cell>
          <cell r="O3">
            <v>12970913827.5704</v>
          </cell>
          <cell r="P3">
            <v>12457862570.9615</v>
          </cell>
          <cell r="Q3">
            <v>3.7069381503866503</v>
          </cell>
          <cell r="R3">
            <v>2.5454061445011318</v>
          </cell>
          <cell r="S3">
            <v>1.4172428003789252</v>
          </cell>
          <cell r="T3">
            <v>1.0020175403709635</v>
          </cell>
          <cell r="U3">
            <v>1.774448854970696</v>
          </cell>
          <cell r="V3">
            <v>2.2187263716538288</v>
          </cell>
          <cell r="W3">
            <v>3.3149806840512697</v>
          </cell>
          <cell r="X3">
            <v>3.8022274001874163</v>
          </cell>
          <cell r="Y3">
            <v>4.0193596858084861</v>
          </cell>
          <cell r="Z3">
            <v>2.1134199816584509</v>
          </cell>
          <cell r="AA3">
            <v>-3.9553979266933457</v>
          </cell>
          <cell r="AB3">
            <v>19.554854010623473</v>
          </cell>
          <cell r="AC3">
            <v>9.4056954197863423</v>
          </cell>
          <cell r="AD3">
            <v>26.326942518351125</v>
          </cell>
          <cell r="AE3">
            <v>13.94397229973967</v>
          </cell>
        </row>
        <row r="4">
          <cell r="B4" t="str">
            <v>DZA</v>
          </cell>
          <cell r="C4" t="str">
            <v>GDP (constant 2015 US$)</v>
          </cell>
          <cell r="D4" t="str">
            <v>NY.GDP.MKTP.KD</v>
          </cell>
          <cell r="E4">
            <v>136078333161.18401</v>
          </cell>
          <cell r="F4">
            <v>140977153154.987</v>
          </cell>
          <cell r="G4">
            <v>145065490596.48099</v>
          </cell>
          <cell r="H4">
            <v>149997717276.76199</v>
          </cell>
          <cell r="I4">
            <v>154197653360.51099</v>
          </cell>
          <cell r="J4">
            <v>160057164188.20999</v>
          </cell>
          <cell r="K4">
            <v>165979279263.17401</v>
          </cell>
          <cell r="L4">
            <v>171290616199.59601</v>
          </cell>
          <cell r="M4">
            <v>173517394210.19</v>
          </cell>
          <cell r="N4">
            <v>175426085546.50201</v>
          </cell>
          <cell r="O4">
            <v>177180346401.96701</v>
          </cell>
          <cell r="P4">
            <v>168144148735.46701</v>
          </cell>
          <cell r="Q4">
            <v>3.6000000000002719</v>
          </cell>
          <cell r="R4">
            <v>2.8999999999995496</v>
          </cell>
          <cell r="S4">
            <v>3.4000000000004498</v>
          </cell>
          <cell r="T4">
            <v>2.7999999999997716</v>
          </cell>
          <cell r="U4">
            <v>3.7999999999997329</v>
          </cell>
          <cell r="V4">
            <v>3.7000000000001561</v>
          </cell>
          <cell r="W4">
            <v>3.2000000000002582</v>
          </cell>
          <cell r="X4">
            <v>1.2999999999995597</v>
          </cell>
          <cell r="Y4">
            <v>1.0999999999999548</v>
          </cell>
          <cell r="Z4">
            <v>0.99999999999998646</v>
          </cell>
          <cell r="AA4">
            <v>-5.0999999999998202</v>
          </cell>
          <cell r="AB4">
            <v>19.270495234510268</v>
          </cell>
          <cell r="AC4">
            <v>1.3043010440239458</v>
          </cell>
          <cell r="AD4">
            <v>28.857292484200524</v>
          </cell>
          <cell r="AE4">
            <v>9.5526443058448152</v>
          </cell>
        </row>
        <row r="5">
          <cell r="B5" t="str">
            <v>ASM</v>
          </cell>
          <cell r="C5" t="str">
            <v>GDP (constant 2015 US$)</v>
          </cell>
          <cell r="D5" t="str">
            <v>NY.GDP.MKTP.KD</v>
          </cell>
          <cell r="E5">
            <v>685329770.99236703</v>
          </cell>
          <cell r="F5">
            <v>687384732.82442796</v>
          </cell>
          <cell r="G5">
            <v>687384732.82442796</v>
          </cell>
          <cell r="H5">
            <v>657587786.25954199</v>
          </cell>
          <cell r="I5">
            <v>641148091.60305405</v>
          </cell>
          <cell r="J5">
            <v>652450381.679389</v>
          </cell>
          <cell r="K5">
            <v>673000000</v>
          </cell>
          <cell r="L5">
            <v>661697709.92366397</v>
          </cell>
          <cell r="M5">
            <v>615461068.70229006</v>
          </cell>
          <cell r="N5">
            <v>631900763.35877895</v>
          </cell>
          <cell r="O5">
            <v>628818320.61068702</v>
          </cell>
          <cell r="P5">
            <v>653477862.59542</v>
          </cell>
          <cell r="Q5">
            <v>0.29985007496249871</v>
          </cell>
          <cell r="R5">
            <v>0</v>
          </cell>
          <cell r="S5">
            <v>-4.3348281016443115</v>
          </cell>
          <cell r="T5">
            <v>-2.4999999999999076</v>
          </cell>
          <cell r="U5">
            <v>1.7628205128203671</v>
          </cell>
          <cell r="V5">
            <v>3.1496062992126475</v>
          </cell>
          <cell r="W5">
            <v>-1.6793893129771211</v>
          </cell>
          <cell r="X5">
            <v>-6.9875776397515343</v>
          </cell>
          <cell r="Y5">
            <v>2.6711185308848644</v>
          </cell>
          <cell r="Z5">
            <v>-0.48780487804883299</v>
          </cell>
          <cell r="AA5">
            <v>3.921568627451006</v>
          </cell>
          <cell r="AB5">
            <v>-4.932735426009013</v>
          </cell>
          <cell r="AC5">
            <v>-2.9007633587786028</v>
          </cell>
          <cell r="AD5">
            <v>-7.7141916846455221</v>
          </cell>
          <cell r="AE5">
            <v>-3.0635682734779124</v>
          </cell>
        </row>
        <row r="6">
          <cell r="B6" t="str">
            <v>AND</v>
          </cell>
          <cell r="C6" t="str">
            <v>GDP (constant 2015 US$)</v>
          </cell>
          <cell r="D6" t="str">
            <v>NY.GDP.MKTP.KD</v>
          </cell>
          <cell r="E6">
            <v>2986768713.3607898</v>
          </cell>
          <cell r="F6">
            <v>2927781285.7251301</v>
          </cell>
          <cell r="G6">
            <v>2927545020.9949498</v>
          </cell>
          <cell r="H6">
            <v>2781915941.5907798</v>
          </cell>
          <cell r="I6">
            <v>2683224788.5829501</v>
          </cell>
          <cell r="J6">
            <v>2750425228.2678299</v>
          </cell>
          <cell r="K6">
            <v>2789870187.5069299</v>
          </cell>
          <cell r="L6">
            <v>2893365390.0284801</v>
          </cell>
          <cell r="M6">
            <v>2903378514.3076601</v>
          </cell>
          <cell r="N6">
            <v>2949506390.20052</v>
          </cell>
          <cell r="O6">
            <v>3008955096.5951099</v>
          </cell>
          <cell r="P6">
            <v>2649303923.7495399</v>
          </cell>
          <cell r="Q6">
            <v>-1.9749579996532609</v>
          </cell>
          <cell r="R6">
            <v>-8.0697534113019411E-3</v>
          </cell>
          <cell r="S6">
            <v>-4.9744437185350892</v>
          </cell>
          <cell r="T6">
            <v>-3.5475965154933911</v>
          </cell>
          <cell r="U6">
            <v>2.5044655211451481</v>
          </cell>
          <cell r="V6">
            <v>1.4341403952268768</v>
          </cell>
          <cell r="W6">
            <v>3.7096780697898728</v>
          </cell>
          <cell r="X6">
            <v>0.34607188963027885</v>
          </cell>
          <cell r="Y6">
            <v>1.588765490463774</v>
          </cell>
          <cell r="Z6">
            <v>2.0155476384829369</v>
          </cell>
          <cell r="AA6">
            <v>-11.952693253965343</v>
          </cell>
          <cell r="AB6">
            <v>-9.5115493542277747</v>
          </cell>
          <cell r="AC6">
            <v>-5.038451766926193</v>
          </cell>
          <cell r="AD6">
            <v>-1.4047704752727652</v>
          </cell>
          <cell r="AE6">
            <v>7.0674977107232584</v>
          </cell>
        </row>
        <row r="7">
          <cell r="B7" t="str">
            <v>AGO</v>
          </cell>
          <cell r="C7" t="str">
            <v>GDP (constant 2015 US$)</v>
          </cell>
          <cell r="D7" t="str">
            <v>NY.GDP.MKTP.KD</v>
          </cell>
          <cell r="E7">
            <v>89229664824.297195</v>
          </cell>
          <cell r="F7">
            <v>93159279071.894699</v>
          </cell>
          <cell r="G7">
            <v>96393747204.015106</v>
          </cell>
          <cell r="H7">
            <v>104627881965.967</v>
          </cell>
          <cell r="I7">
            <v>109811717090.51401</v>
          </cell>
          <cell r="J7">
            <v>115107527232.243</v>
          </cell>
          <cell r="K7">
            <v>116193649124.151</v>
          </cell>
          <cell r="L7">
            <v>113195795293.51601</v>
          </cell>
          <cell r="M7">
            <v>113029156434.07899</v>
          </cell>
          <cell r="N7">
            <v>110764470655.24699</v>
          </cell>
          <cell r="O7">
            <v>110072586683.261</v>
          </cell>
          <cell r="P7">
            <v>104128680882.974</v>
          </cell>
          <cell r="Q7">
            <v>4.4039325434375849</v>
          </cell>
          <cell r="R7">
            <v>3.4719763445402361</v>
          </cell>
          <cell r="S7">
            <v>8.5421876426533512</v>
          </cell>
          <cell r="T7">
            <v>4.9545446463622316</v>
          </cell>
          <cell r="U7">
            <v>4.8226275683894784</v>
          </cell>
          <cell r="V7">
            <v>0.943571561325113</v>
          </cell>
          <cell r="W7">
            <v>-2.5800496440488216</v>
          </cell>
          <cell r="X7">
            <v>-0.14721294108576929</v>
          </cell>
          <cell r="Y7">
            <v>-2.0036297273020995</v>
          </cell>
          <cell r="Z7">
            <v>-0.62464431770677853</v>
          </cell>
          <cell r="AA7">
            <v>-5.3999873895858093</v>
          </cell>
          <cell r="AB7">
            <v>11.774889115032524</v>
          </cell>
          <cell r="AC7">
            <v>-10.383500588991556</v>
          </cell>
          <cell r="AD7">
            <v>24.286184372015263</v>
          </cell>
          <cell r="AE7">
            <v>-3.6551749441171233</v>
          </cell>
        </row>
        <row r="8">
          <cell r="B8" t="str">
            <v>ATG</v>
          </cell>
          <cell r="C8" t="str">
            <v>GDP (constant 2015 US$)</v>
          </cell>
          <cell r="D8" t="str">
            <v>NY.GDP.MKTP.KD</v>
          </cell>
          <cell r="E8">
            <v>1336012965.8245499</v>
          </cell>
          <cell r="F8">
            <v>1231261603.4453199</v>
          </cell>
          <cell r="G8">
            <v>1207145958.1923001</v>
          </cell>
          <cell r="H8">
            <v>1247861376.20468</v>
          </cell>
          <cell r="I8">
            <v>1240363271.7310901</v>
          </cell>
          <cell r="J8">
            <v>1287444082.93699</v>
          </cell>
          <cell r="K8">
            <v>1336692592.5925901</v>
          </cell>
          <cell r="L8">
            <v>1410163355.6217</v>
          </cell>
          <cell r="M8">
            <v>1454503449.73032</v>
          </cell>
          <cell r="N8">
            <v>1554626242.8788099</v>
          </cell>
          <cell r="O8">
            <v>1630215842.3024001</v>
          </cell>
          <cell r="P8">
            <v>1301036618.2978799</v>
          </cell>
          <cell r="Q8">
            <v>-7.8405947441221429</v>
          </cell>
          <cell r="R8">
            <v>-1.9586126283431027</v>
          </cell>
          <cell r="S8">
            <v>3.3728662003185752</v>
          </cell>
          <cell r="T8">
            <v>-0.60087639673527515</v>
          </cell>
          <cell r="U8">
            <v>3.7957276129429798</v>
          </cell>
          <cell r="V8">
            <v>3.8252930988079572</v>
          </cell>
          <cell r="W8">
            <v>5.4964592035786852</v>
          </cell>
          <cell r="X8">
            <v>3.1443232397052094</v>
          </cell>
          <cell r="Y8">
            <v>6.8836408168749097</v>
          </cell>
          <cell r="Z8">
            <v>4.8622361657561912</v>
          </cell>
          <cell r="AA8">
            <v>-20.192370572206624</v>
          </cell>
          <cell r="AB8">
            <v>5.6669528764086676</v>
          </cell>
          <cell r="AC8">
            <v>-2.6674775107082329</v>
          </cell>
          <cell r="AD8">
            <v>15.140669824228103</v>
          </cell>
          <cell r="AE8">
            <v>19.484356499559887</v>
          </cell>
        </row>
        <row r="9">
          <cell r="B9" t="str">
            <v>ARG</v>
          </cell>
          <cell r="C9" t="str">
            <v>GDP (constant 2015 US$)</v>
          </cell>
          <cell r="D9" t="str">
            <v>NY.GDP.MKTP.KD</v>
          </cell>
          <cell r="E9">
            <v>501917060966.23499</v>
          </cell>
          <cell r="F9">
            <v>552738161802.46301</v>
          </cell>
          <cell r="G9">
            <v>585924294024.78503</v>
          </cell>
          <cell r="H9">
            <v>579910247223.42798</v>
          </cell>
          <cell r="I9">
            <v>593858966307.15601</v>
          </cell>
          <cell r="J9">
            <v>578937574935.69604</v>
          </cell>
          <cell r="K9">
            <v>594749285413.21204</v>
          </cell>
          <cell r="L9">
            <v>582376550428.08997</v>
          </cell>
          <cell r="M9">
            <v>598790850843.677</v>
          </cell>
          <cell r="N9">
            <v>583118120294.00195</v>
          </cell>
          <cell r="O9">
            <v>571304530654.91895</v>
          </cell>
          <cell r="P9">
            <v>514772410744.88599</v>
          </cell>
          <cell r="Q9">
            <v>10.12539815610031</v>
          </cell>
          <cell r="R9">
            <v>6.0039516928056882</v>
          </cell>
          <cell r="S9">
            <v>-1.0264204544320632</v>
          </cell>
          <cell r="T9">
            <v>2.4053237807942822</v>
          </cell>
          <cell r="U9">
            <v>-2.5126153208137825</v>
          </cell>
          <cell r="V9">
            <v>2.7311598282892997</v>
          </cell>
          <cell r="W9">
            <v>-2.0803278437780559</v>
          </cell>
          <cell r="X9">
            <v>2.8185029777592021</v>
          </cell>
          <cell r="Y9">
            <v>-2.6173964628204782</v>
          </cell>
          <cell r="Z9">
            <v>-2.0259342366391775</v>
          </cell>
          <cell r="AA9">
            <v>-9.8952689636868385</v>
          </cell>
          <cell r="AB9">
            <v>-6.8686683281957261</v>
          </cell>
          <cell r="AC9">
            <v>-13.447157757030473</v>
          </cell>
          <cell r="AD9">
            <v>16.544171230907946</v>
          </cell>
          <cell r="AE9">
            <v>1.0394046429965886</v>
          </cell>
        </row>
        <row r="10">
          <cell r="B10" t="str">
            <v>ARM</v>
          </cell>
          <cell r="C10" t="str">
            <v>GDP (constant 2015 US$)</v>
          </cell>
          <cell r="D10" t="str">
            <v>NY.GDP.MKTP.KD</v>
          </cell>
          <cell r="E10">
            <v>8330243518.3711004</v>
          </cell>
          <cell r="F10">
            <v>8513508875.7931805</v>
          </cell>
          <cell r="G10">
            <v>8913643792.8425808</v>
          </cell>
          <cell r="H10">
            <v>9555426146.0132504</v>
          </cell>
          <cell r="I10">
            <v>9870755208.8316898</v>
          </cell>
          <cell r="J10">
            <v>10226102396.4079</v>
          </cell>
          <cell r="K10">
            <v>10553337672.9872</v>
          </cell>
          <cell r="L10">
            <v>10574444348.3148</v>
          </cell>
          <cell r="M10">
            <v>11367527674.612</v>
          </cell>
          <cell r="N10">
            <v>11958639113.652399</v>
          </cell>
          <cell r="O10">
            <v>12867495686.115299</v>
          </cell>
          <cell r="P10">
            <v>11915301005.3428</v>
          </cell>
          <cell r="Q10">
            <v>2.2000000002150699</v>
          </cell>
          <cell r="R10">
            <v>4.6999999986741168</v>
          </cell>
          <cell r="S10">
            <v>7.200000000964855</v>
          </cell>
          <cell r="T10">
            <v>3.3000000000000229</v>
          </cell>
          <cell r="U10">
            <v>3.6000000005903212</v>
          </cell>
          <cell r="V10">
            <v>3.1999999989658536</v>
          </cell>
          <cell r="W10">
            <v>0.1999999998258947</v>
          </cell>
          <cell r="X10">
            <v>7.5000000016415918</v>
          </cell>
          <cell r="Y10">
            <v>5.1999999996531843</v>
          </cell>
          <cell r="Z10">
            <v>7.599999998539281</v>
          </cell>
          <cell r="AA10">
            <v>-7.3999999999997428</v>
          </cell>
          <cell r="AB10">
            <v>39.957580113906722</v>
          </cell>
          <cell r="AC10">
            <v>12.905522163303305</v>
          </cell>
          <cell r="AD10">
            <v>43.531181284449481</v>
          </cell>
          <cell r="AE10">
            <v>16.921349525986116</v>
          </cell>
        </row>
        <row r="11">
          <cell r="B11" t="str">
            <v>ABW</v>
          </cell>
          <cell r="C11" t="str">
            <v>GDP (constant 2015 US$)</v>
          </cell>
          <cell r="D11" t="str">
            <v>NY.GDP.MKTP.KD</v>
          </cell>
          <cell r="E11">
            <v>2729380539.81212</v>
          </cell>
          <cell r="F11">
            <v>2628802064.8306298</v>
          </cell>
          <cell r="G11">
            <v>2719392023.2644</v>
          </cell>
          <cell r="H11">
            <v>2682140077.7402301</v>
          </cell>
          <cell r="I11">
            <v>2794742549.4382901</v>
          </cell>
          <cell r="J11">
            <v>2803126777.0866098</v>
          </cell>
          <cell r="K11">
            <v>2962905027.93296</v>
          </cell>
          <cell r="L11">
            <v>3025126021.24334</v>
          </cell>
          <cell r="M11">
            <v>3085628514.5758901</v>
          </cell>
          <cell r="N11" t="str">
            <v>..</v>
          </cell>
          <cell r="O11" t="str">
            <v>..</v>
          </cell>
          <cell r="P11" t="str">
            <v>..</v>
          </cell>
          <cell r="Q11">
            <v>-3.6850293872328104</v>
          </cell>
          <cell r="R11">
            <v>3.4460547504023191</v>
          </cell>
          <cell r="S11">
            <v>-1.3698630136986323</v>
          </cell>
          <cell r="T11">
            <v>4.1982323232323653</v>
          </cell>
          <cell r="U11">
            <v>0.30000000000017357</v>
          </cell>
          <cell r="V11">
            <v>5.7000008758937923</v>
          </cell>
          <cell r="W11">
            <v>2.0999995856697375</v>
          </cell>
          <cell r="X11">
            <v>1.9999991044235328</v>
          </cell>
          <cell r="Y11" t="e">
            <v>#VALUE!</v>
          </cell>
          <cell r="Z11" t="e">
            <v>#VALUE!</v>
          </cell>
          <cell r="AA11" t="e">
            <v>#VALUE!</v>
          </cell>
          <cell r="AB11" t="e">
            <v>#VALUE!</v>
          </cell>
          <cell r="AC11" t="e">
            <v>#VALUE!</v>
          </cell>
          <cell r="AD11" t="e">
            <v>#VALUE!</v>
          </cell>
          <cell r="AE11" t="e">
            <v>#VALUE!</v>
          </cell>
        </row>
        <row r="12">
          <cell r="B12" t="str">
            <v>AUS</v>
          </cell>
          <cell r="C12" t="str">
            <v>GDP (constant 2015 US$)</v>
          </cell>
          <cell r="D12" t="str">
            <v>NY.GDP.MKTP.KD</v>
          </cell>
          <cell r="E12">
            <v>1154561362206.77</v>
          </cell>
          <cell r="F12">
            <v>1179642326916.53</v>
          </cell>
          <cell r="G12">
            <v>1208776499565.8501</v>
          </cell>
          <cell r="H12">
            <v>1256128656424.8501</v>
          </cell>
          <cell r="I12">
            <v>1288790662985.54</v>
          </cell>
          <cell r="J12">
            <v>1321821485124.76</v>
          </cell>
          <cell r="K12">
            <v>1350534154255.76</v>
          </cell>
          <cell r="L12">
            <v>1387560980285.6299</v>
          </cell>
          <cell r="M12">
            <v>1419418366737.24</v>
          </cell>
          <cell r="N12">
            <v>1460169477425.4099</v>
          </cell>
          <cell r="O12">
            <v>1491025040336.1499</v>
          </cell>
          <cell r="P12">
            <v>1490967836287.24</v>
          </cell>
          <cell r="Q12">
            <v>2.1723370910162387</v>
          </cell>
          <cell r="R12">
            <v>2.4697462938172077</v>
          </cell>
          <cell r="S12">
            <v>3.9173624632847535</v>
          </cell>
          <cell r="T12">
            <v>2.6002118806565098</v>
          </cell>
          <cell r="U12">
            <v>2.562931520833851</v>
          </cell>
          <cell r="V12">
            <v>2.1722047533740878</v>
          </cell>
          <cell r="W12">
            <v>2.7416430686474773</v>
          </cell>
          <cell r="X12">
            <v>2.2959269469405412</v>
          </cell>
          <cell r="Y12">
            <v>2.8709724802168695</v>
          </cell>
          <cell r="Z12">
            <v>2.1131494246232929</v>
          </cell>
          <cell r="AA12">
            <v>-3.8365585662475206E-3</v>
          </cell>
          <cell r="AB12">
            <v>26.391517349541406</v>
          </cell>
          <cell r="AC12">
            <v>10.398380639908281</v>
          </cell>
          <cell r="AD12">
            <v>26.544076446127708</v>
          </cell>
          <cell r="AE12">
            <v>10.53149228168957</v>
          </cell>
        </row>
        <row r="13">
          <cell r="B13" t="str">
            <v>AUT</v>
          </cell>
          <cell r="C13" t="str">
            <v>GDP (constant 2015 US$)</v>
          </cell>
          <cell r="D13" t="str">
            <v>NY.GDP.MKTP.KD</v>
          </cell>
          <cell r="E13">
            <v>355742951210.87299</v>
          </cell>
          <cell r="F13">
            <v>362278282473.23199</v>
          </cell>
          <cell r="G13">
            <v>372866942272.74298</v>
          </cell>
          <cell r="H13">
            <v>375404098888.84998</v>
          </cell>
          <cell r="I13">
            <v>375499844623.84802</v>
          </cell>
          <cell r="J13">
            <v>377982923143.82898</v>
          </cell>
          <cell r="K13">
            <v>381817565893.57397</v>
          </cell>
          <cell r="L13">
            <v>389413586441.66699</v>
          </cell>
          <cell r="M13">
            <v>398208774353.47498</v>
          </cell>
          <cell r="N13">
            <v>408170345615.01898</v>
          </cell>
          <cell r="O13">
            <v>414257026093.42297</v>
          </cell>
          <cell r="P13">
            <v>386358828359.97998</v>
          </cell>
          <cell r="Q13">
            <v>1.8370936768006612</v>
          </cell>
          <cell r="R13">
            <v>2.9227972836857425</v>
          </cell>
          <cell r="S13">
            <v>0.68044557681681717</v>
          </cell>
          <cell r="T13">
            <v>2.550471219718764E-2</v>
          </cell>
          <cell r="U13">
            <v>0.66127284885253357</v>
          </cell>
          <cell r="V13">
            <v>1.0145015859052045</v>
          </cell>
          <cell r="W13">
            <v>1.9894371623044436</v>
          </cell>
          <cell r="X13">
            <v>2.2585724325069165</v>
          </cell>
          <cell r="Y13">
            <v>2.5015951187206875</v>
          </cell>
          <cell r="Z13">
            <v>1.4912108495370386</v>
          </cell>
          <cell r="AA13">
            <v>-6.7345140760874891</v>
          </cell>
          <cell r="AB13">
            <v>6.6469747295788419</v>
          </cell>
          <cell r="AC13">
            <v>1.1893801836429432</v>
          </cell>
          <cell r="AD13">
            <v>14.587801347025398</v>
          </cell>
          <cell r="AE13">
            <v>7.8456198097730523</v>
          </cell>
        </row>
        <row r="14">
          <cell r="B14" t="str">
            <v>AZE</v>
          </cell>
          <cell r="C14" t="str">
            <v>GDP (constant 2015 US$)</v>
          </cell>
          <cell r="D14" t="str">
            <v>NY.GDP.MKTP.KD</v>
          </cell>
          <cell r="E14">
            <v>44949076753.550903</v>
          </cell>
          <cell r="F14">
            <v>47218530722.190002</v>
          </cell>
          <cell r="G14">
            <v>47265749252.912201</v>
          </cell>
          <cell r="H14">
            <v>48289165892.682404</v>
          </cell>
          <cell r="I14">
            <v>51094670309.111603</v>
          </cell>
          <cell r="J14">
            <v>52500032807.7481</v>
          </cell>
          <cell r="K14">
            <v>53074370486.043297</v>
          </cell>
          <cell r="L14">
            <v>51429065000.975998</v>
          </cell>
          <cell r="M14">
            <v>51531923130.977898</v>
          </cell>
          <cell r="N14">
            <v>52304901977.942596</v>
          </cell>
          <cell r="O14">
            <v>53612524527.391098</v>
          </cell>
          <cell r="P14">
            <v>51307185972.713303</v>
          </cell>
          <cell r="Q14">
            <v>5.0489445669422253</v>
          </cell>
          <cell r="R14">
            <v>0.10000000000001796</v>
          </cell>
          <cell r="S14">
            <v>2.165239430129517</v>
          </cell>
          <cell r="T14">
            <v>5.8098009451315393</v>
          </cell>
          <cell r="U14">
            <v>2.7505070296654446</v>
          </cell>
          <cell r="V14">
            <v>1.093975846450203</v>
          </cell>
          <cell r="W14">
            <v>-3.0999999999999184</v>
          </cell>
          <cell r="X14">
            <v>0.19999999999989834</v>
          </cell>
          <cell r="Y14">
            <v>1.5000000000000588</v>
          </cell>
          <cell r="Z14">
            <v>2.4999999999998792</v>
          </cell>
          <cell r="AA14">
            <v>-4.2999999999999599</v>
          </cell>
          <cell r="AB14">
            <v>8.6590056657605121</v>
          </cell>
          <cell r="AC14">
            <v>-3.3296381985250338</v>
          </cell>
          <cell r="AD14">
            <v>16.331994299095175</v>
          </cell>
          <cell r="AE14">
            <v>-0.3997624193491589</v>
          </cell>
        </row>
        <row r="15">
          <cell r="B15" t="str">
            <v>BHS</v>
          </cell>
          <cell r="C15" t="str">
            <v>GDP (constant 2015 US$)</v>
          </cell>
          <cell r="D15" t="str">
            <v>NY.GDP.MKTP.KD</v>
          </cell>
          <cell r="E15">
            <v>11269108054.259899</v>
          </cell>
          <cell r="F15">
            <v>11442470431.7143</v>
          </cell>
          <cell r="G15">
            <v>11512656732.676001</v>
          </cell>
          <cell r="H15">
            <v>11868038536.063101</v>
          </cell>
          <cell r="I15">
            <v>11442702909.998199</v>
          </cell>
          <cell r="J15">
            <v>11704528809.6901</v>
          </cell>
          <cell r="K15">
            <v>11890600000</v>
          </cell>
          <cell r="L15">
            <v>11901437916.189501</v>
          </cell>
          <cell r="M15">
            <v>12094837707.6409</v>
          </cell>
          <cell r="N15">
            <v>12429506802.9681</v>
          </cell>
          <cell r="O15">
            <v>12516819004.1803</v>
          </cell>
          <cell r="P15">
            <v>10700067637.535</v>
          </cell>
          <cell r="Q15">
            <v>1.5383859718060591</v>
          </cell>
          <cell r="R15">
            <v>0.61338415843461525</v>
          </cell>
          <cell r="S15">
            <v>3.0868791768839206</v>
          </cell>
          <cell r="T15">
            <v>-3.5838746627965947</v>
          </cell>
          <cell r="U15">
            <v>2.2881473175636389</v>
          </cell>
          <cell r="V15">
            <v>1.5897367022229312</v>
          </cell>
          <cell r="W15">
            <v>9.1146924373040963E-2</v>
          </cell>
          <cell r="X15">
            <v>1.625011975975756</v>
          </cell>
          <cell r="Y15">
            <v>2.7670408104424014</v>
          </cell>
          <cell r="Z15">
            <v>0.70245909669843443</v>
          </cell>
          <cell r="AA15">
            <v>-14.514481403290652</v>
          </cell>
          <cell r="AB15">
            <v>-6.4881338222350484</v>
          </cell>
          <cell r="AC15">
            <v>-10.012382575017241</v>
          </cell>
          <cell r="AD15">
            <v>9.8839495578707748</v>
          </cell>
          <cell r="AE15">
            <v>5.7961513129272113</v>
          </cell>
        </row>
        <row r="16">
          <cell r="B16" t="str">
            <v>BHR</v>
          </cell>
          <cell r="C16" t="str">
            <v>GDP (constant 2015 US$)</v>
          </cell>
          <cell r="D16" t="str">
            <v>NY.GDP.MKTP.KD</v>
          </cell>
          <cell r="E16">
            <v>24954622922.992699</v>
          </cell>
          <cell r="F16">
            <v>26036230937.927101</v>
          </cell>
          <cell r="G16">
            <v>26552663487.035801</v>
          </cell>
          <cell r="H16">
            <v>27542575573.007599</v>
          </cell>
          <cell r="I16">
            <v>29034512771.378899</v>
          </cell>
          <cell r="J16">
            <v>30297627559.061501</v>
          </cell>
          <cell r="K16">
            <v>31050638297.872299</v>
          </cell>
          <cell r="L16">
            <v>32155459790.271</v>
          </cell>
          <cell r="M16">
            <v>33535234420.6161</v>
          </cell>
          <cell r="N16">
            <v>34251782226.1479</v>
          </cell>
          <cell r="O16">
            <v>34985241938.695297</v>
          </cell>
          <cell r="P16">
            <v>33206179338.0924</v>
          </cell>
          <cell r="Q16">
            <v>4.3342991728311393</v>
          </cell>
          <cell r="R16">
            <v>1.9835150116002775</v>
          </cell>
          <cell r="S16">
            <v>3.7281084304597818</v>
          </cell>
          <cell r="T16">
            <v>5.4168398101208615</v>
          </cell>
          <cell r="U16">
            <v>4.3503908525295856</v>
          </cell>
          <cell r="V16">
            <v>2.4853785575880383</v>
          </cell>
          <cell r="W16">
            <v>3.5581281189778537</v>
          </cell>
          <cell r="X16">
            <v>4.2909497775633323</v>
          </cell>
          <cell r="Y16">
            <v>2.1367013468416216</v>
          </cell>
          <cell r="Z16">
            <v>2.1413767835633162</v>
          </cell>
          <cell r="AA16">
            <v>-5.0851802131891848</v>
          </cell>
          <cell r="AB16">
            <v>27.53834999105343</v>
          </cell>
          <cell r="AC16">
            <v>6.9420184523801112</v>
          </cell>
          <cell r="AD16">
            <v>37.168605205713057</v>
          </cell>
          <cell r="AE16">
            <v>12.978840112438572</v>
          </cell>
        </row>
        <row r="17">
          <cell r="B17" t="str">
            <v>BGD</v>
          </cell>
          <cell r="C17" t="str">
            <v>GDP (constant 2015 US$)</v>
          </cell>
          <cell r="D17" t="str">
            <v>NY.GDP.MKTP.KD</v>
          </cell>
          <cell r="E17">
            <v>135999939845.133</v>
          </cell>
          <cell r="F17">
            <v>143577568429.64301</v>
          </cell>
          <cell r="G17">
            <v>152858966788.20099</v>
          </cell>
          <cell r="H17">
            <v>162827601299.73499</v>
          </cell>
          <cell r="I17">
            <v>172619411144.63501</v>
          </cell>
          <cell r="J17">
            <v>183081976119.336</v>
          </cell>
          <cell r="K17">
            <v>195078678697.23001</v>
          </cell>
          <cell r="L17">
            <v>208955558005.09698</v>
          </cell>
          <cell r="M17">
            <v>224176245316.10101</v>
          </cell>
          <cell r="N17">
            <v>241804912832.72198</v>
          </cell>
          <cell r="O17">
            <v>261518503633.70099</v>
          </cell>
          <cell r="P17">
            <v>270695543283.14499</v>
          </cell>
          <cell r="Q17">
            <v>5.5717881883910181</v>
          </cell>
          <cell r="R17">
            <v>6.4643791227778911</v>
          </cell>
          <cell r="S17">
            <v>6.5214587805937363</v>
          </cell>
          <cell r="T17">
            <v>6.013605658217088</v>
          </cell>
          <cell r="U17">
            <v>6.061059359039624</v>
          </cell>
          <cell r="V17">
            <v>6.5526398786925659</v>
          </cell>
          <cell r="W17">
            <v>7.1134782132723231</v>
          </cell>
          <cell r="X17">
            <v>7.2841744226936305</v>
          </cell>
          <cell r="Y17">
            <v>7.8637535800296625</v>
          </cell>
          <cell r="Z17">
            <v>8.1526841493980129</v>
          </cell>
          <cell r="AA17">
            <v>3.5091358821393115</v>
          </cell>
          <cell r="AB17">
            <v>88.536096720284903</v>
          </cell>
          <cell r="AC17">
            <v>38.762239467120551</v>
          </cell>
          <cell r="AD17">
            <v>79.346527820066456</v>
          </cell>
          <cell r="AE17">
            <v>33.225113208653397</v>
          </cell>
        </row>
        <row r="18">
          <cell r="B18" t="str">
            <v>BRB</v>
          </cell>
          <cell r="C18" t="str">
            <v>GDP (constant 2015 US$)</v>
          </cell>
          <cell r="D18" t="str">
            <v>NY.GDP.MKTP.KD</v>
          </cell>
          <cell r="E18">
            <v>4837609826.2697802</v>
          </cell>
          <cell r="F18">
            <v>4727000110.6561899</v>
          </cell>
          <cell r="G18">
            <v>4695173730.2202101</v>
          </cell>
          <cell r="H18">
            <v>4673782228.6156902</v>
          </cell>
          <cell r="I18">
            <v>4608042491.9774303</v>
          </cell>
          <cell r="J18">
            <v>4602303308.62012</v>
          </cell>
          <cell r="K18">
            <v>4715000000</v>
          </cell>
          <cell r="L18">
            <v>4831870642.9124699</v>
          </cell>
          <cell r="M18">
            <v>4854827376.3417101</v>
          </cell>
          <cell r="N18">
            <v>4826653203.4967299</v>
          </cell>
          <cell r="O18">
            <v>4822013073.7523499</v>
          </cell>
          <cell r="P18">
            <v>3906818634.5026002</v>
          </cell>
          <cell r="Q18">
            <v>-2.286453839516859</v>
          </cell>
          <cell r="R18">
            <v>-0.67328918322284081</v>
          </cell>
          <cell r="S18">
            <v>-0.45560617846438145</v>
          </cell>
          <cell r="T18">
            <v>-1.4065639651706898</v>
          </cell>
          <cell r="U18">
            <v>-0.12454710144930679</v>
          </cell>
          <cell r="V18">
            <v>2.4487019612288243</v>
          </cell>
          <cell r="W18">
            <v>2.4786986831913014</v>
          </cell>
          <cell r="X18">
            <v>0.47511067919241257</v>
          </cell>
          <cell r="Y18">
            <v>-0.58033315421835885</v>
          </cell>
          <cell r="Z18">
            <v>-9.6135552913111655E-2</v>
          </cell>
          <cell r="AA18">
            <v>-18.979509703767185</v>
          </cell>
          <cell r="AB18">
            <v>-17.350993377483427</v>
          </cell>
          <cell r="AC18">
            <v>-17.140644019032869</v>
          </cell>
          <cell r="AD18">
            <v>-0.11549832217385703</v>
          </cell>
          <cell r="AE18">
            <v>4.9913954831428908</v>
          </cell>
        </row>
        <row r="19">
          <cell r="B19" t="str">
            <v>BLR</v>
          </cell>
          <cell r="C19" t="str">
            <v>GDP (constant 2015 US$)</v>
          </cell>
          <cell r="D19" t="str">
            <v>NY.GDP.MKTP.KD</v>
          </cell>
          <cell r="E19">
            <v>49460470690.615303</v>
          </cell>
          <cell r="F19">
            <v>53317530166.831497</v>
          </cell>
          <cell r="G19">
            <v>56185324133.969704</v>
          </cell>
          <cell r="H19">
            <v>57133246703.691399</v>
          </cell>
          <cell r="I19">
            <v>57706562174.797501</v>
          </cell>
          <cell r="J19">
            <v>58702799524.045403</v>
          </cell>
          <cell r="K19">
            <v>56454734396.584198</v>
          </cell>
          <cell r="L19">
            <v>55028435771.737396</v>
          </cell>
          <cell r="M19">
            <v>56421856742.784103</v>
          </cell>
          <cell r="N19">
            <v>58198692497.676804</v>
          </cell>
          <cell r="O19">
            <v>59013474192.644203</v>
          </cell>
          <cell r="P19">
            <v>58482352924.764702</v>
          </cell>
          <cell r="Q19">
            <v>7.7982668226973377</v>
          </cell>
          <cell r="R19">
            <v>5.3787074498102747</v>
          </cell>
          <cell r="S19">
            <v>1.6871355364284177</v>
          </cell>
          <cell r="T19">
            <v>1.0034708408564148</v>
          </cell>
          <cell r="U19">
            <v>1.7263848541700064</v>
          </cell>
          <cell r="V19">
            <v>-3.8295705582837987</v>
          </cell>
          <cell r="W19">
            <v>-2.5264464355235727</v>
          </cell>
          <cell r="X19">
            <v>2.5321835002301993</v>
          </cell>
          <cell r="Y19">
            <v>3.1491975937497716</v>
          </cell>
          <cell r="Z19">
            <v>1.39999999999987</v>
          </cell>
          <cell r="AA19">
            <v>-0.90000000024689875</v>
          </cell>
          <cell r="AB19">
            <v>9.6869129942298198</v>
          </cell>
          <cell r="AC19">
            <v>3.5915827961156528</v>
          </cell>
          <cell r="AD19">
            <v>17.684591315840457</v>
          </cell>
          <cell r="AE19">
            <v>-0.84399165443681534</v>
          </cell>
        </row>
        <row r="20">
          <cell r="B20" t="str">
            <v>BEL</v>
          </cell>
          <cell r="C20" t="str">
            <v>GDP (constant 2015 US$)</v>
          </cell>
          <cell r="D20" t="str">
            <v>NY.GDP.MKTP.KD</v>
          </cell>
          <cell r="E20">
            <v>421166112860.17603</v>
          </cell>
          <cell r="F20">
            <v>433229543117.888</v>
          </cell>
          <cell r="G20">
            <v>440570677938.91901</v>
          </cell>
          <cell r="H20">
            <v>443827452534.33301</v>
          </cell>
          <cell r="I20">
            <v>445865695460.078</v>
          </cell>
          <cell r="J20">
            <v>452903833237.19098</v>
          </cell>
          <cell r="K20">
            <v>462149679343.82202</v>
          </cell>
          <cell r="L20">
            <v>468003666521.40399</v>
          </cell>
          <cell r="M20">
            <v>475583361606.51599</v>
          </cell>
          <cell r="N20">
            <v>484235191546.51898</v>
          </cell>
          <cell r="O20">
            <v>494644115983.888</v>
          </cell>
          <cell r="P20">
            <v>466648941451.32098</v>
          </cell>
          <cell r="Q20">
            <v>2.864292707641686</v>
          </cell>
          <cell r="R20">
            <v>1.6945138986131834</v>
          </cell>
          <cell r="S20">
            <v>0.73921728305884282</v>
          </cell>
          <cell r="T20">
            <v>0.45924219290768714</v>
          </cell>
          <cell r="U20">
            <v>1.5785331432261216</v>
          </cell>
          <cell r="V20">
            <v>2.0414590091996163</v>
          </cell>
          <cell r="W20">
            <v>1.2666864090209233</v>
          </cell>
          <cell r="X20">
            <v>1.6195802783877005</v>
          </cell>
          <cell r="Y20">
            <v>1.8192036640594811</v>
          </cell>
          <cell r="Z20">
            <v>2.149559680725738</v>
          </cell>
          <cell r="AA20">
            <v>-5.6596598701841021</v>
          </cell>
          <cell r="AB20">
            <v>7.7140164756352005</v>
          </cell>
          <cell r="AC20">
            <v>0.97355084480144805</v>
          </cell>
          <cell r="AD20">
            <v>14.900264586335199</v>
          </cell>
          <cell r="AE20">
            <v>6.8485056894826757</v>
          </cell>
        </row>
        <row r="21">
          <cell r="B21" t="str">
            <v>BLZ</v>
          </cell>
          <cell r="C21" t="str">
            <v>GDP (constant 2015 US$)</v>
          </cell>
          <cell r="D21" t="str">
            <v>NY.GDP.MKTP.KD</v>
          </cell>
          <cell r="E21">
            <v>1480399775.2769799</v>
          </cell>
          <cell r="F21">
            <v>1524863986.0269799</v>
          </cell>
          <cell r="G21">
            <v>1554114720.1529701</v>
          </cell>
          <cell r="H21">
            <v>1591751697.6261001</v>
          </cell>
          <cell r="I21">
            <v>1612350313.67558</v>
          </cell>
          <cell r="J21">
            <v>1677452112.5480101</v>
          </cell>
          <cell r="K21">
            <v>1721700991.46912</v>
          </cell>
          <cell r="L21">
            <v>1721128807.68997</v>
          </cell>
          <cell r="M21">
            <v>1752344611.6415</v>
          </cell>
          <cell r="N21">
            <v>1803268967.9860499</v>
          </cell>
          <cell r="O21">
            <v>1835056955.7167301</v>
          </cell>
          <cell r="P21">
            <v>1577955710.9509799</v>
          </cell>
          <cell r="Q21">
            <v>3.0035272561211266</v>
          </cell>
          <cell r="R21">
            <v>1.9182520142142441</v>
          </cell>
          <cell r="S21">
            <v>2.4217631417470531</v>
          </cell>
          <cell r="T21">
            <v>1.2940847545631795</v>
          </cell>
          <cell r="U21">
            <v>4.0376956744605552</v>
          </cell>
          <cell r="V21">
            <v>2.6378624218307438</v>
          </cell>
          <cell r="W21">
            <v>-3.3233632435895111E-2</v>
          </cell>
          <cell r="X21">
            <v>1.8136820330970218</v>
          </cell>
          <cell r="Y21">
            <v>2.9060697311613133</v>
          </cell>
          <cell r="Z21">
            <v>1.7627979128472497</v>
          </cell>
          <cell r="AA21">
            <v>-14.010532150776347</v>
          </cell>
          <cell r="AB21">
            <v>3.4817351193616988</v>
          </cell>
          <cell r="AC21">
            <v>-8.3490269930949417</v>
          </cell>
          <cell r="AD21">
            <v>21.379788522816789</v>
          </cell>
          <cell r="AE21">
            <v>7.1211573243659121</v>
          </cell>
        </row>
        <row r="22">
          <cell r="B22" t="str">
            <v>BEN</v>
          </cell>
          <cell r="C22" t="str">
            <v>GDP (constant 2015 US$)</v>
          </cell>
          <cell r="D22" t="str">
            <v>NY.GDP.MKTP.KD</v>
          </cell>
          <cell r="E22">
            <v>8906198913.181179</v>
          </cell>
          <cell r="F22">
            <v>9094481722.8752403</v>
          </cell>
          <cell r="G22">
            <v>9364019690.4087009</v>
          </cell>
          <cell r="H22">
            <v>9814543589.0392609</v>
          </cell>
          <cell r="I22">
            <v>10520349986.3078</v>
          </cell>
          <cell r="J22">
            <v>11189200078.415199</v>
          </cell>
          <cell r="K22">
            <v>11388160958.249001</v>
          </cell>
          <cell r="L22">
            <v>11768488343.515499</v>
          </cell>
          <cell r="M22">
            <v>12435944687.8335</v>
          </cell>
          <cell r="N22">
            <v>13268812169.989201</v>
          </cell>
          <cell r="O22">
            <v>14179807326.715599</v>
          </cell>
          <cell r="P22">
            <v>14725558673.483601</v>
          </cell>
          <cell r="Q22">
            <v>2.1140647264839618</v>
          </cell>
          <cell r="R22">
            <v>2.9637529190420495</v>
          </cell>
          <cell r="S22">
            <v>4.8112233156880135</v>
          </cell>
          <cell r="T22">
            <v>7.1914337214496014</v>
          </cell>
          <cell r="U22">
            <v>6.3576790979188447</v>
          </cell>
          <cell r="V22">
            <v>1.7781510603033333</v>
          </cell>
          <cell r="W22">
            <v>3.3396734262963577</v>
          </cell>
          <cell r="X22">
            <v>5.6715554694479762</v>
          </cell>
          <cell r="Y22">
            <v>6.6972594608797413</v>
          </cell>
          <cell r="Z22">
            <v>6.86568733550126</v>
          </cell>
          <cell r="AA22">
            <v>3.8487924003013325</v>
          </cell>
          <cell r="AB22">
            <v>61.917513523003521</v>
          </cell>
          <cell r="AC22">
            <v>29.305853047476994</v>
          </cell>
          <cell r="AD22">
            <v>50.010689602507938</v>
          </cell>
          <cell r="AE22">
            <v>19.403087918742944</v>
          </cell>
        </row>
        <row r="23">
          <cell r="B23" t="str">
            <v>BMU</v>
          </cell>
          <cell r="C23" t="str">
            <v>GDP (constant 2015 US$)</v>
          </cell>
          <cell r="D23" t="str">
            <v>NY.GDP.MKTP.KD</v>
          </cell>
          <cell r="E23">
            <v>7737613934.7243299</v>
          </cell>
          <cell r="F23">
            <v>7543950875.4288197</v>
          </cell>
          <cell r="G23">
            <v>7261600082.7307301</v>
          </cell>
          <cell r="H23">
            <v>6876350478.4056501</v>
          </cell>
          <cell r="I23">
            <v>6857116738.5043097</v>
          </cell>
          <cell r="J23">
            <v>6603330213.0372801</v>
          </cell>
          <cell r="K23">
            <v>6654541000</v>
          </cell>
          <cell r="L23">
            <v>6610806937.0284901</v>
          </cell>
          <cell r="M23">
            <v>6849550930.1421499</v>
          </cell>
          <cell r="N23">
            <v>6819905984.6490898</v>
          </cell>
          <cell r="O23">
            <v>6851270046.3960104</v>
          </cell>
          <cell r="P23">
            <v>6416619976.7894802</v>
          </cell>
          <cell r="Q23">
            <v>-2.5028782894737431</v>
          </cell>
          <cell r="R23">
            <v>-3.7427443174070243</v>
          </cell>
          <cell r="S23">
            <v>-5.3052991067528819</v>
          </cell>
          <cell r="T23">
            <v>-0.279708545423066</v>
          </cell>
          <cell r="U23">
            <v>-3.7010675936426609</v>
          </cell>
          <cell r="V23">
            <v>0.77552969956904383</v>
          </cell>
          <cell r="W23">
            <v>-0.65720630425915083</v>
          </cell>
          <cell r="X23">
            <v>3.611419837061125</v>
          </cell>
          <cell r="Y23">
            <v>-0.43280130033933312</v>
          </cell>
          <cell r="Z23">
            <v>0.45988994302147096</v>
          </cell>
          <cell r="AA23">
            <v>-6.3440802458979153</v>
          </cell>
          <cell r="AB23">
            <v>-14.943507947687406</v>
          </cell>
          <cell r="AC23">
            <v>-3.5753183158766291</v>
          </cell>
          <cell r="AD23">
            <v>-11.837692390034126</v>
          </cell>
          <cell r="AE23">
            <v>3.3063435981879108</v>
          </cell>
        </row>
        <row r="24">
          <cell r="B24" t="str">
            <v>BTN</v>
          </cell>
          <cell r="C24" t="str">
            <v>GDP (constant 2015 US$)</v>
          </cell>
          <cell r="D24" t="str">
            <v>NY.GDP.MKTP.KD</v>
          </cell>
          <cell r="E24">
            <v>1368802448.65943</v>
          </cell>
          <cell r="F24">
            <v>1532318165.5994999</v>
          </cell>
          <cell r="G24">
            <v>1654637256.60221</v>
          </cell>
          <cell r="H24">
            <v>1739328224.1410201</v>
          </cell>
          <cell r="I24">
            <v>1776201506.49054</v>
          </cell>
          <cell r="J24">
            <v>1878803709.7835</v>
          </cell>
          <cell r="K24">
            <v>2003598212.9913499</v>
          </cell>
          <cell r="L24">
            <v>2166431311.7357302</v>
          </cell>
          <cell r="M24">
            <v>2267210114.7115302</v>
          </cell>
          <cell r="N24">
            <v>2336476327.3873301</v>
          </cell>
          <cell r="O24">
            <v>2470944511.9254398</v>
          </cell>
          <cell r="P24">
            <v>2221963713.9157701</v>
          </cell>
          <cell r="Q24">
            <v>11.945895998375295</v>
          </cell>
          <cell r="R24">
            <v>7.9826170405579129</v>
          </cell>
          <cell r="S24">
            <v>5.1184008580057307</v>
          </cell>
          <cell r="T24">
            <v>2.1199726329819151</v>
          </cell>
          <cell r="U24">
            <v>5.7764956801373133</v>
          </cell>
          <cell r="V24">
            <v>6.64223210535551</v>
          </cell>
          <cell r="W24">
            <v>8.1270335383895258</v>
          </cell>
          <cell r="X24">
            <v>4.6518346752963398</v>
          </cell>
          <cell r="Y24">
            <v>3.055129836725035</v>
          </cell>
          <cell r="Z24">
            <v>5.7551699951727473</v>
          </cell>
          <cell r="AA24">
            <v>-10.07634112413378</v>
          </cell>
          <cell r="AB24">
            <v>45.00668097519128</v>
          </cell>
          <cell r="AC24">
            <v>10.898667183297336</v>
          </cell>
          <cell r="AD24">
            <v>70.44691408943018</v>
          </cell>
          <cell r="AE24">
            <v>24.179099794805214</v>
          </cell>
        </row>
        <row r="25">
          <cell r="B25" t="str">
            <v>BOL</v>
          </cell>
          <cell r="C25" t="str">
            <v>GDP (constant 2015 US$)</v>
          </cell>
          <cell r="D25" t="str">
            <v>NY.GDP.MKTP.KD</v>
          </cell>
          <cell r="E25">
            <v>24265185486.780201</v>
          </cell>
          <cell r="F25">
            <v>25266542224.071201</v>
          </cell>
          <cell r="G25">
            <v>26581436404.489399</v>
          </cell>
          <cell r="H25">
            <v>27943010880.0261</v>
          </cell>
          <cell r="I25">
            <v>29842021040.573898</v>
          </cell>
          <cell r="J25">
            <v>31471565392.2411</v>
          </cell>
          <cell r="K25">
            <v>33000198248.336201</v>
          </cell>
          <cell r="L25">
            <v>34407300577.868103</v>
          </cell>
          <cell r="M25">
            <v>35850757819.738098</v>
          </cell>
          <cell r="N25">
            <v>37364958855.951897</v>
          </cell>
          <cell r="O25">
            <v>38193230057.673698</v>
          </cell>
          <cell r="P25">
            <v>34820961246.592697</v>
          </cell>
          <cell r="Q25">
            <v>4.1267219565930979</v>
          </cell>
          <cell r="R25">
            <v>5.2040923081493524</v>
          </cell>
          <cell r="S25">
            <v>5.1222757672596719</v>
          </cell>
          <cell r="T25">
            <v>6.7960112412411027</v>
          </cell>
          <cell r="U25">
            <v>5.4605696760673013</v>
          </cell>
          <cell r="V25">
            <v>4.8571872324849936</v>
          </cell>
          <cell r="W25">
            <v>4.2639208375145001</v>
          </cell>
          <cell r="X25">
            <v>4.1952063010676106</v>
          </cell>
          <cell r="Y25">
            <v>4.2236235111887526</v>
          </cell>
          <cell r="Z25">
            <v>2.2167057775037953</v>
          </cell>
          <cell r="AA25">
            <v>-8.8294936196511937</v>
          </cell>
          <cell r="AB25">
            <v>37.81450955097089</v>
          </cell>
          <cell r="AC25">
            <v>5.5174304849768454</v>
          </cell>
          <cell r="AD25">
            <v>53.561011602300866</v>
          </cell>
          <cell r="AE25">
            <v>18.398509372720252</v>
          </cell>
        </row>
        <row r="26">
          <cell r="B26" t="str">
            <v>BIH</v>
          </cell>
          <cell r="C26" t="str">
            <v>GDP (constant 2015 US$)</v>
          </cell>
          <cell r="D26" t="str">
            <v>NY.GDP.MKTP.KD</v>
          </cell>
          <cell r="E26">
            <v>15047233105.805901</v>
          </cell>
          <cell r="F26">
            <v>15177492377.319</v>
          </cell>
          <cell r="G26">
            <v>15323122123.7286</v>
          </cell>
          <cell r="H26">
            <v>15197191117.127001</v>
          </cell>
          <cell r="I26">
            <v>15554303325.219</v>
          </cell>
          <cell r="J26">
            <v>15733776823.9907</v>
          </cell>
          <cell r="K26">
            <v>16219819017.360701</v>
          </cell>
          <cell r="L26">
            <v>16730711998.469299</v>
          </cell>
          <cell r="M26">
            <v>17261315633.603001</v>
          </cell>
          <cell r="N26">
            <v>17906901109.716499</v>
          </cell>
          <cell r="O26">
            <v>18413845946.177101</v>
          </cell>
          <cell r="P26">
            <v>17825164473.5196</v>
          </cell>
          <cell r="Q26">
            <v>0.86566926023655333</v>
          </cell>
          <cell r="R26">
            <v>0.95951124724151426</v>
          </cell>
          <cell r="S26">
            <v>-0.82183647421688599</v>
          </cell>
          <cell r="T26">
            <v>2.3498566632457432</v>
          </cell>
          <cell r="U26">
            <v>1.1538510920042957</v>
          </cell>
          <cell r="V26">
            <v>3.0891641517940482</v>
          </cell>
          <cell r="W26">
            <v>3.1498069156121291</v>
          </cell>
          <cell r="X26">
            <v>3.1714348748711143</v>
          </cell>
          <cell r="Y26">
            <v>3.7400710920129554</v>
          </cell>
          <cell r="Z26">
            <v>2.8310026025973163</v>
          </cell>
          <cell r="AA26">
            <v>-3.1969501340360535</v>
          </cell>
          <cell r="AB26">
            <v>17.444726904671278</v>
          </cell>
          <cell r="AC26">
            <v>9.8974313735599377</v>
          </cell>
          <cell r="AD26">
            <v>18.985026601156463</v>
          </cell>
          <cell r="AE26">
            <v>13.79311219402457</v>
          </cell>
        </row>
        <row r="27">
          <cell r="B27" t="str">
            <v>BWA</v>
          </cell>
          <cell r="C27" t="str">
            <v>GDP (constant 2015 US$)</v>
          </cell>
          <cell r="D27" t="str">
            <v>NY.GDP.MKTP.KD</v>
          </cell>
          <cell r="E27">
            <v>10327297669.355301</v>
          </cell>
          <cell r="F27">
            <v>11211689312.5714</v>
          </cell>
          <cell r="G27">
            <v>11889812807.372499</v>
          </cell>
          <cell r="H27">
            <v>12419640043.352501</v>
          </cell>
          <cell r="I27">
            <v>13828449115.882601</v>
          </cell>
          <cell r="J27">
            <v>14402227735.528</v>
          </cell>
          <cell r="K27">
            <v>13578754072.4652</v>
          </cell>
          <cell r="L27">
            <v>14534277003.7244</v>
          </cell>
          <cell r="M27">
            <v>15116149478.604401</v>
          </cell>
          <cell r="N27">
            <v>15717831995.660601</v>
          </cell>
          <cell r="O27">
            <v>16188225469.253599</v>
          </cell>
          <cell r="P27">
            <v>14813376718.8645</v>
          </cell>
          <cell r="Q27">
            <v>8.5636307922100254</v>
          </cell>
          <cell r="R27">
            <v>6.0483614546894024</v>
          </cell>
          <cell r="S27">
            <v>4.4561444705964774</v>
          </cell>
          <cell r="T27">
            <v>11.343396971349037</v>
          </cell>
          <cell r="U27">
            <v>4.1492622552039355</v>
          </cell>
          <cell r="V27">
            <v>-5.7176825570631769</v>
          </cell>
          <cell r="W27">
            <v>7.0368969506325669</v>
          </cell>
          <cell r="X27">
            <v>4.0034497397489845</v>
          </cell>
          <cell r="Y27">
            <v>3.9803953904255147</v>
          </cell>
          <cell r="Z27">
            <v>2.9927376353358746</v>
          </cell>
          <cell r="AA27">
            <v>-8.4928935107826256</v>
          </cell>
          <cell r="AB27">
            <v>32.12439540448748</v>
          </cell>
          <cell r="AC27">
            <v>9.0923117085009242</v>
          </cell>
          <cell r="AD27">
            <v>51.861694364715106</v>
          </cell>
          <cell r="AE27">
            <v>8.8943287855580913</v>
          </cell>
        </row>
        <row r="28">
          <cell r="B28" t="str">
            <v>BRA</v>
          </cell>
          <cell r="C28" t="str">
            <v>GDP (constant 2015 US$)</v>
          </cell>
          <cell r="D28" t="str">
            <v>NY.GDP.MKTP.KD</v>
          </cell>
          <cell r="E28">
            <v>1583909738979.1599</v>
          </cell>
          <cell r="F28">
            <v>1703150040884.74</v>
          </cell>
          <cell r="G28">
            <v>1770840429187.27</v>
          </cell>
          <cell r="H28">
            <v>1804861390247.1599</v>
          </cell>
          <cell r="I28">
            <v>1859094274468.6001</v>
          </cell>
          <cell r="J28">
            <v>1868463286781.8701</v>
          </cell>
          <cell r="K28">
            <v>1802211999538.6799</v>
          </cell>
          <cell r="L28">
            <v>1743173031958.05</v>
          </cell>
          <cell r="M28">
            <v>1766232928553.8899</v>
          </cell>
          <cell r="N28">
            <v>1797736638228.8799</v>
          </cell>
          <cell r="O28">
            <v>1823105452462.95</v>
          </cell>
          <cell r="P28">
            <v>1749104722085.75</v>
          </cell>
          <cell r="Q28">
            <v>7.528225818122138</v>
          </cell>
          <cell r="R28">
            <v>3.9744230794467592</v>
          </cell>
          <cell r="S28">
            <v>1.9211759850944823</v>
          </cell>
          <cell r="T28">
            <v>3.0048226702890171</v>
          </cell>
          <cell r="U28">
            <v>0.50395574027293688</v>
          </cell>
          <cell r="V28">
            <v>-3.5457633934727966</v>
          </cell>
          <cell r="W28">
            <v>-3.2759169063208069</v>
          </cell>
          <cell r="X28">
            <v>1.3228690539078274</v>
          </cell>
          <cell r="Y28">
            <v>1.7836667613701311</v>
          </cell>
          <cell r="Z28">
            <v>1.4111529850703428</v>
          </cell>
          <cell r="AA28">
            <v>-4.0590482726727428</v>
          </cell>
          <cell r="AB28">
            <v>2.6982168392596697</v>
          </cell>
          <cell r="AC28">
            <v>-2.9467830347663888</v>
          </cell>
          <cell r="AD28">
            <v>13.446136710620117</v>
          </cell>
          <cell r="AE28">
            <v>-3.8308956581121212</v>
          </cell>
        </row>
        <row r="29">
          <cell r="B29" t="str">
            <v>VGB</v>
          </cell>
          <cell r="C29" t="str">
            <v>GDP (constant 2015 US$)</v>
          </cell>
          <cell r="D29" t="str">
            <v>NY.GDP.MKTP.KD</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e">
            <v>#VALUE!</v>
          </cell>
          <cell r="R29" t="e">
            <v>#VALUE!</v>
          </cell>
          <cell r="S29" t="e">
            <v>#VALUE!</v>
          </cell>
          <cell r="T29" t="e">
            <v>#VALUE!</v>
          </cell>
          <cell r="U29" t="e">
            <v>#VALUE!</v>
          </cell>
          <cell r="V29" t="e">
            <v>#VALUE!</v>
          </cell>
          <cell r="W29" t="e">
            <v>#VALUE!</v>
          </cell>
          <cell r="X29" t="e">
            <v>#VALUE!</v>
          </cell>
          <cell r="Y29" t="e">
            <v>#VALUE!</v>
          </cell>
          <cell r="Z29" t="e">
            <v>#VALUE!</v>
          </cell>
          <cell r="AA29" t="e">
            <v>#VALUE!</v>
          </cell>
          <cell r="AB29" t="e">
            <v>#VALUE!</v>
          </cell>
          <cell r="AC29" t="e">
            <v>#VALUE!</v>
          </cell>
          <cell r="AD29" t="e">
            <v>#VALUE!</v>
          </cell>
          <cell r="AE29" t="e">
            <v>#VALUE!</v>
          </cell>
        </row>
        <row r="30">
          <cell r="B30" t="str">
            <v>BRN</v>
          </cell>
          <cell r="C30" t="str">
            <v>GDP (constant 2015 US$)</v>
          </cell>
          <cell r="D30" t="str">
            <v>NY.GDP.MKTP.KD</v>
          </cell>
          <cell r="E30">
            <v>12665627056.3659</v>
          </cell>
          <cell r="F30">
            <v>12994802365.131701</v>
          </cell>
          <cell r="G30">
            <v>13481499082.926901</v>
          </cell>
          <cell r="H30">
            <v>13604563824.4265</v>
          </cell>
          <cell r="I30">
            <v>13315326917.851101</v>
          </cell>
          <cell r="J30">
            <v>12981331573.3766</v>
          </cell>
          <cell r="K30">
            <v>12930394937.8137</v>
          </cell>
          <cell r="L30">
            <v>12609990390.599199</v>
          </cell>
          <cell r="M30">
            <v>12777527044.687401</v>
          </cell>
          <cell r="N30">
            <v>12784201742.5315</v>
          </cell>
          <cell r="O30">
            <v>13278836553.322001</v>
          </cell>
          <cell r="P30">
            <v>13429361905.7745</v>
          </cell>
          <cell r="Q30">
            <v>2.598965746432214</v>
          </cell>
          <cell r="R30">
            <v>3.7453183520599684</v>
          </cell>
          <cell r="S30">
            <v>0.91284167096409785</v>
          </cell>
          <cell r="T30">
            <v>-2.1260285174015285</v>
          </cell>
          <cell r="U30">
            <v>-2.5083525664453052</v>
          </cell>
          <cell r="V30">
            <v>-0.39238374950198823</v>
          </cell>
          <cell r="W30">
            <v>-2.4779177183328569</v>
          </cell>
          <cell r="X30">
            <v>1.3286025516173334</v>
          </cell>
          <cell r="Y30">
            <v>5.2237790777161612E-2</v>
          </cell>
          <cell r="Z30">
            <v>3.8691098650681504</v>
          </cell>
          <cell r="AA30">
            <v>1.1335733507077628</v>
          </cell>
          <cell r="AB30">
            <v>3.3441027299409427</v>
          </cell>
          <cell r="AC30">
            <v>3.8588687380430984</v>
          </cell>
          <cell r="AD30">
            <v>0.93885227390735349</v>
          </cell>
          <cell r="AE30">
            <v>-1.5159692075887299</v>
          </cell>
        </row>
        <row r="31">
          <cell r="B31" t="str">
            <v>BGR</v>
          </cell>
          <cell r="C31" t="str">
            <v>GDP (constant 2015 US$)</v>
          </cell>
          <cell r="D31" t="str">
            <v>NY.GDP.MKTP.KD</v>
          </cell>
          <cell r="E31">
            <v>46815700521.423698</v>
          </cell>
          <cell r="F31">
            <v>47537505667.649101</v>
          </cell>
          <cell r="G31">
            <v>48536366470.188202</v>
          </cell>
          <cell r="H31">
            <v>48902782248.923203</v>
          </cell>
          <cell r="I31">
            <v>48628685105.418297</v>
          </cell>
          <cell r="J31">
            <v>49098860802.539101</v>
          </cell>
          <cell r="K31">
            <v>50781996712.763496</v>
          </cell>
          <cell r="L31">
            <v>52325680684.652</v>
          </cell>
          <cell r="M31">
            <v>53771005440.9431</v>
          </cell>
          <cell r="N31">
            <v>55214529018.363197</v>
          </cell>
          <cell r="O31">
            <v>57443866470.188202</v>
          </cell>
          <cell r="P31">
            <v>54923717977.782799</v>
          </cell>
          <cell r="Q31">
            <v>1.5418014430759013</v>
          </cell>
          <cell r="R31">
            <v>2.1012057500923098</v>
          </cell>
          <cell r="S31">
            <v>0.75493038598193984</v>
          </cell>
          <cell r="T31">
            <v>-0.56049396557788089</v>
          </cell>
          <cell r="U31">
            <v>0.96686903234489474</v>
          </cell>
          <cell r="V31">
            <v>3.4280549135212399</v>
          </cell>
          <cell r="W31">
            <v>3.0398252763080427</v>
          </cell>
          <cell r="X31">
            <v>2.7621709596126429</v>
          </cell>
          <cell r="Y31">
            <v>2.6845761309141314</v>
          </cell>
          <cell r="Z31">
            <v>4.0375920821194971</v>
          </cell>
          <cell r="AA31">
            <v>-4.3871498338526553</v>
          </cell>
          <cell r="AB31">
            <v>15.537652231425907</v>
          </cell>
          <cell r="AC31">
            <v>8.1558850244624708</v>
          </cell>
          <cell r="AD31">
            <v>17.923955994109054</v>
          </cell>
          <cell r="AE31">
            <v>12.440340119587056</v>
          </cell>
        </row>
        <row r="32">
          <cell r="B32" t="str">
            <v>BFA</v>
          </cell>
          <cell r="C32" t="str">
            <v>GDP (constant 2015 US$)</v>
          </cell>
          <cell r="D32" t="str">
            <v>NY.GDP.MKTP.KD</v>
          </cell>
          <cell r="E32">
            <v>8380850213.3837996</v>
          </cell>
          <cell r="F32">
            <v>9088720420.9591904</v>
          </cell>
          <cell r="G32">
            <v>9690626621.5638199</v>
          </cell>
          <cell r="H32">
            <v>10315931008.976999</v>
          </cell>
          <cell r="I32">
            <v>10913490065.233801</v>
          </cell>
          <cell r="J32">
            <v>11385699931.5135</v>
          </cell>
          <cell r="K32">
            <v>11832159275.603001</v>
          </cell>
          <cell r="L32">
            <v>12537116569.2425</v>
          </cell>
          <cell r="M32">
            <v>13314855268.087601</v>
          </cell>
          <cell r="N32">
            <v>14194244080.5891</v>
          </cell>
          <cell r="O32">
            <v>15001629028.4851</v>
          </cell>
          <cell r="P32">
            <v>15291209207.4632</v>
          </cell>
          <cell r="Q32">
            <v>8.4462815770762418</v>
          </cell>
          <cell r="R32">
            <v>6.6225626130670054</v>
          </cell>
          <cell r="S32">
            <v>6.4526723795315437</v>
          </cell>
          <cell r="T32">
            <v>5.7925848450983368</v>
          </cell>
          <cell r="U32">
            <v>4.326845614529665</v>
          </cell>
          <cell r="V32">
            <v>3.9212287937940822</v>
          </cell>
          <cell r="W32">
            <v>5.9579767075403325</v>
          </cell>
          <cell r="X32">
            <v>6.2034894112186736</v>
          </cell>
          <cell r="Y32">
            <v>6.6045690681232987</v>
          </cell>
          <cell r="Z32">
            <v>5.6881151494366247</v>
          </cell>
          <cell r="AA32">
            <v>1.930324889571958</v>
          </cell>
          <cell r="AB32">
            <v>68.243806600109068</v>
          </cell>
          <cell r="AC32">
            <v>29.23430839029097</v>
          </cell>
          <cell r="AD32">
            <v>70.17611564309621</v>
          </cell>
          <cell r="AE32">
            <v>25.264194882982594</v>
          </cell>
        </row>
        <row r="33">
          <cell r="B33" t="str">
            <v>BDI</v>
          </cell>
          <cell r="C33" t="str">
            <v>GDP (constant 2015 US$)</v>
          </cell>
          <cell r="D33" t="str">
            <v>NY.GDP.MKTP.KD</v>
          </cell>
          <cell r="E33">
            <v>2585675644.8296199</v>
          </cell>
          <cell r="F33">
            <v>2718169887.3664198</v>
          </cell>
          <cell r="G33">
            <v>2827782874.0967498</v>
          </cell>
          <cell r="H33">
            <v>2953526127.66363</v>
          </cell>
          <cell r="I33">
            <v>3098963521.2829599</v>
          </cell>
          <cell r="J33">
            <v>3230379768.7853098</v>
          </cell>
          <cell r="K33">
            <v>3104394858.11518</v>
          </cell>
          <cell r="L33">
            <v>3085767868.07056</v>
          </cell>
          <cell r="M33">
            <v>3101197015.9500299</v>
          </cell>
          <cell r="N33">
            <v>3151124212.6585202</v>
          </cell>
          <cell r="O33">
            <v>3209182941.3305898</v>
          </cell>
          <cell r="P33">
            <v>3218732735.4783201</v>
          </cell>
          <cell r="Q33">
            <v>5.1241633033802456</v>
          </cell>
          <cell r="R33">
            <v>4.0326024962527933</v>
          </cell>
          <cell r="S33">
            <v>4.4467082221454195</v>
          </cell>
          <cell r="T33">
            <v>4.9241952612884905</v>
          </cell>
          <cell r="U33">
            <v>4.2406516436806578</v>
          </cell>
          <cell r="V33">
            <v>-3.9000030859375623</v>
          </cell>
          <cell r="W33">
            <v>-0.60002000054623639</v>
          </cell>
          <cell r="X33">
            <v>0.50000999877924279</v>
          </cell>
          <cell r="Y33">
            <v>1.6099330823454803</v>
          </cell>
          <cell r="Z33">
            <v>1.8424766766996763</v>
          </cell>
          <cell r="AA33">
            <v>0.29757711923305996</v>
          </cell>
          <cell r="AB33">
            <v>18.415436446354192</v>
          </cell>
          <cell r="AC33">
            <v>3.6830971119620992</v>
          </cell>
          <cell r="AD33">
            <v>21.909931944981075</v>
          </cell>
          <cell r="AE33">
            <v>-2.4202835409958046</v>
          </cell>
        </row>
        <row r="34">
          <cell r="B34" t="str">
            <v>CPV</v>
          </cell>
          <cell r="C34" t="str">
            <v>GDP (constant 2015 US$)</v>
          </cell>
          <cell r="D34" t="str">
            <v>NY.GDP.MKTP.KD</v>
          </cell>
          <cell r="E34">
            <v>1461773074.02108</v>
          </cell>
          <cell r="F34">
            <v>1483214216.71245</v>
          </cell>
          <cell r="G34">
            <v>1542081303.2224901</v>
          </cell>
          <cell r="H34">
            <v>1558765362.71557</v>
          </cell>
          <cell r="I34">
            <v>1571279093.64604</v>
          </cell>
          <cell r="J34">
            <v>1580882950.48788</v>
          </cell>
          <cell r="K34">
            <v>1596800287.1640501</v>
          </cell>
          <cell r="L34">
            <v>1671942379.4974301</v>
          </cell>
          <cell r="M34">
            <v>1733838341.5832801</v>
          </cell>
          <cell r="N34">
            <v>1812401360.1856599</v>
          </cell>
          <cell r="O34">
            <v>1915123782.86887</v>
          </cell>
          <cell r="P34">
            <v>1632003277.60234</v>
          </cell>
          <cell r="Q34">
            <v>1.4667900970695271</v>
          </cell>
          <cell r="R34">
            <v>3.9688863447195888</v>
          </cell>
          <cell r="S34">
            <v>1.0819182787713715</v>
          </cell>
          <cell r="T34">
            <v>0.80279760057469196</v>
          </cell>
          <cell r="U34">
            <v>0.61121266620781989</v>
          </cell>
          <cell r="V34">
            <v>1.0068637068454578</v>
          </cell>
          <cell r="W34">
            <v>4.7057915092709477</v>
          </cell>
          <cell r="X34">
            <v>3.7020391877652705</v>
          </cell>
          <cell r="Y34">
            <v>4.5311616843493505</v>
          </cell>
          <cell r="Z34">
            <v>5.6677524603428564</v>
          </cell>
          <cell r="AA34">
            <v>-14.783405010114455</v>
          </cell>
          <cell r="AB34">
            <v>10.031528771324853</v>
          </cell>
          <cell r="AC34">
            <v>2.2045956981139518</v>
          </cell>
          <cell r="AD34">
            <v>23.45155286310543</v>
          </cell>
          <cell r="AE34">
            <v>14.150232226671665</v>
          </cell>
        </row>
        <row r="35">
          <cell r="B35" t="str">
            <v>KHM</v>
          </cell>
          <cell r="C35" t="str">
            <v>GDP (constant 2015 US$)</v>
          </cell>
          <cell r="D35" t="str">
            <v>NY.GDP.MKTP.KD</v>
          </cell>
          <cell r="E35">
            <v>12049408698.7892</v>
          </cell>
          <cell r="F35">
            <v>12767924407.3675</v>
          </cell>
          <cell r="G35">
            <v>13670561753.9849</v>
          </cell>
          <cell r="H35">
            <v>14670337167.5693</v>
          </cell>
          <cell r="I35">
            <v>15749584749.198999</v>
          </cell>
          <cell r="J35">
            <v>16874510037.9823</v>
          </cell>
          <cell r="K35">
            <v>18049954289.422901</v>
          </cell>
          <cell r="L35">
            <v>19301414292.282501</v>
          </cell>
          <cell r="M35">
            <v>20651915662.9328</v>
          </cell>
          <cell r="N35">
            <v>22194442188.284</v>
          </cell>
          <cell r="O35">
            <v>23760061873.2798</v>
          </cell>
          <cell r="P35">
            <v>23012192756.000401</v>
          </cell>
          <cell r="Q35">
            <v>5.9630785753868691</v>
          </cell>
          <cell r="R35">
            <v>7.0695699458915069</v>
          </cell>
          <cell r="S35">
            <v>7.31334550530062</v>
          </cell>
          <cell r="T35">
            <v>7.3566651488795891</v>
          </cell>
          <cell r="U35">
            <v>7.1425711007429102</v>
          </cell>
          <cell r="V35">
            <v>6.9657978145429471</v>
          </cell>
          <cell r="W35">
            <v>6.9333139729497466</v>
          </cell>
          <cell r="X35">
            <v>6.9969036993847906</v>
          </cell>
          <cell r="Y35">
            <v>7.469169206999096</v>
          </cell>
          <cell r="Z35">
            <v>7.05410693233038</v>
          </cell>
          <cell r="AA35">
            <v>-3.1475890983282415</v>
          </cell>
          <cell r="AB35">
            <v>80.234406327794588</v>
          </cell>
          <cell r="AC35">
            <v>27.491695474737703</v>
          </cell>
          <cell r="AD35">
            <v>84.666956531584788</v>
          </cell>
          <cell r="AE35">
            <v>31.863243875059787</v>
          </cell>
        </row>
        <row r="36">
          <cell r="B36" t="str">
            <v>CMR</v>
          </cell>
          <cell r="C36" t="str">
            <v>GDP (constant 2015 US$)</v>
          </cell>
          <cell r="D36" t="str">
            <v>NY.GDP.MKTP.KD</v>
          </cell>
          <cell r="E36">
            <v>24674221564.9986</v>
          </cell>
          <cell r="F36">
            <v>25389533348.628201</v>
          </cell>
          <cell r="G36">
            <v>26247499325.441299</v>
          </cell>
          <cell r="H36">
            <v>27461703058.6152</v>
          </cell>
          <cell r="I36">
            <v>28833560442.596001</v>
          </cell>
          <cell r="J36">
            <v>30482787664.360401</v>
          </cell>
          <cell r="K36">
            <v>32210232911.662601</v>
          </cell>
          <cell r="L36">
            <v>33671222799.3745</v>
          </cell>
          <cell r="M36">
            <v>34863580244.995003</v>
          </cell>
          <cell r="N36">
            <v>36242614126.287399</v>
          </cell>
          <cell r="O36">
            <v>37502066705.008797</v>
          </cell>
          <cell r="P36">
            <v>37686544899.745796</v>
          </cell>
          <cell r="Q36">
            <v>2.8990247240233096</v>
          </cell>
          <cell r="R36">
            <v>3.3792112877074794</v>
          </cell>
          <cell r="S36">
            <v>4.6259787194164872</v>
          </cell>
          <cell r="T36">
            <v>4.995529159472234</v>
          </cell>
          <cell r="U36">
            <v>5.7198181440263154</v>
          </cell>
          <cell r="V36">
            <v>5.6669529910542913</v>
          </cell>
          <cell r="W36">
            <v>4.5357942356973986</v>
          </cell>
          <cell r="X36">
            <v>3.5411765492598994</v>
          </cell>
          <cell r="Y36">
            <v>3.9555142403665497</v>
          </cell>
          <cell r="Z36">
            <v>3.47505997865616</v>
          </cell>
          <cell r="AA36">
            <v>0.49191474216102471</v>
          </cell>
          <cell r="AB36">
            <v>48.433389390285917</v>
          </cell>
          <cell r="AC36">
            <v>17.001777053590772</v>
          </cell>
          <cell r="AD36">
            <v>47.107197253484998</v>
          </cell>
          <cell r="AE36">
            <v>19.075578611934141</v>
          </cell>
        </row>
        <row r="37">
          <cell r="B37" t="str">
            <v>CAN</v>
          </cell>
          <cell r="C37" t="str">
            <v>GDP (constant 2015 US$)</v>
          </cell>
          <cell r="D37" t="str">
            <v>NY.GDP.MKTP.KD</v>
          </cell>
          <cell r="E37">
            <v>1357541054226.4099</v>
          </cell>
          <cell r="F37">
            <v>1399482212058.6899</v>
          </cell>
          <cell r="G37">
            <v>1443522257095.3999</v>
          </cell>
          <cell r="H37">
            <v>1468960331816.3899</v>
          </cell>
          <cell r="I37">
            <v>1503174217512.03</v>
          </cell>
          <cell r="J37">
            <v>1546315859831.5901</v>
          </cell>
          <cell r="K37">
            <v>1556508816217.1399</v>
          </cell>
          <cell r="L37">
            <v>1572095608554.6599</v>
          </cell>
          <cell r="M37">
            <v>1619885432081.6399</v>
          </cell>
          <cell r="N37">
            <v>1664870307455.5701</v>
          </cell>
          <cell r="O37">
            <v>1696163077026.0801</v>
          </cell>
          <cell r="P37">
            <v>1607402450990.0901</v>
          </cell>
          <cell r="Q37">
            <v>3.0894946198279105</v>
          </cell>
          <cell r="R37">
            <v>3.1468813720701339</v>
          </cell>
          <cell r="S37">
            <v>1.7622225494586765</v>
          </cell>
          <cell r="T37">
            <v>2.3291225062105108</v>
          </cell>
          <cell r="U37">
            <v>2.8700360754567553</v>
          </cell>
          <cell r="V37">
            <v>0.65917686355877669</v>
          </cell>
          <cell r="W37">
            <v>1.0013944139038908</v>
          </cell>
          <cell r="X37">
            <v>3.0398802252820101</v>
          </cell>
          <cell r="Y37">
            <v>2.7770405537953504</v>
          </cell>
          <cell r="Z37">
            <v>1.8795920277018401</v>
          </cell>
          <cell r="AA37">
            <v>-5.2330243028055969</v>
          </cell>
          <cell r="AB37">
            <v>14.856940455537609</v>
          </cell>
          <cell r="AC37">
            <v>3.2697299393805883</v>
          </cell>
          <cell r="AD37">
            <v>22.52428890055096</v>
          </cell>
          <cell r="AE37">
            <v>7.5664789084620931</v>
          </cell>
        </row>
        <row r="38">
          <cell r="B38" t="str">
            <v>CYM</v>
          </cell>
          <cell r="C38" t="str">
            <v>GDP (constant 2015 US$)</v>
          </cell>
          <cell r="D38" t="str">
            <v>NY.GDP.MKTP.KD</v>
          </cell>
          <cell r="E38">
            <v>4420145925.8370304</v>
          </cell>
          <cell r="F38">
            <v>4300110884.43538</v>
          </cell>
          <cell r="G38">
            <v>4350381855.27421</v>
          </cell>
          <cell r="H38">
            <v>4403880835.2334099</v>
          </cell>
          <cell r="I38">
            <v>4460221048.8419504</v>
          </cell>
          <cell r="J38">
            <v>4578618864.75459</v>
          </cell>
          <cell r="K38">
            <v>4708336733.4693403</v>
          </cell>
          <cell r="L38">
            <v>4860885755.4302197</v>
          </cell>
          <cell r="M38">
            <v>5015658466.3386497</v>
          </cell>
          <cell r="N38">
            <v>5226032281.2912502</v>
          </cell>
          <cell r="O38">
            <v>5425515180.6072197</v>
          </cell>
          <cell r="P38">
            <v>5060362414.4965801</v>
          </cell>
          <cell r="Q38">
            <v>-2.7156352621756428</v>
          </cell>
          <cell r="R38">
            <v>1.1690621983909784</v>
          </cell>
          <cell r="S38">
            <v>1.2297536570115131</v>
          </cell>
          <cell r="T38">
            <v>1.2793310199901093</v>
          </cell>
          <cell r="U38">
            <v>2.6545279845127938</v>
          </cell>
          <cell r="V38">
            <v>2.83312222629614</v>
          </cell>
          <cell r="W38">
            <v>3.2399768877293851</v>
          </cell>
          <cell r="X38">
            <v>3.1840433759532312</v>
          </cell>
          <cell r="Y38">
            <v>4.1943409098620297</v>
          </cell>
          <cell r="Z38">
            <v>3.8171004038781242</v>
          </cell>
          <cell r="AA38">
            <v>-6.7302874281105955</v>
          </cell>
          <cell r="AB38">
            <v>17.67981223026122</v>
          </cell>
          <cell r="AC38">
            <v>7.476646233156087</v>
          </cell>
          <cell r="AD38">
            <v>18.081242836927025</v>
          </cell>
          <cell r="AE38">
            <v>13.994272041551813</v>
          </cell>
        </row>
        <row r="39">
          <cell r="B39" t="str">
            <v>CAF</v>
          </cell>
          <cell r="C39" t="str">
            <v>GDP (constant 2015 US$)</v>
          </cell>
          <cell r="D39" t="str">
            <v>NY.GDP.MKTP.KD</v>
          </cell>
          <cell r="E39">
            <v>2229266668.2677002</v>
          </cell>
          <cell r="F39">
            <v>2332499960.0454602</v>
          </cell>
          <cell r="G39">
            <v>2430339361.11484</v>
          </cell>
          <cell r="H39">
            <v>2553162910.0771098</v>
          </cell>
          <cell r="I39">
            <v>1624016448.5572901</v>
          </cell>
          <cell r="J39">
            <v>1625333047.06112</v>
          </cell>
          <cell r="K39">
            <v>1695825708.4560399</v>
          </cell>
          <cell r="L39">
            <v>1776382802.68262</v>
          </cell>
          <cell r="M39">
            <v>1856804594.29617</v>
          </cell>
          <cell r="N39">
            <v>1927167157.0246999</v>
          </cell>
          <cell r="O39">
            <v>1984982171.73544</v>
          </cell>
          <cell r="P39">
            <v>2001437872.50299</v>
          </cell>
          <cell r="Q39">
            <v>4.6308184322326804</v>
          </cell>
          <cell r="R39">
            <v>4.1946153374198953</v>
          </cell>
          <cell r="S39">
            <v>5.053761253569478</v>
          </cell>
          <cell r="T39">
            <v>-36.391977098388836</v>
          </cell>
          <cell r="U39">
            <v>8.1070515326342185E-2</v>
          </cell>
          <cell r="V39">
            <v>4.3371210302025576</v>
          </cell>
          <cell r="W39">
            <v>4.7503168412232135</v>
          </cell>
          <cell r="X39">
            <v>4.5272782134627896</v>
          </cell>
          <cell r="Y39">
            <v>3.7894435927546364</v>
          </cell>
          <cell r="Z39">
            <v>2.9999999999999529</v>
          </cell>
          <cell r="AA39">
            <v>0.82901000330713404</v>
          </cell>
          <cell r="AB39">
            <v>-14.193444510756512</v>
          </cell>
          <cell r="AC39">
            <v>18.021437139621728</v>
          </cell>
          <cell r="AD39">
            <v>-13.429879276384593</v>
          </cell>
          <cell r="AE39">
            <v>18.737439656457976</v>
          </cell>
        </row>
        <row r="40">
          <cell r="B40" t="str">
            <v>TCD</v>
          </cell>
          <cell r="C40" t="str">
            <v>GDP (constant 2015 US$)</v>
          </cell>
          <cell r="D40" t="str">
            <v>NY.GDP.MKTP.KD</v>
          </cell>
          <cell r="E40">
            <v>7621050542.9375296</v>
          </cell>
          <cell r="F40">
            <v>8653710578.0627708</v>
          </cell>
          <cell r="G40">
            <v>8660881890.5762291</v>
          </cell>
          <cell r="H40">
            <v>9430191312.98703</v>
          </cell>
          <cell r="I40">
            <v>9967712346.3474693</v>
          </cell>
          <cell r="J40">
            <v>10655483007.6061</v>
          </cell>
          <cell r="K40">
            <v>10950392219.9104</v>
          </cell>
          <cell r="L40">
            <v>10265387468.6306</v>
          </cell>
          <cell r="M40">
            <v>9958586245.4555702</v>
          </cell>
          <cell r="N40">
            <v>10195006847.305901</v>
          </cell>
          <cell r="O40">
            <v>10526057266.132799</v>
          </cell>
          <cell r="P40">
            <v>10426343411.408199</v>
          </cell>
          <cell r="Q40">
            <v>13.550100859548991</v>
          </cell>
          <cell r="R40">
            <v>8.2869798438112666E-2</v>
          </cell>
          <cell r="S40">
            <v>8.8825760717032125</v>
          </cell>
          <cell r="T40">
            <v>5.7000013628586563</v>
          </cell>
          <cell r="U40">
            <v>6.8999850453214053</v>
          </cell>
          <cell r="V40">
            <v>2.7676756848449586</v>
          </cell>
          <cell r="W40">
            <v>-6.2555270854527016</v>
          </cell>
          <cell r="X40">
            <v>-2.9886959855394233</v>
          </cell>
          <cell r="Y40">
            <v>2.3740378003777076</v>
          </cell>
          <cell r="Z40">
            <v>3.2471819174342285</v>
          </cell>
          <cell r="AA40">
            <v>-0.94730488542396107</v>
          </cell>
          <cell r="AB40">
            <v>20.484078099850805</v>
          </cell>
          <cell r="AC40">
            <v>-4.7856624491436621</v>
          </cell>
          <cell r="AD40">
            <v>33.844690417607445</v>
          </cell>
          <cell r="AE40">
            <v>-4.271148492443821</v>
          </cell>
        </row>
        <row r="41">
          <cell r="B41" t="str">
            <v>CHI</v>
          </cell>
          <cell r="C41" t="str">
            <v>GDP (constant 2015 US$)</v>
          </cell>
          <cell r="D41" t="str">
            <v>NY.GDP.MKTP.KD</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e">
            <v>#VALUE!</v>
          </cell>
          <cell r="R41" t="e">
            <v>#VALUE!</v>
          </cell>
          <cell r="S41" t="e">
            <v>#VALUE!</v>
          </cell>
          <cell r="T41" t="e">
            <v>#VALUE!</v>
          </cell>
          <cell r="U41" t="e">
            <v>#VALUE!</v>
          </cell>
          <cell r="V41" t="e">
            <v>#VALUE!</v>
          </cell>
          <cell r="W41" t="e">
            <v>#VALUE!</v>
          </cell>
          <cell r="X41" t="e">
            <v>#VALUE!</v>
          </cell>
          <cell r="Y41" t="e">
            <v>#VALUE!</v>
          </cell>
          <cell r="Z41" t="e">
            <v>#VALUE!</v>
          </cell>
          <cell r="AA41" t="e">
            <v>#VALUE!</v>
          </cell>
          <cell r="AB41" t="e">
            <v>#VALUE!</v>
          </cell>
          <cell r="AC41" t="e">
            <v>#VALUE!</v>
          </cell>
          <cell r="AD41" t="e">
            <v>#VALUE!</v>
          </cell>
          <cell r="AE41" t="e">
            <v>#VALUE!</v>
          </cell>
        </row>
        <row r="42">
          <cell r="B42" t="str">
            <v>CHL</v>
          </cell>
          <cell r="C42" t="str">
            <v>GDP (constant 2015 US$)</v>
          </cell>
          <cell r="D42" t="str">
            <v>NY.GDP.MKTP.KD</v>
          </cell>
          <cell r="E42">
            <v>190368379487.21399</v>
          </cell>
          <cell r="F42">
            <v>201493845099.57401</v>
          </cell>
          <cell r="G42">
            <v>213806970419.31299</v>
          </cell>
          <cell r="H42">
            <v>225178567814.91699</v>
          </cell>
          <cell r="I42">
            <v>234287050561.53699</v>
          </cell>
          <cell r="J42">
            <v>238426293091.72299</v>
          </cell>
          <cell r="K42">
            <v>243919079437.422</v>
          </cell>
          <cell r="L42">
            <v>248092752678.69901</v>
          </cell>
          <cell r="M42">
            <v>251031522247.96201</v>
          </cell>
          <cell r="N42">
            <v>260354479474.38101</v>
          </cell>
          <cell r="O42">
            <v>262807032486.85599</v>
          </cell>
          <cell r="P42">
            <v>247639120221.18301</v>
          </cell>
          <cell r="Q42">
            <v>5.8441772957925782</v>
          </cell>
          <cell r="R42">
            <v>6.1109188291354988</v>
          </cell>
          <cell r="S42">
            <v>5.3186280004353019</v>
          </cell>
          <cell r="T42">
            <v>4.0450042981473313</v>
          </cell>
          <cell r="U42">
            <v>1.766739783639389</v>
          </cell>
          <cell r="V42">
            <v>2.303767036123789</v>
          </cell>
          <cell r="W42">
            <v>1.7110892886703328</v>
          </cell>
          <cell r="X42">
            <v>1.1845447065795405</v>
          </cell>
          <cell r="Y42">
            <v>3.7138591770996978</v>
          </cell>
          <cell r="Z42">
            <v>0.94200530654449821</v>
          </cell>
          <cell r="AA42">
            <v>-5.7715016687887077</v>
          </cell>
          <cell r="AB42">
            <v>22.901580491853231</v>
          </cell>
          <cell r="AC42">
            <v>1.5251126694725829</v>
          </cell>
          <cell r="AD42">
            <v>36.524332246127031</v>
          </cell>
          <cell r="AE42">
            <v>9.0060813061033418</v>
          </cell>
        </row>
        <row r="43">
          <cell r="B43" t="str">
            <v>CHN</v>
          </cell>
          <cell r="C43" t="str">
            <v>GDP (constant 2015 US$)</v>
          </cell>
          <cell r="D43" t="str">
            <v>NY.GDP.MKTP.KD</v>
          </cell>
          <cell r="E43">
            <v>6827892848558.8096</v>
          </cell>
          <cell r="F43">
            <v>7554098728366.1201</v>
          </cell>
          <cell r="G43">
            <v>8275578020537.9404</v>
          </cell>
          <cell r="H43">
            <v>8926347665676.4297</v>
          </cell>
          <cell r="I43">
            <v>9619581223621.0391</v>
          </cell>
          <cell r="J43">
            <v>10333908590028.1</v>
          </cell>
          <cell r="K43">
            <v>11061553079871.5</v>
          </cell>
          <cell r="L43">
            <v>11819132546495.4</v>
          </cell>
          <cell r="M43">
            <v>12640231416523.5</v>
          </cell>
          <cell r="N43">
            <v>13493418449040.5</v>
          </cell>
          <cell r="O43">
            <v>14296238286985.1</v>
          </cell>
          <cell r="P43">
            <v>14631844421164.199</v>
          </cell>
          <cell r="Q43">
            <v>10.635871064681305</v>
          </cell>
          <cell r="R43">
            <v>9.5508321788623149</v>
          </cell>
          <cell r="S43">
            <v>7.8637364486618306</v>
          </cell>
          <cell r="T43">
            <v>7.7661500975391009</v>
          </cell>
          <cell r="U43">
            <v>7.4257636564574971</v>
          </cell>
          <cell r="V43">
            <v>7.041328878654439</v>
          </cell>
          <cell r="W43">
            <v>6.8487622050329753</v>
          </cell>
          <cell r="X43">
            <v>6.947200793272863</v>
          </cell>
          <cell r="Y43">
            <v>6.7497738324766825</v>
          </cell>
          <cell r="Z43">
            <v>5.9497142327316404</v>
          </cell>
          <cell r="AA43">
            <v>2.3475135727460987</v>
          </cell>
          <cell r="AB43">
            <v>93.694111598259838</v>
          </cell>
          <cell r="AC43">
            <v>32.276582822619105</v>
          </cell>
          <cell r="AD43">
            <v>98.676242743114798</v>
          </cell>
          <cell r="AE43">
            <v>31.270766059733333</v>
          </cell>
        </row>
        <row r="44">
          <cell r="B44" t="str">
            <v>COL</v>
          </cell>
          <cell r="C44" t="str">
            <v>GDP (constant 2015 US$)</v>
          </cell>
          <cell r="D44" t="str">
            <v>NY.GDP.MKTP.KD</v>
          </cell>
          <cell r="E44">
            <v>223429106639.89801</v>
          </cell>
          <cell r="F44">
            <v>233471483024.664</v>
          </cell>
          <cell r="G44">
            <v>249692829473.37399</v>
          </cell>
          <cell r="H44">
            <v>259462400427.38599</v>
          </cell>
          <cell r="I44">
            <v>272783183252.052</v>
          </cell>
          <cell r="J44">
            <v>285055780504.54401</v>
          </cell>
          <cell r="K44">
            <v>293481748240.77899</v>
          </cell>
          <cell r="L44">
            <v>299607834899.02899</v>
          </cell>
          <cell r="M44">
            <v>303680586563.771</v>
          </cell>
          <cell r="N44">
            <v>311467941587.10602</v>
          </cell>
          <cell r="O44">
            <v>321687568559.23297</v>
          </cell>
          <cell r="P44">
            <v>299826459539.862</v>
          </cell>
          <cell r="Q44">
            <v>4.4946589707093745</v>
          </cell>
          <cell r="R44">
            <v>6.9478919817356726</v>
          </cell>
          <cell r="S44">
            <v>3.9126357671611758</v>
          </cell>
          <cell r="T44">
            <v>5.1339935199566673</v>
          </cell>
          <cell r="U44">
            <v>4.4990300011097499</v>
          </cell>
          <cell r="V44">
            <v>2.9559013752750998</v>
          </cell>
          <cell r="W44">
            <v>2.0873825016280132</v>
          </cell>
          <cell r="X44">
            <v>1.3593608678873719</v>
          </cell>
          <cell r="Y44">
            <v>2.5643242827772026</v>
          </cell>
          <cell r="Z44">
            <v>3.2811168045263828</v>
          </cell>
          <cell r="AA44">
            <v>-6.7957581069364963</v>
          </cell>
          <cell r="AB44">
            <v>28.421019841720131</v>
          </cell>
          <cell r="AC44">
            <v>2.161875938491979</v>
          </cell>
          <cell r="AD44">
            <v>39.273206019929539</v>
          </cell>
          <cell r="AE44">
            <v>9.1635045773480694</v>
          </cell>
        </row>
        <row r="45">
          <cell r="B45" t="str">
            <v>COM</v>
          </cell>
          <cell r="C45" t="str">
            <v>GDP (constant 2015 US$)</v>
          </cell>
          <cell r="D45" t="str">
            <v>NY.GDP.MKTP.KD</v>
          </cell>
          <cell r="E45">
            <v>802971948.55982399</v>
          </cell>
          <cell r="F45">
            <v>833484348.26485002</v>
          </cell>
          <cell r="G45">
            <v>867655930.93733394</v>
          </cell>
          <cell r="H45">
            <v>895423288.58803201</v>
          </cell>
          <cell r="I45">
            <v>935716210.26907098</v>
          </cell>
          <cell r="J45">
            <v>955366310.92896402</v>
          </cell>
          <cell r="K45">
            <v>966029542.03885901</v>
          </cell>
          <cell r="L45">
            <v>998108292.07641196</v>
          </cell>
          <cell r="M45">
            <v>1036193131.26528</v>
          </cell>
          <cell r="N45">
            <v>1073936725.31831</v>
          </cell>
          <cell r="O45">
            <v>1092787840.3650501</v>
          </cell>
          <cell r="P45">
            <v>1091379941.8226099</v>
          </cell>
          <cell r="Q45">
            <v>3.799933454680672</v>
          </cell>
          <cell r="R45">
            <v>4.0998469549695109</v>
          </cell>
          <cell r="S45">
            <v>3.2002729031888046</v>
          </cell>
          <cell r="T45">
            <v>4.4998742153083553</v>
          </cell>
          <cell r="U45">
            <v>2.100006438302755</v>
          </cell>
          <cell r="V45">
            <v>1.1161405827181039</v>
          </cell>
          <cell r="W45">
            <v>3.3206800249450934</v>
          </cell>
          <cell r="X45">
            <v>3.8157021128076543</v>
          </cell>
          <cell r="Y45">
            <v>3.6425250191479144</v>
          </cell>
          <cell r="Z45">
            <v>1.7553282798064913</v>
          </cell>
          <cell r="AA45">
            <v>-0.12883548758831923</v>
          </cell>
          <cell r="AB45">
            <v>30.941864006762408</v>
          </cell>
          <cell r="AC45">
            <v>12.975835037010558</v>
          </cell>
          <cell r="AD45">
            <v>33.821582499410205</v>
          </cell>
          <cell r="AE45">
            <v>12.475158093470174</v>
          </cell>
        </row>
        <row r="46">
          <cell r="B46" t="str">
            <v>COD</v>
          </cell>
          <cell r="C46" t="str">
            <v>GDP (constant 2015 US$)</v>
          </cell>
          <cell r="D46" t="str">
            <v>NY.GDP.MKTP.KD</v>
          </cell>
          <cell r="E46">
            <v>24361944119.8909</v>
          </cell>
          <cell r="F46">
            <v>26093585401.3456</v>
          </cell>
          <cell r="G46">
            <v>27887433521.093498</v>
          </cell>
          <cell r="H46">
            <v>29863787753.566898</v>
          </cell>
          <cell r="I46">
            <v>32396821280.717701</v>
          </cell>
          <cell r="J46">
            <v>35464893590.317497</v>
          </cell>
          <cell r="K46">
            <v>37917704900.079399</v>
          </cell>
          <cell r="L46">
            <v>38827501899.717499</v>
          </cell>
          <cell r="M46">
            <v>40274582570.616699</v>
          </cell>
          <cell r="N46">
            <v>42619014794.5289</v>
          </cell>
          <cell r="O46">
            <v>44487657807.009201</v>
          </cell>
          <cell r="P46">
            <v>45259706747.584801</v>
          </cell>
          <cell r="Q46">
            <v>7.107976575813832</v>
          </cell>
          <cell r="R46">
            <v>6.874670890016489</v>
          </cell>
          <cell r="S46">
            <v>7.086898946719228</v>
          </cell>
          <cell r="T46">
            <v>8.4819566360876628</v>
          </cell>
          <cell r="U46">
            <v>9.4702880971408323</v>
          </cell>
          <cell r="V46">
            <v>6.9161671203535198</v>
          </cell>
          <cell r="W46">
            <v>2.3993989141367957</v>
          </cell>
          <cell r="X46">
            <v>3.7269476533326218</v>
          </cell>
          <cell r="Y46">
            <v>5.8211210998935057</v>
          </cell>
          <cell r="Z46">
            <v>4.3845288810387588</v>
          </cell>
          <cell r="AA46">
            <v>1.7354227636006507</v>
          </cell>
          <cell r="AB46">
            <v>73.451467291462507</v>
          </cell>
          <cell r="AC46">
            <v>19.362991159019298</v>
          </cell>
          <cell r="AD46">
            <v>75.537209114477861</v>
          </cell>
          <cell r="AE46">
            <v>20.581996630494558</v>
          </cell>
        </row>
        <row r="47">
          <cell r="B47" t="str">
            <v>COG</v>
          </cell>
          <cell r="C47" t="str">
            <v>GDP (constant 2015 US$)</v>
          </cell>
          <cell r="D47" t="str">
            <v>NY.GDP.MKTP.KD</v>
          </cell>
          <cell r="E47">
            <v>9414746443.3223209</v>
          </cell>
          <cell r="F47">
            <v>10349749902.4652</v>
          </cell>
          <cell r="G47">
            <v>10578057039.5658</v>
          </cell>
          <cell r="H47">
            <v>11630272572.6194</v>
          </cell>
          <cell r="I47">
            <v>11547414504.121599</v>
          </cell>
          <cell r="J47">
            <v>12323017307.5849</v>
          </cell>
          <cell r="K47">
            <v>11885478502.1168</v>
          </cell>
          <cell r="L47">
            <v>10603839035.8641</v>
          </cell>
          <cell r="M47">
            <v>10139122508.5674</v>
          </cell>
          <cell r="N47">
            <v>9651902027.2024307</v>
          </cell>
          <cell r="O47">
            <v>9643515879.7919292</v>
          </cell>
          <cell r="P47">
            <v>8877391999.2164192</v>
          </cell>
          <cell r="Q47">
            <v>9.9312654331339694</v>
          </cell>
          <cell r="R47">
            <v>2.2059193628072014</v>
          </cell>
          <cell r="S47">
            <v>9.9471531408644296</v>
          </cell>
          <cell r="T47">
            <v>-0.71243445052929932</v>
          </cell>
          <cell r="U47">
            <v>6.7166793327325873</v>
          </cell>
          <cell r="V47">
            <v>-3.5505817653829923</v>
          </cell>
          <cell r="W47">
            <v>-10.783238268652298</v>
          </cell>
          <cell r="X47">
            <v>-4.3825309468103413</v>
          </cell>
          <cell r="Y47">
            <v>-4.8053515573293009</v>
          </cell>
          <cell r="Z47">
            <v>-8.6885956642187082E-2</v>
          </cell>
          <cell r="AA47">
            <v>-7.9444456785821158</v>
          </cell>
          <cell r="AB47">
            <v>-14.2260239824547</v>
          </cell>
          <cell r="AC47">
            <v>-25.308922163837504</v>
          </cell>
          <cell r="AD47">
            <v>2.9342505109215988</v>
          </cell>
          <cell r="AE47">
            <v>-21.358556536534255</v>
          </cell>
        </row>
        <row r="48">
          <cell r="B48" t="str">
            <v>CRI</v>
          </cell>
          <cell r="C48" t="str">
            <v>GDP (constant 2015 US$)</v>
          </cell>
          <cell r="D48" t="str">
            <v>NY.GDP.MKTP.KD</v>
          </cell>
          <cell r="E48">
            <v>44474472352.608398</v>
          </cell>
          <cell r="F48">
            <v>46858456852.145103</v>
          </cell>
          <cell r="G48">
            <v>48921709324.660103</v>
          </cell>
          <cell r="H48">
            <v>51310356970.767502</v>
          </cell>
          <cell r="I48">
            <v>52590430366.271698</v>
          </cell>
          <cell r="J48">
            <v>54453241194.907898</v>
          </cell>
          <cell r="K48">
            <v>56441917653.015602</v>
          </cell>
          <cell r="L48">
            <v>58814918320.653702</v>
          </cell>
          <cell r="M48">
            <v>61260265569.688797</v>
          </cell>
          <cell r="N48">
            <v>62862775554.896103</v>
          </cell>
          <cell r="O48">
            <v>64281157838.922401</v>
          </cell>
          <cell r="P48">
            <v>61668979511.365799</v>
          </cell>
          <cell r="Q48">
            <v>5.360343526137159</v>
          </cell>
          <cell r="R48">
            <v>4.403159239804431</v>
          </cell>
          <cell r="S48">
            <v>4.882592368667189</v>
          </cell>
          <cell r="T48">
            <v>2.494766107812266</v>
          </cell>
          <cell r="U48">
            <v>3.542109877524207</v>
          </cell>
          <cell r="V48">
            <v>3.6520809679436899</v>
          </cell>
          <cell r="W48">
            <v>4.2043232517832676</v>
          </cell>
          <cell r="X48">
            <v>4.1576989628775474</v>
          </cell>
          <cell r="Y48">
            <v>2.6159044044370221</v>
          </cell>
          <cell r="Z48">
            <v>2.2563150791642497</v>
          </cell>
          <cell r="AA48">
            <v>-4.0636765350466693</v>
          </cell>
          <cell r="AB48">
            <v>31.606936408412032</v>
          </cell>
          <cell r="AC48">
            <v>9.2609572383494729</v>
          </cell>
          <cell r="AD48">
            <v>41.277321016895321</v>
          </cell>
          <cell r="AE48">
            <v>15.387700892340206</v>
          </cell>
        </row>
        <row r="49">
          <cell r="B49" t="str">
            <v>CIV</v>
          </cell>
          <cell r="C49" t="str">
            <v>GDP (constant 2015 US$)</v>
          </cell>
          <cell r="D49" t="str">
            <v>NY.GDP.MKTP.KD</v>
          </cell>
          <cell r="E49">
            <v>32423167757.1278</v>
          </cell>
          <cell r="F49">
            <v>34643522302.3377</v>
          </cell>
          <cell r="G49">
            <v>32783010214.672901</v>
          </cell>
          <cell r="H49">
            <v>35281210581.226196</v>
          </cell>
          <cell r="I49">
            <v>39077544035.2314</v>
          </cell>
          <cell r="J49">
            <v>42739891439.621902</v>
          </cell>
          <cell r="K49">
            <v>45814637971.474503</v>
          </cell>
          <cell r="L49">
            <v>49103766045.225403</v>
          </cell>
          <cell r="M49">
            <v>52717625513.838799</v>
          </cell>
          <cell r="N49">
            <v>56350019798.322701</v>
          </cell>
          <cell r="O49">
            <v>59861589342.700798</v>
          </cell>
          <cell r="P49">
            <v>61033878289.113701</v>
          </cell>
          <cell r="Q49">
            <v>6.8480494004839629</v>
          </cell>
          <cell r="R49">
            <v>-5.3704472409817692</v>
          </cell>
          <cell r="S49">
            <v>7.6204117626610124</v>
          </cell>
          <cell r="T49">
            <v>10.760213131760576</v>
          </cell>
          <cell r="U49">
            <v>9.3719999421883227</v>
          </cell>
          <cell r="V49">
            <v>7.1940906452611264</v>
          </cell>
          <cell r="W49">
            <v>7.1792078239247576</v>
          </cell>
          <cell r="X49">
            <v>7.359638088217042</v>
          </cell>
          <cell r="Y49">
            <v>6.8902843196728751</v>
          </cell>
          <cell r="Z49">
            <v>6.2317095130508227</v>
          </cell>
          <cell r="AA49">
            <v>1.9583324787814802</v>
          </cell>
          <cell r="AB49">
            <v>76.176884545585636</v>
          </cell>
          <cell r="AC49">
            <v>33.219165296286157</v>
          </cell>
          <cell r="AD49">
            <v>74.72675010161764</v>
          </cell>
          <cell r="AE49">
            <v>32.550517546485722</v>
          </cell>
        </row>
        <row r="50">
          <cell r="B50" t="str">
            <v>HRV</v>
          </cell>
          <cell r="C50" t="str">
            <v>GDP (constant 2015 US$)</v>
          </cell>
          <cell r="D50" t="str">
            <v>NY.GDP.MKTP.KD</v>
          </cell>
          <cell r="E50">
            <v>51105916787.325401</v>
          </cell>
          <cell r="F50">
            <v>50466734849.772102</v>
          </cell>
          <cell r="G50">
            <v>50423715213.782898</v>
          </cell>
          <cell r="H50">
            <v>49276219375.412498</v>
          </cell>
          <cell r="I50">
            <v>49097288862.417801</v>
          </cell>
          <cell r="J50">
            <v>48927438241.114197</v>
          </cell>
          <cell r="K50">
            <v>50163192883.151497</v>
          </cell>
          <cell r="L50">
            <v>51935173677.193604</v>
          </cell>
          <cell r="M50">
            <v>53708288421.744904</v>
          </cell>
          <cell r="N50">
            <v>55265833941.436501</v>
          </cell>
          <cell r="O50">
            <v>57190160216.540802</v>
          </cell>
          <cell r="P50">
            <v>52557893779.493202</v>
          </cell>
          <cell r="Q50">
            <v>-1.2507004623617675</v>
          </cell>
          <cell r="R50">
            <v>-8.5243549275109631E-2</v>
          </cell>
          <cell r="S50">
            <v>-2.2757066461789415</v>
          </cell>
          <cell r="T50">
            <v>-0.36311737236071129</v>
          </cell>
          <cell r="U50">
            <v>-0.34594704766604462</v>
          </cell>
          <cell r="V50">
            <v>2.5256884203654946</v>
          </cell>
          <cell r="W50">
            <v>3.5324322320744237</v>
          </cell>
          <cell r="X50">
            <v>3.4140922596547156</v>
          </cell>
          <cell r="Y50">
            <v>2.9000095990044485</v>
          </cell>
          <cell r="Z50">
            <v>3.4819456033965772</v>
          </cell>
          <cell r="AA50">
            <v>-8.0997612517753268</v>
          </cell>
          <cell r="AB50">
            <v>4.1436382519019714</v>
          </cell>
          <cell r="AC50">
            <v>4.773820721340134</v>
          </cell>
          <cell r="AD50">
            <v>7.9904639142639011</v>
          </cell>
          <cell r="AE50">
            <v>12.79870479688039</v>
          </cell>
        </row>
        <row r="51">
          <cell r="B51" t="str">
            <v>CUB</v>
          </cell>
          <cell r="C51" t="str">
            <v>GDP (constant 2015 US$)</v>
          </cell>
          <cell r="D51" t="str">
            <v>NY.GDP.MKTP.KD</v>
          </cell>
          <cell r="E51">
            <v>74107815577.981705</v>
          </cell>
          <cell r="F51">
            <v>75879253449.541306</v>
          </cell>
          <cell r="G51">
            <v>78005618403.669693</v>
          </cell>
          <cell r="H51">
            <v>80357410018.348602</v>
          </cell>
          <cell r="I51">
            <v>82565312275.229401</v>
          </cell>
          <cell r="J51">
            <v>83430247192.660599</v>
          </cell>
          <cell r="K51">
            <v>87133000000</v>
          </cell>
          <cell r="L51">
            <v>87580655779.816498</v>
          </cell>
          <cell r="M51">
            <v>89165037486.238495</v>
          </cell>
          <cell r="N51">
            <v>91169895871.559601</v>
          </cell>
          <cell r="O51">
            <v>91019611431.192703</v>
          </cell>
          <cell r="P51">
            <v>81054474018.348602</v>
          </cell>
          <cell r="Q51">
            <v>2.3903522965071931</v>
          </cell>
          <cell r="R51">
            <v>2.8023008364761943</v>
          </cell>
          <cell r="S51">
            <v>3.0149002889877377</v>
          </cell>
          <cell r="T51">
            <v>2.7476025625722031</v>
          </cell>
          <cell r="U51">
            <v>1.0475766318765429</v>
          </cell>
          <cell r="V51">
            <v>4.4381419592211566</v>
          </cell>
          <cell r="W51">
            <v>0.51376146788988997</v>
          </cell>
          <cell r="X51">
            <v>1.809054399415821</v>
          </cell>
          <cell r="Y51">
            <v>2.2484803930358139</v>
          </cell>
          <cell r="Z51">
            <v>-0.16483998246374956</v>
          </cell>
          <cell r="AA51">
            <v>-10.94834097416177</v>
          </cell>
          <cell r="AB51">
            <v>6.8203366974989414</v>
          </cell>
          <cell r="AC51">
            <v>-6.9761467889908504</v>
          </cell>
          <cell r="AD51">
            <v>22.723161442054153</v>
          </cell>
          <cell r="AE51">
            <v>9.0101698283676193</v>
          </cell>
        </row>
        <row r="52">
          <cell r="B52" t="str">
            <v>CUW</v>
          </cell>
          <cell r="C52" t="str">
            <v>GDP (constant 2015 US$)</v>
          </cell>
          <cell r="D52" t="str">
            <v>NY.GDP.MKTP.KD</v>
          </cell>
          <cell r="E52">
            <v>3187102853.2007999</v>
          </cell>
          <cell r="F52">
            <v>3189726028.8120399</v>
          </cell>
          <cell r="G52">
            <v>3209266564.0419402</v>
          </cell>
          <cell r="H52">
            <v>3204808344.9882798</v>
          </cell>
          <cell r="I52">
            <v>3179358744.9852099</v>
          </cell>
          <cell r="J52">
            <v>3143150979.6815801</v>
          </cell>
          <cell r="K52">
            <v>3151910782.1229</v>
          </cell>
          <cell r="L52">
            <v>3120814985.3343201</v>
          </cell>
          <cell r="M52">
            <v>3066520125.3882599</v>
          </cell>
          <cell r="N52">
            <v>3000095279.9463902</v>
          </cell>
          <cell r="O52">
            <v>2898092042.62992</v>
          </cell>
          <cell r="P52">
            <v>2364843106.7860198</v>
          </cell>
          <cell r="Q52">
            <v>8.2305960367907827E-2</v>
          </cell>
          <cell r="R52">
            <v>0.61260857683059089</v>
          </cell>
          <cell r="S52">
            <v>-0.13891706920242386</v>
          </cell>
          <cell r="T52">
            <v>-0.79410676906368793</v>
          </cell>
          <cell r="U52">
            <v>-1.1388386214905832</v>
          </cell>
          <cell r="V52">
            <v>0.27869493059500955</v>
          </cell>
          <cell r="W52">
            <v>-0.98656970130468136</v>
          </cell>
          <cell r="X52">
            <v>-1.7397654202895272</v>
          </cell>
          <cell r="Y52">
            <v>-2.1661310777622735</v>
          </cell>
          <cell r="Z52">
            <v>-3.3999999266120935</v>
          </cell>
          <cell r="AA52">
            <v>-18.399999999999824</v>
          </cell>
          <cell r="AB52">
            <v>-25.860619833021641</v>
          </cell>
          <cell r="AC52">
            <v>-24.971127983729545</v>
          </cell>
          <cell r="AD52">
            <v>-5.4263234914825205</v>
          </cell>
          <cell r="AE52">
            <v>-4.1038638657692861</v>
          </cell>
        </row>
        <row r="53">
          <cell r="B53" t="str">
            <v>CYP</v>
          </cell>
          <cell r="C53" t="str">
            <v>GDP (constant 2015 US$)</v>
          </cell>
          <cell r="D53" t="str">
            <v>NY.GDP.MKTP.KD</v>
          </cell>
          <cell r="E53">
            <v>21155765191.813702</v>
          </cell>
          <cell r="F53">
            <v>21581989484.914902</v>
          </cell>
          <cell r="G53">
            <v>21668627779.158699</v>
          </cell>
          <cell r="H53">
            <v>20921748731.1558</v>
          </cell>
          <cell r="I53">
            <v>19550730164.490501</v>
          </cell>
          <cell r="J53">
            <v>19193086876.672501</v>
          </cell>
          <cell r="K53">
            <v>19842404304.892899</v>
          </cell>
          <cell r="L53">
            <v>21123143098.167599</v>
          </cell>
          <cell r="M53">
            <v>22359383572.217899</v>
          </cell>
          <cell r="N53">
            <v>23632267889.5555</v>
          </cell>
          <cell r="O53">
            <v>24880804888.151199</v>
          </cell>
          <cell r="P53">
            <v>23579790561.366901</v>
          </cell>
          <cell r="Q53">
            <v>2.0146957069939928</v>
          </cell>
          <cell r="R53">
            <v>0.40143794113306658</v>
          </cell>
          <cell r="S53">
            <v>-3.4468220858972054</v>
          </cell>
          <cell r="T53">
            <v>-6.5530782549913456</v>
          </cell>
          <cell r="U53">
            <v>-1.8293091092197635</v>
          </cell>
          <cell r="V53">
            <v>3.3830797119435014</v>
          </cell>
          <cell r="W53">
            <v>6.4545544662593404</v>
          </cell>
          <cell r="X53">
            <v>5.8525403549320396</v>
          </cell>
          <cell r="Y53">
            <v>5.6928417244882894</v>
          </cell>
          <cell r="Z53">
            <v>5.2831873962782128</v>
          </cell>
          <cell r="AA53">
            <v>-5.2289880999945879</v>
          </cell>
          <cell r="AB53">
            <v>9.2567975619133573</v>
          </cell>
          <cell r="AC53">
            <v>18.835349784463411</v>
          </cell>
          <cell r="AD53">
            <v>11.692681094583257</v>
          </cell>
          <cell r="AE53">
            <v>23.114335388805117</v>
          </cell>
        </row>
        <row r="54">
          <cell r="B54" t="str">
            <v>CZE</v>
          </cell>
          <cell r="C54" t="str">
            <v>GDP (constant 2015 US$)</v>
          </cell>
          <cell r="D54" t="str">
            <v>NY.GDP.MKTP.KD</v>
          </cell>
          <cell r="E54">
            <v>168780486813.354</v>
          </cell>
          <cell r="F54">
            <v>172890126530.82001</v>
          </cell>
          <cell r="G54">
            <v>175933614512.93301</v>
          </cell>
          <cell r="H54">
            <v>174552528075.61401</v>
          </cell>
          <cell r="I54">
            <v>174472402052.95001</v>
          </cell>
          <cell r="J54">
            <v>178419147314.396</v>
          </cell>
          <cell r="K54">
            <v>188033050459.88101</v>
          </cell>
          <cell r="L54">
            <v>192803983942.27399</v>
          </cell>
          <cell r="M54">
            <v>202769490319.63</v>
          </cell>
          <cell r="N54">
            <v>209255388993.34299</v>
          </cell>
          <cell r="O54">
            <v>215594735504.853</v>
          </cell>
          <cell r="P54">
            <v>203094954011.89099</v>
          </cell>
          <cell r="Q54">
            <v>2.4349021590455839</v>
          </cell>
          <cell r="R54">
            <v>1.7603596244522752</v>
          </cell>
          <cell r="S54">
            <v>-0.785004299003631</v>
          </cell>
          <cell r="T54">
            <v>-4.5903673551661112E-2</v>
          </cell>
          <cell r="U54">
            <v>2.2621028970806512</v>
          </cell>
          <cell r="V54">
            <v>5.388380838153072</v>
          </cell>
          <cell r="W54">
            <v>2.537284520314107</v>
          </cell>
          <cell r="X54">
            <v>5.1687243041304152</v>
          </cell>
          <cell r="Y54">
            <v>3.198656101314413</v>
          </cell>
          <cell r="Z54">
            <v>3.0294782571700853</v>
          </cell>
          <cell r="AA54">
            <v>-5.7978138768980463</v>
          </cell>
          <cell r="AB54">
            <v>17.470533504229095</v>
          </cell>
          <cell r="AC54">
            <v>8.0102426223328269</v>
          </cell>
          <cell r="AD54">
            <v>23.86766351797305</v>
          </cell>
          <cell r="AE54">
            <v>17.176014254549443</v>
          </cell>
        </row>
        <row r="55">
          <cell r="B55" t="str">
            <v>DNK</v>
          </cell>
          <cell r="C55" t="str">
            <v>GDP (constant 2015 US$)</v>
          </cell>
          <cell r="D55" t="str">
            <v>NY.GDP.MKTP.KD</v>
          </cell>
          <cell r="E55">
            <v>278680088475.41498</v>
          </cell>
          <cell r="F55">
            <v>283894168259.75702</v>
          </cell>
          <cell r="G55">
            <v>287689202382.58801</v>
          </cell>
          <cell r="H55">
            <v>288340817827.02399</v>
          </cell>
          <cell r="I55">
            <v>291032020819.87402</v>
          </cell>
          <cell r="J55">
            <v>295744975353.14801</v>
          </cell>
          <cell r="K55">
            <v>302673070846.85699</v>
          </cell>
          <cell r="L55">
            <v>312497708532.46301</v>
          </cell>
          <cell r="M55">
            <v>321315569939.823</v>
          </cell>
          <cell r="N55">
            <v>327708263102.56598</v>
          </cell>
          <cell r="O55">
            <v>334638192450.44598</v>
          </cell>
          <cell r="P55">
            <v>327737534762.37598</v>
          </cell>
          <cell r="Q55">
            <v>1.8709911471848928</v>
          </cell>
          <cell r="R55">
            <v>1.3367777669031298</v>
          </cell>
          <cell r="S55">
            <v>0.22649979180289606</v>
          </cell>
          <cell r="T55">
            <v>0.93334097237127644</v>
          </cell>
          <cell r="U55">
            <v>1.6193938110304829</v>
          </cell>
          <cell r="V55">
            <v>2.3425911075703554</v>
          </cell>
          <cell r="W55">
            <v>3.2459569852439807</v>
          </cell>
          <cell r="X55">
            <v>2.821736341290312</v>
          </cell>
          <cell r="Y55">
            <v>1.9895373149642965</v>
          </cell>
          <cell r="Z55">
            <v>2.1146642084246374</v>
          </cell>
          <cell r="AA55">
            <v>-2.0621249587618045</v>
          </cell>
          <cell r="AB55">
            <v>15.443560102475661</v>
          </cell>
          <cell r="AC55">
            <v>8.2810353248111763</v>
          </cell>
          <cell r="AD55">
            <v>17.593200111823258</v>
          </cell>
          <cell r="AE55">
            <v>10.807912702957978</v>
          </cell>
        </row>
        <row r="56">
          <cell r="B56" t="str">
            <v>DJI</v>
          </cell>
          <cell r="C56" t="str">
            <v>GDP (constant 2015 US$)</v>
          </cell>
          <cell r="D56" t="str">
            <v>NY.GDP.MKTP.KD</v>
          </cell>
          <cell r="E56" t="str">
            <v>..</v>
          </cell>
          <cell r="F56" t="str">
            <v>..</v>
          </cell>
          <cell r="G56" t="str">
            <v>..</v>
          </cell>
          <cell r="H56" t="str">
            <v>..</v>
          </cell>
          <cell r="I56">
            <v>2107763479.41483</v>
          </cell>
          <cell r="J56">
            <v>2256604108.95994</v>
          </cell>
          <cell r="K56">
            <v>2430274292.2895999</v>
          </cell>
          <cell r="L56">
            <v>2591951944.03089</v>
          </cell>
          <cell r="M56">
            <v>2731997695.4514899</v>
          </cell>
          <cell r="N56">
            <v>2961694845.7308202</v>
          </cell>
          <cell r="O56">
            <v>3191833262.4868598</v>
          </cell>
          <cell r="P56">
            <v>3207792428.7992902</v>
          </cell>
          <cell r="Q56" t="e">
            <v>#VALUE!</v>
          </cell>
          <cell r="R56" t="e">
            <v>#VALUE!</v>
          </cell>
          <cell r="S56" t="e">
            <v>#VALUE!</v>
          </cell>
          <cell r="T56" t="e">
            <v>#VALUE!</v>
          </cell>
          <cell r="U56">
            <v>7.0615432423391269</v>
          </cell>
          <cell r="V56">
            <v>7.6960855756707751</v>
          </cell>
          <cell r="W56">
            <v>6.6526503717805037</v>
          </cell>
          <cell r="X56">
            <v>5.4030998430783761</v>
          </cell>
          <cell r="Y56">
            <v>8.4076626661052334</v>
          </cell>
          <cell r="Z56">
            <v>7.7704972572638979</v>
          </cell>
          <cell r="AA56">
            <v>0.49999999999987726</v>
          </cell>
          <cell r="AB56" t="e">
            <v>#VALUE!</v>
          </cell>
          <cell r="AC56">
            <v>31.993019840455052</v>
          </cell>
          <cell r="AD56" t="e">
            <v>#VALUE!</v>
          </cell>
          <cell r="AE56">
            <v>32.091454299102942</v>
          </cell>
        </row>
        <row r="57">
          <cell r="B57" t="str">
            <v>DMA</v>
          </cell>
          <cell r="C57" t="str">
            <v>GDP (constant 2015 US$)</v>
          </cell>
          <cell r="D57" t="str">
            <v>NY.GDP.MKTP.KD</v>
          </cell>
          <cell r="E57">
            <v>540732479.201612</v>
          </cell>
          <cell r="F57">
            <v>544369631.87110102</v>
          </cell>
          <cell r="G57">
            <v>543152689.81251204</v>
          </cell>
          <cell r="H57">
            <v>537400701.50562596</v>
          </cell>
          <cell r="I57">
            <v>532027013.53904903</v>
          </cell>
          <cell r="J57">
            <v>555691295.06785798</v>
          </cell>
          <cell r="K57">
            <v>540737037.03703701</v>
          </cell>
          <cell r="L57">
            <v>554560951.88235199</v>
          </cell>
          <cell r="M57">
            <v>516853979.40780801</v>
          </cell>
          <cell r="N57">
            <v>528298704.16105098</v>
          </cell>
          <cell r="O57">
            <v>568298267.85458398</v>
          </cell>
          <cell r="P57">
            <v>473932843.20657802</v>
          </cell>
          <cell r="Q57">
            <v>0.67263440044497758</v>
          </cell>
          <cell r="R57">
            <v>-0.22355068823477947</v>
          </cell>
          <cell r="S57">
            <v>-1.0590002433517498</v>
          </cell>
          <cell r="T57">
            <v>-0.99994063117550236</v>
          </cell>
          <cell r="U57">
            <v>4.4479473648140377</v>
          </cell>
          <cell r="V57">
            <v>-2.6911089238845882</v>
          </cell>
          <cell r="W57">
            <v>2.5564949131398467</v>
          </cell>
          <cell r="X57">
            <v>-6.7994279702807816</v>
          </cell>
          <cell r="Y57">
            <v>2.214305240786945</v>
          </cell>
          <cell r="Z57">
            <v>7.571391596928696</v>
          </cell>
          <cell r="AA57">
            <v>-16.604911537782861</v>
          </cell>
          <cell r="AB57">
            <v>-12.939147325764386</v>
          </cell>
          <cell r="AC57">
            <v>-12.354284847309865</v>
          </cell>
          <cell r="AD57">
            <v>-2.5172377755463549</v>
          </cell>
          <cell r="AE57">
            <v>-5.1414046523562078</v>
          </cell>
        </row>
        <row r="58">
          <cell r="B58" t="str">
            <v>DOM</v>
          </cell>
          <cell r="C58" t="str">
            <v>GDP (constant 2015 US$)</v>
          </cell>
          <cell r="D58" t="str">
            <v>NY.GDP.MKTP.KD</v>
          </cell>
          <cell r="E58">
            <v>51651841064.638702</v>
          </cell>
          <cell r="F58">
            <v>55959424375.300201</v>
          </cell>
          <cell r="G58">
            <v>57712869851.171997</v>
          </cell>
          <cell r="H58">
            <v>59281140848.7752</v>
          </cell>
          <cell r="I58">
            <v>62171218046.814499</v>
          </cell>
          <cell r="J58">
            <v>66554577200.624001</v>
          </cell>
          <cell r="K58">
            <v>71164825256.684906</v>
          </cell>
          <cell r="L58">
            <v>75903833487.125107</v>
          </cell>
          <cell r="M58">
            <v>79446041234.736694</v>
          </cell>
          <cell r="N58">
            <v>84993382978.809494</v>
          </cell>
          <cell r="O58">
            <v>89287391492.919205</v>
          </cell>
          <cell r="P58">
            <v>83287065054.835495</v>
          </cell>
          <cell r="Q58">
            <v>8.3396510596221667</v>
          </cell>
          <cell r="R58">
            <v>3.1334230032676045</v>
          </cell>
          <cell r="S58">
            <v>2.7173678967055479</v>
          </cell>
          <cell r="T58">
            <v>4.8752050933227116</v>
          </cell>
          <cell r="U58">
            <v>7.0504636896591961</v>
          </cell>
          <cell r="V58">
            <v>6.9270187716220368</v>
          </cell>
          <cell r="W58">
            <v>6.6592002626958458</v>
          </cell>
          <cell r="X58">
            <v>4.6667046773236045</v>
          </cell>
          <cell r="Y58">
            <v>6.98252758458064</v>
          </cell>
          <cell r="Z58">
            <v>5.0521680201625703</v>
          </cell>
          <cell r="AA58">
            <v>-6.7202393728341319</v>
          </cell>
          <cell r="AB58">
            <v>48.834742288016415</v>
          </cell>
          <cell r="AC58">
            <v>17.03403297124218</v>
          </cell>
          <cell r="AD58">
            <v>64.334926691831342</v>
          </cell>
          <cell r="AE58">
            <v>27.537456804337367</v>
          </cell>
        </row>
        <row r="59">
          <cell r="B59" t="str">
            <v>ECU</v>
          </cell>
          <cell r="C59" t="str">
            <v>GDP (constant 2015 US$)</v>
          </cell>
          <cell r="D59" t="str">
            <v>NY.GDP.MKTP.KD</v>
          </cell>
          <cell r="E59">
            <v>77193914220.309006</v>
          </cell>
          <cell r="F59">
            <v>79915230250.820496</v>
          </cell>
          <cell r="G59">
            <v>86203073182.786194</v>
          </cell>
          <cell r="H59">
            <v>91066617872.098999</v>
          </cell>
          <cell r="I59">
            <v>95571238385.532898</v>
          </cell>
          <cell r="J59">
            <v>99192306978.811203</v>
          </cell>
          <cell r="K59">
            <v>99290381000</v>
          </cell>
          <cell r="L59">
            <v>98072699669.129196</v>
          </cell>
          <cell r="M59">
            <v>100395440274.10699</v>
          </cell>
          <cell r="N59">
            <v>101689830586.56599</v>
          </cell>
          <cell r="O59">
            <v>101702140245.144</v>
          </cell>
          <cell r="P59">
            <v>93820098898.984695</v>
          </cell>
          <cell r="Q59">
            <v>3.5252986689403252</v>
          </cell>
          <cell r="R59">
            <v>7.8681409191098961</v>
          </cell>
          <cell r="S59">
            <v>5.6419620667120274</v>
          </cell>
          <cell r="T59">
            <v>4.9465112669063167</v>
          </cell>
          <cell r="U59">
            <v>3.7888685492082566</v>
          </cell>
          <cell r="V59">
            <v>9.8872608346277216E-2</v>
          </cell>
          <cell r="W59">
            <v>-1.2263839846387574</v>
          </cell>
          <cell r="X59">
            <v>2.3683865263361752</v>
          </cell>
          <cell r="Y59">
            <v>1.2892919329054788</v>
          </cell>
          <cell r="Z59">
            <v>1.2105102847549763E-2</v>
          </cell>
          <cell r="AA59">
            <v>-7.7501233771092126</v>
          </cell>
          <cell r="AB59">
            <v>17.399522724920683</v>
          </cell>
          <cell r="AC59">
            <v>-5.5093776918987798</v>
          </cell>
          <cell r="AD59">
            <v>31.603196068353956</v>
          </cell>
          <cell r="AE59">
            <v>2.4168722135791576</v>
          </cell>
        </row>
        <row r="60">
          <cell r="B60" t="str">
            <v>EGY</v>
          </cell>
          <cell r="C60" t="str">
            <v>GDP (constant 2015 US$)</v>
          </cell>
          <cell r="D60" t="str">
            <v>NY.GDP.MKTP.KD</v>
          </cell>
          <cell r="E60">
            <v>274326082655.67499</v>
          </cell>
          <cell r="F60">
            <v>288446290408.724</v>
          </cell>
          <cell r="G60">
            <v>293536132737.95203</v>
          </cell>
          <cell r="H60">
            <v>300070833527.974</v>
          </cell>
          <cell r="I60">
            <v>306628779734.82001</v>
          </cell>
          <cell r="J60">
            <v>315569804747.03699</v>
          </cell>
          <cell r="K60">
            <v>329366576819.40698</v>
          </cell>
          <cell r="L60">
            <v>343682967568.34302</v>
          </cell>
          <cell r="M60">
            <v>358053111984.862</v>
          </cell>
          <cell r="N60">
            <v>377080487734.14398</v>
          </cell>
          <cell r="O60">
            <v>398037429245.41998</v>
          </cell>
          <cell r="P60">
            <v>412246049856.46198</v>
          </cell>
          <cell r="Q60">
            <v>5.1472348587327836</v>
          </cell>
          <cell r="R60">
            <v>1.7645719492581438</v>
          </cell>
          <cell r="S60">
            <v>2.2261997966211826</v>
          </cell>
          <cell r="T60">
            <v>2.1854660547122604</v>
          </cell>
          <cell r="U60">
            <v>2.9159118788358334</v>
          </cell>
          <cell r="V60">
            <v>4.3720190794013352</v>
          </cell>
          <cell r="W60">
            <v>4.3466434533780181</v>
          </cell>
          <cell r="X60">
            <v>4.1812210009102087</v>
          </cell>
          <cell r="Y60">
            <v>5.3141210374639707</v>
          </cell>
          <cell r="Z60">
            <v>5.5576838879161095</v>
          </cell>
          <cell r="AA60">
            <v>3.5696694750486166</v>
          </cell>
          <cell r="AB60">
            <v>42.919518664052013</v>
          </cell>
          <cell r="AC60">
            <v>25.163291866890958</v>
          </cell>
          <cell r="AD60">
            <v>38.103868388123544</v>
          </cell>
          <cell r="AE60">
            <v>20.054240439379601</v>
          </cell>
        </row>
        <row r="61">
          <cell r="B61" t="str">
            <v>SLV</v>
          </cell>
          <cell r="C61" t="str">
            <v>GDP (constant 2015 US$)</v>
          </cell>
          <cell r="D61" t="str">
            <v>NY.GDP.MKTP.KD</v>
          </cell>
          <cell r="E61">
            <v>20197309385.779099</v>
          </cell>
          <cell r="F61">
            <v>20622814499.243599</v>
          </cell>
          <cell r="G61">
            <v>21409998959.152802</v>
          </cell>
          <cell r="H61">
            <v>22012797869.8941</v>
          </cell>
          <cell r="I61">
            <v>22504154965.204201</v>
          </cell>
          <cell r="J61">
            <v>22889135782.1483</v>
          </cell>
          <cell r="K61">
            <v>23438240000</v>
          </cell>
          <cell r="L61">
            <v>24034960266.263199</v>
          </cell>
          <cell r="M61">
            <v>24574946517.3979</v>
          </cell>
          <cell r="N61">
            <v>25172679891.0741</v>
          </cell>
          <cell r="O61">
            <v>25772439479.576401</v>
          </cell>
          <cell r="P61">
            <v>23560825996.9743</v>
          </cell>
          <cell r="Q61">
            <v>2.1067415730339709</v>
          </cell>
          <cell r="R61">
            <v>3.8170563961484252</v>
          </cell>
          <cell r="S61">
            <v>2.815501821795285</v>
          </cell>
          <cell r="T61">
            <v>2.2321428571426956</v>
          </cell>
          <cell r="U61">
            <v>1.710709944627357</v>
          </cell>
          <cell r="V61">
            <v>2.3989731332711886</v>
          </cell>
          <cell r="W61">
            <v>2.5459260860166926</v>
          </cell>
          <cell r="X61">
            <v>2.2466700387795329</v>
          </cell>
          <cell r="Y61">
            <v>2.4322875870880689</v>
          </cell>
          <cell r="Z61">
            <v>2.3825813981568449</v>
          </cell>
          <cell r="AA61">
            <v>-8.5813121584967273</v>
          </cell>
          <cell r="AB61">
            <v>14.246413833759023</v>
          </cell>
          <cell r="AC61">
            <v>0.52301707369794137</v>
          </cell>
          <cell r="AD61">
            <v>24.444327817543552</v>
          </cell>
          <cell r="AE61">
            <v>9.8093267547710195</v>
          </cell>
        </row>
        <row r="62">
          <cell r="B62" t="str">
            <v>GNQ</v>
          </cell>
          <cell r="C62" t="str">
            <v>GDP (constant 2015 US$)</v>
          </cell>
          <cell r="D62" t="str">
            <v>NY.GDP.MKTP.KD</v>
          </cell>
          <cell r="E62">
            <v>14341122354.8584</v>
          </cell>
          <cell r="F62">
            <v>13061295371.523199</v>
          </cell>
          <cell r="G62">
            <v>13913404306.6369</v>
          </cell>
          <cell r="H62">
            <v>15070007775.8487</v>
          </cell>
          <cell r="I62">
            <v>14447134440.309099</v>
          </cell>
          <cell r="J62">
            <v>14507099626.917299</v>
          </cell>
          <cell r="K62">
            <v>13185496881.4055</v>
          </cell>
          <cell r="L62">
            <v>12023008462.2024</v>
          </cell>
          <cell r="M62">
            <v>11341604102.079</v>
          </cell>
          <cell r="N62">
            <v>10634279180.0445</v>
          </cell>
          <cell r="O62">
            <v>9998462337.5595493</v>
          </cell>
          <cell r="P62">
            <v>9509201933.4239407</v>
          </cell>
          <cell r="Q62">
            <v>-8.924175888518441</v>
          </cell>
          <cell r="R62">
            <v>6.5239236298989578</v>
          </cell>
          <cell r="S62">
            <v>8.3128718444563745</v>
          </cell>
          <cell r="T62">
            <v>-4.133198501316115</v>
          </cell>
          <cell r="U62">
            <v>0.41506630159743363</v>
          </cell>
          <cell r="V62">
            <v>-9.1100411488153128</v>
          </cell>
          <cell r="W62">
            <v>-8.8164172321975123</v>
          </cell>
          <cell r="X62">
            <v>-5.6675029570641975</v>
          </cell>
          <cell r="Y62">
            <v>-6.2365509822798533</v>
          </cell>
          <cell r="Z62">
            <v>-5.978936905080297</v>
          </cell>
          <cell r="AA62">
            <v>-4.8933564744019291</v>
          </cell>
          <cell r="AB62">
            <v>-27.195567798303422</v>
          </cell>
          <cell r="AC62">
            <v>-27.881353134032878</v>
          </cell>
          <cell r="AD62">
            <v>-25.325843192196796</v>
          </cell>
          <cell r="AE62">
            <v>-26.180198174171331</v>
          </cell>
        </row>
        <row r="63">
          <cell r="B63" t="str">
            <v>ERI</v>
          </cell>
          <cell r="C63" t="str">
            <v>GDP (constant 2015 US$)</v>
          </cell>
          <cell r="D63" t="str">
            <v>NY.GDP.MKTP.KD</v>
          </cell>
          <cell r="E63">
            <v>2028539764.49371</v>
          </cell>
          <cell r="F63">
            <v>2073049788.22944</v>
          </cell>
          <cell r="G63">
            <v>2252986365.8498402</v>
          </cell>
          <cell r="H63" t="str">
            <v>..</v>
          </cell>
          <cell r="I63" t="str">
            <v>..</v>
          </cell>
          <cell r="J63" t="str">
            <v>..</v>
          </cell>
          <cell r="K63" t="str">
            <v>..</v>
          </cell>
          <cell r="L63" t="str">
            <v>..</v>
          </cell>
          <cell r="M63" t="str">
            <v>..</v>
          </cell>
          <cell r="N63" t="str">
            <v>..</v>
          </cell>
          <cell r="O63" t="str">
            <v>..</v>
          </cell>
          <cell r="P63" t="str">
            <v>..</v>
          </cell>
          <cell r="Q63">
            <v>2.1941903488807823</v>
          </cell>
          <cell r="R63">
            <v>8.6798001013801631</v>
          </cell>
          <cell r="S63" t="e">
            <v>#VALUE!</v>
          </cell>
          <cell r="T63" t="e">
            <v>#VALUE!</v>
          </cell>
          <cell r="U63" t="e">
            <v>#VALUE!</v>
          </cell>
          <cell r="V63" t="e">
            <v>#VALUE!</v>
          </cell>
          <cell r="W63" t="e">
            <v>#VALUE!</v>
          </cell>
          <cell r="X63" t="e">
            <v>#VALUE!</v>
          </cell>
          <cell r="Y63" t="e">
            <v>#VALUE!</v>
          </cell>
          <cell r="Z63" t="e">
            <v>#VALUE!</v>
          </cell>
          <cell r="AA63" t="e">
            <v>#VALUE!</v>
          </cell>
          <cell r="AB63" t="e">
            <v>#VALUE!</v>
          </cell>
          <cell r="AC63" t="e">
            <v>#VALUE!</v>
          </cell>
          <cell r="AD63" t="e">
            <v>#VALUE!</v>
          </cell>
          <cell r="AE63" t="e">
            <v>#VALUE!</v>
          </cell>
        </row>
        <row r="64">
          <cell r="B64" t="str">
            <v>EST</v>
          </cell>
          <cell r="C64" t="str">
            <v>GDP (constant 2015 US$)</v>
          </cell>
          <cell r="D64" t="str">
            <v>NY.GDP.MKTP.KD</v>
          </cell>
          <cell r="E64">
            <v>18949690212.026798</v>
          </cell>
          <cell r="F64">
            <v>19412870879.848</v>
          </cell>
          <cell r="G64">
            <v>20822844111.507401</v>
          </cell>
          <cell r="H64">
            <v>21495047267.8946</v>
          </cell>
          <cell r="I64">
            <v>21808537192.605598</v>
          </cell>
          <cell r="J64">
            <v>22465272194.631401</v>
          </cell>
          <cell r="K64">
            <v>22881558191.852299</v>
          </cell>
          <cell r="L64">
            <v>23603600591.137001</v>
          </cell>
          <cell r="M64">
            <v>24970731682.205101</v>
          </cell>
          <cell r="N64">
            <v>26002976732.269001</v>
          </cell>
          <cell r="O64">
            <v>27068147756.856602</v>
          </cell>
          <cell r="P64">
            <v>26269347954.890499</v>
          </cell>
          <cell r="Q64">
            <v>2.4442651179977308</v>
          </cell>
          <cell r="R64">
            <v>7.2630845812870355</v>
          </cell>
          <cell r="S64">
            <v>3.2282004935901982</v>
          </cell>
          <cell r="T64">
            <v>1.458428636159516</v>
          </cell>
          <cell r="U64">
            <v>3.0113665865149137</v>
          </cell>
          <cell r="V64">
            <v>1.8530200462934026</v>
          </cell>
          <cell r="W64">
            <v>3.1555648143831756</v>
          </cell>
          <cell r="X64">
            <v>5.7920446746648002</v>
          </cell>
          <cell r="Y64">
            <v>4.1338197983181608</v>
          </cell>
          <cell r="Z64">
            <v>4.0963426439779553</v>
          </cell>
          <cell r="AA64">
            <v>-2.9510693126897074</v>
          </cell>
          <cell r="AB64">
            <v>35.319232881521053</v>
          </cell>
          <cell r="AC64">
            <v>14.805765125928049</v>
          </cell>
          <cell r="AD64">
            <v>37.276919198401416</v>
          </cell>
          <cell r="AE64">
            <v>15.794505828101869</v>
          </cell>
        </row>
        <row r="65">
          <cell r="B65" t="str">
            <v>SWZ</v>
          </cell>
          <cell r="C65" t="str">
            <v>GDP (constant 2015 US$)</v>
          </cell>
          <cell r="D65" t="str">
            <v>NY.GDP.MKTP.KD</v>
          </cell>
          <cell r="E65">
            <v>3390091218.07304</v>
          </cell>
          <cell r="F65">
            <v>3518702972.0879598</v>
          </cell>
          <cell r="G65">
            <v>3597776312.48031</v>
          </cell>
          <cell r="H65">
            <v>3791935013.3570399</v>
          </cell>
          <cell r="I65">
            <v>3938349731.2913198</v>
          </cell>
          <cell r="J65">
            <v>3974709779.0639801</v>
          </cell>
          <cell r="K65">
            <v>4063245671.29285</v>
          </cell>
          <cell r="L65">
            <v>4106422133.9800501</v>
          </cell>
          <cell r="M65">
            <v>4189641987.93016</v>
          </cell>
          <cell r="N65">
            <v>4289003978.1140699</v>
          </cell>
          <cell r="O65">
            <v>4401077165.6525497</v>
          </cell>
          <cell r="P65">
            <v>4319634145.1886301</v>
          </cell>
          <cell r="Q65">
            <v>3.79375496828147</v>
          </cell>
          <cell r="R65">
            <v>2.2472297610681515</v>
          </cell>
          <cell r="S65">
            <v>5.3966306966670974</v>
          </cell>
          <cell r="T65">
            <v>3.8612137976662591</v>
          </cell>
          <cell r="U65">
            <v>0.92323054714438468</v>
          </cell>
          <cell r="V65">
            <v>2.2274806753241636</v>
          </cell>
          <cell r="W65">
            <v>1.0626101934284991</v>
          </cell>
          <cell r="X65">
            <v>2.0265781557496898</v>
          </cell>
          <cell r="Y65">
            <v>2.3716105211414122</v>
          </cell>
          <cell r="Z65">
            <v>2.6130352900199414</v>
          </cell>
          <cell r="AA65">
            <v>-1.8505247101670403</v>
          </cell>
          <cell r="AB65">
            <v>22.762113751971697</v>
          </cell>
          <cell r="AC65">
            <v>6.3099427068164946</v>
          </cell>
          <cell r="AD65">
            <v>26.536818672535301</v>
          </cell>
          <cell r="AE65">
            <v>7.9252024900501095</v>
          </cell>
        </row>
        <row r="66">
          <cell r="B66" t="str">
            <v>ETH</v>
          </cell>
          <cell r="C66" t="str">
            <v>GDP (constant 2015 US$)</v>
          </cell>
          <cell r="D66" t="str">
            <v>NY.GDP.MKTP.KD</v>
          </cell>
          <cell r="E66">
            <v>35297114307.540703</v>
          </cell>
          <cell r="F66">
            <v>39727092173.715599</v>
          </cell>
          <cell r="G66">
            <v>44167904219.3321</v>
          </cell>
          <cell r="H66">
            <v>47987461378.628998</v>
          </cell>
          <cell r="I66">
            <v>53065624131.023499</v>
          </cell>
          <cell r="J66">
            <v>58508826790.9767</v>
          </cell>
          <cell r="K66">
            <v>64589334978.8013</v>
          </cell>
          <cell r="L66">
            <v>70682358692.843307</v>
          </cell>
          <cell r="M66">
            <v>77442553522.341293</v>
          </cell>
          <cell r="N66">
            <v>82721152428.053207</v>
          </cell>
          <cell r="O66">
            <v>89640020508.401306</v>
          </cell>
          <cell r="P66">
            <v>95069173939.288498</v>
          </cell>
          <cell r="Q66">
            <v>12.550538345930725</v>
          </cell>
          <cell r="R66">
            <v>11.178296227164216</v>
          </cell>
          <cell r="S66">
            <v>8.6478116333740243</v>
          </cell>
          <cell r="T66">
            <v>10.582270048267313</v>
          </cell>
          <cell r="U66">
            <v>10.25749296100518</v>
          </cell>
          <cell r="V66">
            <v>10.392463020233288</v>
          </cell>
          <cell r="W66">
            <v>9.4334826578440278</v>
          </cell>
          <cell r="X66">
            <v>9.5641896429560802</v>
          </cell>
          <cell r="Y66">
            <v>6.8161477968170274</v>
          </cell>
          <cell r="Z66">
            <v>8.3640856990789505</v>
          </cell>
          <cell r="AA66">
            <v>6.0566177920255573</v>
          </cell>
          <cell r="AB66">
            <v>139.30564442919021</v>
          </cell>
          <cell r="AC66">
            <v>47.190204033670433</v>
          </cell>
          <cell r="AD66">
            <v>136.58904000068253</v>
          </cell>
          <cell r="AE66">
            <v>42.729069216327154</v>
          </cell>
        </row>
        <row r="67">
          <cell r="B67" t="str">
            <v>FRO</v>
          </cell>
          <cell r="C67" t="str">
            <v>GDP (constant 2015 US$)</v>
          </cell>
          <cell r="D67" t="str">
            <v>NY.GDP.MKTP.KD</v>
          </cell>
          <cell r="E67" t="str">
            <v>..</v>
          </cell>
          <cell r="F67" t="str">
            <v>..</v>
          </cell>
          <cell r="G67" t="str">
            <v>..</v>
          </cell>
          <cell r="H67" t="str">
            <v>..</v>
          </cell>
          <cell r="I67" t="str">
            <v>..</v>
          </cell>
          <cell r="J67" t="str">
            <v>..</v>
          </cell>
          <cell r="K67">
            <v>2518096285.6166101</v>
          </cell>
          <cell r="L67" t="str">
            <v>..</v>
          </cell>
          <cell r="M67" t="str">
            <v>..</v>
          </cell>
          <cell r="N67" t="str">
            <v>..</v>
          </cell>
          <cell r="O67" t="str">
            <v>..</v>
          </cell>
          <cell r="P67" t="str">
            <v>..</v>
          </cell>
          <cell r="Q67" t="e">
            <v>#VALUE!</v>
          </cell>
          <cell r="R67" t="e">
            <v>#VALUE!</v>
          </cell>
          <cell r="S67" t="e">
            <v>#VALUE!</v>
          </cell>
          <cell r="T67" t="e">
            <v>#VALUE!</v>
          </cell>
          <cell r="U67" t="e">
            <v>#VALUE!</v>
          </cell>
          <cell r="V67" t="e">
            <v>#VALUE!</v>
          </cell>
          <cell r="W67" t="e">
            <v>#VALUE!</v>
          </cell>
          <cell r="X67" t="e">
            <v>#VALUE!</v>
          </cell>
          <cell r="Y67" t="e">
            <v>#VALUE!</v>
          </cell>
          <cell r="Z67" t="e">
            <v>#VALUE!</v>
          </cell>
          <cell r="AA67" t="e">
            <v>#VALUE!</v>
          </cell>
          <cell r="AB67" t="e">
            <v>#VALUE!</v>
          </cell>
          <cell r="AC67" t="e">
            <v>#VALUE!</v>
          </cell>
          <cell r="AD67" t="e">
            <v>#VALUE!</v>
          </cell>
          <cell r="AE67" t="e">
            <v>#VALUE!</v>
          </cell>
        </row>
        <row r="68">
          <cell r="B68" t="str">
            <v>FJI</v>
          </cell>
          <cell r="C68" t="str">
            <v>GDP (constant 2015 US$)</v>
          </cell>
          <cell r="D68" t="str">
            <v>NY.GDP.MKTP.KD</v>
          </cell>
          <cell r="E68">
            <v>3778063204.20613</v>
          </cell>
          <cell r="F68">
            <v>3889692595.7911601</v>
          </cell>
          <cell r="G68">
            <v>3994914343.8961401</v>
          </cell>
          <cell r="H68">
            <v>4051295144.5713301</v>
          </cell>
          <cell r="I68">
            <v>4243092348.8854399</v>
          </cell>
          <cell r="J68">
            <v>4480854660.3436098</v>
          </cell>
          <cell r="K68">
            <v>4682546863.0816202</v>
          </cell>
          <cell r="L68">
            <v>4797065664.4500504</v>
          </cell>
          <cell r="M68">
            <v>5053870095.7389297</v>
          </cell>
          <cell r="N68">
            <v>5246541361.3802404</v>
          </cell>
          <cell r="O68">
            <v>5223164712.0055504</v>
          </cell>
          <cell r="P68">
            <v>4402511310.8718596</v>
          </cell>
          <cell r="Q68">
            <v>2.9546724221223379</v>
          </cell>
          <cell r="R68">
            <v>2.7051430290104448</v>
          </cell>
          <cell r="S68">
            <v>1.4113143817797902</v>
          </cell>
          <cell r="T68">
            <v>4.73421948956533</v>
          </cell>
          <cell r="U68">
            <v>5.6035148874528851</v>
          </cell>
          <cell r="V68">
            <v>4.5011993922280853</v>
          </cell>
          <cell r="W68">
            <v>2.4456520076995969</v>
          </cell>
          <cell r="X68">
            <v>5.3533649370697161</v>
          </cell>
          <cell r="Y68">
            <v>3.8123509704722656</v>
          </cell>
          <cell r="Z68">
            <v>-0.44556304362270793</v>
          </cell>
          <cell r="AA68">
            <v>-15.711803980590586</v>
          </cell>
          <cell r="AB68">
            <v>13.184042246310021</v>
          </cell>
          <cell r="AC68">
            <v>-5.9804110967395019</v>
          </cell>
          <cell r="AD68">
            <v>38.048130943514913</v>
          </cell>
          <cell r="AE68">
            <v>16.396224261183367</v>
          </cell>
        </row>
        <row r="69">
          <cell r="B69" t="str">
            <v>FIN</v>
          </cell>
          <cell r="C69" t="str">
            <v>GDP (constant 2015 US$)</v>
          </cell>
          <cell r="D69" t="str">
            <v>NY.GDP.MKTP.KD</v>
          </cell>
          <cell r="E69">
            <v>226341675380.80099</v>
          </cell>
          <cell r="F69">
            <v>233552827575.37799</v>
          </cell>
          <cell r="G69">
            <v>239502970842.66699</v>
          </cell>
          <cell r="H69">
            <v>236155807304.79599</v>
          </cell>
          <cell r="I69">
            <v>234026399089.84799</v>
          </cell>
          <cell r="J69">
            <v>233172417670.31201</v>
          </cell>
          <cell r="K69">
            <v>234440080998.27301</v>
          </cell>
          <cell r="L69">
            <v>241031264863.603</v>
          </cell>
          <cell r="M69">
            <v>248725970173.65799</v>
          </cell>
          <cell r="N69">
            <v>251566290193.70001</v>
          </cell>
          <cell r="O69">
            <v>254637296103.69501</v>
          </cell>
          <cell r="P69">
            <v>247507105783.95599</v>
          </cell>
          <cell r="Q69">
            <v>3.1859586540767775</v>
          </cell>
          <cell r="R69">
            <v>2.5476648384265967</v>
          </cell>
          <cell r="S69">
            <v>-1.397545728177962</v>
          </cell>
          <cell r="T69">
            <v>-0.90169631619503809</v>
          </cell>
          <cell r="U69">
            <v>-0.36490815688195821</v>
          </cell>
          <cell r="V69">
            <v>0.54365921176550891</v>
          </cell>
          <cell r="W69">
            <v>2.8114577666344265</v>
          </cell>
          <cell r="X69">
            <v>3.192409629684076</v>
          </cell>
          <cell r="Y69">
            <v>1.1419475087619277</v>
          </cell>
          <cell r="Z69">
            <v>1.2207541430254403</v>
          </cell>
          <cell r="AA69">
            <v>-2.800135890869424</v>
          </cell>
          <cell r="AB69">
            <v>5.9747845288125792</v>
          </cell>
          <cell r="AC69">
            <v>5.5737162050286271</v>
          </cell>
          <cell r="AD69">
            <v>11.124237007772496</v>
          </cell>
          <cell r="AE69">
            <v>7.8688733043695613</v>
          </cell>
        </row>
        <row r="70">
          <cell r="B70" t="str">
            <v>FRA</v>
          </cell>
          <cell r="C70" t="str">
            <v>GDP (constant 2015 US$)</v>
          </cell>
          <cell r="D70" t="str">
            <v>NY.GDP.MKTP.KD</v>
          </cell>
          <cell r="E70">
            <v>2272337881797.8599</v>
          </cell>
          <cell r="F70">
            <v>2316635691390.1899</v>
          </cell>
          <cell r="G70">
            <v>2367432576851.8799</v>
          </cell>
          <cell r="H70">
            <v>2374845830958.3198</v>
          </cell>
          <cell r="I70">
            <v>2388532700966.8398</v>
          </cell>
          <cell r="J70">
            <v>2411371445853.8398</v>
          </cell>
          <cell r="K70">
            <v>2438207896251.8398</v>
          </cell>
          <cell r="L70">
            <v>2464917595843.98</v>
          </cell>
          <cell r="M70">
            <v>2521399210474.9702</v>
          </cell>
          <cell r="N70">
            <v>2568424971659.46</v>
          </cell>
          <cell r="O70">
            <v>2615760319962.6699</v>
          </cell>
          <cell r="P70">
            <v>2410285649514.3701</v>
          </cell>
          <cell r="Q70">
            <v>1.9494376231268002</v>
          </cell>
          <cell r="R70">
            <v>2.1927006326664698</v>
          </cell>
          <cell r="S70">
            <v>0.31313475107695776</v>
          </cell>
          <cell r="T70">
            <v>0.57632667477185107</v>
          </cell>
          <cell r="U70">
            <v>0.95618305237166068</v>
          </cell>
          <cell r="V70">
            <v>1.1129123405746189</v>
          </cell>
          <cell r="W70">
            <v>1.0954644037204495</v>
          </cell>
          <cell r="X70">
            <v>2.2914199941702762</v>
          </cell>
          <cell r="Y70">
            <v>1.8650660708199096</v>
          </cell>
          <cell r="Z70">
            <v>1.8429718144589828</v>
          </cell>
          <cell r="AA70">
            <v>-7.8552560370375293</v>
          </cell>
          <cell r="AB70">
            <v>4.0424982862964427</v>
          </cell>
          <cell r="AC70">
            <v>-1.145195484781814</v>
          </cell>
          <cell r="AD70">
            <v>12.902644915736005</v>
          </cell>
          <cell r="AE70">
            <v>6.392964650187638</v>
          </cell>
        </row>
        <row r="71">
          <cell r="B71" t="str">
            <v>PYF</v>
          </cell>
          <cell r="C71" t="str">
            <v>GDP (constant 2015 US$)</v>
          </cell>
          <cell r="D71" t="str">
            <v>NY.GDP.MKTP.KD</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e">
            <v>#VALUE!</v>
          </cell>
          <cell r="R71" t="e">
            <v>#VALUE!</v>
          </cell>
          <cell r="S71" t="e">
            <v>#VALUE!</v>
          </cell>
          <cell r="T71" t="e">
            <v>#VALUE!</v>
          </cell>
          <cell r="U71" t="e">
            <v>#VALUE!</v>
          </cell>
          <cell r="V71" t="e">
            <v>#VALUE!</v>
          </cell>
          <cell r="W71" t="e">
            <v>#VALUE!</v>
          </cell>
          <cell r="X71" t="e">
            <v>#VALUE!</v>
          </cell>
          <cell r="Y71" t="e">
            <v>#VALUE!</v>
          </cell>
          <cell r="Z71" t="e">
            <v>#VALUE!</v>
          </cell>
          <cell r="AA71" t="e">
            <v>#VALUE!</v>
          </cell>
          <cell r="AB71" t="e">
            <v>#VALUE!</v>
          </cell>
          <cell r="AC71" t="e">
            <v>#VALUE!</v>
          </cell>
          <cell r="AD71" t="e">
            <v>#VALUE!</v>
          </cell>
          <cell r="AE71" t="e">
            <v>#VALUE!</v>
          </cell>
        </row>
        <row r="72">
          <cell r="B72" t="str">
            <v>GAB</v>
          </cell>
          <cell r="C72" t="str">
            <v>GDP (constant 2015 US$)</v>
          </cell>
          <cell r="D72" t="str">
            <v>NY.GDP.MKTP.KD</v>
          </cell>
          <cell r="E72">
            <v>10409376000.3515</v>
          </cell>
          <cell r="F72">
            <v>11147389028.924299</v>
          </cell>
          <cell r="G72">
            <v>11937934362.9942</v>
          </cell>
          <cell r="H72">
            <v>12564804478.756201</v>
          </cell>
          <cell r="I72">
            <v>13273295983.677299</v>
          </cell>
          <cell r="J72">
            <v>13846033985.531601</v>
          </cell>
          <cell r="K72">
            <v>14383107714.038799</v>
          </cell>
          <cell r="L72">
            <v>14683922099.6348</v>
          </cell>
          <cell r="M72">
            <v>14753324487.264</v>
          </cell>
          <cell r="N72">
            <v>14876945039.3652</v>
          </cell>
          <cell r="O72">
            <v>15460241608.825701</v>
          </cell>
          <cell r="P72">
            <v>15176119328.9266</v>
          </cell>
          <cell r="Q72">
            <v>7.0898873145506398</v>
          </cell>
          <cell r="R72">
            <v>7.0917533425868653</v>
          </cell>
          <cell r="S72">
            <v>5.251076917504288</v>
          </cell>
          <cell r="T72">
            <v>5.6386990033865843</v>
          </cell>
          <cell r="U72">
            <v>4.3149644410749231</v>
          </cell>
          <cell r="V72">
            <v>3.8788993950788582</v>
          </cell>
          <cell r="W72">
            <v>2.0914422082954109</v>
          </cell>
          <cell r="X72">
            <v>0.47264203091165996</v>
          </cell>
          <cell r="Y72">
            <v>0.8379165808216118</v>
          </cell>
          <cell r="Z72">
            <v>3.9208087945278178</v>
          </cell>
          <cell r="AA72">
            <v>-1.8377609295375175</v>
          </cell>
          <cell r="AB72">
            <v>36.140573272798612</v>
          </cell>
          <cell r="AC72">
            <v>5.513492846290597</v>
          </cell>
          <cell r="AD72">
            <v>42.942584062976174</v>
          </cell>
          <cell r="AE72">
            <v>7.4634877776694086</v>
          </cell>
        </row>
        <row r="73">
          <cell r="B73" t="str">
            <v>GMB</v>
          </cell>
          <cell r="C73" t="str">
            <v>GDP (constant 2015 US$)</v>
          </cell>
          <cell r="D73" t="str">
            <v>NY.GDP.MKTP.KD</v>
          </cell>
          <cell r="E73">
            <v>1275249825.5969</v>
          </cell>
          <cell r="F73">
            <v>1350595867.70556</v>
          </cell>
          <cell r="G73">
            <v>1240786424.0014999</v>
          </cell>
          <cell r="H73">
            <v>1305823103.61432</v>
          </cell>
          <cell r="I73">
            <v>1343336382.1918299</v>
          </cell>
          <cell r="J73">
            <v>1324430501.0984299</v>
          </cell>
          <cell r="K73">
            <v>1378176868.31568</v>
          </cell>
          <cell r="L73">
            <v>1404959801.54615</v>
          </cell>
          <cell r="M73">
            <v>1472715550.98331</v>
          </cell>
          <cell r="N73">
            <v>1579264906.00789</v>
          </cell>
          <cell r="O73">
            <v>1676447055.8329</v>
          </cell>
          <cell r="P73">
            <v>1672833037.60516</v>
          </cell>
          <cell r="Q73">
            <v>5.9083358096828693</v>
          </cell>
          <cell r="R73">
            <v>-8.1304442231567204</v>
          </cell>
          <cell r="S73">
            <v>5.2415692463074155</v>
          </cell>
          <cell r="T73">
            <v>2.872768790326869</v>
          </cell>
          <cell r="U73">
            <v>-1.4073824951091229</v>
          </cell>
          <cell r="V73">
            <v>4.0580738039991537</v>
          </cell>
          <cell r="W73">
            <v>1.9433596547881651</v>
          </cell>
          <cell r="X73">
            <v>4.8226112492752611</v>
          </cell>
          <cell r="Y73">
            <v>7.2348903325858558</v>
          </cell>
          <cell r="Z73">
            <v>6.1536319496055807</v>
          </cell>
          <cell r="AA73">
            <v>-0.21557604310650397</v>
          </cell>
          <cell r="AB73">
            <v>23.858889072941409</v>
          </cell>
          <cell r="AC73">
            <v>21.38014184272226</v>
          </cell>
          <cell r="AD73">
            <v>24.334675439565046</v>
          </cell>
          <cell r="AE73">
            <v>19.71769982528415</v>
          </cell>
        </row>
        <row r="74">
          <cell r="B74" t="str">
            <v>GEO</v>
          </cell>
          <cell r="C74" t="str">
            <v>GDP (constant 2015 US$)</v>
          </cell>
          <cell r="D74" t="str">
            <v>NY.GDP.MKTP.KD</v>
          </cell>
          <cell r="E74">
            <v>11050871061.560801</v>
          </cell>
          <cell r="F74">
            <v>11741493896.7964</v>
          </cell>
          <cell r="G74">
            <v>12610364429.559799</v>
          </cell>
          <cell r="H74">
            <v>13413519587.538</v>
          </cell>
          <cell r="I74">
            <v>13899264090.2481</v>
          </cell>
          <cell r="J74">
            <v>14515269025.690701</v>
          </cell>
          <cell r="K74">
            <v>14953950557.440599</v>
          </cell>
          <cell r="L74">
            <v>15388577975.5872</v>
          </cell>
          <cell r="M74">
            <v>16133785748.909401</v>
          </cell>
          <cell r="N74">
            <v>16915132067.157301</v>
          </cell>
          <cell r="O74">
            <v>17757903230.0709</v>
          </cell>
          <cell r="P74">
            <v>16557390869.431101</v>
          </cell>
          <cell r="Q74">
            <v>6.2494877678724583</v>
          </cell>
          <cell r="R74">
            <v>7.3999998671418252</v>
          </cell>
          <cell r="S74">
            <v>6.3690083063383547</v>
          </cell>
          <cell r="T74">
            <v>3.6213053519628597</v>
          </cell>
          <cell r="U74">
            <v>4.4319248230904336</v>
          </cell>
          <cell r="V74">
            <v>3.0222073801971749</v>
          </cell>
          <cell r="W74">
            <v>2.9064387800208706</v>
          </cell>
          <cell r="X74">
            <v>4.842603224966048</v>
          </cell>
          <cell r="Y74">
            <v>4.842919885066137</v>
          </cell>
          <cell r="Z74">
            <v>4.9823504751106107</v>
          </cell>
          <cell r="AA74">
            <v>-6.7604398170549436</v>
          </cell>
          <cell r="AB74">
            <v>41.016049703425651</v>
          </cell>
          <cell r="AC74">
            <v>10.722519817297922</v>
          </cell>
          <cell r="AD74">
            <v>52.916517964447074</v>
          </cell>
          <cell r="AE74">
            <v>16.419524861513146</v>
          </cell>
        </row>
        <row r="75">
          <cell r="B75" t="str">
            <v>DEU</v>
          </cell>
          <cell r="C75" t="str">
            <v>GDP (constant 2015 US$)</v>
          </cell>
          <cell r="D75" t="str">
            <v>NY.GDP.MKTP.KD</v>
          </cell>
          <cell r="E75">
            <v>2962884875160.6499</v>
          </cell>
          <cell r="F75">
            <v>3086729981515.2002</v>
          </cell>
          <cell r="G75">
            <v>3207890081561.3901</v>
          </cell>
          <cell r="H75">
            <v>3221315024377.8701</v>
          </cell>
          <cell r="I75">
            <v>3235411218771.4399</v>
          </cell>
          <cell r="J75">
            <v>3306899034832.9302</v>
          </cell>
          <cell r="K75">
            <v>3356235704119.75</v>
          </cell>
          <cell r="L75">
            <v>3431079755885.3599</v>
          </cell>
          <cell r="M75">
            <v>3523040623050.77</v>
          </cell>
          <cell r="N75">
            <v>3561301707859.6001</v>
          </cell>
          <cell r="O75">
            <v>3598891541091.3398</v>
          </cell>
          <cell r="P75">
            <v>3434435991589.48</v>
          </cell>
          <cell r="Q75">
            <v>4.1798824987364824</v>
          </cell>
          <cell r="R75">
            <v>3.9251927046341581</v>
          </cell>
          <cell r="S75">
            <v>0.41849759421761734</v>
          </cell>
          <cell r="T75">
            <v>0.43759130314465938</v>
          </cell>
          <cell r="U75">
            <v>2.2095434313489153</v>
          </cell>
          <cell r="V75">
            <v>1.4919315276074763</v>
          </cell>
          <cell r="W75">
            <v>2.2299998678203514</v>
          </cell>
          <cell r="X75">
            <v>2.680231114058742</v>
          </cell>
          <cell r="Y75">
            <v>1.0860245141226321</v>
          </cell>
          <cell r="Z75">
            <v>1.0555082471328117</v>
          </cell>
          <cell r="AA75">
            <v>-4.5696167173737559</v>
          </cell>
          <cell r="AB75">
            <v>11.264542482060559</v>
          </cell>
          <cell r="AC75">
            <v>2.3299998678203626</v>
          </cell>
          <cell r="AD75">
            <v>20.151098253434597</v>
          </cell>
          <cell r="AE75">
            <v>7.6518720406073326</v>
          </cell>
        </row>
        <row r="76">
          <cell r="B76" t="str">
            <v>GHA</v>
          </cell>
          <cell r="C76" t="str">
            <v>GDP (constant 2015 US$)</v>
          </cell>
          <cell r="D76" t="str">
            <v>NY.GDP.MKTP.KD</v>
          </cell>
          <cell r="E76">
            <v>32590683205.311901</v>
          </cell>
          <cell r="F76">
            <v>35165253297.977699</v>
          </cell>
          <cell r="G76">
            <v>40104959886.075401</v>
          </cell>
          <cell r="H76">
            <v>43831829349.7696</v>
          </cell>
          <cell r="I76">
            <v>47037042836.2845</v>
          </cell>
          <cell r="J76">
            <v>48380533745.407204</v>
          </cell>
          <cell r="K76">
            <v>49406568432.671097</v>
          </cell>
          <cell r="L76">
            <v>51073282096.834198</v>
          </cell>
          <cell r="M76">
            <v>55224975510.767303</v>
          </cell>
          <cell r="N76">
            <v>58648966891.898804</v>
          </cell>
          <cell r="O76">
            <v>62465709576.181503</v>
          </cell>
          <cell r="P76">
            <v>62724594622.778397</v>
          </cell>
          <cell r="Q76">
            <v>7.8997119405160969</v>
          </cell>
          <cell r="R76">
            <v>14.047123580314938</v>
          </cell>
          <cell r="S76">
            <v>9.2927894063002974</v>
          </cell>
          <cell r="T76">
            <v>7.3125250167815512</v>
          </cell>
          <cell r="U76">
            <v>2.8562401633087595</v>
          </cell>
          <cell r="V76">
            <v>2.1207593381734764</v>
          </cell>
          <cell r="W76">
            <v>3.3734657496693354</v>
          </cell>
          <cell r="X76">
            <v>8.1288948810095167</v>
          </cell>
          <cell r="Y76">
            <v>6.2000776812728855</v>
          </cell>
          <cell r="Z76">
            <v>6.5077747939152646</v>
          </cell>
          <cell r="AA76">
            <v>0.41444345762400092</v>
          </cell>
          <cell r="AB76">
            <v>78.370945010043741</v>
          </cell>
          <cell r="AC76">
            <v>26.955983005086598</v>
          </cell>
          <cell r="AD76">
            <v>80.686321190520488</v>
          </cell>
          <cell r="AE76">
            <v>21.716115916404188</v>
          </cell>
        </row>
        <row r="77">
          <cell r="B77" t="str">
            <v>GIB</v>
          </cell>
          <cell r="C77" t="str">
            <v>GDP (constant 2015 US$)</v>
          </cell>
          <cell r="D77" t="str">
            <v>NY.GDP.MKTP.KD</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e">
            <v>#VALUE!</v>
          </cell>
          <cell r="R77" t="e">
            <v>#VALUE!</v>
          </cell>
          <cell r="S77" t="e">
            <v>#VALUE!</v>
          </cell>
          <cell r="T77" t="e">
            <v>#VALUE!</v>
          </cell>
          <cell r="U77" t="e">
            <v>#VALUE!</v>
          </cell>
          <cell r="V77" t="e">
            <v>#VALUE!</v>
          </cell>
          <cell r="W77" t="e">
            <v>#VALUE!</v>
          </cell>
          <cell r="X77" t="e">
            <v>#VALUE!</v>
          </cell>
          <cell r="Y77" t="e">
            <v>#VALUE!</v>
          </cell>
          <cell r="Z77" t="e">
            <v>#VALUE!</v>
          </cell>
          <cell r="AA77" t="e">
            <v>#VALUE!</v>
          </cell>
          <cell r="AB77" t="e">
            <v>#VALUE!</v>
          </cell>
          <cell r="AC77" t="e">
            <v>#VALUE!</v>
          </cell>
          <cell r="AD77" t="e">
            <v>#VALUE!</v>
          </cell>
          <cell r="AE77" t="e">
            <v>#VALUE!</v>
          </cell>
        </row>
        <row r="78">
          <cell r="B78" t="str">
            <v>GRC</v>
          </cell>
          <cell r="C78" t="str">
            <v>GDP (constant 2015 US$)</v>
          </cell>
          <cell r="D78" t="str">
            <v>NY.GDP.MKTP.KD</v>
          </cell>
          <cell r="E78">
            <v>253576122155.77701</v>
          </cell>
          <cell r="F78">
            <v>239683631166.50299</v>
          </cell>
          <cell r="G78">
            <v>215357384843.754</v>
          </cell>
          <cell r="H78">
            <v>200095659972.79901</v>
          </cell>
          <cell r="I78">
            <v>195061258726.74799</v>
          </cell>
          <cell r="J78">
            <v>195989157228.94501</v>
          </cell>
          <cell r="K78">
            <v>195604846736.01901</v>
          </cell>
          <cell r="L78">
            <v>194651912160.36099</v>
          </cell>
          <cell r="M78">
            <v>196777801306.42001</v>
          </cell>
          <cell r="N78">
            <v>200060898492.75699</v>
          </cell>
          <cell r="O78">
            <v>203669187367.38599</v>
          </cell>
          <cell r="P78">
            <v>185300000452.35599</v>
          </cell>
          <cell r="Q78">
            <v>-5.4786274319391852</v>
          </cell>
          <cell r="R78">
            <v>-10.149314829868411</v>
          </cell>
          <cell r="S78">
            <v>-7.0866967863803074</v>
          </cell>
          <cell r="T78">
            <v>-2.5159972218964675</v>
          </cell>
          <cell r="U78">
            <v>0.47569594713672497</v>
          </cell>
          <cell r="V78">
            <v>-0.19608762972385357</v>
          </cell>
          <cell r="W78">
            <v>-0.48717329430188655</v>
          </cell>
          <cell r="X78">
            <v>1.0921491201728548</v>
          </cell>
          <cell r="Y78">
            <v>1.6684286360251459</v>
          </cell>
          <cell r="Z78">
            <v>1.8035952561512827</v>
          </cell>
          <cell r="AA78">
            <v>-9.0191290849975161</v>
          </cell>
          <cell r="AB78">
            <v>-22.68975584584993</v>
          </cell>
          <cell r="AC78">
            <v>-5.2681957812477211</v>
          </cell>
          <cell r="AD78">
            <v>-21.199731568504976</v>
          </cell>
          <cell r="AE78">
            <v>1.953938555646495</v>
          </cell>
        </row>
        <row r="79">
          <cell r="B79" t="str">
            <v>GRL</v>
          </cell>
          <cell r="C79" t="str">
            <v>GDP (constant 2015 US$)</v>
          </cell>
          <cell r="D79" t="str">
            <v>NY.GDP.MKTP.KD</v>
          </cell>
          <cell r="E79">
            <v>2416244806.4606199</v>
          </cell>
          <cell r="F79">
            <v>2458186589.2954602</v>
          </cell>
          <cell r="G79">
            <v>2445981216.1890702</v>
          </cell>
          <cell r="H79">
            <v>2480082923.8811698</v>
          </cell>
          <cell r="I79">
            <v>2447884486.1012201</v>
          </cell>
          <cell r="J79">
            <v>2563966489.5508299</v>
          </cell>
          <cell r="K79">
            <v>2499115623.0027199</v>
          </cell>
          <cell r="L79">
            <v>2616123069.6206298</v>
          </cell>
          <cell r="M79">
            <v>2617502503.7771401</v>
          </cell>
          <cell r="N79">
            <v>2665817621.6389198</v>
          </cell>
          <cell r="O79">
            <v>2710570656.36234</v>
          </cell>
          <cell r="P79" t="str">
            <v>..</v>
          </cell>
          <cell r="Q79">
            <v>1.7358250588969808</v>
          </cell>
          <cell r="R79">
            <v>-0.49651939195910166</v>
          </cell>
          <cell r="S79">
            <v>1.3941933595561826</v>
          </cell>
          <cell r="T79">
            <v>-1.2982806933552522</v>
          </cell>
          <cell r="U79">
            <v>4.7421356730151594</v>
          </cell>
          <cell r="V79">
            <v>-2.529318023944648</v>
          </cell>
          <cell r="W79">
            <v>4.6819541097231809</v>
          </cell>
          <cell r="X79">
            <v>5.2728182879805734E-2</v>
          </cell>
          <cell r="Y79">
            <v>1.8458480093929013</v>
          </cell>
          <cell r="Z79">
            <v>1.6787733099275708</v>
          </cell>
          <cell r="AA79" t="e">
            <v>#VALUE!</v>
          </cell>
          <cell r="AB79" t="e">
            <v>#VALUE!</v>
          </cell>
          <cell r="AC79" t="e">
            <v>#VALUE!</v>
          </cell>
          <cell r="AD79" t="e">
            <v>#VALUE!</v>
          </cell>
          <cell r="AE79" t="e">
            <v>#VALUE!</v>
          </cell>
        </row>
        <row r="80">
          <cell r="B80" t="str">
            <v>GRD</v>
          </cell>
          <cell r="C80" t="str">
            <v>GDP (constant 2015 US$)</v>
          </cell>
          <cell r="D80" t="str">
            <v>NY.GDP.MKTP.KD</v>
          </cell>
          <cell r="E80">
            <v>860342475.37022305</v>
          </cell>
          <cell r="F80">
            <v>855943864.73553002</v>
          </cell>
          <cell r="G80">
            <v>862491636.92748404</v>
          </cell>
          <cell r="H80">
            <v>852528618.82134902</v>
          </cell>
          <cell r="I80">
            <v>872575136.81353199</v>
          </cell>
          <cell r="J80">
            <v>936657722.57178104</v>
          </cell>
          <cell r="K80">
            <v>997007925.92592597</v>
          </cell>
          <cell r="L80">
            <v>1034292546.66362</v>
          </cell>
          <cell r="M80">
            <v>1080201438.2836399</v>
          </cell>
          <cell r="N80">
            <v>1126643677.1700201</v>
          </cell>
          <cell r="O80">
            <v>1134931073.15504</v>
          </cell>
          <cell r="P80">
            <v>979357778.22822499</v>
          </cell>
          <cell r="Q80">
            <v>-0.51126275414917921</v>
          </cell>
          <cell r="R80">
            <v>0.76497682403239742</v>
          </cell>
          <cell r="S80">
            <v>-1.1551437346832703</v>
          </cell>
          <cell r="T80">
            <v>2.3514187734715568</v>
          </cell>
          <cell r="U80">
            <v>7.3440765218529709</v>
          </cell>
          <cell r="V80">
            <v>6.4431437332776564</v>
          </cell>
          <cell r="W80">
            <v>3.7396513877327129</v>
          </cell>
          <cell r="X80">
            <v>4.4386756694816185</v>
          </cell>
          <cell r="Y80">
            <v>4.2994053924028721</v>
          </cell>
          <cell r="Z80">
            <v>0.73558270045386176</v>
          </cell>
          <cell r="AA80">
            <v>-13.707730681329453</v>
          </cell>
          <cell r="AB80">
            <v>14.418458800546164</v>
          </cell>
          <cell r="AC80">
            <v>-1.7703116734312019</v>
          </cell>
          <cell r="AD80">
            <v>30.247235815822894</v>
          </cell>
          <cell r="AE80">
            <v>19.635194982686599</v>
          </cell>
        </row>
        <row r="81">
          <cell r="B81" t="str">
            <v>GUM</v>
          </cell>
          <cell r="C81" t="str">
            <v>GDP (constant 2015 US$)</v>
          </cell>
          <cell r="D81" t="str">
            <v>NY.GDP.MKTP.KD</v>
          </cell>
          <cell r="E81">
            <v>5315662056.4149199</v>
          </cell>
          <cell r="F81">
            <v>5435968880.8007298</v>
          </cell>
          <cell r="G81">
            <v>5440190172.8844404</v>
          </cell>
          <cell r="H81">
            <v>5556275705.1865301</v>
          </cell>
          <cell r="I81">
            <v>5650199454.04914</v>
          </cell>
          <cell r="J81">
            <v>5751510464.0582399</v>
          </cell>
          <cell r="K81">
            <v>5799000000</v>
          </cell>
          <cell r="L81">
            <v>5809553230.20928</v>
          </cell>
          <cell r="M81">
            <v>5861264058.2347603</v>
          </cell>
          <cell r="N81">
            <v>5819051137.3976297</v>
          </cell>
          <cell r="O81">
            <v>5966796360.32757</v>
          </cell>
          <cell r="P81">
            <v>5259729936.3057299</v>
          </cell>
          <cell r="Q81">
            <v>2.2632519356760858</v>
          </cell>
          <cell r="R81">
            <v>7.7654824305926948E-2</v>
          </cell>
          <cell r="S81">
            <v>2.1338506304558109</v>
          </cell>
          <cell r="T81">
            <v>1.6904083570751596</v>
          </cell>
          <cell r="U81">
            <v>1.7930519237953055</v>
          </cell>
          <cell r="V81">
            <v>0.82568807339440453</v>
          </cell>
          <cell r="W81">
            <v>0.18198362147404751</v>
          </cell>
          <cell r="X81">
            <v>0.890099909173523</v>
          </cell>
          <cell r="Y81">
            <v>-0.7202016564639101</v>
          </cell>
          <cell r="Z81">
            <v>2.5389916575989084</v>
          </cell>
          <cell r="AA81">
            <v>-11.850017686593597</v>
          </cell>
          <cell r="AB81">
            <v>-3.2420889147739107</v>
          </cell>
          <cell r="AC81">
            <v>-9.2993630573248858</v>
          </cell>
          <cell r="AD81">
            <v>9.5462529044231026</v>
          </cell>
          <cell r="AE81">
            <v>1.2448579595556675</v>
          </cell>
        </row>
        <row r="82">
          <cell r="B82" t="str">
            <v>GTM</v>
          </cell>
          <cell r="C82" t="str">
            <v>GDP (constant 2015 US$)</v>
          </cell>
          <cell r="D82" t="str">
            <v>NY.GDP.MKTP.KD</v>
          </cell>
          <cell r="E82">
            <v>49984918092.548798</v>
          </cell>
          <cell r="F82">
            <v>51426570817.881897</v>
          </cell>
          <cell r="G82">
            <v>53567925339.824303</v>
          </cell>
          <cell r="H82">
            <v>55161415004.863197</v>
          </cell>
          <cell r="I82">
            <v>57199529556.802299</v>
          </cell>
          <cell r="J82">
            <v>59741463827.803802</v>
          </cell>
          <cell r="K82">
            <v>62186186575.743301</v>
          </cell>
          <cell r="L82">
            <v>63851409868.929802</v>
          </cell>
          <cell r="M82">
            <v>65817938467.966599</v>
          </cell>
          <cell r="N82">
            <v>68004474883.707703</v>
          </cell>
          <cell r="O82">
            <v>70634110391.977905</v>
          </cell>
          <cell r="P82">
            <v>69560946554.621597</v>
          </cell>
          <cell r="Q82">
            <v>2.8841754280037626</v>
          </cell>
          <cell r="R82">
            <v>4.1639068829334036</v>
          </cell>
          <cell r="S82">
            <v>2.9747085684765877</v>
          </cell>
          <cell r="T82">
            <v>3.6948191988175352</v>
          </cell>
          <cell r="U82">
            <v>4.4439775828527077</v>
          </cell>
          <cell r="V82">
            <v>4.0921708162124402</v>
          </cell>
          <cell r="W82">
            <v>2.6778025553283356</v>
          </cell>
          <cell r="X82">
            <v>3.0798514912569104</v>
          </cell>
          <cell r="Y82">
            <v>3.3220979973495908</v>
          </cell>
          <cell r="Z82">
            <v>3.8668565749049</v>
          </cell>
          <cell r="AA82">
            <v>-1.5193280291928049</v>
          </cell>
          <cell r="AB82">
            <v>35.262657899083692</v>
          </cell>
          <cell r="AC82">
            <v>11.85916098890511</v>
          </cell>
          <cell r="AD82">
            <v>36.150107776358517</v>
          </cell>
          <cell r="AE82">
            <v>13.91505245182325</v>
          </cell>
        </row>
        <row r="83">
          <cell r="B83" t="str">
            <v>GIN</v>
          </cell>
          <cell r="C83" t="str">
            <v>GDP (constant 2015 US$)</v>
          </cell>
          <cell r="D83" t="str">
            <v>NY.GDP.MKTP.KD</v>
          </cell>
          <cell r="E83">
            <v>6702408713.6875601</v>
          </cell>
          <cell r="F83">
            <v>7025019965.8931398</v>
          </cell>
          <cell r="G83">
            <v>7419271685.6837902</v>
          </cell>
          <cell r="H83">
            <v>7858143038.9511995</v>
          </cell>
          <cell r="I83">
            <v>8168200516.1986904</v>
          </cell>
          <cell r="J83">
            <v>8470141466.1210804</v>
          </cell>
          <cell r="K83">
            <v>8794202443.6736603</v>
          </cell>
          <cell r="L83">
            <v>9745789798.5574398</v>
          </cell>
          <cell r="M83">
            <v>10749606195.9331</v>
          </cell>
          <cell r="N83">
            <v>11433119038.124701</v>
          </cell>
          <cell r="O83">
            <v>12078653011.9638</v>
          </cell>
          <cell r="P83">
            <v>12922776921.3699</v>
          </cell>
          <cell r="Q83">
            <v>4.8133628667966466</v>
          </cell>
          <cell r="R83">
            <v>5.6121081748488155</v>
          </cell>
          <cell r="S83">
            <v>5.9152888836009945</v>
          </cell>
          <cell r="T83">
            <v>3.9456838048200411</v>
          </cell>
          <cell r="U83">
            <v>3.6965418432566461</v>
          </cell>
          <cell r="V83">
            <v>3.8259216667013272</v>
          </cell>
          <cell r="W83">
            <v>10.820621437573669</v>
          </cell>
          <cell r="X83">
            <v>10.300000493795213</v>
          </cell>
          <cell r="Y83">
            <v>6.3584919273619009</v>
          </cell>
          <cell r="Z83">
            <v>5.6461755684211132</v>
          </cell>
          <cell r="AA83">
            <v>6.9885599708013961</v>
          </cell>
          <cell r="AB83">
            <v>83.953597058950663</v>
          </cell>
          <cell r="AC83">
            <v>46.946548071181113</v>
          </cell>
          <cell r="AD83">
            <v>71.9109743794736</v>
          </cell>
          <cell r="AE83">
            <v>36.032865244122434</v>
          </cell>
        </row>
        <row r="84">
          <cell r="B84" t="str">
            <v>GNB</v>
          </cell>
          <cell r="C84" t="str">
            <v>GDP (constant 2015 US$)</v>
          </cell>
          <cell r="D84" t="str">
            <v>NY.GDP.MKTP.KD</v>
          </cell>
          <cell r="E84">
            <v>852468716.43788099</v>
          </cell>
          <cell r="F84">
            <v>891775800.88531494</v>
          </cell>
          <cell r="G84">
            <v>963873910.10789204</v>
          </cell>
          <cell r="H84">
            <v>947365805.39419794</v>
          </cell>
          <cell r="I84">
            <v>978211129.05885601</v>
          </cell>
          <cell r="J84">
            <v>987646569.671489</v>
          </cell>
          <cell r="K84">
            <v>1048229629.42039</v>
          </cell>
          <cell r="L84">
            <v>1113878213.7488699</v>
          </cell>
          <cell r="M84">
            <v>1179810632.61765</v>
          </cell>
          <cell r="N84">
            <v>1194956294.73557</v>
          </cell>
          <cell r="O84">
            <v>1248729327.89726</v>
          </cell>
          <cell r="P84">
            <v>1218759824.0374999</v>
          </cell>
          <cell r="Q84">
            <v>4.6109709001031991</v>
          </cell>
          <cell r="R84">
            <v>8.0847797339870997</v>
          </cell>
          <cell r="S84">
            <v>-1.7126830118107716</v>
          </cell>
          <cell r="T84">
            <v>3.2559042651769938</v>
          </cell>
          <cell r="U84">
            <v>0.96456075098132388</v>
          </cell>
          <cell r="V84">
            <v>6.134082941132692</v>
          </cell>
          <cell r="W84">
            <v>6.2628056378047372</v>
          </cell>
          <cell r="X84">
            <v>5.9191766258609109</v>
          </cell>
          <cell r="Y84">
            <v>1.2837367030941387</v>
          </cell>
          <cell r="Z84">
            <v>4.4999999915134428</v>
          </cell>
          <cell r="AA84">
            <v>-2.3999999992172687</v>
          </cell>
          <cell r="AB84">
            <v>36.666617643982931</v>
          </cell>
          <cell r="AC84">
            <v>16.268400532753798</v>
          </cell>
          <cell r="AD84">
            <v>40.211361810240255</v>
          </cell>
          <cell r="AE84">
            <v>21.020821924324085</v>
          </cell>
        </row>
        <row r="85">
          <cell r="B85" t="str">
            <v>GUY</v>
          </cell>
          <cell r="C85" t="str">
            <v>GDP (constant 2015 US$)</v>
          </cell>
          <cell r="D85" t="str">
            <v>NY.GDP.MKTP.KD</v>
          </cell>
          <cell r="E85">
            <v>3500552685.8119702</v>
          </cell>
          <cell r="F85">
            <v>3632810573.7984099</v>
          </cell>
          <cell r="G85">
            <v>3826780067.1153798</v>
          </cell>
          <cell r="H85">
            <v>4032799496.9052801</v>
          </cell>
          <cell r="I85">
            <v>4180138018.8088698</v>
          </cell>
          <cell r="J85">
            <v>4250616305.04776</v>
          </cell>
          <cell r="K85">
            <v>4279840193.7045999</v>
          </cell>
          <cell r="L85">
            <v>4442813034.6353397</v>
          </cell>
          <cell r="M85">
            <v>4608724292.1586304</v>
          </cell>
          <cell r="N85">
            <v>4813398364.26896</v>
          </cell>
          <cell r="O85">
            <v>5071041645.2361202</v>
          </cell>
          <cell r="P85">
            <v>7275908034.1142197</v>
          </cell>
          <cell r="Q85">
            <v>3.778200183145132</v>
          </cell>
          <cell r="R85">
            <v>5.3393781309703252</v>
          </cell>
          <cell r="S85">
            <v>5.3836234687298719</v>
          </cell>
          <cell r="T85">
            <v>3.6535047680068269</v>
          </cell>
          <cell r="U85">
            <v>1.6860277321410779</v>
          </cell>
          <cell r="V85">
            <v>0.68752121009217948</v>
          </cell>
          <cell r="W85">
            <v>3.8079188370272234</v>
          </cell>
          <cell r="X85">
            <v>3.7343740605305125</v>
          </cell>
          <cell r="Y85">
            <v>4.4410135893476186</v>
          </cell>
          <cell r="Z85">
            <v>5.3526274259722539</v>
          </cell>
          <cell r="AA85">
            <v>43.479555939940134</v>
          </cell>
          <cell r="AB85">
            <v>100.28316605857717</v>
          </cell>
          <cell r="AC85">
            <v>70.004198867440522</v>
          </cell>
          <cell r="AD85">
            <v>40.495201780169964</v>
          </cell>
          <cell r="AE85">
            <v>15.703422901574427</v>
          </cell>
        </row>
        <row r="86">
          <cell r="B86" t="str">
            <v>HTI</v>
          </cell>
          <cell r="C86" t="str">
            <v>GDP (constant 2015 US$)</v>
          </cell>
          <cell r="D86" t="str">
            <v>NY.GDP.MKTP.KD</v>
          </cell>
          <cell r="E86">
            <v>13675186713.5516</v>
          </cell>
          <cell r="F86">
            <v>12902331959.073099</v>
          </cell>
          <cell r="G86">
            <v>13560120394.5154</v>
          </cell>
          <cell r="H86">
            <v>13628249748.532499</v>
          </cell>
          <cell r="I86">
            <v>14217642128.7726</v>
          </cell>
          <cell r="J86">
            <v>14462550341.493</v>
          </cell>
          <cell r="K86">
            <v>14833154471.7456</v>
          </cell>
          <cell r="L86">
            <v>15102000661.577</v>
          </cell>
          <cell r="M86">
            <v>15481101856.773701</v>
          </cell>
          <cell r="N86">
            <v>15739297369.472</v>
          </cell>
          <cell r="O86">
            <v>15474153940.1499</v>
          </cell>
          <cell r="P86">
            <v>14956795315.413401</v>
          </cell>
          <cell r="Q86">
            <v>-5.6515115344833289</v>
          </cell>
          <cell r="R86">
            <v>5.0982135441007221</v>
          </cell>
          <cell r="S86">
            <v>0.50242440358166252</v>
          </cell>
          <cell r="T86">
            <v>4.3247841147287973</v>
          </cell>
          <cell r="U86">
            <v>1.72256560196274</v>
          </cell>
          <cell r="V86">
            <v>2.5625088348998721</v>
          </cell>
          <cell r="W86">
            <v>1.8124680784758354</v>
          </cell>
          <cell r="X86">
            <v>2.5102713454464523</v>
          </cell>
          <cell r="Y86">
            <v>1.6678109548470341</v>
          </cell>
          <cell r="Z86">
            <v>-1.6845950813304593</v>
          </cell>
          <cell r="AA86">
            <v>-3.3433726117596581</v>
          </cell>
          <cell r="AB86">
            <v>15.923194061795739</v>
          </cell>
          <cell r="AC86">
            <v>0.83354382847771002</v>
          </cell>
          <cell r="AD86">
            <v>14.999971360910802</v>
          </cell>
          <cell r="AE86">
            <v>8.7391949054536067</v>
          </cell>
        </row>
        <row r="87">
          <cell r="B87" t="str">
            <v>HND</v>
          </cell>
          <cell r="C87" t="str">
            <v>GDP (constant 2015 US$)</v>
          </cell>
          <cell r="D87" t="str">
            <v>NY.GDP.MKTP.KD</v>
          </cell>
          <cell r="E87">
            <v>16886547634.193501</v>
          </cell>
          <cell r="F87">
            <v>17516608425.7374</v>
          </cell>
          <cell r="G87">
            <v>18188491339.435699</v>
          </cell>
          <cell r="H87">
            <v>18939437353.034698</v>
          </cell>
          <cell r="I87">
            <v>19468143064.4729</v>
          </cell>
          <cell r="J87">
            <v>20063494563.337898</v>
          </cell>
          <cell r="K87">
            <v>20833948799.535198</v>
          </cell>
          <cell r="L87">
            <v>21645008633.893299</v>
          </cell>
          <cell r="M87">
            <v>22693257767.953899</v>
          </cell>
          <cell r="N87">
            <v>23565812342.198799</v>
          </cell>
          <cell r="O87">
            <v>24191028957.119999</v>
          </cell>
          <cell r="P87">
            <v>22022361225.0611</v>
          </cell>
          <cell r="Q87">
            <v>3.731140344330016</v>
          </cell>
          <cell r="R87">
            <v>3.8356906620752702</v>
          </cell>
          <cell r="S87">
            <v>4.1286877486689733</v>
          </cell>
          <cell r="T87">
            <v>2.7915597574681197</v>
          </cell>
          <cell r="U87">
            <v>3.0580805621438296</v>
          </cell>
          <cell r="V87">
            <v>3.8400799709396285</v>
          </cell>
          <cell r="W87">
            <v>3.8929721972638975</v>
          </cell>
          <cell r="X87">
            <v>4.8429139105039534</v>
          </cell>
          <cell r="Y87">
            <v>3.8449947696670974</v>
          </cell>
          <cell r="Z87">
            <v>2.6530662548035218</v>
          </cell>
          <cell r="AA87">
            <v>-8.9647601840458648</v>
          </cell>
          <cell r="AB87">
            <v>25.722746606034384</v>
          </cell>
          <cell r="AC87">
            <v>5.7042111265648074</v>
          </cell>
          <cell r="AD87">
            <v>39.215336281889932</v>
          </cell>
          <cell r="AE87">
            <v>17.171333244715427</v>
          </cell>
        </row>
        <row r="88">
          <cell r="B88" t="str">
            <v>HKG</v>
          </cell>
          <cell r="C88" t="str">
            <v>GDP (constant 2015 US$)</v>
          </cell>
          <cell r="D88" t="str">
            <v>NY.GDP.MKTP.KD</v>
          </cell>
          <cell r="E88">
            <v>250591053268.83499</v>
          </cell>
          <cell r="F88">
            <v>267550225264.88</v>
          </cell>
          <cell r="G88">
            <v>280431918518.52899</v>
          </cell>
          <cell r="H88">
            <v>285200173148.78198</v>
          </cell>
          <cell r="I88">
            <v>294045789895.41803</v>
          </cell>
          <cell r="J88">
            <v>302168441974.01099</v>
          </cell>
          <cell r="K88">
            <v>309383627028.56097</v>
          </cell>
          <cell r="L88">
            <v>316095687453.66498</v>
          </cell>
          <cell r="M88">
            <v>328078893886.43799</v>
          </cell>
          <cell r="N88">
            <v>337417488799.20001</v>
          </cell>
          <cell r="O88">
            <v>331749697713.935</v>
          </cell>
          <cell r="P88">
            <v>311574446723.54303</v>
          </cell>
          <cell r="Q88">
            <v>6.767668587853036</v>
          </cell>
          <cell r="R88">
            <v>4.8146822679352468</v>
          </cell>
          <cell r="S88">
            <v>1.700325218128812</v>
          </cell>
          <cell r="T88">
            <v>3.1015467658995788</v>
          </cell>
          <cell r="U88">
            <v>2.7623765949792731</v>
          </cell>
          <cell r="V88">
            <v>2.3878023156271739</v>
          </cell>
          <cell r="W88">
            <v>2.1694943877829624</v>
          </cell>
          <cell r="X88">
            <v>3.7910059859736536</v>
          </cell>
          <cell r="Y88">
            <v>2.8464479388285513</v>
          </cell>
          <cell r="Z88">
            <v>-1.6797561695558598</v>
          </cell>
          <cell r="AA88">
            <v>-6.0814677841210631</v>
          </cell>
          <cell r="AB88">
            <v>16.454563405834616</v>
          </cell>
          <cell r="AC88">
            <v>0.70812399351042865</v>
          </cell>
          <cell r="AD88">
            <v>34.363232395642761</v>
          </cell>
          <cell r="AE88">
            <v>11.42865782630369</v>
          </cell>
        </row>
        <row r="89">
          <cell r="B89" t="str">
            <v>HUN</v>
          </cell>
          <cell r="C89" t="str">
            <v>GDP (constant 2015 US$)</v>
          </cell>
          <cell r="D89" t="str">
            <v>NY.GDP.MKTP.KD</v>
          </cell>
          <cell r="E89">
            <v>111923227694.593</v>
          </cell>
          <cell r="F89">
            <v>113135489067.688</v>
          </cell>
          <cell r="G89">
            <v>115239984606.159</v>
          </cell>
          <cell r="H89">
            <v>113790554267.763</v>
          </cell>
          <cell r="I89">
            <v>115846025793.633</v>
          </cell>
          <cell r="J89">
            <v>120739043970.895</v>
          </cell>
          <cell r="K89">
            <v>125210324613.14</v>
          </cell>
          <cell r="L89">
            <v>127954885306.937</v>
          </cell>
          <cell r="M89">
            <v>133416713057.02</v>
          </cell>
          <cell r="N89">
            <v>140567177109.71701</v>
          </cell>
          <cell r="O89">
            <v>146968695014.00699</v>
          </cell>
          <cell r="P89">
            <v>140096898857.09698</v>
          </cell>
          <cell r="Q89">
            <v>1.0831186680953497</v>
          </cell>
          <cell r="R89">
            <v>1.8601550723061719</v>
          </cell>
          <cell r="S89">
            <v>-1.2577495071259592</v>
          </cell>
          <cell r="T89">
            <v>1.8063639280930304</v>
          </cell>
          <cell r="U89">
            <v>4.2237255389135093</v>
          </cell>
          <cell r="V89">
            <v>3.7032599358023979</v>
          </cell>
          <cell r="W89">
            <v>2.191960369304061</v>
          </cell>
          <cell r="X89">
            <v>4.26855741926635</v>
          </cell>
          <cell r="Y89">
            <v>5.3594964894997981</v>
          </cell>
          <cell r="Z89">
            <v>4.5540630721305559</v>
          </cell>
          <cell r="AA89">
            <v>-4.6756869932437519</v>
          </cell>
          <cell r="AB89">
            <v>23.831080778974844</v>
          </cell>
          <cell r="AC89">
            <v>11.88925457221819</v>
          </cell>
          <cell r="AD89">
            <v>25.571123688733778</v>
          </cell>
          <cell r="AE89">
            <v>16.402490911456535</v>
          </cell>
        </row>
        <row r="90">
          <cell r="B90" t="str">
            <v>ISL</v>
          </cell>
          <cell r="C90" t="str">
            <v>GDP (constant 2015 US$)</v>
          </cell>
          <cell r="D90" t="str">
            <v>NY.GDP.MKTP.KD</v>
          </cell>
          <cell r="E90">
            <v>15774426999.348801</v>
          </cell>
          <cell r="F90">
            <v>15327572988.261801</v>
          </cell>
          <cell r="G90">
            <v>15610486135.6369</v>
          </cell>
          <cell r="H90">
            <v>15776524980.7745</v>
          </cell>
          <cell r="I90">
            <v>16494745020.423</v>
          </cell>
          <cell r="J90">
            <v>16773046835.507</v>
          </cell>
          <cell r="K90">
            <v>17517210519.091202</v>
          </cell>
          <cell r="L90">
            <v>18621440660.0019</v>
          </cell>
          <cell r="M90">
            <v>19402600566.927101</v>
          </cell>
          <cell r="N90">
            <v>20351810853.2383</v>
          </cell>
          <cell r="O90">
            <v>20847341424.885601</v>
          </cell>
          <cell r="P90">
            <v>19491448632.067902</v>
          </cell>
          <cell r="Q90">
            <v>-2.8327749154086352</v>
          </cell>
          <cell r="R90">
            <v>1.8457791562418941</v>
          </cell>
          <cell r="S90">
            <v>1.0636366074375661</v>
          </cell>
          <cell r="T90">
            <v>4.5524603201511979</v>
          </cell>
          <cell r="U90">
            <v>1.6872150175066041</v>
          </cell>
          <cell r="V90">
            <v>4.4366637193719365</v>
          </cell>
          <cell r="W90">
            <v>6.3036871065016227</v>
          </cell>
          <cell r="X90">
            <v>4.1949488290833541</v>
          </cell>
          <cell r="Y90">
            <v>4.8921807313251877</v>
          </cell>
          <cell r="Z90">
            <v>2.4348230003742093</v>
          </cell>
          <cell r="AA90">
            <v>-6.5039122504088791</v>
          </cell>
          <cell r="AB90">
            <v>27.165916267336588</v>
          </cell>
          <cell r="AC90">
            <v>11.270276799066087</v>
          </cell>
          <cell r="AD90">
            <v>28.763367967652641</v>
          </cell>
          <cell r="AE90">
            <v>21.097160707631744</v>
          </cell>
        </row>
        <row r="91">
          <cell r="B91" t="str">
            <v>IND</v>
          </cell>
          <cell r="C91" t="str">
            <v>GDP (constant 2015 US$)</v>
          </cell>
          <cell r="D91" t="str">
            <v>NY.GDP.MKTP.KD</v>
          </cell>
          <cell r="E91">
            <v>1415605275566.1101</v>
          </cell>
          <cell r="F91">
            <v>1535897532897.3899</v>
          </cell>
          <cell r="G91">
            <v>1616398760695.3799</v>
          </cell>
          <cell r="H91">
            <v>1704595760877.1699</v>
          </cell>
          <cell r="I91">
            <v>1813453059872.8401</v>
          </cell>
          <cell r="J91">
            <v>1947834059120.8601</v>
          </cell>
          <cell r="K91">
            <v>2103587813812.75</v>
          </cell>
          <cell r="L91">
            <v>2277266450219.5698</v>
          </cell>
          <cell r="M91">
            <v>2432015436983.77</v>
          </cell>
          <cell r="N91">
            <v>2590898738237.4102</v>
          </cell>
          <cell r="O91">
            <v>2695611314661.46</v>
          </cell>
          <cell r="P91">
            <v>2500132192252.0698</v>
          </cell>
          <cell r="Q91">
            <v>8.4975847015810313</v>
          </cell>
          <cell r="R91">
            <v>5.2413150014069405</v>
          </cell>
          <cell r="S91">
            <v>5.4563887529737656</v>
          </cell>
          <cell r="T91">
            <v>6.3861064009482913</v>
          </cell>
          <cell r="U91">
            <v>7.4102276050885401</v>
          </cell>
          <cell r="V91">
            <v>7.996253785714587</v>
          </cell>
          <cell r="W91">
            <v>8.2563055017906546</v>
          </cell>
          <cell r="X91">
            <v>6.7953834189793465</v>
          </cell>
          <cell r="Y91">
            <v>6.5329890113974818</v>
          </cell>
          <cell r="Z91">
            <v>4.0415541865324238</v>
          </cell>
          <cell r="AA91">
            <v>-7.251754781788347</v>
          </cell>
          <cell r="AB91">
            <v>62.779882036512035</v>
          </cell>
          <cell r="AC91">
            <v>18.850859271740298</v>
          </cell>
          <cell r="AD91">
            <v>82.630896428626158</v>
          </cell>
          <cell r="AE91">
            <v>32.728586018471219</v>
          </cell>
        </row>
        <row r="92">
          <cell r="B92" t="str">
            <v>IDN</v>
          </cell>
          <cell r="C92" t="str">
            <v>GDP (constant 2015 US$)</v>
          </cell>
          <cell r="D92" t="str">
            <v>NY.GDP.MKTP.KD</v>
          </cell>
          <cell r="E92">
            <v>619291627728.71899</v>
          </cell>
          <cell r="F92">
            <v>657835435591.36499</v>
          </cell>
          <cell r="G92">
            <v>698422462409.20203</v>
          </cell>
          <cell r="H92">
            <v>740537690664.79895</v>
          </cell>
          <cell r="I92">
            <v>781691322850.80701</v>
          </cell>
          <cell r="J92">
            <v>820828015498.84497</v>
          </cell>
          <cell r="K92">
            <v>860854235065.07898</v>
          </cell>
          <cell r="L92">
            <v>904181624278.98303</v>
          </cell>
          <cell r="M92">
            <v>950021696789.26904</v>
          </cell>
          <cell r="N92">
            <v>999178589070.12805</v>
          </cell>
          <cell r="O92">
            <v>1049318966508.58</v>
          </cell>
          <cell r="P92">
            <v>1027602854052.75</v>
          </cell>
          <cell r="Q92">
            <v>6.2238541806236292</v>
          </cell>
          <cell r="R92">
            <v>6.1697842077101077</v>
          </cell>
          <cell r="S92">
            <v>6.0300506530561488</v>
          </cell>
          <cell r="T92">
            <v>5.5572636889100711</v>
          </cell>
          <cell r="U92">
            <v>5.006668425755004</v>
          </cell>
          <cell r="V92">
            <v>4.8763223002212852</v>
          </cell>
          <cell r="W92">
            <v>5.0330691828017295</v>
          </cell>
          <cell r="X92">
            <v>5.069785901349193</v>
          </cell>
          <cell r="Y92">
            <v>5.1742915395502642</v>
          </cell>
          <cell r="Z92">
            <v>5.0181597150830033</v>
          </cell>
          <cell r="AA92">
            <v>-2.0695434990645802</v>
          </cell>
          <cell r="AB92">
            <v>56.20971423179423</v>
          </cell>
          <cell r="AC92">
            <v>19.370134012881419</v>
          </cell>
          <cell r="AD92">
            <v>61.567982104076123</v>
          </cell>
          <cell r="AE92">
            <v>21.89849363909606</v>
          </cell>
        </row>
        <row r="93">
          <cell r="B93" t="str">
            <v>IRN</v>
          </cell>
          <cell r="C93" t="str">
            <v>GDP (constant 2015 US$)</v>
          </cell>
          <cell r="D93" t="str">
            <v>NY.GDP.MKTP.KD</v>
          </cell>
          <cell r="E93">
            <v>371755563616.48102</v>
          </cell>
          <cell r="F93">
            <v>393309721828.08698</v>
          </cell>
          <cell r="G93">
            <v>403715587611.96997</v>
          </cell>
          <cell r="H93">
            <v>373660750454.172</v>
          </cell>
          <cell r="I93">
            <v>372935574065.94098</v>
          </cell>
          <cell r="J93">
            <v>390103360692.30603</v>
          </cell>
          <cell r="K93">
            <v>384951479697.41998</v>
          </cell>
          <cell r="L93">
            <v>436520513870.60999</v>
          </cell>
          <cell r="M93">
            <v>452912716719.37701</v>
          </cell>
          <cell r="N93">
            <v>425620324116.95502</v>
          </cell>
          <cell r="O93">
            <v>396745289342.13202</v>
          </cell>
          <cell r="P93">
            <v>410188057889.547</v>
          </cell>
          <cell r="Q93">
            <v>5.7979383016960444</v>
          </cell>
          <cell r="R93">
            <v>2.6457179180613615</v>
          </cell>
          <cell r="S93">
            <v>-7.4445570297585553</v>
          </cell>
          <cell r="T93">
            <v>-0.19407347101604616</v>
          </cell>
          <cell r="U93">
            <v>4.6034188798866129</v>
          </cell>
          <cell r="V93">
            <v>-1.3206451197300997</v>
          </cell>
          <cell r="W93">
            <v>13.396242615751044</v>
          </cell>
          <cell r="X93">
            <v>3.7551964519188386</v>
          </cell>
          <cell r="Y93">
            <v>-6.0259718031569998</v>
          </cell>
          <cell r="Z93">
            <v>-6.7842236704111212</v>
          </cell>
          <cell r="AA93">
            <v>3.3882616652374788</v>
          </cell>
          <cell r="AB93">
            <v>4.291359995631491</v>
          </cell>
          <cell r="AC93">
            <v>6.55578157848971</v>
          </cell>
          <cell r="AD93">
            <v>14.755484900410165</v>
          </cell>
          <cell r="AE93">
            <v>9.358170848682823</v>
          </cell>
        </row>
        <row r="94">
          <cell r="B94" t="str">
            <v>IRQ</v>
          </cell>
          <cell r="C94" t="str">
            <v>GDP (constant 2015 US$)</v>
          </cell>
          <cell r="D94" t="str">
            <v>NY.GDP.MKTP.KD</v>
          </cell>
          <cell r="E94">
            <v>113264518769.14999</v>
          </cell>
          <cell r="F94">
            <v>120516353029.395</v>
          </cell>
          <cell r="G94">
            <v>129611084902.562</v>
          </cell>
          <cell r="H94">
            <v>147674243247.453</v>
          </cell>
          <cell r="I94">
            <v>158939678015.069</v>
          </cell>
          <cell r="J94">
            <v>159252815740.14899</v>
          </cell>
          <cell r="K94">
            <v>166774109673.73199</v>
          </cell>
          <cell r="L94">
            <v>189767878273.08099</v>
          </cell>
          <cell r="M94">
            <v>186314576641.77399</v>
          </cell>
          <cell r="N94">
            <v>191221824965.13501</v>
          </cell>
          <cell r="O94">
            <v>202613535336.009</v>
          </cell>
          <cell r="P94">
            <v>170857727944.57101</v>
          </cell>
          <cell r="Q94">
            <v>6.402564844711284</v>
          </cell>
          <cell r="R94">
            <v>7.5464712004259766</v>
          </cell>
          <cell r="S94">
            <v>13.93643017375434</v>
          </cell>
          <cell r="T94">
            <v>7.6285711847115207</v>
          </cell>
          <cell r="U94">
            <v>0.19701671035869225</v>
          </cell>
          <cell r="V94">
            <v>4.7228640188412223</v>
          </cell>
          <cell r="W94">
            <v>13.787373018709431</v>
          </cell>
          <cell r="X94">
            <v>-1.819750351183046</v>
          </cell>
          <cell r="Y94">
            <v>2.6338509910559291</v>
          </cell>
          <cell r="Z94">
            <v>5.9573275032549313</v>
          </cell>
          <cell r="AA94">
            <v>-15.673092786607265</v>
          </cell>
          <cell r="AB94">
            <v>41.771405829794155</v>
          </cell>
          <cell r="AC94">
            <v>2.4485924576830262</v>
          </cell>
          <cell r="AD94">
            <v>68.366255783539572</v>
          </cell>
          <cell r="AE94">
            <v>19.746221438259504</v>
          </cell>
        </row>
        <row r="95">
          <cell r="B95" t="str">
            <v>IRL</v>
          </cell>
          <cell r="C95" t="str">
            <v>GDP (constant 2015 US$)</v>
          </cell>
          <cell r="D95" t="str">
            <v>NY.GDP.MKTP.KD</v>
          </cell>
          <cell r="E95">
            <v>205761601550.866</v>
          </cell>
          <cell r="F95">
            <v>209372883796.73099</v>
          </cell>
          <cell r="G95">
            <v>211610088866.293</v>
          </cell>
          <cell r="H95">
            <v>211499300858.57599</v>
          </cell>
          <cell r="I95">
            <v>214179028009.07401</v>
          </cell>
          <cell r="J95">
            <v>232841941278.82001</v>
          </cell>
          <cell r="K95">
            <v>291462799328.94897</v>
          </cell>
          <cell r="L95">
            <v>297415147420.99298</v>
          </cell>
          <cell r="M95">
            <v>324004099585.745</v>
          </cell>
          <cell r="N95">
            <v>353262191749.526</v>
          </cell>
          <cell r="O95">
            <v>370632118369.55499</v>
          </cell>
          <cell r="P95">
            <v>392377013983.203</v>
          </cell>
          <cell r="Q95">
            <v>1.7550807432708724</v>
          </cell>
          <cell r="R95">
            <v>1.0685266539739671</v>
          </cell>
          <cell r="S95">
            <v>-5.2354785308470105E-2</v>
          </cell>
          <cell r="T95">
            <v>1.2670146613344502</v>
          </cell>
          <cell r="U95">
            <v>8.7136978084312346</v>
          </cell>
          <cell r="V95">
            <v>25.176245193700975</v>
          </cell>
          <cell r="W95">
            <v>2.0422325270149155</v>
          </cell>
          <cell r="X95">
            <v>8.940012771815951</v>
          </cell>
          <cell r="Y95">
            <v>9.030161100180182</v>
          </cell>
          <cell r="Z95">
            <v>4.9170069783026245</v>
          </cell>
          <cell r="AA95">
            <v>5.8669755091128692</v>
          </cell>
          <cell r="AB95">
            <v>87.405841132771044</v>
          </cell>
          <cell r="AC95">
            <v>34.623360129180959</v>
          </cell>
          <cell r="AD95">
            <v>73.259626783341588</v>
          </cell>
          <cell r="AE95">
            <v>53.108920563223919</v>
          </cell>
        </row>
        <row r="96">
          <cell r="B96" t="str">
            <v>IMN</v>
          </cell>
          <cell r="C96" t="str">
            <v>GDP (constant 2015 US$)</v>
          </cell>
          <cell r="D96" t="str">
            <v>NY.GDP.MKTP.KD</v>
          </cell>
          <cell r="E96">
            <v>5739111993.8884602</v>
          </cell>
          <cell r="F96">
            <v>5934241711.22995</v>
          </cell>
          <cell r="G96">
            <v>6052926508.7853298</v>
          </cell>
          <cell r="H96">
            <v>6495017570.6646299</v>
          </cell>
          <cell r="I96">
            <v>6764022918.2582102</v>
          </cell>
          <cell r="J96">
            <v>7112728800.6111498</v>
          </cell>
          <cell r="K96">
            <v>7085288006.1115398</v>
          </cell>
          <cell r="L96">
            <v>7577879297.17342</v>
          </cell>
          <cell r="M96">
            <v>7933191749.4270401</v>
          </cell>
          <cell r="N96">
            <v>8108785332.3147402</v>
          </cell>
          <cell r="O96">
            <v>8129451489.68678</v>
          </cell>
          <cell r="P96" t="str">
            <v>..</v>
          </cell>
          <cell r="Q96">
            <v>3.3999984239597008</v>
          </cell>
          <cell r="R96">
            <v>1.9999993820740556</v>
          </cell>
          <cell r="S96">
            <v>7.3037573021519586</v>
          </cell>
          <cell r="T96">
            <v>4.1417185506713441</v>
          </cell>
          <cell r="U96">
            <v>5.1553030876296049</v>
          </cell>
          <cell r="V96">
            <v>-0.38579840830219958</v>
          </cell>
          <cell r="W96">
            <v>6.9523114746639347</v>
          </cell>
          <cell r="X96">
            <v>4.6888111874011127</v>
          </cell>
          <cell r="Y96">
            <v>2.2134039921621964</v>
          </cell>
          <cell r="Z96">
            <v>0.25486132047030546</v>
          </cell>
          <cell r="AA96" t="e">
            <v>#VALUE!</v>
          </cell>
          <cell r="AB96" t="e">
            <v>#VALUE!</v>
          </cell>
          <cell r="AC96" t="e">
            <v>#VALUE!</v>
          </cell>
          <cell r="AD96" t="e">
            <v>#VALUE!</v>
          </cell>
          <cell r="AE96" t="e">
            <v>#VALUE!</v>
          </cell>
        </row>
        <row r="97">
          <cell r="B97" t="str">
            <v>ISR</v>
          </cell>
          <cell r="C97" t="str">
            <v>GDP (constant 2015 US$)</v>
          </cell>
          <cell r="D97" t="str">
            <v>NY.GDP.MKTP.KD</v>
          </cell>
          <cell r="E97">
            <v>234473784400.32599</v>
          </cell>
          <cell r="F97">
            <v>247802932721.582</v>
          </cell>
          <cell r="G97">
            <v>261537633291.883</v>
          </cell>
          <cell r="H97">
            <v>268920830753.39801</v>
          </cell>
          <cell r="I97">
            <v>281767722996.44098</v>
          </cell>
          <cell r="J97">
            <v>293389928304.961</v>
          </cell>
          <cell r="K97">
            <v>300078278118.43402</v>
          </cell>
          <cell r="L97">
            <v>313470032931.69299</v>
          </cell>
          <cell r="M97">
            <v>327190755542.21503</v>
          </cell>
          <cell r="N97">
            <v>340224152566.35699</v>
          </cell>
          <cell r="O97">
            <v>353062816517.302</v>
          </cell>
          <cell r="P97">
            <v>345459861240.94202</v>
          </cell>
          <cell r="Q97">
            <v>5.6847072926918996</v>
          </cell>
          <cell r="R97">
            <v>5.542590000632706</v>
          </cell>
          <cell r="S97">
            <v>2.8229962046323056</v>
          </cell>
          <cell r="T97">
            <v>4.7772023487550674</v>
          </cell>
          <cell r="U97">
            <v>4.1247468606142732</v>
          </cell>
          <cell r="V97">
            <v>2.2796794191656402</v>
          </cell>
          <cell r="W97">
            <v>4.4627538178466732</v>
          </cell>
          <cell r="X97">
            <v>4.3770444282027627</v>
          </cell>
          <cell r="Y97">
            <v>3.9834245935656836</v>
          </cell>
          <cell r="Z97">
            <v>3.7735898095714906</v>
          </cell>
          <cell r="AA97">
            <v>-2.1534284893995341</v>
          </cell>
          <cell r="AB97">
            <v>39.409109265499318</v>
          </cell>
          <cell r="AC97">
            <v>15.123248309428423</v>
          </cell>
          <cell r="AD97">
            <v>45.186688717805758</v>
          </cell>
          <cell r="AE97">
            <v>16.031496189708825</v>
          </cell>
        </row>
        <row r="98">
          <cell r="B98" t="str">
            <v>ITA</v>
          </cell>
          <cell r="C98" t="str">
            <v>GDP (constant 2015 US$)</v>
          </cell>
          <cell r="D98" t="str">
            <v>NY.GDP.MKTP.KD</v>
          </cell>
          <cell r="E98">
            <v>1867564757449.76</v>
          </cell>
          <cell r="F98">
            <v>1899561666732.9399</v>
          </cell>
          <cell r="G98">
            <v>1912997899849.23</v>
          </cell>
          <cell r="H98">
            <v>1855973235106.3601</v>
          </cell>
          <cell r="I98">
            <v>1821803553097.1899</v>
          </cell>
          <cell r="J98">
            <v>1821720705808.8201</v>
          </cell>
          <cell r="K98">
            <v>1835899237320.04</v>
          </cell>
          <cell r="L98">
            <v>1859645909743.75</v>
          </cell>
          <cell r="M98">
            <v>1890662182181.27</v>
          </cell>
          <cell r="N98">
            <v>1908166139521.5</v>
          </cell>
          <cell r="O98">
            <v>1915994931005.0901</v>
          </cell>
          <cell r="P98">
            <v>1744731951797.3999</v>
          </cell>
          <cell r="Q98">
            <v>1.7132958391693514</v>
          </cell>
          <cell r="R98">
            <v>0.70733334703468953</v>
          </cell>
          <cell r="S98">
            <v>-2.9809057682376014</v>
          </cell>
          <cell r="T98">
            <v>-1.8410654508825397</v>
          </cell>
          <cell r="U98">
            <v>-4.5475423642152317E-3</v>
          </cell>
          <cell r="V98">
            <v>0.77830435071686188</v>
          </cell>
          <cell r="W98">
            <v>1.2934627315589631</v>
          </cell>
          <cell r="X98">
            <v>1.6678590410684102</v>
          </cell>
          <cell r="Y98">
            <v>0.92581094101303396</v>
          </cell>
          <cell r="Z98">
            <v>0.41027829398300031</v>
          </cell>
          <cell r="AA98">
            <v>-8.938592500234293</v>
          </cell>
          <cell r="AB98">
            <v>-8.1508127715501857</v>
          </cell>
          <cell r="AC98">
            <v>-4.9658109589784392</v>
          </cell>
          <cell r="AD98">
            <v>2.0937517797246619</v>
          </cell>
          <cell r="AE98">
            <v>4.6629662668207894</v>
          </cell>
        </row>
        <row r="99">
          <cell r="B99" t="str">
            <v>JAM</v>
          </cell>
          <cell r="C99" t="str">
            <v>GDP (constant 2015 US$)</v>
          </cell>
          <cell r="D99" t="str">
            <v>NY.GDP.MKTP.KD</v>
          </cell>
          <cell r="E99">
            <v>13942336039.189199</v>
          </cell>
          <cell r="F99">
            <v>13739175678.658501</v>
          </cell>
          <cell r="G99">
            <v>13976915113.947901</v>
          </cell>
          <cell r="H99">
            <v>13891147725.546801</v>
          </cell>
          <cell r="I99">
            <v>13963060254.339701</v>
          </cell>
          <cell r="J99">
            <v>14059380565.747801</v>
          </cell>
          <cell r="K99">
            <v>14188935947.569401</v>
          </cell>
          <cell r="L99">
            <v>14384065467.3211</v>
          </cell>
          <cell r="M99">
            <v>14527492301.3972</v>
          </cell>
          <cell r="N99">
            <v>14802050818.687401</v>
          </cell>
          <cell r="O99">
            <v>14934128282.737101</v>
          </cell>
          <cell r="P99">
            <v>13440715454.4634</v>
          </cell>
          <cell r="Q99">
            <v>-1.4571472094751874</v>
          </cell>
          <cell r="R99">
            <v>1.730376267469149</v>
          </cell>
          <cell r="S99">
            <v>-0.61363603986913262</v>
          </cell>
          <cell r="T99">
            <v>0.51768601280258419</v>
          </cell>
          <cell r="U99">
            <v>0.68982235737444375</v>
          </cell>
          <cell r="V99">
            <v>0.92148712538039945</v>
          </cell>
          <cell r="W99">
            <v>1.3752230644548482</v>
          </cell>
          <cell r="X99">
            <v>0.9971230623355285</v>
          </cell>
          <cell r="Y99">
            <v>1.8899236812109355</v>
          </cell>
          <cell r="Z99">
            <v>0.8922916538224126</v>
          </cell>
          <cell r="AA99">
            <v>-9.9999999999999378</v>
          </cell>
          <cell r="AB99">
            <v>-2.1723299212099643</v>
          </cell>
          <cell r="AC99">
            <v>-5.2732671136920093</v>
          </cell>
          <cell r="AD99">
            <v>5.985107530652245</v>
          </cell>
          <cell r="AE99">
            <v>5.1027801283050289</v>
          </cell>
        </row>
        <row r="100">
          <cell r="B100" t="str">
            <v>JPN</v>
          </cell>
          <cell r="C100" t="str">
            <v>GDP (constant 2015 US$)</v>
          </cell>
          <cell r="D100" t="str">
            <v>NY.GDP.MKTP.KD</v>
          </cell>
          <cell r="E100">
            <v>4052826324007.5</v>
          </cell>
          <cell r="F100">
            <v>4218907820177.1699</v>
          </cell>
          <cell r="G100">
            <v>4219912322037.6499</v>
          </cell>
          <cell r="H100">
            <v>4277925608850.6001</v>
          </cell>
          <cell r="I100">
            <v>4363702302795.8599</v>
          </cell>
          <cell r="J100">
            <v>4376627829637.5098</v>
          </cell>
          <cell r="K100">
            <v>4444930651964.1797</v>
          </cell>
          <cell r="L100">
            <v>4478437728055.5498</v>
          </cell>
          <cell r="M100">
            <v>4553466417292.21</v>
          </cell>
          <cell r="N100">
            <v>4578913522439.2402</v>
          </cell>
          <cell r="O100">
            <v>4591290538384.75</v>
          </cell>
          <cell r="P100">
            <v>4380756530555.8398</v>
          </cell>
          <cell r="Q100">
            <v>4.0979179193014579</v>
          </cell>
          <cell r="R100">
            <v>2.3809523774752615E-2</v>
          </cell>
          <cell r="S100">
            <v>1.3747509992088551</v>
          </cell>
          <cell r="T100">
            <v>2.0051001767725078</v>
          </cell>
          <cell r="U100">
            <v>0.29620551414262181</v>
          </cell>
          <cell r="V100">
            <v>1.5606266967490137</v>
          </cell>
          <cell r="W100">
            <v>0.75382674590352949</v>
          </cell>
          <cell r="X100">
            <v>1.6753317516650199</v>
          </cell>
          <cell r="Y100">
            <v>0.55885127537984114</v>
          </cell>
          <cell r="Z100">
            <v>0.27030464508349977</v>
          </cell>
          <cell r="AA100">
            <v>-4.5855082807061383</v>
          </cell>
          <cell r="AB100">
            <v>3.8362703637329818</v>
          </cell>
          <cell r="AC100">
            <v>-1.4437597891427576</v>
          </cell>
          <cell r="AD100">
            <v>12.953576292845215</v>
          </cell>
          <cell r="AE100">
            <v>4.5967912305552305</v>
          </cell>
        </row>
        <row r="101">
          <cell r="B101" t="str">
            <v>JOR</v>
          </cell>
          <cell r="C101" t="str">
            <v>GDP (constant 2015 US$)</v>
          </cell>
          <cell r="D101" t="str">
            <v>NY.GDP.MKTP.KD</v>
          </cell>
          <cell r="E101">
            <v>32960837541.535801</v>
          </cell>
          <cell r="F101">
            <v>33723826288.353699</v>
          </cell>
          <cell r="G101">
            <v>34646908078.416298</v>
          </cell>
          <cell r="H101">
            <v>35488605511.919296</v>
          </cell>
          <cell r="I101">
            <v>36414839440.074303</v>
          </cell>
          <cell r="J101">
            <v>37647146046.473801</v>
          </cell>
          <cell r="K101">
            <v>38587017887.323898</v>
          </cell>
          <cell r="L101">
            <v>39356512808.349403</v>
          </cell>
          <cell r="M101">
            <v>40177928314.042099</v>
          </cell>
          <cell r="N101">
            <v>40955006291.365303</v>
          </cell>
          <cell r="O101">
            <v>41755867661.245903</v>
          </cell>
          <cell r="P101">
            <v>41108073616.901199</v>
          </cell>
          <cell r="Q101">
            <v>2.314834220630507</v>
          </cell>
          <cell r="R101">
            <v>2.7371798863208454</v>
          </cell>
          <cell r="S101">
            <v>2.4293580010025302</v>
          </cell>
          <cell r="T101">
            <v>2.6099473754862506</v>
          </cell>
          <cell r="U101">
            <v>3.3840780993348343</v>
          </cell>
          <cell r="V101">
            <v>2.4965287931517195</v>
          </cell>
          <cell r="W101">
            <v>1.9941808493013642</v>
          </cell>
          <cell r="X101">
            <v>2.0871145512628702</v>
          </cell>
          <cell r="Y101">
            <v>1.9340917014171111</v>
          </cell>
          <cell r="Z101">
            <v>1.9554663578441414</v>
          </cell>
          <cell r="AA101">
            <v>-1.5513844655320832</v>
          </cell>
          <cell r="AB101">
            <v>21.896232252559081</v>
          </cell>
          <cell r="AC101">
            <v>6.53342981035465</v>
          </cell>
          <cell r="AD101">
            <v>24.262347795457238</v>
          </cell>
          <cell r="AE101">
            <v>8.7941979229927636</v>
          </cell>
        </row>
        <row r="102">
          <cell r="B102" t="str">
            <v>KAZ</v>
          </cell>
          <cell r="C102" t="str">
            <v>GDP (constant 2015 US$)</v>
          </cell>
          <cell r="D102" t="str">
            <v>NY.GDP.MKTP.KD</v>
          </cell>
          <cell r="E102">
            <v>136588548165.103</v>
          </cell>
          <cell r="F102">
            <v>146559512181.37701</v>
          </cell>
          <cell r="G102">
            <v>157404916083.80099</v>
          </cell>
          <cell r="H102">
            <v>164960352055.81201</v>
          </cell>
          <cell r="I102">
            <v>174857973177.93201</v>
          </cell>
          <cell r="J102">
            <v>182202008052.508</v>
          </cell>
          <cell r="K102">
            <v>184388432148.715</v>
          </cell>
          <cell r="L102">
            <v>186416704902.17001</v>
          </cell>
          <cell r="M102">
            <v>194059789803.79001</v>
          </cell>
          <cell r="N102">
            <v>202016241185.495</v>
          </cell>
          <cell r="O102">
            <v>211106972039.01401</v>
          </cell>
          <cell r="P102">
            <v>205829297738.039</v>
          </cell>
          <cell r="Q102">
            <v>7.3000000001621643</v>
          </cell>
          <cell r="R102">
            <v>7.4000000006837379</v>
          </cell>
          <cell r="S102">
            <v>4.7999999999927381</v>
          </cell>
          <cell r="T102">
            <v>5.9999999992551389</v>
          </cell>
          <cell r="U102">
            <v>4.200000000630709</v>
          </cell>
          <cell r="V102">
            <v>1.1999999997677879</v>
          </cell>
          <cell r="W102">
            <v>1.0999999999019203</v>
          </cell>
          <cell r="X102">
            <v>4.1000000003385022</v>
          </cell>
          <cell r="Y102">
            <v>4.099999999870966</v>
          </cell>
          <cell r="Z102">
            <v>4.500000000085012</v>
          </cell>
          <cell r="AA102">
            <v>-2.499999999999837</v>
          </cell>
          <cell r="AB102">
            <v>40.440763396722922</v>
          </cell>
          <cell r="AC102">
            <v>11.62809691446982</v>
          </cell>
          <cell r="AD102">
            <v>48.011251251430153</v>
          </cell>
          <cell r="AE102">
            <v>10.957294799445805</v>
          </cell>
        </row>
        <row r="103">
          <cell r="B103" t="str">
            <v>KEN</v>
          </cell>
          <cell r="C103" t="str">
            <v>GDP (constant 2015 US$)</v>
          </cell>
          <cell r="D103" t="str">
            <v>NY.GDP.MKTP.KD</v>
          </cell>
          <cell r="E103">
            <v>51591422161.717598</v>
          </cell>
          <cell r="F103">
            <v>55748903297.985001</v>
          </cell>
          <cell r="G103">
            <v>58603863796.4468</v>
          </cell>
          <cell r="H103">
            <v>61281286574.995003</v>
          </cell>
          <cell r="I103">
            <v>63608656932.133003</v>
          </cell>
          <cell r="J103">
            <v>66801882117.214104</v>
          </cell>
          <cell r="K103">
            <v>70120413328.783798</v>
          </cell>
          <cell r="L103">
            <v>73074948912.647598</v>
          </cell>
          <cell r="M103">
            <v>75863128285.028107</v>
          </cell>
          <cell r="N103">
            <v>80133540731.913803</v>
          </cell>
          <cell r="O103">
            <v>84125098675.526901</v>
          </cell>
          <cell r="P103">
            <v>83859109642.797699</v>
          </cell>
          <cell r="Q103">
            <v>8.0584736029090909</v>
          </cell>
          <cell r="R103">
            <v>5.1211061197054795</v>
          </cell>
          <cell r="S103">
            <v>4.5686796144498185</v>
          </cell>
          <cell r="T103">
            <v>3.7978483925754465</v>
          </cell>
          <cell r="U103">
            <v>5.0201110023248861</v>
          </cell>
          <cell r="V103">
            <v>4.9677211275976099</v>
          </cell>
          <cell r="W103">
            <v>4.2135170681473859</v>
          </cell>
          <cell r="X103">
            <v>3.8155064271251766</v>
          </cell>
          <cell r="Y103">
            <v>5.6291014402163526</v>
          </cell>
          <cell r="Z103">
            <v>4.9811326283045787</v>
          </cell>
          <cell r="AA103">
            <v>-0.31618272895599225</v>
          </cell>
          <cell r="AB103">
            <v>50.422886697089019</v>
          </cell>
          <cell r="AC103">
            <v>19.593005320141614</v>
          </cell>
          <cell r="AD103">
            <v>55.708211557822132</v>
          </cell>
          <cell r="AE103">
            <v>20.25421772443692</v>
          </cell>
        </row>
        <row r="104">
          <cell r="B104" t="str">
            <v>KIR</v>
          </cell>
          <cell r="C104" t="str">
            <v>GDP (constant 2015 US$)</v>
          </cell>
          <cell r="D104" t="str">
            <v>NY.GDP.MKTP.KD</v>
          </cell>
          <cell r="E104">
            <v>142094297.373043</v>
          </cell>
          <cell r="F104">
            <v>140781489.18483099</v>
          </cell>
          <cell r="G104">
            <v>143025999.172243</v>
          </cell>
          <cell r="H104">
            <v>149767737.60600701</v>
          </cell>
          <cell r="I104">
            <v>156080224.72189599</v>
          </cell>
          <cell r="J104">
            <v>154991194.08523899</v>
          </cell>
          <cell r="K104">
            <v>171117816.66613001</v>
          </cell>
          <cell r="L104">
            <v>179909369.664442</v>
          </cell>
          <cell r="M104">
            <v>181510126.84130901</v>
          </cell>
          <cell r="N104">
            <v>188363866.255797</v>
          </cell>
          <cell r="O104">
            <v>195759870.68937999</v>
          </cell>
          <cell r="P104">
            <v>191947336.31612301</v>
          </cell>
          <cell r="Q104">
            <v>-0.92389927849494591</v>
          </cell>
          <cell r="R104">
            <v>1.5943218106360593</v>
          </cell>
          <cell r="S104">
            <v>4.7136454020818173</v>
          </cell>
          <cell r="T104">
            <v>4.2148510866173332</v>
          </cell>
          <cell r="U104">
            <v>-0.69773774262398469</v>
          </cell>
          <cell r="V104">
            <v>10.404863757628716</v>
          </cell>
          <cell r="W104">
            <v>5.1377192449020663</v>
          </cell>
          <cell r="X104">
            <v>0.8897575372826112</v>
          </cell>
          <cell r="Y104">
            <v>3.7759542862752156</v>
          </cell>
          <cell r="Z104">
            <v>3.9264454380752949</v>
          </cell>
          <cell r="AA104">
            <v>-1.9475566467381265</v>
          </cell>
          <cell r="AB104">
            <v>36.344158189800609</v>
          </cell>
          <cell r="AC104">
            <v>12.1726188750022</v>
          </cell>
          <cell r="AD104">
            <v>32.654340521959988</v>
          </cell>
          <cell r="AE104">
            <v>21.616104845194339</v>
          </cell>
        </row>
        <row r="105">
          <cell r="B105" t="str">
            <v>PRK</v>
          </cell>
          <cell r="C105" t="str">
            <v>GDP (constant 2015 US$)</v>
          </cell>
          <cell r="D105" t="str">
            <v>NY.GDP.MKTP.KD</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e">
            <v>#VALUE!</v>
          </cell>
          <cell r="R105" t="e">
            <v>#VALUE!</v>
          </cell>
          <cell r="S105" t="e">
            <v>#VALUE!</v>
          </cell>
          <cell r="T105" t="e">
            <v>#VALUE!</v>
          </cell>
          <cell r="U105" t="e">
            <v>#VALUE!</v>
          </cell>
          <cell r="V105" t="e">
            <v>#VALUE!</v>
          </cell>
          <cell r="W105" t="e">
            <v>#VALUE!</v>
          </cell>
          <cell r="X105" t="e">
            <v>#VALUE!</v>
          </cell>
          <cell r="Y105" t="e">
            <v>#VALUE!</v>
          </cell>
          <cell r="Z105" t="e">
            <v>#VALUE!</v>
          </cell>
          <cell r="AA105" t="e">
            <v>#VALUE!</v>
          </cell>
          <cell r="AB105" t="e">
            <v>#VALUE!</v>
          </cell>
          <cell r="AC105" t="e">
            <v>#VALUE!</v>
          </cell>
          <cell r="AD105" t="e">
            <v>#VALUE!</v>
          </cell>
          <cell r="AE105" t="e">
            <v>#VALUE!</v>
          </cell>
        </row>
        <row r="106">
          <cell r="B106" t="str">
            <v>KOR</v>
          </cell>
          <cell r="C106" t="str">
            <v>GDP (constant 2015 US$)</v>
          </cell>
          <cell r="D106" t="str">
            <v>NY.GDP.MKTP.KD</v>
          </cell>
          <cell r="E106">
            <v>1180847317902.24</v>
          </cell>
          <cell r="F106">
            <v>1261201910432.46</v>
          </cell>
          <cell r="G106">
            <v>1307685622912.8101</v>
          </cell>
          <cell r="H106">
            <v>1339103175287.26</v>
          </cell>
          <cell r="I106">
            <v>1381481889126.8501</v>
          </cell>
          <cell r="J106">
            <v>1425723208306.54</v>
          </cell>
          <cell r="K106">
            <v>1465773245547.1499</v>
          </cell>
          <cell r="L106">
            <v>1508967849304.8</v>
          </cell>
          <cell r="M106">
            <v>1556645736778.48</v>
          </cell>
          <cell r="N106">
            <v>1601903713673.8201</v>
          </cell>
          <cell r="O106">
            <v>1637850078348.95</v>
          </cell>
          <cell r="P106">
            <v>1623895080923.74</v>
          </cell>
          <cell r="Q106">
            <v>6.8048249178368687</v>
          </cell>
          <cell r="R106">
            <v>3.685667782124677</v>
          </cell>
          <cell r="S106">
            <v>2.4025309924619944</v>
          </cell>
          <cell r="T106">
            <v>3.1647086364722528</v>
          </cell>
          <cell r="U106">
            <v>3.2024537945736058</v>
          </cell>
          <cell r="V106">
            <v>2.8091032682410289</v>
          </cell>
          <cell r="W106">
            <v>2.9468817150859024</v>
          </cell>
          <cell r="X106">
            <v>3.1596357401283082</v>
          </cell>
          <cell r="Y106">
            <v>2.9074037737708185</v>
          </cell>
          <cell r="Z106">
            <v>2.2439778601105917</v>
          </cell>
          <cell r="AA106">
            <v>-0.85203142886419903</v>
          </cell>
          <cell r="AB106">
            <v>28.757740334132091</v>
          </cell>
          <cell r="AC106">
            <v>10.787605508351717</v>
          </cell>
          <cell r="AD106">
            <v>35.709757148182945</v>
          </cell>
          <cell r="AE106">
            <v>12.400851587414774</v>
          </cell>
        </row>
        <row r="107">
          <cell r="B107" t="str">
            <v>XKX</v>
          </cell>
          <cell r="C107" t="str">
            <v>GDP (constant 2015 US$)</v>
          </cell>
          <cell r="D107" t="str">
            <v>NY.GDP.MKTP.KD</v>
          </cell>
          <cell r="E107">
            <v>4811260428.2364902</v>
          </cell>
          <cell r="F107">
            <v>5048933039.0889101</v>
          </cell>
          <cell r="G107">
            <v>5368019862.6196804</v>
          </cell>
          <cell r="H107">
            <v>5459930839.6572599</v>
          </cell>
          <cell r="I107">
            <v>5751540732.20189</v>
          </cell>
          <cell r="J107">
            <v>5944148576.1947403</v>
          </cell>
          <cell r="K107">
            <v>6295820481.52668</v>
          </cell>
          <cell r="L107">
            <v>6646608268.8924704</v>
          </cell>
          <cell r="M107">
            <v>6967353007.83605</v>
          </cell>
          <cell r="N107">
            <v>7204705015.8641901</v>
          </cell>
          <cell r="O107">
            <v>7547420630.1004295</v>
          </cell>
          <cell r="P107">
            <v>7144367590.2306404</v>
          </cell>
          <cell r="Q107">
            <v>4.9399240468788319</v>
          </cell>
          <cell r="R107">
            <v>6.3198862227008297</v>
          </cell>
          <cell r="S107">
            <v>1.7121951741945585</v>
          </cell>
          <cell r="T107">
            <v>5.3409081746342322</v>
          </cell>
          <cell r="U107">
            <v>3.3488043110687196</v>
          </cell>
          <cell r="V107">
            <v>5.9162704435135289</v>
          </cell>
          <cell r="W107">
            <v>5.5717565072746087</v>
          </cell>
          <cell r="X107">
            <v>4.8256904268712919</v>
          </cell>
          <cell r="Y107">
            <v>3.4066310083785729</v>
          </cell>
          <cell r="Z107">
            <v>4.7568306194577952</v>
          </cell>
          <cell r="AA107">
            <v>-5.3402753022978917</v>
          </cell>
          <cell r="AB107">
            <v>41.502522115441955</v>
          </cell>
          <cell r="AC107">
            <v>13.477943203650486</v>
          </cell>
          <cell r="AD107">
            <v>49.705412239119198</v>
          </cell>
          <cell r="AE107">
            <v>21.173237271266252</v>
          </cell>
        </row>
        <row r="108">
          <cell r="B108" t="str">
            <v>KWT</v>
          </cell>
          <cell r="C108" t="str">
            <v>GDP (constant 2015 US$)</v>
          </cell>
          <cell r="D108" t="str">
            <v>NY.GDP.MKTP.KD</v>
          </cell>
          <cell r="E108">
            <v>98173098011.304398</v>
          </cell>
          <cell r="F108">
            <v>95846136293.449402</v>
          </cell>
          <cell r="G108">
            <v>105074592365.381</v>
          </cell>
          <cell r="H108">
            <v>112036643935.12601</v>
          </cell>
          <cell r="I108">
            <v>113324281573.545</v>
          </cell>
          <cell r="J108">
            <v>113891896815.144</v>
          </cell>
          <cell r="K108">
            <v>114567298105.683</v>
          </cell>
          <cell r="L108">
            <v>117919386278.24699</v>
          </cell>
          <cell r="M108">
            <v>112362899556.381</v>
          </cell>
          <cell r="N108">
            <v>113763086691.711</v>
          </cell>
          <cell r="O108">
            <v>114249382864.58501</v>
          </cell>
          <cell r="P108">
            <v>104326525025.93201</v>
          </cell>
          <cell r="Q108">
            <v>-2.3702641202043471</v>
          </cell>
          <cell r="R108">
            <v>9.6284069747757925</v>
          </cell>
          <cell r="S108">
            <v>6.6258183001419875</v>
          </cell>
          <cell r="T108">
            <v>1.1493004370646698</v>
          </cell>
          <cell r="U108">
            <v>0.50087698215905219</v>
          </cell>
          <cell r="V108">
            <v>0.5930196172210862</v>
          </cell>
          <cell r="W108">
            <v>2.9258682259154356</v>
          </cell>
          <cell r="X108">
            <v>-4.7121062085200336</v>
          </cell>
          <cell r="Y108">
            <v>1.2461294082460213</v>
          </cell>
          <cell r="Z108">
            <v>0.42746394020745276</v>
          </cell>
          <cell r="AA108">
            <v>-8.6852616529352691</v>
          </cell>
          <cell r="AB108">
            <v>8.8479192385162388</v>
          </cell>
          <cell r="AC108">
            <v>-8.9386528696036418</v>
          </cell>
          <cell r="AD108">
            <v>15.761796799821482</v>
          </cell>
          <cell r="AE108">
            <v>-0.21507639266542533</v>
          </cell>
        </row>
        <row r="109">
          <cell r="B109" t="str">
            <v>KGZ</v>
          </cell>
          <cell r="C109" t="str">
            <v>GDP (constant 2015 US$)</v>
          </cell>
          <cell r="D109" t="str">
            <v>NY.GDP.MKTP.KD</v>
          </cell>
          <cell r="E109">
            <v>5288431036.3361397</v>
          </cell>
          <cell r="F109">
            <v>5263492561.8449697</v>
          </cell>
          <cell r="G109">
            <v>5577000617.0426102</v>
          </cell>
          <cell r="H109">
            <v>5572084479.7883196</v>
          </cell>
          <cell r="I109">
            <v>6180303659.1482096</v>
          </cell>
          <cell r="J109">
            <v>6429001465.5821304</v>
          </cell>
          <cell r="K109">
            <v>6678178340.45121</v>
          </cell>
          <cell r="L109">
            <v>6967734531.1841402</v>
          </cell>
          <cell r="M109">
            <v>7298000773.9944201</v>
          </cell>
          <cell r="N109">
            <v>7572253083.9886904</v>
          </cell>
          <cell r="O109">
            <v>7920624102.9005604</v>
          </cell>
          <cell r="P109">
            <v>7238139485.0763197</v>
          </cell>
          <cell r="Q109">
            <v>-0.47156660113029425</v>
          </cell>
          <cell r="R109">
            <v>5.956274308626532</v>
          </cell>
          <cell r="S109">
            <v>-8.8150201010691764E-2</v>
          </cell>
          <cell r="T109">
            <v>10.915469454314445</v>
          </cell>
          <cell r="U109">
            <v>4.0240386257687089</v>
          </cell>
          <cell r="V109">
            <v>3.8758254482139431</v>
          </cell>
          <cell r="W109">
            <v>4.3358559171596838</v>
          </cell>
          <cell r="X109">
            <v>4.7399372253947272</v>
          </cell>
          <cell r="Y109">
            <v>3.7579101248048183</v>
          </cell>
          <cell r="Z109">
            <v>4.6006256664676251</v>
          </cell>
          <cell r="AA109">
            <v>-8.6165510313046223</v>
          </cell>
          <cell r="AB109">
            <v>37.515906026837683</v>
          </cell>
          <cell r="AC109">
            <v>8.3849384679247123</v>
          </cell>
          <cell r="AD109">
            <v>42.956428588366656</v>
          </cell>
          <cell r="AE109">
            <v>17.59450014715993</v>
          </cell>
        </row>
        <row r="110">
          <cell r="B110" t="str">
            <v>LAO</v>
          </cell>
          <cell r="C110" t="str">
            <v>GDP (constant 2015 US$)</v>
          </cell>
          <cell r="D110" t="str">
            <v>NY.GDP.MKTP.KD</v>
          </cell>
          <cell r="E110">
            <v>9133632385.0867691</v>
          </cell>
          <cell r="F110">
            <v>9912448588.8541203</v>
          </cell>
          <cell r="G110">
            <v>10709275903.075899</v>
          </cell>
          <cell r="H110">
            <v>11568812928.629801</v>
          </cell>
          <cell r="I110">
            <v>12497360586.909599</v>
          </cell>
          <cell r="J110">
            <v>13448655105.8431</v>
          </cell>
          <cell r="K110">
            <v>14426381187.089399</v>
          </cell>
          <cell r="L110">
            <v>15439522315.3825</v>
          </cell>
          <cell r="M110">
            <v>16503696157.567499</v>
          </cell>
          <cell r="N110">
            <v>17534840493.261299</v>
          </cell>
          <cell r="O110">
            <v>18491845636.2733</v>
          </cell>
          <cell r="P110">
            <v>18584865505.7243</v>
          </cell>
          <cell r="Q110">
            <v>8.5269055172287018</v>
          </cell>
          <cell r="R110">
            <v>8.0386526808094363</v>
          </cell>
          <cell r="S110">
            <v>8.0260984340409696</v>
          </cell>
          <cell r="T110">
            <v>8.0263002263774599</v>
          </cell>
          <cell r="U110">
            <v>7.6119634407439341</v>
          </cell>
          <cell r="V110">
            <v>7.2700658433979948</v>
          </cell>
          <cell r="W110">
            <v>7.0228362550116916</v>
          </cell>
          <cell r="X110">
            <v>6.8925308726990595</v>
          </cell>
          <cell r="Y110">
            <v>6.2479600075585831</v>
          </cell>
          <cell r="Z110">
            <v>5.457735092485053</v>
          </cell>
          <cell r="AA110">
            <v>0.50303182970840921</v>
          </cell>
          <cell r="AB110">
            <v>87.490157846788009</v>
          </cell>
          <cell r="AC110">
            <v>28.825554133814606</v>
          </cell>
          <cell r="AD110">
            <v>92.657060780470488</v>
          </cell>
          <cell r="AE110">
            <v>30.842731537937084</v>
          </cell>
        </row>
        <row r="111">
          <cell r="B111" t="str">
            <v>LVA</v>
          </cell>
          <cell r="C111" t="str">
            <v>GDP (constant 2015 US$)</v>
          </cell>
          <cell r="D111" t="str">
            <v>NY.GDP.MKTP.KD</v>
          </cell>
          <cell r="E111">
            <v>24063539456.764301</v>
          </cell>
          <cell r="F111">
            <v>22987672592.1637</v>
          </cell>
          <cell r="G111">
            <v>23577173747.936001</v>
          </cell>
          <cell r="H111">
            <v>25236374247.952999</v>
          </cell>
          <cell r="I111">
            <v>25743813334.6418</v>
          </cell>
          <cell r="J111">
            <v>26232970564.5518</v>
          </cell>
          <cell r="K111">
            <v>27252128626.628101</v>
          </cell>
          <cell r="L111">
            <v>27897352624.558498</v>
          </cell>
          <cell r="M111">
            <v>28821616714.9226</v>
          </cell>
          <cell r="N111">
            <v>29971449461.122799</v>
          </cell>
          <cell r="O111">
            <v>30716038078.950001</v>
          </cell>
          <cell r="P111">
            <v>29604557971.021198</v>
          </cell>
          <cell r="Q111">
            <v>-4.4709418850607747</v>
          </cell>
          <cell r="R111">
            <v>2.5644229680444317</v>
          </cell>
          <cell r="S111">
            <v>7.0373171854928058</v>
          </cell>
          <cell r="T111">
            <v>2.0107448150162095</v>
          </cell>
          <cell r="U111">
            <v>1.9000962427418329</v>
          </cell>
          <cell r="V111">
            <v>3.8850272772900292</v>
          </cell>
          <cell r="W111">
            <v>2.3676095426173336</v>
          </cell>
          <cell r="X111">
            <v>3.3130888898413127</v>
          </cell>
          <cell r="Y111">
            <v>3.9894803874928533</v>
          </cell>
          <cell r="Z111">
            <v>2.4843263546297232</v>
          </cell>
          <cell r="AA111">
            <v>-3.6185659917204966</v>
          </cell>
          <cell r="AB111">
            <v>28.784494612617451</v>
          </cell>
          <cell r="AC111">
            <v>8.6320939425426548</v>
          </cell>
          <cell r="AD111">
            <v>24.492799536692456</v>
          </cell>
          <cell r="AE111">
            <v>14.197413760770971</v>
          </cell>
        </row>
        <row r="112">
          <cell r="B112" t="str">
            <v>LBN</v>
          </cell>
          <cell r="C112" t="str">
            <v>GDP (constant 2015 US$)</v>
          </cell>
          <cell r="D112" t="str">
            <v>NY.GDP.MKTP.KD</v>
          </cell>
          <cell r="E112">
            <v>41906610565.9608</v>
          </cell>
          <cell r="F112">
            <v>45248719566.879799</v>
          </cell>
          <cell r="G112">
            <v>45641179755.648598</v>
          </cell>
          <cell r="H112">
            <v>46800713000.3787</v>
          </cell>
          <cell r="I112">
            <v>48584298663.103104</v>
          </cell>
          <cell r="J112">
            <v>49776391957.701599</v>
          </cell>
          <cell r="K112">
            <v>50065946086.169998</v>
          </cell>
          <cell r="L112">
            <v>50858016664.508102</v>
          </cell>
          <cell r="M112">
            <v>51255733475.3685</v>
          </cell>
          <cell r="N112">
            <v>50383271292.758202</v>
          </cell>
          <cell r="O112">
            <v>46777216084.395302</v>
          </cell>
          <cell r="P112">
            <v>36736829867.882797</v>
          </cell>
          <cell r="Q112">
            <v>7.9751355592419841</v>
          </cell>
          <cell r="R112">
            <v>0.86733987729470141</v>
          </cell>
          <cell r="S112">
            <v>2.5405417890991249</v>
          </cell>
          <cell r="T112">
            <v>3.8110224147866529</v>
          </cell>
          <cell r="U112">
            <v>2.4536595719221932</v>
          </cell>
          <cell r="V112">
            <v>0.58170975653368562</v>
          </cell>
          <cell r="W112">
            <v>1.5820545505618688</v>
          </cell>
          <cell r="X112">
            <v>0.78201400082899608</v>
          </cell>
          <cell r="Y112">
            <v>-1.7021748074867944</v>
          </cell>
          <cell r="Z112">
            <v>-7.1572470699837494</v>
          </cell>
          <cell r="AA112">
            <v>-21.464266275268866</v>
          </cell>
          <cell r="AB112">
            <v>-18.811338266524906</v>
          </cell>
          <cell r="AC112">
            <v>-26.6231186270725</v>
          </cell>
          <cell r="AD112">
            <v>20.791396116051786</v>
          </cell>
          <cell r="AE112">
            <v>1.6939516438954527</v>
          </cell>
        </row>
        <row r="113">
          <cell r="B113" t="str">
            <v>LSO</v>
          </cell>
          <cell r="C113" t="str">
            <v>GDP (constant 2015 US$)</v>
          </cell>
          <cell r="D113" t="str">
            <v>NY.GDP.MKTP.KD</v>
          </cell>
          <cell r="E113">
            <v>1887363416.1119299</v>
          </cell>
          <cell r="F113">
            <v>1986757270.5438299</v>
          </cell>
          <cell r="G113">
            <v>2078431262.3568201</v>
          </cell>
          <cell r="H113">
            <v>2210096177.0084801</v>
          </cell>
          <cell r="I113">
            <v>2249712845.9387202</v>
          </cell>
          <cell r="J113">
            <v>2288195174.1372099</v>
          </cell>
          <cell r="K113">
            <v>2359759799.0422401</v>
          </cell>
          <cell r="L113">
            <v>2444436584.23772</v>
          </cell>
          <cell r="M113">
            <v>2367633610.3084898</v>
          </cell>
          <cell r="N113">
            <v>2338674200.23699</v>
          </cell>
          <cell r="O113">
            <v>2329753748.8936701</v>
          </cell>
          <cell r="P113">
            <v>2105770361.0141499</v>
          </cell>
          <cell r="Q113">
            <v>5.2662806528621129</v>
          </cell>
          <cell r="R113">
            <v>4.6142522376624546</v>
          </cell>
          <cell r="S113">
            <v>6.3348217011689671</v>
          </cell>
          <cell r="T113">
            <v>1.7925314446660912</v>
          </cell>
          <cell r="U113">
            <v>1.7105440042252344</v>
          </cell>
          <cell r="V113">
            <v>3.1275577238298524</v>
          </cell>
          <cell r="W113">
            <v>3.588364596678348</v>
          </cell>
          <cell r="X113">
            <v>-3.1419499456223638</v>
          </cell>
          <cell r="Y113">
            <v>-1.2231373108327588</v>
          </cell>
          <cell r="Z113">
            <v>-0.38143198152251978</v>
          </cell>
          <cell r="AA113">
            <v>-9.614037019401005</v>
          </cell>
          <cell r="AB113">
            <v>5.9903186078560484</v>
          </cell>
          <cell r="AC113">
            <v>-10.763359818706013</v>
          </cell>
          <cell r="AD113">
            <v>24.065041708213109</v>
          </cell>
          <cell r="AE113">
            <v>2.3321015554423674</v>
          </cell>
        </row>
        <row r="114">
          <cell r="B114" t="str">
            <v>LBR</v>
          </cell>
          <cell r="C114" t="str">
            <v>GDP (constant 2015 US$)</v>
          </cell>
          <cell r="D114" t="str">
            <v>NY.GDP.MKTP.KD</v>
          </cell>
          <cell r="E114">
            <v>2378656103.4401498</v>
          </cell>
          <cell r="F114">
            <v>2523750024.99577</v>
          </cell>
          <cell r="G114">
            <v>2730716854.9442601</v>
          </cell>
          <cell r="H114">
            <v>2949005327.4299102</v>
          </cell>
          <cell r="I114">
            <v>3205193907.9446201</v>
          </cell>
          <cell r="J114">
            <v>3227674916.8657799</v>
          </cell>
          <cell r="K114">
            <v>3227075700</v>
          </cell>
          <cell r="L114">
            <v>3176896008.3099999</v>
          </cell>
          <cell r="M114">
            <v>3254893758.7341499</v>
          </cell>
          <cell r="N114">
            <v>3292571599.13518</v>
          </cell>
          <cell r="O114">
            <v>3211334057.9282799</v>
          </cell>
          <cell r="P114">
            <v>3115542651.4821901</v>
          </cell>
          <cell r="Q114">
            <v>6.0998276020555044</v>
          </cell>
          <cell r="R114">
            <v>8.2007658404614396</v>
          </cell>
          <cell r="S114">
            <v>7.9938156931362192</v>
          </cell>
          <cell r="T114">
            <v>8.6872878163967595</v>
          </cell>
          <cell r="U114">
            <v>0.70139310028752788</v>
          </cell>
          <cell r="V114">
            <v>-1.8564969559008243E-2</v>
          </cell>
          <cell r="W114">
            <v>-1.5549586174876548</v>
          </cell>
          <cell r="X114">
            <v>2.455155920122237</v>
          </cell>
          <cell r="Y114">
            <v>1.1575751220735153</v>
          </cell>
          <cell r="Z114">
            <v>-2.4672976353266791</v>
          </cell>
          <cell r="AA114">
            <v>-2.982916280839603</v>
          </cell>
          <cell r="AB114">
            <v>23.448939895995132</v>
          </cell>
          <cell r="AC114">
            <v>-3.4561646173286191</v>
          </cell>
          <cell r="AD114">
            <v>38.336340482126815</v>
          </cell>
          <cell r="AE114">
            <v>1.9478693148294868</v>
          </cell>
        </row>
        <row r="115">
          <cell r="B115" t="str">
            <v>LBY</v>
          </cell>
          <cell r="C115" t="str">
            <v>GDP (constant 2015 US$)</v>
          </cell>
          <cell r="D115" t="str">
            <v>NY.GDP.MKTP.KD</v>
          </cell>
          <cell r="E115">
            <v>52348816759.728798</v>
          </cell>
          <cell r="F115">
            <v>54977402524.177002</v>
          </cell>
          <cell r="G115">
            <v>20849674343.402</v>
          </cell>
          <cell r="H115">
            <v>46523870590.2202</v>
          </cell>
          <cell r="I115">
            <v>40196624201.961304</v>
          </cell>
          <cell r="J115">
            <v>30549434379.631599</v>
          </cell>
          <cell r="K115">
            <v>27842131479.872601</v>
          </cell>
          <cell r="L115">
            <v>27063813356.0672</v>
          </cell>
          <cell r="M115">
            <v>34284683046.321701</v>
          </cell>
          <cell r="N115">
            <v>39472915524.869698</v>
          </cell>
          <cell r="O115">
            <v>40473930298.827499</v>
          </cell>
          <cell r="P115">
            <v>27805590095.545399</v>
          </cell>
          <cell r="Q115">
            <v>5.021289739007698</v>
          </cell>
          <cell r="R115">
            <v>-62.075919584900184</v>
          </cell>
          <cell r="S115">
            <v>123.13955519858251</v>
          </cell>
          <cell r="T115">
            <v>-13.599999974183035</v>
          </cell>
          <cell r="U115">
            <v>-24.000000034477999</v>
          </cell>
          <cell r="V115">
            <v>-8.8620393625489005</v>
          </cell>
          <cell r="W115">
            <v>-2.7954688899018239</v>
          </cell>
          <cell r="X115">
            <v>26.680902632798116</v>
          </cell>
          <cell r="Y115">
            <v>15.132799890663204</v>
          </cell>
          <cell r="Z115">
            <v>2.535953477586721</v>
          </cell>
          <cell r="AA115">
            <v>-31.300000048794601</v>
          </cell>
          <cell r="AB115">
            <v>-49.423601663760778</v>
          </cell>
          <cell r="AC115">
            <v>-0.13124492409504651</v>
          </cell>
          <cell r="AD115">
            <v>-27.525796201100363</v>
          </cell>
          <cell r="AE115">
            <v>24.190149229256818</v>
          </cell>
        </row>
        <row r="116">
          <cell r="B116" t="str">
            <v>LIE</v>
          </cell>
          <cell r="C116" t="str">
            <v>GDP (constant 2015 US$)</v>
          </cell>
          <cell r="D116" t="str">
            <v>NY.GDP.MKTP.KD</v>
          </cell>
          <cell r="E116" t="str">
            <v>..</v>
          </cell>
          <cell r="F116" t="str">
            <v>..</v>
          </cell>
          <cell r="G116" t="str">
            <v>..</v>
          </cell>
          <cell r="H116" t="str">
            <v>..</v>
          </cell>
          <cell r="I116" t="str">
            <v>..</v>
          </cell>
          <cell r="J116" t="str">
            <v>..</v>
          </cell>
          <cell r="K116">
            <v>6268391521.19701</v>
          </cell>
          <cell r="L116" t="str">
            <v>..</v>
          </cell>
          <cell r="M116" t="str">
            <v>..</v>
          </cell>
          <cell r="N116" t="str">
            <v>..</v>
          </cell>
          <cell r="O116" t="str">
            <v>..</v>
          </cell>
          <cell r="P116" t="str">
            <v>..</v>
          </cell>
          <cell r="Q116" t="e">
            <v>#VALUE!</v>
          </cell>
          <cell r="R116" t="e">
            <v>#VALUE!</v>
          </cell>
          <cell r="S116" t="e">
            <v>#VALUE!</v>
          </cell>
          <cell r="T116" t="e">
            <v>#VALUE!</v>
          </cell>
          <cell r="U116" t="e">
            <v>#VALUE!</v>
          </cell>
          <cell r="V116" t="e">
            <v>#VALUE!</v>
          </cell>
          <cell r="W116" t="e">
            <v>#VALUE!</v>
          </cell>
          <cell r="X116" t="e">
            <v>#VALUE!</v>
          </cell>
          <cell r="Y116" t="e">
            <v>#VALUE!</v>
          </cell>
          <cell r="Z116" t="e">
            <v>#VALUE!</v>
          </cell>
          <cell r="AA116" t="e">
            <v>#VALUE!</v>
          </cell>
          <cell r="AB116" t="e">
            <v>#VALUE!</v>
          </cell>
          <cell r="AC116" t="e">
            <v>#VALUE!</v>
          </cell>
          <cell r="AD116" t="e">
            <v>#VALUE!</v>
          </cell>
          <cell r="AE116" t="e">
            <v>#VALUE!</v>
          </cell>
        </row>
        <row r="117">
          <cell r="B117" t="str">
            <v>LTU</v>
          </cell>
          <cell r="C117" t="str">
            <v>GDP (constant 2015 US$)</v>
          </cell>
          <cell r="D117" t="str">
            <v>NY.GDP.MKTP.KD</v>
          </cell>
          <cell r="E117">
            <v>33828927895.839199</v>
          </cell>
          <cell r="F117">
            <v>34387524905.825302</v>
          </cell>
          <cell r="G117">
            <v>36464190341.048798</v>
          </cell>
          <cell r="H117">
            <v>37865824499.5998</v>
          </cell>
          <cell r="I117">
            <v>39210088851.826302</v>
          </cell>
          <cell r="J117">
            <v>40596953568.086403</v>
          </cell>
          <cell r="K117">
            <v>41418872976.119598</v>
          </cell>
          <cell r="L117">
            <v>42462143259.0298</v>
          </cell>
          <cell r="M117">
            <v>44280625711.658401</v>
          </cell>
          <cell r="N117">
            <v>46048888511.484398</v>
          </cell>
          <cell r="O117">
            <v>48155059559.286301</v>
          </cell>
          <cell r="P117">
            <v>48091287110.448997</v>
          </cell>
          <cell r="Q117">
            <v>1.6512406532836292</v>
          </cell>
          <cell r="R117">
            <v>6.0390081604032666</v>
          </cell>
          <cell r="S117">
            <v>3.8438647490635276</v>
          </cell>
          <cell r="T117">
            <v>3.5500728427046631</v>
          </cell>
          <cell r="U117">
            <v>3.5370098790161371</v>
          </cell>
          <cell r="V117">
            <v>2.0245839546918933</v>
          </cell>
          <cell r="W117">
            <v>2.518828273071815</v>
          </cell>
          <cell r="X117">
            <v>4.2825969512075703</v>
          </cell>
          <cell r="Y117">
            <v>3.9933103279532931</v>
          </cell>
          <cell r="Z117">
            <v>4.5737717366981245</v>
          </cell>
          <cell r="AA117">
            <v>-0.13243146082872029</v>
          </cell>
          <cell r="AB117">
            <v>39.850969914680476</v>
          </cell>
          <cell r="AC117">
            <v>16.109598487086878</v>
          </cell>
          <cell r="AD117">
            <v>36.354649239116597</v>
          </cell>
          <cell r="AE117">
            <v>13.622604455685728</v>
          </cell>
        </row>
        <row r="118">
          <cell r="B118" t="str">
            <v>LUX</v>
          </cell>
          <cell r="C118" t="str">
            <v>GDP (constant 2015 US$)</v>
          </cell>
          <cell r="D118" t="str">
            <v>NY.GDP.MKTP.KD</v>
          </cell>
          <cell r="E118">
            <v>52034403245.543198</v>
          </cell>
          <cell r="F118">
            <v>53991112017.991302</v>
          </cell>
          <cell r="G118">
            <v>54554940495.972198</v>
          </cell>
          <cell r="H118">
            <v>55455043566.564102</v>
          </cell>
          <cell r="I118">
            <v>57213961369.713402</v>
          </cell>
          <cell r="J118">
            <v>58714732789.471497</v>
          </cell>
          <cell r="K118">
            <v>60047430684.263901</v>
          </cell>
          <cell r="L118">
            <v>63036706136.1418</v>
          </cell>
          <cell r="M118">
            <v>63867017852.4888</v>
          </cell>
          <cell r="N118">
            <v>65147153745.442101</v>
          </cell>
          <cell r="O118">
            <v>67286460381.388802</v>
          </cell>
          <cell r="P118">
            <v>66091291203.412201</v>
          </cell>
          <cell r="Q118">
            <v>3.7604135925508078</v>
          </cell>
          <cell r="R118">
            <v>1.0442986945573802</v>
          </cell>
          <cell r="S118">
            <v>1.6499020297865752</v>
          </cell>
          <cell r="T118">
            <v>3.1717904991599646</v>
          </cell>
          <cell r="U118">
            <v>2.6230860157719098</v>
          </cell>
          <cell r="V118">
            <v>2.2697844841957258</v>
          </cell>
          <cell r="W118">
            <v>4.9781904368162619</v>
          </cell>
          <cell r="X118">
            <v>1.3171876629368247</v>
          </cell>
          <cell r="Y118">
            <v>2.0043771198304285</v>
          </cell>
          <cell r="Z118">
            <v>3.283806755865176</v>
          </cell>
          <cell r="AA118">
            <v>-1.7762402290181698</v>
          </cell>
          <cell r="AB118">
            <v>22.411427979828961</v>
          </cell>
          <cell r="AC118">
            <v>10.065144253927523</v>
          </cell>
          <cell r="AD118">
            <v>25.235809194723235</v>
          </cell>
          <cell r="AE118">
            <v>10.986975275627309</v>
          </cell>
        </row>
        <row r="119">
          <cell r="B119" t="str">
            <v>MAC</v>
          </cell>
          <cell r="C119" t="str">
            <v>GDP (constant 2015 US$)</v>
          </cell>
          <cell r="D119" t="str">
            <v>NY.GDP.MKTP.KD</v>
          </cell>
          <cell r="E119">
            <v>31827182114.610802</v>
          </cell>
          <cell r="F119">
            <v>39823068644.074203</v>
          </cell>
          <cell r="G119">
            <v>48431457277.149399</v>
          </cell>
          <cell r="H119">
            <v>52907663460.890701</v>
          </cell>
          <cell r="I119">
            <v>58596722397.058197</v>
          </cell>
          <cell r="J119">
            <v>57396479644.8936</v>
          </cell>
          <cell r="K119">
            <v>45047964934.251701</v>
          </cell>
          <cell r="L119">
            <v>44742115109.726898</v>
          </cell>
          <cell r="M119">
            <v>49208806475.089104</v>
          </cell>
          <cell r="N119">
            <v>52389965631.972298</v>
          </cell>
          <cell r="O119">
            <v>51073940150.133797</v>
          </cell>
          <cell r="P119">
            <v>23488188941.667999</v>
          </cell>
          <cell r="Q119">
            <v>25.122822688700285</v>
          </cell>
          <cell r="R119">
            <v>21.616587887825041</v>
          </cell>
          <cell r="S119">
            <v>9.2423528743439967</v>
          </cell>
          <cell r="T119">
            <v>10.752806992455531</v>
          </cell>
          <cell r="U119">
            <v>-2.0483103884746523</v>
          </cell>
          <cell r="V119">
            <v>-21.514411314144962</v>
          </cell>
          <cell r="W119">
            <v>-0.67894260033987408</v>
          </cell>
          <cell r="X119">
            <v>9.9831922438354965</v>
          </cell>
          <cell r="Y119">
            <v>6.4646135209428159</v>
          </cell>
          <cell r="Z119">
            <v>-2.511980044200226</v>
          </cell>
          <cell r="AA119">
            <v>-54.011402150248109</v>
          </cell>
          <cell r="AB119">
            <v>-41.018636329616164</v>
          </cell>
          <cell r="AC119">
            <v>-47.859600370517455</v>
          </cell>
          <cell r="AD119">
            <v>59.093655409291792</v>
          </cell>
          <cell r="AE119">
            <v>-11.780255943952289</v>
          </cell>
        </row>
        <row r="120">
          <cell r="B120" t="str">
            <v>MDG</v>
          </cell>
          <cell r="C120" t="str">
            <v>GDP (constant 2015 US$)</v>
          </cell>
          <cell r="D120" t="str">
            <v>NY.GDP.MKTP.KD</v>
          </cell>
          <cell r="E120">
            <v>9864124140.0276203</v>
          </cell>
          <cell r="F120">
            <v>9925206717.3148994</v>
          </cell>
          <cell r="G120">
            <v>10081868865.031099</v>
          </cell>
          <cell r="H120">
            <v>10385448869.3123</v>
          </cell>
          <cell r="I120">
            <v>10624353266.733</v>
          </cell>
          <cell r="J120">
            <v>10979122001.738701</v>
          </cell>
          <cell r="K120">
            <v>11323020828.5844</v>
          </cell>
          <cell r="L120">
            <v>11775165589.1409</v>
          </cell>
          <cell r="M120">
            <v>12238319071.5291</v>
          </cell>
          <cell r="N120">
            <v>12629254614.1071</v>
          </cell>
          <cell r="O120">
            <v>13186360351.4331</v>
          </cell>
          <cell r="P120">
            <v>12244773575.743</v>
          </cell>
          <cell r="Q120">
            <v>0.61923974617687738</v>
          </cell>
          <cell r="R120">
            <v>1.5784270512260143</v>
          </cell>
          <cell r="S120">
            <v>3.0111481149508479</v>
          </cell>
          <cell r="T120">
            <v>2.300376232428746</v>
          </cell>
          <cell r="U120">
            <v>3.3392031128760915</v>
          </cell>
          <cell r="V120">
            <v>3.1322980725711771</v>
          </cell>
          <cell r="W120">
            <v>3.9931460641234771</v>
          </cell>
          <cell r="X120">
            <v>3.9333075945473119</v>
          </cell>
          <cell r="Y120">
            <v>3.1943565149192845</v>
          </cell>
          <cell r="Z120">
            <v>4.4112321300712658</v>
          </cell>
          <cell r="AA120">
            <v>-7.1406115910351842</v>
          </cell>
          <cell r="AB120">
            <v>23.370463955995277</v>
          </cell>
          <cell r="AC120">
            <v>8.1405197527472613</v>
          </cell>
          <cell r="AD120">
            <v>27.911540009221735</v>
          </cell>
          <cell r="AE120">
            <v>14.921330630378215</v>
          </cell>
        </row>
        <row r="121">
          <cell r="B121" t="str">
            <v>MWI</v>
          </cell>
          <cell r="C121" t="str">
            <v>GDP (constant 2015 US$)</v>
          </cell>
          <cell r="D121" t="str">
            <v>NY.GDP.MKTP.KD</v>
          </cell>
          <cell r="E121">
            <v>4883186907.1218596</v>
          </cell>
          <cell r="F121">
            <v>5218860380.1025</v>
          </cell>
          <cell r="G121">
            <v>5472186739.1085701</v>
          </cell>
          <cell r="H121">
            <v>5575381209.6542301</v>
          </cell>
          <cell r="I121">
            <v>5865301032.39324</v>
          </cell>
          <cell r="J121">
            <v>6199623191.48036</v>
          </cell>
          <cell r="K121">
            <v>6373212640.8460398</v>
          </cell>
          <cell r="L121">
            <v>6531525831.9774704</v>
          </cell>
          <cell r="M121">
            <v>6792788858.4872398</v>
          </cell>
          <cell r="N121">
            <v>7091106971.7641296</v>
          </cell>
          <cell r="O121">
            <v>7477443338.3278399</v>
          </cell>
          <cell r="P121">
            <v>7537262760.2286596</v>
          </cell>
          <cell r="Q121">
            <v>6.8740656330618659</v>
          </cell>
          <cell r="R121">
            <v>4.8540551108036105</v>
          </cell>
          <cell r="S121">
            <v>1.8857995069530578</v>
          </cell>
          <cell r="T121">
            <v>5.1999999970762518</v>
          </cell>
          <cell r="U121">
            <v>5.7000000041038872</v>
          </cell>
          <cell r="V121">
            <v>2.8000000000682244</v>
          </cell>
          <cell r="W121">
            <v>2.4840406252381793</v>
          </cell>
          <cell r="X121">
            <v>4.0000305170755182</v>
          </cell>
          <cell r="Y121">
            <v>4.3916882960988355</v>
          </cell>
          <cell r="Z121">
            <v>5.4481813361729223</v>
          </cell>
          <cell r="AA121">
            <v>0.79999833090272576</v>
          </cell>
          <cell r="AB121">
            <v>44.423537156988004</v>
          </cell>
          <cell r="AC121">
            <v>18.264730599481346</v>
          </cell>
          <cell r="AD121">
            <v>45.599105291559084</v>
          </cell>
          <cell r="AE121">
            <v>14.682396443940494</v>
          </cell>
        </row>
        <row r="122">
          <cell r="B122" t="str">
            <v>MYS</v>
          </cell>
          <cell r="C122" t="str">
            <v>GDP (constant 2015 US$)</v>
          </cell>
          <cell r="D122" t="str">
            <v>NY.GDP.MKTP.KD</v>
          </cell>
          <cell r="E122">
            <v>216573426577.90302</v>
          </cell>
          <cell r="F122">
            <v>232653672974.01099</v>
          </cell>
          <cell r="G122">
            <v>244970155626.67999</v>
          </cell>
          <cell r="H122">
            <v>258378484880.297</v>
          </cell>
          <cell r="I122">
            <v>270506054026.37299</v>
          </cell>
          <cell r="J122">
            <v>286754600537.703</v>
          </cell>
          <cell r="K122">
            <v>301354803994.367</v>
          </cell>
          <cell r="L122">
            <v>314764434003.32898</v>
          </cell>
          <cell r="M122">
            <v>333060816796.82501</v>
          </cell>
          <cell r="N122">
            <v>349191140699.01398</v>
          </cell>
          <cell r="O122">
            <v>364693381129.177</v>
          </cell>
          <cell r="P122">
            <v>344099347074.638</v>
          </cell>
          <cell r="Q122">
            <v>7.4248473832609339</v>
          </cell>
          <cell r="R122">
            <v>5.2939128341398858</v>
          </cell>
          <cell r="S122">
            <v>5.4734541925386635</v>
          </cell>
          <cell r="T122">
            <v>4.6937225255789059</v>
          </cell>
          <cell r="U122">
            <v>6.0067219455819885</v>
          </cell>
          <cell r="V122">
            <v>5.0915324215502311</v>
          </cell>
          <cell r="W122">
            <v>4.4497813976154932</v>
          </cell>
          <cell r="X122">
            <v>5.8127224098331665</v>
          </cell>
          <cell r="Y122">
            <v>4.8430566096968546</v>
          </cell>
          <cell r="Z122">
            <v>4.4394712875963869</v>
          </cell>
          <cell r="AA122">
            <v>-5.6469448364472639</v>
          </cell>
          <cell r="AB122">
            <v>47.901962034820855</v>
          </cell>
          <cell r="AC122">
            <v>14.184125327920768</v>
          </cell>
          <cell r="AD122">
            <v>61.125923426731468</v>
          </cell>
          <cell r="AE122">
            <v>21.691485617396111</v>
          </cell>
        </row>
        <row r="123">
          <cell r="B123" t="str">
            <v>MDV</v>
          </cell>
          <cell r="C123" t="str">
            <v>GDP (constant 2015 US$)</v>
          </cell>
          <cell r="D123" t="str">
            <v>NY.GDP.MKTP.KD</v>
          </cell>
          <cell r="E123">
            <v>2905596513.37854</v>
          </cell>
          <cell r="F123">
            <v>3116691850.2824602</v>
          </cell>
          <cell r="G123">
            <v>3383690536.0631099</v>
          </cell>
          <cell r="H123">
            <v>3468871018.2715998</v>
          </cell>
          <cell r="I123">
            <v>3721442083.348</v>
          </cell>
          <cell r="J123">
            <v>3994209877.4351702</v>
          </cell>
          <cell r="K123">
            <v>4109424799.7240701</v>
          </cell>
          <cell r="L123">
            <v>4369892497.95193</v>
          </cell>
          <cell r="M123">
            <v>4684957819.5457096</v>
          </cell>
          <cell r="N123">
            <v>5065522982.5209503</v>
          </cell>
          <cell r="O123">
            <v>5414217823.0380802</v>
          </cell>
          <cell r="P123">
            <v>3600460152.8705401</v>
          </cell>
          <cell r="Q123">
            <v>7.2651290684013405</v>
          </cell>
          <cell r="R123">
            <v>8.5667335305045338</v>
          </cell>
          <cell r="S123">
            <v>2.5173839421969282</v>
          </cell>
          <cell r="T123">
            <v>7.2810739789986885</v>
          </cell>
          <cell r="U123">
            <v>7.3296262034467627</v>
          </cell>
          <cell r="V123">
            <v>2.8845485296051505</v>
          </cell>
          <cell r="W123">
            <v>6.33830063626786</v>
          </cell>
          <cell r="X123">
            <v>7.2099101234514018</v>
          </cell>
          <cell r="Y123">
            <v>8.1231289081732516</v>
          </cell>
          <cell r="Z123">
            <v>6.8836888455611254</v>
          </cell>
          <cell r="AA123">
            <v>-33.499902099428027</v>
          </cell>
          <cell r="AB123">
            <v>15.521852201854248</v>
          </cell>
          <cell r="AC123">
            <v>-12.385301390299311</v>
          </cell>
          <cell r="AD123">
            <v>70.54862852577179</v>
          </cell>
          <cell r="AE123">
            <v>24.065964386473905</v>
          </cell>
        </row>
        <row r="124">
          <cell r="B124" t="str">
            <v>MLI</v>
          </cell>
          <cell r="C124" t="str">
            <v>GDP (constant 2015 US$)</v>
          </cell>
          <cell r="D124" t="str">
            <v>NY.GDP.MKTP.KD</v>
          </cell>
          <cell r="E124">
            <v>10453611461.615601</v>
          </cell>
          <cell r="F124">
            <v>11009109608.999701</v>
          </cell>
          <cell r="G124">
            <v>11362847028.772499</v>
          </cell>
          <cell r="H124">
            <v>11267770152.554899</v>
          </cell>
          <cell r="I124">
            <v>11526373172.274099</v>
          </cell>
          <cell r="J124">
            <v>12342980274.424</v>
          </cell>
          <cell r="K124">
            <v>13104764333.994101</v>
          </cell>
          <cell r="L124">
            <v>13871694352.1975</v>
          </cell>
          <cell r="M124">
            <v>14607651004.212999</v>
          </cell>
          <cell r="N124">
            <v>15301000869.706699</v>
          </cell>
          <cell r="O124">
            <v>16028741076.258801</v>
          </cell>
          <cell r="P124">
            <v>15830713922.9713</v>
          </cell>
          <cell r="Q124">
            <v>5.3139352789590673</v>
          </cell>
          <cell r="R124">
            <v>3.2131337804432989</v>
          </cell>
          <cell r="S124">
            <v>-0.83673463153072813</v>
          </cell>
          <cell r="T124">
            <v>2.2950682896257293</v>
          </cell>
          <cell r="U124">
            <v>7.0846838805652483</v>
          </cell>
          <cell r="V124">
            <v>6.1718000242502242</v>
          </cell>
          <cell r="W124">
            <v>5.8522991994137827</v>
          </cell>
          <cell r="X124">
            <v>5.3054560843817304</v>
          </cell>
          <cell r="Y124">
            <v>4.746484327245569</v>
          </cell>
          <cell r="Z124">
            <v>4.7561608077083326</v>
          </cell>
          <cell r="AA124">
            <v>-1.2354504470772889</v>
          </cell>
          <cell r="AB124">
            <v>43.796496585246516</v>
          </cell>
          <cell r="AC124">
            <v>20.801210304148814</v>
          </cell>
          <cell r="AD124">
            <v>46.600094657029146</v>
          </cell>
          <cell r="AE124">
            <v>24.159675840701112</v>
          </cell>
        </row>
        <row r="125">
          <cell r="B125" t="str">
            <v>MLT</v>
          </cell>
          <cell r="C125" t="str">
            <v>GDP (constant 2015 US$)</v>
          </cell>
          <cell r="D125" t="str">
            <v>NY.GDP.MKTP.KD</v>
          </cell>
          <cell r="E125">
            <v>8073730389.43748</v>
          </cell>
          <cell r="F125">
            <v>8521308887.1629896</v>
          </cell>
          <cell r="G125">
            <v>8561107733.2741604</v>
          </cell>
          <cell r="H125">
            <v>8913629091.3125496</v>
          </cell>
          <cell r="I125">
            <v>9401503716.8534298</v>
          </cell>
          <cell r="J125">
            <v>10119171086.208799</v>
          </cell>
          <cell r="K125">
            <v>11091434483.5238</v>
          </cell>
          <cell r="L125">
            <v>11545175909.920099</v>
          </cell>
          <cell r="M125">
            <v>12482577842.442101</v>
          </cell>
          <cell r="N125">
            <v>13129078609.2481</v>
          </cell>
          <cell r="O125">
            <v>13856372628.2222</v>
          </cell>
          <cell r="P125">
            <v>12886270020.5634</v>
          </cell>
          <cell r="Q125">
            <v>5.543639385222197</v>
          </cell>
          <cell r="R125">
            <v>0.46705085613227959</v>
          </cell>
          <cell r="S125">
            <v>4.1177072993516566</v>
          </cell>
          <cell r="T125">
            <v>5.4733556954526552</v>
          </cell>
          <cell r="U125">
            <v>7.6335381123006583</v>
          </cell>
          <cell r="V125">
            <v>9.6081328107998623</v>
          </cell>
          <cell r="W125">
            <v>4.0909174288531132</v>
          </cell>
          <cell r="X125">
            <v>8.1194252892807484</v>
          </cell>
          <cell r="Y125">
            <v>5.1792247960820079</v>
          </cell>
          <cell r="Z125">
            <v>5.5395663368318591</v>
          </cell>
          <cell r="AA125">
            <v>-7.0011296151413198</v>
          </cell>
          <cell r="AB125">
            <v>51.224068874865566</v>
          </cell>
          <cell r="AC125">
            <v>16.182176793324686</v>
          </cell>
          <cell r="AD125">
            <v>62.466686654969038</v>
          </cell>
          <cell r="AE125">
            <v>29.62645004640201</v>
          </cell>
        </row>
        <row r="126">
          <cell r="B126" t="str">
            <v>MHL</v>
          </cell>
          <cell r="C126" t="str">
            <v>GDP (constant 2015 US$)</v>
          </cell>
          <cell r="D126" t="str">
            <v>NY.GDP.MKTP.KD</v>
          </cell>
          <cell r="E126">
            <v>169503800</v>
          </cell>
          <cell r="F126">
            <v>180807400</v>
          </cell>
          <cell r="G126">
            <v>179700300</v>
          </cell>
          <cell r="H126">
            <v>175575800</v>
          </cell>
          <cell r="I126">
            <v>182630400</v>
          </cell>
          <cell r="J126">
            <v>180894800</v>
          </cell>
          <cell r="K126">
            <v>183814300</v>
          </cell>
          <cell r="L126">
            <v>186228256.225586</v>
          </cell>
          <cell r="M126">
            <v>192281707.76367199</v>
          </cell>
          <cell r="N126">
            <v>199155300</v>
          </cell>
          <cell r="O126">
            <v>212388500</v>
          </cell>
          <cell r="P126">
            <v>207699800</v>
          </cell>
          <cell r="Q126">
            <v>6.6686410570146517</v>
          </cell>
          <cell r="R126">
            <v>-0.612309009476382</v>
          </cell>
          <cell r="S126">
            <v>-2.2952104142285794</v>
          </cell>
          <cell r="T126">
            <v>4.0179796987967595</v>
          </cell>
          <cell r="U126">
            <v>-0.95033466498458086</v>
          </cell>
          <cell r="V126">
            <v>1.6139214615345492</v>
          </cell>
          <cell r="W126">
            <v>1.3132581227826112</v>
          </cell>
          <cell r="X126">
            <v>3.2505548088004441</v>
          </cell>
          <cell r="Y126">
            <v>3.5747509819166696</v>
          </cell>
          <cell r="Z126">
            <v>6.6446637372944632</v>
          </cell>
          <cell r="AA126">
            <v>-2.2076054023640639</v>
          </cell>
          <cell r="AB126">
            <v>14.87350628348176</v>
          </cell>
          <cell r="AC126">
            <v>12.994364421048852</v>
          </cell>
          <cell r="AD126">
            <v>17.667098062285991</v>
          </cell>
          <cell r="AE126">
            <v>10.257565482977427</v>
          </cell>
        </row>
        <row r="127">
          <cell r="B127" t="str">
            <v>MRT</v>
          </cell>
          <cell r="C127" t="str">
            <v>GDP (constant 2015 US$)</v>
          </cell>
          <cell r="D127" t="str">
            <v>NY.GDP.MKTP.KD</v>
          </cell>
          <cell r="E127">
            <v>4825027450.3460703</v>
          </cell>
          <cell r="F127">
            <v>4951454243.9748602</v>
          </cell>
          <cell r="G127">
            <v>5158067698.9350204</v>
          </cell>
          <cell r="H127">
            <v>5388634005.0312796</v>
          </cell>
          <cell r="I127">
            <v>5612306135.8720398</v>
          </cell>
          <cell r="J127">
            <v>5852222304.6250601</v>
          </cell>
          <cell r="K127">
            <v>6166857628.6221199</v>
          </cell>
          <cell r="L127">
            <v>6244616105.3221502</v>
          </cell>
          <cell r="M127">
            <v>6636187611.6128702</v>
          </cell>
          <cell r="N127">
            <v>6936590983.80618</v>
          </cell>
          <cell r="O127">
            <v>7336133809.7673798</v>
          </cell>
          <cell r="P127">
            <v>7206774163.4500704</v>
          </cell>
          <cell r="Q127">
            <v>2.6202295205537549</v>
          </cell>
          <cell r="R127">
            <v>4.172783283044093</v>
          </cell>
          <cell r="S127">
            <v>4.47001318233694</v>
          </cell>
          <cell r="T127">
            <v>4.1508131862717192</v>
          </cell>
          <cell r="U127">
            <v>4.2748232713029317</v>
          </cell>
          <cell r="V127">
            <v>5.376339236949371</v>
          </cell>
          <cell r="W127">
            <v>1.2609092244830069</v>
          </cell>
          <cell r="X127">
            <v>6.2705456938656656</v>
          </cell>
          <cell r="Y127">
            <v>4.5267462250106467</v>
          </cell>
          <cell r="Z127">
            <v>5.7599305897371273</v>
          </cell>
          <cell r="AA127">
            <v>-1.763321794172825</v>
          </cell>
          <cell r="AB127">
            <v>45.548636993254647</v>
          </cell>
          <cell r="AC127">
            <v>16.862989182714475</v>
          </cell>
          <cell r="AD127">
            <v>44.005228879669176</v>
          </cell>
          <cell r="AE127">
            <v>18.729116251896837</v>
          </cell>
        </row>
        <row r="128">
          <cell r="B128" t="str">
            <v>MUS</v>
          </cell>
          <cell r="C128" t="str">
            <v>GDP (constant 2015 US$)</v>
          </cell>
          <cell r="D128" t="str">
            <v>NY.GDP.MKTP.KD</v>
          </cell>
          <cell r="E128">
            <v>9365482339.8680191</v>
          </cell>
          <cell r="F128">
            <v>9775428535.0552902</v>
          </cell>
          <cell r="G128">
            <v>10174025355.681499</v>
          </cell>
          <cell r="H128">
            <v>10529721324.071501</v>
          </cell>
          <cell r="I128">
            <v>10883562721.5665</v>
          </cell>
          <cell r="J128">
            <v>11291105974.9625</v>
          </cell>
          <cell r="K128">
            <v>11692287066.381001</v>
          </cell>
          <cell r="L128">
            <v>12141029169.7118</v>
          </cell>
          <cell r="M128">
            <v>12604106489.7752</v>
          </cell>
          <cell r="N128">
            <v>13077980211.176399</v>
          </cell>
          <cell r="O128">
            <v>13471938135.617201</v>
          </cell>
          <cell r="P128">
            <v>11465335041.3424</v>
          </cell>
          <cell r="Q128">
            <v>4.3772032268126431</v>
          </cell>
          <cell r="R128">
            <v>4.0775380761755509</v>
          </cell>
          <cell r="S128">
            <v>3.4961183597932486</v>
          </cell>
          <cell r="T128">
            <v>3.360406098175635</v>
          </cell>
          <cell r="U128">
            <v>3.7445757774559061</v>
          </cell>
          <cell r="V128">
            <v>3.5530717035877726</v>
          </cell>
          <cell r="W128">
            <v>3.8379326540918899</v>
          </cell>
          <cell r="X128">
            <v>3.8141521084443011</v>
          </cell>
          <cell r="Y128">
            <v>3.7596772273038064</v>
          </cell>
          <cell r="Z128">
            <v>3.0123759026957884</v>
          </cell>
          <cell r="AA128">
            <v>-14.894687565182105</v>
          </cell>
          <cell r="AB128">
            <v>17.287288227078747</v>
          </cell>
          <cell r="AC128">
            <v>-1.9410404803621297</v>
          </cell>
          <cell r="AD128">
            <v>39.01629826176962</v>
          </cell>
          <cell r="AE128">
            <v>15.307985702326455</v>
          </cell>
        </row>
        <row r="129">
          <cell r="B129" t="str">
            <v>MEX</v>
          </cell>
          <cell r="C129" t="str">
            <v>GDP (constant 2015 US$)</v>
          </cell>
          <cell r="D129" t="str">
            <v>NY.GDP.MKTP.KD</v>
          </cell>
          <cell r="E129">
            <v>963660094723.91699</v>
          </cell>
          <cell r="F129">
            <v>1012981356870.87</v>
          </cell>
          <cell r="G129">
            <v>1050086944297.42</v>
          </cell>
          <cell r="H129">
            <v>1088334499223.12</v>
          </cell>
          <cell r="I129">
            <v>1103071549191.52</v>
          </cell>
          <cell r="J129">
            <v>1134506587182.8601</v>
          </cell>
          <cell r="K129">
            <v>1171867608197.72</v>
          </cell>
          <cell r="L129">
            <v>1202693965604.1699</v>
          </cell>
          <cell r="M129">
            <v>1228108442202.22</v>
          </cell>
          <cell r="N129">
            <v>1255065357728.6299</v>
          </cell>
          <cell r="O129">
            <v>1252848919131.02</v>
          </cell>
          <cell r="P129">
            <v>1148749268216.8301</v>
          </cell>
          <cell r="Q129">
            <v>5.1181181432114045</v>
          </cell>
          <cell r="R129">
            <v>3.6630079295013216</v>
          </cell>
          <cell r="S129">
            <v>3.6423226794130064</v>
          </cell>
          <cell r="T129">
            <v>1.3540919615173179</v>
          </cell>
          <cell r="U129">
            <v>2.8497732549062604</v>
          </cell>
          <cell r="V129">
            <v>3.2931515283337882</v>
          </cell>
          <cell r="W129">
            <v>2.6305324245508852</v>
          </cell>
          <cell r="X129">
            <v>2.1131291354973381</v>
          </cell>
          <cell r="Y129">
            <v>2.1949947252273017</v>
          </cell>
          <cell r="Z129">
            <v>-0.17659945627222878</v>
          </cell>
          <cell r="AA129">
            <v>-8.3090346588951682</v>
          </cell>
          <cell r="AB129">
            <v>13.402804545717531</v>
          </cell>
          <cell r="AC129">
            <v>-1.9727774553342989</v>
          </cell>
          <cell r="AD129">
            <v>30.002461962156456</v>
          </cell>
          <cell r="AE129">
            <v>10.42525995364867</v>
          </cell>
        </row>
        <row r="130">
          <cell r="B130" t="str">
            <v>FSM</v>
          </cell>
          <cell r="C130" t="str">
            <v>GDP (constant 2015 US$)</v>
          </cell>
          <cell r="D130" t="str">
            <v>NY.GDP.MKTP.KD</v>
          </cell>
          <cell r="E130">
            <v>310456119.00257701</v>
          </cell>
          <cell r="F130">
            <v>317470533.37267202</v>
          </cell>
          <cell r="G130">
            <v>327593318.65352899</v>
          </cell>
          <cell r="H130">
            <v>321477741.865646</v>
          </cell>
          <cell r="I130">
            <v>309648107.466093</v>
          </cell>
          <cell r="J130">
            <v>302508316.50838</v>
          </cell>
          <cell r="K130">
            <v>316489900</v>
          </cell>
          <cell r="L130">
            <v>319338880.10005403</v>
          </cell>
          <cell r="M130">
            <v>327904142.65727901</v>
          </cell>
          <cell r="N130">
            <v>328598163.58017802</v>
          </cell>
          <cell r="O130">
            <v>332458532.270118</v>
          </cell>
          <cell r="P130">
            <v>326589258.96646899</v>
          </cell>
          <cell r="Q130">
            <v>2.2593899558593624</v>
          </cell>
          <cell r="R130">
            <v>3.1885747547392187</v>
          </cell>
          <cell r="S130">
            <v>-1.8668197547554297</v>
          </cell>
          <cell r="T130">
            <v>-3.6797677907346125</v>
          </cell>
          <cell r="U130">
            <v>-2.3057757452933334</v>
          </cell>
          <cell r="V130">
            <v>4.6218840040494191</v>
          </cell>
          <cell r="W130">
            <v>0.90018041651693337</v>
          </cell>
          <cell r="X130">
            <v>2.6821859444554184</v>
          </cell>
          <cell r="Y130">
            <v>0.21165360012678738</v>
          </cell>
          <cell r="Z130">
            <v>1.1747992282975876</v>
          </cell>
          <cell r="AA130">
            <v>-1.7654151522513202</v>
          </cell>
          <cell r="AB130">
            <v>2.8723061308788265</v>
          </cell>
          <cell r="AC130">
            <v>3.1910525316823666</v>
          </cell>
          <cell r="AD130">
            <v>5.8423076656590966</v>
          </cell>
          <cell r="AE130">
            <v>8.6231031378833691</v>
          </cell>
        </row>
        <row r="131">
          <cell r="B131" t="str">
            <v>MDA</v>
          </cell>
          <cell r="C131" t="str">
            <v>GDP (constant 2015 US$)</v>
          </cell>
          <cell r="D131" t="str">
            <v>NY.GDP.MKTP.KD</v>
          </cell>
          <cell r="E131">
            <v>6024706737.1128502</v>
          </cell>
          <cell r="F131">
            <v>6452460920.49613</v>
          </cell>
          <cell r="G131">
            <v>6827875834.0381899</v>
          </cell>
          <cell r="H131">
            <v>6787609520.1694403</v>
          </cell>
          <cell r="I131">
            <v>7401471794.6462698</v>
          </cell>
          <cell r="J131">
            <v>7771517678.3691397</v>
          </cell>
          <cell r="K131">
            <v>7745231660.3342505</v>
          </cell>
          <cell r="L131">
            <v>8086710150.7328901</v>
          </cell>
          <cell r="M131">
            <v>8466041015.9670696</v>
          </cell>
          <cell r="N131">
            <v>8830205885.8811092</v>
          </cell>
          <cell r="O131">
            <v>9155458065.71175</v>
          </cell>
          <cell r="P131">
            <v>8517409875.6726704</v>
          </cell>
          <cell r="Q131">
            <v>7.1000000837927502</v>
          </cell>
          <cell r="R131">
            <v>5.8181664045350656</v>
          </cell>
          <cell r="S131">
            <v>-0.5897341259197304</v>
          </cell>
          <cell r="T131">
            <v>9.0438654824313698</v>
          </cell>
          <cell r="U131">
            <v>4.9996256689181244</v>
          </cell>
          <cell r="V131">
            <v>-0.33823532445988547</v>
          </cell>
          <cell r="W131">
            <v>4.4088867237820351</v>
          </cell>
          <cell r="X131">
            <v>4.6907933901872463</v>
          </cell>
          <cell r="Y131">
            <v>4.3014777418065853</v>
          </cell>
          <cell r="Z131">
            <v>3.6834042607171433</v>
          </cell>
          <cell r="AA131">
            <v>-6.9690471570029251</v>
          </cell>
          <cell r="AB131">
            <v>32.002502310665157</v>
          </cell>
          <cell r="AC131">
            <v>9.9697239437392895</v>
          </cell>
          <cell r="AD131">
            <v>46.35245014987197</v>
          </cell>
          <cell r="AE131">
            <v>13.456679750606693</v>
          </cell>
        </row>
        <row r="132">
          <cell r="B132" t="str">
            <v>MCO</v>
          </cell>
          <cell r="C132" t="str">
            <v>GDP (constant 2015 US$)</v>
          </cell>
          <cell r="D132" t="str">
            <v>NY.GDP.MKTP.KD</v>
          </cell>
          <cell r="E132">
            <v>4606988900.7343502</v>
          </cell>
          <cell r="F132">
            <v>4703735663.0027199</v>
          </cell>
          <cell r="G132">
            <v>5032997159.4129105</v>
          </cell>
          <cell r="H132">
            <v>5083942060.6519499</v>
          </cell>
          <cell r="I132">
            <v>5570723958.3941498</v>
          </cell>
          <cell r="J132">
            <v>5971213721.6587696</v>
          </cell>
          <cell r="K132">
            <v>6261622101.4090796</v>
          </cell>
          <cell r="L132">
            <v>6477745184.63902</v>
          </cell>
          <cell r="M132">
            <v>6250961824.7180901</v>
          </cell>
          <cell r="N132">
            <v>6623286014.8307199</v>
          </cell>
          <cell r="O132">
            <v>7080667991.5935698</v>
          </cell>
          <cell r="P132">
            <v>6248493129.0633297</v>
          </cell>
          <cell r="Q132">
            <v>2.0999998991303914</v>
          </cell>
          <cell r="R132">
            <v>7.0000000000000036</v>
          </cell>
          <cell r="S132">
            <v>1.0122179612948967</v>
          </cell>
          <cell r="T132">
            <v>9.5748907429479324</v>
          </cell>
          <cell r="U132">
            <v>7.1891870115220611</v>
          </cell>
          <cell r="V132">
            <v>4.8634732114334058</v>
          </cell>
          <cell r="W132">
            <v>3.4515510474722726</v>
          </cell>
          <cell r="X132">
            <v>-3.5009614218650018</v>
          </cell>
          <cell r="Y132">
            <v>5.9562704197033103</v>
          </cell>
          <cell r="Z132">
            <v>6.9056654920033642</v>
          </cell>
          <cell r="AA132">
            <v>-11.752773375594346</v>
          </cell>
          <cell r="AB132">
            <v>32.841077320966718</v>
          </cell>
          <cell r="AC132">
            <v>-0.20967366176242713</v>
          </cell>
          <cell r="AD132">
            <v>43.30872923560576</v>
          </cell>
          <cell r="AE132">
            <v>10.567424939426573</v>
          </cell>
        </row>
        <row r="133">
          <cell r="B133" t="str">
            <v>MNG</v>
          </cell>
          <cell r="C133" t="str">
            <v>GDP (constant 2015 US$)</v>
          </cell>
          <cell r="D133" t="str">
            <v>NY.GDP.MKTP.KD</v>
          </cell>
          <cell r="E133">
            <v>6724368796.32197</v>
          </cell>
          <cell r="F133">
            <v>7152385742.4939699</v>
          </cell>
          <cell r="G133">
            <v>8389088853.1560898</v>
          </cell>
          <cell r="H133">
            <v>9422609486.7941494</v>
          </cell>
          <cell r="I133">
            <v>10520241368.811001</v>
          </cell>
          <cell r="J133">
            <v>11349786121.9419</v>
          </cell>
          <cell r="K133">
            <v>11619892396.0767</v>
          </cell>
          <cell r="L133">
            <v>11793003750.1728</v>
          </cell>
          <cell r="M133">
            <v>12457760794.194099</v>
          </cell>
          <cell r="N133">
            <v>13422599495.6528</v>
          </cell>
          <cell r="O133">
            <v>14174566299.8985</v>
          </cell>
          <cell r="P133">
            <v>13528524724.647301</v>
          </cell>
          <cell r="Q133">
            <v>6.3651616848575063</v>
          </cell>
          <cell r="R133">
            <v>17.290777583689064</v>
          </cell>
          <cell r="S133">
            <v>12.319819848483725</v>
          </cell>
          <cell r="T133">
            <v>11.648916189885508</v>
          </cell>
          <cell r="U133">
            <v>7.8852254815200569</v>
          </cell>
          <cell r="V133">
            <v>2.3798358068846666</v>
          </cell>
          <cell r="W133">
            <v>1.4897844850486615</v>
          </cell>
          <cell r="X133">
            <v>5.6368763896268481</v>
          </cell>
          <cell r="Y133">
            <v>7.7448806201862563</v>
          </cell>
          <cell r="Z133">
            <v>5.6022442187092114</v>
          </cell>
          <cell r="AA133">
            <v>-4.5577519733766092</v>
          </cell>
          <cell r="AB133">
            <v>89.147023269050237</v>
          </cell>
          <cell r="AC133">
            <v>16.425559407202638</v>
          </cell>
          <cell r="AD133">
            <v>99.72452409278543</v>
          </cell>
          <cell r="AE133">
            <v>18.330102720913356</v>
          </cell>
        </row>
        <row r="134">
          <cell r="B134" t="str">
            <v>MNE</v>
          </cell>
          <cell r="C134" t="str">
            <v>GDP (constant 2015 US$)</v>
          </cell>
          <cell r="D134" t="str">
            <v>NY.GDP.MKTP.KD</v>
          </cell>
          <cell r="E134">
            <v>3605300641.93084</v>
          </cell>
          <cell r="F134">
            <v>3703881497.9949002</v>
          </cell>
          <cell r="G134">
            <v>3823459498.0191202</v>
          </cell>
          <cell r="H134">
            <v>3719316461.06744</v>
          </cell>
          <cell r="I134">
            <v>3851314255.1511898</v>
          </cell>
          <cell r="J134">
            <v>3920010092.8727598</v>
          </cell>
          <cell r="K134">
            <v>4052913385.8267698</v>
          </cell>
          <cell r="L134">
            <v>4172445162.7411299</v>
          </cell>
          <cell r="M134">
            <v>4369237089.9902802</v>
          </cell>
          <cell r="N134">
            <v>4591102091.32374</v>
          </cell>
          <cell r="O134">
            <v>4777636043.8057203</v>
          </cell>
          <cell r="P134">
            <v>4046328370.4822998</v>
          </cell>
          <cell r="Q134">
            <v>2.7343310823383833</v>
          </cell>
          <cell r="R134">
            <v>3.2284510206105046</v>
          </cell>
          <cell r="S134">
            <v>-2.7237907713063314</v>
          </cell>
          <cell r="T134">
            <v>3.5489799124505401</v>
          </cell>
          <cell r="U134">
            <v>1.7836985810671855</v>
          </cell>
          <cell r="V134">
            <v>3.3903813971206507</v>
          </cell>
          <cell r="W134">
            <v>2.9492803209752356</v>
          </cell>
          <cell r="X134">
            <v>4.7164652757201448</v>
          </cell>
          <cell r="Y134">
            <v>5.0778888113383065</v>
          </cell>
          <cell r="Z134">
            <v>4.0629449916718681</v>
          </cell>
          <cell r="AA134">
            <v>-15.306893757040626</v>
          </cell>
          <cell r="AB134">
            <v>9.2456217260941944</v>
          </cell>
          <cell r="AC134">
            <v>-0.16247609355527151</v>
          </cell>
          <cell r="AD134">
            <v>26.612905704231537</v>
          </cell>
          <cell r="AE134">
            <v>16.448065029768234</v>
          </cell>
        </row>
        <row r="135">
          <cell r="B135" t="str">
            <v>MAR</v>
          </cell>
          <cell r="C135" t="str">
            <v>GDP (constant 2015 US$)</v>
          </cell>
          <cell r="D135" t="str">
            <v>NY.GDP.MKTP.KD</v>
          </cell>
          <cell r="E135">
            <v>80126248490.886703</v>
          </cell>
          <cell r="F135">
            <v>83183640110.586395</v>
          </cell>
          <cell r="G135">
            <v>87547202071.658997</v>
          </cell>
          <cell r="H135">
            <v>90182338940.173203</v>
          </cell>
          <cell r="I135">
            <v>94272490564.626602</v>
          </cell>
          <cell r="J135">
            <v>96789088975.028305</v>
          </cell>
          <cell r="K135">
            <v>101179808076.36</v>
          </cell>
          <cell r="L135">
            <v>102252168737.73</v>
          </cell>
          <cell r="M135">
            <v>106602592855.80499</v>
          </cell>
          <cell r="N135">
            <v>109958978323.14301</v>
          </cell>
          <cell r="O135">
            <v>112826637548.35899</v>
          </cell>
          <cell r="P135">
            <v>105726171616.036</v>
          </cell>
          <cell r="Q135">
            <v>3.8157179167666007</v>
          </cell>
          <cell r="R135">
            <v>5.2456972972949654</v>
          </cell>
          <cell r="S135">
            <v>3.0099612622197771</v>
          </cell>
          <cell r="T135">
            <v>4.5354242000385447</v>
          </cell>
          <cell r="U135">
            <v>2.6694939269441487</v>
          </cell>
          <cell r="V135">
            <v>4.5363781680644877</v>
          </cell>
          <cell r="W135">
            <v>1.0598563900819904</v>
          </cell>
          <cell r="X135">
            <v>4.254603273240634</v>
          </cell>
          <cell r="Y135">
            <v>3.1485026559138167</v>
          </cell>
          <cell r="Z135">
            <v>2.6079354946247562</v>
          </cell>
          <cell r="AA135">
            <v>-6.2932531595472252</v>
          </cell>
          <cell r="AB135">
            <v>27.099717535179995</v>
          </cell>
          <cell r="AC135">
            <v>4.4933506260902094</v>
          </cell>
          <cell r="AD135">
            <v>37.070907838138737</v>
          </cell>
          <cell r="AE135">
            <v>13.47330302017571</v>
          </cell>
        </row>
        <row r="136">
          <cell r="B136" t="str">
            <v>MOZ</v>
          </cell>
          <cell r="C136" t="str">
            <v>GDP (constant 2015 US$)</v>
          </cell>
          <cell r="D136" t="str">
            <v>NY.GDP.MKTP.KD</v>
          </cell>
          <cell r="E136">
            <v>10602990082.0245</v>
          </cell>
          <cell r="F136">
            <v>11292433937.9272</v>
          </cell>
          <cell r="G136">
            <v>12130037161.687799</v>
          </cell>
          <cell r="H136">
            <v>13010488540.385201</v>
          </cell>
          <cell r="I136">
            <v>13916487848.665001</v>
          </cell>
          <cell r="J136">
            <v>14946100983.060801</v>
          </cell>
          <cell r="K136">
            <v>15950969018.945801</v>
          </cell>
          <cell r="L136">
            <v>16560968260.221399</v>
          </cell>
          <cell r="M136">
            <v>17180566679.333</v>
          </cell>
          <cell r="N136">
            <v>17772233412.377201</v>
          </cell>
          <cell r="O136">
            <v>18183590595.087002</v>
          </cell>
          <cell r="P136">
            <v>17959222232.323799</v>
          </cell>
          <cell r="Q136">
            <v>6.502353115198428</v>
          </cell>
          <cell r="R136">
            <v>7.4173843155937611</v>
          </cell>
          <cell r="S136">
            <v>7.2584392525875261</v>
          </cell>
          <cell r="T136">
            <v>6.9636071348707143</v>
          </cell>
          <cell r="U136">
            <v>7.3985127971391842</v>
          </cell>
          <cell r="V136">
            <v>6.7232787803579663</v>
          </cell>
          <cell r="W136">
            <v>3.8242143192120208</v>
          </cell>
          <cell r="X136">
            <v>3.741317593125546</v>
          </cell>
          <cell r="Y136">
            <v>3.4438138397142271</v>
          </cell>
          <cell r="Z136">
            <v>2.3146060102008188</v>
          </cell>
          <cell r="AA136">
            <v>-1.2339057107006381</v>
          </cell>
          <cell r="AB136">
            <v>59.037655930005208</v>
          </cell>
          <cell r="AC136">
            <v>12.590164340440326</v>
          </cell>
          <cell r="AD136">
            <v>67.674009299742167</v>
          </cell>
          <cell r="AE136">
            <v>18.950478096821112</v>
          </cell>
        </row>
        <row r="137">
          <cell r="B137" t="str">
            <v>MMR</v>
          </cell>
          <cell r="C137" t="str">
            <v>GDP (constant 2015 US$)</v>
          </cell>
          <cell r="D137" t="str">
            <v>NY.GDP.MKTP.KD</v>
          </cell>
          <cell r="E137">
            <v>41491470232.183998</v>
          </cell>
          <cell r="F137">
            <v>45669365074.463402</v>
          </cell>
          <cell r="G137">
            <v>49103727463.381302</v>
          </cell>
          <cell r="H137">
            <v>52288474433.650398</v>
          </cell>
          <cell r="I137">
            <v>56418568204.377502</v>
          </cell>
          <cell r="J137">
            <v>61044701089.941299</v>
          </cell>
          <cell r="K137">
            <v>63045306513.932297</v>
          </cell>
          <cell r="L137">
            <v>69669969114.9431</v>
          </cell>
          <cell r="M137">
            <v>73676037276.388</v>
          </cell>
          <cell r="N137">
            <v>78394970758.007507</v>
          </cell>
          <cell r="O137">
            <v>83686992015.670593</v>
          </cell>
          <cell r="P137">
            <v>86343028344.737701</v>
          </cell>
          <cell r="Q137">
            <v>10.06928609398542</v>
          </cell>
          <cell r="R137">
            <v>7.5200572272423969</v>
          </cell>
          <cell r="S137">
            <v>6.4857540044064788</v>
          </cell>
          <cell r="T137">
            <v>7.898669478238153</v>
          </cell>
          <cell r="U137">
            <v>8.1996637504261525</v>
          </cell>
          <cell r="V137">
            <v>3.2772794170019273</v>
          </cell>
          <cell r="W137">
            <v>10.507780780710183</v>
          </cell>
          <cell r="X137">
            <v>5.7500645002950952</v>
          </cell>
          <cell r="Y137">
            <v>6.4049773251470059</v>
          </cell>
          <cell r="Z137">
            <v>6.7504601462237828</v>
          </cell>
          <cell r="AA137">
            <v>3.1737744004107102</v>
          </cell>
          <cell r="AB137">
            <v>89.061153366061333</v>
          </cell>
          <cell r="AC137">
            <v>36.9539353824172</v>
          </cell>
          <cell r="AD137">
            <v>90.0954543019201</v>
          </cell>
          <cell r="AE137">
            <v>29.205971077172709</v>
          </cell>
        </row>
        <row r="138">
          <cell r="B138" t="str">
            <v>NAM</v>
          </cell>
          <cell r="C138" t="str">
            <v>GDP (constant 2015 US$)</v>
          </cell>
          <cell r="D138" t="str">
            <v>NY.GDP.MKTP.KD</v>
          </cell>
          <cell r="E138">
            <v>8287168432.7971201</v>
          </cell>
          <cell r="F138">
            <v>8787651209.2449608</v>
          </cell>
          <cell r="G138">
            <v>9235060246.7521992</v>
          </cell>
          <cell r="H138">
            <v>9702509635.3812599</v>
          </cell>
          <cell r="I138">
            <v>10247278347.758301</v>
          </cell>
          <cell r="J138">
            <v>10871595744.451401</v>
          </cell>
          <cell r="K138">
            <v>11335179562.021099</v>
          </cell>
          <cell r="L138">
            <v>11339010223.634001</v>
          </cell>
          <cell r="M138">
            <v>11222530147.3361</v>
          </cell>
          <cell r="N138">
            <v>11341482622.8834</v>
          </cell>
          <cell r="O138">
            <v>11240759011.028299</v>
          </cell>
          <cell r="P138">
            <v>10285277742.127501</v>
          </cell>
          <cell r="Q138">
            <v>6.0392494795585518</v>
          </cell>
          <cell r="R138">
            <v>5.091338138643307</v>
          </cell>
          <cell r="S138">
            <v>5.0616820696264986</v>
          </cell>
          <cell r="T138">
            <v>5.6147196225446905</v>
          </cell>
          <cell r="U138">
            <v>6.0925191597793953</v>
          </cell>
          <cell r="V138">
            <v>4.2641745376367615</v>
          </cell>
          <cell r="W138">
            <v>3.3794450206474438E-2</v>
          </cell>
          <cell r="X138">
            <v>-1.0272508270176941</v>
          </cell>
          <cell r="Y138">
            <v>1.059943470729158</v>
          </cell>
          <cell r="Z138">
            <v>-0.88809915955673502</v>
          </cell>
          <cell r="AA138">
            <v>-8.5001490376528572</v>
          </cell>
          <cell r="AB138">
            <v>17.042398443249279</v>
          </cell>
          <cell r="AC138">
            <v>-9.2623307301750213</v>
          </cell>
          <cell r="AD138">
            <v>36.722270797952092</v>
          </cell>
          <cell r="AE138">
            <v>4.2202555402599762</v>
          </cell>
        </row>
        <row r="139">
          <cell r="B139" t="str">
            <v>NRU</v>
          </cell>
          <cell r="C139" t="str">
            <v>GDP (constant 2015 US$)</v>
          </cell>
          <cell r="D139" t="str">
            <v>NY.GDP.MKTP.KD</v>
          </cell>
          <cell r="E139">
            <v>37084140.586927801</v>
          </cell>
          <cell r="F139">
            <v>41204600.652142003</v>
          </cell>
          <cell r="G139">
            <v>45325060.717356302</v>
          </cell>
          <cell r="H139">
            <v>50475635.798873998</v>
          </cell>
          <cell r="I139">
            <v>65927361.043427303</v>
          </cell>
          <cell r="J139">
            <v>83439316.320587605</v>
          </cell>
          <cell r="K139">
            <v>86529661.369498298</v>
          </cell>
          <cell r="L139">
            <v>89620006.418409005</v>
          </cell>
          <cell r="M139">
            <v>84469431.336891204</v>
          </cell>
          <cell r="N139">
            <v>89620006.418409005</v>
          </cell>
          <cell r="O139">
            <v>89620006.418409005</v>
          </cell>
          <cell r="P139">
            <v>90650121.434712499</v>
          </cell>
          <cell r="Q139">
            <v>11.111111111111116</v>
          </cell>
          <cell r="R139">
            <v>10.00000000000024</v>
          </cell>
          <cell r="S139">
            <v>11.363636363636221</v>
          </cell>
          <cell r="T139">
            <v>30.612244897959261</v>
          </cell>
          <cell r="U139">
            <v>26.562499999999883</v>
          </cell>
          <cell r="V139">
            <v>3.7037037037037521</v>
          </cell>
          <cell r="W139">
            <v>3.5714285714286338</v>
          </cell>
          <cell r="X139">
            <v>-5.7471264367816559</v>
          </cell>
          <cell r="Y139">
            <v>6.0975609756098086</v>
          </cell>
          <cell r="Z139">
            <v>0</v>
          </cell>
          <cell r="AA139">
            <v>1.149425287356258</v>
          </cell>
          <cell r="AB139">
            <v>120.00000000000021</v>
          </cell>
          <cell r="AC139">
            <v>4.7619047619047592</v>
          </cell>
          <cell r="AD139">
            <v>141.82630906768873</v>
          </cell>
          <cell r="AE139">
            <v>7.4783595856393825</v>
          </cell>
        </row>
        <row r="140">
          <cell r="B140" t="str">
            <v>NPL</v>
          </cell>
          <cell r="C140" t="str">
            <v>GDP (constant 2015 US$)</v>
          </cell>
          <cell r="D140" t="str">
            <v>NY.GDP.MKTP.KD</v>
          </cell>
          <cell r="E140">
            <v>18856332840.083801</v>
          </cell>
          <cell r="F140">
            <v>19764532017.488701</v>
          </cell>
          <cell r="G140">
            <v>20440840355.739899</v>
          </cell>
          <cell r="H140">
            <v>21348105727.196301</v>
          </cell>
          <cell r="I140">
            <v>22100659153.249298</v>
          </cell>
          <cell r="J140">
            <v>23429236486.327202</v>
          </cell>
          <cell r="K140">
            <v>24360795410.159698</v>
          </cell>
          <cell r="L140">
            <v>24466305357.231602</v>
          </cell>
          <cell r="M140">
            <v>26662713937.348598</v>
          </cell>
          <cell r="N140">
            <v>28695046273.559799</v>
          </cell>
          <cell r="O140">
            <v>30605291409.0891</v>
          </cell>
          <cell r="P140">
            <v>29966137023.624699</v>
          </cell>
          <cell r="Q140">
            <v>4.8164146502245524</v>
          </cell>
          <cell r="R140">
            <v>3.4218282408749396</v>
          </cell>
          <cell r="S140">
            <v>4.4384935045081786</v>
          </cell>
          <cell r="T140">
            <v>3.5251531712918505</v>
          </cell>
          <cell r="U140">
            <v>6.0114828425041464</v>
          </cell>
          <cell r="V140">
            <v>3.9760532716298052</v>
          </cell>
          <cell r="W140">
            <v>0.43311371938167575</v>
          </cell>
          <cell r="X140">
            <v>8.9772793564345665</v>
          </cell>
          <cell r="Y140">
            <v>7.6223761053984456</v>
          </cell>
          <cell r="Z140">
            <v>6.6570554280284941</v>
          </cell>
          <cell r="AA140">
            <v>-2.0883786954388759</v>
          </cell>
          <cell r="AB140">
            <v>51.61571747364966</v>
          </cell>
          <cell r="AC140">
            <v>23.00968223364039</v>
          </cell>
          <cell r="AD140">
            <v>52.654663936137936</v>
          </cell>
          <cell r="AE140">
            <v>22.859622610868691</v>
          </cell>
        </row>
        <row r="141">
          <cell r="B141" t="str">
            <v>NLD</v>
          </cell>
          <cell r="C141" t="str">
            <v>GDP (constant 2015 US$)</v>
          </cell>
          <cell r="D141" t="str">
            <v>NY.GDP.MKTP.KD</v>
          </cell>
          <cell r="E141">
            <v>727500722452.72095</v>
          </cell>
          <cell r="F141">
            <v>737269160825.43701</v>
          </cell>
          <cell r="G141">
            <v>748705601252.125</v>
          </cell>
          <cell r="H141">
            <v>740991283205.15698</v>
          </cell>
          <cell r="I141">
            <v>740026695664.85596</v>
          </cell>
          <cell r="J141">
            <v>750560201573.46594</v>
          </cell>
          <cell r="K141">
            <v>765264949780.99902</v>
          </cell>
          <cell r="L141">
            <v>782037366674.04602</v>
          </cell>
          <cell r="M141">
            <v>804801712034.33398</v>
          </cell>
          <cell r="N141">
            <v>823802397136.84094</v>
          </cell>
          <cell r="O141">
            <v>839912581383.84204</v>
          </cell>
          <cell r="P141">
            <v>808007359760.31897</v>
          </cell>
          <cell r="Q141">
            <v>1.3427393363655249</v>
          </cell>
          <cell r="R141">
            <v>1.5511893124464744</v>
          </cell>
          <cell r="S141">
            <v>-1.0303539914843294</v>
          </cell>
          <cell r="T141">
            <v>-0.13017528844991308</v>
          </cell>
          <cell r="U141">
            <v>1.423395395100775</v>
          </cell>
          <cell r="V141">
            <v>1.9591697210571801</v>
          </cell>
          <cell r="W141">
            <v>2.1917137192611356</v>
          </cell>
          <cell r="X141">
            <v>2.910902513150138</v>
          </cell>
          <cell r="Y141">
            <v>2.3609150947850321</v>
          </cell>
          <cell r="Z141">
            <v>1.9555884157405594</v>
          </cell>
          <cell r="AA141">
            <v>-3.798635992683423</v>
          </cell>
          <cell r="AB141">
            <v>9.5946233334491282</v>
          </cell>
          <cell r="AC141">
            <v>5.5853087210582197</v>
          </cell>
          <cell r="AD141">
            <v>13.18725401469354</v>
          </cell>
          <cell r="AE141">
            <v>9.7097992879246355</v>
          </cell>
        </row>
        <row r="142">
          <cell r="B142" t="str">
            <v>NCL</v>
          </cell>
          <cell r="C142" t="str">
            <v>GDP (constant 2015 US$)</v>
          </cell>
          <cell r="D142" t="str">
            <v>NY.GDP.MKTP.KD</v>
          </cell>
          <cell r="E142" t="str">
            <v>..</v>
          </cell>
          <cell r="F142" t="str">
            <v>..</v>
          </cell>
          <cell r="G142" t="str">
            <v>..</v>
          </cell>
          <cell r="H142" t="str">
            <v>..</v>
          </cell>
          <cell r="I142" t="str">
            <v>..</v>
          </cell>
          <cell r="J142" t="str">
            <v>..</v>
          </cell>
          <cell r="K142">
            <v>8738203041.5481892</v>
          </cell>
          <cell r="L142" t="str">
            <v>..</v>
          </cell>
          <cell r="M142" t="str">
            <v>..</v>
          </cell>
          <cell r="N142" t="str">
            <v>..</v>
          </cell>
          <cell r="O142" t="str">
            <v>..</v>
          </cell>
          <cell r="P142" t="str">
            <v>..</v>
          </cell>
          <cell r="Q142" t="e">
            <v>#VALUE!</v>
          </cell>
          <cell r="R142" t="e">
            <v>#VALUE!</v>
          </cell>
          <cell r="S142" t="e">
            <v>#VALUE!</v>
          </cell>
          <cell r="T142" t="e">
            <v>#VALUE!</v>
          </cell>
          <cell r="U142" t="e">
            <v>#VALUE!</v>
          </cell>
          <cell r="V142" t="e">
            <v>#VALUE!</v>
          </cell>
          <cell r="W142" t="e">
            <v>#VALUE!</v>
          </cell>
          <cell r="X142" t="e">
            <v>#VALUE!</v>
          </cell>
          <cell r="Y142" t="e">
            <v>#VALUE!</v>
          </cell>
          <cell r="Z142" t="e">
            <v>#VALUE!</v>
          </cell>
          <cell r="AA142" t="e">
            <v>#VALUE!</v>
          </cell>
          <cell r="AB142" t="e">
            <v>#VALUE!</v>
          </cell>
          <cell r="AC142" t="e">
            <v>#VALUE!</v>
          </cell>
          <cell r="AD142" t="e">
            <v>#VALUE!</v>
          </cell>
          <cell r="AE142" t="e">
            <v>#VALUE!</v>
          </cell>
        </row>
        <row r="143">
          <cell r="B143" t="str">
            <v>NZL</v>
          </cell>
          <cell r="C143" t="str">
            <v>GDP (constant 2015 US$)</v>
          </cell>
          <cell r="D143" t="str">
            <v>NY.GDP.MKTP.KD</v>
          </cell>
          <cell r="E143">
            <v>151725472201.39801</v>
          </cell>
          <cell r="F143">
            <v>154043828518.62799</v>
          </cell>
          <cell r="G143">
            <v>157520192471.97501</v>
          </cell>
          <cell r="H143">
            <v>161049654282.67599</v>
          </cell>
          <cell r="I143">
            <v>165391204867.58801</v>
          </cell>
          <cell r="J143">
            <v>171698945936.99301</v>
          </cell>
          <cell r="K143">
            <v>178064471137.92099</v>
          </cell>
          <cell r="L143">
            <v>184706418173.26001</v>
          </cell>
          <cell r="M143">
            <v>191380381108.457</v>
          </cell>
          <cell r="N143">
            <v>197515553618.43799</v>
          </cell>
          <cell r="O143">
            <v>200742824665.702</v>
          </cell>
          <cell r="P143">
            <v>204482365452.67499</v>
          </cell>
          <cell r="Q143">
            <v>1.5279941354557993</v>
          </cell>
          <cell r="R143">
            <v>2.2567369214188484</v>
          </cell>
          <cell r="S143">
            <v>2.2406408697912985</v>
          </cell>
          <cell r="T143">
            <v>2.6957838588660885</v>
          </cell>
          <cell r="U143">
            <v>3.8138310162592797</v>
          </cell>
          <cell r="V143">
            <v>3.7073758177082139</v>
          </cell>
          <cell r="W143">
            <v>3.7300798934754686</v>
          </cell>
          <cell r="X143">
            <v>3.6132815530733851</v>
          </cell>
          <cell r="Y143">
            <v>3.2057478799272161</v>
          </cell>
          <cell r="Z143">
            <v>1.633932613478366</v>
          </cell>
          <cell r="AA143">
            <v>1.8628515331496742</v>
          </cell>
          <cell r="AB143">
            <v>32.742978033649457</v>
          </cell>
          <cell r="AC143">
            <v>14.836140048562438</v>
          </cell>
          <cell r="AD143">
            <v>30.322187762545827</v>
          </cell>
          <cell r="AE143">
            <v>15.162008530020499</v>
          </cell>
        </row>
        <row r="144">
          <cell r="B144" t="str">
            <v>NIC</v>
          </cell>
          <cell r="C144" t="str">
            <v>GDP (constant 2015 US$)</v>
          </cell>
          <cell r="D144" t="str">
            <v>NY.GDP.MKTP.KD</v>
          </cell>
          <cell r="E144">
            <v>9365735516.7586594</v>
          </cell>
          <cell r="F144">
            <v>9778809539.5261803</v>
          </cell>
          <cell r="G144">
            <v>10396508541.0798</v>
          </cell>
          <cell r="H144">
            <v>11071868447.2456</v>
          </cell>
          <cell r="I144">
            <v>11617360100.1106</v>
          </cell>
          <cell r="J144">
            <v>12173349186.845301</v>
          </cell>
          <cell r="K144">
            <v>12756706583.3113</v>
          </cell>
          <cell r="L144">
            <v>13338789291.378901</v>
          </cell>
          <cell r="M144">
            <v>13956713237.944</v>
          </cell>
          <cell r="N144">
            <v>13487252998.962799</v>
          </cell>
          <cell r="O144">
            <v>12991624156.978201</v>
          </cell>
          <cell r="P144">
            <v>12734736953.8557</v>
          </cell>
          <cell r="Q144">
            <v>4.4104813981601696</v>
          </cell>
          <cell r="R144">
            <v>6.3167096061833021</v>
          </cell>
          <cell r="S144">
            <v>6.4960260793058122</v>
          </cell>
          <cell r="T144">
            <v>4.9268256343914949</v>
          </cell>
          <cell r="U144">
            <v>4.7858470594314113</v>
          </cell>
          <cell r="V144">
            <v>4.7920862821908052</v>
          </cell>
          <cell r="W144">
            <v>4.562954429234094</v>
          </cell>
          <cell r="X144">
            <v>4.6325339809099102</v>
          </cell>
          <cell r="Y144">
            <v>-3.3636876460632834</v>
          </cell>
          <cell r="Z144">
            <v>-3.6747945784268534</v>
          </cell>
          <cell r="AA144">
            <v>-1.9773293932962135</v>
          </cell>
          <cell r="AB144">
            <v>30.227886148938587</v>
          </cell>
          <cell r="AC144">
            <v>-0.17222023029315464</v>
          </cell>
          <cell r="AD144">
            <v>44.286012845059375</v>
          </cell>
          <cell r="AE144">
            <v>11.008450865333884</v>
          </cell>
        </row>
        <row r="145">
          <cell r="B145" t="str">
            <v>NER</v>
          </cell>
          <cell r="C145" t="str">
            <v>GDP (constant 2015 US$)</v>
          </cell>
          <cell r="D145" t="str">
            <v>NY.GDP.MKTP.KD</v>
          </cell>
          <cell r="E145">
            <v>6722664911.5252104</v>
          </cell>
          <cell r="F145">
            <v>7299346317.2071505</v>
          </cell>
          <cell r="G145">
            <v>7471447161.2827702</v>
          </cell>
          <cell r="H145">
            <v>8259605981.3433504</v>
          </cell>
          <cell r="I145">
            <v>8698614829.2505398</v>
          </cell>
          <cell r="J145">
            <v>9276388713.2186794</v>
          </cell>
          <cell r="K145">
            <v>9683867893.6834297</v>
          </cell>
          <cell r="L145">
            <v>10239808402.303301</v>
          </cell>
          <cell r="M145">
            <v>10751938078.187599</v>
          </cell>
          <cell r="N145">
            <v>11527239152.574301</v>
          </cell>
          <cell r="O145">
            <v>12212118177.9725</v>
          </cell>
          <cell r="P145">
            <v>12649312790.6637</v>
          </cell>
          <cell r="Q145">
            <v>8.5781667429725434</v>
          </cell>
          <cell r="R145">
            <v>2.3577569359864032</v>
          </cell>
          <cell r="S145">
            <v>10.548944575889385</v>
          </cell>
          <cell r="T145">
            <v>5.3151306357568959</v>
          </cell>
          <cell r="U145">
            <v>6.6421366540483984</v>
          </cell>
          <cell r="V145">
            <v>4.3926488320190824</v>
          </cell>
          <cell r="W145">
            <v>5.7408931505818934</v>
          </cell>
          <cell r="X145">
            <v>5.0013599450659836</v>
          </cell>
          <cell r="Y145">
            <v>7.2108030082460282</v>
          </cell>
          <cell r="Z145">
            <v>5.9413968629708673</v>
          </cell>
          <cell r="AA145">
            <v>3.5800064028186869</v>
          </cell>
          <cell r="AB145">
            <v>73.293775099350739</v>
          </cell>
          <cell r="AC145">
            <v>30.622525312582628</v>
          </cell>
          <cell r="AD145">
            <v>72.590898564637101</v>
          </cell>
          <cell r="AE145">
            <v>25.077852351716224</v>
          </cell>
        </row>
        <row r="146">
          <cell r="B146" t="str">
            <v>NGA</v>
          </cell>
          <cell r="C146" t="str">
            <v>GDP (constant 2015 US$)</v>
          </cell>
          <cell r="D146" t="str">
            <v>NY.GDP.MKTP.KD</v>
          </cell>
          <cell r="E146">
            <v>352745852800.29102</v>
          </cell>
          <cell r="F146">
            <v>380985472030.909</v>
          </cell>
          <cell r="G146">
            <v>401207892113.28998</v>
          </cell>
          <cell r="H146">
            <v>418179231389.034</v>
          </cell>
          <cell r="I146">
            <v>446077370458.38</v>
          </cell>
          <cell r="J146">
            <v>474223597521.15399</v>
          </cell>
          <cell r="K146">
            <v>486803295097.89001</v>
          </cell>
          <cell r="L146">
            <v>478932323772.27301</v>
          </cell>
          <cell r="M146">
            <v>482791975286.21899</v>
          </cell>
          <cell r="N146">
            <v>492074893435.56</v>
          </cell>
          <cell r="O146">
            <v>502942019447.73602</v>
          </cell>
          <cell r="P146">
            <v>493917966761.43298</v>
          </cell>
          <cell r="Q146">
            <v>8.0056559152818707</v>
          </cell>
          <cell r="R146">
            <v>5.3079242036663157</v>
          </cell>
          <cell r="S146">
            <v>4.2300611751056438</v>
          </cell>
          <cell r="T146">
            <v>6.671335392883786</v>
          </cell>
          <cell r="U146">
            <v>6.3097186557236684</v>
          </cell>
          <cell r="V146">
            <v>2.6526932954184916</v>
          </cell>
          <cell r="W146">
            <v>-1.6168689499183135</v>
          </cell>
          <cell r="X146">
            <v>0.80588661954276564</v>
          </cell>
          <cell r="Y146">
            <v>1.9227573415729842</v>
          </cell>
          <cell r="Z146">
            <v>2.2084292771582215</v>
          </cell>
          <cell r="AA146">
            <v>-1.7942530823358234</v>
          </cell>
          <cell r="AB146">
            <v>29.642205023860303</v>
          </cell>
          <cell r="AC146">
            <v>1.4615085261722187</v>
          </cell>
          <cell r="AD146">
            <v>39.50827736949072</v>
          </cell>
          <cell r="AE146">
            <v>3.7716522978495481</v>
          </cell>
        </row>
        <row r="147">
          <cell r="B147" t="str">
            <v>MKD</v>
          </cell>
          <cell r="C147" t="str">
            <v>GDP (constant 2015 US$)</v>
          </cell>
          <cell r="D147" t="str">
            <v>NY.GDP.MKTP.KD</v>
          </cell>
          <cell r="E147">
            <v>8628823478.2970695</v>
          </cell>
          <cell r="F147">
            <v>8918644160.8870792</v>
          </cell>
          <cell r="G147">
            <v>9127330271.0290203</v>
          </cell>
          <cell r="H147">
            <v>9085692921.5692997</v>
          </cell>
          <cell r="I147">
            <v>9351472850.1308804</v>
          </cell>
          <cell r="J147">
            <v>9690849350.1246891</v>
          </cell>
          <cell r="K147">
            <v>10064515432.026501</v>
          </cell>
          <cell r="L147">
            <v>10351173483.275499</v>
          </cell>
          <cell r="M147">
            <v>10463149656.0944</v>
          </cell>
          <cell r="N147">
            <v>10764550800.812799</v>
          </cell>
          <cell r="O147">
            <v>11185489898.549</v>
          </cell>
          <cell r="P147">
            <v>10602899914.6751</v>
          </cell>
          <cell r="Q147">
            <v>3.3587508577381033</v>
          </cell>
          <cell r="R147">
            <v>2.3398860452033601</v>
          </cell>
          <cell r="S147">
            <v>-0.45618322360790825</v>
          </cell>
          <cell r="T147">
            <v>2.9252576645048509</v>
          </cell>
          <cell r="U147">
            <v>3.6291235127636492</v>
          </cell>
          <cell r="V147">
            <v>3.8558651404172717</v>
          </cell>
          <cell r="W147">
            <v>2.8482051936332491</v>
          </cell>
          <cell r="X147">
            <v>1.0817727381327553</v>
          </cell>
          <cell r="Y147">
            <v>2.8805967096422438</v>
          </cell>
          <cell r="Z147">
            <v>3.9104195384020715</v>
          </cell>
          <cell r="AA147">
            <v>-5.2084440570589043</v>
          </cell>
          <cell r="AB147">
            <v>18.884661428408183</v>
          </cell>
          <cell r="AC147">
            <v>5.3493333711367299</v>
          </cell>
          <cell r="AD147">
            <v>24.698630089446951</v>
          </cell>
          <cell r="AE147">
            <v>11.032833981002565</v>
          </cell>
        </row>
        <row r="148">
          <cell r="B148" t="str">
            <v>MNP</v>
          </cell>
          <cell r="C148" t="str">
            <v>GDP (constant 2015 US$)</v>
          </cell>
          <cell r="D148" t="str">
            <v>NY.GDP.MKTP.KD</v>
          </cell>
          <cell r="E148">
            <v>869187878.78787899</v>
          </cell>
          <cell r="F148">
            <v>881321212.12121201</v>
          </cell>
          <cell r="G148">
            <v>816242424.24242401</v>
          </cell>
          <cell r="H148">
            <v>822860606.060606</v>
          </cell>
          <cell r="I148">
            <v>844921212.12121201</v>
          </cell>
          <cell r="J148">
            <v>880218181.81818199</v>
          </cell>
          <cell r="K148">
            <v>910000000</v>
          </cell>
          <cell r="L148">
            <v>1175830303.0302999</v>
          </cell>
          <cell r="M148">
            <v>1448278787.8787899</v>
          </cell>
          <cell r="N148">
            <v>1168109090.90909</v>
          </cell>
          <cell r="O148">
            <v>1037951515.15152</v>
          </cell>
          <cell r="P148" t="str">
            <v>..</v>
          </cell>
          <cell r="Q148">
            <v>1.3959390862943792</v>
          </cell>
          <cell r="R148">
            <v>-7.3842302878598387</v>
          </cell>
          <cell r="S148">
            <v>0.81081081081083239</v>
          </cell>
          <cell r="T148">
            <v>2.680965147453076</v>
          </cell>
          <cell r="U148">
            <v>4.1775456919060403</v>
          </cell>
          <cell r="V148">
            <v>3.3834586466165208</v>
          </cell>
          <cell r="W148">
            <v>29.212121212120866</v>
          </cell>
          <cell r="X148">
            <v>23.170731707317575</v>
          </cell>
          <cell r="Y148">
            <v>-19.345011424219518</v>
          </cell>
          <cell r="Z148">
            <v>-11.142587346552869</v>
          </cell>
          <cell r="AA148" t="e">
            <v>#VALUE!</v>
          </cell>
          <cell r="AB148" t="e">
            <v>#VALUE!</v>
          </cell>
          <cell r="AC148" t="e">
            <v>#VALUE!</v>
          </cell>
          <cell r="AD148" t="e">
            <v>#VALUE!</v>
          </cell>
          <cell r="AE148" t="e">
            <v>#VALUE!</v>
          </cell>
        </row>
        <row r="149">
          <cell r="B149" t="str">
            <v>NOR</v>
          </cell>
          <cell r="C149" t="str">
            <v>GDP (constant 2015 US$)</v>
          </cell>
          <cell r="D149" t="str">
            <v>NY.GDP.MKTP.KD</v>
          </cell>
          <cell r="E149">
            <v>351643773896.86902</v>
          </cell>
          <cell r="F149">
            <v>354111728841.58301</v>
          </cell>
          <cell r="G149">
            <v>357587103441.14899</v>
          </cell>
          <cell r="H149">
            <v>367253074299.88599</v>
          </cell>
          <cell r="I149">
            <v>371050738865.35101</v>
          </cell>
          <cell r="J149">
            <v>378358747545.72699</v>
          </cell>
          <cell r="K149">
            <v>385801550067.16901</v>
          </cell>
          <cell r="L149">
            <v>389935641211.11902</v>
          </cell>
          <cell r="M149">
            <v>398994977782.37</v>
          </cell>
          <cell r="N149">
            <v>403459047225.38</v>
          </cell>
          <cell r="O149">
            <v>406468037614.96301</v>
          </cell>
          <cell r="P149">
            <v>403552919293.16901</v>
          </cell>
          <cell r="Q149">
            <v>0.70183382386226956</v>
          </cell>
          <cell r="R149">
            <v>0.98143447858535571</v>
          </cell>
          <cell r="S149">
            <v>2.7031094705930321</v>
          </cell>
          <cell r="T149">
            <v>1.0340729135364535</v>
          </cell>
          <cell r="U149">
            <v>1.9695443007938458</v>
          </cell>
          <cell r="V149">
            <v>1.9671284382139225</v>
          </cell>
          <cell r="W149">
            <v>1.0715589772073899</v>
          </cell>
          <cell r="X149">
            <v>2.3232902083823799</v>
          </cell>
          <cell r="Y149">
            <v>1.1188284794514172</v>
          </cell>
          <cell r="Z149">
            <v>0.74579821924333445</v>
          </cell>
          <cell r="AA149">
            <v>-0.717182669244814</v>
          </cell>
          <cell r="AB149">
            <v>13.962031309531753</v>
          </cell>
          <cell r="AC149">
            <v>4.601165864395683</v>
          </cell>
          <cell r="AD149">
            <v>14.735455543842724</v>
          </cell>
          <cell r="AE149">
            <v>6.6342693248746309</v>
          </cell>
        </row>
        <row r="150">
          <cell r="B150" t="str">
            <v>OMN</v>
          </cell>
          <cell r="C150" t="str">
            <v>GDP (constant 2015 US$)</v>
          </cell>
          <cell r="D150" t="str">
            <v>NY.GDP.MKTP.KD</v>
          </cell>
          <cell r="E150">
            <v>61718311738.7603</v>
          </cell>
          <cell r="F150">
            <v>62776154506.694397</v>
          </cell>
          <cell r="G150">
            <v>64593279186.562302</v>
          </cell>
          <cell r="H150">
            <v>70318260489.7491</v>
          </cell>
          <cell r="I150">
            <v>73994291063.382996</v>
          </cell>
          <cell r="J150">
            <v>74950483987.160599</v>
          </cell>
          <cell r="K150">
            <v>78710793237.971405</v>
          </cell>
          <cell r="L150">
            <v>82682873555.796097</v>
          </cell>
          <cell r="M150">
            <v>82934277088.564606</v>
          </cell>
          <cell r="N150">
            <v>84001727416.207397</v>
          </cell>
          <cell r="O150">
            <v>83053174485.828293</v>
          </cell>
          <cell r="P150">
            <v>80394695532.953506</v>
          </cell>
          <cell r="Q150">
            <v>1.7139852632581838</v>
          </cell>
          <cell r="R150">
            <v>2.8946097354117604</v>
          </cell>
          <cell r="S150">
            <v>8.8631222555702003</v>
          </cell>
          <cell r="T150">
            <v>5.227704081459442</v>
          </cell>
          <cell r="U150">
            <v>1.2922522941108185</v>
          </cell>
          <cell r="V150">
            <v>5.0170579971904736</v>
          </cell>
          <cell r="W150">
            <v>5.0464239457168798</v>
          </cell>
          <cell r="X150">
            <v>0.30405756592247202</v>
          </cell>
          <cell r="Y150">
            <v>1.2871039154327868</v>
          </cell>
          <cell r="Z150">
            <v>-1.1292064574806466</v>
          </cell>
          <cell r="AA150">
            <v>-3.2009359899041709</v>
          </cell>
          <cell r="AB150">
            <v>28.065658313588294</v>
          </cell>
          <cell r="AC150">
            <v>2.1393537349967384</v>
          </cell>
          <cell r="AD150">
            <v>36.030764230282706</v>
          </cell>
          <cell r="AE150">
            <v>12.015142080531449</v>
          </cell>
        </row>
        <row r="151">
          <cell r="B151" t="str">
            <v>PAK</v>
          </cell>
          <cell r="C151" t="str">
            <v>GDP (constant 2015 US$)</v>
          </cell>
          <cell r="D151" t="str">
            <v>NY.GDP.MKTP.KD</v>
          </cell>
          <cell r="E151">
            <v>218769488047.733</v>
          </cell>
          <cell r="F151">
            <v>222284432536.034</v>
          </cell>
          <cell r="G151">
            <v>228393711033.314</v>
          </cell>
          <cell r="H151">
            <v>236403554808.65201</v>
          </cell>
          <cell r="I151">
            <v>246796934575.862</v>
          </cell>
          <cell r="J151">
            <v>258333970574.422</v>
          </cell>
          <cell r="K151">
            <v>270556131701.17099</v>
          </cell>
          <cell r="L151">
            <v>285509054412.05402</v>
          </cell>
          <cell r="M151">
            <v>301367019402.69397</v>
          </cell>
          <cell r="N151">
            <v>318956056854.94</v>
          </cell>
          <cell r="O151">
            <v>322607305056.70801</v>
          </cell>
          <cell r="P151">
            <v>319589670093.83801</v>
          </cell>
          <cell r="Q151">
            <v>1.6066886290532774</v>
          </cell>
          <cell r="R151">
            <v>2.7484059174002833</v>
          </cell>
          <cell r="S151">
            <v>3.5070334200969659</v>
          </cell>
          <cell r="T151">
            <v>4.3964566334979711</v>
          </cell>
          <cell r="U151">
            <v>4.6747079814371322</v>
          </cell>
          <cell r="V151">
            <v>4.731147475329025</v>
          </cell>
          <cell r="W151">
            <v>5.5267358447446009</v>
          </cell>
          <cell r="X151">
            <v>5.5542774372939263</v>
          </cell>
          <cell r="Y151">
            <v>5.8364174975441259</v>
          </cell>
          <cell r="Z151">
            <v>1.1447496052500359</v>
          </cell>
          <cell r="AA151">
            <v>-0.93538953258964619</v>
          </cell>
          <cell r="AB151">
            <v>43.775102218204189</v>
          </cell>
          <cell r="AC151">
            <v>18.123240484094634</v>
          </cell>
          <cell r="AD151">
            <v>45.811466083433231</v>
          </cell>
          <cell r="AE151">
            <v>23.480081677343456</v>
          </cell>
        </row>
        <row r="152">
          <cell r="B152" t="str">
            <v>PLW</v>
          </cell>
          <cell r="C152" t="str">
            <v>GDP (constant 2015 US$)</v>
          </cell>
          <cell r="D152" t="str">
            <v>NY.GDP.MKTP.KD</v>
          </cell>
          <cell r="E152">
            <v>233625100</v>
          </cell>
          <cell r="F152">
            <v>234129899.99999899</v>
          </cell>
          <cell r="G152">
            <v>249778400</v>
          </cell>
          <cell r="H152">
            <v>253956200</v>
          </cell>
          <cell r="I152">
            <v>245353900</v>
          </cell>
          <cell r="J152">
            <v>260796100</v>
          </cell>
          <cell r="K152">
            <v>280457700</v>
          </cell>
          <cell r="L152">
            <v>280223900</v>
          </cell>
          <cell r="M152">
            <v>271021939.92395401</v>
          </cell>
          <cell r="N152">
            <v>270731351.71102601</v>
          </cell>
          <cell r="O152">
            <v>265597626.615969</v>
          </cell>
          <cell r="P152">
            <v>239735275.66539899</v>
          </cell>
          <cell r="Q152">
            <v>0.21607267369772626</v>
          </cell>
          <cell r="R152">
            <v>6.6836828615230601</v>
          </cell>
          <cell r="S152">
            <v>1.6726025949401548</v>
          </cell>
          <cell r="T152">
            <v>-3.3873163955044214</v>
          </cell>
          <cell r="U152">
            <v>6.2938473771967764</v>
          </cell>
          <cell r="V152">
            <v>7.5390697943719251</v>
          </cell>
          <cell r="W152">
            <v>-8.3363730074089606E-2</v>
          </cell>
          <cell r="X152">
            <v>-3.2837884548912464</v>
          </cell>
          <cell r="Y152">
            <v>-0.1072194424589881</v>
          </cell>
          <cell r="Z152">
            <v>-1.8962432915921243</v>
          </cell>
          <cell r="AA152">
            <v>-9.7374179431071202</v>
          </cell>
          <cell r="AB152">
            <v>2.3941306366252335</v>
          </cell>
          <cell r="AC152">
            <v>-14.519987982002638</v>
          </cell>
          <cell r="AD152">
            <v>15.897059520706192</v>
          </cell>
          <cell r="AE152">
            <v>3.8223428963505945</v>
          </cell>
        </row>
        <row r="153">
          <cell r="B153" t="str">
            <v>PAN</v>
          </cell>
          <cell r="C153" t="str">
            <v>GDP (constant 2015 US$)</v>
          </cell>
          <cell r="D153" t="str">
            <v>NY.GDP.MKTP.KD</v>
          </cell>
          <cell r="E153">
            <v>35220667245.999702</v>
          </cell>
          <cell r="F153">
            <v>37273325312.385399</v>
          </cell>
          <cell r="G153">
            <v>41490290029.684898</v>
          </cell>
          <cell r="H153">
            <v>45547553926.195702</v>
          </cell>
          <cell r="I153">
            <v>48691900511.406403</v>
          </cell>
          <cell r="J153">
            <v>51158930736.007004</v>
          </cell>
          <cell r="K153">
            <v>54091713775.5634</v>
          </cell>
          <cell r="L153">
            <v>56771111623.678101</v>
          </cell>
          <cell r="M153">
            <v>59945370839.233704</v>
          </cell>
          <cell r="N153">
            <v>62154564175.715103</v>
          </cell>
          <cell r="O153">
            <v>64006593334.064598</v>
          </cell>
          <cell r="P153">
            <v>52520697209.233704</v>
          </cell>
          <cell r="Q153">
            <v>5.8279931270150298</v>
          </cell>
          <cell r="R153">
            <v>11.313626251367118</v>
          </cell>
          <cell r="S153">
            <v>9.7788275126733701</v>
          </cell>
          <cell r="T153">
            <v>6.903436769196726</v>
          </cell>
          <cell r="U153">
            <v>5.0666131300886121</v>
          </cell>
          <cell r="V153">
            <v>5.7326902602603198</v>
          </cell>
          <cell r="W153">
            <v>4.9534349368778017</v>
          </cell>
          <cell r="X153">
            <v>5.5913282737829686</v>
          </cell>
          <cell r="Y153">
            <v>3.685344348617329</v>
          </cell>
          <cell r="Z153">
            <v>2.9797154608206808</v>
          </cell>
          <cell r="AA153">
            <v>-17.944863999999903</v>
          </cell>
          <cell r="AB153">
            <v>40.906926787618325</v>
          </cell>
          <cell r="AC153">
            <v>-2.9043571679908999</v>
          </cell>
          <cell r="AD153">
            <v>75.499634895722849</v>
          </cell>
          <cell r="AE153">
            <v>20.823757524435372</v>
          </cell>
        </row>
        <row r="154">
          <cell r="B154" t="str">
            <v>PNG</v>
          </cell>
          <cell r="C154" t="str">
            <v>GDP (constant 2015 US$)</v>
          </cell>
          <cell r="D154" t="str">
            <v>NY.GDP.MKTP.KD</v>
          </cell>
          <cell r="E154">
            <v>14836945298.4298</v>
          </cell>
          <cell r="F154">
            <v>16339698488.672501</v>
          </cell>
          <cell r="G154">
            <v>16520667777.8234</v>
          </cell>
          <cell r="H154">
            <v>17290055034.437</v>
          </cell>
          <cell r="I154">
            <v>17951390359.587002</v>
          </cell>
          <cell r="J154">
            <v>20382685493.2873</v>
          </cell>
          <cell r="K154">
            <v>21723531173.240898</v>
          </cell>
          <cell r="L154">
            <v>22916060308.3633</v>
          </cell>
          <cell r="M154">
            <v>23726053854.968601</v>
          </cell>
          <cell r="N154">
            <v>23659798307.447701</v>
          </cell>
          <cell r="O154">
            <v>24719859152.663101</v>
          </cell>
          <cell r="P154">
            <v>23854664082.319901</v>
          </cell>
          <cell r="Q154">
            <v>10.128454072023422</v>
          </cell>
          <cell r="R154">
            <v>1.1075436261957763</v>
          </cell>
          <cell r="S154">
            <v>4.6571195968627279</v>
          </cell>
          <cell r="T154">
            <v>3.824946328006503</v>
          </cell>
          <cell r="U154">
            <v>13.5437706216547</v>
          </cell>
          <cell r="V154">
            <v>6.5783563230428266</v>
          </cell>
          <cell r="W154">
            <v>5.4895731527817295</v>
          </cell>
          <cell r="X154">
            <v>3.5346108175046598</v>
          </cell>
          <cell r="Y154">
            <v>-0.279252284960256</v>
          </cell>
          <cell r="Z154">
            <v>4.4804306082428091</v>
          </cell>
          <cell r="AA154">
            <v>-3.4999999999999685</v>
          </cell>
          <cell r="AB154">
            <v>45.992070164924712</v>
          </cell>
          <cell r="AC154">
            <v>9.810250884552957</v>
          </cell>
          <cell r="AD154">
            <v>59.461749980085798</v>
          </cell>
          <cell r="AE154">
            <v>16.075247416519311</v>
          </cell>
        </row>
        <row r="155">
          <cell r="B155" t="str">
            <v>PRY</v>
          </cell>
          <cell r="C155" t="str">
            <v>GDP (constant 2015 US$)</v>
          </cell>
          <cell r="D155" t="str">
            <v>NY.GDP.MKTP.KD</v>
          </cell>
          <cell r="E155">
            <v>26811261862.8241</v>
          </cell>
          <cell r="F155">
            <v>29786033372.5215</v>
          </cell>
          <cell r="G155">
            <v>31062773330.7155</v>
          </cell>
          <cell r="H155">
            <v>30842835503.652699</v>
          </cell>
          <cell r="I155">
            <v>33400655443.471901</v>
          </cell>
          <cell r="J155">
            <v>35171303879.9459</v>
          </cell>
          <cell r="K155">
            <v>36211372702.808502</v>
          </cell>
          <cell r="L155">
            <v>37756883444.301003</v>
          </cell>
          <cell r="M155">
            <v>39573019311.366402</v>
          </cell>
          <cell r="N155">
            <v>40841037917.502403</v>
          </cell>
          <cell r="O155">
            <v>40676916123.460297</v>
          </cell>
          <cell r="P155">
            <v>40446808660.989403</v>
          </cell>
          <cell r="Q155">
            <v>11.095231268551933</v>
          </cell>
          <cell r="R155">
            <v>4.2863712070229223</v>
          </cell>
          <cell r="S155">
            <v>-0.70804311231709105</v>
          </cell>
          <cell r="T155">
            <v>8.2930764894047471</v>
          </cell>
          <cell r="U155">
            <v>5.3012385923704048</v>
          </cell>
          <cell r="V155">
            <v>2.9571517348710876</v>
          </cell>
          <cell r="W155">
            <v>4.2680258331455976</v>
          </cell>
          <cell r="X155">
            <v>4.810078855540513</v>
          </cell>
          <cell r="Y155">
            <v>3.2042503407663756</v>
          </cell>
          <cell r="Z155">
            <v>-0.40185510067992741</v>
          </cell>
          <cell r="AA155">
            <v>-0.5656954469519877</v>
          </cell>
          <cell r="AB155">
            <v>35.791188289954661</v>
          </cell>
          <cell r="AC155">
            <v>11.696424747389944</v>
          </cell>
          <cell r="AD155">
            <v>52.282269409742767</v>
          </cell>
          <cell r="AE155">
            <v>16.085539965941731</v>
          </cell>
        </row>
        <row r="156">
          <cell r="B156" t="str">
            <v>PER</v>
          </cell>
          <cell r="C156" t="str">
            <v>GDP (constant 2015 US$)</v>
          </cell>
          <cell r="D156" t="str">
            <v>NY.GDP.MKTP.KD</v>
          </cell>
          <cell r="E156">
            <v>138740245654.41101</v>
          </cell>
          <cell r="F156">
            <v>150300719889.20401</v>
          </cell>
          <cell r="G156">
            <v>159810535617.60101</v>
          </cell>
          <cell r="H156">
            <v>169622462555.073</v>
          </cell>
          <cell r="I156">
            <v>179549648065.79999</v>
          </cell>
          <cell r="J156">
            <v>183826803243.25</v>
          </cell>
          <cell r="K156">
            <v>189805300841.603</v>
          </cell>
          <cell r="L156">
            <v>197308909322.23001</v>
          </cell>
          <cell r="M156">
            <v>202278796061.116</v>
          </cell>
          <cell r="N156">
            <v>210307558791.89499</v>
          </cell>
          <cell r="O156">
            <v>214942684282.18201</v>
          </cell>
          <cell r="P156">
            <v>190979128768.53299</v>
          </cell>
          <cell r="Q156">
            <v>8.3324591074957883</v>
          </cell>
          <cell r="R156">
            <v>6.3271924016114349</v>
          </cell>
          <cell r="S156">
            <v>6.1397247056040349</v>
          </cell>
          <cell r="T156">
            <v>5.8525182108494809</v>
          </cell>
          <cell r="U156">
            <v>2.3821573718053477</v>
          </cell>
          <cell r="V156">
            <v>3.2522447721847785</v>
          </cell>
          <cell r="W156">
            <v>3.9533187152075127</v>
          </cell>
          <cell r="X156">
            <v>2.5188354423314676</v>
          </cell>
          <cell r="Y156">
            <v>3.9691568701808975</v>
          </cell>
          <cell r="Z156">
            <v>2.20397474865542</v>
          </cell>
          <cell r="AA156">
            <v>-11.148811876839257</v>
          </cell>
          <cell r="AB156">
            <v>27.06468000240821</v>
          </cell>
          <cell r="AC156">
            <v>0.61843790543530697</v>
          </cell>
          <cell r="AD156">
            <v>51.051823513009296</v>
          </cell>
          <cell r="AE156">
            <v>14.00387065976556</v>
          </cell>
        </row>
        <row r="157">
          <cell r="B157" t="str">
            <v>PHL</v>
          </cell>
          <cell r="C157" t="str">
            <v>GDP (constant 2015 US$)</v>
          </cell>
          <cell r="D157" t="str">
            <v>NY.GDP.MKTP.KD</v>
          </cell>
          <cell r="E157">
            <v>212999535577.63</v>
          </cell>
          <cell r="F157">
            <v>228621986430.26001</v>
          </cell>
          <cell r="G157">
            <v>237442754961.54599</v>
          </cell>
          <cell r="H157">
            <v>253819067111.50201</v>
          </cell>
          <cell r="I157">
            <v>270953202686.745</v>
          </cell>
          <cell r="J157">
            <v>288153278076.73999</v>
          </cell>
          <cell r="K157">
            <v>306446140627.93298</v>
          </cell>
          <cell r="L157">
            <v>328355374912.94098</v>
          </cell>
          <cell r="M157">
            <v>351113647615.50299</v>
          </cell>
          <cell r="N157">
            <v>373379468918.565</v>
          </cell>
          <cell r="O157">
            <v>396224787543.08698</v>
          </cell>
          <cell r="P157">
            <v>358294070260.97699</v>
          </cell>
          <cell r="Q157">
            <v>7.3344999604171583</v>
          </cell>
          <cell r="R157">
            <v>3.8582328274786084</v>
          </cell>
          <cell r="S157">
            <v>6.8969517105746929</v>
          </cell>
          <cell r="T157">
            <v>6.7505313017780511</v>
          </cell>
          <cell r="U157">
            <v>6.347987482502794</v>
          </cell>
          <cell r="V157">
            <v>6.3483097167200366</v>
          </cell>
          <cell r="W157">
            <v>7.149456749598543</v>
          </cell>
          <cell r="X157">
            <v>6.9309883258637264</v>
          </cell>
          <cell r="Y157">
            <v>6.3414855714879064</v>
          </cell>
          <cell r="Z157">
            <v>6.1185256625625</v>
          </cell>
          <cell r="AA157">
            <v>-9.5730298746100679</v>
          </cell>
          <cell r="AB157">
            <v>56.718990966458428</v>
          </cell>
          <cell r="AC157">
            <v>16.919100213435026</v>
          </cell>
          <cell r="AD157">
            <v>74.873563437312711</v>
          </cell>
          <cell r="AE157">
            <v>29.264494388410412</v>
          </cell>
        </row>
        <row r="158">
          <cell r="B158" t="str">
            <v>POL</v>
          </cell>
          <cell r="C158" t="str">
            <v>GDP (constant 2015 US$)</v>
          </cell>
          <cell r="D158" t="str">
            <v>NY.GDP.MKTP.KD</v>
          </cell>
          <cell r="E158">
            <v>398194455498.07703</v>
          </cell>
          <cell r="F158">
            <v>413089003846.664</v>
          </cell>
          <cell r="G158">
            <v>432742273511.07599</v>
          </cell>
          <cell r="H158">
            <v>438475659901.84399</v>
          </cell>
          <cell r="I158">
            <v>443411858336.64899</v>
          </cell>
          <cell r="J158">
            <v>458392890303.75403</v>
          </cell>
          <cell r="K158">
            <v>477811911394.08398</v>
          </cell>
          <cell r="L158">
            <v>492823451386.125</v>
          </cell>
          <cell r="M158">
            <v>516630057036.742</v>
          </cell>
          <cell r="N158">
            <v>544288897731.79498</v>
          </cell>
          <cell r="O158">
            <v>570115134633.23999</v>
          </cell>
          <cell r="P158">
            <v>555630454967.50195</v>
          </cell>
          <cell r="Q158">
            <v>3.7405212812308748</v>
          </cell>
          <cell r="R158">
            <v>4.7576356381800844</v>
          </cell>
          <cell r="S158">
            <v>1.3248963047335054</v>
          </cell>
          <cell r="T158">
            <v>1.1257633857966021</v>
          </cell>
          <cell r="U158">
            <v>3.3785817148198776</v>
          </cell>
          <cell r="V158">
            <v>4.2363268499783979</v>
          </cell>
          <cell r="W158">
            <v>3.1417257782968866</v>
          </cell>
          <cell r="X158">
            <v>4.8306560054433438</v>
          </cell>
          <cell r="Y158">
            <v>5.3537033547171102</v>
          </cell>
          <cell r="Z158">
            <v>4.7449501558951885</v>
          </cell>
          <cell r="AA158">
            <v>-2.5406586820495751</v>
          </cell>
          <cell r="AB158">
            <v>34.506232263144057</v>
          </cell>
          <cell r="AC158">
            <v>16.286438600153634</v>
          </cell>
          <cell r="AD158">
            <v>36.833958413241</v>
          </cell>
          <cell r="AE158">
            <v>18.864242261483444</v>
          </cell>
        </row>
        <row r="159">
          <cell r="B159" t="str">
            <v>PRT</v>
          </cell>
          <cell r="C159" t="str">
            <v>GDP (constant 2015 US$)</v>
          </cell>
          <cell r="D159" t="str">
            <v>NY.GDP.MKTP.KD</v>
          </cell>
          <cell r="E159">
            <v>204342366502.53799</v>
          </cell>
          <cell r="F159">
            <v>207893071520.95499</v>
          </cell>
          <cell r="G159">
            <v>204366862460.47699</v>
          </cell>
          <cell r="H159">
            <v>196075098813.62</v>
          </cell>
          <cell r="I159">
            <v>194266022356.341</v>
          </cell>
          <cell r="J159">
            <v>195804978945.28699</v>
          </cell>
          <cell r="K159">
            <v>199313894327.48599</v>
          </cell>
          <cell r="L159">
            <v>203339009314.85699</v>
          </cell>
          <cell r="M159">
            <v>210468777080.15302</v>
          </cell>
          <cell r="N159">
            <v>216465718529.23099</v>
          </cell>
          <cell r="O159">
            <v>222272974069.03</v>
          </cell>
          <cell r="P159">
            <v>203507675081.48199</v>
          </cell>
          <cell r="Q159">
            <v>1.7376254759058452</v>
          </cell>
          <cell r="R159">
            <v>-1.6961647806153877</v>
          </cell>
          <cell r="S159">
            <v>-4.0572936076956019</v>
          </cell>
          <cell r="T159">
            <v>-0.92264467452780263</v>
          </cell>
          <cell r="U159">
            <v>0.79219030187537631</v>
          </cell>
          <cell r="V159">
            <v>1.7920460455602039</v>
          </cell>
          <cell r="W159">
            <v>2.0194853956129473</v>
          </cell>
          <cell r="X159">
            <v>3.5063452848125407</v>
          </cell>
          <cell r="Y159">
            <v>2.8493259343613477</v>
          </cell>
          <cell r="Z159">
            <v>2.6827599211811517</v>
          </cell>
          <cell r="AA159">
            <v>-8.4424564282476275</v>
          </cell>
          <cell r="AB159">
            <v>-2.109448096268546</v>
          </cell>
          <cell r="AC159">
            <v>2.1041085811636098</v>
          </cell>
          <cell r="AD159">
            <v>5.7571829464282187</v>
          </cell>
          <cell r="AE159">
            <v>10.368353012890385</v>
          </cell>
        </row>
        <row r="160">
          <cell r="B160" t="str">
            <v>PRI</v>
          </cell>
          <cell r="C160" t="str">
            <v>GDP (constant 2015 US$)</v>
          </cell>
          <cell r="D160" t="str">
            <v>NY.GDP.MKTP.KD</v>
          </cell>
          <cell r="E160">
            <v>106847849863.433</v>
          </cell>
          <cell r="F160">
            <v>106406296723.36</v>
          </cell>
          <cell r="G160">
            <v>106024818840.439</v>
          </cell>
          <cell r="H160">
            <v>106055857723.302</v>
          </cell>
          <cell r="I160">
            <v>105730450080.39101</v>
          </cell>
          <cell r="J160">
            <v>104471873443.039</v>
          </cell>
          <cell r="K160">
            <v>103375500000</v>
          </cell>
          <cell r="L160">
            <v>102069864411.21201</v>
          </cell>
          <cell r="M160">
            <v>99124174302.1521</v>
          </cell>
          <cell r="N160">
            <v>95013024204.327499</v>
          </cell>
          <cell r="O160">
            <v>96423791493.132904</v>
          </cell>
          <cell r="P160">
            <v>92660076632.508698</v>
          </cell>
          <cell r="Q160">
            <v>-0.4132541184847115</v>
          </cell>
          <cell r="R160">
            <v>-0.35851062828808811</v>
          </cell>
          <cell r="S160">
            <v>2.9275110490609043E-2</v>
          </cell>
          <cell r="T160">
            <v>-0.30682665709986401</v>
          </cell>
          <cell r="U160">
            <v>-1.1903634538537005</v>
          </cell>
          <cell r="V160">
            <v>-1.0494436511055534</v>
          </cell>
          <cell r="W160">
            <v>-1.2630029250528358</v>
          </cell>
          <cell r="X160">
            <v>-2.885954758588209</v>
          </cell>
          <cell r="Y160">
            <v>-4.1474747474747362</v>
          </cell>
          <cell r="Z160">
            <v>1.484814635277286</v>
          </cell>
          <cell r="AA160">
            <v>-3.9033051929847109</v>
          </cell>
          <cell r="AB160">
            <v>-12.918615264460673</v>
          </cell>
          <cell r="AC160">
            <v>-10.36553474226611</v>
          </cell>
          <cell r="AD160">
            <v>-10.981049412047561</v>
          </cell>
          <cell r="AE160">
            <v>-8.9565147636810458</v>
          </cell>
        </row>
        <row r="161">
          <cell r="B161" t="str">
            <v>QAT</v>
          </cell>
          <cell r="C161" t="str">
            <v>GDP (constant 2015 US$)</v>
          </cell>
          <cell r="D161" t="str">
            <v>NY.GDP.MKTP.KD</v>
          </cell>
          <cell r="E161">
            <v>97792140945.061707</v>
          </cell>
          <cell r="F161">
            <v>116951901413.005</v>
          </cell>
          <cell r="G161">
            <v>132594424542.771</v>
          </cell>
          <cell r="H161">
            <v>138866156527.608</v>
          </cell>
          <cell r="I161">
            <v>146581616623.746</v>
          </cell>
          <cell r="J161">
            <v>154400753941.04501</v>
          </cell>
          <cell r="K161">
            <v>161739955576.923</v>
          </cell>
          <cell r="L161">
            <v>166695978169.384</v>
          </cell>
          <cell r="M161">
            <v>164199531361.81</v>
          </cell>
          <cell r="N161">
            <v>166227185730.26501</v>
          </cell>
          <cell r="O161">
            <v>167371229308.42001</v>
          </cell>
          <cell r="P161">
            <v>161416823761.20999</v>
          </cell>
          <cell r="Q161">
            <v>19.592331533785512</v>
          </cell>
          <cell r="R161">
            <v>13.37517641079288</v>
          </cell>
          <cell r="S161">
            <v>4.7300118436080485</v>
          </cell>
          <cell r="T161">
            <v>5.5560406430663249</v>
          </cell>
          <cell r="U161">
            <v>5.3343232919647869</v>
          </cell>
          <cell r="V161">
            <v>4.7533457243870227</v>
          </cell>
          <cell r="W161">
            <v>3.064191884301545</v>
          </cell>
          <cell r="X161">
            <v>-1.497604702278601</v>
          </cell>
          <cell r="Y161">
            <v>1.2348722019109335</v>
          </cell>
          <cell r="Z161">
            <v>0.68824095958131992</v>
          </cell>
          <cell r="AA161">
            <v>-3.5576039990945274</v>
          </cell>
          <cell r="AB161">
            <v>38.019837053508994</v>
          </cell>
          <cell r="AC161">
            <v>-0.1997847807985407</v>
          </cell>
          <cell r="AD161">
            <v>69.920104918962281</v>
          </cell>
          <cell r="AE161">
            <v>7.621565474865899</v>
          </cell>
        </row>
        <row r="162">
          <cell r="B162" t="str">
            <v>ROU</v>
          </cell>
          <cell r="C162" t="str">
            <v>GDP (constant 2015 US$)</v>
          </cell>
          <cell r="D162" t="str">
            <v>NY.GDP.MKTP.KD</v>
          </cell>
          <cell r="E162">
            <v>160676983612.89099</v>
          </cell>
          <cell r="F162">
            <v>154408594834.276</v>
          </cell>
          <cell r="G162">
            <v>157351727197.99899</v>
          </cell>
          <cell r="H162">
            <v>160562749027.63599</v>
          </cell>
          <cell r="I162">
            <v>166617509768.33301</v>
          </cell>
          <cell r="J162">
            <v>172630275253.71301</v>
          </cell>
          <cell r="K162">
            <v>177729210874.504</v>
          </cell>
          <cell r="L162">
            <v>186087811658.57101</v>
          </cell>
          <cell r="M162">
            <v>199708413252.13699</v>
          </cell>
          <cell r="N162">
            <v>208644413683.72601</v>
          </cell>
          <cell r="O162">
            <v>217382984916.12601</v>
          </cell>
          <cell r="P162">
            <v>208838846565.92401</v>
          </cell>
          <cell r="Q162">
            <v>-3.9012362801862324</v>
          </cell>
          <cell r="R162">
            <v>1.9060677074885655</v>
          </cell>
          <cell r="S162">
            <v>2.0406651307973869</v>
          </cell>
          <cell r="T162">
            <v>3.7709623043729019</v>
          </cell>
          <cell r="U162">
            <v>3.6087236531984104</v>
          </cell>
          <cell r="V162">
            <v>2.9536740373593973</v>
          </cell>
          <cell r="W162">
            <v>4.7029977474941305</v>
          </cell>
          <cell r="X162">
            <v>7.3194485292549407</v>
          </cell>
          <cell r="Y162">
            <v>4.4745237749734112</v>
          </cell>
          <cell r="Z162">
            <v>4.1882603411785428</v>
          </cell>
          <cell r="AA162">
            <v>-3.9304540571556807</v>
          </cell>
          <cell r="AB162">
            <v>35.250791440765994</v>
          </cell>
          <cell r="AC162">
            <v>17.503951960596265</v>
          </cell>
          <cell r="AD162">
            <v>29.858512606442854</v>
          </cell>
          <cell r="AE162">
            <v>20.866829826890609</v>
          </cell>
        </row>
        <row r="163">
          <cell r="B163" t="str">
            <v>RUS</v>
          </cell>
          <cell r="C163" t="str">
            <v>GDP (constant 2015 US$)</v>
          </cell>
          <cell r="D163" t="str">
            <v>NY.GDP.MKTP.KD</v>
          </cell>
          <cell r="E163">
            <v>1196806973081.95</v>
          </cell>
          <cell r="F163">
            <v>1250663286871.01</v>
          </cell>
          <cell r="G163">
            <v>1304442173222.47</v>
          </cell>
          <cell r="H163">
            <v>1356934050143.9299</v>
          </cell>
          <cell r="I163">
            <v>1380753971008.75</v>
          </cell>
          <cell r="J163">
            <v>1390920009905.6799</v>
          </cell>
          <cell r="K163">
            <v>1363481063446.77</v>
          </cell>
          <cell r="L163">
            <v>1366121990896.5701</v>
          </cell>
          <cell r="M163">
            <v>1391064510462.3501</v>
          </cell>
          <cell r="N163">
            <v>1430115105089.3201</v>
          </cell>
          <cell r="O163">
            <v>1459189098326.4299</v>
          </cell>
          <cell r="P163">
            <v>1416124431328.3</v>
          </cell>
          <cell r="Q163">
            <v>4.5000000000311093</v>
          </cell>
          <cell r="R163">
            <v>4.3000291857936794</v>
          </cell>
          <cell r="S163">
            <v>4.0240861572104034</v>
          </cell>
          <cell r="T163">
            <v>1.755422149093649</v>
          </cell>
          <cell r="U163">
            <v>0.73626722141547318</v>
          </cell>
          <cell r="V163">
            <v>-1.9727192263752524</v>
          </cell>
          <cell r="W163">
            <v>0.19369007172890232</v>
          </cell>
          <cell r="X163">
            <v>1.825790063551392</v>
          </cell>
          <cell r="Y163">
            <v>2.8072454104943465</v>
          </cell>
          <cell r="Z163">
            <v>2.0329827391966466</v>
          </cell>
          <cell r="AA163">
            <v>-2.9512738991486107</v>
          </cell>
          <cell r="AB163">
            <v>13.229871396581199</v>
          </cell>
          <cell r="AC163">
            <v>3.8609533562902474</v>
          </cell>
          <cell r="AD163">
            <v>19.462295020413876</v>
          </cell>
          <cell r="AE163">
            <v>2.7904600427020254</v>
          </cell>
        </row>
        <row r="164">
          <cell r="B164" t="str">
            <v>RWA</v>
          </cell>
          <cell r="C164" t="str">
            <v>GDP (constant 2015 US$)</v>
          </cell>
          <cell r="D164" t="str">
            <v>NY.GDP.MKTP.KD</v>
          </cell>
          <cell r="E164">
            <v>5604569951.39505</v>
          </cell>
          <cell r="F164">
            <v>6015645883.64785</v>
          </cell>
          <cell r="G164">
            <v>6494395409.3692198</v>
          </cell>
          <cell r="H164">
            <v>7055608599.6263704</v>
          </cell>
          <cell r="I164">
            <v>7388623038.1447001</v>
          </cell>
          <cell r="J164">
            <v>7844291737.7896795</v>
          </cell>
          <cell r="K164">
            <v>8539048447.7806501</v>
          </cell>
          <cell r="L164">
            <v>9048893196.0872498</v>
          </cell>
          <cell r="M164">
            <v>9408703403.7081909</v>
          </cell>
          <cell r="N164">
            <v>10215916012.4694</v>
          </cell>
          <cell r="O164">
            <v>11182411389.074699</v>
          </cell>
          <cell r="P164">
            <v>10807188692.348301</v>
          </cell>
          <cell r="Q164">
            <v>7.3346561077443209</v>
          </cell>
          <cell r="R164">
            <v>7.9584060461860009</v>
          </cell>
          <cell r="S164">
            <v>8.641500168707152</v>
          </cell>
          <cell r="T164">
            <v>4.7198541956531486</v>
          </cell>
          <cell r="U164">
            <v>6.1671667006495294</v>
          </cell>
          <cell r="V164">
            <v>8.8568443552908356</v>
          </cell>
          <cell r="W164">
            <v>5.9707442980852434</v>
          </cell>
          <cell r="X164">
            <v>3.9762896944846631</v>
          </cell>
          <cell r="Y164">
            <v>8.5794245405064853</v>
          </cell>
          <cell r="Z164">
            <v>9.4606824823697515</v>
          </cell>
          <cell r="AA164">
            <v>-3.3554721219878738</v>
          </cell>
          <cell r="AB164">
            <v>79.651344201046783</v>
          </cell>
          <cell r="AC164">
            <v>26.561978871980212</v>
          </cell>
          <cell r="AD164">
            <v>83.111918101088108</v>
          </cell>
          <cell r="AE164">
            <v>30.829345495613158</v>
          </cell>
        </row>
        <row r="165">
          <cell r="B165" t="str">
            <v>WSM</v>
          </cell>
          <cell r="C165" t="str">
            <v>GDP (constant 2015 US$)</v>
          </cell>
          <cell r="D165" t="str">
            <v>NY.GDP.MKTP.KD</v>
          </cell>
          <cell r="E165">
            <v>755293207.32537997</v>
          </cell>
          <cell r="F165">
            <v>758822283.28039896</v>
          </cell>
          <cell r="G165">
            <v>789961624.28406203</v>
          </cell>
          <cell r="H165">
            <v>757695689.03316998</v>
          </cell>
          <cell r="I165">
            <v>755101889.56704402</v>
          </cell>
          <cell r="J165">
            <v>755495830.85940194</v>
          </cell>
          <cell r="K165">
            <v>787958585.89473605</v>
          </cell>
          <cell r="L165">
            <v>851990065.38258898</v>
          </cell>
          <cell r="M165">
            <v>860871497.10804296</v>
          </cell>
          <cell r="N165">
            <v>850255553.43140304</v>
          </cell>
          <cell r="O165">
            <v>887495263.36023295</v>
          </cell>
          <cell r="P165">
            <v>864485987.50376499</v>
          </cell>
          <cell r="Q165">
            <v>0.46724582199223635</v>
          </cell>
          <cell r="R165">
            <v>4.1036408247063161</v>
          </cell>
          <cell r="S165">
            <v>-4.0844940132546927</v>
          </cell>
          <cell r="T165">
            <v>-0.34232733585111041</v>
          </cell>
          <cell r="U165">
            <v>5.2170614032471488E-2</v>
          </cell>
          <cell r="V165">
            <v>4.2968807648358078</v>
          </cell>
          <cell r="W165">
            <v>8.1262493529586273</v>
          </cell>
          <cell r="X165">
            <v>1.0424337191614712</v>
          </cell>
          <cell r="Y165">
            <v>-1.233162407200429</v>
          </cell>
          <cell r="Z165">
            <v>4.3798255452187806</v>
          </cell>
          <cell r="AA165">
            <v>-2.5926082996037958</v>
          </cell>
          <cell r="AB165">
            <v>13.924697066957551</v>
          </cell>
          <cell r="AC165">
            <v>9.7121096183159406</v>
          </cell>
          <cell r="AD165">
            <v>12.549387416338597</v>
          </cell>
          <cell r="AE165">
            <v>12.519201737346354</v>
          </cell>
        </row>
        <row r="166">
          <cell r="B166" t="str">
            <v>SMR</v>
          </cell>
          <cell r="C166" t="str">
            <v>GDP (constant 2015 US$)</v>
          </cell>
          <cell r="D166" t="str">
            <v>NY.GDP.MKTP.KD</v>
          </cell>
          <cell r="E166">
            <v>1748299726.7999201</v>
          </cell>
          <cell r="F166">
            <v>1652603320.70139</v>
          </cell>
          <cell r="G166">
            <v>1515193096.5599301</v>
          </cell>
          <cell r="H166">
            <v>1408454797.4500401</v>
          </cell>
          <cell r="I166">
            <v>1397412904.4386699</v>
          </cell>
          <cell r="J166">
            <v>1387597888.42857</v>
          </cell>
          <cell r="K166">
            <v>1419394771.21029</v>
          </cell>
          <cell r="L166">
            <v>1452671145.4109399</v>
          </cell>
          <cell r="M166">
            <v>1456422893.31885</v>
          </cell>
          <cell r="N166">
            <v>1478921148.04195</v>
          </cell>
          <cell r="O166">
            <v>1514041111.6885099</v>
          </cell>
          <cell r="P166" t="str">
            <v>..</v>
          </cell>
          <cell r="Q166">
            <v>-5.4736842105267796</v>
          </cell>
          <cell r="R166">
            <v>-8.3147735708978825</v>
          </cell>
          <cell r="S166">
            <v>-7.0445344129554766</v>
          </cell>
          <cell r="T166">
            <v>-0.78397212543570138</v>
          </cell>
          <cell r="U166">
            <v>-0.70237050043863059</v>
          </cell>
          <cell r="V166">
            <v>2.2915055612926403</v>
          </cell>
          <cell r="W166">
            <v>2.3444058605539224</v>
          </cell>
          <cell r="X166">
            <v>0.25826546632815456</v>
          </cell>
          <cell r="Y166">
            <v>1.5447611285367562</v>
          </cell>
          <cell r="Z166">
            <v>2.3747015649250671</v>
          </cell>
          <cell r="AA166" t="e">
            <v>#VALUE!</v>
          </cell>
          <cell r="AB166" t="e">
            <v>#VALUE!</v>
          </cell>
          <cell r="AC166" t="e">
            <v>#VALUE!</v>
          </cell>
          <cell r="AD166" t="e">
            <v>#VALUE!</v>
          </cell>
          <cell r="AE166" t="e">
            <v>#VALUE!</v>
          </cell>
        </row>
        <row r="167">
          <cell r="B167" t="str">
            <v>STP</v>
          </cell>
          <cell r="C167" t="str">
            <v>GDP (constant 2015 US$)</v>
          </cell>
          <cell r="D167" t="str">
            <v>NY.GDP.MKTP.KD</v>
          </cell>
          <cell r="E167">
            <v>237115713.04190901</v>
          </cell>
          <cell r="F167">
            <v>252936034.66312501</v>
          </cell>
          <cell r="G167">
            <v>264060672.43536901</v>
          </cell>
          <cell r="H167">
            <v>272357396.60214198</v>
          </cell>
          <cell r="I167">
            <v>285470840.52670503</v>
          </cell>
          <cell r="J167">
            <v>304168994.89673698</v>
          </cell>
          <cell r="K167">
            <v>316066072.34375399</v>
          </cell>
          <cell r="L167">
            <v>329229494.06120902</v>
          </cell>
          <cell r="M167">
            <v>341901474.46398902</v>
          </cell>
          <cell r="N167">
            <v>351971392.28982699</v>
          </cell>
          <cell r="O167">
            <v>359752972.346268</v>
          </cell>
          <cell r="P167">
            <v>370868351.86852998</v>
          </cell>
          <cell r="Q167">
            <v>6.6719836565279991</v>
          </cell>
          <cell r="R167">
            <v>4.3982020146162446</v>
          </cell>
          <cell r="S167">
            <v>3.141976459521306</v>
          </cell>
          <cell r="T167">
            <v>4.8147926541239086</v>
          </cell>
          <cell r="U167">
            <v>6.5499349550143595</v>
          </cell>
          <cell r="V167">
            <v>3.9113379886256912</v>
          </cell>
          <cell r="W167">
            <v>4.1647689737285276</v>
          </cell>
          <cell r="X167">
            <v>3.8489809179805961</v>
          </cell>
          <cell r="Y167">
            <v>2.9452689087184942</v>
          </cell>
          <cell r="Z167">
            <v>2.2108558328608003</v>
          </cell>
          <cell r="AA167">
            <v>3.0897255552243905</v>
          </cell>
          <cell r="AB167">
            <v>46.625352280260948</v>
          </cell>
          <cell r="AC167">
            <v>17.338868141839953</v>
          </cell>
          <cell r="AD167">
            <v>48.666670232770045</v>
          </cell>
          <cell r="AE167">
            <v>15.89348062834981</v>
          </cell>
        </row>
        <row r="168">
          <cell r="B168" t="str">
            <v>SAU</v>
          </cell>
          <cell r="C168" t="str">
            <v>GDP (constant 2015 US$)</v>
          </cell>
          <cell r="D168" t="str">
            <v>NY.GDP.MKTP.KD</v>
          </cell>
          <cell r="E168">
            <v>484743394128.55603</v>
          </cell>
          <cell r="F168">
            <v>509171960046.46503</v>
          </cell>
          <cell r="G168">
            <v>560073099588.16504</v>
          </cell>
          <cell r="H168">
            <v>590381146784.22302</v>
          </cell>
          <cell r="I168">
            <v>606317037769.88098</v>
          </cell>
          <cell r="J168">
            <v>628462656603.729</v>
          </cell>
          <cell r="K168">
            <v>654269902880</v>
          </cell>
          <cell r="L168">
            <v>665200297859.42297</v>
          </cell>
          <cell r="M168">
            <v>660267820003.93396</v>
          </cell>
          <cell r="N168">
            <v>676339470191.76099</v>
          </cell>
          <cell r="O168">
            <v>678581100842.58105</v>
          </cell>
          <cell r="P168">
            <v>650714601909.91504</v>
          </cell>
          <cell r="Q168">
            <v>5.0394840267653933</v>
          </cell>
          <cell r="R168">
            <v>9.9968465539726452</v>
          </cell>
          <cell r="S168">
            <v>5.4114449021644146</v>
          </cell>
          <cell r="T168">
            <v>2.6992547225567707</v>
          </cell>
          <cell r="U168">
            <v>3.6524816975789944</v>
          </cell>
          <cell r="V168">
            <v>4.1064088701364962</v>
          </cell>
          <cell r="W168">
            <v>1.6706247576587248</v>
          </cell>
          <cell r="X168">
            <v>-0.74150265286432504</v>
          </cell>
          <cell r="Y168">
            <v>2.4341107806422051</v>
          </cell>
          <cell r="Z168">
            <v>0.33143572859713538</v>
          </cell>
          <cell r="AA168">
            <v>-4.1065834132522587</v>
          </cell>
          <cell r="AB168">
            <v>27.798593200327332</v>
          </cell>
          <cell r="AC168">
            <v>-0.5433997428943389</v>
          </cell>
          <cell r="AD168">
            <v>39.399641621722978</v>
          </cell>
          <cell r="AE168">
            <v>7.5211943143757232</v>
          </cell>
        </row>
        <row r="169">
          <cell r="B169" t="str">
            <v>SEN</v>
          </cell>
          <cell r="C169" t="str">
            <v>GDP (constant 2015 US$)</v>
          </cell>
          <cell r="D169" t="str">
            <v>NY.GDP.MKTP.KD</v>
          </cell>
          <cell r="E169">
            <v>14097356631.5485</v>
          </cell>
          <cell r="F169">
            <v>14575382382.5758</v>
          </cell>
          <cell r="G169">
            <v>14769831258.761101</v>
          </cell>
          <cell r="H169">
            <v>15361066946.9254</v>
          </cell>
          <cell r="I169">
            <v>15731635064.1982</v>
          </cell>
          <cell r="J169">
            <v>16710783740.894199</v>
          </cell>
          <cell r="K169">
            <v>17774766636.045898</v>
          </cell>
          <cell r="L169">
            <v>18904542991.913799</v>
          </cell>
          <cell r="M169">
            <v>20304894402.623199</v>
          </cell>
          <cell r="N169">
            <v>21565674237.759102</v>
          </cell>
          <cell r="O169">
            <v>22515082954.714401</v>
          </cell>
          <cell r="P169">
            <v>22852755934.489498</v>
          </cell>
          <cell r="Q169">
            <v>3.3908892533620465</v>
          </cell>
          <cell r="R169">
            <v>1.3340910796121241</v>
          </cell>
          <cell r="S169">
            <v>4.0029955509044326</v>
          </cell>
          <cell r="T169">
            <v>2.4123852760564373</v>
          </cell>
          <cell r="U169">
            <v>6.2240744379096986</v>
          </cell>
          <cell r="V169">
            <v>6.3670436506694035</v>
          </cell>
          <cell r="W169">
            <v>6.3560685718191028</v>
          </cell>
          <cell r="X169">
            <v>7.4074861863012735</v>
          </cell>
          <cell r="Y169">
            <v>6.2092410338909305</v>
          </cell>
          <cell r="Z169">
            <v>4.4024068363834878</v>
          </cell>
          <cell r="AA169">
            <v>1.4997634272735028</v>
          </cell>
          <cell r="AB169">
            <v>56.790095344660863</v>
          </cell>
          <cell r="AC169">
            <v>28.56852864749187</v>
          </cell>
          <cell r="AD169">
            <v>53.510481535271296</v>
          </cell>
          <cell r="AE169">
            <v>29.502723417307465</v>
          </cell>
        </row>
        <row r="170">
          <cell r="B170" t="str">
            <v>SRB</v>
          </cell>
          <cell r="C170" t="str">
            <v>GDP (constant 2015 US$)</v>
          </cell>
          <cell r="D170" t="str">
            <v>NY.GDP.MKTP.KD</v>
          </cell>
          <cell r="E170">
            <v>37684367630.597504</v>
          </cell>
          <cell r="F170">
            <v>37959857147.320999</v>
          </cell>
          <cell r="G170">
            <v>38732824869.453003</v>
          </cell>
          <cell r="H170">
            <v>38468844257.127502</v>
          </cell>
          <cell r="I170">
            <v>39581608177.084396</v>
          </cell>
          <cell r="J170">
            <v>38952454430.326202</v>
          </cell>
          <cell r="K170">
            <v>39655958842.547798</v>
          </cell>
          <cell r="L170">
            <v>40979907436.169403</v>
          </cell>
          <cell r="M170">
            <v>41840962435.921204</v>
          </cell>
          <cell r="N170">
            <v>43721764447.475197</v>
          </cell>
          <cell r="O170">
            <v>45615675379.601799</v>
          </cell>
          <cell r="P170">
            <v>45184791299.441002</v>
          </cell>
          <cell r="Q170">
            <v>0.73104455254229639</v>
          </cell>
          <cell r="R170">
            <v>2.0362766886401618</v>
          </cell>
          <cell r="S170">
            <v>-0.68154236933462398</v>
          </cell>
          <cell r="T170">
            <v>2.8926367335580174</v>
          </cell>
          <cell r="U170">
            <v>-1.5895103199026661</v>
          </cell>
          <cell r="V170">
            <v>1.8060592650970066</v>
          </cell>
          <cell r="W170">
            <v>3.3385867654298393</v>
          </cell>
          <cell r="X170">
            <v>2.1011638474122614</v>
          </cell>
          <cell r="Y170">
            <v>4.4951212927628346</v>
          </cell>
          <cell r="Z170">
            <v>4.3317349060828443</v>
          </cell>
          <cell r="AA170">
            <v>-0.94459651550720614</v>
          </cell>
          <cell r="AB170">
            <v>19.033090994205441</v>
          </cell>
          <cell r="AC170">
            <v>13.941996658926303</v>
          </cell>
          <cell r="AD170">
            <v>16.187965970555229</v>
          </cell>
          <cell r="AE170">
            <v>12.405497623197848</v>
          </cell>
        </row>
        <row r="171">
          <cell r="B171" t="str">
            <v>SYC</v>
          </cell>
          <cell r="C171" t="str">
            <v>GDP (constant 2015 US$)</v>
          </cell>
          <cell r="D171" t="str">
            <v>NY.GDP.MKTP.KD</v>
          </cell>
          <cell r="E171">
            <v>1023553828.13811</v>
          </cell>
          <cell r="F171">
            <v>1084506074.4509201</v>
          </cell>
          <cell r="G171">
            <v>1170044100.7890699</v>
          </cell>
          <cell r="H171">
            <v>1184796354.1833601</v>
          </cell>
          <cell r="I171">
            <v>1256098308.99354</v>
          </cell>
          <cell r="J171">
            <v>1312682840.2644801</v>
          </cell>
          <cell r="K171">
            <v>1377495054.04127</v>
          </cell>
          <cell r="L171">
            <v>1440344964.0294099</v>
          </cell>
          <cell r="M171">
            <v>1508593706.42961</v>
          </cell>
          <cell r="N171">
            <v>1535313668.7488101</v>
          </cell>
          <cell r="O171">
            <v>1553599342.6426599</v>
          </cell>
          <cell r="P171">
            <v>1386262377.3452201</v>
          </cell>
          <cell r="Q171">
            <v>5.9549624687237905</v>
          </cell>
          <cell r="R171">
            <v>7.8872795969775682</v>
          </cell>
          <cell r="S171">
            <v>1.2608288340876543</v>
          </cell>
          <cell r="T171">
            <v>6.0180768246308425</v>
          </cell>
          <cell r="U171">
            <v>4.5047852437823064</v>
          </cell>
          <cell r="V171">
            <v>4.9373856188850231</v>
          </cell>
          <cell r="W171">
            <v>4.5626232779385987</v>
          </cell>
          <cell r="X171">
            <v>4.7383608860805229</v>
          </cell>
          <cell r="Y171">
            <v>1.7711834674452007</v>
          </cell>
          <cell r="Z171">
            <v>1.1910057381793255</v>
          </cell>
          <cell r="AA171">
            <v>-10.77092147920203</v>
          </cell>
          <cell r="AB171">
            <v>27.824307304786434</v>
          </cell>
          <cell r="AC171">
            <v>0.63646858681841778</v>
          </cell>
          <cell r="AD171">
            <v>49.744898583435074</v>
          </cell>
          <cell r="AE171">
            <v>16.762373581684599</v>
          </cell>
        </row>
        <row r="172">
          <cell r="B172" t="str">
            <v>SLE</v>
          </cell>
          <cell r="C172" t="str">
            <v>GDP (constant 2015 US$)</v>
          </cell>
          <cell r="D172" t="str">
            <v>NY.GDP.MKTP.KD</v>
          </cell>
          <cell r="E172">
            <v>3263166697.5142002</v>
          </cell>
          <cell r="F172">
            <v>3437630797.2292199</v>
          </cell>
          <cell r="G172">
            <v>3654718730.2585902</v>
          </cell>
          <cell r="H172">
            <v>4209569688.5204201</v>
          </cell>
          <cell r="I172">
            <v>5081614391.0266504</v>
          </cell>
          <cell r="J172">
            <v>5313171991.3514004</v>
          </cell>
          <cell r="K172">
            <v>4218723875.1378999</v>
          </cell>
          <cell r="L172">
            <v>4474187603.7425098</v>
          </cell>
          <cell r="M172">
            <v>4661772843.9597502</v>
          </cell>
          <cell r="N172">
            <v>4823284725.6719599</v>
          </cell>
          <cell r="O172">
            <v>5076711739.04284</v>
          </cell>
          <cell r="P172">
            <v>4976753933.9060001</v>
          </cell>
          <cell r="Q172">
            <v>5.3464660523755088</v>
          </cell>
          <cell r="R172">
            <v>6.3150450363764001</v>
          </cell>
          <cell r="S172">
            <v>15.181769083022465</v>
          </cell>
          <cell r="T172">
            <v>20.715768285872866</v>
          </cell>
          <cell r="U172">
            <v>4.5567723661528721</v>
          </cell>
          <cell r="V172">
            <v>-20.598770715403262</v>
          </cell>
          <cell r="W172">
            <v>6.0554740287727293</v>
          </cell>
          <cell r="X172">
            <v>4.1926100742921797</v>
          </cell>
          <cell r="Y172">
            <v>3.4646021399665647</v>
          </cell>
          <cell r="Z172">
            <v>5.254241202515237</v>
          </cell>
          <cell r="AA172">
            <v>-1.9689478204584026</v>
          </cell>
          <cell r="AB172">
            <v>44.772787639595727</v>
          </cell>
          <cell r="AC172">
            <v>17.968231180888132</v>
          </cell>
          <cell r="AD172">
            <v>47.967426217974229</v>
          </cell>
          <cell r="AE172">
            <v>-9.1235182415819853</v>
          </cell>
        </row>
        <row r="173">
          <cell r="B173" t="str">
            <v>SGP</v>
          </cell>
          <cell r="C173" t="str">
            <v>GDP (constant 2015 US$)</v>
          </cell>
          <cell r="D173" t="str">
            <v>NY.GDP.MKTP.KD</v>
          </cell>
          <cell r="E173">
            <v>215739743962.758</v>
          </cell>
          <cell r="F173">
            <v>247077320337.504</v>
          </cell>
          <cell r="G173">
            <v>262736761710.79401</v>
          </cell>
          <cell r="H173">
            <v>274459048588.88599</v>
          </cell>
          <cell r="I173">
            <v>287735452429.44397</v>
          </cell>
          <cell r="J173">
            <v>299066482397.44</v>
          </cell>
          <cell r="K173">
            <v>308004146057.60797</v>
          </cell>
          <cell r="L173">
            <v>318257710212.39502</v>
          </cell>
          <cell r="M173">
            <v>332644166424.20697</v>
          </cell>
          <cell r="N173">
            <v>344278295024.73102</v>
          </cell>
          <cell r="O173">
            <v>348909586848.99597</v>
          </cell>
          <cell r="P173">
            <v>330099796334.01202</v>
          </cell>
          <cell r="Q173">
            <v>14.525638994062975</v>
          </cell>
          <cell r="R173">
            <v>6.3378708138405582</v>
          </cell>
          <cell r="S173">
            <v>4.4616089510135701</v>
          </cell>
          <cell r="T173">
            <v>4.8372986457607361</v>
          </cell>
          <cell r="U173">
            <v>3.9380027286608108</v>
          </cell>
          <cell r="V173">
            <v>2.9885206755768747</v>
          </cell>
          <cell r="W173">
            <v>3.329034458149553</v>
          </cell>
          <cell r="X173">
            <v>4.5203794755548543</v>
          </cell>
          <cell r="Y173">
            <v>3.4974696011014781</v>
          </cell>
          <cell r="Z173">
            <v>1.3452174857355639</v>
          </cell>
          <cell r="AA173">
            <v>-5.3910214061055903</v>
          </cell>
          <cell r="AB173">
            <v>33.601819820249204</v>
          </cell>
          <cell r="AC173">
            <v>7.1738158590473526</v>
          </cell>
          <cell r="AD173">
            <v>59.358288601197849</v>
          </cell>
          <cell r="AE173">
            <v>14.957437241252048</v>
          </cell>
        </row>
        <row r="174">
          <cell r="B174" t="str">
            <v>SXM</v>
          </cell>
          <cell r="C174" t="str">
            <v>GDP (constant 2015 US$)</v>
          </cell>
          <cell r="D174" t="str">
            <v>NY.GDP.MKTP.KD</v>
          </cell>
          <cell r="E174">
            <v>1108116839.8208399</v>
          </cell>
          <cell r="F174">
            <v>1143576512.44684</v>
          </cell>
          <cell r="G174">
            <v>1196181066.2857399</v>
          </cell>
          <cell r="H174">
            <v>1212814522.2683499</v>
          </cell>
          <cell r="I174">
            <v>1228662707.79684</v>
          </cell>
          <cell r="J174">
            <v>1248080304.4804001</v>
          </cell>
          <cell r="K174">
            <v>1253072625.6983199</v>
          </cell>
          <cell r="L174">
            <v>1259337988.8268199</v>
          </cell>
          <cell r="M174">
            <v>1186296385.47486</v>
          </cell>
          <cell r="N174">
            <v>1108000824.03352</v>
          </cell>
          <cell r="O174" t="str">
            <v>..</v>
          </cell>
          <cell r="P174" t="str">
            <v>..</v>
          </cell>
          <cell r="Q174">
            <v>3.1999940215449914</v>
          </cell>
          <cell r="R174">
            <v>4.6000029964191151</v>
          </cell>
          <cell r="S174">
            <v>1.3905466698497835</v>
          </cell>
          <cell r="T174">
            <v>1.3067278827473887</v>
          </cell>
          <cell r="U174">
            <v>1.5803846377317445</v>
          </cell>
          <cell r="V174">
            <v>0.39999999999985786</v>
          </cell>
          <cell r="W174">
            <v>0.50000000000066913</v>
          </cell>
          <cell r="X174">
            <v>-5.8000000000003489</v>
          </cell>
          <cell r="Y174">
            <v>-6.5999999999999339</v>
          </cell>
          <cell r="Z174" t="e">
            <v>#VALUE!</v>
          </cell>
          <cell r="AA174" t="e">
            <v>#VALUE!</v>
          </cell>
          <cell r="AB174" t="e">
            <v>#VALUE!</v>
          </cell>
          <cell r="AC174" t="e">
            <v>#VALUE!</v>
          </cell>
          <cell r="AD174" t="e">
            <v>#VALUE!</v>
          </cell>
          <cell r="AE174" t="e">
            <v>#VALUE!</v>
          </cell>
        </row>
        <row r="175">
          <cell r="B175" t="str">
            <v>SVK</v>
          </cell>
          <cell r="C175" t="str">
            <v>GDP (constant 2015 US$)</v>
          </cell>
          <cell r="D175" t="str">
            <v>NY.GDP.MKTP.KD</v>
          </cell>
          <cell r="E175">
            <v>73651464495.087494</v>
          </cell>
          <cell r="F175">
            <v>78286561774.4319</v>
          </cell>
          <cell r="G175">
            <v>80351290323.917206</v>
          </cell>
          <cell r="H175">
            <v>81442643087.947601</v>
          </cell>
          <cell r="I175">
            <v>81975901249.242599</v>
          </cell>
          <cell r="J175">
            <v>84209231239.480194</v>
          </cell>
          <cell r="K175">
            <v>88601289843.091705</v>
          </cell>
          <cell r="L175">
            <v>90312783950.787399</v>
          </cell>
          <cell r="M175">
            <v>93004273863.539398</v>
          </cell>
          <cell r="N175">
            <v>96533237845.894806</v>
          </cell>
          <cell r="O175">
            <v>99048285215.769699</v>
          </cell>
          <cell r="P175">
            <v>94731014312.240707</v>
          </cell>
          <cell r="Q175">
            <v>6.29328596670819</v>
          </cell>
          <cell r="R175">
            <v>2.6373984278865574</v>
          </cell>
          <cell r="S175">
            <v>1.3582268058557183</v>
          </cell>
          <cell r="T175">
            <v>0.65476529380210291</v>
          </cell>
          <cell r="U175">
            <v>2.7243738174311671</v>
          </cell>
          <cell r="V175">
            <v>5.2156498034295824</v>
          </cell>
          <cell r="W175">
            <v>1.9316808036617314</v>
          </cell>
          <cell r="X175">
            <v>2.9801870732039735</v>
          </cell>
          <cell r="Y175">
            <v>3.7944105531464967</v>
          </cell>
          <cell r="Z175">
            <v>2.6053693277023426</v>
          </cell>
          <cell r="AA175">
            <v>-4.3587538079272363</v>
          </cell>
          <cell r="AB175">
            <v>21.005460151884591</v>
          </cell>
          <cell r="AC175">
            <v>6.9183241914473559</v>
          </cell>
          <cell r="AD175">
            <v>30.978188487155656</v>
          </cell>
          <cell r="AE175">
            <v>14.556744634784181</v>
          </cell>
        </row>
        <row r="176">
          <cell r="B176" t="str">
            <v>SVN</v>
          </cell>
          <cell r="C176" t="str">
            <v>GDP (constant 2015 US$)</v>
          </cell>
          <cell r="D176" t="str">
            <v>NY.GDP.MKTP.KD</v>
          </cell>
          <cell r="E176">
            <v>41649951475.711899</v>
          </cell>
          <cell r="F176">
            <v>42209622062.339699</v>
          </cell>
          <cell r="G176">
            <v>42573185243.038696</v>
          </cell>
          <cell r="H176">
            <v>41449492091.743698</v>
          </cell>
          <cell r="I176">
            <v>41022859610.545097</v>
          </cell>
          <cell r="J176">
            <v>42158437521.439697</v>
          </cell>
          <cell r="K176">
            <v>43090173394.691299</v>
          </cell>
          <cell r="L176">
            <v>44465548179.124901</v>
          </cell>
          <cell r="M176">
            <v>46606733574.194603</v>
          </cell>
          <cell r="N176">
            <v>48667926418.789703</v>
          </cell>
          <cell r="O176">
            <v>50249892617.4104</v>
          </cell>
          <cell r="P176">
            <v>48124693310.887703</v>
          </cell>
          <cell r="Q176">
            <v>1.3437484722021129</v>
          </cell>
          <cell r="R176">
            <v>0.86132773271944585</v>
          </cell>
          <cell r="S176">
            <v>-2.6394387567670603</v>
          </cell>
          <cell r="T176">
            <v>-1.029282772040484</v>
          </cell>
          <cell r="U176">
            <v>2.76815883065035</v>
          </cell>
          <cell r="V176">
            <v>2.2100816065058559</v>
          </cell>
          <cell r="W176">
            <v>3.1918525178249744</v>
          </cell>
          <cell r="X176">
            <v>4.8153806323137101</v>
          </cell>
          <cell r="Y176">
            <v>4.4225215682919039</v>
          </cell>
          <cell r="Z176">
            <v>3.2505313355818908</v>
          </cell>
          <cell r="AA176">
            <v>-4.2292613890807917</v>
          </cell>
          <cell r="AB176">
            <v>14.013561267646491</v>
          </cell>
          <cell r="AC176">
            <v>11.683684514522412</v>
          </cell>
          <cell r="AD176">
            <v>16.794660229237323</v>
          </cell>
          <cell r="AE176">
            <v>15.38596345502965</v>
          </cell>
        </row>
        <row r="177">
          <cell r="B177" t="str">
            <v>SLB</v>
          </cell>
          <cell r="C177" t="str">
            <v>GDP (constant 2015 US$)</v>
          </cell>
          <cell r="D177" t="str">
            <v>NY.GDP.MKTP.KD</v>
          </cell>
          <cell r="E177">
            <v>1020243364.43761</v>
          </cell>
          <cell r="F177">
            <v>1108154864.2049</v>
          </cell>
          <cell r="G177">
            <v>1188740405.6582401</v>
          </cell>
          <cell r="H177">
            <v>1210856506.2286301</v>
          </cell>
          <cell r="I177">
            <v>1275407874.76844</v>
          </cell>
          <cell r="J177">
            <v>1288815760.7392399</v>
          </cell>
          <cell r="K177">
            <v>1307061543.70981</v>
          </cell>
          <cell r="L177">
            <v>1383914993.1919</v>
          </cell>
          <cell r="M177">
            <v>1457865704.4741199</v>
          </cell>
          <cell r="N177">
            <v>1515367565.95713</v>
          </cell>
          <cell r="O177">
            <v>1533613348.9277</v>
          </cell>
          <cell r="P177">
            <v>1467403272.8450999</v>
          </cell>
          <cell r="Q177">
            <v>8.6167186018161015</v>
          </cell>
          <cell r="R177">
            <v>7.272046900336453</v>
          </cell>
          <cell r="S177">
            <v>1.8604651162794168</v>
          </cell>
          <cell r="T177">
            <v>5.3310502283101711</v>
          </cell>
          <cell r="U177">
            <v>1.0512625988948223</v>
          </cell>
          <cell r="V177">
            <v>1.4157014157015475</v>
          </cell>
          <cell r="W177">
            <v>5.8798646362097218</v>
          </cell>
          <cell r="X177">
            <v>5.343587694765696</v>
          </cell>
          <cell r="Y177">
            <v>3.9442495496354431</v>
          </cell>
          <cell r="Z177">
            <v>1.2040499863177263</v>
          </cell>
          <cell r="AA177">
            <v>-4.3172600270396764</v>
          </cell>
          <cell r="AB177">
            <v>32.418610452787235</v>
          </cell>
          <cell r="AC177">
            <v>12.267343485616964</v>
          </cell>
          <cell r="AD177">
            <v>48.351616328960723</v>
          </cell>
          <cell r="AE177">
            <v>17.437074230378926</v>
          </cell>
        </row>
        <row r="178">
          <cell r="B178" t="str">
            <v>SOM</v>
          </cell>
          <cell r="C178" t="str">
            <v>GDP (constant 2015 US$)</v>
          </cell>
          <cell r="D178" t="str">
            <v>NY.GDP.MKTP.KD</v>
          </cell>
          <cell r="E178" t="str">
            <v>..</v>
          </cell>
          <cell r="F178" t="str">
            <v>..</v>
          </cell>
          <cell r="G178" t="str">
            <v>..</v>
          </cell>
          <cell r="H178" t="str">
            <v>..</v>
          </cell>
          <cell r="I178">
            <v>4316495473.4751997</v>
          </cell>
          <cell r="J178">
            <v>4640539106.8422899</v>
          </cell>
          <cell r="K178">
            <v>5331761394.2550097</v>
          </cell>
          <cell r="L178">
            <v>5779594469.9719896</v>
          </cell>
          <cell r="M178">
            <v>5929433937.2749996</v>
          </cell>
          <cell r="N178">
            <v>6384748042.2602997</v>
          </cell>
          <cell r="O178">
            <v>6900727625.8445396</v>
          </cell>
          <cell r="P178">
            <v>7069119938.5636396</v>
          </cell>
          <cell r="Q178" t="e">
            <v>#VALUE!</v>
          </cell>
          <cell r="R178" t="e">
            <v>#VALUE!</v>
          </cell>
          <cell r="S178" t="e">
            <v>#VALUE!</v>
          </cell>
          <cell r="T178" t="e">
            <v>#VALUE!</v>
          </cell>
          <cell r="U178">
            <v>7.5071000388702718</v>
          </cell>
          <cell r="V178">
            <v>14.895301418611902</v>
          </cell>
          <cell r="W178">
            <v>8.3993457809181322</v>
          </cell>
          <cell r="X178">
            <v>2.5925602234119407</v>
          </cell>
          <cell r="Y178">
            <v>7.6788798020498668</v>
          </cell>
          <cell r="Z178">
            <v>8.0814400218927851</v>
          </cell>
          <cell r="AA178">
            <v>2.4402109726579946</v>
          </cell>
          <cell r="AB178" t="e">
            <v>#VALUE!</v>
          </cell>
          <cell r="AC178">
            <v>32.585076784955895</v>
          </cell>
          <cell r="AD178" t="e">
            <v>#VALUE!</v>
          </cell>
          <cell r="AE178">
            <v>38.638040832476129</v>
          </cell>
        </row>
        <row r="179">
          <cell r="B179" t="str">
            <v>ZAF</v>
          </cell>
          <cell r="C179" t="str">
            <v>GDP (constant 2015 US$)</v>
          </cell>
          <cell r="D179" t="str">
            <v>NY.GDP.MKTP.KD</v>
          </cell>
          <cell r="E179">
            <v>302459639039.77802</v>
          </cell>
          <cell r="F179">
            <v>311653604140.26898</v>
          </cell>
          <cell r="G179">
            <v>321528523981.70203</v>
          </cell>
          <cell r="H179">
            <v>329233094599.263</v>
          </cell>
          <cell r="I179">
            <v>337416077838.151</v>
          </cell>
          <cell r="J179">
            <v>342186555600.73102</v>
          </cell>
          <cell r="K179">
            <v>346709790458.56299</v>
          </cell>
          <cell r="L179">
            <v>349013858372.625</v>
          </cell>
          <cell r="M179">
            <v>353055253707.07098</v>
          </cell>
          <cell r="N179">
            <v>358307364996.50299</v>
          </cell>
          <cell r="O179">
            <v>358712444718.33099</v>
          </cell>
          <cell r="P179">
            <v>335640150576.12201</v>
          </cell>
          <cell r="Q179">
            <v>3.0397328812793503</v>
          </cell>
          <cell r="R179">
            <v>3.1685562785882442</v>
          </cell>
          <cell r="S179">
            <v>2.3962323846575542</v>
          </cell>
          <cell r="T179">
            <v>2.4854680082657516</v>
          </cell>
          <cell r="U179">
            <v>1.4138264522380826</v>
          </cell>
          <cell r="V179">
            <v>1.3218622367822528</v>
          </cell>
          <cell r="W179">
            <v>0.66455230785799868</v>
          </cell>
          <cell r="X179">
            <v>1.1579469518173644</v>
          </cell>
          <cell r="Y179">
            <v>1.4876173727157362</v>
          </cell>
          <cell r="Z179">
            <v>0.11305369674216896</v>
          </cell>
          <cell r="AA179">
            <v>-6.4319748260548533</v>
          </cell>
          <cell r="AB179">
            <v>7.6965406840144119</v>
          </cell>
          <cell r="AC179">
            <v>-3.192768184538465</v>
          </cell>
          <cell r="AD179">
            <v>18.354669552345705</v>
          </cell>
          <cell r="AE179">
            <v>4.6140184222895675</v>
          </cell>
        </row>
        <row r="180">
          <cell r="B180" t="str">
            <v>SSD</v>
          </cell>
          <cell r="C180" t="str">
            <v>GDP (constant 2015 US$)</v>
          </cell>
          <cell r="D180" t="str">
            <v>NY.GDP.MKTP.KD</v>
          </cell>
          <cell r="E180">
            <v>21202884179.235901</v>
          </cell>
          <cell r="F180">
            <v>22367646895.0144</v>
          </cell>
          <cell r="G180">
            <v>21329717232.693802</v>
          </cell>
          <cell r="H180">
            <v>11500530835.431499</v>
          </cell>
          <cell r="I180">
            <v>13010519613.876301</v>
          </cell>
          <cell r="J180">
            <v>13449448810.7001</v>
          </cell>
          <cell r="K180">
            <v>11997800760.224199</v>
          </cell>
          <cell r="L180" t="str">
            <v>..</v>
          </cell>
          <cell r="M180" t="str">
            <v>..</v>
          </cell>
          <cell r="N180" t="str">
            <v>..</v>
          </cell>
          <cell r="O180" t="str">
            <v>..</v>
          </cell>
          <cell r="P180" t="str">
            <v>..</v>
          </cell>
          <cell r="Q180">
            <v>5.493416395299457</v>
          </cell>
          <cell r="R180">
            <v>-4.6403167360083204</v>
          </cell>
          <cell r="S180">
            <v>-46.082122374300887</v>
          </cell>
          <cell r="T180">
            <v>13.129731140694311</v>
          </cell>
          <cell r="U180">
            <v>3.3736484771573725</v>
          </cell>
          <cell r="V180">
            <v>-10.793364627113936</v>
          </cell>
          <cell r="W180" t="e">
            <v>#VALUE!</v>
          </cell>
          <cell r="X180" t="e">
            <v>#VALUE!</v>
          </cell>
          <cell r="Y180" t="e">
            <v>#VALUE!</v>
          </cell>
          <cell r="Z180" t="e">
            <v>#VALUE!</v>
          </cell>
          <cell r="AA180" t="e">
            <v>#VALUE!</v>
          </cell>
          <cell r="AB180" t="e">
            <v>#VALUE!</v>
          </cell>
          <cell r="AC180" t="e">
            <v>#VALUE!</v>
          </cell>
          <cell r="AD180" t="e">
            <v>#VALUE!</v>
          </cell>
          <cell r="AE180" t="e">
            <v>#VALUE!</v>
          </cell>
        </row>
        <row r="181">
          <cell r="B181" t="str">
            <v>ESP</v>
          </cell>
          <cell r="C181" t="str">
            <v>GDP (constant 2015 US$)</v>
          </cell>
          <cell r="D181" t="str">
            <v>NY.GDP.MKTP.KD</v>
          </cell>
          <cell r="E181">
            <v>1194723333131.55</v>
          </cell>
          <cell r="F181">
            <v>1196670854394.8</v>
          </cell>
          <cell r="G181">
            <v>1186925484611.0801</v>
          </cell>
          <cell r="H181">
            <v>1151799121598.6799</v>
          </cell>
          <cell r="I181">
            <v>1135266263129.8101</v>
          </cell>
          <cell r="J181">
            <v>1150977303115.72</v>
          </cell>
          <cell r="K181">
            <v>1195119269971.52</v>
          </cell>
          <cell r="L181">
            <v>1231346936295.0901</v>
          </cell>
          <cell r="M181">
            <v>1267962775991.1799</v>
          </cell>
          <cell r="N181">
            <v>1296983726387.29</v>
          </cell>
          <cell r="O181">
            <v>1324028319783.8999</v>
          </cell>
          <cell r="P181">
            <v>1180730237585.72</v>
          </cell>
          <cell r="Q181">
            <v>0.16301023084108127</v>
          </cell>
          <cell r="R181">
            <v>-0.81437345515100368</v>
          </cell>
          <cell r="S181">
            <v>-2.9594413017351298</v>
          </cell>
          <cell r="T181">
            <v>-1.4353942591936095</v>
          </cell>
          <cell r="U181">
            <v>1.3839079426703145</v>
          </cell>
          <cell r="V181">
            <v>3.8351726603388974</v>
          </cell>
          <cell r="W181">
            <v>3.0313013298190215</v>
          </cell>
          <cell r="X181">
            <v>2.9736411905372964</v>
          </cell>
          <cell r="Y181">
            <v>2.2887856761744541</v>
          </cell>
          <cell r="Z181">
            <v>2.0851914211708564</v>
          </cell>
          <cell r="AA181">
            <v>-10.822886493966246</v>
          </cell>
          <cell r="AB181">
            <v>-1.3320803085107165</v>
          </cell>
          <cell r="AC181">
            <v>-1.2039829619802669</v>
          </cell>
          <cell r="AD181">
            <v>8.3416080081120789</v>
          </cell>
          <cell r="AE181">
            <v>12.459426164088061</v>
          </cell>
        </row>
        <row r="182">
          <cell r="B182" t="str">
            <v>LKA</v>
          </cell>
          <cell r="C182" t="str">
            <v>GDP (constant 2015 US$)</v>
          </cell>
          <cell r="D182" t="str">
            <v>NY.GDP.MKTP.KD</v>
          </cell>
          <cell r="E182">
            <v>55343710053.339104</v>
          </cell>
          <cell r="F182">
            <v>59780043793.049599</v>
          </cell>
          <cell r="G182">
            <v>64804396873.698898</v>
          </cell>
          <cell r="H182">
            <v>70730481764.674698</v>
          </cell>
          <cell r="I182">
            <v>73132299827.342804</v>
          </cell>
          <cell r="J182">
            <v>76760174257.599701</v>
          </cell>
          <cell r="K182">
            <v>80604080688.577499</v>
          </cell>
          <cell r="L182">
            <v>84220491206.120804</v>
          </cell>
          <cell r="M182">
            <v>87234043286.147797</v>
          </cell>
          <cell r="N182">
            <v>90088341599.921295</v>
          </cell>
          <cell r="O182">
            <v>92119992734.643005</v>
          </cell>
          <cell r="P182">
            <v>88832160056.326004</v>
          </cell>
          <cell r="Q182">
            <v>8.0159673708807198</v>
          </cell>
          <cell r="R182">
            <v>8.4047330210110385</v>
          </cell>
          <cell r="S182">
            <v>9.144572246425648</v>
          </cell>
          <cell r="T182">
            <v>3.3957326498342315</v>
          </cell>
          <cell r="U182">
            <v>4.9607005916973801</v>
          </cell>
          <cell r="V182">
            <v>5.0076833047278155</v>
          </cell>
          <cell r="W182">
            <v>4.4866345309683444</v>
          </cell>
          <cell r="X182">
            <v>3.5781696792193252</v>
          </cell>
          <cell r="Y182">
            <v>3.2720004785410914</v>
          </cell>
          <cell r="Z182">
            <v>2.2551765285503773</v>
          </cell>
          <cell r="AA182">
            <v>-3.5690761372374342</v>
          </cell>
          <cell r="AB182">
            <v>48.598352259243718</v>
          </cell>
          <cell r="AC182">
            <v>10.208018375072809</v>
          </cell>
          <cell r="AD182">
            <v>62.707815402186817</v>
          </cell>
          <cell r="AE182">
            <v>17.311538778057379</v>
          </cell>
        </row>
        <row r="183">
          <cell r="B183" t="str">
            <v>KNA</v>
          </cell>
          <cell r="C183" t="str">
            <v>GDP (constant 2015 US$)</v>
          </cell>
          <cell r="D183" t="str">
            <v>NY.GDP.MKTP.KD</v>
          </cell>
          <cell r="E183">
            <v>824394044.50145197</v>
          </cell>
          <cell r="F183">
            <v>819370861.61438</v>
          </cell>
          <cell r="G183">
            <v>834352527.70206499</v>
          </cell>
          <cell r="H183">
            <v>815763050.70101404</v>
          </cell>
          <cell r="I183">
            <v>859681210.47334003</v>
          </cell>
          <cell r="J183">
            <v>913710491.60030603</v>
          </cell>
          <cell r="K183">
            <v>923155555.55555499</v>
          </cell>
          <cell r="L183">
            <v>1046810961.91189</v>
          </cell>
          <cell r="M183">
            <v>1056232251.3183</v>
          </cell>
          <cell r="N183">
            <v>1084750516.4609101</v>
          </cell>
          <cell r="O183">
            <v>1136818536.07058</v>
          </cell>
          <cell r="P183">
            <v>973116706.09979904</v>
          </cell>
          <cell r="Q183">
            <v>-0.60931819201941362</v>
          </cell>
          <cell r="R183">
            <v>1.8284353019543671</v>
          </cell>
          <cell r="S183">
            <v>-2.2280123070099909</v>
          </cell>
          <cell r="T183">
            <v>5.383690734041652</v>
          </cell>
          <cell r="U183">
            <v>6.284804235423211</v>
          </cell>
          <cell r="V183">
            <v>1.0337042249242998</v>
          </cell>
          <cell r="W183">
            <v>13.394861311528286</v>
          </cell>
          <cell r="X183">
            <v>0.89999911628771878</v>
          </cell>
          <cell r="Y183">
            <v>2.6999994657440141</v>
          </cell>
          <cell r="Z183">
            <v>4.7999995224290117</v>
          </cell>
          <cell r="AA183">
            <v>-14.39999654972352</v>
          </cell>
          <cell r="AB183">
            <v>18.76388967292522</v>
          </cell>
          <cell r="AC183">
            <v>5.4119969536637225</v>
          </cell>
          <cell r="AD183">
            <v>31.225553227690071</v>
          </cell>
          <cell r="AE183">
            <v>18.398076373012671</v>
          </cell>
        </row>
        <row r="184">
          <cell r="B184" t="str">
            <v>LCA</v>
          </cell>
          <cell r="C184" t="str">
            <v>GDP (constant 2015 US$)</v>
          </cell>
          <cell r="D184" t="str">
            <v>NY.GDP.MKTP.KD</v>
          </cell>
          <cell r="E184">
            <v>1739319690.4217501</v>
          </cell>
          <cell r="F184">
            <v>1767215984.6912501</v>
          </cell>
          <cell r="G184">
            <v>1864119706.28248</v>
          </cell>
          <cell r="H184">
            <v>1860394230.6056499</v>
          </cell>
          <cell r="I184">
            <v>1801338292.79477</v>
          </cell>
          <cell r="J184">
            <v>1833017815.1150899</v>
          </cell>
          <cell r="K184">
            <v>1808079888.88889</v>
          </cell>
          <cell r="L184">
            <v>1874008180.1837499</v>
          </cell>
          <cell r="M184">
            <v>1939631311.22841</v>
          </cell>
          <cell r="N184">
            <v>1996393087.0034399</v>
          </cell>
          <cell r="O184">
            <v>1995116519.6491499</v>
          </cell>
          <cell r="P184">
            <v>1588638626.64639</v>
          </cell>
          <cell r="Q184">
            <v>1.6038623849958098</v>
          </cell>
          <cell r="R184">
            <v>5.48341133345735</v>
          </cell>
          <cell r="S184">
            <v>-0.19985174043675455</v>
          </cell>
          <cell r="T184">
            <v>-3.1743776044529195</v>
          </cell>
          <cell r="U184">
            <v>1.7586659011822385</v>
          </cell>
          <cell r="V184">
            <v>-1.3604846619908102</v>
          </cell>
          <cell r="W184">
            <v>3.6463151711385091</v>
          </cell>
          <cell r="X184">
            <v>3.5017526464706052</v>
          </cell>
          <cell r="Y184">
            <v>2.9264208845484894</v>
          </cell>
          <cell r="Z184">
            <v>-6.3943687373017283E-2</v>
          </cell>
          <cell r="AA184">
            <v>-20.373641789815906</v>
          </cell>
          <cell r="AB184">
            <v>-10.105010343490036</v>
          </cell>
          <cell r="AC184">
            <v>-12.136701679556436</v>
          </cell>
          <cell r="AD184">
            <v>14.113567288466133</v>
          </cell>
          <cell r="AE184">
            <v>8.2804394438656495</v>
          </cell>
        </row>
        <row r="185">
          <cell r="B185" t="str">
            <v>MAF</v>
          </cell>
          <cell r="C185" t="str">
            <v>GDP (constant 2015 US$)</v>
          </cell>
          <cell r="D185" t="str">
            <v>NY.GDP.MKTP.KD</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e">
            <v>#VALUE!</v>
          </cell>
          <cell r="R185" t="e">
            <v>#VALUE!</v>
          </cell>
          <cell r="S185" t="e">
            <v>#VALUE!</v>
          </cell>
          <cell r="T185" t="e">
            <v>#VALUE!</v>
          </cell>
          <cell r="U185" t="e">
            <v>#VALUE!</v>
          </cell>
          <cell r="V185" t="e">
            <v>#VALUE!</v>
          </cell>
          <cell r="W185" t="e">
            <v>#VALUE!</v>
          </cell>
          <cell r="X185" t="e">
            <v>#VALUE!</v>
          </cell>
          <cell r="Y185" t="e">
            <v>#VALUE!</v>
          </cell>
          <cell r="Z185" t="e">
            <v>#VALUE!</v>
          </cell>
          <cell r="AA185" t="e">
            <v>#VALUE!</v>
          </cell>
          <cell r="AB185" t="e">
            <v>#VALUE!</v>
          </cell>
          <cell r="AC185" t="e">
            <v>#VALUE!</v>
          </cell>
          <cell r="AD185" t="e">
            <v>#VALUE!</v>
          </cell>
          <cell r="AE185" t="e">
            <v>#VALUE!</v>
          </cell>
        </row>
        <row r="186">
          <cell r="B186" t="str">
            <v>VCT</v>
          </cell>
          <cell r="C186" t="str">
            <v>GDP (constant 2015 US$)</v>
          </cell>
          <cell r="D186" t="str">
            <v>NY.GDP.MKTP.KD</v>
          </cell>
          <cell r="E186">
            <v>741281068.53438306</v>
          </cell>
          <cell r="F186">
            <v>716440669.136374</v>
          </cell>
          <cell r="G186">
            <v>713423616.57791197</v>
          </cell>
          <cell r="H186">
            <v>723261831.44246399</v>
          </cell>
          <cell r="I186">
            <v>736554352.85945797</v>
          </cell>
          <cell r="J186">
            <v>745474334.33665204</v>
          </cell>
          <cell r="K186">
            <v>755400000</v>
          </cell>
          <cell r="L186">
            <v>769741931.00254703</v>
          </cell>
          <cell r="M186">
            <v>777437601.29659605</v>
          </cell>
          <cell r="N186">
            <v>794228154.66543198</v>
          </cell>
          <cell r="O186">
            <v>798469518.40703905</v>
          </cell>
          <cell r="P186">
            <v>772496631.164621</v>
          </cell>
          <cell r="Q186">
            <v>-3.3510095498758692</v>
          </cell>
          <cell r="R186">
            <v>-0.42111687519064184</v>
          </cell>
          <cell r="S186">
            <v>1.3790144643294975</v>
          </cell>
          <cell r="T186">
            <v>1.83785744513623</v>
          </cell>
          <cell r="U186">
            <v>1.2110418521816941</v>
          </cell>
          <cell r="V186">
            <v>1.3314563904041241</v>
          </cell>
          <cell r="W186">
            <v>1.8985876360268765</v>
          </cell>
          <cell r="X186">
            <v>0.999772778913815</v>
          </cell>
          <cell r="Y186">
            <v>2.1597300337458534</v>
          </cell>
          <cell r="Z186">
            <v>0.53402334287604569</v>
          </cell>
          <cell r="AA186">
            <v>-3.2528339083293281</v>
          </cell>
          <cell r="AB186">
            <v>7.824229478181226</v>
          </cell>
          <cell r="AC186">
            <v>2.2632553831904945</v>
          </cell>
          <cell r="AD186">
            <v>7.0806699848519283</v>
          </cell>
          <cell r="AE186">
            <v>6.4783451416619453</v>
          </cell>
        </row>
        <row r="187">
          <cell r="B187" t="str">
            <v>SDN</v>
          </cell>
          <cell r="C187" t="str">
            <v>GDP (constant 2015 US$)</v>
          </cell>
          <cell r="D187" t="str">
            <v>NY.GDP.MKTP.KD</v>
          </cell>
          <cell r="E187">
            <v>57015500648.426003</v>
          </cell>
          <cell r="F187">
            <v>59215296613.758102</v>
          </cell>
          <cell r="G187">
            <v>57312394053.386002</v>
          </cell>
          <cell r="H187">
            <v>47566600027.222397</v>
          </cell>
          <cell r="I187">
            <v>48496595854.766701</v>
          </cell>
          <cell r="J187">
            <v>50757206252.6521</v>
          </cell>
          <cell r="K187">
            <v>51726758676.7677</v>
          </cell>
          <cell r="L187">
            <v>53520457581.107201</v>
          </cell>
          <cell r="M187">
            <v>53900054790.136902</v>
          </cell>
          <cell r="N187">
            <v>52455031754.909302</v>
          </cell>
          <cell r="O187">
            <v>51312429477.395103</v>
          </cell>
          <cell r="P187">
            <v>49449888025.3069</v>
          </cell>
          <cell r="Q187">
            <v>3.8582419523011389</v>
          </cell>
          <cell r="R187">
            <v>-3.213532092533637</v>
          </cell>
          <cell r="S187">
            <v>-17.004688404894551</v>
          </cell>
          <cell r="T187">
            <v>1.9551446330241529</v>
          </cell>
          <cell r="U187">
            <v>4.661379542298751</v>
          </cell>
          <cell r="V187">
            <v>1.91017689052762</v>
          </cell>
          <cell r="W187">
            <v>3.4676421840928411</v>
          </cell>
          <cell r="X187">
            <v>0.70925628476633129</v>
          </cell>
          <cell r="Y187">
            <v>-2.6809305497997804</v>
          </cell>
          <cell r="Z187">
            <v>-2.1782510453008377</v>
          </cell>
          <cell r="AA187">
            <v>-3.6298056261567528</v>
          </cell>
          <cell r="AB187">
            <v>-16.491361433427834</v>
          </cell>
          <cell r="AC187">
            <v>-4.4017269005556736</v>
          </cell>
          <cell r="AD187">
            <v>-7.8534496965488865</v>
          </cell>
          <cell r="AE187">
            <v>3.5080944452517526</v>
          </cell>
        </row>
        <row r="188">
          <cell r="B188" t="str">
            <v>SUR</v>
          </cell>
          <cell r="C188" t="str">
            <v>GDP (constant 2015 US$)</v>
          </cell>
          <cell r="D188" t="str">
            <v>NY.GDP.MKTP.KD</v>
          </cell>
          <cell r="E188">
            <v>4498900810.7237997</v>
          </cell>
          <cell r="F188">
            <v>4731441127.4036398</v>
          </cell>
          <cell r="G188">
            <v>5008200515.11693</v>
          </cell>
          <cell r="H188">
            <v>5142938624.9890203</v>
          </cell>
          <cell r="I188">
            <v>5293803728.7441101</v>
          </cell>
          <cell r="J188">
            <v>5307329557.7604103</v>
          </cell>
          <cell r="K188">
            <v>5126291450.8151102</v>
          </cell>
          <cell r="L188">
            <v>4874293909.3277102</v>
          </cell>
          <cell r="M188">
            <v>4950683407.9667501</v>
          </cell>
          <cell r="N188">
            <v>5195656627.7402201</v>
          </cell>
          <cell r="O188">
            <v>5252729241.6659403</v>
          </cell>
          <cell r="P188">
            <v>4417127637.7791405</v>
          </cell>
          <cell r="Q188">
            <v>5.168825152258206</v>
          </cell>
          <cell r="R188">
            <v>5.8493676717300902</v>
          </cell>
          <cell r="S188">
            <v>2.6903497466882973</v>
          </cell>
          <cell r="T188">
            <v>2.9334416518612807</v>
          </cell>
          <cell r="U188">
            <v>0.25550303164543348</v>
          </cell>
          <cell r="V188">
            <v>-3.4110960130709254</v>
          </cell>
          <cell r="W188">
            <v>-4.9157864687410813</v>
          </cell>
          <cell r="X188">
            <v>1.5671910652096082</v>
          </cell>
          <cell r="Y188">
            <v>4.948270765592758</v>
          </cell>
          <cell r="Z188">
            <v>1.0984677782785497</v>
          </cell>
          <cell r="AA188">
            <v>-15.907951189614009</v>
          </cell>
          <cell r="AB188">
            <v>-6.6430814874574518</v>
          </cell>
          <cell r="AC188">
            <v>-13.833856694262058</v>
          </cell>
          <cell r="AD188">
            <v>14.671327533743138</v>
          </cell>
          <cell r="AE188">
            <v>-2.7957614476782355</v>
          </cell>
        </row>
        <row r="189">
          <cell r="B189" t="str">
            <v>SWE</v>
          </cell>
          <cell r="C189" t="str">
            <v>GDP (constant 2015 US$)</v>
          </cell>
          <cell r="D189" t="str">
            <v>NY.GDP.MKTP.KD</v>
          </cell>
          <cell r="E189">
            <v>428135998219.29102</v>
          </cell>
          <cell r="F189">
            <v>453619110971.17102</v>
          </cell>
          <cell r="G189">
            <v>468113753183.84302</v>
          </cell>
          <cell r="H189">
            <v>465359818585.78802</v>
          </cell>
          <cell r="I189">
            <v>470887249502.53497</v>
          </cell>
          <cell r="J189">
            <v>483402482698.49799</v>
          </cell>
          <cell r="K189">
            <v>505103781349.75702</v>
          </cell>
          <cell r="L189">
            <v>515562425649.40698</v>
          </cell>
          <cell r="M189">
            <v>528801679620.70801</v>
          </cell>
          <cell r="N189">
            <v>539113433181.75702</v>
          </cell>
          <cell r="O189">
            <v>549821281946.73499</v>
          </cell>
          <cell r="P189">
            <v>533611847447.42798</v>
          </cell>
          <cell r="Q189">
            <v>5.9521070075559424</v>
          </cell>
          <cell r="R189">
            <v>3.1953332348894756</v>
          </cell>
          <cell r="S189">
            <v>-0.58830456899082728</v>
          </cell>
          <cell r="T189">
            <v>1.1877757159061593</v>
          </cell>
          <cell r="U189">
            <v>2.6577982753163587</v>
          </cell>
          <cell r="V189">
            <v>4.4892815879049399</v>
          </cell>
          <cell r="W189">
            <v>2.0705931505208666</v>
          </cell>
          <cell r="X189">
            <v>2.567924525264762</v>
          </cell>
          <cell r="Y189">
            <v>1.950022845699978</v>
          </cell>
          <cell r="Z189">
            <v>1.9861958738037817</v>
          </cell>
          <cell r="AA189">
            <v>-2.9481278792837502</v>
          </cell>
          <cell r="AB189">
            <v>17.634340031441216</v>
          </cell>
          <cell r="AC189">
            <v>5.6440017181203137</v>
          </cell>
          <cell r="AD189">
            <v>25.896492062615017</v>
          </cell>
          <cell r="AE189">
            <v>11.502986084482124</v>
          </cell>
        </row>
        <row r="190">
          <cell r="B190" t="str">
            <v>CHE</v>
          </cell>
          <cell r="C190" t="str">
            <v>GDP (constant 2015 US$)</v>
          </cell>
          <cell r="D190" t="str">
            <v>NY.GDP.MKTP.KD</v>
          </cell>
          <cell r="E190">
            <v>621539124455.34705</v>
          </cell>
          <cell r="F190">
            <v>641851654874.58997</v>
          </cell>
          <cell r="G190">
            <v>654178069212.448</v>
          </cell>
          <cell r="H190">
            <v>662140683175.34595</v>
          </cell>
          <cell r="I190">
            <v>674202686730.70605</v>
          </cell>
          <cell r="J190">
            <v>690699382518.56104</v>
          </cell>
          <cell r="K190">
            <v>702149580770.901</v>
          </cell>
          <cell r="L190">
            <v>716509848990.83606</v>
          </cell>
          <cell r="M190">
            <v>727865237631.49194</v>
          </cell>
          <cell r="N190">
            <v>749096375856.47205</v>
          </cell>
          <cell r="O190">
            <v>758167874591.90906</v>
          </cell>
          <cell r="P190">
            <v>740026236249.64795</v>
          </cell>
          <cell r="Q190">
            <v>3.2681016560369764</v>
          </cell>
          <cell r="R190">
            <v>1.9204459853369802</v>
          </cell>
          <cell r="S190">
            <v>1.2171936568408632</v>
          </cell>
          <cell r="T190">
            <v>1.8216677908259395</v>
          </cell>
          <cell r="U190">
            <v>2.4468451568844292</v>
          </cell>
          <cell r="V190">
            <v>1.6577687112717616</v>
          </cell>
          <cell r="W190">
            <v>2.0451864692660924</v>
          </cell>
          <cell r="X190">
            <v>1.5848196164573749</v>
          </cell>
          <cell r="Y190">
            <v>2.9169050982661617</v>
          </cell>
          <cell r="Z190">
            <v>1.2109922071195716</v>
          </cell>
          <cell r="AA190">
            <v>-2.3928260415974516</v>
          </cell>
          <cell r="AB190">
            <v>15.295525162156059</v>
          </cell>
          <cell r="AC190">
            <v>5.3943855434851331</v>
          </cell>
          <cell r="AD190">
            <v>20.481443160020653</v>
          </cell>
          <cell r="AE190">
            <v>8.4175439997350665</v>
          </cell>
        </row>
        <row r="191">
          <cell r="B191" t="str">
            <v>SYR</v>
          </cell>
          <cell r="C191" t="str">
            <v>GDP (constant 2015 US$)</v>
          </cell>
          <cell r="D191" t="str">
            <v>NY.GDP.MKTP.KD</v>
          </cell>
          <cell r="E191">
            <v>32337714239.503899</v>
          </cell>
          <cell r="F191">
            <v>34016657913.8708</v>
          </cell>
          <cell r="G191">
            <v>34986133631.706902</v>
          </cell>
          <cell r="H191">
            <v>25771129919.780899</v>
          </cell>
          <cell r="I191">
            <v>18993300159.517899</v>
          </cell>
          <cell r="J191">
            <v>17035026353.124901</v>
          </cell>
          <cell r="K191">
            <v>16492072144.2125</v>
          </cell>
          <cell r="L191">
            <v>15563496238.983999</v>
          </cell>
          <cell r="M191">
            <v>15450273870.118601</v>
          </cell>
          <cell r="N191">
            <v>15678283832.2679</v>
          </cell>
          <cell r="O191">
            <v>16265870694.9063</v>
          </cell>
          <cell r="P191" t="str">
            <v>..</v>
          </cell>
          <cell r="Q191">
            <v>5.1919058407532592</v>
          </cell>
          <cell r="R191">
            <v>2.850002843579714</v>
          </cell>
          <cell r="S191">
            <v>-26.339017077253473</v>
          </cell>
          <cell r="T191">
            <v>-26.30008766150609</v>
          </cell>
          <cell r="U191">
            <v>-10.310339909052983</v>
          </cell>
          <cell r="V191">
            <v>-3.1872812971187554</v>
          </cell>
          <cell r="W191">
            <v>-5.6304380499230469</v>
          </cell>
          <cell r="X191">
            <v>-0.72748672359231847</v>
          </cell>
          <cell r="Y191">
            <v>1.475766475507462</v>
          </cell>
          <cell r="Z191">
            <v>3.747775387437946</v>
          </cell>
          <cell r="AA191" t="e">
            <v>#VALUE!</v>
          </cell>
          <cell r="AB191" t="e">
            <v>#VALUE!</v>
          </cell>
          <cell r="AC191" t="e">
            <v>#VALUE!</v>
          </cell>
          <cell r="AD191" t="e">
            <v>#VALUE!</v>
          </cell>
          <cell r="AE191" t="e">
            <v>#VALUE!</v>
          </cell>
        </row>
        <row r="192">
          <cell r="B192" t="str">
            <v>TJK</v>
          </cell>
          <cell r="C192" t="str">
            <v>GDP (constant 2015 US$)</v>
          </cell>
          <cell r="D192" t="str">
            <v>NY.GDP.MKTP.KD</v>
          </cell>
          <cell r="E192">
            <v>5537898095.3341904</v>
          </cell>
          <cell r="F192">
            <v>5897861420.9063396</v>
          </cell>
          <cell r="G192">
            <v>6334303201.4150496</v>
          </cell>
          <cell r="H192">
            <v>6809375907.5195999</v>
          </cell>
          <cell r="I192">
            <v>7313269707.4485903</v>
          </cell>
          <cell r="J192">
            <v>7803258828.3210897</v>
          </cell>
          <cell r="K192">
            <v>8271454300.59548</v>
          </cell>
          <cell r="L192">
            <v>8842184615.9039993</v>
          </cell>
          <cell r="M192">
            <v>9469979847.7011509</v>
          </cell>
          <cell r="N192">
            <v>10189698258.097099</v>
          </cell>
          <cell r="O192">
            <v>10943735892.3235</v>
          </cell>
          <cell r="P192">
            <v>11436203954.5867</v>
          </cell>
          <cell r="Q192">
            <v>6.4999990858522096</v>
          </cell>
          <cell r="R192">
            <v>7.4000005995671696</v>
          </cell>
          <cell r="S192">
            <v>7.4999994632151745</v>
          </cell>
          <cell r="T192">
            <v>7.3999997470038323</v>
          </cell>
          <cell r="U192">
            <v>6.7000006901624847</v>
          </cell>
          <cell r="V192">
            <v>5.9999992640911133</v>
          </cell>
          <cell r="W192">
            <v>6.8999996199873976</v>
          </cell>
          <cell r="X192">
            <v>7.1000014031370418</v>
          </cell>
          <cell r="Y192">
            <v>7.5999993872284843</v>
          </cell>
          <cell r="Z192">
            <v>7.3999996381366353</v>
          </cell>
          <cell r="AA192">
            <v>4.4999995166974314</v>
          </cell>
          <cell r="AB192">
            <v>93.904250005746476</v>
          </cell>
          <cell r="AC192">
            <v>38.261103053708261</v>
          </cell>
          <cell r="AD192">
            <v>85.589211427394446</v>
          </cell>
          <cell r="AE192">
            <v>31.710886834631967</v>
          </cell>
        </row>
        <row r="193">
          <cell r="B193" t="str">
            <v>TZA</v>
          </cell>
          <cell r="C193" t="str">
            <v>GDP (constant 2015 US$)</v>
          </cell>
          <cell r="D193" t="str">
            <v>NY.GDP.MKTP.KD</v>
          </cell>
          <cell r="E193">
            <v>32728269832.595501</v>
          </cell>
          <cell r="F193">
            <v>34802104317.945099</v>
          </cell>
          <cell r="G193">
            <v>37472175855.8666</v>
          </cell>
          <cell r="H193">
            <v>39158481311.586899</v>
          </cell>
          <cell r="I193">
            <v>41814047241.647903</v>
          </cell>
          <cell r="J193">
            <v>44629162027.795197</v>
          </cell>
          <cell r="K193">
            <v>47378599025.304398</v>
          </cell>
          <cell r="L193">
            <v>50632142472.620102</v>
          </cell>
          <cell r="M193">
            <v>54067877695.703102</v>
          </cell>
          <cell r="N193">
            <v>57011856118.715302</v>
          </cell>
          <cell r="O193">
            <v>60318543760.544502</v>
          </cell>
          <cell r="P193">
            <v>61522709091.988998</v>
          </cell>
          <cell r="Q193">
            <v>6.3365234274748508</v>
          </cell>
          <cell r="R193">
            <v>7.6721554349939849</v>
          </cell>
          <cell r="S193">
            <v>4.5001535598213547</v>
          </cell>
          <cell r="T193">
            <v>6.7815856006530799</v>
          </cell>
          <cell r="U193">
            <v>6.7324618683248723</v>
          </cell>
          <cell r="V193">
            <v>6.1606287740667014</v>
          </cell>
          <cell r="W193">
            <v>6.8671161964456191</v>
          </cell>
          <cell r="X193">
            <v>6.7856801140518836</v>
          </cell>
          <cell r="Y193">
            <v>5.444967600875823</v>
          </cell>
          <cell r="Z193">
            <v>5.799999977098997</v>
          </cell>
          <cell r="AA193">
            <v>1.9963435062770256</v>
          </cell>
          <cell r="AB193">
            <v>76.778704327559538</v>
          </cell>
          <cell r="AC193">
            <v>29.853373374612417</v>
          </cell>
          <cell r="AD193">
            <v>74.909299675548652</v>
          </cell>
          <cell r="AE193">
            <v>28.267672882731688</v>
          </cell>
        </row>
        <row r="194">
          <cell r="B194" t="str">
            <v>THA</v>
          </cell>
          <cell r="C194" t="str">
            <v>GDP (constant 2015 US$)</v>
          </cell>
          <cell r="D194" t="str">
            <v>NY.GDP.MKTP.KD</v>
          </cell>
          <cell r="E194">
            <v>322720833701.39301</v>
          </cell>
          <cell r="F194">
            <v>346968110267.49402</v>
          </cell>
          <cell r="G194">
            <v>349883100679.815</v>
          </cell>
          <cell r="H194">
            <v>375224420609.02899</v>
          </cell>
          <cell r="I194">
            <v>385308560264.96002</v>
          </cell>
          <cell r="J194">
            <v>389101803069.62903</v>
          </cell>
          <cell r="K194">
            <v>401296437424.995</v>
          </cell>
          <cell r="L194">
            <v>415081602962.93201</v>
          </cell>
          <cell r="M194">
            <v>432422388357.651</v>
          </cell>
          <cell r="N194">
            <v>450539094020.30103</v>
          </cell>
          <cell r="O194">
            <v>460750263751.60101</v>
          </cell>
          <cell r="P194">
            <v>432649179610.32599</v>
          </cell>
          <cell r="Q194">
            <v>7.5133905326163486</v>
          </cell>
          <cell r="R194">
            <v>0.84013208305330456</v>
          </cell>
          <cell r="S194">
            <v>7.2427962024963124</v>
          </cell>
          <cell r="T194">
            <v>2.6874955632054554</v>
          </cell>
          <cell r="U194">
            <v>0.9844688636194735</v>
          </cell>
          <cell r="V194">
            <v>3.134047249116386</v>
          </cell>
          <cell r="W194">
            <v>3.4351577169218084</v>
          </cell>
          <cell r="X194">
            <v>4.1776810320999882</v>
          </cell>
          <cell r="Y194">
            <v>4.1895854956672434</v>
          </cell>
          <cell r="Z194">
            <v>2.2664336717558808</v>
          </cell>
          <cell r="AA194">
            <v>-6.0989838426711875</v>
          </cell>
          <cell r="AB194">
            <v>24.69422024888005</v>
          </cell>
          <cell r="AC194">
            <v>7.8128633253045088</v>
          </cell>
          <cell r="AD194">
            <v>39.383539144202608</v>
          </cell>
          <cell r="AE194">
            <v>15.604635090365736</v>
          </cell>
        </row>
        <row r="195">
          <cell r="B195" t="str">
            <v>TLS</v>
          </cell>
          <cell r="C195" t="str">
            <v>GDP (constant 2015 US$)</v>
          </cell>
          <cell r="D195" t="str">
            <v>NY.GDP.MKTP.KD</v>
          </cell>
          <cell r="E195">
            <v>1185864625.6236501</v>
          </cell>
          <cell r="F195">
            <v>1296499018.6847601</v>
          </cell>
          <cell r="G195">
            <v>1373719113.8415899</v>
          </cell>
          <cell r="H195">
            <v>1440390709.6600101</v>
          </cell>
          <cell r="I195">
            <v>1484585706.88814</v>
          </cell>
          <cell r="J195">
            <v>1551570802.6868899</v>
          </cell>
          <cell r="K195">
            <v>1594410900</v>
          </cell>
          <cell r="L195">
            <v>1648386596.6146901</v>
          </cell>
          <cell r="M195">
            <v>1597762999.7897601</v>
          </cell>
          <cell r="N195">
            <v>1586777700.47875</v>
          </cell>
          <cell r="O195">
            <v>1896767581.0364599</v>
          </cell>
          <cell r="P195">
            <v>2093497568.6977401</v>
          </cell>
          <cell r="Q195">
            <v>9.3294285595986164</v>
          </cell>
          <cell r="R195">
            <v>5.956047327761663</v>
          </cell>
          <cell r="S195">
            <v>4.8533645012752142</v>
          </cell>
          <cell r="T195">
            <v>3.0682645293207735</v>
          </cell>
          <cell r="U195">
            <v>4.5120396544271113</v>
          </cell>
          <cell r="V195">
            <v>2.7610791102103081</v>
          </cell>
          <cell r="W195">
            <v>3.3853065489385492</v>
          </cell>
          <cell r="X195">
            <v>-3.0710997607537092</v>
          </cell>
          <cell r="Y195">
            <v>-0.68754247735462715</v>
          </cell>
          <cell r="Z195">
            <v>19.535810243878661</v>
          </cell>
          <cell r="AA195">
            <v>10.371855235620382</v>
          </cell>
          <cell r="AB195">
            <v>61.473131759212528</v>
          </cell>
          <cell r="AC195">
            <v>31.30226146206979</v>
          </cell>
          <cell r="AD195">
            <v>33.511838764065047</v>
          </cell>
          <cell r="AE195">
            <v>2.0430175781181337</v>
          </cell>
        </row>
        <row r="196">
          <cell r="B196" t="str">
            <v>TGO</v>
          </cell>
          <cell r="C196" t="str">
            <v>GDP (constant 2015 US$)</v>
          </cell>
          <cell r="D196" t="str">
            <v>NY.GDP.MKTP.KD</v>
          </cell>
          <cell r="E196">
            <v>2924793933.75664</v>
          </cell>
          <cell r="F196">
            <v>3103184695.7506399</v>
          </cell>
          <cell r="G196">
            <v>3301732629.5690298</v>
          </cell>
          <cell r="H196">
            <v>3517781736.27245</v>
          </cell>
          <cell r="I196">
            <v>3732800624.6810999</v>
          </cell>
          <cell r="J196">
            <v>3953804391.9274402</v>
          </cell>
          <cell r="K196">
            <v>4180866177.0394602</v>
          </cell>
          <cell r="L196">
            <v>4413283843.4716997</v>
          </cell>
          <cell r="M196">
            <v>4605162314.0241299</v>
          </cell>
          <cell r="N196">
            <v>4834325004.35888</v>
          </cell>
          <cell r="O196">
            <v>5098275352.1552</v>
          </cell>
          <cell r="P196">
            <v>5187639195.4238997</v>
          </cell>
          <cell r="Q196">
            <v>6.099259162674505</v>
          </cell>
          <cell r="R196">
            <v>6.3981990530654658</v>
          </cell>
          <cell r="S196">
            <v>6.5435070292660473</v>
          </cell>
          <cell r="T196">
            <v>6.1123430766483704</v>
          </cell>
          <cell r="U196">
            <v>5.9205885732303489</v>
          </cell>
          <cell r="V196">
            <v>5.7428684528657135</v>
          </cell>
          <cell r="W196">
            <v>5.5590793053514638</v>
          </cell>
          <cell r="X196">
            <v>4.3477482382254706</v>
          </cell>
          <cell r="Y196">
            <v>4.9762130997398204</v>
          </cell>
          <cell r="Z196">
            <v>5.4599214483579104</v>
          </cell>
          <cell r="AA196">
            <v>1.7528249671905767</v>
          </cell>
          <cell r="AB196">
            <v>67.171461064744776</v>
          </cell>
          <cell r="AC196">
            <v>24.080488964546383</v>
          </cell>
          <cell r="AD196">
            <v>65.860342753249014</v>
          </cell>
          <cell r="AE196">
            <v>22.693809872322703</v>
          </cell>
        </row>
        <row r="197">
          <cell r="B197" t="str">
            <v>TON</v>
          </cell>
          <cell r="C197" t="str">
            <v>GDP (constant 2015 US$)</v>
          </cell>
          <cell r="D197" t="str">
            <v>NY.GDP.MKTP.KD</v>
          </cell>
          <cell r="E197">
            <v>388787745.789828</v>
          </cell>
          <cell r="F197">
            <v>391911617.15810502</v>
          </cell>
          <cell r="G197">
            <v>418633233.45821398</v>
          </cell>
          <cell r="H197">
            <v>422079014.98111302</v>
          </cell>
          <cell r="I197">
            <v>423397201.12837201</v>
          </cell>
          <cell r="J197">
            <v>431944322.37683702</v>
          </cell>
          <cell r="K197">
            <v>437006227.162781</v>
          </cell>
          <cell r="L197">
            <v>465721908.53937399</v>
          </cell>
          <cell r="M197">
            <v>481195204.79503298</v>
          </cell>
          <cell r="N197">
            <v>482638835.66030198</v>
          </cell>
          <cell r="O197">
            <v>486181549.58874899</v>
          </cell>
          <cell r="P197">
            <v>489364573.36646098</v>
          </cell>
          <cell r="Q197">
            <v>0.8034901825238403</v>
          </cell>
          <cell r="R197">
            <v>6.8182761444728834</v>
          </cell>
          <cell r="S197">
            <v>0.8231027179649304</v>
          </cell>
          <cell r="T197">
            <v>0.31230790929465718</v>
          </cell>
          <cell r="U197">
            <v>2.0187004603919321</v>
          </cell>
          <cell r="V197">
            <v>1.1718882558960635</v>
          </cell>
          <cell r="W197">
            <v>6.5710005010744741</v>
          </cell>
          <cell r="X197">
            <v>3.3224325443884095</v>
          </cell>
          <cell r="Y197">
            <v>0.30000940385179559</v>
          </cell>
          <cell r="Z197">
            <v>0.73403001720742045</v>
          </cell>
          <cell r="AA197">
            <v>0.65469859570040079</v>
          </cell>
          <cell r="AB197">
            <v>24.866054472950591</v>
          </cell>
          <cell r="AC197">
            <v>11.9811441918371</v>
          </cell>
          <cell r="AD197">
            <v>24.144590043856606</v>
          </cell>
          <cell r="AE197">
            <v>11.741011085787999</v>
          </cell>
        </row>
        <row r="198">
          <cell r="B198" t="str">
            <v>TTO</v>
          </cell>
          <cell r="C198" t="str">
            <v>GDP (constant 2015 US$)</v>
          </cell>
          <cell r="D198" t="str">
            <v>NY.GDP.MKTP.KD</v>
          </cell>
          <cell r="E198">
            <v>23273087990.931801</v>
          </cell>
          <cell r="F198">
            <v>24046505001.890202</v>
          </cell>
          <cell r="G198">
            <v>23975723054.196201</v>
          </cell>
          <cell r="H198">
            <v>24280206193.2841</v>
          </cell>
          <cell r="I198">
            <v>24821430152.083801</v>
          </cell>
          <cell r="J198">
            <v>24594923440.044701</v>
          </cell>
          <cell r="K198">
            <v>24959858249.443298</v>
          </cell>
          <cell r="L198">
            <v>23561652382.530201</v>
          </cell>
          <cell r="M198">
            <v>22857785669.780701</v>
          </cell>
          <cell r="N198">
            <v>22872883185.693501</v>
          </cell>
          <cell r="O198">
            <v>22587789317.243401</v>
          </cell>
          <cell r="P198">
            <v>20813757908.578899</v>
          </cell>
          <cell r="Q198">
            <v>3.3232247102737609</v>
          </cell>
          <cell r="R198">
            <v>-0.2943544090437939</v>
          </cell>
          <cell r="S198">
            <v>1.2699643652023582</v>
          </cell>
          <cell r="T198">
            <v>2.2290748047658839</v>
          </cell>
          <cell r="U198">
            <v>-0.91254496880827407</v>
          </cell>
          <cell r="V198">
            <v>1.4837810342780822</v>
          </cell>
          <cell r="W198">
            <v>-5.6018181391085538</v>
          </cell>
          <cell r="X198">
            <v>-2.9873401972069775</v>
          </cell>
          <cell r="Y198">
            <v>6.6049774597193869E-2</v>
          </cell>
          <cell r="Z198">
            <v>-1.2464273355289992</v>
          </cell>
          <cell r="AA198">
            <v>-7.8539399484756789</v>
          </cell>
          <cell r="AB198">
            <v>-13.443729527668111</v>
          </cell>
          <cell r="AC198">
            <v>-16.61107326583825</v>
          </cell>
          <cell r="AD198">
            <v>-1.7254433759866239</v>
          </cell>
          <cell r="AE198">
            <v>-7.0071346570405808</v>
          </cell>
        </row>
        <row r="199">
          <cell r="B199" t="str">
            <v>TUN</v>
          </cell>
          <cell r="C199" t="str">
            <v>GDP (constant 2015 US$)</v>
          </cell>
          <cell r="D199" t="str">
            <v>NY.GDP.MKTP.KD</v>
          </cell>
          <cell r="E199">
            <v>40848591671.199997</v>
          </cell>
          <cell r="F199">
            <v>42282852743.284302</v>
          </cell>
          <cell r="G199">
            <v>41579186123.129402</v>
          </cell>
          <cell r="H199">
            <v>43206294380.311302</v>
          </cell>
          <cell r="I199">
            <v>44132233102.351097</v>
          </cell>
          <cell r="J199">
            <v>45326719904.046303</v>
          </cell>
          <cell r="K199">
            <v>45780069046.658997</v>
          </cell>
          <cell r="L199">
            <v>46291627375.474098</v>
          </cell>
          <cell r="M199">
            <v>47330504525.095299</v>
          </cell>
          <cell r="N199">
            <v>48518929510.400398</v>
          </cell>
          <cell r="O199">
            <v>49199153585.804703</v>
          </cell>
          <cell r="P199">
            <v>44681503990.462303</v>
          </cell>
          <cell r="Q199">
            <v>3.5111640656525256</v>
          </cell>
          <cell r="R199">
            <v>-1.6641890849397847</v>
          </cell>
          <cell r="S199">
            <v>3.9132758692378125</v>
          </cell>
          <cell r="T199">
            <v>2.1430644199418696</v>
          </cell>
          <cell r="U199">
            <v>2.7066085664076009</v>
          </cell>
          <cell r="V199">
            <v>1.0001807842535357</v>
          </cell>
          <cell r="W199">
            <v>1.1174258568586297</v>
          </cell>
          <cell r="X199">
            <v>2.2442009679089638</v>
          </cell>
          <cell r="Y199">
            <v>2.5109070719391546</v>
          </cell>
          <cell r="Z199">
            <v>1.4019766764608714</v>
          </cell>
          <cell r="AA199">
            <v>-9.1823725939989842</v>
          </cell>
          <cell r="AB199">
            <v>5.6728699497669872</v>
          </cell>
          <cell r="AC199">
            <v>-2.3996579277262278</v>
          </cell>
          <cell r="AD199">
            <v>18.547380569548565</v>
          </cell>
          <cell r="AE199">
            <v>6.8352961085001995</v>
          </cell>
        </row>
        <row r="200">
          <cell r="B200" t="str">
            <v>TUR</v>
          </cell>
          <cell r="C200" t="str">
            <v>GDP (constant 2015 US$)</v>
          </cell>
          <cell r="D200" t="str">
            <v>NY.GDP.MKTP.KD</v>
          </cell>
          <cell r="E200">
            <v>566436841006.172</v>
          </cell>
          <cell r="F200">
            <v>614171064520.31897</v>
          </cell>
          <cell r="G200">
            <v>682958902917.53406</v>
          </cell>
          <cell r="H200">
            <v>715662340203.41296</v>
          </cell>
          <cell r="I200">
            <v>776392136706.16101</v>
          </cell>
          <cell r="J200">
            <v>814743696794.68701</v>
          </cell>
          <cell r="K200">
            <v>864316670330.88196</v>
          </cell>
          <cell r="L200">
            <v>893038641113.71301</v>
          </cell>
          <cell r="M200">
            <v>960034377547.42603</v>
          </cell>
          <cell r="N200">
            <v>988642300211.80298</v>
          </cell>
          <cell r="O200">
            <v>997437115405.81995</v>
          </cell>
          <cell r="P200">
            <v>1015326662715.27</v>
          </cell>
          <cell r="Q200">
            <v>8.4271043227618829</v>
          </cell>
          <cell r="R200">
            <v>11.200110583350241</v>
          </cell>
          <cell r="S200">
            <v>4.7884927110801252</v>
          </cell>
          <cell r="T200">
            <v>8.485816996530346</v>
          </cell>
          <cell r="U200">
            <v>4.9397151613657844</v>
          </cell>
          <cell r="V200">
            <v>6.0844869044365479</v>
          </cell>
          <cell r="W200">
            <v>3.3230842084574821</v>
          </cell>
          <cell r="X200">
            <v>7.5019974891749692</v>
          </cell>
          <cell r="Y200">
            <v>2.9798852346788709</v>
          </cell>
          <cell r="Z200">
            <v>0.88958516059173265</v>
          </cell>
          <cell r="AA200">
            <v>1.7935513961871656</v>
          </cell>
          <cell r="AB200">
            <v>65.316590339250567</v>
          </cell>
          <cell r="AC200">
            <v>17.471604744887966</v>
          </cell>
          <cell r="AD200">
            <v>74.673393864581101</v>
          </cell>
          <cell r="AE200">
            <v>21.438736890790743</v>
          </cell>
        </row>
        <row r="201">
          <cell r="B201" t="str">
            <v>TKM</v>
          </cell>
          <cell r="C201" t="str">
            <v>GDP (constant 2015 US$)</v>
          </cell>
          <cell r="D201" t="str">
            <v>NY.GDP.MKTP.KD</v>
          </cell>
          <cell r="E201">
            <v>19873425504.812698</v>
          </cell>
          <cell r="F201">
            <v>21701780648.881599</v>
          </cell>
          <cell r="G201">
            <v>24891942388.614201</v>
          </cell>
          <cell r="H201">
            <v>27654947984.180599</v>
          </cell>
          <cell r="I201">
            <v>30475752706.608799</v>
          </cell>
          <cell r="J201">
            <v>33614755226.4132</v>
          </cell>
          <cell r="K201">
            <v>35799714285.714302</v>
          </cell>
          <cell r="L201">
            <v>38019296559.410599</v>
          </cell>
          <cell r="M201">
            <v>40490550853.576698</v>
          </cell>
          <cell r="N201">
            <v>43000964982.7593</v>
          </cell>
          <cell r="O201">
            <v>45710025776.673103</v>
          </cell>
          <cell r="P201" t="str">
            <v>..</v>
          </cell>
          <cell r="Q201">
            <v>9.1999999880550671</v>
          </cell>
          <cell r="R201">
            <v>14.699999927872307</v>
          </cell>
          <cell r="S201">
            <v>11.099999961554717</v>
          </cell>
          <cell r="T201">
            <v>10.200000101398777</v>
          </cell>
          <cell r="U201">
            <v>10.299999970546077</v>
          </cell>
          <cell r="V201">
            <v>6.4999999095166503</v>
          </cell>
          <cell r="W201">
            <v>6.1999999664299272</v>
          </cell>
          <cell r="X201">
            <v>6.5000000468299319</v>
          </cell>
          <cell r="Y201">
            <v>6.1999999413711278</v>
          </cell>
          <cell r="Z201">
            <v>6.2999999999999234</v>
          </cell>
          <cell r="AA201" t="e">
            <v>#VALUE!</v>
          </cell>
          <cell r="AB201" t="e">
            <v>#VALUE!</v>
          </cell>
          <cell r="AC201" t="e">
            <v>#VALUE!</v>
          </cell>
          <cell r="AD201" t="e">
            <v>#VALUE!</v>
          </cell>
          <cell r="AE201" t="e">
            <v>#VALUE!</v>
          </cell>
        </row>
        <row r="202">
          <cell r="B202" t="str">
            <v>TCA</v>
          </cell>
          <cell r="C202" t="str">
            <v>GDP (constant 2015 US$)</v>
          </cell>
          <cell r="D202" t="str">
            <v>NY.GDP.MKTP.KD</v>
          </cell>
          <cell r="E202" t="str">
            <v>..</v>
          </cell>
          <cell r="F202" t="str">
            <v>..</v>
          </cell>
          <cell r="G202">
            <v>777808584.86143601</v>
          </cell>
          <cell r="H202">
            <v>770245957.00511003</v>
          </cell>
          <cell r="I202">
            <v>778494370.72636604</v>
          </cell>
          <cell r="J202">
            <v>846311318.21085298</v>
          </cell>
          <cell r="K202">
            <v>942070000</v>
          </cell>
          <cell r="L202">
            <v>1010381250.54751</v>
          </cell>
          <cell r="M202">
            <v>985220508.258304</v>
          </cell>
          <cell r="N202">
            <v>1040500783.85448</v>
          </cell>
          <cell r="O202">
            <v>1095902844.2632899</v>
          </cell>
          <cell r="P202">
            <v>802388550.96422899</v>
          </cell>
          <cell r="Q202" t="e">
            <v>#VALUE!</v>
          </cell>
          <cell r="R202" t="e">
            <v>#VALUE!</v>
          </cell>
          <cell r="S202">
            <v>-0.97229935533216583</v>
          </cell>
          <cell r="T202">
            <v>1.0708804955403739</v>
          </cell>
          <cell r="U202">
            <v>8.7112958082421379</v>
          </cell>
          <cell r="V202">
            <v>11.314829392992872</v>
          </cell>
          <cell r="W202">
            <v>7.2511862757024454</v>
          </cell>
          <cell r="X202">
            <v>-2.490222604147871</v>
          </cell>
          <cell r="Y202">
            <v>5.6109546170432241</v>
          </cell>
          <cell r="Z202">
            <v>5.3245572966870727</v>
          </cell>
          <cell r="AA202">
            <v>-26.782875401365807</v>
          </cell>
          <cell r="AB202" t="e">
            <v>#VALUE!</v>
          </cell>
          <cell r="AC202">
            <v>-14.827077503345931</v>
          </cell>
          <cell r="AD202" t="e">
            <v>#VALUE!</v>
          </cell>
          <cell r="AE202">
            <v>21.450606789162507</v>
          </cell>
        </row>
        <row r="203">
          <cell r="B203" t="str">
            <v>TUV</v>
          </cell>
          <cell r="C203" t="str">
            <v>GDP (constant 2015 US$)</v>
          </cell>
          <cell r="D203" t="str">
            <v>NY.GDP.MKTP.KD</v>
          </cell>
          <cell r="E203">
            <v>30508242.806902699</v>
          </cell>
          <cell r="F203">
            <v>29675542.312297899</v>
          </cell>
          <cell r="G203">
            <v>31905942.482818101</v>
          </cell>
          <cell r="H203">
            <v>30682110.6701761</v>
          </cell>
          <cell r="I203">
            <v>32086376.784277599</v>
          </cell>
          <cell r="J203">
            <v>32518905.212618001</v>
          </cell>
          <cell r="K203">
            <v>35492074.224325702</v>
          </cell>
          <cell r="L203">
            <v>36569160.418375701</v>
          </cell>
          <cell r="M203">
            <v>38066308.324789703</v>
          </cell>
          <cell r="N203">
            <v>39017966.032909401</v>
          </cell>
          <cell r="O203">
            <v>42824596.865388401</v>
          </cell>
          <cell r="P203">
            <v>44708879.127465397</v>
          </cell>
          <cell r="Q203">
            <v>-2.7294279119097471</v>
          </cell>
          <cell r="R203">
            <v>7.515954205817148</v>
          </cell>
          <cell r="S203">
            <v>-3.8357488210889086</v>
          </cell>
          <cell r="T203">
            <v>4.5768237042000068</v>
          </cell>
          <cell r="U203">
            <v>1.3480126822930705</v>
          </cell>
          <cell r="V203">
            <v>9.142893932831571</v>
          </cell>
          <cell r="W203">
            <v>3.034723153237918</v>
          </cell>
          <cell r="X203">
            <v>4.0940177168018819</v>
          </cell>
          <cell r="Y203">
            <v>2.4999999999998823</v>
          </cell>
          <cell r="Z203">
            <v>9.7560975609756984</v>
          </cell>
          <cell r="AA203">
            <v>4.3999999999997819</v>
          </cell>
          <cell r="AB203">
            <v>50.659012923708232</v>
          </cell>
          <cell r="AC203">
            <v>25.968628502480261</v>
          </cell>
          <cell r="AD203">
            <v>28.348161639954284</v>
          </cell>
          <cell r="AE203">
            <v>20.412321802640456</v>
          </cell>
        </row>
        <row r="204">
          <cell r="B204" t="str">
            <v>UGA</v>
          </cell>
          <cell r="C204" t="str">
            <v>GDP (constant 2015 US$)</v>
          </cell>
          <cell r="D204" t="str">
            <v>NY.GDP.MKTP.KD</v>
          </cell>
          <cell r="E204">
            <v>23567695697.630402</v>
          </cell>
          <cell r="F204">
            <v>24896350853.085201</v>
          </cell>
          <cell r="G204">
            <v>27234530355.5065</v>
          </cell>
          <cell r="H204">
            <v>28279643367.386799</v>
          </cell>
          <cell r="I204">
            <v>29294007542.994999</v>
          </cell>
          <cell r="J204">
            <v>30789849595.741199</v>
          </cell>
          <cell r="K204">
            <v>32387183844.657398</v>
          </cell>
          <cell r="L204">
            <v>33935615198.6619</v>
          </cell>
          <cell r="M204">
            <v>34998276925.5121</v>
          </cell>
          <cell r="N204">
            <v>37204541627.527496</v>
          </cell>
          <cell r="O204">
            <v>39600047203.864403</v>
          </cell>
          <cell r="P204">
            <v>40768765939.939903</v>
          </cell>
          <cell r="Q204">
            <v>5.6376116379862644</v>
          </cell>
          <cell r="R204">
            <v>9.3916554928833982</v>
          </cell>
          <cell r="S204">
            <v>3.8374556059454465</v>
          </cell>
          <cell r="T204">
            <v>3.5869058263231315</v>
          </cell>
          <cell r="U204">
            <v>5.1063073242906212</v>
          </cell>
          <cell r="V204">
            <v>5.1878598625474917</v>
          </cell>
          <cell r="W204">
            <v>4.7810002914468619</v>
          </cell>
          <cell r="X204">
            <v>3.1314055178587186</v>
          </cell>
          <cell r="Y204">
            <v>6.3039237809080051</v>
          </cell>
          <cell r="Z204">
            <v>6.4387450336560015</v>
          </cell>
          <cell r="AA204">
            <v>2.9513064215778262</v>
          </cell>
          <cell r="AB204">
            <v>63.753982182042414</v>
          </cell>
          <cell r="AC204">
            <v>25.879317372835224</v>
          </cell>
          <cell r="AD204">
            <v>58.759277950041081</v>
          </cell>
          <cell r="AE204">
            <v>21.52025427300639</v>
          </cell>
        </row>
        <row r="205">
          <cell r="B205" t="str">
            <v>UKR</v>
          </cell>
          <cell r="C205" t="str">
            <v>GDP (constant 2015 US$)</v>
          </cell>
          <cell r="D205" t="str">
            <v>NY.GDP.MKTP.KD</v>
          </cell>
          <cell r="E205">
            <v>102020653239.42599</v>
          </cell>
          <cell r="F205">
            <v>106195342825.51401</v>
          </cell>
          <cell r="G205">
            <v>111977977452.847</v>
          </cell>
          <cell r="H205">
            <v>112148536670.13699</v>
          </cell>
          <cell r="I205">
            <v>112199495948.90401</v>
          </cell>
          <cell r="J205">
            <v>100891026579.381</v>
          </cell>
          <cell r="K205">
            <v>91030959454.696106</v>
          </cell>
          <cell r="L205">
            <v>93253008738.9617</v>
          </cell>
          <cell r="M205">
            <v>95453753896.395004</v>
          </cell>
          <cell r="N205">
            <v>98783526701.421097</v>
          </cell>
          <cell r="O205">
            <v>101944109453.562</v>
          </cell>
          <cell r="P205">
            <v>97866338856.103699</v>
          </cell>
          <cell r="Q205">
            <v>4.0920043672830548</v>
          </cell>
          <cell r="R205">
            <v>5.4452808131466224</v>
          </cell>
          <cell r="S205">
            <v>0.15231496511161255</v>
          </cell>
          <cell r="T205">
            <v>4.5439093794777112E-2</v>
          </cell>
          <cell r="U205">
            <v>-10.078894984227846</v>
          </cell>
          <cell r="V205">
            <v>-9.772987211035062</v>
          </cell>
          <cell r="W205">
            <v>2.4409819445783763</v>
          </cell>
          <cell r="X205">
            <v>2.3599722809949601</v>
          </cell>
          <cell r="Y205">
            <v>3.4883623420826488</v>
          </cell>
          <cell r="Z205">
            <v>3.199503862312937</v>
          </cell>
          <cell r="AA205">
            <v>-4.000006100711313</v>
          </cell>
          <cell r="AB205">
            <v>-7.8430972091642612</v>
          </cell>
          <cell r="AC205">
            <v>7.5088513208623215</v>
          </cell>
          <cell r="AD205">
            <v>-3.203315010199681</v>
          </cell>
          <cell r="AE205">
            <v>-2.1195306571638373</v>
          </cell>
        </row>
        <row r="206">
          <cell r="B206" t="str">
            <v>ARE</v>
          </cell>
          <cell r="C206" t="str">
            <v>GDP (constant 2015 US$)</v>
          </cell>
          <cell r="D206" t="str">
            <v>NY.GDP.MKTP.KD</v>
          </cell>
          <cell r="E206">
            <v>273784273643.58899</v>
          </cell>
          <cell r="F206">
            <v>278172625005.79999</v>
          </cell>
          <cell r="G206">
            <v>297445839250.289</v>
          </cell>
          <cell r="H206">
            <v>310782691949.12903</v>
          </cell>
          <cell r="I206">
            <v>326486783333.23401</v>
          </cell>
          <cell r="J206">
            <v>340885128840.36603</v>
          </cell>
          <cell r="K206">
            <v>358135057862.492</v>
          </cell>
          <cell r="L206">
            <v>368822581887.87201</v>
          </cell>
          <cell r="M206">
            <v>377576774179.06702</v>
          </cell>
          <cell r="N206">
            <v>382069392728.146</v>
          </cell>
          <cell r="O206">
            <v>395103837869.75299</v>
          </cell>
          <cell r="P206">
            <v>370866189764.80603</v>
          </cell>
          <cell r="Q206">
            <v>1.6028500482550481</v>
          </cell>
          <cell r="R206">
            <v>6.9285085993228703</v>
          </cell>
          <cell r="S206">
            <v>4.4837919846031493</v>
          </cell>
          <cell r="T206">
            <v>5.0530778550163049</v>
          </cell>
          <cell r="U206">
            <v>4.4100852598483637</v>
          </cell>
          <cell r="V206">
            <v>5.0603348643595396</v>
          </cell>
          <cell r="W206">
            <v>2.9842160913170197</v>
          </cell>
          <cell r="X206">
            <v>2.3735510570923832</v>
          </cell>
          <cell r="Y206">
            <v>1.1898556416365642</v>
          </cell>
          <cell r="Z206">
            <v>3.4115386863457546</v>
          </cell>
          <cell r="AA206">
            <v>-6.1345008025300336</v>
          </cell>
          <cell r="AB206">
            <v>33.322317304613762</v>
          </cell>
          <cell r="AC206">
            <v>3.5548410083891362</v>
          </cell>
          <cell r="AD206">
            <v>39.503139881998848</v>
          </cell>
          <cell r="AE206">
            <v>12.042921771101645</v>
          </cell>
        </row>
        <row r="207">
          <cell r="B207" t="str">
            <v>GBR</v>
          </cell>
          <cell r="C207" t="str">
            <v>GDP (constant 2015 US$)</v>
          </cell>
          <cell r="D207" t="str">
            <v>NY.GDP.MKTP.KD</v>
          </cell>
          <cell r="E207">
            <v>2611157427578.9302</v>
          </cell>
          <cell r="F207">
            <v>2666812634394.3101</v>
          </cell>
          <cell r="G207">
            <v>2705683119057.25</v>
          </cell>
          <cell r="H207">
            <v>2745453617575.54</v>
          </cell>
          <cell r="I207">
            <v>2797343194531.2202</v>
          </cell>
          <cell r="J207">
            <v>2881016339886.0801</v>
          </cell>
          <cell r="K207">
            <v>2956573778737.7598</v>
          </cell>
          <cell r="L207">
            <v>3023494748188.9702</v>
          </cell>
          <cell r="M207">
            <v>3088029825367.96</v>
          </cell>
          <cell r="N207">
            <v>3139010897079.7002</v>
          </cell>
          <cell r="O207">
            <v>3191493407624.3999</v>
          </cell>
          <cell r="P207">
            <v>2891615580463.4199</v>
          </cell>
          <cell r="Q207">
            <v>2.1314381977720696</v>
          </cell>
          <cell r="R207">
            <v>1.4575633909042227</v>
          </cell>
          <cell r="S207">
            <v>1.4698875207584325</v>
          </cell>
          <cell r="T207">
            <v>1.8900183424516535</v>
          </cell>
          <cell r="U207">
            <v>2.991164813757571</v>
          </cell>
          <cell r="V207">
            <v>2.6225966790131898</v>
          </cell>
          <cell r="W207">
            <v>2.263463537844836</v>
          </cell>
          <cell r="X207">
            <v>2.1344530933167762</v>
          </cell>
          <cell r="Y207">
            <v>1.6509254960212532</v>
          </cell>
          <cell r="Z207">
            <v>1.6719441972477858</v>
          </cell>
          <cell r="AA207">
            <v>-9.3961600059890191</v>
          </cell>
          <cell r="AB207">
            <v>8.4296490563225266</v>
          </cell>
          <cell r="AC207">
            <v>-2.1970768577292947</v>
          </cell>
          <cell r="AD207">
            <v>20.061428906659273</v>
          </cell>
          <cell r="AE207">
            <v>8.8155202437204316</v>
          </cell>
        </row>
        <row r="208">
          <cell r="B208" t="str">
            <v>USA</v>
          </cell>
          <cell r="C208" t="str">
            <v>GDP (constant 2015 US$)</v>
          </cell>
          <cell r="D208" t="str">
            <v>NY.GDP.MKTP.KD</v>
          </cell>
          <cell r="E208">
            <v>15912149113000</v>
          </cell>
          <cell r="F208">
            <v>16320099471000</v>
          </cell>
          <cell r="G208">
            <v>16573197368000</v>
          </cell>
          <cell r="H208">
            <v>16946019042000</v>
          </cell>
          <cell r="I208">
            <v>17258178451000</v>
          </cell>
          <cell r="J208">
            <v>17694115456000</v>
          </cell>
          <cell r="K208">
            <v>18238300569000</v>
          </cell>
          <cell r="L208">
            <v>18550435728000</v>
          </cell>
          <cell r="M208">
            <v>18983157920000</v>
          </cell>
          <cell r="N208">
            <v>19551981480000</v>
          </cell>
          <cell r="O208">
            <v>19974534312000</v>
          </cell>
          <cell r="P208">
            <v>19294483000000</v>
          </cell>
          <cell r="Q208">
            <v>2.5637665603995021</v>
          </cell>
          <cell r="R208">
            <v>1.5508355047084259</v>
          </cell>
          <cell r="S208">
            <v>2.2495458523884753</v>
          </cell>
          <cell r="T208">
            <v>1.842081070641582</v>
          </cell>
          <cell r="U208">
            <v>2.5259734463734222</v>
          </cell>
          <cell r="V208">
            <v>3.0755146497897927</v>
          </cell>
          <cell r="W208">
            <v>1.711426773668498</v>
          </cell>
          <cell r="X208">
            <v>2.3326793954863807</v>
          </cell>
          <cell r="Y208">
            <v>2.996464352228283</v>
          </cell>
          <cell r="Z208">
            <v>2.1611765151897022</v>
          </cell>
          <cell r="AA208">
            <v>-3.4045915733387035</v>
          </cell>
          <cell r="AB208">
            <v>18.225278187092737</v>
          </cell>
          <cell r="AC208">
            <v>5.7910134061241108</v>
          </cell>
          <cell r="AD208">
            <v>22.827469547891255</v>
          </cell>
          <cell r="AE208">
            <v>10.457570794010351</v>
          </cell>
        </row>
        <row r="209">
          <cell r="B209" t="str">
            <v>URY</v>
          </cell>
          <cell r="C209" t="str">
            <v>GDP (constant 2015 US$)</v>
          </cell>
          <cell r="D209" t="str">
            <v>NY.GDP.MKTP.KD</v>
          </cell>
          <cell r="E209">
            <v>41858901192.1605</v>
          </cell>
          <cell r="F209">
            <v>45125322733.723099</v>
          </cell>
          <cell r="G209">
            <v>47454751923.164497</v>
          </cell>
          <cell r="H209">
            <v>49133785850.973999</v>
          </cell>
          <cell r="I209">
            <v>51412384155.739197</v>
          </cell>
          <cell r="J209">
            <v>53077523938.455101</v>
          </cell>
          <cell r="K209">
            <v>53274304222.136002</v>
          </cell>
          <cell r="L209">
            <v>54174532436.921204</v>
          </cell>
          <cell r="M209">
            <v>55056360541.139198</v>
          </cell>
          <cell r="N209">
            <v>55319478843.358704</v>
          </cell>
          <cell r="O209">
            <v>55513344382.067299</v>
          </cell>
          <cell r="P209">
            <v>52260972281.805397</v>
          </cell>
          <cell r="Q209">
            <v>7.8034096656468073</v>
          </cell>
          <cell r="R209">
            <v>5.1621330293568573</v>
          </cell>
          <cell r="S209">
            <v>3.5381787065878649</v>
          </cell>
          <cell r="T209">
            <v>4.6375386412851149</v>
          </cell>
          <cell r="U209">
            <v>3.2387912174464364</v>
          </cell>
          <cell r="V209">
            <v>0.37074126500149651</v>
          </cell>
          <cell r="W209">
            <v>1.6897981642923987</v>
          </cell>
          <cell r="X209">
            <v>1.6277539732248956</v>
          </cell>
          <cell r="Y209">
            <v>0.47790718389912118</v>
          </cell>
          <cell r="Z209">
            <v>0.35044715308605895</v>
          </cell>
          <cell r="AA209">
            <v>-5.8587212434503027</v>
          </cell>
          <cell r="AB209">
            <v>15.812960696566227</v>
          </cell>
          <cell r="AC209">
            <v>-1.9021026273855213</v>
          </cell>
          <cell r="AD209">
            <v>32.122272606932256</v>
          </cell>
          <cell r="AE209">
            <v>4.1965175457324477</v>
          </cell>
        </row>
        <row r="210">
          <cell r="B210" t="str">
            <v>UZB</v>
          </cell>
          <cell r="C210" t="str">
            <v>GDP (constant 2015 US$)</v>
          </cell>
          <cell r="D210" t="str">
            <v>NY.GDP.MKTP.KD</v>
          </cell>
          <cell r="E210">
            <v>56578340499.326797</v>
          </cell>
          <cell r="F210">
            <v>60876692056.518997</v>
          </cell>
          <cell r="G210">
            <v>65457748296.751503</v>
          </cell>
          <cell r="H210">
            <v>70106848793.845001</v>
          </cell>
          <cell r="I210">
            <v>75222230328.655396</v>
          </cell>
          <cell r="J210">
            <v>80392884913.035904</v>
          </cell>
          <cell r="K210">
            <v>86196265191.664505</v>
          </cell>
          <cell r="L210">
            <v>91309557626.734207</v>
          </cell>
          <cell r="M210">
            <v>95322863451.024002</v>
          </cell>
          <cell r="N210">
            <v>100427399822.586</v>
          </cell>
          <cell r="O210">
            <v>106161435002.412</v>
          </cell>
          <cell r="P210">
            <v>107981860052.519</v>
          </cell>
          <cell r="Q210">
            <v>7.5971679608442102</v>
          </cell>
          <cell r="R210">
            <v>7.5251398942297527</v>
          </cell>
          <cell r="S210">
            <v>7.1024448870695744</v>
          </cell>
          <cell r="T210">
            <v>7.296550369640201</v>
          </cell>
          <cell r="U210">
            <v>6.8738384408296156</v>
          </cell>
          <cell r="V210">
            <v>7.218773508260516</v>
          </cell>
          <cell r="W210">
            <v>5.9321507999214056</v>
          </cell>
          <cell r="X210">
            <v>4.3952746334571584</v>
          </cell>
          <cell r="Y210">
            <v>5.3549968882173369</v>
          </cell>
          <cell r="Z210">
            <v>5.7096322218395485</v>
          </cell>
          <cell r="AA210">
            <v>1.7147705756479594</v>
          </cell>
          <cell r="AB210">
            <v>77.378001998312811</v>
          </cell>
          <cell r="AC210">
            <v>25.274406973912878</v>
          </cell>
          <cell r="AD210">
            <v>78.180162191472007</v>
          </cell>
          <cell r="AE210">
            <v>25.398384416724639</v>
          </cell>
        </row>
        <row r="211">
          <cell r="B211" t="str">
            <v>VUT</v>
          </cell>
          <cell r="C211" t="str">
            <v>GDP (constant 2015 US$)</v>
          </cell>
          <cell r="D211" t="str">
            <v>NY.GDP.MKTP.KD</v>
          </cell>
          <cell r="E211">
            <v>666203037.03199303</v>
          </cell>
          <cell r="F211">
            <v>674601737.45290506</v>
          </cell>
          <cell r="G211">
            <v>695769890.55459297</v>
          </cell>
          <cell r="H211">
            <v>702797374.58025396</v>
          </cell>
          <cell r="I211">
            <v>706090742.529562</v>
          </cell>
          <cell r="J211">
            <v>728164877.892398</v>
          </cell>
          <cell r="K211">
            <v>730870581.67231202</v>
          </cell>
          <cell r="L211">
            <v>765138748.55005801</v>
          </cell>
          <cell r="M211">
            <v>813461883.47912705</v>
          </cell>
          <cell r="N211">
            <v>837054151.279562</v>
          </cell>
          <cell r="O211">
            <v>869804185.71970797</v>
          </cell>
          <cell r="P211">
            <v>810535805.63568997</v>
          </cell>
          <cell r="Q211">
            <v>1.2606817972984858</v>
          </cell>
          <cell r="R211">
            <v>3.1378740857698562</v>
          </cell>
          <cell r="S211">
            <v>1.0100299137778779</v>
          </cell>
          <cell r="T211">
            <v>0.46860845934078837</v>
          </cell>
          <cell r="U211">
            <v>3.1262462504119042</v>
          </cell>
          <cell r="V211">
            <v>0.37157845181237198</v>
          </cell>
          <cell r="W211">
            <v>4.6886778230061825</v>
          </cell>
          <cell r="X211">
            <v>6.3156041986687566</v>
          </cell>
          <cell r="Y211">
            <v>2.9002302725644933</v>
          </cell>
          <cell r="Z211">
            <v>3.912534737457865</v>
          </cell>
          <cell r="AA211">
            <v>-6.8139911323808073</v>
          </cell>
          <cell r="AB211">
            <v>20.150269505090723</v>
          </cell>
          <cell r="AC211">
            <v>10.900045228403528</v>
          </cell>
          <cell r="AD211">
            <v>25.533311692916904</v>
          </cell>
          <cell r="AE211">
            <v>14.851287170792805</v>
          </cell>
        </row>
        <row r="212">
          <cell r="B212" t="str">
            <v>VEN</v>
          </cell>
          <cell r="C212" t="str">
            <v>GDP (constant 2015 US$)</v>
          </cell>
          <cell r="D212" t="str">
            <v>NY.GDP.MKTP.KD</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e">
            <v>#VALUE!</v>
          </cell>
          <cell r="R212" t="e">
            <v>#VALUE!</v>
          </cell>
          <cell r="S212" t="e">
            <v>#VALUE!</v>
          </cell>
          <cell r="T212" t="e">
            <v>#VALUE!</v>
          </cell>
          <cell r="U212" t="e">
            <v>#VALUE!</v>
          </cell>
          <cell r="V212" t="e">
            <v>#VALUE!</v>
          </cell>
          <cell r="W212" t="e">
            <v>#VALUE!</v>
          </cell>
          <cell r="X212" t="e">
            <v>#VALUE!</v>
          </cell>
          <cell r="Y212" t="e">
            <v>#VALUE!</v>
          </cell>
          <cell r="Z212" t="e">
            <v>#VALUE!</v>
          </cell>
          <cell r="AA212" t="e">
            <v>#VALUE!</v>
          </cell>
          <cell r="AB212" t="e">
            <v>#VALUE!</v>
          </cell>
          <cell r="AC212" t="e">
            <v>#VALUE!</v>
          </cell>
          <cell r="AD212" t="e">
            <v>#VALUE!</v>
          </cell>
          <cell r="AE212" t="e">
            <v>#VALUE!</v>
          </cell>
        </row>
        <row r="213">
          <cell r="B213" t="str">
            <v>VNM</v>
          </cell>
          <cell r="C213" t="str">
            <v>GDP (constant 2015 US$)</v>
          </cell>
          <cell r="D213" t="str">
            <v>NY.GDP.MKTP.KD</v>
          </cell>
          <cell r="E213">
            <v>136242542341.994</v>
          </cell>
          <cell r="F213">
            <v>144993725389.75601</v>
          </cell>
          <cell r="G213">
            <v>154041772820.94901</v>
          </cell>
          <cell r="H213">
            <v>162124910214.55099</v>
          </cell>
          <cell r="I213">
            <v>170915133146.146</v>
          </cell>
          <cell r="J213">
            <v>181142104435.94299</v>
          </cell>
          <cell r="K213">
            <v>193241108709.53601</v>
          </cell>
          <cell r="L213">
            <v>205242950036.44699</v>
          </cell>
          <cell r="M213">
            <v>219224603992.022</v>
          </cell>
          <cell r="N213">
            <v>234736473566.40399</v>
          </cell>
          <cell r="O213">
            <v>251208952743.67099</v>
          </cell>
          <cell r="P213">
            <v>258508671883.21399</v>
          </cell>
          <cell r="Q213">
            <v>6.4232382171751601</v>
          </cell>
          <cell r="R213">
            <v>6.2403027488748481</v>
          </cell>
          <cell r="S213">
            <v>5.2473671560489326</v>
          </cell>
          <cell r="T213">
            <v>5.4218829913073181</v>
          </cell>
          <cell r="U213">
            <v>5.9836546369782981</v>
          </cell>
          <cell r="V213">
            <v>6.6792887889141035</v>
          </cell>
          <cell r="W213">
            <v>6.2108116678998941</v>
          </cell>
          <cell r="X213">
            <v>6.8122456596400287</v>
          </cell>
          <cell r="Y213">
            <v>7.075788616749648</v>
          </cell>
          <cell r="Z213">
            <v>7.0174348821880645</v>
          </cell>
          <cell r="AA213">
            <v>2.9058355842084573</v>
          </cell>
          <cell r="AB213">
            <v>78.289557833154305</v>
          </cell>
          <cell r="AC213">
            <v>33.775195976433132</v>
          </cell>
          <cell r="AD213">
            <v>73.44610965415734</v>
          </cell>
          <cell r="AE213">
            <v>30.454148206979536</v>
          </cell>
        </row>
        <row r="214">
          <cell r="B214" t="str">
            <v>VIR</v>
          </cell>
          <cell r="C214" t="str">
            <v>GDP (constant 2015 US$)</v>
          </cell>
          <cell r="D214" t="str">
            <v>NY.GDP.MKTP.KD</v>
          </cell>
          <cell r="E214">
            <v>5080115795.0907097</v>
          </cell>
          <cell r="F214">
            <v>5110412753.4685202</v>
          </cell>
          <cell r="G214">
            <v>4691141942.3692598</v>
          </cell>
          <cell r="H214">
            <v>3996266542.1558199</v>
          </cell>
          <cell r="I214">
            <v>3745094983.9914598</v>
          </cell>
          <cell r="J214">
            <v>3678637139.8079</v>
          </cell>
          <cell r="K214">
            <v>3663000000</v>
          </cell>
          <cell r="L214">
            <v>3721639274.2796202</v>
          </cell>
          <cell r="M214">
            <v>3694274279.6157999</v>
          </cell>
          <cell r="N214">
            <v>3752913553.8954101</v>
          </cell>
          <cell r="O214">
            <v>3835985859.1248698</v>
          </cell>
          <cell r="P214" t="str">
            <v>..</v>
          </cell>
          <cell r="Q214">
            <v>0.59638322431722246</v>
          </cell>
          <cell r="R214">
            <v>-8.2042455536432826</v>
          </cell>
          <cell r="S214">
            <v>-14.81249999999986</v>
          </cell>
          <cell r="T214">
            <v>-6.2851552946932161</v>
          </cell>
          <cell r="U214">
            <v>-1.7745302713986235</v>
          </cell>
          <cell r="V214">
            <v>-0.4250797024442734</v>
          </cell>
          <cell r="W214">
            <v>1.6008537886874192</v>
          </cell>
          <cell r="X214">
            <v>-0.73529411764704622</v>
          </cell>
          <cell r="Y214">
            <v>1.5873015873014324</v>
          </cell>
          <cell r="Z214">
            <v>2.2135416666667749</v>
          </cell>
          <cell r="AA214" t="e">
            <v>#VALUE!</v>
          </cell>
          <cell r="AB214" t="e">
            <v>#VALUE!</v>
          </cell>
          <cell r="AC214" t="e">
            <v>#VALUE!</v>
          </cell>
          <cell r="AD214" t="e">
            <v>#VALUE!</v>
          </cell>
          <cell r="AE214" t="e">
            <v>#VALUE!</v>
          </cell>
        </row>
        <row r="215">
          <cell r="B215" t="str">
            <v>PSE</v>
          </cell>
          <cell r="C215" t="str">
            <v>GDP (constant 2015 US$)</v>
          </cell>
          <cell r="D215" t="str">
            <v>NY.GDP.MKTP.KD</v>
          </cell>
          <cell r="E215">
            <v>10477100000</v>
          </cell>
          <cell r="F215">
            <v>11082400000</v>
          </cell>
          <cell r="G215">
            <v>12146400000</v>
          </cell>
          <cell r="H215">
            <v>12886900000</v>
          </cell>
          <cell r="I215">
            <v>13492400000</v>
          </cell>
          <cell r="J215">
            <v>13471100000</v>
          </cell>
          <cell r="K215">
            <v>13972400000</v>
          </cell>
          <cell r="L215">
            <v>15211000000</v>
          </cell>
          <cell r="M215">
            <v>15426900000</v>
          </cell>
          <cell r="N215">
            <v>15616200000</v>
          </cell>
          <cell r="O215">
            <v>15829000000</v>
          </cell>
          <cell r="P215">
            <v>14015400000</v>
          </cell>
          <cell r="Q215">
            <v>5.7773620562942041</v>
          </cell>
          <cell r="R215">
            <v>9.6008084891359271</v>
          </cell>
          <cell r="S215">
            <v>6.0964565632615422</v>
          </cell>
          <cell r="T215">
            <v>4.6985698655223525</v>
          </cell>
          <cell r="U215">
            <v>-0.15786665085529633</v>
          </cell>
          <cell r="V215">
            <v>3.7212996711478645</v>
          </cell>
          <cell r="W215">
            <v>8.8646188199593485</v>
          </cell>
          <cell r="X215">
            <v>1.4193675629478666</v>
          </cell>
          <cell r="Y215">
            <v>1.2270773778270425</v>
          </cell>
          <cell r="Z215">
            <v>1.3626874655806149</v>
          </cell>
          <cell r="AA215">
            <v>-11.457451513045676</v>
          </cell>
          <cell r="AB215">
            <v>26.465386558868115</v>
          </cell>
          <cell r="AC215">
            <v>0.3077495634250379</v>
          </cell>
          <cell r="AD215">
            <v>48.865574051762572</v>
          </cell>
          <cell r="AE215">
            <v>15.779669507146533</v>
          </cell>
        </row>
        <row r="216">
          <cell r="B216" t="str">
            <v>YEM</v>
          </cell>
          <cell r="C216" t="str">
            <v>GDP (constant 2015 US$)</v>
          </cell>
          <cell r="D216" t="str">
            <v>NY.GDP.MKTP.KD</v>
          </cell>
          <cell r="E216">
            <v>58531323243.507401</v>
          </cell>
          <cell r="F216">
            <v>63039585474.073997</v>
          </cell>
          <cell r="G216">
            <v>55024213750.080597</v>
          </cell>
          <cell r="H216">
            <v>56340880282.568604</v>
          </cell>
          <cell r="I216">
            <v>59058434742.685997</v>
          </cell>
          <cell r="J216">
            <v>58947066059.948997</v>
          </cell>
          <cell r="K216">
            <v>42445102386.604897</v>
          </cell>
          <cell r="L216">
            <v>38465821483.346397</v>
          </cell>
          <cell r="M216">
            <v>36514913626.9105</v>
          </cell>
          <cell r="N216">
            <v>36789669148.941498</v>
          </cell>
          <cell r="O216" t="str">
            <v>..</v>
          </cell>
          <cell r="P216" t="str">
            <v>..</v>
          </cell>
          <cell r="Q216">
            <v>7.7023070396186153</v>
          </cell>
          <cell r="R216">
            <v>-12.714823017498816</v>
          </cell>
          <cell r="S216">
            <v>2.3928856820531634</v>
          </cell>
          <cell r="T216">
            <v>4.823414981249738</v>
          </cell>
          <cell r="U216">
            <v>-0.18857371215851906</v>
          </cell>
          <cell r="V216">
            <v>-27.994546253687417</v>
          </cell>
          <cell r="W216">
            <v>-9.3751238176169558</v>
          </cell>
          <cell r="X216">
            <v>-5.0717956388388439</v>
          </cell>
          <cell r="Y216">
            <v>0.75244741049725739</v>
          </cell>
          <cell r="Z216" t="e">
            <v>#VALUE!</v>
          </cell>
          <cell r="AA216" t="e">
            <v>#VALUE!</v>
          </cell>
          <cell r="AB216" t="e">
            <v>#VALUE!</v>
          </cell>
          <cell r="AC216" t="e">
            <v>#VALUE!</v>
          </cell>
          <cell r="AD216" t="e">
            <v>#VALUE!</v>
          </cell>
          <cell r="AE216" t="e">
            <v>#VALUE!</v>
          </cell>
        </row>
        <row r="217">
          <cell r="B217" t="str">
            <v>ZMB</v>
          </cell>
          <cell r="C217" t="str">
            <v>GDP (constant 2015 US$)</v>
          </cell>
          <cell r="D217" t="str">
            <v>NY.GDP.MKTP.KD</v>
          </cell>
          <cell r="E217">
            <v>14984033821.7868</v>
          </cell>
          <cell r="F217">
            <v>16527123087.716299</v>
          </cell>
          <cell r="G217">
            <v>17446791765.245899</v>
          </cell>
          <cell r="H217">
            <v>18772328031.857899</v>
          </cell>
          <cell r="I217">
            <v>19721688163.3839</v>
          </cell>
          <cell r="J217">
            <v>20648211567.0616</v>
          </cell>
          <cell r="K217">
            <v>21251216798.776199</v>
          </cell>
          <cell r="L217">
            <v>22053807071.943699</v>
          </cell>
          <cell r="M217">
            <v>22826646593.616901</v>
          </cell>
          <cell r="N217">
            <v>23747586257.251202</v>
          </cell>
          <cell r="O217">
            <v>24089861649.015499</v>
          </cell>
          <cell r="P217">
            <v>23418945736.8993</v>
          </cell>
          <cell r="Q217">
            <v>10.298223324121475</v>
          </cell>
          <cell r="R217">
            <v>5.5646023367075861</v>
          </cell>
          <cell r="S217">
            <v>7.5975932105321204</v>
          </cell>
          <cell r="T217">
            <v>5.0572317397973929</v>
          </cell>
          <cell r="U217">
            <v>4.6979923625297033</v>
          </cell>
          <cell r="V217">
            <v>2.9203751121793253</v>
          </cell>
          <cell r="W217">
            <v>3.7766791462676084</v>
          </cell>
          <cell r="X217">
            <v>3.5043360955868232</v>
          </cell>
          <cell r="Y217">
            <v>4.0344938966717345</v>
          </cell>
          <cell r="Z217">
            <v>1.4413060260378483</v>
          </cell>
          <cell r="AA217">
            <v>-2.7850550654516457</v>
          </cell>
          <cell r="AB217">
            <v>41.700074553842427</v>
          </cell>
          <cell r="AC217">
            <v>10.200493264215977</v>
          </cell>
          <cell r="AD217">
            <v>58.400880201788041</v>
          </cell>
          <cell r="AE217">
            <v>14.948654930028704</v>
          </cell>
        </row>
        <row r="218">
          <cell r="B218" t="str">
            <v>ZWE</v>
          </cell>
          <cell r="C218" t="str">
            <v>GDP (constant 2015 US$)</v>
          </cell>
          <cell r="D218" t="str">
            <v>NY.GDP.MKTP.KD</v>
          </cell>
          <cell r="E218">
            <v>11782006307.5355</v>
          </cell>
          <cell r="F218">
            <v>14100154121.208599</v>
          </cell>
          <cell r="G218">
            <v>16101517724.0063</v>
          </cell>
          <cell r="H218">
            <v>18784904690.942799</v>
          </cell>
          <cell r="I218">
            <v>19158629010.131302</v>
          </cell>
          <cell r="J218">
            <v>19614016081.720402</v>
          </cell>
          <cell r="K218">
            <v>19963120600</v>
          </cell>
          <cell r="L218">
            <v>20114015690.141602</v>
          </cell>
          <cell r="M218">
            <v>21061283685.9496</v>
          </cell>
          <cell r="N218">
            <v>22077324353.294601</v>
          </cell>
          <cell r="O218">
            <v>20720841373.133499</v>
          </cell>
          <cell r="P218">
            <v>19426048165.876999</v>
          </cell>
          <cell r="Q218">
            <v>19.675323142463995</v>
          </cell>
          <cell r="R218">
            <v>14.193912957216339</v>
          </cell>
          <cell r="S218">
            <v>16.665428768467869</v>
          </cell>
          <cell r="T218">
            <v>1.9894927620723868</v>
          </cell>
          <cell r="U218">
            <v>2.3769293269799525</v>
          </cell>
          <cell r="V218">
            <v>1.7798727034029089</v>
          </cell>
          <cell r="W218">
            <v>0.75586925093064639</v>
          </cell>
          <cell r="X218">
            <v>4.7094921789897937</v>
          </cell>
          <cell r="Y218">
            <v>4.8242105395637491</v>
          </cell>
          <cell r="Z218">
            <v>-6.1442363143913958</v>
          </cell>
          <cell r="AA218">
            <v>-6.248748223782651</v>
          </cell>
          <cell r="AB218">
            <v>37.77188532044137</v>
          </cell>
          <cell r="AC218">
            <v>-2.6903230456014033</v>
          </cell>
          <cell r="AD218">
            <v>86.346085566233512</v>
          </cell>
          <cell r="AE218">
            <v>11.936828560677725</v>
          </cell>
        </row>
        <row r="219">
          <cell r="B219" t="str">
            <v>AFE</v>
          </cell>
          <cell r="C219" t="str">
            <v>GDP (constant 2015 US$)</v>
          </cell>
          <cell r="D219" t="str">
            <v>NY.GDP.MKTP.KD</v>
          </cell>
          <cell r="E219">
            <v>738820673505.76196</v>
          </cell>
          <cell r="F219">
            <v>776887200452.95105</v>
          </cell>
          <cell r="G219">
            <v>808072876833.34705</v>
          </cell>
          <cell r="H219">
            <v>824013340189.43799</v>
          </cell>
          <cell r="I219">
            <v>859514882216.172</v>
          </cell>
          <cell r="J219">
            <v>893781629582.56006</v>
          </cell>
          <cell r="K219">
            <v>919930022724.422</v>
          </cell>
          <cell r="L219">
            <v>938507003390.82605</v>
          </cell>
          <cell r="M219">
            <v>962366647531.20801</v>
          </cell>
          <cell r="N219">
            <v>986187837152.57397</v>
          </cell>
          <cell r="O219">
            <v>1006679813065.29</v>
          </cell>
          <cell r="P219">
            <v>977091625151.70605</v>
          </cell>
          <cell r="Q219">
            <v>5.1523364616423679</v>
          </cell>
          <cell r="R219">
            <v>4.0141833154431827</v>
          </cell>
          <cell r="S219">
            <v>1.972651701732395</v>
          </cell>
          <cell r="T219">
            <v>4.3083698157814192</v>
          </cell>
          <cell r="U219">
            <v>3.9867543977871249</v>
          </cell>
          <cell r="V219">
            <v>2.9255908016451988</v>
          </cell>
          <cell r="W219">
            <v>2.0193906283640284</v>
          </cell>
          <cell r="X219">
            <v>2.5422979321600221</v>
          </cell>
          <cell r="Y219">
            <v>2.4752717358270133</v>
          </cell>
          <cell r="Z219">
            <v>2.0778978548227354</v>
          </cell>
          <cell r="AA219">
            <v>-2.9391855811123717</v>
          </cell>
          <cell r="AB219">
            <v>25.770076348539295</v>
          </cell>
          <cell r="AC219">
            <v>6.2136902824409308</v>
          </cell>
          <cell r="AD219">
            <v>33.451614870381555</v>
          </cell>
          <cell r="AE219">
            <v>10.314207313722012</v>
          </cell>
        </row>
        <row r="220">
          <cell r="B220" t="str">
            <v>AFW</v>
          </cell>
          <cell r="C220" t="str">
            <v>GDP (constant 2015 US$)</v>
          </cell>
          <cell r="D220" t="str">
            <v>NY.GDP.MKTP.KD</v>
          </cell>
          <cell r="E220">
            <v>558693713983.52197</v>
          </cell>
          <cell r="F220">
            <v>597562091886.63696</v>
          </cell>
          <cell r="G220">
            <v>626533999497.87903</v>
          </cell>
          <cell r="H220">
            <v>658756419175.703</v>
          </cell>
          <cell r="I220">
            <v>698968496793.38904</v>
          </cell>
          <cell r="J220">
            <v>740398805175.85901</v>
          </cell>
          <cell r="K220">
            <v>760729687146.57397</v>
          </cell>
          <cell r="L220">
            <v>761700338996.09094</v>
          </cell>
          <cell r="M220">
            <v>779356869183.87598</v>
          </cell>
          <cell r="N220">
            <v>802365278925.65601</v>
          </cell>
          <cell r="O220">
            <v>827963431037.27502</v>
          </cell>
          <cell r="P220">
            <v>820636112652.49695</v>
          </cell>
          <cell r="Q220">
            <v>6.9570100629879947</v>
          </cell>
          <cell r="R220">
            <v>4.8483509922410377</v>
          </cell>
          <cell r="S220">
            <v>5.1429642611012136</v>
          </cell>
          <cell r="T220">
            <v>6.1042407249713193</v>
          </cell>
          <cell r="U220">
            <v>5.9273498837983434</v>
          </cell>
          <cell r="V220">
            <v>2.7459366261248879</v>
          </cell>
          <cell r="W220">
            <v>0.12759484294057094</v>
          </cell>
          <cell r="X220">
            <v>2.3180415294361119</v>
          </cell>
          <cell r="Y220">
            <v>2.952230313421615</v>
          </cell>
          <cell r="Z220">
            <v>3.1903364694312555</v>
          </cell>
          <cell r="AA220">
            <v>-0.88498091945901414</v>
          </cell>
          <cell r="AB220">
            <v>37.330684759731916</v>
          </cell>
          <cell r="AC220">
            <v>7.874863636599537</v>
          </cell>
          <cell r="AD220">
            <v>43.708294601647957</v>
          </cell>
          <cell r="AE220">
            <v>8.4401004971403903</v>
          </cell>
        </row>
        <row r="221">
          <cell r="B221" t="str">
            <v>ARB</v>
          </cell>
          <cell r="C221" t="str">
            <v>GDP (constant 2015 US$)</v>
          </cell>
          <cell r="D221" t="str">
            <v>NY.GDP.MKTP.KD</v>
          </cell>
          <cell r="E221">
            <v>1982476624054.01</v>
          </cell>
          <cell r="F221">
            <v>2077172086641.6499</v>
          </cell>
          <cell r="G221">
            <v>2156245406475.6899</v>
          </cell>
          <cell r="H221">
            <v>2264960921013.9102</v>
          </cell>
          <cell r="I221">
            <v>2332118132273.6899</v>
          </cell>
          <cell r="J221">
            <v>2391772244181.8701</v>
          </cell>
          <cell r="K221">
            <v>2463579840358.4302</v>
          </cell>
          <cell r="L221">
            <v>2542415224638.98</v>
          </cell>
          <cell r="M221">
            <v>2566039016326.6001</v>
          </cell>
          <cell r="N221">
            <v>2627566299505.79</v>
          </cell>
          <cell r="O221">
            <v>2681441590769.1401</v>
          </cell>
          <cell r="P221">
            <v>2539812021283.6001</v>
          </cell>
          <cell r="Q221">
            <v>4.7766244221329108</v>
          </cell>
          <cell r="R221">
            <v>3.8067775097962615</v>
          </cell>
          <cell r="S221">
            <v>5.0418896759952769</v>
          </cell>
          <cell r="T221">
            <v>2.9650494468450628</v>
          </cell>
          <cell r="U221">
            <v>2.5579369708009012</v>
          </cell>
          <cell r="V221">
            <v>3.0022756703208824</v>
          </cell>
          <cell r="W221">
            <v>3.2000336660118118</v>
          </cell>
          <cell r="X221">
            <v>0.92918699741403044</v>
          </cell>
          <cell r="Y221">
            <v>2.397753221510599</v>
          </cell>
          <cell r="Z221">
            <v>2.0503875115723367</v>
          </cell>
          <cell r="AA221">
            <v>-5.2818442875317393</v>
          </cell>
          <cell r="AB221">
            <v>22.272585772608835</v>
          </cell>
          <cell r="AC221">
            <v>3.0943661608336095</v>
          </cell>
          <cell r="AD221">
            <v>32.435934280462121</v>
          </cell>
          <cell r="AE221">
            <v>9.7726359750351257</v>
          </cell>
        </row>
        <row r="222">
          <cell r="B222" t="str">
            <v>CSS</v>
          </cell>
          <cell r="C222" t="str">
            <v>GDP (constant 2015 US$)</v>
          </cell>
          <cell r="D222" t="str">
            <v>NY.GDP.MKTP.KD</v>
          </cell>
          <cell r="E222">
            <v>68844077906.317398</v>
          </cell>
          <cell r="F222">
            <v>69778869525.642197</v>
          </cell>
          <cell r="G222">
            <v>70574250068.920395</v>
          </cell>
          <cell r="H222">
            <v>71517874312.310898</v>
          </cell>
          <cell r="I222">
            <v>71964067147.838898</v>
          </cell>
          <cell r="J222">
            <v>72468529841.087494</v>
          </cell>
          <cell r="K222">
            <v>73243299833.001602</v>
          </cell>
          <cell r="L222">
            <v>72406840087.872192</v>
          </cell>
          <cell r="M222">
            <v>72471555398.192505</v>
          </cell>
          <cell r="N222">
            <v>73828358353.180603</v>
          </cell>
          <cell r="O222">
            <v>74283427277.970596</v>
          </cell>
          <cell r="P222">
            <v>68220930221.567802</v>
          </cell>
          <cell r="Q222">
            <v>1.3578388261614271</v>
          </cell>
          <cell r="R222">
            <v>1.139858740454248</v>
          </cell>
          <cell r="S222">
            <v>1.3370659163490819</v>
          </cell>
          <cell r="T222">
            <v>0.62388995732664476</v>
          </cell>
          <cell r="U222">
            <v>0.70099247199613746</v>
          </cell>
          <cell r="V222">
            <v>1.0691123355380072</v>
          </cell>
          <cell r="W222">
            <v>-1.1420290279610283</v>
          </cell>
          <cell r="X222">
            <v>8.9377343689870548E-2</v>
          </cell>
          <cell r="Y222">
            <v>1.8721868842654064</v>
          </cell>
          <cell r="Z222">
            <v>0.616387706486756</v>
          </cell>
          <cell r="AA222">
            <v>-8.1613049889536811</v>
          </cell>
          <cell r="AB222">
            <v>-2.2326806304907043</v>
          </cell>
          <cell r="AC222">
            <v>-6.8571045035997216</v>
          </cell>
          <cell r="AD222">
            <v>7.0902659911160182</v>
          </cell>
          <cell r="AE222">
            <v>1.7342373450584203</v>
          </cell>
        </row>
        <row r="223">
          <cell r="B223" t="str">
            <v>CEB</v>
          </cell>
          <cell r="C223" t="str">
            <v>GDP (constant 2015 US$)</v>
          </cell>
          <cell r="D223" t="str">
            <v>NY.GDP.MKTP.KD</v>
          </cell>
          <cell r="E223">
            <v>1129640344463.0901</v>
          </cell>
          <cell r="F223">
            <v>1148811707011.48</v>
          </cell>
          <cell r="G223">
            <v>1184016365279.5901</v>
          </cell>
          <cell r="H223">
            <v>1193049874092.3301</v>
          </cell>
          <cell r="I223">
            <v>1207834970158.26</v>
          </cell>
          <cell r="J223">
            <v>1243870520974.6001</v>
          </cell>
          <cell r="K223">
            <v>1292973709969.9099</v>
          </cell>
          <cell r="L223">
            <v>1332672415260.3899</v>
          </cell>
          <cell r="M223">
            <v>1397687949074.74</v>
          </cell>
          <cell r="N223">
            <v>1460460719447.9399</v>
          </cell>
          <cell r="O223">
            <v>1519932999983.23</v>
          </cell>
          <cell r="P223">
            <v>1461963666819.1799</v>
          </cell>
          <cell r="Q223">
            <v>1.697120914843202</v>
          </cell>
          <cell r="R223">
            <v>3.0644411136522574</v>
          </cell>
          <cell r="S223">
            <v>0.76295472576570711</v>
          </cell>
          <cell r="T223">
            <v>1.2392689012417359</v>
          </cell>
          <cell r="U223">
            <v>2.9834829845685316</v>
          </cell>
          <cell r="V223">
            <v>3.9476125663655397</v>
          </cell>
          <cell r="W223">
            <v>3.0703412594061055</v>
          </cell>
          <cell r="X223">
            <v>4.8785832939782701</v>
          </cell>
          <cell r="Y223">
            <v>4.4911863491958348</v>
          </cell>
          <cell r="Z223">
            <v>4.0721588566771452</v>
          </cell>
          <cell r="AA223">
            <v>-3.8139400331915714</v>
          </cell>
          <cell r="AB223">
            <v>27.258771641728284</v>
          </cell>
          <cell r="AC223">
            <v>13.069867975366858</v>
          </cell>
          <cell r="AD223">
            <v>29.291178870906307</v>
          </cell>
          <cell r="AE223">
            <v>17.417793390050118</v>
          </cell>
        </row>
        <row r="224">
          <cell r="B224" t="str">
            <v>EAR</v>
          </cell>
          <cell r="C224" t="str">
            <v>GDP (constant 2015 US$)</v>
          </cell>
          <cell r="D224" t="str">
            <v>NY.GDP.MKTP.KD</v>
          </cell>
          <cell r="E224">
            <v>7629215518733.2803</v>
          </cell>
          <cell r="F224">
            <v>8128806328994.7998</v>
          </cell>
          <cell r="G224">
            <v>8537714238774.0801</v>
          </cell>
          <cell r="H224">
            <v>8876238512412.2695</v>
          </cell>
          <cell r="I224">
            <v>9260252213098.1895</v>
          </cell>
          <cell r="J224">
            <v>9651318300636.0195</v>
          </cell>
          <cell r="K224">
            <v>10082377974481.9</v>
          </cell>
          <cell r="L224">
            <v>10554026490600.801</v>
          </cell>
          <cell r="M224">
            <v>11035307308113.199</v>
          </cell>
          <cell r="N224">
            <v>11440210685161.6</v>
          </cell>
          <cell r="O224">
            <v>11703037495097.199</v>
          </cell>
          <cell r="P224">
            <v>11175750002752.6</v>
          </cell>
          <cell r="Q224">
            <v>6.5483903166032098</v>
          </cell>
          <cell r="R224">
            <v>5.030356158452669</v>
          </cell>
          <cell r="S224">
            <v>3.9650457273538087</v>
          </cell>
          <cell r="T224">
            <v>4.3263111975745865</v>
          </cell>
          <cell r="U224">
            <v>4.2230608685224098</v>
          </cell>
          <cell r="V224">
            <v>4.4663294735339329</v>
          </cell>
          <cell r="W224">
            <v>4.677949163507102</v>
          </cell>
          <cell r="X224">
            <v>4.5601630613777333</v>
          </cell>
          <cell r="Y224">
            <v>3.6691626770621411</v>
          </cell>
          <cell r="Z224">
            <v>2.2973948397339945</v>
          </cell>
          <cell r="AA224">
            <v>-4.5055609927379816</v>
          </cell>
          <cell r="AB224">
            <v>37.483285373519067</v>
          </cell>
          <cell r="AC224">
            <v>10.844386423897026</v>
          </cell>
          <cell r="AD224">
            <v>49.829960893814395</v>
          </cell>
          <cell r="AE224">
            <v>18.438230634975561</v>
          </cell>
        </row>
        <row r="225">
          <cell r="B225" t="str">
            <v>EAS</v>
          </cell>
          <cell r="C225" t="str">
            <v>GDP (constant 2015 US$)</v>
          </cell>
          <cell r="D225" t="str">
            <v>NY.GDP.MKTP.KD</v>
          </cell>
          <cell r="E225">
            <v>15928673608874</v>
          </cell>
          <cell r="F225">
            <v>17141403750111.6</v>
          </cell>
          <cell r="G225">
            <v>18079496813274.199</v>
          </cell>
          <cell r="H225">
            <v>19016034478447.898</v>
          </cell>
          <cell r="I225">
            <v>20013128856458.301</v>
          </cell>
          <cell r="J225">
            <v>20964036581533.898</v>
          </cell>
          <cell r="K225">
            <v>21951401205501.801</v>
          </cell>
          <cell r="L225">
            <v>22974032892813.801</v>
          </cell>
          <cell r="M225">
            <v>24133820672087.699</v>
          </cell>
          <cell r="N225">
            <v>25275414410483.5</v>
          </cell>
          <cell r="O225">
            <v>26302619575881.898</v>
          </cell>
          <cell r="P225">
            <v>26267553268938.602</v>
          </cell>
          <cell r="Q225">
            <v>7.6135036162833876</v>
          </cell>
          <cell r="R225">
            <v>5.4726735151809969</v>
          </cell>
          <cell r="S225">
            <v>5.1801091305045688</v>
          </cell>
          <cell r="T225">
            <v>5.2434401038790384</v>
          </cell>
          <cell r="U225">
            <v>4.7514195900894158</v>
          </cell>
          <cell r="V225">
            <v>4.709802046604036</v>
          </cell>
          <cell r="W225">
            <v>4.6586169043992154</v>
          </cell>
          <cell r="X225">
            <v>5.0482550655556695</v>
          </cell>
          <cell r="Y225">
            <v>4.7302652733975386</v>
          </cell>
          <cell r="Z225">
            <v>4.0640487578804798</v>
          </cell>
          <cell r="AA225">
            <v>-0.13331868653664752</v>
          </cell>
          <cell r="AB225">
            <v>53.240385979284724</v>
          </cell>
          <cell r="AC225">
            <v>19.662307763547322</v>
          </cell>
          <cell r="AD225">
            <v>58.960037398461921</v>
          </cell>
          <cell r="AE225">
            <v>20.779342409888169</v>
          </cell>
        </row>
        <row r="226">
          <cell r="B226" t="str">
            <v>EAP</v>
          </cell>
          <cell r="C226" t="str">
            <v>GDP (constant 2015 US$)</v>
          </cell>
          <cell r="D226" t="str">
            <v>NY.GDP.MKTP.KD</v>
          </cell>
          <cell r="E226">
            <v>8439680673684.1299</v>
          </cell>
          <cell r="F226">
            <v>9278133216234.75</v>
          </cell>
          <cell r="G226">
            <v>10081214727348</v>
          </cell>
          <cell r="H226">
            <v>10845203318943.5</v>
          </cell>
          <cell r="I226">
            <v>11636906072316.801</v>
          </cell>
          <cell r="J226">
            <v>12449172484319.6</v>
          </cell>
          <cell r="K226">
            <v>13281198366371.301</v>
          </cell>
          <cell r="L226">
            <v>14154938722611.4</v>
          </cell>
          <cell r="M226">
            <v>15103665182366.301</v>
          </cell>
          <cell r="N226">
            <v>16087745443157</v>
          </cell>
          <cell r="O226">
            <v>17016933263759.9</v>
          </cell>
          <cell r="P226">
            <v>17251524473606.1</v>
          </cell>
          <cell r="Q226">
            <v>9.9346477072883701</v>
          </cell>
          <cell r="R226">
            <v>8.6556367794765983</v>
          </cell>
          <cell r="S226">
            <v>7.5783386452723391</v>
          </cell>
          <cell r="T226">
            <v>7.3000268421931773</v>
          </cell>
          <cell r="U226">
            <v>6.9800890971794534</v>
          </cell>
          <cell r="V226">
            <v>6.6833830369021099</v>
          </cell>
          <cell r="W226">
            <v>6.5787764939379008</v>
          </cell>
          <cell r="X226">
            <v>6.7024413057993986</v>
          </cell>
          <cell r="Y226">
            <v>6.5155063284878949</v>
          </cell>
          <cell r="Z226">
            <v>5.7757491494753541</v>
          </cell>
          <cell r="AA226">
            <v>1.3785751299019091</v>
          </cell>
          <cell r="AB226">
            <v>85.937451764753916</v>
          </cell>
          <cell r="AC226">
            <v>29.894336321998438</v>
          </cell>
          <cell r="AD226">
            <v>91.463799586654318</v>
          </cell>
          <cell r="AE226">
            <v>29.799256225015913</v>
          </cell>
        </row>
        <row r="227">
          <cell r="B227" t="str">
            <v>TEA</v>
          </cell>
          <cell r="C227" t="str">
            <v>GDP (constant 2015 US$)</v>
          </cell>
          <cell r="D227" t="str">
            <v>NY.GDP.MKTP.KD</v>
          </cell>
          <cell r="E227">
            <v>8428674366781.4404</v>
          </cell>
          <cell r="F227">
            <v>9266077232902.9492</v>
          </cell>
          <cell r="G227">
            <v>10068170656420.301</v>
          </cell>
          <cell r="H227">
            <v>10831239577872.699</v>
          </cell>
          <cell r="I227">
            <v>11621972043998.699</v>
          </cell>
          <cell r="J227">
            <v>12433240724383</v>
          </cell>
          <cell r="K227">
            <v>13264224627407</v>
          </cell>
          <cell r="L227">
            <v>14136882610020.699</v>
          </cell>
          <cell r="M227">
            <v>15084450314863</v>
          </cell>
          <cell r="N227">
            <v>16067283988379.801</v>
          </cell>
          <cell r="O227">
            <v>16995303639412.5</v>
          </cell>
          <cell r="P227">
            <v>17229550948650</v>
          </cell>
          <cell r="Q227">
            <v>9.9351669038470405</v>
          </cell>
          <cell r="R227">
            <v>8.6562350318988805</v>
          </cell>
          <cell r="S227">
            <v>7.5790225204993167</v>
          </cell>
          <cell r="T227">
            <v>7.300479879896657</v>
          </cell>
          <cell r="U227">
            <v>6.980473514417203</v>
          </cell>
          <cell r="V227">
            <v>6.683566428456146</v>
          </cell>
          <cell r="W227">
            <v>6.5790350143089631</v>
          </cell>
          <cell r="X227">
            <v>6.7028052151372668</v>
          </cell>
          <cell r="Y227">
            <v>6.5155418527143532</v>
          </cell>
          <cell r="Z227">
            <v>5.7758339972322803</v>
          </cell>
          <cell r="AA227">
            <v>1.3783061144860931</v>
          </cell>
          <cell r="AB227">
            <v>85.942233326844303</v>
          </cell>
          <cell r="AC227">
            <v>29.8948972339454</v>
          </cell>
          <cell r="AD227">
            <v>91.469963187789389</v>
          </cell>
          <cell r="AE227">
            <v>29.800267404505941</v>
          </cell>
        </row>
        <row r="228">
          <cell r="B228" t="str">
            <v>EMU</v>
          </cell>
          <cell r="C228" t="str">
            <v>GDP (constant 2015 US$)</v>
          </cell>
          <cell r="D228" t="str">
            <v>NY.GDP.MKTP.KD</v>
          </cell>
          <cell r="E228">
            <v>10965349872015.801</v>
          </cell>
          <cell r="F228">
            <v>11204256257113.9</v>
          </cell>
          <cell r="G228">
            <v>11396799931126.4</v>
          </cell>
          <cell r="H228">
            <v>11300761716203.5</v>
          </cell>
          <cell r="I228">
            <v>11275866075386</v>
          </cell>
          <cell r="J228">
            <v>11433913798529.699</v>
          </cell>
          <cell r="K228">
            <v>11669741216577.301</v>
          </cell>
          <cell r="L228">
            <v>11887328604914</v>
          </cell>
          <cell r="M228">
            <v>12198028248652.199</v>
          </cell>
          <cell r="N228">
            <v>12421572557905.301</v>
          </cell>
          <cell r="O228">
            <v>12615961472339.9</v>
          </cell>
          <cell r="P228">
            <v>11809269007804.4</v>
          </cell>
          <cell r="Q228">
            <v>2.1787392822531122</v>
          </cell>
          <cell r="R228">
            <v>1.7184868820743775</v>
          </cell>
          <cell r="S228">
            <v>-0.84267702779097997</v>
          </cell>
          <cell r="T228">
            <v>-0.22030055533162513</v>
          </cell>
          <cell r="U228">
            <v>1.4016459763450042</v>
          </cell>
          <cell r="V228">
            <v>2.0625257650440472</v>
          </cell>
          <cell r="W228">
            <v>1.8645433887394887</v>
          </cell>
          <cell r="X228">
            <v>2.6137045089319884</v>
          </cell>
          <cell r="Y228">
            <v>1.8326265909230186</v>
          </cell>
          <cell r="Z228">
            <v>1.5649299919830777</v>
          </cell>
          <cell r="AA228">
            <v>-6.394221053259777</v>
          </cell>
          <cell r="AB228">
            <v>5.3998474937268615</v>
          </cell>
          <cell r="AC228">
            <v>1.1956374064995992</v>
          </cell>
          <cell r="AD228">
            <v>13.179728942661084</v>
          </cell>
          <cell r="AE228">
            <v>8.5416024769909171</v>
          </cell>
        </row>
        <row r="229">
          <cell r="B229" t="str">
            <v>ECS</v>
          </cell>
          <cell r="C229" t="str">
            <v>GDP (constant 2015 US$)</v>
          </cell>
          <cell r="D229" t="str">
            <v>NY.GDP.MKTP.KD</v>
          </cell>
          <cell r="E229">
            <v>18525788552724.199</v>
          </cell>
          <cell r="F229">
            <v>19018647553742.602</v>
          </cell>
          <cell r="G229">
            <v>19467933238370</v>
          </cell>
          <cell r="H229">
            <v>19536566130892.199</v>
          </cell>
          <cell r="I229">
            <v>19711772546519.102</v>
          </cell>
          <cell r="J229">
            <v>20083190409879.602</v>
          </cell>
          <cell r="K229">
            <v>20508597009691</v>
          </cell>
          <cell r="L229">
            <v>20912587087379.199</v>
          </cell>
          <cell r="M229">
            <v>21502028010646.199</v>
          </cell>
          <cell r="N229">
            <v>21969220119165.199</v>
          </cell>
          <cell r="O229">
            <v>22365520285914.602</v>
          </cell>
          <cell r="P229">
            <v>21117435294287.102</v>
          </cell>
          <cell r="Q229">
            <v>2.660394183036964</v>
          </cell>
          <cell r="R229">
            <v>2.3623429760597534</v>
          </cell>
          <cell r="S229">
            <v>0.35254329096900927</v>
          </cell>
          <cell r="T229">
            <v>0.89681274822322621</v>
          </cell>
          <cell r="U229">
            <v>1.8842438572379359</v>
          </cell>
          <cell r="V229">
            <v>2.1182222103621871</v>
          </cell>
          <cell r="W229">
            <v>1.9698572140127399</v>
          </cell>
          <cell r="X229">
            <v>2.8185939922408219</v>
          </cell>
          <cell r="Y229">
            <v>2.1727816012874754</v>
          </cell>
          <cell r="Z229">
            <v>1.8038881881095248</v>
          </cell>
          <cell r="AA229">
            <v>-5.5803977536508338</v>
          </cell>
          <cell r="AB229">
            <v>11.035420550350796</v>
          </cell>
          <cell r="AC229">
            <v>2.9686978797643011</v>
          </cell>
          <cell r="AD229">
            <v>18.489457045921419</v>
          </cell>
          <cell r="AE229">
            <v>9.3008920475099224</v>
          </cell>
        </row>
        <row r="230">
          <cell r="B230" t="str">
            <v>ECA</v>
          </cell>
          <cell r="C230" t="str">
            <v>GDP (constant 2015 US$)</v>
          </cell>
          <cell r="D230" t="str">
            <v>NY.GDP.MKTP.KD</v>
          </cell>
          <cell r="E230">
            <v>2496263891615.7598</v>
          </cell>
          <cell r="F230">
            <v>2621747672811.2798</v>
          </cell>
          <cell r="G230">
            <v>2779796214909.54</v>
          </cell>
          <cell r="H230">
            <v>2887260892626.0298</v>
          </cell>
          <cell r="I230">
            <v>3003649760154.0898</v>
          </cell>
          <cell r="J230">
            <v>3067822429398.3999</v>
          </cell>
          <cell r="K230">
            <v>3099131447149.27</v>
          </cell>
          <cell r="L230">
            <v>3153535012936.9399</v>
          </cell>
          <cell r="M230">
            <v>3283708025753.1899</v>
          </cell>
          <cell r="N230">
            <v>3389705484596.5801</v>
          </cell>
          <cell r="O230">
            <v>3468157804813.1899</v>
          </cell>
          <cell r="P230">
            <v>3414610834793.2798</v>
          </cell>
          <cell r="Q230">
            <v>5.0268636107337983</v>
          </cell>
          <cell r="R230">
            <v>6.0283658773609599</v>
          </cell>
          <cell r="S230">
            <v>3.8659192763879227</v>
          </cell>
          <cell r="T230">
            <v>4.0311170987461997</v>
          </cell>
          <cell r="U230">
            <v>2.136489749757573</v>
          </cell>
          <cell r="V230">
            <v>1.0205616026156317</v>
          </cell>
          <cell r="W230">
            <v>1.7554455729108533</v>
          </cell>
          <cell r="X230">
            <v>4.1278442218727012</v>
          </cell>
          <cell r="Y230">
            <v>3.2279806247109106</v>
          </cell>
          <cell r="Z230">
            <v>2.3144288072551156</v>
          </cell>
          <cell r="AA230">
            <v>-1.5439600223956484</v>
          </cell>
          <cell r="AB230">
            <v>30.241779947183815</v>
          </cell>
          <cell r="AC230">
            <v>10.179606545382349</v>
          </cell>
          <cell r="AD230">
            <v>35.822350206585774</v>
          </cell>
          <cell r="AE230">
            <v>10.517618375186633</v>
          </cell>
        </row>
        <row r="231">
          <cell r="B231" t="str">
            <v>TEC</v>
          </cell>
          <cell r="C231" t="str">
            <v>GDP (constant 2015 US$)</v>
          </cell>
          <cell r="D231" t="str">
            <v>NY.GDP.MKTP.KD</v>
          </cell>
          <cell r="E231">
            <v>2945564263901.1602</v>
          </cell>
          <cell r="F231">
            <v>3085303411507.71</v>
          </cell>
          <cell r="G231">
            <v>3262962203634.3999</v>
          </cell>
          <cell r="H231">
            <v>3375012771903.29</v>
          </cell>
          <cell r="I231">
            <v>3496158907353.1602</v>
          </cell>
          <cell r="J231">
            <v>3575142757943.27</v>
          </cell>
          <cell r="K231">
            <v>3627106551426.5098</v>
          </cell>
          <cell r="L231">
            <v>3698293638000.2598</v>
          </cell>
          <cell r="M231">
            <v>3854046371211.6802</v>
          </cell>
          <cell r="N231">
            <v>3989260216269.8101</v>
          </cell>
          <cell r="O231">
            <v>4095463099662.9702</v>
          </cell>
          <cell r="P231">
            <v>4022692727957.8301</v>
          </cell>
          <cell r="Q231">
            <v>4.7440536035522332</v>
          </cell>
          <cell r="R231">
            <v>5.7582275851395952</v>
          </cell>
          <cell r="S231">
            <v>3.4340136745710494</v>
          </cell>
          <cell r="T231">
            <v>3.5895015408060664</v>
          </cell>
          <cell r="U231">
            <v>2.2591607728124186</v>
          </cell>
          <cell r="V231">
            <v>1.4534746442722135</v>
          </cell>
          <cell r="W231">
            <v>1.9626411731894871</v>
          </cell>
          <cell r="X231">
            <v>4.2114755737902678</v>
          </cell>
          <cell r="Y231">
            <v>3.5083606172496515</v>
          </cell>
          <cell r="Z231">
            <v>2.66222000159383</v>
          </cell>
          <cell r="AA231">
            <v>-1.776853311439399</v>
          </cell>
          <cell r="AB231">
            <v>30.382403006258681</v>
          </cell>
          <cell r="AC231">
            <v>10.906384219006185</v>
          </cell>
          <cell r="AD231">
            <v>35.471272594746054</v>
          </cell>
          <cell r="AE231">
            <v>11.614938579364175</v>
          </cell>
        </row>
        <row r="232">
          <cell r="B232" t="str">
            <v>EUU</v>
          </cell>
          <cell r="C232" t="str">
            <v>GDP (constant 2015 US$)</v>
          </cell>
          <cell r="D232" t="str">
            <v>NY.GDP.MKTP.KD</v>
          </cell>
          <cell r="E232">
            <v>12609662729638.199</v>
          </cell>
          <cell r="F232">
            <v>12893296991141.699</v>
          </cell>
          <cell r="G232">
            <v>13132830568205</v>
          </cell>
          <cell r="H232">
            <v>13040022845513.5</v>
          </cell>
          <cell r="I232">
            <v>13035859115627.801</v>
          </cell>
          <cell r="J232">
            <v>13241268912467.801</v>
          </cell>
          <cell r="K232">
            <v>13547247755711.5</v>
          </cell>
          <cell r="L232">
            <v>13819319725751.6</v>
          </cell>
          <cell r="M232">
            <v>14208149465740.9</v>
          </cell>
          <cell r="N232">
            <v>14501630494668</v>
          </cell>
          <cell r="O232">
            <v>14765116523492</v>
          </cell>
          <cell r="P232">
            <v>13885761156173.9</v>
          </cell>
          <cell r="Q232">
            <v>2.2493405857464843</v>
          </cell>
          <cell r="R232">
            <v>1.8578147794770536</v>
          </cell>
          <cell r="S232">
            <v>-0.7066848400236766</v>
          </cell>
          <cell r="T232">
            <v>-3.1930387968083777E-2</v>
          </cell>
          <cell r="U232">
            <v>1.5757288799918698</v>
          </cell>
          <cell r="V232">
            <v>2.3107969883127564</v>
          </cell>
          <cell r="W232">
            <v>2.0083191430923262</v>
          </cell>
          <cell r="X232">
            <v>2.8136677326072448</v>
          </cell>
          <cell r="Y232">
            <v>2.0655823591576761</v>
          </cell>
          <cell r="Z232">
            <v>1.8169407151897803</v>
          </cell>
          <cell r="AA232">
            <v>-5.9556276844751181</v>
          </cell>
          <cell r="AB232">
            <v>7.6975203915187143</v>
          </cell>
          <cell r="AC232">
            <v>2.4987614205230995</v>
          </cell>
          <cell r="AD232">
            <v>14.905267236300478</v>
          </cell>
          <cell r="AE232">
            <v>9.4243063324856102</v>
          </cell>
        </row>
        <row r="233">
          <cell r="B233" t="str">
            <v>FCS</v>
          </cell>
          <cell r="C233" t="str">
            <v>GDP (constant 2015 US$)</v>
          </cell>
          <cell r="D233" t="str">
            <v>NY.GDP.MKTP.KD</v>
          </cell>
          <cell r="E233">
            <v>1251217091031.6399</v>
          </cell>
          <cell r="F233">
            <v>1341757817369.9399</v>
          </cell>
          <cell r="G233">
            <v>1346229395961.53</v>
          </cell>
          <cell r="H233">
            <v>1415295001073.4199</v>
          </cell>
          <cell r="I233">
            <v>1481141552930.6699</v>
          </cell>
          <cell r="J233">
            <v>1535704442323.5</v>
          </cell>
          <cell r="K233">
            <v>1560339195776.8</v>
          </cell>
          <cell r="L233">
            <v>1594448928180.3301</v>
          </cell>
          <cell r="M233">
            <v>1625040532249.52</v>
          </cell>
          <cell r="N233">
            <v>1669633080510.0801</v>
          </cell>
          <cell r="O233">
            <v>1720631743301.3501</v>
          </cell>
          <cell r="P233">
            <v>1639111718273.71</v>
          </cell>
          <cell r="Q233">
            <v>7.2362124036883486</v>
          </cell>
          <cell r="R233">
            <v>0.33326271952378839</v>
          </cell>
          <cell r="S233">
            <v>5.1302998819573782</v>
          </cell>
          <cell r="T233">
            <v>4.6524966036981104</v>
          </cell>
          <cell r="U233">
            <v>3.6838402976993576</v>
          </cell>
          <cell r="V233">
            <v>1.6041337626156764</v>
          </cell>
          <cell r="W233">
            <v>2.1860459889651636</v>
          </cell>
          <cell r="X233">
            <v>1.9186317936255699</v>
          </cell>
          <cell r="Y233">
            <v>2.7440883704501351</v>
          </cell>
          <cell r="Z233">
            <v>3.0544832506367032</v>
          </cell>
          <cell r="AA233">
            <v>-4.7377961812577567</v>
          </cell>
          <cell r="AB233">
            <v>22.161518051493918</v>
          </cell>
          <cell r="AC233">
            <v>5.0484229781649343</v>
          </cell>
          <cell r="AD233">
            <v>33.375569127804994</v>
          </cell>
          <cell r="AE233">
            <v>8.6679096703606184</v>
          </cell>
        </row>
        <row r="234">
          <cell r="B234" t="str">
            <v>HPC</v>
          </cell>
          <cell r="C234" t="str">
            <v>GDP (constant 2015 US$)</v>
          </cell>
          <cell r="D234" t="str">
            <v>NY.GDP.MKTP.KD</v>
          </cell>
          <cell r="E234">
            <v>488963710249.065</v>
          </cell>
          <cell r="F234">
            <v>518688180761.172</v>
          </cell>
          <cell r="G234">
            <v>541745875296.617</v>
          </cell>
          <cell r="H234">
            <v>563076414997.89905</v>
          </cell>
          <cell r="I234">
            <v>595390805511.39404</v>
          </cell>
          <cell r="J234">
            <v>630004936126.90002</v>
          </cell>
          <cell r="K234">
            <v>660137574454.02295</v>
          </cell>
          <cell r="L234">
            <v>689338441658.78503</v>
          </cell>
          <cell r="M234">
            <v>723834443496.78796</v>
          </cell>
          <cell r="N234">
            <v>755285712461.88403</v>
          </cell>
          <cell r="O234">
            <v>788661392496.297</v>
          </cell>
          <cell r="P234">
            <v>791667206680.83203</v>
          </cell>
          <cell r="Q234">
            <v>6.0790749679492873</v>
          </cell>
          <cell r="R234">
            <v>4.4453865329277349</v>
          </cell>
          <cell r="S234">
            <v>3.9373700242024237</v>
          </cell>
          <cell r="T234">
            <v>5.7388996684607303</v>
          </cell>
          <cell r="U234">
            <v>5.8136824242314518</v>
          </cell>
          <cell r="V234">
            <v>4.7829209898529106</v>
          </cell>
          <cell r="W234">
            <v>4.4234517674460685</v>
          </cell>
          <cell r="X234">
            <v>5.0042185018716934</v>
          </cell>
          <cell r="Y234">
            <v>4.3450915119702556</v>
          </cell>
          <cell r="Z234">
            <v>4.4189476225657174</v>
          </cell>
          <cell r="AA234">
            <v>0.38112860768053219</v>
          </cell>
          <cell r="AB234">
            <v>52.628734574029593</v>
          </cell>
          <cell r="AC234">
            <v>19.924578953954061</v>
          </cell>
          <cell r="AD234">
            <v>54.776454462242775</v>
          </cell>
          <cell r="AE234">
            <v>20.126153135107593</v>
          </cell>
        </row>
        <row r="235">
          <cell r="B235" t="str">
            <v>HIC</v>
          </cell>
          <cell r="C235" t="str">
            <v>GDP (constant 2015 US$)</v>
          </cell>
          <cell r="D235" t="str">
            <v>NY.GDP.MKTP.KD</v>
          </cell>
          <cell r="E235">
            <v>42481220292642.203</v>
          </cell>
          <cell r="F235">
            <v>43748588999980</v>
          </cell>
          <cell r="G235">
            <v>44596868735084.797</v>
          </cell>
          <cell r="H235">
            <v>45212925034193.102</v>
          </cell>
          <cell r="I235">
            <v>45893719006135.398</v>
          </cell>
          <cell r="J235">
            <v>46882848125437</v>
          </cell>
          <cell r="K235">
            <v>48055867599598.797</v>
          </cell>
          <cell r="L235">
            <v>48933892012411.297</v>
          </cell>
          <cell r="M235">
            <v>50097460415160.398</v>
          </cell>
          <cell r="N235">
            <v>51275691253852.398</v>
          </cell>
          <cell r="O235">
            <v>52180038375130.5</v>
          </cell>
          <cell r="P235">
            <v>49838404540554</v>
          </cell>
          <cell r="Q235">
            <v>2.9833622918720786</v>
          </cell>
          <cell r="R235">
            <v>1.93898764393335</v>
          </cell>
          <cell r="S235">
            <v>1.3813891346673115</v>
          </cell>
          <cell r="T235">
            <v>1.5057507812808704</v>
          </cell>
          <cell r="U235">
            <v>2.1552603291299355</v>
          </cell>
          <cell r="V235">
            <v>2.5020226395447107</v>
          </cell>
          <cell r="W235">
            <v>1.827090960313513</v>
          </cell>
          <cell r="X235">
            <v>2.3778374351543121</v>
          </cell>
          <cell r="Y235">
            <v>2.35187737846976</v>
          </cell>
          <cell r="Z235">
            <v>1.7636956209930315</v>
          </cell>
          <cell r="AA235">
            <v>-4.4876046616564862</v>
          </cell>
          <cell r="AB235">
            <v>13.920027319228018</v>
          </cell>
          <cell r="AC235">
            <v>3.7093013402802142</v>
          </cell>
          <cell r="AD235">
            <v>20.624276850016578</v>
          </cell>
          <cell r="AE235">
            <v>9.299385220710743</v>
          </cell>
        </row>
        <row r="236">
          <cell r="B236" t="str">
            <v>IBD</v>
          </cell>
          <cell r="C236" t="str">
            <v>GDP (constant 2015 US$)</v>
          </cell>
          <cell r="D236" t="str">
            <v>NY.GDP.MKTP.KD</v>
          </cell>
          <cell r="E236">
            <v>18485543655072.199</v>
          </cell>
          <cell r="F236">
            <v>19936747848276.898</v>
          </cell>
          <cell r="G236">
            <v>21218301019523.102</v>
          </cell>
          <cell r="H236">
            <v>22354105242353.301</v>
          </cell>
          <cell r="I236">
            <v>23551590221248.602</v>
          </cell>
          <cell r="J236">
            <v>24683848023842.898</v>
          </cell>
          <cell r="K236">
            <v>25777855012106.699</v>
          </cell>
          <cell r="L236">
            <v>26981545205911</v>
          </cell>
          <cell r="M236">
            <v>28386259519002.898</v>
          </cell>
          <cell r="N236">
            <v>29763182741377.801</v>
          </cell>
          <cell r="O236">
            <v>30947573002709.398</v>
          </cell>
          <cell r="P236">
            <v>30483038482833.398</v>
          </cell>
          <cell r="Q236">
            <v>7.850481545380501</v>
          </cell>
          <cell r="R236">
            <v>6.4280953995060219</v>
          </cell>
          <cell r="S236">
            <v>5.352946127897507</v>
          </cell>
          <cell r="T236">
            <v>5.3568906736042416</v>
          </cell>
          <cell r="U236">
            <v>4.8075641260637969</v>
          </cell>
          <cell r="V236">
            <v>4.4320763408001271</v>
          </cell>
          <cell r="W236">
            <v>4.6694738303050496</v>
          </cell>
          <cell r="X236">
            <v>5.2062041012542144</v>
          </cell>
          <cell r="Y236">
            <v>4.8506680545675094</v>
          </cell>
          <cell r="Z236">
            <v>3.9793804030407594</v>
          </cell>
          <cell r="AA236">
            <v>-1.5010369951638241</v>
          </cell>
          <cell r="AB236">
            <v>52.898751164513527</v>
          </cell>
          <cell r="AC236">
            <v>18.252812223968544</v>
          </cell>
          <cell r="AD236">
            <v>61.188038176638869</v>
          </cell>
          <cell r="AE236">
            <v>20.712480222352948</v>
          </cell>
        </row>
        <row r="237">
          <cell r="B237" t="str">
            <v>IBT</v>
          </cell>
          <cell r="C237" t="str">
            <v>GDP (constant 2015 US$)</v>
          </cell>
          <cell r="D237" t="str">
            <v>NY.GDP.MKTP.KD</v>
          </cell>
          <cell r="E237">
            <v>20024754490398.602</v>
          </cell>
          <cell r="F237">
            <v>21571694833774</v>
          </cell>
          <cell r="G237">
            <v>22919912728276.301</v>
          </cell>
          <cell r="H237">
            <v>24110491851732.898</v>
          </cell>
          <cell r="I237">
            <v>25401443583246.602</v>
          </cell>
          <cell r="J237">
            <v>26636627219583.5</v>
          </cell>
          <cell r="K237">
            <v>27795215937749.199</v>
          </cell>
          <cell r="L237">
            <v>29062038197507.301</v>
          </cell>
          <cell r="M237">
            <v>30551204405315.5</v>
          </cell>
          <cell r="N237">
            <v>32024673679121.898</v>
          </cell>
          <cell r="O237">
            <v>33299134680470.5</v>
          </cell>
          <cell r="P237">
            <v>32832147666408.898</v>
          </cell>
          <cell r="Q237">
            <v>7.7251401215286801</v>
          </cell>
          <cell r="R237">
            <v>6.2499395846794856</v>
          </cell>
          <cell r="S237">
            <v>5.1945185724367091</v>
          </cell>
          <cell r="T237">
            <v>5.3543152062280237</v>
          </cell>
          <cell r="U237">
            <v>4.8626513382552705</v>
          </cell>
          <cell r="V237">
            <v>4.3496074357112819</v>
          </cell>
          <cell r="W237">
            <v>4.5576989313387797</v>
          </cell>
          <cell r="X237">
            <v>5.1240941797947519</v>
          </cell>
          <cell r="Y237">
            <v>4.8229498721498345</v>
          </cell>
          <cell r="Z237">
            <v>3.9796221317298577</v>
          </cell>
          <cell r="AA237">
            <v>-1.4023998477518493</v>
          </cell>
          <cell r="AB237">
            <v>52.200130399605072</v>
          </cell>
          <cell r="AC237">
            <v>18.121577972052911</v>
          </cell>
          <cell r="AD237">
            <v>60.110956299621066</v>
          </cell>
          <cell r="AE237">
            <v>20.367438590935262</v>
          </cell>
        </row>
        <row r="238">
          <cell r="B238" t="str">
            <v>IDB</v>
          </cell>
          <cell r="C238" t="str">
            <v>GDP (constant 2015 US$)</v>
          </cell>
          <cell r="D238" t="str">
            <v>NY.GDP.MKTP.KD</v>
          </cell>
          <cell r="E238">
            <v>750700399740.73401</v>
          </cell>
          <cell r="F238">
            <v>796628011764.04395</v>
          </cell>
          <cell r="G238">
            <v>834004859517.19995</v>
          </cell>
          <cell r="H238">
            <v>872161893522.46301</v>
          </cell>
          <cell r="I238">
            <v>920437638556.89197</v>
          </cell>
          <cell r="J238">
            <v>974238991253.38904</v>
          </cell>
          <cell r="K238">
            <v>1011433451408.63</v>
          </cell>
          <cell r="L238">
            <v>1028481020807.75</v>
          </cell>
          <cell r="M238">
            <v>1057834622486.77</v>
          </cell>
          <cell r="N238">
            <v>1096314813704.28</v>
          </cell>
          <cell r="O238">
            <v>1121954012747.96</v>
          </cell>
          <cell r="P238">
            <v>1107135693734.1599</v>
          </cell>
          <cell r="Q238">
            <v>6.1179682386171299</v>
          </cell>
          <cell r="R238">
            <v>4.6918821835537949</v>
          </cell>
          <cell r="S238">
            <v>4.5751572751448855</v>
          </cell>
          <cell r="T238">
            <v>5.5351816437948491</v>
          </cell>
          <cell r="U238">
            <v>5.8451925956493387</v>
          </cell>
          <cell r="V238">
            <v>3.8177962993853414</v>
          </cell>
          <cell r="W238">
            <v>1.6854860174317681</v>
          </cell>
          <cell r="X238">
            <v>2.8540732483294873</v>
          </cell>
          <cell r="Y238">
            <v>3.6376377176094246</v>
          </cell>
          <cell r="Z238">
            <v>2.3386712213665164</v>
          </cell>
          <cell r="AA238">
            <v>-1.3207599282528608</v>
          </cell>
          <cell r="AB238">
            <v>38.977750893108983</v>
          </cell>
          <cell r="AC238">
            <v>9.4620404528093047</v>
          </cell>
          <cell r="AD238">
            <v>46.089521524723409</v>
          </cell>
          <cell r="AE238">
            <v>12.569362539523542</v>
          </cell>
        </row>
        <row r="239">
          <cell r="B239" t="str">
            <v>IDX</v>
          </cell>
          <cell r="C239" t="str">
            <v>GDP (constant 2015 US$)</v>
          </cell>
          <cell r="D239" t="str">
            <v>NY.GDP.MKTP.KD</v>
          </cell>
          <cell r="E239">
            <v>787397434211.25806</v>
          </cell>
          <cell r="F239">
            <v>837278701685.74402</v>
          </cell>
          <cell r="G239">
            <v>866702475508.21704</v>
          </cell>
          <cell r="H239">
            <v>883417663876.64905</v>
          </cell>
          <cell r="I239">
            <v>928556324709.51001</v>
          </cell>
          <cell r="J239">
            <v>977507741574.00598</v>
          </cell>
          <cell r="K239">
            <v>1005056077436.73</v>
          </cell>
          <cell r="L239">
            <v>1051392400124.25</v>
          </cell>
          <cell r="M239">
            <v>1106683113038.4299</v>
          </cell>
          <cell r="N239">
            <v>1164807984738.46</v>
          </cell>
          <cell r="O239">
            <v>1229224147182.1699</v>
          </cell>
          <cell r="P239">
            <v>1241633716421.51</v>
          </cell>
          <cell r="Q239">
            <v>6.3349542819443396</v>
          </cell>
          <cell r="R239">
            <v>3.5142150114689832</v>
          </cell>
          <cell r="S239">
            <v>1.9285958954519604</v>
          </cell>
          <cell r="T239">
            <v>5.1095492742109849</v>
          </cell>
          <cell r="U239">
            <v>5.2717767960721122</v>
          </cell>
          <cell r="V239">
            <v>2.8182217583632658</v>
          </cell>
          <cell r="W239">
            <v>4.6103221230893929</v>
          </cell>
          <cell r="X239">
            <v>5.258808500769633</v>
          </cell>
          <cell r="Y239">
            <v>5.2521693893427672</v>
          </cell>
          <cell r="Z239">
            <v>5.5301958166241141</v>
          </cell>
          <cell r="AA239">
            <v>1.0095448635456232</v>
          </cell>
          <cell r="AB239">
            <v>48.293956829625969</v>
          </cell>
          <cell r="AC239">
            <v>23.538750154930831</v>
          </cell>
          <cell r="AD239">
            <v>48.41827022120291</v>
          </cell>
          <cell r="AE239">
            <v>19.553186324714833</v>
          </cell>
        </row>
        <row r="240">
          <cell r="B240" t="str">
            <v>IDA</v>
          </cell>
          <cell r="C240" t="str">
            <v>GDP (constant 2015 US$)</v>
          </cell>
          <cell r="D240" t="str">
            <v>NY.GDP.MKTP.KD</v>
          </cell>
          <cell r="E240">
            <v>1537993890240.3701</v>
          </cell>
          <cell r="F240">
            <v>1633790505615.5901</v>
          </cell>
          <cell r="G240">
            <v>1700619753150.3201</v>
          </cell>
          <cell r="H240">
            <v>1755567243695.53</v>
          </cell>
          <cell r="I240">
            <v>1848993963266.3999</v>
          </cell>
          <cell r="J240">
            <v>1951746732827.3899</v>
          </cell>
          <cell r="K240">
            <v>2016489528845.3601</v>
          </cell>
          <cell r="L240">
            <v>2079873420932</v>
          </cell>
          <cell r="M240">
            <v>2164517735525.21</v>
          </cell>
          <cell r="N240">
            <v>2261122798442.7402</v>
          </cell>
          <cell r="O240">
            <v>2351178159930.1299</v>
          </cell>
          <cell r="P240">
            <v>2348587274686.4199</v>
          </cell>
          <cell r="Q240">
            <v>6.2286733375935643</v>
          </cell>
          <cell r="R240">
            <v>4.0904416634218119</v>
          </cell>
          <cell r="S240">
            <v>3.2310274206460474</v>
          </cell>
          <cell r="T240">
            <v>5.3217397343438337</v>
          </cell>
          <cell r="U240">
            <v>5.5572257996704746</v>
          </cell>
          <cell r="V240">
            <v>3.3171719941439757</v>
          </cell>
          <cell r="W240">
            <v>3.143279009384861</v>
          </cell>
          <cell r="X240">
            <v>4.0696858636368596</v>
          </cell>
          <cell r="Y240">
            <v>4.4631217999278494</v>
          </cell>
          <cell r="Z240">
            <v>3.98277181360569</v>
          </cell>
          <cell r="AA240">
            <v>-0.11019519013339911</v>
          </cell>
          <cell r="AB240">
            <v>43.750821578039719</v>
          </cell>
          <cell r="AC240">
            <v>16.469103414150563</v>
          </cell>
          <cell r="AD240">
            <v>47.26064115555171</v>
          </cell>
          <cell r="AE240">
            <v>16.042702959732978</v>
          </cell>
        </row>
        <row r="241">
          <cell r="B241" t="str">
            <v>LTE</v>
          </cell>
          <cell r="C241" t="str">
            <v>GDP (constant 2015 US$)</v>
          </cell>
          <cell r="D241" t="str">
            <v>NY.GDP.MKTP.KD</v>
          </cell>
          <cell r="E241">
            <v>12953658503147.301</v>
          </cell>
          <cell r="F241">
            <v>13997740971955</v>
          </cell>
          <cell r="G241">
            <v>15000196204386.699</v>
          </cell>
          <cell r="H241">
            <v>15877785035595.801</v>
          </cell>
          <cell r="I241">
            <v>16777184699944</v>
          </cell>
          <cell r="J241">
            <v>17648452445300.398</v>
          </cell>
          <cell r="K241">
            <v>18473004305920.898</v>
          </cell>
          <cell r="L241">
            <v>19293982466199.5</v>
          </cell>
          <cell r="M241">
            <v>20315731121406.602</v>
          </cell>
          <cell r="N241">
            <v>21411581269969.102</v>
          </cell>
          <cell r="O241">
            <v>22419881460422.199</v>
          </cell>
          <cell r="P241">
            <v>22451720920078</v>
          </cell>
          <cell r="Q241">
            <v>8.0601358184178054</v>
          </cell>
          <cell r="R241">
            <v>7.1615500989777994</v>
          </cell>
          <cell r="S241">
            <v>5.8505156816045982</v>
          </cell>
          <cell r="T241">
            <v>5.6645159405538585</v>
          </cell>
          <cell r="U241">
            <v>5.1931701351497104</v>
          </cell>
          <cell r="V241">
            <v>4.6720915795654916</v>
          </cell>
          <cell r="W241">
            <v>4.4442048877532319</v>
          </cell>
          <cell r="X241">
            <v>5.2956856211363821</v>
          </cell>
          <cell r="Y241">
            <v>5.3940965354075159</v>
          </cell>
          <cell r="Z241">
            <v>4.7091346395200295</v>
          </cell>
          <cell r="AA241">
            <v>0.14201439785489928</v>
          </cell>
          <cell r="AB241">
            <v>60.395316394701595</v>
          </cell>
          <cell r="AC241">
            <v>21.53800512503458</v>
          </cell>
          <cell r="AD241">
            <v>65.704660774411039</v>
          </cell>
          <cell r="AE241">
            <v>21.624351750069426</v>
          </cell>
        </row>
        <row r="242">
          <cell r="B242" t="str">
            <v>LCN</v>
          </cell>
          <cell r="C242" t="str">
            <v>GDP (constant 2015 US$)</v>
          </cell>
          <cell r="D242" t="str">
            <v>NY.GDP.MKTP.KD</v>
          </cell>
          <cell r="E242">
            <v>4495754692427.9199</v>
          </cell>
          <cell r="F242">
            <v>4784694241263</v>
          </cell>
          <cell r="G242">
            <v>4997383294385.5596</v>
          </cell>
          <cell r="H242">
            <v>5122625186196.7695</v>
          </cell>
          <cell r="I242">
            <v>5269942047411.7998</v>
          </cell>
          <cell r="J242">
            <v>5341901883445.1904</v>
          </cell>
          <cell r="K242">
            <v>5370990480732.6396</v>
          </cell>
          <cell r="L242">
            <v>5362789017257.9297</v>
          </cell>
          <cell r="M242">
            <v>5463389364056.4697</v>
          </cell>
          <cell r="N242">
            <v>5552189971999.8799</v>
          </cell>
          <cell r="O242">
            <v>5596468714863.7402</v>
          </cell>
          <cell r="P242">
            <v>5220250174910.9297</v>
          </cell>
          <cell r="Q242">
            <v>6.426942050947158</v>
          </cell>
          <cell r="R242">
            <v>4.4451963364416942</v>
          </cell>
          <cell r="S242">
            <v>2.5061494072691248</v>
          </cell>
          <cell r="T242">
            <v>2.8758079277786059</v>
          </cell>
          <cell r="U242">
            <v>1.3654768000481503</v>
          </cell>
          <cell r="V242">
            <v>0.54453634533416218</v>
          </cell>
          <cell r="W242">
            <v>-0.15269927407488582</v>
          </cell>
          <cell r="X242">
            <v>1.8758960398180726</v>
          </cell>
          <cell r="Y242">
            <v>1.6253757882904629</v>
          </cell>
          <cell r="Z242">
            <v>0.79750050137263762</v>
          </cell>
          <cell r="AA242">
            <v>-6.7224272862207988</v>
          </cell>
          <cell r="AB242">
            <v>9.1031090323748138</v>
          </cell>
          <cell r="AC242">
            <v>-2.8065643825372777</v>
          </cell>
          <cell r="AD242">
            <v>23.380419378659223</v>
          </cell>
          <cell r="AE242">
            <v>3.8371934711749711</v>
          </cell>
        </row>
        <row r="243">
          <cell r="B243" t="str">
            <v>LAC</v>
          </cell>
          <cell r="C243" t="str">
            <v>GDP (constant 2015 US$)</v>
          </cell>
          <cell r="D243" t="str">
            <v>NY.GDP.MKTP.KD</v>
          </cell>
          <cell r="E243">
            <v>3882794967142.1299</v>
          </cell>
          <cell r="F243">
            <v>4143339425066.5098</v>
          </cell>
          <cell r="G243">
            <v>4331805045767.5698</v>
          </cell>
          <cell r="H243">
            <v>4437985917047.0498</v>
          </cell>
          <cell r="I243">
            <v>4567189074281.3604</v>
          </cell>
          <cell r="J243">
            <v>4630917818633.25</v>
          </cell>
          <cell r="K243">
            <v>4652915580734.1602</v>
          </cell>
          <cell r="L243">
            <v>4642094768664.8896</v>
          </cell>
          <cell r="M243">
            <v>4737404863551.21</v>
          </cell>
          <cell r="N243">
            <v>4815801518458.6104</v>
          </cell>
          <cell r="O243">
            <v>4853709324043.9004</v>
          </cell>
          <cell r="P243">
            <v>4524412872718.6904</v>
          </cell>
          <cell r="Q243">
            <v>6.7102296188497821</v>
          </cell>
          <cell r="R243">
            <v>4.5486406341917007</v>
          </cell>
          <cell r="S243">
            <v>2.4511922895335507</v>
          </cell>
          <cell r="T243">
            <v>2.9113016501025726</v>
          </cell>
          <cell r="U243">
            <v>1.3953603259115621</v>
          </cell>
          <cell r="V243">
            <v>0.47501948776544006</v>
          </cell>
          <cell r="W243">
            <v>-0.23255981935445189</v>
          </cell>
          <cell r="X243">
            <v>2.0531699509816854</v>
          </cell>
          <cell r="Y243">
            <v>1.6548438895432176</v>
          </cell>
          <cell r="Z243">
            <v>0.78715464995789863</v>
          </cell>
          <cell r="AA243">
            <v>-6.7844287603703144</v>
          </cell>
          <cell r="AB243">
            <v>9.197253919067073</v>
          </cell>
          <cell r="AC243">
            <v>-2.7617674506614178</v>
          </cell>
          <cell r="AD243">
            <v>23.90708317013992</v>
          </cell>
          <cell r="AE243">
            <v>3.8899453128866446</v>
          </cell>
        </row>
        <row r="244">
          <cell r="B244" t="str">
            <v>TLA</v>
          </cell>
          <cell r="C244" t="str">
            <v>GDP (constant 2015 US$)</v>
          </cell>
          <cell r="D244" t="str">
            <v>NY.GDP.MKTP.KD</v>
          </cell>
          <cell r="E244">
            <v>4276214234087.4102</v>
          </cell>
          <cell r="F244">
            <v>4564175215970.7695</v>
          </cell>
          <cell r="G244">
            <v>4775445760340.54</v>
          </cell>
          <cell r="H244">
            <v>4898701158837.8096</v>
          </cell>
          <cell r="I244">
            <v>5044832934883.5098</v>
          </cell>
          <cell r="J244">
            <v>5116913258902.3203</v>
          </cell>
          <cell r="K244">
            <v>5142581183179.6104</v>
          </cell>
          <cell r="L244">
            <v>5134803843992.5801</v>
          </cell>
          <cell r="M244">
            <v>5236700912493.5801</v>
          </cell>
          <cell r="N244">
            <v>5327267303713.9199</v>
          </cell>
          <cell r="O244">
            <v>5369907031287.5</v>
          </cell>
          <cell r="P244">
            <v>5012339990419.7402</v>
          </cell>
          <cell r="Q244">
            <v>6.7340167288137129</v>
          </cell>
          <cell r="R244">
            <v>4.628887682280503</v>
          </cell>
          <cell r="S244">
            <v>2.5810239437936806</v>
          </cell>
          <cell r="T244">
            <v>2.9830718655303556</v>
          </cell>
          <cell r="U244">
            <v>1.4287950651526373</v>
          </cell>
          <cell r="V244">
            <v>0.50162906773206317</v>
          </cell>
          <cell r="W244">
            <v>-0.15123415479503655</v>
          </cell>
          <cell r="X244">
            <v>1.9844393592603076</v>
          </cell>
          <cell r="Y244">
            <v>1.7294551041528643</v>
          </cell>
          <cell r="Z244">
            <v>0.80040525737940094</v>
          </cell>
          <cell r="AA244">
            <v>-6.6587193928016433</v>
          </cell>
          <cell r="AB244">
            <v>9.819184260954124</v>
          </cell>
          <cell r="AC244">
            <v>-2.5326035335302803</v>
          </cell>
          <cell r="AD244">
            <v>24.453852864944924</v>
          </cell>
          <cell r="AE244">
            <v>4.0063237699407894</v>
          </cell>
        </row>
        <row r="245">
          <cell r="B245" t="str">
            <v>LDC</v>
          </cell>
          <cell r="C245" t="str">
            <v>GDP (constant 2015 US$)</v>
          </cell>
          <cell r="D245" t="str">
            <v>NY.GDP.MKTP.KD</v>
          </cell>
          <cell r="E245">
            <v>730457688742.95105</v>
          </cell>
          <cell r="F245">
            <v>775909844830.63098</v>
          </cell>
          <cell r="G245">
            <v>801695959717.62097</v>
          </cell>
          <cell r="H245">
            <v>827535478718.08301</v>
          </cell>
          <cell r="I245">
            <v>874841765512.17798</v>
          </cell>
          <cell r="J245">
            <v>923682465998.27295</v>
          </cell>
          <cell r="K245">
            <v>946180216400.62097</v>
          </cell>
          <cell r="L245">
            <v>982419727649.24695</v>
          </cell>
          <cell r="M245">
            <v>1026375918278.12</v>
          </cell>
          <cell r="N245">
            <v>1072722671673.12</v>
          </cell>
          <cell r="O245">
            <v>1126602114779.77</v>
          </cell>
          <cell r="P245">
            <v>1134327022988.6399</v>
          </cell>
          <cell r="Q245">
            <v>6.2224214746645785</v>
          </cell>
          <cell r="R245">
            <v>3.323339052698667</v>
          </cell>
          <cell r="S245">
            <v>3.2231070504039225</v>
          </cell>
          <cell r="T245">
            <v>5.7165267243135123</v>
          </cell>
          <cell r="U245">
            <v>5.5828039322632339</v>
          </cell>
          <cell r="V245">
            <v>2.4356584898505682</v>
          </cell>
          <cell r="W245">
            <v>3.8300854975054617</v>
          </cell>
          <cell r="X245">
            <v>4.4742780902875676</v>
          </cell>
          <cell r="Y245">
            <v>4.5155729562276505</v>
          </cell>
          <cell r="Z245">
            <v>5.0226814934949156</v>
          </cell>
          <cell r="AA245">
            <v>0.68568202629194874</v>
          </cell>
          <cell r="AB245">
            <v>46.193147379931212</v>
          </cell>
          <cell r="AC245">
            <v>19.884880631276687</v>
          </cell>
          <cell r="AD245">
            <v>47.220611276592471</v>
          </cell>
          <cell r="AE245">
            <v>16.423588632487096</v>
          </cell>
        </row>
        <row r="246">
          <cell r="B246" t="str">
            <v>LMY</v>
          </cell>
          <cell r="C246" t="str">
            <v>GDP (constant 2015 US$)</v>
          </cell>
          <cell r="D246" t="str">
            <v>NY.GDP.MKTP.KD</v>
          </cell>
          <cell r="E246">
            <v>19224727714524.199</v>
          </cell>
          <cell r="F246">
            <v>20731011883051.602</v>
          </cell>
          <cell r="G246">
            <v>22036231527768.602</v>
          </cell>
          <cell r="H246">
            <v>23201378929187.301</v>
          </cell>
          <cell r="I246">
            <v>24466936552849.301</v>
          </cell>
          <cell r="J246">
            <v>25671487226891.301</v>
          </cell>
          <cell r="K246">
            <v>26797210771637.801</v>
          </cell>
          <cell r="L246">
            <v>28033799042989.301</v>
          </cell>
          <cell r="M246">
            <v>29482762054661.801</v>
          </cell>
          <cell r="N246">
            <v>30906443663630.102</v>
          </cell>
          <cell r="O246">
            <v>32139450441501.102</v>
          </cell>
          <cell r="P246">
            <v>31704873343554.102</v>
          </cell>
          <cell r="Q246">
            <v>7.8351391546076936</v>
          </cell>
          <cell r="R246">
            <v>6.2959765402675174</v>
          </cell>
          <cell r="S246">
            <v>5.2874167706509052</v>
          </cell>
          <cell r="T246">
            <v>5.4546655503735186</v>
          </cell>
          <cell r="U246">
            <v>4.9231773313350251</v>
          </cell>
          <cell r="V246">
            <v>4.3851123029883761</v>
          </cell>
          <cell r="W246">
            <v>4.614615610145167</v>
          </cell>
          <cell r="X246">
            <v>5.1686288021489437</v>
          </cell>
          <cell r="Y246">
            <v>4.8288610352339392</v>
          </cell>
          <cell r="Z246">
            <v>3.9894812592817663</v>
          </cell>
          <cell r="AA246">
            <v>-1.3521609485451509</v>
          </cell>
          <cell r="AB246">
            <v>52.934519175467997</v>
          </cell>
          <cell r="AC246">
            <v>18.314079826213021</v>
          </cell>
          <cell r="AD246">
            <v>60.955323651855565</v>
          </cell>
          <cell r="AE246">
            <v>20.535372339810799</v>
          </cell>
        </row>
        <row r="247">
          <cell r="B247" t="str">
            <v>LIC</v>
          </cell>
          <cell r="C247" t="str">
            <v>GDP (constant 2015 US$)</v>
          </cell>
          <cell r="D247" t="str">
            <v>NY.GDP.MKTP.KD</v>
          </cell>
          <cell r="E247">
            <v>373625672236.573</v>
          </cell>
          <cell r="F247">
            <v>399534532497.21503</v>
          </cell>
          <cell r="G247">
            <v>402572553516.66901</v>
          </cell>
          <cell r="H247">
            <v>389462527926.62201</v>
          </cell>
          <cell r="I247">
            <v>402726164126.79303</v>
          </cell>
          <cell r="J247">
            <v>420241725152.17603</v>
          </cell>
          <cell r="K247">
            <v>418166107033.51202</v>
          </cell>
          <cell r="L247">
            <v>427446175467.34302</v>
          </cell>
          <cell r="M247">
            <v>440837155330.99298</v>
          </cell>
          <cell r="N247">
            <v>456458468219.29602</v>
          </cell>
          <cell r="O247">
            <v>476617321590.81799</v>
          </cell>
          <cell r="P247">
            <v>479579088858.02197</v>
          </cell>
          <cell r="Q247">
            <v>6.9344432639085376</v>
          </cell>
          <cell r="R247">
            <v>0.76039009706255023</v>
          </cell>
          <cell r="S247">
            <v>-3.2565621961866213</v>
          </cell>
          <cell r="T247">
            <v>3.4056257660480238</v>
          </cell>
          <cell r="U247">
            <v>4.349248344308827</v>
          </cell>
          <cell r="V247">
            <v>-0.49391052683128694</v>
          </cell>
          <cell r="W247">
            <v>2.2192301761766848</v>
          </cell>
          <cell r="X247">
            <v>3.1327873852208645</v>
          </cell>
          <cell r="Y247">
            <v>3.5435563221920612</v>
          </cell>
          <cell r="Z247">
            <v>4.4163609123441807</v>
          </cell>
          <cell r="AA247">
            <v>0.62141410583199364</v>
          </cell>
          <cell r="AB247">
            <v>20.034452556704821</v>
          </cell>
          <cell r="AC247">
            <v>14.686264809976166</v>
          </cell>
          <cell r="AD247">
            <v>22.381772959071821</v>
          </cell>
          <cell r="AE247">
            <v>8.8063594227326014</v>
          </cell>
        </row>
        <row r="248">
          <cell r="B248" t="str">
            <v>LMC</v>
          </cell>
          <cell r="C248" t="str">
            <v>GDP (constant 2015 US$)</v>
          </cell>
          <cell r="D248" t="str">
            <v>NY.GDP.MKTP.KD</v>
          </cell>
          <cell r="E248">
            <v>4761195122515.1104</v>
          </cell>
          <cell r="F248">
            <v>5074956467112.8496</v>
          </cell>
          <cell r="G248">
            <v>5318503487999.1396</v>
          </cell>
          <cell r="H248">
            <v>5544086040009.4102</v>
          </cell>
          <cell r="I248">
            <v>5826738640766.0498</v>
          </cell>
          <cell r="J248">
            <v>6148957220729.7598</v>
          </cell>
          <cell r="K248">
            <v>6458585149777.8799</v>
          </cell>
          <cell r="L248">
            <v>6842018337137.1104</v>
          </cell>
          <cell r="M248">
            <v>7196398002315.7002</v>
          </cell>
          <cell r="N248">
            <v>7528216259736.6797</v>
          </cell>
          <cell r="O248">
            <v>7796543762641.46</v>
          </cell>
          <cell r="P248">
            <v>7530226915518.9102</v>
          </cell>
          <cell r="Q248">
            <v>6.5899703020781519</v>
          </cell>
          <cell r="R248">
            <v>4.7989972419378075</v>
          </cell>
          <cell r="S248">
            <v>4.2414666554094209</v>
          </cell>
          <cell r="T248">
            <v>5.0982722619535661</v>
          </cell>
          <cell r="U248">
            <v>5.5299988523485135</v>
          </cell>
          <cell r="V248">
            <v>5.0354542718931681</v>
          </cell>
          <cell r="W248">
            <v>5.9367985165050783</v>
          </cell>
          <cell r="X248">
            <v>5.1794609092917474</v>
          </cell>
          <cell r="Y248">
            <v>4.6108936347629053</v>
          </cell>
          <cell r="Z248">
            <v>3.5642905788969164</v>
          </cell>
          <cell r="AA248">
            <v>-3.4158321331902837</v>
          </cell>
          <cell r="AB248">
            <v>48.380128269412879</v>
          </cell>
          <cell r="AC248">
            <v>16.592515866696992</v>
          </cell>
          <cell r="AD248">
            <v>58.117965949944583</v>
          </cell>
          <cell r="AE248">
            <v>22.432220820287373</v>
          </cell>
        </row>
        <row r="249">
          <cell r="B249" t="str">
            <v>MEA</v>
          </cell>
          <cell r="C249" t="str">
            <v>GDP (constant 2015 US$)</v>
          </cell>
          <cell r="D249" t="str">
            <v>NY.GDP.MKTP.KD</v>
          </cell>
          <cell r="E249">
            <v>2530491211267.2998</v>
          </cell>
          <cell r="F249">
            <v>2657991473199.0601</v>
          </cell>
          <cell r="G249">
            <v>2762764648306.9902</v>
          </cell>
          <cell r="H249">
            <v>2858417676947.9102</v>
          </cell>
          <cell r="I249">
            <v>2936861819378.54</v>
          </cell>
          <cell r="J249">
            <v>3023179370290.29</v>
          </cell>
          <cell r="K249">
            <v>3095509625416.1299</v>
          </cell>
          <cell r="L249">
            <v>3237408170902.7202</v>
          </cell>
          <cell r="M249">
            <v>3291123196960.3501</v>
          </cell>
          <cell r="N249">
            <v>3339689547292.0601</v>
          </cell>
          <cell r="O249">
            <v>3378463990503.4302</v>
          </cell>
          <cell r="P249">
            <v>3243739545284.98</v>
          </cell>
          <cell r="Q249">
            <v>5.0385577853047199</v>
          </cell>
          <cell r="R249">
            <v>3.9418175778355327</v>
          </cell>
          <cell r="S249">
            <v>3.4622213911538093</v>
          </cell>
          <cell r="T249">
            <v>2.744320505126074</v>
          </cell>
          <cell r="U249">
            <v>2.9391083483122604</v>
          </cell>
          <cell r="V249">
            <v>2.3925227803765607</v>
          </cell>
          <cell r="W249">
            <v>4.5840124133845936</v>
          </cell>
          <cell r="X249">
            <v>1.659198445855901</v>
          </cell>
          <cell r="Y249">
            <v>1.4756770690494168</v>
          </cell>
          <cell r="Z249">
            <v>1.1610193900450962</v>
          </cell>
          <cell r="AA249">
            <v>-3.9877425243290721</v>
          </cell>
          <cell r="AB249">
            <v>22.03724421210935</v>
          </cell>
          <cell r="AC249">
            <v>4.788546566025409</v>
          </cell>
          <cell r="AD249">
            <v>31.922774941617238</v>
          </cell>
          <cell r="AE249">
            <v>10.423293383250897</v>
          </cell>
        </row>
        <row r="250">
          <cell r="B250" t="str">
            <v>MNA</v>
          </cell>
          <cell r="C250" t="str">
            <v>GDP (constant 2015 US$)</v>
          </cell>
          <cell r="D250" t="str">
            <v>NY.GDP.MKTP.KD</v>
          </cell>
          <cell r="E250">
            <v>1246908613202.1001</v>
          </cell>
          <cell r="F250">
            <v>1312854440667.48</v>
          </cell>
          <cell r="G250">
            <v>1306388936251.96</v>
          </cell>
          <cell r="H250">
            <v>1330681949905.95</v>
          </cell>
          <cell r="I250">
            <v>1349954069530.0801</v>
          </cell>
          <cell r="J250">
            <v>1376781723152.6201</v>
          </cell>
          <cell r="K250">
            <v>1385866266853.23</v>
          </cell>
          <cell r="L250">
            <v>1478916384520.1201</v>
          </cell>
          <cell r="M250">
            <v>1520573326965.3201</v>
          </cell>
          <cell r="N250">
            <v>1529683671132.21</v>
          </cell>
          <cell r="O250">
            <v>1538200834048.04</v>
          </cell>
          <cell r="P250">
            <v>1484549700027.4399</v>
          </cell>
          <cell r="Q250">
            <v>5.2887458444952875</v>
          </cell>
          <cell r="R250">
            <v>-0.49247686683626823</v>
          </cell>
          <cell r="S250">
            <v>1.859554454256696</v>
          </cell>
          <cell r="T250">
            <v>1.4482889487974375</v>
          </cell>
          <cell r="U250">
            <v>1.9873012147649411</v>
          </cell>
          <cell r="V250">
            <v>0.65983906873833598</v>
          </cell>
          <cell r="W250">
            <v>6.7142205487237385</v>
          </cell>
          <cell r="X250">
            <v>2.8167205990294595</v>
          </cell>
          <cell r="Y250">
            <v>0.59913875939622296</v>
          </cell>
          <cell r="Z250">
            <v>0.55679243209323259</v>
          </cell>
          <cell r="AA250">
            <v>-3.4879147659417082</v>
          </cell>
          <cell r="AB250">
            <v>13.078011852758548</v>
          </cell>
          <cell r="AC250">
            <v>7.120703890014016</v>
          </cell>
          <cell r="AD250">
            <v>22.656532350244916</v>
          </cell>
          <cell r="AE250">
            <v>11.086226727944769</v>
          </cell>
        </row>
        <row r="251">
          <cell r="B251" t="str">
            <v>TMN</v>
          </cell>
          <cell r="C251" t="str">
            <v>GDP (constant 2015 US$)</v>
          </cell>
          <cell r="D251" t="str">
            <v>NY.GDP.MKTP.KD</v>
          </cell>
          <cell r="E251">
            <v>1236434649351.8</v>
          </cell>
          <cell r="F251">
            <v>1301775261815.3101</v>
          </cell>
          <cell r="G251">
            <v>1294243974615.04</v>
          </cell>
          <cell r="H251">
            <v>1317795702097.96</v>
          </cell>
          <cell r="I251">
            <v>1336461669530.0801</v>
          </cell>
          <cell r="J251">
            <v>1363310623152.6201</v>
          </cell>
          <cell r="K251">
            <v>1371893866853.23</v>
          </cell>
          <cell r="L251">
            <v>1463705384520.1201</v>
          </cell>
          <cell r="M251">
            <v>1505146426965.3201</v>
          </cell>
          <cell r="N251">
            <v>1514067471132.21</v>
          </cell>
          <cell r="O251">
            <v>1522371834048.04</v>
          </cell>
          <cell r="P251">
            <v>1470547924143.79</v>
          </cell>
          <cell r="Q251">
            <v>5.284598947284822</v>
          </cell>
          <cell r="R251">
            <v>-0.578539738861509</v>
          </cell>
          <cell r="S251">
            <v>1.8197285786032074</v>
          </cell>
          <cell r="T251">
            <v>1.4164538101318349</v>
          </cell>
          <cell r="U251">
            <v>2.0089579996694207</v>
          </cell>
          <cell r="V251">
            <v>0.62958826512782073</v>
          </cell>
          <cell r="W251">
            <v>6.692319273755631</v>
          </cell>
          <cell r="X251">
            <v>2.831242057552894</v>
          </cell>
          <cell r="Y251">
            <v>0.59270274353815022</v>
          </cell>
          <cell r="Z251">
            <v>0.54848037317782994</v>
          </cell>
          <cell r="AA251">
            <v>-3.4041558537278247</v>
          </cell>
          <cell r="AB251">
            <v>12.964807926456409</v>
          </cell>
          <cell r="AC251">
            <v>7.19108523437363</v>
          </cell>
          <cell r="AD251">
            <v>22.433567370137951</v>
          </cell>
          <cell r="AE251">
            <v>11.039334961038927</v>
          </cell>
        </row>
        <row r="252">
          <cell r="B252" t="str">
            <v>MIC</v>
          </cell>
          <cell r="C252" t="str">
            <v>GDP (constant 2015 US$)</v>
          </cell>
          <cell r="D252" t="str">
            <v>NY.GDP.MKTP.KD</v>
          </cell>
          <cell r="E252">
            <v>18855703160914.5</v>
          </cell>
          <cell r="F252">
            <v>20336263509204</v>
          </cell>
          <cell r="G252">
            <v>21637593304119.398</v>
          </cell>
          <cell r="H252">
            <v>22814265354048.5</v>
          </cell>
          <cell r="I252">
            <v>24066271377126.199</v>
          </cell>
          <cell r="J252">
            <v>25253312022971</v>
          </cell>
          <cell r="K252">
            <v>26380350797716.602</v>
          </cell>
          <cell r="L252">
            <v>27607303530080.199</v>
          </cell>
          <cell r="M252">
            <v>29042563515612</v>
          </cell>
          <cell r="N252">
            <v>30450419477588.699</v>
          </cell>
          <cell r="O252">
            <v>31663365601529.301</v>
          </cell>
          <cell r="P252">
            <v>31226518398513.602</v>
          </cell>
          <cell r="Q252">
            <v>7.8520558774944833</v>
          </cell>
          <cell r="R252">
            <v>6.3990604484763329</v>
          </cell>
          <cell r="S252">
            <v>5.4380911656431072</v>
          </cell>
          <cell r="T252">
            <v>5.4878209034924055</v>
          </cell>
          <cell r="U252">
            <v>4.9323828658103812</v>
          </cell>
          <cell r="V252">
            <v>4.4629345003159226</v>
          </cell>
          <cell r="W252">
            <v>4.6510099193593692</v>
          </cell>
          <cell r="X252">
            <v>5.1988416180087231</v>
          </cell>
          <cell r="Y252">
            <v>4.8475609297364466</v>
          </cell>
          <cell r="Z252">
            <v>3.9833478314915225</v>
          </cell>
          <cell r="AA252">
            <v>-1.3796613048443593</v>
          </cell>
          <cell r="AB252">
            <v>53.550913541127045</v>
          </cell>
          <cell r="AC252">
            <v>18.370368301609048</v>
          </cell>
          <cell r="AD252">
            <v>61.68212695180766</v>
          </cell>
          <cell r="AE252">
            <v>20.721994384557306</v>
          </cell>
        </row>
        <row r="253">
          <cell r="B253" t="str">
            <v>NAC</v>
          </cell>
          <cell r="C253" t="str">
            <v>GDP (constant 2015 US$)</v>
          </cell>
          <cell r="D253" t="str">
            <v>NY.GDP.MKTP.KD</v>
          </cell>
          <cell r="E253">
            <v>17277427781161.1</v>
          </cell>
          <cell r="F253">
            <v>17727125633934.102</v>
          </cell>
          <cell r="G253">
            <v>18023981225178.102</v>
          </cell>
          <cell r="H253">
            <v>18421855724294.801</v>
          </cell>
          <cell r="I253">
            <v>18768209785250.5</v>
          </cell>
          <cell r="J253">
            <v>19247034646044.602</v>
          </cell>
          <cell r="K253">
            <v>19801463926217.102</v>
          </cell>
          <cell r="L253">
            <v>20129142143491.699</v>
          </cell>
          <cell r="M253">
            <v>20609892903011.801</v>
          </cell>
          <cell r="N253">
            <v>21223671693440.199</v>
          </cell>
          <cell r="O253">
            <v>21677548659072.5</v>
          </cell>
          <cell r="P253">
            <v>20908302070966.898</v>
          </cell>
          <cell r="Q253">
            <v>2.6028055707652378</v>
          </cell>
          <cell r="R253">
            <v>1.6745838968712727</v>
          </cell>
          <cell r="S253">
            <v>2.2074728892909601</v>
          </cell>
          <cell r="T253">
            <v>1.8801257926416521</v>
          </cell>
          <cell r="U253">
            <v>2.5512548414201919</v>
          </cell>
          <cell r="V253">
            <v>2.8805958443392683</v>
          </cell>
          <cell r="W253">
            <v>1.6548181412019354</v>
          </cell>
          <cell r="X253">
            <v>2.3883320813825213</v>
          </cell>
          <cell r="Y253">
            <v>2.9780785049043348</v>
          </cell>
          <cell r="Z253">
            <v>2.1385412109092545</v>
          </cell>
          <cell r="AA253">
            <v>-3.548586605449302</v>
          </cell>
          <cell r="AB253">
            <v>17.945246751922596</v>
          </cell>
          <cell r="AC253">
            <v>5.5896783635494005</v>
          </cell>
          <cell r="AD253">
            <v>22.787671974160915</v>
          </cell>
          <cell r="AE253">
            <v>10.222440701349145</v>
          </cell>
        </row>
        <row r="254">
          <cell r="B254" t="str">
            <v>INX</v>
          </cell>
          <cell r="C254" t="str">
            <v>GDP (constant 2015 US$)</v>
          </cell>
          <cell r="D254" t="str">
            <v>NY.GDP.MKTP.KD</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e">
            <v>#VALUE!</v>
          </cell>
          <cell r="R254" t="e">
            <v>#VALUE!</v>
          </cell>
          <cell r="S254" t="e">
            <v>#VALUE!</v>
          </cell>
          <cell r="T254" t="e">
            <v>#VALUE!</v>
          </cell>
          <cell r="U254" t="e">
            <v>#VALUE!</v>
          </cell>
          <cell r="V254" t="e">
            <v>#VALUE!</v>
          </cell>
          <cell r="W254" t="e">
            <v>#VALUE!</v>
          </cell>
          <cell r="X254" t="e">
            <v>#VALUE!</v>
          </cell>
          <cell r="Y254" t="e">
            <v>#VALUE!</v>
          </cell>
          <cell r="Z254" t="e">
            <v>#VALUE!</v>
          </cell>
          <cell r="AA254" t="e">
            <v>#VALUE!</v>
          </cell>
          <cell r="AB254" t="e">
            <v>#VALUE!</v>
          </cell>
          <cell r="AC254" t="e">
            <v>#VALUE!</v>
          </cell>
          <cell r="AD254" t="e">
            <v>#VALUE!</v>
          </cell>
          <cell r="AE254" t="e">
            <v>#VALUE!</v>
          </cell>
        </row>
        <row r="255">
          <cell r="B255" t="str">
            <v>OED</v>
          </cell>
          <cell r="C255" t="str">
            <v>GDP (constant 2015 US$)</v>
          </cell>
          <cell r="D255" t="str">
            <v>NY.GDP.MKTP.KD</v>
          </cell>
          <cell r="E255">
            <v>41954442708220.203</v>
          </cell>
          <cell r="F255">
            <v>43179041156709.297</v>
          </cell>
          <cell r="G255">
            <v>43996967053464.898</v>
          </cell>
          <cell r="H255">
            <v>44600125081125.398</v>
          </cell>
          <cell r="I255">
            <v>45283265564519.797</v>
          </cell>
          <cell r="J255">
            <v>46265025908904.5</v>
          </cell>
          <cell r="K255">
            <v>47463898846648</v>
          </cell>
          <cell r="L255">
            <v>48342786877695.898</v>
          </cell>
          <cell r="M255">
            <v>49555672642231.5</v>
          </cell>
          <cell r="N255">
            <v>50731633564276.102</v>
          </cell>
          <cell r="O255">
            <v>51615069476329.703</v>
          </cell>
          <cell r="P255">
            <v>49308318437562.102</v>
          </cell>
          <cell r="Q255">
            <v>2.9188766896649927</v>
          </cell>
          <cell r="R255">
            <v>1.8942660023114237</v>
          </cell>
          <cell r="S255">
            <v>1.3709081967571657</v>
          </cell>
          <cell r="T255">
            <v>1.5317008240488115</v>
          </cell>
          <cell r="U255">
            <v>2.1680422826085426</v>
          </cell>
          <cell r="V255">
            <v>2.5913158248394201</v>
          </cell>
          <cell r="W255">
            <v>1.8516979270656087</v>
          </cell>
          <cell r="X255">
            <v>2.5089281004922688</v>
          </cell>
          <cell r="Y255">
            <v>2.3730097067483733</v>
          </cell>
          <cell r="Z255">
            <v>1.7413906274756628</v>
          </cell>
          <cell r="AA255">
            <v>-4.4691425627654358</v>
          </cell>
          <cell r="AB255">
            <v>14.195028691368746</v>
          </cell>
          <cell r="AC255">
            <v>3.8859420227429511</v>
          </cell>
          <cell r="AD255">
            <v>20.842127318364657</v>
          </cell>
          <cell r="AE255">
            <v>9.5830815549591932</v>
          </cell>
        </row>
        <row r="256">
          <cell r="B256" t="str">
            <v>OSS</v>
          </cell>
          <cell r="C256" t="str">
            <v>GDP (constant 2015 US$)</v>
          </cell>
          <cell r="D256" t="str">
            <v>NY.GDP.MKTP.KD</v>
          </cell>
          <cell r="E256">
            <v>275520465926.77399</v>
          </cell>
          <cell r="F256">
            <v>299338856696.547</v>
          </cell>
          <cell r="G256">
            <v>321879466028.13702</v>
          </cell>
          <cell r="H256">
            <v>333382139544.789</v>
          </cell>
          <cell r="I256">
            <v>345763587494.19</v>
          </cell>
          <cell r="J256">
            <v>358865232734.60901</v>
          </cell>
          <cell r="K256">
            <v>369944240893.98199</v>
          </cell>
          <cell r="L256">
            <v>380987136090.05103</v>
          </cell>
          <cell r="M256">
            <v>385703218244.354</v>
          </cell>
          <cell r="N256">
            <v>394223840453.50598</v>
          </cell>
          <cell r="O256">
            <v>402490312631.31799</v>
          </cell>
          <cell r="P256">
            <v>381932796736.11798</v>
          </cell>
          <cell r="Q256">
            <v>8.6448716938883603</v>
          </cell>
          <cell r="R256">
            <v>7.5301314304278373</v>
          </cell>
          <cell r="S256">
            <v>3.5735965573046133</v>
          </cell>
          <cell r="T256">
            <v>3.7138906020301627</v>
          </cell>
          <cell r="U256">
            <v>3.7891917235614518</v>
          </cell>
          <cell r="V256">
            <v>3.0872336322326954</v>
          </cell>
          <cell r="W256">
            <v>2.9850161119912353</v>
          </cell>
          <cell r="X256">
            <v>1.2378586328931258</v>
          </cell>
          <cell r="Y256">
            <v>2.2091135894422123</v>
          </cell>
          <cell r="Z256">
            <v>2.0968980892435254</v>
          </cell>
          <cell r="AA256">
            <v>-5.1075802944928865</v>
          </cell>
          <cell r="AB256">
            <v>27.592121166982373</v>
          </cell>
          <cell r="AC256">
            <v>3.2406385927688075</v>
          </cell>
          <cell r="AD256">
            <v>42.986904664637372</v>
          </cell>
          <cell r="AE256">
            <v>9.7788668309432438</v>
          </cell>
        </row>
        <row r="257">
          <cell r="B257" t="str">
            <v>PSS</v>
          </cell>
          <cell r="C257" t="str">
            <v>GDP (constant 2015 US$)</v>
          </cell>
          <cell r="D257" t="str">
            <v>NY.GDP.MKTP.KD</v>
          </cell>
          <cell r="E257">
            <v>7531862258.5603905</v>
          </cell>
          <cell r="F257">
            <v>7767252563.4094105</v>
          </cell>
          <cell r="G257">
            <v>8065348518.8772001</v>
          </cell>
          <cell r="H257">
            <v>8126658955.3351898</v>
          </cell>
          <cell r="I257">
            <v>8394816426.8945503</v>
          </cell>
          <cell r="J257">
            <v>8700424084.3383102</v>
          </cell>
          <cell r="K257">
            <v>9019345253.7812099</v>
          </cell>
          <cell r="L257">
            <v>9355720952.9408302</v>
          </cell>
          <cell r="M257">
            <v>9762518042.4431496</v>
          </cell>
          <cell r="N257">
            <v>10047344121.707001</v>
          </cell>
          <cell r="O257">
            <v>10138908192.461201</v>
          </cell>
          <cell r="P257">
            <v>9135631621.7330494</v>
          </cell>
          <cell r="Q257">
            <v>3.1252603508712005</v>
          </cell>
          <cell r="R257">
            <v>3.8378558317014657</v>
          </cell>
          <cell r="S257">
            <v>0.76017095001524981</v>
          </cell>
          <cell r="T257">
            <v>3.2997259148338425</v>
          </cell>
          <cell r="U257">
            <v>3.640432880279334</v>
          </cell>
          <cell r="V257">
            <v>3.6655818883241773</v>
          </cell>
          <cell r="W257">
            <v>3.7294913288589369</v>
          </cell>
          <cell r="X257">
            <v>4.3481105469958337</v>
          </cell>
          <cell r="Y257">
            <v>2.9175472764869905</v>
          </cell>
          <cell r="Z257">
            <v>0.9113261140959471</v>
          </cell>
          <cell r="AA257">
            <v>-9.8953117207840879</v>
          </cell>
          <cell r="AB257">
            <v>17.617285483542886</v>
          </cell>
          <cell r="AC257">
            <v>1.2892994411438938</v>
          </cell>
          <cell r="AD257">
            <v>33.054723940227035</v>
          </cell>
          <cell r="AE257">
            <v>15.1840236584035</v>
          </cell>
        </row>
        <row r="258">
          <cell r="B258" t="str">
            <v>PST</v>
          </cell>
          <cell r="C258" t="str">
            <v>GDP (constant 2015 US$)</v>
          </cell>
          <cell r="D258" t="str">
            <v>NY.GDP.MKTP.KD</v>
          </cell>
          <cell r="E258">
            <v>39846167973848.203</v>
          </cell>
          <cell r="F258">
            <v>40981289495926.398</v>
          </cell>
          <cell r="G258">
            <v>41671763595770.703</v>
          </cell>
          <cell r="H258">
            <v>42187748079415.797</v>
          </cell>
          <cell r="I258">
            <v>42780139130197.703</v>
          </cell>
          <cell r="J258">
            <v>43634959501071.898</v>
          </cell>
          <cell r="K258">
            <v>44639629214327.102</v>
          </cell>
          <cell r="L258">
            <v>45430131344849.398</v>
          </cell>
          <cell r="M258">
            <v>46512038346184.102</v>
          </cell>
          <cell r="N258">
            <v>47572741479430.797</v>
          </cell>
          <cell r="O258">
            <v>48381584694878.898</v>
          </cell>
          <cell r="P258">
            <v>46117510747598.297</v>
          </cell>
          <cell r="Q258">
            <v>2.8487595665992198</v>
          </cell>
          <cell r="R258">
            <v>1.6848520589205445</v>
          </cell>
          <cell r="S258">
            <v>1.2382112949437574</v>
          </cell>
          <cell r="T258">
            <v>1.4041779373166994</v>
          </cell>
          <cell r="U258">
            <v>1.9981710865236375</v>
          </cell>
          <cell r="V258">
            <v>2.3024421810922577</v>
          </cell>
          <cell r="W258">
            <v>1.7708528149435996</v>
          </cell>
          <cell r="X258">
            <v>2.3814745176988428</v>
          </cell>
          <cell r="Y258">
            <v>2.2804916124122445</v>
          </cell>
          <cell r="Z258">
            <v>1.7002240995462163</v>
          </cell>
          <cell r="AA258">
            <v>-4.6796192426500856</v>
          </cell>
          <cell r="AB258">
            <v>12.533088428519182</v>
          </cell>
          <cell r="AC258">
            <v>3.3106940162416691</v>
          </cell>
          <cell r="AD258">
            <v>19.309578363989456</v>
          </cell>
          <cell r="AE258">
            <v>8.9500151882516032</v>
          </cell>
        </row>
        <row r="259">
          <cell r="B259" t="str">
            <v>PRE</v>
          </cell>
          <cell r="C259" t="str">
            <v>GDP (constant 2015 US$)</v>
          </cell>
          <cell r="D259" t="str">
            <v>NY.GDP.MKTP.KD</v>
          </cell>
          <cell r="E259">
            <v>991076466893.54199</v>
          </cell>
          <cell r="F259">
            <v>1055553158020.38</v>
          </cell>
          <cell r="G259">
            <v>1100574900308.8101</v>
          </cell>
          <cell r="H259">
            <v>1148081657948.99</v>
          </cell>
          <cell r="I259">
            <v>1215668402569.8401</v>
          </cell>
          <cell r="J259">
            <v>1277439480919.9299</v>
          </cell>
          <cell r="K259">
            <v>1318251883991.98</v>
          </cell>
          <cell r="L259">
            <v>1348567290225.23</v>
          </cell>
          <cell r="M259">
            <v>1369690003182.49</v>
          </cell>
          <cell r="N259">
            <v>1404372878117.6499</v>
          </cell>
          <cell r="O259">
            <v>1450630111014.1201</v>
          </cell>
          <cell r="P259">
            <v>1406079106452.5</v>
          </cell>
          <cell r="Q259">
            <v>6.5057231485816196</v>
          </cell>
          <cell r="R259">
            <v>4.2652273783032726</v>
          </cell>
          <cell r="S259">
            <v>4.3165401670390651</v>
          </cell>
          <cell r="T259">
            <v>5.8869283515592077</v>
          </cell>
          <cell r="U259">
            <v>5.081244048089923</v>
          </cell>
          <cell r="V259">
            <v>3.1948600056309187</v>
          </cell>
          <cell r="W259">
            <v>2.2996672033153289</v>
          </cell>
          <cell r="X259">
            <v>1.5663076741044353</v>
          </cell>
          <cell r="Y259">
            <v>2.5321696774141493</v>
          </cell>
          <cell r="Z259">
            <v>3.2937999314306801</v>
          </cell>
          <cell r="AA259">
            <v>-3.0711484770211328</v>
          </cell>
          <cell r="AB259">
            <v>33.207796856911322</v>
          </cell>
          <cell r="AC259">
            <v>6.6624006782799592</v>
          </cell>
          <cell r="AD259">
            <v>41.706019932110429</v>
          </cell>
          <cell r="AE259">
            <v>9.9398473818304467</v>
          </cell>
        </row>
        <row r="260">
          <cell r="B260" t="str">
            <v>SST</v>
          </cell>
          <cell r="C260" t="str">
            <v>GDP (constant 2015 US$)</v>
          </cell>
          <cell r="D260" t="str">
            <v>NY.GDP.MKTP.KD</v>
          </cell>
          <cell r="E260">
            <v>351957759039.55499</v>
          </cell>
          <cell r="F260">
            <v>376924631231.42401</v>
          </cell>
          <cell r="G260">
            <v>400538111483.159</v>
          </cell>
          <cell r="H260">
            <v>413037426113.84399</v>
          </cell>
          <cell r="I260">
            <v>426122471068.92297</v>
          </cell>
          <cell r="J260">
            <v>440034186660.03497</v>
          </cell>
          <cell r="K260">
            <v>452206885980.76501</v>
          </cell>
          <cell r="L260">
            <v>462749697130.86401</v>
          </cell>
          <cell r="M260">
            <v>467937291684.98999</v>
          </cell>
          <cell r="N260">
            <v>478099542928.39398</v>
          </cell>
          <cell r="O260">
            <v>486912648101.75</v>
          </cell>
          <cell r="P260">
            <v>459280768897.80402</v>
          </cell>
          <cell r="Q260">
            <v>7.0937126830220274</v>
          </cell>
          <cell r="R260">
            <v>6.2647750492158174</v>
          </cell>
          <cell r="S260">
            <v>3.1206305398507732</v>
          </cell>
          <cell r="T260">
            <v>3.1680046716813495</v>
          </cell>
          <cell r="U260">
            <v>3.2647223593289114</v>
          </cell>
          <cell r="V260">
            <v>2.7663076392140686</v>
          </cell>
          <cell r="W260">
            <v>2.3314132263230167</v>
          </cell>
          <cell r="X260">
            <v>1.1210368340141652</v>
          </cell>
          <cell r="Y260">
            <v>2.1717121981902445</v>
          </cell>
          <cell r="Z260">
            <v>1.8433619742397402</v>
          </cell>
          <cell r="AA260">
            <v>-5.6749150615967894</v>
          </cell>
          <cell r="AB260">
            <v>21.849497443910749</v>
          </cell>
          <cell r="AC260">
            <v>1.5643023439806476</v>
          </cell>
          <cell r="AD260">
            <v>35.726384191190299</v>
          </cell>
          <cell r="AE260">
            <v>8.5596425701794701</v>
          </cell>
        </row>
        <row r="261">
          <cell r="B261" t="str">
            <v>SAS</v>
          </cell>
          <cell r="C261" t="str">
            <v>GDP (constant 2015 US$)</v>
          </cell>
          <cell r="D261" t="str">
            <v>NY.GDP.MKTP.KD</v>
          </cell>
          <cell r="E261">
            <v>1862275410453.9399</v>
          </cell>
          <cell r="F261">
            <v>2001307724301.1599</v>
          </cell>
          <cell r="G261">
            <v>2103355073242.0801</v>
          </cell>
          <cell r="H261">
            <v>2218500184980.7402</v>
          </cell>
          <cell r="I261">
            <v>2351960261845.1099</v>
          </cell>
          <cell r="J261">
            <v>2514172916900.3799</v>
          </cell>
          <cell r="K261">
            <v>2699434735086.46</v>
          </cell>
          <cell r="L261">
            <v>2906520888079.4302</v>
          </cell>
          <cell r="M261">
            <v>3098492263239.6899</v>
          </cell>
          <cell r="N261">
            <v>3298168583633.1499</v>
          </cell>
          <cell r="O261">
            <v>3431466032627.3198</v>
          </cell>
          <cell r="P261">
            <v>3235660073051.52</v>
          </cell>
          <cell r="Q261">
            <v>7.4657224740636021</v>
          </cell>
          <cell r="R261">
            <v>5.0990333821129008</v>
          </cell>
          <cell r="S261">
            <v>5.4743544351347779</v>
          </cell>
          <cell r="T261">
            <v>6.0157793886110609</v>
          </cell>
          <cell r="U261">
            <v>6.8969130850881983</v>
          </cell>
          <cell r="V261">
            <v>7.3686983477048082</v>
          </cell>
          <cell r="W261">
            <v>7.6714635957419226</v>
          </cell>
          <cell r="X261">
            <v>6.6048510419311164</v>
          </cell>
          <cell r="Y261">
            <v>6.4443059213801117</v>
          </cell>
          <cell r="Z261">
            <v>4.0415595993378242</v>
          </cell>
          <cell r="AA261">
            <v>-5.7061896493808497</v>
          </cell>
          <cell r="AB261">
            <v>61.677288992695303</v>
          </cell>
          <cell r="AC261">
            <v>19.864356451940125</v>
          </cell>
          <cell r="AD261">
            <v>76.901021270201156</v>
          </cell>
          <cell r="AE261">
            <v>31.032523571145632</v>
          </cell>
        </row>
        <row r="262">
          <cell r="B262" t="str">
            <v>TSA</v>
          </cell>
          <cell r="C262" t="str">
            <v>GDP (constant 2015 US$)</v>
          </cell>
          <cell r="D262" t="str">
            <v>NY.GDP.MKTP.KD</v>
          </cell>
          <cell r="E262">
            <v>1862275410453.9399</v>
          </cell>
          <cell r="F262">
            <v>2001307724301.1599</v>
          </cell>
          <cell r="G262">
            <v>2103355073242.0801</v>
          </cell>
          <cell r="H262">
            <v>2218500184980.7402</v>
          </cell>
          <cell r="I262">
            <v>2351960261845.1099</v>
          </cell>
          <cell r="J262">
            <v>2514172916900.3799</v>
          </cell>
          <cell r="K262">
            <v>2699434735086.46</v>
          </cell>
          <cell r="L262">
            <v>2906520888079.4302</v>
          </cell>
          <cell r="M262">
            <v>3098492263239.7002</v>
          </cell>
          <cell r="N262">
            <v>3298168583633.1499</v>
          </cell>
          <cell r="O262">
            <v>3431466032627.3198</v>
          </cell>
          <cell r="P262">
            <v>3235660073051.52</v>
          </cell>
          <cell r="Q262">
            <v>7.4657224740636021</v>
          </cell>
          <cell r="R262">
            <v>5.0990333821129008</v>
          </cell>
          <cell r="S262">
            <v>5.4743544351347779</v>
          </cell>
          <cell r="T262">
            <v>6.0157793886110609</v>
          </cell>
          <cell r="U262">
            <v>6.8969130850881983</v>
          </cell>
          <cell r="V262">
            <v>7.3686983477048082</v>
          </cell>
          <cell r="W262">
            <v>7.6714635957419226</v>
          </cell>
          <cell r="X262">
            <v>6.6048510419314681</v>
          </cell>
          <cell r="Y262">
            <v>6.4443059213797591</v>
          </cell>
          <cell r="Z262">
            <v>4.0415595993378242</v>
          </cell>
          <cell r="AA262">
            <v>-5.7061896493808497</v>
          </cell>
          <cell r="AB262">
            <v>61.677288992695303</v>
          </cell>
          <cell r="AC262">
            <v>19.864356451940125</v>
          </cell>
          <cell r="AD262">
            <v>76.901021270201156</v>
          </cell>
          <cell r="AE262">
            <v>31.03252357114561</v>
          </cell>
        </row>
        <row r="263">
          <cell r="B263" t="str">
            <v>SSF</v>
          </cell>
          <cell r="C263" t="str">
            <v>GDP (constant 2015 US$)</v>
          </cell>
          <cell r="D263" t="str">
            <v>NY.GDP.MKTP.KD</v>
          </cell>
          <cell r="E263">
            <v>1297397391615.0801</v>
          </cell>
          <cell r="F263">
            <v>1374354271542.9099</v>
          </cell>
          <cell r="G263">
            <v>1434521885494.78</v>
          </cell>
          <cell r="H263">
            <v>1482738259082.0601</v>
          </cell>
          <cell r="I263">
            <v>1558483379009.5601</v>
          </cell>
          <cell r="J263">
            <v>1634180434758.4199</v>
          </cell>
          <cell r="K263">
            <v>1680659709871</v>
          </cell>
          <cell r="L263">
            <v>1700207342386.9199</v>
          </cell>
          <cell r="M263">
            <v>1741723516715.0801</v>
          </cell>
          <cell r="N263">
            <v>1788553116078.23</v>
          </cell>
          <cell r="O263">
            <v>1834643244102.5601</v>
          </cell>
          <cell r="P263">
            <v>1797727737804.2</v>
          </cell>
          <cell r="Q263">
            <v>5.931635166310083</v>
          </cell>
          <cell r="R263">
            <v>4.3778824134131975</v>
          </cell>
          <cell r="S263">
            <v>3.3611459033718227</v>
          </cell>
          <cell r="T263">
            <v>5.1084619597252861</v>
          </cell>
          <cell r="U263">
            <v>4.8570974043346222</v>
          </cell>
          <cell r="V263">
            <v>2.8441948100701064</v>
          </cell>
          <cell r="W263">
            <v>1.1630928260558058</v>
          </cell>
          <cell r="X263">
            <v>2.4418300811403171</v>
          </cell>
          <cell r="Y263">
            <v>2.6886930625746683</v>
          </cell>
          <cell r="Z263">
            <v>2.5769504752194416</v>
          </cell>
          <cell r="AA263">
            <v>-2.0121354065442745</v>
          </cell>
          <cell r="AB263">
            <v>30.805264335955574</v>
          </cell>
          <cell r="AC263">
            <v>6.9655997133521801</v>
          </cell>
          <cell r="AD263">
            <v>37.875514958947406</v>
          </cell>
          <cell r="AE263">
            <v>9.4611890282286559</v>
          </cell>
        </row>
        <row r="264">
          <cell r="B264" t="str">
            <v>SSA</v>
          </cell>
          <cell r="C264" t="str">
            <v>GDP (constant 2015 US$)</v>
          </cell>
          <cell r="D264" t="str">
            <v>NY.GDP.MKTP.KD</v>
          </cell>
          <cell r="E264">
            <v>1296373899260.26</v>
          </cell>
          <cell r="F264">
            <v>1373269829924.46</v>
          </cell>
          <cell r="G264">
            <v>1433351802880.6599</v>
          </cell>
          <cell r="H264">
            <v>1481553491228.1001</v>
          </cell>
          <cell r="I264">
            <v>1557227280700.5701</v>
          </cell>
          <cell r="J264">
            <v>1632867751918.1499</v>
          </cell>
          <cell r="K264">
            <v>1679282214816.95</v>
          </cell>
          <cell r="L264">
            <v>1698766997422.8899</v>
          </cell>
          <cell r="M264">
            <v>1740214923008.6499</v>
          </cell>
          <cell r="N264">
            <v>1787017802409.48</v>
          </cell>
          <cell r="O264">
            <v>1833089644759.9199</v>
          </cell>
          <cell r="P264">
            <v>1796341475426.8601</v>
          </cell>
          <cell r="Q264">
            <v>5.9316166970099049</v>
          </cell>
          <cell r="R264">
            <v>4.3751032497018381</v>
          </cell>
          <cell r="S264">
            <v>3.3628651563815302</v>
          </cell>
          <cell r="T264">
            <v>5.1077325199876444</v>
          </cell>
          <cell r="U264">
            <v>4.857381588097434</v>
          </cell>
          <cell r="V264">
            <v>2.8425120677578701</v>
          </cell>
          <cell r="W264">
            <v>1.1603042320116443</v>
          </cell>
          <cell r="X264">
            <v>2.4398829061689145</v>
          </cell>
          <cell r="Y264">
            <v>2.6894884523753415</v>
          </cell>
          <cell r="Z264">
            <v>2.5781412075649244</v>
          </cell>
          <cell r="AA264">
            <v>-2.0047120683982005</v>
          </cell>
          <cell r="AB264">
            <v>30.807612333962965</v>
          </cell>
          <cell r="AC264">
            <v>6.9707914236839699</v>
          </cell>
          <cell r="AD264">
            <v>37.866243298594313</v>
          </cell>
          <cell r="AE264">
            <v>9.4554039611662191</v>
          </cell>
        </row>
        <row r="265">
          <cell r="B265" t="str">
            <v>TSS</v>
          </cell>
          <cell r="C265" t="str">
            <v>GDP (constant 2015 US$)</v>
          </cell>
          <cell r="D265" t="str">
            <v>NY.GDP.MKTP.KD</v>
          </cell>
          <cell r="E265">
            <v>1297397391615.0801</v>
          </cell>
          <cell r="F265">
            <v>1374354271542.9099</v>
          </cell>
          <cell r="G265">
            <v>1434521885494.78</v>
          </cell>
          <cell r="H265">
            <v>1482738259082.05</v>
          </cell>
          <cell r="I265">
            <v>1558483379009.5601</v>
          </cell>
          <cell r="J265">
            <v>1634180434758.4199</v>
          </cell>
          <cell r="K265">
            <v>1680659709871</v>
          </cell>
          <cell r="L265">
            <v>1700207342386.9199</v>
          </cell>
          <cell r="M265">
            <v>1741723516715.0801</v>
          </cell>
          <cell r="N265">
            <v>1788553116078.23</v>
          </cell>
          <cell r="O265">
            <v>1834643244102.5601</v>
          </cell>
          <cell r="P265">
            <v>1797727737804.2</v>
          </cell>
          <cell r="Q265">
            <v>5.931635166310083</v>
          </cell>
          <cell r="R265">
            <v>4.3778824134131975</v>
          </cell>
          <cell r="S265">
            <v>3.3611459033711251</v>
          </cell>
          <cell r="T265">
            <v>5.1084619597259966</v>
          </cell>
          <cell r="U265">
            <v>4.8570974043346222</v>
          </cell>
          <cell r="V265">
            <v>2.8441948100701064</v>
          </cell>
          <cell r="W265">
            <v>1.1630928260558058</v>
          </cell>
          <cell r="X265">
            <v>2.4418300811403171</v>
          </cell>
          <cell r="Y265">
            <v>2.6886930625746683</v>
          </cell>
          <cell r="Z265">
            <v>2.5769504752194416</v>
          </cell>
          <cell r="AA265">
            <v>-2.0121354065442745</v>
          </cell>
          <cell r="AB265">
            <v>30.805264335955574</v>
          </cell>
          <cell r="AC265">
            <v>6.9655997133521801</v>
          </cell>
          <cell r="AD265">
            <v>37.875514958947434</v>
          </cell>
          <cell r="AE265">
            <v>9.4611890282286559</v>
          </cell>
        </row>
        <row r="266">
          <cell r="B266" t="str">
            <v>UMC</v>
          </cell>
          <cell r="C266" t="str">
            <v>GDP (constant 2015 US$)</v>
          </cell>
          <cell r="D266" t="str">
            <v>NY.GDP.MKTP.KD</v>
          </cell>
          <cell r="E266">
            <v>14094578938963.801</v>
          </cell>
          <cell r="F266">
            <v>15261361772731.699</v>
          </cell>
          <cell r="G266">
            <v>16319118674824.6</v>
          </cell>
          <cell r="H266">
            <v>17270186720072.6</v>
          </cell>
          <cell r="I266">
            <v>18239532736360.199</v>
          </cell>
          <cell r="J266">
            <v>19104354802241.301</v>
          </cell>
          <cell r="K266">
            <v>19921765647938.699</v>
          </cell>
          <cell r="L266">
            <v>20765285192943.102</v>
          </cell>
          <cell r="M266">
            <v>21846165513296.301</v>
          </cell>
          <cell r="N266">
            <v>22922203217852</v>
          </cell>
          <cell r="O266">
            <v>23866821838887.801</v>
          </cell>
          <cell r="P266">
            <v>23696596108154.898</v>
          </cell>
          <cell r="Q266">
            <v>8.278238312904703</v>
          </cell>
          <cell r="R266">
            <v>6.9309470402756048</v>
          </cell>
          <cell r="S266">
            <v>5.8279375510345828</v>
          </cell>
          <cell r="T266">
            <v>5.6128288130258541</v>
          </cell>
          <cell r="U266">
            <v>4.7414705101358949</v>
          </cell>
          <cell r="V266">
            <v>4.2786624000591775</v>
          </cell>
          <cell r="W266">
            <v>4.2341605654400478</v>
          </cell>
          <cell r="X266">
            <v>5.2052274279407769</v>
          </cell>
          <cell r="Y266">
            <v>4.9255220734310878</v>
          </cell>
          <cell r="Z266">
            <v>4.1209765573499677</v>
          </cell>
          <cell r="AA266">
            <v>-0.713231664785557</v>
          </cell>
          <cell r="AB266">
            <v>55.271832625676232</v>
          </cell>
          <cell r="AC266">
            <v>18.948272592528866</v>
          </cell>
          <cell r="AD266">
            <v>62.889261658754634</v>
          </cell>
          <cell r="AE266">
            <v>20.174461819014123</v>
          </cell>
        </row>
        <row r="267">
          <cell r="B267" t="str">
            <v>WLD</v>
          </cell>
          <cell r="C267" t="str">
            <v>GDP (constant 2015 US$)</v>
          </cell>
          <cell r="D267" t="str">
            <v>NY.GDP.MKTP.KD</v>
          </cell>
          <cell r="E267">
            <v>61919876491431.398</v>
          </cell>
          <cell r="F267">
            <v>64703088225651.602</v>
          </cell>
          <cell r="G267">
            <v>66863997150962.203</v>
          </cell>
          <cell r="H267">
            <v>68651311736987.297</v>
          </cell>
          <cell r="I267">
            <v>70604341612368.797</v>
          </cell>
          <cell r="J267">
            <v>72805688403253.594</v>
          </cell>
          <cell r="K267">
            <v>75112444159420.094</v>
          </cell>
          <cell r="L267">
            <v>77234459359656.594</v>
          </cell>
          <cell r="M267">
            <v>79856123941503.203</v>
          </cell>
          <cell r="N267">
            <v>82467157823048.5</v>
          </cell>
          <cell r="O267">
            <v>84612027798062.594</v>
          </cell>
          <cell r="P267">
            <v>81825333540230.297</v>
          </cell>
          <cell r="Q267">
            <v>4.4948599576185364</v>
          </cell>
          <cell r="R267">
            <v>3.3397307370777196</v>
          </cell>
          <cell r="S267">
            <v>2.6730597364524646</v>
          </cell>
          <cell r="T267">
            <v>2.8448544186072198</v>
          </cell>
          <cell r="U267">
            <v>3.1178632087111691</v>
          </cell>
          <cell r="V267">
            <v>3.1683729757349761</v>
          </cell>
          <cell r="W267">
            <v>2.8251180266916811</v>
          </cell>
          <cell r="X267">
            <v>3.3944234265152833</v>
          </cell>
          <cell r="Y267">
            <v>3.2696726971846903</v>
          </cell>
          <cell r="Z267">
            <v>2.6008777695678393</v>
          </cell>
          <cell r="AA267">
            <v>-3.2934965989505636</v>
          </cell>
          <cell r="AB267">
            <v>26.462794565330444</v>
          </cell>
          <cell r="AC267">
            <v>8.937120148244194</v>
          </cell>
          <cell r="AD267">
            <v>33.150841661007455</v>
          </cell>
          <cell r="AE267">
            <v>13.242300858613643</v>
          </cell>
        </row>
      </sheetData>
      <sheetData sheetId="5">
        <row r="4">
          <cell r="B4" t="str">
            <v>ctr_id</v>
          </cell>
          <cell r="C4" t="str">
            <v>region</v>
          </cell>
          <cell r="D4" t="str">
            <v>income_group</v>
          </cell>
          <cell r="E4" t="str">
            <v>lending_cat_wb</v>
          </cell>
          <cell r="F4" t="str">
            <v>hipc_emu_cat</v>
          </cell>
          <cell r="G4" t="str">
            <v>ssa_marker</v>
          </cell>
          <cell r="H4" t="str">
            <v>un_countrycode</v>
          </cell>
          <cell r="I4" t="str">
            <v>pop2020_total</v>
          </cell>
          <cell r="J4" t="str">
            <v>pop2021_total</v>
          </cell>
          <cell r="K4" t="str">
            <v>pop2022_total</v>
          </cell>
          <cell r="L4" t="str">
            <v>pop2023_total</v>
          </cell>
          <cell r="M4" t="str">
            <v>pop2024_total</v>
          </cell>
          <cell r="N4" t="str">
            <v>pop2025_total</v>
          </cell>
          <cell r="O4" t="str">
            <v>pop2026_total</v>
          </cell>
          <cell r="P4" t="str">
            <v>pop2027_total</v>
          </cell>
          <cell r="Q4" t="str">
            <v>pop2028_total</v>
          </cell>
          <cell r="R4" t="str">
            <v>pop2029_total</v>
          </cell>
          <cell r="S4" t="str">
            <v>pop2030_total</v>
          </cell>
          <cell r="T4" t="str">
            <v>pop2020_age0_4</v>
          </cell>
          <cell r="U4" t="str">
            <v>pop2020_age5_9</v>
          </cell>
          <cell r="V4" t="str">
            <v>pop2020_age10_14</v>
          </cell>
          <cell r="W4" t="str">
            <v>pop2020_age15_19</v>
          </cell>
          <cell r="X4" t="str">
            <v>pop2020_age20_24</v>
          </cell>
          <cell r="Y4" t="str">
            <v>pop2020_age25_29</v>
          </cell>
          <cell r="Z4" t="str">
            <v>pop2020_age30_34</v>
          </cell>
          <cell r="AA4" t="str">
            <v>pop2020_age35_39</v>
          </cell>
          <cell r="AB4" t="str">
            <v>pop2020_age40_44</v>
          </cell>
          <cell r="AC4" t="str">
            <v>pop2020_age45_49</v>
          </cell>
          <cell r="AD4" t="str">
            <v>pop2020_age50_54</v>
          </cell>
          <cell r="AE4" t="str">
            <v>pop2020_age55_59</v>
          </cell>
          <cell r="AF4" t="str">
            <v>pop2020_age60_64</v>
          </cell>
          <cell r="AG4" t="str">
            <v>pop2020_age65_69</v>
          </cell>
          <cell r="AH4" t="str">
            <v>pop2020_age70_74</v>
          </cell>
          <cell r="AI4" t="str">
            <v>pop2020_age75_79</v>
          </cell>
          <cell r="AJ4" t="str">
            <v>pop2020_age80_84</v>
          </cell>
          <cell r="AK4" t="str">
            <v>pop2020_age85_89</v>
          </cell>
          <cell r="AL4" t="str">
            <v>pop2020_age90_94</v>
          </cell>
          <cell r="AM4" t="str">
            <v>pop2020_age95_99</v>
          </cell>
          <cell r="AN4" t="str">
            <v>pop2020_age100plus</v>
          </cell>
          <cell r="AO4" t="str">
            <v>pop2030_age0_4</v>
          </cell>
          <cell r="AP4" t="str">
            <v>pop2030_age5_9</v>
          </cell>
          <cell r="AQ4" t="str">
            <v>pop2030_age10_14</v>
          </cell>
          <cell r="AR4" t="str">
            <v>pop2030_age15_19</v>
          </cell>
          <cell r="AS4" t="str">
            <v>pop2030_age20_24</v>
          </cell>
          <cell r="AT4" t="str">
            <v>pop2030_age25_29</v>
          </cell>
          <cell r="AU4" t="str">
            <v>pop2030_age30_34</v>
          </cell>
          <cell r="AV4" t="str">
            <v>pop2030_age35_39</v>
          </cell>
          <cell r="AW4" t="str">
            <v>pop2030_age40_44</v>
          </cell>
          <cell r="AX4" t="str">
            <v>pop2030_age45_49</v>
          </cell>
          <cell r="AY4" t="str">
            <v>pop2030_age50_54</v>
          </cell>
          <cell r="AZ4" t="str">
            <v>pop2030_age55_59</v>
          </cell>
          <cell r="BA4" t="str">
            <v>pop2030_age60_64</v>
          </cell>
          <cell r="BB4" t="str">
            <v>pop2030_age65_69</v>
          </cell>
          <cell r="BC4" t="str">
            <v>pop2030_age70_74</v>
          </cell>
          <cell r="BD4" t="str">
            <v>pop2030_age75_79</v>
          </cell>
          <cell r="BE4" t="str">
            <v>pop2030_age80_84</v>
          </cell>
          <cell r="BF4" t="str">
            <v>pop2030_age85_89</v>
          </cell>
          <cell r="BG4" t="str">
            <v>pop2030_age90_94</v>
          </cell>
          <cell r="BH4" t="str">
            <v>pop2030_age95_99</v>
          </cell>
          <cell r="BI4" t="str">
            <v>pop2030_age100plus</v>
          </cell>
          <cell r="BJ4" t="str">
            <v>%2020_age0_4</v>
          </cell>
          <cell r="BK4" t="str">
            <v>%2020_age5_9</v>
          </cell>
          <cell r="BL4" t="str">
            <v>%2020_age10_14</v>
          </cell>
          <cell r="BM4" t="str">
            <v>%2020_age15_19</v>
          </cell>
          <cell r="BN4" t="str">
            <v>%2020_age20_24</v>
          </cell>
          <cell r="BO4" t="str">
            <v>%2020_age25_29</v>
          </cell>
          <cell r="BP4" t="str">
            <v>%2020_age30_34</v>
          </cell>
          <cell r="BQ4" t="str">
            <v>%2020_age35_39</v>
          </cell>
          <cell r="BR4" t="str">
            <v>%2020_age40_44</v>
          </cell>
          <cell r="BS4" t="str">
            <v>%2020_age45_49</v>
          </cell>
          <cell r="BT4" t="str">
            <v>%2020_age50_54</v>
          </cell>
          <cell r="BU4" t="str">
            <v>%2020_age55_59</v>
          </cell>
          <cell r="BV4" t="str">
            <v>%2020_age60_64</v>
          </cell>
          <cell r="BW4" t="str">
            <v>%2020_age65_69</v>
          </cell>
          <cell r="BX4" t="str">
            <v>%2020_age70_74</v>
          </cell>
          <cell r="BY4" t="str">
            <v>%2020_age75_79</v>
          </cell>
          <cell r="BZ4" t="str">
            <v>%2020_age80_84</v>
          </cell>
          <cell r="CA4" t="str">
            <v>%2020_age85_89</v>
          </cell>
          <cell r="CB4" t="str">
            <v>%2020_age90_94</v>
          </cell>
          <cell r="CC4" t="str">
            <v>%2020_age95_99</v>
          </cell>
          <cell r="CD4" t="str">
            <v>%2020_age100plus</v>
          </cell>
          <cell r="CE4" t="str">
            <v>%2030_age0_4</v>
          </cell>
          <cell r="CF4" t="str">
            <v>%2030_age5_9</v>
          </cell>
          <cell r="CG4" t="str">
            <v>%2030_age10_14</v>
          </cell>
          <cell r="CH4" t="str">
            <v>%2030_age15_19</v>
          </cell>
          <cell r="CI4" t="str">
            <v>%2030_age20_24</v>
          </cell>
          <cell r="CJ4" t="str">
            <v>%2030_age25_29</v>
          </cell>
          <cell r="CK4" t="str">
            <v>%2030_age30_34</v>
          </cell>
          <cell r="CL4" t="str">
            <v>%2030_age35_39</v>
          </cell>
          <cell r="CM4" t="str">
            <v>%2030_age40_44</v>
          </cell>
          <cell r="CN4" t="str">
            <v>%2030_age45_49</v>
          </cell>
          <cell r="CO4" t="str">
            <v>%2030_age50_54</v>
          </cell>
          <cell r="CP4" t="str">
            <v>%2030_age55_59</v>
          </cell>
          <cell r="CQ4" t="str">
            <v>%2030_age60_64</v>
          </cell>
          <cell r="CR4" t="str">
            <v>%2030_age65_69</v>
          </cell>
          <cell r="CS4" t="str">
            <v>%2030_age70_74</v>
          </cell>
          <cell r="CT4" t="str">
            <v>%2030_age75_79</v>
          </cell>
          <cell r="CU4" t="str">
            <v>%2030_age80_84</v>
          </cell>
          <cell r="CV4" t="str">
            <v>%2030_age85_89</v>
          </cell>
          <cell r="CW4" t="str">
            <v>%2030_age90_94</v>
          </cell>
          <cell r="CX4" t="str">
            <v>%2030_age95_99</v>
          </cell>
          <cell r="CY4" t="str">
            <v>%2030_age100plus</v>
          </cell>
          <cell r="CZ4" t="str">
            <v>check1</v>
          </cell>
          <cell r="DA4" t="str">
            <v>check2</v>
          </cell>
          <cell r="DB4"/>
          <cell r="DC4"/>
          <cell r="DD4"/>
          <cell r="DE4"/>
        </row>
        <row r="5">
          <cell r="B5" t="str">
            <v>ABW</v>
          </cell>
          <cell r="C5" t="str">
            <v>Latin America &amp; Caribbean</v>
          </cell>
          <cell r="D5" t="str">
            <v>High income</v>
          </cell>
          <cell r="G5">
            <v>0</v>
          </cell>
          <cell r="H5">
            <v>533</v>
          </cell>
          <cell r="I5">
            <v>106.76600000000001</v>
          </cell>
          <cell r="J5">
            <v>107.19499999999999</v>
          </cell>
          <cell r="K5">
            <v>107.61199999999999</v>
          </cell>
          <cell r="L5">
            <v>108.012</v>
          </cell>
          <cell r="M5">
            <v>108.384</v>
          </cell>
          <cell r="N5">
            <v>108.75</v>
          </cell>
          <cell r="O5">
            <v>109.087</v>
          </cell>
          <cell r="P5">
            <v>109.419</v>
          </cell>
          <cell r="Q5">
            <v>109.717</v>
          </cell>
          <cell r="R5">
            <v>109.997</v>
          </cell>
          <cell r="S5">
            <v>110.244</v>
          </cell>
          <cell r="T5">
            <v>6.08</v>
          </cell>
          <cell r="U5">
            <v>5.6769999999999996</v>
          </cell>
          <cell r="V5">
            <v>6.8</v>
          </cell>
          <cell r="W5">
            <v>7.21</v>
          </cell>
          <cell r="X5">
            <v>7.5650000000000004</v>
          </cell>
          <cell r="Y5">
            <v>7.415</v>
          </cell>
          <cell r="Z5">
            <v>5.4240000000000004</v>
          </cell>
          <cell r="AA5">
            <v>5.82</v>
          </cell>
          <cell r="AB5">
            <v>6.74</v>
          </cell>
          <cell r="AC5">
            <v>7.5309999999999997</v>
          </cell>
          <cell r="AD5">
            <v>8.1419999999999995</v>
          </cell>
          <cell r="AE5">
            <v>9.0630000000000006</v>
          </cell>
          <cell r="AF5">
            <v>7.7060000000000004</v>
          </cell>
          <cell r="AG5">
            <v>6.048</v>
          </cell>
          <cell r="AH5">
            <v>4.3019999999999996</v>
          </cell>
          <cell r="AI5">
            <v>2.6560000000000001</v>
          </cell>
          <cell r="AJ5">
            <v>1.631</v>
          </cell>
          <cell r="AK5">
            <v>0.71499999999999997</v>
          </cell>
          <cell r="AL5">
            <v>0.20300000000000001</v>
          </cell>
          <cell r="AM5">
            <v>3.4000000000000002E-2</v>
          </cell>
          <cell r="AN5">
            <v>4.0000000000000001E-3</v>
          </cell>
          <cell r="AO5">
            <v>6.6070000000000002</v>
          </cell>
          <cell r="AP5">
            <v>6.4080000000000004</v>
          </cell>
          <cell r="AQ5">
            <v>6.1639999999999997</v>
          </cell>
          <cell r="AR5">
            <v>5.766</v>
          </cell>
          <cell r="AS5">
            <v>6.8410000000000002</v>
          </cell>
          <cell r="AT5">
            <v>7.274</v>
          </cell>
          <cell r="AU5">
            <v>7.71</v>
          </cell>
          <cell r="AV5">
            <v>7.5780000000000003</v>
          </cell>
          <cell r="AW5">
            <v>5.5579999999999998</v>
          </cell>
          <cell r="AX5">
            <v>5.8869999999999996</v>
          </cell>
          <cell r="AY5">
            <v>6.6719999999999997</v>
          </cell>
          <cell r="AZ5">
            <v>7.27</v>
          </cell>
          <cell r="BA5">
            <v>7.6420000000000003</v>
          </cell>
          <cell r="BB5">
            <v>8.1419999999999995</v>
          </cell>
          <cell r="BC5">
            <v>6.407</v>
          </cell>
          <cell r="BD5">
            <v>4.391</v>
          </cell>
          <cell r="BE5">
            <v>2.472</v>
          </cell>
          <cell r="BF5">
            <v>1.034</v>
          </cell>
          <cell r="BG5">
            <v>0.34799999999999998</v>
          </cell>
          <cell r="BH5">
            <v>6.6000000000000003E-2</v>
          </cell>
          <cell r="BI5">
            <v>7.0000000000000001E-3</v>
          </cell>
          <cell r="BJ5">
            <v>5.6946968135923415</v>
          </cell>
          <cell r="BK5">
            <v>5.3172358241387707</v>
          </cell>
          <cell r="BL5">
            <v>6.3690688046756456</v>
          </cell>
          <cell r="BM5">
            <v>6.7530861884869715</v>
          </cell>
          <cell r="BN5">
            <v>7.0855890452016554</v>
          </cell>
          <cell r="BO5">
            <v>6.9450948803926345</v>
          </cell>
          <cell r="BP5">
            <v>5.0802689994942209</v>
          </cell>
          <cell r="BQ5">
            <v>5.4511735945900375</v>
          </cell>
          <cell r="BR5">
            <v>6.3128711387520369</v>
          </cell>
          <cell r="BS5">
            <v>7.053743701178278</v>
          </cell>
          <cell r="BT5">
            <v>7.6260232658336911</v>
          </cell>
          <cell r="BU5">
            <v>8.4886574377610859</v>
          </cell>
          <cell r="BV5">
            <v>7.2176535601221365</v>
          </cell>
          <cell r="BW5">
            <v>5.6647247250997506</v>
          </cell>
          <cell r="BX5">
            <v>4.0293726467227389</v>
          </cell>
          <cell r="BY5">
            <v>2.4876833448850757</v>
          </cell>
          <cell r="BZ5">
            <v>1.5276398853567614</v>
          </cell>
          <cell r="CA5">
            <v>0.66968885225633623</v>
          </cell>
          <cell r="CB5">
            <v>0.1901354363748759</v>
          </cell>
          <cell r="CC5">
            <v>3.1845344023378228E-2</v>
          </cell>
          <cell r="CD5">
            <v>3.7465110615739088E-3</v>
          </cell>
          <cell r="CE5">
            <v>5.9930699176372411</v>
          </cell>
          <cell r="CF5">
            <v>5.8125612278219227</v>
          </cell>
          <cell r="CG5">
            <v>5.5912339900584156</v>
          </cell>
          <cell r="CH5">
            <v>5.2302166104277781</v>
          </cell>
          <cell r="CI5">
            <v>6.2053263669678174</v>
          </cell>
          <cell r="CJ5">
            <v>6.5980915061137111</v>
          </cell>
          <cell r="CK5">
            <v>6.9935778817894851</v>
          </cell>
          <cell r="CL5">
            <v>6.8738434744748016</v>
          </cell>
          <cell r="CM5">
            <v>5.0415442110228224</v>
          </cell>
          <cell r="CN5">
            <v>5.3399731504662382</v>
          </cell>
          <cell r="CO5">
            <v>6.0520300424512898</v>
          </cell>
          <cell r="CP5">
            <v>6.5944631907405391</v>
          </cell>
          <cell r="CQ5">
            <v>6.9318965204455569</v>
          </cell>
          <cell r="CR5">
            <v>7.3854359420920863</v>
          </cell>
          <cell r="CS5">
            <v>5.8116541489786293</v>
          </cell>
          <cell r="CT5">
            <v>3.9829832008998221</v>
          </cell>
          <cell r="CU5">
            <v>2.2422989006204421</v>
          </cell>
          <cell r="CV5">
            <v>0.93791952396502298</v>
          </cell>
          <cell r="CW5">
            <v>0.31566343746598452</v>
          </cell>
          <cell r="CX5">
            <v>5.9867203657341897E-2</v>
          </cell>
          <cell r="CY5">
            <v>6.3495519030514142E-3</v>
          </cell>
          <cell r="CZ5">
            <v>100</v>
          </cell>
          <cell r="DA5">
            <v>99.993650448096972</v>
          </cell>
        </row>
        <row r="6">
          <cell r="B6" t="str">
            <v>AFG</v>
          </cell>
          <cell r="C6" t="str">
            <v>South Asia</v>
          </cell>
          <cell r="D6" t="str">
            <v>Low income</v>
          </cell>
          <cell r="E6" t="str">
            <v>IDA</v>
          </cell>
          <cell r="F6" t="str">
            <v>HIPC</v>
          </cell>
          <cell r="G6">
            <v>0</v>
          </cell>
          <cell r="H6">
            <v>4</v>
          </cell>
          <cell r="I6">
            <v>38928.300000000003</v>
          </cell>
          <cell r="J6">
            <v>39835.4</v>
          </cell>
          <cell r="K6">
            <v>40754.400000000001</v>
          </cell>
          <cell r="L6">
            <v>41681.199999999997</v>
          </cell>
          <cell r="M6">
            <v>42608.7</v>
          </cell>
          <cell r="N6">
            <v>43531.5</v>
          </cell>
          <cell r="O6">
            <v>44449.1</v>
          </cell>
          <cell r="P6">
            <v>45363.6</v>
          </cell>
          <cell r="Q6">
            <v>46275.3</v>
          </cell>
          <cell r="R6">
            <v>47185.2</v>
          </cell>
          <cell r="S6">
            <v>48093.599999999999</v>
          </cell>
          <cell r="T6">
            <v>5672.51</v>
          </cell>
          <cell r="U6">
            <v>5416.22</v>
          </cell>
          <cell r="V6">
            <v>5192.1099999999997</v>
          </cell>
          <cell r="W6">
            <v>4629.4399999999996</v>
          </cell>
          <cell r="X6">
            <v>3926.49</v>
          </cell>
          <cell r="Y6">
            <v>3109.39</v>
          </cell>
          <cell r="Z6">
            <v>2478.2600000000002</v>
          </cell>
          <cell r="AA6">
            <v>2056.39</v>
          </cell>
          <cell r="AB6">
            <v>1658.72</v>
          </cell>
          <cell r="AC6">
            <v>1304.74</v>
          </cell>
          <cell r="AD6">
            <v>1032.3599999999999</v>
          </cell>
          <cell r="AE6">
            <v>807.83900000000006</v>
          </cell>
          <cell r="AF6">
            <v>612.63800000000003</v>
          </cell>
          <cell r="AG6">
            <v>444.858</v>
          </cell>
          <cell r="AH6">
            <v>312.45100000000002</v>
          </cell>
          <cell r="AI6">
            <v>168.00399999999999</v>
          </cell>
          <cell r="AJ6">
            <v>75.605000000000004</v>
          </cell>
          <cell r="AK6">
            <v>24.46</v>
          </cell>
          <cell r="AL6">
            <v>5.1920000000000002</v>
          </cell>
          <cell r="AM6">
            <v>0.629</v>
          </cell>
          <cell r="AN6">
            <v>3.9E-2</v>
          </cell>
          <cell r="AO6">
            <v>5892.53</v>
          </cell>
          <cell r="AP6">
            <v>5756.73</v>
          </cell>
          <cell r="AQ6">
            <v>5574.64</v>
          </cell>
          <cell r="AR6">
            <v>5302.38</v>
          </cell>
          <cell r="AS6">
            <v>4974.1400000000003</v>
          </cell>
          <cell r="AT6">
            <v>4388.58</v>
          </cell>
          <cell r="AU6">
            <v>3751.54</v>
          </cell>
          <cell r="AV6">
            <v>2990.06</v>
          </cell>
          <cell r="AW6">
            <v>2379.31</v>
          </cell>
          <cell r="AX6">
            <v>1956.94</v>
          </cell>
          <cell r="AY6">
            <v>1547.62</v>
          </cell>
          <cell r="AZ6">
            <v>1179.33</v>
          </cell>
          <cell r="BA6">
            <v>891.32799999999997</v>
          </cell>
          <cell r="BB6">
            <v>646.16099999999994</v>
          </cell>
          <cell r="BC6">
            <v>431.46800000000002</v>
          </cell>
          <cell r="BD6">
            <v>254.60499999999999</v>
          </cell>
          <cell r="BE6">
            <v>127.367</v>
          </cell>
          <cell r="BF6">
            <v>39.673999999999999</v>
          </cell>
          <cell r="BG6">
            <v>8.1690000000000005</v>
          </cell>
          <cell r="BH6">
            <v>0.95199999999999996</v>
          </cell>
          <cell r="BI6">
            <v>6.4000000000000001E-2</v>
          </cell>
          <cell r="BJ6">
            <v>14.571686921853766</v>
          </cell>
          <cell r="BK6">
            <v>13.913322698396795</v>
          </cell>
          <cell r="BL6">
            <v>13.337623271501709</v>
          </cell>
          <cell r="BM6">
            <v>11.892222367788985</v>
          </cell>
          <cell r="BN6">
            <v>10.086466657932659</v>
          </cell>
          <cell r="BO6">
            <v>7.9874795457289416</v>
          </cell>
          <cell r="BP6">
            <v>6.3662168653653</v>
          </cell>
          <cell r="BQ6">
            <v>5.2825065569264513</v>
          </cell>
          <cell r="BR6">
            <v>4.2609618195503014</v>
          </cell>
          <cell r="BS6">
            <v>3.3516490573695741</v>
          </cell>
          <cell r="BT6">
            <v>2.6519524356316606</v>
          </cell>
          <cell r="BU6">
            <v>2.075197221558609</v>
          </cell>
          <cell r="BV6">
            <v>1.5737599638309403</v>
          </cell>
          <cell r="BW6">
            <v>1.1427624632979092</v>
          </cell>
          <cell r="BX6">
            <v>0.80263201835168752</v>
          </cell>
          <cell r="BY6">
            <v>0.43157291738914871</v>
          </cell>
          <cell r="BZ6">
            <v>0.19421603306591864</v>
          </cell>
          <cell r="CA6">
            <v>6.2833465627833734E-2</v>
          </cell>
          <cell r="CB6">
            <v>1.3337340700724152E-2</v>
          </cell>
          <cell r="CC6">
            <v>1.6157910825800252E-3</v>
          </cell>
          <cell r="CD6">
            <v>1.0018418477046262E-4</v>
          </cell>
          <cell r="CE6">
            <v>12.252212352579136</v>
          </cell>
          <cell r="CF6">
            <v>11.969846299715554</v>
          </cell>
          <cell r="CG6">
            <v>11.591230433987059</v>
          </cell>
          <cell r="CH6">
            <v>11.025126004291632</v>
          </cell>
          <cell r="CI6">
            <v>10.342623550742719</v>
          </cell>
          <cell r="CJ6">
            <v>9.125081091870852</v>
          </cell>
          <cell r="CK6">
            <v>7.800497363474558</v>
          </cell>
          <cell r="CL6">
            <v>6.2171681886987047</v>
          </cell>
          <cell r="CM6">
            <v>4.9472486983715092</v>
          </cell>
          <cell r="CN6">
            <v>4.069023737046094</v>
          </cell>
          <cell r="CO6">
            <v>3.2179333632749469</v>
          </cell>
          <cell r="CP6">
            <v>2.452155796197415</v>
          </cell>
          <cell r="CQ6">
            <v>1.8533193605802019</v>
          </cell>
          <cell r="CR6">
            <v>1.3435488297819254</v>
          </cell>
          <cell r="CS6">
            <v>0.89714223930003156</v>
          </cell>
          <cell r="CT6">
            <v>0.52939476354442172</v>
          </cell>
          <cell r="CU6">
            <v>0.26483149525092736</v>
          </cell>
          <cell r="CV6">
            <v>8.2493304722457875E-2</v>
          </cell>
          <cell r="CW6">
            <v>1.6985628025350568E-2</v>
          </cell>
          <cell r="CX6">
            <v>1.9794733602807859E-3</v>
          </cell>
          <cell r="CY6">
            <v>1.3307383934660745E-4</v>
          </cell>
          <cell r="CZ6">
            <v>100.00011559713627</v>
          </cell>
          <cell r="DA6">
            <v>99.999841974815794</v>
          </cell>
        </row>
        <row r="7">
          <cell r="B7" t="str">
            <v>AGO</v>
          </cell>
          <cell r="C7" t="str">
            <v>Sub-Saharan Africa</v>
          </cell>
          <cell r="D7" t="str">
            <v>Lower middle income</v>
          </cell>
          <cell r="E7" t="str">
            <v>IBRD</v>
          </cell>
          <cell r="G7">
            <v>1</v>
          </cell>
          <cell r="H7">
            <v>24</v>
          </cell>
          <cell r="I7">
            <v>32866.300000000003</v>
          </cell>
          <cell r="J7">
            <v>33933.599999999999</v>
          </cell>
          <cell r="K7">
            <v>35027.300000000003</v>
          </cell>
          <cell r="L7">
            <v>36148.6</v>
          </cell>
          <cell r="M7">
            <v>37298.6</v>
          </cell>
          <cell r="N7">
            <v>38478.199999999997</v>
          </cell>
          <cell r="O7">
            <v>39688.1</v>
          </cell>
          <cell r="P7">
            <v>40928.6</v>
          </cell>
          <cell r="Q7">
            <v>42199.9</v>
          </cell>
          <cell r="R7">
            <v>43502</v>
          </cell>
          <cell r="S7">
            <v>44834.7</v>
          </cell>
          <cell r="T7">
            <v>5795</v>
          </cell>
          <cell r="U7">
            <v>5104.16</v>
          </cell>
          <cell r="V7">
            <v>4349.26</v>
          </cell>
          <cell r="W7">
            <v>3532.52</v>
          </cell>
          <cell r="X7">
            <v>2882.57</v>
          </cell>
          <cell r="Y7">
            <v>2423.4699999999998</v>
          </cell>
          <cell r="Z7">
            <v>2040.76</v>
          </cell>
          <cell r="AA7">
            <v>1658.97</v>
          </cell>
          <cell r="AB7">
            <v>1330.69</v>
          </cell>
          <cell r="AC7">
            <v>1082.04</v>
          </cell>
          <cell r="AD7">
            <v>787.21199999999999</v>
          </cell>
          <cell r="AE7">
            <v>677.39</v>
          </cell>
          <cell r="AF7">
            <v>481.96800000000002</v>
          </cell>
          <cell r="AG7">
            <v>303.92899999999997</v>
          </cell>
          <cell r="AH7">
            <v>212.51300000000001</v>
          </cell>
          <cell r="AI7">
            <v>119.21599999999999</v>
          </cell>
          <cell r="AJ7">
            <v>59.936999999999998</v>
          </cell>
          <cell r="AK7">
            <v>19.878</v>
          </cell>
          <cell r="AL7">
            <v>4.2590000000000003</v>
          </cell>
          <cell r="AM7">
            <v>0.48</v>
          </cell>
          <cell r="AN7">
            <v>3.7999999999999999E-2</v>
          </cell>
          <cell r="AO7">
            <v>7363.39</v>
          </cell>
          <cell r="AP7">
            <v>6437.91</v>
          </cell>
          <cell r="AQ7">
            <v>5670.46</v>
          </cell>
          <cell r="AR7">
            <v>5033.2299999999996</v>
          </cell>
          <cell r="AS7">
            <v>4269.1099999999997</v>
          </cell>
          <cell r="AT7">
            <v>3442.69</v>
          </cell>
          <cell r="AU7">
            <v>2796.35</v>
          </cell>
          <cell r="AV7">
            <v>2338.64</v>
          </cell>
          <cell r="AW7">
            <v>1951.31</v>
          </cell>
          <cell r="AX7">
            <v>1563.6</v>
          </cell>
          <cell r="AY7">
            <v>1226.31</v>
          </cell>
          <cell r="AZ7">
            <v>963.10199999999998</v>
          </cell>
          <cell r="BA7">
            <v>663.33299999999997</v>
          </cell>
          <cell r="BB7">
            <v>521.35</v>
          </cell>
          <cell r="BC7">
            <v>321.74299999999999</v>
          </cell>
          <cell r="BD7">
            <v>160.55099999999999</v>
          </cell>
          <cell r="BE7">
            <v>78.492000000000004</v>
          </cell>
          <cell r="BF7">
            <v>25.940999999999999</v>
          </cell>
          <cell r="BG7">
            <v>6.306</v>
          </cell>
          <cell r="BH7">
            <v>0.80600000000000005</v>
          </cell>
          <cell r="BI7">
            <v>5.7000000000000002E-2</v>
          </cell>
          <cell r="BJ7">
            <v>17.632042548142017</v>
          </cell>
          <cell r="BK7">
            <v>15.530071836501216</v>
          </cell>
          <cell r="BL7">
            <v>13.233190228288549</v>
          </cell>
          <cell r="BM7">
            <v>10.748152362754553</v>
          </cell>
          <cell r="BN7">
            <v>8.7705948037959853</v>
          </cell>
          <cell r="BO7">
            <v>7.3737232362632836</v>
          </cell>
          <cell r="BP7">
            <v>6.2092781968155828</v>
          </cell>
          <cell r="BQ7">
            <v>5.0476323772374734</v>
          </cell>
          <cell r="BR7">
            <v>4.048797704639707</v>
          </cell>
          <cell r="BS7">
            <v>3.2922476822763738</v>
          </cell>
          <cell r="BT7">
            <v>2.3951950782412377</v>
          </cell>
          <cell r="BU7">
            <v>2.0610473341994688</v>
          </cell>
          <cell r="BV7">
            <v>1.4664504370738416</v>
          </cell>
          <cell r="BW7">
            <v>0.92474358233205423</v>
          </cell>
          <cell r="BX7">
            <v>0.64659849146390069</v>
          </cell>
          <cell r="BY7">
            <v>0.36273021301454678</v>
          </cell>
          <cell r="BZ7">
            <v>0.18236613187368214</v>
          </cell>
          <cell r="CA7">
            <v>6.0481404964964104E-2</v>
          </cell>
          <cell r="CB7">
            <v>1.2958562418039147E-2</v>
          </cell>
          <cell r="CC7">
            <v>1.4604625406571471E-3</v>
          </cell>
          <cell r="CD7">
            <v>1.1561995113535746E-4</v>
          </cell>
          <cell r="CE7">
            <v>16.423417576118499</v>
          </cell>
          <cell r="CF7">
            <v>14.359212841839023</v>
          </cell>
          <cell r="CG7">
            <v>12.647480634419322</v>
          </cell>
          <cell r="CH7">
            <v>11.2261931048942</v>
          </cell>
          <cell r="CI7">
            <v>9.5218881803603015</v>
          </cell>
          <cell r="CJ7">
            <v>7.6786283838187837</v>
          </cell>
          <cell r="CK7">
            <v>6.2370217710835583</v>
          </cell>
          <cell r="CL7">
            <v>5.2161383928073572</v>
          </cell>
          <cell r="CM7">
            <v>4.3522316420094258</v>
          </cell>
          <cell r="CN7">
            <v>3.4874773334047067</v>
          </cell>
          <cell r="CO7">
            <v>2.7351805632690751</v>
          </cell>
          <cell r="CP7">
            <v>2.1481174179820544</v>
          </cell>
          <cell r="CQ7">
            <v>1.479508059605618</v>
          </cell>
          <cell r="CR7">
            <v>1.162827006760389</v>
          </cell>
          <cell r="CS7">
            <v>0.71762050376159547</v>
          </cell>
          <cell r="CT7">
            <v>0.3580954037832304</v>
          </cell>
          <cell r="CU7">
            <v>0.17506975623791396</v>
          </cell>
          <cell r="CV7">
            <v>5.7859202804970263E-2</v>
          </cell>
          <cell r="CW7">
            <v>1.4064998762119521E-2</v>
          </cell>
          <cell r="CX7">
            <v>1.797714716503066E-3</v>
          </cell>
          <cell r="CY7">
            <v>1.2713367101820688E-4</v>
          </cell>
          <cell r="CZ7">
            <v>99.999878294788289</v>
          </cell>
          <cell r="DA7">
            <v>99.999830488438661</v>
          </cell>
        </row>
        <row r="8">
          <cell r="B8" t="str">
            <v>ALB</v>
          </cell>
          <cell r="C8" t="str">
            <v>Europe &amp; Central Asia</v>
          </cell>
          <cell r="D8" t="str">
            <v>Upper middle income</v>
          </cell>
          <cell r="E8" t="str">
            <v>IBRD</v>
          </cell>
          <cell r="G8">
            <v>0</v>
          </cell>
          <cell r="H8">
            <v>8</v>
          </cell>
          <cell r="I8">
            <v>2877.8</v>
          </cell>
          <cell r="J8">
            <v>2872.93</v>
          </cell>
          <cell r="K8">
            <v>2866.38</v>
          </cell>
          <cell r="L8">
            <v>2858.42</v>
          </cell>
          <cell r="M8">
            <v>2849.66</v>
          </cell>
          <cell r="N8">
            <v>2840.47</v>
          </cell>
          <cell r="O8">
            <v>2830.86</v>
          </cell>
          <cell r="P8">
            <v>2820.62</v>
          </cell>
          <cell r="Q8">
            <v>2809.86</v>
          </cell>
          <cell r="R8">
            <v>2798.63</v>
          </cell>
          <cell r="S8">
            <v>2786.97</v>
          </cell>
          <cell r="T8">
            <v>166.27799999999999</v>
          </cell>
          <cell r="U8">
            <v>167.554</v>
          </cell>
          <cell r="V8">
            <v>162.18100000000001</v>
          </cell>
          <cell r="W8">
            <v>199.59700000000001</v>
          </cell>
          <cell r="X8">
            <v>228.35599999999999</v>
          </cell>
          <cell r="Y8">
            <v>244.32300000000001</v>
          </cell>
          <cell r="Z8">
            <v>223.92400000000001</v>
          </cell>
          <cell r="AA8">
            <v>166.84899999999999</v>
          </cell>
          <cell r="AB8">
            <v>152.51</v>
          </cell>
          <cell r="AC8">
            <v>170.50899999999999</v>
          </cell>
          <cell r="AD8">
            <v>184.185</v>
          </cell>
          <cell r="AE8">
            <v>201.90600000000001</v>
          </cell>
          <cell r="AF8">
            <v>186.459</v>
          </cell>
          <cell r="AG8">
            <v>143.78299999999999</v>
          </cell>
          <cell r="AH8">
            <v>108.13200000000001</v>
          </cell>
          <cell r="AI8">
            <v>86.536000000000001</v>
          </cell>
          <cell r="AJ8">
            <v>53.875999999999998</v>
          </cell>
          <cell r="AK8">
            <v>23.388000000000002</v>
          </cell>
          <cell r="AL8">
            <v>6.6269999999999998</v>
          </cell>
          <cell r="AM8">
            <v>0.77600000000000002</v>
          </cell>
          <cell r="AN8">
            <v>5.0999999999999997E-2</v>
          </cell>
          <cell r="AO8">
            <v>132.405</v>
          </cell>
          <cell r="AP8">
            <v>150.84700000000001</v>
          </cell>
          <cell r="AQ8">
            <v>161.34299999999999</v>
          </cell>
          <cell r="AR8">
            <v>161.85499999999999</v>
          </cell>
          <cell r="AS8">
            <v>148.68799999999999</v>
          </cell>
          <cell r="AT8">
            <v>177.767</v>
          </cell>
          <cell r="AU8">
            <v>205.32599999999999</v>
          </cell>
          <cell r="AV8">
            <v>225.369</v>
          </cell>
          <cell r="AW8">
            <v>209.64599999999999</v>
          </cell>
          <cell r="AX8">
            <v>156.45099999999999</v>
          </cell>
          <cell r="AY8">
            <v>144.13900000000001</v>
          </cell>
          <cell r="AZ8">
            <v>161.93700000000001</v>
          </cell>
          <cell r="BA8">
            <v>173.45699999999999</v>
          </cell>
          <cell r="BB8">
            <v>185.71700000000001</v>
          </cell>
          <cell r="BC8">
            <v>162.887</v>
          </cell>
          <cell r="BD8">
            <v>112.919</v>
          </cell>
          <cell r="BE8">
            <v>67.739999999999995</v>
          </cell>
          <cell r="BF8">
            <v>35.404000000000003</v>
          </cell>
          <cell r="BG8">
            <v>11.189</v>
          </cell>
          <cell r="BH8">
            <v>1.766</v>
          </cell>
          <cell r="BI8">
            <v>0.12</v>
          </cell>
          <cell r="BJ8">
            <v>5.7779553825839178</v>
          </cell>
          <cell r="BK8">
            <v>5.8222948085342967</v>
          </cell>
          <cell r="BL8">
            <v>5.635589686566127</v>
          </cell>
          <cell r="BM8">
            <v>6.9357495308916537</v>
          </cell>
          <cell r="BN8">
            <v>7.9350893043296953</v>
          </cell>
          <cell r="BO8">
            <v>8.4899228577385486</v>
          </cell>
          <cell r="BP8">
            <v>7.7810827715616089</v>
          </cell>
          <cell r="BQ8">
            <v>5.7977969282090482</v>
          </cell>
          <cell r="BR8">
            <v>5.2995343665299881</v>
          </cell>
          <cell r="BS8">
            <v>5.9249774133018267</v>
          </cell>
          <cell r="BT8">
            <v>6.4002015428452284</v>
          </cell>
          <cell r="BU8">
            <v>7.0159844325526439</v>
          </cell>
          <cell r="BV8">
            <v>6.4792202376815613</v>
          </cell>
          <cell r="BW8">
            <v>4.9962818819931885</v>
          </cell>
          <cell r="BX8">
            <v>3.7574536103968312</v>
          </cell>
          <cell r="BY8">
            <v>3.007019250816596</v>
          </cell>
          <cell r="BZ8">
            <v>1.8721245395788448</v>
          </cell>
          <cell r="CA8">
            <v>0.81270414900271037</v>
          </cell>
          <cell r="CB8">
            <v>0.23028007505733547</v>
          </cell>
          <cell r="CC8">
            <v>2.6965042740982697E-2</v>
          </cell>
          <cell r="CD8">
            <v>1.7721870873583987E-3</v>
          </cell>
          <cell r="CE8">
            <v>4.7508584591868592</v>
          </cell>
          <cell r="CF8">
            <v>5.4125806879873135</v>
          </cell>
          <cell r="CG8">
            <v>5.7891904110916155</v>
          </cell>
          <cell r="CH8">
            <v>5.8075616170967033</v>
          </cell>
          <cell r="CI8">
            <v>5.3351130439150758</v>
          </cell>
          <cell r="CJ8">
            <v>6.3785042537235785</v>
          </cell>
          <cell r="CK8">
            <v>7.3673559457044746</v>
          </cell>
          <cell r="CL8">
            <v>8.0865240745325568</v>
          </cell>
          <cell r="CM8">
            <v>7.5223629963724044</v>
          </cell>
          <cell r="CN8">
            <v>5.6136592787148771</v>
          </cell>
          <cell r="CO8">
            <v>5.1718891843112775</v>
          </cell>
          <cell r="CP8">
            <v>5.810503880558457</v>
          </cell>
          <cell r="CQ8">
            <v>6.2238560156729346</v>
          </cell>
          <cell r="CR8">
            <v>6.6637602844666439</v>
          </cell>
          <cell r="CS8">
            <v>5.8445910792007094</v>
          </cell>
          <cell r="CT8">
            <v>4.0516761931416561</v>
          </cell>
          <cell r="CU8">
            <v>2.4305966695012864</v>
          </cell>
          <cell r="CV8">
            <v>1.2703401902424498</v>
          </cell>
          <cell r="CW8">
            <v>0.40147543748228365</v>
          </cell>
          <cell r="CX8">
            <v>6.3366308212862002E-2</v>
          </cell>
          <cell r="CY8">
            <v>4.3057514074424912E-3</v>
          </cell>
          <cell r="CZ8">
            <v>99.999999999999986</v>
          </cell>
          <cell r="DA8">
            <v>99.995766011116046</v>
          </cell>
        </row>
        <row r="9">
          <cell r="B9" t="str">
            <v>ARE</v>
          </cell>
          <cell r="C9" t="str">
            <v>Middle East &amp; North Africa</v>
          </cell>
          <cell r="D9" t="str">
            <v>High income</v>
          </cell>
          <cell r="G9">
            <v>0</v>
          </cell>
          <cell r="H9">
            <v>784</v>
          </cell>
          <cell r="I9">
            <v>9890.4</v>
          </cell>
          <cell r="J9">
            <v>9991.08</v>
          </cell>
          <cell r="K9">
            <v>10081.799999999999</v>
          </cell>
          <cell r="L9">
            <v>10165.200000000001</v>
          </cell>
          <cell r="M9">
            <v>10245</v>
          </cell>
          <cell r="N9">
            <v>10323.9</v>
          </cell>
          <cell r="O9">
            <v>10403.1</v>
          </cell>
          <cell r="P9">
            <v>10481.299999999999</v>
          </cell>
          <cell r="Q9">
            <v>10554</v>
          </cell>
          <cell r="R9">
            <v>10615.3</v>
          </cell>
          <cell r="S9">
            <v>10661.1</v>
          </cell>
          <cell r="T9">
            <v>499.13799999999998</v>
          </cell>
          <cell r="U9">
            <v>512.57500000000005</v>
          </cell>
          <cell r="V9">
            <v>453.459</v>
          </cell>
          <cell r="W9">
            <v>389.53199999999998</v>
          </cell>
          <cell r="X9">
            <v>715.75300000000004</v>
          </cell>
          <cell r="Y9">
            <v>1433.59</v>
          </cell>
          <cell r="Z9">
            <v>1795.75</v>
          </cell>
          <cell r="AA9">
            <v>1373.57</v>
          </cell>
          <cell r="AB9">
            <v>916.02099999999996</v>
          </cell>
          <cell r="AC9">
            <v>692.08799999999997</v>
          </cell>
          <cell r="AD9">
            <v>456.601</v>
          </cell>
          <cell r="AE9">
            <v>341.31200000000001</v>
          </cell>
          <cell r="AF9">
            <v>185.96600000000001</v>
          </cell>
          <cell r="AG9">
            <v>56.741</v>
          </cell>
          <cell r="AH9">
            <v>36.26</v>
          </cell>
          <cell r="AI9">
            <v>19.623999999999999</v>
          </cell>
          <cell r="AJ9">
            <v>7.1589999999999998</v>
          </cell>
          <cell r="AK9">
            <v>4.008</v>
          </cell>
          <cell r="AL9">
            <v>0.95599999999999996</v>
          </cell>
          <cell r="AM9">
            <v>0.27200000000000002</v>
          </cell>
          <cell r="AN9">
            <v>3.1E-2</v>
          </cell>
          <cell r="AO9">
            <v>492.12400000000002</v>
          </cell>
          <cell r="AP9">
            <v>510.65899999999999</v>
          </cell>
          <cell r="AQ9">
            <v>516.83100000000002</v>
          </cell>
          <cell r="AR9">
            <v>562.33699999999999</v>
          </cell>
          <cell r="AS9">
            <v>804.40700000000004</v>
          </cell>
          <cell r="AT9">
            <v>1338.9</v>
          </cell>
          <cell r="AU9">
            <v>1640.94</v>
          </cell>
          <cell r="AV9">
            <v>1319.72</v>
          </cell>
          <cell r="AW9">
            <v>811.08500000000004</v>
          </cell>
          <cell r="AX9">
            <v>544.44799999999998</v>
          </cell>
          <cell r="AY9">
            <v>555.33699999999999</v>
          </cell>
          <cell r="AZ9">
            <v>567.62599999999998</v>
          </cell>
          <cell r="BA9">
            <v>448.37400000000002</v>
          </cell>
          <cell r="BB9">
            <v>320.76600000000002</v>
          </cell>
          <cell r="BC9">
            <v>153.93700000000001</v>
          </cell>
          <cell r="BD9">
            <v>41.594999999999999</v>
          </cell>
          <cell r="BE9">
            <v>21.257999999999999</v>
          </cell>
          <cell r="BF9">
            <v>8.1750000000000007</v>
          </cell>
          <cell r="BG9">
            <v>1.907</v>
          </cell>
          <cell r="BH9">
            <v>0.57799999999999996</v>
          </cell>
          <cell r="BI9">
            <v>7.0999999999999994E-2</v>
          </cell>
          <cell r="BJ9">
            <v>5.0466917414866943</v>
          </cell>
          <cell r="BK9">
            <v>5.1825507562889266</v>
          </cell>
          <cell r="BL9">
            <v>4.5848398446978891</v>
          </cell>
          <cell r="BM9">
            <v>3.9384858044164037</v>
          </cell>
          <cell r="BN9">
            <v>7.2368458303000898</v>
          </cell>
          <cell r="BO9">
            <v>14.494762598074901</v>
          </cell>
          <cell r="BP9">
            <v>18.156495187252286</v>
          </cell>
          <cell r="BQ9">
            <v>13.887911510151257</v>
          </cell>
          <cell r="BR9">
            <v>9.2617184340370464</v>
          </cell>
          <cell r="BS9">
            <v>6.9975734045134672</v>
          </cell>
          <cell r="BT9">
            <v>4.6166080239424092</v>
          </cell>
          <cell r="BU9">
            <v>3.4509423279139368</v>
          </cell>
          <cell r="BV9">
            <v>1.8802677343686809</v>
          </cell>
          <cell r="BW9">
            <v>0.57369772708889433</v>
          </cell>
          <cell r="BX9">
            <v>0.366618134756936</v>
          </cell>
          <cell r="BY9">
            <v>0.19841462428213216</v>
          </cell>
          <cell r="BZ9">
            <v>7.2383321200355899E-2</v>
          </cell>
          <cell r="CA9">
            <v>4.0524144625090998E-2</v>
          </cell>
          <cell r="CB9">
            <v>9.665938688020707E-3</v>
          </cell>
          <cell r="CC9">
            <v>2.7501415514033815E-3</v>
          </cell>
          <cell r="CD9">
            <v>3.1343525034376767E-4</v>
          </cell>
          <cell r="CE9">
            <v>4.6160715123204925</v>
          </cell>
          <cell r="CF9">
            <v>4.7899278686064282</v>
          </cell>
          <cell r="CG9">
            <v>4.8478205813659008</v>
          </cell>
          <cell r="CH9">
            <v>5.2746620892778413</v>
          </cell>
          <cell r="CI9">
            <v>7.5452533040680603</v>
          </cell>
          <cell r="CJ9">
            <v>12.558741593268987</v>
          </cell>
          <cell r="CK9">
            <v>15.391845119171569</v>
          </cell>
          <cell r="CL9">
            <v>12.378835204622412</v>
          </cell>
          <cell r="CM9">
            <v>7.6078922437647147</v>
          </cell>
          <cell r="CN9">
            <v>5.1068651452476761</v>
          </cell>
          <cell r="CO9">
            <v>5.2090028233484347</v>
          </cell>
          <cell r="CP9">
            <v>5.3242723546350748</v>
          </cell>
          <cell r="CQ9">
            <v>4.2057011002616989</v>
          </cell>
          <cell r="CR9">
            <v>3.0087514421588768</v>
          </cell>
          <cell r="CS9">
            <v>1.4439129170535874</v>
          </cell>
          <cell r="CT9">
            <v>0.39015673804766859</v>
          </cell>
          <cell r="CU9">
            <v>0.19939781073247601</v>
          </cell>
          <cell r="CV9">
            <v>7.6680642710414498E-2</v>
          </cell>
          <cell r="CW9">
            <v>1.7887460018196997E-2</v>
          </cell>
          <cell r="CX9">
            <v>5.4215793867424559E-3</v>
          </cell>
          <cell r="CY9">
            <v>6.6597255442684138E-4</v>
          </cell>
          <cell r="CZ9">
            <v>100.00006066488719</v>
          </cell>
          <cell r="DA9">
            <v>99.999099530067269</v>
          </cell>
        </row>
        <row r="10">
          <cell r="B10" t="str">
            <v>ARG</v>
          </cell>
          <cell r="C10" t="str">
            <v>Latin America &amp; Caribbean</v>
          </cell>
          <cell r="D10" t="str">
            <v>Upper middle income</v>
          </cell>
          <cell r="E10" t="str">
            <v>IBRD</v>
          </cell>
          <cell r="G10">
            <v>0</v>
          </cell>
          <cell r="H10">
            <v>32</v>
          </cell>
          <cell r="I10">
            <v>45195.8</v>
          </cell>
          <cell r="J10">
            <v>45605.8</v>
          </cell>
          <cell r="K10">
            <v>46010.2</v>
          </cell>
          <cell r="L10">
            <v>46409.2</v>
          </cell>
          <cell r="M10">
            <v>46803.1</v>
          </cell>
          <cell r="N10">
            <v>47192.1</v>
          </cell>
          <cell r="O10">
            <v>47576.3</v>
          </cell>
          <cell r="P10">
            <v>47955.199999999997</v>
          </cell>
          <cell r="Q10">
            <v>48328.5</v>
          </cell>
          <cell r="R10">
            <v>48695.6</v>
          </cell>
          <cell r="S10">
            <v>49056.2</v>
          </cell>
          <cell r="T10">
            <v>3736.65</v>
          </cell>
          <cell r="U10">
            <v>3709.82</v>
          </cell>
          <cell r="V10">
            <v>3597.26</v>
          </cell>
          <cell r="W10">
            <v>3539.45</v>
          </cell>
          <cell r="X10">
            <v>3477.33</v>
          </cell>
          <cell r="Y10">
            <v>3520.25</v>
          </cell>
          <cell r="Z10">
            <v>3318.98</v>
          </cell>
          <cell r="AA10">
            <v>3122.43</v>
          </cell>
          <cell r="AB10">
            <v>3089.9</v>
          </cell>
          <cell r="AC10">
            <v>2637.84</v>
          </cell>
          <cell r="AD10">
            <v>2301.73</v>
          </cell>
          <cell r="AE10">
            <v>2123.21</v>
          </cell>
          <cell r="AF10">
            <v>1883.73</v>
          </cell>
          <cell r="AG10">
            <v>1645.01</v>
          </cell>
          <cell r="AH10">
            <v>1337.22</v>
          </cell>
          <cell r="AI10">
            <v>963.41399999999999</v>
          </cell>
          <cell r="AJ10">
            <v>634.68399999999997</v>
          </cell>
          <cell r="AK10">
            <v>364.685</v>
          </cell>
          <cell r="AL10">
            <v>152.346</v>
          </cell>
          <cell r="AM10">
            <v>35.706000000000003</v>
          </cell>
          <cell r="AN10">
            <v>4.1180000000000003</v>
          </cell>
          <cell r="AO10">
            <v>3664.58</v>
          </cell>
          <cell r="AP10">
            <v>3696.94</v>
          </cell>
          <cell r="AQ10">
            <v>3729.41</v>
          </cell>
          <cell r="AR10">
            <v>3701.5</v>
          </cell>
          <cell r="AS10">
            <v>3581.07</v>
          </cell>
          <cell r="AT10">
            <v>3515.12</v>
          </cell>
          <cell r="AU10">
            <v>3449.5</v>
          </cell>
          <cell r="AV10">
            <v>3486.4</v>
          </cell>
          <cell r="AW10">
            <v>3277.19</v>
          </cell>
          <cell r="AX10">
            <v>3064.8</v>
          </cell>
          <cell r="AY10">
            <v>2999.47</v>
          </cell>
          <cell r="AZ10">
            <v>2512.64</v>
          </cell>
          <cell r="BA10">
            <v>2128.9299999999998</v>
          </cell>
          <cell r="BB10">
            <v>1882.32</v>
          </cell>
          <cell r="BC10">
            <v>1568.8</v>
          </cell>
          <cell r="BD10">
            <v>1242.53</v>
          </cell>
          <cell r="BE10">
            <v>853.19</v>
          </cell>
          <cell r="BF10">
            <v>457.56799999999998</v>
          </cell>
          <cell r="BG10">
            <v>185.97800000000001</v>
          </cell>
          <cell r="BH10">
            <v>50.829000000000001</v>
          </cell>
          <cell r="BI10">
            <v>7.3970000000000002</v>
          </cell>
          <cell r="BJ10">
            <v>8.2676930157226991</v>
          </cell>
          <cell r="BK10">
            <v>8.2083290925262968</v>
          </cell>
          <cell r="BL10">
            <v>7.9592794020683337</v>
          </cell>
          <cell r="BM10">
            <v>7.8313692865266233</v>
          </cell>
          <cell r="BN10">
            <v>7.6939228866399088</v>
          </cell>
          <cell r="BO10">
            <v>7.7888874629943485</v>
          </cell>
          <cell r="BP10">
            <v>7.3435584722474205</v>
          </cell>
          <cell r="BQ10">
            <v>6.9086729297855101</v>
          </cell>
          <cell r="BR10">
            <v>6.8366972152279635</v>
          </cell>
          <cell r="BS10">
            <v>5.8364715305404484</v>
          </cell>
          <cell r="BT10">
            <v>5.0927962332783139</v>
          </cell>
          <cell r="BU10">
            <v>4.69780377822718</v>
          </cell>
          <cell r="BV10">
            <v>4.1679315334610738</v>
          </cell>
          <cell r="BW10">
            <v>3.639740860876453</v>
          </cell>
          <cell r="BX10">
            <v>2.9587262533244236</v>
          </cell>
          <cell r="BY10">
            <v>2.1316449758605889</v>
          </cell>
          <cell r="BZ10">
            <v>1.4042986295186719</v>
          </cell>
          <cell r="CA10">
            <v>0.80690019869102869</v>
          </cell>
          <cell r="CB10">
            <v>0.33707999415874929</v>
          </cell>
          <cell r="CC10">
            <v>7.9002916200177895E-2</v>
          </cell>
          <cell r="CD10">
            <v>9.111466109682758E-3</v>
          </cell>
          <cell r="CE10">
            <v>7.4701668698350057</v>
          </cell>
          <cell r="CF10">
            <v>7.5361320281636166</v>
          </cell>
          <cell r="CG10">
            <v>7.6023214191070654</v>
          </cell>
          <cell r="CH10">
            <v>7.5454274892877971</v>
          </cell>
          <cell r="CI10">
            <v>7.2999335456068764</v>
          </cell>
          <cell r="CJ10">
            <v>7.1654959006201056</v>
          </cell>
          <cell r="CK10">
            <v>7.0317309534778483</v>
          </cell>
          <cell r="CL10">
            <v>7.1069508033643052</v>
          </cell>
          <cell r="CM10">
            <v>6.6804807547262115</v>
          </cell>
          <cell r="CN10">
            <v>6.2475283450409949</v>
          </cell>
          <cell r="CO10">
            <v>6.1143545566105812</v>
          </cell>
          <cell r="CP10">
            <v>5.1219621576885288</v>
          </cell>
          <cell r="CQ10">
            <v>4.3397776427852133</v>
          </cell>
          <cell r="CR10">
            <v>3.837068505102311</v>
          </cell>
          <cell r="CS10">
            <v>3.1979647832486005</v>
          </cell>
          <cell r="CT10">
            <v>2.5328704628568866</v>
          </cell>
          <cell r="CU10">
            <v>1.7392093150305161</v>
          </cell>
          <cell r="CV10">
            <v>0.93274244641859749</v>
          </cell>
          <cell r="CW10">
            <v>0.37911212038437547</v>
          </cell>
          <cell r="CX10">
            <v>0.10361381435985667</v>
          </cell>
          <cell r="CY10">
            <v>1.5078624108675356E-2</v>
          </cell>
          <cell r="CZ10">
            <v>99.999918133985943</v>
          </cell>
          <cell r="DA10">
            <v>99.984843913715295</v>
          </cell>
        </row>
        <row r="11">
          <cell r="B11" t="str">
            <v>ARM</v>
          </cell>
          <cell r="C11" t="str">
            <v>Europe &amp; Central Asia</v>
          </cell>
          <cell r="D11" t="str">
            <v>Upper middle income</v>
          </cell>
          <cell r="E11" t="str">
            <v>IBRD</v>
          </cell>
          <cell r="G11">
            <v>0</v>
          </cell>
          <cell r="H11">
            <v>51</v>
          </cell>
          <cell r="I11">
            <v>2963.23</v>
          </cell>
          <cell r="J11">
            <v>2968.13</v>
          </cell>
          <cell r="K11">
            <v>2971.97</v>
          </cell>
          <cell r="L11">
            <v>2974.77</v>
          </cell>
          <cell r="M11">
            <v>2976.51</v>
          </cell>
          <cell r="N11">
            <v>2977.28</v>
          </cell>
          <cell r="O11">
            <v>2977.01</v>
          </cell>
          <cell r="P11">
            <v>2975.75</v>
          </cell>
          <cell r="Q11">
            <v>2973.59</v>
          </cell>
          <cell r="R11">
            <v>2970.64</v>
          </cell>
          <cell r="S11">
            <v>2967.01</v>
          </cell>
          <cell r="T11">
            <v>204.98699999999999</v>
          </cell>
          <cell r="U11">
            <v>213.87200000000001</v>
          </cell>
          <cell r="V11">
            <v>198.453</v>
          </cell>
          <cell r="W11">
            <v>170.477</v>
          </cell>
          <cell r="X11">
            <v>176.49700000000001</v>
          </cell>
          <cell r="Y11">
            <v>232.42699999999999</v>
          </cell>
          <cell r="Z11">
            <v>267.19099999999997</v>
          </cell>
          <cell r="AA11">
            <v>236.762</v>
          </cell>
          <cell r="AB11">
            <v>190.75899999999999</v>
          </cell>
          <cell r="AC11">
            <v>162.32900000000001</v>
          </cell>
          <cell r="AD11">
            <v>163.255</v>
          </cell>
          <cell r="AE11">
            <v>199.398</v>
          </cell>
          <cell r="AF11">
            <v>197.08099999999999</v>
          </cell>
          <cell r="AG11">
            <v>131.321</v>
          </cell>
          <cell r="AH11">
            <v>84.343000000000004</v>
          </cell>
          <cell r="AI11">
            <v>42.4</v>
          </cell>
          <cell r="AJ11">
            <v>59.253999999999998</v>
          </cell>
          <cell r="AK11">
            <v>21.8</v>
          </cell>
          <cell r="AL11">
            <v>9.0830000000000002</v>
          </cell>
          <cell r="AM11">
            <v>1.329</v>
          </cell>
          <cell r="AN11">
            <v>0.216</v>
          </cell>
          <cell r="AO11">
            <v>158.15199999999999</v>
          </cell>
          <cell r="AP11">
            <v>179.24100000000001</v>
          </cell>
          <cell r="AQ11">
            <v>203.547</v>
          </cell>
          <cell r="AR11">
            <v>210.07300000000001</v>
          </cell>
          <cell r="AS11">
            <v>189.76</v>
          </cell>
          <cell r="AT11">
            <v>159.76599999999999</v>
          </cell>
          <cell r="AU11">
            <v>167.161</v>
          </cell>
          <cell r="AV11">
            <v>224.739</v>
          </cell>
          <cell r="AW11">
            <v>260.00799999999998</v>
          </cell>
          <cell r="AX11">
            <v>229.28100000000001</v>
          </cell>
          <cell r="AY11">
            <v>182.441</v>
          </cell>
          <cell r="AZ11">
            <v>152.327</v>
          </cell>
          <cell r="BA11">
            <v>149.12299999999999</v>
          </cell>
          <cell r="BB11">
            <v>174.166</v>
          </cell>
          <cell r="BC11">
            <v>159.38999999999999</v>
          </cell>
          <cell r="BD11">
            <v>92.361999999999995</v>
          </cell>
          <cell r="BE11">
            <v>46.235999999999997</v>
          </cell>
          <cell r="BF11">
            <v>15.564</v>
          </cell>
          <cell r="BG11">
            <v>11.669</v>
          </cell>
          <cell r="BH11">
            <v>1.756</v>
          </cell>
          <cell r="BI11">
            <v>0.248</v>
          </cell>
          <cell r="BJ11">
            <v>6.9176877933876213</v>
          </cell>
          <cell r="BK11">
            <v>7.2175295201519969</v>
          </cell>
          <cell r="BL11">
            <v>6.6971851661868973</v>
          </cell>
          <cell r="BM11">
            <v>5.7530802536421408</v>
          </cell>
          <cell r="BN11">
            <v>5.9562369441454095</v>
          </cell>
          <cell r="BO11">
            <v>7.8437043361467049</v>
          </cell>
          <cell r="BP11">
            <v>9.0168836033652457</v>
          </cell>
          <cell r="BQ11">
            <v>7.9899974014841915</v>
          </cell>
          <cell r="BR11">
            <v>6.4375360670619557</v>
          </cell>
          <cell r="BS11">
            <v>5.4781100353330654</v>
          </cell>
          <cell r="BT11">
            <v>5.5093597189553289</v>
          </cell>
          <cell r="BU11">
            <v>6.7290760420217133</v>
          </cell>
          <cell r="BV11">
            <v>6.6508843390489432</v>
          </cell>
          <cell r="BW11">
            <v>4.4316843444484562</v>
          </cell>
          <cell r="BX11">
            <v>2.846319725434745</v>
          </cell>
          <cell r="BY11">
            <v>1.4308710427472722</v>
          </cell>
          <cell r="BZ11">
            <v>1.9996422822393132</v>
          </cell>
          <cell r="CA11">
            <v>0.73568369650685239</v>
          </cell>
          <cell r="CB11">
            <v>0.3065236245583367</v>
          </cell>
          <cell r="CC11">
            <v>4.48497079200737E-2</v>
          </cell>
          <cell r="CD11">
            <v>7.2893430479578029E-3</v>
          </cell>
          <cell r="CE11">
            <v>5.3303494090009798</v>
          </cell>
          <cell r="CF11">
            <v>6.0411323183946122</v>
          </cell>
          <cell r="CG11">
            <v>6.8603408818979377</v>
          </cell>
          <cell r="CH11">
            <v>7.0802929548602807</v>
          </cell>
          <cell r="CI11">
            <v>6.3956643219941949</v>
          </cell>
          <cell r="CJ11">
            <v>5.3847476078611125</v>
          </cell>
          <cell r="CK11">
            <v>5.6339884260585569</v>
          </cell>
          <cell r="CL11">
            <v>7.5745952996450967</v>
          </cell>
          <cell r="CM11">
            <v>8.7633004270292307</v>
          </cell>
          <cell r="CN11">
            <v>7.7276787068462856</v>
          </cell>
          <cell r="CO11">
            <v>6.1489850051061499</v>
          </cell>
          <cell r="CP11">
            <v>5.1340238152213846</v>
          </cell>
          <cell r="CQ11">
            <v>5.0260363126514562</v>
          </cell>
          <cell r="CR11">
            <v>5.8700846980630326</v>
          </cell>
          <cell r="CS11">
            <v>5.3720749171725064</v>
          </cell>
          <cell r="CT11">
            <v>3.1129655781409564</v>
          </cell>
          <cell r="CU11">
            <v>1.5583365071233326</v>
          </cell>
          <cell r="CV11">
            <v>0.52456850499324237</v>
          </cell>
          <cell r="CW11">
            <v>0.39329156288654238</v>
          </cell>
          <cell r="CX11">
            <v>5.9184161832956404E-2</v>
          </cell>
          <cell r="CY11">
            <v>8.3585832201441852E-3</v>
          </cell>
          <cell r="CZ11">
            <v>100.00013498783422</v>
          </cell>
          <cell r="DA11">
            <v>99.991641416779871</v>
          </cell>
        </row>
        <row r="12">
          <cell r="B12" t="str">
            <v>ATG</v>
          </cell>
          <cell r="C12" t="str">
            <v>Latin America &amp; Caribbean</v>
          </cell>
          <cell r="D12" t="str">
            <v>High income</v>
          </cell>
          <cell r="E12" t="str">
            <v>IBRD</v>
          </cell>
          <cell r="G12">
            <v>0</v>
          </cell>
          <cell r="H12">
            <v>28</v>
          </cell>
          <cell r="I12">
            <v>97.927999999999997</v>
          </cell>
          <cell r="J12">
            <v>98.727999999999994</v>
          </cell>
          <cell r="K12">
            <v>99.504999999999995</v>
          </cell>
          <cell r="L12">
            <v>100.27200000000001</v>
          </cell>
          <cell r="M12">
            <v>101.01600000000001</v>
          </cell>
          <cell r="N12">
            <v>101.71899999999999</v>
          </cell>
          <cell r="O12">
            <v>102.402</v>
          </cell>
          <cell r="P12">
            <v>103.06699999999999</v>
          </cell>
          <cell r="Q12">
            <v>103.691</v>
          </cell>
          <cell r="R12">
            <v>104.30200000000001</v>
          </cell>
          <cell r="S12">
            <v>104.85899999999999</v>
          </cell>
          <cell r="T12">
            <v>7.3550000000000004</v>
          </cell>
          <cell r="U12">
            <v>7.2279999999999998</v>
          </cell>
          <cell r="V12">
            <v>6.8140000000000001</v>
          </cell>
          <cell r="W12">
            <v>7.0529999999999999</v>
          </cell>
          <cell r="X12">
            <v>7.5789999999999997</v>
          </cell>
          <cell r="Y12">
            <v>7.3150000000000004</v>
          </cell>
          <cell r="Z12">
            <v>7.0659999999999998</v>
          </cell>
          <cell r="AA12">
            <v>7.0279999999999996</v>
          </cell>
          <cell r="AB12">
            <v>6.9160000000000004</v>
          </cell>
          <cell r="AC12">
            <v>6.944</v>
          </cell>
          <cell r="AD12">
            <v>6.7990000000000004</v>
          </cell>
          <cell r="AE12">
            <v>6.0330000000000004</v>
          </cell>
          <cell r="AF12">
            <v>4.6580000000000004</v>
          </cell>
          <cell r="AG12">
            <v>3.3849999999999998</v>
          </cell>
          <cell r="AH12">
            <v>2.5009999999999999</v>
          </cell>
          <cell r="AI12">
            <v>1.6</v>
          </cell>
          <cell r="AJ12">
            <v>0.92300000000000004</v>
          </cell>
          <cell r="AK12">
            <v>0.51</v>
          </cell>
          <cell r="AL12">
            <v>0.182</v>
          </cell>
          <cell r="AM12">
            <v>3.5000000000000003E-2</v>
          </cell>
          <cell r="AN12">
            <v>4.0000000000000001E-3</v>
          </cell>
          <cell r="AO12">
            <v>6.806</v>
          </cell>
          <cell r="AP12">
            <v>7.07</v>
          </cell>
          <cell r="AQ12">
            <v>7.3380000000000001</v>
          </cell>
          <cell r="AR12">
            <v>7.2089999999999996</v>
          </cell>
          <cell r="AS12">
            <v>6.7839999999999998</v>
          </cell>
          <cell r="AT12">
            <v>7.0030000000000001</v>
          </cell>
          <cell r="AU12">
            <v>7.5250000000000004</v>
          </cell>
          <cell r="AV12">
            <v>7.2510000000000003</v>
          </cell>
          <cell r="AW12">
            <v>6.9820000000000002</v>
          </cell>
          <cell r="AX12">
            <v>6.8970000000000002</v>
          </cell>
          <cell r="AY12">
            <v>6.7130000000000001</v>
          </cell>
          <cell r="AZ12">
            <v>6.6289999999999996</v>
          </cell>
          <cell r="BA12">
            <v>6.3209999999999997</v>
          </cell>
          <cell r="BB12">
            <v>5.3979999999999997</v>
          </cell>
          <cell r="BC12">
            <v>3.9089999999999998</v>
          </cell>
          <cell r="BD12">
            <v>2.54</v>
          </cell>
          <cell r="BE12">
            <v>1.5309999999999999</v>
          </cell>
          <cell r="BF12">
            <v>0.68400000000000005</v>
          </cell>
          <cell r="BG12">
            <v>0.218</v>
          </cell>
          <cell r="BH12">
            <v>4.5999999999999999E-2</v>
          </cell>
          <cell r="BI12">
            <v>5.0000000000000001E-3</v>
          </cell>
          <cell r="BJ12">
            <v>7.5106200473817513</v>
          </cell>
          <cell r="BK12">
            <v>7.3809329303161499</v>
          </cell>
          <cell r="BL12">
            <v>6.9581733518503386</v>
          </cell>
          <cell r="BM12">
            <v>7.2022302099501685</v>
          </cell>
          <cell r="BN12">
            <v>7.7393595294502084</v>
          </cell>
          <cell r="BO12">
            <v>7.4697737112980969</v>
          </cell>
          <cell r="BP12">
            <v>7.2155052691773554</v>
          </cell>
          <cell r="BQ12">
            <v>7.1767012498978833</v>
          </cell>
          <cell r="BR12">
            <v>7.0623315088636547</v>
          </cell>
          <cell r="BS12">
            <v>7.0909239441222125</v>
          </cell>
          <cell r="BT12">
            <v>6.9428559758189694</v>
          </cell>
          <cell r="BU12">
            <v>6.1606486398170093</v>
          </cell>
          <cell r="BV12">
            <v>4.7565558369414269</v>
          </cell>
          <cell r="BW12">
            <v>3.4566211910791602</v>
          </cell>
          <cell r="BX12">
            <v>2.5539171636304223</v>
          </cell>
          <cell r="BY12">
            <v>1.633853443346132</v>
          </cell>
          <cell r="BZ12">
            <v>0.94252920513029981</v>
          </cell>
          <cell r="CA12">
            <v>0.5207907850665795</v>
          </cell>
          <cell r="CB12">
            <v>0.18585082918062251</v>
          </cell>
          <cell r="CC12">
            <v>3.5740544073196635E-2</v>
          </cell>
          <cell r="CD12">
            <v>4.0846336083653302E-3</v>
          </cell>
          <cell r="CE12">
            <v>6.4906207383247985</v>
          </cell>
          <cell r="CF12">
            <v>6.7423873964085113</v>
          </cell>
          <cell r="CG12">
            <v>6.9979687008268243</v>
          </cell>
          <cell r="CH12">
            <v>6.8749463565359203</v>
          </cell>
          <cell r="CI12">
            <v>6.469640183484489</v>
          </cell>
          <cell r="CJ12">
            <v>6.6784920703039319</v>
          </cell>
          <cell r="CK12">
            <v>7.1763034169694553</v>
          </cell>
          <cell r="CL12">
            <v>6.9150001430492383</v>
          </cell>
          <cell r="CM12">
            <v>6.6584651770472734</v>
          </cell>
          <cell r="CN12">
            <v>6.5774039424369874</v>
          </cell>
          <cell r="CO12">
            <v>6.4019302110453093</v>
          </cell>
          <cell r="CP12">
            <v>6.3218226380186735</v>
          </cell>
          <cell r="CQ12">
            <v>6.0280948702543409</v>
          </cell>
          <cell r="CR12">
            <v>5.1478652285449984</v>
          </cell>
          <cell r="CS12">
            <v>3.7278631304895145</v>
          </cell>
          <cell r="CT12">
            <v>2.4223004224720817</v>
          </cell>
          <cell r="CU12">
            <v>1.4600558845688019</v>
          </cell>
          <cell r="CV12">
            <v>0.65230452321689136</v>
          </cell>
          <cell r="CW12">
            <v>0.20789822523579285</v>
          </cell>
          <cell r="CX12">
            <v>4.3868432847919588E-2</v>
          </cell>
          <cell r="CY12">
            <v>4.76830791825213E-3</v>
          </cell>
          <cell r="CZ12">
            <v>100</v>
          </cell>
          <cell r="DA12">
            <v>99.995231692081759</v>
          </cell>
        </row>
        <row r="13">
          <cell r="B13" t="str">
            <v>AUS</v>
          </cell>
          <cell r="C13" t="str">
            <v>East Asia &amp; Pacific</v>
          </cell>
          <cell r="D13" t="str">
            <v>High income</v>
          </cell>
          <cell r="G13">
            <v>0</v>
          </cell>
          <cell r="H13">
            <v>36</v>
          </cell>
          <cell r="I13">
            <v>25499.9</v>
          </cell>
          <cell r="J13">
            <v>25788.2</v>
          </cell>
          <cell r="K13">
            <v>26068.799999999999</v>
          </cell>
          <cell r="L13">
            <v>26343.1</v>
          </cell>
          <cell r="M13">
            <v>26612.9</v>
          </cell>
          <cell r="N13">
            <v>26879.8</v>
          </cell>
          <cell r="O13">
            <v>27144.2</v>
          </cell>
          <cell r="P13">
            <v>27406.3</v>
          </cell>
          <cell r="Q13">
            <v>27666.1</v>
          </cell>
          <cell r="R13">
            <v>27923.200000000001</v>
          </cell>
          <cell r="S13">
            <v>28177.5</v>
          </cell>
          <cell r="T13">
            <v>1669.71</v>
          </cell>
          <cell r="U13">
            <v>1639.27</v>
          </cell>
          <cell r="V13">
            <v>1610.57</v>
          </cell>
          <cell r="W13">
            <v>1519.91</v>
          </cell>
          <cell r="X13">
            <v>1594.57</v>
          </cell>
          <cell r="Y13">
            <v>1780.89</v>
          </cell>
          <cell r="Z13">
            <v>1875.46</v>
          </cell>
          <cell r="AA13">
            <v>1842.88</v>
          </cell>
          <cell r="AB13">
            <v>1628.71</v>
          </cell>
          <cell r="AC13">
            <v>1677.35</v>
          </cell>
          <cell r="AD13">
            <v>1558.32</v>
          </cell>
          <cell r="AE13">
            <v>1549.41</v>
          </cell>
          <cell r="AF13">
            <v>1418.53</v>
          </cell>
          <cell r="AG13">
            <v>1232.6600000000001</v>
          </cell>
          <cell r="AH13">
            <v>1083.3800000000001</v>
          </cell>
          <cell r="AI13">
            <v>762.99699999999996</v>
          </cell>
          <cell r="AJ13">
            <v>522.94500000000005</v>
          </cell>
          <cell r="AK13">
            <v>329.05</v>
          </cell>
          <cell r="AL13">
            <v>156.55699999999999</v>
          </cell>
          <cell r="AM13">
            <v>42.381999999999998</v>
          </cell>
          <cell r="AN13">
            <v>4.3369999999999997</v>
          </cell>
          <cell r="AO13">
            <v>1632.37</v>
          </cell>
          <cell r="AP13">
            <v>1715.52</v>
          </cell>
          <cell r="AQ13">
            <v>1804.58</v>
          </cell>
          <cell r="AR13">
            <v>1791.21</v>
          </cell>
          <cell r="AS13">
            <v>1783.32</v>
          </cell>
          <cell r="AT13">
            <v>1696.6</v>
          </cell>
          <cell r="AU13">
            <v>1754.52</v>
          </cell>
          <cell r="AV13">
            <v>1910.44</v>
          </cell>
          <cell r="AW13">
            <v>1962.91</v>
          </cell>
          <cell r="AX13">
            <v>1884.84</v>
          </cell>
          <cell r="AY13">
            <v>1632.37</v>
          </cell>
          <cell r="AZ13">
            <v>1650.93</v>
          </cell>
          <cell r="BA13">
            <v>1512.76</v>
          </cell>
          <cell r="BB13">
            <v>1475.42</v>
          </cell>
          <cell r="BC13">
            <v>1309.71</v>
          </cell>
          <cell r="BD13">
            <v>1076.0899999999999</v>
          </cell>
          <cell r="BE13">
            <v>844.73</v>
          </cell>
          <cell r="BF13">
            <v>470.25200000000001</v>
          </cell>
          <cell r="BG13">
            <v>203.27099999999999</v>
          </cell>
          <cell r="BH13">
            <v>57.348999999999997</v>
          </cell>
          <cell r="BI13">
            <v>8.3160000000000007</v>
          </cell>
          <cell r="BJ13">
            <v>6.547908031011886</v>
          </cell>
          <cell r="BK13">
            <v>6.428535013862799</v>
          </cell>
          <cell r="BL13">
            <v>6.3159855528845208</v>
          </cell>
          <cell r="BM13">
            <v>5.9604547468813598</v>
          </cell>
          <cell r="BN13">
            <v>6.2532402087851322</v>
          </cell>
          <cell r="BO13">
            <v>6.9839097408225133</v>
          </cell>
          <cell r="BP13">
            <v>7.3547739402899621</v>
          </cell>
          <cell r="BQ13">
            <v>7.2270087333675823</v>
          </cell>
          <cell r="BR13">
            <v>6.3871230867572031</v>
          </cell>
          <cell r="BS13">
            <v>6.5778689328193432</v>
          </cell>
          <cell r="BT13">
            <v>6.1110827885599548</v>
          </cell>
          <cell r="BU13">
            <v>6.0761414750646079</v>
          </cell>
          <cell r="BV13">
            <v>5.5628845603316091</v>
          </cell>
          <cell r="BW13">
            <v>4.833979741097024</v>
          </cell>
          <cell r="BX13">
            <v>4.2485656806497278</v>
          </cell>
          <cell r="BY13">
            <v>2.9921568319875762</v>
          </cell>
          <cell r="BZ13">
            <v>2.0507727481284244</v>
          </cell>
          <cell r="CA13">
            <v>1.2903972172439893</v>
          </cell>
          <cell r="CB13">
            <v>0.61395142726049889</v>
          </cell>
          <cell r="CC13">
            <v>0.16620457335126804</v>
          </cell>
          <cell r="CD13">
            <v>1.7007909834940525E-2</v>
          </cell>
          <cell r="CE13">
            <v>5.7931683080471998</v>
          </cell>
          <cell r="CF13">
            <v>6.0882619110992815</v>
          </cell>
          <cell r="CG13">
            <v>6.4043296956791771</v>
          </cell>
          <cell r="CH13">
            <v>6.356880489752462</v>
          </cell>
          <cell r="CI13">
            <v>6.3288794250731959</v>
          </cell>
          <cell r="CJ13">
            <v>6.0211161387631975</v>
          </cell>
          <cell r="CK13">
            <v>6.2266702155975509</v>
          </cell>
          <cell r="CL13">
            <v>6.7800195191198647</v>
          </cell>
          <cell r="CM13">
            <v>6.9662319226333063</v>
          </cell>
          <cell r="CN13">
            <v>6.6891668884748468</v>
          </cell>
          <cell r="CO13">
            <v>5.7931683080471998</v>
          </cell>
          <cell r="CP13">
            <v>5.8590364652648397</v>
          </cell>
          <cell r="CQ13">
            <v>5.3686806849436604</v>
          </cell>
          <cell r="CR13">
            <v>5.236163605713779</v>
          </cell>
          <cell r="CS13">
            <v>4.648070268831515</v>
          </cell>
          <cell r="CT13">
            <v>3.8189690355780321</v>
          </cell>
          <cell r="CU13">
            <v>2.9978883861236802</v>
          </cell>
          <cell r="CV13">
            <v>1.6688918463312927</v>
          </cell>
          <cell r="CW13">
            <v>0.72139472983763642</v>
          </cell>
          <cell r="CX13">
            <v>0.2035276372992636</v>
          </cell>
          <cell r="CY13">
            <v>2.9512909236092628E-2</v>
          </cell>
          <cell r="CZ13">
            <v>99.999952940991932</v>
          </cell>
          <cell r="DA13">
            <v>99.970515482210985</v>
          </cell>
        </row>
        <row r="14">
          <cell r="B14" t="str">
            <v>AUT</v>
          </cell>
          <cell r="C14" t="str">
            <v>Europe &amp; Central Asia</v>
          </cell>
          <cell r="D14" t="str">
            <v>High income</v>
          </cell>
          <cell r="F14" t="str">
            <v>EMU</v>
          </cell>
          <cell r="G14">
            <v>0</v>
          </cell>
          <cell r="H14">
            <v>40</v>
          </cell>
          <cell r="I14">
            <v>9006.4</v>
          </cell>
          <cell r="J14">
            <v>9043.07</v>
          </cell>
          <cell r="K14">
            <v>9066.7099999999991</v>
          </cell>
          <cell r="L14">
            <v>9081.18</v>
          </cell>
          <cell r="M14">
            <v>9092.31</v>
          </cell>
          <cell r="N14">
            <v>9104.43</v>
          </cell>
          <cell r="O14">
            <v>9118.66</v>
          </cell>
          <cell r="P14">
            <v>9133.7999999999993</v>
          </cell>
          <cell r="Q14">
            <v>9149.23</v>
          </cell>
          <cell r="R14">
            <v>9163.51</v>
          </cell>
          <cell r="S14">
            <v>9175.69</v>
          </cell>
          <cell r="T14">
            <v>448.166</v>
          </cell>
          <cell r="U14">
            <v>426.01600000000002</v>
          </cell>
          <cell r="V14">
            <v>423.83800000000002</v>
          </cell>
          <cell r="W14">
            <v>452.37</v>
          </cell>
          <cell r="X14">
            <v>508.76100000000002</v>
          </cell>
          <cell r="Y14">
            <v>606.61599999999999</v>
          </cell>
          <cell r="Z14">
            <v>620.37400000000002</v>
          </cell>
          <cell r="AA14">
            <v>623.04200000000003</v>
          </cell>
          <cell r="AB14">
            <v>565.68399999999997</v>
          </cell>
          <cell r="AC14">
            <v>612.58100000000002</v>
          </cell>
          <cell r="AD14">
            <v>713.44299999999998</v>
          </cell>
          <cell r="AE14">
            <v>693.55700000000002</v>
          </cell>
          <cell r="AF14">
            <v>582.36300000000006</v>
          </cell>
          <cell r="AG14">
            <v>450.95699999999999</v>
          </cell>
          <cell r="AH14">
            <v>407.28800000000001</v>
          </cell>
          <cell r="AI14">
            <v>383.149</v>
          </cell>
          <cell r="AJ14">
            <v>260.22800000000001</v>
          </cell>
          <cell r="AK14">
            <v>142.47300000000001</v>
          </cell>
          <cell r="AL14">
            <v>67.308999999999997</v>
          </cell>
          <cell r="AM14">
            <v>17.03</v>
          </cell>
          <cell r="AN14">
            <v>1.155</v>
          </cell>
          <cell r="AO14">
            <v>439.10500000000002</v>
          </cell>
          <cell r="AP14">
            <v>456.43799999999999</v>
          </cell>
          <cell r="AQ14">
            <v>454.66199999999998</v>
          </cell>
          <cell r="AR14">
            <v>434.49900000000002</v>
          </cell>
          <cell r="AS14">
            <v>444.54300000000001</v>
          </cell>
          <cell r="AT14">
            <v>484.88400000000001</v>
          </cell>
          <cell r="AU14">
            <v>541.76199999999994</v>
          </cell>
          <cell r="AV14">
            <v>631.39499999999998</v>
          </cell>
          <cell r="AW14">
            <v>635.53800000000001</v>
          </cell>
          <cell r="AX14">
            <v>629.279</v>
          </cell>
          <cell r="AY14">
            <v>564.13199999999995</v>
          </cell>
          <cell r="AZ14">
            <v>600.53899999999999</v>
          </cell>
          <cell r="BA14">
            <v>684.76300000000003</v>
          </cell>
          <cell r="BB14">
            <v>647.774</v>
          </cell>
          <cell r="BC14">
            <v>523.79</v>
          </cell>
          <cell r="BD14">
            <v>381.17700000000002</v>
          </cell>
          <cell r="BE14">
            <v>302.05900000000003</v>
          </cell>
          <cell r="BF14">
            <v>213.953</v>
          </cell>
          <cell r="BG14">
            <v>84.346999999999994</v>
          </cell>
          <cell r="BH14">
            <v>18.629000000000001</v>
          </cell>
          <cell r="BI14">
            <v>2.4209999999999998</v>
          </cell>
          <cell r="BJ14">
            <v>4.9760836738319423</v>
          </cell>
          <cell r="BK14">
            <v>4.7301474507017236</v>
          </cell>
          <cell r="BL14">
            <v>4.7059646473618768</v>
          </cell>
          <cell r="BM14">
            <v>5.0227615917569732</v>
          </cell>
          <cell r="BN14">
            <v>5.6488830165215855</v>
          </cell>
          <cell r="BO14">
            <v>6.7353881684135724</v>
          </cell>
          <cell r="BP14">
            <v>6.8881462071415891</v>
          </cell>
          <cell r="BQ14">
            <v>6.9177695860721267</v>
          </cell>
          <cell r="BR14">
            <v>6.2809113519275179</v>
          </cell>
          <cell r="BS14">
            <v>6.8016188488186176</v>
          </cell>
          <cell r="BT14">
            <v>7.9215113696926629</v>
          </cell>
          <cell r="BU14">
            <v>7.7007128264345361</v>
          </cell>
          <cell r="BV14">
            <v>6.4661018831053481</v>
          </cell>
          <cell r="BW14">
            <v>5.0070727482678983</v>
          </cell>
          <cell r="BX14">
            <v>4.522206430982413</v>
          </cell>
          <cell r="BY14">
            <v>4.2541859122401844</v>
          </cell>
          <cell r="BZ14">
            <v>2.8893675608456211</v>
          </cell>
          <cell r="CA14">
            <v>1.5819084206786287</v>
          </cell>
          <cell r="CB14">
            <v>0.74734633149760166</v>
          </cell>
          <cell r="CC14">
            <v>0.18908775981524251</v>
          </cell>
          <cell r="CD14">
            <v>1.2824213892343223E-2</v>
          </cell>
          <cell r="CE14">
            <v>4.785525666189681</v>
          </cell>
          <cell r="CF14">
            <v>4.974426991321633</v>
          </cell>
          <cell r="CG14">
            <v>4.9550714987101783</v>
          </cell>
          <cell r="CH14">
            <v>4.7353278064101989</v>
          </cell>
          <cell r="CI14">
            <v>4.844790963949305</v>
          </cell>
          <cell r="CJ14">
            <v>5.2844418239936175</v>
          </cell>
          <cell r="CK14">
            <v>5.9043189122561888</v>
          </cell>
          <cell r="CL14">
            <v>6.8811718791720295</v>
          </cell>
          <cell r="CM14">
            <v>6.9263237969024676</v>
          </cell>
          <cell r="CN14">
            <v>6.8581109431552285</v>
          </cell>
          <cell r="CO14">
            <v>6.1481152916020481</v>
          </cell>
          <cell r="CP14">
            <v>6.5448919917739161</v>
          </cell>
          <cell r="CQ14">
            <v>7.4627957134558818</v>
          </cell>
          <cell r="CR14">
            <v>7.059676166043098</v>
          </cell>
          <cell r="CS14">
            <v>5.7084535331947777</v>
          </cell>
          <cell r="CT14">
            <v>4.1542052968223642</v>
          </cell>
          <cell r="CU14">
            <v>3.2919486163983311</v>
          </cell>
          <cell r="CV14">
            <v>2.3317374497176777</v>
          </cell>
          <cell r="CW14">
            <v>0.91924422032566477</v>
          </cell>
          <cell r="CX14">
            <v>0.20302560352409466</v>
          </cell>
          <cell r="CY14">
            <v>2.638493671865549E-2</v>
          </cell>
          <cell r="CZ14">
            <v>100.00000000000001</v>
          </cell>
          <cell r="DA14">
            <v>99.973604164918399</v>
          </cell>
        </row>
        <row r="15">
          <cell r="B15" t="str">
            <v>AZE</v>
          </cell>
          <cell r="C15" t="str">
            <v>Europe &amp; Central Asia</v>
          </cell>
          <cell r="D15" t="str">
            <v>Upper middle income</v>
          </cell>
          <cell r="E15" t="str">
            <v>IBRD</v>
          </cell>
          <cell r="G15">
            <v>0</v>
          </cell>
          <cell r="H15">
            <v>31</v>
          </cell>
          <cell r="I15">
            <v>10139.200000000001</v>
          </cell>
          <cell r="J15">
            <v>10223.299999999999</v>
          </cell>
          <cell r="K15">
            <v>10300.200000000001</v>
          </cell>
          <cell r="L15">
            <v>10370.5</v>
          </cell>
          <cell r="M15">
            <v>10435.299999999999</v>
          </cell>
          <cell r="N15">
            <v>10495.7</v>
          </cell>
          <cell r="O15">
            <v>10551.7</v>
          </cell>
          <cell r="P15">
            <v>10603.4</v>
          </cell>
          <cell r="Q15">
            <v>10651.4</v>
          </cell>
          <cell r="R15">
            <v>10696.7</v>
          </cell>
          <cell r="S15">
            <v>10739.7</v>
          </cell>
          <cell r="T15">
            <v>825.39800000000002</v>
          </cell>
          <cell r="U15">
            <v>860.64</v>
          </cell>
          <cell r="V15">
            <v>698.221</v>
          </cell>
          <cell r="W15">
            <v>637.23699999999997</v>
          </cell>
          <cell r="X15">
            <v>719.12699999999995</v>
          </cell>
          <cell r="Y15">
            <v>889.85799999999995</v>
          </cell>
          <cell r="Z15">
            <v>941.226</v>
          </cell>
          <cell r="AA15">
            <v>825.46600000000001</v>
          </cell>
          <cell r="AB15">
            <v>664.20500000000004</v>
          </cell>
          <cell r="AC15">
            <v>616.59799999999996</v>
          </cell>
          <cell r="AD15">
            <v>628.44899999999996</v>
          </cell>
          <cell r="AE15">
            <v>652.62699999999995</v>
          </cell>
          <cell r="AF15">
            <v>496.58600000000001</v>
          </cell>
          <cell r="AG15">
            <v>307.72199999999998</v>
          </cell>
          <cell r="AH15">
            <v>152.03899999999999</v>
          </cell>
          <cell r="AI15">
            <v>90.722999999999999</v>
          </cell>
          <cell r="AJ15">
            <v>87.796999999999997</v>
          </cell>
          <cell r="AK15">
            <v>35.125</v>
          </cell>
          <cell r="AL15">
            <v>8.7309999999999999</v>
          </cell>
          <cell r="AM15">
            <v>1.292</v>
          </cell>
          <cell r="AN15">
            <v>0.108</v>
          </cell>
          <cell r="AO15">
            <v>637.42399999999998</v>
          </cell>
          <cell r="AP15">
            <v>702.57600000000002</v>
          </cell>
          <cell r="AQ15">
            <v>821.35699999999997</v>
          </cell>
          <cell r="AR15">
            <v>857.40899999999999</v>
          </cell>
          <cell r="AS15">
            <v>694.19399999999996</v>
          </cell>
          <cell r="AT15">
            <v>632.36400000000003</v>
          </cell>
          <cell r="AU15">
            <v>713.12699999999995</v>
          </cell>
          <cell r="AV15">
            <v>881.06100000000004</v>
          </cell>
          <cell r="AW15">
            <v>928.33199999999999</v>
          </cell>
          <cell r="AX15">
            <v>808.08100000000002</v>
          </cell>
          <cell r="AY15">
            <v>641.73599999999999</v>
          </cell>
          <cell r="AZ15">
            <v>583.00699999999995</v>
          </cell>
          <cell r="BA15">
            <v>573.40700000000004</v>
          </cell>
          <cell r="BB15">
            <v>560.75599999999997</v>
          </cell>
          <cell r="BC15">
            <v>385.63299999999998</v>
          </cell>
          <cell r="BD15">
            <v>200.94800000000001</v>
          </cell>
          <cell r="BE15">
            <v>74.37</v>
          </cell>
          <cell r="BF15">
            <v>27.945</v>
          </cell>
          <cell r="BG15">
            <v>13.62</v>
          </cell>
          <cell r="BH15">
            <v>2.194</v>
          </cell>
          <cell r="BI15">
            <v>0.19500000000000001</v>
          </cell>
          <cell r="BJ15">
            <v>8.1406619851664814</v>
          </cell>
          <cell r="BK15">
            <v>8.4882436484140751</v>
          </cell>
          <cell r="BL15">
            <v>6.8863519804323818</v>
          </cell>
          <cell r="BM15">
            <v>6.2848844090263523</v>
          </cell>
          <cell r="BN15">
            <v>7.0925418178949027</v>
          </cell>
          <cell r="BO15">
            <v>8.7764123402240788</v>
          </cell>
          <cell r="BP15">
            <v>9.2830400820577559</v>
          </cell>
          <cell r="BQ15">
            <v>8.1413326495187004</v>
          </cell>
          <cell r="BR15">
            <v>6.5508620009468208</v>
          </cell>
          <cell r="BS15">
            <v>6.0813279154173898</v>
          </cell>
          <cell r="BT15">
            <v>6.1982109042133491</v>
          </cell>
          <cell r="BU15">
            <v>6.4366715322707897</v>
          </cell>
          <cell r="BV15">
            <v>4.8976842354426386</v>
          </cell>
          <cell r="BW15">
            <v>3.0349731734259109</v>
          </cell>
          <cell r="BX15">
            <v>1.499516727157961</v>
          </cell>
          <cell r="BY15">
            <v>0.8947747356793434</v>
          </cell>
          <cell r="BZ15">
            <v>0.86591644311188254</v>
          </cell>
          <cell r="CA15">
            <v>0.34642772605333755</v>
          </cell>
          <cell r="CB15">
            <v>8.6111330282468035E-2</v>
          </cell>
          <cell r="CC15">
            <v>1.2742622692125611E-2</v>
          </cell>
          <cell r="CD15">
            <v>1.0651727946978066E-3</v>
          </cell>
          <cell r="CE15">
            <v>5.9352123429890957</v>
          </cell>
          <cell r="CF15">
            <v>6.5418587111371824</v>
          </cell>
          <cell r="CG15">
            <v>7.6478579476149235</v>
          </cell>
          <cell r="CH15">
            <v>7.9835470264532526</v>
          </cell>
          <cell r="CI15">
            <v>6.4638118383195051</v>
          </cell>
          <cell r="CJ15">
            <v>5.8880974328891869</v>
          </cell>
          <cell r="CK15">
            <v>6.6401016788178433</v>
          </cell>
          <cell r="CL15">
            <v>8.2037766418056357</v>
          </cell>
          <cell r="CM15">
            <v>8.6439286013575796</v>
          </cell>
          <cell r="CN15">
            <v>7.5242418317085207</v>
          </cell>
          <cell r="CO15">
            <v>5.9753624402916277</v>
          </cell>
          <cell r="CP15">
            <v>5.4285222119798497</v>
          </cell>
          <cell r="CQ15">
            <v>5.3391342402487965</v>
          </cell>
          <cell r="CR15">
            <v>5.2213376537519665</v>
          </cell>
          <cell r="CS15">
            <v>3.5907241356834914</v>
          </cell>
          <cell r="CT15">
            <v>1.8710764732720653</v>
          </cell>
          <cell r="CU15">
            <v>0.69247744350400842</v>
          </cell>
          <cell r="CV15">
            <v>0.26020279896086485</v>
          </cell>
          <cell r="CW15">
            <v>0.12681918489343277</v>
          </cell>
          <cell r="CX15">
            <v>2.0428876039367952E-2</v>
          </cell>
          <cell r="CY15">
            <v>1.8156931757870329E-3</v>
          </cell>
          <cell r="CZ15">
            <v>99.999753432223471</v>
          </cell>
          <cell r="DA15">
            <v>99.998519511718186</v>
          </cell>
        </row>
        <row r="16">
          <cell r="B16" t="str">
            <v>BDI</v>
          </cell>
          <cell r="C16" t="str">
            <v>Sub-Saharan Africa</v>
          </cell>
          <cell r="D16" t="str">
            <v>Low income</v>
          </cell>
          <cell r="E16" t="str">
            <v>IDA</v>
          </cell>
          <cell r="F16" t="str">
            <v>HIPC</v>
          </cell>
          <cell r="G16">
            <v>1</v>
          </cell>
          <cell r="H16">
            <v>108</v>
          </cell>
          <cell r="I16">
            <v>11890.8</v>
          </cell>
          <cell r="J16">
            <v>12255.4</v>
          </cell>
          <cell r="K16">
            <v>12624.8</v>
          </cell>
          <cell r="L16">
            <v>12999.1</v>
          </cell>
          <cell r="M16">
            <v>13378.7</v>
          </cell>
          <cell r="N16">
            <v>13763.9</v>
          </cell>
          <cell r="O16">
            <v>14154.6</v>
          </cell>
          <cell r="P16">
            <v>14550.6</v>
          </cell>
          <cell r="Q16">
            <v>14952.2</v>
          </cell>
          <cell r="R16">
            <v>15359.5</v>
          </cell>
          <cell r="S16">
            <v>15772.8</v>
          </cell>
          <cell r="T16">
            <v>2053.84</v>
          </cell>
          <cell r="U16">
            <v>1818.61</v>
          </cell>
          <cell r="V16">
            <v>1508.36</v>
          </cell>
          <cell r="W16">
            <v>1216.93</v>
          </cell>
          <cell r="X16">
            <v>1042.77</v>
          </cell>
          <cell r="Y16">
            <v>986.81100000000004</v>
          </cell>
          <cell r="Z16">
            <v>875.16899999999998</v>
          </cell>
          <cell r="AA16">
            <v>664.37800000000004</v>
          </cell>
          <cell r="AB16">
            <v>446.70499999999998</v>
          </cell>
          <cell r="AC16">
            <v>300.92700000000002</v>
          </cell>
          <cell r="AD16">
            <v>259.78800000000001</v>
          </cell>
          <cell r="AE16">
            <v>232.18600000000001</v>
          </cell>
          <cell r="AF16">
            <v>201.291</v>
          </cell>
          <cell r="AG16">
            <v>138.34</v>
          </cell>
          <cell r="AH16">
            <v>70.37</v>
          </cell>
          <cell r="AI16">
            <v>41.759</v>
          </cell>
          <cell r="AJ16">
            <v>21.866</v>
          </cell>
          <cell r="AK16">
            <v>8.4350000000000005</v>
          </cell>
          <cell r="AL16">
            <v>1.964</v>
          </cell>
          <cell r="AM16">
            <v>0.26600000000000001</v>
          </cell>
          <cell r="AN16">
            <v>1.7000000000000001E-2</v>
          </cell>
          <cell r="AO16">
            <v>2394.64</v>
          </cell>
          <cell r="AP16">
            <v>2190.64</v>
          </cell>
          <cell r="AQ16">
            <v>1991.6</v>
          </cell>
          <cell r="AR16">
            <v>1776.15</v>
          </cell>
          <cell r="AS16">
            <v>1474.14</v>
          </cell>
          <cell r="AT16">
            <v>1183.1600000000001</v>
          </cell>
          <cell r="AU16">
            <v>1006.81</v>
          </cell>
          <cell r="AV16">
            <v>943.053</v>
          </cell>
          <cell r="AW16">
            <v>826.173</v>
          </cell>
          <cell r="AX16">
            <v>620.87800000000004</v>
          </cell>
          <cell r="AY16">
            <v>412.67500000000001</v>
          </cell>
          <cell r="AZ16">
            <v>272.149</v>
          </cell>
          <cell r="BA16">
            <v>225.827</v>
          </cell>
          <cell r="BB16">
            <v>187.655</v>
          </cell>
          <cell r="BC16">
            <v>143.523</v>
          </cell>
          <cell r="BD16">
            <v>80.409000000000006</v>
          </cell>
          <cell r="BE16">
            <v>29.579000000000001</v>
          </cell>
          <cell r="BF16">
            <v>10.625</v>
          </cell>
          <cell r="BG16">
            <v>2.7050000000000001</v>
          </cell>
          <cell r="BH16">
            <v>0.41199999999999998</v>
          </cell>
          <cell r="BI16">
            <v>3.4000000000000002E-2</v>
          </cell>
          <cell r="BJ16">
            <v>17.272513203485047</v>
          </cell>
          <cell r="BK16">
            <v>15.294261109429138</v>
          </cell>
          <cell r="BL16">
            <v>12.68510108655431</v>
          </cell>
          <cell r="BM16">
            <v>10.234214686984897</v>
          </cell>
          <cell r="BN16">
            <v>8.7695529316782732</v>
          </cell>
          <cell r="BO16">
            <v>8.2989454031688386</v>
          </cell>
          <cell r="BP16">
            <v>7.3600514683620961</v>
          </cell>
          <cell r="BQ16">
            <v>5.5873280182998624</v>
          </cell>
          <cell r="BR16">
            <v>3.7567278904699428</v>
          </cell>
          <cell r="BS16">
            <v>2.5307548693107278</v>
          </cell>
          <cell r="BT16">
            <v>2.1847815117569889</v>
          </cell>
          <cell r="BU16">
            <v>1.9526524708177753</v>
          </cell>
          <cell r="BV16">
            <v>1.6928297507316583</v>
          </cell>
          <cell r="BW16">
            <v>1.1634204595149193</v>
          </cell>
          <cell r="BX16">
            <v>0.59180206546237435</v>
          </cell>
          <cell r="BY16">
            <v>0.35118747266794498</v>
          </cell>
          <cell r="BZ16">
            <v>0.18389006626972115</v>
          </cell>
          <cell r="CA16">
            <v>7.0937195142463091E-2</v>
          </cell>
          <cell r="CB16">
            <v>1.6516971103710434E-2</v>
          </cell>
          <cell r="CC16">
            <v>2.2370235812560974E-3</v>
          </cell>
          <cell r="CD16">
            <v>1.4296767248629194E-4</v>
          </cell>
          <cell r="CE16">
            <v>15.18208561574356</v>
          </cell>
          <cell r="CF16">
            <v>13.8887198214648</v>
          </cell>
          <cell r="CG16">
            <v>12.626800568066546</v>
          </cell>
          <cell r="CH16">
            <v>11.260841448569691</v>
          </cell>
          <cell r="CI16">
            <v>9.3460894704808286</v>
          </cell>
          <cell r="CJ16">
            <v>7.5012680056806671</v>
          </cell>
          <cell r="CK16">
            <v>6.383203996753906</v>
          </cell>
          <cell r="CL16">
            <v>5.9789828058429704</v>
          </cell>
          <cell r="CM16">
            <v>5.2379602860620817</v>
          </cell>
          <cell r="CN16">
            <v>3.9363841550010146</v>
          </cell>
          <cell r="CO16">
            <v>2.6163712213430719</v>
          </cell>
          <cell r="CP16">
            <v>1.7254323899371069</v>
          </cell>
          <cell r="CQ16">
            <v>1.4317495942381824</v>
          </cell>
          <cell r="CR16">
            <v>1.1897380300263745</v>
          </cell>
          <cell r="CS16">
            <v>0.90993989653073648</v>
          </cell>
          <cell r="CT16">
            <v>0.50979534388314063</v>
          </cell>
          <cell r="CU16">
            <v>0.18753170014201664</v>
          </cell>
          <cell r="CV16">
            <v>6.7362801785352006E-2</v>
          </cell>
          <cell r="CW16">
            <v>1.7149776831000205E-2</v>
          </cell>
          <cell r="CX16">
            <v>2.6120917021708258E-3</v>
          </cell>
          <cell r="CY16">
            <v>2.1556096571312641E-4</v>
          </cell>
          <cell r="CZ16">
            <v>99.999848622464469</v>
          </cell>
          <cell r="DA16">
            <v>100.00001902008522</v>
          </cell>
        </row>
        <row r="17">
          <cell r="B17" t="str">
            <v>BEL</v>
          </cell>
          <cell r="C17" t="str">
            <v>Europe &amp; Central Asia</v>
          </cell>
          <cell r="D17" t="str">
            <v>High income</v>
          </cell>
          <cell r="F17" t="str">
            <v>EMU</v>
          </cell>
          <cell r="G17">
            <v>0</v>
          </cell>
          <cell r="H17">
            <v>56</v>
          </cell>
          <cell r="I17">
            <v>11589.6</v>
          </cell>
          <cell r="J17">
            <v>11632.3</v>
          </cell>
          <cell r="K17">
            <v>11668.3</v>
          </cell>
          <cell r="L17">
            <v>11699.4</v>
          </cell>
          <cell r="M17">
            <v>11728.5</v>
          </cell>
          <cell r="N17">
            <v>11757.5</v>
          </cell>
          <cell r="O17">
            <v>11787.2</v>
          </cell>
          <cell r="P17">
            <v>11817.1</v>
          </cell>
          <cell r="Q17">
            <v>11846.9</v>
          </cell>
          <cell r="R17">
            <v>11876</v>
          </cell>
          <cell r="S17">
            <v>11903.8</v>
          </cell>
          <cell r="T17">
            <v>633.65300000000002</v>
          </cell>
          <cell r="U17">
            <v>669.05</v>
          </cell>
          <cell r="V17">
            <v>671.46900000000005</v>
          </cell>
          <cell r="W17">
            <v>640.78200000000004</v>
          </cell>
          <cell r="X17">
            <v>657.702</v>
          </cell>
          <cell r="Y17">
            <v>728.38300000000004</v>
          </cell>
          <cell r="Z17">
            <v>746.19500000000005</v>
          </cell>
          <cell r="AA17">
            <v>757.80200000000002</v>
          </cell>
          <cell r="AB17">
            <v>751.56600000000003</v>
          </cell>
          <cell r="AC17">
            <v>766.87300000000005</v>
          </cell>
          <cell r="AD17">
            <v>795.49199999999996</v>
          </cell>
          <cell r="AE17">
            <v>803.24900000000002</v>
          </cell>
          <cell r="AF17">
            <v>735.90700000000004</v>
          </cell>
          <cell r="AG17">
            <v>633.96900000000005</v>
          </cell>
          <cell r="AH17">
            <v>555.59799999999996</v>
          </cell>
          <cell r="AI17">
            <v>383.815</v>
          </cell>
          <cell r="AJ17">
            <v>320.82400000000001</v>
          </cell>
          <cell r="AK17">
            <v>216.70400000000001</v>
          </cell>
          <cell r="AL17">
            <v>95.034000000000006</v>
          </cell>
          <cell r="AM17">
            <v>23.664000000000001</v>
          </cell>
          <cell r="AN17">
            <v>1.885</v>
          </cell>
          <cell r="AO17">
            <v>609.68799999999999</v>
          </cell>
          <cell r="AP17">
            <v>635.16899999999998</v>
          </cell>
          <cell r="AQ17">
            <v>654.79700000000003</v>
          </cell>
          <cell r="AR17">
            <v>687.81100000000004</v>
          </cell>
          <cell r="AS17">
            <v>694.49199999999996</v>
          </cell>
          <cell r="AT17">
            <v>671.029</v>
          </cell>
          <cell r="AU17">
            <v>688.58100000000002</v>
          </cell>
          <cell r="AV17">
            <v>751.53700000000003</v>
          </cell>
          <cell r="AW17">
            <v>759.12300000000005</v>
          </cell>
          <cell r="AX17">
            <v>761.4</v>
          </cell>
          <cell r="AY17">
            <v>746.15700000000004</v>
          </cell>
          <cell r="AZ17">
            <v>749.27200000000005</v>
          </cell>
          <cell r="BA17">
            <v>760.846</v>
          </cell>
          <cell r="BB17">
            <v>748.22500000000002</v>
          </cell>
          <cell r="BC17">
            <v>661.64300000000003</v>
          </cell>
          <cell r="BD17">
            <v>537.69899999999996</v>
          </cell>
          <cell r="BE17">
            <v>417.899</v>
          </cell>
          <cell r="BF17">
            <v>221.41399999999999</v>
          </cell>
          <cell r="BG17">
            <v>110.825</v>
          </cell>
          <cell r="BH17">
            <v>32.031999999999996</v>
          </cell>
          <cell r="BI17">
            <v>4.1120000000000001</v>
          </cell>
          <cell r="BJ17">
            <v>5.4674276937944359</v>
          </cell>
          <cell r="BK17">
            <v>5.772848070684061</v>
          </cell>
          <cell r="BL17">
            <v>5.7937202319320775</v>
          </cell>
          <cell r="BM17">
            <v>5.5289397390764137</v>
          </cell>
          <cell r="BN17">
            <v>5.6749326982812178</v>
          </cell>
          <cell r="BO17">
            <v>6.2847984399806727</v>
          </cell>
          <cell r="BP17">
            <v>6.438487954718024</v>
          </cell>
          <cell r="BQ17">
            <v>6.5386380893214611</v>
          </cell>
          <cell r="BR17">
            <v>6.4848312279975149</v>
          </cell>
          <cell r="BS17">
            <v>6.6169065368951481</v>
          </cell>
          <cell r="BT17">
            <v>6.8638434458480013</v>
          </cell>
          <cell r="BU17">
            <v>6.9307741423345073</v>
          </cell>
          <cell r="BV17">
            <v>6.3497187133291915</v>
          </cell>
          <cell r="BW17">
            <v>5.4701542762476709</v>
          </cell>
          <cell r="BX17">
            <v>4.7939359425691999</v>
          </cell>
          <cell r="BY17">
            <v>3.3117191274936149</v>
          </cell>
          <cell r="BZ17">
            <v>2.7682059777731758</v>
          </cell>
          <cell r="CA17">
            <v>1.8698143162835645</v>
          </cell>
          <cell r="CB17">
            <v>0.81999378753365093</v>
          </cell>
          <cell r="CC17">
            <v>0.20418306067508801</v>
          </cell>
          <cell r="CD17">
            <v>1.6264582039069511E-2</v>
          </cell>
          <cell r="CE17">
            <v>5.1217930408777024</v>
          </cell>
          <cell r="CF17">
            <v>5.3358507367395287</v>
          </cell>
          <cell r="CG17">
            <v>5.5007392597321871</v>
          </cell>
          <cell r="CH17">
            <v>5.7780792688049196</v>
          </cell>
          <cell r="CI17">
            <v>5.8342042036996586</v>
          </cell>
          <cell r="CJ17">
            <v>5.6370990776054706</v>
          </cell>
          <cell r="CK17">
            <v>5.7845477914615504</v>
          </cell>
          <cell r="CL17">
            <v>6.3134209244106927</v>
          </cell>
          <cell r="CM17">
            <v>6.3771484735966677</v>
          </cell>
          <cell r="CN17">
            <v>6.3962768191669888</v>
          </cell>
          <cell r="CO17">
            <v>6.2682252726020264</v>
          </cell>
          <cell r="CP17">
            <v>6.2943933869856696</v>
          </cell>
          <cell r="CQ17">
            <v>6.3916228431257247</v>
          </cell>
          <cell r="CR17">
            <v>6.2855978763084064</v>
          </cell>
          <cell r="CS17">
            <v>5.5582503066247755</v>
          </cell>
          <cell r="CT17">
            <v>4.5170365765553857</v>
          </cell>
          <cell r="CU17">
            <v>3.5106352593289545</v>
          </cell>
          <cell r="CV17">
            <v>1.8600278902535325</v>
          </cell>
          <cell r="CW17">
            <v>0.93100522522219809</v>
          </cell>
          <cell r="CX17">
            <v>0.26909054251583525</v>
          </cell>
          <cell r="CY17">
            <v>3.4543591122162674E-2</v>
          </cell>
          <cell r="CZ17">
            <v>100.00013805480779</v>
          </cell>
          <cell r="DA17">
            <v>99.965044775617869</v>
          </cell>
        </row>
        <row r="18">
          <cell r="B18" t="str">
            <v>BEN</v>
          </cell>
          <cell r="C18" t="str">
            <v>Sub-Saharan Africa</v>
          </cell>
          <cell r="D18" t="str">
            <v>Lower middle income</v>
          </cell>
          <cell r="E18" t="str">
            <v>IDA</v>
          </cell>
          <cell r="F18" t="str">
            <v>HIPC</v>
          </cell>
          <cell r="G18">
            <v>1</v>
          </cell>
          <cell r="H18">
            <v>204</v>
          </cell>
          <cell r="I18">
            <v>12123.2</v>
          </cell>
          <cell r="J18">
            <v>12451</v>
          </cell>
          <cell r="K18">
            <v>12784.7</v>
          </cell>
          <cell r="L18">
            <v>13124.3</v>
          </cell>
          <cell r="M18">
            <v>13470.1</v>
          </cell>
          <cell r="N18">
            <v>13822.1</v>
          </cell>
          <cell r="O18">
            <v>14180.2</v>
          </cell>
          <cell r="P18">
            <v>14544.4</v>
          </cell>
          <cell r="Q18">
            <v>14914.6</v>
          </cell>
          <cell r="R18">
            <v>15290.6</v>
          </cell>
          <cell r="S18">
            <v>15672.3</v>
          </cell>
          <cell r="T18">
            <v>1908.33</v>
          </cell>
          <cell r="U18">
            <v>1688.62</v>
          </cell>
          <cell r="V18">
            <v>1488.07</v>
          </cell>
          <cell r="W18">
            <v>1291.42</v>
          </cell>
          <cell r="X18">
            <v>1115.8399999999999</v>
          </cell>
          <cell r="Y18">
            <v>945.93200000000002</v>
          </cell>
          <cell r="Z18">
            <v>785.32</v>
          </cell>
          <cell r="AA18">
            <v>651.12300000000005</v>
          </cell>
          <cell r="AB18">
            <v>538.73199999999997</v>
          </cell>
          <cell r="AC18">
            <v>443.1</v>
          </cell>
          <cell r="AD18">
            <v>363.185</v>
          </cell>
          <cell r="AE18">
            <v>287.49599999999998</v>
          </cell>
          <cell r="AF18">
            <v>218.58600000000001</v>
          </cell>
          <cell r="AG18">
            <v>160.59700000000001</v>
          </cell>
          <cell r="AH18">
            <v>111.041</v>
          </cell>
          <cell r="AI18">
            <v>73.793999999999997</v>
          </cell>
          <cell r="AJ18">
            <v>35.314999999999998</v>
          </cell>
          <cell r="AK18">
            <v>12.926</v>
          </cell>
          <cell r="AL18">
            <v>3.234</v>
          </cell>
          <cell r="AM18">
            <v>0.5</v>
          </cell>
          <cell r="AN18">
            <v>4.4999999999999998E-2</v>
          </cell>
          <cell r="AO18">
            <v>2277.73</v>
          </cell>
          <cell r="AP18">
            <v>2043.1</v>
          </cell>
          <cell r="AQ18">
            <v>1841.77</v>
          </cell>
          <cell r="AR18">
            <v>1655.65</v>
          </cell>
          <cell r="AS18">
            <v>1454.99</v>
          </cell>
          <cell r="AT18">
            <v>1253.0899999999999</v>
          </cell>
          <cell r="AU18">
            <v>1077.4000000000001</v>
          </cell>
          <cell r="AV18">
            <v>910.11900000000003</v>
          </cell>
          <cell r="AW18">
            <v>751.26099999999997</v>
          </cell>
          <cell r="AX18">
            <v>617.19200000000001</v>
          </cell>
          <cell r="AY18">
            <v>503.13200000000001</v>
          </cell>
          <cell r="AZ18">
            <v>403.88299999999998</v>
          </cell>
          <cell r="BA18">
            <v>318.32600000000002</v>
          </cell>
          <cell r="BB18">
            <v>235.31200000000001</v>
          </cell>
          <cell r="BC18">
            <v>159.02699999999999</v>
          </cell>
          <cell r="BD18">
            <v>96.257000000000005</v>
          </cell>
          <cell r="BE18">
            <v>48.765999999999998</v>
          </cell>
          <cell r="BF18">
            <v>19.866</v>
          </cell>
          <cell r="BG18">
            <v>4.6959999999999997</v>
          </cell>
          <cell r="BH18">
            <v>0.67700000000000005</v>
          </cell>
          <cell r="BI18">
            <v>5.8999999999999997E-2</v>
          </cell>
          <cell r="BJ18">
            <v>15.741140952883725</v>
          </cell>
          <cell r="BK18">
            <v>13.928830671769829</v>
          </cell>
          <cell r="BL18">
            <v>12.274564471426684</v>
          </cell>
          <cell r="BM18">
            <v>10.652467995248779</v>
          </cell>
          <cell r="BN18">
            <v>9.2041705160353686</v>
          </cell>
          <cell r="BO18">
            <v>7.8026593638643256</v>
          </cell>
          <cell r="BP18">
            <v>6.4778276362676523</v>
          </cell>
          <cell r="BQ18">
            <v>5.3708839250362939</v>
          </cell>
          <cell r="BR18">
            <v>4.443810215124719</v>
          </cell>
          <cell r="BS18">
            <v>3.6549755840042235</v>
          </cell>
          <cell r="BT18">
            <v>2.9957849412696316</v>
          </cell>
          <cell r="BU18">
            <v>2.371453081694602</v>
          </cell>
          <cell r="BV18">
            <v>1.8030388016365317</v>
          </cell>
          <cell r="BW18">
            <v>1.3247079978883463</v>
          </cell>
          <cell r="BX18">
            <v>0.91593803616206937</v>
          </cell>
          <cell r="BY18">
            <v>0.60870067308961329</v>
          </cell>
          <cell r="BZ18">
            <v>0.29130097663983107</v>
          </cell>
          <cell r="CA18">
            <v>0.10662201398970569</v>
          </cell>
          <cell r="CB18">
            <v>2.6676125115481061E-2</v>
          </cell>
          <cell r="CC18">
            <v>4.1243236109278075E-3</v>
          </cell>
          <cell r="CD18">
            <v>3.7118912498350267E-4</v>
          </cell>
          <cell r="CE18">
            <v>14.533476260663718</v>
          </cell>
          <cell r="CF18">
            <v>13.036376281719978</v>
          </cell>
          <cell r="CG18">
            <v>11.75175309303676</v>
          </cell>
          <cell r="CH18">
            <v>10.564180113959026</v>
          </cell>
          <cell r="CI18">
            <v>9.283831983818585</v>
          </cell>
          <cell r="CJ18">
            <v>7.9955718050318074</v>
          </cell>
          <cell r="CK18">
            <v>6.8745493641648014</v>
          </cell>
          <cell r="CL18">
            <v>5.8071820983518689</v>
          </cell>
          <cell r="CM18">
            <v>4.7935593371745053</v>
          </cell>
          <cell r="CN18">
            <v>3.9381073613955833</v>
          </cell>
          <cell r="CO18">
            <v>3.2103264996203493</v>
          </cell>
          <cell r="CP18">
            <v>2.5770499543781069</v>
          </cell>
          <cell r="CQ18">
            <v>2.0311377398339747</v>
          </cell>
          <cell r="CR18">
            <v>1.5014516056992273</v>
          </cell>
          <cell r="CS18">
            <v>1.014701096839647</v>
          </cell>
          <cell r="CT18">
            <v>0.61418553754075667</v>
          </cell>
          <cell r="CU18">
            <v>0.31116045507041085</v>
          </cell>
          <cell r="CV18">
            <v>0.12675867613560232</v>
          </cell>
          <cell r="CW18">
            <v>2.9963693905808334E-2</v>
          </cell>
          <cell r="CX18">
            <v>4.3197233335247548E-3</v>
          </cell>
          <cell r="CY18">
            <v>3.7646037914026656E-4</v>
          </cell>
          <cell r="CZ18">
            <v>100.00004949188332</v>
          </cell>
          <cell r="DA18">
            <v>99.999642681674061</v>
          </cell>
        </row>
        <row r="19">
          <cell r="B19" t="str">
            <v>BFA</v>
          </cell>
          <cell r="C19" t="str">
            <v>Sub-Saharan Africa</v>
          </cell>
          <cell r="D19" t="str">
            <v>Low income</v>
          </cell>
          <cell r="E19" t="str">
            <v>IDA</v>
          </cell>
          <cell r="F19" t="str">
            <v>HIPC</v>
          </cell>
          <cell r="G19">
            <v>1</v>
          </cell>
          <cell r="H19">
            <v>854</v>
          </cell>
          <cell r="I19">
            <v>20903.3</v>
          </cell>
          <cell r="J19">
            <v>21497.1</v>
          </cell>
          <cell r="K19">
            <v>22102.799999999999</v>
          </cell>
          <cell r="L19">
            <v>22720.799999999999</v>
          </cell>
          <cell r="M19">
            <v>23351.5</v>
          </cell>
          <cell r="N19">
            <v>23995.1</v>
          </cell>
          <cell r="O19">
            <v>24651.8</v>
          </cell>
          <cell r="P19">
            <v>25321.200000000001</v>
          </cell>
          <cell r="Q19">
            <v>26003.200000000001</v>
          </cell>
          <cell r="R19">
            <v>26697.599999999999</v>
          </cell>
          <cell r="S19">
            <v>27404</v>
          </cell>
          <cell r="T19">
            <v>3472.48</v>
          </cell>
          <cell r="U19">
            <v>3079.71</v>
          </cell>
          <cell r="V19">
            <v>2722.66</v>
          </cell>
          <cell r="W19">
            <v>2306.89</v>
          </cell>
          <cell r="X19">
            <v>1919.89</v>
          </cell>
          <cell r="Y19">
            <v>1588.17</v>
          </cell>
          <cell r="Z19">
            <v>1320.36</v>
          </cell>
          <cell r="AA19">
            <v>1107.67</v>
          </cell>
          <cell r="AB19">
            <v>893.04700000000003</v>
          </cell>
          <cell r="AC19">
            <v>694.08600000000001</v>
          </cell>
          <cell r="AD19">
            <v>553.57899999999995</v>
          </cell>
          <cell r="AE19">
            <v>423.911</v>
          </cell>
          <cell r="AF19">
            <v>316.84199999999998</v>
          </cell>
          <cell r="AG19">
            <v>222.035</v>
          </cell>
          <cell r="AH19">
            <v>148.02099999999999</v>
          </cell>
          <cell r="AI19">
            <v>86.215999999999994</v>
          </cell>
          <cell r="AJ19">
            <v>36.133000000000003</v>
          </cell>
          <cell r="AK19">
            <v>9.8729999999999993</v>
          </cell>
          <cell r="AL19">
            <v>1.579</v>
          </cell>
          <cell r="AM19">
            <v>0.126</v>
          </cell>
          <cell r="AN19">
            <v>1E-3</v>
          </cell>
          <cell r="AO19">
            <v>4158.62</v>
          </cell>
          <cell r="AP19">
            <v>3734.31</v>
          </cell>
          <cell r="AQ19">
            <v>3371.05</v>
          </cell>
          <cell r="AR19">
            <v>3021.01</v>
          </cell>
          <cell r="AS19">
            <v>2644.84</v>
          </cell>
          <cell r="AT19">
            <v>2205.4899999999998</v>
          </cell>
          <cell r="AU19">
            <v>1819.53</v>
          </cell>
          <cell r="AV19">
            <v>1501.35</v>
          </cell>
          <cell r="AW19">
            <v>1244.8800000000001</v>
          </cell>
          <cell r="AX19">
            <v>1038</v>
          </cell>
          <cell r="AY19">
            <v>825.53499999999997</v>
          </cell>
          <cell r="AZ19">
            <v>625.11500000000001</v>
          </cell>
          <cell r="BA19">
            <v>476.03399999999999</v>
          </cell>
          <cell r="BB19">
            <v>335.80399999999997</v>
          </cell>
          <cell r="BC19">
            <v>217.23400000000001</v>
          </cell>
          <cell r="BD19">
            <v>117.68</v>
          </cell>
          <cell r="BE19">
            <v>50.415999999999997</v>
          </cell>
          <cell r="BF19">
            <v>14.666</v>
          </cell>
          <cell r="BG19">
            <v>2.2999999999999998</v>
          </cell>
          <cell r="BH19">
            <v>0.17899999999999999</v>
          </cell>
          <cell r="BI19">
            <v>2E-3</v>
          </cell>
          <cell r="BJ19">
            <v>16.6121138767563</v>
          </cell>
          <cell r="BK19">
            <v>14.733128262044751</v>
          </cell>
          <cell r="BL19">
            <v>13.025024756856574</v>
          </cell>
          <cell r="BM19">
            <v>11.036008668487751</v>
          </cell>
          <cell r="BN19">
            <v>9.1846263508632617</v>
          </cell>
          <cell r="BO19">
            <v>7.5976998847072004</v>
          </cell>
          <cell r="BP19">
            <v>6.3165146173092284</v>
          </cell>
          <cell r="BQ19">
            <v>5.299019771997723</v>
          </cell>
          <cell r="BR19">
            <v>4.2722775829653692</v>
          </cell>
          <cell r="BS19">
            <v>3.3204613625599788</v>
          </cell>
          <cell r="BT19">
            <v>2.6482851989877196</v>
          </cell>
          <cell r="BU19">
            <v>2.0279620921098584</v>
          </cell>
          <cell r="BV19">
            <v>1.5157511015007199</v>
          </cell>
          <cell r="BW19">
            <v>1.0622007051518181</v>
          </cell>
          <cell r="BX19">
            <v>0.70812264092272503</v>
          </cell>
          <cell r="BY19">
            <v>0.41245162247109302</v>
          </cell>
          <cell r="BZ19">
            <v>0.1728578741155703</v>
          </cell>
          <cell r="CA19">
            <v>4.7231776800792213E-2</v>
          </cell>
          <cell r="CB19">
            <v>7.5538312132534102E-3</v>
          </cell>
          <cell r="CC19">
            <v>6.0277563829634552E-4</v>
          </cell>
          <cell r="CD19">
            <v>4.7839336372725837E-6</v>
          </cell>
          <cell r="CE19">
            <v>15.175229893446213</v>
          </cell>
          <cell r="CF19">
            <v>13.626879287695226</v>
          </cell>
          <cell r="CG19">
            <v>12.301306378630859</v>
          </cell>
          <cell r="CH19">
            <v>11.023974602247847</v>
          </cell>
          <cell r="CI19">
            <v>9.6512917822215751</v>
          </cell>
          <cell r="CJ19">
            <v>8.0480586775653187</v>
          </cell>
          <cell r="CK19">
            <v>6.6396511458181289</v>
          </cell>
          <cell r="CL19">
            <v>5.4785797693767329</v>
          </cell>
          <cell r="CM19">
            <v>4.5426944971537004</v>
          </cell>
          <cell r="CN19">
            <v>3.7877682090205811</v>
          </cell>
          <cell r="CO19">
            <v>3.0124616844256309</v>
          </cell>
          <cell r="CP19">
            <v>2.2811085972850682</v>
          </cell>
          <cell r="CQ19">
            <v>1.7370967741935484</v>
          </cell>
          <cell r="CR19">
            <v>1.2253831557436869</v>
          </cell>
          <cell r="CS19">
            <v>0.79270909356298347</v>
          </cell>
          <cell r="CT19">
            <v>0.42942636111516563</v>
          </cell>
          <cell r="CU19">
            <v>0.18397314260691869</v>
          </cell>
          <cell r="CV19">
            <v>5.3517734637279227E-2</v>
          </cell>
          <cell r="CW19">
            <v>8.3929353379068733E-3</v>
          </cell>
          <cell r="CX19">
            <v>6.5318931542840462E-4</v>
          </cell>
          <cell r="CY19">
            <v>7.2982046416581514E-6</v>
          </cell>
          <cell r="CZ19">
            <v>99.999899537393617</v>
          </cell>
          <cell r="DA19">
            <v>100.00015691139981</v>
          </cell>
        </row>
        <row r="20">
          <cell r="B20" t="str">
            <v>BGD</v>
          </cell>
          <cell r="C20" t="str">
            <v>South Asia</v>
          </cell>
          <cell r="D20" t="str">
            <v>Lower middle income</v>
          </cell>
          <cell r="E20" t="str">
            <v>IDA</v>
          </cell>
          <cell r="G20">
            <v>0</v>
          </cell>
          <cell r="H20">
            <v>50</v>
          </cell>
          <cell r="I20">
            <v>164689</v>
          </cell>
          <cell r="J20">
            <v>166304</v>
          </cell>
          <cell r="K20">
            <v>167886</v>
          </cell>
          <cell r="L20">
            <v>169432</v>
          </cell>
          <cell r="M20">
            <v>170937</v>
          </cell>
          <cell r="N20">
            <v>172399</v>
          </cell>
          <cell r="O20">
            <v>173814</v>
          </cell>
          <cell r="P20">
            <v>175180</v>
          </cell>
          <cell r="Q20">
            <v>176498</v>
          </cell>
          <cell r="R20">
            <v>177769</v>
          </cell>
          <cell r="S20">
            <v>178994</v>
          </cell>
          <cell r="T20">
            <v>14328.2</v>
          </cell>
          <cell r="U20">
            <v>14644.4</v>
          </cell>
          <cell r="V20">
            <v>15089.3</v>
          </cell>
          <cell r="W20">
            <v>15585.1</v>
          </cell>
          <cell r="X20">
            <v>15239.2</v>
          </cell>
          <cell r="Y20">
            <v>14525.8</v>
          </cell>
          <cell r="Z20">
            <v>13763.1</v>
          </cell>
          <cell r="AA20">
            <v>12748.5</v>
          </cell>
          <cell r="AB20">
            <v>11225.3</v>
          </cell>
          <cell r="AC20">
            <v>9425.99</v>
          </cell>
          <cell r="AD20">
            <v>8304.7900000000009</v>
          </cell>
          <cell r="AE20">
            <v>6700.91</v>
          </cell>
          <cell r="AF20">
            <v>4500.3900000000003</v>
          </cell>
          <cell r="AG20">
            <v>2796.45</v>
          </cell>
          <cell r="AH20">
            <v>2357.16</v>
          </cell>
          <cell r="AI20">
            <v>1738.65</v>
          </cell>
          <cell r="AJ20">
            <v>1021.35</v>
          </cell>
          <cell r="AK20">
            <v>483.03100000000001</v>
          </cell>
          <cell r="AL20">
            <v>167.12799999999999</v>
          </cell>
          <cell r="AM20">
            <v>38.816000000000003</v>
          </cell>
          <cell r="AN20">
            <v>5.7409999999999997</v>
          </cell>
          <cell r="AO20">
            <v>12967.3</v>
          </cell>
          <cell r="AP20">
            <v>13731.2</v>
          </cell>
          <cell r="AQ20">
            <v>14206.1</v>
          </cell>
          <cell r="AR20">
            <v>14347.6</v>
          </cell>
          <cell r="AS20">
            <v>14508.4</v>
          </cell>
          <cell r="AT20">
            <v>14999.3</v>
          </cell>
          <cell r="AU20">
            <v>14756.2</v>
          </cell>
          <cell r="AV20">
            <v>14005.5</v>
          </cell>
          <cell r="AW20">
            <v>13243.5</v>
          </cell>
          <cell r="AX20">
            <v>12192</v>
          </cell>
          <cell r="AY20">
            <v>10575.6</v>
          </cell>
          <cell r="AZ20">
            <v>8723.1</v>
          </cell>
          <cell r="BA20">
            <v>7406.17</v>
          </cell>
          <cell r="BB20">
            <v>5596.66</v>
          </cell>
          <cell r="BC20">
            <v>3423.45</v>
          </cell>
          <cell r="BD20">
            <v>1879.49</v>
          </cell>
          <cell r="BE20">
            <v>1324.85</v>
          </cell>
          <cell r="BF20">
            <v>727.51300000000003</v>
          </cell>
          <cell r="BG20">
            <v>280.834</v>
          </cell>
          <cell r="BH20">
            <v>80.978999999999999</v>
          </cell>
          <cell r="BI20">
            <v>17.954999999999998</v>
          </cell>
          <cell r="BJ20">
            <v>8.7001560517095857</v>
          </cell>
          <cell r="BK20">
            <v>8.892154302958911</v>
          </cell>
          <cell r="BL20">
            <v>9.1622998500203412</v>
          </cell>
          <cell r="BM20">
            <v>9.4633521364511299</v>
          </cell>
          <cell r="BN20">
            <v>9.2533198938605494</v>
          </cell>
          <cell r="BO20">
            <v>8.8201397786130222</v>
          </cell>
          <cell r="BP20">
            <v>8.3570244521492025</v>
          </cell>
          <cell r="BQ20">
            <v>7.7409541620873279</v>
          </cell>
          <cell r="BR20">
            <v>6.8160593603701525</v>
          </cell>
          <cell r="BS20">
            <v>5.7235091596888683</v>
          </cell>
          <cell r="BT20">
            <v>5.0427108064290884</v>
          </cell>
          <cell r="BU20">
            <v>4.0688266975936465</v>
          </cell>
          <cell r="BV20">
            <v>2.7326597404805422</v>
          </cell>
          <cell r="BW20">
            <v>1.6980186897728444</v>
          </cell>
          <cell r="BX20">
            <v>1.431279563298095</v>
          </cell>
          <cell r="BY20">
            <v>1.0557171395782354</v>
          </cell>
          <cell r="BZ20">
            <v>0.62016892445761407</v>
          </cell>
          <cell r="CA20">
            <v>0.29329888456423925</v>
          </cell>
          <cell r="CB20">
            <v>0.10148097322832733</v>
          </cell>
          <cell r="CC20">
            <v>2.3569272993338962E-2</v>
          </cell>
          <cell r="CD20">
            <v>3.4859644542136995E-3</v>
          </cell>
          <cell r="CE20">
            <v>7.2445445098718393</v>
          </cell>
          <cell r="CF20">
            <v>7.6713185916846376</v>
          </cell>
          <cell r="CG20">
            <v>7.9366347475334376</v>
          </cell>
          <cell r="CH20">
            <v>8.0156876766818996</v>
          </cell>
          <cell r="CI20">
            <v>8.1055230901594477</v>
          </cell>
          <cell r="CJ20">
            <v>8.3797780931204393</v>
          </cell>
          <cell r="CK20">
            <v>8.2439634848095462</v>
          </cell>
          <cell r="CL20">
            <v>7.8245639518643078</v>
          </cell>
          <cell r="CM20">
            <v>7.3988513581460831</v>
          </cell>
          <cell r="CN20">
            <v>6.8114014994916028</v>
          </cell>
          <cell r="CO20">
            <v>5.9083544699822337</v>
          </cell>
          <cell r="CP20">
            <v>4.8734035777735567</v>
          </cell>
          <cell r="CQ20">
            <v>4.1376638323072283</v>
          </cell>
          <cell r="CR20">
            <v>3.1267305049331262</v>
          </cell>
          <cell r="CS20">
            <v>1.912606009139971</v>
          </cell>
          <cell r="CT20">
            <v>1.0500296099310591</v>
          </cell>
          <cell r="CU20">
            <v>0.74016447478686431</v>
          </cell>
          <cell r="CV20">
            <v>0.40644546744583621</v>
          </cell>
          <cell r="CW20">
            <v>0.15689576186911294</v>
          </cell>
          <cell r="CX20">
            <v>4.5241181268645875E-2</v>
          </cell>
          <cell r="CY20">
            <v>1.0031062493714871E-2</v>
          </cell>
          <cell r="CZ20">
            <v>100.0001858047593</v>
          </cell>
          <cell r="DA20">
            <v>99.98980189280087</v>
          </cell>
        </row>
        <row r="21">
          <cell r="B21" t="str">
            <v>BGR</v>
          </cell>
          <cell r="C21" t="str">
            <v>Europe &amp; Central Asia</v>
          </cell>
          <cell r="D21" t="str">
            <v>Upper middle income</v>
          </cell>
          <cell r="E21" t="str">
            <v>IBRD</v>
          </cell>
          <cell r="G21">
            <v>0</v>
          </cell>
          <cell r="H21">
            <v>100</v>
          </cell>
          <cell r="I21">
            <v>6948.44</v>
          </cell>
          <cell r="J21">
            <v>6896.65</v>
          </cell>
          <cell r="K21">
            <v>6844.59</v>
          </cell>
          <cell r="L21">
            <v>6792.23</v>
          </cell>
          <cell r="M21">
            <v>6739.54</v>
          </cell>
          <cell r="N21">
            <v>6686.47</v>
          </cell>
          <cell r="O21">
            <v>6633.11</v>
          </cell>
          <cell r="P21">
            <v>6579.5</v>
          </cell>
          <cell r="Q21">
            <v>6525.61</v>
          </cell>
          <cell r="R21">
            <v>6471.37</v>
          </cell>
          <cell r="S21">
            <v>6416.75</v>
          </cell>
          <cell r="T21">
            <v>312.73</v>
          </cell>
          <cell r="U21">
            <v>336.65199999999999</v>
          </cell>
          <cell r="V21">
            <v>370.613</v>
          </cell>
          <cell r="W21">
            <v>315.26799999999997</v>
          </cell>
          <cell r="X21">
            <v>299.46699999999998</v>
          </cell>
          <cell r="Y21">
            <v>390.45</v>
          </cell>
          <cell r="Z21">
            <v>480.839</v>
          </cell>
          <cell r="AA21">
            <v>476.75200000000001</v>
          </cell>
          <cell r="AB21">
            <v>534.66399999999999</v>
          </cell>
          <cell r="AC21">
            <v>527.32100000000003</v>
          </cell>
          <cell r="AD21">
            <v>476.55</v>
          </cell>
          <cell r="AE21">
            <v>468.154</v>
          </cell>
          <cell r="AF21">
            <v>467.298</v>
          </cell>
          <cell r="AG21">
            <v>455.29399999999998</v>
          </cell>
          <cell r="AH21">
            <v>424.6</v>
          </cell>
          <cell r="AI21">
            <v>285.76799999999997</v>
          </cell>
          <cell r="AJ21">
            <v>191.839</v>
          </cell>
          <cell r="AK21">
            <v>101.27500000000001</v>
          </cell>
          <cell r="AL21">
            <v>28.222000000000001</v>
          </cell>
          <cell r="AM21">
            <v>4.51</v>
          </cell>
          <cell r="AN21">
            <v>0.17899999999999999</v>
          </cell>
          <cell r="AO21">
            <v>274.28800000000001</v>
          </cell>
          <cell r="AP21">
            <v>290.28100000000001</v>
          </cell>
          <cell r="AQ21">
            <v>310.82900000000001</v>
          </cell>
          <cell r="AR21">
            <v>332.79399999999998</v>
          </cell>
          <cell r="AS21">
            <v>362.07499999999999</v>
          </cell>
          <cell r="AT21">
            <v>304.762</v>
          </cell>
          <cell r="AU21">
            <v>290.05700000000002</v>
          </cell>
          <cell r="AV21">
            <v>381.58199999999999</v>
          </cell>
          <cell r="AW21">
            <v>470.56099999999998</v>
          </cell>
          <cell r="AX21">
            <v>463.20699999999999</v>
          </cell>
          <cell r="AY21">
            <v>511.67500000000001</v>
          </cell>
          <cell r="AZ21">
            <v>491.96199999999999</v>
          </cell>
          <cell r="BA21">
            <v>428.93900000000002</v>
          </cell>
          <cell r="BB21">
            <v>401.66399999999999</v>
          </cell>
          <cell r="BC21">
            <v>375.495</v>
          </cell>
          <cell r="BD21">
            <v>329.12299999999999</v>
          </cell>
          <cell r="BE21">
            <v>250.827</v>
          </cell>
          <cell r="BF21">
            <v>106.66500000000001</v>
          </cell>
          <cell r="BG21">
            <v>32.673999999999999</v>
          </cell>
          <cell r="BH21">
            <v>6.7489999999999997</v>
          </cell>
          <cell r="BI21">
            <v>0.53900000000000003</v>
          </cell>
          <cell r="BJ21">
            <v>4.5007224643229273</v>
          </cell>
          <cell r="BK21">
            <v>4.845001180121006</v>
          </cell>
          <cell r="BL21">
            <v>5.3337583687849364</v>
          </cell>
          <cell r="BM21">
            <v>4.5372486486175312</v>
          </cell>
          <cell r="BN21">
            <v>4.309845087530439</v>
          </cell>
          <cell r="BO21">
            <v>5.6192469100978064</v>
          </cell>
          <cell r="BP21">
            <v>6.9201000512345221</v>
          </cell>
          <cell r="BQ21">
            <v>6.8612810933101533</v>
          </cell>
          <cell r="BR21">
            <v>7.6947343576399891</v>
          </cell>
          <cell r="BS21">
            <v>7.5890559607624173</v>
          </cell>
          <cell r="BT21">
            <v>6.8583739659549492</v>
          </cell>
          <cell r="BU21">
            <v>6.7375410883594018</v>
          </cell>
          <cell r="BV21">
            <v>6.7252217763987323</v>
          </cell>
          <cell r="BW21">
            <v>6.5524635745577431</v>
          </cell>
          <cell r="BX21">
            <v>6.1107241337623988</v>
          </cell>
          <cell r="BY21">
            <v>4.1126929210009724</v>
          </cell>
          <cell r="BZ21">
            <v>2.7608930925502704</v>
          </cell>
          <cell r="CA21">
            <v>1.4575214004870158</v>
          </cell>
          <cell r="CB21">
            <v>0.40616310999303451</v>
          </cell>
          <cell r="CC21">
            <v>6.4906655306802688E-2</v>
          </cell>
          <cell r="CD21">
            <v>2.5761178048597962E-3</v>
          </cell>
          <cell r="CE21">
            <v>4.2745626680172988</v>
          </cell>
          <cell r="CF21">
            <v>4.5238009895975377</v>
          </cell>
          <cell r="CG21">
            <v>4.8440254022675031</v>
          </cell>
          <cell r="CH21">
            <v>5.1863326450305838</v>
          </cell>
          <cell r="CI21">
            <v>5.6426539915066032</v>
          </cell>
          <cell r="CJ21">
            <v>4.7494759808314173</v>
          </cell>
          <cell r="CK21">
            <v>4.5203101258425225</v>
          </cell>
          <cell r="CL21">
            <v>5.9466552382436593</v>
          </cell>
          <cell r="CM21">
            <v>7.3333229438578718</v>
          </cell>
          <cell r="CN21">
            <v>7.2187166400436364</v>
          </cell>
          <cell r="CO21">
            <v>7.9740522850352589</v>
          </cell>
          <cell r="CP21">
            <v>7.6668406903806439</v>
          </cell>
          <cell r="CQ21">
            <v>6.6846768223789308</v>
          </cell>
          <cell r="CR21">
            <v>6.2596174075661359</v>
          </cell>
          <cell r="CS21">
            <v>5.8517941325437333</v>
          </cell>
          <cell r="CT21">
            <v>5.1291229984026181</v>
          </cell>
          <cell r="CU21">
            <v>3.9089414423189304</v>
          </cell>
          <cell r="CV21">
            <v>1.6622901001285699</v>
          </cell>
          <cell r="CW21">
            <v>0.5091985818365995</v>
          </cell>
          <cell r="CX21">
            <v>0.10517785483305411</v>
          </cell>
          <cell r="CY21">
            <v>8.3998909105076573E-3</v>
          </cell>
          <cell r="CZ21">
            <v>100.00007195859791</v>
          </cell>
          <cell r="DA21">
            <v>99.991568940663115</v>
          </cell>
        </row>
        <row r="22">
          <cell r="B22" t="str">
            <v>BHR</v>
          </cell>
          <cell r="C22" t="str">
            <v>Middle East &amp; North Africa</v>
          </cell>
          <cell r="D22" t="str">
            <v>High income</v>
          </cell>
          <cell r="G22">
            <v>0</v>
          </cell>
          <cell r="H22">
            <v>48</v>
          </cell>
          <cell r="I22">
            <v>1701.58</v>
          </cell>
          <cell r="J22">
            <v>1748.3</v>
          </cell>
          <cell r="K22">
            <v>1783.98</v>
          </cell>
          <cell r="L22">
            <v>1812</v>
          </cell>
          <cell r="M22">
            <v>1837.73</v>
          </cell>
          <cell r="N22">
            <v>1865.09</v>
          </cell>
          <cell r="O22">
            <v>1894.88</v>
          </cell>
          <cell r="P22">
            <v>1925.73</v>
          </cell>
          <cell r="Q22">
            <v>1956.74</v>
          </cell>
          <cell r="R22">
            <v>1986.34</v>
          </cell>
          <cell r="S22">
            <v>2013.42</v>
          </cell>
          <cell r="T22">
            <v>108.054</v>
          </cell>
          <cell r="U22">
            <v>110.081</v>
          </cell>
          <cell r="V22">
            <v>92.953999999999994</v>
          </cell>
          <cell r="W22">
            <v>88.900999999999996</v>
          </cell>
          <cell r="X22">
            <v>91.683999999999997</v>
          </cell>
          <cell r="Y22">
            <v>214.98599999999999</v>
          </cell>
          <cell r="Z22">
            <v>293.46100000000001</v>
          </cell>
          <cell r="AA22">
            <v>214.27199999999999</v>
          </cell>
          <cell r="AB22">
            <v>148.286</v>
          </cell>
          <cell r="AC22">
            <v>108.435</v>
          </cell>
          <cell r="AD22">
            <v>81.177000000000007</v>
          </cell>
          <cell r="AE22">
            <v>59.054000000000002</v>
          </cell>
          <cell r="AF22">
            <v>45.12</v>
          </cell>
          <cell r="AG22">
            <v>21.452000000000002</v>
          </cell>
          <cell r="AH22">
            <v>10.958</v>
          </cell>
          <cell r="AI22">
            <v>6.86</v>
          </cell>
          <cell r="AJ22">
            <v>3.9569999999999999</v>
          </cell>
          <cell r="AK22">
            <v>1.3149999999999999</v>
          </cell>
          <cell r="AL22">
            <v>0.50900000000000001</v>
          </cell>
          <cell r="AM22">
            <v>0.06</v>
          </cell>
          <cell r="AN22">
            <v>7.0000000000000001E-3</v>
          </cell>
          <cell r="AO22">
            <v>111.68300000000001</v>
          </cell>
          <cell r="AP22">
            <v>111.392</v>
          </cell>
          <cell r="AQ22">
            <v>108.965</v>
          </cell>
          <cell r="AR22">
            <v>110.664</v>
          </cell>
          <cell r="AS22">
            <v>136.261</v>
          </cell>
          <cell r="AT22">
            <v>226.55</v>
          </cell>
          <cell r="AU22">
            <v>234.78299999999999</v>
          </cell>
          <cell r="AV22">
            <v>202.68100000000001</v>
          </cell>
          <cell r="AW22">
            <v>200.6</v>
          </cell>
          <cell r="AX22">
            <v>168.64500000000001</v>
          </cell>
          <cell r="AY22">
            <v>126.33</v>
          </cell>
          <cell r="AZ22">
            <v>93.084999999999994</v>
          </cell>
          <cell r="BA22">
            <v>69.81</v>
          </cell>
          <cell r="BB22">
            <v>50.728000000000002</v>
          </cell>
          <cell r="BC22">
            <v>36.625</v>
          </cell>
          <cell r="BD22">
            <v>15.138</v>
          </cell>
          <cell r="BE22">
            <v>5.9820000000000002</v>
          </cell>
          <cell r="BF22">
            <v>2.5219999999999998</v>
          </cell>
          <cell r="BG22">
            <v>0.83</v>
          </cell>
          <cell r="BH22">
            <v>0.128</v>
          </cell>
          <cell r="BI22">
            <v>1.7000000000000001E-2</v>
          </cell>
          <cell r="BJ22">
            <v>6.3502156818956506</v>
          </cell>
          <cell r="BK22">
            <v>6.4693402602287282</v>
          </cell>
          <cell r="BL22">
            <v>5.4628051575594441</v>
          </cell>
          <cell r="BM22">
            <v>5.2246147698021845</v>
          </cell>
          <cell r="BN22">
            <v>5.3881686432609692</v>
          </cell>
          <cell r="BO22">
            <v>12.634492648009497</v>
          </cell>
          <cell r="BP22">
            <v>17.246382773657427</v>
          </cell>
          <cell r="BQ22">
            <v>12.59253164705744</v>
          </cell>
          <cell r="BR22">
            <v>8.71460642461712</v>
          </cell>
          <cell r="BS22">
            <v>6.3726066361851936</v>
          </cell>
          <cell r="BT22">
            <v>4.7706837174861016</v>
          </cell>
          <cell r="BU22">
            <v>3.470539145970216</v>
          </cell>
          <cell r="BV22">
            <v>2.6516531694072567</v>
          </cell>
          <cell r="BW22">
            <v>1.260710633646376</v>
          </cell>
          <cell r="BX22">
            <v>0.64398970368716146</v>
          </cell>
          <cell r="BY22">
            <v>0.40315471502956085</v>
          </cell>
          <cell r="BZ22">
            <v>0.2325485725032029</v>
          </cell>
          <cell r="CA22">
            <v>7.7281115198815226E-2</v>
          </cell>
          <cell r="CB22">
            <v>2.9913374628286655E-2</v>
          </cell>
          <cell r="CC22">
            <v>3.5261345337862459E-3</v>
          </cell>
          <cell r="CD22">
            <v>4.1138236227506201E-4</v>
          </cell>
          <cell r="CE22">
            <v>5.546930099035472</v>
          </cell>
          <cell r="CF22">
            <v>5.5324770788012438</v>
          </cell>
          <cell r="CG22">
            <v>5.4119359100436073</v>
          </cell>
          <cell r="CH22">
            <v>5.496319694847573</v>
          </cell>
          <cell r="CI22">
            <v>6.7676391413614647</v>
          </cell>
          <cell r="CJ22">
            <v>11.251999086132054</v>
          </cell>
          <cell r="CK22">
            <v>11.660905325267453</v>
          </cell>
          <cell r="CL22">
            <v>10.06650375977193</v>
          </cell>
          <cell r="CM22">
            <v>9.963147281739527</v>
          </cell>
          <cell r="CN22">
            <v>8.3760467264654181</v>
          </cell>
          <cell r="CO22">
            <v>6.2743987841582971</v>
          </cell>
          <cell r="CP22">
            <v>4.623228139186061</v>
          </cell>
          <cell r="CQ22">
            <v>3.4672348541287956</v>
          </cell>
          <cell r="CR22">
            <v>2.5194941939585385</v>
          </cell>
          <cell r="CS22">
            <v>1.8190442133285651</v>
          </cell>
          <cell r="CT22">
            <v>0.75185505259707364</v>
          </cell>
          <cell r="CU22">
            <v>0.29710641594898229</v>
          </cell>
          <cell r="CV22">
            <v>0.12525950869664548</v>
          </cell>
          <cell r="CW22">
            <v>4.1223391046080797E-2</v>
          </cell>
          <cell r="CX22">
            <v>6.3573422336124603E-3</v>
          </cell>
          <cell r="CY22">
            <v>8.4433451540165492E-4</v>
          </cell>
          <cell r="CZ22">
            <v>100.00017630672671</v>
          </cell>
          <cell r="DA22">
            <v>99.999105998748377</v>
          </cell>
        </row>
        <row r="23">
          <cell r="B23" t="str">
            <v>BHS</v>
          </cell>
          <cell r="C23" t="str">
            <v>Latin America &amp; Caribbean</v>
          </cell>
          <cell r="D23" t="str">
            <v>High income</v>
          </cell>
          <cell r="G23">
            <v>0</v>
          </cell>
          <cell r="H23">
            <v>44</v>
          </cell>
          <cell r="I23">
            <v>393.24799999999999</v>
          </cell>
          <cell r="J23">
            <v>396.91399999999999</v>
          </cell>
          <cell r="K23">
            <v>400.51499999999999</v>
          </cell>
          <cell r="L23">
            <v>404.048</v>
          </cell>
          <cell r="M23">
            <v>407.52199999999999</v>
          </cell>
          <cell r="N23">
            <v>410.93299999999999</v>
          </cell>
          <cell r="O23">
            <v>414.274</v>
          </cell>
          <cell r="P23">
            <v>417.54700000000003</v>
          </cell>
          <cell r="Q23">
            <v>420.73399999999998</v>
          </cell>
          <cell r="R23">
            <v>423.82799999999997</v>
          </cell>
          <cell r="S23">
            <v>426.81</v>
          </cell>
          <cell r="T23">
            <v>27.064</v>
          </cell>
          <cell r="U23">
            <v>26.59</v>
          </cell>
          <cell r="V23">
            <v>31.292999999999999</v>
          </cell>
          <cell r="W23">
            <v>32.502000000000002</v>
          </cell>
          <cell r="X23">
            <v>33.496000000000002</v>
          </cell>
          <cell r="Y23">
            <v>33.072000000000003</v>
          </cell>
          <cell r="Z23">
            <v>28.015000000000001</v>
          </cell>
          <cell r="AA23">
            <v>27.442</v>
          </cell>
          <cell r="AB23">
            <v>27.577000000000002</v>
          </cell>
          <cell r="AC23">
            <v>28.919</v>
          </cell>
          <cell r="AD23">
            <v>25.568999999999999</v>
          </cell>
          <cell r="AE23">
            <v>23.652999999999999</v>
          </cell>
          <cell r="AF23">
            <v>17.584</v>
          </cell>
          <cell r="AG23">
            <v>11.846</v>
          </cell>
          <cell r="AH23">
            <v>8.0229999999999997</v>
          </cell>
          <cell r="AI23">
            <v>5.6219999999999999</v>
          </cell>
          <cell r="AJ23">
            <v>3.1869999999999998</v>
          </cell>
          <cell r="AK23">
            <v>1.3089999999999999</v>
          </cell>
          <cell r="AL23">
            <v>0.40500000000000003</v>
          </cell>
          <cell r="AM23">
            <v>7.1999999999999995E-2</v>
          </cell>
          <cell r="AN23">
            <v>8.0000000000000002E-3</v>
          </cell>
          <cell r="AO23">
            <v>27.436</v>
          </cell>
          <cell r="AP23">
            <v>27.475000000000001</v>
          </cell>
          <cell r="AQ23">
            <v>27.233000000000001</v>
          </cell>
          <cell r="AR23">
            <v>27.143999999999998</v>
          </cell>
          <cell r="AS23">
            <v>32.566000000000003</v>
          </cell>
          <cell r="AT23">
            <v>33.997</v>
          </cell>
          <cell r="AU23">
            <v>34.618000000000002</v>
          </cell>
          <cell r="AV23">
            <v>33.655000000000001</v>
          </cell>
          <cell r="AW23">
            <v>28.154</v>
          </cell>
          <cell r="AX23">
            <v>27.085000000000001</v>
          </cell>
          <cell r="AY23">
            <v>26.645</v>
          </cell>
          <cell r="AZ23">
            <v>27.224</v>
          </cell>
          <cell r="BA23">
            <v>23.26</v>
          </cell>
          <cell r="BB23">
            <v>20.452000000000002</v>
          </cell>
          <cell r="BC23">
            <v>14.079000000000001</v>
          </cell>
          <cell r="BD23">
            <v>8.3409999999999993</v>
          </cell>
          <cell r="BE23">
            <v>4.5279999999999996</v>
          </cell>
          <cell r="BF23">
            <v>2.1579999999999999</v>
          </cell>
          <cell r="BG23">
            <v>0.64800000000000002</v>
          </cell>
          <cell r="BH23">
            <v>0.10299999999999999</v>
          </cell>
          <cell r="BI23">
            <v>8.9999999999999993E-3</v>
          </cell>
          <cell r="BJ23">
            <v>6.8821710472780531</v>
          </cell>
          <cell r="BK23">
            <v>6.7616364228171539</v>
          </cell>
          <cell r="BL23">
            <v>7.9575738465294172</v>
          </cell>
          <cell r="BM23">
            <v>8.2650134266417119</v>
          </cell>
          <cell r="BN23">
            <v>8.5177801285702675</v>
          </cell>
          <cell r="BO23">
            <v>8.4099601269427957</v>
          </cell>
          <cell r="BP23">
            <v>7.124003173569859</v>
          </cell>
          <cell r="BQ23">
            <v>6.9782935958987711</v>
          </cell>
          <cell r="BR23">
            <v>7.0126230775490281</v>
          </cell>
          <cell r="BS23">
            <v>7.3538835543982426</v>
          </cell>
          <cell r="BT23">
            <v>6.5020038245585488</v>
          </cell>
          <cell r="BU23">
            <v>6.0147794775815768</v>
          </cell>
          <cell r="BV23">
            <v>4.4714785580600536</v>
          </cell>
          <cell r="BW23">
            <v>3.0123484416958255</v>
          </cell>
          <cell r="BX23">
            <v>2.0401883798518998</v>
          </cell>
          <cell r="BY23">
            <v>1.4296321913906747</v>
          </cell>
          <cell r="BZ23">
            <v>0.81043005940271784</v>
          </cell>
          <cell r="CA23">
            <v>0.33286882577915211</v>
          </cell>
          <cell r="CB23">
            <v>0.102988444950769</v>
          </cell>
          <cell r="CC23">
            <v>1.8309056880136707E-2</v>
          </cell>
          <cell r="CD23">
            <v>2.0343396533485233E-3</v>
          </cell>
          <cell r="CE23">
            <v>6.4281530423373399</v>
          </cell>
          <cell r="CF23">
            <v>6.4372905976898389</v>
          </cell>
          <cell r="CG23">
            <v>6.3805908952461285</v>
          </cell>
          <cell r="CH23">
            <v>6.3597385253391439</v>
          </cell>
          <cell r="CI23">
            <v>7.6300930156275637</v>
          </cell>
          <cell r="CJ23">
            <v>7.9653710081769402</v>
          </cell>
          <cell r="CK23">
            <v>8.1108690049436518</v>
          </cell>
          <cell r="CL23">
            <v>7.8852416766242595</v>
          </cell>
          <cell r="CM23">
            <v>6.5963777793397531</v>
          </cell>
          <cell r="CN23">
            <v>6.3459150441648511</v>
          </cell>
          <cell r="CO23">
            <v>6.2428246760853776</v>
          </cell>
          <cell r="CP23">
            <v>6.3784822286263214</v>
          </cell>
          <cell r="CQ23">
            <v>5.449731730746703</v>
          </cell>
          <cell r="CR23">
            <v>4.791827745366791</v>
          </cell>
          <cell r="CS23">
            <v>3.2986574822520565</v>
          </cell>
          <cell r="CT23">
            <v>1.9542653639792882</v>
          </cell>
          <cell r="CU23">
            <v>1.060893606054216</v>
          </cell>
          <cell r="CV23">
            <v>0.50561139617159856</v>
          </cell>
          <cell r="CW23">
            <v>0.15182399662613341</v>
          </cell>
          <cell r="CX23">
            <v>2.4132517982240337E-2</v>
          </cell>
          <cell r="CY23">
            <v>2.1086666198074084E-3</v>
          </cell>
          <cell r="CZ23">
            <v>100.00000000000001</v>
          </cell>
          <cell r="DA23">
            <v>99.99789133338021</v>
          </cell>
        </row>
        <row r="24">
          <cell r="B24" t="str">
            <v>BIH</v>
          </cell>
          <cell r="C24" t="str">
            <v>Europe &amp; Central Asia</v>
          </cell>
          <cell r="D24" t="str">
            <v>Upper middle income</v>
          </cell>
          <cell r="E24" t="str">
            <v>IBRD</v>
          </cell>
          <cell r="G24">
            <v>0</v>
          </cell>
          <cell r="H24">
            <v>70</v>
          </cell>
          <cell r="I24">
            <v>3280.81</v>
          </cell>
          <cell r="J24">
            <v>3263.46</v>
          </cell>
          <cell r="K24">
            <v>3249.31</v>
          </cell>
          <cell r="L24">
            <v>3237.05</v>
          </cell>
          <cell r="M24">
            <v>3225.03</v>
          </cell>
          <cell r="N24">
            <v>3211.96</v>
          </cell>
          <cell r="O24">
            <v>3197.24</v>
          </cell>
          <cell r="P24">
            <v>3180.89</v>
          </cell>
          <cell r="Q24">
            <v>3163.27</v>
          </cell>
          <cell r="R24">
            <v>3145.03</v>
          </cell>
          <cell r="S24">
            <v>3126.64</v>
          </cell>
          <cell r="T24">
            <v>133.25399999999999</v>
          </cell>
          <cell r="U24">
            <v>161.958</v>
          </cell>
          <cell r="V24">
            <v>181.24</v>
          </cell>
          <cell r="W24">
            <v>165.035</v>
          </cell>
          <cell r="X24">
            <v>216.16800000000001</v>
          </cell>
          <cell r="Y24">
            <v>187.10400000000001</v>
          </cell>
          <cell r="Z24">
            <v>216.38499999999999</v>
          </cell>
          <cell r="AA24">
            <v>242</v>
          </cell>
          <cell r="AB24">
            <v>220.803</v>
          </cell>
          <cell r="AC24">
            <v>226.935</v>
          </cell>
          <cell r="AD24">
            <v>231.33799999999999</v>
          </cell>
          <cell r="AE24">
            <v>268.84399999999999</v>
          </cell>
          <cell r="AF24">
            <v>241.96700000000001</v>
          </cell>
          <cell r="AG24">
            <v>221.828</v>
          </cell>
          <cell r="AH24">
            <v>143.428</v>
          </cell>
          <cell r="AI24">
            <v>99.07</v>
          </cell>
          <cell r="AJ24">
            <v>84.515000000000001</v>
          </cell>
          <cell r="AK24">
            <v>25.472999999999999</v>
          </cell>
          <cell r="AL24">
            <v>11.15</v>
          </cell>
          <cell r="AM24">
            <v>2.165</v>
          </cell>
          <cell r="AN24">
            <v>0.155</v>
          </cell>
          <cell r="AO24">
            <v>113.919</v>
          </cell>
          <cell r="AP24">
            <v>120.164</v>
          </cell>
          <cell r="AQ24">
            <v>132.94900000000001</v>
          </cell>
          <cell r="AR24">
            <v>161.536</v>
          </cell>
          <cell r="AS24">
            <v>180.328</v>
          </cell>
          <cell r="AT24">
            <v>163.69300000000001</v>
          </cell>
          <cell r="AU24">
            <v>214.43100000000001</v>
          </cell>
          <cell r="AV24">
            <v>185.36699999999999</v>
          </cell>
          <cell r="AW24">
            <v>214.11500000000001</v>
          </cell>
          <cell r="AX24">
            <v>238.39500000000001</v>
          </cell>
          <cell r="AY24">
            <v>215.26900000000001</v>
          </cell>
          <cell r="AZ24">
            <v>217.41800000000001</v>
          </cell>
          <cell r="BA24">
            <v>215.9</v>
          </cell>
          <cell r="BB24">
            <v>240.732</v>
          </cell>
          <cell r="BC24">
            <v>201.542</v>
          </cell>
          <cell r="BD24">
            <v>162.185</v>
          </cell>
          <cell r="BE24">
            <v>84.254999999999995</v>
          </cell>
          <cell r="BF24">
            <v>41.148000000000003</v>
          </cell>
          <cell r="BG24">
            <v>20.263000000000002</v>
          </cell>
          <cell r="BH24">
            <v>2.6520000000000001</v>
          </cell>
          <cell r="BI24">
            <v>0.38100000000000001</v>
          </cell>
          <cell r="BJ24">
            <v>4.0616189294716856</v>
          </cell>
          <cell r="BK24">
            <v>4.9365248216141744</v>
          </cell>
          <cell r="BL24">
            <v>5.5242455369253323</v>
          </cell>
          <cell r="BM24">
            <v>5.0303126362087411</v>
          </cell>
          <cell r="BN24">
            <v>6.588860677698495</v>
          </cell>
          <cell r="BO24">
            <v>5.7029818855709413</v>
          </cell>
          <cell r="BP24">
            <v>6.5954748979672697</v>
          </cell>
          <cell r="BQ24">
            <v>7.3762272121823571</v>
          </cell>
          <cell r="BR24">
            <v>6.7301367650062032</v>
          </cell>
          <cell r="BS24">
            <v>6.9170418280851385</v>
          </cell>
          <cell r="BT24">
            <v>7.0512464909580252</v>
          </cell>
          <cell r="BU24">
            <v>8.1944397877353463</v>
          </cell>
          <cell r="BV24">
            <v>7.3752213630170607</v>
          </cell>
          <cell r="BW24">
            <v>6.7613790496859005</v>
          </cell>
          <cell r="BX24">
            <v>4.3717252751607072</v>
          </cell>
          <cell r="BY24">
            <v>3.0196811153343228</v>
          </cell>
          <cell r="BZ24">
            <v>2.5760406728826113</v>
          </cell>
          <cell r="CA24">
            <v>0.77642411477653384</v>
          </cell>
          <cell r="CB24">
            <v>0.33985509675964171</v>
          </cell>
          <cell r="CC24">
            <v>6.5989801299069437E-2</v>
          </cell>
          <cell r="CD24">
            <v>4.7244430491250634E-3</v>
          </cell>
          <cell r="CE24">
            <v>3.6434958933551669</v>
          </cell>
          <cell r="CF24">
            <v>3.8432310723332397</v>
          </cell>
          <cell r="CG24">
            <v>4.252136478775939</v>
          </cell>
          <cell r="CH24">
            <v>5.1664406519458588</v>
          </cell>
          <cell r="CI24">
            <v>5.7674692321469694</v>
          </cell>
          <cell r="CJ24">
            <v>5.2354284471509356</v>
          </cell>
          <cell r="CK24">
            <v>6.8581928204078508</v>
          </cell>
          <cell r="CL24">
            <v>5.9286326535833993</v>
          </cell>
          <cell r="CM24">
            <v>6.848086124401914</v>
          </cell>
          <cell r="CN24">
            <v>7.6246385896681428</v>
          </cell>
          <cell r="CO24">
            <v>6.8849947547527064</v>
          </cell>
          <cell r="CP24">
            <v>6.9537266842361136</v>
          </cell>
          <cell r="CQ24">
            <v>6.9051761635493705</v>
          </cell>
          <cell r="CR24">
            <v>7.6993833636107771</v>
          </cell>
          <cell r="CS24">
            <v>6.445961159583451</v>
          </cell>
          <cell r="CT24">
            <v>5.1871977586162785</v>
          </cell>
          <cell r="CU24">
            <v>2.6947457974055218</v>
          </cell>
          <cell r="CV24">
            <v>1.31604533940588</v>
          </cell>
          <cell r="CW24">
            <v>0.6480758897730472</v>
          </cell>
          <cell r="CX24">
            <v>8.4819486733362343E-2</v>
          </cell>
          <cell r="CY24">
            <v>1.2185604994498889E-2</v>
          </cell>
          <cell r="CZ24">
            <v>100.00015240138868</v>
          </cell>
          <cell r="DA24">
            <v>99.987878361435918</v>
          </cell>
        </row>
        <row r="25">
          <cell r="B25" t="str">
            <v>BLR</v>
          </cell>
          <cell r="C25" t="str">
            <v>Europe &amp; Central Asia</v>
          </cell>
          <cell r="D25" t="str">
            <v>Upper middle income</v>
          </cell>
          <cell r="E25" t="str">
            <v>IBRD</v>
          </cell>
          <cell r="G25">
            <v>0</v>
          </cell>
          <cell r="H25">
            <v>112</v>
          </cell>
          <cell r="I25">
            <v>9449.32</v>
          </cell>
          <cell r="J25">
            <v>9442.8700000000008</v>
          </cell>
          <cell r="K25">
            <v>9432.7999999999993</v>
          </cell>
          <cell r="L25">
            <v>9419.49</v>
          </cell>
          <cell r="M25">
            <v>9403.5300000000007</v>
          </cell>
          <cell r="N25">
            <v>9385.44</v>
          </cell>
          <cell r="O25">
            <v>9365.2999999999993</v>
          </cell>
          <cell r="P25">
            <v>9343.09</v>
          </cell>
          <cell r="Q25">
            <v>9318.85</v>
          </cell>
          <cell r="R25">
            <v>9292.7199999999993</v>
          </cell>
          <cell r="S25">
            <v>9264.7800000000007</v>
          </cell>
          <cell r="T25">
            <v>548.12099999999998</v>
          </cell>
          <cell r="U25">
            <v>595.71900000000005</v>
          </cell>
          <cell r="V25">
            <v>485.25599999999997</v>
          </cell>
          <cell r="W25">
            <v>443.62700000000001</v>
          </cell>
          <cell r="X25">
            <v>425.47199999999998</v>
          </cell>
          <cell r="Y25">
            <v>652.33000000000004</v>
          </cell>
          <cell r="Z25">
            <v>814.01499999999999</v>
          </cell>
          <cell r="AA25">
            <v>716.33299999999997</v>
          </cell>
          <cell r="AB25">
            <v>652.63099999999997</v>
          </cell>
          <cell r="AC25">
            <v>632.77</v>
          </cell>
          <cell r="AD25">
            <v>592.26</v>
          </cell>
          <cell r="AE25">
            <v>753.53099999999995</v>
          </cell>
          <cell r="AF25">
            <v>665.03399999999999</v>
          </cell>
          <cell r="AG25">
            <v>578.21699999999998</v>
          </cell>
          <cell r="AH25">
            <v>269.53899999999999</v>
          </cell>
          <cell r="AI25">
            <v>256.02300000000002</v>
          </cell>
          <cell r="AJ25">
            <v>218.76300000000001</v>
          </cell>
          <cell r="AK25">
            <v>101.383</v>
          </cell>
          <cell r="AL25">
            <v>41.786999999999999</v>
          </cell>
          <cell r="AM25">
            <v>6.1210000000000004</v>
          </cell>
          <cell r="AN25">
            <v>0.38900000000000001</v>
          </cell>
          <cell r="AO25">
            <v>454.755</v>
          </cell>
          <cell r="AP25">
            <v>512.49199999999996</v>
          </cell>
          <cell r="AQ25">
            <v>548.16</v>
          </cell>
          <cell r="AR25">
            <v>596.803</v>
          </cell>
          <cell r="AS25">
            <v>488.40300000000002</v>
          </cell>
          <cell r="AT25">
            <v>446.983</v>
          </cell>
          <cell r="AU25">
            <v>426.774</v>
          </cell>
          <cell r="AV25">
            <v>647.125</v>
          </cell>
          <cell r="AW25">
            <v>799.34299999999996</v>
          </cell>
          <cell r="AX25">
            <v>695.55899999999997</v>
          </cell>
          <cell r="AY25">
            <v>623.73400000000004</v>
          </cell>
          <cell r="AZ25">
            <v>591.14599999999996</v>
          </cell>
          <cell r="BA25">
            <v>534.02</v>
          </cell>
          <cell r="BB25">
            <v>643.79700000000003</v>
          </cell>
          <cell r="BC25">
            <v>528.76800000000003</v>
          </cell>
          <cell r="BD25">
            <v>409.92899999999997</v>
          </cell>
          <cell r="BE25">
            <v>153.93199999999999</v>
          </cell>
          <cell r="BF25">
            <v>103.18</v>
          </cell>
          <cell r="BG25">
            <v>49.302999999999997</v>
          </cell>
          <cell r="BH25">
            <v>9.4149999999999991</v>
          </cell>
          <cell r="BI25">
            <v>1.1559999999999999</v>
          </cell>
          <cell r="BJ25">
            <v>5.8006396227453401</v>
          </cell>
          <cell r="BK25">
            <v>6.3043584088590512</v>
          </cell>
          <cell r="BL25">
            <v>5.1353536550778252</v>
          </cell>
          <cell r="BM25">
            <v>4.6948034355911332</v>
          </cell>
          <cell r="BN25">
            <v>4.5026732082308571</v>
          </cell>
          <cell r="BO25">
            <v>6.9034597198528571</v>
          </cell>
          <cell r="BP25">
            <v>8.6145352258151906</v>
          </cell>
          <cell r="BQ25">
            <v>7.580788882162949</v>
          </cell>
          <cell r="BR25">
            <v>6.9066451342530462</v>
          </cell>
          <cell r="BS25">
            <v>6.6964606977009984</v>
          </cell>
          <cell r="BT25">
            <v>6.2677526001871025</v>
          </cell>
          <cell r="BU25">
            <v>7.974446838502665</v>
          </cell>
          <cell r="BV25">
            <v>7.0379032565306279</v>
          </cell>
          <cell r="BW25">
            <v>6.11913873167593</v>
          </cell>
          <cell r="BX25">
            <v>2.8524698073512167</v>
          </cell>
          <cell r="BY25">
            <v>2.7094330597333993</v>
          </cell>
          <cell r="BZ25">
            <v>2.3151189715238769</v>
          </cell>
          <cell r="CA25">
            <v>1.0729131831708525</v>
          </cell>
          <cell r="CB25">
            <v>0.44222229747749048</v>
          </cell>
          <cell r="CC25">
            <v>6.4777147985251846E-2</v>
          </cell>
          <cell r="CD25">
            <v>4.116698344431134E-3</v>
          </cell>
          <cell r="CE25">
            <v>4.9084273992474721</v>
          </cell>
          <cell r="CF25">
            <v>5.5316154296162452</v>
          </cell>
          <cell r="CG25">
            <v>5.9166002862453286</v>
          </cell>
          <cell r="CH25">
            <v>6.4416316415500416</v>
          </cell>
          <cell r="CI25">
            <v>5.271609255697383</v>
          </cell>
          <cell r="CJ25">
            <v>4.8245398163798816</v>
          </cell>
          <cell r="CK25">
            <v>4.606412672508144</v>
          </cell>
          <cell r="CL25">
            <v>6.9847853915581366</v>
          </cell>
          <cell r="CM25">
            <v>8.6277601842677321</v>
          </cell>
          <cell r="CN25">
            <v>7.5075608918938164</v>
          </cell>
          <cell r="CO25">
            <v>6.732313125621979</v>
          </cell>
          <cell r="CP25">
            <v>6.3805724474839103</v>
          </cell>
          <cell r="CQ25">
            <v>5.763979284991116</v>
          </cell>
          <cell r="CR25">
            <v>6.9488644090847274</v>
          </cell>
          <cell r="CS25">
            <v>5.7072914845252667</v>
          </cell>
          <cell r="CT25">
            <v>4.4245950794298405</v>
          </cell>
          <cell r="CU25">
            <v>1.6614749621685563</v>
          </cell>
          <cell r="CV25">
            <v>1.1136799794490533</v>
          </cell>
          <cell r="CW25">
            <v>0.53215510783850228</v>
          </cell>
          <cell r="CX25">
            <v>0.10162140925094819</v>
          </cell>
          <cell r="CY25">
            <v>1.2477360498576326E-2</v>
          </cell>
          <cell r="CZ25">
            <v>100.00001058277209</v>
          </cell>
          <cell r="DA25">
            <v>99.987490258808108</v>
          </cell>
        </row>
        <row r="26">
          <cell r="B26" t="str">
            <v>BLZ</v>
          </cell>
          <cell r="C26" t="str">
            <v>Latin America &amp; Caribbean</v>
          </cell>
          <cell r="D26" t="str">
            <v>Lower middle income</v>
          </cell>
          <cell r="E26" t="str">
            <v>IBRD</v>
          </cell>
          <cell r="G26">
            <v>0</v>
          </cell>
          <cell r="H26">
            <v>84</v>
          </cell>
          <cell r="I26">
            <v>397.62099999999998</v>
          </cell>
          <cell r="J26">
            <v>404.91500000000002</v>
          </cell>
          <cell r="K26">
            <v>412.20100000000002</v>
          </cell>
          <cell r="L26">
            <v>419.42899999999997</v>
          </cell>
          <cell r="M26">
            <v>426.62200000000001</v>
          </cell>
          <cell r="N26">
            <v>433.72500000000002</v>
          </cell>
          <cell r="O26">
            <v>440.71100000000001</v>
          </cell>
          <cell r="P26">
            <v>447.61500000000001</v>
          </cell>
          <cell r="Q26">
            <v>454.39400000000001</v>
          </cell>
          <cell r="R26">
            <v>461.06599999999997</v>
          </cell>
          <cell r="S26">
            <v>467.64</v>
          </cell>
          <cell r="T26">
            <v>39.445999999999998</v>
          </cell>
          <cell r="U26">
            <v>38.659999999999997</v>
          </cell>
          <cell r="V26">
            <v>37.997</v>
          </cell>
          <cell r="W26">
            <v>39.853000000000002</v>
          </cell>
          <cell r="X26">
            <v>39.341000000000001</v>
          </cell>
          <cell r="Y26">
            <v>36.478000000000002</v>
          </cell>
          <cell r="Z26">
            <v>32.103000000000002</v>
          </cell>
          <cell r="AA26">
            <v>27.611999999999998</v>
          </cell>
          <cell r="AB26">
            <v>23.055</v>
          </cell>
          <cell r="AC26">
            <v>20.902999999999999</v>
          </cell>
          <cell r="AD26">
            <v>17.481000000000002</v>
          </cell>
          <cell r="AE26">
            <v>14.329000000000001</v>
          </cell>
          <cell r="AF26">
            <v>10.45</v>
          </cell>
          <cell r="AG26">
            <v>7.3639999999999999</v>
          </cell>
          <cell r="AH26">
            <v>5.0190000000000001</v>
          </cell>
          <cell r="AI26">
            <v>3.2919999999999998</v>
          </cell>
          <cell r="AJ26">
            <v>2.2629999999999999</v>
          </cell>
          <cell r="AK26">
            <v>1.2709999999999999</v>
          </cell>
          <cell r="AL26">
            <v>0.60699999999999998</v>
          </cell>
          <cell r="AM26">
            <v>8.5000000000000006E-2</v>
          </cell>
          <cell r="AN26">
            <v>1.2E-2</v>
          </cell>
          <cell r="AO26">
            <v>40.335999999999999</v>
          </cell>
          <cell r="AP26">
            <v>40.697000000000003</v>
          </cell>
          <cell r="AQ26">
            <v>39.563000000000002</v>
          </cell>
          <cell r="AR26">
            <v>39.134999999999998</v>
          </cell>
          <cell r="AS26">
            <v>39.182000000000002</v>
          </cell>
          <cell r="AT26">
            <v>41.201999999999998</v>
          </cell>
          <cell r="AU26">
            <v>40.207000000000001</v>
          </cell>
          <cell r="AV26">
            <v>36.798999999999999</v>
          </cell>
          <cell r="AW26">
            <v>32.06</v>
          </cell>
          <cell r="AX26">
            <v>27.251000000000001</v>
          </cell>
          <cell r="AY26">
            <v>22.393999999999998</v>
          </cell>
          <cell r="AZ26">
            <v>19.800999999999998</v>
          </cell>
          <cell r="BA26">
            <v>16.006</v>
          </cell>
          <cell r="BB26">
            <v>12.596</v>
          </cell>
          <cell r="BC26">
            <v>8.7240000000000002</v>
          </cell>
          <cell r="BD26">
            <v>5.6539999999999999</v>
          </cell>
          <cell r="BE26">
            <v>3.298</v>
          </cell>
          <cell r="BF26">
            <v>1.6539999999999999</v>
          </cell>
          <cell r="BG26">
            <v>0.78800000000000003</v>
          </cell>
          <cell r="BH26">
            <v>0.252</v>
          </cell>
          <cell r="BI26">
            <v>4.1000000000000002E-2</v>
          </cell>
          <cell r="BJ26">
            <v>9.9205021867557299</v>
          </cell>
          <cell r="BK26">
            <v>9.7228265106722223</v>
          </cell>
          <cell r="BL26">
            <v>9.5560848144338468</v>
          </cell>
          <cell r="BM26">
            <v>10.022860965592864</v>
          </cell>
          <cell r="BN26">
            <v>9.8940951307903777</v>
          </cell>
          <cell r="BO26">
            <v>9.1740627381350599</v>
          </cell>
          <cell r="BP26">
            <v>8.0737687395786448</v>
          </cell>
          <cell r="BQ26">
            <v>6.9443012315747916</v>
          </cell>
          <cell r="BR26">
            <v>5.79823500267843</v>
          </cell>
          <cell r="BS26">
            <v>5.257016103274224</v>
          </cell>
          <cell r="BT26">
            <v>4.3963975745747845</v>
          </cell>
          <cell r="BU26">
            <v>3.6036829040719685</v>
          </cell>
          <cell r="BV26">
            <v>2.6281308079804639</v>
          </cell>
          <cell r="BW26">
            <v>1.8520148583701566</v>
          </cell>
          <cell r="BX26">
            <v>1.2622572751439185</v>
          </cell>
          <cell r="BY26">
            <v>0.82792407845662075</v>
          </cell>
          <cell r="BZ26">
            <v>0.56913492999615212</v>
          </cell>
          <cell r="CA26">
            <v>0.31965112506633198</v>
          </cell>
          <cell r="CB26">
            <v>0.15265793305685565</v>
          </cell>
          <cell r="CC26">
            <v>2.1377140543381766E-2</v>
          </cell>
          <cell r="CD26">
            <v>3.0179492531833079E-3</v>
          </cell>
          <cell r="CE26">
            <v>8.6254383713968021</v>
          </cell>
          <cell r="CF26">
            <v>8.7026345051749221</v>
          </cell>
          <cell r="CG26">
            <v>8.4601402788469766</v>
          </cell>
          <cell r="CH26">
            <v>8.3686168847831652</v>
          </cell>
          <cell r="CI26">
            <v>8.3786673509537248</v>
          </cell>
          <cell r="CJ26">
            <v>8.8106235565819855</v>
          </cell>
          <cell r="CK26">
            <v>8.5978530493542049</v>
          </cell>
          <cell r="CL26">
            <v>7.8690873321358312</v>
          </cell>
          <cell r="CM26">
            <v>6.8557009665554709</v>
          </cell>
          <cell r="CN26">
            <v>5.8273458215721501</v>
          </cell>
          <cell r="CO26">
            <v>4.7887263707125136</v>
          </cell>
          <cell r="CP26">
            <v>4.2342400136857412</v>
          </cell>
          <cell r="CQ26">
            <v>3.4227183303395776</v>
          </cell>
          <cell r="CR26">
            <v>2.6935249337096914</v>
          </cell>
          <cell r="CS26">
            <v>1.8655375930202722</v>
          </cell>
          <cell r="CT26">
            <v>1.2090496963476178</v>
          </cell>
          <cell r="CU26">
            <v>0.705243349585151</v>
          </cell>
          <cell r="CV26">
            <v>0.35369087332135835</v>
          </cell>
          <cell r="CW26">
            <v>0.16850568813617314</v>
          </cell>
          <cell r="CX26">
            <v>5.3887605850654358E-2</v>
          </cell>
          <cell r="CY26">
            <v>8.767427936019161E-3</v>
          </cell>
          <cell r="CZ26">
            <v>100</v>
          </cell>
          <cell r="DA26">
            <v>99.991232572063993</v>
          </cell>
        </row>
        <row r="27">
          <cell r="B27" t="str">
            <v>BOL</v>
          </cell>
          <cell r="C27" t="str">
            <v>Latin America &amp; Caribbean</v>
          </cell>
          <cell r="D27" t="str">
            <v>Lower middle income</v>
          </cell>
          <cell r="E27" t="str">
            <v>IBRD</v>
          </cell>
          <cell r="F27" t="str">
            <v>HIPC</v>
          </cell>
          <cell r="G27">
            <v>0</v>
          </cell>
          <cell r="H27">
            <v>68</v>
          </cell>
          <cell r="I27">
            <v>11673</v>
          </cell>
          <cell r="J27">
            <v>11832.9</v>
          </cell>
          <cell r="K27">
            <v>11992.6</v>
          </cell>
          <cell r="L27">
            <v>12152</v>
          </cell>
          <cell r="M27">
            <v>12310.7</v>
          </cell>
          <cell r="N27">
            <v>12468.5</v>
          </cell>
          <cell r="O27">
            <v>12625.3</v>
          </cell>
          <cell r="P27">
            <v>12781.2</v>
          </cell>
          <cell r="Q27">
            <v>12935.8</v>
          </cell>
          <cell r="R27">
            <v>13088.9</v>
          </cell>
          <cell r="S27">
            <v>13240.4</v>
          </cell>
          <cell r="T27">
            <v>1185.5</v>
          </cell>
          <cell r="U27">
            <v>1179.0899999999999</v>
          </cell>
          <cell r="V27">
            <v>1161.01</v>
          </cell>
          <cell r="W27">
            <v>1136.68</v>
          </cell>
          <cell r="X27">
            <v>1065.19</v>
          </cell>
          <cell r="Y27">
            <v>974.34500000000003</v>
          </cell>
          <cell r="Z27">
            <v>870.94500000000005</v>
          </cell>
          <cell r="AA27">
            <v>768.154</v>
          </cell>
          <cell r="AB27">
            <v>667.88499999999999</v>
          </cell>
          <cell r="AC27">
            <v>570.45799999999997</v>
          </cell>
          <cell r="AD27">
            <v>480.56200000000001</v>
          </cell>
          <cell r="AE27">
            <v>403.03</v>
          </cell>
          <cell r="AF27">
            <v>336.19099999999997</v>
          </cell>
          <cell r="AG27">
            <v>279.12700000000001</v>
          </cell>
          <cell r="AH27">
            <v>225.44</v>
          </cell>
          <cell r="AI27">
            <v>166.501</v>
          </cell>
          <cell r="AJ27">
            <v>106.90600000000001</v>
          </cell>
          <cell r="AK27">
            <v>60.027000000000001</v>
          </cell>
          <cell r="AL27">
            <v>26.533000000000001</v>
          </cell>
          <cell r="AM27">
            <v>7.9409999999999998</v>
          </cell>
          <cell r="AN27">
            <v>1.512</v>
          </cell>
          <cell r="AO27">
            <v>1209.31</v>
          </cell>
          <cell r="AP27">
            <v>1189.83</v>
          </cell>
          <cell r="AQ27">
            <v>1162.24</v>
          </cell>
          <cell r="AR27">
            <v>1157.58</v>
          </cell>
          <cell r="AS27">
            <v>1129.6600000000001</v>
          </cell>
          <cell r="AT27">
            <v>1096.6300000000001</v>
          </cell>
          <cell r="AU27">
            <v>1025.67</v>
          </cell>
          <cell r="AV27">
            <v>937.93200000000002</v>
          </cell>
          <cell r="AW27">
            <v>835.79399999999998</v>
          </cell>
          <cell r="AX27">
            <v>732.52</v>
          </cell>
          <cell r="AY27">
            <v>630.58399999999995</v>
          </cell>
          <cell r="AZ27">
            <v>531.47</v>
          </cell>
          <cell r="BA27">
            <v>438.226</v>
          </cell>
          <cell r="BB27">
            <v>355.012</v>
          </cell>
          <cell r="BC27">
            <v>282.10700000000003</v>
          </cell>
          <cell r="BD27">
            <v>217.023</v>
          </cell>
          <cell r="BE27">
            <v>154.24</v>
          </cell>
          <cell r="BF27">
            <v>92.028000000000006</v>
          </cell>
          <cell r="BG27">
            <v>42.582999999999998</v>
          </cell>
          <cell r="BH27">
            <v>15.602</v>
          </cell>
          <cell r="BI27">
            <v>4.3540000000000001</v>
          </cell>
          <cell r="BJ27">
            <v>10.155915360233015</v>
          </cell>
          <cell r="BK27">
            <v>10.101002313030069</v>
          </cell>
          <cell r="BL27">
            <v>9.9461149661612271</v>
          </cell>
          <cell r="BM27">
            <v>9.7376852565750038</v>
          </cell>
          <cell r="BN27">
            <v>9.1252462948685</v>
          </cell>
          <cell r="BO27">
            <v>8.3469973442988099</v>
          </cell>
          <cell r="BP27">
            <v>7.4611924955024413</v>
          </cell>
          <cell r="BQ27">
            <v>6.5806048145292557</v>
          </cell>
          <cell r="BR27">
            <v>5.7216225477597877</v>
          </cell>
          <cell r="BS27">
            <v>4.8869870641651669</v>
          </cell>
          <cell r="BT27">
            <v>4.116867985950484</v>
          </cell>
          <cell r="BU27">
            <v>3.4526685513578341</v>
          </cell>
          <cell r="BV27">
            <v>2.8800736742910988</v>
          </cell>
          <cell r="BW27">
            <v>2.3912190525143493</v>
          </cell>
          <cell r="BX27">
            <v>1.9312944401610552</v>
          </cell>
          <cell r="BY27">
            <v>1.4263771095690911</v>
          </cell>
          <cell r="BZ27">
            <v>0.91583997258631034</v>
          </cell>
          <cell r="CA27">
            <v>0.51423798509380625</v>
          </cell>
          <cell r="CB27">
            <v>0.22730232159684743</v>
          </cell>
          <cell r="CC27">
            <v>6.8028784374196863E-2</v>
          </cell>
          <cell r="CD27">
            <v>1.2952968388589052E-2</v>
          </cell>
          <cell r="CE27">
            <v>9.1334853931905382</v>
          </cell>
          <cell r="CF27">
            <v>8.9863599287030596</v>
          </cell>
          <cell r="CG27">
            <v>8.7779825382918943</v>
          </cell>
          <cell r="CH27">
            <v>8.7427872269719948</v>
          </cell>
          <cell r="CI27">
            <v>8.5319174647291636</v>
          </cell>
          <cell r="CJ27">
            <v>8.2824537023050677</v>
          </cell>
          <cell r="CK27">
            <v>7.7465182320775821</v>
          </cell>
          <cell r="CL27">
            <v>7.0838645358146284</v>
          </cell>
          <cell r="CM27">
            <v>6.3124527959880368</v>
          </cell>
          <cell r="CN27">
            <v>5.5324612549469805</v>
          </cell>
          <cell r="CO27">
            <v>4.7625751487870449</v>
          </cell>
          <cell r="CP27">
            <v>4.014002598108819</v>
          </cell>
          <cell r="CQ27">
            <v>3.3097640554666028</v>
          </cell>
          <cell r="CR27">
            <v>2.6812785112232262</v>
          </cell>
          <cell r="CS27">
            <v>2.130653152472735</v>
          </cell>
          <cell r="CT27">
            <v>1.6390970061327452</v>
          </cell>
          <cell r="CU27">
            <v>1.1649194888371954</v>
          </cell>
          <cell r="CV27">
            <v>0.69505453007462026</v>
          </cell>
          <cell r="CW27">
            <v>0.32161415062989035</v>
          </cell>
          <cell r="CX27">
            <v>0.11783631914443674</v>
          </cell>
          <cell r="CY27">
            <v>3.2884202894172383E-2</v>
          </cell>
          <cell r="CZ27">
            <v>100.00023130300693</v>
          </cell>
          <cell r="DA27">
            <v>99.967078033896243</v>
          </cell>
        </row>
        <row r="28">
          <cell r="B28" t="str">
            <v>BRA</v>
          </cell>
          <cell r="C28" t="str">
            <v>Latin America &amp; Caribbean</v>
          </cell>
          <cell r="D28" t="str">
            <v>Upper middle income</v>
          </cell>
          <cell r="E28" t="str">
            <v>IBRD</v>
          </cell>
          <cell r="G28">
            <v>0</v>
          </cell>
          <cell r="H28">
            <v>76</v>
          </cell>
          <cell r="I28">
            <v>212559</v>
          </cell>
          <cell r="J28">
            <v>213993</v>
          </cell>
          <cell r="K28">
            <v>215354</v>
          </cell>
          <cell r="L28">
            <v>216642</v>
          </cell>
          <cell r="M28">
            <v>217863</v>
          </cell>
          <cell r="N28">
            <v>219021</v>
          </cell>
          <cell r="O28">
            <v>220115</v>
          </cell>
          <cell r="P28">
            <v>221143</v>
          </cell>
          <cell r="Q28">
            <v>222107</v>
          </cell>
          <cell r="R28">
            <v>223009</v>
          </cell>
          <cell r="S28">
            <v>223852</v>
          </cell>
          <cell r="T28">
            <v>14475.1</v>
          </cell>
          <cell r="U28">
            <v>14601.8</v>
          </cell>
          <cell r="V28">
            <v>14942.4</v>
          </cell>
          <cell r="W28">
            <v>16218</v>
          </cell>
          <cell r="X28">
            <v>17152</v>
          </cell>
          <cell r="Y28">
            <v>16952.599999999999</v>
          </cell>
          <cell r="Z28">
            <v>17147.900000000001</v>
          </cell>
          <cell r="AA28">
            <v>17328.900000000001</v>
          </cell>
          <cell r="AB28">
            <v>15661.3</v>
          </cell>
          <cell r="AC28">
            <v>13800.7</v>
          </cell>
          <cell r="AD28">
            <v>12822.9</v>
          </cell>
          <cell r="AE28">
            <v>11598.3</v>
          </cell>
          <cell r="AF28">
            <v>9468.16</v>
          </cell>
          <cell r="AG28">
            <v>7428.7</v>
          </cell>
          <cell r="AH28">
            <v>5309.42</v>
          </cell>
          <cell r="AI28">
            <v>3492.13</v>
          </cell>
          <cell r="AJ28">
            <v>2317.21</v>
          </cell>
          <cell r="AK28">
            <v>1175.24</v>
          </cell>
          <cell r="AL28">
            <v>510.827</v>
          </cell>
          <cell r="AM28">
            <v>134.602</v>
          </cell>
          <cell r="AN28">
            <v>21.15</v>
          </cell>
          <cell r="AO28">
            <v>12796.4</v>
          </cell>
          <cell r="AP28">
            <v>13636.2</v>
          </cell>
          <cell r="AQ28">
            <v>14437</v>
          </cell>
          <cell r="AR28">
            <v>14552.1</v>
          </cell>
          <cell r="AS28">
            <v>14822.7</v>
          </cell>
          <cell r="AT28">
            <v>16013.1</v>
          </cell>
          <cell r="AU28">
            <v>16909.7</v>
          </cell>
          <cell r="AV28">
            <v>16678.400000000001</v>
          </cell>
          <cell r="AW28">
            <v>16797</v>
          </cell>
          <cell r="AX28">
            <v>16856.599999999999</v>
          </cell>
          <cell r="AY28">
            <v>15060.7</v>
          </cell>
          <cell r="AZ28">
            <v>13050.2</v>
          </cell>
          <cell r="BA28">
            <v>11828.9</v>
          </cell>
          <cell r="BB28">
            <v>10284.799999999999</v>
          </cell>
          <cell r="BC28">
            <v>7914.29</v>
          </cell>
          <cell r="BD28">
            <v>5676.17</v>
          </cell>
          <cell r="BE28">
            <v>3502.39</v>
          </cell>
          <cell r="BF28">
            <v>1831.45</v>
          </cell>
          <cell r="BG28">
            <v>872.37400000000002</v>
          </cell>
          <cell r="BH28">
            <v>272.26400000000001</v>
          </cell>
          <cell r="BI28">
            <v>59.292999999999999</v>
          </cell>
          <cell r="BJ28">
            <v>6.8099210101665895</v>
          </cell>
          <cell r="BK28">
            <v>6.8695279898757526</v>
          </cell>
          <cell r="BL28">
            <v>7.0297658532454506</v>
          </cell>
          <cell r="BM28">
            <v>7.6298815858185254</v>
          </cell>
          <cell r="BN28">
            <v>8.0692889974077779</v>
          </cell>
          <cell r="BO28">
            <v>7.9754797491519991</v>
          </cell>
          <cell r="BP28">
            <v>8.067360121189882</v>
          </cell>
          <cell r="BQ28">
            <v>8.1525129493458284</v>
          </cell>
          <cell r="BR28">
            <v>7.367977832037222</v>
          </cell>
          <cell r="BS28">
            <v>6.4926443952032145</v>
          </cell>
          <cell r="BT28">
            <v>6.0326309401154496</v>
          </cell>
          <cell r="BU28">
            <v>5.45650854586256</v>
          </cell>
          <cell r="BV28">
            <v>4.4543679637183082</v>
          </cell>
          <cell r="BW28">
            <v>3.4948884780225722</v>
          </cell>
          <cell r="BX28">
            <v>2.4978570655676777</v>
          </cell>
          <cell r="BY28">
            <v>1.6428991480012609</v>
          </cell>
          <cell r="BZ28">
            <v>1.090149088017915</v>
          </cell>
          <cell r="CA28">
            <v>0.5529006064198646</v>
          </cell>
          <cell r="CB28">
            <v>0.24032245164871871</v>
          </cell>
          <cell r="CC28">
            <v>6.3324535775949264E-2</v>
          </cell>
          <cell r="CD28">
            <v>9.9501785386645579E-3</v>
          </cell>
          <cell r="CE28">
            <v>5.7164555152511483</v>
          </cell>
          <cell r="CF28">
            <v>6.0916141021746517</v>
          </cell>
          <cell r="CG28">
            <v>6.44935046369923</v>
          </cell>
          <cell r="CH28">
            <v>6.5007683648124663</v>
          </cell>
          <cell r="CI28">
            <v>6.6216518056573097</v>
          </cell>
          <cell r="CJ28">
            <v>7.1534317316798601</v>
          </cell>
          <cell r="CK28">
            <v>7.5539642263638473</v>
          </cell>
          <cell r="CL28">
            <v>7.4506370280363816</v>
          </cell>
          <cell r="CM28">
            <v>7.5036184621982391</v>
          </cell>
          <cell r="CN28">
            <v>7.5302431963976195</v>
          </cell>
          <cell r="CO28">
            <v>6.7279720529635654</v>
          </cell>
          <cell r="CP28">
            <v>5.8298339974626092</v>
          </cell>
          <cell r="CQ28">
            <v>5.2842503082393719</v>
          </cell>
          <cell r="CR28">
            <v>4.5944641995604236</v>
          </cell>
          <cell r="CS28">
            <v>3.5355011346782699</v>
          </cell>
          <cell r="CT28">
            <v>2.5356798241695406</v>
          </cell>
          <cell r="CU28">
            <v>1.564600718331755</v>
          </cell>
          <cell r="CV28">
            <v>0.8181521719707664</v>
          </cell>
          <cell r="CW28">
            <v>0.38971016564515842</v>
          </cell>
          <cell r="CX28">
            <v>0.12162678912853137</v>
          </cell>
          <cell r="CY28">
            <v>2.6487590014831225E-2</v>
          </cell>
          <cell r="CZ28">
            <v>100.00015948513118</v>
          </cell>
          <cell r="DA28">
            <v>99.973526258420748</v>
          </cell>
        </row>
        <row r="29">
          <cell r="B29" t="str">
            <v>BRB</v>
          </cell>
          <cell r="C29" t="str">
            <v>Latin America &amp; Caribbean</v>
          </cell>
          <cell r="D29" t="str">
            <v>High income</v>
          </cell>
          <cell r="G29">
            <v>0</v>
          </cell>
          <cell r="H29">
            <v>52</v>
          </cell>
          <cell r="I29">
            <v>287.37099999999998</v>
          </cell>
          <cell r="J29">
            <v>287.70800000000003</v>
          </cell>
          <cell r="K29">
            <v>288.02300000000002</v>
          </cell>
          <cell r="L29">
            <v>288.31400000000002</v>
          </cell>
          <cell r="M29">
            <v>288.56700000000001</v>
          </cell>
          <cell r="N29">
            <v>288.80099999999999</v>
          </cell>
          <cell r="O29">
            <v>288.99900000000002</v>
          </cell>
          <cell r="P29">
            <v>289.16699999999997</v>
          </cell>
          <cell r="Q29">
            <v>289.30599999999998</v>
          </cell>
          <cell r="R29">
            <v>289.39499999999998</v>
          </cell>
          <cell r="S29">
            <v>289.447</v>
          </cell>
          <cell r="T29">
            <v>15.12</v>
          </cell>
          <cell r="U29">
            <v>15.497999999999999</v>
          </cell>
          <cell r="V29">
            <v>17.547000000000001</v>
          </cell>
          <cell r="W29">
            <v>18.965</v>
          </cell>
          <cell r="X29">
            <v>18.768999999999998</v>
          </cell>
          <cell r="Y29">
            <v>18.809000000000001</v>
          </cell>
          <cell r="Z29">
            <v>18.100999999999999</v>
          </cell>
          <cell r="AA29">
            <v>19.023</v>
          </cell>
          <cell r="AB29">
            <v>18.803999999999998</v>
          </cell>
          <cell r="AC29">
            <v>20.263000000000002</v>
          </cell>
          <cell r="AD29">
            <v>19.635000000000002</v>
          </cell>
          <cell r="AE29">
            <v>20.300999999999998</v>
          </cell>
          <cell r="AF29">
            <v>18.54</v>
          </cell>
          <cell r="AG29">
            <v>15.032999999999999</v>
          </cell>
          <cell r="AH29">
            <v>11.888999999999999</v>
          </cell>
          <cell r="AI29">
            <v>8.2650000000000006</v>
          </cell>
          <cell r="AJ29">
            <v>6.109</v>
          </cell>
          <cell r="AK29">
            <v>3.77</v>
          </cell>
          <cell r="AL29">
            <v>2.0169999999999999</v>
          </cell>
          <cell r="AM29">
            <v>0.70899999999999996</v>
          </cell>
          <cell r="AN29">
            <v>0.20399999999999999</v>
          </cell>
          <cell r="AO29">
            <v>14.975</v>
          </cell>
          <cell r="AP29">
            <v>15.000999999999999</v>
          </cell>
          <cell r="AQ29">
            <v>15.06</v>
          </cell>
          <cell r="AR29">
            <v>15.401</v>
          </cell>
          <cell r="AS29">
            <v>17.338999999999999</v>
          </cell>
          <cell r="AT29">
            <v>18.686</v>
          </cell>
          <cell r="AU29">
            <v>18.5</v>
          </cell>
          <cell r="AV29">
            <v>18.550999999999998</v>
          </cell>
          <cell r="AW29">
            <v>17.812000000000001</v>
          </cell>
          <cell r="AX29">
            <v>18.617000000000001</v>
          </cell>
          <cell r="AY29">
            <v>18.202000000000002</v>
          </cell>
          <cell r="AZ29">
            <v>19.251999999999999</v>
          </cell>
          <cell r="BA29">
            <v>18.212</v>
          </cell>
          <cell r="BB29">
            <v>18.428999999999998</v>
          </cell>
          <cell r="BC29">
            <v>16.364999999999998</v>
          </cell>
          <cell r="BD29">
            <v>12.436</v>
          </cell>
          <cell r="BE29">
            <v>8.5519999999999996</v>
          </cell>
          <cell r="BF29">
            <v>4.6529999999999996</v>
          </cell>
          <cell r="BG29">
            <v>2.3319999999999999</v>
          </cell>
          <cell r="BH29">
            <v>0.82599999999999996</v>
          </cell>
          <cell r="BI29">
            <v>0.246</v>
          </cell>
          <cell r="BJ29">
            <v>5.2614912430273062</v>
          </cell>
          <cell r="BK29">
            <v>5.3930285241029896</v>
          </cell>
          <cell r="BL29">
            <v>6.1060441032672061</v>
          </cell>
          <cell r="BM29">
            <v>6.5994828984135498</v>
          </cell>
          <cell r="BN29">
            <v>6.5312783823002318</v>
          </cell>
          <cell r="BO29">
            <v>6.5451976713029509</v>
          </cell>
          <cell r="BP29">
            <v>6.2988262559548449</v>
          </cell>
          <cell r="BQ29">
            <v>6.6196658674674902</v>
          </cell>
          <cell r="BR29">
            <v>6.5434577601776098</v>
          </cell>
          <cell r="BS29">
            <v>7.0511638265517398</v>
          </cell>
          <cell r="BT29">
            <v>6.832630989209072</v>
          </cell>
          <cell r="BU29">
            <v>7.0643871511043219</v>
          </cell>
          <cell r="BV29">
            <v>6.4515904527596728</v>
          </cell>
          <cell r="BW29">
            <v>5.2312167894463952</v>
          </cell>
          <cell r="BX29">
            <v>4.1371606738327804</v>
          </cell>
          <cell r="BY29">
            <v>2.8760730901865537</v>
          </cell>
          <cell r="BZ29">
            <v>2.125823412940067</v>
          </cell>
          <cell r="CA29">
            <v>1.3118929885061472</v>
          </cell>
          <cell r="CB29">
            <v>0.70188014796204212</v>
          </cell>
          <cell r="CC29">
            <v>0.24671939757317196</v>
          </cell>
          <cell r="CD29">
            <v>7.0988373913860481E-2</v>
          </cell>
          <cell r="CE29">
            <v>5.1736587354507044</v>
          </cell>
          <cell r="CF29">
            <v>5.1826413816691828</v>
          </cell>
          <cell r="CG29">
            <v>5.2030250788572694</v>
          </cell>
          <cell r="CH29">
            <v>5.3208359388765478</v>
          </cell>
          <cell r="CI29">
            <v>5.9903885685462273</v>
          </cell>
          <cell r="CJ29">
            <v>6.4557587399420271</v>
          </cell>
          <cell r="CK29">
            <v>6.3914982708406027</v>
          </cell>
          <cell r="CL29">
            <v>6.4091180768845417</v>
          </cell>
          <cell r="CM29">
            <v>6.1538036324439371</v>
          </cell>
          <cell r="CN29">
            <v>6.4319201788237574</v>
          </cell>
          <cell r="CO29">
            <v>6.2885433257211174</v>
          </cell>
          <cell r="CP29">
            <v>6.6513040383904469</v>
          </cell>
          <cell r="CQ29">
            <v>6.2919981896513004</v>
          </cell>
          <cell r="CR29">
            <v>6.3669687369362942</v>
          </cell>
          <cell r="CS29">
            <v>5.6538848217462947</v>
          </cell>
          <cell r="CT29">
            <v>4.2964687835769588</v>
          </cell>
          <cell r="CU29">
            <v>2.9545996330934505</v>
          </cell>
          <cell r="CV29">
            <v>1.6075481867146659</v>
          </cell>
          <cell r="CW29">
            <v>0.80567426851893431</v>
          </cell>
          <cell r="CX29">
            <v>0.28537176063320746</v>
          </cell>
          <cell r="CY29">
            <v>8.4989652682529102E-2</v>
          </cell>
          <cell r="CZ29">
            <v>100.00000000000001</v>
          </cell>
          <cell r="DA29">
            <v>99.915010347317462</v>
          </cell>
        </row>
        <row r="30">
          <cell r="B30" t="str">
            <v>BRN</v>
          </cell>
          <cell r="C30" t="str">
            <v>East Asia &amp; Pacific</v>
          </cell>
          <cell r="D30" t="str">
            <v>High income</v>
          </cell>
          <cell r="G30">
            <v>0</v>
          </cell>
          <cell r="H30">
            <v>96</v>
          </cell>
          <cell r="I30">
            <v>437.483</v>
          </cell>
          <cell r="J30">
            <v>441.53199999999998</v>
          </cell>
          <cell r="K30">
            <v>445.42899999999997</v>
          </cell>
          <cell r="L30">
            <v>449.16899999999998</v>
          </cell>
          <cell r="M30">
            <v>452.767</v>
          </cell>
          <cell r="N30">
            <v>456.18200000000002</v>
          </cell>
          <cell r="O30">
            <v>459.46499999999997</v>
          </cell>
          <cell r="P30">
            <v>462.584</v>
          </cell>
          <cell r="Q30">
            <v>465.548</v>
          </cell>
          <cell r="R30">
            <v>468.35199999999998</v>
          </cell>
          <cell r="S30">
            <v>470.98700000000002</v>
          </cell>
          <cell r="T30">
            <v>31.672000000000001</v>
          </cell>
          <cell r="U30">
            <v>34.683</v>
          </cell>
          <cell r="V30">
            <v>31.309000000000001</v>
          </cell>
          <cell r="W30">
            <v>33.774999999999999</v>
          </cell>
          <cell r="X30">
            <v>35.200000000000003</v>
          </cell>
          <cell r="Y30">
            <v>34.496000000000002</v>
          </cell>
          <cell r="Z30">
            <v>38.140999999999998</v>
          </cell>
          <cell r="AA30">
            <v>38.427</v>
          </cell>
          <cell r="AB30">
            <v>35.64</v>
          </cell>
          <cell r="AC30">
            <v>32.363</v>
          </cell>
          <cell r="AD30">
            <v>27.992000000000001</v>
          </cell>
          <cell r="AE30">
            <v>22.228999999999999</v>
          </cell>
          <cell r="AF30">
            <v>17.186</v>
          </cell>
          <cell r="AG30">
            <v>11.327</v>
          </cell>
          <cell r="AH30">
            <v>6.2110000000000003</v>
          </cell>
          <cell r="AI30">
            <v>3.3580000000000001</v>
          </cell>
          <cell r="AJ30">
            <v>2.1749999999999998</v>
          </cell>
          <cell r="AK30">
            <v>0.95799999999999996</v>
          </cell>
          <cell r="AL30">
            <v>0.28100000000000003</v>
          </cell>
          <cell r="AM30">
            <v>5.5E-2</v>
          </cell>
          <cell r="AN30">
            <v>5.0000000000000001E-3</v>
          </cell>
          <cell r="AO30">
            <v>27.713000000000001</v>
          </cell>
          <cell r="AP30">
            <v>29.494</v>
          </cell>
          <cell r="AQ30">
            <v>31.582999999999998</v>
          </cell>
          <cell r="AR30">
            <v>34.578000000000003</v>
          </cell>
          <cell r="AS30">
            <v>31.132000000000001</v>
          </cell>
          <cell r="AT30">
            <v>33.503999999999998</v>
          </cell>
          <cell r="AU30">
            <v>34.878</v>
          </cell>
          <cell r="AV30">
            <v>34.118000000000002</v>
          </cell>
          <cell r="AW30">
            <v>37.57</v>
          </cell>
          <cell r="AX30">
            <v>37.567999999999998</v>
          </cell>
          <cell r="AY30">
            <v>34.414000000000001</v>
          </cell>
          <cell r="AZ30">
            <v>30.638000000000002</v>
          </cell>
          <cell r="BA30">
            <v>25.742000000000001</v>
          </cell>
          <cell r="BB30">
            <v>19.614000000000001</v>
          </cell>
          <cell r="BC30">
            <v>14.246</v>
          </cell>
          <cell r="BD30">
            <v>8.3949999999999996</v>
          </cell>
          <cell r="BE30">
            <v>3.7490000000000001</v>
          </cell>
          <cell r="BF30">
            <v>1.4219999999999999</v>
          </cell>
          <cell r="BG30">
            <v>0.52100000000000002</v>
          </cell>
          <cell r="BH30">
            <v>9.8000000000000004E-2</v>
          </cell>
          <cell r="BI30">
            <v>0.01</v>
          </cell>
          <cell r="BJ30">
            <v>7.2395955957145759</v>
          </cell>
          <cell r="BK30">
            <v>7.9278509107782478</v>
          </cell>
          <cell r="BL30">
            <v>7.1566209429852128</v>
          </cell>
          <cell r="BM30">
            <v>7.7202999887995647</v>
          </cell>
          <cell r="BN30">
            <v>8.0460269313321895</v>
          </cell>
          <cell r="BO30">
            <v>7.8851063927055458</v>
          </cell>
          <cell r="BP30">
            <v>8.7182816246574149</v>
          </cell>
          <cell r="BQ30">
            <v>8.7836555934744887</v>
          </cell>
          <cell r="BR30">
            <v>8.1466022679738419</v>
          </cell>
          <cell r="BS30">
            <v>7.3975445903040793</v>
          </cell>
          <cell r="BT30">
            <v>6.3984200528934849</v>
          </cell>
          <cell r="BU30">
            <v>5.0811117231983873</v>
          </cell>
          <cell r="BV30">
            <v>3.9283812170987211</v>
          </cell>
          <cell r="BW30">
            <v>2.5891291775909009</v>
          </cell>
          <cell r="BX30">
            <v>1.4197123088211427</v>
          </cell>
          <cell r="BY30">
            <v>0.76757268282424695</v>
          </cell>
          <cell r="BZ30">
            <v>0.49716217544453151</v>
          </cell>
          <cell r="CA30">
            <v>0.21897993750614309</v>
          </cell>
          <cell r="CB30">
            <v>6.4231067264327993E-2</v>
          </cell>
          <cell r="CC30">
            <v>1.2571917080206546E-2</v>
          </cell>
          <cell r="CD30">
            <v>1.1429015527460497E-3</v>
          </cell>
          <cell r="CE30">
            <v>5.8840265230250512</v>
          </cell>
          <cell r="CF30">
            <v>6.2621685948869077</v>
          </cell>
          <cell r="CG30">
            <v>6.7057052530112298</v>
          </cell>
          <cell r="CH30">
            <v>7.3416039083881293</v>
          </cell>
          <cell r="CI30">
            <v>6.6099488945554761</v>
          </cell>
          <cell r="CJ30">
            <v>7.1135721368105695</v>
          </cell>
          <cell r="CK30">
            <v>7.4052999339684522</v>
          </cell>
          <cell r="CL30">
            <v>7.2439366691649658</v>
          </cell>
          <cell r="CM30">
            <v>7.9768656035092258</v>
          </cell>
          <cell r="CN30">
            <v>7.9764409633386908</v>
          </cell>
          <cell r="CO30">
            <v>7.3067834144042196</v>
          </cell>
          <cell r="CP30">
            <v>6.5050627724332095</v>
          </cell>
          <cell r="CQ30">
            <v>5.4655436349623239</v>
          </cell>
          <cell r="CR30">
            <v>4.1644461524415748</v>
          </cell>
          <cell r="CS30">
            <v>3.024711934724313</v>
          </cell>
          <cell r="CT30">
            <v>1.7824271158227294</v>
          </cell>
          <cell r="CU30">
            <v>0.79598799966878064</v>
          </cell>
          <cell r="CV30">
            <v>0.30191916125073515</v>
          </cell>
          <cell r="CW30">
            <v>0.11061876442449579</v>
          </cell>
          <cell r="CX30">
            <v>2.0807368356239132E-2</v>
          </cell>
          <cell r="CY30">
            <v>2.1232008526774621E-3</v>
          </cell>
          <cell r="CZ30">
            <v>100.00000000000001</v>
          </cell>
          <cell r="DA30">
            <v>99.997876799147335</v>
          </cell>
        </row>
        <row r="31">
          <cell r="B31" t="str">
            <v>BTN</v>
          </cell>
          <cell r="C31" t="str">
            <v>South Asia</v>
          </cell>
          <cell r="D31" t="str">
            <v>Lower middle income</v>
          </cell>
          <cell r="E31" t="str">
            <v>IDA</v>
          </cell>
          <cell r="G31">
            <v>0</v>
          </cell>
          <cell r="H31">
            <v>64</v>
          </cell>
          <cell r="I31">
            <v>771.61199999999997</v>
          </cell>
          <cell r="J31">
            <v>779.9</v>
          </cell>
          <cell r="K31">
            <v>787.94399999999996</v>
          </cell>
          <cell r="L31">
            <v>795.73099999999999</v>
          </cell>
          <cell r="M31">
            <v>803.26800000000003</v>
          </cell>
          <cell r="N31">
            <v>810.54399999999998</v>
          </cell>
          <cell r="O31">
            <v>817.55100000000004</v>
          </cell>
          <cell r="P31">
            <v>824.27599999999995</v>
          </cell>
          <cell r="Q31">
            <v>830.69600000000003</v>
          </cell>
          <cell r="R31">
            <v>836.83799999999997</v>
          </cell>
          <cell r="S31">
            <v>842.66800000000001</v>
          </cell>
          <cell r="T31">
            <v>63.854999999999997</v>
          </cell>
          <cell r="U31">
            <v>61.972999999999999</v>
          </cell>
          <cell r="V31">
            <v>66.263000000000005</v>
          </cell>
          <cell r="W31">
            <v>69.73</v>
          </cell>
          <cell r="X31">
            <v>74.308000000000007</v>
          </cell>
          <cell r="Y31">
            <v>79.006</v>
          </cell>
          <cell r="Z31">
            <v>75.718000000000004</v>
          </cell>
          <cell r="AA31">
            <v>62.963000000000001</v>
          </cell>
          <cell r="AB31">
            <v>50.274999999999999</v>
          </cell>
          <cell r="AC31">
            <v>39.329000000000001</v>
          </cell>
          <cell r="AD31">
            <v>33.389000000000003</v>
          </cell>
          <cell r="AE31">
            <v>25.625</v>
          </cell>
          <cell r="AF31">
            <v>21.303000000000001</v>
          </cell>
          <cell r="AG31">
            <v>15.605</v>
          </cell>
          <cell r="AH31">
            <v>12.754</v>
          </cell>
          <cell r="AI31">
            <v>9.48</v>
          </cell>
          <cell r="AJ31">
            <v>5.681</v>
          </cell>
          <cell r="AK31">
            <v>2.8559999999999999</v>
          </cell>
          <cell r="AL31">
            <v>1.1160000000000001</v>
          </cell>
          <cell r="AM31">
            <v>0.317</v>
          </cell>
          <cell r="AN31">
            <v>6.6000000000000003E-2</v>
          </cell>
          <cell r="AO31">
            <v>56.408000000000001</v>
          </cell>
          <cell r="AP31">
            <v>60.823</v>
          </cell>
          <cell r="AQ31">
            <v>63.408000000000001</v>
          </cell>
          <cell r="AR31">
            <v>61.223999999999997</v>
          </cell>
          <cell r="AS31">
            <v>65.13</v>
          </cell>
          <cell r="AT31">
            <v>69.831000000000003</v>
          </cell>
          <cell r="AU31">
            <v>75.143000000000001</v>
          </cell>
          <cell r="AV31">
            <v>78.007000000000005</v>
          </cell>
          <cell r="AW31">
            <v>73.129000000000005</v>
          </cell>
          <cell r="AX31">
            <v>60.125</v>
          </cell>
          <cell r="AY31">
            <v>47.317</v>
          </cell>
          <cell r="AZ31">
            <v>36.276000000000003</v>
          </cell>
          <cell r="BA31">
            <v>29.920999999999999</v>
          </cell>
          <cell r="BB31">
            <v>22.012</v>
          </cell>
          <cell r="BC31">
            <v>17.146000000000001</v>
          </cell>
          <cell r="BD31">
            <v>11.351000000000001</v>
          </cell>
          <cell r="BE31">
            <v>7.9160000000000004</v>
          </cell>
          <cell r="BF31">
            <v>4.6520000000000001</v>
          </cell>
          <cell r="BG31">
            <v>2.0230000000000001</v>
          </cell>
          <cell r="BH31">
            <v>0.66100000000000003</v>
          </cell>
          <cell r="BI31">
            <v>0.16500000000000001</v>
          </cell>
          <cell r="BJ31">
            <v>8.2755322623287348</v>
          </cell>
          <cell r="BK31">
            <v>8.0316272945470004</v>
          </cell>
          <cell r="BL31">
            <v>8.587606206228001</v>
          </cell>
          <cell r="BM31">
            <v>9.03692529405971</v>
          </cell>
          <cell r="BN31">
            <v>9.6302286641472676</v>
          </cell>
          <cell r="BO31">
            <v>10.239083891904222</v>
          </cell>
          <cell r="BP31">
            <v>9.8129629917626993</v>
          </cell>
          <cell r="BQ31">
            <v>8.1599301203195385</v>
          </cell>
          <cell r="BR31">
            <v>6.5155803694084593</v>
          </cell>
          <cell r="BS31">
            <v>5.0969917523314834</v>
          </cell>
          <cell r="BT31">
            <v>4.3271747976962516</v>
          </cell>
          <cell r="BU31">
            <v>3.3209696064861611</v>
          </cell>
          <cell r="BV31">
            <v>2.7608435327599885</v>
          </cell>
          <cell r="BW31">
            <v>2.0223894910913778</v>
          </cell>
          <cell r="BX31">
            <v>1.652903272629249</v>
          </cell>
          <cell r="BY31">
            <v>1.2285967558824904</v>
          </cell>
          <cell r="BZ31">
            <v>0.73625086183211252</v>
          </cell>
          <cell r="CA31">
            <v>0.37013421253168693</v>
          </cell>
          <cell r="CB31">
            <v>0.14463227632540709</v>
          </cell>
          <cell r="CC31">
            <v>4.1082824009994662E-2</v>
          </cell>
          <cell r="CD31">
            <v>8.5535217181692356E-3</v>
          </cell>
          <cell r="CE31">
            <v>6.6939767500367884</v>
          </cell>
          <cell r="CF31">
            <v>7.2179078830571468</v>
          </cell>
          <cell r="CG31">
            <v>7.5246716381777876</v>
          </cell>
          <cell r="CH31">
            <v>7.2654948330777955</v>
          </cell>
          <cell r="CI31">
            <v>7.7290225806604731</v>
          </cell>
          <cell r="CJ31">
            <v>8.2868935333963076</v>
          </cell>
          <cell r="CK31">
            <v>8.9172722827970201</v>
          </cell>
          <cell r="CL31">
            <v>9.2571451627449974</v>
          </cell>
          <cell r="CM31">
            <v>8.6782694964090243</v>
          </cell>
          <cell r="CN31">
            <v>7.135075735639659</v>
          </cell>
          <cell r="CO31">
            <v>5.6151414317382411</v>
          </cell>
          <cell r="CP31">
            <v>4.304898251743273</v>
          </cell>
          <cell r="CQ31">
            <v>3.5507459640095504</v>
          </cell>
          <cell r="CR31">
            <v>2.6121794111085266</v>
          </cell>
          <cell r="CS31">
            <v>2.0347277931522263</v>
          </cell>
          <cell r="CT31">
            <v>1.3470310964697843</v>
          </cell>
          <cell r="CU31">
            <v>0.93939724778916489</v>
          </cell>
          <cell r="CV31">
            <v>0.55205608851884724</v>
          </cell>
          <cell r="CW31">
            <v>0.24007082267274893</v>
          </cell>
          <cell r="CX31">
            <v>7.8441331580171553E-2</v>
          </cell>
          <cell r="CY31">
            <v>1.9580665220466423E-2</v>
          </cell>
          <cell r="CZ31">
            <v>100</v>
          </cell>
          <cell r="DA31">
            <v>99.980419334779526</v>
          </cell>
        </row>
        <row r="32">
          <cell r="B32" t="str">
            <v>BWA</v>
          </cell>
          <cell r="C32" t="str">
            <v>Sub-Saharan Africa</v>
          </cell>
          <cell r="D32" t="str">
            <v>Upper middle income</v>
          </cell>
          <cell r="E32" t="str">
            <v>IBRD</v>
          </cell>
          <cell r="G32">
            <v>1</v>
          </cell>
          <cell r="H32">
            <v>72</v>
          </cell>
          <cell r="I32">
            <v>2351.63</v>
          </cell>
          <cell r="J32">
            <v>2397.2399999999998</v>
          </cell>
          <cell r="K32">
            <v>2441.15</v>
          </cell>
          <cell r="L32">
            <v>2483.75</v>
          </cell>
          <cell r="M32">
            <v>2525.7600000000002</v>
          </cell>
          <cell r="N32">
            <v>2567.7800000000002</v>
          </cell>
          <cell r="O32">
            <v>2609.71</v>
          </cell>
          <cell r="P32">
            <v>2651.31</v>
          </cell>
          <cell r="Q32">
            <v>2692.57</v>
          </cell>
          <cell r="R32">
            <v>2733.58</v>
          </cell>
          <cell r="S32">
            <v>2774.34</v>
          </cell>
          <cell r="T32">
            <v>271.77499999999998</v>
          </cell>
          <cell r="U32">
            <v>267.23</v>
          </cell>
          <cell r="V32">
            <v>246.52799999999999</v>
          </cell>
          <cell r="W32">
            <v>225.505</v>
          </cell>
          <cell r="X32">
            <v>203.74</v>
          </cell>
          <cell r="Y32">
            <v>198.76900000000001</v>
          </cell>
          <cell r="Z32">
            <v>187.256</v>
          </cell>
          <cell r="AA32">
            <v>178.03299999999999</v>
          </cell>
          <cell r="AB32">
            <v>149.07499999999999</v>
          </cell>
          <cell r="AC32">
            <v>111.94</v>
          </cell>
          <cell r="AD32">
            <v>80.356999999999999</v>
          </cell>
          <cell r="AE32">
            <v>66.225999999999999</v>
          </cell>
          <cell r="AF32">
            <v>59.085000000000001</v>
          </cell>
          <cell r="AG32">
            <v>45.165999999999997</v>
          </cell>
          <cell r="AH32">
            <v>29.545999999999999</v>
          </cell>
          <cell r="AI32">
            <v>19.012</v>
          </cell>
          <cell r="AJ32">
            <v>8.3780000000000001</v>
          </cell>
          <cell r="AK32">
            <v>3.1560000000000001</v>
          </cell>
          <cell r="AL32">
            <v>0.76900000000000002</v>
          </cell>
          <cell r="AM32">
            <v>7.6999999999999999E-2</v>
          </cell>
          <cell r="AN32">
            <v>2E-3</v>
          </cell>
          <cell r="AO32">
            <v>266.80599999999998</v>
          </cell>
          <cell r="AP32">
            <v>265.315</v>
          </cell>
          <cell r="AQ32">
            <v>270.46699999999998</v>
          </cell>
          <cell r="AR32">
            <v>267.238</v>
          </cell>
          <cell r="AS32">
            <v>248.04300000000001</v>
          </cell>
          <cell r="AT32">
            <v>227.911</v>
          </cell>
          <cell r="AU32">
            <v>205.09899999999999</v>
          </cell>
          <cell r="AV32">
            <v>197.24100000000001</v>
          </cell>
          <cell r="AW32">
            <v>182.69499999999999</v>
          </cell>
          <cell r="AX32">
            <v>170.804</v>
          </cell>
          <cell r="AY32">
            <v>140.62700000000001</v>
          </cell>
          <cell r="AZ32">
            <v>103.374</v>
          </cell>
          <cell r="BA32">
            <v>72.019000000000005</v>
          </cell>
          <cell r="BB32">
            <v>56.616999999999997</v>
          </cell>
          <cell r="BC32">
            <v>46.466999999999999</v>
          </cell>
          <cell r="BD32">
            <v>30.632999999999999</v>
          </cell>
          <cell r="BE32">
            <v>15.413</v>
          </cell>
          <cell r="BF32">
            <v>6.2169999999999996</v>
          </cell>
          <cell r="BG32">
            <v>1.2150000000000001</v>
          </cell>
          <cell r="BH32">
            <v>0.13400000000000001</v>
          </cell>
          <cell r="BI32">
            <v>8.9999999999999993E-3</v>
          </cell>
          <cell r="BJ32">
            <v>11.556877570025897</v>
          </cell>
          <cell r="BK32">
            <v>11.363607370207047</v>
          </cell>
          <cell r="BL32">
            <v>10.483281808787947</v>
          </cell>
          <cell r="BM32">
            <v>9.5893061408469862</v>
          </cell>
          <cell r="BN32">
            <v>8.6637778902293316</v>
          </cell>
          <cell r="BO32">
            <v>8.4523925957739934</v>
          </cell>
          <cell r="BP32">
            <v>7.9628172799292409</v>
          </cell>
          <cell r="BQ32">
            <v>7.5706212286796806</v>
          </cell>
          <cell r="BR32">
            <v>6.3392200303619184</v>
          </cell>
          <cell r="BS32">
            <v>4.7601025671555472</v>
          </cell>
          <cell r="BT32">
            <v>3.4170766659721128</v>
          </cell>
          <cell r="BU32">
            <v>2.8161743131359951</v>
          </cell>
          <cell r="BV32">
            <v>2.5125125976450375</v>
          </cell>
          <cell r="BW32">
            <v>1.9206252684308329</v>
          </cell>
          <cell r="BX32">
            <v>1.2564051317596729</v>
          </cell>
          <cell r="BY32">
            <v>0.80846051462177293</v>
          </cell>
          <cell r="BZ32">
            <v>0.35626352785089493</v>
          </cell>
          <cell r="CA32">
            <v>0.13420478561678495</v>
          </cell>
          <cell r="CB32">
            <v>3.2700722477600641E-2</v>
          </cell>
          <cell r="CC32">
            <v>3.2743246173930424E-3</v>
          </cell>
          <cell r="CD32">
            <v>8.5047392659559531E-5</v>
          </cell>
          <cell r="CE32">
            <v>9.6169178975900564</v>
          </cell>
          <cell r="CF32">
            <v>9.5631753858575372</v>
          </cell>
          <cell r="CG32">
            <v>9.7488772104356336</v>
          </cell>
          <cell r="CH32">
            <v>9.6324891685950522</v>
          </cell>
          <cell r="CI32">
            <v>8.9406129025281675</v>
          </cell>
          <cell r="CJ32">
            <v>8.2149628380083186</v>
          </cell>
          <cell r="CK32">
            <v>7.3927132218834029</v>
          </cell>
          <cell r="CL32">
            <v>7.1094746858712341</v>
          </cell>
          <cell r="CM32">
            <v>6.5851698061520931</v>
          </cell>
          <cell r="CN32">
            <v>6.1565633628178231</v>
          </cell>
          <cell r="CO32">
            <v>5.0688452028230131</v>
          </cell>
          <cell r="CP32">
            <v>3.7260753909037825</v>
          </cell>
          <cell r="CQ32">
            <v>2.5958966817333131</v>
          </cell>
          <cell r="CR32">
            <v>2.0407376168746438</v>
          </cell>
          <cell r="CS32">
            <v>1.6748848374748586</v>
          </cell>
          <cell r="CT32">
            <v>1.104154501611194</v>
          </cell>
          <cell r="CU32">
            <v>0.55555555555555558</v>
          </cell>
          <cell r="CV32">
            <v>0.22408933295846936</v>
          </cell>
          <cell r="CW32">
            <v>4.3794199701550643E-2</v>
          </cell>
          <cell r="CX32">
            <v>4.829977580253322E-3</v>
          </cell>
          <cell r="CY32">
            <v>3.2440147927074542E-4</v>
          </cell>
          <cell r="CZ32">
            <v>99.99978738151836</v>
          </cell>
          <cell r="DA32">
            <v>99.99981977695596</v>
          </cell>
        </row>
        <row r="33">
          <cell r="B33" t="str">
            <v>CAF</v>
          </cell>
          <cell r="C33" t="str">
            <v>Sub-Saharan Africa</v>
          </cell>
          <cell r="D33" t="str">
            <v>Low income</v>
          </cell>
          <cell r="E33" t="str">
            <v>IDA</v>
          </cell>
          <cell r="F33" t="str">
            <v>HIPC</v>
          </cell>
          <cell r="G33">
            <v>1</v>
          </cell>
          <cell r="H33">
            <v>140</v>
          </cell>
          <cell r="I33">
            <v>4829.76</v>
          </cell>
          <cell r="J33">
            <v>4919.99</v>
          </cell>
          <cell r="K33">
            <v>5016.68</v>
          </cell>
          <cell r="L33">
            <v>5119.1400000000003</v>
          </cell>
          <cell r="M33">
            <v>5226.57</v>
          </cell>
          <cell r="N33">
            <v>5338.27</v>
          </cell>
          <cell r="O33">
            <v>5453.69</v>
          </cell>
          <cell r="P33">
            <v>5572.38</v>
          </cell>
          <cell r="Q33">
            <v>5693.74</v>
          </cell>
          <cell r="R33">
            <v>5817.2</v>
          </cell>
          <cell r="S33">
            <v>5942.21</v>
          </cell>
          <cell r="T33">
            <v>738.24199999999996</v>
          </cell>
          <cell r="U33">
            <v>697.36699999999996</v>
          </cell>
          <cell r="V33">
            <v>667.35400000000004</v>
          </cell>
          <cell r="W33">
            <v>597.25400000000002</v>
          </cell>
          <cell r="X33">
            <v>482.77100000000002</v>
          </cell>
          <cell r="Y33">
            <v>357.21899999999999</v>
          </cell>
          <cell r="Z33">
            <v>277.12700000000001</v>
          </cell>
          <cell r="AA33">
            <v>224.208</v>
          </cell>
          <cell r="AB33">
            <v>182.94800000000001</v>
          </cell>
          <cell r="AC33">
            <v>156.58099999999999</v>
          </cell>
          <cell r="AD33">
            <v>129.029</v>
          </cell>
          <cell r="AE33">
            <v>103.56699999999999</v>
          </cell>
          <cell r="AF33">
            <v>80.953999999999994</v>
          </cell>
          <cell r="AG33">
            <v>58.106999999999999</v>
          </cell>
          <cell r="AH33">
            <v>37.685000000000002</v>
          </cell>
          <cell r="AI33">
            <v>23.821000000000002</v>
          </cell>
          <cell r="AJ33">
            <v>11.481</v>
          </cell>
          <cell r="AK33">
            <v>3.4910000000000001</v>
          </cell>
          <cell r="AL33">
            <v>0.52300000000000002</v>
          </cell>
          <cell r="AM33">
            <v>3.3000000000000002E-2</v>
          </cell>
          <cell r="AN33">
            <v>2E-3</v>
          </cell>
          <cell r="AO33">
            <v>863.14800000000002</v>
          </cell>
          <cell r="AP33">
            <v>776.34799999999996</v>
          </cell>
          <cell r="AQ33">
            <v>703.93100000000004</v>
          </cell>
          <cell r="AR33">
            <v>676.80700000000002</v>
          </cell>
          <cell r="AS33">
            <v>637.04200000000003</v>
          </cell>
          <cell r="AT33">
            <v>552.39800000000002</v>
          </cell>
          <cell r="AU33">
            <v>433.54199999999997</v>
          </cell>
          <cell r="AV33">
            <v>313.39299999999997</v>
          </cell>
          <cell r="AW33">
            <v>239.185</v>
          </cell>
          <cell r="AX33">
            <v>191.17500000000001</v>
          </cell>
          <cell r="AY33">
            <v>153.63999999999999</v>
          </cell>
          <cell r="AZ33">
            <v>128.23500000000001</v>
          </cell>
          <cell r="BA33">
            <v>101.098</v>
          </cell>
          <cell r="BB33">
            <v>74.91</v>
          </cell>
          <cell r="BC33">
            <v>50.902000000000001</v>
          </cell>
          <cell r="BD33">
            <v>28.925000000000001</v>
          </cell>
          <cell r="BE33">
            <v>12.673</v>
          </cell>
          <cell r="BF33">
            <v>4.1219999999999999</v>
          </cell>
          <cell r="BG33">
            <v>0.68200000000000005</v>
          </cell>
          <cell r="BH33">
            <v>4.9000000000000002E-2</v>
          </cell>
          <cell r="BI33">
            <v>2E-3</v>
          </cell>
          <cell r="BJ33">
            <v>15.28527297422646</v>
          </cell>
          <cell r="BK33">
            <v>14.438957629364605</v>
          </cell>
          <cell r="BL33">
            <v>13.817539587888424</v>
          </cell>
          <cell r="BM33">
            <v>12.366121712051944</v>
          </cell>
          <cell r="BN33">
            <v>9.9957554826740882</v>
          </cell>
          <cell r="BO33">
            <v>7.3962060226595101</v>
          </cell>
          <cell r="BP33">
            <v>5.7379041608692765</v>
          </cell>
          <cell r="BQ33">
            <v>4.64221824686941</v>
          </cell>
          <cell r="BR33">
            <v>3.7879314914198638</v>
          </cell>
          <cell r="BS33">
            <v>3.2420037434572313</v>
          </cell>
          <cell r="BT33">
            <v>2.671540614854568</v>
          </cell>
          <cell r="BU33">
            <v>2.1443508580136483</v>
          </cell>
          <cell r="BV33">
            <v>1.6761495395216324</v>
          </cell>
          <cell r="BW33">
            <v>1.2031032597893061</v>
          </cell>
          <cell r="BX33">
            <v>0.7802665142781422</v>
          </cell>
          <cell r="BY33">
            <v>0.49321291327105277</v>
          </cell>
          <cell r="BZ33">
            <v>0.2377136752136752</v>
          </cell>
          <cell r="CA33">
            <v>7.2281024315908035E-2</v>
          </cell>
          <cell r="CB33">
            <v>1.0828695421718678E-2</v>
          </cell>
          <cell r="CC33">
            <v>6.8326376465911351E-4</v>
          </cell>
          <cell r="CD33">
            <v>4.1409925130855362E-5</v>
          </cell>
          <cell r="CE33">
            <v>14.525706765664626</v>
          </cell>
          <cell r="CF33">
            <v>13.064970776865845</v>
          </cell>
          <cell r="CG33">
            <v>11.846282780312375</v>
          </cell>
          <cell r="CH33">
            <v>11.389819612568388</v>
          </cell>
          <cell r="CI33">
            <v>10.720624144888854</v>
          </cell>
          <cell r="CJ33">
            <v>9.296170953231206</v>
          </cell>
          <cell r="CK33">
            <v>7.2959723739147551</v>
          </cell>
          <cell r="CL33">
            <v>5.2740142135670052</v>
          </cell>
          <cell r="CM33">
            <v>4.0251859156778371</v>
          </cell>
          <cell r="CN33">
            <v>3.2172373578180506</v>
          </cell>
          <cell r="CO33">
            <v>2.5855700151963661</v>
          </cell>
          <cell r="CP33">
            <v>2.1580354783826223</v>
          </cell>
          <cell r="CQ33">
            <v>1.7013535368154271</v>
          </cell>
          <cell r="CR33">
            <v>1.2606420843423574</v>
          </cell>
          <cell r="CS33">
            <v>0.85661731914557038</v>
          </cell>
          <cell r="CT33">
            <v>0.48677175663599909</v>
          </cell>
          <cell r="CU33">
            <v>0.21327082011574819</v>
          </cell>
          <cell r="CV33">
            <v>6.9368130712310738E-2</v>
          </cell>
          <cell r="CW33">
            <v>1.1477211340561845E-2</v>
          </cell>
          <cell r="CX33">
            <v>8.2460902593479524E-4</v>
          </cell>
          <cell r="CY33">
            <v>3.3657511262644708E-5</v>
          </cell>
          <cell r="CZ33">
            <v>100.00008281985025</v>
          </cell>
          <cell r="DA33">
            <v>99.999915856221833</v>
          </cell>
        </row>
        <row r="34">
          <cell r="B34" t="str">
            <v>CAN</v>
          </cell>
          <cell r="C34" t="str">
            <v>North America</v>
          </cell>
          <cell r="D34" t="str">
            <v>High income</v>
          </cell>
          <cell r="G34">
            <v>0</v>
          </cell>
          <cell r="H34">
            <v>124</v>
          </cell>
          <cell r="I34">
            <v>37742.199999999997</v>
          </cell>
          <cell r="J34">
            <v>38067.9</v>
          </cell>
          <cell r="K34">
            <v>38388.400000000001</v>
          </cell>
          <cell r="L34">
            <v>38704.5</v>
          </cell>
          <cell r="M34">
            <v>39017.1</v>
          </cell>
          <cell r="N34">
            <v>39327</v>
          </cell>
          <cell r="O34">
            <v>39634.300000000003</v>
          </cell>
          <cell r="P34">
            <v>39939</v>
          </cell>
          <cell r="Q34">
            <v>40240.800000000003</v>
          </cell>
          <cell r="R34">
            <v>40539.199999999997</v>
          </cell>
          <cell r="S34">
            <v>40833.699999999997</v>
          </cell>
          <cell r="T34">
            <v>1993.13</v>
          </cell>
          <cell r="U34">
            <v>1977.79</v>
          </cell>
          <cell r="V34">
            <v>1983</v>
          </cell>
          <cell r="W34">
            <v>1988.32</v>
          </cell>
          <cell r="X34">
            <v>2363.4699999999998</v>
          </cell>
          <cell r="Y34">
            <v>2733.15</v>
          </cell>
          <cell r="Z34">
            <v>2626.36</v>
          </cell>
          <cell r="AA34">
            <v>2652.3</v>
          </cell>
          <cell r="AB34">
            <v>2463.31</v>
          </cell>
          <cell r="AC34">
            <v>2383.36</v>
          </cell>
          <cell r="AD34">
            <v>2423.48</v>
          </cell>
          <cell r="AE34">
            <v>2758.95</v>
          </cell>
          <cell r="AF34">
            <v>2562.56</v>
          </cell>
          <cell r="AG34">
            <v>2150.1799999999998</v>
          </cell>
          <cell r="AH34">
            <v>1792.85</v>
          </cell>
          <cell r="AI34">
            <v>1225.82</v>
          </cell>
          <cell r="AJ34">
            <v>814.59699999999998</v>
          </cell>
          <cell r="AK34">
            <v>518.702</v>
          </cell>
          <cell r="AL34">
            <v>252.68100000000001</v>
          </cell>
          <cell r="AM34">
            <v>69.593000000000004</v>
          </cell>
          <cell r="AN34">
            <v>8.5459999999999994</v>
          </cell>
          <cell r="AO34">
            <v>2019.53</v>
          </cell>
          <cell r="AP34">
            <v>2035.86</v>
          </cell>
          <cell r="AQ34">
            <v>2048.2800000000002</v>
          </cell>
          <cell r="AR34">
            <v>2134.38</v>
          </cell>
          <cell r="AS34">
            <v>2344.61</v>
          </cell>
          <cell r="AT34">
            <v>2432.8200000000002</v>
          </cell>
          <cell r="AU34">
            <v>2734.1</v>
          </cell>
          <cell r="AV34">
            <v>2991.93</v>
          </cell>
          <cell r="AW34">
            <v>2791.9</v>
          </cell>
          <cell r="AX34">
            <v>2745.52</v>
          </cell>
          <cell r="AY34">
            <v>2501.71</v>
          </cell>
          <cell r="AZ34">
            <v>2373.71</v>
          </cell>
          <cell r="BA34">
            <v>2362.19</v>
          </cell>
          <cell r="BB34">
            <v>2615.8000000000002</v>
          </cell>
          <cell r="BC34">
            <v>2337.4299999999998</v>
          </cell>
          <cell r="BD34">
            <v>1839.42</v>
          </cell>
          <cell r="BE34">
            <v>1362.04</v>
          </cell>
          <cell r="BF34">
            <v>739.79399999999998</v>
          </cell>
          <cell r="BG34">
            <v>316.84500000000003</v>
          </cell>
          <cell r="BH34">
            <v>91.972999999999999</v>
          </cell>
          <cell r="BI34">
            <v>13.895</v>
          </cell>
          <cell r="BJ34">
            <v>5.2809057235667245</v>
          </cell>
          <cell r="BK34">
            <v>5.2402615639787831</v>
          </cell>
          <cell r="BL34">
            <v>5.2540657407358342</v>
          </cell>
          <cell r="BM34">
            <v>5.2681613684416915</v>
          </cell>
          <cell r="BN34">
            <v>6.2621415815718215</v>
          </cell>
          <cell r="BO34">
            <v>7.2416287338840881</v>
          </cell>
          <cell r="BP34">
            <v>6.958682853675727</v>
          </cell>
          <cell r="BQ34">
            <v>7.027412286512182</v>
          </cell>
          <cell r="BR34">
            <v>6.526673060923847</v>
          </cell>
          <cell r="BS34">
            <v>6.3148412122239828</v>
          </cell>
          <cell r="BT34">
            <v>6.4211413219155213</v>
          </cell>
          <cell r="BU34">
            <v>7.3099872291493337</v>
          </cell>
          <cell r="BV34">
            <v>6.7896413033686436</v>
          </cell>
          <cell r="BW34">
            <v>5.6970181918383132</v>
          </cell>
          <cell r="BX34">
            <v>4.750253032414645</v>
          </cell>
          <cell r="BY34">
            <v>3.2478763824048413</v>
          </cell>
          <cell r="BZ34">
            <v>2.1583188049451278</v>
          </cell>
          <cell r="CA34">
            <v>1.3743290004292279</v>
          </cell>
          <cell r="CB34">
            <v>0.66949197450069164</v>
          </cell>
          <cell r="CC34">
            <v>0.18439041709280329</v>
          </cell>
          <cell r="CD34">
            <v>2.264308916809301E-2</v>
          </cell>
          <cell r="CE34">
            <v>4.9457433443454795</v>
          </cell>
          <cell r="CF34">
            <v>4.9857348219730273</v>
          </cell>
          <cell r="CG34">
            <v>5.0161508753798953</v>
          </cell>
          <cell r="CH34">
            <v>5.2270061248429611</v>
          </cell>
          <cell r="CI34">
            <v>5.7418504813426177</v>
          </cell>
          <cell r="CJ34">
            <v>5.9578730313442092</v>
          </cell>
          <cell r="CK34">
            <v>6.695694977432856</v>
          </cell>
          <cell r="CL34">
            <v>7.3271097157494918</v>
          </cell>
          <cell r="CM34">
            <v>6.8372447267820462</v>
          </cell>
          <cell r="CN34">
            <v>6.7236620732385264</v>
          </cell>
          <cell r="CO34">
            <v>6.1265817204906741</v>
          </cell>
          <cell r="CP34">
            <v>5.8131151475374505</v>
          </cell>
          <cell r="CQ34">
            <v>5.7849031559716613</v>
          </cell>
          <cell r="CR34">
            <v>6.4059832932112455</v>
          </cell>
          <cell r="CS34">
            <v>5.724266965766021</v>
          </cell>
          <cell r="CT34">
            <v>4.5046615907938792</v>
          </cell>
          <cell r="CU34">
            <v>3.3355782111344308</v>
          </cell>
          <cell r="CV34">
            <v>1.8117241396199708</v>
          </cell>
          <cell r="CW34">
            <v>0.77593997115127955</v>
          </cell>
          <cell r="CX34">
            <v>0.22523797745489632</v>
          </cell>
          <cell r="CY34">
            <v>3.4028265868633015E-2</v>
          </cell>
          <cell r="CZ34">
            <v>99.999864872741909</v>
          </cell>
          <cell r="DA34">
            <v>99.966062345562605</v>
          </cell>
        </row>
        <row r="35">
          <cell r="B35" t="str">
            <v>CHE</v>
          </cell>
          <cell r="C35" t="str">
            <v>Europe &amp; Central Asia</v>
          </cell>
          <cell r="D35" t="str">
            <v>High income</v>
          </cell>
          <cell r="G35">
            <v>0</v>
          </cell>
          <cell r="H35">
            <v>756</v>
          </cell>
          <cell r="I35">
            <v>8654.6200000000008</v>
          </cell>
          <cell r="J35">
            <v>8715.49</v>
          </cell>
          <cell r="K35">
            <v>8773.64</v>
          </cell>
          <cell r="L35">
            <v>8829.56</v>
          </cell>
          <cell r="M35">
            <v>8883.86</v>
          </cell>
          <cell r="N35">
            <v>8936.93</v>
          </cell>
          <cell r="O35">
            <v>8989.15</v>
          </cell>
          <cell r="P35">
            <v>9040.49</v>
          </cell>
          <cell r="Q35">
            <v>9090.6200000000008</v>
          </cell>
          <cell r="R35">
            <v>9138.9699999999993</v>
          </cell>
          <cell r="S35">
            <v>9185.11</v>
          </cell>
          <cell r="T35">
            <v>451.82900000000001</v>
          </cell>
          <cell r="U35">
            <v>433.11599999999999</v>
          </cell>
          <cell r="V35">
            <v>409.66899999999998</v>
          </cell>
          <cell r="W35">
            <v>425.19799999999998</v>
          </cell>
          <cell r="X35">
            <v>484.18599999999998</v>
          </cell>
          <cell r="Y35">
            <v>555.54300000000001</v>
          </cell>
          <cell r="Z35">
            <v>597.572</v>
          </cell>
          <cell r="AA35">
            <v>621.65200000000004</v>
          </cell>
          <cell r="AB35">
            <v>570.85500000000002</v>
          </cell>
          <cell r="AC35">
            <v>595.73299999999995</v>
          </cell>
          <cell r="AD35">
            <v>676.75599999999997</v>
          </cell>
          <cell r="AE35">
            <v>643.86599999999999</v>
          </cell>
          <cell r="AF35">
            <v>535.82299999999998</v>
          </cell>
          <cell r="AG35">
            <v>441.61200000000002</v>
          </cell>
          <cell r="AH35">
            <v>421.51900000000001</v>
          </cell>
          <cell r="AI35">
            <v>330.47399999999999</v>
          </cell>
          <cell r="AJ35">
            <v>228.8</v>
          </cell>
          <cell r="AK35">
            <v>144.798</v>
          </cell>
          <cell r="AL35">
            <v>67.468000000000004</v>
          </cell>
          <cell r="AM35">
            <v>16.454000000000001</v>
          </cell>
          <cell r="AN35">
            <v>1.6950000000000001</v>
          </cell>
          <cell r="AO35">
            <v>447.98599999999999</v>
          </cell>
          <cell r="AP35">
            <v>459.55700000000002</v>
          </cell>
          <cell r="AQ35">
            <v>461.16300000000001</v>
          </cell>
          <cell r="AR35">
            <v>459.07600000000002</v>
          </cell>
          <cell r="AS35">
            <v>470.08499999999998</v>
          </cell>
          <cell r="AT35">
            <v>499.98099999999999</v>
          </cell>
          <cell r="AU35">
            <v>546.94200000000001</v>
          </cell>
          <cell r="AV35">
            <v>599.61199999999997</v>
          </cell>
          <cell r="AW35">
            <v>625.63800000000003</v>
          </cell>
          <cell r="AX35">
            <v>637.29600000000005</v>
          </cell>
          <cell r="AY35">
            <v>577.04600000000005</v>
          </cell>
          <cell r="AZ35">
            <v>592.178</v>
          </cell>
          <cell r="BA35">
            <v>660.06500000000005</v>
          </cell>
          <cell r="BB35">
            <v>614.38300000000004</v>
          </cell>
          <cell r="BC35">
            <v>495.95400000000001</v>
          </cell>
          <cell r="BD35">
            <v>388.90899999999999</v>
          </cell>
          <cell r="BE35">
            <v>333.43400000000003</v>
          </cell>
          <cell r="BF35">
            <v>204.78</v>
          </cell>
          <cell r="BG35">
            <v>85.826999999999998</v>
          </cell>
          <cell r="BH35">
            <v>22.411000000000001</v>
          </cell>
          <cell r="BI35">
            <v>2.7909999999999999</v>
          </cell>
          <cell r="BJ35">
            <v>5.220668267353159</v>
          </cell>
          <cell r="BK35">
            <v>5.0044484910949292</v>
          </cell>
          <cell r="BL35">
            <v>4.7335296061525511</v>
          </cell>
          <cell r="BM35">
            <v>4.9129597833295966</v>
          </cell>
          <cell r="BN35">
            <v>5.5945379462067653</v>
          </cell>
          <cell r="BO35">
            <v>6.4190339957155826</v>
          </cell>
          <cell r="BP35">
            <v>6.9046590144916822</v>
          </cell>
          <cell r="BQ35">
            <v>7.1828919120654628</v>
          </cell>
          <cell r="BR35">
            <v>6.5959568415482135</v>
          </cell>
          <cell r="BS35">
            <v>6.8834102479369381</v>
          </cell>
          <cell r="BT35">
            <v>7.8195923102343006</v>
          </cell>
          <cell r="BU35">
            <v>7.4395640709817412</v>
          </cell>
          <cell r="BV35">
            <v>6.1911788154765883</v>
          </cell>
          <cell r="BW35">
            <v>5.1026157127638188</v>
          </cell>
          <cell r="BX35">
            <v>4.8704506956977891</v>
          </cell>
          <cell r="BY35">
            <v>3.8184692106643618</v>
          </cell>
          <cell r="BZ35">
            <v>2.6436747078439029</v>
          </cell>
          <cell r="CA35">
            <v>1.6730717235418771</v>
          </cell>
          <cell r="CB35">
            <v>0.77956051218886557</v>
          </cell>
          <cell r="CC35">
            <v>0.19011811032720094</v>
          </cell>
          <cell r="CD35">
            <v>1.9584915340014927E-2</v>
          </cell>
          <cell r="CE35">
            <v>4.8773068586004955</v>
          </cell>
          <cell r="CF35">
            <v>5.0032824865461603</v>
          </cell>
          <cell r="CG35">
            <v>5.0207673070872305</v>
          </cell>
          <cell r="CH35">
            <v>4.998045750132551</v>
          </cell>
          <cell r="CI35">
            <v>5.1179027796074292</v>
          </cell>
          <cell r="CJ35">
            <v>5.4433860890070989</v>
          </cell>
          <cell r="CK35">
            <v>5.9546592256380162</v>
          </cell>
          <cell r="CL35">
            <v>6.5280873065210967</v>
          </cell>
          <cell r="CM35">
            <v>6.8114372065222959</v>
          </cell>
          <cell r="CN35">
            <v>6.9383600196404842</v>
          </cell>
          <cell r="CO35">
            <v>6.2824070697030301</v>
          </cell>
          <cell r="CP35">
            <v>6.4471519666068229</v>
          </cell>
          <cell r="CQ35">
            <v>7.1862503551944403</v>
          </cell>
          <cell r="CR35">
            <v>6.6889019293182113</v>
          </cell>
          <cell r="CS35">
            <v>5.3995433914237276</v>
          </cell>
          <cell r="CT35">
            <v>4.2341245777132768</v>
          </cell>
          <cell r="CU35">
            <v>3.6301579404057218</v>
          </cell>
          <cell r="CV35">
            <v>2.2294779267749649</v>
          </cell>
          <cell r="CW35">
            <v>0.93441450347355648</v>
          </cell>
          <cell r="CX35">
            <v>0.2439927230049504</v>
          </cell>
          <cell r="CY35">
            <v>3.0386135821998859E-2</v>
          </cell>
          <cell r="CZ35">
            <v>99.999976890955352</v>
          </cell>
          <cell r="DA35">
            <v>99.969657412921563</v>
          </cell>
        </row>
        <row r="36">
          <cell r="B36" t="str">
            <v>CHI</v>
          </cell>
          <cell r="C36" t="str">
            <v>Europe &amp; Central Asia</v>
          </cell>
          <cell r="D36" t="str">
            <v>High income</v>
          </cell>
          <cell r="G36">
            <v>0</v>
          </cell>
          <cell r="H36">
            <v>830</v>
          </cell>
          <cell r="I36">
            <v>173.85900000000001</v>
          </cell>
          <cell r="J36">
            <v>175.244</v>
          </cell>
          <cell r="K36">
            <v>176.46100000000001</v>
          </cell>
          <cell r="L36">
            <v>177.559</v>
          </cell>
          <cell r="M36">
            <v>178.60599999999999</v>
          </cell>
          <cell r="N36">
            <v>179.667</v>
          </cell>
          <cell r="O36">
            <v>180.738</v>
          </cell>
          <cell r="P36">
            <v>181.83</v>
          </cell>
          <cell r="Q36">
            <v>182.90899999999999</v>
          </cell>
          <cell r="R36">
            <v>183.97300000000001</v>
          </cell>
          <cell r="S36">
            <v>184.99199999999999</v>
          </cell>
          <cell r="T36">
            <v>8.702</v>
          </cell>
          <cell r="U36">
            <v>8.8610000000000007</v>
          </cell>
          <cell r="V36">
            <v>8.4700000000000006</v>
          </cell>
          <cell r="W36">
            <v>9.31</v>
          </cell>
          <cell r="X36">
            <v>10.436999999999999</v>
          </cell>
          <cell r="Y36">
            <v>11.332000000000001</v>
          </cell>
          <cell r="Z36">
            <v>11.779</v>
          </cell>
          <cell r="AA36">
            <v>12.11</v>
          </cell>
          <cell r="AB36">
            <v>11.622999999999999</v>
          </cell>
          <cell r="AC36">
            <v>13.291</v>
          </cell>
          <cell r="AD36">
            <v>13.714</v>
          </cell>
          <cell r="AE36">
            <v>12.464</v>
          </cell>
          <cell r="AF36">
            <v>10.619</v>
          </cell>
          <cell r="AG36">
            <v>9.3930000000000007</v>
          </cell>
          <cell r="AH36">
            <v>7.6440000000000001</v>
          </cell>
          <cell r="AI36">
            <v>5.649</v>
          </cell>
          <cell r="AJ36">
            <v>4.274</v>
          </cell>
          <cell r="AK36">
            <v>2.5350000000000001</v>
          </cell>
          <cell r="AL36">
            <v>1.2070000000000001</v>
          </cell>
          <cell r="AM36">
            <v>0.372</v>
          </cell>
          <cell r="AN36">
            <v>7.2999999999999995E-2</v>
          </cell>
          <cell r="AO36">
            <v>8.9390000000000001</v>
          </cell>
          <cell r="AP36">
            <v>8.9749999999999996</v>
          </cell>
          <cell r="AQ36">
            <v>8.8889999999999993</v>
          </cell>
          <cell r="AR36">
            <v>9.3759999999999994</v>
          </cell>
          <cell r="AS36">
            <v>9.6790000000000003</v>
          </cell>
          <cell r="AT36">
            <v>10.826000000000001</v>
          </cell>
          <cell r="AU36">
            <v>11.742000000000001</v>
          </cell>
          <cell r="AV36">
            <v>12.271000000000001</v>
          </cell>
          <cell r="AW36">
            <v>12.4</v>
          </cell>
          <cell r="AX36">
            <v>12.483000000000001</v>
          </cell>
          <cell r="AY36">
            <v>11.8</v>
          </cell>
          <cell r="AZ36">
            <v>13.26</v>
          </cell>
          <cell r="BA36">
            <v>13.448</v>
          </cell>
          <cell r="BB36">
            <v>11.94</v>
          </cell>
          <cell r="BC36">
            <v>9.7530000000000001</v>
          </cell>
          <cell r="BD36">
            <v>7.9829999999999997</v>
          </cell>
          <cell r="BE36">
            <v>5.67</v>
          </cell>
          <cell r="BF36">
            <v>3.262</v>
          </cell>
          <cell r="BG36">
            <v>1.6359999999999999</v>
          </cell>
          <cell r="BH36">
            <v>0.54100000000000004</v>
          </cell>
          <cell r="BI36">
            <v>0.11899999999999999</v>
          </cell>
          <cell r="BJ36">
            <v>5.0052053675679709</v>
          </cell>
          <cell r="BK36">
            <v>5.0966587867179722</v>
          </cell>
          <cell r="BL36">
            <v>4.8717639006321214</v>
          </cell>
          <cell r="BM36">
            <v>5.3549140395377863</v>
          </cell>
          <cell r="BN36">
            <v>6.0031404759028861</v>
          </cell>
          <cell r="BO36">
            <v>6.5179254453321374</v>
          </cell>
          <cell r="BP36">
            <v>6.7750303406783656</v>
          </cell>
          <cell r="BQ36">
            <v>6.9654145025566692</v>
          </cell>
          <cell r="BR36">
            <v>6.6853024577387412</v>
          </cell>
          <cell r="BS36">
            <v>7.6447005907085623</v>
          </cell>
          <cell r="BT36">
            <v>7.8880011963717731</v>
          </cell>
          <cell r="BU36">
            <v>7.1690277753812</v>
          </cell>
          <cell r="BV36">
            <v>6.1078230059991139</v>
          </cell>
          <cell r="BW36">
            <v>5.4026538746915609</v>
          </cell>
          <cell r="BX36">
            <v>4.396666264041551</v>
          </cell>
          <cell r="BY36">
            <v>3.2491846841405962</v>
          </cell>
          <cell r="BZ36">
            <v>2.4583139210509666</v>
          </cell>
          <cell r="CA36">
            <v>1.4580780977688816</v>
          </cell>
          <cell r="CB36">
            <v>0.69424073530849717</v>
          </cell>
          <cell r="CC36">
            <v>0.21396649008679447</v>
          </cell>
          <cell r="CD36">
            <v>4.1988047785849449E-2</v>
          </cell>
          <cell r="CE36">
            <v>4.8321008476042211</v>
          </cell>
          <cell r="CF36">
            <v>4.8515611485902097</v>
          </cell>
          <cell r="CG36">
            <v>4.8050726517903479</v>
          </cell>
          <cell r="CH36">
            <v>5.0683272790174714</v>
          </cell>
          <cell r="CI36">
            <v>5.232118145649542</v>
          </cell>
          <cell r="CJ36">
            <v>5.8521449576197897</v>
          </cell>
          <cell r="CK36">
            <v>6.3473015049299431</v>
          </cell>
          <cell r="CL36">
            <v>6.6332598166407202</v>
          </cell>
          <cell r="CM36">
            <v>6.702992561840512</v>
          </cell>
          <cell r="CN36">
            <v>6.7478593668915412</v>
          </cell>
          <cell r="CO36">
            <v>6.3786542120740366</v>
          </cell>
          <cell r="CP36">
            <v>7.167877529839128</v>
          </cell>
          <cell r="CQ36">
            <v>7.2695035460992914</v>
          </cell>
          <cell r="CR36">
            <v>6.4543331603528804</v>
          </cell>
          <cell r="CS36">
            <v>5.2721198754540737</v>
          </cell>
          <cell r="CT36">
            <v>4.3153217436429685</v>
          </cell>
          <cell r="CU36">
            <v>3.0649974052932021</v>
          </cell>
          <cell r="CV36">
            <v>1.7633194948970767</v>
          </cell>
          <cell r="CW36">
            <v>0.88436256702992566</v>
          </cell>
          <cell r="CX36">
            <v>0.29244507870610625</v>
          </cell>
          <cell r="CY36">
            <v>6.4327106037017814E-2</v>
          </cell>
          <cell r="CZ36">
            <v>100</v>
          </cell>
          <cell r="DA36">
            <v>99.935672893962959</v>
          </cell>
        </row>
        <row r="37">
          <cell r="B37" t="str">
            <v>CHL</v>
          </cell>
          <cell r="C37" t="str">
            <v>Latin America &amp; Caribbean</v>
          </cell>
          <cell r="D37" t="str">
            <v>High income</v>
          </cell>
          <cell r="E37" t="str">
            <v>IBRD</v>
          </cell>
          <cell r="G37">
            <v>0</v>
          </cell>
          <cell r="H37">
            <v>152</v>
          </cell>
          <cell r="I37">
            <v>19116.2</v>
          </cell>
          <cell r="J37">
            <v>19212.400000000001</v>
          </cell>
          <cell r="K37">
            <v>19250.2</v>
          </cell>
          <cell r="L37">
            <v>19249.3</v>
          </cell>
          <cell r="M37">
            <v>19239</v>
          </cell>
          <cell r="N37">
            <v>19241</v>
          </cell>
          <cell r="O37">
            <v>19260.5</v>
          </cell>
          <cell r="P37">
            <v>19292.8</v>
          </cell>
          <cell r="Q37">
            <v>19338</v>
          </cell>
          <cell r="R37">
            <v>19393.8</v>
          </cell>
          <cell r="S37">
            <v>19458.099999999999</v>
          </cell>
          <cell r="T37">
            <v>1162.22</v>
          </cell>
          <cell r="U37">
            <v>1265.8599999999999</v>
          </cell>
          <cell r="V37">
            <v>1249.6400000000001</v>
          </cell>
          <cell r="W37">
            <v>1244.24</v>
          </cell>
          <cell r="X37">
            <v>1402.91</v>
          </cell>
          <cell r="Y37">
            <v>1592.63</v>
          </cell>
          <cell r="Z37">
            <v>1545.82</v>
          </cell>
          <cell r="AA37">
            <v>1399.58</v>
          </cell>
          <cell r="AB37">
            <v>1324.1</v>
          </cell>
          <cell r="AC37">
            <v>1254.31</v>
          </cell>
          <cell r="AD37">
            <v>1214.5899999999999</v>
          </cell>
          <cell r="AE37">
            <v>1137.68</v>
          </cell>
          <cell r="AF37">
            <v>982.29899999999998</v>
          </cell>
          <cell r="AG37">
            <v>809.48800000000006</v>
          </cell>
          <cell r="AH37">
            <v>581.29899999999998</v>
          </cell>
          <cell r="AI37">
            <v>411.827</v>
          </cell>
          <cell r="AJ37">
            <v>274.26</v>
          </cell>
          <cell r="AK37">
            <v>162.14599999999999</v>
          </cell>
          <cell r="AL37">
            <v>77.227999999999994</v>
          </cell>
          <cell r="AM37">
            <v>20.356000000000002</v>
          </cell>
          <cell r="AN37">
            <v>3.7309999999999999</v>
          </cell>
          <cell r="AO37">
            <v>1039.4100000000001</v>
          </cell>
          <cell r="AP37">
            <v>1099</v>
          </cell>
          <cell r="AQ37">
            <v>1147.23</v>
          </cell>
          <cell r="AR37">
            <v>1248.01</v>
          </cell>
          <cell r="AS37">
            <v>1228.5899999999999</v>
          </cell>
          <cell r="AT37">
            <v>1216.5</v>
          </cell>
          <cell r="AU37">
            <v>1328.35</v>
          </cell>
          <cell r="AV37">
            <v>1473.94</v>
          </cell>
          <cell r="AW37">
            <v>1436.71</v>
          </cell>
          <cell r="AX37">
            <v>1318.73</v>
          </cell>
          <cell r="AY37">
            <v>1257.77</v>
          </cell>
          <cell r="AZ37">
            <v>1189.5899999999999</v>
          </cell>
          <cell r="BA37">
            <v>1136.27</v>
          </cell>
          <cell r="BB37">
            <v>1038.31</v>
          </cell>
          <cell r="BC37">
            <v>857.65800000000002</v>
          </cell>
          <cell r="BD37">
            <v>653.72199999999998</v>
          </cell>
          <cell r="BE37">
            <v>408.637</v>
          </cell>
          <cell r="BF37">
            <v>228.83799999999999</v>
          </cell>
          <cell r="BG37">
            <v>105.625</v>
          </cell>
          <cell r="BH37">
            <v>36.351999999999997</v>
          </cell>
          <cell r="BI37">
            <v>8.859</v>
          </cell>
          <cell r="BJ37">
            <v>6.0797648068130687</v>
          </cell>
          <cell r="BK37">
            <v>6.6219227670771375</v>
          </cell>
          <cell r="BL37">
            <v>6.5370732676996477</v>
          </cell>
          <cell r="BM37">
            <v>6.5088249756750818</v>
          </cell>
          <cell r="BN37">
            <v>7.338853956330234</v>
          </cell>
          <cell r="BO37">
            <v>8.3313106161266361</v>
          </cell>
          <cell r="BP37">
            <v>8.0864397735951687</v>
          </cell>
          <cell r="BQ37">
            <v>7.3214341762484176</v>
          </cell>
          <cell r="BR37">
            <v>6.9265858277272674</v>
          </cell>
          <cell r="BS37">
            <v>6.5615028091357068</v>
          </cell>
          <cell r="BT37">
            <v>6.3537209277994569</v>
          </cell>
          <cell r="BU37">
            <v>5.9513920130569886</v>
          </cell>
          <cell r="BV37">
            <v>5.1385683347108735</v>
          </cell>
          <cell r="BW37">
            <v>4.2345654471076886</v>
          </cell>
          <cell r="BX37">
            <v>3.0408710936273944</v>
          </cell>
          <cell r="BY37">
            <v>2.1543350665927328</v>
          </cell>
          <cell r="BZ37">
            <v>1.4346993649365458</v>
          </cell>
          <cell r="CA37">
            <v>0.84821251085466765</v>
          </cell>
          <cell r="CB37">
            <v>0.40399242527280521</v>
          </cell>
          <cell r="CC37">
            <v>0.10648559860223267</v>
          </cell>
          <cell r="CD37">
            <v>1.95174773228989E-2</v>
          </cell>
          <cell r="CE37">
            <v>5.3417856830831383</v>
          </cell>
          <cell r="CF37">
            <v>5.6480334667824712</v>
          </cell>
          <cell r="CG37">
            <v>5.8958993940826705</v>
          </cell>
          <cell r="CH37">
            <v>6.4138327997080911</v>
          </cell>
          <cell r="CI37">
            <v>6.3140286050539371</v>
          </cell>
          <cell r="CJ37">
            <v>6.2518950976714072</v>
          </cell>
          <cell r="CK37">
            <v>6.82671997779845</v>
          </cell>
          <cell r="CL37">
            <v>7.5749430828292592</v>
          </cell>
          <cell r="CM37">
            <v>7.3836088826761097</v>
          </cell>
          <cell r="CN37">
            <v>6.7772804127843935</v>
          </cell>
          <cell r="CO37">
            <v>6.4639918594312906</v>
          </cell>
          <cell r="CP37">
            <v>6.1135979360780341</v>
          </cell>
          <cell r="CQ37">
            <v>5.8395732368525195</v>
          </cell>
          <cell r="CR37">
            <v>5.3361325103684329</v>
          </cell>
          <cell r="CS37">
            <v>4.4077170946803648</v>
          </cell>
          <cell r="CT37">
            <v>3.3596394303657608</v>
          </cell>
          <cell r="CU37">
            <v>2.1000868532898895</v>
          </cell>
          <cell r="CV37">
            <v>1.1760552160796789</v>
          </cell>
          <cell r="CW37">
            <v>0.54283306180973478</v>
          </cell>
          <cell r="CX37">
            <v>0.18682194047723058</v>
          </cell>
          <cell r="CY37">
            <v>4.552859734506453E-2</v>
          </cell>
          <cell r="CZ37">
            <v>100.00007323631263</v>
          </cell>
          <cell r="DA37">
            <v>99.954476541902849</v>
          </cell>
        </row>
        <row r="38">
          <cell r="B38" t="str">
            <v>CHN</v>
          </cell>
          <cell r="C38" t="str">
            <v>East Asia &amp; Pacific</v>
          </cell>
          <cell r="D38" t="str">
            <v>Upper middle income</v>
          </cell>
          <cell r="E38" t="str">
            <v>IBRD</v>
          </cell>
          <cell r="G38">
            <v>0</v>
          </cell>
          <cell r="H38">
            <v>156</v>
          </cell>
          <cell r="I38">
            <v>1400000</v>
          </cell>
          <cell r="J38">
            <v>1400000</v>
          </cell>
          <cell r="K38">
            <v>1400000</v>
          </cell>
          <cell r="L38">
            <v>1500000</v>
          </cell>
          <cell r="M38">
            <v>1500000</v>
          </cell>
          <cell r="N38">
            <v>1500000</v>
          </cell>
          <cell r="O38">
            <v>1500000</v>
          </cell>
          <cell r="P38">
            <v>1500000</v>
          </cell>
          <cell r="Q38">
            <v>1500000</v>
          </cell>
          <cell r="R38">
            <v>1500000</v>
          </cell>
          <cell r="S38">
            <v>1500000</v>
          </cell>
          <cell r="T38">
            <v>83932.4</v>
          </cell>
          <cell r="U38">
            <v>86735.2</v>
          </cell>
          <cell r="V38">
            <v>84262.8</v>
          </cell>
          <cell r="W38">
            <v>82341.899999999994</v>
          </cell>
          <cell r="X38">
            <v>87158.2</v>
          </cell>
          <cell r="Y38">
            <v>97989</v>
          </cell>
          <cell r="Z38">
            <v>128739</v>
          </cell>
          <cell r="AA38">
            <v>100091</v>
          </cell>
          <cell r="AB38">
            <v>96274.1</v>
          </cell>
          <cell r="AC38">
            <v>119838</v>
          </cell>
          <cell r="AD38">
            <v>123445</v>
          </cell>
          <cell r="AE38">
            <v>98740.5</v>
          </cell>
          <cell r="AF38">
            <v>77514.100000000006</v>
          </cell>
          <cell r="AG38">
            <v>74149.8</v>
          </cell>
          <cell r="AH38">
            <v>44949.7</v>
          </cell>
          <cell r="AI38">
            <v>26544.6</v>
          </cell>
          <cell r="AJ38">
            <v>16181.4</v>
          </cell>
          <cell r="AK38">
            <v>7581.78</v>
          </cell>
          <cell r="AL38">
            <v>2305.02</v>
          </cell>
          <cell r="AM38">
            <v>475.19299999999998</v>
          </cell>
          <cell r="AN38">
            <v>74.691999999999993</v>
          </cell>
          <cell r="AO38">
            <v>71032.800000000003</v>
          </cell>
          <cell r="AP38">
            <v>76192.5</v>
          </cell>
          <cell r="AQ38">
            <v>83629</v>
          </cell>
          <cell r="AR38">
            <v>86312.2</v>
          </cell>
          <cell r="AS38">
            <v>83478.2</v>
          </cell>
          <cell r="AT38">
            <v>81299</v>
          </cell>
          <cell r="AU38">
            <v>86060.4</v>
          </cell>
          <cell r="AV38">
            <v>96846.2</v>
          </cell>
          <cell r="AW38">
            <v>127240</v>
          </cell>
          <cell r="AX38">
            <v>98580.9</v>
          </cell>
          <cell r="AY38">
            <v>94228.3</v>
          </cell>
          <cell r="AZ38">
            <v>115892</v>
          </cell>
          <cell r="BA38">
            <v>116563</v>
          </cell>
          <cell r="BB38">
            <v>88965.2</v>
          </cell>
          <cell r="BC38">
            <v>64039.9</v>
          </cell>
          <cell r="BD38">
            <v>52728.6</v>
          </cell>
          <cell r="BE38">
            <v>25426.2</v>
          </cell>
          <cell r="BF38">
            <v>10689.6</v>
          </cell>
          <cell r="BG38">
            <v>3983.75</v>
          </cell>
          <cell r="BH38">
            <v>990.48500000000001</v>
          </cell>
          <cell r="BI38">
            <v>162.387</v>
          </cell>
          <cell r="BJ38">
            <v>5.9951714285714282</v>
          </cell>
          <cell r="BK38">
            <v>6.1953714285714288</v>
          </cell>
          <cell r="BL38">
            <v>6.0187714285714291</v>
          </cell>
          <cell r="BM38">
            <v>5.8815642857142851</v>
          </cell>
          <cell r="BN38">
            <v>6.2255857142857138</v>
          </cell>
          <cell r="BO38">
            <v>6.9992142857142863</v>
          </cell>
          <cell r="BP38">
            <v>9.1956428571428575</v>
          </cell>
          <cell r="BQ38">
            <v>7.1493571428571432</v>
          </cell>
          <cell r="BR38">
            <v>6.8767214285714289</v>
          </cell>
          <cell r="BS38">
            <v>8.5598571428571422</v>
          </cell>
          <cell r="BT38">
            <v>8.8175000000000008</v>
          </cell>
          <cell r="BU38">
            <v>7.052892857142858</v>
          </cell>
          <cell r="BV38">
            <v>5.536721428571429</v>
          </cell>
          <cell r="BW38">
            <v>5.2964142857142864</v>
          </cell>
          <cell r="BX38">
            <v>3.210692857142857</v>
          </cell>
          <cell r="BY38">
            <v>1.8960428571428569</v>
          </cell>
          <cell r="BZ38">
            <v>1.1558142857142857</v>
          </cell>
          <cell r="CA38">
            <v>0.54155571428571425</v>
          </cell>
          <cell r="CB38">
            <v>0.16464428571428572</v>
          </cell>
          <cell r="CC38">
            <v>3.3942357142857142E-2</v>
          </cell>
          <cell r="CD38">
            <v>5.3351428571428569E-3</v>
          </cell>
          <cell r="CE38">
            <v>4.7355200000000002</v>
          </cell>
          <cell r="CF38">
            <v>5.0795000000000003</v>
          </cell>
          <cell r="CG38">
            <v>5.5752666666666668</v>
          </cell>
          <cell r="CH38">
            <v>5.7541466666666663</v>
          </cell>
          <cell r="CI38">
            <v>5.5652133333333333</v>
          </cell>
          <cell r="CJ38">
            <v>5.4199333333333337</v>
          </cell>
          <cell r="CK38">
            <v>5.7373599999999998</v>
          </cell>
          <cell r="CL38">
            <v>6.4564133333333329</v>
          </cell>
          <cell r="CM38">
            <v>8.4826666666666668</v>
          </cell>
          <cell r="CN38">
            <v>6.5720599999999987</v>
          </cell>
          <cell r="CO38">
            <v>6.2818866666666668</v>
          </cell>
          <cell r="CP38">
            <v>7.7261333333333333</v>
          </cell>
          <cell r="CQ38">
            <v>7.7708666666666666</v>
          </cell>
          <cell r="CR38">
            <v>5.9310133333333335</v>
          </cell>
          <cell r="CS38">
            <v>4.2693266666666663</v>
          </cell>
          <cell r="CT38">
            <v>3.5152399999999999</v>
          </cell>
          <cell r="CU38">
            <v>1.6950800000000001</v>
          </cell>
          <cell r="CV38">
            <v>0.71264000000000005</v>
          </cell>
          <cell r="CW38">
            <v>0.26558333333333334</v>
          </cell>
          <cell r="CX38">
            <v>6.6032333333333332E-2</v>
          </cell>
          <cell r="CY38">
            <v>1.08258E-2</v>
          </cell>
          <cell r="CZ38">
            <v>102.80881321428573</v>
          </cell>
          <cell r="DA38">
            <v>97.611882333333369</v>
          </cell>
        </row>
        <row r="39">
          <cell r="B39" t="str">
            <v>CIV</v>
          </cell>
          <cell r="C39" t="str">
            <v>Sub-Saharan Africa</v>
          </cell>
          <cell r="D39" t="str">
            <v>Lower middle income</v>
          </cell>
          <cell r="E39" t="str">
            <v>IDA</v>
          </cell>
          <cell r="F39" t="str">
            <v>HIPC</v>
          </cell>
          <cell r="G39">
            <v>1</v>
          </cell>
          <cell r="H39">
            <v>384</v>
          </cell>
          <cell r="I39">
            <v>26378.3</v>
          </cell>
          <cell r="J39">
            <v>27053.599999999999</v>
          </cell>
          <cell r="K39">
            <v>27742.3</v>
          </cell>
          <cell r="L39">
            <v>28444.2</v>
          </cell>
          <cell r="M39">
            <v>29159.5</v>
          </cell>
          <cell r="N39">
            <v>29888.2</v>
          </cell>
          <cell r="O39">
            <v>30629.9</v>
          </cell>
          <cell r="P39">
            <v>31384.2</v>
          </cell>
          <cell r="Q39">
            <v>32150</v>
          </cell>
          <cell r="R39">
            <v>32926.400000000001</v>
          </cell>
          <cell r="S39">
            <v>33712.6</v>
          </cell>
          <cell r="T39">
            <v>4131.2</v>
          </cell>
          <cell r="U39">
            <v>3619.09</v>
          </cell>
          <cell r="V39">
            <v>3198.93</v>
          </cell>
          <cell r="W39">
            <v>2905.93</v>
          </cell>
          <cell r="X39">
            <v>2538.48</v>
          </cell>
          <cell r="Y39">
            <v>2122.5100000000002</v>
          </cell>
          <cell r="Z39">
            <v>1741.07</v>
          </cell>
          <cell r="AA39">
            <v>1431.14</v>
          </cell>
          <cell r="AB39">
            <v>1185.3</v>
          </cell>
          <cell r="AC39">
            <v>932.255</v>
          </cell>
          <cell r="AD39">
            <v>738.52099999999996</v>
          </cell>
          <cell r="AE39">
            <v>598.70500000000004</v>
          </cell>
          <cell r="AF39">
            <v>474.76900000000001</v>
          </cell>
          <cell r="AG39">
            <v>347.29700000000003</v>
          </cell>
          <cell r="AH39">
            <v>214.636</v>
          </cell>
          <cell r="AI39">
            <v>127.108</v>
          </cell>
          <cell r="AJ39">
            <v>54.991999999999997</v>
          </cell>
          <cell r="AK39">
            <v>14.476000000000001</v>
          </cell>
          <cell r="AL39">
            <v>1.776</v>
          </cell>
          <cell r="AM39">
            <v>8.6999999999999994E-2</v>
          </cell>
          <cell r="AN39">
            <v>3.0000000000000001E-3</v>
          </cell>
          <cell r="AO39">
            <v>4897.04</v>
          </cell>
          <cell r="AP39">
            <v>4439.59</v>
          </cell>
          <cell r="AQ39">
            <v>4010.34</v>
          </cell>
          <cell r="AR39">
            <v>3554.13</v>
          </cell>
          <cell r="AS39">
            <v>3128.7</v>
          </cell>
          <cell r="AT39">
            <v>2811.91</v>
          </cell>
          <cell r="AU39">
            <v>2429.4499999999998</v>
          </cell>
          <cell r="AV39">
            <v>2007.33</v>
          </cell>
          <cell r="AW39">
            <v>1622.37</v>
          </cell>
          <cell r="AX39">
            <v>1310.74</v>
          </cell>
          <cell r="AY39">
            <v>1060.95</v>
          </cell>
          <cell r="AZ39">
            <v>806.49199999999996</v>
          </cell>
          <cell r="BA39">
            <v>606.57100000000003</v>
          </cell>
          <cell r="BB39">
            <v>450.10700000000003</v>
          </cell>
          <cell r="BC39">
            <v>306.87599999999998</v>
          </cell>
          <cell r="BD39">
            <v>174.917</v>
          </cell>
          <cell r="BE39">
            <v>71.153999999999996</v>
          </cell>
          <cell r="BF39">
            <v>20.9</v>
          </cell>
          <cell r="BG39">
            <v>2.8809999999999998</v>
          </cell>
          <cell r="BH39">
            <v>0.151</v>
          </cell>
          <cell r="BI39">
            <v>5.0000000000000001E-3</v>
          </cell>
          <cell r="BJ39">
            <v>15.661358010182614</v>
          </cell>
          <cell r="BK39">
            <v>13.71995162690545</v>
          </cell>
          <cell r="BL39">
            <v>12.127127221996869</v>
          </cell>
          <cell r="BM39">
            <v>11.016365724857174</v>
          </cell>
          <cell r="BN39">
            <v>9.6233646595876152</v>
          </cell>
          <cell r="BO39">
            <v>8.0464245231876212</v>
          </cell>
          <cell r="BP39">
            <v>6.600387439675794</v>
          </cell>
          <cell r="BQ39">
            <v>5.4254443993737276</v>
          </cell>
          <cell r="BR39">
            <v>4.4934662203402036</v>
          </cell>
          <cell r="BS39">
            <v>3.5341739232626819</v>
          </cell>
          <cell r="BT39">
            <v>2.7997293229662259</v>
          </cell>
          <cell r="BU39">
            <v>2.2696875841126989</v>
          </cell>
          <cell r="BV39">
            <v>1.7998468438072204</v>
          </cell>
          <cell r="BW39">
            <v>1.3166011456386502</v>
          </cell>
          <cell r="BX39">
            <v>0.81368397508558166</v>
          </cell>
          <cell r="BY39">
            <v>0.48186577603560504</v>
          </cell>
          <cell r="BZ39">
            <v>0.20847438993415041</v>
          </cell>
          <cell r="CA39">
            <v>5.4878441749468321E-2</v>
          </cell>
          <cell r="CB39">
            <v>6.7328068905122768E-3</v>
          </cell>
          <cell r="CC39">
            <v>3.2981655375820273E-4</v>
          </cell>
          <cell r="CD39">
            <v>1.1372984612351821E-5</v>
          </cell>
          <cell r="CE39">
            <v>14.525844936314613</v>
          </cell>
          <cell r="CF39">
            <v>13.168933870422336</v>
          </cell>
          <cell r="CG39">
            <v>11.895671054739179</v>
          </cell>
          <cell r="CH39">
            <v>10.542438138856095</v>
          </cell>
          <cell r="CI39">
            <v>9.2805063982012665</v>
          </cell>
          <cell r="CJ39">
            <v>8.34082805835207</v>
          </cell>
          <cell r="CK39">
            <v>7.2063560805158895</v>
          </cell>
          <cell r="CL39">
            <v>5.9542426273856064</v>
          </cell>
          <cell r="CM39">
            <v>4.8123550245308868</v>
          </cell>
          <cell r="CN39">
            <v>3.8879825347199568</v>
          </cell>
          <cell r="CO39">
            <v>3.1470429453676076</v>
          </cell>
          <cell r="CP39">
            <v>2.3922569009806423</v>
          </cell>
          <cell r="CQ39">
            <v>1.7992412332481031</v>
          </cell>
          <cell r="CR39">
            <v>1.3351298920878247</v>
          </cell>
          <cell r="CS39">
            <v>0.91027093727567743</v>
          </cell>
          <cell r="CT39">
            <v>0.5188475525471189</v>
          </cell>
          <cell r="CU39">
            <v>0.21106055302765139</v>
          </cell>
          <cell r="CV39">
            <v>6.1994625154986556E-2</v>
          </cell>
          <cell r="CW39">
            <v>8.5457662713644151E-3</v>
          </cell>
          <cell r="CX39">
            <v>4.4790375111975942E-4</v>
          </cell>
          <cell r="CY39">
            <v>1.4831250037078127E-5</v>
          </cell>
          <cell r="CZ39">
            <v>99.999905225128273</v>
          </cell>
          <cell r="DA39">
            <v>99.999997033749992</v>
          </cell>
        </row>
        <row r="40">
          <cell r="B40" t="str">
            <v>CMR</v>
          </cell>
          <cell r="C40" t="str">
            <v>Sub-Saharan Africa</v>
          </cell>
          <cell r="D40" t="str">
            <v>Lower middle income</v>
          </cell>
          <cell r="E40" t="str">
            <v>Blend</v>
          </cell>
          <cell r="F40" t="str">
            <v>HIPC</v>
          </cell>
          <cell r="G40">
            <v>1</v>
          </cell>
          <cell r="H40">
            <v>120</v>
          </cell>
          <cell r="I40">
            <v>26545.9</v>
          </cell>
          <cell r="J40">
            <v>27224.3</v>
          </cell>
          <cell r="K40">
            <v>27911.5</v>
          </cell>
          <cell r="L40">
            <v>28608.1</v>
          </cell>
          <cell r="M40">
            <v>29314.7</v>
          </cell>
          <cell r="N40">
            <v>30031.7</v>
          </cell>
          <cell r="O40">
            <v>30759.1</v>
          </cell>
          <cell r="P40">
            <v>31496.6</v>
          </cell>
          <cell r="Q40">
            <v>32243.9</v>
          </cell>
          <cell r="R40">
            <v>33000.5</v>
          </cell>
          <cell r="S40">
            <v>33766.1</v>
          </cell>
          <cell r="T40">
            <v>4115.7</v>
          </cell>
          <cell r="U40">
            <v>3730.32</v>
          </cell>
          <cell r="V40">
            <v>3320.21</v>
          </cell>
          <cell r="W40">
            <v>2856.25</v>
          </cell>
          <cell r="X40">
            <v>2420</v>
          </cell>
          <cell r="Y40">
            <v>2131.79</v>
          </cell>
          <cell r="Z40">
            <v>1860.82</v>
          </cell>
          <cell r="AA40">
            <v>1539.02</v>
          </cell>
          <cell r="AB40">
            <v>1203.23</v>
          </cell>
          <cell r="AC40">
            <v>938.60799999999995</v>
          </cell>
          <cell r="AD40">
            <v>729.13099999999997</v>
          </cell>
          <cell r="AE40">
            <v>559.346</v>
          </cell>
          <cell r="AF40">
            <v>420.4</v>
          </cell>
          <cell r="AG40">
            <v>312.899</v>
          </cell>
          <cell r="AH40">
            <v>209.91200000000001</v>
          </cell>
          <cell r="AI40">
            <v>122.822</v>
          </cell>
          <cell r="AJ40">
            <v>56.789000000000001</v>
          </cell>
          <cell r="AK40">
            <v>16.300999999999998</v>
          </cell>
          <cell r="AL40">
            <v>2.1930000000000001</v>
          </cell>
          <cell r="AM40">
            <v>0.11</v>
          </cell>
          <cell r="AN40">
            <v>4.0000000000000001E-3</v>
          </cell>
          <cell r="AO40">
            <v>4734.05</v>
          </cell>
          <cell r="AP40">
            <v>4332.63</v>
          </cell>
          <cell r="AQ40">
            <v>3993.83</v>
          </cell>
          <cell r="AR40">
            <v>3660.44</v>
          </cell>
          <cell r="AS40">
            <v>3240.74</v>
          </cell>
          <cell r="AT40">
            <v>2759.08</v>
          </cell>
          <cell r="AU40">
            <v>2318.62</v>
          </cell>
          <cell r="AV40">
            <v>2027.66</v>
          </cell>
          <cell r="AW40">
            <v>1752.43</v>
          </cell>
          <cell r="AX40">
            <v>1430.29</v>
          </cell>
          <cell r="AY40">
            <v>1096.42</v>
          </cell>
          <cell r="AZ40">
            <v>829.32</v>
          </cell>
          <cell r="BA40">
            <v>613.99199999999996</v>
          </cell>
          <cell r="BB40">
            <v>433.24700000000001</v>
          </cell>
          <cell r="BC40">
            <v>281.62400000000002</v>
          </cell>
          <cell r="BD40">
            <v>164.315</v>
          </cell>
          <cell r="BE40">
            <v>73.003</v>
          </cell>
          <cell r="BF40">
            <v>21.199000000000002</v>
          </cell>
          <cell r="BG40">
            <v>3.0569999999999999</v>
          </cell>
          <cell r="BH40">
            <v>0.161</v>
          </cell>
          <cell r="BI40">
            <v>5.0000000000000001E-3</v>
          </cell>
          <cell r="BJ40">
            <v>15.504089143709573</v>
          </cell>
          <cell r="BK40">
            <v>14.052339532658529</v>
          </cell>
          <cell r="BL40">
            <v>12.507430525994598</v>
          </cell>
          <cell r="BM40">
            <v>10.759665334383087</v>
          </cell>
          <cell r="BN40">
            <v>9.1162853774029138</v>
          </cell>
          <cell r="BO40">
            <v>8.0305809936751054</v>
          </cell>
          <cell r="BP40">
            <v>7.0098207256111102</v>
          </cell>
          <cell r="BQ40">
            <v>5.7975807940209219</v>
          </cell>
          <cell r="BR40">
            <v>4.5326396920051684</v>
          </cell>
          <cell r="BS40">
            <v>3.5357927212865259</v>
          </cell>
          <cell r="BT40">
            <v>2.7466802783103978</v>
          </cell>
          <cell r="BU40">
            <v>2.1070899837639709</v>
          </cell>
          <cell r="BV40">
            <v>1.5836720548182581</v>
          </cell>
          <cell r="BW40">
            <v>1.1787093298776834</v>
          </cell>
          <cell r="BX40">
            <v>0.79075111410801679</v>
          </cell>
          <cell r="BY40">
            <v>0.46267785232371095</v>
          </cell>
          <cell r="BZ40">
            <v>0.2139275745030306</v>
          </cell>
          <cell r="CA40">
            <v>6.1406846254977221E-2</v>
          </cell>
          <cell r="CB40">
            <v>8.2611627407622266E-3</v>
          </cell>
          <cell r="CC40">
            <v>4.1437660806376876E-4</v>
          </cell>
          <cell r="CD40">
            <v>1.5068240293227956E-5</v>
          </cell>
          <cell r="CE40">
            <v>14.020126695117293</v>
          </cell>
          <cell r="CF40">
            <v>12.831301216308667</v>
          </cell>
          <cell r="CG40">
            <v>11.827928010637889</v>
          </cell>
          <cell r="CH40">
            <v>10.840576791515751</v>
          </cell>
          <cell r="CI40">
            <v>9.597614175163848</v>
          </cell>
          <cell r="CJ40">
            <v>8.1711539088020224</v>
          </cell>
          <cell r="CK40">
            <v>6.8667095104261371</v>
          </cell>
          <cell r="CL40">
            <v>6.0050168660283543</v>
          </cell>
          <cell r="CM40">
            <v>5.189909406179571</v>
          </cell>
          <cell r="CN40">
            <v>4.2358756267380597</v>
          </cell>
          <cell r="CO40">
            <v>3.2471028635228825</v>
          </cell>
          <cell r="CP40">
            <v>2.4560728067499658</v>
          </cell>
          <cell r="CQ40">
            <v>1.8183681266121936</v>
          </cell>
          <cell r="CR40">
            <v>1.2830827368277653</v>
          </cell>
          <cell r="CS40">
            <v>0.83404361178815445</v>
          </cell>
          <cell r="CT40">
            <v>0.48662712009974507</v>
          </cell>
          <cell r="CU40">
            <v>0.2162020488004241</v>
          </cell>
          <cell r="CV40">
            <v>6.2781902559075523E-2</v>
          </cell>
          <cell r="CW40">
            <v>9.0534589425488882E-3</v>
          </cell>
          <cell r="CX40">
            <v>4.7680958120718711E-4</v>
          </cell>
          <cell r="CY40">
            <v>1.4807750969167303E-5</v>
          </cell>
          <cell r="CZ40">
            <v>99.999830482296659</v>
          </cell>
          <cell r="DA40">
            <v>100.00002369240157</v>
          </cell>
        </row>
        <row r="41">
          <cell r="B41" t="str">
            <v>COD</v>
          </cell>
          <cell r="C41" t="str">
            <v>Sub-Saharan Africa</v>
          </cell>
          <cell r="D41" t="str">
            <v>Low income</v>
          </cell>
          <cell r="E41" t="str">
            <v>IDA</v>
          </cell>
          <cell r="F41" t="str">
            <v>HIPC</v>
          </cell>
          <cell r="G41">
            <v>1</v>
          </cell>
          <cell r="H41">
            <v>180</v>
          </cell>
          <cell r="I41">
            <v>89561.4</v>
          </cell>
          <cell r="J41">
            <v>92378</v>
          </cell>
          <cell r="K41">
            <v>95240.8</v>
          </cell>
          <cell r="L41">
            <v>98152</v>
          </cell>
          <cell r="M41">
            <v>101115</v>
          </cell>
          <cell r="N41">
            <v>104134</v>
          </cell>
          <cell r="O41">
            <v>107206</v>
          </cell>
          <cell r="P41">
            <v>110332</v>
          </cell>
          <cell r="Q41">
            <v>113514</v>
          </cell>
          <cell r="R41">
            <v>116751</v>
          </cell>
          <cell r="S41">
            <v>120047</v>
          </cell>
          <cell r="T41">
            <v>15827.4</v>
          </cell>
          <cell r="U41">
            <v>13659.9</v>
          </cell>
          <cell r="V41">
            <v>11527.5</v>
          </cell>
          <cell r="W41">
            <v>9472.51</v>
          </cell>
          <cell r="X41">
            <v>7729.71</v>
          </cell>
          <cell r="Y41">
            <v>6439.52</v>
          </cell>
          <cell r="Z41">
            <v>5340.93</v>
          </cell>
          <cell r="AA41">
            <v>4421.3999999999996</v>
          </cell>
          <cell r="AB41">
            <v>3629.09</v>
          </cell>
          <cell r="AC41">
            <v>2976.44</v>
          </cell>
          <cell r="AD41">
            <v>2421.7399999999998</v>
          </cell>
          <cell r="AE41">
            <v>1925.27</v>
          </cell>
          <cell r="AF41">
            <v>1486.41</v>
          </cell>
          <cell r="AG41">
            <v>1099.43</v>
          </cell>
          <cell r="AH41">
            <v>789.01</v>
          </cell>
          <cell r="AI41">
            <v>479.67599999999999</v>
          </cell>
          <cell r="AJ41">
            <v>232.52500000000001</v>
          </cell>
          <cell r="AK41">
            <v>81.751000000000005</v>
          </cell>
          <cell r="AL41">
            <v>18.574999999999999</v>
          </cell>
          <cell r="AM41">
            <v>2.419</v>
          </cell>
          <cell r="AN41">
            <v>0.17899999999999999</v>
          </cell>
          <cell r="AO41">
            <v>19158.400000000001</v>
          </cell>
          <cell r="AP41">
            <v>16995.2</v>
          </cell>
          <cell r="AQ41">
            <v>15198.5</v>
          </cell>
          <cell r="AR41">
            <v>13366.9</v>
          </cell>
          <cell r="AS41">
            <v>11242.3</v>
          </cell>
          <cell r="AT41">
            <v>9169.9500000000007</v>
          </cell>
          <cell r="AU41">
            <v>7448.6</v>
          </cell>
          <cell r="AV41">
            <v>6183.32</v>
          </cell>
          <cell r="AW41">
            <v>5097.1499999999996</v>
          </cell>
          <cell r="AX41">
            <v>4178.72</v>
          </cell>
          <cell r="AY41">
            <v>3377.15</v>
          </cell>
          <cell r="AZ41">
            <v>2702.08</v>
          </cell>
          <cell r="BA41">
            <v>2114.36</v>
          </cell>
          <cell r="BB41">
            <v>1569.69</v>
          </cell>
          <cell r="BC41">
            <v>1077.7</v>
          </cell>
          <cell r="BD41">
            <v>657.38</v>
          </cell>
          <cell r="BE41">
            <v>345.29300000000001</v>
          </cell>
          <cell r="BF41">
            <v>128.685</v>
          </cell>
          <cell r="BG41">
            <v>30.710999999999999</v>
          </cell>
          <cell r="BH41">
            <v>4.2229999999999999</v>
          </cell>
          <cell r="BI41">
            <v>0.32400000000000001</v>
          </cell>
          <cell r="BJ41">
            <v>17.672122141904882</v>
          </cell>
          <cell r="BK41">
            <v>15.251994720940049</v>
          </cell>
          <cell r="BL41">
            <v>12.871058290736858</v>
          </cell>
          <cell r="BM41">
            <v>10.576554185173524</v>
          </cell>
          <cell r="BN41">
            <v>8.6306265869001617</v>
          </cell>
          <cell r="BO41">
            <v>7.1900617900122157</v>
          </cell>
          <cell r="BP41">
            <v>5.9634284412704588</v>
          </cell>
          <cell r="BQ41">
            <v>4.9367249730352585</v>
          </cell>
          <cell r="BR41">
            <v>4.052069306643264</v>
          </cell>
          <cell r="BS41">
            <v>3.3233513544897697</v>
          </cell>
          <cell r="BT41">
            <v>2.7039997141625745</v>
          </cell>
          <cell r="BU41">
            <v>2.1496649226117501</v>
          </cell>
          <cell r="BV41">
            <v>1.6596547173224181</v>
          </cell>
          <cell r="BW41">
            <v>1.2275712527941727</v>
          </cell>
          <cell r="BX41">
            <v>0.88097104332893417</v>
          </cell>
          <cell r="BY41">
            <v>0.53558340981717578</v>
          </cell>
          <cell r="BZ41">
            <v>0.25962635689035679</v>
          </cell>
          <cell r="CA41">
            <v>9.1279278796445804E-2</v>
          </cell>
          <cell r="CB41">
            <v>2.0739961635258049E-2</v>
          </cell>
          <cell r="CC41">
            <v>2.7009403604677908E-3</v>
          </cell>
          <cell r="CD41">
            <v>1.9986288735995641E-4</v>
          </cell>
          <cell r="CE41">
            <v>15.959082692612062</v>
          </cell>
          <cell r="CF41">
            <v>14.157121793964031</v>
          </cell>
          <cell r="CG41">
            <v>12.660457987288313</v>
          </cell>
          <cell r="CH41">
            <v>11.134722233791765</v>
          </cell>
          <cell r="CI41">
            <v>9.3649154081318144</v>
          </cell>
          <cell r="CJ41">
            <v>7.6386332019958854</v>
          </cell>
          <cell r="CK41">
            <v>6.2047364782127001</v>
          </cell>
          <cell r="CL41">
            <v>5.1507492898614702</v>
          </cell>
          <cell r="CM41">
            <v>4.2459619982173642</v>
          </cell>
          <cell r="CN41">
            <v>3.4809033128691262</v>
          </cell>
          <cell r="CO41">
            <v>2.8131898339816908</v>
          </cell>
          <cell r="CP41">
            <v>2.2508517497313552</v>
          </cell>
          <cell r="CQ41">
            <v>1.7612768332403144</v>
          </cell>
          <cell r="CR41">
            <v>1.3075628712087766</v>
          </cell>
          <cell r="CS41">
            <v>0.89773172174231775</v>
          </cell>
          <cell r="CT41">
            <v>0.54760218914258574</v>
          </cell>
          <cell r="CU41">
            <v>0.28763151099152834</v>
          </cell>
          <cell r="CV41">
            <v>0.10719551508992312</v>
          </cell>
          <cell r="CW41">
            <v>2.5582480195256857E-2</v>
          </cell>
          <cell r="CX41">
            <v>3.5177888660274728E-3</v>
          </cell>
          <cell r="CY41">
            <v>2.6989429140253401E-4</v>
          </cell>
          <cell r="CZ41">
            <v>99.999983251713346</v>
          </cell>
          <cell r="DA41">
            <v>99.999426891134306</v>
          </cell>
        </row>
        <row r="42">
          <cell r="B42" t="str">
            <v>COG</v>
          </cell>
          <cell r="C42" t="str">
            <v>Sub-Saharan Africa</v>
          </cell>
          <cell r="D42" t="str">
            <v>Lower middle income</v>
          </cell>
          <cell r="E42" t="str">
            <v>Blend</v>
          </cell>
          <cell r="F42" t="str">
            <v>HIPC</v>
          </cell>
          <cell r="G42">
            <v>1</v>
          </cell>
          <cell r="H42">
            <v>178</v>
          </cell>
          <cell r="I42">
            <v>5518.09</v>
          </cell>
          <cell r="J42">
            <v>5657.02</v>
          </cell>
          <cell r="K42">
            <v>5797.8</v>
          </cell>
          <cell r="L42">
            <v>5940.75</v>
          </cell>
          <cell r="M42">
            <v>6086.28</v>
          </cell>
          <cell r="N42">
            <v>6234.72</v>
          </cell>
          <cell r="O42">
            <v>6386.13</v>
          </cell>
          <cell r="P42">
            <v>6540.37</v>
          </cell>
          <cell r="Q42">
            <v>6697.44</v>
          </cell>
          <cell r="R42">
            <v>6857.28</v>
          </cell>
          <cell r="S42">
            <v>7019.83</v>
          </cell>
          <cell r="T42">
            <v>821.95899999999995</v>
          </cell>
          <cell r="U42">
            <v>770.37599999999998</v>
          </cell>
          <cell r="V42">
            <v>684.99699999999996</v>
          </cell>
          <cell r="W42">
            <v>572.96699999999998</v>
          </cell>
          <cell r="X42">
            <v>476.267</v>
          </cell>
          <cell r="Y42">
            <v>397.99400000000003</v>
          </cell>
          <cell r="Z42">
            <v>353.82299999999998</v>
          </cell>
          <cell r="AA42">
            <v>326.25599999999997</v>
          </cell>
          <cell r="AB42">
            <v>293.52</v>
          </cell>
          <cell r="AC42">
            <v>242.29400000000001</v>
          </cell>
          <cell r="AD42">
            <v>188.97399999999999</v>
          </cell>
          <cell r="AE42">
            <v>138.91800000000001</v>
          </cell>
          <cell r="AF42">
            <v>97.295000000000002</v>
          </cell>
          <cell r="AG42">
            <v>67.441999999999993</v>
          </cell>
          <cell r="AH42">
            <v>43.871000000000002</v>
          </cell>
          <cell r="AI42">
            <v>25.526</v>
          </cell>
          <cell r="AJ42">
            <v>11.702999999999999</v>
          </cell>
          <cell r="AK42">
            <v>3.415</v>
          </cell>
          <cell r="AL42">
            <v>0.47299999999999998</v>
          </cell>
          <cell r="AM42">
            <v>2.1999999999999999E-2</v>
          </cell>
          <cell r="AN42">
            <v>0</v>
          </cell>
          <cell r="AO42">
            <v>968.197</v>
          </cell>
          <cell r="AP42">
            <v>876.41300000000001</v>
          </cell>
          <cell r="AQ42">
            <v>809.80200000000002</v>
          </cell>
          <cell r="AR42">
            <v>762.005</v>
          </cell>
          <cell r="AS42">
            <v>674.10199999999998</v>
          </cell>
          <cell r="AT42">
            <v>558.33199999999999</v>
          </cell>
          <cell r="AU42">
            <v>459.75799999999998</v>
          </cell>
          <cell r="AV42">
            <v>380.75599999999997</v>
          </cell>
          <cell r="AW42">
            <v>334.96800000000002</v>
          </cell>
          <cell r="AX42">
            <v>305.041</v>
          </cell>
          <cell r="AY42">
            <v>269.64</v>
          </cell>
          <cell r="AZ42">
            <v>216.67</v>
          </cell>
          <cell r="BA42">
            <v>162.17699999999999</v>
          </cell>
          <cell r="BB42">
            <v>111.018</v>
          </cell>
          <cell r="BC42">
            <v>68.676000000000002</v>
          </cell>
          <cell r="BD42">
            <v>38.590000000000003</v>
          </cell>
          <cell r="BE42">
            <v>17.463999999999999</v>
          </cell>
          <cell r="BF42">
            <v>5.3570000000000002</v>
          </cell>
          <cell r="BG42">
            <v>0.82099999999999995</v>
          </cell>
          <cell r="BH42">
            <v>4.7E-2</v>
          </cell>
          <cell r="BI42">
            <v>1E-3</v>
          </cell>
          <cell r="BJ42">
            <v>14.895715727724628</v>
          </cell>
          <cell r="BK42">
            <v>13.960917636356058</v>
          </cell>
          <cell r="BL42">
            <v>12.413661248729179</v>
          </cell>
          <cell r="BM42">
            <v>10.383429773707931</v>
          </cell>
          <cell r="BN42">
            <v>8.6310118174948212</v>
          </cell>
          <cell r="BO42">
            <v>7.2125318724413701</v>
          </cell>
          <cell r="BP42">
            <v>6.4120556206948409</v>
          </cell>
          <cell r="BQ42">
            <v>5.9124805865797763</v>
          </cell>
          <cell r="BR42">
            <v>5.3192318356532775</v>
          </cell>
          <cell r="BS42">
            <v>4.3909033741747603</v>
          </cell>
          <cell r="BT42">
            <v>3.4246269995596301</v>
          </cell>
          <cell r="BU42">
            <v>2.5175015267964098</v>
          </cell>
          <cell r="BV42">
            <v>1.763200672696531</v>
          </cell>
          <cell r="BW42">
            <v>1.2221982606300368</v>
          </cell>
          <cell r="BX42">
            <v>0.79503958797337482</v>
          </cell>
          <cell r="BY42">
            <v>0.46258759824504492</v>
          </cell>
          <cell r="BZ42">
            <v>0.2120842537907138</v>
          </cell>
          <cell r="CA42">
            <v>6.1887355951062775E-2</v>
          </cell>
          <cell r="CB42">
            <v>8.5718065490051794E-3</v>
          </cell>
          <cell r="CC42">
            <v>3.9868867669791533E-4</v>
          </cell>
          <cell r="CD42">
            <v>0</v>
          </cell>
          <cell r="CE42">
            <v>13.792314058887467</v>
          </cell>
          <cell r="CF42">
            <v>12.48481800841331</v>
          </cell>
          <cell r="CG42">
            <v>11.535920385536402</v>
          </cell>
          <cell r="CH42">
            <v>10.855034950988841</v>
          </cell>
          <cell r="CI42">
            <v>9.6028251396401334</v>
          </cell>
          <cell r="CJ42">
            <v>7.9536399029606129</v>
          </cell>
          <cell r="CK42">
            <v>6.5494178633955524</v>
          </cell>
          <cell r="CL42">
            <v>5.4240059944471586</v>
          </cell>
          <cell r="CM42">
            <v>4.7717394865687632</v>
          </cell>
          <cell r="CN42">
            <v>4.3454186212486627</v>
          </cell>
          <cell r="CO42">
            <v>3.841118659568679</v>
          </cell>
          <cell r="CP42">
            <v>3.0865419817858832</v>
          </cell>
          <cell r="CQ42">
            <v>2.3102696219139207</v>
          </cell>
          <cell r="CR42">
            <v>1.5814912896751063</v>
          </cell>
          <cell r="CS42">
            <v>0.97831428966228517</v>
          </cell>
          <cell r="CT42">
            <v>0.54972841222650692</v>
          </cell>
          <cell r="CU42">
            <v>0.24878095338491099</v>
          </cell>
          <cell r="CV42">
            <v>7.6312389331365582E-2</v>
          </cell>
          <cell r="CW42">
            <v>1.1695439918060694E-2</v>
          </cell>
          <cell r="CX42">
            <v>6.6953188325073406E-4</v>
          </cell>
          <cell r="CY42">
            <v>1.4245359218100722E-5</v>
          </cell>
          <cell r="CZ42">
            <v>100.00003624442516</v>
          </cell>
          <cell r="DA42">
            <v>100.00005698143684</v>
          </cell>
        </row>
        <row r="43">
          <cell r="B43" t="str">
            <v>COL</v>
          </cell>
          <cell r="C43" t="str">
            <v>Latin America &amp; Caribbean</v>
          </cell>
          <cell r="D43" t="str">
            <v>Upper middle income</v>
          </cell>
          <cell r="E43" t="str">
            <v>IBRD</v>
          </cell>
          <cell r="G43">
            <v>0</v>
          </cell>
          <cell r="H43">
            <v>170</v>
          </cell>
          <cell r="I43">
            <v>50882.9</v>
          </cell>
          <cell r="J43">
            <v>51265.8</v>
          </cell>
          <cell r="K43">
            <v>51512.800000000003</v>
          </cell>
          <cell r="L43">
            <v>51672.800000000003</v>
          </cell>
          <cell r="M43">
            <v>51819.8</v>
          </cell>
          <cell r="N43">
            <v>52007.1</v>
          </cell>
          <cell r="O43">
            <v>52249.4</v>
          </cell>
          <cell r="P43">
            <v>52530.2</v>
          </cell>
          <cell r="Q43">
            <v>52834.6</v>
          </cell>
          <cell r="R43">
            <v>53136.4</v>
          </cell>
          <cell r="S43">
            <v>53416.800000000003</v>
          </cell>
          <cell r="T43">
            <v>3710.7</v>
          </cell>
          <cell r="U43">
            <v>3703.46</v>
          </cell>
          <cell r="V43">
            <v>3873.49</v>
          </cell>
          <cell r="W43">
            <v>4246.3900000000003</v>
          </cell>
          <cell r="X43">
            <v>4421.47</v>
          </cell>
          <cell r="Y43">
            <v>4425.6000000000004</v>
          </cell>
          <cell r="Z43">
            <v>4056.81</v>
          </cell>
          <cell r="AA43">
            <v>3753.49</v>
          </cell>
          <cell r="AB43">
            <v>3421.07</v>
          </cell>
          <cell r="AC43">
            <v>3029.72</v>
          </cell>
          <cell r="AD43">
            <v>2908.47</v>
          </cell>
          <cell r="AE43">
            <v>2635.51</v>
          </cell>
          <cell r="AF43">
            <v>2086.4499999999998</v>
          </cell>
          <cell r="AG43">
            <v>1684.91</v>
          </cell>
          <cell r="AH43">
            <v>1187.6400000000001</v>
          </cell>
          <cell r="AI43">
            <v>792.125</v>
          </cell>
          <cell r="AJ43">
            <v>516.26900000000001</v>
          </cell>
          <cell r="AK43">
            <v>278.541</v>
          </cell>
          <cell r="AL43">
            <v>115.655</v>
          </cell>
          <cell r="AM43">
            <v>31.138999999999999</v>
          </cell>
          <cell r="AN43">
            <v>4.0030000000000001</v>
          </cell>
          <cell r="AO43">
            <v>3255.37</v>
          </cell>
          <cell r="AP43">
            <v>3463.65</v>
          </cell>
          <cell r="AQ43">
            <v>3661.44</v>
          </cell>
          <cell r="AR43">
            <v>3644.48</v>
          </cell>
          <cell r="AS43">
            <v>3774.39</v>
          </cell>
          <cell r="AT43">
            <v>4089.25</v>
          </cell>
          <cell r="AU43">
            <v>4159.33</v>
          </cell>
          <cell r="AV43">
            <v>4164.53</v>
          </cell>
          <cell r="AW43">
            <v>3835.14</v>
          </cell>
          <cell r="AX43">
            <v>3574.13</v>
          </cell>
          <cell r="AY43">
            <v>3261.57</v>
          </cell>
          <cell r="AZ43">
            <v>2866.25</v>
          </cell>
          <cell r="BA43">
            <v>2705.72</v>
          </cell>
          <cell r="BB43">
            <v>2375.86</v>
          </cell>
          <cell r="BC43">
            <v>1783.64</v>
          </cell>
          <cell r="BD43">
            <v>1323.46</v>
          </cell>
          <cell r="BE43">
            <v>809.69</v>
          </cell>
          <cell r="BF43">
            <v>415.12799999999999</v>
          </cell>
          <cell r="BG43">
            <v>186.88200000000001</v>
          </cell>
          <cell r="BH43">
            <v>58.651000000000003</v>
          </cell>
          <cell r="BI43">
            <v>8.2270000000000003</v>
          </cell>
          <cell r="BJ43">
            <v>7.292626796035603</v>
          </cell>
          <cell r="BK43">
            <v>7.2783980472811098</v>
          </cell>
          <cell r="BL43">
            <v>7.6125574603648758</v>
          </cell>
          <cell r="BM43">
            <v>8.3454166330928476</v>
          </cell>
          <cell r="BN43">
            <v>8.6895007949625516</v>
          </cell>
          <cell r="BO43">
            <v>8.6976174707023386</v>
          </cell>
          <cell r="BP43">
            <v>7.9728356677783694</v>
          </cell>
          <cell r="BQ43">
            <v>7.37672184564952</v>
          </cell>
          <cell r="BR43">
            <v>6.7234178869521983</v>
          </cell>
          <cell r="BS43">
            <v>5.9542989884617414</v>
          </cell>
          <cell r="BT43">
            <v>5.7160067527597676</v>
          </cell>
          <cell r="BU43">
            <v>5.1795593411539045</v>
          </cell>
          <cell r="BV43">
            <v>4.1004934860237912</v>
          </cell>
          <cell r="BW43">
            <v>3.3113482132504242</v>
          </cell>
          <cell r="BX43">
            <v>2.3340650788378809</v>
          </cell>
          <cell r="BY43">
            <v>1.556760719220013</v>
          </cell>
          <cell r="BZ43">
            <v>1.0146218081123521</v>
          </cell>
          <cell r="CA43">
            <v>0.54741573298691693</v>
          </cell>
          <cell r="CB43">
            <v>0.22729640016587108</v>
          </cell>
          <cell r="CC43">
            <v>6.1197376721845644E-2</v>
          </cell>
          <cell r="CD43">
            <v>7.8670830475464255E-3</v>
          </cell>
          <cell r="CE43">
            <v>6.0942811999221211</v>
          </cell>
          <cell r="CF43">
            <v>6.484195983286158</v>
          </cell>
          <cell r="CG43">
            <v>6.8544727501460203</v>
          </cell>
          <cell r="CH43">
            <v>6.8227224393823658</v>
          </cell>
          <cell r="CI43">
            <v>7.0659230803792061</v>
          </cell>
          <cell r="CJ43">
            <v>7.6553631067379539</v>
          </cell>
          <cell r="CK43">
            <v>7.7865577870632459</v>
          </cell>
          <cell r="CL43">
            <v>7.7962925521558759</v>
          </cell>
          <cell r="CM43">
            <v>7.1796513456440669</v>
          </cell>
          <cell r="CN43">
            <v>6.6910223001003422</v>
          </cell>
          <cell r="CO43">
            <v>6.105888035224873</v>
          </cell>
          <cell r="CP43">
            <v>5.365821239759776</v>
          </cell>
          <cell r="CQ43">
            <v>5.0652978089290261</v>
          </cell>
          <cell r="CR43">
            <v>4.44777672941846</v>
          </cell>
          <cell r="CS43">
            <v>3.3390993095805066</v>
          </cell>
          <cell r="CT43">
            <v>2.4776100402869505</v>
          </cell>
          <cell r="CU43">
            <v>1.5157965284330024</v>
          </cell>
          <cell r="CV43">
            <v>0.77714876218717699</v>
          </cell>
          <cell r="CW43">
            <v>0.34985622500786268</v>
          </cell>
          <cell r="CX43">
            <v>0.10979878989381617</v>
          </cell>
          <cell r="CY43">
            <v>1.5401521618666788E-2</v>
          </cell>
          <cell r="CZ43">
            <v>100.00002358356147</v>
          </cell>
          <cell r="DA43">
            <v>99.984576013538828</v>
          </cell>
        </row>
        <row r="44">
          <cell r="B44" t="str">
            <v>COM</v>
          </cell>
          <cell r="C44" t="str">
            <v>Sub-Saharan Africa</v>
          </cell>
          <cell r="D44" t="str">
            <v>Lower middle income</v>
          </cell>
          <cell r="E44" t="str">
            <v>IDA</v>
          </cell>
          <cell r="F44" t="str">
            <v>HIPC</v>
          </cell>
          <cell r="G44">
            <v>1</v>
          </cell>
          <cell r="H44">
            <v>174</v>
          </cell>
          <cell r="I44">
            <v>869.59500000000003</v>
          </cell>
          <cell r="J44">
            <v>888.45600000000002</v>
          </cell>
          <cell r="K44">
            <v>907.41099999999994</v>
          </cell>
          <cell r="L44">
            <v>926.49199999999996</v>
          </cell>
          <cell r="M44">
            <v>945.69299999999998</v>
          </cell>
          <cell r="N44">
            <v>965.00199999999995</v>
          </cell>
          <cell r="O44">
            <v>984.41499999999996</v>
          </cell>
          <cell r="P44">
            <v>1003.92</v>
          </cell>
          <cell r="Q44">
            <v>1023.55</v>
          </cell>
          <cell r="R44">
            <v>1043.28</v>
          </cell>
          <cell r="S44">
            <v>1063.1099999999999</v>
          </cell>
          <cell r="T44">
            <v>123.508</v>
          </cell>
          <cell r="U44">
            <v>114.13</v>
          </cell>
          <cell r="V44">
            <v>101.676</v>
          </cell>
          <cell r="W44">
            <v>89.591999999999999</v>
          </cell>
          <cell r="X44">
            <v>79.58</v>
          </cell>
          <cell r="Y44">
            <v>71.265000000000001</v>
          </cell>
          <cell r="Z44">
            <v>63.670999999999999</v>
          </cell>
          <cell r="AA44">
            <v>53.706000000000003</v>
          </cell>
          <cell r="AB44">
            <v>42.656999999999996</v>
          </cell>
          <cell r="AC44">
            <v>34.378999999999998</v>
          </cell>
          <cell r="AD44">
            <v>28.128</v>
          </cell>
          <cell r="AE44">
            <v>22.763999999999999</v>
          </cell>
          <cell r="AF44">
            <v>17.533999999999999</v>
          </cell>
          <cell r="AG44">
            <v>12.122</v>
          </cell>
          <cell r="AH44">
            <v>7.1449999999999996</v>
          </cell>
          <cell r="AI44">
            <v>4.5140000000000002</v>
          </cell>
          <cell r="AJ44">
            <v>2.2490000000000001</v>
          </cell>
          <cell r="AK44">
            <v>0.78</v>
          </cell>
          <cell r="AL44">
            <v>0.17299999999999999</v>
          </cell>
          <cell r="AM44">
            <v>2.1000000000000001E-2</v>
          </cell>
          <cell r="AN44">
            <v>1E-3</v>
          </cell>
          <cell r="AO44">
            <v>134.4</v>
          </cell>
          <cell r="AP44">
            <v>126.25700000000001</v>
          </cell>
          <cell r="AQ44">
            <v>118.883</v>
          </cell>
          <cell r="AR44">
            <v>110.629</v>
          </cell>
          <cell r="AS44">
            <v>98.125</v>
          </cell>
          <cell r="AT44">
            <v>85.997</v>
          </cell>
          <cell r="AU44">
            <v>76.147000000000006</v>
          </cell>
          <cell r="AV44">
            <v>67.954999999999998</v>
          </cell>
          <cell r="AW44">
            <v>60.308999999999997</v>
          </cell>
          <cell r="AX44">
            <v>50.268000000000001</v>
          </cell>
          <cell r="AY44">
            <v>39.131</v>
          </cell>
          <cell r="AZ44">
            <v>30.565999999999999</v>
          </cell>
          <cell r="BA44">
            <v>23.803000000000001</v>
          </cell>
          <cell r="BB44">
            <v>17.795000000000002</v>
          </cell>
          <cell r="BC44">
            <v>12.041</v>
          </cell>
          <cell r="BD44">
            <v>6.72</v>
          </cell>
          <cell r="BE44">
            <v>2.7919999999999998</v>
          </cell>
          <cell r="BF44">
            <v>1.026</v>
          </cell>
          <cell r="BG44">
            <v>0.23400000000000001</v>
          </cell>
          <cell r="BH44">
            <v>0.03</v>
          </cell>
          <cell r="BI44">
            <v>3.0000000000000001E-3</v>
          </cell>
          <cell r="BJ44">
            <v>14.202933549525929</v>
          </cell>
          <cell r="BK44">
            <v>13.124500485858359</v>
          </cell>
          <cell r="BL44">
            <v>11.692339537370845</v>
          </cell>
          <cell r="BM44">
            <v>10.302727131595743</v>
          </cell>
          <cell r="BN44">
            <v>9.1513865650101476</v>
          </cell>
          <cell r="BO44">
            <v>8.1951943145947261</v>
          </cell>
          <cell r="BP44">
            <v>7.3219142244378128</v>
          </cell>
          <cell r="BQ44">
            <v>6.1759784727373095</v>
          </cell>
          <cell r="BR44">
            <v>4.9053869904955754</v>
          </cell>
          <cell r="BS44">
            <v>3.953449594351393</v>
          </cell>
          <cell r="BT44">
            <v>3.2346092146343985</v>
          </cell>
          <cell r="BU44">
            <v>2.6177703413658082</v>
          </cell>
          <cell r="BV44">
            <v>2.0163409403227939</v>
          </cell>
          <cell r="BW44">
            <v>1.3939822561077282</v>
          </cell>
          <cell r="BX44">
            <v>0.82164685859509312</v>
          </cell>
          <cell r="BY44">
            <v>0.51909222109142761</v>
          </cell>
          <cell r="BZ44">
            <v>0.25862614205463463</v>
          </cell>
          <cell r="CA44">
            <v>8.9696927880220101E-2</v>
          </cell>
          <cell r="CB44">
            <v>1.9894318619587278E-2</v>
          </cell>
          <cell r="CC44">
            <v>2.4149172890828492E-3</v>
          </cell>
          <cell r="CD44">
            <v>1.1499606138489755E-4</v>
          </cell>
          <cell r="CE44">
            <v>12.642153681180687</v>
          </cell>
          <cell r="CF44">
            <v>11.876193432476414</v>
          </cell>
          <cell r="CG44">
            <v>11.182568125593777</v>
          </cell>
          <cell r="CH44">
            <v>10.406166812465315</v>
          </cell>
          <cell r="CI44">
            <v>9.2299950146268976</v>
          </cell>
          <cell r="CJ44">
            <v>8.0891911467298776</v>
          </cell>
          <cell r="CK44">
            <v>7.1626642586373954</v>
          </cell>
          <cell r="CL44">
            <v>6.3920948914035245</v>
          </cell>
          <cell r="CM44">
            <v>5.6728842734994496</v>
          </cell>
          <cell r="CN44">
            <v>4.7283912295058839</v>
          </cell>
          <cell r="CO44">
            <v>3.68080443227888</v>
          </cell>
          <cell r="CP44">
            <v>2.8751493260339949</v>
          </cell>
          <cell r="CQ44">
            <v>2.2389969053061303</v>
          </cell>
          <cell r="CR44">
            <v>1.673862535391446</v>
          </cell>
          <cell r="CS44">
            <v>1.1326203309158978</v>
          </cell>
          <cell r="CT44">
            <v>0.63210768405903439</v>
          </cell>
          <cell r="CU44">
            <v>0.26262569254357498</v>
          </cell>
          <cell r="CV44">
            <v>9.650929819115614E-2</v>
          </cell>
          <cell r="CW44">
            <v>2.2010892569912805E-2</v>
          </cell>
          <cell r="CX44">
            <v>2.821909303834975E-3</v>
          </cell>
          <cell r="CY44">
            <v>2.8219093038349749E-4</v>
          </cell>
          <cell r="CZ44">
            <v>100.00000000000003</v>
          </cell>
          <cell r="DA44">
            <v>99.999811872713067</v>
          </cell>
        </row>
        <row r="45">
          <cell r="B45" t="str">
            <v>CPV</v>
          </cell>
          <cell r="C45" t="str">
            <v>Sub-Saharan Africa</v>
          </cell>
          <cell r="D45" t="str">
            <v>Lower middle income</v>
          </cell>
          <cell r="E45" t="str">
            <v>Blend</v>
          </cell>
          <cell r="G45">
            <v>1</v>
          </cell>
          <cell r="H45">
            <v>132</v>
          </cell>
          <cell r="I45">
            <v>555.98800000000006</v>
          </cell>
          <cell r="J45">
            <v>561.90099999999995</v>
          </cell>
          <cell r="K45">
            <v>567.67600000000004</v>
          </cell>
          <cell r="L45">
            <v>573.322</v>
          </cell>
          <cell r="M45">
            <v>578.86800000000005</v>
          </cell>
          <cell r="N45">
            <v>584.31500000000005</v>
          </cell>
          <cell r="O45">
            <v>589.66800000000001</v>
          </cell>
          <cell r="P45">
            <v>594.93100000000004</v>
          </cell>
          <cell r="Q45">
            <v>600.08600000000001</v>
          </cell>
          <cell r="R45">
            <v>605.125</v>
          </cell>
          <cell r="S45">
            <v>610.06200000000001</v>
          </cell>
          <cell r="T45">
            <v>51.932000000000002</v>
          </cell>
          <cell r="U45">
            <v>53.143999999999998</v>
          </cell>
          <cell r="V45">
            <v>51.052999999999997</v>
          </cell>
          <cell r="W45">
            <v>48.884</v>
          </cell>
          <cell r="X45">
            <v>45.959000000000003</v>
          </cell>
          <cell r="Y45">
            <v>51.886000000000003</v>
          </cell>
          <cell r="Z45">
            <v>52.533000000000001</v>
          </cell>
          <cell r="AA45">
            <v>45.753</v>
          </cell>
          <cell r="AB45">
            <v>35.783999999999999</v>
          </cell>
          <cell r="AC45">
            <v>29.122</v>
          </cell>
          <cell r="AD45">
            <v>25.257000000000001</v>
          </cell>
          <cell r="AE45">
            <v>22.655000000000001</v>
          </cell>
          <cell r="AF45">
            <v>15.414</v>
          </cell>
          <cell r="AG45">
            <v>10.959</v>
          </cell>
          <cell r="AH45">
            <v>4.7309999999999999</v>
          </cell>
          <cell r="AI45">
            <v>4.3250000000000002</v>
          </cell>
          <cell r="AJ45">
            <v>3.8959999999999999</v>
          </cell>
          <cell r="AK45">
            <v>2.0819999999999999</v>
          </cell>
          <cell r="AL45">
            <v>0.56000000000000005</v>
          </cell>
          <cell r="AM45">
            <v>5.3999999999999999E-2</v>
          </cell>
          <cell r="AN45">
            <v>5.0000000000000001E-3</v>
          </cell>
          <cell r="AO45">
            <v>46.137</v>
          </cell>
          <cell r="AP45">
            <v>48.773000000000003</v>
          </cell>
          <cell r="AQ45">
            <v>51.186</v>
          </cell>
          <cell r="AR45">
            <v>50.601999999999997</v>
          </cell>
          <cell r="AS45">
            <v>44.598999999999997</v>
          </cell>
          <cell r="AT45">
            <v>43.109000000000002</v>
          </cell>
          <cell r="AU45">
            <v>45.145000000000003</v>
          </cell>
          <cell r="AV45">
            <v>53.018999999999998</v>
          </cell>
          <cell r="AW45">
            <v>52.902999999999999</v>
          </cell>
          <cell r="AX45">
            <v>45.317</v>
          </cell>
          <cell r="AY45">
            <v>34.808999999999997</v>
          </cell>
          <cell r="AZ45">
            <v>27.667000000000002</v>
          </cell>
          <cell r="BA45">
            <v>23.106999999999999</v>
          </cell>
          <cell r="BB45">
            <v>19.507999999999999</v>
          </cell>
          <cell r="BC45">
            <v>12.077999999999999</v>
          </cell>
          <cell r="BD45">
            <v>7.3419999999999996</v>
          </cell>
          <cell r="BE45">
            <v>2.4620000000000002</v>
          </cell>
          <cell r="BF45">
            <v>1.4650000000000001</v>
          </cell>
          <cell r="BG45">
            <v>0.67700000000000005</v>
          </cell>
          <cell r="BH45">
            <v>0.14499999999999999</v>
          </cell>
          <cell r="BI45">
            <v>1.2E-2</v>
          </cell>
          <cell r="BJ45">
            <v>9.3404893630797776</v>
          </cell>
          <cell r="BK45">
            <v>9.5584796794175411</v>
          </cell>
          <cell r="BL45">
            <v>9.1823924257358058</v>
          </cell>
          <cell r="BM45">
            <v>8.7922760922897609</v>
          </cell>
          <cell r="BN45">
            <v>8.2661856011280808</v>
          </cell>
          <cell r="BO45">
            <v>9.3322158032187748</v>
          </cell>
          <cell r="BP45">
            <v>9.4485852212637678</v>
          </cell>
          <cell r="BQ45">
            <v>8.2291344417505403</v>
          </cell>
          <cell r="BR45">
            <v>6.4361101318733489</v>
          </cell>
          <cell r="BS45">
            <v>5.2378828320035682</v>
          </cell>
          <cell r="BT45">
            <v>4.5427239436822378</v>
          </cell>
          <cell r="BU45">
            <v>4.0747282315445661</v>
          </cell>
          <cell r="BV45">
            <v>2.772361993424318</v>
          </cell>
          <cell r="BW45">
            <v>1.9710857068857599</v>
          </cell>
          <cell r="BX45">
            <v>0.85091764570458339</v>
          </cell>
          <cell r="BY45">
            <v>0.77789448693137253</v>
          </cell>
          <cell r="BZ45">
            <v>0.70073454822765957</v>
          </cell>
          <cell r="CA45">
            <v>0.37446851370892886</v>
          </cell>
          <cell r="CB45">
            <v>0.10072159830787715</v>
          </cell>
          <cell r="CC45">
            <v>9.7124398368310105E-3</v>
          </cell>
          <cell r="CD45">
            <v>8.9929998489176016E-4</v>
          </cell>
          <cell r="CE45">
            <v>7.5626739577288866</v>
          </cell>
          <cell r="CF45">
            <v>7.9947611882071001</v>
          </cell>
          <cell r="CG45">
            <v>8.3902947569263446</v>
          </cell>
          <cell r="CH45">
            <v>8.294566781736938</v>
          </cell>
          <cell r="CI45">
            <v>7.3105684340280153</v>
          </cell>
          <cell r="CJ45">
            <v>7.0663309630824411</v>
          </cell>
          <cell r="CK45">
            <v>7.4000675341194837</v>
          </cell>
          <cell r="CL45">
            <v>8.6907560215191229</v>
          </cell>
          <cell r="CM45">
            <v>8.6717415606938317</v>
          </cell>
          <cell r="CN45">
            <v>7.428261389825952</v>
          </cell>
          <cell r="CO45">
            <v>5.7058135074795668</v>
          </cell>
          <cell r="CP45">
            <v>4.5351128245981558</v>
          </cell>
          <cell r="CQ45">
            <v>3.7876478128452518</v>
          </cell>
          <cell r="CR45">
            <v>3.1977077739639577</v>
          </cell>
          <cell r="CS45">
            <v>1.9797987745507832</v>
          </cell>
          <cell r="CT45">
            <v>1.2034842360284692</v>
          </cell>
          <cell r="CU45">
            <v>0.40356553924027394</v>
          </cell>
          <cell r="CV45">
            <v>0.24013952680219391</v>
          </cell>
          <cell r="CW45">
            <v>0.11097232740278859</v>
          </cell>
          <cell r="CX45">
            <v>2.3768076031616455E-2</v>
          </cell>
          <cell r="CY45">
            <v>1.9670131888234314E-3</v>
          </cell>
          <cell r="CZ45">
            <v>99.999999999999986</v>
          </cell>
          <cell r="DA45">
            <v>99.998032986811182</v>
          </cell>
        </row>
        <row r="46">
          <cell r="B46" t="str">
            <v>CRI</v>
          </cell>
          <cell r="C46" t="str">
            <v>Latin America &amp; Caribbean</v>
          </cell>
          <cell r="D46" t="str">
            <v>Upper middle income</v>
          </cell>
          <cell r="E46" t="str">
            <v>IBRD</v>
          </cell>
          <cell r="G46">
            <v>0</v>
          </cell>
          <cell r="H46">
            <v>188</v>
          </cell>
          <cell r="I46">
            <v>5094.1099999999997</v>
          </cell>
          <cell r="J46">
            <v>5139.05</v>
          </cell>
          <cell r="K46">
            <v>5182.3500000000004</v>
          </cell>
          <cell r="L46">
            <v>5223.97</v>
          </cell>
          <cell r="M46">
            <v>5263.9</v>
          </cell>
          <cell r="N46">
            <v>5302.11</v>
          </cell>
          <cell r="O46">
            <v>5338.56</v>
          </cell>
          <cell r="P46">
            <v>5373.26</v>
          </cell>
          <cell r="Q46">
            <v>5406.32</v>
          </cell>
          <cell r="R46">
            <v>5437.87</v>
          </cell>
          <cell r="S46">
            <v>5468.04</v>
          </cell>
          <cell r="T46">
            <v>348.00200000000001</v>
          </cell>
          <cell r="U46">
            <v>357.596</v>
          </cell>
          <cell r="V46">
            <v>355.40600000000001</v>
          </cell>
          <cell r="W46">
            <v>363.43099999999998</v>
          </cell>
          <cell r="X46">
            <v>400.23099999999999</v>
          </cell>
          <cell r="Y46">
            <v>424.22500000000002</v>
          </cell>
          <cell r="Z46">
            <v>430.58100000000002</v>
          </cell>
          <cell r="AA46">
            <v>395.07400000000001</v>
          </cell>
          <cell r="AB46">
            <v>348.23599999999999</v>
          </cell>
          <cell r="AC46">
            <v>302.32600000000002</v>
          </cell>
          <cell r="AD46">
            <v>304.94200000000001</v>
          </cell>
          <cell r="AE46">
            <v>297.45299999999997</v>
          </cell>
          <cell r="AF46">
            <v>244.30699999999999</v>
          </cell>
          <cell r="AG46">
            <v>178.70099999999999</v>
          </cell>
          <cell r="AH46">
            <v>138.63999999999999</v>
          </cell>
          <cell r="AI46">
            <v>92.224999999999994</v>
          </cell>
          <cell r="AJ46">
            <v>59.91</v>
          </cell>
          <cell r="AK46">
            <v>33.380000000000003</v>
          </cell>
          <cell r="AL46">
            <v>14.689</v>
          </cell>
          <cell r="AM46">
            <v>4.1269999999999998</v>
          </cell>
          <cell r="AN46">
            <v>0.63200000000000001</v>
          </cell>
          <cell r="AO46">
            <v>306.78500000000003</v>
          </cell>
          <cell r="AP46">
            <v>327.77600000000001</v>
          </cell>
          <cell r="AQ46">
            <v>348.82600000000002</v>
          </cell>
          <cell r="AR46">
            <v>359.80099999999999</v>
          </cell>
          <cell r="AS46">
            <v>358.08699999999999</v>
          </cell>
          <cell r="AT46">
            <v>365.94799999999998</v>
          </cell>
          <cell r="AU46">
            <v>402</v>
          </cell>
          <cell r="AV46">
            <v>424.697</v>
          </cell>
          <cell r="AW46">
            <v>429.21199999999999</v>
          </cell>
          <cell r="AX46">
            <v>391.70699999999999</v>
          </cell>
          <cell r="AY46">
            <v>342.45</v>
          </cell>
          <cell r="AZ46">
            <v>293.70100000000002</v>
          </cell>
          <cell r="BA46">
            <v>290.72699999999998</v>
          </cell>
          <cell r="BB46">
            <v>275.49599999999998</v>
          </cell>
          <cell r="BC46">
            <v>216.19300000000001</v>
          </cell>
          <cell r="BD46">
            <v>146.73500000000001</v>
          </cell>
          <cell r="BE46">
            <v>100.13500000000001</v>
          </cell>
          <cell r="BF46">
            <v>53.793999999999997</v>
          </cell>
          <cell r="BG46">
            <v>24.704999999999998</v>
          </cell>
          <cell r="BH46">
            <v>7.8869999999999996</v>
          </cell>
          <cell r="BI46">
            <v>1.38</v>
          </cell>
          <cell r="BJ46">
            <v>6.8314582920274596</v>
          </cell>
          <cell r="BK46">
            <v>7.0197934477268848</v>
          </cell>
          <cell r="BL46">
            <v>6.976802621066291</v>
          </cell>
          <cell r="BM46">
            <v>7.1343374995828519</v>
          </cell>
          <cell r="BN46">
            <v>7.8567404315964913</v>
          </cell>
          <cell r="BO46">
            <v>8.3277549954751677</v>
          </cell>
          <cell r="BP46">
            <v>8.4525265453631739</v>
          </cell>
          <cell r="BQ46">
            <v>7.755505868542298</v>
          </cell>
          <cell r="BR46">
            <v>6.836051832410373</v>
          </cell>
          <cell r="BS46">
            <v>5.9348149136944439</v>
          </cell>
          <cell r="BT46">
            <v>5.9861683395136742</v>
          </cell>
          <cell r="BU46">
            <v>5.8391554167460065</v>
          </cell>
          <cell r="BV46">
            <v>4.7958720954200045</v>
          </cell>
          <cell r="BW46">
            <v>3.5079925639611238</v>
          </cell>
          <cell r="BX46">
            <v>2.7215745243035583</v>
          </cell>
          <cell r="BY46">
            <v>1.8104241957868989</v>
          </cell>
          <cell r="BZ46">
            <v>1.1760641211124219</v>
          </cell>
          <cell r="CA46">
            <v>0.65526657257106746</v>
          </cell>
          <cell r="CB46">
            <v>0.28835262685729207</v>
          </cell>
          <cell r="CC46">
            <v>8.1015133163594821E-2</v>
          </cell>
          <cell r="CD46">
            <v>1.240648513675598E-2</v>
          </cell>
          <cell r="CE46">
            <v>5.6105112618049615</v>
          </cell>
          <cell r="CF46">
            <v>5.994396529652307</v>
          </cell>
          <cell r="CG46">
            <v>6.3793607947271793</v>
          </cell>
          <cell r="CH46">
            <v>6.5800725671355726</v>
          </cell>
          <cell r="CI46">
            <v>6.548726783271519</v>
          </cell>
          <cell r="CJ46">
            <v>6.6924894477728758</v>
          </cell>
          <cell r="CK46">
            <v>7.351811618056928</v>
          </cell>
          <cell r="CL46">
            <v>7.7668963650595098</v>
          </cell>
          <cell r="CM46">
            <v>7.8494670850981345</v>
          </cell>
          <cell r="CN46">
            <v>7.1635723220751863</v>
          </cell>
          <cell r="CO46">
            <v>6.2627559417999867</v>
          </cell>
          <cell r="CP46">
            <v>5.3712299105346712</v>
          </cell>
          <cell r="CQ46">
            <v>5.3168411350319307</v>
          </cell>
          <cell r="CR46">
            <v>5.0382952575328632</v>
          </cell>
          <cell r="CS46">
            <v>3.9537567391606498</v>
          </cell>
          <cell r="CT46">
            <v>2.6835026810337892</v>
          </cell>
          <cell r="CU46">
            <v>1.8312777521744539</v>
          </cell>
          <cell r="CV46">
            <v>0.98378943826307053</v>
          </cell>
          <cell r="CW46">
            <v>0.45180722891566261</v>
          </cell>
          <cell r="CX46">
            <v>0.1442381548050124</v>
          </cell>
          <cell r="CY46">
            <v>2.5237562270941691E-2</v>
          </cell>
          <cell r="CZ46">
            <v>100.00007852205782</v>
          </cell>
          <cell r="DA46">
            <v>99.974799013906278</v>
          </cell>
        </row>
        <row r="47">
          <cell r="B47" t="str">
            <v>CUB</v>
          </cell>
          <cell r="C47" t="str">
            <v>Latin America &amp; Caribbean</v>
          </cell>
          <cell r="D47" t="str">
            <v>Upper middle income</v>
          </cell>
          <cell r="G47">
            <v>0</v>
          </cell>
          <cell r="H47">
            <v>192</v>
          </cell>
          <cell r="I47">
            <v>11326.6</v>
          </cell>
          <cell r="J47">
            <v>11317.5</v>
          </cell>
          <cell r="K47">
            <v>11305.6</v>
          </cell>
          <cell r="L47">
            <v>11291.4</v>
          </cell>
          <cell r="M47">
            <v>11275.1</v>
          </cell>
          <cell r="N47">
            <v>11257</v>
          </cell>
          <cell r="O47">
            <v>11237.4</v>
          </cell>
          <cell r="P47">
            <v>11216.2</v>
          </cell>
          <cell r="Q47">
            <v>11193.4</v>
          </cell>
          <cell r="R47">
            <v>11168.8</v>
          </cell>
          <cell r="S47">
            <v>11142.3</v>
          </cell>
          <cell r="T47">
            <v>571.28300000000002</v>
          </cell>
          <cell r="U47">
            <v>628.09299999999996</v>
          </cell>
          <cell r="V47">
            <v>603.90300000000002</v>
          </cell>
          <cell r="W47">
            <v>642.82899999999995</v>
          </cell>
          <cell r="X47">
            <v>701.26800000000003</v>
          </cell>
          <cell r="Y47">
            <v>719.75099999999998</v>
          </cell>
          <cell r="Z47">
            <v>831.04100000000005</v>
          </cell>
          <cell r="AA47">
            <v>691.99199999999996</v>
          </cell>
          <cell r="AB47">
            <v>617.64400000000001</v>
          </cell>
          <cell r="AC47">
            <v>944.33799999999997</v>
          </cell>
          <cell r="AD47">
            <v>998.47400000000005</v>
          </cell>
          <cell r="AE47">
            <v>968.82100000000003</v>
          </cell>
          <cell r="AF47">
            <v>606.99400000000003</v>
          </cell>
          <cell r="AG47">
            <v>567.02800000000002</v>
          </cell>
          <cell r="AH47">
            <v>449.12900000000002</v>
          </cell>
          <cell r="AI47">
            <v>355.07799999999997</v>
          </cell>
          <cell r="AJ47">
            <v>229.56399999999999</v>
          </cell>
          <cell r="AK47">
            <v>121.626</v>
          </cell>
          <cell r="AL47">
            <v>56.177999999999997</v>
          </cell>
          <cell r="AM47">
            <v>18.439</v>
          </cell>
          <cell r="AN47">
            <v>3.1429999999999998</v>
          </cell>
          <cell r="AO47">
            <v>490.74200000000002</v>
          </cell>
          <cell r="AP47">
            <v>524.15</v>
          </cell>
          <cell r="AQ47">
            <v>568.19799999999998</v>
          </cell>
          <cell r="AR47">
            <v>622.29200000000003</v>
          </cell>
          <cell r="AS47">
            <v>589.83600000000001</v>
          </cell>
          <cell r="AT47">
            <v>623.38099999999997</v>
          </cell>
          <cell r="AU47">
            <v>682.91700000000003</v>
          </cell>
          <cell r="AV47">
            <v>704.14499999999998</v>
          </cell>
          <cell r="AW47">
            <v>815.53800000000001</v>
          </cell>
          <cell r="AX47">
            <v>676.18399999999997</v>
          </cell>
          <cell r="AY47">
            <v>598.19000000000005</v>
          </cell>
          <cell r="AZ47">
            <v>902.29100000000005</v>
          </cell>
          <cell r="BA47">
            <v>931.44899999999996</v>
          </cell>
          <cell r="BB47">
            <v>869.40899999999999</v>
          </cell>
          <cell r="BC47">
            <v>514.15099999999995</v>
          </cell>
          <cell r="BD47">
            <v>441.07</v>
          </cell>
          <cell r="BE47">
            <v>299.17</v>
          </cell>
          <cell r="BF47">
            <v>180.91499999999999</v>
          </cell>
          <cell r="BG47">
            <v>79.200999999999993</v>
          </cell>
          <cell r="BH47">
            <v>24.646000000000001</v>
          </cell>
          <cell r="BI47">
            <v>4.4530000000000003</v>
          </cell>
          <cell r="BJ47">
            <v>5.0437289213003025</v>
          </cell>
          <cell r="BK47">
            <v>5.5452916144297486</v>
          </cell>
          <cell r="BL47">
            <v>5.3317235534052587</v>
          </cell>
          <cell r="BM47">
            <v>5.6753924390373101</v>
          </cell>
          <cell r="BN47">
            <v>6.1913372062225207</v>
          </cell>
          <cell r="BO47">
            <v>6.3545194497907573</v>
          </cell>
          <cell r="BP47">
            <v>7.3370737908993</v>
          </cell>
          <cell r="BQ47">
            <v>6.1094414917097799</v>
          </cell>
          <cell r="BR47">
            <v>5.4530397471438912</v>
          </cell>
          <cell r="BS47">
            <v>8.3373474829163197</v>
          </cell>
          <cell r="BT47">
            <v>8.8153020323839453</v>
          </cell>
          <cell r="BU47">
            <v>8.5535023749404058</v>
          </cell>
          <cell r="BV47">
            <v>5.3590132961347621</v>
          </cell>
          <cell r="BW47">
            <v>5.0061624847703632</v>
          </cell>
          <cell r="BX47">
            <v>3.965258771387707</v>
          </cell>
          <cell r="BY47">
            <v>3.1349036780675577</v>
          </cell>
          <cell r="BZ47">
            <v>2.0267688450196877</v>
          </cell>
          <cell r="CA47">
            <v>1.0738085568484805</v>
          </cell>
          <cell r="CB47">
            <v>0.49598290749209822</v>
          </cell>
          <cell r="CC47">
            <v>0.16279377747956139</v>
          </cell>
          <cell r="CD47">
            <v>2.7748839016121338E-2</v>
          </cell>
          <cell r="CE47">
            <v>4.4043150875492492</v>
          </cell>
          <cell r="CF47">
            <v>4.7041454636834406</v>
          </cell>
          <cell r="CG47">
            <v>5.0994677939025159</v>
          </cell>
          <cell r="CH47">
            <v>5.584951042423917</v>
          </cell>
          <cell r="CI47">
            <v>5.2936646832341623</v>
          </cell>
          <cell r="CJ47">
            <v>5.594724608025273</v>
          </cell>
          <cell r="CK47">
            <v>6.1290487601303152</v>
          </cell>
          <cell r="CL47">
            <v>6.3195659782989146</v>
          </cell>
          <cell r="CM47">
            <v>7.3192967340674739</v>
          </cell>
          <cell r="CN47">
            <v>6.0686213797869382</v>
          </cell>
          <cell r="CO47">
            <v>5.3686402268831399</v>
          </cell>
          <cell r="CP47">
            <v>8.0978882277447219</v>
          </cell>
          <cell r="CQ47">
            <v>8.3595756710912479</v>
          </cell>
          <cell r="CR47">
            <v>7.8027786004684856</v>
          </cell>
          <cell r="CS47">
            <v>4.6144063613437076</v>
          </cell>
          <cell r="CT47">
            <v>3.9585184387424506</v>
          </cell>
          <cell r="CU47">
            <v>2.6849932240201757</v>
          </cell>
          <cell r="CV47">
            <v>1.6236773377130396</v>
          </cell>
          <cell r="CW47">
            <v>0.71081374581549595</v>
          </cell>
          <cell r="CX47">
            <v>0.22119311093759816</v>
          </cell>
          <cell r="CY47">
            <v>3.9964818753758201E-2</v>
          </cell>
          <cell r="CZ47">
            <v>100.00014126039586</v>
          </cell>
          <cell r="DA47">
            <v>99.960286475862247</v>
          </cell>
        </row>
        <row r="48">
          <cell r="B48" t="str">
            <v>CUW</v>
          </cell>
          <cell r="C48" t="str">
            <v>Latin America &amp; Caribbean</v>
          </cell>
          <cell r="D48" t="str">
            <v>High income</v>
          </cell>
          <cell r="G48">
            <v>0</v>
          </cell>
          <cell r="H48">
            <v>531</v>
          </cell>
          <cell r="I48">
            <v>164.1</v>
          </cell>
          <cell r="J48">
            <v>164.79599999999999</v>
          </cell>
          <cell r="K48">
            <v>165.53100000000001</v>
          </cell>
          <cell r="L48">
            <v>166.27699999999999</v>
          </cell>
          <cell r="M48">
            <v>166.999</v>
          </cell>
          <cell r="N48">
            <v>167.691</v>
          </cell>
          <cell r="O48">
            <v>168.33600000000001</v>
          </cell>
          <cell r="P48">
            <v>168.964</v>
          </cell>
          <cell r="Q48">
            <v>169.58</v>
          </cell>
          <cell r="R48">
            <v>170.14500000000001</v>
          </cell>
          <cell r="S48">
            <v>170.703</v>
          </cell>
          <cell r="T48">
            <v>8.9960000000000004</v>
          </cell>
          <cell r="U48">
            <v>10.335000000000001</v>
          </cell>
          <cell r="V48">
            <v>10.497</v>
          </cell>
          <cell r="W48">
            <v>11.077</v>
          </cell>
          <cell r="X48">
            <v>9.5009999999999994</v>
          </cell>
          <cell r="Y48">
            <v>10.037000000000001</v>
          </cell>
          <cell r="Z48">
            <v>9.3279999999999994</v>
          </cell>
          <cell r="AA48">
            <v>9.3949999999999996</v>
          </cell>
          <cell r="AB48">
            <v>9.2360000000000007</v>
          </cell>
          <cell r="AC48">
            <v>11.045</v>
          </cell>
          <cell r="AD48">
            <v>11.638999999999999</v>
          </cell>
          <cell r="AE48">
            <v>12.787000000000001</v>
          </cell>
          <cell r="AF48">
            <v>11.234</v>
          </cell>
          <cell r="AG48">
            <v>9.4710000000000001</v>
          </cell>
          <cell r="AH48">
            <v>7.7869999999999999</v>
          </cell>
          <cell r="AI48">
            <v>5.218</v>
          </cell>
          <cell r="AJ48">
            <v>3.516</v>
          </cell>
          <cell r="AK48">
            <v>1.911</v>
          </cell>
          <cell r="AL48">
            <v>0.79500000000000004</v>
          </cell>
          <cell r="AM48">
            <v>0.249</v>
          </cell>
          <cell r="AN48">
            <v>4.5999999999999999E-2</v>
          </cell>
          <cell r="AO48">
            <v>9.19</v>
          </cell>
          <cell r="AP48">
            <v>9.1709999999999994</v>
          </cell>
          <cell r="AQ48">
            <v>9.2210000000000001</v>
          </cell>
          <cell r="AR48">
            <v>10.518000000000001</v>
          </cell>
          <cell r="AS48">
            <v>9.5419999999999998</v>
          </cell>
          <cell r="AT48">
            <v>10.894</v>
          </cell>
          <cell r="AU48">
            <v>10.984999999999999</v>
          </cell>
          <cell r="AV48">
            <v>11.067</v>
          </cell>
          <cell r="AW48">
            <v>9.9870000000000001</v>
          </cell>
          <cell r="AX48">
            <v>9.7590000000000003</v>
          </cell>
          <cell r="AY48">
            <v>9.35</v>
          </cell>
          <cell r="AZ48">
            <v>10.85</v>
          </cell>
          <cell r="BA48">
            <v>11.115</v>
          </cell>
          <cell r="BB48">
            <v>11.769</v>
          </cell>
          <cell r="BC48">
            <v>9.7810000000000006</v>
          </cell>
          <cell r="BD48">
            <v>7.5309999999999997</v>
          </cell>
          <cell r="BE48">
            <v>5.3390000000000004</v>
          </cell>
          <cell r="BF48">
            <v>2.8290000000000002</v>
          </cell>
          <cell r="BG48">
            <v>1.3120000000000001</v>
          </cell>
          <cell r="BH48">
            <v>0.40799999999999997</v>
          </cell>
          <cell r="BI48">
            <v>8.5000000000000006E-2</v>
          </cell>
          <cell r="BJ48">
            <v>5.4820231566118229</v>
          </cell>
          <cell r="BK48">
            <v>6.297989031078612</v>
          </cell>
          <cell r="BL48">
            <v>6.3967093235831811</v>
          </cell>
          <cell r="BM48">
            <v>6.7501523461304087</v>
          </cell>
          <cell r="BN48">
            <v>5.789762340036563</v>
          </cell>
          <cell r="BO48">
            <v>6.1163924436319324</v>
          </cell>
          <cell r="BP48">
            <v>5.6843388177940275</v>
          </cell>
          <cell r="BQ48">
            <v>5.7251675807434488</v>
          </cell>
          <cell r="BR48">
            <v>5.6282754418037788</v>
          </cell>
          <cell r="BS48">
            <v>6.7306520414381481</v>
          </cell>
          <cell r="BT48">
            <v>7.0926264472882385</v>
          </cell>
          <cell r="BU48">
            <v>7.7921998781230961</v>
          </cell>
          <cell r="BV48">
            <v>6.8458257160268126</v>
          </cell>
          <cell r="BW48">
            <v>5.7714808043875685</v>
          </cell>
          <cell r="BX48">
            <v>4.7452772699573433</v>
          </cell>
          <cell r="BY48">
            <v>3.1797684338817791</v>
          </cell>
          <cell r="BZ48">
            <v>2.1425959780621571</v>
          </cell>
          <cell r="CA48">
            <v>1.1645338208409506</v>
          </cell>
          <cell r="CB48">
            <v>0.48446069469835468</v>
          </cell>
          <cell r="CC48">
            <v>0.15173674588665448</v>
          </cell>
          <cell r="CD48">
            <v>2.8031687995124926E-2</v>
          </cell>
          <cell r="CE48">
            <v>5.3836195028792693</v>
          </cell>
          <cell r="CF48">
            <v>5.3724890599462221</v>
          </cell>
          <cell r="CG48">
            <v>5.4017796992437157</v>
          </cell>
          <cell r="CH48">
            <v>6.1615788826206925</v>
          </cell>
          <cell r="CI48">
            <v>5.5898256035336225</v>
          </cell>
          <cell r="CJ48">
            <v>6.3818444901378415</v>
          </cell>
          <cell r="CK48">
            <v>6.4351534536592787</v>
          </cell>
          <cell r="CL48">
            <v>6.4831901021071685</v>
          </cell>
          <cell r="CM48">
            <v>5.8505122932813132</v>
          </cell>
          <cell r="CN48">
            <v>5.7169469780847439</v>
          </cell>
          <cell r="CO48">
            <v>5.4773495486312482</v>
          </cell>
          <cell r="CP48">
            <v>6.356068727556047</v>
          </cell>
          <cell r="CQ48">
            <v>6.5113091158327627</v>
          </cell>
          <cell r="CR48">
            <v>6.8944306778439737</v>
          </cell>
          <cell r="CS48">
            <v>5.7298348593756412</v>
          </cell>
          <cell r="CT48">
            <v>4.4117560909884421</v>
          </cell>
          <cell r="CU48">
            <v>3.1276544641863357</v>
          </cell>
          <cell r="CV48">
            <v>1.6572643714521713</v>
          </cell>
          <cell r="CW48">
            <v>0.76858637516622441</v>
          </cell>
          <cell r="CX48">
            <v>0.23901161666754536</v>
          </cell>
          <cell r="CY48">
            <v>4.979408680573863E-2</v>
          </cell>
          <cell r="CZ48">
            <v>100</v>
          </cell>
          <cell r="DA48">
            <v>99.950205913194253</v>
          </cell>
        </row>
        <row r="49">
          <cell r="B49" t="str">
            <v>CYP</v>
          </cell>
          <cell r="C49" t="str">
            <v>Europe &amp; Central Asia</v>
          </cell>
          <cell r="D49" t="str">
            <v>High income</v>
          </cell>
          <cell r="F49" t="str">
            <v>EMU</v>
          </cell>
          <cell r="G49">
            <v>0</v>
          </cell>
          <cell r="H49">
            <v>196</v>
          </cell>
          <cell r="I49">
            <v>1207.3599999999999</v>
          </cell>
          <cell r="J49">
            <v>1215.5899999999999</v>
          </cell>
          <cell r="K49">
            <v>1223.3900000000001</v>
          </cell>
          <cell r="L49">
            <v>1230.79</v>
          </cell>
          <cell r="M49">
            <v>1237.8699999999999</v>
          </cell>
          <cell r="N49">
            <v>1244.67</v>
          </cell>
          <cell r="O49">
            <v>1251.21</v>
          </cell>
          <cell r="P49">
            <v>1257.47</v>
          </cell>
          <cell r="Q49">
            <v>1263.5</v>
          </cell>
          <cell r="R49">
            <v>1269.32</v>
          </cell>
          <cell r="S49">
            <v>1274.97</v>
          </cell>
          <cell r="T49">
            <v>64.816999999999993</v>
          </cell>
          <cell r="U49">
            <v>67.575999999999993</v>
          </cell>
          <cell r="V49">
            <v>67.754999999999995</v>
          </cell>
          <cell r="W49">
            <v>73.902000000000001</v>
          </cell>
          <cell r="X49">
            <v>93.462000000000003</v>
          </cell>
          <cell r="Y49">
            <v>98.34</v>
          </cell>
          <cell r="Z49">
            <v>96.456000000000003</v>
          </cell>
          <cell r="AA49">
            <v>91.933000000000007</v>
          </cell>
          <cell r="AB49">
            <v>87.236999999999995</v>
          </cell>
          <cell r="AC49">
            <v>79.391000000000005</v>
          </cell>
          <cell r="AD49">
            <v>75.781999999999996</v>
          </cell>
          <cell r="AE49">
            <v>71.756</v>
          </cell>
          <cell r="AF49">
            <v>64.989000000000004</v>
          </cell>
          <cell r="AG49">
            <v>55.411999999999999</v>
          </cell>
          <cell r="AH49">
            <v>45.844000000000001</v>
          </cell>
          <cell r="AI49">
            <v>32.837000000000003</v>
          </cell>
          <cell r="AJ49">
            <v>23.170999999999999</v>
          </cell>
          <cell r="AK49">
            <v>11.478999999999999</v>
          </cell>
          <cell r="AL49">
            <v>4.2690000000000001</v>
          </cell>
          <cell r="AM49">
            <v>0.85399999999999998</v>
          </cell>
          <cell r="AN49">
            <v>9.9000000000000005E-2</v>
          </cell>
          <cell r="AO49">
            <v>55.936999999999998</v>
          </cell>
          <cell r="AP49">
            <v>59.954999999999998</v>
          </cell>
          <cell r="AQ49">
            <v>67.102000000000004</v>
          </cell>
          <cell r="AR49">
            <v>73.600999999999999</v>
          </cell>
          <cell r="AS49">
            <v>79.388000000000005</v>
          </cell>
          <cell r="AT49">
            <v>85.334000000000003</v>
          </cell>
          <cell r="AU49">
            <v>91.198999999999998</v>
          </cell>
          <cell r="AV49">
            <v>94.248999999999995</v>
          </cell>
          <cell r="AW49">
            <v>96.152000000000001</v>
          </cell>
          <cell r="AX49">
            <v>93.923000000000002</v>
          </cell>
          <cell r="AY49">
            <v>89.402000000000001</v>
          </cell>
          <cell r="AZ49">
            <v>80.784999999999997</v>
          </cell>
          <cell r="BA49">
            <v>75.712999999999994</v>
          </cell>
          <cell r="BB49">
            <v>69.332999999999998</v>
          </cell>
          <cell r="BC49">
            <v>59.627000000000002</v>
          </cell>
          <cell r="BD49">
            <v>45.478999999999999</v>
          </cell>
          <cell r="BE49">
            <v>32.203000000000003</v>
          </cell>
          <cell r="BF49">
            <v>17.084</v>
          </cell>
          <cell r="BG49">
            <v>6.7729999999999997</v>
          </cell>
          <cell r="BH49">
            <v>1.5409999999999999</v>
          </cell>
          <cell r="BI49">
            <v>0.193</v>
          </cell>
          <cell r="BJ49">
            <v>5.3684899284389074</v>
          </cell>
          <cell r="BK49">
            <v>5.5970050357805459</v>
          </cell>
          <cell r="BL49">
            <v>5.6118307712695472</v>
          </cell>
          <cell r="BM49">
            <v>6.1209581235091441</v>
          </cell>
          <cell r="BN49">
            <v>7.7410217333686733</v>
          </cell>
          <cell r="BO49">
            <v>8.1450437317784274</v>
          </cell>
          <cell r="BP49">
            <v>7.9890007951232453</v>
          </cell>
          <cell r="BQ49">
            <v>7.6143817916777117</v>
          </cell>
          <cell r="BR49">
            <v>7.2254340047707393</v>
          </cell>
          <cell r="BS49">
            <v>6.575586403392526</v>
          </cell>
          <cell r="BT49">
            <v>6.2766697588126155</v>
          </cell>
          <cell r="BU49">
            <v>5.9432149483169896</v>
          </cell>
          <cell r="BV49">
            <v>5.3827358865624184</v>
          </cell>
          <cell r="BW49">
            <v>4.5895176252319114</v>
          </cell>
          <cell r="BX49">
            <v>3.7970447919427519</v>
          </cell>
          <cell r="BY49">
            <v>2.7197356215213362</v>
          </cell>
          <cell r="BZ49">
            <v>1.919145905115293</v>
          </cell>
          <cell r="CA49">
            <v>0.9507520540683807</v>
          </cell>
          <cell r="CB49">
            <v>0.35358136761197989</v>
          </cell>
          <cell r="CC49">
            <v>7.0732838589981445E-2</v>
          </cell>
          <cell r="CD49">
            <v>8.1997084548104966E-3</v>
          </cell>
          <cell r="CE49">
            <v>4.3873189173078577</v>
          </cell>
          <cell r="CF49">
            <v>4.7024635873785261</v>
          </cell>
          <cell r="CG49">
            <v>5.2630257966854126</v>
          </cell>
          <cell r="CH49">
            <v>5.7727632807046438</v>
          </cell>
          <cell r="CI49">
            <v>6.226656313481886</v>
          </cell>
          <cell r="CJ49">
            <v>6.6930202279269322</v>
          </cell>
          <cell r="CK49">
            <v>7.1530310517110198</v>
          </cell>
          <cell r="CL49">
            <v>7.392252366722353</v>
          </cell>
          <cell r="CM49">
            <v>7.5415107806458188</v>
          </cell>
          <cell r="CN49">
            <v>7.3666831376424549</v>
          </cell>
          <cell r="CO49">
            <v>7.0120865588994246</v>
          </cell>
          <cell r="CP49">
            <v>6.3362275190788795</v>
          </cell>
          <cell r="CQ49">
            <v>5.9384142371977378</v>
          </cell>
          <cell r="CR49">
            <v>5.4380103061248501</v>
          </cell>
          <cell r="CS49">
            <v>4.6767374918625535</v>
          </cell>
          <cell r="CT49">
            <v>3.5670643230821115</v>
          </cell>
          <cell r="CU49">
            <v>2.5257849204295004</v>
          </cell>
          <cell r="CV49">
            <v>1.3399530969356139</v>
          </cell>
          <cell r="CW49">
            <v>0.53122818576123354</v>
          </cell>
          <cell r="CX49">
            <v>0.12086558899425084</v>
          </cell>
          <cell r="CY49">
            <v>1.5137611081045044E-2</v>
          </cell>
          <cell r="CZ49">
            <v>100.00008282533791</v>
          </cell>
          <cell r="DA49">
            <v>99.985097688573049</v>
          </cell>
        </row>
        <row r="50">
          <cell r="B50" t="str">
            <v>CZE</v>
          </cell>
          <cell r="C50" t="str">
            <v>Europe &amp; Central Asia</v>
          </cell>
          <cell r="D50" t="str">
            <v>High income</v>
          </cell>
          <cell r="G50">
            <v>0</v>
          </cell>
          <cell r="H50">
            <v>203</v>
          </cell>
          <cell r="I50">
            <v>10709</v>
          </cell>
          <cell r="J50">
            <v>10724.6</v>
          </cell>
          <cell r="K50">
            <v>10736.8</v>
          </cell>
          <cell r="L50">
            <v>10745.9</v>
          </cell>
          <cell r="M50">
            <v>10752.4</v>
          </cell>
          <cell r="N50">
            <v>10756.7</v>
          </cell>
          <cell r="O50">
            <v>10758.8</v>
          </cell>
          <cell r="P50">
            <v>10758.6</v>
          </cell>
          <cell r="Q50">
            <v>10756.2</v>
          </cell>
          <cell r="R50">
            <v>10751.5</v>
          </cell>
          <cell r="S50">
            <v>10744.8</v>
          </cell>
          <cell r="T50">
            <v>558.80999999999995</v>
          </cell>
          <cell r="U50">
            <v>554.83600000000001</v>
          </cell>
          <cell r="V50">
            <v>573.61300000000006</v>
          </cell>
          <cell r="W50">
            <v>487.71800000000002</v>
          </cell>
          <cell r="X50">
            <v>471.39699999999999</v>
          </cell>
          <cell r="Y50">
            <v>633.94200000000001</v>
          </cell>
          <cell r="Z50">
            <v>716.91600000000005</v>
          </cell>
          <cell r="AA50">
            <v>761.29399999999998</v>
          </cell>
          <cell r="AB50">
            <v>930.40700000000004</v>
          </cell>
          <cell r="AC50">
            <v>867.947</v>
          </cell>
          <cell r="AD50">
            <v>693.99699999999996</v>
          </cell>
          <cell r="AE50">
            <v>657.27300000000002</v>
          </cell>
          <cell r="AF50">
            <v>643.72199999999998</v>
          </cell>
          <cell r="AG50">
            <v>680.89499999999998</v>
          </cell>
          <cell r="AH50">
            <v>612.77499999999998</v>
          </cell>
          <cell r="AI50">
            <v>418.32400000000001</v>
          </cell>
          <cell r="AJ50">
            <v>235.46299999999999</v>
          </cell>
          <cell r="AK50">
            <v>143.81299999999999</v>
          </cell>
          <cell r="AL50">
            <v>54.173999999999999</v>
          </cell>
          <cell r="AM50">
            <v>11.279</v>
          </cell>
          <cell r="AN50">
            <v>0.38700000000000001</v>
          </cell>
          <cell r="AO50">
            <v>492.61200000000002</v>
          </cell>
          <cell r="AP50">
            <v>527.75900000000001</v>
          </cell>
          <cell r="AQ50">
            <v>565.89400000000001</v>
          </cell>
          <cell r="AR50">
            <v>564.13400000000001</v>
          </cell>
          <cell r="AS50">
            <v>596.31200000000001</v>
          </cell>
          <cell r="AT50">
            <v>523.53700000000003</v>
          </cell>
          <cell r="AU50">
            <v>507.75700000000001</v>
          </cell>
          <cell r="AV50">
            <v>660.75199999999995</v>
          </cell>
          <cell r="AW50">
            <v>732.40200000000004</v>
          </cell>
          <cell r="AX50">
            <v>765.66099999999994</v>
          </cell>
          <cell r="AY50">
            <v>920.01300000000003</v>
          </cell>
          <cell r="AZ50">
            <v>843.51400000000001</v>
          </cell>
          <cell r="BA50">
            <v>657.05700000000002</v>
          </cell>
          <cell r="BB50">
            <v>597.36199999999997</v>
          </cell>
          <cell r="BC50">
            <v>552.89800000000002</v>
          </cell>
          <cell r="BD50">
            <v>537.529</v>
          </cell>
          <cell r="BE50">
            <v>413.762</v>
          </cell>
          <cell r="BF50">
            <v>204.90899999999999</v>
          </cell>
          <cell r="BG50">
            <v>64.075000000000003</v>
          </cell>
          <cell r="BH50">
            <v>15.359</v>
          </cell>
          <cell r="BI50">
            <v>1.532</v>
          </cell>
          <cell r="BJ50">
            <v>5.2181342795779244</v>
          </cell>
          <cell r="BK50">
            <v>5.1810253058175366</v>
          </cell>
          <cell r="BL50">
            <v>5.3563638061443655</v>
          </cell>
          <cell r="BM50">
            <v>4.5542814455131193</v>
          </cell>
          <cell r="BN50">
            <v>4.4018769259501349</v>
          </cell>
          <cell r="BO50">
            <v>5.9197123914464465</v>
          </cell>
          <cell r="BP50">
            <v>6.6945186291904006</v>
          </cell>
          <cell r="BQ50">
            <v>7.1089177327481563</v>
          </cell>
          <cell r="BR50">
            <v>8.688084788495658</v>
          </cell>
          <cell r="BS50">
            <v>8.1048370529461202</v>
          </cell>
          <cell r="BT50">
            <v>6.4805023811747127</v>
          </cell>
          <cell r="BU50">
            <v>6.1375758707629098</v>
          </cell>
          <cell r="BV50">
            <v>6.0110374451396016</v>
          </cell>
          <cell r="BW50">
            <v>6.3581566906340452</v>
          </cell>
          <cell r="BX50">
            <v>5.7220562143991032</v>
          </cell>
          <cell r="BY50">
            <v>3.9062844336539357</v>
          </cell>
          <cell r="BZ50">
            <v>2.1987393780931925</v>
          </cell>
          <cell r="CA50">
            <v>1.3429171724717526</v>
          </cell>
          <cell r="CB50">
            <v>0.50587356429171726</v>
          </cell>
          <cell r="CC50">
            <v>0.10532262582874219</v>
          </cell>
          <cell r="CD50">
            <v>3.6137827995144272E-3</v>
          </cell>
          <cell r="CE50">
            <v>4.5846549028367223</v>
          </cell>
          <cell r="CF50">
            <v>4.9117619685801506</v>
          </cell>
          <cell r="CG50">
            <v>5.2666778348596539</v>
          </cell>
          <cell r="CH50">
            <v>5.2502978184796367</v>
          </cell>
          <cell r="CI50">
            <v>5.549772913409277</v>
          </cell>
          <cell r="CJ50">
            <v>4.8724685429230892</v>
          </cell>
          <cell r="CK50">
            <v>4.7256068051522604</v>
          </cell>
          <cell r="CL50">
            <v>6.1495048767776037</v>
          </cell>
          <cell r="CM50">
            <v>6.8163390663390668</v>
          </cell>
          <cell r="CN50">
            <v>7.1258748417839328</v>
          </cell>
          <cell r="CO50">
            <v>8.5624022783113709</v>
          </cell>
          <cell r="CP50">
            <v>7.8504392822574651</v>
          </cell>
          <cell r="CQ50">
            <v>6.1151161492070587</v>
          </cell>
          <cell r="CR50">
            <v>5.5595450822723551</v>
          </cell>
          <cell r="CS50">
            <v>5.1457263048172139</v>
          </cell>
          <cell r="CT50">
            <v>5.0026896731442188</v>
          </cell>
          <cell r="CU50">
            <v>3.8508115553570104</v>
          </cell>
          <cell r="CV50">
            <v>1.9070527138708957</v>
          </cell>
          <cell r="CW50">
            <v>0.59633497133497138</v>
          </cell>
          <cell r="CX50">
            <v>0.14294356339810887</v>
          </cell>
          <cell r="CY50">
            <v>1.4258059712605168E-2</v>
          </cell>
          <cell r="CZ50">
            <v>99.999831917079121</v>
          </cell>
          <cell r="DA50">
            <v>99.986021145112062</v>
          </cell>
        </row>
        <row r="51">
          <cell r="B51" t="str">
            <v>DEU</v>
          </cell>
          <cell r="C51" t="str">
            <v>Europe &amp; Central Asia</v>
          </cell>
          <cell r="D51" t="str">
            <v>High income</v>
          </cell>
          <cell r="F51" t="str">
            <v>EMU</v>
          </cell>
          <cell r="G51">
            <v>0</v>
          </cell>
          <cell r="H51">
            <v>276</v>
          </cell>
          <cell r="I51">
            <v>83783.899999999994</v>
          </cell>
          <cell r="J51">
            <v>83900.5</v>
          </cell>
          <cell r="K51">
            <v>83883.600000000006</v>
          </cell>
          <cell r="L51">
            <v>83774.5</v>
          </cell>
          <cell r="M51">
            <v>83636.2</v>
          </cell>
          <cell r="N51">
            <v>83515</v>
          </cell>
          <cell r="O51">
            <v>83422.5</v>
          </cell>
          <cell r="P51">
            <v>83346.3</v>
          </cell>
          <cell r="Q51">
            <v>83280.899999999994</v>
          </cell>
          <cell r="R51">
            <v>83213.7</v>
          </cell>
          <cell r="S51">
            <v>83135.600000000006</v>
          </cell>
          <cell r="T51">
            <v>4058.68</v>
          </cell>
          <cell r="U51">
            <v>3822.23</v>
          </cell>
          <cell r="V51">
            <v>3811.65</v>
          </cell>
          <cell r="W51">
            <v>4118.97</v>
          </cell>
          <cell r="X51">
            <v>4553.4399999999996</v>
          </cell>
          <cell r="Y51">
            <v>4823.92</v>
          </cell>
          <cell r="Z51">
            <v>5441.87</v>
          </cell>
          <cell r="AA51">
            <v>5430.15</v>
          </cell>
          <cell r="AB51">
            <v>5059.67</v>
          </cell>
          <cell r="AC51">
            <v>5183.68</v>
          </cell>
          <cell r="AD51">
            <v>6681.22</v>
          </cell>
          <cell r="AE51">
            <v>6807.17</v>
          </cell>
          <cell r="AF51">
            <v>5820.7</v>
          </cell>
          <cell r="AG51">
            <v>4823.4399999999996</v>
          </cell>
          <cell r="AH51">
            <v>3833.82</v>
          </cell>
          <cell r="AI51">
            <v>3637.59</v>
          </cell>
          <cell r="AJ51">
            <v>3259.09</v>
          </cell>
          <cell r="AK51">
            <v>1635.05</v>
          </cell>
          <cell r="AL51">
            <v>758.14700000000005</v>
          </cell>
          <cell r="AM51">
            <v>204.15899999999999</v>
          </cell>
          <cell r="AN51">
            <v>19.295000000000002</v>
          </cell>
          <cell r="AO51">
            <v>3813.41</v>
          </cell>
          <cell r="AP51">
            <v>3964.89</v>
          </cell>
          <cell r="AQ51">
            <v>4105.71</v>
          </cell>
          <cell r="AR51">
            <v>3884.95</v>
          </cell>
          <cell r="AS51">
            <v>3965.03</v>
          </cell>
          <cell r="AT51">
            <v>4358.0600000000004</v>
          </cell>
          <cell r="AU51">
            <v>4794.28</v>
          </cell>
          <cell r="AV51">
            <v>5004.2700000000004</v>
          </cell>
          <cell r="AW51">
            <v>5545.8</v>
          </cell>
          <cell r="AX51">
            <v>5461.73</v>
          </cell>
          <cell r="AY51">
            <v>5022.3900000000003</v>
          </cell>
          <cell r="AZ51">
            <v>5060.74</v>
          </cell>
          <cell r="BA51">
            <v>6387.25</v>
          </cell>
          <cell r="BB51">
            <v>6339.17</v>
          </cell>
          <cell r="BC51">
            <v>5214.66</v>
          </cell>
          <cell r="BD51">
            <v>4035.42</v>
          </cell>
          <cell r="BE51">
            <v>2781.62</v>
          </cell>
          <cell r="BF51">
            <v>2000.48</v>
          </cell>
          <cell r="BG51">
            <v>1104.4000000000001</v>
          </cell>
          <cell r="BH51">
            <v>252.15700000000001</v>
          </cell>
          <cell r="BI51">
            <v>39.204999999999998</v>
          </cell>
          <cell r="BJ51">
            <v>4.8442242483341076</v>
          </cell>
          <cell r="BK51">
            <v>4.5620101236633772</v>
          </cell>
          <cell r="BL51">
            <v>4.5493823992437692</v>
          </cell>
          <cell r="BM51">
            <v>4.9161831807781695</v>
          </cell>
          <cell r="BN51">
            <v>5.4347434292268559</v>
          </cell>
          <cell r="BO51">
            <v>5.7575739491716194</v>
          </cell>
          <cell r="BP51">
            <v>6.4951261519217898</v>
          </cell>
          <cell r="BQ51">
            <v>6.4811377842282347</v>
          </cell>
          <cell r="BR51">
            <v>6.0389525911302773</v>
          </cell>
          <cell r="BS51">
            <v>6.1869643213075554</v>
          </cell>
          <cell r="BT51">
            <v>7.9743482936459165</v>
          </cell>
          <cell r="BU51">
            <v>8.1246755044823651</v>
          </cell>
          <cell r="BV51">
            <v>6.9472774602280394</v>
          </cell>
          <cell r="BW51">
            <v>5.7570010467404833</v>
          </cell>
          <cell r="BX51">
            <v>4.5758433302818329</v>
          </cell>
          <cell r="BY51">
            <v>4.3416336551533172</v>
          </cell>
          <cell r="BZ51">
            <v>3.8898762172684731</v>
          </cell>
          <cell r="CA51">
            <v>1.9515085833913199</v>
          </cell>
          <cell r="CB51">
            <v>0.90488387387075564</v>
          </cell>
          <cell r="CC51">
            <v>0.243673307162832</v>
          </cell>
          <cell r="CD51">
            <v>2.3029484184909039E-2</v>
          </cell>
          <cell r="CE51">
            <v>4.5869759765972695</v>
          </cell>
          <cell r="CF51">
            <v>4.7691843205558149</v>
          </cell>
          <cell r="CG51">
            <v>4.9385702394641999</v>
          </cell>
          <cell r="CH51">
            <v>4.6730281612209446</v>
          </cell>
          <cell r="CI51">
            <v>4.769352720134334</v>
          </cell>
          <cell r="CJ51">
            <v>5.2421104797463425</v>
          </cell>
          <cell r="CK51">
            <v>5.7668195093317411</v>
          </cell>
          <cell r="CL51">
            <v>6.0194068485702878</v>
          </cell>
          <cell r="CM51">
            <v>6.6707884468266299</v>
          </cell>
          <cell r="CN51">
            <v>6.5696644999254223</v>
          </cell>
          <cell r="CO51">
            <v>6.0412025654472936</v>
          </cell>
          <cell r="CP51">
            <v>6.0873320214204263</v>
          </cell>
          <cell r="CQ51">
            <v>7.6829300564379155</v>
          </cell>
          <cell r="CR51">
            <v>7.6250968297576476</v>
          </cell>
          <cell r="CS51">
            <v>6.2724753294617468</v>
          </cell>
          <cell r="CT51">
            <v>4.8540216225058819</v>
          </cell>
          <cell r="CU51">
            <v>3.3458831114468408</v>
          </cell>
          <cell r="CV51">
            <v>2.4062856345536687</v>
          </cell>
          <cell r="CW51">
            <v>1.328432103695649</v>
          </cell>
          <cell r="CX51">
            <v>0.30330808943461041</v>
          </cell>
          <cell r="CY51">
            <v>4.7157896256236793E-2</v>
          </cell>
          <cell r="CZ51">
            <v>100.00004893541599</v>
          </cell>
          <cell r="DA51">
            <v>99.952868566534661</v>
          </cell>
        </row>
        <row r="52">
          <cell r="B52" t="str">
            <v>DJI</v>
          </cell>
          <cell r="C52" t="str">
            <v>Middle East &amp; North Africa</v>
          </cell>
          <cell r="D52" t="str">
            <v>Lower middle income</v>
          </cell>
          <cell r="E52" t="str">
            <v>IDA</v>
          </cell>
          <cell r="G52">
            <v>1</v>
          </cell>
          <cell r="H52">
            <v>262</v>
          </cell>
          <cell r="I52">
            <v>988.00199999999995</v>
          </cell>
          <cell r="J52">
            <v>1002.2</v>
          </cell>
          <cell r="K52">
            <v>1016.1</v>
          </cell>
          <cell r="L52">
            <v>1029.7</v>
          </cell>
          <cell r="M52">
            <v>1043.02</v>
          </cell>
          <cell r="N52">
            <v>1056.06</v>
          </cell>
          <cell r="O52">
            <v>1068.8</v>
          </cell>
          <cell r="P52">
            <v>1081.24</v>
          </cell>
          <cell r="Q52">
            <v>1093.3800000000001</v>
          </cell>
          <cell r="R52">
            <v>1105.2</v>
          </cell>
          <cell r="S52">
            <v>1116.71</v>
          </cell>
          <cell r="T52">
            <v>99.162000000000006</v>
          </cell>
          <cell r="U52">
            <v>97.947999999999993</v>
          </cell>
          <cell r="V52">
            <v>88.543000000000006</v>
          </cell>
          <cell r="W52">
            <v>90.777000000000001</v>
          </cell>
          <cell r="X52">
            <v>90.207999999999998</v>
          </cell>
          <cell r="Y52">
            <v>87.12</v>
          </cell>
          <cell r="Z52">
            <v>86.290999999999997</v>
          </cell>
          <cell r="AA52">
            <v>76.125</v>
          </cell>
          <cell r="AB52">
            <v>66.787000000000006</v>
          </cell>
          <cell r="AC52">
            <v>54.134999999999998</v>
          </cell>
          <cell r="AD52">
            <v>42.4</v>
          </cell>
          <cell r="AE52">
            <v>35.677</v>
          </cell>
          <cell r="AF52">
            <v>26.327999999999999</v>
          </cell>
          <cell r="AG52">
            <v>18.006</v>
          </cell>
          <cell r="AH52">
            <v>13.936999999999999</v>
          </cell>
          <cell r="AI52">
            <v>8.3930000000000007</v>
          </cell>
          <cell r="AJ52">
            <v>4.165</v>
          </cell>
          <cell r="AK52">
            <v>1.5629999999999999</v>
          </cell>
          <cell r="AL52">
            <v>0.38200000000000001</v>
          </cell>
          <cell r="AM52">
            <v>5.0999999999999997E-2</v>
          </cell>
          <cell r="AN52">
            <v>4.0000000000000001E-3</v>
          </cell>
          <cell r="AO52">
            <v>92.289000000000001</v>
          </cell>
          <cell r="AP52">
            <v>95.343999999999994</v>
          </cell>
          <cell r="AQ52">
            <v>97.619</v>
          </cell>
          <cell r="AR52">
            <v>97.411000000000001</v>
          </cell>
          <cell r="AS52">
            <v>88.721999999999994</v>
          </cell>
          <cell r="AT52">
            <v>90.849000000000004</v>
          </cell>
          <cell r="AU52">
            <v>89.626999999999995</v>
          </cell>
          <cell r="AV52">
            <v>85.644999999999996</v>
          </cell>
          <cell r="AW52">
            <v>83.724000000000004</v>
          </cell>
          <cell r="AX52">
            <v>72.944000000000003</v>
          </cell>
          <cell r="AY52">
            <v>63.048000000000002</v>
          </cell>
          <cell r="AZ52">
            <v>50.043999999999997</v>
          </cell>
          <cell r="BA52">
            <v>37.942999999999998</v>
          </cell>
          <cell r="BB52">
            <v>30.039000000000001</v>
          </cell>
          <cell r="BC52">
            <v>19.972000000000001</v>
          </cell>
          <cell r="BD52">
            <v>11.497999999999999</v>
          </cell>
          <cell r="BE52">
            <v>6.6840000000000002</v>
          </cell>
          <cell r="BF52">
            <v>2.5539999999999998</v>
          </cell>
          <cell r="BG52">
            <v>0.65</v>
          </cell>
          <cell r="BH52">
            <v>9.9000000000000005E-2</v>
          </cell>
          <cell r="BI52">
            <v>8.0000000000000002E-3</v>
          </cell>
          <cell r="BJ52">
            <v>10.036619359070125</v>
          </cell>
          <cell r="BK52">
            <v>9.9137451138762884</v>
          </cell>
          <cell r="BL52">
            <v>8.9618239639191017</v>
          </cell>
          <cell r="BM52">
            <v>9.1879368665245629</v>
          </cell>
          <cell r="BN52">
            <v>9.1303458899880763</v>
          </cell>
          <cell r="BO52">
            <v>8.8177959153928835</v>
          </cell>
          <cell r="BP52">
            <v>8.7338892026534367</v>
          </cell>
          <cell r="BQ52">
            <v>7.7049439171175766</v>
          </cell>
          <cell r="BR52">
            <v>6.7598041299511555</v>
          </cell>
          <cell r="BS52">
            <v>5.4792399205669629</v>
          </cell>
          <cell r="BT52">
            <v>4.2914892884832216</v>
          </cell>
          <cell r="BU52">
            <v>3.6110250788966014</v>
          </cell>
          <cell r="BV52">
            <v>2.6647719336600533</v>
          </cell>
          <cell r="BW52">
            <v>1.82246594642521</v>
          </cell>
          <cell r="BX52">
            <v>1.4106246748488362</v>
          </cell>
          <cell r="BY52">
            <v>0.84949220750565291</v>
          </cell>
          <cell r="BZ52">
            <v>0.42155785109746741</v>
          </cell>
          <cell r="CA52">
            <v>0.15819806032781311</v>
          </cell>
          <cell r="CB52">
            <v>3.8663889344353553E-2</v>
          </cell>
          <cell r="CC52">
            <v>5.1619328705812331E-3</v>
          </cell>
          <cell r="CD52">
            <v>4.0485748004558694E-4</v>
          </cell>
          <cell r="CE52">
            <v>8.2643658604292973</v>
          </cell>
          <cell r="CF52">
            <v>8.5379373337751066</v>
          </cell>
          <cell r="CG52">
            <v>8.7416607713730521</v>
          </cell>
          <cell r="CH52">
            <v>8.7230346285069533</v>
          </cell>
          <cell r="CI52">
            <v>7.9449454200284766</v>
          </cell>
          <cell r="CJ52">
            <v>8.1354156405870821</v>
          </cell>
          <cell r="CK52">
            <v>8.025987051248757</v>
          </cell>
          <cell r="CL52">
            <v>7.6694038738795207</v>
          </cell>
          <cell r="CM52">
            <v>7.4973806986594544</v>
          </cell>
          <cell r="CN52">
            <v>6.5320450251184283</v>
          </cell>
          <cell r="CO52">
            <v>5.6458704587583171</v>
          </cell>
          <cell r="CP52">
            <v>4.4813783345720903</v>
          </cell>
          <cell r="CQ52">
            <v>3.3977487440785872</v>
          </cell>
          <cell r="CR52">
            <v>2.6899553151668743</v>
          </cell>
          <cell r="CS52">
            <v>1.7884679102004999</v>
          </cell>
          <cell r="CT52">
            <v>1.0296316859345755</v>
          </cell>
          <cell r="CU52">
            <v>0.59854393710094833</v>
          </cell>
          <cell r="CV52">
            <v>0.22870754269237312</v>
          </cell>
          <cell r="CW52">
            <v>5.8206696456555421E-2</v>
          </cell>
          <cell r="CX52">
            <v>8.8653276141522856E-3</v>
          </cell>
          <cell r="CY52">
            <v>7.1639011023452823E-4</v>
          </cell>
          <cell r="CZ52">
            <v>99.999999999999986</v>
          </cell>
          <cell r="DA52">
            <v>99.999552256181076</v>
          </cell>
        </row>
        <row r="53">
          <cell r="B53" t="str">
            <v>DNK</v>
          </cell>
          <cell r="C53" t="str">
            <v>Europe &amp; Central Asia</v>
          </cell>
          <cell r="D53" t="str">
            <v>High income</v>
          </cell>
          <cell r="G53">
            <v>0</v>
          </cell>
          <cell r="H53">
            <v>208</v>
          </cell>
          <cell r="I53">
            <v>5792.2</v>
          </cell>
          <cell r="J53">
            <v>5813.3</v>
          </cell>
          <cell r="K53">
            <v>5834.95</v>
          </cell>
          <cell r="L53">
            <v>5856.94</v>
          </cell>
          <cell r="M53">
            <v>5878.88</v>
          </cell>
          <cell r="N53">
            <v>5900.5</v>
          </cell>
          <cell r="O53">
            <v>5921.75</v>
          </cell>
          <cell r="P53">
            <v>5942.67</v>
          </cell>
          <cell r="Q53">
            <v>5963.11</v>
          </cell>
          <cell r="R53">
            <v>5982.9</v>
          </cell>
          <cell r="S53">
            <v>6001.87</v>
          </cell>
          <cell r="T53">
            <v>308.596</v>
          </cell>
          <cell r="U53">
            <v>297.43299999999999</v>
          </cell>
          <cell r="V53">
            <v>337.04500000000002</v>
          </cell>
          <cell r="W53">
            <v>338.90300000000002</v>
          </cell>
          <cell r="X53">
            <v>373.94600000000003</v>
          </cell>
          <cell r="Y53">
            <v>402.01600000000002</v>
          </cell>
          <cell r="Z53">
            <v>355.01600000000002</v>
          </cell>
          <cell r="AA53">
            <v>317.274</v>
          </cell>
          <cell r="AB53">
            <v>360.96600000000001</v>
          </cell>
          <cell r="AC53">
            <v>377.24099999999999</v>
          </cell>
          <cell r="AD53">
            <v>421.73500000000001</v>
          </cell>
          <cell r="AE53">
            <v>388.39100000000002</v>
          </cell>
          <cell r="AF53">
            <v>345.70299999999997</v>
          </cell>
          <cell r="AG53">
            <v>308.827</v>
          </cell>
          <cell r="AH53">
            <v>351.30099999999999</v>
          </cell>
          <cell r="AI53">
            <v>234.83699999999999</v>
          </cell>
          <cell r="AJ53">
            <v>147.18199999999999</v>
          </cell>
          <cell r="AK53">
            <v>78.137</v>
          </cell>
          <cell r="AL53">
            <v>36.192999999999998</v>
          </cell>
          <cell r="AM53">
            <v>10.135</v>
          </cell>
          <cell r="AN53">
            <v>1.3260000000000001</v>
          </cell>
          <cell r="AO53">
            <v>339.15600000000001</v>
          </cell>
          <cell r="AP53">
            <v>330.57299999999998</v>
          </cell>
          <cell r="AQ53">
            <v>315.06599999999997</v>
          </cell>
          <cell r="AR53">
            <v>310.39100000000002</v>
          </cell>
          <cell r="AS53">
            <v>359.60399999999998</v>
          </cell>
          <cell r="AT53">
            <v>366.06</v>
          </cell>
          <cell r="AU53">
            <v>396.57900000000001</v>
          </cell>
          <cell r="AV53">
            <v>416.25700000000001</v>
          </cell>
          <cell r="AW53">
            <v>363.34699999999998</v>
          </cell>
          <cell r="AX53">
            <v>320.69900000000001</v>
          </cell>
          <cell r="AY53">
            <v>357.15100000000001</v>
          </cell>
          <cell r="AZ53">
            <v>366.82100000000003</v>
          </cell>
          <cell r="BA53">
            <v>403.50299999999999</v>
          </cell>
          <cell r="BB53">
            <v>362.05200000000002</v>
          </cell>
          <cell r="BC53">
            <v>307.21199999999999</v>
          </cell>
          <cell r="BD53">
            <v>252.904</v>
          </cell>
          <cell r="BE53">
            <v>246.11699999999999</v>
          </cell>
          <cell r="BF53">
            <v>125.371</v>
          </cell>
          <cell r="BG53">
            <v>49.104999999999997</v>
          </cell>
          <cell r="BH53">
            <v>11.962999999999999</v>
          </cell>
          <cell r="BI53">
            <v>1.9370000000000001</v>
          </cell>
          <cell r="BJ53">
            <v>5.3277856427609542</v>
          </cell>
          <cell r="BK53">
            <v>5.1350609440281758</v>
          </cell>
          <cell r="BL53">
            <v>5.8189461689858781</v>
          </cell>
          <cell r="BM53">
            <v>5.8510237906149651</v>
          </cell>
          <cell r="BN53">
            <v>6.4560270708884371</v>
          </cell>
          <cell r="BO53">
            <v>6.9406443147681367</v>
          </cell>
          <cell r="BP53">
            <v>6.1292082455716317</v>
          </cell>
          <cell r="BQ53">
            <v>5.4776078174096199</v>
          </cell>
          <cell r="BR53">
            <v>6.231932599012465</v>
          </cell>
          <cell r="BS53">
            <v>6.5129139187182759</v>
          </cell>
          <cell r="BT53">
            <v>7.2810849072891131</v>
          </cell>
          <cell r="BU53">
            <v>6.7054141776872358</v>
          </cell>
          <cell r="BV53">
            <v>5.9684230516902037</v>
          </cell>
          <cell r="BW53">
            <v>5.3317737647180694</v>
          </cell>
          <cell r="BX53">
            <v>6.0650702669106726</v>
          </cell>
          <cell r="BY53">
            <v>4.0543662166361658</v>
          </cell>
          <cell r="BZ53">
            <v>2.5410379475846829</v>
          </cell>
          <cell r="CA53">
            <v>1.3490038327405822</v>
          </cell>
          <cell r="CB53">
            <v>0.62485756707296014</v>
          </cell>
          <cell r="CC53">
            <v>0.17497669279375713</v>
          </cell>
          <cell r="CD53">
            <v>2.289285590967163E-2</v>
          </cell>
          <cell r="CE53">
            <v>5.6508388219005079</v>
          </cell>
          <cell r="CF53">
            <v>5.5078333919261828</v>
          </cell>
          <cell r="CG53">
            <v>5.2494639170791766</v>
          </cell>
          <cell r="CH53">
            <v>5.1715715268741249</v>
          </cell>
          <cell r="CI53">
            <v>5.9915326389941796</v>
          </cell>
          <cell r="CJ53">
            <v>6.0990991141094364</v>
          </cell>
          <cell r="CK53">
            <v>6.6075906342523254</v>
          </cell>
          <cell r="CL53">
            <v>6.9354551164886953</v>
          </cell>
          <cell r="CM53">
            <v>6.0538965355797441</v>
          </cell>
          <cell r="CN53">
            <v>5.3433179992235758</v>
          </cell>
          <cell r="CO53">
            <v>5.9506620436630593</v>
          </cell>
          <cell r="CP53">
            <v>6.1117784957021737</v>
          </cell>
          <cell r="CQ53">
            <v>6.7229546791250057</v>
          </cell>
          <cell r="CR53">
            <v>6.0323199269560996</v>
          </cell>
          <cell r="CS53">
            <v>5.1186047015346885</v>
          </cell>
          <cell r="CT53">
            <v>4.2137533801965059</v>
          </cell>
          <cell r="CU53">
            <v>4.1006719572399941</v>
          </cell>
          <cell r="CV53">
            <v>2.0888656368765068</v>
          </cell>
          <cell r="CW53">
            <v>0.81816167294526543</v>
          </cell>
          <cell r="CX53">
            <v>0.19932121155573179</v>
          </cell>
          <cell r="CY53">
            <v>3.2273274829344861E-2</v>
          </cell>
          <cell r="CZ53">
            <v>100.00005179379167</v>
          </cell>
          <cell r="DA53">
            <v>99.967693402222991</v>
          </cell>
        </row>
        <row r="54">
          <cell r="B54" t="str">
            <v>DOM</v>
          </cell>
          <cell r="C54" t="str">
            <v>Latin America &amp; Caribbean</v>
          </cell>
          <cell r="D54" t="str">
            <v>Upper middle income</v>
          </cell>
          <cell r="E54" t="str">
            <v>IBRD</v>
          </cell>
          <cell r="G54">
            <v>0</v>
          </cell>
          <cell r="H54">
            <v>214</v>
          </cell>
          <cell r="I54">
            <v>10847.9</v>
          </cell>
          <cell r="J54">
            <v>10953.7</v>
          </cell>
          <cell r="K54">
            <v>11056.4</v>
          </cell>
          <cell r="L54">
            <v>11155.9</v>
          </cell>
          <cell r="M54">
            <v>11252.5</v>
          </cell>
          <cell r="N54">
            <v>11346.2</v>
          </cell>
          <cell r="O54">
            <v>11436.8</v>
          </cell>
          <cell r="P54">
            <v>11524.5</v>
          </cell>
          <cell r="Q54">
            <v>11609.2</v>
          </cell>
          <cell r="R54">
            <v>11691.1</v>
          </cell>
          <cell r="S54">
            <v>11770.3</v>
          </cell>
          <cell r="T54">
            <v>1002.83</v>
          </cell>
          <cell r="U54">
            <v>996.51900000000001</v>
          </cell>
          <cell r="V54">
            <v>977.245</v>
          </cell>
          <cell r="W54">
            <v>958.63</v>
          </cell>
          <cell r="X54">
            <v>939.56299999999999</v>
          </cell>
          <cell r="Y54">
            <v>914.75400000000002</v>
          </cell>
          <cell r="Z54">
            <v>825.57299999999998</v>
          </cell>
          <cell r="AA54">
            <v>738.80899999999997</v>
          </cell>
          <cell r="AB54">
            <v>668.26300000000003</v>
          </cell>
          <cell r="AC54">
            <v>606.226</v>
          </cell>
          <cell r="AD54">
            <v>541.43499999999995</v>
          </cell>
          <cell r="AE54">
            <v>472.9</v>
          </cell>
          <cell r="AF54">
            <v>388.56400000000002</v>
          </cell>
          <cell r="AG54">
            <v>293.57499999999999</v>
          </cell>
          <cell r="AH54">
            <v>204.15</v>
          </cell>
          <cell r="AI54">
            <v>137.35</v>
          </cell>
          <cell r="AJ54">
            <v>94.846000000000004</v>
          </cell>
          <cell r="AK54">
            <v>52.906999999999996</v>
          </cell>
          <cell r="AL54">
            <v>23.314</v>
          </cell>
          <cell r="AM54">
            <v>8.0530000000000008</v>
          </cell>
          <cell r="AN54">
            <v>2.399</v>
          </cell>
          <cell r="AO54">
            <v>922.24199999999996</v>
          </cell>
          <cell r="AP54">
            <v>959.26900000000001</v>
          </cell>
          <cell r="AQ54">
            <v>991.58500000000004</v>
          </cell>
          <cell r="AR54">
            <v>973.72199999999998</v>
          </cell>
          <cell r="AS54">
            <v>925.63400000000001</v>
          </cell>
          <cell r="AT54">
            <v>890.67899999999997</v>
          </cell>
          <cell r="AU54">
            <v>875.57600000000002</v>
          </cell>
          <cell r="AV54">
            <v>860.85500000000002</v>
          </cell>
          <cell r="AW54">
            <v>781.375</v>
          </cell>
          <cell r="AX54">
            <v>699.55399999999997</v>
          </cell>
          <cell r="AY54">
            <v>629.47400000000005</v>
          </cell>
          <cell r="AZ54">
            <v>564.02599999999995</v>
          </cell>
          <cell r="BA54">
            <v>491.613</v>
          </cell>
          <cell r="BB54">
            <v>411.85899999999998</v>
          </cell>
          <cell r="BC54">
            <v>317.13400000000001</v>
          </cell>
          <cell r="BD54">
            <v>216.97300000000001</v>
          </cell>
          <cell r="BE54">
            <v>130.04499999999999</v>
          </cell>
          <cell r="BF54">
            <v>71.213999999999999</v>
          </cell>
          <cell r="BG54">
            <v>37.518000000000001</v>
          </cell>
          <cell r="BH54">
            <v>14.871</v>
          </cell>
          <cell r="BI54">
            <v>5.0979999999999999</v>
          </cell>
          <cell r="BJ54">
            <v>9.2444620617815438</v>
          </cell>
          <cell r="BK54">
            <v>9.1862849030687972</v>
          </cell>
          <cell r="BL54">
            <v>9.0086099613750132</v>
          </cell>
          <cell r="BM54">
            <v>8.8370099281888663</v>
          </cell>
          <cell r="BN54">
            <v>8.6612431899261608</v>
          </cell>
          <cell r="BO54">
            <v>8.432544547792661</v>
          </cell>
          <cell r="BP54">
            <v>7.6104407304639601</v>
          </cell>
          <cell r="BQ54">
            <v>6.8106177232459739</v>
          </cell>
          <cell r="BR54">
            <v>6.1602983065846848</v>
          </cell>
          <cell r="BS54">
            <v>5.5884180348270176</v>
          </cell>
          <cell r="BT54">
            <v>4.9911503608993444</v>
          </cell>
          <cell r="BU54">
            <v>4.3593690944791161</v>
          </cell>
          <cell r="BV54">
            <v>3.5819282994865373</v>
          </cell>
          <cell r="BW54">
            <v>2.7062841655988716</v>
          </cell>
          <cell r="BX54">
            <v>1.8819310649987555</v>
          </cell>
          <cell r="BY54">
            <v>1.2661436775781487</v>
          </cell>
          <cell r="BZ54">
            <v>0.87432590639662988</v>
          </cell>
          <cell r="CA54">
            <v>0.487716516560809</v>
          </cell>
          <cell r="CB54">
            <v>0.2149171729090423</v>
          </cell>
          <cell r="CC54">
            <v>7.4235566330810576E-2</v>
          </cell>
          <cell r="CD54">
            <v>2.2114879377575385E-2</v>
          </cell>
          <cell r="CE54">
            <v>7.8353312999668665</v>
          </cell>
          <cell r="CF54">
            <v>8.1499112172162143</v>
          </cell>
          <cell r="CG54">
            <v>8.4244666661002707</v>
          </cell>
          <cell r="CH54">
            <v>8.2727033295667916</v>
          </cell>
          <cell r="CI54">
            <v>7.8641495968666906</v>
          </cell>
          <cell r="CJ54">
            <v>7.567173309091527</v>
          </cell>
          <cell r="CK54">
            <v>7.4388588226298404</v>
          </cell>
          <cell r="CL54">
            <v>7.3137897929534512</v>
          </cell>
          <cell r="CM54">
            <v>6.6385308785672423</v>
          </cell>
          <cell r="CN54">
            <v>5.9433829214208647</v>
          </cell>
          <cell r="CO54">
            <v>5.3479860326414794</v>
          </cell>
          <cell r="CP54">
            <v>4.7919424313738812</v>
          </cell>
          <cell r="CQ54">
            <v>4.1767244675156965</v>
          </cell>
          <cell r="CR54">
            <v>3.4991376600426496</v>
          </cell>
          <cell r="CS54">
            <v>2.6943578328504798</v>
          </cell>
          <cell r="CT54">
            <v>1.8433939661690868</v>
          </cell>
          <cell r="CU54">
            <v>1.1048571404297256</v>
          </cell>
          <cell r="CV54">
            <v>0.60503130761322987</v>
          </cell>
          <cell r="CW54">
            <v>0.31875143369327885</v>
          </cell>
          <cell r="CX54">
            <v>0.12634342370202969</v>
          </cell>
          <cell r="CY54">
            <v>4.3312404951445588E-2</v>
          </cell>
          <cell r="CZ54">
            <v>100.00004609187029</v>
          </cell>
          <cell r="DA54">
            <v>99.956823530411299</v>
          </cell>
        </row>
        <row r="55">
          <cell r="B55" t="str">
            <v>DZA</v>
          </cell>
          <cell r="C55" t="str">
            <v>Middle East &amp; North Africa</v>
          </cell>
          <cell r="D55" t="str">
            <v>Lower middle income</v>
          </cell>
          <cell r="E55" t="str">
            <v>IBRD</v>
          </cell>
          <cell r="G55">
            <v>0</v>
          </cell>
          <cell r="H55">
            <v>12</v>
          </cell>
          <cell r="I55">
            <v>43851</v>
          </cell>
          <cell r="J55">
            <v>44616.6</v>
          </cell>
          <cell r="K55">
            <v>45350.1</v>
          </cell>
          <cell r="L55">
            <v>46053.5</v>
          </cell>
          <cell r="M55">
            <v>46731.4</v>
          </cell>
          <cell r="N55">
            <v>47387.6</v>
          </cell>
          <cell r="O55">
            <v>48022.2</v>
          </cell>
          <cell r="P55">
            <v>48634.2</v>
          </cell>
          <cell r="Q55">
            <v>49225.9</v>
          </cell>
          <cell r="R55">
            <v>49800.5</v>
          </cell>
          <cell r="S55">
            <v>50360.7</v>
          </cell>
          <cell r="T55">
            <v>5041.5200000000004</v>
          </cell>
          <cell r="U55">
            <v>4635.97</v>
          </cell>
          <cell r="V55">
            <v>3821.4</v>
          </cell>
          <cell r="W55">
            <v>2910.34</v>
          </cell>
          <cell r="X55">
            <v>2999.84</v>
          </cell>
          <cell r="Y55">
            <v>3573.88</v>
          </cell>
          <cell r="Z55">
            <v>3727.72</v>
          </cell>
          <cell r="AA55">
            <v>3547.52</v>
          </cell>
          <cell r="AB55">
            <v>3014.03</v>
          </cell>
          <cell r="AC55">
            <v>2434.59</v>
          </cell>
          <cell r="AD55">
            <v>2061.88</v>
          </cell>
          <cell r="AE55">
            <v>1738.17</v>
          </cell>
          <cell r="AF55">
            <v>1387.34</v>
          </cell>
          <cell r="AG55">
            <v>1143.2</v>
          </cell>
          <cell r="AH55">
            <v>723.93799999999999</v>
          </cell>
          <cell r="AI55">
            <v>513.89599999999996</v>
          </cell>
          <cell r="AJ55">
            <v>343.62700000000001</v>
          </cell>
          <cell r="AK55">
            <v>171.04900000000001</v>
          </cell>
          <cell r="AL55">
            <v>51.37</v>
          </cell>
          <cell r="AM55">
            <v>8.7959999999999994</v>
          </cell>
          <cell r="AN55">
            <v>0.96299999999999997</v>
          </cell>
          <cell r="AO55">
            <v>4143.43</v>
          </cell>
          <cell r="AP55">
            <v>4560.58</v>
          </cell>
          <cell r="AQ55">
            <v>5014.95</v>
          </cell>
          <cell r="AR55">
            <v>4613.8900000000003</v>
          </cell>
          <cell r="AS55">
            <v>3791.91</v>
          </cell>
          <cell r="AT55">
            <v>2874.54</v>
          </cell>
          <cell r="AU55">
            <v>2959.05</v>
          </cell>
          <cell r="AV55">
            <v>3526.18</v>
          </cell>
          <cell r="AW55">
            <v>3671.65</v>
          </cell>
          <cell r="AX55">
            <v>3479.8</v>
          </cell>
          <cell r="AY55">
            <v>2934.52</v>
          </cell>
          <cell r="AZ55">
            <v>2341.77</v>
          </cell>
          <cell r="BA55">
            <v>1944.09</v>
          </cell>
          <cell r="BB55">
            <v>1586.55</v>
          </cell>
          <cell r="BC55">
            <v>1199.92</v>
          </cell>
          <cell r="BD55">
            <v>894.92200000000003</v>
          </cell>
          <cell r="BE55">
            <v>468.94600000000003</v>
          </cell>
          <cell r="BF55">
            <v>237.82</v>
          </cell>
          <cell r="BG55">
            <v>92.626999999999995</v>
          </cell>
          <cell r="BH55">
            <v>21.292999999999999</v>
          </cell>
          <cell r="BI55">
            <v>2.2959999999999998</v>
          </cell>
          <cell r="BJ55">
            <v>11.496932795147204</v>
          </cell>
          <cell r="BK55">
            <v>10.572096417413515</v>
          </cell>
          <cell r="BL55">
            <v>8.7145105014708903</v>
          </cell>
          <cell r="BM55">
            <v>6.636883993523524</v>
          </cell>
          <cell r="BN55">
            <v>6.8409842420925404</v>
          </cell>
          <cell r="BO55">
            <v>8.15005359056806</v>
          </cell>
          <cell r="BP55">
            <v>8.5008779731363013</v>
          </cell>
          <cell r="BQ55">
            <v>8.0899409363526491</v>
          </cell>
          <cell r="BR55">
            <v>6.8733438234019752</v>
          </cell>
          <cell r="BS55">
            <v>5.5519600465211747</v>
          </cell>
          <cell r="BT55">
            <v>4.7020136370892338</v>
          </cell>
          <cell r="BU55">
            <v>3.9638092631867003</v>
          </cell>
          <cell r="BV55">
            <v>3.1637590932931974</v>
          </cell>
          <cell r="BW55">
            <v>2.6070101023921919</v>
          </cell>
          <cell r="BX55">
            <v>1.650904198307906</v>
          </cell>
          <cell r="BY55">
            <v>1.1719139814371393</v>
          </cell>
          <cell r="BZ55">
            <v>0.78362409067068028</v>
          </cell>
          <cell r="CA55">
            <v>0.39006864153611093</v>
          </cell>
          <cell r="CB55">
            <v>0.11714670132950218</v>
          </cell>
          <cell r="CC55">
            <v>2.0058835602380788E-2</v>
          </cell>
          <cell r="CD55">
            <v>2.1960730656085379E-3</v>
          </cell>
          <cell r="CE55">
            <v>8.227506766188716</v>
          </cell>
          <cell r="CF55">
            <v>9.0558312334816637</v>
          </cell>
          <cell r="CG55">
            <v>9.9580625368590976</v>
          </cell>
          <cell r="CH55">
            <v>9.1616875857563542</v>
          </cell>
          <cell r="CI55">
            <v>7.5295021713359818</v>
          </cell>
          <cell r="CJ55">
            <v>5.7079031864132146</v>
          </cell>
          <cell r="CK55">
            <v>5.8757126092369649</v>
          </cell>
          <cell r="CL55">
            <v>7.0018486637397821</v>
          </cell>
          <cell r="CM55">
            <v>7.2907048551747691</v>
          </cell>
          <cell r="CN55">
            <v>6.9097530415582007</v>
          </cell>
          <cell r="CO55">
            <v>5.8270039931931059</v>
          </cell>
          <cell r="CP55">
            <v>4.6499949365278885</v>
          </cell>
          <cell r="CQ55">
            <v>3.860331568067958</v>
          </cell>
          <cell r="CR55">
            <v>3.1503732076797979</v>
          </cell>
          <cell r="CS55">
            <v>2.3826515517059934</v>
          </cell>
          <cell r="CT55">
            <v>1.7770245449328548</v>
          </cell>
          <cell r="CU55">
            <v>0.93117450710573924</v>
          </cell>
          <cell r="CV55">
            <v>0.47223330890952669</v>
          </cell>
          <cell r="CW55">
            <v>0.18392714954319539</v>
          </cell>
          <cell r="CX55">
            <v>4.2280984974394718E-2</v>
          </cell>
          <cell r="CY55">
            <v>4.5591105763025533E-3</v>
          </cell>
          <cell r="CZ55">
            <v>100.00008893753852</v>
          </cell>
          <cell r="DA55">
            <v>99.995508402385184</v>
          </cell>
        </row>
        <row r="56">
          <cell r="B56" t="str">
            <v>ECU</v>
          </cell>
          <cell r="C56" t="str">
            <v>Latin America &amp; Caribbean</v>
          </cell>
          <cell r="D56" t="str">
            <v>Upper middle income</v>
          </cell>
          <cell r="E56" t="str">
            <v>IBRD</v>
          </cell>
          <cell r="G56">
            <v>0</v>
          </cell>
          <cell r="H56">
            <v>218</v>
          </cell>
          <cell r="I56">
            <v>17643.099999999999</v>
          </cell>
          <cell r="J56">
            <v>17888.5</v>
          </cell>
          <cell r="K56">
            <v>18113.400000000001</v>
          </cell>
          <cell r="L56">
            <v>18324.2</v>
          </cell>
          <cell r="M56">
            <v>18530.8</v>
          </cell>
          <cell r="N56">
            <v>18740.5</v>
          </cell>
          <cell r="O56">
            <v>18955.099999999999</v>
          </cell>
          <cell r="P56">
            <v>19172</v>
          </cell>
          <cell r="Q56">
            <v>19390</v>
          </cell>
          <cell r="R56">
            <v>19606.2</v>
          </cell>
          <cell r="S56">
            <v>19818.8</v>
          </cell>
          <cell r="T56">
            <v>1667.09</v>
          </cell>
          <cell r="U56">
            <v>1610.64</v>
          </cell>
          <cell r="V56">
            <v>1555.05</v>
          </cell>
          <cell r="W56">
            <v>1560.94</v>
          </cell>
          <cell r="X56">
            <v>1566.53</v>
          </cell>
          <cell r="Y56">
            <v>1469.65</v>
          </cell>
          <cell r="Z56">
            <v>1363.15</v>
          </cell>
          <cell r="AA56">
            <v>1229.69</v>
          </cell>
          <cell r="AB56">
            <v>1099.02</v>
          </cell>
          <cell r="AC56">
            <v>989.22400000000005</v>
          </cell>
          <cell r="AD56">
            <v>864.30399999999997</v>
          </cell>
          <cell r="AE56">
            <v>726.83500000000004</v>
          </cell>
          <cell r="AF56">
            <v>601.63400000000001</v>
          </cell>
          <cell r="AG56">
            <v>486.10399999999998</v>
          </cell>
          <cell r="AH56">
            <v>328.07</v>
          </cell>
          <cell r="AI56">
            <v>242.054</v>
          </cell>
          <cell r="AJ56">
            <v>152.26</v>
          </cell>
          <cell r="AK56">
            <v>82.385000000000005</v>
          </cell>
          <cell r="AL56">
            <v>35.076999999999998</v>
          </cell>
          <cell r="AM56">
            <v>10.846</v>
          </cell>
          <cell r="AN56">
            <v>2.5089999999999999</v>
          </cell>
          <cell r="AO56">
            <v>1622.55</v>
          </cell>
          <cell r="AP56">
            <v>1651.25</v>
          </cell>
          <cell r="AQ56">
            <v>1655.65</v>
          </cell>
          <cell r="AR56">
            <v>1598.8</v>
          </cell>
          <cell r="AS56">
            <v>1538.37</v>
          </cell>
          <cell r="AT56">
            <v>1522.96</v>
          </cell>
          <cell r="AU56">
            <v>1510.68</v>
          </cell>
          <cell r="AV56">
            <v>1415.77</v>
          </cell>
          <cell r="AW56">
            <v>1315.2</v>
          </cell>
          <cell r="AX56">
            <v>1185.75</v>
          </cell>
          <cell r="AY56">
            <v>1054.56</v>
          </cell>
          <cell r="AZ56">
            <v>939.24800000000005</v>
          </cell>
          <cell r="BA56">
            <v>806.53399999999999</v>
          </cell>
          <cell r="BB56">
            <v>660.53599999999994</v>
          </cell>
          <cell r="BC56">
            <v>522.49</v>
          </cell>
          <cell r="BD56">
            <v>387.11500000000001</v>
          </cell>
          <cell r="BE56">
            <v>224.78200000000001</v>
          </cell>
          <cell r="BF56">
            <v>128.905</v>
          </cell>
          <cell r="BG56">
            <v>55.454000000000001</v>
          </cell>
          <cell r="BH56">
            <v>17.940000000000001</v>
          </cell>
          <cell r="BI56">
            <v>4.25</v>
          </cell>
          <cell r="BJ56">
            <v>9.4489630507110434</v>
          </cell>
          <cell r="BK56">
            <v>9.1290079407813831</v>
          </cell>
          <cell r="BL56">
            <v>8.813927257681474</v>
          </cell>
          <cell r="BM56">
            <v>8.8473114135271018</v>
          </cell>
          <cell r="BN56">
            <v>8.8789951879204914</v>
          </cell>
          <cell r="BO56">
            <v>8.3298853376107385</v>
          </cell>
          <cell r="BP56">
            <v>7.7262499220658514</v>
          </cell>
          <cell r="BQ56">
            <v>6.9698068933464086</v>
          </cell>
          <cell r="BR56">
            <v>6.2291774121327883</v>
          </cell>
          <cell r="BS56">
            <v>5.6068604723659679</v>
          </cell>
          <cell r="BT56">
            <v>4.8988216356535981</v>
          </cell>
          <cell r="BU56">
            <v>4.1196558427940673</v>
          </cell>
          <cell r="BV56">
            <v>3.4100243154547676</v>
          </cell>
          <cell r="BW56">
            <v>2.7552074181974824</v>
          </cell>
          <cell r="BX56">
            <v>1.8594804767869593</v>
          </cell>
          <cell r="BY56">
            <v>1.3719471068009592</v>
          </cell>
          <cell r="BZ56">
            <v>0.86300026639309424</v>
          </cell>
          <cell r="CA56">
            <v>0.4669530864757328</v>
          </cell>
          <cell r="CB56">
            <v>0.19881426733397189</v>
          </cell>
          <cell r="CC56">
            <v>6.1474457436618286E-2</v>
          </cell>
          <cell r="CD56">
            <v>1.4220856878893165E-2</v>
          </cell>
          <cell r="CE56">
            <v>8.1869235271560346</v>
          </cell>
          <cell r="CF56">
            <v>8.3317355238460458</v>
          </cell>
          <cell r="CG56">
            <v>8.3539366661957342</v>
          </cell>
          <cell r="CH56">
            <v>8.0670878156094208</v>
          </cell>
          <cell r="CI56">
            <v>7.762175308293136</v>
          </cell>
          <cell r="CJ56">
            <v>7.6844208529275235</v>
          </cell>
          <cell r="CK56">
            <v>7.6224594829152128</v>
          </cell>
          <cell r="CL56">
            <v>7.1435707510040967</v>
          </cell>
          <cell r="CM56">
            <v>6.6361232768886111</v>
          </cell>
          <cell r="CN56">
            <v>5.9829555775324446</v>
          </cell>
          <cell r="CO56">
            <v>5.3210083355198092</v>
          </cell>
          <cell r="CP56">
            <v>4.7391769431045274</v>
          </cell>
          <cell r="CQ56">
            <v>4.0695400326962279</v>
          </cell>
          <cell r="CR56">
            <v>3.3328758552485516</v>
          </cell>
          <cell r="CS56">
            <v>2.6363351968837669</v>
          </cell>
          <cell r="CT56">
            <v>1.9532716410680768</v>
          </cell>
          <cell r="CU56">
            <v>1.1341857226471836</v>
          </cell>
          <cell r="CV56">
            <v>0.65041778513330772</v>
          </cell>
          <cell r="CW56">
            <v>0.27980503360445641</v>
          </cell>
          <cell r="CX56">
            <v>9.0520112216683157E-2</v>
          </cell>
          <cell r="CY56">
            <v>2.1444285224130624E-2</v>
          </cell>
          <cell r="CZ56">
            <v>99.999784618349381</v>
          </cell>
          <cell r="DA56">
            <v>99.978525440490856</v>
          </cell>
        </row>
        <row r="57">
          <cell r="B57" t="str">
            <v>EGY</v>
          </cell>
          <cell r="C57" t="str">
            <v>Middle East &amp; North Africa</v>
          </cell>
          <cell r="D57" t="str">
            <v>Lower middle income</v>
          </cell>
          <cell r="E57" t="str">
            <v>IBRD</v>
          </cell>
          <cell r="G57">
            <v>0</v>
          </cell>
          <cell r="H57">
            <v>818</v>
          </cell>
          <cell r="I57">
            <v>102334</v>
          </cell>
          <cell r="J57">
            <v>104258</v>
          </cell>
          <cell r="K57">
            <v>106157</v>
          </cell>
          <cell r="L57">
            <v>108032</v>
          </cell>
          <cell r="M57">
            <v>109887</v>
          </cell>
          <cell r="N57">
            <v>111728</v>
          </cell>
          <cell r="O57">
            <v>113554</v>
          </cell>
          <cell r="P57">
            <v>115367</v>
          </cell>
          <cell r="Q57">
            <v>117176</v>
          </cell>
          <cell r="R57">
            <v>118995</v>
          </cell>
          <cell r="S57">
            <v>120832</v>
          </cell>
          <cell r="T57">
            <v>12697.2</v>
          </cell>
          <cell r="U57">
            <v>12331.3</v>
          </cell>
          <cell r="V57">
            <v>9684.34</v>
          </cell>
          <cell r="W57">
            <v>8701.09</v>
          </cell>
          <cell r="X57">
            <v>8416.59</v>
          </cell>
          <cell r="Y57">
            <v>8094.54</v>
          </cell>
          <cell r="Z57">
            <v>8065.17</v>
          </cell>
          <cell r="AA57">
            <v>7133.17</v>
          </cell>
          <cell r="AB57">
            <v>6040.5</v>
          </cell>
          <cell r="AC57">
            <v>4908.1000000000004</v>
          </cell>
          <cell r="AD57">
            <v>4213.2299999999996</v>
          </cell>
          <cell r="AE57">
            <v>3631.66</v>
          </cell>
          <cell r="AF57">
            <v>2961.31</v>
          </cell>
          <cell r="AG57">
            <v>2161.34</v>
          </cell>
          <cell r="AH57">
            <v>1665.62</v>
          </cell>
          <cell r="AI57">
            <v>865.36099999999999</v>
          </cell>
          <cell r="AJ57">
            <v>483.976</v>
          </cell>
          <cell r="AK57">
            <v>209.595</v>
          </cell>
          <cell r="AL57">
            <v>59</v>
          </cell>
          <cell r="AM57">
            <v>10.284000000000001</v>
          </cell>
          <cell r="AN57">
            <v>0.96699999999999997</v>
          </cell>
          <cell r="AO57">
            <v>12466</v>
          </cell>
          <cell r="AP57">
            <v>12414</v>
          </cell>
          <cell r="AQ57">
            <v>12626.5</v>
          </cell>
          <cell r="AR57">
            <v>12273.1</v>
          </cell>
          <cell r="AS57">
            <v>9598.2800000000007</v>
          </cell>
          <cell r="AT57">
            <v>8577.82</v>
          </cell>
          <cell r="AU57">
            <v>8276.94</v>
          </cell>
          <cell r="AV57">
            <v>7954.58</v>
          </cell>
          <cell r="AW57">
            <v>7916.81</v>
          </cell>
          <cell r="AX57">
            <v>6949.96</v>
          </cell>
          <cell r="AY57">
            <v>5766.73</v>
          </cell>
          <cell r="AZ57">
            <v>4546.26</v>
          </cell>
          <cell r="BA57">
            <v>3753.59</v>
          </cell>
          <cell r="BB57">
            <v>3030.78</v>
          </cell>
          <cell r="BC57">
            <v>2214.14</v>
          </cell>
          <cell r="BD57">
            <v>1342.34</v>
          </cell>
          <cell r="BE57">
            <v>769.39099999999996</v>
          </cell>
          <cell r="BF57">
            <v>258.30099999999999</v>
          </cell>
          <cell r="BG57">
            <v>78.914000000000001</v>
          </cell>
          <cell r="BH57">
            <v>15.561999999999999</v>
          </cell>
          <cell r="BI57">
            <v>1.5509999999999999</v>
          </cell>
          <cell r="BJ57">
            <v>12.407606465104463</v>
          </cell>
          <cell r="BK57">
            <v>12.050051791193543</v>
          </cell>
          <cell r="BL57">
            <v>9.4634627787441126</v>
          </cell>
          <cell r="BM57">
            <v>8.5026384192936852</v>
          </cell>
          <cell r="BN57">
            <v>8.2246272011257258</v>
          </cell>
          <cell r="BO57">
            <v>7.9099224109289183</v>
          </cell>
          <cell r="BP57">
            <v>7.8812222721676077</v>
          </cell>
          <cell r="BQ57">
            <v>6.9704790196806528</v>
          </cell>
          <cell r="BR57">
            <v>5.9027302753727984</v>
          </cell>
          <cell r="BS57">
            <v>4.79615767975453</v>
          </cell>
          <cell r="BT57">
            <v>4.1171360447163208</v>
          </cell>
          <cell r="BU57">
            <v>3.548830300779799</v>
          </cell>
          <cell r="BV57">
            <v>2.8937694216975784</v>
          </cell>
          <cell r="BW57">
            <v>2.1120448726718393</v>
          </cell>
          <cell r="BX57">
            <v>1.6276310903512028</v>
          </cell>
          <cell r="BY57">
            <v>0.84562413274180626</v>
          </cell>
          <cell r="BZ57">
            <v>0.47293763558543594</v>
          </cell>
          <cell r="CA57">
            <v>0.20481462661481034</v>
          </cell>
          <cell r="CB57">
            <v>5.7654347528680587E-2</v>
          </cell>
          <cell r="CC57">
            <v>1.0049445931948326E-2</v>
          </cell>
          <cell r="CD57">
            <v>9.4494498407176491E-4</v>
          </cell>
          <cell r="CE57">
            <v>10.316803495762713</v>
          </cell>
          <cell r="CF57">
            <v>10.273768538135593</v>
          </cell>
          <cell r="CG57">
            <v>10.449632547669491</v>
          </cell>
          <cell r="CH57">
            <v>10.157160354872882</v>
          </cell>
          <cell r="CI57">
            <v>7.9434917902542379</v>
          </cell>
          <cell r="CJ57">
            <v>7.0989638506355925</v>
          </cell>
          <cell r="CK57">
            <v>6.8499569650423737</v>
          </cell>
          <cell r="CL57">
            <v>6.5831733315677958</v>
          </cell>
          <cell r="CM57">
            <v>6.5519150556144075</v>
          </cell>
          <cell r="CN57">
            <v>5.7517545021186436</v>
          </cell>
          <cell r="CO57">
            <v>4.7725188691737284</v>
          </cell>
          <cell r="CP57">
            <v>3.7624635858050848</v>
          </cell>
          <cell r="CQ57">
            <v>3.1064535884533897</v>
          </cell>
          <cell r="CR57">
            <v>2.508259401483051</v>
          </cell>
          <cell r="CS57">
            <v>1.8324119438559321</v>
          </cell>
          <cell r="CT57">
            <v>1.1109143273305084</v>
          </cell>
          <cell r="CU57">
            <v>0.63674440545550848</v>
          </cell>
          <cell r="CV57">
            <v>0.213768703654661</v>
          </cell>
          <cell r="CW57">
            <v>6.5308858580508486E-2</v>
          </cell>
          <cell r="CX57">
            <v>1.2879038665254236E-2</v>
          </cell>
          <cell r="CY57">
            <v>1.2836003707627117E-3</v>
          </cell>
          <cell r="CZ57">
            <v>100.00033517696956</v>
          </cell>
          <cell r="DA57">
            <v>99.998343154131334</v>
          </cell>
        </row>
        <row r="58">
          <cell r="B58" t="str">
            <v>ERI</v>
          </cell>
          <cell r="C58" t="str">
            <v>Sub-Saharan Africa</v>
          </cell>
          <cell r="D58" t="str">
            <v>Low income</v>
          </cell>
          <cell r="E58" t="str">
            <v>IDA</v>
          </cell>
          <cell r="F58" t="str">
            <v>HIPC</v>
          </cell>
          <cell r="G58">
            <v>1</v>
          </cell>
          <cell r="H58">
            <v>232</v>
          </cell>
          <cell r="I58">
            <v>3546.43</v>
          </cell>
          <cell r="J58">
            <v>3601.46</v>
          </cell>
          <cell r="K58">
            <v>3662.25</v>
          </cell>
          <cell r="L58">
            <v>3727.66</v>
          </cell>
          <cell r="M58">
            <v>3795.98</v>
          </cell>
          <cell r="N58">
            <v>3865.96</v>
          </cell>
          <cell r="O58">
            <v>3937.2</v>
          </cell>
          <cell r="P58">
            <v>4009.96</v>
          </cell>
          <cell r="Q58">
            <v>4084.47</v>
          </cell>
          <cell r="R58">
            <v>4161.13</v>
          </cell>
          <cell r="S58">
            <v>4240.22</v>
          </cell>
          <cell r="T58">
            <v>495.07</v>
          </cell>
          <cell r="U58">
            <v>476.7</v>
          </cell>
          <cell r="V58">
            <v>486.69299999999998</v>
          </cell>
          <cell r="W58">
            <v>373.93200000000002</v>
          </cell>
          <cell r="X58">
            <v>285.24700000000001</v>
          </cell>
          <cell r="Y58">
            <v>286.98899999999998</v>
          </cell>
          <cell r="Z58">
            <v>269.28100000000001</v>
          </cell>
          <cell r="AA58">
            <v>191.483</v>
          </cell>
          <cell r="AB58">
            <v>141.245</v>
          </cell>
          <cell r="AC58">
            <v>139.59700000000001</v>
          </cell>
          <cell r="AD58">
            <v>88.100999999999999</v>
          </cell>
          <cell r="AE58">
            <v>83.849000000000004</v>
          </cell>
          <cell r="AF58">
            <v>68.421000000000006</v>
          </cell>
          <cell r="AG58">
            <v>59.905999999999999</v>
          </cell>
          <cell r="AH58">
            <v>47.222999999999999</v>
          </cell>
          <cell r="AI58">
            <v>29.859000000000002</v>
          </cell>
          <cell r="AJ58">
            <v>15.2</v>
          </cell>
          <cell r="AK58">
            <v>5.7610000000000001</v>
          </cell>
          <cell r="AL58">
            <v>1.548</v>
          </cell>
          <cell r="AM58">
            <v>0.29399999999999998</v>
          </cell>
          <cell r="AN58">
            <v>2.8000000000000001E-2</v>
          </cell>
          <cell r="AO58">
            <v>530.524</v>
          </cell>
          <cell r="AP58">
            <v>496.88600000000002</v>
          </cell>
          <cell r="AQ58">
            <v>487.63099999999997</v>
          </cell>
          <cell r="AR58">
            <v>466.67200000000003</v>
          </cell>
          <cell r="AS58">
            <v>463.70100000000002</v>
          </cell>
          <cell r="AT58">
            <v>343.92700000000002</v>
          </cell>
          <cell r="AU58">
            <v>258.37799999999999</v>
          </cell>
          <cell r="AV58">
            <v>264.358</v>
          </cell>
          <cell r="AW58">
            <v>249.721</v>
          </cell>
          <cell r="AX58">
            <v>175.64599999999999</v>
          </cell>
          <cell r="AY58">
            <v>127.461</v>
          </cell>
          <cell r="AZ58">
            <v>122.821</v>
          </cell>
          <cell r="BA58">
            <v>73.34</v>
          </cell>
          <cell r="BB58">
            <v>64.94</v>
          </cell>
          <cell r="BC58">
            <v>47.106000000000002</v>
          </cell>
          <cell r="BD58">
            <v>34.527000000000001</v>
          </cell>
          <cell r="BE58">
            <v>20.646999999999998</v>
          </cell>
          <cell r="BF58">
            <v>8.7149999999999999</v>
          </cell>
          <cell r="BG58">
            <v>2.6120000000000001</v>
          </cell>
          <cell r="BH58">
            <v>0.53100000000000003</v>
          </cell>
          <cell r="BI58">
            <v>7.1999999999999995E-2</v>
          </cell>
          <cell r="BJ58">
            <v>13.959672120977999</v>
          </cell>
          <cell r="BK58">
            <v>13.441686428323695</v>
          </cell>
          <cell r="BL58">
            <v>13.723462749863948</v>
          </cell>
          <cell r="BM58">
            <v>10.543899075972176</v>
          </cell>
          <cell r="BN58">
            <v>8.0432152897420792</v>
          </cell>
          <cell r="BO58">
            <v>8.0923351088277506</v>
          </cell>
          <cell r="BP58">
            <v>7.5930160753208158</v>
          </cell>
          <cell r="BQ58">
            <v>5.3993170596910129</v>
          </cell>
          <cell r="BR58">
            <v>3.982737569894232</v>
          </cell>
          <cell r="BS58">
            <v>3.9362683036180046</v>
          </cell>
          <cell r="BT58">
            <v>2.4842165219671615</v>
          </cell>
          <cell r="BU58">
            <v>2.3643213033952457</v>
          </cell>
          <cell r="BV58">
            <v>1.929292274202508</v>
          </cell>
          <cell r="BW58">
            <v>1.6891916659852302</v>
          </cell>
          <cell r="BX58">
            <v>1.3315644183023492</v>
          </cell>
          <cell r="BY58">
            <v>0.84194528018317027</v>
          </cell>
          <cell r="BZ58">
            <v>0.4286000287613177</v>
          </cell>
          <cell r="CA58">
            <v>0.16244505037460208</v>
          </cell>
          <cell r="CB58">
            <v>4.3649529244902618E-2</v>
          </cell>
          <cell r="CC58">
            <v>8.2900268720939082E-3</v>
          </cell>
          <cell r="CD58">
            <v>7.8952636877084852E-4</v>
          </cell>
          <cell r="CE58">
            <v>12.511709298102454</v>
          </cell>
          <cell r="CF58">
            <v>11.718401403700751</v>
          </cell>
          <cell r="CG58">
            <v>11.500134426987279</v>
          </cell>
          <cell r="CH58">
            <v>11.005844036394338</v>
          </cell>
          <cell r="CI58">
            <v>10.935776917235426</v>
          </cell>
          <cell r="CJ58">
            <v>8.1110649919107978</v>
          </cell>
          <cell r="CK58">
            <v>6.0935045823094081</v>
          </cell>
          <cell r="CL58">
            <v>6.2345350005424249</v>
          </cell>
          <cell r="CM58">
            <v>5.8893406474192371</v>
          </cell>
          <cell r="CN58">
            <v>4.1423794048422007</v>
          </cell>
          <cell r="CO58">
            <v>3.0059996886953977</v>
          </cell>
          <cell r="CP58">
            <v>2.896571404313927</v>
          </cell>
          <cell r="CQ58">
            <v>1.7296272363226437</v>
          </cell>
          <cell r="CR58">
            <v>1.5315243077010154</v>
          </cell>
          <cell r="CS58">
            <v>1.110932923291716</v>
          </cell>
          <cell r="CT58">
            <v>0.81427378768082792</v>
          </cell>
          <cell r="CU58">
            <v>0.48693228181556608</v>
          </cell>
          <cell r="CV58">
            <v>0.20553178844493913</v>
          </cell>
          <cell r="CW58">
            <v>6.1600577328534842E-2</v>
          </cell>
          <cell r="CX58">
            <v>1.252293513072435E-2</v>
          </cell>
          <cell r="CY58">
            <v>1.6980251024710979E-3</v>
          </cell>
          <cell r="CZ58">
            <v>99.999915407889077</v>
          </cell>
          <cell r="DA58">
            <v>99.99820764016961</v>
          </cell>
        </row>
        <row r="59">
          <cell r="B59" t="str">
            <v>ESP</v>
          </cell>
          <cell r="C59" t="str">
            <v>Europe &amp; Central Asia</v>
          </cell>
          <cell r="D59" t="str">
            <v>High income</v>
          </cell>
          <cell r="F59" t="str">
            <v>EMU</v>
          </cell>
          <cell r="G59">
            <v>0</v>
          </cell>
          <cell r="H59">
            <v>724</v>
          </cell>
          <cell r="I59">
            <v>46754.8</v>
          </cell>
          <cell r="J59">
            <v>46745.2</v>
          </cell>
          <cell r="K59">
            <v>46719.1</v>
          </cell>
          <cell r="L59">
            <v>46679.3</v>
          </cell>
          <cell r="M59">
            <v>46630.7</v>
          </cell>
          <cell r="N59">
            <v>46577.1</v>
          </cell>
          <cell r="O59">
            <v>46518.6</v>
          </cell>
          <cell r="P59">
            <v>46454</v>
          </cell>
          <cell r="Q59">
            <v>46383.8</v>
          </cell>
          <cell r="R59">
            <v>46309</v>
          </cell>
          <cell r="S59">
            <v>46230.1</v>
          </cell>
          <cell r="T59">
            <v>1990.1</v>
          </cell>
          <cell r="U59">
            <v>2244.39</v>
          </cell>
          <cell r="V59">
            <v>2497.9499999999998</v>
          </cell>
          <cell r="W59">
            <v>2238.12</v>
          </cell>
          <cell r="X59">
            <v>2255.91</v>
          </cell>
          <cell r="Y59">
            <v>2361.69</v>
          </cell>
          <cell r="Z59">
            <v>2618.9699999999998</v>
          </cell>
          <cell r="AA59">
            <v>3283.02</v>
          </cell>
          <cell r="AB59">
            <v>4000.88</v>
          </cell>
          <cell r="AC59">
            <v>3937.62</v>
          </cell>
          <cell r="AD59">
            <v>3632.24</v>
          </cell>
          <cell r="AE59">
            <v>3414.08</v>
          </cell>
          <cell r="AF59">
            <v>2939.31</v>
          </cell>
          <cell r="AG59">
            <v>2401.34</v>
          </cell>
          <cell r="AH59">
            <v>2204.15</v>
          </cell>
          <cell r="AI59">
            <v>1811.16</v>
          </cell>
          <cell r="AJ59">
            <v>1288.3399999999999</v>
          </cell>
          <cell r="AK59">
            <v>1039.1199999999999</v>
          </cell>
          <cell r="AL59">
            <v>471.255</v>
          </cell>
          <cell r="AM59">
            <v>112.05</v>
          </cell>
          <cell r="AN59">
            <v>13.083</v>
          </cell>
          <cell r="AO59">
            <v>1748.66</v>
          </cell>
          <cell r="AP59">
            <v>1851.06</v>
          </cell>
          <cell r="AQ59">
            <v>2002.24</v>
          </cell>
          <cell r="AR59">
            <v>2260.46</v>
          </cell>
          <cell r="AS59">
            <v>2538.2800000000002</v>
          </cell>
          <cell r="AT59">
            <v>2302.25</v>
          </cell>
          <cell r="AU59">
            <v>2320.58</v>
          </cell>
          <cell r="AV59">
            <v>2409.42</v>
          </cell>
          <cell r="AW59">
            <v>2644.45</v>
          </cell>
          <cell r="AX59">
            <v>3279.47</v>
          </cell>
          <cell r="AY59">
            <v>3954.23</v>
          </cell>
          <cell r="AZ59">
            <v>3846.34</v>
          </cell>
          <cell r="BA59">
            <v>3497.93</v>
          </cell>
          <cell r="BB59">
            <v>3227.93</v>
          </cell>
          <cell r="BC59">
            <v>2702.43</v>
          </cell>
          <cell r="BD59">
            <v>2094.1</v>
          </cell>
          <cell r="BE59">
            <v>1718.69</v>
          </cell>
          <cell r="BF59">
            <v>1115.8699999999999</v>
          </cell>
          <cell r="BG59">
            <v>503.27499999999998</v>
          </cell>
          <cell r="BH59">
            <v>185.999</v>
          </cell>
          <cell r="BI59">
            <v>26.466999999999999</v>
          </cell>
          <cell r="BJ59">
            <v>4.2564613686723067</v>
          </cell>
          <cell r="BK59">
            <v>4.8003413553260836</v>
          </cell>
          <cell r="BL59">
            <v>5.342660004962057</v>
          </cell>
          <cell r="BM59">
            <v>4.7869309675156337</v>
          </cell>
          <cell r="BN59">
            <v>4.8249805367577228</v>
          </cell>
          <cell r="BO59">
            <v>5.0512246870909507</v>
          </cell>
          <cell r="BP59">
            <v>5.6014997390642236</v>
          </cell>
          <cell r="BQ59">
            <v>7.0217817208072759</v>
          </cell>
          <cell r="BR59">
            <v>8.5571534901229391</v>
          </cell>
          <cell r="BS59">
            <v>8.4218518740321837</v>
          </cell>
          <cell r="BT59">
            <v>7.7686996843104872</v>
          </cell>
          <cell r="BU59">
            <v>7.3020951859488221</v>
          </cell>
          <cell r="BV59">
            <v>6.2866486435617306</v>
          </cell>
          <cell r="BW59">
            <v>5.1360288141538408</v>
          </cell>
          <cell r="BX59">
            <v>4.7142753257419558</v>
          </cell>
          <cell r="BY59">
            <v>3.8737413057055101</v>
          </cell>
          <cell r="BZ59">
            <v>2.755524566461625</v>
          </cell>
          <cell r="CA59">
            <v>2.2224883862191689</v>
          </cell>
          <cell r="CB59">
            <v>1.0079285977054762</v>
          </cell>
          <cell r="CC59">
            <v>0.23965453814367718</v>
          </cell>
          <cell r="CD59">
            <v>2.7982153704004722E-2</v>
          </cell>
          <cell r="CE59">
            <v>3.7825139898031801</v>
          </cell>
          <cell r="CF59">
            <v>4.0040147003791899</v>
          </cell>
          <cell r="CG59">
            <v>4.3310310814815454</v>
          </cell>
          <cell r="CH59">
            <v>4.8895849241078864</v>
          </cell>
          <cell r="CI59">
            <v>5.4905353871179177</v>
          </cell>
          <cell r="CJ59">
            <v>4.9799805754259667</v>
          </cell>
          <cell r="CK59">
            <v>5.0196300678562231</v>
          </cell>
          <cell r="CL59">
            <v>5.2117992390239261</v>
          </cell>
          <cell r="CM59">
            <v>5.720190957839157</v>
          </cell>
          <cell r="CN59">
            <v>7.0937981964131591</v>
          </cell>
          <cell r="CO59">
            <v>8.5533667459079705</v>
          </cell>
          <cell r="CP59">
            <v>8.3199906554387741</v>
          </cell>
          <cell r="CQ59">
            <v>7.5663474662611581</v>
          </cell>
          <cell r="CR59">
            <v>6.9823123895470696</v>
          </cell>
          <cell r="CS59">
            <v>5.8456070828313154</v>
          </cell>
          <cell r="CT59">
            <v>4.5297327931369393</v>
          </cell>
          <cell r="CU59">
            <v>3.7176860962879164</v>
          </cell>
          <cell r="CV59">
            <v>2.4137304483442605</v>
          </cell>
          <cell r="CW59">
            <v>1.088630567530678</v>
          </cell>
          <cell r="CX59">
            <v>0.40233311197682897</v>
          </cell>
          <cell r="CY59">
            <v>5.7250579168117738E-2</v>
          </cell>
          <cell r="CZ59">
            <v>99.999952946007681</v>
          </cell>
          <cell r="DA59">
            <v>99.942816476711101</v>
          </cell>
        </row>
        <row r="60">
          <cell r="B60" t="str">
            <v>EST</v>
          </cell>
          <cell r="C60" t="str">
            <v>Europe &amp; Central Asia</v>
          </cell>
          <cell r="D60" t="str">
            <v>High income</v>
          </cell>
          <cell r="F60" t="str">
            <v>EMU</v>
          </cell>
          <cell r="G60">
            <v>0</v>
          </cell>
          <cell r="H60">
            <v>233</v>
          </cell>
          <cell r="I60">
            <v>1326.54</v>
          </cell>
          <cell r="J60">
            <v>1325.19</v>
          </cell>
          <cell r="K60">
            <v>1321.91</v>
          </cell>
          <cell r="L60">
            <v>1317.22</v>
          </cell>
          <cell r="M60">
            <v>1311.93</v>
          </cell>
          <cell r="N60">
            <v>1306.6500000000001</v>
          </cell>
          <cell r="O60">
            <v>1301.51</v>
          </cell>
          <cell r="P60">
            <v>1296.3499999999999</v>
          </cell>
          <cell r="Q60">
            <v>1291.0899999999999</v>
          </cell>
          <cell r="R60">
            <v>1285.6600000000001</v>
          </cell>
          <cell r="S60">
            <v>1279.96</v>
          </cell>
          <cell r="T60">
            <v>69.176000000000002</v>
          </cell>
          <cell r="U60">
            <v>74.484999999999999</v>
          </cell>
          <cell r="V60">
            <v>75.192999999999998</v>
          </cell>
          <cell r="W60">
            <v>62.295000000000002</v>
          </cell>
          <cell r="X60">
            <v>58.008000000000003</v>
          </cell>
          <cell r="Y60">
            <v>87.546000000000006</v>
          </cell>
          <cell r="Z60">
            <v>101.57</v>
          </cell>
          <cell r="AA60">
            <v>92.061000000000007</v>
          </cell>
          <cell r="AB60">
            <v>88.572999999999993</v>
          </cell>
          <cell r="AC60">
            <v>96.364999999999995</v>
          </cell>
          <cell r="AD60">
            <v>76.415000000000006</v>
          </cell>
          <cell r="AE60">
            <v>88.867999999999995</v>
          </cell>
          <cell r="AF60">
            <v>85.724999999999994</v>
          </cell>
          <cell r="AG60">
            <v>83.747</v>
          </cell>
          <cell r="AH60">
            <v>53.146999999999998</v>
          </cell>
          <cell r="AI60">
            <v>54.281999999999996</v>
          </cell>
          <cell r="AJ60">
            <v>43.508000000000003</v>
          </cell>
          <cell r="AK60">
            <v>23.427</v>
          </cell>
          <cell r="AL60">
            <v>10.146000000000001</v>
          </cell>
          <cell r="AM60">
            <v>1.8640000000000001</v>
          </cell>
          <cell r="AN60">
            <v>0.13800000000000001</v>
          </cell>
          <cell r="AO60">
            <v>58.633000000000003</v>
          </cell>
          <cell r="AP60">
            <v>64.563000000000002</v>
          </cell>
          <cell r="AQ60">
            <v>68.867999999999995</v>
          </cell>
          <cell r="AR60">
            <v>73.713999999999999</v>
          </cell>
          <cell r="AS60">
            <v>73.432000000000002</v>
          </cell>
          <cell r="AT60">
            <v>60.094000000000001</v>
          </cell>
          <cell r="AU60">
            <v>56.000999999999998</v>
          </cell>
          <cell r="AV60">
            <v>85.512</v>
          </cell>
          <cell r="AW60">
            <v>99.417000000000002</v>
          </cell>
          <cell r="AX60">
            <v>89.828000000000003</v>
          </cell>
          <cell r="AY60">
            <v>85.727000000000004</v>
          </cell>
          <cell r="AZ60">
            <v>91.846999999999994</v>
          </cell>
          <cell r="BA60">
            <v>70.918000000000006</v>
          </cell>
          <cell r="BB60">
            <v>79.311999999999998</v>
          </cell>
          <cell r="BC60">
            <v>72.7</v>
          </cell>
          <cell r="BD60">
            <v>66.081000000000003</v>
          </cell>
          <cell r="BE60">
            <v>36.584000000000003</v>
          </cell>
          <cell r="BF60">
            <v>28.773</v>
          </cell>
          <cell r="BG60">
            <v>14.212999999999999</v>
          </cell>
          <cell r="BH60">
            <v>3.3450000000000002</v>
          </cell>
          <cell r="BI60">
            <v>0.39900000000000002</v>
          </cell>
          <cell r="BJ60">
            <v>5.2147692493253128</v>
          </cell>
          <cell r="BK60">
            <v>5.6149833401179006</v>
          </cell>
          <cell r="BL60">
            <v>5.6683552701011655</v>
          </cell>
          <cell r="BM60">
            <v>4.6960513817902214</v>
          </cell>
          <cell r="BN60">
            <v>4.3728798226966399</v>
          </cell>
          <cell r="BO60">
            <v>6.5995748337781004</v>
          </cell>
          <cell r="BP60">
            <v>7.6567611983053663</v>
          </cell>
          <cell r="BQ60">
            <v>6.9399339635442594</v>
          </cell>
          <cell r="BR60">
            <v>6.6769942858865923</v>
          </cell>
          <cell r="BS60">
            <v>7.2643870520300924</v>
          </cell>
          <cell r="BT60">
            <v>5.760474618179626</v>
          </cell>
          <cell r="BU60">
            <v>6.6992325900462859</v>
          </cell>
          <cell r="BV60">
            <v>6.4623004206431771</v>
          </cell>
          <cell r="BW60">
            <v>6.313190706650385</v>
          </cell>
          <cell r="BX60">
            <v>4.0064378005940267</v>
          </cell>
          <cell r="BY60">
            <v>4.0919987335474239</v>
          </cell>
          <cell r="BZ60">
            <v>3.2798106351862741</v>
          </cell>
          <cell r="CA60">
            <v>1.766022886607264</v>
          </cell>
          <cell r="CB60">
            <v>0.76484689492966673</v>
          </cell>
          <cell r="CC60">
            <v>0.14051592865650492</v>
          </cell>
          <cell r="CD60">
            <v>1.0403003301822788E-2</v>
          </cell>
          <cell r="CE60">
            <v>4.5808462764461391</v>
          </cell>
          <cell r="CF60">
            <v>5.0441420044376386</v>
          </cell>
          <cell r="CG60">
            <v>5.38048064002</v>
          </cell>
          <cell r="CH60">
            <v>5.7590862214444201</v>
          </cell>
          <cell r="CI60">
            <v>5.7370542829463416</v>
          </cell>
          <cell r="CJ60">
            <v>4.6949904684521391</v>
          </cell>
          <cell r="CK60">
            <v>4.3752148504640767</v>
          </cell>
          <cell r="CL60">
            <v>6.6808337760555014</v>
          </cell>
          <cell r="CM60">
            <v>7.7671958498703075</v>
          </cell>
          <cell r="CN60">
            <v>7.0180318134941713</v>
          </cell>
          <cell r="CO60">
            <v>6.6976311759742488</v>
          </cell>
          <cell r="CP60">
            <v>7.1757711178474324</v>
          </cell>
          <cell r="CQ60">
            <v>5.5406418950592204</v>
          </cell>
          <cell r="CR60">
            <v>6.1964436388637143</v>
          </cell>
          <cell r="CS60">
            <v>5.6798649957811183</v>
          </cell>
          <cell r="CT60">
            <v>5.1627394606081438</v>
          </cell>
          <cell r="CU60">
            <v>2.8582143191974749</v>
          </cell>
          <cell r="CV60">
            <v>2.2479608737773056</v>
          </cell>
          <cell r="CW60">
            <v>1.1104253257914309</v>
          </cell>
          <cell r="CX60">
            <v>0.26133629175911749</v>
          </cell>
          <cell r="CY60">
            <v>3.1172849151535988E-2</v>
          </cell>
          <cell r="CZ60">
            <v>99.99992461591809</v>
          </cell>
          <cell r="DA60">
            <v>99.968905278289938</v>
          </cell>
        </row>
        <row r="61">
          <cell r="B61" t="str">
            <v>ETH</v>
          </cell>
          <cell r="C61" t="str">
            <v>Sub-Saharan Africa</v>
          </cell>
          <cell r="D61" t="str">
            <v>Low income</v>
          </cell>
          <cell r="E61" t="str">
            <v>IDA</v>
          </cell>
          <cell r="F61" t="str">
            <v>HIPC</v>
          </cell>
          <cell r="G61">
            <v>1</v>
          </cell>
          <cell r="H61">
            <v>231</v>
          </cell>
          <cell r="I61">
            <v>114964</v>
          </cell>
          <cell r="J61">
            <v>117876</v>
          </cell>
          <cell r="K61">
            <v>120813</v>
          </cell>
          <cell r="L61">
            <v>123771</v>
          </cell>
          <cell r="M61">
            <v>126751</v>
          </cell>
          <cell r="N61">
            <v>129749</v>
          </cell>
          <cell r="O61">
            <v>132766</v>
          </cell>
          <cell r="P61">
            <v>135797</v>
          </cell>
          <cell r="Q61">
            <v>138839</v>
          </cell>
          <cell r="R61">
            <v>141890</v>
          </cell>
          <cell r="S61">
            <v>144944</v>
          </cell>
          <cell r="T61">
            <v>16791.5</v>
          </cell>
          <cell r="U61">
            <v>15246.1</v>
          </cell>
          <cell r="V61">
            <v>13853.2</v>
          </cell>
          <cell r="W61">
            <v>12975.8</v>
          </cell>
          <cell r="X61">
            <v>11746.9</v>
          </cell>
          <cell r="Y61">
            <v>9692.19</v>
          </cell>
          <cell r="Z61">
            <v>7518.89</v>
          </cell>
          <cell r="AA61">
            <v>6273.98</v>
          </cell>
          <cell r="AB61">
            <v>4933.9399999999996</v>
          </cell>
          <cell r="AC61">
            <v>4104.71</v>
          </cell>
          <cell r="AD61">
            <v>3228.75</v>
          </cell>
          <cell r="AE61">
            <v>2475.3200000000002</v>
          </cell>
          <cell r="AF61">
            <v>2056.2600000000002</v>
          </cell>
          <cell r="AG61">
            <v>1568.29</v>
          </cell>
          <cell r="AH61">
            <v>1188.44</v>
          </cell>
          <cell r="AI61">
            <v>740.93299999999999</v>
          </cell>
          <cell r="AJ61">
            <v>371.80500000000001</v>
          </cell>
          <cell r="AK61">
            <v>152.113</v>
          </cell>
          <cell r="AL61">
            <v>38.737000000000002</v>
          </cell>
          <cell r="AM61">
            <v>5.3780000000000001</v>
          </cell>
          <cell r="AN61">
            <v>0.44400000000000001</v>
          </cell>
          <cell r="AO61">
            <v>18495.900000000001</v>
          </cell>
          <cell r="AP61">
            <v>17666.5</v>
          </cell>
          <cell r="AQ61">
            <v>16482.400000000001</v>
          </cell>
          <cell r="AR61">
            <v>15039.5</v>
          </cell>
          <cell r="AS61">
            <v>13632.9</v>
          </cell>
          <cell r="AT61">
            <v>12718.3</v>
          </cell>
          <cell r="AU61">
            <v>11469.6</v>
          </cell>
          <cell r="AV61">
            <v>9401.9699999999993</v>
          </cell>
          <cell r="AW61">
            <v>7220.67</v>
          </cell>
          <cell r="AX61">
            <v>5963.15</v>
          </cell>
          <cell r="AY61">
            <v>4633.75</v>
          </cell>
          <cell r="AZ61">
            <v>3784.99</v>
          </cell>
          <cell r="BA61">
            <v>2888.3</v>
          </cell>
          <cell r="BB61">
            <v>2091.19</v>
          </cell>
          <cell r="BC61">
            <v>1569.52</v>
          </cell>
          <cell r="BD61">
            <v>1008.55</v>
          </cell>
          <cell r="BE61">
            <v>577.14800000000002</v>
          </cell>
          <cell r="BF61">
            <v>229.48699999999999</v>
          </cell>
          <cell r="BG61">
            <v>59.456000000000003</v>
          </cell>
          <cell r="BH61">
            <v>10.134</v>
          </cell>
          <cell r="BI61">
            <v>0.92900000000000005</v>
          </cell>
          <cell r="BJ61">
            <v>14.605876622246964</v>
          </cell>
          <cell r="BK61">
            <v>13.26162972756689</v>
          </cell>
          <cell r="BL61">
            <v>12.050033053825546</v>
          </cell>
          <cell r="BM61">
            <v>11.28683761873282</v>
          </cell>
          <cell r="BN61">
            <v>10.217894297345255</v>
          </cell>
          <cell r="BO61">
            <v>8.4306304582304037</v>
          </cell>
          <cell r="BP61">
            <v>6.540212588288508</v>
          </cell>
          <cell r="BQ61">
            <v>5.4573431682961617</v>
          </cell>
          <cell r="BR61">
            <v>4.2917261055634803</v>
          </cell>
          <cell r="BS61">
            <v>3.570430743537107</v>
          </cell>
          <cell r="BT61">
            <v>2.8084878744650497</v>
          </cell>
          <cell r="BU61">
            <v>2.1531261960265824</v>
          </cell>
          <cell r="BV61">
            <v>1.7886120872620994</v>
          </cell>
          <cell r="BW61">
            <v>1.3641574753835983</v>
          </cell>
          <cell r="BX61">
            <v>1.0337496955568701</v>
          </cell>
          <cell r="BY61">
            <v>0.64449131902160672</v>
          </cell>
          <cell r="BZ61">
            <v>0.32340993702376397</v>
          </cell>
          <cell r="CA61">
            <v>0.13231359382067431</v>
          </cell>
          <cell r="CB61">
            <v>3.3694895793465782E-2</v>
          </cell>
          <cell r="CC61">
            <v>4.6779861521867713E-3</v>
          </cell>
          <cell r="CD61">
            <v>3.8620785637242963E-4</v>
          </cell>
          <cell r="CE61">
            <v>12.760721382050999</v>
          </cell>
          <cell r="CF61">
            <v>12.188500386356111</v>
          </cell>
          <cell r="CG61">
            <v>11.371564190307982</v>
          </cell>
          <cell r="CH61">
            <v>10.37607627773485</v>
          </cell>
          <cell r="CI61">
            <v>9.4056325201457103</v>
          </cell>
          <cell r="CJ61">
            <v>8.7746302020090514</v>
          </cell>
          <cell r="CK61">
            <v>7.9131250689921631</v>
          </cell>
          <cell r="CL61">
            <v>6.4866224196931217</v>
          </cell>
          <cell r="CM61">
            <v>4.9816963792913125</v>
          </cell>
          <cell r="CN61">
            <v>4.114106137542775</v>
          </cell>
          <cell r="CO61">
            <v>3.1969243293961807</v>
          </cell>
          <cell r="CP61">
            <v>2.6113464510431612</v>
          </cell>
          <cell r="CQ61">
            <v>1.9927006292085221</v>
          </cell>
          <cell r="CR61">
            <v>1.4427572027817641</v>
          </cell>
          <cell r="CS61">
            <v>1.0828457887184015</v>
          </cell>
          <cell r="CT61">
            <v>0.69582045479633514</v>
          </cell>
          <cell r="CU61">
            <v>0.39818688596975382</v>
          </cell>
          <cell r="CV61">
            <v>0.15832804393420907</v>
          </cell>
          <cell r="CW61">
            <v>4.1019980130257205E-2</v>
          </cell>
          <cell r="CX61">
            <v>6.9916657467711677E-3</v>
          </cell>
          <cell r="CY61">
            <v>6.4093718953526883E-4</v>
          </cell>
          <cell r="CZ61">
            <v>99.999721651995358</v>
          </cell>
          <cell r="DA61">
            <v>99.999596395849423</v>
          </cell>
        </row>
        <row r="62">
          <cell r="B62" t="str">
            <v>FIN</v>
          </cell>
          <cell r="C62" t="str">
            <v>Europe &amp; Central Asia</v>
          </cell>
          <cell r="D62" t="str">
            <v>High income</v>
          </cell>
          <cell r="F62" t="str">
            <v>EMU</v>
          </cell>
          <cell r="G62">
            <v>0</v>
          </cell>
          <cell r="H62">
            <v>246</v>
          </cell>
          <cell r="I62">
            <v>5540.72</v>
          </cell>
          <cell r="J62">
            <v>5548.36</v>
          </cell>
          <cell r="K62">
            <v>5554.96</v>
          </cell>
          <cell r="L62">
            <v>5560.63</v>
          </cell>
          <cell r="M62">
            <v>5565.47</v>
          </cell>
          <cell r="N62">
            <v>5569.57</v>
          </cell>
          <cell r="O62">
            <v>5573.02</v>
          </cell>
          <cell r="P62">
            <v>5575.9</v>
          </cell>
          <cell r="Q62">
            <v>5578.14</v>
          </cell>
          <cell r="R62">
            <v>5579.71</v>
          </cell>
          <cell r="S62">
            <v>5580.53</v>
          </cell>
          <cell r="T62">
            <v>264.13200000000001</v>
          </cell>
          <cell r="U62">
            <v>304.54700000000003</v>
          </cell>
          <cell r="V62">
            <v>310.36200000000002</v>
          </cell>
          <cell r="W62">
            <v>296.298</v>
          </cell>
          <cell r="X62">
            <v>313.25299999999999</v>
          </cell>
          <cell r="Y62">
            <v>359.1</v>
          </cell>
          <cell r="Z62">
            <v>347.43200000000002</v>
          </cell>
          <cell r="AA62">
            <v>359.14800000000002</v>
          </cell>
          <cell r="AB62">
            <v>345.452</v>
          </cell>
          <cell r="AC62">
            <v>314.108</v>
          </cell>
          <cell r="AD62">
            <v>351.00700000000001</v>
          </cell>
          <cell r="AE62">
            <v>369.548</v>
          </cell>
          <cell r="AF62">
            <v>356.64800000000002</v>
          </cell>
          <cell r="AG62">
            <v>355.67700000000002</v>
          </cell>
          <cell r="AH62">
            <v>357.60199999999998</v>
          </cell>
          <cell r="AI62">
            <v>225.386</v>
          </cell>
          <cell r="AJ62">
            <v>159.12299999999999</v>
          </cell>
          <cell r="AK62">
            <v>96.400999999999996</v>
          </cell>
          <cell r="AL62">
            <v>44.210999999999999</v>
          </cell>
          <cell r="AM62">
            <v>10.308</v>
          </cell>
          <cell r="AN62">
            <v>0.97499999999999998</v>
          </cell>
          <cell r="AO62">
            <v>243.06</v>
          </cell>
          <cell r="AP62">
            <v>249.327</v>
          </cell>
          <cell r="AQ62">
            <v>272.149</v>
          </cell>
          <cell r="AR62">
            <v>312.88099999999997</v>
          </cell>
          <cell r="AS62">
            <v>325.50700000000001</v>
          </cell>
          <cell r="AT62">
            <v>318.86900000000003</v>
          </cell>
          <cell r="AU62">
            <v>332.84300000000002</v>
          </cell>
          <cell r="AV62">
            <v>371.12599999999998</v>
          </cell>
          <cell r="AW62">
            <v>354.68099999999998</v>
          </cell>
          <cell r="AX62">
            <v>361.84500000000003</v>
          </cell>
          <cell r="AY62">
            <v>343.64299999999997</v>
          </cell>
          <cell r="AZ62">
            <v>307.87</v>
          </cell>
          <cell r="BA62">
            <v>336.596</v>
          </cell>
          <cell r="BB62">
            <v>345.40699999999998</v>
          </cell>
          <cell r="BC62">
            <v>322.76799999999997</v>
          </cell>
          <cell r="BD62">
            <v>304.64499999999998</v>
          </cell>
          <cell r="BE62">
            <v>272.16500000000002</v>
          </cell>
          <cell r="BF62">
            <v>132.929</v>
          </cell>
          <cell r="BG62">
            <v>56.417000000000002</v>
          </cell>
          <cell r="BH62">
            <v>14.045</v>
          </cell>
          <cell r="BI62">
            <v>1.758</v>
          </cell>
          <cell r="BJ62">
            <v>4.7671060800762355</v>
          </cell>
          <cell r="BK62">
            <v>5.4965239174692098</v>
          </cell>
          <cell r="BL62">
            <v>5.601474176641303</v>
          </cell>
          <cell r="BM62">
            <v>5.3476443494708263</v>
          </cell>
          <cell r="BN62">
            <v>5.653651510994961</v>
          </cell>
          <cell r="BO62">
            <v>6.4811071485294329</v>
          </cell>
          <cell r="BP62">
            <v>6.2705207987409581</v>
          </cell>
          <cell r="BQ62">
            <v>6.4819734619327454</v>
          </cell>
          <cell r="BR62">
            <v>6.234785370854329</v>
          </cell>
          <cell r="BS62">
            <v>5.6690827184914596</v>
          </cell>
          <cell r="BT62">
            <v>6.3350430990918154</v>
          </cell>
          <cell r="BU62">
            <v>6.6696746993170564</v>
          </cell>
          <cell r="BV62">
            <v>6.4368529721769017</v>
          </cell>
          <cell r="BW62">
            <v>6.4193281739557309</v>
          </cell>
          <cell r="BX62">
            <v>6.454070951067731</v>
          </cell>
          <cell r="BY62">
            <v>4.0678106816442625</v>
          </cell>
          <cell r="BZ62">
            <v>2.8718830765676659</v>
          </cell>
          <cell r="CA62">
            <v>1.739864133181247</v>
          </cell>
          <cell r="CB62">
            <v>0.7979287890382476</v>
          </cell>
          <cell r="CC62">
            <v>0.186040803361296</v>
          </cell>
          <cell r="CD62">
            <v>1.7596991004779163E-2</v>
          </cell>
          <cell r="CE62">
            <v>4.3555002840232024</v>
          </cell>
          <cell r="CF62">
            <v>4.4678014453824275</v>
          </cell>
          <cell r="CG62">
            <v>4.8767590175126738</v>
          </cell>
          <cell r="CH62">
            <v>5.6066538482903949</v>
          </cell>
          <cell r="CI62">
            <v>5.8329047599421564</v>
          </cell>
          <cell r="CJ62">
            <v>5.713955484514913</v>
          </cell>
          <cell r="CK62">
            <v>5.964361807928638</v>
          </cell>
          <cell r="CL62">
            <v>6.6503719180794656</v>
          </cell>
          <cell r="CM62">
            <v>6.3556866462504455</v>
          </cell>
          <cell r="CN62">
            <v>6.4840615497094367</v>
          </cell>
          <cell r="CO62">
            <v>6.1578918131431957</v>
          </cell>
          <cell r="CP62">
            <v>5.5168595097598256</v>
          </cell>
          <cell r="CQ62">
            <v>6.0316134847406975</v>
          </cell>
          <cell r="CR62">
            <v>6.1895017139949067</v>
          </cell>
          <cell r="CS62">
            <v>5.7838234002863524</v>
          </cell>
          <cell r="CT62">
            <v>5.4590692998693671</v>
          </cell>
          <cell r="CU62">
            <v>4.8770457286315105</v>
          </cell>
          <cell r="CV62">
            <v>2.3820138947375966</v>
          </cell>
          <cell r="CW62">
            <v>1.0109613244620135</v>
          </cell>
          <cell r="CX62">
            <v>0.2516786040035624</v>
          </cell>
          <cell r="CY62">
            <v>3.1502384182147576E-2</v>
          </cell>
          <cell r="CZ62">
            <v>99.999963903608204</v>
          </cell>
          <cell r="DA62">
            <v>99.968515535262782</v>
          </cell>
        </row>
        <row r="63">
          <cell r="B63" t="str">
            <v>FJI</v>
          </cell>
          <cell r="C63" t="str">
            <v>East Asia &amp; Pacific</v>
          </cell>
          <cell r="D63" t="str">
            <v>Upper middle income</v>
          </cell>
          <cell r="E63" t="str">
            <v>Blend</v>
          </cell>
          <cell r="G63">
            <v>0</v>
          </cell>
          <cell r="H63">
            <v>242</v>
          </cell>
          <cell r="I63">
            <v>896.44399999999996</v>
          </cell>
          <cell r="J63">
            <v>902.899</v>
          </cell>
          <cell r="K63">
            <v>909.45699999999999</v>
          </cell>
          <cell r="L63">
            <v>916.13099999999997</v>
          </cell>
          <cell r="M63">
            <v>922.95500000000004</v>
          </cell>
          <cell r="N63">
            <v>929.97699999999998</v>
          </cell>
          <cell r="O63">
            <v>937.16200000000003</v>
          </cell>
          <cell r="P63">
            <v>944.45600000000002</v>
          </cell>
          <cell r="Q63">
            <v>951.76300000000003</v>
          </cell>
          <cell r="R63">
            <v>958.971</v>
          </cell>
          <cell r="S63">
            <v>966.01900000000001</v>
          </cell>
          <cell r="T63">
            <v>89.39</v>
          </cell>
          <cell r="U63">
            <v>87.75</v>
          </cell>
          <cell r="V63">
            <v>82.927000000000007</v>
          </cell>
          <cell r="W63">
            <v>75.207999999999998</v>
          </cell>
          <cell r="X63">
            <v>71.882999999999996</v>
          </cell>
          <cell r="Y63">
            <v>70.061999999999998</v>
          </cell>
          <cell r="Z63">
            <v>66.837000000000003</v>
          </cell>
          <cell r="AA63">
            <v>68.117000000000004</v>
          </cell>
          <cell r="AB63">
            <v>57.042000000000002</v>
          </cell>
          <cell r="AC63">
            <v>49.481000000000002</v>
          </cell>
          <cell r="AD63">
            <v>47.401000000000003</v>
          </cell>
          <cell r="AE63">
            <v>44.036000000000001</v>
          </cell>
          <cell r="AF63">
            <v>34.159999999999997</v>
          </cell>
          <cell r="AG63">
            <v>22.959</v>
          </cell>
          <cell r="AH63">
            <v>15.417</v>
          </cell>
          <cell r="AI63">
            <v>8.2159999999999993</v>
          </cell>
          <cell r="AJ63">
            <v>4.0510000000000002</v>
          </cell>
          <cell r="AK63">
            <v>1.222</v>
          </cell>
          <cell r="AL63">
            <v>0.25700000000000001</v>
          </cell>
          <cell r="AM63">
            <v>2.5999999999999999E-2</v>
          </cell>
          <cell r="AN63">
            <v>2E-3</v>
          </cell>
          <cell r="AO63">
            <v>84.998999999999995</v>
          </cell>
          <cell r="AP63">
            <v>86.391000000000005</v>
          </cell>
          <cell r="AQ63">
            <v>88.144999999999996</v>
          </cell>
          <cell r="AR63">
            <v>85.808999999999997</v>
          </cell>
          <cell r="AS63">
            <v>78.376000000000005</v>
          </cell>
          <cell r="AT63">
            <v>68.986000000000004</v>
          </cell>
          <cell r="AU63">
            <v>66.073999999999998</v>
          </cell>
          <cell r="AV63">
            <v>65.182000000000002</v>
          </cell>
          <cell r="AW63">
            <v>62.552999999999997</v>
          </cell>
          <cell r="AX63">
            <v>63.677</v>
          </cell>
          <cell r="AY63">
            <v>52.472000000000001</v>
          </cell>
          <cell r="AZ63">
            <v>44.289000000000001</v>
          </cell>
          <cell r="BA63">
            <v>40.503999999999998</v>
          </cell>
          <cell r="BB63">
            <v>34.563000000000002</v>
          </cell>
          <cell r="BC63">
            <v>23.292999999999999</v>
          </cell>
          <cell r="BD63">
            <v>12.529</v>
          </cell>
          <cell r="BE63">
            <v>5.9249999999999998</v>
          </cell>
          <cell r="BF63">
            <v>1.8160000000000001</v>
          </cell>
          <cell r="BG63">
            <v>0.39400000000000002</v>
          </cell>
          <cell r="BH63">
            <v>3.9E-2</v>
          </cell>
          <cell r="BI63">
            <v>3.0000000000000001E-3</v>
          </cell>
          <cell r="BJ63">
            <v>9.9716212055633147</v>
          </cell>
          <cell r="BK63">
            <v>9.788676147087827</v>
          </cell>
          <cell r="BL63">
            <v>9.2506615025589998</v>
          </cell>
          <cell r="BM63">
            <v>8.3895926572100432</v>
          </cell>
          <cell r="BN63">
            <v>8.0186827063374846</v>
          </cell>
          <cell r="BO63">
            <v>7.8155467603107391</v>
          </cell>
          <cell r="BP63">
            <v>7.4557919959305883</v>
          </cell>
          <cell r="BQ63">
            <v>7.5985783830334084</v>
          </cell>
          <cell r="BR63">
            <v>6.3631414789992462</v>
          </cell>
          <cell r="BS63">
            <v>5.5196978283082938</v>
          </cell>
          <cell r="BT63">
            <v>5.2876699492662125</v>
          </cell>
          <cell r="BU63">
            <v>4.9122979237966904</v>
          </cell>
          <cell r="BV63">
            <v>3.810611705806497</v>
          </cell>
          <cell r="BW63">
            <v>2.5611192667919025</v>
          </cell>
          <cell r="BX63">
            <v>1.7197951015345074</v>
          </cell>
          <cell r="BY63">
            <v>0.91651012221622319</v>
          </cell>
          <cell r="BZ63">
            <v>0.45189660480743921</v>
          </cell>
          <cell r="CA63">
            <v>0.13631637893722306</v>
          </cell>
          <cell r="CB63">
            <v>2.8668829285487994E-2</v>
          </cell>
          <cell r="CC63">
            <v>2.9003484880260229E-3</v>
          </cell>
          <cell r="CD63">
            <v>2.2310372984815562E-4</v>
          </cell>
          <cell r="CE63">
            <v>8.7988952598240822</v>
          </cell>
          <cell r="CF63">
            <v>8.9429918045090222</v>
          </cell>
          <cell r="CG63">
            <v>9.1245617322226575</v>
          </cell>
          <cell r="CH63">
            <v>8.8827445422916114</v>
          </cell>
          <cell r="CI63">
            <v>8.1132979786111878</v>
          </cell>
          <cell r="CJ63">
            <v>7.1412674077839053</v>
          </cell>
          <cell r="CK63">
            <v>6.8398240614315045</v>
          </cell>
          <cell r="CL63">
            <v>6.747486333084546</v>
          </cell>
          <cell r="CM63">
            <v>6.4753384767794424</v>
          </cell>
          <cell r="CN63">
            <v>6.5916922959072224</v>
          </cell>
          <cell r="CO63">
            <v>5.4317772217730713</v>
          </cell>
          <cell r="CP63">
            <v>4.5846924335856754</v>
          </cell>
          <cell r="CQ63">
            <v>4.1928781939071591</v>
          </cell>
          <cell r="CR63">
            <v>3.5778799381792701</v>
          </cell>
          <cell r="CS63">
            <v>2.4112362179211795</v>
          </cell>
          <cell r="CT63">
            <v>1.2969724197971262</v>
          </cell>
          <cell r="CU63">
            <v>0.61334197360507392</v>
          </cell>
          <cell r="CV63">
            <v>0.18798802093954672</v>
          </cell>
          <cell r="CW63">
            <v>4.0785947274328972E-2</v>
          </cell>
          <cell r="CX63">
            <v>4.0371876743625123E-3</v>
          </cell>
          <cell r="CY63">
            <v>3.1055289802788558E-4</v>
          </cell>
          <cell r="CZ63">
            <v>100.00000000000003</v>
          </cell>
          <cell r="DA63">
            <v>99.999689447101986</v>
          </cell>
        </row>
        <row r="64">
          <cell r="B64" t="str">
            <v>FRA</v>
          </cell>
          <cell r="C64" t="str">
            <v>Europe &amp; Central Asia</v>
          </cell>
          <cell r="D64" t="str">
            <v>High income</v>
          </cell>
          <cell r="F64" t="str">
            <v>EMU</v>
          </cell>
          <cell r="G64">
            <v>0</v>
          </cell>
          <cell r="H64">
            <v>250</v>
          </cell>
          <cell r="I64">
            <v>65273.5</v>
          </cell>
          <cell r="J64">
            <v>65426.2</v>
          </cell>
          <cell r="K64">
            <v>65584.5</v>
          </cell>
          <cell r="L64">
            <v>65745.2</v>
          </cell>
          <cell r="M64">
            <v>65902</v>
          </cell>
          <cell r="N64">
            <v>66050.600000000006</v>
          </cell>
          <cell r="O64">
            <v>66190.5</v>
          </cell>
          <cell r="P64">
            <v>66323.899999999994</v>
          </cell>
          <cell r="Q64">
            <v>66451.8</v>
          </cell>
          <cell r="R64">
            <v>66575.399999999994</v>
          </cell>
          <cell r="S64">
            <v>66695.7</v>
          </cell>
          <cell r="T64">
            <v>3619.99</v>
          </cell>
          <cell r="U64">
            <v>3907.49</v>
          </cell>
          <cell r="V64">
            <v>3995.69</v>
          </cell>
          <cell r="W64">
            <v>3887.79</v>
          </cell>
          <cell r="X64">
            <v>3697.02</v>
          </cell>
          <cell r="Y64">
            <v>3674.01</v>
          </cell>
          <cell r="Z64">
            <v>3941.53</v>
          </cell>
          <cell r="AA64">
            <v>4069.52</v>
          </cell>
          <cell r="AB64">
            <v>3943.4</v>
          </cell>
          <cell r="AC64">
            <v>4382.2700000000004</v>
          </cell>
          <cell r="AD64">
            <v>4363.3999999999996</v>
          </cell>
          <cell r="AE64">
            <v>4271.66</v>
          </cell>
          <cell r="AF64">
            <v>3973.25</v>
          </cell>
          <cell r="AG64">
            <v>3791.54</v>
          </cell>
          <cell r="AH64">
            <v>3523.62</v>
          </cell>
          <cell r="AI64">
            <v>2204.09</v>
          </cell>
          <cell r="AJ64">
            <v>1812.33</v>
          </cell>
          <cell r="AK64">
            <v>1329.81</v>
          </cell>
          <cell r="AL64">
            <v>664.899</v>
          </cell>
          <cell r="AM64">
            <v>200.785</v>
          </cell>
          <cell r="AN64">
            <v>19.443000000000001</v>
          </cell>
          <cell r="AO64">
            <v>3509.05</v>
          </cell>
          <cell r="AP64">
            <v>3581.53</v>
          </cell>
          <cell r="AQ64">
            <v>3711.77</v>
          </cell>
          <cell r="AR64">
            <v>3969.35</v>
          </cell>
          <cell r="AS64">
            <v>3916.13</v>
          </cell>
          <cell r="AT64">
            <v>3782.01</v>
          </cell>
          <cell r="AU64">
            <v>3729.16</v>
          </cell>
          <cell r="AV64">
            <v>3815.91</v>
          </cell>
          <cell r="AW64">
            <v>4064.49</v>
          </cell>
          <cell r="AX64">
            <v>4124.01</v>
          </cell>
          <cell r="AY64">
            <v>3931.81</v>
          </cell>
          <cell r="AZ64">
            <v>4282.6899999999996</v>
          </cell>
          <cell r="BA64">
            <v>4183.83</v>
          </cell>
          <cell r="BB64">
            <v>4011.22</v>
          </cell>
          <cell r="BC64">
            <v>3625.85</v>
          </cell>
          <cell r="BD64">
            <v>3286.92</v>
          </cell>
          <cell r="BE64">
            <v>2750.98</v>
          </cell>
          <cell r="BF64">
            <v>1380.03</v>
          </cell>
          <cell r="BG64">
            <v>738.65099999999995</v>
          </cell>
          <cell r="BH64">
            <v>257.19900000000001</v>
          </cell>
          <cell r="BI64">
            <v>43.113</v>
          </cell>
          <cell r="BJ64">
            <v>5.5458800278826779</v>
          </cell>
          <cell r="BK64">
            <v>5.9863344236175475</v>
          </cell>
          <cell r="BL64">
            <v>6.1214581721525576</v>
          </cell>
          <cell r="BM64">
            <v>5.9561537224141494</v>
          </cell>
          <cell r="BN64">
            <v>5.6638911656338333</v>
          </cell>
          <cell r="BO64">
            <v>5.6286394938221491</v>
          </cell>
          <cell r="BP64">
            <v>6.0384842240725565</v>
          </cell>
          <cell r="BQ64">
            <v>6.2345668609772726</v>
          </cell>
          <cell r="BR64">
            <v>6.0413490926639444</v>
          </cell>
          <cell r="BS64">
            <v>6.7137046427723348</v>
          </cell>
          <cell r="BT64">
            <v>6.684795514259231</v>
          </cell>
          <cell r="BU64">
            <v>6.5442484315993479</v>
          </cell>
          <cell r="BV64">
            <v>6.0870797490558957</v>
          </cell>
          <cell r="BW64">
            <v>5.8086972507985628</v>
          </cell>
          <cell r="BX64">
            <v>5.39823971443235</v>
          </cell>
          <cell r="BY64">
            <v>3.3766995794618033</v>
          </cell>
          <cell r="BZ64">
            <v>2.7765172696423512</v>
          </cell>
          <cell r="CA64">
            <v>2.0372892521467363</v>
          </cell>
          <cell r="CB64">
            <v>1.0186354339816313</v>
          </cell>
          <cell r="CC64">
            <v>0.30760568990478526</v>
          </cell>
          <cell r="CD64">
            <v>2.9786973273993277E-2</v>
          </cell>
          <cell r="CE64">
            <v>5.2612837109438839</v>
          </cell>
          <cell r="CF64">
            <v>5.3699563839947704</v>
          </cell>
          <cell r="CG64">
            <v>5.5652313417506676</v>
          </cell>
          <cell r="CH64">
            <v>5.9514331508627993</v>
          </cell>
          <cell r="CI64">
            <v>5.8716379016938127</v>
          </cell>
          <cell r="CJ64">
            <v>5.6705454774445734</v>
          </cell>
          <cell r="CK64">
            <v>5.5913049866783009</v>
          </cell>
          <cell r="CL64">
            <v>5.7213733419095982</v>
          </cell>
          <cell r="CM64">
            <v>6.0940810277124315</v>
          </cell>
          <cell r="CN64">
            <v>6.1833221631979285</v>
          </cell>
          <cell r="CO64">
            <v>5.89514766319268</v>
          </cell>
          <cell r="CP64">
            <v>6.421238550611208</v>
          </cell>
          <cell r="CQ64">
            <v>6.2730131027937341</v>
          </cell>
          <cell r="CR64">
            <v>6.0142108111917256</v>
          </cell>
          <cell r="CS64">
            <v>5.4364074445578954</v>
          </cell>
          <cell r="CT64">
            <v>4.9282337542000461</v>
          </cell>
          <cell r="CU64">
            <v>4.124673704601646</v>
          </cell>
          <cell r="CV64">
            <v>2.0691438878368471</v>
          </cell>
          <cell r="CW64">
            <v>1.1074941862818741</v>
          </cell>
          <cell r="CX64">
            <v>0.38563055789203804</v>
          </cell>
          <cell r="CY64">
            <v>6.464134869264436E-2</v>
          </cell>
          <cell r="CZ64">
            <v>100.00005668456572</v>
          </cell>
          <cell r="DA64">
            <v>99.93536314934849</v>
          </cell>
        </row>
        <row r="65">
          <cell r="B65" t="str">
            <v>FSM</v>
          </cell>
          <cell r="C65" t="str">
            <v>East Asia &amp; Pacific</v>
          </cell>
          <cell r="D65" t="str">
            <v>Lower middle income</v>
          </cell>
          <cell r="E65" t="str">
            <v>IDA</v>
          </cell>
          <cell r="G65">
            <v>0</v>
          </cell>
          <cell r="H65">
            <v>583</v>
          </cell>
          <cell r="I65">
            <v>115.021</v>
          </cell>
          <cell r="J65">
            <v>116.255</v>
          </cell>
          <cell r="K65">
            <v>117.486</v>
          </cell>
          <cell r="L65">
            <v>118.708</v>
          </cell>
          <cell r="M65">
            <v>119.92100000000001</v>
          </cell>
          <cell r="N65">
            <v>121.113</v>
          </cell>
          <cell r="O65">
            <v>122.295</v>
          </cell>
          <cell r="P65">
            <v>123.44</v>
          </cell>
          <cell r="Q65">
            <v>124.565</v>
          </cell>
          <cell r="R65">
            <v>125.64400000000001</v>
          </cell>
          <cell r="S65">
            <v>126.699</v>
          </cell>
          <cell r="T65">
            <v>12.265000000000001</v>
          </cell>
          <cell r="U65">
            <v>11.782999999999999</v>
          </cell>
          <cell r="V65">
            <v>11.829000000000001</v>
          </cell>
          <cell r="W65">
            <v>11.47</v>
          </cell>
          <cell r="X65">
            <v>11.648</v>
          </cell>
          <cell r="Y65">
            <v>10.7</v>
          </cell>
          <cell r="Z65">
            <v>8.2629999999999999</v>
          </cell>
          <cell r="AA65">
            <v>6.8250000000000002</v>
          </cell>
          <cell r="AB65">
            <v>5.9779999999999998</v>
          </cell>
          <cell r="AC65">
            <v>5.4509999999999996</v>
          </cell>
          <cell r="AD65">
            <v>5.1109999999999998</v>
          </cell>
          <cell r="AE65">
            <v>4.6740000000000004</v>
          </cell>
          <cell r="AF65">
            <v>3.9740000000000002</v>
          </cell>
          <cell r="AG65">
            <v>2.758</v>
          </cell>
          <cell r="AH65">
            <v>1.403</v>
          </cell>
          <cell r="AI65">
            <v>0.52600000000000002</v>
          </cell>
          <cell r="AJ65">
            <v>0.253</v>
          </cell>
          <cell r="AK65">
            <v>0.09</v>
          </cell>
          <cell r="AL65">
            <v>1.7999999999999999E-2</v>
          </cell>
          <cell r="AM65">
            <v>2E-3</v>
          </cell>
          <cell r="AN65">
            <v>0</v>
          </cell>
          <cell r="AO65">
            <v>12.701000000000001</v>
          </cell>
          <cell r="AP65">
            <v>12.526</v>
          </cell>
          <cell r="AQ65">
            <v>12.02</v>
          </cell>
          <cell r="AR65">
            <v>11.321</v>
          </cell>
          <cell r="AS65">
            <v>10.811999999999999</v>
          </cell>
          <cell r="AT65">
            <v>10.201000000000001</v>
          </cell>
          <cell r="AU65">
            <v>10.529</v>
          </cell>
          <cell r="AV65">
            <v>9.84</v>
          </cell>
          <cell r="AW65">
            <v>7.625</v>
          </cell>
          <cell r="AX65">
            <v>6.3129999999999997</v>
          </cell>
          <cell r="AY65">
            <v>5.5069999999999997</v>
          </cell>
          <cell r="AZ65">
            <v>4.9349999999999996</v>
          </cell>
          <cell r="BA65">
            <v>4.4340000000000002</v>
          </cell>
          <cell r="BB65">
            <v>3.6349999999999998</v>
          </cell>
          <cell r="BC65">
            <v>2.524</v>
          </cell>
          <cell r="BD65">
            <v>1.2729999999999999</v>
          </cell>
          <cell r="BE65">
            <v>0.40799999999999997</v>
          </cell>
          <cell r="BF65">
            <v>7.9000000000000001E-2</v>
          </cell>
          <cell r="BG65">
            <v>1.6E-2</v>
          </cell>
          <cell r="BH65">
            <v>0</v>
          </cell>
          <cell r="BI65">
            <v>0</v>
          </cell>
          <cell r="BJ65">
            <v>10.663270185444397</v>
          </cell>
          <cell r="BK65">
            <v>10.244216273550046</v>
          </cell>
          <cell r="BL65">
            <v>10.284208970535817</v>
          </cell>
          <cell r="BM65">
            <v>9.972092052755583</v>
          </cell>
          <cell r="BN65">
            <v>10.126846401961382</v>
          </cell>
          <cell r="BO65">
            <v>9.3026490814720777</v>
          </cell>
          <cell r="BP65">
            <v>7.1839055476825964</v>
          </cell>
          <cell r="BQ65">
            <v>5.9336990636492466</v>
          </cell>
          <cell r="BR65">
            <v>5.1973117952373915</v>
          </cell>
          <cell r="BS65">
            <v>4.7391345928134863</v>
          </cell>
          <cell r="BT65">
            <v>4.4435363977012896</v>
          </cell>
          <cell r="BU65">
            <v>4.0636057763364954</v>
          </cell>
          <cell r="BV65">
            <v>3.4550212569878544</v>
          </cell>
          <cell r="BW65">
            <v>2.3978230062336441</v>
          </cell>
          <cell r="BX65">
            <v>1.2197772580659185</v>
          </cell>
          <cell r="BY65">
            <v>0.45730779596769289</v>
          </cell>
          <cell r="BZ65">
            <v>0.21995983342172298</v>
          </cell>
          <cell r="CA65">
            <v>7.8246581059110948E-2</v>
          </cell>
          <cell r="CB65">
            <v>1.5649316211822188E-2</v>
          </cell>
          <cell r="CC65">
            <v>1.7388129124246878E-3</v>
          </cell>
          <cell r="CD65">
            <v>0</v>
          </cell>
          <cell r="CE65">
            <v>10.0245463657961</v>
          </cell>
          <cell r="CF65">
            <v>9.8864237286797838</v>
          </cell>
          <cell r="CG65">
            <v>9.4870519893606104</v>
          </cell>
          <cell r="CH65">
            <v>8.9353507131074448</v>
          </cell>
          <cell r="CI65">
            <v>8.5336111571519897</v>
          </cell>
          <cell r="CJ65">
            <v>8.0513658355630273</v>
          </cell>
          <cell r="CK65">
            <v>8.3102471211296063</v>
          </cell>
          <cell r="CL65">
            <v>7.7664385669973717</v>
          </cell>
          <cell r="CM65">
            <v>6.0182006172108702</v>
          </cell>
          <cell r="CN65">
            <v>4.9826754749445534</v>
          </cell>
          <cell r="CO65">
            <v>4.3465220719974109</v>
          </cell>
          <cell r="CP65">
            <v>3.8950583666800842</v>
          </cell>
          <cell r="CQ65">
            <v>3.4996329884213773</v>
          </cell>
          <cell r="CR65">
            <v>2.8690044909588868</v>
          </cell>
          <cell r="CS65">
            <v>1.9921230633233096</v>
          </cell>
          <cell r="CT65">
            <v>1.0047435259946802</v>
          </cell>
          <cell r="CU65">
            <v>0.32202306253403734</v>
          </cell>
          <cell r="CV65">
            <v>6.2352504755365079E-2</v>
          </cell>
          <cell r="CW65">
            <v>1.262835539349166E-2</v>
          </cell>
          <cell r="CX65">
            <v>0</v>
          </cell>
          <cell r="CY65">
            <v>0</v>
          </cell>
          <cell r="CZ65">
            <v>100</v>
          </cell>
          <cell r="DA65">
            <v>100.00000000000001</v>
          </cell>
        </row>
        <row r="66">
          <cell r="B66" t="str">
            <v>GAB</v>
          </cell>
          <cell r="C66" t="str">
            <v>Sub-Saharan Africa</v>
          </cell>
          <cell r="D66" t="str">
            <v>Upper middle income</v>
          </cell>
          <cell r="E66" t="str">
            <v>IBRD</v>
          </cell>
          <cell r="G66">
            <v>1</v>
          </cell>
          <cell r="H66">
            <v>266</v>
          </cell>
          <cell r="I66">
            <v>2225.73</v>
          </cell>
          <cell r="J66">
            <v>2278.83</v>
          </cell>
          <cell r="K66">
            <v>2331.5300000000002</v>
          </cell>
          <cell r="L66">
            <v>2383.91</v>
          </cell>
          <cell r="M66">
            <v>2435.9499999999998</v>
          </cell>
          <cell r="N66">
            <v>2487.67</v>
          </cell>
          <cell r="O66">
            <v>2539.1999999999998</v>
          </cell>
          <cell r="P66">
            <v>2590.62</v>
          </cell>
          <cell r="Q66">
            <v>2641.95</v>
          </cell>
          <cell r="R66">
            <v>2693.23</v>
          </cell>
          <cell r="S66">
            <v>2744.46</v>
          </cell>
          <cell r="T66">
            <v>320.37599999999998</v>
          </cell>
          <cell r="U66">
            <v>279.63</v>
          </cell>
          <cell r="V66">
            <v>229.39</v>
          </cell>
          <cell r="W66">
            <v>193.38</v>
          </cell>
          <cell r="X66">
            <v>179.40700000000001</v>
          </cell>
          <cell r="Y66">
            <v>188.006</v>
          </cell>
          <cell r="Z66">
            <v>188.81200000000001</v>
          </cell>
          <cell r="AA66">
            <v>161.25399999999999</v>
          </cell>
          <cell r="AB66">
            <v>128.84399999999999</v>
          </cell>
          <cell r="AC66">
            <v>103.32</v>
          </cell>
          <cell r="AD66">
            <v>78.748000000000005</v>
          </cell>
          <cell r="AE66">
            <v>55.404000000000003</v>
          </cell>
          <cell r="AF66">
            <v>40.613</v>
          </cell>
          <cell r="AG66">
            <v>30.69</v>
          </cell>
          <cell r="AH66">
            <v>22.07</v>
          </cell>
          <cell r="AI66">
            <v>14.622999999999999</v>
          </cell>
          <cell r="AJ66">
            <v>7.86</v>
          </cell>
          <cell r="AK66">
            <v>2.8159999999999998</v>
          </cell>
          <cell r="AL66">
            <v>0.46200000000000002</v>
          </cell>
          <cell r="AM66">
            <v>2.3E-2</v>
          </cell>
          <cell r="AN66">
            <v>0</v>
          </cell>
          <cell r="AO66">
            <v>322.971</v>
          </cell>
          <cell r="AP66">
            <v>318.74400000000003</v>
          </cell>
          <cell r="AQ66">
            <v>315.89999999999998</v>
          </cell>
          <cell r="AR66">
            <v>277.07</v>
          </cell>
          <cell r="AS66">
            <v>227.21299999999999</v>
          </cell>
          <cell r="AT66">
            <v>191.208</v>
          </cell>
          <cell r="AU66">
            <v>176.804</v>
          </cell>
          <cell r="AV66">
            <v>184.01</v>
          </cell>
          <cell r="AW66">
            <v>183.1</v>
          </cell>
          <cell r="AX66">
            <v>154.59200000000001</v>
          </cell>
          <cell r="AY66">
            <v>121.398</v>
          </cell>
          <cell r="AZ66">
            <v>94.798000000000002</v>
          </cell>
          <cell r="BA66">
            <v>69.444000000000003</v>
          </cell>
          <cell r="BB66">
            <v>45.658999999999999</v>
          </cell>
          <cell r="BC66">
            <v>29.69</v>
          </cell>
          <cell r="BD66">
            <v>18.341000000000001</v>
          </cell>
          <cell r="BE66">
            <v>9.343</v>
          </cell>
          <cell r="BF66">
            <v>3.4460000000000002</v>
          </cell>
          <cell r="BG66">
            <v>0.67200000000000004</v>
          </cell>
          <cell r="BH66">
            <v>5.1999999999999998E-2</v>
          </cell>
          <cell r="BI66">
            <v>1E-3</v>
          </cell>
          <cell r="BJ66">
            <v>14.394198757261661</v>
          </cell>
          <cell r="BK66">
            <v>12.563518486069739</v>
          </cell>
          <cell r="BL66">
            <v>10.306281534597638</v>
          </cell>
          <cell r="BM66">
            <v>8.6883853836718732</v>
          </cell>
          <cell r="BN66">
            <v>8.0605913565436964</v>
          </cell>
          <cell r="BO66">
            <v>8.4469365107178316</v>
          </cell>
          <cell r="BP66">
            <v>8.4831493487529936</v>
          </cell>
          <cell r="BQ66">
            <v>7.2449937773224962</v>
          </cell>
          <cell r="BR66">
            <v>5.7888423124098605</v>
          </cell>
          <cell r="BS66">
            <v>4.6420724885767806</v>
          </cell>
          <cell r="BT66">
            <v>3.5380751483782849</v>
          </cell>
          <cell r="BU66">
            <v>2.4892507177420442</v>
          </cell>
          <cell r="BV66">
            <v>1.8247047036253274</v>
          </cell>
          <cell r="BW66">
            <v>1.3788734482619187</v>
          </cell>
          <cell r="BX66">
            <v>0.99158478341937251</v>
          </cell>
          <cell r="BY66">
            <v>0.65699792876943741</v>
          </cell>
          <cell r="BZ66">
            <v>0.35314256446199677</v>
          </cell>
          <cell r="CA66">
            <v>0.12652028772582477</v>
          </cell>
          <cell r="CB66">
            <v>2.075723470501813E-2</v>
          </cell>
          <cell r="CC66">
            <v>1.0333688273060973E-3</v>
          </cell>
          <cell r="CD66">
            <v>0</v>
          </cell>
          <cell r="CE66">
            <v>11.768107387245578</v>
          </cell>
          <cell r="CF66">
            <v>11.614088017314883</v>
          </cell>
          <cell r="CG66">
            <v>11.510461074309699</v>
          </cell>
          <cell r="CH66">
            <v>10.095610794108859</v>
          </cell>
          <cell r="CI66">
            <v>8.2789692690000951</v>
          </cell>
          <cell r="CJ66">
            <v>6.9670536280361155</v>
          </cell>
          <cell r="CK66">
            <v>6.4422144975696494</v>
          </cell>
          <cell r="CL66">
            <v>6.7047798109646344</v>
          </cell>
          <cell r="CM66">
            <v>6.6716221041662109</v>
          </cell>
          <cell r="CN66">
            <v>5.6328749553646258</v>
          </cell>
          <cell r="CO66">
            <v>4.4233838350713803</v>
          </cell>
          <cell r="CP66">
            <v>3.4541585594251698</v>
          </cell>
          <cell r="CQ66">
            <v>2.5303338361644911</v>
          </cell>
          <cell r="CR66">
            <v>1.6636788293507649</v>
          </cell>
          <cell r="CS66">
            <v>1.0818157305990979</v>
          </cell>
          <cell r="CT66">
            <v>0.66829175867019375</v>
          </cell>
          <cell r="CU66">
            <v>0.34043126881062213</v>
          </cell>
          <cell r="CV66">
            <v>0.12556204134875348</v>
          </cell>
          <cell r="CW66">
            <v>2.4485691174220066E-2</v>
          </cell>
          <cell r="CX66">
            <v>1.8947261027670286E-3</v>
          </cell>
          <cell r="CY66">
            <v>3.6437040437827474E-5</v>
          </cell>
          <cell r="CZ66">
            <v>99.999910141841085</v>
          </cell>
          <cell r="DA66">
            <v>99.999817814797822</v>
          </cell>
        </row>
        <row r="67">
          <cell r="B67" t="str">
            <v>GBR</v>
          </cell>
          <cell r="C67" t="str">
            <v>Europe &amp; Central Asia</v>
          </cell>
          <cell r="D67" t="str">
            <v>High income</v>
          </cell>
          <cell r="G67">
            <v>0</v>
          </cell>
          <cell r="H67">
            <v>826</v>
          </cell>
          <cell r="I67">
            <v>67886</v>
          </cell>
          <cell r="J67">
            <v>68207.100000000006</v>
          </cell>
          <cell r="K67">
            <v>68497.899999999994</v>
          </cell>
          <cell r="L67">
            <v>68765.899999999994</v>
          </cell>
          <cell r="M67">
            <v>69021.8</v>
          </cell>
          <cell r="N67">
            <v>69273.600000000006</v>
          </cell>
          <cell r="O67">
            <v>69524.100000000006</v>
          </cell>
          <cell r="P67">
            <v>69772</v>
          </cell>
          <cell r="Q67">
            <v>70016.3</v>
          </cell>
          <cell r="R67">
            <v>70254.600000000006</v>
          </cell>
          <cell r="S67">
            <v>70485.5</v>
          </cell>
          <cell r="T67">
            <v>3924.49</v>
          </cell>
          <cell r="U67">
            <v>4119.57</v>
          </cell>
          <cell r="V67">
            <v>3956.34</v>
          </cell>
          <cell r="W67">
            <v>3686.13</v>
          </cell>
          <cell r="X67">
            <v>4074.64</v>
          </cell>
          <cell r="Y67">
            <v>4484.07</v>
          </cell>
          <cell r="Z67">
            <v>4706.83</v>
          </cell>
          <cell r="AA67">
            <v>4588.2</v>
          </cell>
          <cell r="AB67">
            <v>4308.13</v>
          </cell>
          <cell r="AC67">
            <v>4296.12</v>
          </cell>
          <cell r="AD67">
            <v>4634.54</v>
          </cell>
          <cell r="AE67">
            <v>4538.92</v>
          </cell>
          <cell r="AF67">
            <v>3905.02</v>
          </cell>
          <cell r="AG67">
            <v>3381.76</v>
          </cell>
          <cell r="AH67">
            <v>3388.49</v>
          </cell>
          <cell r="AI67">
            <v>2442.15</v>
          </cell>
          <cell r="AJ67">
            <v>1736.57</v>
          </cell>
          <cell r="AK67">
            <v>1077.56</v>
          </cell>
          <cell r="AL67">
            <v>490.577</v>
          </cell>
          <cell r="AM67">
            <v>130.083</v>
          </cell>
          <cell r="AN67">
            <v>15.834</v>
          </cell>
          <cell r="AO67">
            <v>3804.81</v>
          </cell>
          <cell r="AP67">
            <v>3915.21</v>
          </cell>
          <cell r="AQ67">
            <v>3957.21</v>
          </cell>
          <cell r="AR67">
            <v>4214.6400000000003</v>
          </cell>
          <cell r="AS67">
            <v>4179.12</v>
          </cell>
          <cell r="AT67">
            <v>3962.67</v>
          </cell>
          <cell r="AU67">
            <v>4303.8900000000003</v>
          </cell>
          <cell r="AV67">
            <v>4636.88</v>
          </cell>
          <cell r="AW67">
            <v>4788.75</v>
          </cell>
          <cell r="AX67">
            <v>4611.41</v>
          </cell>
          <cell r="AY67">
            <v>4280.29</v>
          </cell>
          <cell r="AZ67">
            <v>4209.08</v>
          </cell>
          <cell r="BA67">
            <v>4455.67</v>
          </cell>
          <cell r="BB67">
            <v>4248.63</v>
          </cell>
          <cell r="BC67">
            <v>3504.55</v>
          </cell>
          <cell r="BD67">
            <v>2817.83</v>
          </cell>
          <cell r="BE67">
            <v>2455.3200000000002</v>
          </cell>
          <cell r="BF67">
            <v>1356.31</v>
          </cell>
          <cell r="BG67">
            <v>596.25300000000004</v>
          </cell>
          <cell r="BH67">
            <v>163.75299999999999</v>
          </cell>
          <cell r="BI67">
            <v>23.215</v>
          </cell>
          <cell r="BJ67">
            <v>5.7810005008396423</v>
          </cell>
          <cell r="BK67">
            <v>6.0683646112600531</v>
          </cell>
          <cell r="BL67">
            <v>5.8279173909200717</v>
          </cell>
          <cell r="BM67">
            <v>5.4298824499896892</v>
          </cell>
          <cell r="BN67">
            <v>6.0021801255045224</v>
          </cell>
          <cell r="BO67">
            <v>6.6052941696373324</v>
          </cell>
          <cell r="BP67">
            <v>6.9334325192234036</v>
          </cell>
          <cell r="BQ67">
            <v>6.7586836755737556</v>
          </cell>
          <cell r="BR67">
            <v>6.3461243849983795</v>
          </cell>
          <cell r="BS67">
            <v>6.3284329611407353</v>
          </cell>
          <cell r="BT67">
            <v>6.8269451727896762</v>
          </cell>
          <cell r="BU67">
            <v>6.6860913885042574</v>
          </cell>
          <cell r="BV67">
            <v>5.7523200659929881</v>
          </cell>
          <cell r="BW67">
            <v>4.9815278555224936</v>
          </cell>
          <cell r="BX67">
            <v>4.9914415343369765</v>
          </cell>
          <cell r="BY67">
            <v>3.597428041127773</v>
          </cell>
          <cell r="BZ67">
            <v>2.5580679374245059</v>
          </cell>
          <cell r="CA67">
            <v>1.5873081342250244</v>
          </cell>
          <cell r="CB67">
            <v>0.72264826326488529</v>
          </cell>
          <cell r="CC67">
            <v>0.19161977432754912</v>
          </cell>
          <cell r="CD67">
            <v>2.332439678284182E-2</v>
          </cell>
          <cell r="CE67">
            <v>5.3980038447623979</v>
          </cell>
          <cell r="CF67">
            <v>5.5546318037043081</v>
          </cell>
          <cell r="CG67">
            <v>5.6142185272148177</v>
          </cell>
          <cell r="CH67">
            <v>5.9794425803888744</v>
          </cell>
          <cell r="CI67">
            <v>5.9290492370771286</v>
          </cell>
          <cell r="CJ67">
            <v>5.6219648012711838</v>
          </cell>
          <cell r="CK67">
            <v>6.106064367848707</v>
          </cell>
          <cell r="CL67">
            <v>6.5784877740811947</v>
          </cell>
          <cell r="CM67">
            <v>6.7939505288321715</v>
          </cell>
          <cell r="CN67">
            <v>6.542352682466607</v>
          </cell>
          <cell r="CO67">
            <v>6.0725823041618492</v>
          </cell>
          <cell r="CP67">
            <v>5.9715544331812929</v>
          </cell>
          <cell r="CQ67">
            <v>6.3213994367635902</v>
          </cell>
          <cell r="CR67">
            <v>6.0276652644870223</v>
          </cell>
          <cell r="CS67">
            <v>4.972015520922743</v>
          </cell>
          <cell r="CT67">
            <v>3.9977442168956734</v>
          </cell>
          <cell r="CU67">
            <v>3.4834398564243712</v>
          </cell>
          <cell r="CV67">
            <v>1.9242397372509239</v>
          </cell>
          <cell r="CW67">
            <v>0.84592292031694472</v>
          </cell>
          <cell r="CX67">
            <v>0.23232154130991478</v>
          </cell>
          <cell r="CY67">
            <v>3.293585205467791E-2</v>
          </cell>
          <cell r="CZ67">
            <v>100.00003535338656</v>
          </cell>
          <cell r="DA67">
            <v>99.96705137936172</v>
          </cell>
        </row>
        <row r="68">
          <cell r="B68" t="str">
            <v>GEO</v>
          </cell>
          <cell r="C68" t="str">
            <v>Europe &amp; Central Asia</v>
          </cell>
          <cell r="D68" t="str">
            <v>Upper middle income</v>
          </cell>
          <cell r="E68" t="str">
            <v>IBRD</v>
          </cell>
          <cell r="G68">
            <v>0</v>
          </cell>
          <cell r="H68">
            <v>268</v>
          </cell>
          <cell r="I68">
            <v>3989.18</v>
          </cell>
          <cell r="J68">
            <v>3979.77</v>
          </cell>
          <cell r="K68">
            <v>3968.73</v>
          </cell>
          <cell r="L68">
            <v>3956.34</v>
          </cell>
          <cell r="M68">
            <v>3943.05</v>
          </cell>
          <cell r="N68">
            <v>3929.29</v>
          </cell>
          <cell r="O68">
            <v>3915.05</v>
          </cell>
          <cell r="P68">
            <v>3900.21</v>
          </cell>
          <cell r="Q68">
            <v>3884.89</v>
          </cell>
          <cell r="R68">
            <v>3869.22</v>
          </cell>
          <cell r="S68">
            <v>3853.3</v>
          </cell>
          <cell r="T68">
            <v>268.34500000000003</v>
          </cell>
          <cell r="U68">
            <v>284.81799999999998</v>
          </cell>
          <cell r="V68">
            <v>253.46199999999999</v>
          </cell>
          <cell r="W68">
            <v>217.595</v>
          </cell>
          <cell r="X68">
            <v>233.41300000000001</v>
          </cell>
          <cell r="Y68">
            <v>267.28500000000003</v>
          </cell>
          <cell r="Z68">
            <v>289.58499999999998</v>
          </cell>
          <cell r="AA68">
            <v>275.49099999999999</v>
          </cell>
          <cell r="AB68">
            <v>263.94799999999998</v>
          </cell>
          <cell r="AC68">
            <v>253.99799999999999</v>
          </cell>
          <cell r="AD68">
            <v>245.82</v>
          </cell>
          <cell r="AE68">
            <v>277.803</v>
          </cell>
          <cell r="AF68">
            <v>249.13</v>
          </cell>
          <cell r="AG68">
            <v>210.72800000000001</v>
          </cell>
          <cell r="AH68">
            <v>150.386</v>
          </cell>
          <cell r="AI68">
            <v>98.4</v>
          </cell>
          <cell r="AJ68">
            <v>96.49</v>
          </cell>
          <cell r="AK68">
            <v>36.976999999999997</v>
          </cell>
          <cell r="AL68">
            <v>13.532999999999999</v>
          </cell>
          <cell r="AM68">
            <v>1.8460000000000001</v>
          </cell>
          <cell r="AN68">
            <v>0.122</v>
          </cell>
          <cell r="AO68">
            <v>217.58699999999999</v>
          </cell>
          <cell r="AP68">
            <v>235.73400000000001</v>
          </cell>
          <cell r="AQ68">
            <v>264.71199999999999</v>
          </cell>
          <cell r="AR68">
            <v>279.77</v>
          </cell>
          <cell r="AS68">
            <v>241.51599999999999</v>
          </cell>
          <cell r="AT68">
            <v>199.01499999999999</v>
          </cell>
          <cell r="AU68">
            <v>213.738</v>
          </cell>
          <cell r="AV68">
            <v>250.06800000000001</v>
          </cell>
          <cell r="AW68">
            <v>274.53100000000001</v>
          </cell>
          <cell r="AX68">
            <v>261.06799999999998</v>
          </cell>
          <cell r="AY68">
            <v>247.72499999999999</v>
          </cell>
          <cell r="AZ68">
            <v>233.893</v>
          </cell>
          <cell r="BA68">
            <v>219.721</v>
          </cell>
          <cell r="BB68">
            <v>237.52199999999999</v>
          </cell>
          <cell r="BC68">
            <v>197.21</v>
          </cell>
          <cell r="BD68">
            <v>144.10300000000001</v>
          </cell>
          <cell r="BE68">
            <v>79.489000000000004</v>
          </cell>
          <cell r="BF68">
            <v>34.643999999999998</v>
          </cell>
          <cell r="BG68">
            <v>18.172999999999998</v>
          </cell>
          <cell r="BH68">
            <v>2.7639999999999998</v>
          </cell>
          <cell r="BI68">
            <v>0.318</v>
          </cell>
          <cell r="BJ68">
            <v>6.7268210509428013</v>
          </cell>
          <cell r="BK68">
            <v>7.1397630590747969</v>
          </cell>
          <cell r="BL68">
            <v>6.3537368582014349</v>
          </cell>
          <cell r="BM68">
            <v>5.4546297735374187</v>
          </cell>
          <cell r="BN68">
            <v>5.8511523671531496</v>
          </cell>
          <cell r="BO68">
            <v>6.7002491740157124</v>
          </cell>
          <cell r="BP68">
            <v>7.259261301821426</v>
          </cell>
          <cell r="BQ68">
            <v>6.9059556099248463</v>
          </cell>
          <cell r="BR68">
            <v>6.6165978973122295</v>
          </cell>
          <cell r="BS68">
            <v>6.3671732035155095</v>
          </cell>
          <cell r="BT68">
            <v>6.1621686662421853</v>
          </cell>
          <cell r="BU68">
            <v>6.9639123829960043</v>
          </cell>
          <cell r="BV68">
            <v>6.2451431121182805</v>
          </cell>
          <cell r="BW68">
            <v>5.2824891331050496</v>
          </cell>
          <cell r="BX68">
            <v>3.7698474373179449</v>
          </cell>
          <cell r="BY68">
            <v>2.4666723487032427</v>
          </cell>
          <cell r="BZ68">
            <v>2.4187928346176406</v>
          </cell>
          <cell r="CA68">
            <v>0.92693235201219293</v>
          </cell>
          <cell r="CB68">
            <v>0.33924265137196113</v>
          </cell>
          <cell r="CC68">
            <v>4.6275174346607578E-2</v>
          </cell>
          <cell r="CD68">
            <v>3.0582726274572722E-3</v>
          </cell>
          <cell r="CE68">
            <v>5.6467703007811485</v>
          </cell>
          <cell r="CF68">
            <v>6.1177172812913607</v>
          </cell>
          <cell r="CG68">
            <v>6.8697480082007631</v>
          </cell>
          <cell r="CH68">
            <v>7.2605299353800623</v>
          </cell>
          <cell r="CI68">
            <v>6.2677704824436189</v>
          </cell>
          <cell r="CJ68">
            <v>5.164793813095268</v>
          </cell>
          <cell r="CK68">
            <v>5.5468818934419843</v>
          </cell>
          <cell r="CL68">
            <v>6.4897101185996426</v>
          </cell>
          <cell r="CM68">
            <v>7.1245685516310688</v>
          </cell>
          <cell r="CN68">
            <v>6.7751797160875089</v>
          </cell>
          <cell r="CO68">
            <v>6.4289050943347261</v>
          </cell>
          <cell r="CP68">
            <v>6.0699400513845276</v>
          </cell>
          <cell r="CQ68">
            <v>5.7021514026937945</v>
          </cell>
          <cell r="CR68">
            <v>6.1641190667739334</v>
          </cell>
          <cell r="CS68">
            <v>5.1179508473256687</v>
          </cell>
          <cell r="CT68">
            <v>3.7397295824358343</v>
          </cell>
          <cell r="CU68">
            <v>2.0628811667921005</v>
          </cell>
          <cell r="CV68">
            <v>0.89907352139724384</v>
          </cell>
          <cell r="CW68">
            <v>0.47162172683154691</v>
          </cell>
          <cell r="CX68">
            <v>7.1730724314224156E-2</v>
          </cell>
          <cell r="CY68">
            <v>8.2526665455583525E-3</v>
          </cell>
          <cell r="CZ68">
            <v>99.999874660957886</v>
          </cell>
          <cell r="DA68">
            <v>99.991773285236022</v>
          </cell>
        </row>
        <row r="69">
          <cell r="B69" t="str">
            <v>GHA</v>
          </cell>
          <cell r="C69" t="str">
            <v>Sub-Saharan Africa</v>
          </cell>
          <cell r="D69" t="str">
            <v>Lower middle income</v>
          </cell>
          <cell r="E69" t="str">
            <v>IDA</v>
          </cell>
          <cell r="F69" t="str">
            <v>HIPC</v>
          </cell>
          <cell r="G69">
            <v>1</v>
          </cell>
          <cell r="H69">
            <v>288</v>
          </cell>
          <cell r="I69">
            <v>31072.9</v>
          </cell>
          <cell r="J69">
            <v>31732.1</v>
          </cell>
          <cell r="K69">
            <v>32395.5</v>
          </cell>
          <cell r="L69">
            <v>33062.699999999997</v>
          </cell>
          <cell r="M69">
            <v>33733.9</v>
          </cell>
          <cell r="N69">
            <v>34408.800000000003</v>
          </cell>
          <cell r="O69">
            <v>35087.199999999997</v>
          </cell>
          <cell r="P69">
            <v>35768.9</v>
          </cell>
          <cell r="Q69">
            <v>36453.9</v>
          </cell>
          <cell r="R69">
            <v>37142.1</v>
          </cell>
          <cell r="S69">
            <v>37833.4</v>
          </cell>
          <cell r="T69">
            <v>4169.4399999999996</v>
          </cell>
          <cell r="U69">
            <v>3888.44</v>
          </cell>
          <cell r="V69">
            <v>3479.87</v>
          </cell>
          <cell r="W69">
            <v>3136.85</v>
          </cell>
          <cell r="X69">
            <v>2860.34</v>
          </cell>
          <cell r="Y69">
            <v>2538.25</v>
          </cell>
          <cell r="Z69">
            <v>2266.06</v>
          </cell>
          <cell r="AA69">
            <v>1924.36</v>
          </cell>
          <cell r="AB69">
            <v>1625.91</v>
          </cell>
          <cell r="AC69">
            <v>1405.34</v>
          </cell>
          <cell r="AD69">
            <v>1189.26</v>
          </cell>
          <cell r="AE69">
            <v>945.71900000000005</v>
          </cell>
          <cell r="AF69">
            <v>667.31200000000001</v>
          </cell>
          <cell r="AG69">
            <v>423.755</v>
          </cell>
          <cell r="AH69">
            <v>298.34399999999999</v>
          </cell>
          <cell r="AI69">
            <v>158.446</v>
          </cell>
          <cell r="AJ69">
            <v>69.641000000000005</v>
          </cell>
          <cell r="AK69">
            <v>21.411999999999999</v>
          </cell>
          <cell r="AL69">
            <v>3.84</v>
          </cell>
          <cell r="AM69">
            <v>0.35</v>
          </cell>
          <cell r="AN69">
            <v>1.4999999999999999E-2</v>
          </cell>
          <cell r="AO69">
            <v>4557.79</v>
          </cell>
          <cell r="AP69">
            <v>4313.8100000000004</v>
          </cell>
          <cell r="AQ69">
            <v>4080.45</v>
          </cell>
          <cell r="AR69">
            <v>3824.81</v>
          </cell>
          <cell r="AS69">
            <v>3405.31</v>
          </cell>
          <cell r="AT69">
            <v>3041.89</v>
          </cell>
          <cell r="AU69">
            <v>2760.86</v>
          </cell>
          <cell r="AV69">
            <v>2442.94</v>
          </cell>
          <cell r="AW69">
            <v>2169.7399999999998</v>
          </cell>
          <cell r="AX69">
            <v>1825.51</v>
          </cell>
          <cell r="AY69">
            <v>1518.02</v>
          </cell>
          <cell r="AZ69">
            <v>1276.53</v>
          </cell>
          <cell r="BA69">
            <v>1030.3599999999999</v>
          </cell>
          <cell r="BB69">
            <v>755.16600000000005</v>
          </cell>
          <cell r="BC69">
            <v>462.09</v>
          </cell>
          <cell r="BD69">
            <v>227.46199999999999</v>
          </cell>
          <cell r="BE69">
            <v>104.73399999999999</v>
          </cell>
          <cell r="BF69">
            <v>29.678999999999998</v>
          </cell>
          <cell r="BG69">
            <v>5.6319999999999997</v>
          </cell>
          <cell r="BH69">
            <v>0.59299999999999997</v>
          </cell>
          <cell r="BI69">
            <v>3.2000000000000001E-2</v>
          </cell>
          <cell r="BJ69">
            <v>13.418251917265525</v>
          </cell>
          <cell r="BK69">
            <v>12.513926926678872</v>
          </cell>
          <cell r="BL69">
            <v>11.199051263319483</v>
          </cell>
          <cell r="BM69">
            <v>10.095131127123635</v>
          </cell>
          <cell r="BN69">
            <v>9.2052560269559649</v>
          </cell>
          <cell r="BO69">
            <v>8.1686936204860192</v>
          </cell>
          <cell r="BP69">
            <v>7.2927213102092177</v>
          </cell>
          <cell r="BQ69">
            <v>6.1930492487022448</v>
          </cell>
          <cell r="BR69">
            <v>5.2325659980240014</v>
          </cell>
          <cell r="BS69">
            <v>4.5227191539894882</v>
          </cell>
          <cell r="BT69">
            <v>3.8273222003739589</v>
          </cell>
          <cell r="BU69">
            <v>3.0435492020377883</v>
          </cell>
          <cell r="BV69">
            <v>2.1475691036240581</v>
          </cell>
          <cell r="BW69">
            <v>1.3637446134734768</v>
          </cell>
          <cell r="BX69">
            <v>0.96014211740777322</v>
          </cell>
          <cell r="BY69">
            <v>0.50991700163164677</v>
          </cell>
          <cell r="BZ69">
            <v>0.22412134046065868</v>
          </cell>
          <cell r="CA69">
            <v>6.8908920635022797E-2</v>
          </cell>
          <cell r="CB69">
            <v>1.2358035458550699E-2</v>
          </cell>
          <cell r="CC69">
            <v>1.1263834402324856E-3</v>
          </cell>
          <cell r="CD69">
            <v>4.8273576009963668E-5</v>
          </cell>
          <cell r="CE69">
            <v>12.047000798236478</v>
          </cell>
          <cell r="CF69">
            <v>11.402120877320041</v>
          </cell>
          <cell r="CG69">
            <v>10.785311391521777</v>
          </cell>
          <cell r="CH69">
            <v>10.109612141652613</v>
          </cell>
          <cell r="CI69">
            <v>9.0008035228131753</v>
          </cell>
          <cell r="CJ69">
            <v>8.0402237176674571</v>
          </cell>
          <cell r="CK69">
            <v>7.2974144538952359</v>
          </cell>
          <cell r="CL69">
            <v>6.4570987540110067</v>
          </cell>
          <cell r="CM69">
            <v>5.7349854890123533</v>
          </cell>
          <cell r="CN69">
            <v>4.8251280614483498</v>
          </cell>
          <cell r="CO69">
            <v>4.0123805949240614</v>
          </cell>
          <cell r="CP69">
            <v>3.3740821602076467</v>
          </cell>
          <cell r="CQ69">
            <v>2.723413703235765</v>
          </cell>
          <cell r="CR69">
            <v>1.9960299629427964</v>
          </cell>
          <cell r="CS69">
            <v>1.2213811076984886</v>
          </cell>
          <cell r="CT69">
            <v>0.60122008595579568</v>
          </cell>
          <cell r="CU69">
            <v>0.27682946814190634</v>
          </cell>
          <cell r="CV69">
            <v>7.844655780342237E-2</v>
          </cell>
          <cell r="CW69">
            <v>1.4886317380938534E-2</v>
          </cell>
          <cell r="CX69">
            <v>1.567398119122257E-3</v>
          </cell>
          <cell r="CY69">
            <v>8.4581348755332592E-5</v>
          </cell>
          <cell r="CZ69">
            <v>100.00017378487364</v>
          </cell>
          <cell r="DA69">
            <v>99.999936563988484</v>
          </cell>
        </row>
        <row r="70">
          <cell r="B70" t="str">
            <v>GIN</v>
          </cell>
          <cell r="C70" t="str">
            <v>Sub-Saharan Africa</v>
          </cell>
          <cell r="D70" t="str">
            <v>Low income</v>
          </cell>
          <cell r="E70" t="str">
            <v>IDA</v>
          </cell>
          <cell r="F70" t="str">
            <v>HIPC</v>
          </cell>
          <cell r="G70">
            <v>1</v>
          </cell>
          <cell r="H70">
            <v>324</v>
          </cell>
          <cell r="I70">
            <v>13132.8</v>
          </cell>
          <cell r="J70">
            <v>13497.2</v>
          </cell>
          <cell r="K70">
            <v>13865.7</v>
          </cell>
          <cell r="L70">
            <v>14238.7</v>
          </cell>
          <cell r="M70">
            <v>14617.8</v>
          </cell>
          <cell r="N70">
            <v>15003.8</v>
          </cell>
          <cell r="O70">
            <v>15396.6</v>
          </cell>
          <cell r="P70">
            <v>15795</v>
          </cell>
          <cell r="Q70">
            <v>16198.8</v>
          </cell>
          <cell r="R70">
            <v>16607.5</v>
          </cell>
          <cell r="S70">
            <v>17020.900000000001</v>
          </cell>
          <cell r="T70">
            <v>2100.11</v>
          </cell>
          <cell r="U70">
            <v>1865.51</v>
          </cell>
          <cell r="V70">
            <v>1687.91</v>
          </cell>
          <cell r="W70">
            <v>1511.55</v>
          </cell>
          <cell r="X70">
            <v>1305.03</v>
          </cell>
          <cell r="Y70">
            <v>1060.71</v>
          </cell>
          <cell r="Z70">
            <v>828.43899999999996</v>
          </cell>
          <cell r="AA70">
            <v>642.42700000000002</v>
          </cell>
          <cell r="AB70">
            <v>500.18099999999998</v>
          </cell>
          <cell r="AC70">
            <v>398.25799999999998</v>
          </cell>
          <cell r="AD70">
            <v>332.92099999999999</v>
          </cell>
          <cell r="AE70">
            <v>281.60300000000001</v>
          </cell>
          <cell r="AF70">
            <v>230.42699999999999</v>
          </cell>
          <cell r="AG70">
            <v>177.72200000000001</v>
          </cell>
          <cell r="AH70">
            <v>105.836</v>
          </cell>
          <cell r="AI70">
            <v>65.414000000000001</v>
          </cell>
          <cell r="AJ70">
            <v>29.196999999999999</v>
          </cell>
          <cell r="AK70">
            <v>8.1820000000000004</v>
          </cell>
          <cell r="AL70">
            <v>1.27</v>
          </cell>
          <cell r="AM70">
            <v>9.4E-2</v>
          </cell>
          <cell r="AN70">
            <v>4.0000000000000001E-3</v>
          </cell>
          <cell r="AO70">
            <v>2471.08</v>
          </cell>
          <cell r="AP70">
            <v>2253.21</v>
          </cell>
          <cell r="AQ70">
            <v>2038.19</v>
          </cell>
          <cell r="AR70">
            <v>1831.44</v>
          </cell>
          <cell r="AS70">
            <v>1647.58</v>
          </cell>
          <cell r="AT70">
            <v>1461.84</v>
          </cell>
          <cell r="AU70">
            <v>1257.72</v>
          </cell>
          <cell r="AV70">
            <v>1020.05</v>
          </cell>
          <cell r="AW70">
            <v>792.14099999999996</v>
          </cell>
          <cell r="AX70">
            <v>608.52700000000004</v>
          </cell>
          <cell r="AY70">
            <v>466.46</v>
          </cell>
          <cell r="AZ70">
            <v>361.39800000000002</v>
          </cell>
          <cell r="BA70">
            <v>287.88099999999997</v>
          </cell>
          <cell r="BB70">
            <v>223.69399999999999</v>
          </cell>
          <cell r="BC70">
            <v>157.76499999999999</v>
          </cell>
          <cell r="BD70">
            <v>93.537999999999997</v>
          </cell>
          <cell r="BE70">
            <v>35.593000000000004</v>
          </cell>
          <cell r="BF70">
            <v>10.871</v>
          </cell>
          <cell r="BG70">
            <v>1.7889999999999999</v>
          </cell>
          <cell r="BH70">
            <v>0.13800000000000001</v>
          </cell>
          <cell r="BI70">
            <v>6.0000000000000001E-3</v>
          </cell>
          <cell r="BJ70">
            <v>15.991334673489281</v>
          </cell>
          <cell r="BK70">
            <v>14.204967714424951</v>
          </cell>
          <cell r="BL70">
            <v>12.852628533138402</v>
          </cell>
          <cell r="BM70">
            <v>11.509731359649123</v>
          </cell>
          <cell r="BN70">
            <v>9.9371801900584789</v>
          </cell>
          <cell r="BO70">
            <v>8.0768000730994167</v>
          </cell>
          <cell r="BP70">
            <v>6.3081673367446394</v>
          </cell>
          <cell r="BQ70">
            <v>4.8917747928849904</v>
          </cell>
          <cell r="BR70">
            <v>3.8086394371345027</v>
          </cell>
          <cell r="BS70">
            <v>3.0325444688109164</v>
          </cell>
          <cell r="BT70">
            <v>2.5350344176413255</v>
          </cell>
          <cell r="BU70">
            <v>2.144272356237817</v>
          </cell>
          <cell r="BV70">
            <v>1.7545915570175441</v>
          </cell>
          <cell r="BW70">
            <v>1.3532681530214425</v>
          </cell>
          <cell r="BX70">
            <v>0.80589059454191037</v>
          </cell>
          <cell r="BY70">
            <v>0.49809636939571156</v>
          </cell>
          <cell r="BZ70">
            <v>0.22232121101364524</v>
          </cell>
          <cell r="CA70">
            <v>6.2302022417154004E-2</v>
          </cell>
          <cell r="CB70">
            <v>9.6704434697855758E-3</v>
          </cell>
          <cell r="CC70">
            <v>7.157651072124757E-4</v>
          </cell>
          <cell r="CD70">
            <v>3.0458089668615986E-5</v>
          </cell>
          <cell r="CE70">
            <v>14.51791620889612</v>
          </cell>
          <cell r="CF70">
            <v>13.237901638573751</v>
          </cell>
          <cell r="CG70">
            <v>11.974631188715049</v>
          </cell>
          <cell r="CH70">
            <v>10.759948063850912</v>
          </cell>
          <cell r="CI70">
            <v>9.6797466643949495</v>
          </cell>
          <cell r="CJ70">
            <v>8.5885000205629538</v>
          </cell>
          <cell r="CK70">
            <v>7.3892684875652872</v>
          </cell>
          <cell r="CL70">
            <v>5.9929263434953493</v>
          </cell>
          <cell r="CM70">
            <v>4.653931343230969</v>
          </cell>
          <cell r="CN70">
            <v>3.5751752257518699</v>
          </cell>
          <cell r="CO70">
            <v>2.7405131338530864</v>
          </cell>
          <cell r="CP70">
            <v>2.1232602271325254</v>
          </cell>
          <cell r="CQ70">
            <v>1.6913382958597956</v>
          </cell>
          <cell r="CR70">
            <v>1.3142313273681179</v>
          </cell>
          <cell r="CS70">
            <v>0.92688988243864867</v>
          </cell>
          <cell r="CT70">
            <v>0.54954790874748094</v>
          </cell>
          <cell r="CU70">
            <v>0.20911350163622372</v>
          </cell>
          <cell r="CV70">
            <v>6.3868538091405275E-2</v>
          </cell>
          <cell r="CW70">
            <v>1.0510607547191981E-2</v>
          </cell>
          <cell r="CX70">
            <v>8.1076793824063351E-4</v>
          </cell>
          <cell r="CY70">
            <v>3.52507799235058E-5</v>
          </cell>
          <cell r="CZ70">
            <v>99.999961927387943</v>
          </cell>
          <cell r="DA70">
            <v>100.00002937564992</v>
          </cell>
        </row>
        <row r="71">
          <cell r="B71" t="str">
            <v>GMB</v>
          </cell>
          <cell r="C71" t="str">
            <v>Sub-Saharan Africa</v>
          </cell>
          <cell r="D71" t="str">
            <v>Low income</v>
          </cell>
          <cell r="E71" t="str">
            <v>IDA</v>
          </cell>
          <cell r="F71" t="str">
            <v>HIPC</v>
          </cell>
          <cell r="G71">
            <v>1</v>
          </cell>
          <cell r="H71">
            <v>270</v>
          </cell>
          <cell r="I71">
            <v>2416.66</v>
          </cell>
          <cell r="J71">
            <v>2486.94</v>
          </cell>
          <cell r="K71">
            <v>2558.4899999999998</v>
          </cell>
          <cell r="L71">
            <v>2631.25</v>
          </cell>
          <cell r="M71">
            <v>2705.19</v>
          </cell>
          <cell r="N71">
            <v>2780.25</v>
          </cell>
          <cell r="O71">
            <v>2856.4</v>
          </cell>
          <cell r="P71">
            <v>2933.57</v>
          </cell>
          <cell r="Q71">
            <v>3011.72</v>
          </cell>
          <cell r="R71">
            <v>3090.77</v>
          </cell>
          <cell r="S71">
            <v>3170.69</v>
          </cell>
          <cell r="T71">
            <v>409.50599999999997</v>
          </cell>
          <cell r="U71">
            <v>352.80399999999997</v>
          </cell>
          <cell r="V71">
            <v>299.82</v>
          </cell>
          <cell r="W71">
            <v>257.03699999999998</v>
          </cell>
          <cell r="X71">
            <v>228.18299999999999</v>
          </cell>
          <cell r="Y71">
            <v>200.99600000000001</v>
          </cell>
          <cell r="Z71">
            <v>160.38499999999999</v>
          </cell>
          <cell r="AA71">
            <v>122.746</v>
          </cell>
          <cell r="AB71">
            <v>97.721000000000004</v>
          </cell>
          <cell r="AC71">
            <v>76.346000000000004</v>
          </cell>
          <cell r="AD71">
            <v>65.53</v>
          </cell>
          <cell r="AE71">
            <v>50.381</v>
          </cell>
          <cell r="AF71">
            <v>34.036000000000001</v>
          </cell>
          <cell r="AG71">
            <v>25.245000000000001</v>
          </cell>
          <cell r="AH71">
            <v>19.007000000000001</v>
          </cell>
          <cell r="AI71">
            <v>11.000999999999999</v>
          </cell>
          <cell r="AJ71">
            <v>4.5359999999999996</v>
          </cell>
          <cell r="AK71">
            <v>1.198</v>
          </cell>
          <cell r="AL71">
            <v>0.17399999999999999</v>
          </cell>
          <cell r="AM71">
            <v>1.2E-2</v>
          </cell>
          <cell r="AN71">
            <v>0</v>
          </cell>
          <cell r="AO71">
            <v>478.74400000000003</v>
          </cell>
          <cell r="AP71">
            <v>434.80500000000001</v>
          </cell>
          <cell r="AQ71">
            <v>392.18599999999998</v>
          </cell>
          <cell r="AR71">
            <v>346.85899999999998</v>
          </cell>
          <cell r="AS71">
            <v>298.98399999999998</v>
          </cell>
          <cell r="AT71">
            <v>254.08</v>
          </cell>
          <cell r="AU71">
            <v>218.95</v>
          </cell>
          <cell r="AV71">
            <v>187.77</v>
          </cell>
          <cell r="AW71">
            <v>147.49</v>
          </cell>
          <cell r="AX71">
            <v>112.09099999999999</v>
          </cell>
          <cell r="AY71">
            <v>89.144999999999996</v>
          </cell>
          <cell r="AZ71">
            <v>68.325999999999993</v>
          </cell>
          <cell r="BA71">
            <v>56.27</v>
          </cell>
          <cell r="BB71">
            <v>39.951000000000001</v>
          </cell>
          <cell r="BC71">
            <v>23.228999999999999</v>
          </cell>
          <cell r="BD71">
            <v>13.273999999999999</v>
          </cell>
          <cell r="BE71">
            <v>6.3979999999999997</v>
          </cell>
          <cell r="BF71">
            <v>1.8360000000000001</v>
          </cell>
          <cell r="BG71">
            <v>0.27900000000000003</v>
          </cell>
          <cell r="BH71">
            <v>1.9E-2</v>
          </cell>
          <cell r="BI71">
            <v>1E-3</v>
          </cell>
          <cell r="BJ71">
            <v>16.945122607234779</v>
          </cell>
          <cell r="BK71">
            <v>14.598826479521323</v>
          </cell>
          <cell r="BL71">
            <v>12.406379052080144</v>
          </cell>
          <cell r="BM71">
            <v>10.636043133912093</v>
          </cell>
          <cell r="BN71">
            <v>9.4420812195343977</v>
          </cell>
          <cell r="BO71">
            <v>8.3170988057898096</v>
          </cell>
          <cell r="BP71">
            <v>6.6366389976248206</v>
          </cell>
          <cell r="BQ71">
            <v>5.0791588390588664</v>
          </cell>
          <cell r="BR71">
            <v>4.0436387410723897</v>
          </cell>
          <cell r="BS71">
            <v>3.1591535424925312</v>
          </cell>
          <cell r="BT71">
            <v>2.7115936871549993</v>
          </cell>
          <cell r="BU71">
            <v>2.0847367854807874</v>
          </cell>
          <cell r="BV71">
            <v>1.408390092110599</v>
          </cell>
          <cell r="BW71">
            <v>1.0446235713753695</v>
          </cell>
          <cell r="BX71">
            <v>0.78649872137578325</v>
          </cell>
          <cell r="BY71">
            <v>0.4552150488691003</v>
          </cell>
          <cell r="BZ71">
            <v>0.18769706950915727</v>
          </cell>
          <cell r="CA71">
            <v>4.9572550544967023E-2</v>
          </cell>
          <cell r="CB71">
            <v>7.2000198621237571E-3</v>
          </cell>
          <cell r="CC71">
            <v>4.965530939395695E-4</v>
          </cell>
          <cell r="CD71">
            <v>0</v>
          </cell>
          <cell r="CE71">
            <v>15.099047841321605</v>
          </cell>
          <cell r="CF71">
            <v>13.713261151358221</v>
          </cell>
          <cell r="CG71">
            <v>12.369105778237543</v>
          </cell>
          <cell r="CH71">
            <v>10.939543127836526</v>
          </cell>
          <cell r="CI71">
            <v>9.4296194203785291</v>
          </cell>
          <cell r="CJ71">
            <v>8.0133977146930171</v>
          </cell>
          <cell r="CK71">
            <v>6.9054369869019041</v>
          </cell>
          <cell r="CL71">
            <v>5.9220548208749513</v>
          </cell>
          <cell r="CM71">
            <v>4.651668879644494</v>
          </cell>
          <cell r="CN71">
            <v>3.5352241941028608</v>
          </cell>
          <cell r="CO71">
            <v>2.8115331363204854</v>
          </cell>
          <cell r="CP71">
            <v>2.1549252686323794</v>
          </cell>
          <cell r="CQ71">
            <v>1.7746925748023303</v>
          </cell>
          <cell r="CR71">
            <v>1.2600096508961771</v>
          </cell>
          <cell r="CS71">
            <v>0.73261655980244045</v>
          </cell>
          <cell r="CT71">
            <v>0.41864704528036484</v>
          </cell>
          <cell r="CU71">
            <v>0.20178573118154092</v>
          </cell>
          <cell r="CV71">
            <v>5.790537706303675E-2</v>
          </cell>
          <cell r="CW71">
            <v>8.7993465144810754E-3</v>
          </cell>
          <cell r="CX71">
            <v>5.9923865152380082E-4</v>
          </cell>
          <cell r="CY71">
            <v>3.1538876395989514E-5</v>
          </cell>
          <cell r="CZ71">
            <v>100.00016551769797</v>
          </cell>
          <cell r="DA71">
            <v>99.999873844494417</v>
          </cell>
        </row>
        <row r="72">
          <cell r="B72" t="str">
            <v>GNB</v>
          </cell>
          <cell r="C72" t="str">
            <v>Sub-Saharan Africa</v>
          </cell>
          <cell r="D72" t="str">
            <v>Low income</v>
          </cell>
          <cell r="E72" t="str">
            <v>IDA</v>
          </cell>
          <cell r="F72" t="str">
            <v>HIPC</v>
          </cell>
          <cell r="G72">
            <v>1</v>
          </cell>
          <cell r="H72">
            <v>624</v>
          </cell>
          <cell r="I72">
            <v>1968</v>
          </cell>
          <cell r="J72">
            <v>2015.49</v>
          </cell>
          <cell r="K72">
            <v>2063.36</v>
          </cell>
          <cell r="L72">
            <v>2111.61</v>
          </cell>
          <cell r="M72">
            <v>2160.2800000000002</v>
          </cell>
          <cell r="N72">
            <v>2209.38</v>
          </cell>
          <cell r="O72">
            <v>2258.9</v>
          </cell>
          <cell r="P72">
            <v>2308.81</v>
          </cell>
          <cell r="Q72">
            <v>2359.16</v>
          </cell>
          <cell r="R72">
            <v>2409.96</v>
          </cell>
          <cell r="S72">
            <v>2461.21</v>
          </cell>
          <cell r="T72">
            <v>305.11099999999999</v>
          </cell>
          <cell r="U72">
            <v>277.238</v>
          </cell>
          <cell r="V72">
            <v>242.77799999999999</v>
          </cell>
          <cell r="W72">
            <v>207.251</v>
          </cell>
          <cell r="X72">
            <v>180.99100000000001</v>
          </cell>
          <cell r="Y72">
            <v>161.393</v>
          </cell>
          <cell r="Z72">
            <v>138.905</v>
          </cell>
          <cell r="AA72">
            <v>115.601</v>
          </cell>
          <cell r="AB72">
            <v>87.932000000000002</v>
          </cell>
          <cell r="AC72">
            <v>68.643000000000001</v>
          </cell>
          <cell r="AD72">
            <v>51.100999999999999</v>
          </cell>
          <cell r="AE72">
            <v>41.087000000000003</v>
          </cell>
          <cell r="AF72">
            <v>33.174999999999997</v>
          </cell>
          <cell r="AG72">
            <v>27.241</v>
          </cell>
          <cell r="AH72">
            <v>15.609</v>
          </cell>
          <cell r="AI72">
            <v>9.0280000000000005</v>
          </cell>
          <cell r="AJ72">
            <v>3.7010000000000001</v>
          </cell>
          <cell r="AK72">
            <v>1.0620000000000001</v>
          </cell>
          <cell r="AL72">
            <v>0.14399999999999999</v>
          </cell>
          <cell r="AM72">
            <v>7.0000000000000001E-3</v>
          </cell>
          <cell r="AN72">
            <v>0</v>
          </cell>
          <cell r="AO72">
            <v>336.22699999999998</v>
          </cell>
          <cell r="AP72">
            <v>313.91800000000001</v>
          </cell>
          <cell r="AQ72">
            <v>294.62</v>
          </cell>
          <cell r="AR72">
            <v>270.43900000000002</v>
          </cell>
          <cell r="AS72">
            <v>235.691</v>
          </cell>
          <cell r="AT72">
            <v>199.05699999999999</v>
          </cell>
          <cell r="AU72">
            <v>172.05500000000001</v>
          </cell>
          <cell r="AV72">
            <v>151.78</v>
          </cell>
          <cell r="AW72">
            <v>128.85400000000001</v>
          </cell>
          <cell r="AX72">
            <v>105.51600000000001</v>
          </cell>
          <cell r="AY72">
            <v>78.497</v>
          </cell>
          <cell r="AZ72">
            <v>59.279000000000003</v>
          </cell>
          <cell r="BA72">
            <v>41.938000000000002</v>
          </cell>
          <cell r="BB72">
            <v>30.952000000000002</v>
          </cell>
          <cell r="BC72">
            <v>21.577999999999999</v>
          </cell>
          <cell r="BD72">
            <v>13.885</v>
          </cell>
          <cell r="BE72">
            <v>5.24</v>
          </cell>
          <cell r="BF72">
            <v>1.4870000000000001</v>
          </cell>
          <cell r="BG72">
            <v>0.186</v>
          </cell>
          <cell r="BH72">
            <v>8.9999999999999993E-3</v>
          </cell>
          <cell r="BI72">
            <v>0</v>
          </cell>
          <cell r="BJ72">
            <v>15.503607723577234</v>
          </cell>
          <cell r="BK72">
            <v>14.087296747967478</v>
          </cell>
          <cell r="BL72">
            <v>12.336280487804878</v>
          </cell>
          <cell r="BM72">
            <v>10.53104674796748</v>
          </cell>
          <cell r="BN72">
            <v>9.1966971544715452</v>
          </cell>
          <cell r="BO72">
            <v>8.2008638211382117</v>
          </cell>
          <cell r="BP72">
            <v>7.0581808943089435</v>
          </cell>
          <cell r="BQ72">
            <v>5.8740345528455284</v>
          </cell>
          <cell r="BR72">
            <v>4.4680894308943095</v>
          </cell>
          <cell r="BS72">
            <v>3.487957317073171</v>
          </cell>
          <cell r="BT72">
            <v>2.5965955284552846</v>
          </cell>
          <cell r="BU72">
            <v>2.0877540650406505</v>
          </cell>
          <cell r="BV72">
            <v>1.6857215447154472</v>
          </cell>
          <cell r="BW72">
            <v>1.3841971544715446</v>
          </cell>
          <cell r="BX72">
            <v>0.79314024390243909</v>
          </cell>
          <cell r="BY72">
            <v>0.45873983739837404</v>
          </cell>
          <cell r="BZ72">
            <v>0.18805894308943089</v>
          </cell>
          <cell r="CA72">
            <v>5.3963414634146348E-2</v>
          </cell>
          <cell r="CB72">
            <v>7.3170731707317069E-3</v>
          </cell>
          <cell r="CC72">
            <v>3.5569105691056908E-4</v>
          </cell>
          <cell r="CD72">
            <v>0</v>
          </cell>
          <cell r="CE72">
            <v>13.661044770661585</v>
          </cell>
          <cell r="CF72">
            <v>12.754620694698948</v>
          </cell>
          <cell r="CG72">
            <v>11.970534818239809</v>
          </cell>
          <cell r="CH72">
            <v>10.988050593001004</v>
          </cell>
          <cell r="CI72">
            <v>9.5762247024837386</v>
          </cell>
          <cell r="CJ72">
            <v>8.0877698367875972</v>
          </cell>
          <cell r="CK72">
            <v>6.9906671921534533</v>
          </cell>
          <cell r="CL72">
            <v>6.1668853937697312</v>
          </cell>
          <cell r="CM72">
            <v>5.2353923476663917</v>
          </cell>
          <cell r="CN72">
            <v>4.2871595678548351</v>
          </cell>
          <cell r="CO72">
            <v>3.18936620605312</v>
          </cell>
          <cell r="CP72">
            <v>2.4085307633237312</v>
          </cell>
          <cell r="CQ72">
            <v>1.7039586219786202</v>
          </cell>
          <cell r="CR72">
            <v>1.25759281004059</v>
          </cell>
          <cell r="CS72">
            <v>0.87672323775703809</v>
          </cell>
          <cell r="CT72">
            <v>0.56415340421987559</v>
          </cell>
          <cell r="CU72">
            <v>0.21290340929867829</v>
          </cell>
          <cell r="CV72">
            <v>6.0417436951743245E-2</v>
          </cell>
          <cell r="CW72">
            <v>7.557258421670641E-3</v>
          </cell>
          <cell r="CX72">
            <v>3.6567379459696652E-4</v>
          </cell>
          <cell r="CY72">
            <v>0</v>
          </cell>
          <cell r="CZ72">
            <v>99.999898373983726</v>
          </cell>
          <cell r="DA72">
            <v>99.99991873915674</v>
          </cell>
        </row>
        <row r="73">
          <cell r="B73" t="str">
            <v>GNQ</v>
          </cell>
          <cell r="C73" t="str">
            <v>Sub-Saharan Africa</v>
          </cell>
          <cell r="D73" t="str">
            <v>Upper middle income</v>
          </cell>
          <cell r="E73" t="str">
            <v>IBRD</v>
          </cell>
          <cell r="G73">
            <v>1</v>
          </cell>
          <cell r="H73">
            <v>226</v>
          </cell>
          <cell r="I73">
            <v>1402.98</v>
          </cell>
          <cell r="J73">
            <v>1449.89</v>
          </cell>
          <cell r="K73">
            <v>1496.67</v>
          </cell>
          <cell r="L73">
            <v>1543.39</v>
          </cell>
          <cell r="M73">
            <v>1590.2</v>
          </cell>
          <cell r="N73">
            <v>1637.21</v>
          </cell>
          <cell r="O73">
            <v>1684.46</v>
          </cell>
          <cell r="P73">
            <v>1731.87</v>
          </cell>
          <cell r="Q73">
            <v>1779.31</v>
          </cell>
          <cell r="R73">
            <v>1826.58</v>
          </cell>
          <cell r="S73">
            <v>1873.55</v>
          </cell>
          <cell r="T73">
            <v>199.65299999999999</v>
          </cell>
          <cell r="U73">
            <v>172.01</v>
          </cell>
          <cell r="V73">
            <v>144.346</v>
          </cell>
          <cell r="W73">
            <v>120.95099999999999</v>
          </cell>
          <cell r="X73">
            <v>138.19200000000001</v>
          </cell>
          <cell r="Y73">
            <v>148.19300000000001</v>
          </cell>
          <cell r="Z73">
            <v>143.66300000000001</v>
          </cell>
          <cell r="AA73">
            <v>105.318</v>
          </cell>
          <cell r="AB73">
            <v>68.701999999999998</v>
          </cell>
          <cell r="AC73">
            <v>46.66</v>
          </cell>
          <cell r="AD73">
            <v>37.186999999999998</v>
          </cell>
          <cell r="AE73">
            <v>25.03</v>
          </cell>
          <cell r="AF73">
            <v>19.667999999999999</v>
          </cell>
          <cell r="AG73">
            <v>15.211</v>
          </cell>
          <cell r="AH73">
            <v>9.1240000000000006</v>
          </cell>
          <cell r="AI73">
            <v>5.5970000000000004</v>
          </cell>
          <cell r="AJ73">
            <v>2.536</v>
          </cell>
          <cell r="AK73">
            <v>0.82299999999999995</v>
          </cell>
          <cell r="AL73">
            <v>0.115</v>
          </cell>
          <cell r="AM73">
            <v>6.0000000000000001E-3</v>
          </cell>
          <cell r="AN73">
            <v>0</v>
          </cell>
          <cell r="AO73">
            <v>243.357</v>
          </cell>
          <cell r="AP73">
            <v>220.14099999999999</v>
          </cell>
          <cell r="AQ73">
            <v>195.66300000000001</v>
          </cell>
          <cell r="AR73">
            <v>179.83099999999999</v>
          </cell>
          <cell r="AS73">
            <v>182.922</v>
          </cell>
          <cell r="AT73">
            <v>182.24799999999999</v>
          </cell>
          <cell r="AU73">
            <v>184.386</v>
          </cell>
          <cell r="AV73">
            <v>156.33500000000001</v>
          </cell>
          <cell r="AW73">
            <v>114.986</v>
          </cell>
          <cell r="AX73">
            <v>68.593999999999994</v>
          </cell>
          <cell r="AY73">
            <v>42.127000000000002</v>
          </cell>
          <cell r="AZ73">
            <v>33.101999999999997</v>
          </cell>
          <cell r="BA73">
            <v>28.547000000000001</v>
          </cell>
          <cell r="BB73">
            <v>17.838000000000001</v>
          </cell>
          <cell r="BC73">
            <v>12.058</v>
          </cell>
          <cell r="BD73">
            <v>7.4219999999999997</v>
          </cell>
          <cell r="BE73">
            <v>2.8879999999999999</v>
          </cell>
          <cell r="BF73">
            <v>0.94099999999999995</v>
          </cell>
          <cell r="BG73">
            <v>0.155</v>
          </cell>
          <cell r="BH73">
            <v>0.01</v>
          </cell>
          <cell r="BI73">
            <v>0</v>
          </cell>
          <cell r="BJ73">
            <v>14.230637642731899</v>
          </cell>
          <cell r="BK73">
            <v>12.260331579922736</v>
          </cell>
          <cell r="BL73">
            <v>10.288528703188927</v>
          </cell>
          <cell r="BM73">
            <v>8.6210067142796039</v>
          </cell>
          <cell r="BN73">
            <v>9.849890946414062</v>
          </cell>
          <cell r="BO73">
            <v>10.562730758813384</v>
          </cell>
          <cell r="BP73">
            <v>10.239846612211151</v>
          </cell>
          <cell r="BQ73">
            <v>7.5067356626609074</v>
          </cell>
          <cell r="BR73">
            <v>4.8968623929065274</v>
          </cell>
          <cell r="BS73">
            <v>3.3257779868565476</v>
          </cell>
          <cell r="BT73">
            <v>2.6505723531340433</v>
          </cell>
          <cell r="BU73">
            <v>1.7840596444710546</v>
          </cell>
          <cell r="BV73">
            <v>1.4018731557114144</v>
          </cell>
          <cell r="BW73">
            <v>1.0841922194186659</v>
          </cell>
          <cell r="BX73">
            <v>0.65033001183195771</v>
          </cell>
          <cell r="BY73">
            <v>0.39893654934496581</v>
          </cell>
          <cell r="BZ73">
            <v>0.18075810061440648</v>
          </cell>
          <cell r="CA73">
            <v>5.8660850475416602E-2</v>
          </cell>
          <cell r="CB73">
            <v>8.1968381587763182E-3</v>
          </cell>
          <cell r="CC73">
            <v>4.2766112132746009E-4</v>
          </cell>
          <cell r="CD73">
            <v>0</v>
          </cell>
          <cell r="CE73">
            <v>12.989084892316724</v>
          </cell>
          <cell r="CF73">
            <v>11.749939953564089</v>
          </cell>
          <cell r="CG73">
            <v>10.443436257372369</v>
          </cell>
          <cell r="CH73">
            <v>9.5984094366309947</v>
          </cell>
          <cell r="CI73">
            <v>9.7633903552080277</v>
          </cell>
          <cell r="CJ73">
            <v>9.7274158682714642</v>
          </cell>
          <cell r="CK73">
            <v>9.8415307838061441</v>
          </cell>
          <cell r="CL73">
            <v>8.3443196071628734</v>
          </cell>
          <cell r="CM73">
            <v>6.137332870753383</v>
          </cell>
          <cell r="CN73">
            <v>3.6611779776360382</v>
          </cell>
          <cell r="CO73">
            <v>2.2485121827546637</v>
          </cell>
          <cell r="CP73">
            <v>1.76680633022871</v>
          </cell>
          <cell r="CQ73">
            <v>1.5236849830535615</v>
          </cell>
          <cell r="CR73">
            <v>0.95209628779589561</v>
          </cell>
          <cell r="CS73">
            <v>0.6435910437404927</v>
          </cell>
          <cell r="CT73">
            <v>0.39614635317979235</v>
          </cell>
          <cell r="CU73">
            <v>0.15414587280830508</v>
          </cell>
          <cell r="CV73">
            <v>5.0225507725974748E-2</v>
          </cell>
          <cell r="CW73">
            <v>8.2730645032158216E-3</v>
          </cell>
          <cell r="CX73">
            <v>5.3374609698166584E-4</v>
          </cell>
          <cell r="CY73">
            <v>0</v>
          </cell>
          <cell r="CZ73">
            <v>100.00035638426777</v>
          </cell>
          <cell r="DA73">
            <v>100.00005337460968</v>
          </cell>
        </row>
        <row r="74">
          <cell r="B74" t="str">
            <v>GRC</v>
          </cell>
          <cell r="C74" t="str">
            <v>Europe &amp; Central Asia</v>
          </cell>
          <cell r="D74" t="str">
            <v>High income</v>
          </cell>
          <cell r="F74" t="str">
            <v>EMU</v>
          </cell>
          <cell r="G74">
            <v>0</v>
          </cell>
          <cell r="H74">
            <v>300</v>
          </cell>
          <cell r="I74">
            <v>10423.1</v>
          </cell>
          <cell r="J74">
            <v>10370.700000000001</v>
          </cell>
          <cell r="K74">
            <v>10316.6</v>
          </cell>
          <cell r="L74">
            <v>10261.700000000001</v>
          </cell>
          <cell r="M74">
            <v>10207.4</v>
          </cell>
          <cell r="N74">
            <v>10154.700000000001</v>
          </cell>
          <cell r="O74">
            <v>10103.9</v>
          </cell>
          <cell r="P74">
            <v>10054.799999999999</v>
          </cell>
          <cell r="Q74">
            <v>10007.4</v>
          </cell>
          <cell r="R74">
            <v>9961.66</v>
          </cell>
          <cell r="S74">
            <v>9917.25</v>
          </cell>
          <cell r="T74">
            <v>409.459</v>
          </cell>
          <cell r="U74">
            <v>471.66800000000001</v>
          </cell>
          <cell r="V74">
            <v>542.23699999999997</v>
          </cell>
          <cell r="W74">
            <v>526.61800000000005</v>
          </cell>
          <cell r="X74">
            <v>529.41600000000005</v>
          </cell>
          <cell r="Y74">
            <v>527.79999999999995</v>
          </cell>
          <cell r="Z74">
            <v>597.81200000000001</v>
          </cell>
          <cell r="AA74">
            <v>738.70299999999997</v>
          </cell>
          <cell r="AB74">
            <v>780.46299999999997</v>
          </cell>
          <cell r="AC74">
            <v>793.94600000000003</v>
          </cell>
          <cell r="AD74">
            <v>796.34299999999996</v>
          </cell>
          <cell r="AE74">
            <v>709.351</v>
          </cell>
          <cell r="AF74">
            <v>676.52800000000002</v>
          </cell>
          <cell r="AG74">
            <v>580.63400000000001</v>
          </cell>
          <cell r="AH74">
            <v>549.46400000000006</v>
          </cell>
          <cell r="AI74">
            <v>406.61900000000003</v>
          </cell>
          <cell r="AJ74">
            <v>394.392</v>
          </cell>
          <cell r="AK74">
            <v>260.75599999999997</v>
          </cell>
          <cell r="AL74">
            <v>104.96899999999999</v>
          </cell>
          <cell r="AM74">
            <v>23.196999999999999</v>
          </cell>
          <cell r="AN74">
            <v>2.681</v>
          </cell>
          <cell r="AO74">
            <v>332.55900000000003</v>
          </cell>
          <cell r="AP74">
            <v>355.03399999999999</v>
          </cell>
          <cell r="AQ74">
            <v>407.79</v>
          </cell>
          <cell r="AR74">
            <v>471.637</v>
          </cell>
          <cell r="AS74">
            <v>541.90499999999997</v>
          </cell>
          <cell r="AT74">
            <v>523</v>
          </cell>
          <cell r="AU74">
            <v>523.08900000000006</v>
          </cell>
          <cell r="AV74">
            <v>521.03800000000001</v>
          </cell>
          <cell r="AW74">
            <v>590.59699999999998</v>
          </cell>
          <cell r="AX74">
            <v>728.55600000000004</v>
          </cell>
          <cell r="AY74">
            <v>764.67499999999995</v>
          </cell>
          <cell r="AZ74">
            <v>768.92499999999995</v>
          </cell>
          <cell r="BA74">
            <v>758.91800000000001</v>
          </cell>
          <cell r="BB74">
            <v>662.61800000000005</v>
          </cell>
          <cell r="BC74">
            <v>614.45000000000005</v>
          </cell>
          <cell r="BD74">
            <v>499.702</v>
          </cell>
          <cell r="BE74">
            <v>417.62200000000001</v>
          </cell>
          <cell r="BF74">
            <v>237.59700000000001</v>
          </cell>
          <cell r="BG74">
            <v>144.84200000000001</v>
          </cell>
          <cell r="BH74">
            <v>46.106999999999999</v>
          </cell>
          <cell r="BI74">
            <v>6.5910000000000002</v>
          </cell>
          <cell r="BJ74">
            <v>3.9283802323684891</v>
          </cell>
          <cell r="BK74">
            <v>4.5252180253475451</v>
          </cell>
          <cell r="BL74">
            <v>5.2022622828141341</v>
          </cell>
          <cell r="BM74">
            <v>5.052412430083181</v>
          </cell>
          <cell r="BN74">
            <v>5.0792566510922859</v>
          </cell>
          <cell r="BO74">
            <v>5.0637526263779487</v>
          </cell>
          <cell r="BP74">
            <v>5.7354529842369351</v>
          </cell>
          <cell r="BQ74">
            <v>7.0871717627193433</v>
          </cell>
          <cell r="BR74">
            <v>7.4878203221690285</v>
          </cell>
          <cell r="BS74">
            <v>7.6171772313419233</v>
          </cell>
          <cell r="BT74">
            <v>7.6401742283965417</v>
          </cell>
          <cell r="BU74">
            <v>6.8055664821406294</v>
          </cell>
          <cell r="BV74">
            <v>6.49066016828007</v>
          </cell>
          <cell r="BW74">
            <v>5.5706459690495151</v>
          </cell>
          <cell r="BX74">
            <v>5.2715986606671725</v>
          </cell>
          <cell r="BY74">
            <v>3.9011330602220071</v>
          </cell>
          <cell r="BZ74">
            <v>3.7838263088716406</v>
          </cell>
          <cell r="CA74">
            <v>2.5017125423338542</v>
          </cell>
          <cell r="CB74">
            <v>1.0070804271282054</v>
          </cell>
          <cell r="CC74">
            <v>0.22255375080350373</v>
          </cell>
          <cell r="CD74">
            <v>2.5721714269267303E-2</v>
          </cell>
          <cell r="CE74">
            <v>3.3533388792255918</v>
          </cell>
          <cell r="CF74">
            <v>3.5799642037863317</v>
          </cell>
          <cell r="CG74">
            <v>4.1119261892157608</v>
          </cell>
          <cell r="CH74">
            <v>4.7557236128967197</v>
          </cell>
          <cell r="CI74">
            <v>5.4642668078348322</v>
          </cell>
          <cell r="CJ74">
            <v>5.2736393657515945</v>
          </cell>
          <cell r="CK74">
            <v>5.2745367919534152</v>
          </cell>
          <cell r="CL74">
            <v>5.2538556555496738</v>
          </cell>
          <cell r="CM74">
            <v>5.9552496911946351</v>
          </cell>
          <cell r="CN74">
            <v>7.3463510549799587</v>
          </cell>
          <cell r="CO74">
            <v>7.710554841311855</v>
          </cell>
          <cell r="CP74">
            <v>7.7534094633088806</v>
          </cell>
          <cell r="CQ74">
            <v>7.6525044745267081</v>
          </cell>
          <cell r="CR74">
            <v>6.6814691572764637</v>
          </cell>
          <cell r="CS74">
            <v>6.1957699967228823</v>
          </cell>
          <cell r="CT74">
            <v>5.0387153696841356</v>
          </cell>
          <cell r="CU74">
            <v>4.2110665759157024</v>
          </cell>
          <cell r="CV74">
            <v>2.3957952053240565</v>
          </cell>
          <cell r="CW74">
            <v>1.4605056845395652</v>
          </cell>
          <cell r="CX74">
            <v>0.46491718974514107</v>
          </cell>
          <cell r="CY74">
            <v>6.6459956137033968E-2</v>
          </cell>
          <cell r="CZ74">
            <v>99.999577860713202</v>
          </cell>
          <cell r="DA74">
            <v>99.933560210743934</v>
          </cell>
        </row>
        <row r="75">
          <cell r="B75" t="str">
            <v>GRD</v>
          </cell>
          <cell r="C75" t="str">
            <v>Latin America &amp; Caribbean</v>
          </cell>
          <cell r="D75" t="str">
            <v>Upper middle income</v>
          </cell>
          <cell r="E75" t="str">
            <v>Blend</v>
          </cell>
          <cell r="G75">
            <v>0</v>
          </cell>
          <cell r="H75">
            <v>308</v>
          </cell>
          <cell r="I75">
            <v>112.51900000000001</v>
          </cell>
          <cell r="J75">
            <v>113.015</v>
          </cell>
          <cell r="K75">
            <v>113.477</v>
          </cell>
          <cell r="L75">
            <v>113.90300000000001</v>
          </cell>
          <cell r="M75">
            <v>114.289</v>
          </cell>
          <cell r="N75">
            <v>114.624</v>
          </cell>
          <cell r="O75">
            <v>114.929</v>
          </cell>
          <cell r="P75">
            <v>115.193</v>
          </cell>
          <cell r="Q75">
            <v>115.422</v>
          </cell>
          <cell r="R75">
            <v>115.621</v>
          </cell>
          <cell r="S75">
            <v>115.78100000000001</v>
          </cell>
          <cell r="T75">
            <v>9.0120000000000005</v>
          </cell>
          <cell r="U75">
            <v>9.1189999999999998</v>
          </cell>
          <cell r="V75">
            <v>8.6229999999999993</v>
          </cell>
          <cell r="W75">
            <v>7.5140000000000002</v>
          </cell>
          <cell r="X75">
            <v>8.6989999999999998</v>
          </cell>
          <cell r="Y75">
            <v>9.59</v>
          </cell>
          <cell r="Z75">
            <v>9.3450000000000006</v>
          </cell>
          <cell r="AA75">
            <v>8.8650000000000002</v>
          </cell>
          <cell r="AB75">
            <v>6.5609999999999999</v>
          </cell>
          <cell r="AC75">
            <v>6.31</v>
          </cell>
          <cell r="AD75">
            <v>5.9169999999999998</v>
          </cell>
          <cell r="AE75">
            <v>6.2279999999999998</v>
          </cell>
          <cell r="AF75">
            <v>5.718</v>
          </cell>
          <cell r="AG75">
            <v>3.8580000000000001</v>
          </cell>
          <cell r="AH75">
            <v>2.7930000000000001</v>
          </cell>
          <cell r="AI75">
            <v>1.9950000000000001</v>
          </cell>
          <cell r="AJ75">
            <v>1.3859999999999999</v>
          </cell>
          <cell r="AK75">
            <v>0.70199999999999996</v>
          </cell>
          <cell r="AL75">
            <v>0.24299999999999999</v>
          </cell>
          <cell r="AM75">
            <v>3.7999999999999999E-2</v>
          </cell>
          <cell r="AN75">
            <v>3.0000000000000001E-3</v>
          </cell>
          <cell r="AO75">
            <v>7.5259999999999998</v>
          </cell>
          <cell r="AP75">
            <v>8.3239999999999998</v>
          </cell>
          <cell r="AQ75">
            <v>8.9320000000000004</v>
          </cell>
          <cell r="AR75">
            <v>8.9469999999999992</v>
          </cell>
          <cell r="AS75">
            <v>8.2530000000000001</v>
          </cell>
          <cell r="AT75">
            <v>7.056</v>
          </cell>
          <cell r="AU75">
            <v>8.2720000000000002</v>
          </cell>
          <cell r="AV75">
            <v>9.218</v>
          </cell>
          <cell r="AW75">
            <v>9.0039999999999996</v>
          </cell>
          <cell r="AX75">
            <v>8.5090000000000003</v>
          </cell>
          <cell r="AY75">
            <v>6.2080000000000002</v>
          </cell>
          <cell r="AZ75">
            <v>5.8410000000000002</v>
          </cell>
          <cell r="BA75">
            <v>5.2779999999999996</v>
          </cell>
          <cell r="BB75">
            <v>5.234</v>
          </cell>
          <cell r="BC75">
            <v>4.3630000000000004</v>
          </cell>
          <cell r="BD75">
            <v>2.4980000000000002</v>
          </cell>
          <cell r="BE75">
            <v>1.3839999999999999</v>
          </cell>
          <cell r="BF75">
            <v>0.64900000000000002</v>
          </cell>
          <cell r="BG75">
            <v>0.23300000000000001</v>
          </cell>
          <cell r="BH75">
            <v>4.7E-2</v>
          </cell>
          <cell r="BI75">
            <v>5.0000000000000001E-3</v>
          </cell>
          <cell r="BJ75">
            <v>8.0093139825273951</v>
          </cell>
          <cell r="BK75">
            <v>8.104409033141069</v>
          </cell>
          <cell r="BL75">
            <v>7.6635945929131966</v>
          </cell>
          <cell r="BM75">
            <v>6.6779832739359568</v>
          </cell>
          <cell r="BN75">
            <v>7.7311387410126287</v>
          </cell>
          <cell r="BO75">
            <v>8.5230050035993923</v>
          </cell>
          <cell r="BP75">
            <v>8.3052639998578019</v>
          </cell>
          <cell r="BQ75">
            <v>7.8786693802824406</v>
          </cell>
          <cell r="BR75">
            <v>5.8310152063207097</v>
          </cell>
          <cell r="BS75">
            <v>5.6079417698344267</v>
          </cell>
          <cell r="BT75">
            <v>5.2586674250571006</v>
          </cell>
          <cell r="BU75">
            <v>5.5350651889903038</v>
          </cell>
          <cell r="BV75">
            <v>5.0818084056914827</v>
          </cell>
          <cell r="BW75">
            <v>3.4287542548369609</v>
          </cell>
          <cell r="BX75">
            <v>2.4822474426541294</v>
          </cell>
          <cell r="BY75">
            <v>1.7730338876100926</v>
          </cell>
          <cell r="BZ75">
            <v>1.2317919640238535</v>
          </cell>
          <cell r="CA75">
            <v>0.62389463112896482</v>
          </cell>
          <cell r="CB75">
            <v>0.21596352616002629</v>
          </cell>
          <cell r="CC75">
            <v>3.3772074049716043E-2</v>
          </cell>
          <cell r="CD75">
            <v>2.6662163723460038E-3</v>
          </cell>
          <cell r="CE75">
            <v>6.5002029693991243</v>
          </cell>
          <cell r="CF75">
            <v>7.1894352268506916</v>
          </cell>
          <cell r="CG75">
            <v>7.7145645658614104</v>
          </cell>
          <cell r="CH75">
            <v>7.7275200594225293</v>
          </cell>
          <cell r="CI75">
            <v>7.128112557328059</v>
          </cell>
          <cell r="CJ75">
            <v>6.0942641711507068</v>
          </cell>
          <cell r="CK75">
            <v>7.1445228491721444</v>
          </cell>
          <cell r="CL75">
            <v>7.9615826430934264</v>
          </cell>
          <cell r="CM75">
            <v>7.7767509349547845</v>
          </cell>
          <cell r="CN75">
            <v>7.3492196474378355</v>
          </cell>
          <cell r="CO75">
            <v>5.3618469351620739</v>
          </cell>
          <cell r="CP75">
            <v>5.0448691927000109</v>
          </cell>
          <cell r="CQ75">
            <v>4.5586063343726515</v>
          </cell>
          <cell r="CR75">
            <v>4.5206035532600337</v>
          </cell>
          <cell r="CS75">
            <v>3.7683212271443498</v>
          </cell>
          <cell r="CT75">
            <v>2.1575215277118009</v>
          </cell>
          <cell r="CU75">
            <v>1.1953602059059776</v>
          </cell>
          <cell r="CV75">
            <v>0.56054102141111239</v>
          </cell>
          <cell r="CW75">
            <v>0.20124199998272602</v>
          </cell>
          <cell r="CX75">
            <v>4.0593879824841722E-2</v>
          </cell>
          <cell r="CY75">
            <v>4.3184978537065665E-3</v>
          </cell>
          <cell r="CZ75">
            <v>100</v>
          </cell>
          <cell r="DA75">
            <v>99.995681502146311</v>
          </cell>
        </row>
        <row r="76">
          <cell r="B76" t="str">
            <v>GTM</v>
          </cell>
          <cell r="C76" t="str">
            <v>Latin America &amp; Caribbean</v>
          </cell>
          <cell r="D76" t="str">
            <v>Upper middle income</v>
          </cell>
          <cell r="E76" t="str">
            <v>IBRD</v>
          </cell>
          <cell r="G76">
            <v>0</v>
          </cell>
          <cell r="H76">
            <v>320</v>
          </cell>
          <cell r="I76">
            <v>17915.599999999999</v>
          </cell>
          <cell r="J76">
            <v>18249.900000000001</v>
          </cell>
          <cell r="K76">
            <v>18584</v>
          </cell>
          <cell r="L76">
            <v>18917.7</v>
          </cell>
          <cell r="M76">
            <v>19250.5</v>
          </cell>
          <cell r="N76">
            <v>19582</v>
          </cell>
          <cell r="O76">
            <v>19911.900000000001</v>
          </cell>
          <cell r="P76">
            <v>20240.099999999999</v>
          </cell>
          <cell r="Q76">
            <v>20566.3</v>
          </cell>
          <cell r="R76">
            <v>20890.5</v>
          </cell>
          <cell r="S76">
            <v>21212.6</v>
          </cell>
          <cell r="T76">
            <v>2065.38</v>
          </cell>
          <cell r="U76">
            <v>1982.08</v>
          </cell>
          <cell r="V76">
            <v>1926.02</v>
          </cell>
          <cell r="W76">
            <v>1945.58</v>
          </cell>
          <cell r="X76">
            <v>1802.49</v>
          </cell>
          <cell r="Y76">
            <v>1610.66</v>
          </cell>
          <cell r="Z76">
            <v>1354.14</v>
          </cell>
          <cell r="AA76">
            <v>1177.93</v>
          </cell>
          <cell r="AB76">
            <v>956.404</v>
          </cell>
          <cell r="AC76">
            <v>745.58900000000006</v>
          </cell>
          <cell r="AD76">
            <v>583.90599999999995</v>
          </cell>
          <cell r="AE76">
            <v>469.911</v>
          </cell>
          <cell r="AF76">
            <v>392.15199999999999</v>
          </cell>
          <cell r="AG76">
            <v>326.7</v>
          </cell>
          <cell r="AH76">
            <v>221.43</v>
          </cell>
          <cell r="AI76">
            <v>161.077</v>
          </cell>
          <cell r="AJ76">
            <v>108.84099999999999</v>
          </cell>
          <cell r="AK76">
            <v>58.936999999999998</v>
          </cell>
          <cell r="AL76">
            <v>21.501000000000001</v>
          </cell>
          <cell r="AM76">
            <v>4.3600000000000003</v>
          </cell>
          <cell r="AN76">
            <v>0.46400000000000002</v>
          </cell>
          <cell r="AO76">
            <v>2116</v>
          </cell>
          <cell r="AP76">
            <v>2099.19</v>
          </cell>
          <cell r="AQ76">
            <v>2047.02</v>
          </cell>
          <cell r="AR76">
            <v>1960.95</v>
          </cell>
          <cell r="AS76">
            <v>1890.19</v>
          </cell>
          <cell r="AT76">
            <v>1893.76</v>
          </cell>
          <cell r="AU76">
            <v>1746.3</v>
          </cell>
          <cell r="AV76">
            <v>1557.39</v>
          </cell>
          <cell r="AW76">
            <v>1307.19</v>
          </cell>
          <cell r="AX76">
            <v>1133.54</v>
          </cell>
          <cell r="AY76">
            <v>914.26599999999996</v>
          </cell>
          <cell r="AZ76">
            <v>705.11</v>
          </cell>
          <cell r="BA76">
            <v>542.55499999999995</v>
          </cell>
          <cell r="BB76">
            <v>424.79899999999998</v>
          </cell>
          <cell r="BC76">
            <v>339.88099999999997</v>
          </cell>
          <cell r="BD76">
            <v>260.815</v>
          </cell>
          <cell r="BE76">
            <v>149.86199999999999</v>
          </cell>
          <cell r="BF76">
            <v>80.090999999999994</v>
          </cell>
          <cell r="BG76">
            <v>33.229999999999997</v>
          </cell>
          <cell r="BH76">
            <v>9.0589999999999993</v>
          </cell>
          <cell r="BI76">
            <v>1.375</v>
          </cell>
          <cell r="BJ76">
            <v>11.528388666860167</v>
          </cell>
          <cell r="BK76">
            <v>11.063430753086696</v>
          </cell>
          <cell r="BL76">
            <v>10.75051910067204</v>
          </cell>
          <cell r="BM76">
            <v>10.859697693630132</v>
          </cell>
          <cell r="BN76">
            <v>10.061008283283842</v>
          </cell>
          <cell r="BO76">
            <v>8.9902654669673367</v>
          </cell>
          <cell r="BP76">
            <v>7.5584406885619249</v>
          </cell>
          <cell r="BQ76">
            <v>6.5748844582375146</v>
          </cell>
          <cell r="BR76">
            <v>5.3383866574382104</v>
          </cell>
          <cell r="BS76">
            <v>4.16167474156601</v>
          </cell>
          <cell r="BT76">
            <v>3.2592042689053113</v>
          </cell>
          <cell r="BU76">
            <v>2.622915224720356</v>
          </cell>
          <cell r="BV76">
            <v>2.1888856638906877</v>
          </cell>
          <cell r="BW76">
            <v>1.8235504253276476</v>
          </cell>
          <cell r="BX76">
            <v>1.2359619549442944</v>
          </cell>
          <cell r="BY76">
            <v>0.89908794570095352</v>
          </cell>
          <cell r="BZ76">
            <v>0.60752081984415818</v>
          </cell>
          <cell r="CA76">
            <v>0.32897028288195762</v>
          </cell>
          <cell r="CB76">
            <v>0.12001272633905648</v>
          </cell>
          <cell r="CC76">
            <v>2.433633258166068E-2</v>
          </cell>
          <cell r="CD76">
            <v>2.5899216325437052E-3</v>
          </cell>
          <cell r="CE76">
            <v>9.9752034168371644</v>
          </cell>
          <cell r="CF76">
            <v>9.8959580626608723</v>
          </cell>
          <cell r="CG76">
            <v>9.6500193281351656</v>
          </cell>
          <cell r="CH76">
            <v>9.2442699150504897</v>
          </cell>
          <cell r="CI76">
            <v>8.9106945871793179</v>
          </cell>
          <cell r="CJ76">
            <v>8.9275242073107499</v>
          </cell>
          <cell r="CK76">
            <v>8.2323713264757732</v>
          </cell>
          <cell r="CL76">
            <v>7.3418157133024726</v>
          </cell>
          <cell r="CM76">
            <v>6.1623280503097222</v>
          </cell>
          <cell r="CN76">
            <v>5.3437108133844982</v>
          </cell>
          <cell r="CO76">
            <v>4.3100138596871673</v>
          </cell>
          <cell r="CP76">
            <v>3.324014972233484</v>
          </cell>
          <cell r="CQ76">
            <v>2.5577015547363358</v>
          </cell>
          <cell r="CR76">
            <v>2.0025786560817629</v>
          </cell>
          <cell r="CS76">
            <v>1.6022599775605064</v>
          </cell>
          <cell r="CT76">
            <v>1.2295286763527338</v>
          </cell>
          <cell r="CU76">
            <v>0.70647633953405053</v>
          </cell>
          <cell r="CV76">
            <v>0.37756333499901001</v>
          </cell>
          <cell r="CW76">
            <v>0.15665217842225845</v>
          </cell>
          <cell r="CX76">
            <v>4.2705750355920537E-2</v>
          </cell>
          <cell r="CY76">
            <v>6.4819965492207464E-3</v>
          </cell>
          <cell r="CZ76">
            <v>99.999732077072494</v>
          </cell>
          <cell r="DA76">
            <v>99.993390720609455</v>
          </cell>
        </row>
        <row r="77">
          <cell r="B77" t="str">
            <v>GUM</v>
          </cell>
          <cell r="C77" t="str">
            <v>East Asia &amp; Pacific</v>
          </cell>
          <cell r="D77" t="str">
            <v>High income</v>
          </cell>
          <cell r="G77">
            <v>0</v>
          </cell>
          <cell r="H77">
            <v>316</v>
          </cell>
          <cell r="I77">
            <v>168.78299999999999</v>
          </cell>
          <cell r="J77">
            <v>170.184</v>
          </cell>
          <cell r="K77">
            <v>171.52799999999999</v>
          </cell>
          <cell r="L77">
            <v>172.81899999999999</v>
          </cell>
          <cell r="M77">
            <v>174.07</v>
          </cell>
          <cell r="N77">
            <v>175.32900000000001</v>
          </cell>
          <cell r="O77">
            <v>176.559</v>
          </cell>
          <cell r="P77">
            <v>177.75399999999999</v>
          </cell>
          <cell r="Q77">
            <v>178.92400000000001</v>
          </cell>
          <cell r="R77">
            <v>180.047</v>
          </cell>
          <cell r="S77">
            <v>181.143</v>
          </cell>
          <cell r="T77">
            <v>13.545</v>
          </cell>
          <cell r="U77">
            <v>13.435</v>
          </cell>
          <cell r="V77">
            <v>13.29</v>
          </cell>
          <cell r="W77">
            <v>13.871</v>
          </cell>
          <cell r="X77">
            <v>13.827</v>
          </cell>
          <cell r="Y77">
            <v>13.204000000000001</v>
          </cell>
          <cell r="Z77">
            <v>11.718</v>
          </cell>
          <cell r="AA77">
            <v>10.117000000000001</v>
          </cell>
          <cell r="AB77">
            <v>9.66</v>
          </cell>
          <cell r="AC77">
            <v>10.276</v>
          </cell>
          <cell r="AD77">
            <v>10.225</v>
          </cell>
          <cell r="AE77">
            <v>9.9390000000000001</v>
          </cell>
          <cell r="AF77">
            <v>7.891</v>
          </cell>
          <cell r="AG77">
            <v>6.44</v>
          </cell>
          <cell r="AH77">
            <v>4.9530000000000003</v>
          </cell>
          <cell r="AI77">
            <v>2.8279999999999998</v>
          </cell>
          <cell r="AJ77">
            <v>2.08</v>
          </cell>
          <cell r="AK77">
            <v>1.071</v>
          </cell>
          <cell r="AL77">
            <v>0.33100000000000002</v>
          </cell>
          <cell r="AM77">
            <v>7.0999999999999994E-2</v>
          </cell>
          <cell r="AN77">
            <v>1.0999999999999999E-2</v>
          </cell>
          <cell r="AO77">
            <v>13.467000000000001</v>
          </cell>
          <cell r="AP77">
            <v>13.423</v>
          </cell>
          <cell r="AQ77">
            <v>13.067</v>
          </cell>
          <cell r="AR77">
            <v>12.948</v>
          </cell>
          <cell r="AS77">
            <v>12.798</v>
          </cell>
          <cell r="AT77">
            <v>13.398999999999999</v>
          </cell>
          <cell r="AU77">
            <v>13.404999999999999</v>
          </cell>
          <cell r="AV77">
            <v>12.808</v>
          </cell>
          <cell r="AW77">
            <v>11.302</v>
          </cell>
          <cell r="AX77">
            <v>9.6609999999999996</v>
          </cell>
          <cell r="AY77">
            <v>9.1479999999999997</v>
          </cell>
          <cell r="AZ77">
            <v>9.6869999999999994</v>
          </cell>
          <cell r="BA77">
            <v>9.5069999999999997</v>
          </cell>
          <cell r="BB77">
            <v>8.9979999999999993</v>
          </cell>
          <cell r="BC77">
            <v>6.7969999999999997</v>
          </cell>
          <cell r="BD77">
            <v>5.0720000000000001</v>
          </cell>
          <cell r="BE77">
            <v>3.339</v>
          </cell>
          <cell r="BF77">
            <v>1.4359999999999999</v>
          </cell>
          <cell r="BG77">
            <v>0.67100000000000004</v>
          </cell>
          <cell r="BH77">
            <v>0.186</v>
          </cell>
          <cell r="BI77">
            <v>2.4E-2</v>
          </cell>
          <cell r="BJ77">
            <v>8.0250973143029807</v>
          </cell>
          <cell r="BK77">
            <v>7.9599248739505759</v>
          </cell>
          <cell r="BL77">
            <v>7.8740157480314963</v>
          </cell>
          <cell r="BM77">
            <v>8.2182447284382913</v>
          </cell>
          <cell r="BN77">
            <v>8.1921757522973291</v>
          </cell>
          <cell r="BO77">
            <v>7.8230627492105258</v>
          </cell>
          <cell r="BP77">
            <v>6.9426423277225799</v>
          </cell>
          <cell r="BQ77">
            <v>5.9940870822298464</v>
          </cell>
          <cell r="BR77">
            <v>5.7233252164021264</v>
          </cell>
          <cell r="BS77">
            <v>6.0882908823755955</v>
          </cell>
          <cell r="BT77">
            <v>6.058074569121298</v>
          </cell>
          <cell r="BU77">
            <v>5.8886262242050451</v>
          </cell>
          <cell r="BV77">
            <v>4.6752338801893556</v>
          </cell>
          <cell r="BW77">
            <v>3.8155501442680846</v>
          </cell>
          <cell r="BX77">
            <v>2.9345372460496617</v>
          </cell>
          <cell r="BY77">
            <v>1.6755241937872891</v>
          </cell>
          <cell r="BZ77">
            <v>1.232351599390934</v>
          </cell>
          <cell r="CA77">
            <v>0.63454257834023564</v>
          </cell>
          <cell r="CB77">
            <v>0.19610979778769189</v>
          </cell>
          <cell r="CC77">
            <v>4.2065847863825147E-2</v>
          </cell>
          <cell r="CD77">
            <v>6.5172440352405164E-3</v>
          </cell>
          <cell r="CE77">
            <v>7.4344578592603643</v>
          </cell>
          <cell r="CF77">
            <v>7.4101676575964852</v>
          </cell>
          <cell r="CG77">
            <v>7.2136378441341922</v>
          </cell>
          <cell r="CH77">
            <v>7.1479438896341563</v>
          </cell>
          <cell r="CI77">
            <v>7.0651363839618426</v>
          </cell>
          <cell r="CJ77">
            <v>7.3969184566889137</v>
          </cell>
          <cell r="CK77">
            <v>7.400230756915807</v>
          </cell>
          <cell r="CL77">
            <v>7.0706568843399955</v>
          </cell>
          <cell r="CM77">
            <v>6.2392695273899621</v>
          </cell>
          <cell r="CN77">
            <v>5.3333554153348457</v>
          </cell>
          <cell r="CO77">
            <v>5.0501537459355319</v>
          </cell>
          <cell r="CP77">
            <v>5.3477087163180466</v>
          </cell>
          <cell r="CQ77">
            <v>5.2483397095112698</v>
          </cell>
          <cell r="CR77">
            <v>4.9673462402632174</v>
          </cell>
          <cell r="CS77">
            <v>3.752284107031461</v>
          </cell>
          <cell r="CT77">
            <v>2.7999977917998486</v>
          </cell>
          <cell r="CU77">
            <v>1.8432950762657128</v>
          </cell>
          <cell r="CV77">
            <v>0.79274385430295402</v>
          </cell>
          <cell r="CW77">
            <v>0.37042557537415194</v>
          </cell>
          <cell r="CX77">
            <v>0.10268130703366954</v>
          </cell>
          <cell r="CY77">
            <v>1.3249200907570263E-2</v>
          </cell>
          <cell r="CZ77">
            <v>100</v>
          </cell>
          <cell r="DA77">
            <v>99.986750799092448</v>
          </cell>
        </row>
        <row r="78">
          <cell r="B78" t="str">
            <v>GUY</v>
          </cell>
          <cell r="C78" t="str">
            <v>Latin America &amp; Caribbean</v>
          </cell>
          <cell r="D78" t="str">
            <v>Upper middle income</v>
          </cell>
          <cell r="E78" t="str">
            <v>IDA</v>
          </cell>
          <cell r="F78" t="str">
            <v>HIPC</v>
          </cell>
          <cell r="G78">
            <v>0</v>
          </cell>
          <cell r="H78">
            <v>328</v>
          </cell>
          <cell r="I78">
            <v>786.55899999999997</v>
          </cell>
          <cell r="J78">
            <v>790.32899999999995</v>
          </cell>
          <cell r="K78">
            <v>794.03899999999999</v>
          </cell>
          <cell r="L78">
            <v>797.71100000000001</v>
          </cell>
          <cell r="M78">
            <v>801.34299999999996</v>
          </cell>
          <cell r="N78">
            <v>804.95</v>
          </cell>
          <cell r="O78">
            <v>808.53800000000001</v>
          </cell>
          <cell r="P78">
            <v>812.05799999999999</v>
          </cell>
          <cell r="Q78">
            <v>815.46299999999997</v>
          </cell>
          <cell r="R78">
            <v>818.64800000000002</v>
          </cell>
          <cell r="S78">
            <v>821.58500000000004</v>
          </cell>
          <cell r="T78">
            <v>73.864000000000004</v>
          </cell>
          <cell r="U78">
            <v>73.763999999999996</v>
          </cell>
          <cell r="V78">
            <v>70.498999999999995</v>
          </cell>
          <cell r="W78">
            <v>74.852000000000004</v>
          </cell>
          <cell r="X78">
            <v>77.394999999999996</v>
          </cell>
          <cell r="Y78">
            <v>67.911000000000001</v>
          </cell>
          <cell r="Z78">
            <v>44.033999999999999</v>
          </cell>
          <cell r="AA78">
            <v>49.075000000000003</v>
          </cell>
          <cell r="AB78">
            <v>45.3</v>
          </cell>
          <cell r="AC78">
            <v>45.225000000000001</v>
          </cell>
          <cell r="AD78">
            <v>42.774000000000001</v>
          </cell>
          <cell r="AE78">
            <v>36.563000000000002</v>
          </cell>
          <cell r="AF78">
            <v>30.245000000000001</v>
          </cell>
          <cell r="AG78">
            <v>21.111000000000001</v>
          </cell>
          <cell r="AH78">
            <v>15.023999999999999</v>
          </cell>
          <cell r="AI78">
            <v>7.9160000000000004</v>
          </cell>
          <cell r="AJ78">
            <v>6.7679999999999998</v>
          </cell>
          <cell r="AK78">
            <v>2.1779999999999999</v>
          </cell>
          <cell r="AL78">
            <v>1.268</v>
          </cell>
          <cell r="AM78">
            <v>0.66300000000000003</v>
          </cell>
          <cell r="AN78">
            <v>0.13</v>
          </cell>
          <cell r="AO78">
            <v>67.888999999999996</v>
          </cell>
          <cell r="AP78">
            <v>70.436000000000007</v>
          </cell>
          <cell r="AQ78">
            <v>72.087000000000003</v>
          </cell>
          <cell r="AR78">
            <v>70.328000000000003</v>
          </cell>
          <cell r="AS78">
            <v>62.719000000000001</v>
          </cell>
          <cell r="AT78">
            <v>64.447999999999993</v>
          </cell>
          <cell r="AU78">
            <v>67.653000000000006</v>
          </cell>
          <cell r="AV78">
            <v>60.264000000000003</v>
          </cell>
          <cell r="AW78">
            <v>38.753</v>
          </cell>
          <cell r="AX78">
            <v>44.497</v>
          </cell>
          <cell r="AY78">
            <v>40.939</v>
          </cell>
          <cell r="AZ78">
            <v>40.036999999999999</v>
          </cell>
          <cell r="BA78">
            <v>36.85</v>
          </cell>
          <cell r="BB78">
            <v>30.271999999999998</v>
          </cell>
          <cell r="BC78">
            <v>23.495999999999999</v>
          </cell>
          <cell r="BD78">
            <v>14.839</v>
          </cell>
          <cell r="BE78">
            <v>8.9179999999999993</v>
          </cell>
          <cell r="BF78">
            <v>3.83</v>
          </cell>
          <cell r="BG78">
            <v>2.5030000000000001</v>
          </cell>
          <cell r="BH78">
            <v>0.56000000000000005</v>
          </cell>
          <cell r="BI78">
            <v>0.26700000000000002</v>
          </cell>
          <cell r="BJ78">
            <v>9.3907767885180906</v>
          </cell>
          <cell r="BK78">
            <v>9.3780631840713795</v>
          </cell>
          <cell r="BL78">
            <v>8.9629639988862877</v>
          </cell>
          <cell r="BM78">
            <v>9.5163872004515877</v>
          </cell>
          <cell r="BN78">
            <v>9.8396941615314297</v>
          </cell>
          <cell r="BO78">
            <v>8.6339359158054272</v>
          </cell>
          <cell r="BP78">
            <v>5.5983085820644094</v>
          </cell>
          <cell r="BQ78">
            <v>6.2392013822230759</v>
          </cell>
          <cell r="BR78">
            <v>5.7592628143597624</v>
          </cell>
          <cell r="BS78">
            <v>5.7497276110247295</v>
          </cell>
          <cell r="BT78">
            <v>5.4381171660358598</v>
          </cell>
          <cell r="BU78">
            <v>4.6484751938506843</v>
          </cell>
          <cell r="BV78">
            <v>3.8452296649075275</v>
          </cell>
          <cell r="BW78">
            <v>2.6839690347450098</v>
          </cell>
          <cell r="BX78">
            <v>1.9100919320737542</v>
          </cell>
          <cell r="BY78">
            <v>1.0064089280015869</v>
          </cell>
          <cell r="BZ78">
            <v>0.86045674895335256</v>
          </cell>
          <cell r="CA78">
            <v>0.27690230484935013</v>
          </cell>
          <cell r="CB78">
            <v>0.16120850438428649</v>
          </cell>
          <cell r="CC78">
            <v>8.4291197481689242E-2</v>
          </cell>
          <cell r="CD78">
            <v>1.6527685780723382E-2</v>
          </cell>
          <cell r="CE78">
            <v>8.2631742302987501</v>
          </cell>
          <cell r="CF78">
            <v>8.573184758728555</v>
          </cell>
          <cell r="CG78">
            <v>8.7741377946286754</v>
          </cell>
          <cell r="CH78">
            <v>8.5600394359682817</v>
          </cell>
          <cell r="CI78">
            <v>7.6339027611263601</v>
          </cell>
          <cell r="CJ78">
            <v>7.844349641242232</v>
          </cell>
          <cell r="CK78">
            <v>8.2344492657485233</v>
          </cell>
          <cell r="CL78">
            <v>7.3350901002330851</v>
          </cell>
          <cell r="CM78">
            <v>4.7168582678602942</v>
          </cell>
          <cell r="CN78">
            <v>5.4159946931845147</v>
          </cell>
          <cell r="CO78">
            <v>4.9829293378043653</v>
          </cell>
          <cell r="CP78">
            <v>4.8731415495657782</v>
          </cell>
          <cell r="CQ78">
            <v>4.4852328121862008</v>
          </cell>
          <cell r="CR78">
            <v>3.6845852833243056</v>
          </cell>
          <cell r="CS78">
            <v>2.8598379960685745</v>
          </cell>
          <cell r="CT78">
            <v>1.8061430040713984</v>
          </cell>
          <cell r="CU78">
            <v>1.0854628553345058</v>
          </cell>
          <cell r="CV78">
            <v>0.46617209418380323</v>
          </cell>
          <cell r="CW78">
            <v>0.30465502656450638</v>
          </cell>
          <cell r="CX78">
            <v>6.8160932831052179E-2</v>
          </cell>
          <cell r="CY78">
            <v>3.2498159046233807E-2</v>
          </cell>
          <cell r="CZ78">
            <v>100</v>
          </cell>
          <cell r="DA78">
            <v>99.967501840953759</v>
          </cell>
        </row>
        <row r="79">
          <cell r="B79" t="str">
            <v>HND</v>
          </cell>
          <cell r="C79" t="str">
            <v>Latin America &amp; Caribbean</v>
          </cell>
          <cell r="D79" t="str">
            <v>Lower middle income</v>
          </cell>
          <cell r="E79" t="str">
            <v>IDA</v>
          </cell>
          <cell r="F79" t="str">
            <v>HIPC</v>
          </cell>
          <cell r="G79">
            <v>0</v>
          </cell>
          <cell r="H79">
            <v>340</v>
          </cell>
          <cell r="I79">
            <v>9904.61</v>
          </cell>
          <cell r="J79">
            <v>10063</v>
          </cell>
          <cell r="K79">
            <v>10221.299999999999</v>
          </cell>
          <cell r="L79">
            <v>10379.1</v>
          </cell>
          <cell r="M79">
            <v>10536.2</v>
          </cell>
          <cell r="N79">
            <v>10692.2</v>
          </cell>
          <cell r="O79">
            <v>10847</v>
          </cell>
          <cell r="P79">
            <v>11000.4</v>
          </cell>
          <cell r="Q79">
            <v>11152.1</v>
          </cell>
          <cell r="R79">
            <v>11301.8</v>
          </cell>
          <cell r="S79">
            <v>11449.2</v>
          </cell>
          <cell r="T79">
            <v>1017.02</v>
          </cell>
          <cell r="U79">
            <v>988.97500000000002</v>
          </cell>
          <cell r="V79">
            <v>1023.65</v>
          </cell>
          <cell r="W79">
            <v>1040.99</v>
          </cell>
          <cell r="X79">
            <v>1014.73</v>
          </cell>
          <cell r="Y79">
            <v>890.68700000000001</v>
          </cell>
          <cell r="Z79">
            <v>783.56600000000003</v>
          </cell>
          <cell r="AA79">
            <v>687.37099999999998</v>
          </cell>
          <cell r="AB79">
            <v>579.93299999999999</v>
          </cell>
          <cell r="AC79">
            <v>467.803</v>
          </cell>
          <cell r="AD79">
            <v>381.15499999999997</v>
          </cell>
          <cell r="AE79">
            <v>298.85599999999999</v>
          </cell>
          <cell r="AF79">
            <v>237.30199999999999</v>
          </cell>
          <cell r="AG79">
            <v>182.77600000000001</v>
          </cell>
          <cell r="AH79">
            <v>122.73099999999999</v>
          </cell>
          <cell r="AI79">
            <v>82.58</v>
          </cell>
          <cell r="AJ79">
            <v>55.284999999999997</v>
          </cell>
          <cell r="AK79">
            <v>31.704999999999998</v>
          </cell>
          <cell r="AL79">
            <v>13.285</v>
          </cell>
          <cell r="AM79">
            <v>3.7210000000000001</v>
          </cell>
          <cell r="AN79">
            <v>0.49099999999999999</v>
          </cell>
          <cell r="AO79">
            <v>1017.1</v>
          </cell>
          <cell r="AP79">
            <v>1023.27</v>
          </cell>
          <cell r="AQ79">
            <v>1007.62</v>
          </cell>
          <cell r="AR79">
            <v>979.6</v>
          </cell>
          <cell r="AS79">
            <v>1008.09</v>
          </cell>
          <cell r="AT79">
            <v>1019.06</v>
          </cell>
          <cell r="AU79">
            <v>989.87900000000002</v>
          </cell>
          <cell r="AV79">
            <v>866.26099999999997</v>
          </cell>
          <cell r="AW79">
            <v>759.73099999999999</v>
          </cell>
          <cell r="AX79">
            <v>663.53099999999995</v>
          </cell>
          <cell r="AY79">
            <v>555.79100000000005</v>
          </cell>
          <cell r="AZ79">
            <v>442.952</v>
          </cell>
          <cell r="BA79">
            <v>353.733</v>
          </cell>
          <cell r="BB79">
            <v>268.221</v>
          </cell>
          <cell r="BC79">
            <v>201.44900000000001</v>
          </cell>
          <cell r="BD79">
            <v>141.54</v>
          </cell>
          <cell r="BE79">
            <v>81.698999999999998</v>
          </cell>
          <cell r="BF79">
            <v>43.034999999999997</v>
          </cell>
          <cell r="BG79">
            <v>19.542000000000002</v>
          </cell>
          <cell r="BH79">
            <v>6.0759999999999996</v>
          </cell>
          <cell r="BI79">
            <v>1.0509999999999999</v>
          </cell>
          <cell r="BJ79">
            <v>10.268147862460006</v>
          </cell>
          <cell r="BK79">
            <v>9.9849968852887692</v>
          </cell>
          <cell r="BL79">
            <v>10.335086389065292</v>
          </cell>
          <cell r="BM79">
            <v>10.510156381725277</v>
          </cell>
          <cell r="BN79">
            <v>10.245027315563156</v>
          </cell>
          <cell r="BO79">
            <v>8.9926508969055821</v>
          </cell>
          <cell r="BP79">
            <v>7.9111242138761639</v>
          </cell>
          <cell r="BQ79">
            <v>6.9399097995781753</v>
          </cell>
          <cell r="BR79">
            <v>5.855182586694478</v>
          </cell>
          <cell r="BS79">
            <v>4.7230834934439612</v>
          </cell>
          <cell r="BT79">
            <v>3.8482585381958501</v>
          </cell>
          <cell r="BU79">
            <v>3.017342429434374</v>
          </cell>
          <cell r="BV79">
            <v>2.3958742444174983</v>
          </cell>
          <cell r="BW79">
            <v>1.8453629168639654</v>
          </cell>
          <cell r="BX79">
            <v>1.2391300616581569</v>
          </cell>
          <cell r="BY79">
            <v>0.83375317150296679</v>
          </cell>
          <cell r="BZ79">
            <v>0.55817442584816557</v>
          </cell>
          <cell r="CA79">
            <v>0.32010346697144054</v>
          </cell>
          <cell r="CB79">
            <v>0.13412946092779018</v>
          </cell>
          <cell r="CC79">
            <v>3.7568364630207546E-2</v>
          </cell>
          <cell r="CD79">
            <v>4.9572875660929602E-3</v>
          </cell>
          <cell r="CE79">
            <v>8.8835901198337002</v>
          </cell>
          <cell r="CF79">
            <v>8.9374803479719098</v>
          </cell>
          <cell r="CG79">
            <v>8.8007895748174541</v>
          </cell>
          <cell r="CH79">
            <v>8.5560563183453855</v>
          </cell>
          <cell r="CI79">
            <v>8.8048946651294404</v>
          </cell>
          <cell r="CJ79">
            <v>8.9007092198581557</v>
          </cell>
          <cell r="CK79">
            <v>8.64583551689201</v>
          </cell>
          <cell r="CL79">
            <v>7.5661268909618133</v>
          </cell>
          <cell r="CM79">
            <v>6.6356688676938127</v>
          </cell>
          <cell r="CN79">
            <v>5.7954354889424584</v>
          </cell>
          <cell r="CO79">
            <v>4.8544090416797685</v>
          </cell>
          <cell r="CP79">
            <v>3.8688467316493726</v>
          </cell>
          <cell r="CQ79">
            <v>3.0895870453830834</v>
          </cell>
          <cell r="CR79">
            <v>2.3427051671732522</v>
          </cell>
          <cell r="CS79">
            <v>1.7595028473605143</v>
          </cell>
          <cell r="CT79">
            <v>1.2362435803374907</v>
          </cell>
          <cell r="CU79">
            <v>0.71357824127449943</v>
          </cell>
          <cell r="CV79">
            <v>0.37587779058798865</v>
          </cell>
          <cell r="CW79">
            <v>0.17068441463158998</v>
          </cell>
          <cell r="CX79">
            <v>5.3069210075813146E-2</v>
          </cell>
          <cell r="CY79">
            <v>9.1796806763791358E-3</v>
          </cell>
          <cell r="CZ79">
            <v>100.00002019261738</v>
          </cell>
          <cell r="DA79">
            <v>99.991091080599517</v>
          </cell>
        </row>
        <row r="80">
          <cell r="B80" t="str">
            <v>HRV</v>
          </cell>
          <cell r="C80" t="str">
            <v>Europe &amp; Central Asia</v>
          </cell>
          <cell r="D80" t="str">
            <v>High income</v>
          </cell>
          <cell r="E80" t="str">
            <v>IBRD</v>
          </cell>
          <cell r="G80">
            <v>0</v>
          </cell>
          <cell r="H80">
            <v>191</v>
          </cell>
          <cell r="I80">
            <v>4105.2700000000004</v>
          </cell>
          <cell r="J80">
            <v>4081.66</v>
          </cell>
          <cell r="K80">
            <v>4059.28</v>
          </cell>
          <cell r="L80">
            <v>4037.69</v>
          </cell>
          <cell r="M80">
            <v>4016.14</v>
          </cell>
          <cell r="N80">
            <v>3994.08</v>
          </cell>
          <cell r="O80">
            <v>3971.4</v>
          </cell>
          <cell r="P80">
            <v>3948.25</v>
          </cell>
          <cell r="Q80">
            <v>3924.75</v>
          </cell>
          <cell r="R80">
            <v>3901.05</v>
          </cell>
          <cell r="S80">
            <v>3877.27</v>
          </cell>
          <cell r="T80">
            <v>184.15100000000001</v>
          </cell>
          <cell r="U80">
            <v>201.625</v>
          </cell>
          <cell r="V80">
            <v>211.19399999999999</v>
          </cell>
          <cell r="W80">
            <v>196.91200000000001</v>
          </cell>
          <cell r="X80">
            <v>236.131</v>
          </cell>
          <cell r="Y80">
            <v>236.06899999999999</v>
          </cell>
          <cell r="Z80">
            <v>257.51900000000001</v>
          </cell>
          <cell r="AA80">
            <v>281.77199999999999</v>
          </cell>
          <cell r="AB80">
            <v>288.137</v>
          </cell>
          <cell r="AC80">
            <v>268.86500000000001</v>
          </cell>
          <cell r="AD80">
            <v>281.01400000000001</v>
          </cell>
          <cell r="AE80">
            <v>300.36900000000003</v>
          </cell>
          <cell r="AF80">
            <v>289.048</v>
          </cell>
          <cell r="AG80">
            <v>276.33</v>
          </cell>
          <cell r="AH80">
            <v>206.036</v>
          </cell>
          <cell r="AI80">
            <v>155.91900000000001</v>
          </cell>
          <cell r="AJ80">
            <v>133.892</v>
          </cell>
          <cell r="AK80">
            <v>71.204999999999998</v>
          </cell>
          <cell r="AL80">
            <v>25.033999999999999</v>
          </cell>
          <cell r="AM80">
            <v>3.81</v>
          </cell>
          <cell r="AN80">
            <v>0.23599999999999999</v>
          </cell>
          <cell r="AO80">
            <v>156.542</v>
          </cell>
          <cell r="AP80">
            <v>166.96</v>
          </cell>
          <cell r="AQ80">
            <v>183.297</v>
          </cell>
          <cell r="AR80">
            <v>200.49799999999999</v>
          </cell>
          <cell r="AS80">
            <v>208.56100000000001</v>
          </cell>
          <cell r="AT80">
            <v>192.87299999999999</v>
          </cell>
          <cell r="AU80">
            <v>231.73099999999999</v>
          </cell>
          <cell r="AV80">
            <v>232.11500000000001</v>
          </cell>
          <cell r="AW80">
            <v>253.619</v>
          </cell>
          <cell r="AX80">
            <v>276.91800000000001</v>
          </cell>
          <cell r="AY80">
            <v>280.90300000000002</v>
          </cell>
          <cell r="AZ80">
            <v>258.01600000000002</v>
          </cell>
          <cell r="BA80">
            <v>262.93900000000002</v>
          </cell>
          <cell r="BB80">
            <v>270.61</v>
          </cell>
          <cell r="BC80">
            <v>246.732</v>
          </cell>
          <cell r="BD80">
            <v>214.30199999999999</v>
          </cell>
          <cell r="BE80">
            <v>131.714</v>
          </cell>
          <cell r="BF80">
            <v>69.759</v>
          </cell>
          <cell r="BG80">
            <v>32.212000000000003</v>
          </cell>
          <cell r="BH80">
            <v>6.4020000000000001</v>
          </cell>
          <cell r="BI80">
            <v>0.56399999999999995</v>
          </cell>
          <cell r="BJ80">
            <v>4.4857220109761355</v>
          </cell>
          <cell r="BK80">
            <v>4.9113700195115051</v>
          </cell>
          <cell r="BL80">
            <v>5.1444606566681355</v>
          </cell>
          <cell r="BM80">
            <v>4.7965663646970844</v>
          </cell>
          <cell r="BN80">
            <v>5.7518993878599938</v>
          </cell>
          <cell r="BO80">
            <v>5.7503891339668272</v>
          </cell>
          <cell r="BP80">
            <v>6.2728882631349459</v>
          </cell>
          <cell r="BQ80">
            <v>6.8636654836344499</v>
          </cell>
          <cell r="BR80">
            <v>7.018710097021633</v>
          </cell>
          <cell r="BS80">
            <v>6.5492647255844316</v>
          </cell>
          <cell r="BT80">
            <v>6.8452014118438003</v>
          </cell>
          <cell r="BU80">
            <v>7.3166685747831446</v>
          </cell>
          <cell r="BV80">
            <v>7.0409010856776773</v>
          </cell>
          <cell r="BW80">
            <v>6.7311041661084401</v>
          </cell>
          <cell r="BX80">
            <v>5.0188172763301804</v>
          </cell>
          <cell r="BY80">
            <v>3.798020593042601</v>
          </cell>
          <cell r="BZ80">
            <v>3.2614663590945296</v>
          </cell>
          <cell r="CA80">
            <v>1.7344778784343051</v>
          </cell>
          <cell r="CB80">
            <v>0.60980154776665108</v>
          </cell>
          <cell r="CC80">
            <v>9.2807537628462916E-2</v>
          </cell>
          <cell r="CD80">
            <v>5.7487083675373356E-3</v>
          </cell>
          <cell r="CE80">
            <v>4.0374283967843354</v>
          </cell>
          <cell r="CF80">
            <v>4.306122606885773</v>
          </cell>
          <cell r="CG80">
            <v>4.727475775481202</v>
          </cell>
          <cell r="CH80">
            <v>5.1711126643230934</v>
          </cell>
          <cell r="CI80">
            <v>5.3790682619471948</v>
          </cell>
          <cell r="CJ80">
            <v>4.9744536748794896</v>
          </cell>
          <cell r="CK80">
            <v>5.9766536764269702</v>
          </cell>
          <cell r="CL80">
            <v>5.9865575520920649</v>
          </cell>
          <cell r="CM80">
            <v>6.5411745893373423</v>
          </cell>
          <cell r="CN80">
            <v>7.1420870870483615</v>
          </cell>
          <cell r="CO80">
            <v>7.2448655884165918</v>
          </cell>
          <cell r="CP80">
            <v>6.6545791239712475</v>
          </cell>
          <cell r="CQ80">
            <v>6.7815499049589016</v>
          </cell>
          <cell r="CR80">
            <v>6.9793952961748866</v>
          </cell>
          <cell r="CS80">
            <v>6.3635496109375929</v>
          </cell>
          <cell r="CT80">
            <v>5.5271363614089291</v>
          </cell>
          <cell r="CU80">
            <v>3.3970809358130847</v>
          </cell>
          <cell r="CV80">
            <v>1.7991782878159117</v>
          </cell>
          <cell r="CW80">
            <v>0.83079073678129201</v>
          </cell>
          <cell r="CX80">
            <v>0.16511617710399329</v>
          </cell>
          <cell r="CY80">
            <v>1.4546317383107184E-2</v>
          </cell>
          <cell r="CZ80">
            <v>99.999951282132471</v>
          </cell>
          <cell r="DA80">
            <v>99.985376308588272</v>
          </cell>
        </row>
        <row r="81">
          <cell r="B81" t="str">
            <v>HTI</v>
          </cell>
          <cell r="C81" t="str">
            <v>Latin America &amp; Caribbean</v>
          </cell>
          <cell r="D81" t="str">
            <v>Lower middle income</v>
          </cell>
          <cell r="E81" t="str">
            <v>IDA</v>
          </cell>
          <cell r="F81" t="str">
            <v>HIPC</v>
          </cell>
          <cell r="G81">
            <v>0</v>
          </cell>
          <cell r="H81">
            <v>332</v>
          </cell>
          <cell r="I81">
            <v>11402.5</v>
          </cell>
          <cell r="J81">
            <v>11541.7</v>
          </cell>
          <cell r="K81">
            <v>11680.3</v>
          </cell>
          <cell r="L81">
            <v>11818</v>
          </cell>
          <cell r="M81">
            <v>11954.2</v>
          </cell>
          <cell r="N81">
            <v>12088.6</v>
          </cell>
          <cell r="O81">
            <v>12221</v>
          </cell>
          <cell r="P81">
            <v>12351.5</v>
          </cell>
          <cell r="Q81">
            <v>12480.3</v>
          </cell>
          <cell r="R81">
            <v>12607.5</v>
          </cell>
          <cell r="S81">
            <v>12733.2</v>
          </cell>
          <cell r="T81">
            <v>1262.94</v>
          </cell>
          <cell r="U81">
            <v>1237.8399999999999</v>
          </cell>
          <cell r="V81">
            <v>1202.07</v>
          </cell>
          <cell r="W81">
            <v>1144.46</v>
          </cell>
          <cell r="X81">
            <v>1065.2</v>
          </cell>
          <cell r="Y81">
            <v>979.25900000000001</v>
          </cell>
          <cell r="Z81">
            <v>905.79899999999998</v>
          </cell>
          <cell r="AA81">
            <v>825.85699999999997</v>
          </cell>
          <cell r="AB81">
            <v>627.21600000000001</v>
          </cell>
          <cell r="AC81">
            <v>479.27100000000002</v>
          </cell>
          <cell r="AD81">
            <v>423.74900000000002</v>
          </cell>
          <cell r="AE81">
            <v>365.875</v>
          </cell>
          <cell r="AF81">
            <v>292.95400000000001</v>
          </cell>
          <cell r="AG81">
            <v>230.97800000000001</v>
          </cell>
          <cell r="AH81">
            <v>150.81200000000001</v>
          </cell>
          <cell r="AI81">
            <v>109.40300000000001</v>
          </cell>
          <cell r="AJ81">
            <v>61.69</v>
          </cell>
          <cell r="AK81">
            <v>26.501999999999999</v>
          </cell>
          <cell r="AL81">
            <v>8.3689999999999998</v>
          </cell>
          <cell r="AM81">
            <v>1.964</v>
          </cell>
          <cell r="AN81">
            <v>0.32900000000000001</v>
          </cell>
          <cell r="AO81">
            <v>1221.96</v>
          </cell>
          <cell r="AP81">
            <v>1219.17</v>
          </cell>
          <cell r="AQ81">
            <v>1219.58</v>
          </cell>
          <cell r="AR81">
            <v>1194.81</v>
          </cell>
          <cell r="AS81">
            <v>1130.04</v>
          </cell>
          <cell r="AT81">
            <v>1055.79</v>
          </cell>
          <cell r="AU81">
            <v>981.90099999999995</v>
          </cell>
          <cell r="AV81">
            <v>907.83199999999999</v>
          </cell>
          <cell r="AW81">
            <v>843.71799999999996</v>
          </cell>
          <cell r="AX81">
            <v>769.23599999999999</v>
          </cell>
          <cell r="AY81">
            <v>578.73</v>
          </cell>
          <cell r="AZ81">
            <v>434.39600000000002</v>
          </cell>
          <cell r="BA81">
            <v>372.27199999999999</v>
          </cell>
          <cell r="BB81">
            <v>303.77</v>
          </cell>
          <cell r="BC81">
            <v>220.46799999999999</v>
          </cell>
          <cell r="BD81">
            <v>147.62200000000001</v>
          </cell>
          <cell r="BE81">
            <v>74.924000000000007</v>
          </cell>
          <cell r="BF81">
            <v>38.654000000000003</v>
          </cell>
          <cell r="BG81">
            <v>14.137</v>
          </cell>
          <cell r="BH81">
            <v>3.5630000000000002</v>
          </cell>
          <cell r="BI81">
            <v>0.65900000000000003</v>
          </cell>
          <cell r="BJ81">
            <v>11.075992106994081</v>
          </cell>
          <cell r="BK81">
            <v>10.855864941898705</v>
          </cell>
          <cell r="BL81">
            <v>10.542161806621355</v>
          </cell>
          <cell r="BM81">
            <v>10.036921727691297</v>
          </cell>
          <cell r="BN81">
            <v>9.341811006358256</v>
          </cell>
          <cell r="BO81">
            <v>8.5881078710809042</v>
          </cell>
          <cell r="BP81">
            <v>7.9438631878973904</v>
          </cell>
          <cell r="BQ81">
            <v>7.2427713220784913</v>
          </cell>
          <cell r="BR81">
            <v>5.5006884455163343</v>
          </cell>
          <cell r="BS81">
            <v>4.2032098224073664</v>
          </cell>
          <cell r="BT81">
            <v>3.7162815172111383</v>
          </cell>
          <cell r="BU81">
            <v>3.2087261565446177</v>
          </cell>
          <cell r="BV81">
            <v>2.5692085069063801</v>
          </cell>
          <cell r="BW81">
            <v>2.0256785792589342</v>
          </cell>
          <cell r="BX81">
            <v>1.3226222319666741</v>
          </cell>
          <cell r="BY81">
            <v>0.95946502959877222</v>
          </cell>
          <cell r="BZ81">
            <v>0.54102170576627928</v>
          </cell>
          <cell r="CA81">
            <v>0.23242271431703573</v>
          </cell>
          <cell r="CB81">
            <v>7.3396185047138782E-2</v>
          </cell>
          <cell r="CC81">
            <v>1.722429291821969E-2</v>
          </cell>
          <cell r="CD81">
            <v>2.8853321639991233E-3</v>
          </cell>
          <cell r="CE81">
            <v>9.5966449910470271</v>
          </cell>
          <cell r="CF81">
            <v>9.5747337668457266</v>
          </cell>
          <cell r="CG81">
            <v>9.5779536958502174</v>
          </cell>
          <cell r="CH81">
            <v>9.3834228630666274</v>
          </cell>
          <cell r="CI81">
            <v>8.87475261521063</v>
          </cell>
          <cell r="CJ81">
            <v>8.2916313259824701</v>
          </cell>
          <cell r="CK81">
            <v>7.711345144975339</v>
          </cell>
          <cell r="CL81">
            <v>7.1296453366003831</v>
          </cell>
          <cell r="CM81">
            <v>6.6261269751515721</v>
          </cell>
          <cell r="CN81">
            <v>6.0411836773159919</v>
          </cell>
          <cell r="CO81">
            <v>4.5450475921213833</v>
          </cell>
          <cell r="CP81">
            <v>3.4115226337448559</v>
          </cell>
          <cell r="CQ81">
            <v>2.923632708195897</v>
          </cell>
          <cell r="CR81">
            <v>2.3856532529136429</v>
          </cell>
          <cell r="CS81">
            <v>1.7314422140545973</v>
          </cell>
          <cell r="CT81">
            <v>1.1593472182954796</v>
          </cell>
          <cell r="CU81">
            <v>0.58841453837212954</v>
          </cell>
          <cell r="CV81">
            <v>0.30356862375522259</v>
          </cell>
          <cell r="CW81">
            <v>0.11102472277196619</v>
          </cell>
          <cell r="CX81">
            <v>2.7981968397574844E-2</v>
          </cell>
          <cell r="CY81">
            <v>5.1754468633179399E-3</v>
          </cell>
          <cell r="CZ81">
            <v>100.0003244902434</v>
          </cell>
          <cell r="DA81">
            <v>99.995075864668749</v>
          </cell>
        </row>
        <row r="82">
          <cell r="B82" t="str">
            <v>HUN</v>
          </cell>
          <cell r="C82" t="str">
            <v>Europe &amp; Central Asia</v>
          </cell>
          <cell r="D82" t="str">
            <v>High income</v>
          </cell>
          <cell r="G82">
            <v>0</v>
          </cell>
          <cell r="H82">
            <v>348</v>
          </cell>
          <cell r="I82">
            <v>9660.35</v>
          </cell>
          <cell r="J82">
            <v>9634.16</v>
          </cell>
          <cell r="K82">
            <v>9606.25</v>
          </cell>
          <cell r="L82">
            <v>9576.77</v>
          </cell>
          <cell r="M82">
            <v>9546.0400000000009</v>
          </cell>
          <cell r="N82">
            <v>9514.33</v>
          </cell>
          <cell r="O82">
            <v>9481.6200000000008</v>
          </cell>
          <cell r="P82">
            <v>9447.7199999999993</v>
          </cell>
          <cell r="Q82">
            <v>9412.6299999999992</v>
          </cell>
          <cell r="R82">
            <v>9376.2000000000007</v>
          </cell>
          <cell r="S82">
            <v>9338.4500000000007</v>
          </cell>
          <cell r="T82">
            <v>461.142</v>
          </cell>
          <cell r="U82">
            <v>447.42399999999998</v>
          </cell>
          <cell r="V82">
            <v>483.36099999999999</v>
          </cell>
          <cell r="W82">
            <v>485.846</v>
          </cell>
          <cell r="X82">
            <v>517.94299999999998</v>
          </cell>
          <cell r="Y82">
            <v>633.74699999999996</v>
          </cell>
          <cell r="Z82">
            <v>612.16399999999999</v>
          </cell>
          <cell r="AA82">
            <v>644.97799999999995</v>
          </cell>
          <cell r="AB82">
            <v>814.68399999999997</v>
          </cell>
          <cell r="AC82">
            <v>773.529</v>
          </cell>
          <cell r="AD82">
            <v>648.15099999999995</v>
          </cell>
          <cell r="AE82">
            <v>553.23699999999997</v>
          </cell>
          <cell r="AF82">
            <v>636.31899999999996</v>
          </cell>
          <cell r="AG82">
            <v>670.11300000000006</v>
          </cell>
          <cell r="AH82">
            <v>475.77100000000002</v>
          </cell>
          <cell r="AI82">
            <v>370.80500000000001</v>
          </cell>
          <cell r="AJ82">
            <v>239.744</v>
          </cell>
          <cell r="AK82">
            <v>132.07499999999999</v>
          </cell>
          <cell r="AL82">
            <v>45.780999999999999</v>
          </cell>
          <cell r="AM82">
            <v>12.917999999999999</v>
          </cell>
          <cell r="AN82">
            <v>0.61799999999999999</v>
          </cell>
          <cell r="AO82">
            <v>428.58499999999998</v>
          </cell>
          <cell r="AP82">
            <v>445.649</v>
          </cell>
          <cell r="AQ82">
            <v>462.19600000000003</v>
          </cell>
          <cell r="AR82">
            <v>450.87299999999999</v>
          </cell>
          <cell r="AS82">
            <v>491.524</v>
          </cell>
          <cell r="AT82">
            <v>495.69499999999999</v>
          </cell>
          <cell r="AU82">
            <v>525.50900000000001</v>
          </cell>
          <cell r="AV82">
            <v>637.33600000000001</v>
          </cell>
          <cell r="AW82">
            <v>611.71600000000001</v>
          </cell>
          <cell r="AX82">
            <v>637.63099999999997</v>
          </cell>
          <cell r="AY82">
            <v>789.03700000000003</v>
          </cell>
          <cell r="AZ82">
            <v>725.60500000000002</v>
          </cell>
          <cell r="BA82">
            <v>584.14300000000003</v>
          </cell>
          <cell r="BB82">
            <v>477.66300000000001</v>
          </cell>
          <cell r="BC82">
            <v>522.22699999999998</v>
          </cell>
          <cell r="BD82">
            <v>503.16399999999999</v>
          </cell>
          <cell r="BE82">
            <v>300.23200000000003</v>
          </cell>
          <cell r="BF82">
            <v>167.97800000000001</v>
          </cell>
          <cell r="BG82">
            <v>63.73</v>
          </cell>
          <cell r="BH82">
            <v>16.068000000000001</v>
          </cell>
          <cell r="BI82">
            <v>1.893</v>
          </cell>
          <cell r="BJ82">
            <v>4.773553753228402</v>
          </cell>
          <cell r="BK82">
            <v>4.6315506166960816</v>
          </cell>
          <cell r="BL82">
            <v>5.0035557717888066</v>
          </cell>
          <cell r="BM82">
            <v>5.0292794774516452</v>
          </cell>
          <cell r="BN82">
            <v>5.3615345199708075</v>
          </cell>
          <cell r="BO82">
            <v>6.5602902586345211</v>
          </cell>
          <cell r="BP82">
            <v>6.3368718524691126</v>
          </cell>
          <cell r="BQ82">
            <v>6.6765489863203697</v>
          </cell>
          <cell r="BR82">
            <v>8.4332762270518149</v>
          </cell>
          <cell r="BS82">
            <v>8.007256465863037</v>
          </cell>
          <cell r="BT82">
            <v>6.7093945871526381</v>
          </cell>
          <cell r="BU82">
            <v>5.7268836015258247</v>
          </cell>
          <cell r="BV82">
            <v>6.5869145527853545</v>
          </cell>
          <cell r="BW82">
            <v>6.9367362466163236</v>
          </cell>
          <cell r="BX82">
            <v>4.9249871899051278</v>
          </cell>
          <cell r="BY82">
            <v>3.8384220033435641</v>
          </cell>
          <cell r="BZ82">
            <v>2.4817320283426585</v>
          </cell>
          <cell r="CA82">
            <v>1.3671864891023615</v>
          </cell>
          <cell r="CB82">
            <v>0.47390622492973855</v>
          </cell>
          <cell r="CC82">
            <v>0.13372186307949505</v>
          </cell>
          <cell r="CD82">
            <v>6.3972837423074734E-3</v>
          </cell>
          <cell r="CE82">
            <v>4.5894661319597994</v>
          </cell>
          <cell r="CF82">
            <v>4.7721945290706698</v>
          </cell>
          <cell r="CG82">
            <v>4.9493866755189568</v>
          </cell>
          <cell r="CH82">
            <v>4.8281352901177383</v>
          </cell>
          <cell r="CI82">
            <v>5.263443076741857</v>
          </cell>
          <cell r="CJ82">
            <v>5.3081078765748062</v>
          </cell>
          <cell r="CK82">
            <v>5.6273685675888387</v>
          </cell>
          <cell r="CL82">
            <v>6.8248585150640624</v>
          </cell>
          <cell r="CM82">
            <v>6.5505089174327642</v>
          </cell>
          <cell r="CN82">
            <v>6.8280174975504497</v>
          </cell>
          <cell r="CO82">
            <v>8.4493358105467173</v>
          </cell>
          <cell r="CP82">
            <v>7.7700796170670721</v>
          </cell>
          <cell r="CQ82">
            <v>6.2552457849000636</v>
          </cell>
          <cell r="CR82">
            <v>5.1150137335425043</v>
          </cell>
          <cell r="CS82">
            <v>5.5922235488758831</v>
          </cell>
          <cell r="CT82">
            <v>5.3880890297640391</v>
          </cell>
          <cell r="CU82">
            <v>3.2150089147556606</v>
          </cell>
          <cell r="CV82">
            <v>1.7987781698247569</v>
          </cell>
          <cell r="CW82">
            <v>0.68244730121165709</v>
          </cell>
          <cell r="CX82">
            <v>0.17206281556361067</v>
          </cell>
          <cell r="CY82">
            <v>2.0271029988916788E-2</v>
          </cell>
          <cell r="CZ82">
            <v>100</v>
          </cell>
          <cell r="DA82">
            <v>99.979771803671881</v>
          </cell>
        </row>
        <row r="83">
          <cell r="B83" t="str">
            <v>IDN</v>
          </cell>
          <cell r="C83" t="str">
            <v>East Asia &amp; Pacific</v>
          </cell>
          <cell r="D83" t="str">
            <v>Lower middle income</v>
          </cell>
          <cell r="E83" t="str">
            <v>IBRD</v>
          </cell>
          <cell r="G83">
            <v>0</v>
          </cell>
          <cell r="H83">
            <v>360</v>
          </cell>
          <cell r="I83">
            <v>273524</v>
          </cell>
          <cell r="J83">
            <v>276362</v>
          </cell>
          <cell r="K83">
            <v>279135</v>
          </cell>
          <cell r="L83">
            <v>281844</v>
          </cell>
          <cell r="M83">
            <v>284495</v>
          </cell>
          <cell r="N83">
            <v>287090</v>
          </cell>
          <cell r="O83">
            <v>289628</v>
          </cell>
          <cell r="P83">
            <v>292109</v>
          </cell>
          <cell r="Q83">
            <v>294533</v>
          </cell>
          <cell r="R83">
            <v>296896</v>
          </cell>
          <cell r="S83">
            <v>299198</v>
          </cell>
          <cell r="T83">
            <v>23658.3</v>
          </cell>
          <cell r="U83">
            <v>24298.2</v>
          </cell>
          <cell r="V83">
            <v>22984.7</v>
          </cell>
          <cell r="W83">
            <v>23318.3</v>
          </cell>
          <cell r="X83">
            <v>22653.3</v>
          </cell>
          <cell r="Y83">
            <v>20918.2</v>
          </cell>
          <cell r="Z83">
            <v>19973.2</v>
          </cell>
          <cell r="AA83">
            <v>21193.4</v>
          </cell>
          <cell r="AB83">
            <v>19680.7</v>
          </cell>
          <cell r="AC83">
            <v>18166</v>
          </cell>
          <cell r="AD83">
            <v>15955</v>
          </cell>
          <cell r="AE83">
            <v>13200.1</v>
          </cell>
          <cell r="AF83">
            <v>10394.799999999999</v>
          </cell>
          <cell r="AG83">
            <v>7136.37</v>
          </cell>
          <cell r="AH83">
            <v>4617.54</v>
          </cell>
          <cell r="AI83">
            <v>2956.93</v>
          </cell>
          <cell r="AJ83">
            <v>1631.68</v>
          </cell>
          <cell r="AK83">
            <v>593.13400000000001</v>
          </cell>
          <cell r="AL83">
            <v>168.99299999999999</v>
          </cell>
          <cell r="AM83">
            <v>23.245000000000001</v>
          </cell>
          <cell r="AN83">
            <v>1.5629999999999999</v>
          </cell>
          <cell r="AO83">
            <v>22723.1</v>
          </cell>
          <cell r="AP83">
            <v>23014.400000000001</v>
          </cell>
          <cell r="AQ83">
            <v>23493.200000000001</v>
          </cell>
          <cell r="AR83">
            <v>24115.4</v>
          </cell>
          <cell r="AS83">
            <v>22653</v>
          </cell>
          <cell r="AT83">
            <v>22877.9</v>
          </cell>
          <cell r="AU83">
            <v>22217.5</v>
          </cell>
          <cell r="AV83">
            <v>20501.599999999999</v>
          </cell>
          <cell r="AW83">
            <v>19512.2</v>
          </cell>
          <cell r="AX83">
            <v>20552.8</v>
          </cell>
          <cell r="AY83">
            <v>18813.2</v>
          </cell>
          <cell r="AZ83">
            <v>16953.3</v>
          </cell>
          <cell r="BA83">
            <v>14333.2</v>
          </cell>
          <cell r="BB83">
            <v>11175</v>
          </cell>
          <cell r="BC83">
            <v>7997.3</v>
          </cell>
          <cell r="BD83">
            <v>4663.78</v>
          </cell>
          <cell r="BE83">
            <v>2315.31</v>
          </cell>
          <cell r="BF83">
            <v>961.70699999999999</v>
          </cell>
          <cell r="BG83">
            <v>279.06299999999999</v>
          </cell>
          <cell r="BH83">
            <v>41.575000000000003</v>
          </cell>
          <cell r="BI83">
            <v>3.8479999999999999</v>
          </cell>
          <cell r="BJ83">
            <v>8.6494420964887908</v>
          </cell>
          <cell r="BK83">
            <v>8.8833886605928551</v>
          </cell>
          <cell r="BL83">
            <v>8.4031748585133315</v>
          </cell>
          <cell r="BM83">
            <v>8.5251385618812243</v>
          </cell>
          <cell r="BN83">
            <v>8.2820154721340717</v>
          </cell>
          <cell r="BO83">
            <v>7.6476652871411659</v>
          </cell>
          <cell r="BP83">
            <v>7.3021745806583702</v>
          </cell>
          <cell r="BQ83">
            <v>7.7482780304470547</v>
          </cell>
          <cell r="BR83">
            <v>7.1952369810327435</v>
          </cell>
          <cell r="BS83">
            <v>6.6414647343560338</v>
          </cell>
          <cell r="BT83">
            <v>5.8331261607756542</v>
          </cell>
          <cell r="BU83">
            <v>4.8259384916862871</v>
          </cell>
          <cell r="BV83">
            <v>3.8003246515845044</v>
          </cell>
          <cell r="BW83">
            <v>2.6090471037276437</v>
          </cell>
          <cell r="BX83">
            <v>1.6881663035053598</v>
          </cell>
          <cell r="BY83">
            <v>1.0810495605504451</v>
          </cell>
          <cell r="BZ83">
            <v>0.59653997455433538</v>
          </cell>
          <cell r="CA83">
            <v>0.21684897851742441</v>
          </cell>
          <cell r="CB83">
            <v>6.1783609482166102E-2</v>
          </cell>
          <cell r="CC83">
            <v>8.4983401822143582E-3</v>
          </cell>
          <cell r="CD83">
            <v>5.7143066056360679E-4</v>
          </cell>
          <cell r="CE83">
            <v>7.5946697504662461</v>
          </cell>
          <cell r="CF83">
            <v>7.6920300269386832</v>
          </cell>
          <cell r="CG83">
            <v>7.8520578346111938</v>
          </cell>
          <cell r="CH83">
            <v>8.0600137701455221</v>
          </cell>
          <cell r="CI83">
            <v>7.5712404494682444</v>
          </cell>
          <cell r="CJ83">
            <v>7.6464080642250281</v>
          </cell>
          <cell r="CK83">
            <v>7.4256846636675382</v>
          </cell>
          <cell r="CL83">
            <v>6.8521848408077597</v>
          </cell>
          <cell r="CM83">
            <v>6.5215008121712046</v>
          </cell>
          <cell r="CN83">
            <v>6.8692972546607933</v>
          </cell>
          <cell r="CO83">
            <v>6.2878762558573262</v>
          </cell>
          <cell r="CP83">
            <v>5.6662477690358894</v>
          </cell>
          <cell r="CQ83">
            <v>4.7905400437168701</v>
          </cell>
          <cell r="CR83">
            <v>3.7349848595244621</v>
          </cell>
          <cell r="CS83">
            <v>2.6729122520872468</v>
          </cell>
          <cell r="CT83">
            <v>1.5587604195215208</v>
          </cell>
          <cell r="CU83">
            <v>0.77383872886850846</v>
          </cell>
          <cell r="CV83">
            <v>0.32142828494842879</v>
          </cell>
          <cell r="CW83">
            <v>9.3270342716194624E-2</v>
          </cell>
          <cell r="CX83">
            <v>1.3895480584763267E-2</v>
          </cell>
          <cell r="CY83">
            <v>1.2861048536420697E-3</v>
          </cell>
          <cell r="CZ83">
            <v>99.999873868472207</v>
          </cell>
          <cell r="DA83">
            <v>99.998841904023422</v>
          </cell>
        </row>
        <row r="84">
          <cell r="B84" t="str">
            <v>IND</v>
          </cell>
          <cell r="C84" t="str">
            <v>South Asia</v>
          </cell>
          <cell r="D84" t="str">
            <v>Lower middle income</v>
          </cell>
          <cell r="E84" t="str">
            <v>IBRD</v>
          </cell>
          <cell r="G84">
            <v>0</v>
          </cell>
          <cell r="H84">
            <v>356</v>
          </cell>
          <cell r="I84">
            <v>1400000</v>
          </cell>
          <cell r="J84">
            <v>1400000</v>
          </cell>
          <cell r="K84">
            <v>1400000</v>
          </cell>
          <cell r="L84">
            <v>1400000</v>
          </cell>
          <cell r="M84">
            <v>1400000</v>
          </cell>
          <cell r="N84">
            <v>1400000</v>
          </cell>
          <cell r="O84">
            <v>1500000</v>
          </cell>
          <cell r="P84">
            <v>1500000</v>
          </cell>
          <cell r="Q84">
            <v>1500000</v>
          </cell>
          <cell r="R84">
            <v>1500000</v>
          </cell>
          <cell r="S84">
            <v>1500000</v>
          </cell>
          <cell r="T84">
            <v>116880</v>
          </cell>
          <cell r="U84">
            <v>117982</v>
          </cell>
          <cell r="V84">
            <v>126156</v>
          </cell>
          <cell r="W84">
            <v>126046</v>
          </cell>
          <cell r="X84">
            <v>122505</v>
          </cell>
          <cell r="Y84">
            <v>117397</v>
          </cell>
          <cell r="Z84">
            <v>112176</v>
          </cell>
          <cell r="AA84">
            <v>103460</v>
          </cell>
          <cell r="AB84">
            <v>90219.9</v>
          </cell>
          <cell r="AC84">
            <v>79440.3</v>
          </cell>
          <cell r="AD84">
            <v>68876</v>
          </cell>
          <cell r="AE84">
            <v>59256.3</v>
          </cell>
          <cell r="AF84">
            <v>48890.5</v>
          </cell>
          <cell r="AG84">
            <v>38260.300000000003</v>
          </cell>
          <cell r="AH84">
            <v>24091.4</v>
          </cell>
          <cell r="AI84">
            <v>15084</v>
          </cell>
          <cell r="AJ84">
            <v>8489.01</v>
          </cell>
          <cell r="AK84">
            <v>3531.14</v>
          </cell>
          <cell r="AL84">
            <v>992.98500000000001</v>
          </cell>
          <cell r="AM84">
            <v>223.197</v>
          </cell>
          <cell r="AN84">
            <v>47.939</v>
          </cell>
          <cell r="AO84">
            <v>114637</v>
          </cell>
          <cell r="AP84">
            <v>115433</v>
          </cell>
          <cell r="AQ84">
            <v>115560</v>
          </cell>
          <cell r="AR84">
            <v>116849</v>
          </cell>
          <cell r="AS84">
            <v>124567</v>
          </cell>
          <cell r="AT84">
            <v>123935</v>
          </cell>
          <cell r="AU84">
            <v>120193</v>
          </cell>
          <cell r="AV84">
            <v>114891</v>
          </cell>
          <cell r="AW84">
            <v>109185</v>
          </cell>
          <cell r="AX84">
            <v>99796.1</v>
          </cell>
          <cell r="AY84">
            <v>85605.4</v>
          </cell>
          <cell r="AZ84">
            <v>73248.800000000003</v>
          </cell>
          <cell r="BA84">
            <v>60864</v>
          </cell>
          <cell r="BB84">
            <v>49136.2</v>
          </cell>
          <cell r="BC84">
            <v>36494.9</v>
          </cell>
          <cell r="BD84">
            <v>24202.400000000001</v>
          </cell>
          <cell r="BE84">
            <v>11898.1</v>
          </cell>
          <cell r="BF84">
            <v>5073.97</v>
          </cell>
          <cell r="BG84">
            <v>1598.97</v>
          </cell>
          <cell r="BH84">
            <v>385.495</v>
          </cell>
          <cell r="BI84">
            <v>87.253</v>
          </cell>
          <cell r="BJ84">
            <v>8.3485714285714288</v>
          </cell>
          <cell r="BK84">
            <v>8.4272857142857145</v>
          </cell>
          <cell r="BL84">
            <v>9.0111428571428558</v>
          </cell>
          <cell r="BM84">
            <v>9.0032857142857132</v>
          </cell>
          <cell r="BN84">
            <v>8.7503571428571423</v>
          </cell>
          <cell r="BO84">
            <v>8.3855000000000004</v>
          </cell>
          <cell r="BP84">
            <v>8.0125714285714285</v>
          </cell>
          <cell r="BQ84">
            <v>7.39</v>
          </cell>
          <cell r="BR84">
            <v>6.4442785714285717</v>
          </cell>
          <cell r="BS84">
            <v>5.6743071428571428</v>
          </cell>
          <cell r="BT84">
            <v>4.9197142857142859</v>
          </cell>
          <cell r="BU84">
            <v>4.2325928571428575</v>
          </cell>
          <cell r="BV84">
            <v>3.4921785714285716</v>
          </cell>
          <cell r="BW84">
            <v>2.7328785714285715</v>
          </cell>
          <cell r="BX84">
            <v>1.7208142857142859</v>
          </cell>
          <cell r="BY84">
            <v>1.0774285714285714</v>
          </cell>
          <cell r="BZ84">
            <v>0.60635785714285717</v>
          </cell>
          <cell r="CA84">
            <v>0.25222428571428573</v>
          </cell>
          <cell r="CB84">
            <v>7.0927500000000004E-2</v>
          </cell>
          <cell r="CC84">
            <v>1.5942642857142857E-2</v>
          </cell>
          <cell r="CD84">
            <v>3.4242142857142856E-3</v>
          </cell>
          <cell r="CE84">
            <v>7.6424666666666665</v>
          </cell>
          <cell r="CF84">
            <v>7.6955333333333336</v>
          </cell>
          <cell r="CG84">
            <v>7.7039999999999997</v>
          </cell>
          <cell r="CH84">
            <v>7.7899333333333338</v>
          </cell>
          <cell r="CI84">
            <v>8.3044666666666664</v>
          </cell>
          <cell r="CJ84">
            <v>8.2623333333333324</v>
          </cell>
          <cell r="CK84">
            <v>8.0128666666666675</v>
          </cell>
          <cell r="CL84">
            <v>7.6593999999999998</v>
          </cell>
          <cell r="CM84">
            <v>7.278999999999999</v>
          </cell>
          <cell r="CN84">
            <v>6.6530733333333343</v>
          </cell>
          <cell r="CO84">
            <v>5.7070266666666658</v>
          </cell>
          <cell r="CP84">
            <v>4.8832533333333341</v>
          </cell>
          <cell r="CQ84">
            <v>4.0575999999999999</v>
          </cell>
          <cell r="CR84">
            <v>3.2757466666666666</v>
          </cell>
          <cell r="CS84">
            <v>2.4329933333333336</v>
          </cell>
          <cell r="CT84">
            <v>1.6134933333333334</v>
          </cell>
          <cell r="CU84">
            <v>0.79320666666666662</v>
          </cell>
          <cell r="CV84">
            <v>0.33826466666666666</v>
          </cell>
          <cell r="CW84">
            <v>0.106598</v>
          </cell>
          <cell r="CX84">
            <v>2.5699666666666666E-2</v>
          </cell>
          <cell r="CY84">
            <v>5.8168666666666667E-3</v>
          </cell>
          <cell r="CZ84">
            <v>98.571783642857142</v>
          </cell>
          <cell r="DA84">
            <v>100.23695566666665</v>
          </cell>
        </row>
        <row r="85">
          <cell r="B85" t="str">
            <v>IRL</v>
          </cell>
          <cell r="C85" t="str">
            <v>Europe &amp; Central Asia</v>
          </cell>
          <cell r="D85" t="str">
            <v>High income</v>
          </cell>
          <cell r="F85" t="str">
            <v>EMU</v>
          </cell>
          <cell r="G85">
            <v>0</v>
          </cell>
          <cell r="H85">
            <v>372</v>
          </cell>
          <cell r="I85">
            <v>4937.8</v>
          </cell>
          <cell r="J85">
            <v>4982.8999999999996</v>
          </cell>
          <cell r="K85">
            <v>5020.2</v>
          </cell>
          <cell r="L85">
            <v>5051.6099999999997</v>
          </cell>
          <cell r="M85">
            <v>5080.5</v>
          </cell>
          <cell r="N85">
            <v>5109.29</v>
          </cell>
          <cell r="O85">
            <v>5138.3100000000004</v>
          </cell>
          <cell r="P85">
            <v>5166.75</v>
          </cell>
          <cell r="Q85">
            <v>5194.6099999999997</v>
          </cell>
          <cell r="R85">
            <v>5221.75</v>
          </cell>
          <cell r="S85">
            <v>5248.04</v>
          </cell>
          <cell r="T85">
            <v>313.65300000000002</v>
          </cell>
          <cell r="U85">
            <v>358.29</v>
          </cell>
          <cell r="V85">
            <v>356.71100000000001</v>
          </cell>
          <cell r="W85">
            <v>312.036</v>
          </cell>
          <cell r="X85">
            <v>289.68400000000003</v>
          </cell>
          <cell r="Y85">
            <v>277.65300000000002</v>
          </cell>
          <cell r="Z85">
            <v>310.94600000000003</v>
          </cell>
          <cell r="AA85">
            <v>384.98200000000003</v>
          </cell>
          <cell r="AB85">
            <v>395.55399999999997</v>
          </cell>
          <cell r="AC85">
            <v>367.67399999999998</v>
          </cell>
          <cell r="AD85">
            <v>312.197</v>
          </cell>
          <cell r="AE85">
            <v>288.73599999999999</v>
          </cell>
          <cell r="AF85">
            <v>249.84800000000001</v>
          </cell>
          <cell r="AG85">
            <v>230.93700000000001</v>
          </cell>
          <cell r="AH85">
            <v>196.80600000000001</v>
          </cell>
          <cell r="AI85">
            <v>133.857</v>
          </cell>
          <cell r="AJ85">
            <v>88.108000000000004</v>
          </cell>
          <cell r="AK85">
            <v>45.73</v>
          </cell>
          <cell r="AL85">
            <v>18.39</v>
          </cell>
          <cell r="AM85">
            <v>5.3639999999999999</v>
          </cell>
          <cell r="AN85">
            <v>0.64</v>
          </cell>
          <cell r="AO85">
            <v>270.77999999999997</v>
          </cell>
          <cell r="AP85">
            <v>287.85700000000003</v>
          </cell>
          <cell r="AQ85">
            <v>316.87900000000002</v>
          </cell>
          <cell r="AR85">
            <v>362.44099999999997</v>
          </cell>
          <cell r="AS85">
            <v>366.85399999999998</v>
          </cell>
          <cell r="AT85">
            <v>328.11</v>
          </cell>
          <cell r="AU85">
            <v>306.10599999999999</v>
          </cell>
          <cell r="AV85">
            <v>290.25099999999998</v>
          </cell>
          <cell r="AW85">
            <v>318.846</v>
          </cell>
          <cell r="AX85">
            <v>388.161</v>
          </cell>
          <cell r="AY85">
            <v>394.40199999999999</v>
          </cell>
          <cell r="AZ85">
            <v>362.399</v>
          </cell>
          <cell r="BA85">
            <v>302.947</v>
          </cell>
          <cell r="BB85">
            <v>273.334</v>
          </cell>
          <cell r="BC85">
            <v>227.494</v>
          </cell>
          <cell r="BD85">
            <v>195.86199999999999</v>
          </cell>
          <cell r="BE85">
            <v>144.197</v>
          </cell>
          <cell r="BF85">
            <v>73.790999999999997</v>
          </cell>
          <cell r="BG85">
            <v>29.553999999999998</v>
          </cell>
          <cell r="BH85">
            <v>6.8570000000000002</v>
          </cell>
          <cell r="BI85">
            <v>0.91700000000000004</v>
          </cell>
          <cell r="BJ85">
            <v>6.3520798736279316</v>
          </cell>
          <cell r="BK85">
            <v>7.2560654542508818</v>
          </cell>
          <cell r="BL85">
            <v>7.2240876503706097</v>
          </cell>
          <cell r="BM85">
            <v>6.3193324962533923</v>
          </cell>
          <cell r="BN85">
            <v>5.866661266150917</v>
          </cell>
          <cell r="BO85">
            <v>5.6230102474786348</v>
          </cell>
          <cell r="BP85">
            <v>6.2972578881283159</v>
          </cell>
          <cell r="BQ85">
            <v>7.7966300781724662</v>
          </cell>
          <cell r="BR85">
            <v>8.0107335250516414</v>
          </cell>
          <cell r="BS85">
            <v>7.4461096034671295</v>
          </cell>
          <cell r="BT85">
            <v>6.3225930576370031</v>
          </cell>
          <cell r="BU85">
            <v>5.8474624326623186</v>
          </cell>
          <cell r="BV85">
            <v>5.0599052209486004</v>
          </cell>
          <cell r="BW85">
            <v>4.6769208959455622</v>
          </cell>
          <cell r="BX85">
            <v>3.9857021345538501</v>
          </cell>
          <cell r="BY85">
            <v>2.7108631374296244</v>
          </cell>
          <cell r="BZ85">
            <v>1.7843574061322858</v>
          </cell>
          <cell r="CA85">
            <v>0.92612094455020444</v>
          </cell>
          <cell r="CB85">
            <v>0.37243306735793269</v>
          </cell>
          <cell r="CC85">
            <v>0.10863137429624528</v>
          </cell>
          <cell r="CD85">
            <v>1.2961237798209728E-2</v>
          </cell>
          <cell r="CE85">
            <v>5.1596405515201855</v>
          </cell>
          <cell r="CF85">
            <v>5.4850382237940272</v>
          </cell>
          <cell r="CG85">
            <v>6.0380446795375038</v>
          </cell>
          <cell r="CH85">
            <v>6.9062164160334145</v>
          </cell>
          <cell r="CI85">
            <v>6.9903049519439637</v>
          </cell>
          <cell r="CJ85">
            <v>6.2520483837775629</v>
          </cell>
          <cell r="CK85">
            <v>5.8327680429265021</v>
          </cell>
          <cell r="CL85">
            <v>5.530655254152026</v>
          </cell>
          <cell r="CM85">
            <v>6.075525338983697</v>
          </cell>
          <cell r="CN85">
            <v>7.3963041440232926</v>
          </cell>
          <cell r="CO85">
            <v>7.5152247315188143</v>
          </cell>
          <cell r="CP85">
            <v>6.9054161172552044</v>
          </cell>
          <cell r="CQ85">
            <v>5.7725741419653813</v>
          </cell>
          <cell r="CR85">
            <v>5.2083063391285132</v>
          </cell>
          <cell r="CS85">
            <v>4.3348373869101602</v>
          </cell>
          <cell r="CT85">
            <v>3.7320980785207429</v>
          </cell>
          <cell r="CU85">
            <v>2.747635307657716</v>
          </cell>
          <cell r="CV85">
            <v>1.4060677891174609</v>
          </cell>
          <cell r="CW85">
            <v>0.56314357360081091</v>
          </cell>
          <cell r="CX85">
            <v>0.1306583029092766</v>
          </cell>
          <cell r="CY85">
            <v>1.7473189990929946E-2</v>
          </cell>
          <cell r="CZ85">
            <v>99.999918992263744</v>
          </cell>
          <cell r="DA85">
            <v>99.982507755276259</v>
          </cell>
        </row>
        <row r="86">
          <cell r="B86" t="str">
            <v>IRN</v>
          </cell>
          <cell r="C86" t="str">
            <v>Middle East &amp; North Africa</v>
          </cell>
          <cell r="D86" t="str">
            <v>Lower middle income</v>
          </cell>
          <cell r="E86" t="str">
            <v>IBRD</v>
          </cell>
          <cell r="G86">
            <v>0</v>
          </cell>
          <cell r="H86">
            <v>364</v>
          </cell>
          <cell r="I86">
            <v>83993</v>
          </cell>
          <cell r="J86">
            <v>85028.800000000003</v>
          </cell>
          <cell r="K86">
            <v>86022.8</v>
          </cell>
          <cell r="L86">
            <v>86975.8</v>
          </cell>
          <cell r="M86">
            <v>87892</v>
          </cell>
          <cell r="N86">
            <v>88774.8</v>
          </cell>
          <cell r="O86">
            <v>89622.5</v>
          </cell>
          <cell r="P86">
            <v>90432.9</v>
          </cell>
          <cell r="Q86">
            <v>91207.9</v>
          </cell>
          <cell r="R86">
            <v>91950.6</v>
          </cell>
          <cell r="S86">
            <v>92663.7</v>
          </cell>
          <cell r="T86">
            <v>7637.56</v>
          </cell>
          <cell r="U86">
            <v>6928.3</v>
          </cell>
          <cell r="V86">
            <v>6217.94</v>
          </cell>
          <cell r="W86">
            <v>5529.98</v>
          </cell>
          <cell r="X86">
            <v>5556.23</v>
          </cell>
          <cell r="Y86">
            <v>6786.68</v>
          </cell>
          <cell r="Z86">
            <v>8466.7000000000007</v>
          </cell>
          <cell r="AA86">
            <v>8272.74</v>
          </cell>
          <cell r="AB86">
            <v>6491.32</v>
          </cell>
          <cell r="AC86">
            <v>5164.29</v>
          </cell>
          <cell r="AD86">
            <v>4618.4799999999996</v>
          </cell>
          <cell r="AE86">
            <v>3676.85</v>
          </cell>
          <cell r="AF86">
            <v>3132.27</v>
          </cell>
          <cell r="AG86">
            <v>2264.63</v>
          </cell>
          <cell r="AH86">
            <v>1448</v>
          </cell>
          <cell r="AI86">
            <v>906.60599999999999</v>
          </cell>
          <cell r="AJ86">
            <v>551.61199999999997</v>
          </cell>
          <cell r="AK86">
            <v>277.48099999999999</v>
          </cell>
          <cell r="AL86">
            <v>56.676000000000002</v>
          </cell>
          <cell r="AM86">
            <v>8.07</v>
          </cell>
          <cell r="AN86">
            <v>0.51800000000000002</v>
          </cell>
          <cell r="AO86">
            <v>6305.47</v>
          </cell>
          <cell r="AP86">
            <v>6958.08</v>
          </cell>
          <cell r="AQ86">
            <v>7612.71</v>
          </cell>
          <cell r="AR86">
            <v>6888.83</v>
          </cell>
          <cell r="AS86">
            <v>6131.7</v>
          </cell>
          <cell r="AT86">
            <v>5419.41</v>
          </cell>
          <cell r="AU86">
            <v>5456.59</v>
          </cell>
          <cell r="AV86">
            <v>6699.3</v>
          </cell>
          <cell r="AW86">
            <v>8377.9</v>
          </cell>
          <cell r="AX86">
            <v>8173.18</v>
          </cell>
          <cell r="AY86">
            <v>6371.67</v>
          </cell>
          <cell r="AZ86">
            <v>5012.97</v>
          </cell>
          <cell r="BA86">
            <v>4406.47</v>
          </cell>
          <cell r="BB86">
            <v>3386.76</v>
          </cell>
          <cell r="BC86">
            <v>2673.32</v>
          </cell>
          <cell r="BD86">
            <v>1622.07</v>
          </cell>
          <cell r="BE86">
            <v>755.25599999999997</v>
          </cell>
          <cell r="BF86">
            <v>301.00599999999997</v>
          </cell>
          <cell r="BG86">
            <v>93.081000000000003</v>
          </cell>
          <cell r="BH86">
            <v>16.952000000000002</v>
          </cell>
          <cell r="BI86">
            <v>0.97099999999999997</v>
          </cell>
          <cell r="BJ86">
            <v>9.0930910909242435</v>
          </cell>
          <cell r="BK86">
            <v>8.2486635791077827</v>
          </cell>
          <cell r="BL86">
            <v>7.4029264343457193</v>
          </cell>
          <cell r="BM86">
            <v>6.5838581786577448</v>
          </cell>
          <cell r="BN86">
            <v>6.6151107830414428</v>
          </cell>
          <cell r="BO86">
            <v>8.080054290238472</v>
          </cell>
          <cell r="BP86">
            <v>10.080244782303287</v>
          </cell>
          <cell r="BQ86">
            <v>9.8493207767313926</v>
          </cell>
          <cell r="BR86">
            <v>7.7284059385901198</v>
          </cell>
          <cell r="BS86">
            <v>6.1484766587691828</v>
          </cell>
          <cell r="BT86">
            <v>5.4986486969152182</v>
          </cell>
          <cell r="BU86">
            <v>4.3775671782172321</v>
          </cell>
          <cell r="BV86">
            <v>3.7292036241115332</v>
          </cell>
          <cell r="BW86">
            <v>2.6962127796363986</v>
          </cell>
          <cell r="BX86">
            <v>1.7239531865750717</v>
          </cell>
          <cell r="BY86">
            <v>1.0793828057099997</v>
          </cell>
          <cell r="BZ86">
            <v>0.65673568035431518</v>
          </cell>
          <cell r="CA86">
            <v>0.33036205398068885</v>
          </cell>
          <cell r="CB86">
            <v>6.7477051659066839E-2</v>
          </cell>
          <cell r="CC86">
            <v>9.6079435191027823E-3</v>
          </cell>
          <cell r="CD86">
            <v>6.1671805983831989E-4</v>
          </cell>
          <cell r="CE86">
            <v>6.8046818765061188</v>
          </cell>
          <cell r="CF86">
            <v>7.5089598192172344</v>
          </cell>
          <cell r="CG86">
            <v>8.2154176878324527</v>
          </cell>
          <cell r="CH86">
            <v>7.43422721087114</v>
          </cell>
          <cell r="CI86">
            <v>6.6171542901913041</v>
          </cell>
          <cell r="CJ86">
            <v>5.8484714078975912</v>
          </cell>
          <cell r="CK86">
            <v>5.8885949945879572</v>
          </cell>
          <cell r="CL86">
            <v>7.2296918858193671</v>
          </cell>
          <cell r="CM86">
            <v>9.0411887287039043</v>
          </cell>
          <cell r="CN86">
            <v>8.8202607925217755</v>
          </cell>
          <cell r="CO86">
            <v>6.8761230125712656</v>
          </cell>
          <cell r="CP86">
            <v>5.4098530492522965</v>
          </cell>
          <cell r="CQ86">
            <v>4.7553356924016636</v>
          </cell>
          <cell r="CR86">
            <v>3.6548939876132733</v>
          </cell>
          <cell r="CS86">
            <v>2.8849700583939559</v>
          </cell>
          <cell r="CT86">
            <v>1.7504912927068528</v>
          </cell>
          <cell r="CU86">
            <v>0.81505055377672164</v>
          </cell>
          <cell r="CV86">
            <v>0.32483701816353111</v>
          </cell>
          <cell r="CW86">
            <v>0.10045033815830795</v>
          </cell>
          <cell r="CX86">
            <v>1.8294110854628082E-2</v>
          </cell>
          <cell r="CY86">
            <v>1.0478752737048055E-3</v>
          </cell>
          <cell r="CZ86">
            <v>99.999920231447859</v>
          </cell>
          <cell r="DA86">
            <v>99.998947808041351</v>
          </cell>
        </row>
        <row r="87">
          <cell r="B87" t="str">
            <v>IRQ</v>
          </cell>
          <cell r="C87" t="str">
            <v>Middle East &amp; North Africa</v>
          </cell>
          <cell r="D87" t="str">
            <v>Upper middle income</v>
          </cell>
          <cell r="E87" t="str">
            <v>IBRD</v>
          </cell>
          <cell r="G87">
            <v>0</v>
          </cell>
          <cell r="H87">
            <v>368</v>
          </cell>
          <cell r="I87">
            <v>40222.5</v>
          </cell>
          <cell r="J87">
            <v>41179.4</v>
          </cell>
          <cell r="K87">
            <v>42165</v>
          </cell>
          <cell r="L87">
            <v>43170.8</v>
          </cell>
          <cell r="M87">
            <v>44181.8</v>
          </cell>
          <cell r="N87">
            <v>45187.3</v>
          </cell>
          <cell r="O87">
            <v>46185.9</v>
          </cell>
          <cell r="P87">
            <v>47183</v>
          </cell>
          <cell r="Q87">
            <v>48180.9</v>
          </cell>
          <cell r="R87">
            <v>49183.5</v>
          </cell>
          <cell r="S87">
            <v>50193.8</v>
          </cell>
          <cell r="T87">
            <v>5380.42</v>
          </cell>
          <cell r="U87">
            <v>5229.8100000000004</v>
          </cell>
          <cell r="V87">
            <v>4559.18</v>
          </cell>
          <cell r="W87">
            <v>4151.58</v>
          </cell>
          <cell r="X87">
            <v>3799.87</v>
          </cell>
          <cell r="Y87">
            <v>3365.72</v>
          </cell>
          <cell r="Z87">
            <v>2927.36</v>
          </cell>
          <cell r="AA87">
            <v>2476.3200000000002</v>
          </cell>
          <cell r="AB87">
            <v>2150.02</v>
          </cell>
          <cell r="AC87">
            <v>1786.6</v>
          </cell>
          <cell r="AD87">
            <v>1414.99</v>
          </cell>
          <cell r="AE87">
            <v>926.15700000000004</v>
          </cell>
          <cell r="AF87">
            <v>669.71600000000001</v>
          </cell>
          <cell r="AG87">
            <v>622.67700000000002</v>
          </cell>
          <cell r="AH87">
            <v>331.94499999999999</v>
          </cell>
          <cell r="AI87">
            <v>241.773</v>
          </cell>
          <cell r="AJ87">
            <v>126.60599999999999</v>
          </cell>
          <cell r="AK87">
            <v>48.393000000000001</v>
          </cell>
          <cell r="AL87">
            <v>11.523999999999999</v>
          </cell>
          <cell r="AM87">
            <v>1.67</v>
          </cell>
          <cell r="AN87">
            <v>0.16700000000000001</v>
          </cell>
          <cell r="AO87">
            <v>6055.81</v>
          </cell>
          <cell r="AP87">
            <v>5708.21</v>
          </cell>
          <cell r="AQ87">
            <v>5336.81</v>
          </cell>
          <cell r="AR87">
            <v>5184.3</v>
          </cell>
          <cell r="AS87">
            <v>4514.4399999999996</v>
          </cell>
          <cell r="AT87">
            <v>4118.01</v>
          </cell>
          <cell r="AU87">
            <v>3773.31</v>
          </cell>
          <cell r="AV87">
            <v>3331.76</v>
          </cell>
          <cell r="AW87">
            <v>2878.65</v>
          </cell>
          <cell r="AX87">
            <v>2409.4299999999998</v>
          </cell>
          <cell r="AY87">
            <v>2056.25</v>
          </cell>
          <cell r="AZ87">
            <v>1663.39</v>
          </cell>
          <cell r="BA87">
            <v>1264.03</v>
          </cell>
          <cell r="BB87">
            <v>774.49099999999999</v>
          </cell>
          <cell r="BC87">
            <v>501.375</v>
          </cell>
          <cell r="BD87">
            <v>387.07900000000001</v>
          </cell>
          <cell r="BE87">
            <v>150.37299999999999</v>
          </cell>
          <cell r="BF87">
            <v>66.622</v>
          </cell>
          <cell r="BG87">
            <v>16.831</v>
          </cell>
          <cell r="BH87">
            <v>2.4009999999999998</v>
          </cell>
          <cell r="BI87">
            <v>0.20300000000000001</v>
          </cell>
          <cell r="BJ87">
            <v>13.376642426502579</v>
          </cell>
          <cell r="BK87">
            <v>13.002200261047921</v>
          </cell>
          <cell r="BL87">
            <v>11.334899620858971</v>
          </cell>
          <cell r="BM87">
            <v>10.321536453477531</v>
          </cell>
          <cell r="BN87">
            <v>9.4471253651563192</v>
          </cell>
          <cell r="BO87">
            <v>8.3677543663372482</v>
          </cell>
          <cell r="BP87">
            <v>7.2779165889738335</v>
          </cell>
          <cell r="BQ87">
            <v>6.1565541674435948</v>
          </cell>
          <cell r="BR87">
            <v>5.3453166759898068</v>
          </cell>
          <cell r="BS87">
            <v>4.4417925290571194</v>
          </cell>
          <cell r="BT87">
            <v>3.5179066442911306</v>
          </cell>
          <cell r="BU87">
            <v>2.3025843744173038</v>
          </cell>
          <cell r="BV87">
            <v>1.6650282801914353</v>
          </cell>
          <cell r="BW87">
            <v>1.5480812977810927</v>
          </cell>
          <cell r="BX87">
            <v>0.82527192491764556</v>
          </cell>
          <cell r="BY87">
            <v>0.60108894275592017</v>
          </cell>
          <cell r="BZ87">
            <v>0.31476412455715086</v>
          </cell>
          <cell r="CA87">
            <v>0.12031325750512772</v>
          </cell>
          <cell r="CB87">
            <v>2.8650630865808935E-2</v>
          </cell>
          <cell r="CC87">
            <v>4.1519050282801916E-3</v>
          </cell>
          <cell r="CD87">
            <v>4.151905028280192E-4</v>
          </cell>
          <cell r="CE87">
            <v>12.064856615757325</v>
          </cell>
          <cell r="CF87">
            <v>11.372340807031945</v>
          </cell>
          <cell r="CG87">
            <v>10.632408783554942</v>
          </cell>
          <cell r="CH87">
            <v>10.328566476337715</v>
          </cell>
          <cell r="CI87">
            <v>8.9940191816519164</v>
          </cell>
          <cell r="CJ87">
            <v>8.2042204415684807</v>
          </cell>
          <cell r="CK87">
            <v>7.5174822388422466</v>
          </cell>
          <cell r="CL87">
            <v>6.637791918523801</v>
          </cell>
          <cell r="CM87">
            <v>5.7350708653259961</v>
          </cell>
          <cell r="CN87">
            <v>4.800254214663962</v>
          </cell>
          <cell r="CO87">
            <v>4.0966214950850501</v>
          </cell>
          <cell r="CP87">
            <v>3.3139351872143572</v>
          </cell>
          <cell r="CQ87">
            <v>2.5182990727938508</v>
          </cell>
          <cell r="CR87">
            <v>1.5430013268571017</v>
          </cell>
          <cell r="CS87">
            <v>0.99887834752499305</v>
          </cell>
          <cell r="CT87">
            <v>0.77116894915308265</v>
          </cell>
          <cell r="CU87">
            <v>0.29958480927923364</v>
          </cell>
          <cell r="CV87">
            <v>0.13272954030179024</v>
          </cell>
          <cell r="CW87">
            <v>3.3532029852292512E-2</v>
          </cell>
          <cell r="CX87">
            <v>4.7834593117078196E-3</v>
          </cell>
          <cell r="CY87">
            <v>4.044324199403114E-4</v>
          </cell>
          <cell r="CZ87">
            <v>99.999995027658684</v>
          </cell>
          <cell r="DA87">
            <v>99.999545760631804</v>
          </cell>
        </row>
        <row r="88">
          <cell r="B88" t="str">
            <v>ISL</v>
          </cell>
          <cell r="C88" t="str">
            <v>Europe &amp; Central Asia</v>
          </cell>
          <cell r="D88" t="str">
            <v>High income</v>
          </cell>
          <cell r="G88">
            <v>0</v>
          </cell>
          <cell r="H88">
            <v>352</v>
          </cell>
          <cell r="I88">
            <v>341.25</v>
          </cell>
          <cell r="J88">
            <v>343.36</v>
          </cell>
          <cell r="K88">
            <v>345.4</v>
          </cell>
          <cell r="L88">
            <v>347.38</v>
          </cell>
          <cell r="M88">
            <v>349.31400000000002</v>
          </cell>
          <cell r="N88">
            <v>351.18</v>
          </cell>
          <cell r="O88">
            <v>353.00799999999998</v>
          </cell>
          <cell r="P88">
            <v>354.77800000000002</v>
          </cell>
          <cell r="Q88">
            <v>356.48200000000003</v>
          </cell>
          <cell r="R88">
            <v>358.12900000000002</v>
          </cell>
          <cell r="S88">
            <v>359.709</v>
          </cell>
          <cell r="T88">
            <v>20.439</v>
          </cell>
          <cell r="U88">
            <v>22.631</v>
          </cell>
          <cell r="V88">
            <v>23.213000000000001</v>
          </cell>
          <cell r="W88">
            <v>21.495000000000001</v>
          </cell>
          <cell r="X88">
            <v>22.239000000000001</v>
          </cell>
          <cell r="Y88">
            <v>25.559000000000001</v>
          </cell>
          <cell r="Z88">
            <v>23.306000000000001</v>
          </cell>
          <cell r="AA88">
            <v>23.565000000000001</v>
          </cell>
          <cell r="AB88">
            <v>21.815999999999999</v>
          </cell>
          <cell r="AC88">
            <v>21.15</v>
          </cell>
          <cell r="AD88">
            <v>20.725999999999999</v>
          </cell>
          <cell r="AE88">
            <v>21.385000000000002</v>
          </cell>
          <cell r="AF88">
            <v>20.411000000000001</v>
          </cell>
          <cell r="AG88">
            <v>17.125</v>
          </cell>
          <cell r="AH88">
            <v>13.941000000000001</v>
          </cell>
          <cell r="AI88">
            <v>9.4740000000000002</v>
          </cell>
          <cell r="AJ88">
            <v>6.149</v>
          </cell>
          <cell r="AK88">
            <v>4.2720000000000002</v>
          </cell>
          <cell r="AL88">
            <v>1.835</v>
          </cell>
          <cell r="AM88">
            <v>0.46800000000000003</v>
          </cell>
          <cell r="AN88">
            <v>5.0999999999999997E-2</v>
          </cell>
          <cell r="AO88">
            <v>19.577000000000002</v>
          </cell>
          <cell r="AP88">
            <v>20.088000000000001</v>
          </cell>
          <cell r="AQ88">
            <v>20.513999999999999</v>
          </cell>
          <cell r="AR88">
            <v>22.86</v>
          </cell>
          <cell r="AS88">
            <v>23.759</v>
          </cell>
          <cell r="AT88">
            <v>22.161999999999999</v>
          </cell>
          <cell r="AU88">
            <v>22.771999999999998</v>
          </cell>
          <cell r="AV88">
            <v>25.887</v>
          </cell>
          <cell r="AW88">
            <v>23.471</v>
          </cell>
          <cell r="AX88">
            <v>23.574999999999999</v>
          </cell>
          <cell r="AY88">
            <v>21.698</v>
          </cell>
          <cell r="AZ88">
            <v>20.861000000000001</v>
          </cell>
          <cell r="BA88">
            <v>20.158999999999999</v>
          </cell>
          <cell r="BB88">
            <v>20.300999999999998</v>
          </cell>
          <cell r="BC88">
            <v>18.638000000000002</v>
          </cell>
          <cell r="BD88">
            <v>14.624000000000001</v>
          </cell>
          <cell r="BE88">
            <v>10.423</v>
          </cell>
          <cell r="BF88">
            <v>5.44</v>
          </cell>
          <cell r="BG88">
            <v>2.1560000000000001</v>
          </cell>
          <cell r="BH88">
            <v>0.65800000000000003</v>
          </cell>
          <cell r="BI88">
            <v>8.5999999999999993E-2</v>
          </cell>
          <cell r="BJ88">
            <v>5.9894505494505497</v>
          </cell>
          <cell r="BK88">
            <v>6.631794871794872</v>
          </cell>
          <cell r="BL88">
            <v>6.8023443223443225</v>
          </cell>
          <cell r="BM88">
            <v>6.2989010989010996</v>
          </cell>
          <cell r="BN88">
            <v>6.516923076923077</v>
          </cell>
          <cell r="BO88">
            <v>7.4898168498168509</v>
          </cell>
          <cell r="BP88">
            <v>6.8295970695970691</v>
          </cell>
          <cell r="BQ88">
            <v>6.9054945054945058</v>
          </cell>
          <cell r="BR88">
            <v>6.3929670329670323</v>
          </cell>
          <cell r="BS88">
            <v>6.197802197802198</v>
          </cell>
          <cell r="BT88">
            <v>6.0735531135531131</v>
          </cell>
          <cell r="BU88">
            <v>6.2666666666666675</v>
          </cell>
          <cell r="BV88">
            <v>5.9812454212454211</v>
          </cell>
          <cell r="BW88">
            <v>5.0183150183150182</v>
          </cell>
          <cell r="BX88">
            <v>4.0852747252747257</v>
          </cell>
          <cell r="BY88">
            <v>2.7762637362637363</v>
          </cell>
          <cell r="BZ88">
            <v>1.8019047619047619</v>
          </cell>
          <cell r="CA88">
            <v>1.251868131868132</v>
          </cell>
          <cell r="CB88">
            <v>0.53772893772893771</v>
          </cell>
          <cell r="CC88">
            <v>0.13714285714285715</v>
          </cell>
          <cell r="CD88">
            <v>1.4945054945054943E-2</v>
          </cell>
          <cell r="CE88">
            <v>5.4424548732447615</v>
          </cell>
          <cell r="CF88">
            <v>5.5845141489370578</v>
          </cell>
          <cell r="CG88">
            <v>5.7029432124300472</v>
          </cell>
          <cell r="CH88">
            <v>6.3551370691308815</v>
          </cell>
          <cell r="CI88">
            <v>6.6050613134505944</v>
          </cell>
          <cell r="CJ88">
            <v>6.161091326600113</v>
          </cell>
          <cell r="CK88">
            <v>6.3306728494421876</v>
          </cell>
          <cell r="CL88">
            <v>7.1966506259226213</v>
          </cell>
          <cell r="CM88">
            <v>6.5249965944694175</v>
          </cell>
          <cell r="CN88">
            <v>6.5539088541015094</v>
          </cell>
          <cell r="CO88">
            <v>6.0320981682415509</v>
          </cell>
          <cell r="CP88">
            <v>5.7994100787025067</v>
          </cell>
          <cell r="CQ88">
            <v>5.6042523261858888</v>
          </cell>
          <cell r="CR88">
            <v>5.6437286806835516</v>
          </cell>
          <cell r="CS88">
            <v>5.1814105290665511</v>
          </cell>
          <cell r="CT88">
            <v>4.0655085082664044</v>
          </cell>
          <cell r="CU88">
            <v>2.8976200206277851</v>
          </cell>
          <cell r="CV88">
            <v>1.5123335807555554</v>
          </cell>
          <cell r="CW88">
            <v>0.59937338237297377</v>
          </cell>
          <cell r="CX88">
            <v>0.18292564267227121</v>
          </cell>
          <cell r="CY88">
            <v>2.3908214695767968E-2</v>
          </cell>
          <cell r="CZ88">
            <v>100.00000000000004</v>
          </cell>
          <cell r="DA88">
            <v>99.97609178530422</v>
          </cell>
        </row>
        <row r="89">
          <cell r="B89" t="str">
            <v>ISR</v>
          </cell>
          <cell r="C89" t="str">
            <v>Middle East &amp; North Africa</v>
          </cell>
          <cell r="D89" t="str">
            <v>High income</v>
          </cell>
          <cell r="G89">
            <v>0</v>
          </cell>
          <cell r="H89">
            <v>376</v>
          </cell>
          <cell r="I89">
            <v>8655.5400000000009</v>
          </cell>
          <cell r="J89">
            <v>8789.7800000000007</v>
          </cell>
          <cell r="K89">
            <v>8922.89</v>
          </cell>
          <cell r="L89">
            <v>9055.15</v>
          </cell>
          <cell r="M89">
            <v>9187.0400000000009</v>
          </cell>
          <cell r="N89">
            <v>9318.9599999999991</v>
          </cell>
          <cell r="O89">
            <v>9450.93</v>
          </cell>
          <cell r="P89">
            <v>9582.85</v>
          </cell>
          <cell r="Q89">
            <v>9714.85</v>
          </cell>
          <cell r="R89">
            <v>9847.1</v>
          </cell>
          <cell r="S89">
            <v>9979.7000000000007</v>
          </cell>
          <cell r="T89">
            <v>847.82799999999997</v>
          </cell>
          <cell r="U89">
            <v>823.26800000000003</v>
          </cell>
          <cell r="V89">
            <v>737.60900000000004</v>
          </cell>
          <cell r="W89">
            <v>667.45399999999995</v>
          </cell>
          <cell r="X89">
            <v>623.97299999999996</v>
          </cell>
          <cell r="Y89">
            <v>573.00199999999995</v>
          </cell>
          <cell r="Z89">
            <v>564.70799999999997</v>
          </cell>
          <cell r="AA89">
            <v>557.53700000000003</v>
          </cell>
          <cell r="AB89">
            <v>543.67200000000003</v>
          </cell>
          <cell r="AC89">
            <v>496.505</v>
          </cell>
          <cell r="AD89">
            <v>417.52100000000002</v>
          </cell>
          <cell r="AE89">
            <v>377.97500000000002</v>
          </cell>
          <cell r="AF89">
            <v>349.95699999999999</v>
          </cell>
          <cell r="AG89">
            <v>353.68599999999998</v>
          </cell>
          <cell r="AH89">
            <v>288.69900000000001</v>
          </cell>
          <cell r="AI89">
            <v>170.96100000000001</v>
          </cell>
          <cell r="AJ89">
            <v>124.414</v>
          </cell>
          <cell r="AK89">
            <v>83.85</v>
          </cell>
          <cell r="AL89">
            <v>40.125999999999998</v>
          </cell>
          <cell r="AM89">
            <v>11.548</v>
          </cell>
          <cell r="AN89">
            <v>1.248</v>
          </cell>
          <cell r="AO89">
            <v>868.68799999999999</v>
          </cell>
          <cell r="AP89">
            <v>853.08100000000002</v>
          </cell>
          <cell r="AQ89">
            <v>850.56</v>
          </cell>
          <cell r="AR89">
            <v>826.99199999999996</v>
          </cell>
          <cell r="AS89">
            <v>747.19200000000001</v>
          </cell>
          <cell r="AT89">
            <v>682.779</v>
          </cell>
          <cell r="AU89">
            <v>639.55899999999997</v>
          </cell>
          <cell r="AV89">
            <v>584.62699999999995</v>
          </cell>
          <cell r="AW89">
            <v>571.34</v>
          </cell>
          <cell r="AX89">
            <v>559.38400000000001</v>
          </cell>
          <cell r="AY89">
            <v>540.70600000000002</v>
          </cell>
          <cell r="AZ89">
            <v>488.63</v>
          </cell>
          <cell r="BA89">
            <v>404.90800000000002</v>
          </cell>
          <cell r="BB89">
            <v>358.32900000000001</v>
          </cell>
          <cell r="BC89">
            <v>319.45400000000001</v>
          </cell>
          <cell r="BD89">
            <v>301.12</v>
          </cell>
          <cell r="BE89">
            <v>215.458</v>
          </cell>
          <cell r="BF89">
            <v>99.52</v>
          </cell>
          <cell r="BG89">
            <v>47.713000000000001</v>
          </cell>
          <cell r="BH89">
            <v>16.629000000000001</v>
          </cell>
          <cell r="BI89">
            <v>3.0259999999999998</v>
          </cell>
          <cell r="BJ89">
            <v>9.7952063071743627</v>
          </cell>
          <cell r="BK89">
            <v>9.5114574018489879</v>
          </cell>
          <cell r="BL89">
            <v>8.521813774761597</v>
          </cell>
          <cell r="BM89">
            <v>7.7112924208079443</v>
          </cell>
          <cell r="BN89">
            <v>7.2089436360989589</v>
          </cell>
          <cell r="BO89">
            <v>6.6200606779010895</v>
          </cell>
          <cell r="BP89">
            <v>6.5242376558828212</v>
          </cell>
          <cell r="BQ89">
            <v>6.4413889832407909</v>
          </cell>
          <cell r="BR89">
            <v>6.2812025592857283</v>
          </cell>
          <cell r="BS89">
            <v>5.7362683321895567</v>
          </cell>
          <cell r="BT89">
            <v>4.8237429438255726</v>
          </cell>
          <cell r="BU89">
            <v>4.3668563717572786</v>
          </cell>
          <cell r="BV89">
            <v>4.0431561751202114</v>
          </cell>
          <cell r="BW89">
            <v>4.0862384091576027</v>
          </cell>
          <cell r="BX89">
            <v>3.3354244795818633</v>
          </cell>
          <cell r="BY89">
            <v>1.9751627281486768</v>
          </cell>
          <cell r="BZ89">
            <v>1.437391543450784</v>
          </cell>
          <cell r="CA89">
            <v>0.96874371789628355</v>
          </cell>
          <cell r="CB89">
            <v>0.46358748269894184</v>
          </cell>
          <cell r="CC89">
            <v>0.13341744131504216</v>
          </cell>
          <cell r="CD89">
            <v>1.4418511150084221E-2</v>
          </cell>
          <cell r="CE89">
            <v>8.7045502369810706</v>
          </cell>
          <cell r="CF89">
            <v>8.5481627704239607</v>
          </cell>
          <cell r="CG89">
            <v>8.5229014900247488</v>
          </cell>
          <cell r="CH89">
            <v>8.2867420864354635</v>
          </cell>
          <cell r="CI89">
            <v>7.4871188512680735</v>
          </cell>
          <cell r="CJ89">
            <v>6.8416786075733729</v>
          </cell>
          <cell r="CK89">
            <v>6.4085994568975018</v>
          </cell>
          <cell r="CL89">
            <v>5.8581620690000689</v>
          </cell>
          <cell r="CM89">
            <v>5.7250217942423118</v>
          </cell>
          <cell r="CN89">
            <v>5.6052185937453025</v>
          </cell>
          <cell r="CO89">
            <v>5.4180586590779285</v>
          </cell>
          <cell r="CP89">
            <v>4.8962393659128018</v>
          </cell>
          <cell r="CQ89">
            <v>4.0573163521949551</v>
          </cell>
          <cell r="CR89">
            <v>3.5905788751164862</v>
          </cell>
          <cell r="CS89">
            <v>3.2010381073579364</v>
          </cell>
          <cell r="CT89">
            <v>3.0173251700952934</v>
          </cell>
          <cell r="CU89">
            <v>2.1589626942693667</v>
          </cell>
          <cell r="CV89">
            <v>0.99722436546188753</v>
          </cell>
          <cell r="CW89">
            <v>0.47810054410453212</v>
          </cell>
          <cell r="CX89">
            <v>0.1666282553583775</v>
          </cell>
          <cell r="CY89">
            <v>3.0321552752086735E-2</v>
          </cell>
          <cell r="CZ89">
            <v>100.00001155329419</v>
          </cell>
          <cell r="DA89">
            <v>99.969628345541437</v>
          </cell>
        </row>
        <row r="90">
          <cell r="B90" t="str">
            <v>ITA</v>
          </cell>
          <cell r="C90" t="str">
            <v>Europe &amp; Central Asia</v>
          </cell>
          <cell r="D90" t="str">
            <v>High income</v>
          </cell>
          <cell r="F90" t="str">
            <v>EMU</v>
          </cell>
          <cell r="G90">
            <v>0</v>
          </cell>
          <cell r="H90">
            <v>380</v>
          </cell>
          <cell r="I90">
            <v>60461.8</v>
          </cell>
          <cell r="J90">
            <v>60367.5</v>
          </cell>
          <cell r="K90">
            <v>60262.8</v>
          </cell>
          <cell r="L90">
            <v>60147.5</v>
          </cell>
          <cell r="M90">
            <v>60019.199999999997</v>
          </cell>
          <cell r="N90">
            <v>59876.6</v>
          </cell>
          <cell r="O90">
            <v>59721</v>
          </cell>
          <cell r="P90">
            <v>59555.9</v>
          </cell>
          <cell r="Q90">
            <v>59384.1</v>
          </cell>
          <cell r="R90">
            <v>59208.5</v>
          </cell>
          <cell r="S90">
            <v>59031.5</v>
          </cell>
          <cell r="T90">
            <v>2324.69</v>
          </cell>
          <cell r="U90">
            <v>2670.3</v>
          </cell>
          <cell r="V90">
            <v>2857.36</v>
          </cell>
          <cell r="W90">
            <v>2876.09</v>
          </cell>
          <cell r="X90">
            <v>2942.51</v>
          </cell>
          <cell r="Y90">
            <v>3160.93</v>
          </cell>
          <cell r="Z90">
            <v>3365.51</v>
          </cell>
          <cell r="AA90">
            <v>3632.92</v>
          </cell>
          <cell r="AB90">
            <v>4188.9799999999996</v>
          </cell>
          <cell r="AC90">
            <v>4833.0200000000004</v>
          </cell>
          <cell r="AD90">
            <v>4908.25</v>
          </cell>
          <cell r="AE90">
            <v>4658.95</v>
          </cell>
          <cell r="AF90">
            <v>3953.57</v>
          </cell>
          <cell r="AG90">
            <v>3531.29</v>
          </cell>
          <cell r="AH90">
            <v>3391.8</v>
          </cell>
          <cell r="AI90">
            <v>2637.11</v>
          </cell>
          <cell r="AJ90">
            <v>2302.39</v>
          </cell>
          <cell r="AK90">
            <v>1397.26</v>
          </cell>
          <cell r="AL90">
            <v>639.73900000000003</v>
          </cell>
          <cell r="AM90">
            <v>172.63900000000001</v>
          </cell>
          <cell r="AN90">
            <v>16.516999999999999</v>
          </cell>
          <cell r="AO90">
            <v>2086.94</v>
          </cell>
          <cell r="AP90">
            <v>2149.91</v>
          </cell>
          <cell r="AQ90">
            <v>2360.06</v>
          </cell>
          <cell r="AR90">
            <v>2712.53</v>
          </cell>
          <cell r="AS90">
            <v>2962.48</v>
          </cell>
          <cell r="AT90">
            <v>3047.49</v>
          </cell>
          <cell r="AU90">
            <v>3120.86</v>
          </cell>
          <cell r="AV90">
            <v>3298.57</v>
          </cell>
          <cell r="AW90">
            <v>3453.3</v>
          </cell>
          <cell r="AX90">
            <v>3673.72</v>
          </cell>
          <cell r="AY90">
            <v>4179.12</v>
          </cell>
          <cell r="AZ90">
            <v>4760.1899999999996</v>
          </cell>
          <cell r="BA90">
            <v>4764.1099999999997</v>
          </cell>
          <cell r="BB90">
            <v>4428.2</v>
          </cell>
          <cell r="BC90">
            <v>3643.77</v>
          </cell>
          <cell r="BD90">
            <v>3080</v>
          </cell>
          <cell r="BE90">
            <v>2618.13</v>
          </cell>
          <cell r="BF90">
            <v>1567.35</v>
          </cell>
          <cell r="BG90">
            <v>850.97500000000002</v>
          </cell>
          <cell r="BH90">
            <v>238.63300000000001</v>
          </cell>
          <cell r="BI90">
            <v>35.124000000000002</v>
          </cell>
          <cell r="BJ90">
            <v>3.8448904928401069</v>
          </cell>
          <cell r="BK90">
            <v>4.4165076130713938</v>
          </cell>
          <cell r="BL90">
            <v>4.7258930432107551</v>
          </cell>
          <cell r="BM90">
            <v>4.7568712807094728</v>
          </cell>
          <cell r="BN90">
            <v>4.8667257673440094</v>
          </cell>
          <cell r="BO90">
            <v>5.2279786575986815</v>
          </cell>
          <cell r="BP90">
            <v>5.5663410616289957</v>
          </cell>
          <cell r="BQ90">
            <v>6.0086203189451846</v>
          </cell>
          <cell r="BR90">
            <v>6.9283084526097465</v>
          </cell>
          <cell r="BS90">
            <v>7.9935099517381234</v>
          </cell>
          <cell r="BT90">
            <v>8.1179356221614309</v>
          </cell>
          <cell r="BU90">
            <v>7.7056091614870867</v>
          </cell>
          <cell r="BV90">
            <v>6.5389551750030597</v>
          </cell>
          <cell r="BW90">
            <v>5.8405307152615364</v>
          </cell>
          <cell r="BX90">
            <v>5.6098230618340832</v>
          </cell>
          <cell r="BY90">
            <v>4.3616134484914442</v>
          </cell>
          <cell r="BZ90">
            <v>3.8080077007300477</v>
          </cell>
          <cell r="CA90">
            <v>2.3109798252781091</v>
          </cell>
          <cell r="CB90">
            <v>1.058087916668045</v>
          </cell>
          <cell r="CC90">
            <v>0.28553400659590022</v>
          </cell>
          <cell r="CD90">
            <v>2.7318075214432913E-2</v>
          </cell>
          <cell r="CE90">
            <v>3.5352989505602941</v>
          </cell>
          <cell r="CF90">
            <v>3.6419708121934895</v>
          </cell>
          <cell r="CG90">
            <v>3.9979671870103246</v>
          </cell>
          <cell r="CH90">
            <v>4.595055182402616</v>
          </cell>
          <cell r="CI90">
            <v>5.0184731880436715</v>
          </cell>
          <cell r="CJ90">
            <v>5.1624810482538983</v>
          </cell>
          <cell r="CK90">
            <v>5.2867706224642781</v>
          </cell>
          <cell r="CL90">
            <v>5.5878132861268988</v>
          </cell>
          <cell r="CM90">
            <v>5.8499275810372433</v>
          </cell>
          <cell r="CN90">
            <v>6.2233214470240457</v>
          </cell>
          <cell r="CO90">
            <v>7.0794745178421685</v>
          </cell>
          <cell r="CP90">
            <v>8.0638133877675475</v>
          </cell>
          <cell r="CQ90">
            <v>8.0704539102004862</v>
          </cell>
          <cell r="CR90">
            <v>7.5014187340657106</v>
          </cell>
          <cell r="CS90">
            <v>6.1725858228234083</v>
          </cell>
          <cell r="CT90">
            <v>5.2175533401658436</v>
          </cell>
          <cell r="CU90">
            <v>4.4351405605481817</v>
          </cell>
          <cell r="CV90">
            <v>2.6551078661392644</v>
          </cell>
          <cell r="CW90">
            <v>1.4415608615739055</v>
          </cell>
          <cell r="CX90">
            <v>0.40424688513759605</v>
          </cell>
          <cell r="CY90">
            <v>5.9500436207787374E-2</v>
          </cell>
          <cell r="CZ90">
            <v>100.00004134842163</v>
          </cell>
          <cell r="DA90">
            <v>99.940435191380871</v>
          </cell>
        </row>
        <row r="91">
          <cell r="B91" t="str">
            <v>JAM</v>
          </cell>
          <cell r="C91" t="str">
            <v>Latin America &amp; Caribbean</v>
          </cell>
          <cell r="D91" t="str">
            <v>Upper middle income</v>
          </cell>
          <cell r="E91" t="str">
            <v>IBRD</v>
          </cell>
          <cell r="G91">
            <v>0</v>
          </cell>
          <cell r="H91">
            <v>388</v>
          </cell>
          <cell r="I91">
            <v>2961.16</v>
          </cell>
          <cell r="J91">
            <v>2973.46</v>
          </cell>
          <cell r="K91">
            <v>2985.09</v>
          </cell>
          <cell r="L91">
            <v>2996</v>
          </cell>
          <cell r="M91">
            <v>3006.09</v>
          </cell>
          <cell r="N91">
            <v>3015.32</v>
          </cell>
          <cell r="O91">
            <v>3023.67</v>
          </cell>
          <cell r="P91">
            <v>3031.1</v>
          </cell>
          <cell r="Q91">
            <v>3037.62</v>
          </cell>
          <cell r="R91">
            <v>3043.25</v>
          </cell>
          <cell r="S91">
            <v>3047.97</v>
          </cell>
          <cell r="T91">
            <v>230.82300000000001</v>
          </cell>
          <cell r="U91">
            <v>233.96600000000001</v>
          </cell>
          <cell r="V91">
            <v>226.88200000000001</v>
          </cell>
          <cell r="W91">
            <v>239.71799999999999</v>
          </cell>
          <cell r="X91">
            <v>261.17</v>
          </cell>
          <cell r="Y91">
            <v>254.32599999999999</v>
          </cell>
          <cell r="Z91">
            <v>232.494</v>
          </cell>
          <cell r="AA91">
            <v>210.88900000000001</v>
          </cell>
          <cell r="AB91">
            <v>178.572</v>
          </cell>
          <cell r="AC91">
            <v>178.858</v>
          </cell>
          <cell r="AD91">
            <v>171.26499999999999</v>
          </cell>
          <cell r="AE91">
            <v>149.268</v>
          </cell>
          <cell r="AF91">
            <v>124.125</v>
          </cell>
          <cell r="AG91">
            <v>90.415999999999997</v>
          </cell>
          <cell r="AH91">
            <v>70.718999999999994</v>
          </cell>
          <cell r="AI91">
            <v>48.802</v>
          </cell>
          <cell r="AJ91">
            <v>32.091999999999999</v>
          </cell>
          <cell r="AK91">
            <v>17.745000000000001</v>
          </cell>
          <cell r="AL91">
            <v>7.3259999999999996</v>
          </cell>
          <cell r="AM91">
            <v>1.4910000000000001</v>
          </cell>
          <cell r="AN91">
            <v>0.214</v>
          </cell>
          <cell r="AO91">
            <v>204.422</v>
          </cell>
          <cell r="AP91">
            <v>217.512</v>
          </cell>
          <cell r="AQ91">
            <v>227.20400000000001</v>
          </cell>
          <cell r="AR91">
            <v>225.655</v>
          </cell>
          <cell r="AS91">
            <v>208.155</v>
          </cell>
          <cell r="AT91">
            <v>216.05</v>
          </cell>
          <cell r="AU91">
            <v>240.19900000000001</v>
          </cell>
          <cell r="AV91">
            <v>237.97</v>
          </cell>
          <cell r="AW91">
            <v>219.578</v>
          </cell>
          <cell r="AX91">
            <v>199.626</v>
          </cell>
          <cell r="AY91">
            <v>167.733</v>
          </cell>
          <cell r="AZ91">
            <v>165.40799999999999</v>
          </cell>
          <cell r="BA91">
            <v>153.95099999999999</v>
          </cell>
          <cell r="BB91">
            <v>128.75299999999999</v>
          </cell>
          <cell r="BC91">
            <v>100.64100000000001</v>
          </cell>
          <cell r="BD91">
            <v>65.025000000000006</v>
          </cell>
          <cell r="BE91">
            <v>40.904000000000003</v>
          </cell>
          <cell r="BF91">
            <v>19.623000000000001</v>
          </cell>
          <cell r="BG91">
            <v>7.3769999999999998</v>
          </cell>
          <cell r="BH91">
            <v>1.8640000000000001</v>
          </cell>
          <cell r="BI91">
            <v>0.31900000000000001</v>
          </cell>
          <cell r="BJ91">
            <v>7.7950195193775409</v>
          </cell>
          <cell r="BK91">
            <v>7.9011603560766739</v>
          </cell>
          <cell r="BL91">
            <v>7.6619297842737311</v>
          </cell>
          <cell r="BM91">
            <v>8.095408556106392</v>
          </cell>
          <cell r="BN91">
            <v>8.8198543813910781</v>
          </cell>
          <cell r="BO91">
            <v>8.5887287414391658</v>
          </cell>
          <cell r="BP91">
            <v>7.8514501073903471</v>
          </cell>
          <cell r="BQ91">
            <v>7.1218373880506292</v>
          </cell>
          <cell r="BR91">
            <v>6.0304745437598779</v>
          </cell>
          <cell r="BS91">
            <v>6.0401329208823569</v>
          </cell>
          <cell r="BT91">
            <v>5.7837131394453527</v>
          </cell>
          <cell r="BU91">
            <v>5.0408623647489499</v>
          </cell>
          <cell r="BV91">
            <v>4.1917694417052775</v>
          </cell>
          <cell r="BW91">
            <v>3.0533979926785451</v>
          </cell>
          <cell r="BX91">
            <v>2.3882194815545259</v>
          </cell>
          <cell r="BY91">
            <v>1.6480703508084671</v>
          </cell>
          <cell r="BZ91">
            <v>1.083764470680409</v>
          </cell>
          <cell r="CA91">
            <v>0.59925839873563069</v>
          </cell>
          <cell r="CB91">
            <v>0.24740304475273203</v>
          </cell>
          <cell r="CC91">
            <v>5.0351889124532284E-2</v>
          </cell>
          <cell r="CD91">
            <v>7.2268975671696233E-3</v>
          </cell>
          <cell r="CE91">
            <v>6.7068245422363084</v>
          </cell>
          <cell r="CF91">
            <v>7.1362907115227507</v>
          </cell>
          <cell r="CG91">
            <v>7.4542728438928219</v>
          </cell>
          <cell r="CH91">
            <v>7.403452133715227</v>
          </cell>
          <cell r="CI91">
            <v>6.8292995009793414</v>
          </cell>
          <cell r="CJ91">
            <v>7.0883243601479036</v>
          </cell>
          <cell r="CK91">
            <v>7.8806221846015561</v>
          </cell>
          <cell r="CL91">
            <v>7.8074915435519383</v>
          </cell>
          <cell r="CM91">
            <v>7.2040735309074568</v>
          </cell>
          <cell r="CN91">
            <v>6.5494739121448058</v>
          </cell>
          <cell r="CO91">
            <v>5.5031053455250545</v>
          </cell>
          <cell r="CP91">
            <v>5.4268250671758578</v>
          </cell>
          <cell r="CQ91">
            <v>5.050935540704141</v>
          </cell>
          <cell r="CR91">
            <v>4.2242213670082052</v>
          </cell>
          <cell r="CS91">
            <v>3.301902577781278</v>
          </cell>
          <cell r="CT91">
            <v>2.1333871396372017</v>
          </cell>
          <cell r="CU91">
            <v>1.342007959395926</v>
          </cell>
          <cell r="CV91">
            <v>0.64380554926721734</v>
          </cell>
          <cell r="CW91">
            <v>0.24202994123957913</v>
          </cell>
          <cell r="CX91">
            <v>6.1155457566839579E-2</v>
          </cell>
          <cell r="CY91">
            <v>1.0465982276728446E-2</v>
          </cell>
          <cell r="CZ91">
            <v>100.00003377054936</v>
          </cell>
          <cell r="DA91">
            <v>99.989501209001403</v>
          </cell>
        </row>
        <row r="92">
          <cell r="B92" t="str">
            <v>JOR</v>
          </cell>
          <cell r="C92" t="str">
            <v>Middle East &amp; North Africa</v>
          </cell>
          <cell r="D92" t="str">
            <v>Upper middle income</v>
          </cell>
          <cell r="E92" t="str">
            <v>IBRD</v>
          </cell>
          <cell r="G92">
            <v>0</v>
          </cell>
          <cell r="H92">
            <v>400</v>
          </cell>
          <cell r="I92">
            <v>10203.1</v>
          </cell>
          <cell r="J92">
            <v>10269</v>
          </cell>
          <cell r="K92">
            <v>10300.9</v>
          </cell>
          <cell r="L92">
            <v>10312.299999999999</v>
          </cell>
          <cell r="M92">
            <v>10320.9</v>
          </cell>
          <cell r="N92">
            <v>10339.799999999999</v>
          </cell>
          <cell r="O92">
            <v>10375</v>
          </cell>
          <cell r="P92">
            <v>10426</v>
          </cell>
          <cell r="Q92">
            <v>10491.8</v>
          </cell>
          <cell r="R92">
            <v>10569.1</v>
          </cell>
          <cell r="S92">
            <v>10655.2</v>
          </cell>
          <cell r="T92">
            <v>1058.1199999999999</v>
          </cell>
          <cell r="U92">
            <v>1154.44</v>
          </cell>
          <cell r="V92">
            <v>1139.56</v>
          </cell>
          <cell r="W92">
            <v>1040.29</v>
          </cell>
          <cell r="X92">
            <v>940.15099999999995</v>
          </cell>
          <cell r="Y92">
            <v>862.38499999999999</v>
          </cell>
          <cell r="Z92">
            <v>777.48199999999997</v>
          </cell>
          <cell r="AA92">
            <v>713.12599999999998</v>
          </cell>
          <cell r="AB92">
            <v>606.71699999999998</v>
          </cell>
          <cell r="AC92">
            <v>534.62800000000004</v>
          </cell>
          <cell r="AD92">
            <v>433.22300000000001</v>
          </cell>
          <cell r="AE92">
            <v>322.36799999999999</v>
          </cell>
          <cell r="AF92">
            <v>217.239</v>
          </cell>
          <cell r="AG92">
            <v>149.03899999999999</v>
          </cell>
          <cell r="AH92">
            <v>111.52800000000001</v>
          </cell>
          <cell r="AI92">
            <v>79.222999999999999</v>
          </cell>
          <cell r="AJ92">
            <v>43.119</v>
          </cell>
          <cell r="AK92">
            <v>16.283000000000001</v>
          </cell>
          <cell r="AL92">
            <v>3.7410000000000001</v>
          </cell>
          <cell r="AM92">
            <v>0.44400000000000001</v>
          </cell>
          <cell r="AN92">
            <v>2.8000000000000001E-2</v>
          </cell>
          <cell r="AO92">
            <v>979.06100000000004</v>
          </cell>
          <cell r="AP92">
            <v>954.68100000000004</v>
          </cell>
          <cell r="AQ92">
            <v>921.00800000000004</v>
          </cell>
          <cell r="AR92">
            <v>1016.88</v>
          </cell>
          <cell r="AS92">
            <v>1007.7</v>
          </cell>
          <cell r="AT92">
            <v>913.67100000000005</v>
          </cell>
          <cell r="AU92">
            <v>818.61599999999999</v>
          </cell>
          <cell r="AV92">
            <v>754.89099999999996</v>
          </cell>
          <cell r="AW92">
            <v>688.52499999999998</v>
          </cell>
          <cell r="AX92">
            <v>636.74800000000005</v>
          </cell>
          <cell r="AY92">
            <v>536.774</v>
          </cell>
          <cell r="AZ92">
            <v>467.35199999999998</v>
          </cell>
          <cell r="BA92">
            <v>367.96300000000002</v>
          </cell>
          <cell r="BB92">
            <v>259.77999999999997</v>
          </cell>
          <cell r="BC92">
            <v>158.25200000000001</v>
          </cell>
          <cell r="BD92">
            <v>90.772000000000006</v>
          </cell>
          <cell r="BE92">
            <v>50.959000000000003</v>
          </cell>
          <cell r="BF92">
            <v>23.556000000000001</v>
          </cell>
          <cell r="BG92">
            <v>6.8769999999999998</v>
          </cell>
          <cell r="BH92">
            <v>1.0549999999999999</v>
          </cell>
          <cell r="BI92">
            <v>7.2999999999999995E-2</v>
          </cell>
          <cell r="BJ92">
            <v>10.370573649185049</v>
          </cell>
          <cell r="BK92">
            <v>11.314600464564691</v>
          </cell>
          <cell r="BL92">
            <v>11.16876243494624</v>
          </cell>
          <cell r="BM92">
            <v>10.19582283815703</v>
          </cell>
          <cell r="BN92">
            <v>9.2143662220305576</v>
          </cell>
          <cell r="BO92">
            <v>8.452186100302848</v>
          </cell>
          <cell r="BP92">
            <v>7.6200566494496762</v>
          </cell>
          <cell r="BQ92">
            <v>6.9893071713498829</v>
          </cell>
          <cell r="BR92">
            <v>5.9463986435495091</v>
          </cell>
          <cell r="BS92">
            <v>5.2398584743852359</v>
          </cell>
          <cell r="BT92">
            <v>4.2459938646097752</v>
          </cell>
          <cell r="BU92">
            <v>3.1595103448951787</v>
          </cell>
          <cell r="BV92">
            <v>2.1291470239437031</v>
          </cell>
          <cell r="BW92">
            <v>1.4607227215258107</v>
          </cell>
          <cell r="BX92">
            <v>1.0930795542531191</v>
          </cell>
          <cell r="BY92">
            <v>0.77646009546118333</v>
          </cell>
          <cell r="BZ92">
            <v>0.42260685477942972</v>
          </cell>
          <cell r="CA92">
            <v>0.15958875243798454</v>
          </cell>
          <cell r="CB92">
            <v>3.6665327204477072E-2</v>
          </cell>
          <cell r="CC92">
            <v>4.3516186257117929E-3</v>
          </cell>
          <cell r="CD92">
            <v>2.7442639981966265E-4</v>
          </cell>
          <cell r="CE92">
            <v>9.1885745926871394</v>
          </cell>
          <cell r="CF92">
            <v>8.9597661235828525</v>
          </cell>
          <cell r="CG92">
            <v>8.6437420226743757</v>
          </cell>
          <cell r="CH92">
            <v>9.5435092724679027</v>
          </cell>
          <cell r="CI92">
            <v>9.457354155717395</v>
          </cell>
          <cell r="CJ92">
            <v>8.5748836248967635</v>
          </cell>
          <cell r="CK92">
            <v>7.6827839927922508</v>
          </cell>
          <cell r="CL92">
            <v>7.0847191981379982</v>
          </cell>
          <cell r="CM92">
            <v>6.4618683835122743</v>
          </cell>
          <cell r="CN92">
            <v>5.9759366318792706</v>
          </cell>
          <cell r="CO92">
            <v>5.0376717471281625</v>
          </cell>
          <cell r="CP92">
            <v>4.3861401006081531</v>
          </cell>
          <cell r="CQ92">
            <v>3.4533654929048723</v>
          </cell>
          <cell r="CR92">
            <v>2.4380584127937528</v>
          </cell>
          <cell r="CS92">
            <v>1.485209099782266</v>
          </cell>
          <cell r="CT92">
            <v>0.85190329604324655</v>
          </cell>
          <cell r="CU92">
            <v>0.47825474885501917</v>
          </cell>
          <cell r="CV92">
            <v>0.22107515579247694</v>
          </cell>
          <cell r="CW92">
            <v>6.4541256851114948E-2</v>
          </cell>
          <cell r="CX92">
            <v>9.9012688640288306E-3</v>
          </cell>
          <cell r="CY92">
            <v>6.8511149485697112E-4</v>
          </cell>
          <cell r="CZ92">
            <v>100.0003332320569</v>
          </cell>
          <cell r="DA92">
            <v>99.999258577971318</v>
          </cell>
        </row>
        <row r="93">
          <cell r="B93" t="str">
            <v>JPN</v>
          </cell>
          <cell r="C93" t="str">
            <v>East Asia &amp; Pacific</v>
          </cell>
          <cell r="D93" t="str">
            <v>High income</v>
          </cell>
          <cell r="G93">
            <v>0</v>
          </cell>
          <cell r="H93">
            <v>392</v>
          </cell>
          <cell r="I93">
            <v>126476</v>
          </cell>
          <cell r="J93">
            <v>126051</v>
          </cell>
          <cell r="K93">
            <v>125585</v>
          </cell>
          <cell r="L93">
            <v>125081</v>
          </cell>
          <cell r="M93">
            <v>124544</v>
          </cell>
          <cell r="N93">
            <v>123976</v>
          </cell>
          <cell r="O93">
            <v>123379</v>
          </cell>
          <cell r="P93">
            <v>122755</v>
          </cell>
          <cell r="Q93">
            <v>122107</v>
          </cell>
          <cell r="R93">
            <v>121441</v>
          </cell>
          <cell r="S93">
            <v>120758</v>
          </cell>
          <cell r="T93">
            <v>4778.4799999999996</v>
          </cell>
          <cell r="U93">
            <v>5401.49</v>
          </cell>
          <cell r="V93">
            <v>5564.53</v>
          </cell>
          <cell r="W93">
            <v>5702.65</v>
          </cell>
          <cell r="X93">
            <v>5996.88</v>
          </cell>
          <cell r="Y93">
            <v>6150.45</v>
          </cell>
          <cell r="Z93">
            <v>6789.75</v>
          </cell>
          <cell r="AA93">
            <v>7665.67</v>
          </cell>
          <cell r="AB93">
            <v>8468.42</v>
          </cell>
          <cell r="AC93">
            <v>10004.700000000001</v>
          </cell>
          <cell r="AD93">
            <v>8658.61</v>
          </cell>
          <cell r="AE93">
            <v>7882.9</v>
          </cell>
          <cell r="AF93">
            <v>7496.12</v>
          </cell>
          <cell r="AG93">
            <v>8379.11</v>
          </cell>
          <cell r="AH93">
            <v>9127.32</v>
          </cell>
          <cell r="AI93">
            <v>7058.06</v>
          </cell>
          <cell r="AJ93">
            <v>5339.05</v>
          </cell>
          <cell r="AK93">
            <v>3630.34</v>
          </cell>
          <cell r="AL93">
            <v>1785.82</v>
          </cell>
          <cell r="AM93">
            <v>517.52499999999998</v>
          </cell>
          <cell r="AN93">
            <v>78.635999999999996</v>
          </cell>
          <cell r="AO93">
            <v>4241.62</v>
          </cell>
          <cell r="AP93">
            <v>4406.7299999999996</v>
          </cell>
          <cell r="AQ93">
            <v>4787.7</v>
          </cell>
          <cell r="AR93">
            <v>5427.63</v>
          </cell>
          <cell r="AS93">
            <v>5631.32</v>
          </cell>
          <cell r="AT93">
            <v>5751.07</v>
          </cell>
          <cell r="AU93">
            <v>6027.9</v>
          </cell>
          <cell r="AV93">
            <v>6188.94</v>
          </cell>
          <cell r="AW93">
            <v>6833.21</v>
          </cell>
          <cell r="AX93">
            <v>7625.06</v>
          </cell>
          <cell r="AY93">
            <v>8372.56</v>
          </cell>
          <cell r="AZ93">
            <v>9805.25</v>
          </cell>
          <cell r="BA93">
            <v>8380.66</v>
          </cell>
          <cell r="BB93">
            <v>7489.41</v>
          </cell>
          <cell r="BC93">
            <v>6928.86</v>
          </cell>
          <cell r="BD93">
            <v>7389.51</v>
          </cell>
          <cell r="BE93">
            <v>7317.79</v>
          </cell>
          <cell r="BF93">
            <v>4661.54</v>
          </cell>
          <cell r="BG93">
            <v>2441.5300000000002</v>
          </cell>
          <cell r="BH93">
            <v>881.54399999999998</v>
          </cell>
          <cell r="BI93">
            <v>168.22300000000001</v>
          </cell>
          <cell r="BJ93">
            <v>3.7781713526676994</v>
          </cell>
          <cell r="BK93">
            <v>4.2707628324741451</v>
          </cell>
          <cell r="BL93">
            <v>4.3996726651696765</v>
          </cell>
          <cell r="BM93">
            <v>4.5088791549384863</v>
          </cell>
          <cell r="BN93">
            <v>4.741516176982195</v>
          </cell>
          <cell r="BO93">
            <v>4.8629384231000348</v>
          </cell>
          <cell r="BP93">
            <v>5.3684098168822549</v>
          </cell>
          <cell r="BQ93">
            <v>6.0609680888073632</v>
          </cell>
          <cell r="BR93">
            <v>6.6956734874600716</v>
          </cell>
          <cell r="BS93">
            <v>7.9103545336664665</v>
          </cell>
          <cell r="BT93">
            <v>6.8460498434485597</v>
          </cell>
          <cell r="BU93">
            <v>6.2327239950662578</v>
          </cell>
          <cell r="BV93">
            <v>5.9269110345045704</v>
          </cell>
          <cell r="BW93">
            <v>6.6250592997881022</v>
          </cell>
          <cell r="BX93">
            <v>7.2166418925329694</v>
          </cell>
          <cell r="BY93">
            <v>5.5805528321578795</v>
          </cell>
          <cell r="BZ93">
            <v>4.2213937822195522</v>
          </cell>
          <cell r="CA93">
            <v>2.8703785698472437</v>
          </cell>
          <cell r="CB93">
            <v>1.4119833011796705</v>
          </cell>
          <cell r="CC93">
            <v>0.40918830450045851</v>
          </cell>
          <cell r="CD93">
            <v>6.2174641829279856E-2</v>
          </cell>
          <cell r="CE93">
            <v>3.5124960665131919</v>
          </cell>
          <cell r="CF93">
            <v>3.6492240679706516</v>
          </cell>
          <cell r="CG93">
            <v>3.9647062720482289</v>
          </cell>
          <cell r="CH93">
            <v>4.4946338958909555</v>
          </cell>
          <cell r="CI93">
            <v>4.6633100912568937</v>
          </cell>
          <cell r="CJ93">
            <v>4.762475363951042</v>
          </cell>
          <cell r="CK93">
            <v>4.9917189751403628</v>
          </cell>
          <cell r="CL93">
            <v>5.125076599479951</v>
          </cell>
          <cell r="CM93">
            <v>5.6585981881117613</v>
          </cell>
          <cell r="CN93">
            <v>6.3143311416220875</v>
          </cell>
          <cell r="CO93">
            <v>6.9333377498799251</v>
          </cell>
          <cell r="CP93">
            <v>8.1197519004952046</v>
          </cell>
          <cell r="CQ93">
            <v>6.9400453800162314</v>
          </cell>
          <cell r="CR93">
            <v>6.201999039401116</v>
          </cell>
          <cell r="CS93">
            <v>5.7378061908941849</v>
          </cell>
          <cell r="CT93">
            <v>6.1192716010533461</v>
          </cell>
          <cell r="CU93">
            <v>6.0598800907600321</v>
          </cell>
          <cell r="CV93">
            <v>3.8602328624190529</v>
          </cell>
          <cell r="CW93">
            <v>2.0218370625548618</v>
          </cell>
          <cell r="CX93">
            <v>0.73000877788635121</v>
          </cell>
          <cell r="CY93">
            <v>0.13930588449626527</v>
          </cell>
          <cell r="CZ93">
            <v>100.00040402922295</v>
          </cell>
          <cell r="DA93">
            <v>99.860741317345429</v>
          </cell>
        </row>
        <row r="94">
          <cell r="B94" t="str">
            <v>KAZ</v>
          </cell>
          <cell r="C94" t="str">
            <v>Europe &amp; Central Asia</v>
          </cell>
          <cell r="D94" t="str">
            <v>Upper middle income</v>
          </cell>
          <cell r="E94" t="str">
            <v>IBRD</v>
          </cell>
          <cell r="G94">
            <v>0</v>
          </cell>
          <cell r="H94">
            <v>398</v>
          </cell>
          <cell r="I94">
            <v>18776.7</v>
          </cell>
          <cell r="J94">
            <v>18995</v>
          </cell>
          <cell r="K94">
            <v>19205</v>
          </cell>
          <cell r="L94">
            <v>19407</v>
          </cell>
          <cell r="M94">
            <v>19601.099999999999</v>
          </cell>
          <cell r="N94">
            <v>19787.7</v>
          </cell>
          <cell r="O94">
            <v>19967</v>
          </cell>
          <cell r="P94">
            <v>20139.599999999999</v>
          </cell>
          <cell r="Q94">
            <v>20307.5</v>
          </cell>
          <cell r="R94">
            <v>20473.3</v>
          </cell>
          <cell r="S94">
            <v>20639</v>
          </cell>
          <cell r="T94">
            <v>1920.18</v>
          </cell>
          <cell r="U94">
            <v>1947.83</v>
          </cell>
          <cell r="V94">
            <v>1604.31</v>
          </cell>
          <cell r="W94">
            <v>1116.6199999999999</v>
          </cell>
          <cell r="X94">
            <v>1100.05</v>
          </cell>
          <cell r="Y94">
            <v>1473.15</v>
          </cell>
          <cell r="Z94">
            <v>1657.57</v>
          </cell>
          <cell r="AA94">
            <v>1335.93</v>
          </cell>
          <cell r="AB94">
            <v>1183.7</v>
          </cell>
          <cell r="AC94">
            <v>1102.72</v>
          </cell>
          <cell r="AD94">
            <v>977.68</v>
          </cell>
          <cell r="AE94">
            <v>1061.76</v>
          </cell>
          <cell r="AF94">
            <v>811.33799999999997</v>
          </cell>
          <cell r="AG94">
            <v>627.57100000000003</v>
          </cell>
          <cell r="AH94">
            <v>319.98200000000003</v>
          </cell>
          <cell r="AI94">
            <v>232.523</v>
          </cell>
          <cell r="AJ94">
            <v>215.62299999999999</v>
          </cell>
          <cell r="AK94">
            <v>62.110999999999997</v>
          </cell>
          <cell r="AL94">
            <v>22.783999999999999</v>
          </cell>
          <cell r="AM94">
            <v>3.069</v>
          </cell>
          <cell r="AN94">
            <v>0.224</v>
          </cell>
          <cell r="AO94">
            <v>1612.38</v>
          </cell>
          <cell r="AP94">
            <v>1704</v>
          </cell>
          <cell r="AQ94">
            <v>1914.74</v>
          </cell>
          <cell r="AR94">
            <v>1941.98</v>
          </cell>
          <cell r="AS94">
            <v>1596.22</v>
          </cell>
          <cell r="AT94">
            <v>1107.97</v>
          </cell>
          <cell r="AU94">
            <v>1088.05</v>
          </cell>
          <cell r="AV94">
            <v>1448.93</v>
          </cell>
          <cell r="AW94">
            <v>1616.47</v>
          </cell>
          <cell r="AX94">
            <v>1288.99</v>
          </cell>
          <cell r="AY94">
            <v>1127.2</v>
          </cell>
          <cell r="AZ94">
            <v>1028.28</v>
          </cell>
          <cell r="BA94">
            <v>879.64700000000005</v>
          </cell>
          <cell r="BB94">
            <v>900.41200000000003</v>
          </cell>
          <cell r="BC94">
            <v>633.19500000000005</v>
          </cell>
          <cell r="BD94">
            <v>432.45</v>
          </cell>
          <cell r="BE94">
            <v>175.81200000000001</v>
          </cell>
          <cell r="BF94">
            <v>89.341999999999999</v>
          </cell>
          <cell r="BG94">
            <v>46.554000000000002</v>
          </cell>
          <cell r="BH94">
            <v>5.7060000000000004</v>
          </cell>
          <cell r="BI94">
            <v>0.69199999999999995</v>
          </cell>
          <cell r="BJ94">
            <v>10.226397609803639</v>
          </cell>
          <cell r="BK94">
            <v>10.373654582541127</v>
          </cell>
          <cell r="BL94">
            <v>8.5441531259486485</v>
          </cell>
          <cell r="BM94">
            <v>5.9468383688294528</v>
          </cell>
          <cell r="BN94">
            <v>5.8585907001762818</v>
          </cell>
          <cell r="BO94">
            <v>7.8456278259758108</v>
          </cell>
          <cell r="BP94">
            <v>8.8278025425127939</v>
          </cell>
          <cell r="BQ94">
            <v>7.1148284842384442</v>
          </cell>
          <cell r="BR94">
            <v>6.304089643015014</v>
          </cell>
          <cell r="BS94">
            <v>5.8728104512507517</v>
          </cell>
          <cell r="BT94">
            <v>5.2068787380104053</v>
          </cell>
          <cell r="BU94">
            <v>5.6546677531195577</v>
          </cell>
          <cell r="BV94">
            <v>4.3209829203214616</v>
          </cell>
          <cell r="BW94">
            <v>3.3422859181858366</v>
          </cell>
          <cell r="BX94">
            <v>1.7041439656595676</v>
          </cell>
          <cell r="BY94">
            <v>1.2383592431044859</v>
          </cell>
          <cell r="BZ94">
            <v>1.1483540771275038</v>
          </cell>
          <cell r="CA94">
            <v>0.33078762508854059</v>
          </cell>
          <cell r="CB94">
            <v>0.12134187583547694</v>
          </cell>
          <cell r="CC94">
            <v>1.6344725111441305E-2</v>
          </cell>
          <cell r="CD94">
            <v>1.1929678804049699E-3</v>
          </cell>
          <cell r="CE94">
            <v>7.8122971074179954</v>
          </cell>
          <cell r="CF94">
            <v>8.2562139638548366</v>
          </cell>
          <cell r="CG94">
            <v>9.2772905664034102</v>
          </cell>
          <cell r="CH94">
            <v>9.4092737051213717</v>
          </cell>
          <cell r="CI94">
            <v>7.7339987402490431</v>
          </cell>
          <cell r="CJ94">
            <v>5.3683317990212709</v>
          </cell>
          <cell r="CK94">
            <v>5.2718154949367699</v>
          </cell>
          <cell r="CL94">
            <v>7.0203498231503474</v>
          </cell>
          <cell r="CM94">
            <v>7.8321139590096411</v>
          </cell>
          <cell r="CN94">
            <v>6.2454091768012017</v>
          </cell>
          <cell r="CO94">
            <v>5.4615049178739277</v>
          </cell>
          <cell r="CP94">
            <v>4.9822181307233881</v>
          </cell>
          <cell r="CQ94">
            <v>4.2620621154125686</v>
          </cell>
          <cell r="CR94">
            <v>4.3626726101070785</v>
          </cell>
          <cell r="CS94">
            <v>3.0679538737341927</v>
          </cell>
          <cell r="CT94">
            <v>2.095305005087456</v>
          </cell>
          <cell r="CU94">
            <v>0.85184359707350166</v>
          </cell>
          <cell r="CV94">
            <v>0.43287949997577407</v>
          </cell>
          <cell r="CW94">
            <v>0.22556325403362568</v>
          </cell>
          <cell r="CX94">
            <v>2.7646688308542083E-2</v>
          </cell>
          <cell r="CY94">
            <v>3.3528756238189834E-3</v>
          </cell>
          <cell r="CZ94">
            <v>100.00013314373665</v>
          </cell>
          <cell r="DA94">
            <v>99.996744028295936</v>
          </cell>
        </row>
        <row r="95">
          <cell r="B95" t="str">
            <v>KEN</v>
          </cell>
          <cell r="C95" t="str">
            <v>Sub-Saharan Africa</v>
          </cell>
          <cell r="D95" t="str">
            <v>Lower middle income</v>
          </cell>
          <cell r="E95" t="str">
            <v>Blend</v>
          </cell>
          <cell r="G95">
            <v>1</v>
          </cell>
          <cell r="H95">
            <v>404</v>
          </cell>
          <cell r="I95">
            <v>53771.3</v>
          </cell>
          <cell r="J95">
            <v>54985.7</v>
          </cell>
          <cell r="K95">
            <v>56215.199999999997</v>
          </cell>
          <cell r="L95">
            <v>57458.9</v>
          </cell>
          <cell r="M95">
            <v>58714.8</v>
          </cell>
          <cell r="N95">
            <v>59981.3</v>
          </cell>
          <cell r="O95">
            <v>61257.8</v>
          </cell>
          <cell r="P95">
            <v>62544</v>
          </cell>
          <cell r="Q95">
            <v>63838.9</v>
          </cell>
          <cell r="R95">
            <v>65141.2</v>
          </cell>
          <cell r="S95">
            <v>66449.7</v>
          </cell>
          <cell r="T95">
            <v>7044.36</v>
          </cell>
          <cell r="U95">
            <v>6969.55</v>
          </cell>
          <cell r="V95">
            <v>6736.22</v>
          </cell>
          <cell r="W95">
            <v>6010.66</v>
          </cell>
          <cell r="X95">
            <v>5236.59</v>
          </cell>
          <cell r="Y95">
            <v>4357.68</v>
          </cell>
          <cell r="Z95">
            <v>4022.69</v>
          </cell>
          <cell r="AA95">
            <v>3447.45</v>
          </cell>
          <cell r="AB95">
            <v>2759.45</v>
          </cell>
          <cell r="AC95">
            <v>2143.59</v>
          </cell>
          <cell r="AD95">
            <v>1604.07</v>
          </cell>
          <cell r="AE95">
            <v>1201.53</v>
          </cell>
          <cell r="AF95">
            <v>888.21500000000003</v>
          </cell>
          <cell r="AG95">
            <v>630.61099999999999</v>
          </cell>
          <cell r="AH95">
            <v>381.06700000000001</v>
          </cell>
          <cell r="AI95">
            <v>193.27199999999999</v>
          </cell>
          <cell r="AJ95">
            <v>101.724</v>
          </cell>
          <cell r="AK95">
            <v>36.393999999999998</v>
          </cell>
          <cell r="AL95">
            <v>5.8079999999999998</v>
          </cell>
          <cell r="AM95">
            <v>0.34300000000000003</v>
          </cell>
          <cell r="AN95">
            <v>8.9999999999999993E-3</v>
          </cell>
          <cell r="AO95">
            <v>7952.62</v>
          </cell>
          <cell r="AP95">
            <v>7459.14</v>
          </cell>
          <cell r="AQ95">
            <v>6966.45</v>
          </cell>
          <cell r="AR95">
            <v>6916.57</v>
          </cell>
          <cell r="AS95">
            <v>6656.15</v>
          </cell>
          <cell r="AT95">
            <v>5895.69</v>
          </cell>
          <cell r="AU95">
            <v>5099.54</v>
          </cell>
          <cell r="AV95">
            <v>4210.3100000000004</v>
          </cell>
          <cell r="AW95">
            <v>3848.85</v>
          </cell>
          <cell r="AX95">
            <v>3258.53</v>
          </cell>
          <cell r="AY95">
            <v>2564.35</v>
          </cell>
          <cell r="AZ95">
            <v>1943.21</v>
          </cell>
          <cell r="BA95">
            <v>1402.07</v>
          </cell>
          <cell r="BB95">
            <v>987.63199999999995</v>
          </cell>
          <cell r="BC95">
            <v>657.22299999999996</v>
          </cell>
          <cell r="BD95">
            <v>391.66699999999997</v>
          </cell>
          <cell r="BE95">
            <v>175.08699999999999</v>
          </cell>
          <cell r="BF95">
            <v>52.378</v>
          </cell>
          <cell r="BG95">
            <v>11.146000000000001</v>
          </cell>
          <cell r="BH95">
            <v>1.0089999999999999</v>
          </cell>
          <cell r="BI95">
            <v>3.5000000000000003E-2</v>
          </cell>
          <cell r="BJ95">
            <v>13.100594555087936</v>
          </cell>
          <cell r="BK95">
            <v>12.961468292564993</v>
          </cell>
          <cell r="BL95">
            <v>12.527537924506197</v>
          </cell>
          <cell r="BM95">
            <v>11.178193571663693</v>
          </cell>
          <cell r="BN95">
            <v>9.7386338065101636</v>
          </cell>
          <cell r="BO95">
            <v>8.1041001426411494</v>
          </cell>
          <cell r="BP95">
            <v>7.4811098113677739</v>
          </cell>
          <cell r="BQ95">
            <v>6.411319793272618</v>
          </cell>
          <cell r="BR95">
            <v>5.131826829554055</v>
          </cell>
          <cell r="BS95">
            <v>3.9864946542114477</v>
          </cell>
          <cell r="BT95">
            <v>2.9831341254535411</v>
          </cell>
          <cell r="BU95">
            <v>2.2345191579894848</v>
          </cell>
          <cell r="BV95">
            <v>1.6518384342576802</v>
          </cell>
          <cell r="BW95">
            <v>1.172765025208615</v>
          </cell>
          <cell r="BX95">
            <v>0.70868102500776431</v>
          </cell>
          <cell r="BY95">
            <v>0.35943337802879971</v>
          </cell>
          <cell r="BZ95">
            <v>0.18917898581585343</v>
          </cell>
          <cell r="CA95">
            <v>6.7682946106938077E-2</v>
          </cell>
          <cell r="CB95">
            <v>1.0801301065810199E-2</v>
          </cell>
          <cell r="CC95">
            <v>6.3788675371434208E-4</v>
          </cell>
          <cell r="CD95">
            <v>1.6737553304457955E-5</v>
          </cell>
          <cell r="CE95">
            <v>11.967879463714659</v>
          </cell>
          <cell r="CF95">
            <v>11.22524255188511</v>
          </cell>
          <cell r="CG95">
            <v>10.48379450923029</v>
          </cell>
          <cell r="CH95">
            <v>10.408730212476506</v>
          </cell>
          <cell r="CI95">
            <v>10.016824756168951</v>
          </cell>
          <cell r="CJ95">
            <v>8.8724102591885288</v>
          </cell>
          <cell r="CK95">
            <v>7.6742859636687601</v>
          </cell>
          <cell r="CL95">
            <v>6.3360857912074851</v>
          </cell>
          <cell r="CM95">
            <v>5.7921254723497624</v>
          </cell>
          <cell r="CN95">
            <v>4.9037542682660726</v>
          </cell>
          <cell r="CO95">
            <v>3.8590843901477356</v>
          </cell>
          <cell r="CP95">
            <v>2.9243322392727129</v>
          </cell>
          <cell r="CQ95">
            <v>2.1099719035601363</v>
          </cell>
          <cell r="CR95">
            <v>1.4862851149064631</v>
          </cell>
          <cell r="CS95">
            <v>0.98905337420635464</v>
          </cell>
          <cell r="CT95">
            <v>0.58941876336537258</v>
          </cell>
          <cell r="CU95">
            <v>0.26348802176684016</v>
          </cell>
          <cell r="CV95">
            <v>7.8823531182232578E-2</v>
          </cell>
          <cell r="CW95">
            <v>1.6773589647507817E-2</v>
          </cell>
          <cell r="CX95">
            <v>1.5184417687363523E-3</v>
          </cell>
          <cell r="CY95">
            <v>5.2671419133570215E-5</v>
          </cell>
          <cell r="CZ95">
            <v>99.999968384621539</v>
          </cell>
          <cell r="DA95">
            <v>99.999882617980234</v>
          </cell>
        </row>
        <row r="96">
          <cell r="B96" t="str">
            <v>KGZ</v>
          </cell>
          <cell r="C96" t="str">
            <v>Europe &amp; Central Asia</v>
          </cell>
          <cell r="D96" t="str">
            <v>Lower middle income</v>
          </cell>
          <cell r="E96" t="str">
            <v>IDA</v>
          </cell>
          <cell r="G96">
            <v>0</v>
          </cell>
          <cell r="H96">
            <v>417</v>
          </cell>
          <cell r="I96">
            <v>6524.19</v>
          </cell>
          <cell r="J96">
            <v>6628.35</v>
          </cell>
          <cell r="K96">
            <v>6728.27</v>
          </cell>
          <cell r="L96">
            <v>6824.52</v>
          </cell>
          <cell r="M96">
            <v>6918.1</v>
          </cell>
          <cell r="N96">
            <v>7009.83</v>
          </cell>
          <cell r="O96">
            <v>7099.81</v>
          </cell>
          <cell r="P96">
            <v>7187.97</v>
          </cell>
          <cell r="Q96">
            <v>7274.74</v>
          </cell>
          <cell r="R96">
            <v>7360.65</v>
          </cell>
          <cell r="S96">
            <v>7446.11</v>
          </cell>
          <cell r="T96">
            <v>760.255</v>
          </cell>
          <cell r="U96">
            <v>769.19500000000005</v>
          </cell>
          <cell r="V96">
            <v>600.62599999999998</v>
          </cell>
          <cell r="W96">
            <v>500.07499999999999</v>
          </cell>
          <cell r="X96">
            <v>514.38900000000001</v>
          </cell>
          <cell r="Y96">
            <v>568.55100000000004</v>
          </cell>
          <cell r="Z96">
            <v>572.18700000000001</v>
          </cell>
          <cell r="AA96">
            <v>442.51799999999997</v>
          </cell>
          <cell r="AB96">
            <v>361.459</v>
          </cell>
          <cell r="AC96">
            <v>324.976</v>
          </cell>
          <cell r="AD96">
            <v>295.97300000000001</v>
          </cell>
          <cell r="AE96">
            <v>285.46199999999999</v>
          </cell>
          <cell r="AF96">
            <v>220.06899999999999</v>
          </cell>
          <cell r="AG96">
            <v>143.755</v>
          </cell>
          <cell r="AH96">
            <v>78.619</v>
          </cell>
          <cell r="AI96">
            <v>32.594999999999999</v>
          </cell>
          <cell r="AJ96">
            <v>32.506999999999998</v>
          </cell>
          <cell r="AK96">
            <v>15.592000000000001</v>
          </cell>
          <cell r="AL96">
            <v>4.4349999999999996</v>
          </cell>
          <cell r="AM96">
            <v>0.89700000000000002</v>
          </cell>
          <cell r="AN96">
            <v>5.6000000000000001E-2</v>
          </cell>
          <cell r="AO96">
            <v>692.57500000000005</v>
          </cell>
          <cell r="AP96">
            <v>715.65499999999997</v>
          </cell>
          <cell r="AQ96">
            <v>755.20500000000004</v>
          </cell>
          <cell r="AR96">
            <v>760.077</v>
          </cell>
          <cell r="AS96">
            <v>582.46100000000001</v>
          </cell>
          <cell r="AT96">
            <v>477.75200000000001</v>
          </cell>
          <cell r="AU96">
            <v>493.49599999999998</v>
          </cell>
          <cell r="AV96">
            <v>548.88300000000004</v>
          </cell>
          <cell r="AW96">
            <v>551.899</v>
          </cell>
          <cell r="AX96">
            <v>422.94099999999997</v>
          </cell>
          <cell r="AY96">
            <v>341.149</v>
          </cell>
          <cell r="AZ96">
            <v>300.90800000000002</v>
          </cell>
          <cell r="BA96">
            <v>264.69799999999998</v>
          </cell>
          <cell r="BB96">
            <v>241.565</v>
          </cell>
          <cell r="BC96">
            <v>165.989</v>
          </cell>
          <cell r="BD96">
            <v>83.491</v>
          </cell>
          <cell r="BE96">
            <v>31.16</v>
          </cell>
          <cell r="BF96">
            <v>8.6620000000000008</v>
          </cell>
          <cell r="BG96">
            <v>5.7359999999999998</v>
          </cell>
          <cell r="BH96">
            <v>1.579</v>
          </cell>
          <cell r="BI96">
            <v>0.22500000000000001</v>
          </cell>
          <cell r="BJ96">
            <v>11.65286418697187</v>
          </cell>
          <cell r="BK96">
            <v>11.789892691659809</v>
          </cell>
          <cell r="BL96">
            <v>9.2061389996306051</v>
          </cell>
          <cell r="BM96">
            <v>7.6649361836488517</v>
          </cell>
          <cell r="BN96">
            <v>7.8843350668818664</v>
          </cell>
          <cell r="BO96">
            <v>8.7145070882362425</v>
          </cell>
          <cell r="BP96">
            <v>8.7702381445052957</v>
          </cell>
          <cell r="BQ96">
            <v>6.7827270511741684</v>
          </cell>
          <cell r="BR96">
            <v>5.5402892926171683</v>
          </cell>
          <cell r="BS96">
            <v>4.9810934384191752</v>
          </cell>
          <cell r="BT96">
            <v>4.5365478319914043</v>
          </cell>
          <cell r="BU96">
            <v>4.3754397097570736</v>
          </cell>
          <cell r="BV96">
            <v>3.3731237134418217</v>
          </cell>
          <cell r="BW96">
            <v>2.2034152898674013</v>
          </cell>
          <cell r="BX96">
            <v>1.2050384798725973</v>
          </cell>
          <cell r="BY96">
            <v>0.49960224947464749</v>
          </cell>
          <cell r="BZ96">
            <v>0.49825342303029185</v>
          </cell>
          <cell r="CA96">
            <v>0.23898752182263241</v>
          </cell>
          <cell r="CB96">
            <v>6.797778728087317E-2</v>
          </cell>
          <cell r="CC96">
            <v>1.3748833188487766E-2</v>
          </cell>
          <cell r="CD96">
            <v>8.5834410095352845E-4</v>
          </cell>
          <cell r="CE96">
            <v>9.3011653064486026</v>
          </cell>
          <cell r="CF96">
            <v>9.6111258093151992</v>
          </cell>
          <cell r="CG96">
            <v>10.14227563116849</v>
          </cell>
          <cell r="CH96">
            <v>10.207705768515373</v>
          </cell>
          <cell r="CI96">
            <v>7.8223528795572452</v>
          </cell>
          <cell r="CJ96">
            <v>6.4161286900139807</v>
          </cell>
          <cell r="CK96">
            <v>6.6275679515881452</v>
          </cell>
          <cell r="CL96">
            <v>7.3714060093122455</v>
          </cell>
          <cell r="CM96">
            <v>7.4119103800507915</v>
          </cell>
          <cell r="CN96">
            <v>5.6800262150303986</v>
          </cell>
          <cell r="CO96">
            <v>4.5815734658768132</v>
          </cell>
          <cell r="CP96">
            <v>4.0411436307011313</v>
          </cell>
          <cell r="CQ96">
            <v>3.5548494448779291</v>
          </cell>
          <cell r="CR96">
            <v>3.2441771609605556</v>
          </cell>
          <cell r="CS96">
            <v>2.2292042422150629</v>
          </cell>
          <cell r="CT96">
            <v>1.1212700322718843</v>
          </cell>
          <cell r="CU96">
            <v>0.41847353853220004</v>
          </cell>
          <cell r="CV96">
            <v>0.11632919739300118</v>
          </cell>
          <cell r="CW96">
            <v>7.7033511457660436E-2</v>
          </cell>
          <cell r="CX96">
            <v>2.1205703380691394E-2</v>
          </cell>
          <cell r="CY96">
            <v>3.0217120080149231E-3</v>
          </cell>
          <cell r="CZ96">
            <v>100.00001532757324</v>
          </cell>
          <cell r="DA96">
            <v>99.996924568667382</v>
          </cell>
        </row>
        <row r="97">
          <cell r="B97" t="str">
            <v>KHM</v>
          </cell>
          <cell r="C97" t="str">
            <v>East Asia &amp; Pacific</v>
          </cell>
          <cell r="D97" t="str">
            <v>Lower middle income</v>
          </cell>
          <cell r="E97" t="str">
            <v>IDA</v>
          </cell>
          <cell r="G97">
            <v>0</v>
          </cell>
          <cell r="H97">
            <v>116</v>
          </cell>
          <cell r="I97">
            <v>16719</v>
          </cell>
          <cell r="J97">
            <v>16946.400000000001</v>
          </cell>
          <cell r="K97">
            <v>17168.599999999999</v>
          </cell>
          <cell r="L97">
            <v>17385.7</v>
          </cell>
          <cell r="M97">
            <v>17597.900000000001</v>
          </cell>
          <cell r="N97">
            <v>17805.599999999999</v>
          </cell>
          <cell r="O97">
            <v>18008.7</v>
          </cell>
          <cell r="P97">
            <v>18207.099999999999</v>
          </cell>
          <cell r="Q97">
            <v>18401.5</v>
          </cell>
          <cell r="R97">
            <v>18592.599999999999</v>
          </cell>
          <cell r="S97">
            <v>18781</v>
          </cell>
          <cell r="T97">
            <v>1778.98</v>
          </cell>
          <cell r="U97">
            <v>1751.61</v>
          </cell>
          <cell r="V97">
            <v>1639.74</v>
          </cell>
          <cell r="W97">
            <v>1460.32</v>
          </cell>
          <cell r="X97">
            <v>1528.31</v>
          </cell>
          <cell r="Y97">
            <v>1589.3</v>
          </cell>
          <cell r="Z97">
            <v>1241.3</v>
          </cell>
          <cell r="AA97">
            <v>1647.97</v>
          </cell>
          <cell r="AB97">
            <v>626.899</v>
          </cell>
          <cell r="AC97">
            <v>802.18799999999999</v>
          </cell>
          <cell r="AD97">
            <v>732.822</v>
          </cell>
          <cell r="AE97">
            <v>654.66200000000003</v>
          </cell>
          <cell r="AF97">
            <v>453.51900000000001</v>
          </cell>
          <cell r="AG97">
            <v>363.25700000000001</v>
          </cell>
          <cell r="AH97">
            <v>221.238</v>
          </cell>
          <cell r="AI97">
            <v>131.20699999999999</v>
          </cell>
          <cell r="AJ97">
            <v>63.481999999999999</v>
          </cell>
          <cell r="AK97">
            <v>25.585999999999999</v>
          </cell>
          <cell r="AL97">
            <v>5.7850000000000001</v>
          </cell>
          <cell r="AM97">
            <v>0.75700000000000001</v>
          </cell>
          <cell r="AN97">
            <v>0.04</v>
          </cell>
          <cell r="AO97">
            <v>1664.5</v>
          </cell>
          <cell r="AP97">
            <v>1707.56</v>
          </cell>
          <cell r="AQ97">
            <v>1754.57</v>
          </cell>
          <cell r="AR97">
            <v>1714.3</v>
          </cell>
          <cell r="AS97">
            <v>1577.61</v>
          </cell>
          <cell r="AT97">
            <v>1385.57</v>
          </cell>
          <cell r="AU97">
            <v>1455.34</v>
          </cell>
          <cell r="AV97">
            <v>1520.52</v>
          </cell>
          <cell r="AW97">
            <v>1183.21</v>
          </cell>
          <cell r="AX97">
            <v>1573.15</v>
          </cell>
          <cell r="AY97">
            <v>587.86199999999997</v>
          </cell>
          <cell r="AZ97">
            <v>744.91200000000003</v>
          </cell>
          <cell r="BA97">
            <v>655.48699999999997</v>
          </cell>
          <cell r="BB97">
            <v>544.85199999999998</v>
          </cell>
          <cell r="BC97">
            <v>337.85399999999998</v>
          </cell>
          <cell r="BD97">
            <v>223.73699999999999</v>
          </cell>
          <cell r="BE97">
            <v>100.43899999999999</v>
          </cell>
          <cell r="BF97">
            <v>37.960999999999999</v>
          </cell>
          <cell r="BG97">
            <v>9.8019999999999996</v>
          </cell>
          <cell r="BH97">
            <v>1.67</v>
          </cell>
          <cell r="BI97">
            <v>0.12</v>
          </cell>
          <cell r="BJ97">
            <v>10.640468927567438</v>
          </cell>
          <cell r="BK97">
            <v>10.476762964292123</v>
          </cell>
          <cell r="BL97">
            <v>9.8076439978467622</v>
          </cell>
          <cell r="BM97">
            <v>8.7344936898139842</v>
          </cell>
          <cell r="BN97">
            <v>9.1411567677492673</v>
          </cell>
          <cell r="BO97">
            <v>9.5059513128775635</v>
          </cell>
          <cell r="BP97">
            <v>7.4244871104731143</v>
          </cell>
          <cell r="BQ97">
            <v>9.8568694299898318</v>
          </cell>
          <cell r="BR97">
            <v>3.749620192595251</v>
          </cell>
          <cell r="BS97">
            <v>4.7980620850529334</v>
          </cell>
          <cell r="BT97">
            <v>4.3831688498115913</v>
          </cell>
          <cell r="BU97">
            <v>3.9156767749267303</v>
          </cell>
          <cell r="BV97">
            <v>2.7125964471559305</v>
          </cell>
          <cell r="BW97">
            <v>2.1727196602667624</v>
          </cell>
          <cell r="BX97">
            <v>1.3232729230217117</v>
          </cell>
          <cell r="BY97">
            <v>0.78477779771517431</v>
          </cell>
          <cell r="BZ97">
            <v>0.37969974280758423</v>
          </cell>
          <cell r="CA97">
            <v>0.15303546862850648</v>
          </cell>
          <cell r="CB97">
            <v>3.4601351755487772E-2</v>
          </cell>
          <cell r="CC97">
            <v>4.5277827621269216E-3</v>
          </cell>
          <cell r="CD97">
            <v>2.3924875889706323E-4</v>
          </cell>
          <cell r="CE97">
            <v>8.8626803684574824</v>
          </cell>
          <cell r="CF97">
            <v>9.0919546350034608</v>
          </cell>
          <cell r="CG97">
            <v>9.3422607954847976</v>
          </cell>
          <cell r="CH97">
            <v>9.1278419679463294</v>
          </cell>
          <cell r="CI97">
            <v>8.4000319471806613</v>
          </cell>
          <cell r="CJ97">
            <v>7.3775091848144401</v>
          </cell>
          <cell r="CK97">
            <v>7.7490016506043338</v>
          </cell>
          <cell r="CL97">
            <v>8.0960545231883287</v>
          </cell>
          <cell r="CM97">
            <v>6.3000372717107718</v>
          </cell>
          <cell r="CN97">
            <v>8.376284542889092</v>
          </cell>
          <cell r="CO97">
            <v>3.1300889196528403</v>
          </cell>
          <cell r="CP97">
            <v>3.9663063734625421</v>
          </cell>
          <cell r="CQ97">
            <v>3.4901602683563175</v>
          </cell>
          <cell r="CR97">
            <v>2.9010808796123744</v>
          </cell>
          <cell r="CS97">
            <v>1.7989137958575157</v>
          </cell>
          <cell r="CT97">
            <v>1.1912943932697939</v>
          </cell>
          <cell r="CU97">
            <v>0.53479047974016292</v>
          </cell>
          <cell r="CV97">
            <v>0.20212448751397691</v>
          </cell>
          <cell r="CW97">
            <v>5.2191044140354609E-2</v>
          </cell>
          <cell r="CX97">
            <v>8.8919652840636805E-3</v>
          </cell>
          <cell r="CY97">
            <v>6.3894361322613274E-4</v>
          </cell>
          <cell r="CZ97">
            <v>99.999832525868769</v>
          </cell>
          <cell r="DA97">
            <v>99.999499494169655</v>
          </cell>
        </row>
        <row r="98">
          <cell r="B98" t="str">
            <v>KIR</v>
          </cell>
          <cell r="C98" t="str">
            <v>East Asia &amp; Pacific</v>
          </cell>
          <cell r="D98" t="str">
            <v>Lower middle income</v>
          </cell>
          <cell r="E98" t="str">
            <v>IDA</v>
          </cell>
          <cell r="G98">
            <v>0</v>
          </cell>
          <cell r="H98">
            <v>296</v>
          </cell>
          <cell r="I98">
            <v>119.446</v>
          </cell>
          <cell r="J98">
            <v>121.38800000000001</v>
          </cell>
          <cell r="K98">
            <v>123.416</v>
          </cell>
          <cell r="L98">
            <v>125.501</v>
          </cell>
          <cell r="M98">
            <v>127.58</v>
          </cell>
          <cell r="N98">
            <v>129.619</v>
          </cell>
          <cell r="O98">
            <v>131.607</v>
          </cell>
          <cell r="P98">
            <v>133.53899999999999</v>
          </cell>
          <cell r="Q98">
            <v>135.44499999999999</v>
          </cell>
          <cell r="R98">
            <v>137.32400000000001</v>
          </cell>
          <cell r="S98">
            <v>139.178</v>
          </cell>
          <cell r="T98">
            <v>15.16</v>
          </cell>
          <cell r="U98">
            <v>14.303000000000001</v>
          </cell>
          <cell r="V98">
            <v>13.438000000000001</v>
          </cell>
          <cell r="W98">
            <v>10.194000000000001</v>
          </cell>
          <cell r="X98">
            <v>10.897</v>
          </cell>
          <cell r="Y98">
            <v>9.6270000000000007</v>
          </cell>
          <cell r="Z98">
            <v>9.0609999999999999</v>
          </cell>
          <cell r="AA98">
            <v>7.5430000000000001</v>
          </cell>
          <cell r="AB98">
            <v>6.24</v>
          </cell>
          <cell r="AC98">
            <v>4.9329999999999998</v>
          </cell>
          <cell r="AD98">
            <v>5.4320000000000004</v>
          </cell>
          <cell r="AE98">
            <v>4.556</v>
          </cell>
          <cell r="AF98">
            <v>3.028</v>
          </cell>
          <cell r="AG98">
            <v>2.113</v>
          </cell>
          <cell r="AH98">
            <v>1.462</v>
          </cell>
          <cell r="AI98">
            <v>0.86799999999999999</v>
          </cell>
          <cell r="AJ98">
            <v>0.373</v>
          </cell>
          <cell r="AK98">
            <v>0.14799999999999999</v>
          </cell>
          <cell r="AL98">
            <v>5.6000000000000001E-2</v>
          </cell>
          <cell r="AM98">
            <v>1.2E-2</v>
          </cell>
          <cell r="AN98">
            <v>2E-3</v>
          </cell>
          <cell r="AO98">
            <v>15.138999999999999</v>
          </cell>
          <cell r="AP98">
            <v>15.119</v>
          </cell>
          <cell r="AQ98">
            <v>14.882999999999999</v>
          </cell>
          <cell r="AR98">
            <v>13.926</v>
          </cell>
          <cell r="AS98">
            <v>12.680999999999999</v>
          </cell>
          <cell r="AT98">
            <v>9.2910000000000004</v>
          </cell>
          <cell r="AU98">
            <v>10.076000000000001</v>
          </cell>
          <cell r="AV98">
            <v>8.9740000000000002</v>
          </cell>
          <cell r="AW98">
            <v>8.5129999999999999</v>
          </cell>
          <cell r="AX98">
            <v>7.0640000000000001</v>
          </cell>
          <cell r="AY98">
            <v>5.7649999999999997</v>
          </cell>
          <cell r="AZ98">
            <v>4.4409999999999998</v>
          </cell>
          <cell r="BA98">
            <v>4.7169999999999996</v>
          </cell>
          <cell r="BB98">
            <v>3.7320000000000002</v>
          </cell>
          <cell r="BC98">
            <v>2.2789999999999999</v>
          </cell>
          <cell r="BD98">
            <v>1.3859999999999999</v>
          </cell>
          <cell r="BE98">
            <v>0.75900000000000001</v>
          </cell>
          <cell r="BF98">
            <v>0.32400000000000001</v>
          </cell>
          <cell r="BG98">
            <v>8.5999999999999993E-2</v>
          </cell>
          <cell r="BH98">
            <v>1.9E-2</v>
          </cell>
          <cell r="BI98">
            <v>4.0000000000000001E-3</v>
          </cell>
          <cell r="BJ98">
            <v>12.691927733034175</v>
          </cell>
          <cell r="BK98">
            <v>11.974448704854076</v>
          </cell>
          <cell r="BL98">
            <v>11.250272089479765</v>
          </cell>
          <cell r="BM98">
            <v>8.5344004822262782</v>
          </cell>
          <cell r="BN98">
            <v>9.1229509569177711</v>
          </cell>
          <cell r="BO98">
            <v>8.0597089898364125</v>
          </cell>
          <cell r="BP98">
            <v>7.5858546958458213</v>
          </cell>
          <cell r="BQ98">
            <v>6.3149875257438506</v>
          </cell>
          <cell r="BR98">
            <v>5.2241180114863628</v>
          </cell>
          <cell r="BS98">
            <v>4.1298997036317671</v>
          </cell>
          <cell r="BT98">
            <v>4.547661704870821</v>
          </cell>
          <cell r="BU98">
            <v>3.8142759071044656</v>
          </cell>
          <cell r="BV98">
            <v>2.5350367530097282</v>
          </cell>
          <cell r="BW98">
            <v>1.769000217671584</v>
          </cell>
          <cell r="BX98">
            <v>1.2239840597424778</v>
          </cell>
          <cell r="BY98">
            <v>0.72668821057214139</v>
          </cell>
          <cell r="BZ98">
            <v>0.31227500293019445</v>
          </cell>
          <cell r="CA98">
            <v>0.12390536309294577</v>
          </cell>
          <cell r="CB98">
            <v>4.6883110359492997E-2</v>
          </cell>
          <cell r="CC98">
            <v>1.0046380791319927E-2</v>
          </cell>
          <cell r="CD98">
            <v>1.6743967985533212E-3</v>
          </cell>
          <cell r="CE98">
            <v>10.877437526045783</v>
          </cell>
          <cell r="CF98">
            <v>10.863067438819355</v>
          </cell>
          <cell r="CG98">
            <v>10.693500409547486</v>
          </cell>
          <cell r="CH98">
            <v>10.005891735762837</v>
          </cell>
          <cell r="CI98">
            <v>9.1113538059176022</v>
          </cell>
          <cell r="CJ98">
            <v>6.6756240210378088</v>
          </cell>
          <cell r="CK98">
            <v>7.2396499446751656</v>
          </cell>
          <cell r="CL98">
            <v>6.4478581384989004</v>
          </cell>
          <cell r="CM98">
            <v>6.1166276279297014</v>
          </cell>
          <cell r="CN98">
            <v>5.0755148083748871</v>
          </cell>
          <cell r="CO98">
            <v>4.1421776430182931</v>
          </cell>
          <cell r="CP98">
            <v>3.1908778686286623</v>
          </cell>
          <cell r="CQ98">
            <v>3.3891850723533885</v>
          </cell>
          <cell r="CR98">
            <v>2.6814582764517385</v>
          </cell>
          <cell r="CS98">
            <v>1.6374714394516372</v>
          </cell>
          <cell r="CT98">
            <v>0.99584704479156183</v>
          </cell>
          <cell r="CU98">
            <v>0.54534481024299819</v>
          </cell>
          <cell r="CV98">
            <v>0.23279541306815732</v>
          </cell>
          <cell r="CW98">
            <v>6.1791375073646689E-2</v>
          </cell>
          <cell r="CX98">
            <v>1.3651582865107991E-2</v>
          </cell>
          <cell r="CY98">
            <v>2.8740174452858932E-3</v>
          </cell>
          <cell r="CZ98">
            <v>100</v>
          </cell>
          <cell r="DA98">
            <v>99.997125982554707</v>
          </cell>
        </row>
        <row r="99">
          <cell r="B99" t="str">
            <v>KOR</v>
          </cell>
          <cell r="C99" t="str">
            <v>East Asia &amp; Pacific</v>
          </cell>
          <cell r="D99" t="str">
            <v>High income</v>
          </cell>
          <cell r="G99">
            <v>0</v>
          </cell>
          <cell r="H99">
            <v>410</v>
          </cell>
          <cell r="I99">
            <v>51269.2</v>
          </cell>
          <cell r="J99">
            <v>51305.2</v>
          </cell>
          <cell r="K99">
            <v>51329.9</v>
          </cell>
          <cell r="L99">
            <v>51344</v>
          </cell>
          <cell r="M99">
            <v>51347.199999999997</v>
          </cell>
          <cell r="N99">
            <v>51339.4</v>
          </cell>
          <cell r="O99">
            <v>51321.2</v>
          </cell>
          <cell r="P99">
            <v>51293.5</v>
          </cell>
          <cell r="Q99">
            <v>51256.3</v>
          </cell>
          <cell r="R99">
            <v>51209.3</v>
          </cell>
          <cell r="S99">
            <v>51152.1</v>
          </cell>
          <cell r="T99">
            <v>1897.01</v>
          </cell>
          <cell r="U99">
            <v>2256.8000000000002</v>
          </cell>
          <cell r="V99">
            <v>2276.7800000000002</v>
          </cell>
          <cell r="W99">
            <v>2476.48</v>
          </cell>
          <cell r="X99">
            <v>3216.24</v>
          </cell>
          <cell r="Y99">
            <v>3500.05</v>
          </cell>
          <cell r="Z99">
            <v>3282.43</v>
          </cell>
          <cell r="AA99">
            <v>3797.41</v>
          </cell>
          <cell r="AB99">
            <v>3924.93</v>
          </cell>
          <cell r="AC99">
            <v>4293.91</v>
          </cell>
          <cell r="AD99">
            <v>4315.5200000000004</v>
          </cell>
          <cell r="AE99">
            <v>4161.18</v>
          </cell>
          <cell r="AF99">
            <v>3774.57</v>
          </cell>
          <cell r="AG99">
            <v>2679.14</v>
          </cell>
          <cell r="AH99">
            <v>1998.09</v>
          </cell>
          <cell r="AI99">
            <v>1562.56</v>
          </cell>
          <cell r="AJ99">
            <v>1083.83</v>
          </cell>
          <cell r="AK99">
            <v>540.10299999999995</v>
          </cell>
          <cell r="AL99">
            <v>184.90899999999999</v>
          </cell>
          <cell r="AM99">
            <v>42.896000000000001</v>
          </cell>
          <cell r="AN99">
            <v>4.3470000000000004</v>
          </cell>
          <cell r="AO99">
            <v>1707.48</v>
          </cell>
          <cell r="AP99">
            <v>1742.43</v>
          </cell>
          <cell r="AQ99">
            <v>1901.53</v>
          </cell>
          <cell r="AR99">
            <v>2273.3200000000002</v>
          </cell>
          <cell r="AS99">
            <v>2312.9899999999998</v>
          </cell>
          <cell r="AT99">
            <v>2516.83</v>
          </cell>
          <cell r="AU99">
            <v>3243.44</v>
          </cell>
          <cell r="AV99">
            <v>3510.62</v>
          </cell>
          <cell r="AW99">
            <v>3278.56</v>
          </cell>
          <cell r="AX99">
            <v>3769.95</v>
          </cell>
          <cell r="AY99">
            <v>3869.15</v>
          </cell>
          <cell r="AZ99">
            <v>4196.0200000000004</v>
          </cell>
          <cell r="BA99">
            <v>4171.92</v>
          </cell>
          <cell r="BB99">
            <v>3956.18</v>
          </cell>
          <cell r="BC99">
            <v>3473.94</v>
          </cell>
          <cell r="BD99">
            <v>2301.58</v>
          </cell>
          <cell r="BE99">
            <v>1495.99</v>
          </cell>
          <cell r="BF99">
            <v>908.16600000000005</v>
          </cell>
          <cell r="BG99">
            <v>406.68900000000002</v>
          </cell>
          <cell r="BH99">
            <v>102.417</v>
          </cell>
          <cell r="BI99">
            <v>12.846</v>
          </cell>
          <cell r="BJ99">
            <v>3.7000967442441079</v>
          </cell>
          <cell r="BK99">
            <v>4.4018631068945888</v>
          </cell>
          <cell r="BL99">
            <v>4.4408338729685664</v>
          </cell>
          <cell r="BM99">
            <v>4.8303464848290982</v>
          </cell>
          <cell r="BN99">
            <v>6.2732400739625351</v>
          </cell>
          <cell r="BO99">
            <v>6.8268082981595199</v>
          </cell>
          <cell r="BP99">
            <v>6.4023429271375401</v>
          </cell>
          <cell r="BQ99">
            <v>7.4068056454947611</v>
          </cell>
          <cell r="BR99">
            <v>7.6555319763132639</v>
          </cell>
          <cell r="BS99">
            <v>8.3752233309667403</v>
          </cell>
          <cell r="BT99">
            <v>8.4173733937724808</v>
          </cell>
          <cell r="BU99">
            <v>8.1163349535393579</v>
          </cell>
          <cell r="BV99">
            <v>7.3622564814742582</v>
          </cell>
          <cell r="BW99">
            <v>5.2256325435154052</v>
          </cell>
          <cell r="BX99">
            <v>3.8972521513891385</v>
          </cell>
          <cell r="BY99">
            <v>3.0477557675953593</v>
          </cell>
          <cell r="BZ99">
            <v>2.1139982679659521</v>
          </cell>
          <cell r="CA99">
            <v>1.0534648482909816</v>
          </cell>
          <cell r="CB99">
            <v>0.36066293213079198</v>
          </cell>
          <cell r="CC99">
            <v>8.3668167242711033E-2</v>
          </cell>
          <cell r="CD99">
            <v>8.4787747809601088E-3</v>
          </cell>
          <cell r="CE99">
            <v>3.3380447723553872</v>
          </cell>
          <cell r="CF99">
            <v>3.4063704129449235</v>
          </cell>
          <cell r="CG99">
            <v>3.7174035865585187</v>
          </cell>
          <cell r="CH99">
            <v>4.4442359160229987</v>
          </cell>
          <cell r="CI99">
            <v>4.5217889392615351</v>
          </cell>
          <cell r="CJ99">
            <v>4.9202867526455414</v>
          </cell>
          <cell r="CK99">
            <v>6.3407758430250176</v>
          </cell>
          <cell r="CL99">
            <v>6.863100439669144</v>
          </cell>
          <cell r="CM99">
            <v>6.409433825786234</v>
          </cell>
          <cell r="CN99">
            <v>7.3700786477974507</v>
          </cell>
          <cell r="CO99">
            <v>7.5640100797425722</v>
          </cell>
          <cell r="CP99">
            <v>8.2030258777254517</v>
          </cell>
          <cell r="CQ99">
            <v>8.1559114875049126</v>
          </cell>
          <cell r="CR99">
            <v>7.7341497221032949</v>
          </cell>
          <cell r="CS99">
            <v>6.7913927287442748</v>
          </cell>
          <cell r="CT99">
            <v>4.4994829146799447</v>
          </cell>
          <cell r="CU99">
            <v>2.9245915612457747</v>
          </cell>
          <cell r="CV99">
            <v>1.7754227099180682</v>
          </cell>
          <cell r="CW99">
            <v>0.79505826740251151</v>
          </cell>
          <cell r="CX99">
            <v>0.20022051880567954</v>
          </cell>
          <cell r="CY99">
            <v>2.5113338455312686E-2</v>
          </cell>
          <cell r="CZ99">
            <v>99.999970742668111</v>
          </cell>
          <cell r="DA99">
            <v>99.974785003939218</v>
          </cell>
        </row>
        <row r="100">
          <cell r="B100" t="str">
            <v>KWT</v>
          </cell>
          <cell r="C100" t="str">
            <v>Middle East &amp; North Africa</v>
          </cell>
          <cell r="D100" t="str">
            <v>High income</v>
          </cell>
          <cell r="G100">
            <v>0</v>
          </cell>
          <cell r="H100">
            <v>414</v>
          </cell>
          <cell r="I100">
            <v>4270.5600000000004</v>
          </cell>
          <cell r="J100">
            <v>4328.55</v>
          </cell>
          <cell r="K100">
            <v>4380.33</v>
          </cell>
          <cell r="L100">
            <v>4427.8500000000004</v>
          </cell>
          <cell r="M100">
            <v>4473.16</v>
          </cell>
          <cell r="N100">
            <v>4517.8599999999997</v>
          </cell>
          <cell r="O100">
            <v>4563.1400000000003</v>
          </cell>
          <cell r="P100">
            <v>4609.3500000000004</v>
          </cell>
          <cell r="Q100">
            <v>4656.03</v>
          </cell>
          <cell r="R100">
            <v>4702.18</v>
          </cell>
          <cell r="S100">
            <v>4747.08</v>
          </cell>
          <cell r="T100">
            <v>289.68900000000002</v>
          </cell>
          <cell r="U100">
            <v>318.637</v>
          </cell>
          <cell r="V100">
            <v>308.23</v>
          </cell>
          <cell r="W100">
            <v>224.99600000000001</v>
          </cell>
          <cell r="X100">
            <v>207.09399999999999</v>
          </cell>
          <cell r="Y100">
            <v>237.78800000000001</v>
          </cell>
          <cell r="Z100">
            <v>366.39699999999999</v>
          </cell>
          <cell r="AA100">
            <v>512.15899999999999</v>
          </cell>
          <cell r="AB100">
            <v>514.76199999999994</v>
          </cell>
          <cell r="AC100">
            <v>450.60700000000003</v>
          </cell>
          <cell r="AD100">
            <v>347.20100000000002</v>
          </cell>
          <cell r="AE100">
            <v>214.09800000000001</v>
          </cell>
          <cell r="AF100">
            <v>149.26300000000001</v>
          </cell>
          <cell r="AG100">
            <v>71</v>
          </cell>
          <cell r="AH100">
            <v>32.152000000000001</v>
          </cell>
          <cell r="AI100">
            <v>16.398</v>
          </cell>
          <cell r="AJ100">
            <v>7.9409999999999998</v>
          </cell>
          <cell r="AK100">
            <v>1.992</v>
          </cell>
          <cell r="AL100">
            <v>0.14299999999999999</v>
          </cell>
          <cell r="AM100">
            <v>1.6E-2</v>
          </cell>
          <cell r="AN100">
            <v>0</v>
          </cell>
          <cell r="AO100">
            <v>256.08999999999997</v>
          </cell>
          <cell r="AP100">
            <v>250.33</v>
          </cell>
          <cell r="AQ100">
            <v>292.66699999999997</v>
          </cell>
          <cell r="AR100">
            <v>322.15100000000001</v>
          </cell>
          <cell r="AS100">
            <v>362.279</v>
          </cell>
          <cell r="AT100">
            <v>390.04500000000002</v>
          </cell>
          <cell r="AU100">
            <v>389.959</v>
          </cell>
          <cell r="AV100">
            <v>288.77600000000001</v>
          </cell>
          <cell r="AW100">
            <v>288.83199999999999</v>
          </cell>
          <cell r="AX100">
            <v>414.34899999999999</v>
          </cell>
          <cell r="AY100">
            <v>439.964</v>
          </cell>
          <cell r="AZ100">
            <v>388.834</v>
          </cell>
          <cell r="BA100">
            <v>302.899</v>
          </cell>
          <cell r="BB100">
            <v>181.22200000000001</v>
          </cell>
          <cell r="BC100">
            <v>115.827</v>
          </cell>
          <cell r="BD100">
            <v>44.741999999999997</v>
          </cell>
          <cell r="BE100">
            <v>13.763</v>
          </cell>
          <cell r="BF100">
            <v>3.6579999999999999</v>
          </cell>
          <cell r="BG100">
            <v>0.65400000000000003</v>
          </cell>
          <cell r="BH100">
            <v>4.2000000000000003E-2</v>
          </cell>
          <cell r="BI100">
            <v>0</v>
          </cell>
          <cell r="BJ100">
            <v>6.7833960885691811</v>
          </cell>
          <cell r="BK100">
            <v>7.4612463002510205</v>
          </cell>
          <cell r="BL100">
            <v>7.2175546064216407</v>
          </cell>
          <cell r="BM100">
            <v>5.2685362107077287</v>
          </cell>
          <cell r="BN100">
            <v>4.8493406017009475</v>
          </cell>
          <cell r="BO100">
            <v>5.5680753812146415</v>
          </cell>
          <cell r="BP100">
            <v>8.5796008017683842</v>
          </cell>
          <cell r="BQ100">
            <v>11.99278314787756</v>
          </cell>
          <cell r="BR100">
            <v>12.053735341500877</v>
          </cell>
          <cell r="BS100">
            <v>10.551473343074443</v>
          </cell>
          <cell r="BT100">
            <v>8.1301047169457874</v>
          </cell>
          <cell r="BU100">
            <v>5.0133471956839388</v>
          </cell>
          <cell r="BV100">
            <v>3.4951622269678913</v>
          </cell>
          <cell r="BW100">
            <v>1.6625454272975908</v>
          </cell>
          <cell r="BX100">
            <v>0.75287550110524137</v>
          </cell>
          <cell r="BY100">
            <v>0.38397774530740697</v>
          </cell>
          <cell r="BZ100">
            <v>0.18594751039676294</v>
          </cell>
          <cell r="CA100">
            <v>4.6644936495447896E-2</v>
          </cell>
          <cell r="CB100">
            <v>3.3485069873740204E-3</v>
          </cell>
          <cell r="CC100">
            <v>3.7465812446142889E-4</v>
          </cell>
          <cell r="CD100">
            <v>0</v>
          </cell>
          <cell r="CE100">
            <v>5.3946847325092477</v>
          </cell>
          <cell r="CF100">
            <v>5.2733469838300602</v>
          </cell>
          <cell r="CG100">
            <v>6.1652005022034588</v>
          </cell>
          <cell r="CH100">
            <v>6.7862981032550538</v>
          </cell>
          <cell r="CI100">
            <v>7.631617752386731</v>
          </cell>
          <cell r="CJ100">
            <v>8.2165246846482471</v>
          </cell>
          <cell r="CK100">
            <v>8.2147130446506065</v>
          </cell>
          <cell r="CL100">
            <v>6.0832343251009044</v>
          </cell>
          <cell r="CM100">
            <v>6.0844139976575073</v>
          </cell>
          <cell r="CN100">
            <v>8.7285025742140441</v>
          </cell>
          <cell r="CO100">
            <v>9.2680974409531753</v>
          </cell>
          <cell r="CP100">
            <v>8.1910142656117024</v>
          </cell>
          <cell r="CQ100">
            <v>6.380743530759962</v>
          </cell>
          <cell r="CR100">
            <v>3.817546786656218</v>
          </cell>
          <cell r="CS100">
            <v>2.4399630931014435</v>
          </cell>
          <cell r="CT100">
            <v>0.94251624156323466</v>
          </cell>
          <cell r="CU100">
            <v>0.28992559636660853</v>
          </cell>
          <cell r="CV100">
            <v>7.7057896643831572E-2</v>
          </cell>
          <cell r="CW100">
            <v>1.3776890214616143E-2</v>
          </cell>
          <cell r="CX100">
            <v>8.8475441745241288E-4</v>
          </cell>
          <cell r="CY100">
            <v>0</v>
          </cell>
          <cell r="CZ100">
            <v>100.00007024839832</v>
          </cell>
          <cell r="DA100">
            <v>100.00006319674411</v>
          </cell>
        </row>
        <row r="101">
          <cell r="B101" t="str">
            <v>LAO</v>
          </cell>
          <cell r="C101" t="str">
            <v>East Asia &amp; Pacific</v>
          </cell>
          <cell r="D101" t="str">
            <v>Lower middle income</v>
          </cell>
          <cell r="E101" t="str">
            <v>IDA</v>
          </cell>
          <cell r="G101">
            <v>0</v>
          </cell>
          <cell r="H101">
            <v>418</v>
          </cell>
          <cell r="I101">
            <v>7275.56</v>
          </cell>
          <cell r="J101">
            <v>7379.36</v>
          </cell>
          <cell r="K101">
            <v>7481.03</v>
          </cell>
          <cell r="L101">
            <v>7580.61</v>
          </cell>
          <cell r="M101">
            <v>7678.4</v>
          </cell>
          <cell r="N101">
            <v>7774.53</v>
          </cell>
          <cell r="O101">
            <v>7868.91</v>
          </cell>
          <cell r="P101">
            <v>7961.31</v>
          </cell>
          <cell r="Q101">
            <v>8051.68</v>
          </cell>
          <cell r="R101">
            <v>8140.01</v>
          </cell>
          <cell r="S101">
            <v>8226.2800000000007</v>
          </cell>
          <cell r="T101">
            <v>796.88699999999994</v>
          </cell>
          <cell r="U101">
            <v>769.85500000000002</v>
          </cell>
          <cell r="V101">
            <v>757.59900000000005</v>
          </cell>
          <cell r="W101">
            <v>708.65200000000004</v>
          </cell>
          <cell r="X101">
            <v>691.99900000000002</v>
          </cell>
          <cell r="Y101">
            <v>670.62599999999998</v>
          </cell>
          <cell r="Z101">
            <v>590.92600000000004</v>
          </cell>
          <cell r="AA101">
            <v>495.60300000000001</v>
          </cell>
          <cell r="AB101">
            <v>416.55700000000002</v>
          </cell>
          <cell r="AC101">
            <v>356.12700000000001</v>
          </cell>
          <cell r="AD101">
            <v>288.93200000000002</v>
          </cell>
          <cell r="AE101">
            <v>237.64500000000001</v>
          </cell>
          <cell r="AF101">
            <v>184.27</v>
          </cell>
          <cell r="AG101">
            <v>133.70099999999999</v>
          </cell>
          <cell r="AH101">
            <v>84.637</v>
          </cell>
          <cell r="AI101">
            <v>51.527000000000001</v>
          </cell>
          <cell r="AJ101">
            <v>27.327999999999999</v>
          </cell>
          <cell r="AK101">
            <v>10.037000000000001</v>
          </cell>
          <cell r="AL101">
            <v>2.34</v>
          </cell>
          <cell r="AM101">
            <v>0.28799999999999998</v>
          </cell>
          <cell r="AN101">
            <v>0.02</v>
          </cell>
          <cell r="AO101">
            <v>746.96100000000001</v>
          </cell>
          <cell r="AP101">
            <v>766.79200000000003</v>
          </cell>
          <cell r="AQ101">
            <v>781.70299999999997</v>
          </cell>
          <cell r="AR101">
            <v>752.63499999999999</v>
          </cell>
          <cell r="AS101">
            <v>723.923</v>
          </cell>
          <cell r="AT101">
            <v>663.59199999999998</v>
          </cell>
          <cell r="AU101">
            <v>651.52599999999995</v>
          </cell>
          <cell r="AV101">
            <v>642.40300000000002</v>
          </cell>
          <cell r="AW101">
            <v>572.14700000000005</v>
          </cell>
          <cell r="AX101">
            <v>478.91899999999998</v>
          </cell>
          <cell r="AY101">
            <v>396.32799999999997</v>
          </cell>
          <cell r="AZ101">
            <v>329.54700000000003</v>
          </cell>
          <cell r="BA101">
            <v>255.87700000000001</v>
          </cell>
          <cell r="BB101">
            <v>195.84899999999999</v>
          </cell>
          <cell r="BC101">
            <v>134.661</v>
          </cell>
          <cell r="BD101">
            <v>80.066999999999993</v>
          </cell>
          <cell r="BE101">
            <v>36.600999999999999</v>
          </cell>
          <cell r="BF101">
            <v>13.101000000000001</v>
          </cell>
          <cell r="BG101">
            <v>3.1930000000000001</v>
          </cell>
          <cell r="BH101">
            <v>0.42099999999999999</v>
          </cell>
          <cell r="BI101">
            <v>3.1E-2</v>
          </cell>
          <cell r="BJ101">
            <v>10.952930083732385</v>
          </cell>
          <cell r="BK101">
            <v>10.581384800620159</v>
          </cell>
          <cell r="BL101">
            <v>10.412930413603902</v>
          </cell>
          <cell r="BM101">
            <v>9.7401712033163079</v>
          </cell>
          <cell r="BN101">
            <v>9.5112816058145349</v>
          </cell>
          <cell r="BO101">
            <v>9.2175172770205993</v>
          </cell>
          <cell r="BP101">
            <v>8.1220689541423621</v>
          </cell>
          <cell r="BQ101">
            <v>6.8118880196163589</v>
          </cell>
          <cell r="BR101">
            <v>5.7254286955230942</v>
          </cell>
          <cell r="BS101">
            <v>4.894839709932981</v>
          </cell>
          <cell r="BT101">
            <v>3.9712681910395906</v>
          </cell>
          <cell r="BU101">
            <v>3.2663465080351202</v>
          </cell>
          <cell r="BV101">
            <v>2.5327260032217453</v>
          </cell>
          <cell r="BW101">
            <v>1.8376729763757014</v>
          </cell>
          <cell r="BX101">
            <v>1.1633056424522648</v>
          </cell>
          <cell r="BY101">
            <v>0.70822039815491866</v>
          </cell>
          <cell r="BZ101">
            <v>0.37561369846444809</v>
          </cell>
          <cell r="CA101">
            <v>0.13795501652106504</v>
          </cell>
          <cell r="CB101">
            <v>3.2162472716876771E-2</v>
          </cell>
          <cell r="CC101">
            <v>3.9584581805386801E-3</v>
          </cell>
          <cell r="CD101">
            <v>2.7489292920407501E-4</v>
          </cell>
          <cell r="CE101">
            <v>9.0801796194634754</v>
          </cell>
          <cell r="CF101">
            <v>9.3212484865577157</v>
          </cell>
          <cell r="CG101">
            <v>9.5025090320290566</v>
          </cell>
          <cell r="CH101">
            <v>9.1491536879367086</v>
          </cell>
          <cell r="CI101">
            <v>8.8001259378479695</v>
          </cell>
          <cell r="CJ101">
            <v>8.0667324720286668</v>
          </cell>
          <cell r="CK101">
            <v>7.9200562100973944</v>
          </cell>
          <cell r="CL101">
            <v>7.8091555356734759</v>
          </cell>
          <cell r="CM101">
            <v>6.9551121527592059</v>
          </cell>
          <cell r="CN101">
            <v>5.8218173949829071</v>
          </cell>
          <cell r="CO101">
            <v>4.8178277423087952</v>
          </cell>
          <cell r="CP101">
            <v>4.0060270255814299</v>
          </cell>
          <cell r="CQ101">
            <v>3.1104825024190763</v>
          </cell>
          <cell r="CR101">
            <v>2.3807723539680143</v>
          </cell>
          <cell r="CS101">
            <v>1.6369610565164325</v>
          </cell>
          <cell r="CT101">
            <v>0.97330749743504941</v>
          </cell>
          <cell r="CU101">
            <v>0.44492771945520937</v>
          </cell>
          <cell r="CV101">
            <v>0.15925789056535883</v>
          </cell>
          <cell r="CW101">
            <v>3.8814628240225225E-2</v>
          </cell>
          <cell r="CX101">
            <v>5.1177445941543442E-3</v>
          </cell>
          <cell r="CY101">
            <v>3.7684105087597308E-4</v>
          </cell>
          <cell r="CZ101">
            <v>99.999945021414106</v>
          </cell>
          <cell r="DA101">
            <v>99.999586690460291</v>
          </cell>
        </row>
        <row r="102">
          <cell r="B102" t="str">
            <v>LBN</v>
          </cell>
          <cell r="C102" t="str">
            <v>Middle East &amp; North Africa</v>
          </cell>
          <cell r="D102" t="str">
            <v>Upper middle income</v>
          </cell>
          <cell r="E102" t="str">
            <v>IBRD</v>
          </cell>
          <cell r="G102">
            <v>0</v>
          </cell>
          <cell r="H102">
            <v>422</v>
          </cell>
          <cell r="I102">
            <v>6825.44</v>
          </cell>
          <cell r="J102">
            <v>6769.15</v>
          </cell>
          <cell r="K102">
            <v>6684.85</v>
          </cell>
          <cell r="L102">
            <v>6585.12</v>
          </cell>
          <cell r="M102">
            <v>6485.34</v>
          </cell>
          <cell r="N102">
            <v>6397.25</v>
          </cell>
          <cell r="O102">
            <v>6326.66</v>
          </cell>
          <cell r="P102">
            <v>6273.63</v>
          </cell>
          <cell r="Q102">
            <v>6236.67</v>
          </cell>
          <cell r="R102">
            <v>6211.49</v>
          </cell>
          <cell r="S102">
            <v>6194.84</v>
          </cell>
          <cell r="T102">
            <v>566.12699999999995</v>
          </cell>
          <cell r="U102">
            <v>586.03</v>
          </cell>
          <cell r="V102">
            <v>558.89599999999996</v>
          </cell>
          <cell r="W102">
            <v>576.101</v>
          </cell>
          <cell r="X102">
            <v>593.17200000000003</v>
          </cell>
          <cell r="Y102">
            <v>583.40200000000004</v>
          </cell>
          <cell r="Z102">
            <v>522.01900000000001</v>
          </cell>
          <cell r="AA102">
            <v>487.62700000000001</v>
          </cell>
          <cell r="AB102">
            <v>453.01799999999997</v>
          </cell>
          <cell r="AC102">
            <v>409.72500000000002</v>
          </cell>
          <cell r="AD102">
            <v>390.37299999999999</v>
          </cell>
          <cell r="AE102">
            <v>334.40499999999997</v>
          </cell>
          <cell r="AF102">
            <v>249.291</v>
          </cell>
          <cell r="AG102">
            <v>198.476</v>
          </cell>
          <cell r="AH102">
            <v>131.48099999999999</v>
          </cell>
          <cell r="AI102">
            <v>80.091999999999999</v>
          </cell>
          <cell r="AJ102">
            <v>62.774000000000001</v>
          </cell>
          <cell r="AK102">
            <v>32.67</v>
          </cell>
          <cell r="AL102">
            <v>8.1880000000000006</v>
          </cell>
          <cell r="AM102">
            <v>1.425</v>
          </cell>
          <cell r="AN102">
            <v>0.15</v>
          </cell>
          <cell r="AO102">
            <v>434.80900000000003</v>
          </cell>
          <cell r="AP102">
            <v>443.154</v>
          </cell>
          <cell r="AQ102">
            <v>420.34899999999999</v>
          </cell>
          <cell r="AR102">
            <v>436.51400000000001</v>
          </cell>
          <cell r="AS102">
            <v>415.31700000000001</v>
          </cell>
          <cell r="AT102">
            <v>440.87099999999998</v>
          </cell>
          <cell r="AU102">
            <v>465.2</v>
          </cell>
          <cell r="AV102">
            <v>472.37799999999999</v>
          </cell>
          <cell r="AW102">
            <v>433.30599999999998</v>
          </cell>
          <cell r="AX102">
            <v>415.13400000000001</v>
          </cell>
          <cell r="AY102">
            <v>388.77600000000001</v>
          </cell>
          <cell r="AZ102">
            <v>351.529</v>
          </cell>
          <cell r="BA102">
            <v>334.88099999999997</v>
          </cell>
          <cell r="BB102">
            <v>280.02999999999997</v>
          </cell>
          <cell r="BC102">
            <v>196.298</v>
          </cell>
          <cell r="BD102">
            <v>140.16900000000001</v>
          </cell>
          <cell r="BE102">
            <v>73.853999999999999</v>
          </cell>
          <cell r="BF102">
            <v>31.72</v>
          </cell>
          <cell r="BG102">
            <v>16.082000000000001</v>
          </cell>
          <cell r="BH102">
            <v>4.0949999999999998</v>
          </cell>
          <cell r="BI102">
            <v>0.376</v>
          </cell>
          <cell r="BJ102">
            <v>8.2943663705197022</v>
          </cell>
          <cell r="BK102">
            <v>8.5859666190018515</v>
          </cell>
          <cell r="BL102">
            <v>8.1884244825242032</v>
          </cell>
          <cell r="BM102">
            <v>8.440496143838347</v>
          </cell>
          <cell r="BN102">
            <v>8.6906045617571905</v>
          </cell>
          <cell r="BO102">
            <v>8.5474636067418377</v>
          </cell>
          <cell r="BP102">
            <v>7.648136969924284</v>
          </cell>
          <cell r="BQ102">
            <v>7.1442573665580547</v>
          </cell>
          <cell r="BR102">
            <v>6.6371984809770508</v>
          </cell>
          <cell r="BS102">
            <v>6.0029097025246729</v>
          </cell>
          <cell r="BT102">
            <v>5.7193821936754263</v>
          </cell>
          <cell r="BU102">
            <v>4.8993911015260547</v>
          </cell>
          <cell r="BV102">
            <v>3.6523799198293445</v>
          </cell>
          <cell r="BW102">
            <v>2.9078857919782464</v>
          </cell>
          <cell r="BX102">
            <v>1.9263373496800205</v>
          </cell>
          <cell r="BY102">
            <v>1.1734335075833939</v>
          </cell>
          <cell r="BZ102">
            <v>0.91970627534635141</v>
          </cell>
          <cell r="CA102">
            <v>0.47865046062964439</v>
          </cell>
          <cell r="CB102">
            <v>0.11996296209475141</v>
          </cell>
          <cell r="CC102">
            <v>2.0877774912679625E-2</v>
          </cell>
          <cell r="CD102">
            <v>2.1976605171241709E-3</v>
          </cell>
          <cell r="CE102">
            <v>7.0188899148323447</v>
          </cell>
          <cell r="CF102">
            <v>7.1535988015832528</v>
          </cell>
          <cell r="CG102">
            <v>6.7854698426432307</v>
          </cell>
          <cell r="CH102">
            <v>7.0464128209929564</v>
          </cell>
          <cell r="CI102">
            <v>6.7042409489187769</v>
          </cell>
          <cell r="CJ102">
            <v>7.116745549521859</v>
          </cell>
          <cell r="CK102">
            <v>7.509475628103389</v>
          </cell>
          <cell r="CL102">
            <v>7.625346255916214</v>
          </cell>
          <cell r="CM102">
            <v>6.9946277869969196</v>
          </cell>
          <cell r="CN102">
            <v>6.7012868774657619</v>
          </cell>
          <cell r="CO102">
            <v>6.2758037334297576</v>
          </cell>
          <cell r="CP102">
            <v>5.6745452667058389</v>
          </cell>
          <cell r="CQ102">
            <v>5.4058054768161883</v>
          </cell>
          <cell r="CR102">
            <v>4.5203750217923302</v>
          </cell>
          <cell r="CS102">
            <v>3.1687339786015456</v>
          </cell>
          <cell r="CT102">
            <v>2.2626734508074464</v>
          </cell>
          <cell r="CU102">
            <v>1.1921857545957604</v>
          </cell>
          <cell r="CV102">
            <v>0.5120390518560608</v>
          </cell>
          <cell r="CW102">
            <v>0.25960315359234459</v>
          </cell>
          <cell r="CX102">
            <v>6.6103402186335716E-2</v>
          </cell>
          <cell r="CY102">
            <v>6.0695675755951728E-3</v>
          </cell>
          <cell r="CZ102">
            <v>100.00002930214022</v>
          </cell>
          <cell r="DA102">
            <v>99.993962717358301</v>
          </cell>
        </row>
        <row r="103">
          <cell r="B103" t="str">
            <v>LBR</v>
          </cell>
          <cell r="C103" t="str">
            <v>Sub-Saharan Africa</v>
          </cell>
          <cell r="D103" t="str">
            <v>Low income</v>
          </cell>
          <cell r="E103" t="str">
            <v>IDA</v>
          </cell>
          <cell r="F103" t="str">
            <v>HIPC</v>
          </cell>
          <cell r="G103">
            <v>1</v>
          </cell>
          <cell r="H103">
            <v>430</v>
          </cell>
          <cell r="I103">
            <v>5057.68</v>
          </cell>
          <cell r="J103">
            <v>5180.21</v>
          </cell>
          <cell r="K103">
            <v>5305.12</v>
          </cell>
          <cell r="L103">
            <v>5432.27</v>
          </cell>
          <cell r="M103">
            <v>5561.38</v>
          </cell>
          <cell r="N103">
            <v>5692.19</v>
          </cell>
          <cell r="O103">
            <v>5824.73</v>
          </cell>
          <cell r="P103">
            <v>5959.02</v>
          </cell>
          <cell r="Q103">
            <v>6095</v>
          </cell>
          <cell r="R103">
            <v>6232.54</v>
          </cell>
          <cell r="S103">
            <v>6371.56</v>
          </cell>
          <cell r="T103">
            <v>740.49300000000005</v>
          </cell>
          <cell r="U103">
            <v>678.32299999999998</v>
          </cell>
          <cell r="V103">
            <v>623.08000000000004</v>
          </cell>
          <cell r="W103">
            <v>551.94500000000005</v>
          </cell>
          <cell r="X103">
            <v>463.072</v>
          </cell>
          <cell r="Y103">
            <v>377.78100000000001</v>
          </cell>
          <cell r="Z103">
            <v>334.30500000000001</v>
          </cell>
          <cell r="AA103">
            <v>295.50299999999999</v>
          </cell>
          <cell r="AB103">
            <v>245.405</v>
          </cell>
          <cell r="AC103">
            <v>198.791</v>
          </cell>
          <cell r="AD103">
            <v>158.07499999999999</v>
          </cell>
          <cell r="AE103">
            <v>125.753</v>
          </cell>
          <cell r="AF103">
            <v>97.311999999999998</v>
          </cell>
          <cell r="AG103">
            <v>71.158000000000001</v>
          </cell>
          <cell r="AH103">
            <v>45.006999999999998</v>
          </cell>
          <cell r="AI103">
            <v>31.448</v>
          </cell>
          <cell r="AJ103">
            <v>15.002000000000001</v>
          </cell>
          <cell r="AK103">
            <v>4.5199999999999996</v>
          </cell>
          <cell r="AL103">
            <v>0.66700000000000004</v>
          </cell>
          <cell r="AM103">
            <v>3.6999999999999998E-2</v>
          </cell>
          <cell r="AN103">
            <v>0</v>
          </cell>
          <cell r="AO103">
            <v>861.33699999999999</v>
          </cell>
          <cell r="AP103">
            <v>788.78399999999999</v>
          </cell>
          <cell r="AQ103">
            <v>719.92899999999997</v>
          </cell>
          <cell r="AR103">
            <v>665.14599999999996</v>
          </cell>
          <cell r="AS103">
            <v>609.03</v>
          </cell>
          <cell r="AT103">
            <v>536.15099999999995</v>
          </cell>
          <cell r="AU103">
            <v>447.322</v>
          </cell>
          <cell r="AV103">
            <v>362.66800000000001</v>
          </cell>
          <cell r="AW103">
            <v>318.286</v>
          </cell>
          <cell r="AX103">
            <v>278.22800000000001</v>
          </cell>
          <cell r="AY103">
            <v>227.251</v>
          </cell>
          <cell r="AZ103">
            <v>179.45699999999999</v>
          </cell>
          <cell r="BA103">
            <v>137.202</v>
          </cell>
          <cell r="BB103">
            <v>101.93600000000001</v>
          </cell>
          <cell r="BC103">
            <v>69.995000000000005</v>
          </cell>
          <cell r="BD103">
            <v>41.798000000000002</v>
          </cell>
          <cell r="BE103">
            <v>18.63</v>
          </cell>
          <cell r="BF103">
            <v>7.1120000000000001</v>
          </cell>
          <cell r="BG103">
            <v>1.216</v>
          </cell>
          <cell r="BH103">
            <v>7.8E-2</v>
          </cell>
          <cell r="BI103">
            <v>2E-3</v>
          </cell>
          <cell r="BJ103">
            <v>14.640961863937616</v>
          </cell>
          <cell r="BK103">
            <v>13.411742142642474</v>
          </cell>
          <cell r="BL103">
            <v>12.319482450451591</v>
          </cell>
          <cell r="BM103">
            <v>10.913007544961326</v>
          </cell>
          <cell r="BN103">
            <v>9.1558184780373608</v>
          </cell>
          <cell r="BO103">
            <v>7.469452397146517</v>
          </cell>
          <cell r="BP103">
            <v>6.6098487844228977</v>
          </cell>
          <cell r="BQ103">
            <v>5.8426590847977726</v>
          </cell>
          <cell r="BR103">
            <v>4.8521258758956671</v>
          </cell>
          <cell r="BS103">
            <v>3.930478005725945</v>
          </cell>
          <cell r="BT103">
            <v>3.1254448680027207</v>
          </cell>
          <cell r="BU103">
            <v>2.4863771531611332</v>
          </cell>
          <cell r="BV103">
            <v>1.9240442258110435</v>
          </cell>
          <cell r="BW103">
            <v>1.4069296594486009</v>
          </cell>
          <cell r="BX103">
            <v>0.88987440881985402</v>
          </cell>
          <cell r="BY103">
            <v>0.62178706442479559</v>
          </cell>
          <cell r="BZ103">
            <v>0.29661821230287405</v>
          </cell>
          <cell r="CA103">
            <v>8.9369038768763523E-2</v>
          </cell>
          <cell r="CB103">
            <v>1.3187864791762233E-2</v>
          </cell>
          <cell r="CC103">
            <v>7.3156071558501119E-4</v>
          </cell>
          <cell r="CD103">
            <v>0</v>
          </cell>
          <cell r="CE103">
            <v>13.518463296272811</v>
          </cell>
          <cell r="CF103">
            <v>12.379762569920082</v>
          </cell>
          <cell r="CG103">
            <v>11.299101005091373</v>
          </cell>
          <cell r="CH103">
            <v>10.439295871026873</v>
          </cell>
          <cell r="CI103">
            <v>9.5585696438548791</v>
          </cell>
          <cell r="CJ103">
            <v>8.4147524311157706</v>
          </cell>
          <cell r="CK103">
            <v>7.0206040592884627</v>
          </cell>
          <cell r="CL103">
            <v>5.6919812416425488</v>
          </cell>
          <cell r="CM103">
            <v>4.9954171348931808</v>
          </cell>
          <cell r="CN103">
            <v>4.3667170991091666</v>
          </cell>
          <cell r="CO103">
            <v>3.5666461588684717</v>
          </cell>
          <cell r="CP103">
            <v>2.8165315872408012</v>
          </cell>
          <cell r="CQ103">
            <v>2.1533501999510323</v>
          </cell>
          <cell r="CR103">
            <v>1.5998593750980921</v>
          </cell>
          <cell r="CS103">
            <v>1.0985535724375193</v>
          </cell>
          <cell r="CT103">
            <v>0.65600888950272773</v>
          </cell>
          <cell r="CU103">
            <v>0.29239307171242207</v>
          </cell>
          <cell r="CV103">
            <v>0.11162101588935833</v>
          </cell>
          <cell r="CW103">
            <v>1.9084808116065766E-2</v>
          </cell>
          <cell r="CX103">
            <v>1.2241899942871132E-3</v>
          </cell>
          <cell r="CY103">
            <v>3.138948703300291E-5</v>
          </cell>
          <cell r="CZ103">
            <v>99.999940684266278</v>
          </cell>
          <cell r="DA103">
            <v>99.999937221025931</v>
          </cell>
        </row>
        <row r="104">
          <cell r="B104" t="str">
            <v>LBY</v>
          </cell>
          <cell r="C104" t="str">
            <v>Middle East &amp; North Africa</v>
          </cell>
          <cell r="D104" t="str">
            <v>Upper middle income</v>
          </cell>
          <cell r="E104" t="str">
            <v>IBRD</v>
          </cell>
          <cell r="G104">
            <v>0</v>
          </cell>
          <cell r="H104">
            <v>434</v>
          </cell>
          <cell r="I104">
            <v>6871.29</v>
          </cell>
          <cell r="J104">
            <v>6958.54</v>
          </cell>
          <cell r="K104">
            <v>7040.75</v>
          </cell>
          <cell r="L104">
            <v>7118.66</v>
          </cell>
          <cell r="M104">
            <v>7193.92</v>
          </cell>
          <cell r="N104">
            <v>7267.71</v>
          </cell>
          <cell r="O104">
            <v>7339.91</v>
          </cell>
          <cell r="P104">
            <v>7409.79</v>
          </cell>
          <cell r="Q104">
            <v>7477.41</v>
          </cell>
          <cell r="R104">
            <v>7542.93</v>
          </cell>
          <cell r="S104">
            <v>7606.41</v>
          </cell>
          <cell r="T104">
            <v>623.99800000000005</v>
          </cell>
          <cell r="U104">
            <v>661.423</v>
          </cell>
          <cell r="V104">
            <v>623.74900000000002</v>
          </cell>
          <cell r="W104">
            <v>561.995</v>
          </cell>
          <cell r="X104">
            <v>542.18100000000004</v>
          </cell>
          <cell r="Y104">
            <v>553.23500000000001</v>
          </cell>
          <cell r="Z104">
            <v>585.24</v>
          </cell>
          <cell r="AA104">
            <v>578.22799999999995</v>
          </cell>
          <cell r="AB104">
            <v>564.54999999999995</v>
          </cell>
          <cell r="AC104">
            <v>484.65</v>
          </cell>
          <cell r="AD104">
            <v>371.90699999999998</v>
          </cell>
          <cell r="AE104">
            <v>245.24700000000001</v>
          </cell>
          <cell r="AF104">
            <v>163.904</v>
          </cell>
          <cell r="AG104">
            <v>120.355</v>
          </cell>
          <cell r="AH104">
            <v>79.790999999999997</v>
          </cell>
          <cell r="AI104">
            <v>59.134999999999998</v>
          </cell>
          <cell r="AJ104">
            <v>33.901000000000003</v>
          </cell>
          <cell r="AK104">
            <v>13.772</v>
          </cell>
          <cell r="AL104">
            <v>3.5110000000000001</v>
          </cell>
          <cell r="AM104">
            <v>0.48199999999999998</v>
          </cell>
          <cell r="AN104">
            <v>3.3000000000000002E-2</v>
          </cell>
          <cell r="AO104">
            <v>550.03499999999997</v>
          </cell>
          <cell r="AP104">
            <v>583.64499999999998</v>
          </cell>
          <cell r="AQ104">
            <v>621.30600000000004</v>
          </cell>
          <cell r="AR104">
            <v>657.68600000000004</v>
          </cell>
          <cell r="AS104">
            <v>616.54399999999998</v>
          </cell>
          <cell r="AT104">
            <v>551.98500000000001</v>
          </cell>
          <cell r="AU104">
            <v>531.52200000000005</v>
          </cell>
          <cell r="AV104">
            <v>542.29200000000003</v>
          </cell>
          <cell r="AW104">
            <v>572.44799999999998</v>
          </cell>
          <cell r="AX104">
            <v>562.14599999999996</v>
          </cell>
          <cell r="AY104">
            <v>542.51</v>
          </cell>
          <cell r="AZ104">
            <v>455.77499999999998</v>
          </cell>
          <cell r="BA104">
            <v>337.18299999999999</v>
          </cell>
          <cell r="BB104">
            <v>209.67599999999999</v>
          </cell>
          <cell r="BC104">
            <v>127.28100000000001</v>
          </cell>
          <cell r="BD104">
            <v>79.664000000000001</v>
          </cell>
          <cell r="BE104">
            <v>40.014000000000003</v>
          </cell>
          <cell r="BF104">
            <v>18.565000000000001</v>
          </cell>
          <cell r="BG104">
            <v>5.2569999999999997</v>
          </cell>
          <cell r="BH104">
            <v>0.81599999999999995</v>
          </cell>
          <cell r="BI104">
            <v>6.4000000000000001E-2</v>
          </cell>
          <cell r="BJ104">
            <v>9.0812351101467126</v>
          </cell>
          <cell r="BK104">
            <v>9.625892663531884</v>
          </cell>
          <cell r="BL104">
            <v>9.0776113364448303</v>
          </cell>
          <cell r="BM104">
            <v>8.1788863517621877</v>
          </cell>
          <cell r="BN104">
            <v>7.8905271062638889</v>
          </cell>
          <cell r="BO104">
            <v>8.0513993733345561</v>
          </cell>
          <cell r="BP104">
            <v>8.5171779971446409</v>
          </cell>
          <cell r="BQ104">
            <v>8.4151302011703759</v>
          </cell>
          <cell r="BR104">
            <v>8.2160700538035787</v>
          </cell>
          <cell r="BS104">
            <v>7.0532607414328305</v>
          </cell>
          <cell r="BT104">
            <v>5.4124771331147423</v>
          </cell>
          <cell r="BU104">
            <v>3.5691551368083725</v>
          </cell>
          <cell r="BV104">
            <v>2.3853454009363597</v>
          </cell>
          <cell r="BW104">
            <v>1.751563389116163</v>
          </cell>
          <cell r="BX104">
            <v>1.1612230017944229</v>
          </cell>
          <cell r="BY104">
            <v>0.86060987092671093</v>
          </cell>
          <cell r="BZ104">
            <v>0.49337169585332602</v>
          </cell>
          <cell r="CA104">
            <v>0.2004281583225275</v>
          </cell>
          <cell r="CB104">
            <v>5.1096664527330381E-2</v>
          </cell>
          <cell r="CC104">
            <v>7.0146944751276682E-3</v>
          </cell>
          <cell r="CD104">
            <v>4.8025916530957069E-4</v>
          </cell>
          <cell r="CE104">
            <v>7.2312036821575481</v>
          </cell>
          <cell r="CF104">
            <v>7.6730678467240132</v>
          </cell>
          <cell r="CG104">
            <v>8.168189724193148</v>
          </cell>
          <cell r="CH104">
            <v>8.6464705426081423</v>
          </cell>
          <cell r="CI104">
            <v>8.1055846319091387</v>
          </cell>
          <cell r="CJ104">
            <v>7.2568399547223992</v>
          </cell>
          <cell r="CK104">
            <v>6.9878168544687984</v>
          </cell>
          <cell r="CL104">
            <v>7.1294079598654303</v>
          </cell>
          <cell r="CM104">
            <v>7.5258630549760008</v>
          </cell>
          <cell r="CN104">
            <v>7.3904246549949315</v>
          </cell>
          <cell r="CO104">
            <v>7.1322739636701149</v>
          </cell>
          <cell r="CP104">
            <v>5.9919857067920343</v>
          </cell>
          <cell r="CQ104">
            <v>4.4328796370429675</v>
          </cell>
          <cell r="CR104">
            <v>2.7565697878499842</v>
          </cell>
          <cell r="CS104">
            <v>1.6733386709367495</v>
          </cell>
          <cell r="CT104">
            <v>1.0473271885160018</v>
          </cell>
          <cell r="CU104">
            <v>0.5260563130307202</v>
          </cell>
          <cell r="CV104">
            <v>0.24407046162381466</v>
          </cell>
          <cell r="CW104">
            <v>6.9112761473546641E-2</v>
          </cell>
          <cell r="CX104">
            <v>1.0727794057906423E-2</v>
          </cell>
          <cell r="CY104">
            <v>8.4139561238481765E-4</v>
          </cell>
          <cell r="CZ104">
            <v>99.999956340075897</v>
          </cell>
          <cell r="DA104">
            <v>99.999211191613398</v>
          </cell>
        </row>
        <row r="105">
          <cell r="B105" t="str">
            <v>LCA</v>
          </cell>
          <cell r="C105" t="str">
            <v>Latin America &amp; Caribbean</v>
          </cell>
          <cell r="D105" t="str">
            <v>Upper middle income</v>
          </cell>
          <cell r="E105" t="str">
            <v>Blend</v>
          </cell>
          <cell r="G105">
            <v>0</v>
          </cell>
          <cell r="H105">
            <v>662</v>
          </cell>
          <cell r="I105">
            <v>183.62899999999999</v>
          </cell>
          <cell r="J105">
            <v>184.40100000000001</v>
          </cell>
          <cell r="K105">
            <v>185.11199999999999</v>
          </cell>
          <cell r="L105">
            <v>185.77099999999999</v>
          </cell>
          <cell r="M105">
            <v>186.37899999999999</v>
          </cell>
          <cell r="N105">
            <v>186.917</v>
          </cell>
          <cell r="O105">
            <v>187.40899999999999</v>
          </cell>
          <cell r="P105">
            <v>187.82300000000001</v>
          </cell>
          <cell r="Q105">
            <v>188.19200000000001</v>
          </cell>
          <cell r="R105">
            <v>188.49</v>
          </cell>
          <cell r="S105">
            <v>188.74199999999999</v>
          </cell>
          <cell r="T105">
            <v>10.826000000000001</v>
          </cell>
          <cell r="U105">
            <v>10.986000000000001</v>
          </cell>
          <cell r="V105">
            <v>11.151999999999999</v>
          </cell>
          <cell r="W105">
            <v>13.183</v>
          </cell>
          <cell r="X105">
            <v>15.87</v>
          </cell>
          <cell r="Y105">
            <v>16.946000000000002</v>
          </cell>
          <cell r="Z105">
            <v>14.292</v>
          </cell>
          <cell r="AA105">
            <v>14.154999999999999</v>
          </cell>
          <cell r="AB105">
            <v>12.885999999999999</v>
          </cell>
          <cell r="AC105">
            <v>12.631</v>
          </cell>
          <cell r="AD105">
            <v>12.356999999999999</v>
          </cell>
          <cell r="AE105">
            <v>11.018000000000001</v>
          </cell>
          <cell r="AF105">
            <v>8.4169999999999998</v>
          </cell>
          <cell r="AG105">
            <v>6.1379999999999999</v>
          </cell>
          <cell r="AH105">
            <v>4.88</v>
          </cell>
          <cell r="AI105">
            <v>3.4769999999999999</v>
          </cell>
          <cell r="AJ105">
            <v>2.4049999999999998</v>
          </cell>
          <cell r="AK105">
            <v>1.24</v>
          </cell>
          <cell r="AL105">
            <v>0.57999999999999996</v>
          </cell>
          <cell r="AM105">
            <v>0.157</v>
          </cell>
          <cell r="AN105">
            <v>3.3000000000000002E-2</v>
          </cell>
          <cell r="AO105">
            <v>9.2360000000000007</v>
          </cell>
          <cell r="AP105">
            <v>10.147</v>
          </cell>
          <cell r="AQ105">
            <v>10.782</v>
          </cell>
          <cell r="AR105">
            <v>10.945</v>
          </cell>
          <cell r="AS105">
            <v>11.083</v>
          </cell>
          <cell r="AT105">
            <v>13.065</v>
          </cell>
          <cell r="AU105">
            <v>15.709</v>
          </cell>
          <cell r="AV105">
            <v>16.736999999999998</v>
          </cell>
          <cell r="AW105">
            <v>14.055</v>
          </cell>
          <cell r="AX105">
            <v>13.801</v>
          </cell>
          <cell r="AY105">
            <v>12.388</v>
          </cell>
          <cell r="AZ105">
            <v>11.874000000000001</v>
          </cell>
          <cell r="BA105">
            <v>11.292</v>
          </cell>
          <cell r="BB105">
            <v>9.8160000000000007</v>
          </cell>
          <cell r="BC105">
            <v>7.2279999999999998</v>
          </cell>
          <cell r="BD105">
            <v>4.8310000000000004</v>
          </cell>
          <cell r="BE105">
            <v>3.198</v>
          </cell>
          <cell r="BF105">
            <v>1.651</v>
          </cell>
          <cell r="BG105">
            <v>0.69299999999999995</v>
          </cell>
          <cell r="BH105">
            <v>0.17299999999999999</v>
          </cell>
          <cell r="BI105">
            <v>3.7999999999999999E-2</v>
          </cell>
          <cell r="BJ105">
            <v>5.8955829416922167</v>
          </cell>
          <cell r="BK105">
            <v>5.9827151484787269</v>
          </cell>
          <cell r="BL105">
            <v>6.0731148130197292</v>
          </cell>
          <cell r="BM105">
            <v>7.1791492629159892</v>
          </cell>
          <cell r="BN105">
            <v>8.6424257606369359</v>
          </cell>
          <cell r="BO105">
            <v>9.2283898512762157</v>
          </cell>
          <cell r="BP105">
            <v>7.7830843712049846</v>
          </cell>
          <cell r="BQ105">
            <v>7.7084774191440344</v>
          </cell>
          <cell r="BR105">
            <v>7.0174101040685288</v>
          </cell>
          <cell r="BS105">
            <v>6.8785431495025309</v>
          </cell>
          <cell r="BT105">
            <v>6.7293292453806313</v>
          </cell>
          <cell r="BU105">
            <v>6.0001415898360282</v>
          </cell>
          <cell r="BV105">
            <v>4.5836986532628288</v>
          </cell>
          <cell r="BW105">
            <v>3.3426092828474809</v>
          </cell>
          <cell r="BX105">
            <v>2.6575323069885477</v>
          </cell>
          <cell r="BY105">
            <v>1.8934917687293402</v>
          </cell>
          <cell r="BZ105">
            <v>1.3097059832597246</v>
          </cell>
          <cell r="CA105">
            <v>0.67527460259545058</v>
          </cell>
          <cell r="CB105">
            <v>0.31585424960109787</v>
          </cell>
          <cell r="CC105">
            <v>8.549847790926271E-2</v>
          </cell>
          <cell r="CD105">
            <v>1.797101764971764E-2</v>
          </cell>
          <cell r="CE105">
            <v>4.8934524377192155</v>
          </cell>
          <cell r="CF105">
            <v>5.3761219018554431</v>
          </cell>
          <cell r="CG105">
            <v>5.7125600025431549</v>
          </cell>
          <cell r="CH105">
            <v>5.7989212787826778</v>
          </cell>
          <cell r="CI105">
            <v>5.8720369605069358</v>
          </cell>
          <cell r="CJ105">
            <v>6.9221476936770827</v>
          </cell>
          <cell r="CK105">
            <v>8.3230017696114285</v>
          </cell>
          <cell r="CL105">
            <v>8.8676606160790907</v>
          </cell>
          <cell r="CM105">
            <v>7.446673236481546</v>
          </cell>
          <cell r="CN105">
            <v>7.3120979962064627</v>
          </cell>
          <cell r="CO105">
            <v>6.5634569942037286</v>
          </cell>
          <cell r="CP105">
            <v>6.2911275709698957</v>
          </cell>
          <cell r="CQ105">
            <v>5.9827701306545444</v>
          </cell>
          <cell r="CR105">
            <v>5.2007502304733455</v>
          </cell>
          <cell r="CS105">
            <v>3.8295662862531921</v>
          </cell>
          <cell r="CT105">
            <v>2.5595786841296588</v>
          </cell>
          <cell r="CU105">
            <v>1.6943764503925995</v>
          </cell>
          <cell r="CV105">
            <v>0.87473906178804939</v>
          </cell>
          <cell r="CW105">
            <v>0.36716787996312428</v>
          </cell>
          <cell r="CX105">
            <v>9.1659514045628415E-2</v>
          </cell>
          <cell r="CY105">
            <v>2.013330366320162E-2</v>
          </cell>
          <cell r="CZ105">
            <v>99.999999999999986</v>
          </cell>
          <cell r="DA105">
            <v>99.979866696336813</v>
          </cell>
        </row>
        <row r="106">
          <cell r="B106" t="str">
            <v>LKA</v>
          </cell>
          <cell r="C106" t="str">
            <v>South Asia</v>
          </cell>
          <cell r="D106" t="str">
            <v>Lower middle income</v>
          </cell>
          <cell r="E106" t="str">
            <v>IBRD</v>
          </cell>
          <cell r="G106">
            <v>0</v>
          </cell>
          <cell r="H106">
            <v>144</v>
          </cell>
          <cell r="I106">
            <v>21413.3</v>
          </cell>
          <cell r="J106">
            <v>21497.3</v>
          </cell>
          <cell r="K106">
            <v>21575.8</v>
          </cell>
          <cell r="L106">
            <v>21649</v>
          </cell>
          <cell r="M106">
            <v>21716.9</v>
          </cell>
          <cell r="N106">
            <v>21779.7</v>
          </cell>
          <cell r="O106">
            <v>21837.4</v>
          </cell>
          <cell r="P106">
            <v>21890.2</v>
          </cell>
          <cell r="Q106">
            <v>21938.400000000001</v>
          </cell>
          <cell r="R106">
            <v>21982.6</v>
          </cell>
          <cell r="S106">
            <v>22023</v>
          </cell>
          <cell r="T106">
            <v>1660.41</v>
          </cell>
          <cell r="U106">
            <v>1689.63</v>
          </cell>
          <cell r="V106">
            <v>1721.66</v>
          </cell>
          <cell r="W106">
            <v>1664.56</v>
          </cell>
          <cell r="X106">
            <v>1495.65</v>
          </cell>
          <cell r="Y106">
            <v>1406.21</v>
          </cell>
          <cell r="Z106">
            <v>1352.39</v>
          </cell>
          <cell r="AA106">
            <v>1467.64</v>
          </cell>
          <cell r="AB106">
            <v>1524.44</v>
          </cell>
          <cell r="AC106">
            <v>1356.67</v>
          </cell>
          <cell r="AD106">
            <v>1317.28</v>
          </cell>
          <cell r="AE106">
            <v>1237.54</v>
          </cell>
          <cell r="AF106">
            <v>1113.8699999999999</v>
          </cell>
          <cell r="AG106">
            <v>899.32399999999996</v>
          </cell>
          <cell r="AH106">
            <v>727.43100000000004</v>
          </cell>
          <cell r="AI106">
            <v>418.90600000000001</v>
          </cell>
          <cell r="AJ106">
            <v>208.11</v>
          </cell>
          <cell r="AK106">
            <v>106.461</v>
          </cell>
          <cell r="AL106">
            <v>37.893000000000001</v>
          </cell>
          <cell r="AM106">
            <v>6.6219999999999999</v>
          </cell>
          <cell r="AN106">
            <v>0.57499999999999996</v>
          </cell>
          <cell r="AO106">
            <v>1481.93</v>
          </cell>
          <cell r="AP106">
            <v>1508.73</v>
          </cell>
          <cell r="AQ106">
            <v>1603.32</v>
          </cell>
          <cell r="AR106">
            <v>1633.98</v>
          </cell>
          <cell r="AS106">
            <v>1611.03</v>
          </cell>
          <cell r="AT106">
            <v>1471.17</v>
          </cell>
          <cell r="AU106">
            <v>1291.45</v>
          </cell>
          <cell r="AV106">
            <v>1268.52</v>
          </cell>
          <cell r="AW106">
            <v>1277.79</v>
          </cell>
          <cell r="AX106">
            <v>1426.51</v>
          </cell>
          <cell r="AY106">
            <v>1494.64</v>
          </cell>
          <cell r="AZ106">
            <v>1315.13</v>
          </cell>
          <cell r="BA106">
            <v>1241.5</v>
          </cell>
          <cell r="BB106">
            <v>1114.25</v>
          </cell>
          <cell r="BC106">
            <v>922.01</v>
          </cell>
          <cell r="BD106">
            <v>659.80200000000002</v>
          </cell>
          <cell r="BE106">
            <v>451.84300000000002</v>
          </cell>
          <cell r="BF106">
            <v>187.59</v>
          </cell>
          <cell r="BG106">
            <v>50.823999999999998</v>
          </cell>
          <cell r="BH106">
            <v>10.051</v>
          </cell>
          <cell r="BI106">
            <v>0.94799999999999995</v>
          </cell>
          <cell r="BJ106">
            <v>7.7541060929422381</v>
          </cell>
          <cell r="BK106">
            <v>7.8905633414746923</v>
          </cell>
          <cell r="BL106">
            <v>8.0401432754409647</v>
          </cell>
          <cell r="BM106">
            <v>7.7734865714299053</v>
          </cell>
          <cell r="BN106">
            <v>6.9846777470077015</v>
          </cell>
          <cell r="BO106">
            <v>6.5669934106373145</v>
          </cell>
          <cell r="BP106">
            <v>6.3156542896237386</v>
          </cell>
          <cell r="BQ106">
            <v>6.8538711922029778</v>
          </cell>
          <cell r="BR106">
            <v>7.119126897769144</v>
          </cell>
          <cell r="BS106">
            <v>6.3356418674375279</v>
          </cell>
          <cell r="BT106">
            <v>6.1516907716232438</v>
          </cell>
          <cell r="BU106">
            <v>5.779305384971023</v>
          </cell>
          <cell r="BV106">
            <v>5.2017671260384892</v>
          </cell>
          <cell r="BW106">
            <v>4.1998384181793558</v>
          </cell>
          <cell r="BX106">
            <v>3.3970989992201113</v>
          </cell>
          <cell r="BY106">
            <v>1.9562888485193781</v>
          </cell>
          <cell r="BZ106">
            <v>0.97187262122139051</v>
          </cell>
          <cell r="CA106">
            <v>0.49717231813872687</v>
          </cell>
          <cell r="CB106">
            <v>0.17696011357427396</v>
          </cell>
          <cell r="CC106">
            <v>3.0924705673576705E-2</v>
          </cell>
          <cell r="CD106">
            <v>2.6852470193758082E-3</v>
          </cell>
          <cell r="CE106">
            <v>6.7290105798483406</v>
          </cell>
          <cell r="CF106">
            <v>6.8507015392998234</v>
          </cell>
          <cell r="CG106">
            <v>7.280207056259365</v>
          </cell>
          <cell r="CH106">
            <v>7.4194251464378151</v>
          </cell>
          <cell r="CI106">
            <v>7.3152159106388783</v>
          </cell>
          <cell r="CJ106">
            <v>6.6801525677700591</v>
          </cell>
          <cell r="CK106">
            <v>5.8640966262543701</v>
          </cell>
          <cell r="CL106">
            <v>5.7599782046042778</v>
          </cell>
          <cell r="CM106">
            <v>5.8020705625936513</v>
          </cell>
          <cell r="CN106">
            <v>6.4773645734005365</v>
          </cell>
          <cell r="CO106">
            <v>6.7867229714389508</v>
          </cell>
          <cell r="CP106">
            <v>5.9716205784861289</v>
          </cell>
          <cell r="CQ106">
            <v>5.6372882895155065</v>
          </cell>
          <cell r="CR106">
            <v>5.0594832674930759</v>
          </cell>
          <cell r="CS106">
            <v>4.1865776688007994</v>
          </cell>
          <cell r="CT106">
            <v>2.9959678517913089</v>
          </cell>
          <cell r="CU106">
            <v>2.0516868728147846</v>
          </cell>
          <cell r="CV106">
            <v>0.85179130908595557</v>
          </cell>
          <cell r="CW106">
            <v>0.23077691504336376</v>
          </cell>
          <cell r="CX106">
            <v>4.5638650501748174E-2</v>
          </cell>
          <cell r="CY106">
            <v>4.3045906552240838E-3</v>
          </cell>
          <cell r="CZ106">
            <v>99.999869240145145</v>
          </cell>
          <cell r="DA106">
            <v>99.995777142078722</v>
          </cell>
        </row>
        <row r="107">
          <cell r="B107" t="str">
            <v>LSO</v>
          </cell>
          <cell r="C107" t="str">
            <v>Sub-Saharan Africa</v>
          </cell>
          <cell r="D107" t="str">
            <v>Lower middle income</v>
          </cell>
          <cell r="E107" t="str">
            <v>IDA</v>
          </cell>
          <cell r="G107">
            <v>1</v>
          </cell>
          <cell r="H107">
            <v>426</v>
          </cell>
          <cell r="I107">
            <v>2142.25</v>
          </cell>
          <cell r="J107">
            <v>2159.0700000000002</v>
          </cell>
          <cell r="K107">
            <v>2175.6999999999998</v>
          </cell>
          <cell r="L107">
            <v>2192.4</v>
          </cell>
          <cell r="M107">
            <v>2209.6</v>
          </cell>
          <cell r="N107">
            <v>2227.5700000000002</v>
          </cell>
          <cell r="O107">
            <v>2246.37</v>
          </cell>
          <cell r="P107">
            <v>2265.85</v>
          </cell>
          <cell r="Q107">
            <v>2285.7399999999998</v>
          </cell>
          <cell r="R107">
            <v>2305.6</v>
          </cell>
          <cell r="S107">
            <v>2325.17</v>
          </cell>
          <cell r="T107">
            <v>253.51300000000001</v>
          </cell>
          <cell r="U107">
            <v>225.23500000000001</v>
          </cell>
          <cell r="V107">
            <v>211.87100000000001</v>
          </cell>
          <cell r="W107">
            <v>216.95</v>
          </cell>
          <cell r="X107">
            <v>203.923</v>
          </cell>
          <cell r="Y107">
            <v>191.26900000000001</v>
          </cell>
          <cell r="Z107">
            <v>174.74600000000001</v>
          </cell>
          <cell r="AA107">
            <v>152.535</v>
          </cell>
          <cell r="AB107">
            <v>119.473</v>
          </cell>
          <cell r="AC107">
            <v>90.778000000000006</v>
          </cell>
          <cell r="AD107">
            <v>74.698999999999998</v>
          </cell>
          <cell r="AE107">
            <v>66.072000000000003</v>
          </cell>
          <cell r="AF107">
            <v>55.17</v>
          </cell>
          <cell r="AG107">
            <v>41.643000000000001</v>
          </cell>
          <cell r="AH107">
            <v>29.687999999999999</v>
          </cell>
          <cell r="AI107">
            <v>18.620999999999999</v>
          </cell>
          <cell r="AJ107">
            <v>10.314</v>
          </cell>
          <cell r="AK107">
            <v>4.5620000000000003</v>
          </cell>
          <cell r="AL107">
            <v>1.0649999999999999</v>
          </cell>
          <cell r="AM107">
            <v>0.114</v>
          </cell>
          <cell r="AN107">
            <v>1.0999999999999999E-2</v>
          </cell>
          <cell r="AO107">
            <v>242.691</v>
          </cell>
          <cell r="AP107">
            <v>234.87</v>
          </cell>
          <cell r="AQ107">
            <v>232.125</v>
          </cell>
          <cell r="AR107">
            <v>216.12299999999999</v>
          </cell>
          <cell r="AS107">
            <v>200.44399999999999</v>
          </cell>
          <cell r="AT107">
            <v>195.91300000000001</v>
          </cell>
          <cell r="AU107">
            <v>176.49199999999999</v>
          </cell>
          <cell r="AV107">
            <v>164.68799999999999</v>
          </cell>
          <cell r="AW107">
            <v>152.25399999999999</v>
          </cell>
          <cell r="AX107">
            <v>134.30199999999999</v>
          </cell>
          <cell r="AY107">
            <v>105.417</v>
          </cell>
          <cell r="AZ107">
            <v>78.956000000000003</v>
          </cell>
          <cell r="BA107">
            <v>61.771000000000001</v>
          </cell>
          <cell r="BB107">
            <v>50.073999999999998</v>
          </cell>
          <cell r="BC107">
            <v>37.290999999999997</v>
          </cell>
          <cell r="BD107">
            <v>23.76</v>
          </cell>
          <cell r="BE107">
            <v>12.465</v>
          </cell>
          <cell r="BF107">
            <v>4.4429999999999996</v>
          </cell>
          <cell r="BG107">
            <v>0.95599999999999996</v>
          </cell>
          <cell r="BH107">
            <v>0.125</v>
          </cell>
          <cell r="BI107">
            <v>1.0999999999999999E-2</v>
          </cell>
          <cell r="BJ107">
            <v>11.83395962189287</v>
          </cell>
          <cell r="BK107">
            <v>10.51394561792508</v>
          </cell>
          <cell r="BL107">
            <v>9.890115532734276</v>
          </cell>
          <cell r="BM107">
            <v>10.127202707433772</v>
          </cell>
          <cell r="BN107">
            <v>9.5191037460613845</v>
          </cell>
          <cell r="BO107">
            <v>8.9284163846423148</v>
          </cell>
          <cell r="BP107">
            <v>8.1571245186136085</v>
          </cell>
          <cell r="BQ107">
            <v>7.1203174232699258</v>
          </cell>
          <cell r="BR107">
            <v>5.5769868129303308</v>
          </cell>
          <cell r="BS107">
            <v>4.2375072937332243</v>
          </cell>
          <cell r="BT107">
            <v>3.4869413000350096</v>
          </cell>
          <cell r="BU107">
            <v>3.0842338662621076</v>
          </cell>
          <cell r="BV107">
            <v>2.5753296767417435</v>
          </cell>
          <cell r="BW107">
            <v>1.9438907690512313</v>
          </cell>
          <cell r="BX107">
            <v>1.385832652584899</v>
          </cell>
          <cell r="BY107">
            <v>0.86922628077955411</v>
          </cell>
          <cell r="BZ107">
            <v>0.48145641265025091</v>
          </cell>
          <cell r="CA107">
            <v>0.21295367020655853</v>
          </cell>
          <cell r="CB107">
            <v>4.9714085657602977E-2</v>
          </cell>
          <cell r="CC107">
            <v>5.3215077605321508E-3</v>
          </cell>
          <cell r="CD107">
            <v>5.1347881899871622E-4</v>
          </cell>
          <cell r="CE107">
            <v>10.437559404258613</v>
          </cell>
          <cell r="CF107">
            <v>10.101196901731917</v>
          </cell>
          <cell r="CG107">
            <v>9.9831410176460214</v>
          </cell>
          <cell r="CH107">
            <v>9.2949332736961168</v>
          </cell>
          <cell r="CI107">
            <v>8.6206169871450253</v>
          </cell>
          <cell r="CJ107">
            <v>8.425749515089219</v>
          </cell>
          <cell r="CK107">
            <v>7.5904987592305071</v>
          </cell>
          <cell r="CL107">
            <v>7.0828369538571367</v>
          </cell>
          <cell r="CM107">
            <v>6.5480803554148714</v>
          </cell>
          <cell r="CN107">
            <v>5.7760077757755344</v>
          </cell>
          <cell r="CO107">
            <v>4.5337330173707731</v>
          </cell>
          <cell r="CP107">
            <v>3.3957087008691835</v>
          </cell>
          <cell r="CQ107">
            <v>2.6566229566010224</v>
          </cell>
          <cell r="CR107">
            <v>2.1535629652885593</v>
          </cell>
          <cell r="CS107">
            <v>1.6037967116382885</v>
          </cell>
          <cell r="CT107">
            <v>1.0218607671697124</v>
          </cell>
          <cell r="CU107">
            <v>0.53608983429168622</v>
          </cell>
          <cell r="CV107">
            <v>0.19108280254777069</v>
          </cell>
          <cell r="CW107">
            <v>4.111527329184532E-2</v>
          </cell>
          <cell r="CX107">
            <v>5.3759510057329145E-3</v>
          </cell>
          <cell r="CY107">
            <v>4.7308368850449643E-4</v>
          </cell>
          <cell r="CZ107">
            <v>100.00009335978528</v>
          </cell>
          <cell r="DA107">
            <v>99.999569923919552</v>
          </cell>
        </row>
        <row r="108">
          <cell r="B108" t="str">
            <v>LTU</v>
          </cell>
          <cell r="C108" t="str">
            <v>Europe &amp; Central Asia</v>
          </cell>
          <cell r="D108" t="str">
            <v>High income</v>
          </cell>
          <cell r="F108" t="str">
            <v>EMU</v>
          </cell>
          <cell r="G108">
            <v>0</v>
          </cell>
          <cell r="H108">
            <v>440</v>
          </cell>
          <cell r="I108">
            <v>2722.29</v>
          </cell>
          <cell r="J108">
            <v>2689.86</v>
          </cell>
          <cell r="K108">
            <v>2661.7</v>
          </cell>
          <cell r="L108">
            <v>2636.85</v>
          </cell>
          <cell r="M108">
            <v>2613.77</v>
          </cell>
          <cell r="N108">
            <v>2591.27</v>
          </cell>
          <cell r="O108">
            <v>2569.14</v>
          </cell>
          <cell r="P108">
            <v>2547.56</v>
          </cell>
          <cell r="Q108">
            <v>2526.39</v>
          </cell>
          <cell r="R108">
            <v>2505.5</v>
          </cell>
          <cell r="S108">
            <v>2484.8000000000002</v>
          </cell>
          <cell r="T108">
            <v>145.11799999999999</v>
          </cell>
          <cell r="U108">
            <v>155.55699999999999</v>
          </cell>
          <cell r="V108">
            <v>120.68</v>
          </cell>
          <cell r="W108">
            <v>122.161</v>
          </cell>
          <cell r="X108">
            <v>133.64500000000001</v>
          </cell>
          <cell r="Y108">
            <v>183.233</v>
          </cell>
          <cell r="Z108">
            <v>186.363</v>
          </cell>
          <cell r="AA108">
            <v>151.202</v>
          </cell>
          <cell r="AB108">
            <v>161.179</v>
          </cell>
          <cell r="AC108">
            <v>194.73</v>
          </cell>
          <cell r="AD108">
            <v>184.85400000000001</v>
          </cell>
          <cell r="AE108">
            <v>235.70400000000001</v>
          </cell>
          <cell r="AF108">
            <v>186.583</v>
          </cell>
          <cell r="AG108">
            <v>166.22800000000001</v>
          </cell>
          <cell r="AH108">
            <v>108.45699999999999</v>
          </cell>
          <cell r="AI108">
            <v>114.82599999999999</v>
          </cell>
          <cell r="AJ108">
            <v>83.341999999999999</v>
          </cell>
          <cell r="AK108">
            <v>55.826999999999998</v>
          </cell>
          <cell r="AL108">
            <v>25.757000000000001</v>
          </cell>
          <cell r="AM108">
            <v>6.274</v>
          </cell>
          <cell r="AN108">
            <v>0.57099999999999995</v>
          </cell>
          <cell r="AO108">
            <v>111.312</v>
          </cell>
          <cell r="AP108">
            <v>124.98099999999999</v>
          </cell>
          <cell r="AQ108">
            <v>142.434</v>
          </cell>
          <cell r="AR108">
            <v>150.48599999999999</v>
          </cell>
          <cell r="AS108">
            <v>106.705</v>
          </cell>
          <cell r="AT108">
            <v>102.292</v>
          </cell>
          <cell r="AU108">
            <v>115.387</v>
          </cell>
          <cell r="AV108">
            <v>167.922</v>
          </cell>
          <cell r="AW108">
            <v>173.51300000000001</v>
          </cell>
          <cell r="AX108">
            <v>140.423</v>
          </cell>
          <cell r="AY108">
            <v>149.68600000000001</v>
          </cell>
          <cell r="AZ108">
            <v>179.05500000000001</v>
          </cell>
          <cell r="BA108">
            <v>165.197</v>
          </cell>
          <cell r="BB108">
            <v>201.99100000000001</v>
          </cell>
          <cell r="BC108">
            <v>150.733</v>
          </cell>
          <cell r="BD108">
            <v>124.06399999999999</v>
          </cell>
          <cell r="BE108">
            <v>69.953999999999994</v>
          </cell>
          <cell r="BF108">
            <v>58.91</v>
          </cell>
          <cell r="BG108">
            <v>31.885000000000002</v>
          </cell>
          <cell r="BH108">
            <v>14.301</v>
          </cell>
          <cell r="BI108">
            <v>3.5720000000000001</v>
          </cell>
          <cell r="BJ108">
            <v>5.3307325817602091</v>
          </cell>
          <cell r="BK108">
            <v>5.7141965036788873</v>
          </cell>
          <cell r="BL108">
            <v>4.4330324836810187</v>
          </cell>
          <cell r="BM108">
            <v>4.487435210796793</v>
          </cell>
          <cell r="BN108">
            <v>4.9092859320645488</v>
          </cell>
          <cell r="BO108">
            <v>6.7308405790712973</v>
          </cell>
          <cell r="BP108">
            <v>6.845817308222121</v>
          </cell>
          <cell r="BQ108">
            <v>5.5542208949083305</v>
          </cell>
          <cell r="BR108">
            <v>5.9207138107989961</v>
          </cell>
          <cell r="BS108">
            <v>7.1531688394697106</v>
          </cell>
          <cell r="BT108">
            <v>6.7903860352864696</v>
          </cell>
          <cell r="BU108">
            <v>8.6582987117463617</v>
          </cell>
          <cell r="BV108">
            <v>6.8538987396640323</v>
          </cell>
          <cell r="BW108">
            <v>6.1061826623908546</v>
          </cell>
          <cell r="BX108">
            <v>3.9840354995242975</v>
          </cell>
          <cell r="BY108">
            <v>4.2179929397676217</v>
          </cell>
          <cell r="BZ108">
            <v>3.0614666328715896</v>
          </cell>
          <cell r="CA108">
            <v>2.0507366959434887</v>
          </cell>
          <cell r="CB108">
            <v>0.94615195295137555</v>
          </cell>
          <cell r="CC108">
            <v>0.23046773121159023</v>
          </cell>
          <cell r="CD108">
            <v>2.0974987969687286E-2</v>
          </cell>
          <cell r="CE108">
            <v>4.4797166773985824</v>
          </cell>
          <cell r="CF108">
            <v>5.0298213135866066</v>
          </cell>
          <cell r="CG108">
            <v>5.7322118480360587</v>
          </cell>
          <cell r="CH108">
            <v>6.0562620734063088</v>
          </cell>
          <cell r="CI108">
            <v>4.2943094011590466</v>
          </cell>
          <cell r="CJ108">
            <v>4.1167095943335479</v>
          </cell>
          <cell r="CK108">
            <v>4.643713779781069</v>
          </cell>
          <cell r="CL108">
            <v>6.7579684481648421</v>
          </cell>
          <cell r="CM108">
            <v>6.9829764971023822</v>
          </cell>
          <cell r="CN108">
            <v>5.6512797810688982</v>
          </cell>
          <cell r="CO108">
            <v>6.0240663232453313</v>
          </cell>
          <cell r="CP108">
            <v>7.2060125563425625</v>
          </cell>
          <cell r="CQ108">
            <v>6.6483016741790077</v>
          </cell>
          <cell r="CR108">
            <v>8.1290647134578222</v>
          </cell>
          <cell r="CS108">
            <v>6.0662025112685116</v>
          </cell>
          <cell r="CT108">
            <v>4.9929169349645841</v>
          </cell>
          <cell r="CU108">
            <v>2.8152768834513839</v>
          </cell>
          <cell r="CV108">
            <v>2.3708145524790725</v>
          </cell>
          <cell r="CW108">
            <v>1.2832018673535093</v>
          </cell>
          <cell r="CX108">
            <v>0.5755392788151964</v>
          </cell>
          <cell r="CY108">
            <v>0.14375402446877011</v>
          </cell>
          <cell r="CZ108">
            <v>100.00003673377928</v>
          </cell>
          <cell r="DA108">
            <v>99.85636670959434</v>
          </cell>
        </row>
        <row r="109">
          <cell r="B109" t="str">
            <v>LUX</v>
          </cell>
          <cell r="C109" t="str">
            <v>Europe &amp; Central Asia</v>
          </cell>
          <cell r="D109" t="str">
            <v>High income</v>
          </cell>
          <cell r="F109" t="str">
            <v>EMU</v>
          </cell>
          <cell r="G109">
            <v>0</v>
          </cell>
          <cell r="H109">
            <v>442</v>
          </cell>
          <cell r="I109">
            <v>625.976</v>
          </cell>
          <cell r="J109">
            <v>634.81399999999996</v>
          </cell>
          <cell r="K109">
            <v>642.36699999999996</v>
          </cell>
          <cell r="L109">
            <v>648.97299999999996</v>
          </cell>
          <cell r="M109">
            <v>655.11099999999999</v>
          </cell>
          <cell r="N109">
            <v>661.11900000000003</v>
          </cell>
          <cell r="O109">
            <v>667.125</v>
          </cell>
          <cell r="P109">
            <v>673.03300000000002</v>
          </cell>
          <cell r="Q109">
            <v>678.88900000000001</v>
          </cell>
          <cell r="R109">
            <v>684.654</v>
          </cell>
          <cell r="S109">
            <v>690.34400000000005</v>
          </cell>
          <cell r="T109">
            <v>33.249000000000002</v>
          </cell>
          <cell r="U109">
            <v>32.656999999999996</v>
          </cell>
          <cell r="V109">
            <v>31.481000000000002</v>
          </cell>
          <cell r="W109">
            <v>34.42</v>
          </cell>
          <cell r="X109">
            <v>39.835000000000001</v>
          </cell>
          <cell r="Y109">
            <v>45.698</v>
          </cell>
          <cell r="Z109">
            <v>49.137999999999998</v>
          </cell>
          <cell r="AA109">
            <v>49.177999999999997</v>
          </cell>
          <cell r="AB109">
            <v>46.555</v>
          </cell>
          <cell r="AC109">
            <v>48.045000000000002</v>
          </cell>
          <cell r="AD109">
            <v>48.183</v>
          </cell>
          <cell r="AE109">
            <v>42.673000000000002</v>
          </cell>
          <cell r="AF109">
            <v>34.780999999999999</v>
          </cell>
          <cell r="AG109">
            <v>27.341999999999999</v>
          </cell>
          <cell r="AH109">
            <v>22.222999999999999</v>
          </cell>
          <cell r="AI109">
            <v>15.65</v>
          </cell>
          <cell r="AJ109">
            <v>12.253</v>
          </cell>
          <cell r="AK109">
            <v>8.375</v>
          </cell>
          <cell r="AL109">
            <v>3.4710000000000001</v>
          </cell>
          <cell r="AM109">
            <v>0.70599999999999996</v>
          </cell>
          <cell r="AN109">
            <v>6.3E-2</v>
          </cell>
          <cell r="AO109">
            <v>34.472000000000001</v>
          </cell>
          <cell r="AP109">
            <v>35.473999999999997</v>
          </cell>
          <cell r="AQ109">
            <v>36.095999999999997</v>
          </cell>
          <cell r="AR109">
            <v>37.122999999999998</v>
          </cell>
          <cell r="AS109">
            <v>38.618000000000002</v>
          </cell>
          <cell r="AT109">
            <v>43.441000000000003</v>
          </cell>
          <cell r="AU109">
            <v>48.296999999999997</v>
          </cell>
          <cell r="AV109">
            <v>51.62</v>
          </cell>
          <cell r="AW109">
            <v>52.261000000000003</v>
          </cell>
          <cell r="AX109">
            <v>50.271000000000001</v>
          </cell>
          <cell r="AY109">
            <v>46.277000000000001</v>
          </cell>
          <cell r="AZ109">
            <v>46.485999999999997</v>
          </cell>
          <cell r="BA109">
            <v>45.37</v>
          </cell>
          <cell r="BB109">
            <v>39.107999999999997</v>
          </cell>
          <cell r="BC109">
            <v>30.91</v>
          </cell>
          <cell r="BD109">
            <v>23.053999999999998</v>
          </cell>
          <cell r="BE109">
            <v>16.704000000000001</v>
          </cell>
          <cell r="BF109">
            <v>9.1560000000000006</v>
          </cell>
          <cell r="BG109">
            <v>4.33</v>
          </cell>
          <cell r="BH109">
            <v>1.1619999999999999</v>
          </cell>
          <cell r="BI109">
            <v>0.114</v>
          </cell>
          <cell r="BJ109">
            <v>5.3115454905619393</v>
          </cell>
          <cell r="BK109">
            <v>5.2169731746904029</v>
          </cell>
          <cell r="BL109">
            <v>5.0291065472158687</v>
          </cell>
          <cell r="BM109">
            <v>5.49861336536864</v>
          </cell>
          <cell r="BN109">
            <v>6.3636625046327655</v>
          </cell>
          <cell r="BO109">
            <v>7.3002798829348086</v>
          </cell>
          <cell r="BP109">
            <v>7.8498217184045389</v>
          </cell>
          <cell r="BQ109">
            <v>7.8562117397472093</v>
          </cell>
          <cell r="BR109">
            <v>7.4371860902015419</v>
          </cell>
          <cell r="BS109">
            <v>7.6752143852160479</v>
          </cell>
          <cell r="BT109">
            <v>7.6972599588482629</v>
          </cell>
          <cell r="BU109">
            <v>6.8170345188952925</v>
          </cell>
          <cell r="BV109">
            <v>5.5562833079862486</v>
          </cell>
          <cell r="BW109">
            <v>4.3678990887829556</v>
          </cell>
          <cell r="BX109">
            <v>3.5501361074545992</v>
          </cell>
          <cell r="BY109">
            <v>2.50009585032014</v>
          </cell>
          <cell r="BZ109">
            <v>1.9574232877937814</v>
          </cell>
          <cell r="CA109">
            <v>1.3379107186218002</v>
          </cell>
          <cell r="CB109">
            <v>0.55449410201030069</v>
          </cell>
          <cell r="CC109">
            <v>0.11278387669814817</v>
          </cell>
          <cell r="CD109">
            <v>1.0064283614707273E-2</v>
          </cell>
          <cell r="CE109">
            <v>4.9934525396034442</v>
          </cell>
          <cell r="CF109">
            <v>5.1385975687483336</v>
          </cell>
          <cell r="CG109">
            <v>5.2286975768602311</v>
          </cell>
          <cell r="CH109">
            <v>5.3774639889678184</v>
          </cell>
          <cell r="CI109">
            <v>5.5940226901370913</v>
          </cell>
          <cell r="CJ109">
            <v>6.2926598913005689</v>
          </cell>
          <cell r="CK109">
            <v>6.9960773179748053</v>
          </cell>
          <cell r="CL109">
            <v>7.4774315413764727</v>
          </cell>
          <cell r="CM109">
            <v>7.5702838005400199</v>
          </cell>
          <cell r="CN109">
            <v>7.2820217167093499</v>
          </cell>
          <cell r="CO109">
            <v>6.703469574588901</v>
          </cell>
          <cell r="CP109">
            <v>6.733744336157045</v>
          </cell>
          <cell r="CQ109">
            <v>6.5720858007022587</v>
          </cell>
          <cell r="CR109">
            <v>5.6650017962059485</v>
          </cell>
          <cell r="CS109">
            <v>4.4774778950783949</v>
          </cell>
          <cell r="CT109">
            <v>3.3394945128805342</v>
          </cell>
          <cell r="CU109">
            <v>2.4196632403555327</v>
          </cell>
          <cell r="CV109">
            <v>1.3262952962580974</v>
          </cell>
          <cell r="CW109">
            <v>0.62722352913909585</v>
          </cell>
          <cell r="CX109">
            <v>0.16832188010614996</v>
          </cell>
          <cell r="CY109">
            <v>1.6513506309897674E-2</v>
          </cell>
          <cell r="CZ109">
            <v>100.00000000000001</v>
          </cell>
          <cell r="DA109">
            <v>99.98348649369008</v>
          </cell>
        </row>
        <row r="110">
          <cell r="B110" t="str">
            <v>LVA</v>
          </cell>
          <cell r="C110" t="str">
            <v>Europe &amp; Central Asia</v>
          </cell>
          <cell r="D110" t="str">
            <v>High income</v>
          </cell>
          <cell r="F110" t="str">
            <v>EMU</v>
          </cell>
          <cell r="G110">
            <v>0</v>
          </cell>
          <cell r="H110">
            <v>428</v>
          </cell>
          <cell r="I110">
            <v>1886.2</v>
          </cell>
          <cell r="J110">
            <v>1866.93</v>
          </cell>
          <cell r="K110">
            <v>1848.83</v>
          </cell>
          <cell r="L110">
            <v>1831.65</v>
          </cell>
          <cell r="M110">
            <v>1815</v>
          </cell>
          <cell r="N110">
            <v>1798.63</v>
          </cell>
          <cell r="O110">
            <v>1782.47</v>
          </cell>
          <cell r="P110">
            <v>1766.56</v>
          </cell>
          <cell r="Q110">
            <v>1750.87</v>
          </cell>
          <cell r="R110">
            <v>1735.4</v>
          </cell>
          <cell r="S110">
            <v>1720.16</v>
          </cell>
          <cell r="T110">
            <v>114.02</v>
          </cell>
          <cell r="U110">
            <v>93.748999999999995</v>
          </cell>
          <cell r="V110">
            <v>102.172</v>
          </cell>
          <cell r="W110">
            <v>86.552000000000007</v>
          </cell>
          <cell r="X110">
            <v>69.531000000000006</v>
          </cell>
          <cell r="Y110">
            <v>118.69199999999999</v>
          </cell>
          <cell r="Z110">
            <v>142.25899999999999</v>
          </cell>
          <cell r="AA110">
            <v>120.96299999999999</v>
          </cell>
          <cell r="AB110">
            <v>120.748</v>
          </cell>
          <cell r="AC110">
            <v>133.13900000000001</v>
          </cell>
          <cell r="AD110">
            <v>119.17700000000001</v>
          </cell>
          <cell r="AE110">
            <v>145.065</v>
          </cell>
          <cell r="AF110">
            <v>129.93100000000001</v>
          </cell>
          <cell r="AG110">
            <v>120.21299999999999</v>
          </cell>
          <cell r="AH110">
            <v>74.721000000000004</v>
          </cell>
          <cell r="AI110">
            <v>87.983000000000004</v>
          </cell>
          <cell r="AJ110">
            <v>49.473999999999997</v>
          </cell>
          <cell r="AK110">
            <v>34.972999999999999</v>
          </cell>
          <cell r="AL110">
            <v>17.611999999999998</v>
          </cell>
          <cell r="AM110">
            <v>4.6689999999999996</v>
          </cell>
          <cell r="AN110">
            <v>0.55900000000000005</v>
          </cell>
          <cell r="AO110">
            <v>75.474999999999994</v>
          </cell>
          <cell r="AP110">
            <v>86.739000000000004</v>
          </cell>
          <cell r="AQ110">
            <v>112.29900000000001</v>
          </cell>
          <cell r="AR110">
            <v>90.516000000000005</v>
          </cell>
          <cell r="AS110">
            <v>93.472999999999999</v>
          </cell>
          <cell r="AT110">
            <v>74.488</v>
          </cell>
          <cell r="AU110">
            <v>58.716999999999999</v>
          </cell>
          <cell r="AV110">
            <v>109.514</v>
          </cell>
          <cell r="AW110">
            <v>134.00700000000001</v>
          </cell>
          <cell r="AX110">
            <v>113.63</v>
          </cell>
          <cell r="AY110">
            <v>112.91200000000001</v>
          </cell>
          <cell r="AZ110">
            <v>122.613</v>
          </cell>
          <cell r="BA110">
            <v>106.26</v>
          </cell>
          <cell r="BB110">
            <v>123.633</v>
          </cell>
          <cell r="BC110">
            <v>103.541</v>
          </cell>
          <cell r="BD110">
            <v>87.01</v>
          </cell>
          <cell r="BE110">
            <v>45.823</v>
          </cell>
          <cell r="BF110">
            <v>42.356999999999999</v>
          </cell>
          <cell r="BG110">
            <v>17.393000000000001</v>
          </cell>
          <cell r="BH110">
            <v>7.7539999999999996</v>
          </cell>
          <cell r="BI110">
            <v>2.0019999999999998</v>
          </cell>
          <cell r="BJ110">
            <v>6.0449581168486901</v>
          </cell>
          <cell r="BK110">
            <v>4.9702576609055242</v>
          </cell>
          <cell r="BL110">
            <v>5.4168168805004768</v>
          </cell>
          <cell r="BM110">
            <v>4.5886968508111545</v>
          </cell>
          <cell r="BN110">
            <v>3.6863004983564838</v>
          </cell>
          <cell r="BO110">
            <v>6.2926518926943054</v>
          </cell>
          <cell r="BP110">
            <v>7.5420952178984191</v>
          </cell>
          <cell r="BQ110">
            <v>6.4130526985473431</v>
          </cell>
          <cell r="BR110">
            <v>6.4016541193934895</v>
          </cell>
          <cell r="BS110">
            <v>7.0585833951860879</v>
          </cell>
          <cell r="BT110">
            <v>6.3183649665995132</v>
          </cell>
          <cell r="BU110">
            <v>7.6908599300180249</v>
          </cell>
          <cell r="BV110">
            <v>6.8885059908811375</v>
          </cell>
          <cell r="BW110">
            <v>6.3732902131269213</v>
          </cell>
          <cell r="BX110">
            <v>3.9614568974658044</v>
          </cell>
          <cell r="BY110">
            <v>4.66456367299332</v>
          </cell>
          <cell r="BZ110">
            <v>2.6229456049199444</v>
          </cell>
          <cell r="CA110">
            <v>1.854151203477892</v>
          </cell>
          <cell r="CB110">
            <v>0.93372919096596319</v>
          </cell>
          <cell r="CC110">
            <v>0.24753472590393383</v>
          </cell>
          <cell r="CD110">
            <v>2.9636305800021207E-2</v>
          </cell>
          <cell r="CE110">
            <v>4.387673239698632</v>
          </cell>
          <cell r="CF110">
            <v>5.0424960468793598</v>
          </cell>
          <cell r="CG110">
            <v>6.5284043344805127</v>
          </cell>
          <cell r="CH110">
            <v>5.26206864477723</v>
          </cell>
          <cell r="CI110">
            <v>5.4339712584875821</v>
          </cell>
          <cell r="CJ110">
            <v>4.3302948562924373</v>
          </cell>
          <cell r="CK110">
            <v>3.4134615384615383</v>
          </cell>
          <cell r="CL110">
            <v>6.3665007906241273</v>
          </cell>
          <cell r="CM110">
            <v>7.7903799646544512</v>
          </cell>
          <cell r="CN110">
            <v>6.6057808575946408</v>
          </cell>
          <cell r="CO110">
            <v>6.5640405543670362</v>
          </cell>
          <cell r="CP110">
            <v>7.1279997209561889</v>
          </cell>
          <cell r="CQ110">
            <v>6.1773323411775642</v>
          </cell>
          <cell r="CR110">
            <v>7.1872965305552965</v>
          </cell>
          <cell r="CS110">
            <v>6.0192656497070036</v>
          </cell>
          <cell r="CT110">
            <v>5.0582503953120641</v>
          </cell>
          <cell r="CU110">
            <v>2.6638801041763553</v>
          </cell>
          <cell r="CV110">
            <v>2.4623872197935071</v>
          </cell>
          <cell r="CW110">
            <v>1.0111268719188913</v>
          </cell>
          <cell r="CX110">
            <v>0.45077202120732951</v>
          </cell>
          <cell r="CY110">
            <v>0.11638452237001207</v>
          </cell>
          <cell r="CZ110">
            <v>100.00010603329447</v>
          </cell>
          <cell r="DA110">
            <v>99.883382941121738</v>
          </cell>
        </row>
        <row r="111">
          <cell r="B111" t="str">
            <v>MAR</v>
          </cell>
          <cell r="C111" t="str">
            <v>Middle East &amp; North Africa</v>
          </cell>
          <cell r="D111" t="str">
            <v>Lower middle income</v>
          </cell>
          <cell r="E111" t="str">
            <v>IBRD</v>
          </cell>
          <cell r="G111">
            <v>0</v>
          </cell>
          <cell r="H111">
            <v>504</v>
          </cell>
          <cell r="I111">
            <v>36910.6</v>
          </cell>
          <cell r="J111">
            <v>37344.800000000003</v>
          </cell>
          <cell r="K111">
            <v>37772.800000000003</v>
          </cell>
          <cell r="L111">
            <v>38193.599999999999</v>
          </cell>
          <cell r="M111">
            <v>38606.199999999997</v>
          </cell>
          <cell r="N111">
            <v>39009.800000000003</v>
          </cell>
          <cell r="O111">
            <v>39403.9</v>
          </cell>
          <cell r="P111">
            <v>39788.5</v>
          </cell>
          <cell r="Q111">
            <v>40163.699999999997</v>
          </cell>
          <cell r="R111">
            <v>40529.9</v>
          </cell>
          <cell r="S111">
            <v>40887.300000000003</v>
          </cell>
          <cell r="T111">
            <v>3325.04</v>
          </cell>
          <cell r="U111">
            <v>3427.58</v>
          </cell>
          <cell r="V111">
            <v>3127.6</v>
          </cell>
          <cell r="W111">
            <v>2969.59</v>
          </cell>
          <cell r="X111">
            <v>2874.34</v>
          </cell>
          <cell r="Y111">
            <v>3008.93</v>
          </cell>
          <cell r="Z111">
            <v>2862.56</v>
          </cell>
          <cell r="AA111">
            <v>2743.8</v>
          </cell>
          <cell r="AB111">
            <v>2360.4699999999998</v>
          </cell>
          <cell r="AC111">
            <v>2091.96</v>
          </cell>
          <cell r="AD111">
            <v>1924.56</v>
          </cell>
          <cell r="AE111">
            <v>1819.22</v>
          </cell>
          <cell r="AF111">
            <v>1567.24</v>
          </cell>
          <cell r="AG111">
            <v>1167.78</v>
          </cell>
          <cell r="AH111">
            <v>682.10500000000002</v>
          </cell>
          <cell r="AI111">
            <v>514.97299999999996</v>
          </cell>
          <cell r="AJ111">
            <v>310.45699999999999</v>
          </cell>
          <cell r="AK111">
            <v>110.917</v>
          </cell>
          <cell r="AL111">
            <v>19.893000000000001</v>
          </cell>
          <cell r="AM111">
            <v>1.472</v>
          </cell>
          <cell r="AN111">
            <v>6.0999999999999999E-2</v>
          </cell>
          <cell r="AO111">
            <v>3093</v>
          </cell>
          <cell r="AP111">
            <v>3193.28</v>
          </cell>
          <cell r="AQ111">
            <v>3298.31</v>
          </cell>
          <cell r="AR111">
            <v>3400.52</v>
          </cell>
          <cell r="AS111">
            <v>3073.3</v>
          </cell>
          <cell r="AT111">
            <v>2886.93</v>
          </cell>
          <cell r="AU111">
            <v>2788.13</v>
          </cell>
          <cell r="AV111">
            <v>2933.97</v>
          </cell>
          <cell r="AW111">
            <v>2799.55</v>
          </cell>
          <cell r="AX111">
            <v>2685.96</v>
          </cell>
          <cell r="AY111">
            <v>2303.9</v>
          </cell>
          <cell r="AZ111">
            <v>2027.87</v>
          </cell>
          <cell r="BA111">
            <v>1839.44</v>
          </cell>
          <cell r="BB111">
            <v>1688.78</v>
          </cell>
          <cell r="BC111">
            <v>1365.5</v>
          </cell>
          <cell r="BD111">
            <v>896.26499999999999</v>
          </cell>
          <cell r="BE111">
            <v>399.50700000000001</v>
          </cell>
          <cell r="BF111">
            <v>170.91200000000001</v>
          </cell>
          <cell r="BG111">
            <v>38.164999999999999</v>
          </cell>
          <cell r="BH111">
            <v>3.778</v>
          </cell>
          <cell r="BI111">
            <v>0.20899999999999999</v>
          </cell>
          <cell r="BJ111">
            <v>9.0083607419007006</v>
          </cell>
          <cell r="BK111">
            <v>9.2861671173050571</v>
          </cell>
          <cell r="BL111">
            <v>8.4734466521812166</v>
          </cell>
          <cell r="BM111">
            <v>8.0453582439732774</v>
          </cell>
          <cell r="BN111">
            <v>7.7873022925663644</v>
          </cell>
          <cell r="BO111">
            <v>8.1519400930897898</v>
          </cell>
          <cell r="BP111">
            <v>7.7553873413057497</v>
          </cell>
          <cell r="BQ111">
            <v>7.4336369498192942</v>
          </cell>
          <cell r="BR111">
            <v>6.3951005944091932</v>
          </cell>
          <cell r="BS111">
            <v>5.6676401900808981</v>
          </cell>
          <cell r="BT111">
            <v>5.2141119353248122</v>
          </cell>
          <cell r="BU111">
            <v>4.9287196631861852</v>
          </cell>
          <cell r="BV111">
            <v>4.2460431420784275</v>
          </cell>
          <cell r="BW111">
            <v>3.1638066029812575</v>
          </cell>
          <cell r="BX111">
            <v>1.8479921756893687</v>
          </cell>
          <cell r="BY111">
            <v>1.3951899996207051</v>
          </cell>
          <cell r="BZ111">
            <v>0.84110526515418327</v>
          </cell>
          <cell r="CA111">
            <v>0.30050175288399539</v>
          </cell>
          <cell r="CB111">
            <v>5.3895087048165029E-2</v>
          </cell>
          <cell r="CC111">
            <v>3.9880142831598513E-3</v>
          </cell>
          <cell r="CD111">
            <v>1.6526417885377102E-4</v>
          </cell>
          <cell r="CE111">
            <v>7.5646961281375882</v>
          </cell>
          <cell r="CF111">
            <v>7.8099556586030374</v>
          </cell>
          <cell r="CG111">
            <v>8.0668324883276696</v>
          </cell>
          <cell r="CH111">
            <v>8.3168123109131677</v>
          </cell>
          <cell r="CI111">
            <v>7.5165149080521338</v>
          </cell>
          <cell r="CJ111">
            <v>7.0607010000660342</v>
          </cell>
          <cell r="CK111">
            <v>6.8190611754750243</v>
          </cell>
          <cell r="CL111">
            <v>7.1757489489401349</v>
          </cell>
          <cell r="CM111">
            <v>6.8469916086413143</v>
          </cell>
          <cell r="CN111">
            <v>6.5691791827780257</v>
          </cell>
          <cell r="CO111">
            <v>5.6347570027857055</v>
          </cell>
          <cell r="CP111">
            <v>4.959657399730478</v>
          </cell>
          <cell r="CQ111">
            <v>4.4988052524867133</v>
          </cell>
          <cell r="CR111">
            <v>4.1303289774575473</v>
          </cell>
          <cell r="CS111">
            <v>3.3396678186136035</v>
          </cell>
          <cell r="CT111">
            <v>2.1920376253751166</v>
          </cell>
          <cell r="CU111">
            <v>0.97709313160810307</v>
          </cell>
          <cell r="CV111">
            <v>0.41800754757589764</v>
          </cell>
          <cell r="CW111">
            <v>9.3341942363521183E-2</v>
          </cell>
          <cell r="CX111">
            <v>9.240032968672424E-3</v>
          </cell>
          <cell r="CY111">
            <v>5.1116116740405947E-4</v>
          </cell>
          <cell r="CZ111">
            <v>99.999859119060631</v>
          </cell>
          <cell r="DA111">
            <v>99.999430140899506</v>
          </cell>
        </row>
        <row r="112">
          <cell r="B112" t="str">
            <v>MDA</v>
          </cell>
          <cell r="C112" t="str">
            <v>Europe &amp; Central Asia</v>
          </cell>
          <cell r="D112" t="str">
            <v>Upper middle income</v>
          </cell>
          <cell r="E112" t="str">
            <v>IBRD</v>
          </cell>
          <cell r="G112">
            <v>0</v>
          </cell>
          <cell r="H112">
            <v>498</v>
          </cell>
          <cell r="I112">
            <v>4033.96</v>
          </cell>
          <cell r="J112">
            <v>4024.02</v>
          </cell>
          <cell r="K112">
            <v>4013.18</v>
          </cell>
          <cell r="L112">
            <v>4001.34</v>
          </cell>
          <cell r="M112">
            <v>3988.41</v>
          </cell>
          <cell r="N112">
            <v>3974.26</v>
          </cell>
          <cell r="O112">
            <v>3958.89</v>
          </cell>
          <cell r="P112">
            <v>3942.34</v>
          </cell>
          <cell r="Q112">
            <v>3924.63</v>
          </cell>
          <cell r="R112">
            <v>3905.8</v>
          </cell>
          <cell r="S112">
            <v>3885.9</v>
          </cell>
          <cell r="T112">
            <v>202.52</v>
          </cell>
          <cell r="U112">
            <v>221.53800000000001</v>
          </cell>
          <cell r="V112">
            <v>216.87</v>
          </cell>
          <cell r="W112">
            <v>202.416</v>
          </cell>
          <cell r="X112">
            <v>241.11799999999999</v>
          </cell>
          <cell r="Y112">
            <v>329.71499999999997</v>
          </cell>
          <cell r="Z112">
            <v>417.98899999999998</v>
          </cell>
          <cell r="AA112">
            <v>355.887</v>
          </cell>
          <cell r="AB112">
            <v>301.67700000000002</v>
          </cell>
          <cell r="AC112">
            <v>261.13099999999997</v>
          </cell>
          <cell r="AD112">
            <v>234.464</v>
          </cell>
          <cell r="AE112">
            <v>286.55099999999999</v>
          </cell>
          <cell r="AF112">
            <v>258.125</v>
          </cell>
          <cell r="AG112">
            <v>230.16399999999999</v>
          </cell>
          <cell r="AH112">
            <v>105.41500000000001</v>
          </cell>
          <cell r="AI112">
            <v>79.573999999999998</v>
          </cell>
          <cell r="AJ112">
            <v>53.265000000000001</v>
          </cell>
          <cell r="AK112">
            <v>25.712</v>
          </cell>
          <cell r="AL112">
            <v>8.4629999999999992</v>
          </cell>
          <cell r="AM112">
            <v>1.292</v>
          </cell>
          <cell r="AN112">
            <v>7.6999999999999999E-2</v>
          </cell>
          <cell r="AO112">
            <v>165.001</v>
          </cell>
          <cell r="AP112">
            <v>184.45400000000001</v>
          </cell>
          <cell r="AQ112">
            <v>201.69300000000001</v>
          </cell>
          <cell r="AR112">
            <v>220.16</v>
          </cell>
          <cell r="AS112">
            <v>214.00399999999999</v>
          </cell>
          <cell r="AT112">
            <v>198.69399999999999</v>
          </cell>
          <cell r="AU112">
            <v>237.001</v>
          </cell>
          <cell r="AV112">
            <v>323.92899999999997</v>
          </cell>
          <cell r="AW112">
            <v>408.32</v>
          </cell>
          <cell r="AX112">
            <v>343.47399999999999</v>
          </cell>
          <cell r="AY112">
            <v>285.25400000000002</v>
          </cell>
          <cell r="AZ112">
            <v>239.762</v>
          </cell>
          <cell r="BA112">
            <v>205.29400000000001</v>
          </cell>
          <cell r="BB112">
            <v>234.124</v>
          </cell>
          <cell r="BC112">
            <v>192.315</v>
          </cell>
          <cell r="BD112">
            <v>145.90199999999999</v>
          </cell>
          <cell r="BE112">
            <v>50.381</v>
          </cell>
          <cell r="BF112">
            <v>24.974</v>
          </cell>
          <cell r="BG112">
            <v>9.077</v>
          </cell>
          <cell r="BH112">
            <v>1.879</v>
          </cell>
          <cell r="BI112">
            <v>0.20799999999999999</v>
          </cell>
          <cell r="BJ112">
            <v>5.020376999276146</v>
          </cell>
          <cell r="BK112">
            <v>5.4918244107527094</v>
          </cell>
          <cell r="BL112">
            <v>5.3761068528195626</v>
          </cell>
          <cell r="BM112">
            <v>5.0177988874455872</v>
          </cell>
          <cell r="BN112">
            <v>5.9772035419290219</v>
          </cell>
          <cell r="BO112">
            <v>8.173482136659759</v>
          </cell>
          <cell r="BP112">
            <v>10.361753710993662</v>
          </cell>
          <cell r="BQ112">
            <v>8.8222738946345522</v>
          </cell>
          <cell r="BR112">
            <v>7.4784331029559041</v>
          </cell>
          <cell r="BS112">
            <v>6.473316542553718</v>
          </cell>
          <cell r="BT112">
            <v>5.8122539638469393</v>
          </cell>
          <cell r="BU112">
            <v>7.1034665688306271</v>
          </cell>
          <cell r="BV112">
            <v>6.3987991948358438</v>
          </cell>
          <cell r="BW112">
            <v>5.7056589554680759</v>
          </cell>
          <cell r="BX112">
            <v>2.6131890251762537</v>
          </cell>
          <cell r="BY112">
            <v>1.9726026038929489</v>
          </cell>
          <cell r="BZ112">
            <v>1.3204146793721305</v>
          </cell>
          <cell r="CA112">
            <v>0.6373885710319388</v>
          </cell>
          <cell r="CB112">
            <v>0.2097938502117026</v>
          </cell>
          <cell r="CC112">
            <v>3.2028081587323627E-2</v>
          </cell>
          <cell r="CD112">
            <v>1.9087943360866246E-3</v>
          </cell>
          <cell r="CE112">
            <v>4.2461463238889312</v>
          </cell>
          <cell r="CF112">
            <v>4.7467510743971797</v>
          </cell>
          <cell r="CG112">
            <v>5.1903806068092333</v>
          </cell>
          <cell r="CH112">
            <v>5.6656115700352556</v>
          </cell>
          <cell r="CI112">
            <v>5.5071926709385206</v>
          </cell>
          <cell r="CJ112">
            <v>5.1132041483311452</v>
          </cell>
          <cell r="CK112">
            <v>6.0989989449033688</v>
          </cell>
          <cell r="CL112">
            <v>8.3360096760081319</v>
          </cell>
          <cell r="CM112">
            <v>10.507733086286317</v>
          </cell>
          <cell r="CN112">
            <v>8.8389819604210089</v>
          </cell>
          <cell r="CO112">
            <v>7.3407447438173916</v>
          </cell>
          <cell r="CP112">
            <v>6.1700506961064363</v>
          </cell>
          <cell r="CQ112">
            <v>5.2830489719241358</v>
          </cell>
          <cell r="CR112">
            <v>6.0249620422553329</v>
          </cell>
          <cell r="CS112">
            <v>4.9490465529221028</v>
          </cell>
          <cell r="CT112">
            <v>3.7546514321006712</v>
          </cell>
          <cell r="CU112">
            <v>1.2965078874906715</v>
          </cell>
          <cell r="CV112">
            <v>0.642682518850202</v>
          </cell>
          <cell r="CW112">
            <v>0.23358810056872281</v>
          </cell>
          <cell r="CX112">
            <v>4.8354306595640648E-2</v>
          </cell>
          <cell r="CY112">
            <v>5.352685349597262E-3</v>
          </cell>
          <cell r="CZ112">
            <v>100.0000743686105</v>
          </cell>
          <cell r="DA112">
            <v>99.994647314650408</v>
          </cell>
        </row>
        <row r="113">
          <cell r="B113" t="str">
            <v>MDG</v>
          </cell>
          <cell r="C113" t="str">
            <v>Sub-Saharan Africa</v>
          </cell>
          <cell r="D113" t="str">
            <v>Low income</v>
          </cell>
          <cell r="E113" t="str">
            <v>IDA</v>
          </cell>
          <cell r="F113" t="str">
            <v>HIPC</v>
          </cell>
          <cell r="G113">
            <v>1</v>
          </cell>
          <cell r="H113">
            <v>450</v>
          </cell>
          <cell r="I113">
            <v>27691</v>
          </cell>
          <cell r="J113">
            <v>28427.3</v>
          </cell>
          <cell r="K113">
            <v>29178.1</v>
          </cell>
          <cell r="L113">
            <v>29942.6</v>
          </cell>
          <cell r="M113">
            <v>30720.1</v>
          </cell>
          <cell r="N113">
            <v>31509.8</v>
          </cell>
          <cell r="O113">
            <v>32311.4</v>
          </cell>
          <cell r="P113">
            <v>33124.400000000001</v>
          </cell>
          <cell r="Q113">
            <v>33948</v>
          </cell>
          <cell r="R113">
            <v>34780.9</v>
          </cell>
          <cell r="S113">
            <v>35622.300000000003</v>
          </cell>
          <cell r="T113">
            <v>4109.43</v>
          </cell>
          <cell r="U113">
            <v>3653.51</v>
          </cell>
          <cell r="V113">
            <v>3330.79</v>
          </cell>
          <cell r="W113">
            <v>3012.14</v>
          </cell>
          <cell r="X113">
            <v>2675.74</v>
          </cell>
          <cell r="Y113">
            <v>2222.9899999999998</v>
          </cell>
          <cell r="Z113">
            <v>1829.74</v>
          </cell>
          <cell r="AA113">
            <v>1541.17</v>
          </cell>
          <cell r="AB113">
            <v>1314.07</v>
          </cell>
          <cell r="AC113">
            <v>1073.79</v>
          </cell>
          <cell r="AD113">
            <v>858.46699999999998</v>
          </cell>
          <cell r="AE113">
            <v>681.298</v>
          </cell>
          <cell r="AF113">
            <v>529.27499999999998</v>
          </cell>
          <cell r="AG113">
            <v>385.93299999999999</v>
          </cell>
          <cell r="AH113">
            <v>224.72200000000001</v>
          </cell>
          <cell r="AI113">
            <v>135.14099999999999</v>
          </cell>
          <cell r="AJ113">
            <v>73.492999999999995</v>
          </cell>
          <cell r="AK113">
            <v>29.957000000000001</v>
          </cell>
          <cell r="AL113">
            <v>7.9329999999999998</v>
          </cell>
          <cell r="AM113">
            <v>1.3049999999999999</v>
          </cell>
          <cell r="AN113">
            <v>0.128</v>
          </cell>
          <cell r="AO113">
            <v>4880.47</v>
          </cell>
          <cell r="AP113">
            <v>4485.88</v>
          </cell>
          <cell r="AQ113">
            <v>4049.74</v>
          </cell>
          <cell r="AR113">
            <v>3612.42</v>
          </cell>
          <cell r="AS113">
            <v>3285.62</v>
          </cell>
          <cell r="AT113">
            <v>2961.27</v>
          </cell>
          <cell r="AU113">
            <v>2622.62</v>
          </cell>
          <cell r="AV113">
            <v>2167.4899999999998</v>
          </cell>
          <cell r="AW113">
            <v>1769.95</v>
          </cell>
          <cell r="AX113">
            <v>1474.43</v>
          </cell>
          <cell r="AY113">
            <v>1237.32</v>
          </cell>
          <cell r="AZ113">
            <v>987.40099999999995</v>
          </cell>
          <cell r="BA113">
            <v>758.86199999999997</v>
          </cell>
          <cell r="BB113">
            <v>560.39800000000002</v>
          </cell>
          <cell r="BC113">
            <v>384.10399999999998</v>
          </cell>
          <cell r="BD113">
            <v>230.34899999999999</v>
          </cell>
          <cell r="BE113">
            <v>100.331</v>
          </cell>
          <cell r="BF113">
            <v>39.457999999999998</v>
          </cell>
          <cell r="BG113">
            <v>11.798</v>
          </cell>
          <cell r="BH113">
            <v>2.1749999999999998</v>
          </cell>
          <cell r="BI113">
            <v>0.23599999999999999</v>
          </cell>
          <cell r="BJ113">
            <v>14.840309125708714</v>
          </cell>
          <cell r="BK113">
            <v>13.193853598642157</v>
          </cell>
          <cell r="BL113">
            <v>12.028420786537142</v>
          </cell>
          <cell r="BM113">
            <v>10.877685890722617</v>
          </cell>
          <cell r="BN113">
            <v>9.66285074572966</v>
          </cell>
          <cell r="BO113">
            <v>8.0278429814741248</v>
          </cell>
          <cell r="BP113">
            <v>6.607706475027987</v>
          </cell>
          <cell r="BQ113">
            <v>5.5655989310606335</v>
          </cell>
          <cell r="BR113">
            <v>4.7454768697410703</v>
          </cell>
          <cell r="BS113">
            <v>3.8777581163554946</v>
          </cell>
          <cell r="BT113">
            <v>3.1001661189556171</v>
          </cell>
          <cell r="BU113">
            <v>2.4603589613953996</v>
          </cell>
          <cell r="BV113">
            <v>1.9113610920515691</v>
          </cell>
          <cell r="BW113">
            <v>1.3937127586580478</v>
          </cell>
          <cell r="BX113">
            <v>0.81153443357047417</v>
          </cell>
          <cell r="BY113">
            <v>0.48803221263226315</v>
          </cell>
          <cell r="BZ113">
            <v>0.26540392185186518</v>
          </cell>
          <cell r="CA113">
            <v>0.10818316420497635</v>
          </cell>
          <cell r="CB113">
            <v>2.8648297280704924E-2</v>
          </cell>
          <cell r="CC113">
            <v>4.7127225452313027E-3</v>
          </cell>
          <cell r="CD113">
            <v>4.6224405041349174E-4</v>
          </cell>
          <cell r="CE113">
            <v>13.700603273791979</v>
          </cell>
          <cell r="CF113">
            <v>12.592898268781072</v>
          </cell>
          <cell r="CG113">
            <v>11.368552844706825</v>
          </cell>
          <cell r="CH113">
            <v>10.140894888875788</v>
          </cell>
          <cell r="CI113">
            <v>9.2234920260623259</v>
          </cell>
          <cell r="CJ113">
            <v>8.3129668774896626</v>
          </cell>
          <cell r="CK113">
            <v>7.3622983355931524</v>
          </cell>
          <cell r="CL113">
            <v>6.0846436080769619</v>
          </cell>
          <cell r="CM113">
            <v>4.9686572736740748</v>
          </cell>
          <cell r="CN113">
            <v>4.1390645747186454</v>
          </cell>
          <cell r="CO113">
            <v>3.4734421977244585</v>
          </cell>
          <cell r="CP113">
            <v>2.7718620077872567</v>
          </cell>
          <cell r="CQ113">
            <v>2.1303004017146558</v>
          </cell>
          <cell r="CR113">
            <v>1.5731662469857366</v>
          </cell>
          <cell r="CS113">
            <v>1.0782683880602879</v>
          </cell>
          <cell r="CT113">
            <v>0.64664269291988441</v>
          </cell>
          <cell r="CU113">
            <v>0.28165222346676094</v>
          </cell>
          <cell r="CV113">
            <v>0.11076769327078823</v>
          </cell>
          <cell r="CW113">
            <v>3.311970310732322E-2</v>
          </cell>
          <cell r="CX113">
            <v>6.1057259076477358E-3</v>
          </cell>
          <cell r="CY113">
            <v>6.6250635135855899E-4</v>
          </cell>
          <cell r="CZ113">
            <v>100.00007944819616</v>
          </cell>
          <cell r="DA113">
            <v>99.999399252715264</v>
          </cell>
        </row>
        <row r="114">
          <cell r="B114" t="str">
            <v>MDV</v>
          </cell>
          <cell r="C114" t="str">
            <v>South Asia</v>
          </cell>
          <cell r="D114" t="str">
            <v>Upper middle income</v>
          </cell>
          <cell r="E114" t="str">
            <v>IDA</v>
          </cell>
          <cell r="G114">
            <v>0</v>
          </cell>
          <cell r="H114">
            <v>462</v>
          </cell>
          <cell r="I114">
            <v>540.54200000000003</v>
          </cell>
          <cell r="J114">
            <v>543.62</v>
          </cell>
          <cell r="K114">
            <v>540.98500000000001</v>
          </cell>
          <cell r="L114">
            <v>534.66899999999998</v>
          </cell>
          <cell r="M114">
            <v>527.65200000000004</v>
          </cell>
          <cell r="N114">
            <v>522.12300000000005</v>
          </cell>
          <cell r="O114">
            <v>518.721</v>
          </cell>
          <cell r="P114">
            <v>517.00300000000004</v>
          </cell>
          <cell r="Q114">
            <v>516.82899999999995</v>
          </cell>
          <cell r="R114">
            <v>517.72199999999998</v>
          </cell>
          <cell r="S114">
            <v>519.34799999999996</v>
          </cell>
          <cell r="T114">
            <v>35.579000000000001</v>
          </cell>
          <cell r="U114">
            <v>37.241999999999997</v>
          </cell>
          <cell r="V114">
            <v>33.125</v>
          </cell>
          <cell r="W114">
            <v>26.312999999999999</v>
          </cell>
          <cell r="X114">
            <v>51.052999999999997</v>
          </cell>
          <cell r="Y114">
            <v>88.631</v>
          </cell>
          <cell r="Z114">
            <v>82.881</v>
          </cell>
          <cell r="AA114">
            <v>54.725999999999999</v>
          </cell>
          <cell r="AB114">
            <v>36.768000000000001</v>
          </cell>
          <cell r="AC114">
            <v>27.881</v>
          </cell>
          <cell r="AD114">
            <v>20.03</v>
          </cell>
          <cell r="AE114">
            <v>15.286</v>
          </cell>
          <cell r="AF114">
            <v>11.606999999999999</v>
          </cell>
          <cell r="AG114">
            <v>6.5570000000000004</v>
          </cell>
          <cell r="AH114">
            <v>4.3810000000000002</v>
          </cell>
          <cell r="AI114">
            <v>4.085</v>
          </cell>
          <cell r="AJ114">
            <v>2.754</v>
          </cell>
          <cell r="AK114">
            <v>1.2170000000000001</v>
          </cell>
          <cell r="AL114">
            <v>0.34100000000000003</v>
          </cell>
          <cell r="AM114">
            <v>7.3999999999999996E-2</v>
          </cell>
          <cell r="AN114">
            <v>1.0999999999999999E-2</v>
          </cell>
          <cell r="AO114">
            <v>27.675000000000001</v>
          </cell>
          <cell r="AP114">
            <v>31.649000000000001</v>
          </cell>
          <cell r="AQ114">
            <v>34.965000000000003</v>
          </cell>
          <cell r="AR114">
            <v>37.226999999999997</v>
          </cell>
          <cell r="AS114">
            <v>35.026000000000003</v>
          </cell>
          <cell r="AT114">
            <v>31.081</v>
          </cell>
          <cell r="AU114">
            <v>39.463999999999999</v>
          </cell>
          <cell r="AV114">
            <v>54.226999999999997</v>
          </cell>
          <cell r="AW114">
            <v>60.948999999999998</v>
          </cell>
          <cell r="AX114">
            <v>51.387999999999998</v>
          </cell>
          <cell r="AY114">
            <v>35.020000000000003</v>
          </cell>
          <cell r="AZ114">
            <v>26.658999999999999</v>
          </cell>
          <cell r="BA114">
            <v>19.091999999999999</v>
          </cell>
          <cell r="BB114">
            <v>14.195</v>
          </cell>
          <cell r="BC114">
            <v>10.077999999999999</v>
          </cell>
          <cell r="BD114">
            <v>4.976</v>
          </cell>
          <cell r="BE114">
            <v>2.6749999999999998</v>
          </cell>
          <cell r="BF114">
            <v>1.889</v>
          </cell>
          <cell r="BG114">
            <v>0.86199999999999999</v>
          </cell>
          <cell r="BH114">
            <v>0.22</v>
          </cell>
          <cell r="BI114">
            <v>3.1E-2</v>
          </cell>
          <cell r="BJ114">
            <v>6.5820972283374832</v>
          </cell>
          <cell r="BK114">
            <v>6.8897513976712261</v>
          </cell>
          <cell r="BL114">
            <v>6.1281084541071733</v>
          </cell>
          <cell r="BM114">
            <v>4.8678918566919869</v>
          </cell>
          <cell r="BN114">
            <v>9.4447794990953522</v>
          </cell>
          <cell r="BO114">
            <v>16.396690728935031</v>
          </cell>
          <cell r="BP114">
            <v>15.332943601052277</v>
          </cell>
          <cell r="BQ114">
            <v>10.124282664436805</v>
          </cell>
          <cell r="BR114">
            <v>6.8020616344335867</v>
          </cell>
          <cell r="BS114">
            <v>5.1579710734781017</v>
          </cell>
          <cell r="BT114">
            <v>3.7055399950420136</v>
          </cell>
          <cell r="BU114">
            <v>2.8279023646636152</v>
          </cell>
          <cell r="BV114">
            <v>2.1472892023191537</v>
          </cell>
          <cell r="BW114">
            <v>1.2130417247873431</v>
          </cell>
          <cell r="BX114">
            <v>0.81048281169640835</v>
          </cell>
          <cell r="BY114">
            <v>0.75572295954800917</v>
          </cell>
          <cell r="BZ114">
            <v>0.50948862438071418</v>
          </cell>
          <cell r="CA114">
            <v>0.22514439211014131</v>
          </cell>
          <cell r="CB114">
            <v>6.3084829670959894E-2</v>
          </cell>
          <cell r="CC114">
            <v>1.3689963037099797E-2</v>
          </cell>
          <cell r="CD114">
            <v>2.0349945055148349E-3</v>
          </cell>
          <cell r="CE114">
            <v>5.3287968760830893</v>
          </cell>
          <cell r="CF114">
            <v>6.0939870761031152</v>
          </cell>
          <cell r="CG114">
            <v>6.732479955636685</v>
          </cell>
          <cell r="CH114">
            <v>7.168026063448786</v>
          </cell>
          <cell r="CI114">
            <v>6.7442254519127847</v>
          </cell>
          <cell r="CJ114">
            <v>5.9846191763518881</v>
          </cell>
          <cell r="CK114">
            <v>7.5987584432788804</v>
          </cell>
          <cell r="CL114">
            <v>10.441361091214368</v>
          </cell>
          <cell r="CM114">
            <v>11.735676271016738</v>
          </cell>
          <cell r="CN114">
            <v>9.8947141415775164</v>
          </cell>
          <cell r="CO114">
            <v>6.7430701571971019</v>
          </cell>
          <cell r="CP114">
            <v>5.1331669708942753</v>
          </cell>
          <cell r="CQ114">
            <v>3.6761477853000302</v>
          </cell>
          <cell r="CR114">
            <v>2.733234748184262</v>
          </cell>
          <cell r="CS114">
            <v>1.9405100241071498</v>
          </cell>
          <cell r="CT114">
            <v>0.95812441753891431</v>
          </cell>
          <cell r="CU114">
            <v>0.51506889407487844</v>
          </cell>
          <cell r="CV114">
            <v>0.36372528632054041</v>
          </cell>
          <cell r="CW114">
            <v>0.1659773408196431</v>
          </cell>
          <cell r="CX114">
            <v>4.2360806241672253E-2</v>
          </cell>
          <cell r="CY114">
            <v>5.9690226976901808E-3</v>
          </cell>
          <cell r="CZ114">
            <v>100</v>
          </cell>
          <cell r="DA114">
            <v>99.994030977302316</v>
          </cell>
        </row>
        <row r="115">
          <cell r="B115" t="str">
            <v>MEX</v>
          </cell>
          <cell r="C115" t="str">
            <v>Latin America &amp; Caribbean</v>
          </cell>
          <cell r="D115" t="str">
            <v>Upper middle income</v>
          </cell>
          <cell r="E115" t="str">
            <v>IBRD</v>
          </cell>
          <cell r="G115">
            <v>0</v>
          </cell>
          <cell r="H115">
            <v>484</v>
          </cell>
          <cell r="I115">
            <v>128933</v>
          </cell>
          <cell r="J115">
            <v>130262</v>
          </cell>
          <cell r="K115">
            <v>131563</v>
          </cell>
          <cell r="L115">
            <v>132834</v>
          </cell>
          <cell r="M115">
            <v>134074</v>
          </cell>
          <cell r="N115">
            <v>135284</v>
          </cell>
          <cell r="O115">
            <v>136462</v>
          </cell>
          <cell r="P115">
            <v>137609</v>
          </cell>
          <cell r="Q115">
            <v>138725</v>
          </cell>
          <cell r="R115">
            <v>139814</v>
          </cell>
          <cell r="S115">
            <v>140876</v>
          </cell>
          <cell r="T115">
            <v>10958.7</v>
          </cell>
          <cell r="U115">
            <v>11210.5</v>
          </cell>
          <cell r="V115">
            <v>11140.9</v>
          </cell>
          <cell r="W115">
            <v>11209.6</v>
          </cell>
          <cell r="X115">
            <v>10939.8</v>
          </cell>
          <cell r="Y115">
            <v>10795.8</v>
          </cell>
          <cell r="Z115">
            <v>9789.8799999999992</v>
          </cell>
          <cell r="AA115">
            <v>9090.15</v>
          </cell>
          <cell r="AB115">
            <v>8531.9599999999991</v>
          </cell>
          <cell r="AC115">
            <v>8015.79</v>
          </cell>
          <cell r="AD115">
            <v>6924.92</v>
          </cell>
          <cell r="AE115">
            <v>5833.05</v>
          </cell>
          <cell r="AF115">
            <v>4669.45</v>
          </cell>
          <cell r="AG115">
            <v>3595.5</v>
          </cell>
          <cell r="AH115">
            <v>2466.71</v>
          </cell>
          <cell r="AI115">
            <v>1722.01</v>
          </cell>
          <cell r="AJ115">
            <v>1058.5</v>
          </cell>
          <cell r="AK115">
            <v>609.98400000000004</v>
          </cell>
          <cell r="AL115">
            <v>275.13200000000001</v>
          </cell>
          <cell r="AM115">
            <v>81.436999999999998</v>
          </cell>
          <cell r="AN115">
            <v>12.962</v>
          </cell>
          <cell r="AO115">
            <v>10243</v>
          </cell>
          <cell r="AP115">
            <v>10608.1</v>
          </cell>
          <cell r="AQ115">
            <v>10914.2</v>
          </cell>
          <cell r="AR115">
            <v>11135.4</v>
          </cell>
          <cell r="AS115">
            <v>10982.3</v>
          </cell>
          <cell r="AT115">
            <v>10981.4</v>
          </cell>
          <cell r="AU115">
            <v>10693.4</v>
          </cell>
          <cell r="AV115">
            <v>10546.4</v>
          </cell>
          <cell r="AW115">
            <v>9542.0400000000009</v>
          </cell>
          <cell r="AX115">
            <v>8810.02</v>
          </cell>
          <cell r="AY115">
            <v>8179.58</v>
          </cell>
          <cell r="AZ115">
            <v>7543.95</v>
          </cell>
          <cell r="BA115">
            <v>6329.4</v>
          </cell>
          <cell r="BB115">
            <v>5093</v>
          </cell>
          <cell r="BC115">
            <v>3801.93</v>
          </cell>
          <cell r="BD115">
            <v>2629.77</v>
          </cell>
          <cell r="BE115">
            <v>1531.35</v>
          </cell>
          <cell r="BF115">
            <v>832.99599999999998</v>
          </cell>
          <cell r="BG115">
            <v>348.755</v>
          </cell>
          <cell r="BH115">
            <v>109.556</v>
          </cell>
          <cell r="BI115">
            <v>19.149000000000001</v>
          </cell>
          <cell r="BJ115">
            <v>8.4995307640402391</v>
          </cell>
          <cell r="BK115">
            <v>8.6948259948965738</v>
          </cell>
          <cell r="BL115">
            <v>8.6408444696082451</v>
          </cell>
          <cell r="BM115">
            <v>8.6941279579316397</v>
          </cell>
          <cell r="BN115">
            <v>8.4848719877765966</v>
          </cell>
          <cell r="BO115">
            <v>8.3731860733869521</v>
          </cell>
          <cell r="BP115">
            <v>7.5929979136450703</v>
          </cell>
          <cell r="BQ115">
            <v>7.0502896853404478</v>
          </cell>
          <cell r="BR115">
            <v>6.6173594037213128</v>
          </cell>
          <cell r="BS115">
            <v>6.2170196923983774</v>
          </cell>
          <cell r="BT115">
            <v>5.3709445991328835</v>
          </cell>
          <cell r="BU115">
            <v>4.5240939092396824</v>
          </cell>
          <cell r="BV115">
            <v>3.6216096732411405</v>
          </cell>
          <cell r="BW115">
            <v>2.7886576749164296</v>
          </cell>
          <cell r="BX115">
            <v>1.9131719575283288</v>
          </cell>
          <cell r="BY115">
            <v>1.3355851488757726</v>
          </cell>
          <cell r="BZ115">
            <v>0.8209690304266557</v>
          </cell>
          <cell r="CA115">
            <v>0.47310153335453303</v>
          </cell>
          <cell r="CB115">
            <v>0.21339145137396942</v>
          </cell>
          <cell r="CC115">
            <v>6.3162262570482339E-2</v>
          </cell>
          <cell r="CD115">
            <v>1.0053283488323392E-2</v>
          </cell>
          <cell r="CE115">
            <v>7.2709333030466503</v>
          </cell>
          <cell r="CF115">
            <v>7.5300973906130224</v>
          </cell>
          <cell r="CG115">
            <v>7.7473806752037255</v>
          </cell>
          <cell r="CH115">
            <v>7.9043981941565633</v>
          </cell>
          <cell r="CI115">
            <v>7.7957210596552988</v>
          </cell>
          <cell r="CJ115">
            <v>7.7950821999488911</v>
          </cell>
          <cell r="CK115">
            <v>7.5906470938981796</v>
          </cell>
          <cell r="CL115">
            <v>7.4863000085181293</v>
          </cell>
          <cell r="CM115">
            <v>6.7733609699310042</v>
          </cell>
          <cell r="CN115">
            <v>6.2537408785030806</v>
          </cell>
          <cell r="CO115">
            <v>5.8062267526051281</v>
          </cell>
          <cell r="CP115">
            <v>5.3550285357335525</v>
          </cell>
          <cell r="CQ115">
            <v>4.4928873619353187</v>
          </cell>
          <cell r="CR115">
            <v>3.6152360941537238</v>
          </cell>
          <cell r="CS115">
            <v>2.698777648428405</v>
          </cell>
          <cell r="CT115">
            <v>1.8667267668020102</v>
          </cell>
          <cell r="CU115">
            <v>1.0870197904540162</v>
          </cell>
          <cell r="CV115">
            <v>0.59129731111048012</v>
          </cell>
          <cell r="CW115">
            <v>0.2475616854538743</v>
          </cell>
          <cell r="CX115">
            <v>7.7767682216985143E-2</v>
          </cell>
          <cell r="CY115">
            <v>1.3592805020017605E-2</v>
          </cell>
          <cell r="CZ115">
            <v>99.999794466893675</v>
          </cell>
          <cell r="DA115">
            <v>99.98619140236805</v>
          </cell>
        </row>
        <row r="116">
          <cell r="B116" t="str">
            <v>MKD</v>
          </cell>
          <cell r="C116" t="str">
            <v>Europe &amp; Central Asia</v>
          </cell>
          <cell r="D116" t="str">
            <v>Upper middle income</v>
          </cell>
          <cell r="E116" t="str">
            <v>IBRD</v>
          </cell>
          <cell r="G116">
            <v>0</v>
          </cell>
          <cell r="H116">
            <v>807</v>
          </cell>
          <cell r="I116">
            <v>2083.38</v>
          </cell>
          <cell r="J116">
            <v>2082.66</v>
          </cell>
          <cell r="K116">
            <v>2081.3000000000002</v>
          </cell>
          <cell r="L116">
            <v>2079.34</v>
          </cell>
          <cell r="M116">
            <v>2076.8200000000002</v>
          </cell>
          <cell r="N116">
            <v>2073.81</v>
          </cell>
          <cell r="O116">
            <v>2070.2800000000002</v>
          </cell>
          <cell r="P116">
            <v>2066.2199999999998</v>
          </cell>
          <cell r="Q116">
            <v>2061.61</v>
          </cell>
          <cell r="R116">
            <v>2056.46</v>
          </cell>
          <cell r="S116">
            <v>2050.7399999999998</v>
          </cell>
          <cell r="T116">
            <v>111.883</v>
          </cell>
          <cell r="U116">
            <v>115.669</v>
          </cell>
          <cell r="V116">
            <v>112.251</v>
          </cell>
          <cell r="W116">
            <v>121.2</v>
          </cell>
          <cell r="X116">
            <v>130.29400000000001</v>
          </cell>
          <cell r="Y116">
            <v>152.68899999999999</v>
          </cell>
          <cell r="Z116">
            <v>162.011</v>
          </cell>
          <cell r="AA116">
            <v>163.96600000000001</v>
          </cell>
          <cell r="AB116">
            <v>154.54</v>
          </cell>
          <cell r="AC116">
            <v>145.36099999999999</v>
          </cell>
          <cell r="AD116">
            <v>145.07300000000001</v>
          </cell>
          <cell r="AE116">
            <v>137.75899999999999</v>
          </cell>
          <cell r="AF116">
            <v>129.065</v>
          </cell>
          <cell r="AG116">
            <v>115.581</v>
          </cell>
          <cell r="AH116">
            <v>79.174999999999997</v>
          </cell>
          <cell r="AI116">
            <v>54.707999999999998</v>
          </cell>
          <cell r="AJ116">
            <v>34.316000000000003</v>
          </cell>
          <cell r="AK116">
            <v>14.237</v>
          </cell>
          <cell r="AL116">
            <v>3.266</v>
          </cell>
          <cell r="AM116">
            <v>0.32400000000000001</v>
          </cell>
          <cell r="AN116">
            <v>1.2E-2</v>
          </cell>
          <cell r="AO116">
            <v>95.186000000000007</v>
          </cell>
          <cell r="AP116">
            <v>102.824</v>
          </cell>
          <cell r="AQ116">
            <v>111.357</v>
          </cell>
          <cell r="AR116">
            <v>115.024</v>
          </cell>
          <cell r="AS116">
            <v>110.89400000000001</v>
          </cell>
          <cell r="AT116">
            <v>119.114</v>
          </cell>
          <cell r="AU116">
            <v>128.01599999999999</v>
          </cell>
          <cell r="AV116">
            <v>150.47499999999999</v>
          </cell>
          <cell r="AW116">
            <v>159.63499999999999</v>
          </cell>
          <cell r="AX116">
            <v>160.904</v>
          </cell>
          <cell r="AY116">
            <v>150.279</v>
          </cell>
          <cell r="AZ116">
            <v>138.78899999999999</v>
          </cell>
          <cell r="BA116">
            <v>134.22</v>
          </cell>
          <cell r="BB116">
            <v>121.42100000000001</v>
          </cell>
          <cell r="BC116">
            <v>105.477</v>
          </cell>
          <cell r="BD116">
            <v>81.945999999999998</v>
          </cell>
          <cell r="BE116">
            <v>42.136000000000003</v>
          </cell>
          <cell r="BF116">
            <v>17.576000000000001</v>
          </cell>
          <cell r="BG116">
            <v>4.8609999999999998</v>
          </cell>
          <cell r="BH116">
            <v>0.57799999999999996</v>
          </cell>
          <cell r="BI116">
            <v>0.03</v>
          </cell>
          <cell r="BJ116">
            <v>5.3702637060929828</v>
          </cell>
          <cell r="BK116">
            <v>5.5519876354769648</v>
          </cell>
          <cell r="BL116">
            <v>5.3879273104282461</v>
          </cell>
          <cell r="BM116">
            <v>5.8174696886789734</v>
          </cell>
          <cell r="BN116">
            <v>6.2539719110291934</v>
          </cell>
          <cell r="BO116">
            <v>7.3289078324645525</v>
          </cell>
          <cell r="BP116">
            <v>7.7763538096746636</v>
          </cell>
          <cell r="BQ116">
            <v>7.8701917077057466</v>
          </cell>
          <cell r="BR116">
            <v>7.4177538423139318</v>
          </cell>
          <cell r="BS116">
            <v>6.9771717113536651</v>
          </cell>
          <cell r="BT116">
            <v>6.9633480210043297</v>
          </cell>
          <cell r="BU116">
            <v>6.6122838848409788</v>
          </cell>
          <cell r="BV116">
            <v>6.1949812324203934</v>
          </cell>
          <cell r="BW116">
            <v>5.5477637300924458</v>
          </cell>
          <cell r="BX116">
            <v>3.8003148729468457</v>
          </cell>
          <cell r="BY116">
            <v>2.6259251792759839</v>
          </cell>
          <cell r="BZ116">
            <v>1.6471311042632646</v>
          </cell>
          <cell r="CA116">
            <v>0.68336069272048305</v>
          </cell>
          <cell r="CB116">
            <v>0.15676448847545815</v>
          </cell>
          <cell r="CC116">
            <v>1.5551651643003195E-2</v>
          </cell>
          <cell r="CD116">
            <v>5.7598709788900726E-4</v>
          </cell>
          <cell r="CE116">
            <v>4.6415440280094025</v>
          </cell>
          <cell r="CF116">
            <v>5.0139949481650525</v>
          </cell>
          <cell r="CG116">
            <v>5.4300886509260078</v>
          </cell>
          <cell r="CH116">
            <v>5.608902152393771</v>
          </cell>
          <cell r="CI116">
            <v>5.4075114348966729</v>
          </cell>
          <cell r="CJ116">
            <v>5.8083423544671682</v>
          </cell>
          <cell r="CK116">
            <v>6.242429562011762</v>
          </cell>
          <cell r="CL116">
            <v>7.3375952095341201</v>
          </cell>
          <cell r="CM116">
            <v>7.7842632415615824</v>
          </cell>
          <cell r="CN116">
            <v>7.846143343378488</v>
          </cell>
          <cell r="CO116">
            <v>7.3280376839579855</v>
          </cell>
          <cell r="CP116">
            <v>6.7677521284999553</v>
          </cell>
          <cell r="CQ116">
            <v>6.5449545042277428</v>
          </cell>
          <cell r="CR116">
            <v>5.9208383315291071</v>
          </cell>
          <cell r="CS116">
            <v>5.1433628836420029</v>
          </cell>
          <cell r="CT116">
            <v>3.9959234227644655</v>
          </cell>
          <cell r="CU116">
            <v>2.0546729473263312</v>
          </cell>
          <cell r="CV116">
            <v>0.85705647717409339</v>
          </cell>
          <cell r="CW116">
            <v>0.23703638686522915</v>
          </cell>
          <cell r="CX116">
            <v>2.8184947872475302E-2</v>
          </cell>
          <cell r="CY116">
            <v>1.4628865677755348E-3</v>
          </cell>
          <cell r="CZ116">
            <v>99.999999999999986</v>
          </cell>
          <cell r="DA116">
            <v>99.998634639203402</v>
          </cell>
        </row>
        <row r="117">
          <cell r="B117" t="str">
            <v>MLI</v>
          </cell>
          <cell r="C117" t="str">
            <v>Sub-Saharan Africa</v>
          </cell>
          <cell r="D117" t="str">
            <v>Low income</v>
          </cell>
          <cell r="E117" t="str">
            <v>IDA</v>
          </cell>
          <cell r="F117" t="str">
            <v>HIPC</v>
          </cell>
          <cell r="G117">
            <v>1</v>
          </cell>
          <cell r="H117">
            <v>466</v>
          </cell>
          <cell r="I117">
            <v>20250.8</v>
          </cell>
          <cell r="J117">
            <v>20855.7</v>
          </cell>
          <cell r="K117">
            <v>21473.8</v>
          </cell>
          <cell r="L117">
            <v>22105.7</v>
          </cell>
          <cell r="M117">
            <v>22752.799999999999</v>
          </cell>
          <cell r="N117">
            <v>23415.9</v>
          </cell>
          <cell r="O117">
            <v>24094.9</v>
          </cell>
          <cell r="P117">
            <v>24789.3</v>
          </cell>
          <cell r="Q117">
            <v>25498.400000000001</v>
          </cell>
          <cell r="R117">
            <v>26221.4</v>
          </cell>
          <cell r="S117">
            <v>26957.4</v>
          </cell>
          <cell r="T117">
            <v>3605.51</v>
          </cell>
          <cell r="U117">
            <v>3154.8</v>
          </cell>
          <cell r="V117">
            <v>2759.05</v>
          </cell>
          <cell r="W117">
            <v>2250.41</v>
          </cell>
          <cell r="X117">
            <v>1775.97</v>
          </cell>
          <cell r="Y117">
            <v>1427.84</v>
          </cell>
          <cell r="Z117">
            <v>1167.47</v>
          </cell>
          <cell r="AA117">
            <v>992.98199999999997</v>
          </cell>
          <cell r="AB117">
            <v>827.08900000000006</v>
          </cell>
          <cell r="AC117">
            <v>658.87199999999996</v>
          </cell>
          <cell r="AD117">
            <v>489.221</v>
          </cell>
          <cell r="AE117">
            <v>359.89800000000002</v>
          </cell>
          <cell r="AF117">
            <v>280.05799999999999</v>
          </cell>
          <cell r="AG117">
            <v>221.233</v>
          </cell>
          <cell r="AH117">
            <v>141.233</v>
          </cell>
          <cell r="AI117">
            <v>89.85</v>
          </cell>
          <cell r="AJ117">
            <v>36.676000000000002</v>
          </cell>
          <cell r="AK117">
            <v>10.714</v>
          </cell>
          <cell r="AL117">
            <v>1.7909999999999999</v>
          </cell>
          <cell r="AM117">
            <v>0.13800000000000001</v>
          </cell>
          <cell r="AN117">
            <v>7.0000000000000001E-3</v>
          </cell>
          <cell r="AO117">
            <v>4413.5600000000004</v>
          </cell>
          <cell r="AP117">
            <v>3886.05</v>
          </cell>
          <cell r="AQ117">
            <v>3455.68</v>
          </cell>
          <cell r="AR117">
            <v>3071.8</v>
          </cell>
          <cell r="AS117">
            <v>2650.52</v>
          </cell>
          <cell r="AT117">
            <v>2112.63</v>
          </cell>
          <cell r="AU117">
            <v>1643.32</v>
          </cell>
          <cell r="AV117">
            <v>1317.49</v>
          </cell>
          <cell r="AW117">
            <v>1077.56</v>
          </cell>
          <cell r="AX117">
            <v>915.53599999999994</v>
          </cell>
          <cell r="AY117">
            <v>756.23599999999999</v>
          </cell>
          <cell r="AZ117">
            <v>588.54600000000005</v>
          </cell>
          <cell r="BA117">
            <v>417.06099999999998</v>
          </cell>
          <cell r="BB117">
            <v>282.33199999999999</v>
          </cell>
          <cell r="BC117">
            <v>189.749</v>
          </cell>
          <cell r="BD117">
            <v>115.33199999999999</v>
          </cell>
          <cell r="BE117">
            <v>46.856999999999999</v>
          </cell>
          <cell r="BF117">
            <v>14.724</v>
          </cell>
          <cell r="BG117">
            <v>2.2149999999999999</v>
          </cell>
          <cell r="BH117">
            <v>0.17499999999999999</v>
          </cell>
          <cell r="BI117">
            <v>8.0000000000000002E-3</v>
          </cell>
          <cell r="BJ117">
            <v>17.804284275189129</v>
          </cell>
          <cell r="BK117">
            <v>15.578643806664431</v>
          </cell>
          <cell r="BL117">
            <v>13.624400023702767</v>
          </cell>
          <cell r="BM117">
            <v>11.112696782349339</v>
          </cell>
          <cell r="BN117">
            <v>8.7698757579947468</v>
          </cell>
          <cell r="BO117">
            <v>7.0507831789361406</v>
          </cell>
          <cell r="BP117">
            <v>5.7650561953108026</v>
          </cell>
          <cell r="BQ117">
            <v>4.9034210994133565</v>
          </cell>
          <cell r="BR117">
            <v>4.0842287712090393</v>
          </cell>
          <cell r="BS117">
            <v>3.2535603531712325</v>
          </cell>
          <cell r="BT117">
            <v>2.4158107334031249</v>
          </cell>
          <cell r="BU117">
            <v>1.7772038635510696</v>
          </cell>
          <cell r="BV117">
            <v>1.3829478341596382</v>
          </cell>
          <cell r="BW117">
            <v>1.0924654828451221</v>
          </cell>
          <cell r="BX117">
            <v>0.69741936121042136</v>
          </cell>
          <cell r="BY117">
            <v>0.44368617536097338</v>
          </cell>
          <cell r="BZ117">
            <v>0.18110889446342862</v>
          </cell>
          <cell r="CA117">
            <v>5.2906551839927318E-2</v>
          </cell>
          <cell r="CB117">
            <v>8.8440950480968665E-3</v>
          </cell>
          <cell r="CC117">
            <v>6.8145455981985905E-4</v>
          </cell>
          <cell r="CD117">
            <v>3.4566535643036322E-5</v>
          </cell>
          <cell r="CE117">
            <v>16.372350449227298</v>
          </cell>
          <cell r="CF117">
            <v>14.415522268468028</v>
          </cell>
          <cell r="CG117">
            <v>12.819040411909159</v>
          </cell>
          <cell r="CH117">
            <v>11.39501583980651</v>
          </cell>
          <cell r="CI117">
            <v>9.8322538523744871</v>
          </cell>
          <cell r="CJ117">
            <v>7.8369204745264751</v>
          </cell>
          <cell r="CK117">
            <v>6.0959884855364379</v>
          </cell>
          <cell r="CL117">
            <v>4.8873036717190823</v>
          </cell>
          <cell r="CM117">
            <v>3.9972697663721273</v>
          </cell>
          <cell r="CN117">
            <v>3.396232574358061</v>
          </cell>
          <cell r="CO117">
            <v>2.8053002144123691</v>
          </cell>
          <cell r="CP117">
            <v>2.1832446749315588</v>
          </cell>
          <cell r="CQ117">
            <v>1.5471113683070323</v>
          </cell>
          <cell r="CR117">
            <v>1.0473265225874897</v>
          </cell>
          <cell r="CS117">
            <v>0.70388464762922232</v>
          </cell>
          <cell r="CT117">
            <v>0.42783057713280948</v>
          </cell>
          <cell r="CU117">
            <v>0.17381869171359254</v>
          </cell>
          <cell r="CV117">
            <v>5.4619510783680908E-2</v>
          </cell>
          <cell r="CW117">
            <v>8.2166677795336342E-3</v>
          </cell>
          <cell r="CX117">
            <v>6.4917239793155115E-4</v>
          </cell>
          <cell r="CY117">
            <v>2.9676452476870915E-5</v>
          </cell>
          <cell r="CZ117">
            <v>100.00005925691826</v>
          </cell>
          <cell r="DA117">
            <v>99.999899841972891</v>
          </cell>
        </row>
        <row r="118">
          <cell r="B118" t="str">
            <v>MLT</v>
          </cell>
          <cell r="C118" t="str">
            <v>Middle East &amp; North Africa</v>
          </cell>
          <cell r="D118" t="str">
            <v>High income</v>
          </cell>
          <cell r="F118" t="str">
            <v>EMU</v>
          </cell>
          <cell r="G118">
            <v>0</v>
          </cell>
          <cell r="H118">
            <v>470</v>
          </cell>
          <cell r="I118">
            <v>441.53899999999999</v>
          </cell>
          <cell r="J118">
            <v>442.79</v>
          </cell>
          <cell r="K118">
            <v>444.03</v>
          </cell>
          <cell r="L118">
            <v>445.22800000000001</v>
          </cell>
          <cell r="M118">
            <v>446.303</v>
          </cell>
          <cell r="N118">
            <v>447.18599999999998</v>
          </cell>
          <cell r="O118">
            <v>447.88499999999999</v>
          </cell>
          <cell r="P118">
            <v>448.41300000000001</v>
          </cell>
          <cell r="Q118">
            <v>448.76299999999998</v>
          </cell>
          <cell r="R118">
            <v>448.93299999999999</v>
          </cell>
          <cell r="S118">
            <v>448.89400000000001</v>
          </cell>
          <cell r="T118">
            <v>21.673999999999999</v>
          </cell>
          <cell r="U118">
            <v>21.428000000000001</v>
          </cell>
          <cell r="V118">
            <v>20.364999999999998</v>
          </cell>
          <cell r="W118">
            <v>20.562000000000001</v>
          </cell>
          <cell r="X118">
            <v>25.05</v>
          </cell>
          <cell r="Y118">
            <v>30.161999999999999</v>
          </cell>
          <cell r="Z118">
            <v>32.927</v>
          </cell>
          <cell r="AA118">
            <v>32.426000000000002</v>
          </cell>
          <cell r="AB118">
            <v>31.152999999999999</v>
          </cell>
          <cell r="AC118">
            <v>28.292999999999999</v>
          </cell>
          <cell r="AD118">
            <v>25.036000000000001</v>
          </cell>
          <cell r="AE118">
            <v>28.175999999999998</v>
          </cell>
          <cell r="AF118">
            <v>30.131</v>
          </cell>
          <cell r="AG118">
            <v>27.548999999999999</v>
          </cell>
          <cell r="AH118">
            <v>27.97</v>
          </cell>
          <cell r="AI118">
            <v>17.196000000000002</v>
          </cell>
          <cell r="AJ118">
            <v>11.641999999999999</v>
          </cell>
          <cell r="AK118">
            <v>6.5190000000000001</v>
          </cell>
          <cell r="AL118">
            <v>2.5529999999999999</v>
          </cell>
          <cell r="AM118">
            <v>0.64900000000000002</v>
          </cell>
          <cell r="AN118">
            <v>7.8E-2</v>
          </cell>
          <cell r="AO118">
            <v>20.68</v>
          </cell>
          <cell r="AP118">
            <v>21.780999999999999</v>
          </cell>
          <cell r="AQ118">
            <v>21.823</v>
          </cell>
          <cell r="AR118">
            <v>21.818999999999999</v>
          </cell>
          <cell r="AS118">
            <v>21.356999999999999</v>
          </cell>
          <cell r="AT118">
            <v>21.843</v>
          </cell>
          <cell r="AU118">
            <v>26.109000000000002</v>
          </cell>
          <cell r="AV118">
            <v>30.844999999999999</v>
          </cell>
          <cell r="AW118">
            <v>33.276000000000003</v>
          </cell>
          <cell r="AX118">
            <v>32.531999999999996</v>
          </cell>
          <cell r="AY118">
            <v>31.015000000000001</v>
          </cell>
          <cell r="AZ118">
            <v>27.864999999999998</v>
          </cell>
          <cell r="BA118">
            <v>24.298999999999999</v>
          </cell>
          <cell r="BB118">
            <v>26.777999999999999</v>
          </cell>
          <cell r="BC118">
            <v>27.631</v>
          </cell>
          <cell r="BD118">
            <v>23.49</v>
          </cell>
          <cell r="BE118">
            <v>20.635999999999999</v>
          </cell>
          <cell r="BF118">
            <v>9.6910000000000007</v>
          </cell>
          <cell r="BG118">
            <v>4.1130000000000004</v>
          </cell>
          <cell r="BH118">
            <v>1.1419999999999999</v>
          </cell>
          <cell r="BI118">
            <v>0.16900000000000001</v>
          </cell>
          <cell r="BJ118">
            <v>4.9087396583314273</v>
          </cell>
          <cell r="BK118">
            <v>4.8530254405613098</v>
          </cell>
          <cell r="BL118">
            <v>4.6122766052375894</v>
          </cell>
          <cell r="BM118">
            <v>4.6568932755656922</v>
          </cell>
          <cell r="BN118">
            <v>5.673338029030278</v>
          </cell>
          <cell r="BO118">
            <v>6.8311066519605292</v>
          </cell>
          <cell r="BP118">
            <v>7.4573254004742502</v>
          </cell>
          <cell r="BQ118">
            <v>7.3438586398936456</v>
          </cell>
          <cell r="BR118">
            <v>7.0555488869612883</v>
          </cell>
          <cell r="BS118">
            <v>6.4078144852436596</v>
          </cell>
          <cell r="BT118">
            <v>5.6701673011897027</v>
          </cell>
          <cell r="BU118">
            <v>6.3813162597188473</v>
          </cell>
          <cell r="BV118">
            <v>6.8240857545992544</v>
          </cell>
          <cell r="BW118">
            <v>6.2393129485730592</v>
          </cell>
          <cell r="BX118">
            <v>6.334661264350375</v>
          </cell>
          <cell r="BY118">
            <v>3.8945597104672527</v>
          </cell>
          <cell r="BZ118">
            <v>2.6366866799988222</v>
          </cell>
          <cell r="CA118">
            <v>1.4764267709081191</v>
          </cell>
          <cell r="CB118">
            <v>0.57820486978500196</v>
          </cell>
          <cell r="CC118">
            <v>0.14698588346669264</v>
          </cell>
          <cell r="CD118">
            <v>1.7665483683208052E-2</v>
          </cell>
          <cell r="CE118">
            <v>4.6068782385151064</v>
          </cell>
          <cell r="CF118">
            <v>4.8521477230704795</v>
          </cell>
          <cell r="CG118">
            <v>4.8615040521815835</v>
          </cell>
          <cell r="CH118">
            <v>4.860612973218621</v>
          </cell>
          <cell r="CI118">
            <v>4.7576933529964753</v>
          </cell>
          <cell r="CJ118">
            <v>4.8659594469963956</v>
          </cell>
          <cell r="CK118">
            <v>5.8162951609956925</v>
          </cell>
          <cell r="CL118">
            <v>6.8713326531430585</v>
          </cell>
          <cell r="CM118">
            <v>7.4128858928833985</v>
          </cell>
          <cell r="CN118">
            <v>7.2471452057724077</v>
          </cell>
          <cell r="CO118">
            <v>6.9092035090689565</v>
          </cell>
          <cell r="CP118">
            <v>6.2074788257361426</v>
          </cell>
          <cell r="CQ118">
            <v>5.4130819302552498</v>
          </cell>
          <cell r="CR118">
            <v>5.9653281175511363</v>
          </cell>
          <cell r="CS118">
            <v>6.1553507064028476</v>
          </cell>
          <cell r="CT118">
            <v>5.2328612099961234</v>
          </cell>
          <cell r="CU118">
            <v>4.5970763699225206</v>
          </cell>
          <cell r="CV118">
            <v>2.1588615575169197</v>
          </cell>
          <cell r="CW118">
            <v>0.91625194366598806</v>
          </cell>
          <cell r="CX118">
            <v>0.25440304392573743</v>
          </cell>
          <cell r="CY118">
            <v>3.7648086185157303E-2</v>
          </cell>
          <cell r="CZ118">
            <v>99.999999999999986</v>
          </cell>
          <cell r="DA118">
            <v>99.9623519138148</v>
          </cell>
        </row>
        <row r="119">
          <cell r="B119" t="str">
            <v>MMR</v>
          </cell>
          <cell r="C119" t="str">
            <v>East Asia &amp; Pacific</v>
          </cell>
          <cell r="D119" t="str">
            <v>Lower middle income</v>
          </cell>
          <cell r="E119" t="str">
            <v>IDA</v>
          </cell>
          <cell r="G119">
            <v>0</v>
          </cell>
          <cell r="H119">
            <v>104</v>
          </cell>
          <cell r="I119">
            <v>54409.8</v>
          </cell>
          <cell r="J119">
            <v>54806</v>
          </cell>
          <cell r="K119">
            <v>55227.199999999997</v>
          </cell>
          <cell r="L119">
            <v>55663.7</v>
          </cell>
          <cell r="M119">
            <v>56101.1</v>
          </cell>
          <cell r="N119">
            <v>56528.5</v>
          </cell>
          <cell r="O119">
            <v>56942.8</v>
          </cell>
          <cell r="P119">
            <v>57345.599999999999</v>
          </cell>
          <cell r="Q119">
            <v>57735.9</v>
          </cell>
          <cell r="R119">
            <v>58113.599999999999</v>
          </cell>
          <cell r="S119">
            <v>58478.5</v>
          </cell>
          <cell r="T119">
            <v>4508.5600000000004</v>
          </cell>
          <cell r="U119">
            <v>4512.71</v>
          </cell>
          <cell r="V119">
            <v>4845.3999999999996</v>
          </cell>
          <cell r="W119">
            <v>5071.24</v>
          </cell>
          <cell r="X119">
            <v>4759.01</v>
          </cell>
          <cell r="Y119">
            <v>4404.07</v>
          </cell>
          <cell r="Z119">
            <v>4127.74</v>
          </cell>
          <cell r="AA119">
            <v>3945.26</v>
          </cell>
          <cell r="AB119">
            <v>3759.99</v>
          </cell>
          <cell r="AC119">
            <v>3459.99</v>
          </cell>
          <cell r="AD119">
            <v>3051.35</v>
          </cell>
          <cell r="AE119">
            <v>2521.87</v>
          </cell>
          <cell r="AF119">
            <v>2049.58</v>
          </cell>
          <cell r="AG119">
            <v>1554.39</v>
          </cell>
          <cell r="AH119">
            <v>891.29600000000005</v>
          </cell>
          <cell r="AI119">
            <v>531.73400000000004</v>
          </cell>
          <cell r="AJ119">
            <v>279.50099999999998</v>
          </cell>
          <cell r="AK119">
            <v>108.124</v>
          </cell>
          <cell r="AL119">
            <v>24.686</v>
          </cell>
          <cell r="AM119">
            <v>3.0960000000000001</v>
          </cell>
          <cell r="AN119">
            <v>0.219</v>
          </cell>
          <cell r="AO119">
            <v>4445.62</v>
          </cell>
          <cell r="AP119">
            <v>4448.3999999999996</v>
          </cell>
          <cell r="AQ119">
            <v>4449.75</v>
          </cell>
          <cell r="AR119">
            <v>4458.6000000000004</v>
          </cell>
          <cell r="AS119">
            <v>4745.8100000000004</v>
          </cell>
          <cell r="AT119">
            <v>4930.51</v>
          </cell>
          <cell r="AU119">
            <v>4617.4399999999996</v>
          </cell>
          <cell r="AV119">
            <v>4269.03</v>
          </cell>
          <cell r="AW119">
            <v>3986.63</v>
          </cell>
          <cell r="AX119">
            <v>3774.96</v>
          </cell>
          <cell r="AY119">
            <v>3537.02</v>
          </cell>
          <cell r="AZ119">
            <v>3164.18</v>
          </cell>
          <cell r="BA119">
            <v>2666.95</v>
          </cell>
          <cell r="BB119">
            <v>2048.48</v>
          </cell>
          <cell r="BC119">
            <v>1474.95</v>
          </cell>
          <cell r="BD119">
            <v>915.05399999999997</v>
          </cell>
          <cell r="BE119">
            <v>375.012</v>
          </cell>
          <cell r="BF119">
            <v>132.404</v>
          </cell>
          <cell r="BG119">
            <v>32.600999999999999</v>
          </cell>
          <cell r="BH119">
            <v>4.7220000000000004</v>
          </cell>
          <cell r="BI119">
            <v>0.34699999999999998</v>
          </cell>
          <cell r="BJ119">
            <v>8.2863013648276596</v>
          </cell>
          <cell r="BK119">
            <v>8.2939286672621471</v>
          </cell>
          <cell r="BL119">
            <v>8.9053810159199251</v>
          </cell>
          <cell r="BM119">
            <v>9.3204533006921544</v>
          </cell>
          <cell r="BN119">
            <v>8.7466044719885012</v>
          </cell>
          <cell r="BO119">
            <v>8.0942587548566607</v>
          </cell>
          <cell r="BP119">
            <v>7.5863906869718321</v>
          </cell>
          <cell r="BQ119">
            <v>7.2510099283584939</v>
          </cell>
          <cell r="BR119">
            <v>6.9105014170241379</v>
          </cell>
          <cell r="BS119">
            <v>6.3591301566997123</v>
          </cell>
          <cell r="BT119">
            <v>5.6080889839697994</v>
          </cell>
          <cell r="BU119">
            <v>4.6349554675812072</v>
          </cell>
          <cell r="BV119">
            <v>3.7669316924524625</v>
          </cell>
          <cell r="BW119">
            <v>2.8568199111189529</v>
          </cell>
          <cell r="BX119">
            <v>1.6381166628070678</v>
          </cell>
          <cell r="BY119">
            <v>0.97727615245782939</v>
          </cell>
          <cell r="BZ119">
            <v>0.51369606210645868</v>
          </cell>
          <cell r="CA119">
            <v>0.19872155383772772</v>
          </cell>
          <cell r="CB119">
            <v>4.5370503107896004E-2</v>
          </cell>
          <cell r="CC119">
            <v>5.6901514065480843E-3</v>
          </cell>
          <cell r="CD119">
            <v>4.0250102003683156E-4</v>
          </cell>
          <cell r="CE119">
            <v>7.6021443778482691</v>
          </cell>
          <cell r="CF119">
            <v>7.6068982617543188</v>
          </cell>
          <cell r="CG119">
            <v>7.6092068025000641</v>
          </cell>
          <cell r="CH119">
            <v>7.6243405696110544</v>
          </cell>
          <cell r="CI119">
            <v>8.1154783381926698</v>
          </cell>
          <cell r="CJ119">
            <v>8.4313209128141118</v>
          </cell>
          <cell r="CK119">
            <v>7.8959617637251291</v>
          </cell>
          <cell r="CL119">
            <v>7.3001701480031116</v>
          </cell>
          <cell r="CM119">
            <v>6.8172576245970742</v>
          </cell>
          <cell r="CN119">
            <v>6.4552955359662096</v>
          </cell>
          <cell r="CO119">
            <v>6.0484109544533462</v>
          </cell>
          <cell r="CP119">
            <v>5.4108433013842685</v>
          </cell>
          <cell r="CQ119">
            <v>4.5605649939721431</v>
          </cell>
          <cell r="CR119">
            <v>3.5029626272903713</v>
          </cell>
          <cell r="CS119">
            <v>2.5222090169891498</v>
          </cell>
          <cell r="CT119">
            <v>1.5647699581897621</v>
          </cell>
          <cell r="CU119">
            <v>0.64128183862445176</v>
          </cell>
          <cell r="CV119">
            <v>0.22641483622185929</v>
          </cell>
          <cell r="CW119">
            <v>5.5748693964448467E-2</v>
          </cell>
          <cell r="CX119">
            <v>8.0747625195584701E-3</v>
          </cell>
          <cell r="CY119">
            <v>5.9338047316535132E-4</v>
          </cell>
          <cell r="CZ119">
            <v>100.00002940646719</v>
          </cell>
          <cell r="DA119">
            <v>99.999355318621369</v>
          </cell>
        </row>
        <row r="120">
          <cell r="B120" t="str">
            <v>MNE</v>
          </cell>
          <cell r="C120" t="str">
            <v>Europe &amp; Central Asia</v>
          </cell>
          <cell r="D120" t="str">
            <v>Upper middle income</v>
          </cell>
          <cell r="E120" t="str">
            <v>IBRD</v>
          </cell>
          <cell r="G120">
            <v>0</v>
          </cell>
          <cell r="H120">
            <v>499</v>
          </cell>
          <cell r="I120">
            <v>628.06200000000001</v>
          </cell>
          <cell r="J120">
            <v>628.05100000000004</v>
          </cell>
          <cell r="K120">
            <v>627.95100000000002</v>
          </cell>
          <cell r="L120">
            <v>627.76599999999996</v>
          </cell>
          <cell r="M120">
            <v>627.48900000000003</v>
          </cell>
          <cell r="N120">
            <v>627.14800000000002</v>
          </cell>
          <cell r="O120">
            <v>626.70799999999997</v>
          </cell>
          <cell r="P120">
            <v>626.19200000000001</v>
          </cell>
          <cell r="Q120">
            <v>625.57799999999997</v>
          </cell>
          <cell r="R120">
            <v>624.86500000000001</v>
          </cell>
          <cell r="S120">
            <v>624.05799999999999</v>
          </cell>
          <cell r="T120">
            <v>36.905999999999999</v>
          </cell>
          <cell r="U120">
            <v>37.036999999999999</v>
          </cell>
          <cell r="V120">
            <v>39.389000000000003</v>
          </cell>
          <cell r="W120">
            <v>39.148000000000003</v>
          </cell>
          <cell r="X120">
            <v>41.268000000000001</v>
          </cell>
          <cell r="Y120">
            <v>42.927999999999997</v>
          </cell>
          <cell r="Z120">
            <v>42.561</v>
          </cell>
          <cell r="AA120">
            <v>45.786999999999999</v>
          </cell>
          <cell r="AB120">
            <v>42.874000000000002</v>
          </cell>
          <cell r="AC120">
            <v>41.048000000000002</v>
          </cell>
          <cell r="AD120">
            <v>38.143000000000001</v>
          </cell>
          <cell r="AE120">
            <v>42.177</v>
          </cell>
          <cell r="AF120">
            <v>39.753999999999998</v>
          </cell>
          <cell r="AG120">
            <v>37.191000000000003</v>
          </cell>
          <cell r="AH120">
            <v>24.533999999999999</v>
          </cell>
          <cell r="AI120">
            <v>15.904</v>
          </cell>
          <cell r="AJ120">
            <v>13.154</v>
          </cell>
          <cell r="AK120">
            <v>6.343</v>
          </cell>
          <cell r="AL120">
            <v>1.696</v>
          </cell>
          <cell r="AM120">
            <v>0.20799999999999999</v>
          </cell>
          <cell r="AN120">
            <v>1.2E-2</v>
          </cell>
          <cell r="AO120">
            <v>33.673999999999999</v>
          </cell>
          <cell r="AP120">
            <v>35.191000000000003</v>
          </cell>
          <cell r="AQ120">
            <v>36.707000000000001</v>
          </cell>
          <cell r="AR120">
            <v>36.773000000000003</v>
          </cell>
          <cell r="AS120">
            <v>38.779000000000003</v>
          </cell>
          <cell r="AT120">
            <v>38.192999999999998</v>
          </cell>
          <cell r="AU120">
            <v>40.237000000000002</v>
          </cell>
          <cell r="AV120">
            <v>42.015999999999998</v>
          </cell>
          <cell r="AW120">
            <v>41.728999999999999</v>
          </cell>
          <cell r="AX120">
            <v>44.834000000000003</v>
          </cell>
          <cell r="AY120">
            <v>41.634</v>
          </cell>
          <cell r="AZ120">
            <v>39.122999999999998</v>
          </cell>
          <cell r="BA120">
            <v>35.24</v>
          </cell>
          <cell r="BB120">
            <v>37.200000000000003</v>
          </cell>
          <cell r="BC120">
            <v>32.558999999999997</v>
          </cell>
          <cell r="BD120">
            <v>26.902999999999999</v>
          </cell>
          <cell r="BE120">
            <v>14.151</v>
          </cell>
          <cell r="BF120">
            <v>6.1289999999999996</v>
          </cell>
          <cell r="BG120">
            <v>2.536</v>
          </cell>
          <cell r="BH120">
            <v>0.42199999999999999</v>
          </cell>
          <cell r="BI120">
            <v>2.8000000000000001E-2</v>
          </cell>
          <cell r="BJ120">
            <v>5.8761714607793492</v>
          </cell>
          <cell r="BK120">
            <v>5.8970292741799373</v>
          </cell>
          <cell r="BL120">
            <v>6.2715145956927829</v>
          </cell>
          <cell r="BM120">
            <v>6.2331425878336857</v>
          </cell>
          <cell r="BN120">
            <v>6.5706888810340383</v>
          </cell>
          <cell r="BO120">
            <v>6.8349939974078984</v>
          </cell>
          <cell r="BP120">
            <v>6.7765602758963288</v>
          </cell>
          <cell r="BQ120">
            <v>7.2902038333795067</v>
          </cell>
          <cell r="BR120">
            <v>6.8263961201282681</v>
          </cell>
          <cell r="BS120">
            <v>6.5356604921170209</v>
          </cell>
          <cell r="BT120">
            <v>6.0731265384627635</v>
          </cell>
          <cell r="BU120">
            <v>6.7154198152411704</v>
          </cell>
          <cell r="BV120">
            <v>6.3296298773051065</v>
          </cell>
          <cell r="BW120">
            <v>5.9215491464218504</v>
          </cell>
          <cell r="BX120">
            <v>3.9063022440459698</v>
          </cell>
          <cell r="BY120">
            <v>2.5322340788011375</v>
          </cell>
          <cell r="BZ120">
            <v>2.0943792173384157</v>
          </cell>
          <cell r="CA120">
            <v>1.0099321404574706</v>
          </cell>
          <cell r="CB120">
            <v>0.27003703456028227</v>
          </cell>
          <cell r="CC120">
            <v>3.3117749521544046E-2</v>
          </cell>
          <cell r="CD120">
            <v>1.9106393954736952E-3</v>
          </cell>
          <cell r="CE120">
            <v>5.395972810219563</v>
          </cell>
          <cell r="CF120">
            <v>5.6390591900111851</v>
          </cell>
          <cell r="CG120">
            <v>5.8819853282867944</v>
          </cell>
          <cell r="CH120">
            <v>5.8925612683436484</v>
          </cell>
          <cell r="CI120">
            <v>6.2140057494655956</v>
          </cell>
          <cell r="CJ120">
            <v>6.1201042210820145</v>
          </cell>
          <cell r="CK120">
            <v>6.4476378798124543</v>
          </cell>
          <cell r="CL120">
            <v>6.7327075367994631</v>
          </cell>
          <cell r="CM120">
            <v>6.6867182217037522</v>
          </cell>
          <cell r="CN120">
            <v>7.1842681289239154</v>
          </cell>
          <cell r="CO120">
            <v>6.6714952776825234</v>
          </cell>
          <cell r="CP120">
            <v>6.2691288309740436</v>
          </cell>
          <cell r="CQ120">
            <v>5.6469110242958189</v>
          </cell>
          <cell r="CR120">
            <v>5.9609843956811712</v>
          </cell>
          <cell r="CS120">
            <v>5.2173035198651405</v>
          </cell>
          <cell r="CT120">
            <v>4.3109775052959822</v>
          </cell>
          <cell r="CU120">
            <v>2.2675776930990388</v>
          </cell>
          <cell r="CV120">
            <v>0.98212025164327676</v>
          </cell>
          <cell r="CW120">
            <v>0.40637248460880238</v>
          </cell>
          <cell r="CX120">
            <v>6.7621919757458446E-2</v>
          </cell>
          <cell r="CY120">
            <v>4.4867624483621721E-3</v>
          </cell>
          <cell r="CZ120">
            <v>100</v>
          </cell>
          <cell r="DA120">
            <v>99.995513237551634</v>
          </cell>
        </row>
        <row r="121">
          <cell r="B121" t="str">
            <v>MNG</v>
          </cell>
          <cell r="C121" t="str">
            <v>East Asia &amp; Pacific</v>
          </cell>
          <cell r="D121" t="str">
            <v>Lower middle income</v>
          </cell>
          <cell r="E121" t="str">
            <v>IBRD</v>
          </cell>
          <cell r="G121">
            <v>0</v>
          </cell>
          <cell r="H121">
            <v>496</v>
          </cell>
          <cell r="I121">
            <v>3278.29</v>
          </cell>
          <cell r="J121">
            <v>3329.28</v>
          </cell>
          <cell r="K121">
            <v>3378.08</v>
          </cell>
          <cell r="L121">
            <v>3424.88</v>
          </cell>
          <cell r="M121">
            <v>3470.04</v>
          </cell>
          <cell r="N121">
            <v>3513.91</v>
          </cell>
          <cell r="O121">
            <v>3556.5</v>
          </cell>
          <cell r="P121">
            <v>3597.81</v>
          </cell>
          <cell r="Q121">
            <v>3638.04</v>
          </cell>
          <cell r="R121">
            <v>3677.43</v>
          </cell>
          <cell r="S121">
            <v>3716.2</v>
          </cell>
          <cell r="T121">
            <v>375.46</v>
          </cell>
          <cell r="U121">
            <v>362.01499999999999</v>
          </cell>
          <cell r="V121">
            <v>281.84100000000001</v>
          </cell>
          <cell r="W121">
            <v>218.602</v>
          </cell>
          <cell r="X121">
            <v>228.499</v>
          </cell>
          <cell r="Y121">
            <v>271.517</v>
          </cell>
          <cell r="Z121">
            <v>309.399</v>
          </cell>
          <cell r="AA121">
            <v>254.881</v>
          </cell>
          <cell r="AB121">
            <v>222.852</v>
          </cell>
          <cell r="AC121">
            <v>200.19399999999999</v>
          </cell>
          <cell r="AD121">
            <v>168.357</v>
          </cell>
          <cell r="AE121">
            <v>145.69499999999999</v>
          </cell>
          <cell r="AF121">
            <v>97.608999999999995</v>
          </cell>
          <cell r="AG121">
            <v>60.753</v>
          </cell>
          <cell r="AH121">
            <v>35.624000000000002</v>
          </cell>
          <cell r="AI121">
            <v>24.265000000000001</v>
          </cell>
          <cell r="AJ121">
            <v>13.237</v>
          </cell>
          <cell r="AK121">
            <v>5.7169999999999996</v>
          </cell>
          <cell r="AL121">
            <v>1.506</v>
          </cell>
          <cell r="AM121">
            <v>0.246</v>
          </cell>
          <cell r="AN121">
            <v>2.3E-2</v>
          </cell>
          <cell r="AO121">
            <v>322.30900000000003</v>
          </cell>
          <cell r="AP121">
            <v>341.666</v>
          </cell>
          <cell r="AQ121">
            <v>373.55900000000003</v>
          </cell>
          <cell r="AR121">
            <v>360.34800000000001</v>
          </cell>
          <cell r="AS121">
            <v>279.363</v>
          </cell>
          <cell r="AT121">
            <v>215.48400000000001</v>
          </cell>
          <cell r="AU121">
            <v>224.65600000000001</v>
          </cell>
          <cell r="AV121">
            <v>266.04700000000003</v>
          </cell>
          <cell r="AW121">
            <v>300.98099999999999</v>
          </cell>
          <cell r="AX121">
            <v>244.083</v>
          </cell>
          <cell r="AY121">
            <v>207.79</v>
          </cell>
          <cell r="AZ121">
            <v>180.06700000000001</v>
          </cell>
          <cell r="BA121">
            <v>144.92599999999999</v>
          </cell>
          <cell r="BB121">
            <v>118.23099999999999</v>
          </cell>
          <cell r="BC121">
            <v>71.748000000000005</v>
          </cell>
          <cell r="BD121">
            <v>37.29</v>
          </cell>
          <cell r="BE121">
            <v>16.748999999999999</v>
          </cell>
          <cell r="BF121">
            <v>7.8129999999999997</v>
          </cell>
          <cell r="BG121">
            <v>2.4980000000000002</v>
          </cell>
          <cell r="BH121">
            <v>0.53700000000000003</v>
          </cell>
          <cell r="BI121">
            <v>5.8999999999999997E-2</v>
          </cell>
          <cell r="BJ121">
            <v>11.45292210268158</v>
          </cell>
          <cell r="BK121">
            <v>11.042799752309893</v>
          </cell>
          <cell r="BL121">
            <v>8.5971954891117015</v>
          </cell>
          <cell r="BM121">
            <v>6.668171516247801</v>
          </cell>
          <cell r="BN121">
            <v>6.9700667116087969</v>
          </cell>
          <cell r="BO121">
            <v>8.2822752105518429</v>
          </cell>
          <cell r="BP121">
            <v>9.4378166666158272</v>
          </cell>
          <cell r="BQ121">
            <v>7.7748155288275296</v>
          </cell>
          <cell r="BR121">
            <v>6.797812274081914</v>
          </cell>
          <cell r="BS121">
            <v>6.1066592644335911</v>
          </cell>
          <cell r="BT121">
            <v>5.135512721571307</v>
          </cell>
          <cell r="BU121">
            <v>4.4442376970920812</v>
          </cell>
          <cell r="BV121">
            <v>2.9774364073953188</v>
          </cell>
          <cell r="BW121">
            <v>1.8531917554578761</v>
          </cell>
          <cell r="BX121">
            <v>1.0866640840194126</v>
          </cell>
          <cell r="BY121">
            <v>0.74017246796348091</v>
          </cell>
          <cell r="BZ121">
            <v>0.40377757916474744</v>
          </cell>
          <cell r="CA121">
            <v>0.17438969706767857</v>
          </cell>
          <cell r="CB121">
            <v>4.5938583834865127E-2</v>
          </cell>
          <cell r="CC121">
            <v>7.5039121005158176E-3</v>
          </cell>
          <cell r="CD121">
            <v>7.015852776905032E-4</v>
          </cell>
          <cell r="CE121">
            <v>8.6730800279855771</v>
          </cell>
          <cell r="CF121">
            <v>9.1939615736505047</v>
          </cell>
          <cell r="CG121">
            <v>10.052176954953987</v>
          </cell>
          <cell r="CH121">
            <v>9.6966794036919453</v>
          </cell>
          <cell r="CI121">
            <v>7.5174371669985476</v>
          </cell>
          <cell r="CJ121">
            <v>5.7985038480167921</v>
          </cell>
          <cell r="CK121">
            <v>6.0453151068295572</v>
          </cell>
          <cell r="CL121">
            <v>7.1591141488617422</v>
          </cell>
          <cell r="CM121">
            <v>8.0991604327000708</v>
          </cell>
          <cell r="CN121">
            <v>6.5680802970776604</v>
          </cell>
          <cell r="CO121">
            <v>5.5914643991173785</v>
          </cell>
          <cell r="CP121">
            <v>4.8454604165545447</v>
          </cell>
          <cell r="CQ121">
            <v>3.89984392659168</v>
          </cell>
          <cell r="CR121">
            <v>3.1815026101932085</v>
          </cell>
          <cell r="CS121">
            <v>1.9306818793391098</v>
          </cell>
          <cell r="CT121">
            <v>1.0034443786663798</v>
          </cell>
          <cell r="CU121">
            <v>0.45070233033744145</v>
          </cell>
          <cell r="CV121">
            <v>0.21024164469081319</v>
          </cell>
          <cell r="CW121">
            <v>6.7219202411065077E-2</v>
          </cell>
          <cell r="CX121">
            <v>1.4450244873795813E-2</v>
          </cell>
          <cell r="CY121">
            <v>1.587643291534363E-3</v>
          </cell>
          <cell r="CZ121">
            <v>100.00006100741545</v>
          </cell>
          <cell r="DA121">
            <v>99.998519993541791</v>
          </cell>
        </row>
        <row r="122">
          <cell r="B122" t="str">
            <v>MOZ</v>
          </cell>
          <cell r="C122" t="str">
            <v>Sub-Saharan Africa</v>
          </cell>
          <cell r="D122" t="str">
            <v>Low income</v>
          </cell>
          <cell r="E122" t="str">
            <v>IDA</v>
          </cell>
          <cell r="F122" t="str">
            <v>HIPC</v>
          </cell>
          <cell r="G122">
            <v>1</v>
          </cell>
          <cell r="H122">
            <v>508</v>
          </cell>
          <cell r="I122">
            <v>31255.4</v>
          </cell>
          <cell r="J122">
            <v>32163</v>
          </cell>
          <cell r="K122">
            <v>33089.5</v>
          </cell>
          <cell r="L122">
            <v>34034.800000000003</v>
          </cell>
          <cell r="M122">
            <v>34999.800000000003</v>
          </cell>
          <cell r="N122">
            <v>35984.6</v>
          </cell>
          <cell r="O122">
            <v>36988.9</v>
          </cell>
          <cell r="P122">
            <v>38011.800000000003</v>
          </cell>
          <cell r="Q122">
            <v>39052.6</v>
          </cell>
          <cell r="R122">
            <v>40110.5</v>
          </cell>
          <cell r="S122">
            <v>41184.800000000003</v>
          </cell>
          <cell r="T122">
            <v>5156.63</v>
          </cell>
          <cell r="U122">
            <v>4561.1499999999996</v>
          </cell>
          <cell r="V122">
            <v>4054.24</v>
          </cell>
          <cell r="W122">
            <v>3541.22</v>
          </cell>
          <cell r="X122">
            <v>2912.56</v>
          </cell>
          <cell r="Y122">
            <v>2381.94</v>
          </cell>
          <cell r="Z122">
            <v>1961.63</v>
          </cell>
          <cell r="AA122">
            <v>1627.11</v>
          </cell>
          <cell r="AB122">
            <v>1287.7</v>
          </cell>
          <cell r="AC122">
            <v>1001.59</v>
          </cell>
          <cell r="AD122">
            <v>782.62</v>
          </cell>
          <cell r="AE122">
            <v>617.54700000000003</v>
          </cell>
          <cell r="AF122">
            <v>475.03</v>
          </cell>
          <cell r="AG122">
            <v>368.63200000000001</v>
          </cell>
          <cell r="AH122">
            <v>262.22000000000003</v>
          </cell>
          <cell r="AI122">
            <v>158.625</v>
          </cell>
          <cell r="AJ122">
            <v>76.713999999999999</v>
          </cell>
          <cell r="AK122">
            <v>24.3</v>
          </cell>
          <cell r="AL122">
            <v>3.738</v>
          </cell>
          <cell r="AM122">
            <v>0.23699999999999999</v>
          </cell>
          <cell r="AN122">
            <v>0.01</v>
          </cell>
          <cell r="AO122">
            <v>6253.33</v>
          </cell>
          <cell r="AP122">
            <v>5661.65</v>
          </cell>
          <cell r="AQ122">
            <v>5067.04</v>
          </cell>
          <cell r="AR122">
            <v>4514.34</v>
          </cell>
          <cell r="AS122">
            <v>3993.33</v>
          </cell>
          <cell r="AT122">
            <v>3452.93</v>
          </cell>
          <cell r="AU122">
            <v>2804.61</v>
          </cell>
          <cell r="AV122">
            <v>2259.5500000000002</v>
          </cell>
          <cell r="AW122">
            <v>1827.77</v>
          </cell>
          <cell r="AX122">
            <v>1488.94</v>
          </cell>
          <cell r="AY122">
            <v>1155.48</v>
          </cell>
          <cell r="AZ122">
            <v>876.46900000000005</v>
          </cell>
          <cell r="BA122">
            <v>658.92</v>
          </cell>
          <cell r="BB122">
            <v>484.488</v>
          </cell>
          <cell r="BC122">
            <v>330.233</v>
          </cell>
          <cell r="BD122">
            <v>209.47</v>
          </cell>
          <cell r="BE122">
            <v>105.42100000000001</v>
          </cell>
          <cell r="BF122">
            <v>34.5</v>
          </cell>
          <cell r="BG122">
            <v>5.9189999999999996</v>
          </cell>
          <cell r="BH122">
            <v>0.42399999999999999</v>
          </cell>
          <cell r="BI122">
            <v>1.6E-2</v>
          </cell>
          <cell r="BJ122">
            <v>16.49836508251374</v>
          </cell>
          <cell r="BK122">
            <v>14.593158302245371</v>
          </cell>
          <cell r="BL122">
            <v>12.971326554771334</v>
          </cell>
          <cell r="BM122">
            <v>11.32994618529918</v>
          </cell>
          <cell r="BN122">
            <v>9.3185817490737595</v>
          </cell>
          <cell r="BO122">
            <v>7.6208911100161894</v>
          </cell>
          <cell r="BP122">
            <v>6.2761314844794818</v>
          </cell>
          <cell r="BQ122">
            <v>5.2058524287003198</v>
          </cell>
          <cell r="BR122">
            <v>4.1199280764283932</v>
          </cell>
          <cell r="BS122">
            <v>3.2045342564804806</v>
          </cell>
          <cell r="BT122">
            <v>2.5039513172123855</v>
          </cell>
          <cell r="BU122">
            <v>1.9758089802082199</v>
          </cell>
          <cell r="BV122">
            <v>1.5198333727931812</v>
          </cell>
          <cell r="BW122">
            <v>1.1794185964665305</v>
          </cell>
          <cell r="BX122">
            <v>0.83895902787998244</v>
          </cell>
          <cell r="BY122">
            <v>0.50751230187423613</v>
          </cell>
          <cell r="BZ122">
            <v>0.24544238755543044</v>
          </cell>
          <cell r="CA122">
            <v>7.77465653935E-2</v>
          </cell>
          <cell r="CB122">
            <v>1.1959533392629753E-2</v>
          </cell>
          <cell r="CC122">
            <v>7.5826897112179006E-4</v>
          </cell>
          <cell r="CD122">
            <v>3.1994471355349797E-5</v>
          </cell>
          <cell r="CE122">
            <v>15.183587148656786</v>
          </cell>
          <cell r="CF122">
            <v>13.746940618869097</v>
          </cell>
          <cell r="CG122">
            <v>12.303179813911928</v>
          </cell>
          <cell r="CH122">
            <v>10.961179852761212</v>
          </cell>
          <cell r="CI122">
            <v>9.6961257551329609</v>
          </cell>
          <cell r="CJ122">
            <v>8.383991181212485</v>
          </cell>
          <cell r="CK122">
            <v>6.8098181853499344</v>
          </cell>
          <cell r="CL122">
            <v>5.4863687574056446</v>
          </cell>
          <cell r="CM122">
            <v>4.4379722616110797</v>
          </cell>
          <cell r="CN122">
            <v>3.6152658262271515</v>
          </cell>
          <cell r="CO122">
            <v>2.8055981818534992</v>
          </cell>
          <cell r="CP122">
            <v>2.1281370796993064</v>
          </cell>
          <cell r="CQ122">
            <v>1.5999106466463353</v>
          </cell>
          <cell r="CR122">
            <v>1.1763757502768011</v>
          </cell>
          <cell r="CS122">
            <v>0.80183222936617382</v>
          </cell>
          <cell r="CT122">
            <v>0.50860997261125462</v>
          </cell>
          <cell r="CU122">
            <v>0.25597064936578545</v>
          </cell>
          <cell r="CV122">
            <v>8.3768769060430057E-2</v>
          </cell>
          <cell r="CW122">
            <v>1.4371807074454651E-2</v>
          </cell>
          <cell r="CX122">
            <v>1.0295060313513721E-3</v>
          </cell>
          <cell r="CY122">
            <v>3.8849284201938574E-5</v>
          </cell>
          <cell r="CZ122">
            <v>100.00013757622683</v>
          </cell>
          <cell r="DA122">
            <v>100.00003399312367</v>
          </cell>
        </row>
        <row r="123">
          <cell r="B123" t="str">
            <v>MRT</v>
          </cell>
          <cell r="C123" t="str">
            <v>Sub-Saharan Africa</v>
          </cell>
          <cell r="D123" t="str">
            <v>Lower middle income</v>
          </cell>
          <cell r="E123" t="str">
            <v>IDA</v>
          </cell>
          <cell r="F123" t="str">
            <v>HIPC</v>
          </cell>
          <cell r="G123">
            <v>1</v>
          </cell>
          <cell r="H123">
            <v>478</v>
          </cell>
          <cell r="I123">
            <v>4649.66</v>
          </cell>
          <cell r="J123">
            <v>4775.1099999999997</v>
          </cell>
          <cell r="K123">
            <v>4901.9799999999996</v>
          </cell>
          <cell r="L123">
            <v>5030.2299999999996</v>
          </cell>
          <cell r="M123">
            <v>5159.8900000000003</v>
          </cell>
          <cell r="N123">
            <v>5290.96</v>
          </cell>
          <cell r="O123">
            <v>5423.38</v>
          </cell>
          <cell r="P123">
            <v>5557.16</v>
          </cell>
          <cell r="Q123">
            <v>5692.35</v>
          </cell>
          <cell r="R123">
            <v>5829</v>
          </cell>
          <cell r="S123">
            <v>5967.18</v>
          </cell>
          <cell r="T123">
            <v>689.87400000000002</v>
          </cell>
          <cell r="U123">
            <v>617.95399999999995</v>
          </cell>
          <cell r="V123">
            <v>537.39400000000001</v>
          </cell>
          <cell r="W123">
            <v>470.161</v>
          </cell>
          <cell r="X123">
            <v>416.12700000000001</v>
          </cell>
          <cell r="Y123">
            <v>371.77499999999998</v>
          </cell>
          <cell r="Z123">
            <v>334.30099999999999</v>
          </cell>
          <cell r="AA123">
            <v>285.47800000000001</v>
          </cell>
          <cell r="AB123">
            <v>234.61500000000001</v>
          </cell>
          <cell r="AC123">
            <v>188.017</v>
          </cell>
          <cell r="AD123">
            <v>149.65799999999999</v>
          </cell>
          <cell r="AE123">
            <v>117.492</v>
          </cell>
          <cell r="AF123">
            <v>89.051000000000002</v>
          </cell>
          <cell r="AG123">
            <v>62.021999999999998</v>
          </cell>
          <cell r="AH123">
            <v>41.686</v>
          </cell>
          <cell r="AI123">
            <v>25.5</v>
          </cell>
          <cell r="AJ123">
            <v>12.755000000000001</v>
          </cell>
          <cell r="AK123">
            <v>4.6159999999999997</v>
          </cell>
          <cell r="AL123">
            <v>1.042</v>
          </cell>
          <cell r="AM123">
            <v>0.13300000000000001</v>
          </cell>
          <cell r="AN123">
            <v>8.9999999999999993E-3</v>
          </cell>
          <cell r="AO123">
            <v>802.98699999999997</v>
          </cell>
          <cell r="AP123">
            <v>735.94100000000003</v>
          </cell>
          <cell r="AQ123">
            <v>676.89499999999998</v>
          </cell>
          <cell r="AR123">
            <v>613.83799999999997</v>
          </cell>
          <cell r="AS123">
            <v>534.54700000000003</v>
          </cell>
          <cell r="AT123">
            <v>468.34899999999999</v>
          </cell>
          <cell r="AU123">
            <v>414.31299999999999</v>
          </cell>
          <cell r="AV123">
            <v>368.35300000000001</v>
          </cell>
          <cell r="AW123">
            <v>328.24799999999999</v>
          </cell>
          <cell r="AX123">
            <v>276.69</v>
          </cell>
          <cell r="AY123">
            <v>222.84899999999999</v>
          </cell>
          <cell r="AZ123">
            <v>173.11199999999999</v>
          </cell>
          <cell r="BA123">
            <v>131.279</v>
          </cell>
          <cell r="BB123">
            <v>95.292000000000002</v>
          </cell>
          <cell r="BC123">
            <v>63.531999999999996</v>
          </cell>
          <cell r="BD123">
            <v>35.890999999999998</v>
          </cell>
          <cell r="BE123">
            <v>17.231000000000002</v>
          </cell>
          <cell r="BF123">
            <v>6.1879999999999997</v>
          </cell>
          <cell r="BG123">
            <v>1.4330000000000001</v>
          </cell>
          <cell r="BH123">
            <v>0.19400000000000001</v>
          </cell>
          <cell r="BI123">
            <v>1.4E-2</v>
          </cell>
          <cell r="BJ123">
            <v>14.837084862118951</v>
          </cell>
          <cell r="BK123">
            <v>13.290305097577026</v>
          </cell>
          <cell r="BL123">
            <v>11.55770529458068</v>
          </cell>
          <cell r="BM123">
            <v>10.111728599510503</v>
          </cell>
          <cell r="BN123">
            <v>8.9496221229079111</v>
          </cell>
          <cell r="BO123">
            <v>7.9957459255085324</v>
          </cell>
          <cell r="BP123">
            <v>7.1897945226102555</v>
          </cell>
          <cell r="BQ123">
            <v>6.1397607567004897</v>
          </cell>
          <cell r="BR123">
            <v>5.0458528150445412</v>
          </cell>
          <cell r="BS123">
            <v>4.0436720104265689</v>
          </cell>
          <cell r="BT123">
            <v>3.2186869577560504</v>
          </cell>
          <cell r="BU123">
            <v>2.5268944395934327</v>
          </cell>
          <cell r="BV123">
            <v>1.9152153060653896</v>
          </cell>
          <cell r="BW123">
            <v>1.3339039843773524</v>
          </cell>
          <cell r="BX123">
            <v>0.89653867164480849</v>
          </cell>
          <cell r="BY123">
            <v>0.5484271968272949</v>
          </cell>
          <cell r="BZ123">
            <v>0.2743211331581234</v>
          </cell>
          <cell r="CA123">
            <v>9.927607610018796E-2</v>
          </cell>
          <cell r="CB123">
            <v>2.2410240748785934E-2</v>
          </cell>
          <cell r="CC123">
            <v>2.8604242030600088E-3</v>
          </cell>
          <cell r="CD123">
            <v>1.9356254005669228E-4</v>
          </cell>
          <cell r="CE123">
            <v>13.456724952154953</v>
          </cell>
          <cell r="CF123">
            <v>12.333145639984046</v>
          </cell>
          <cell r="CG123">
            <v>11.343633005875471</v>
          </cell>
          <cell r="CH123">
            <v>10.286902691053394</v>
          </cell>
          <cell r="CI123">
            <v>8.9581175697733268</v>
          </cell>
          <cell r="CJ123">
            <v>7.8487493254770255</v>
          </cell>
          <cell r="CK123">
            <v>6.9431959485049894</v>
          </cell>
          <cell r="CL123">
            <v>6.1729828830368785</v>
          </cell>
          <cell r="CM123">
            <v>5.5008898675756379</v>
          </cell>
          <cell r="CN123">
            <v>4.6368636441334088</v>
          </cell>
          <cell r="CO123">
            <v>3.7345781424391418</v>
          </cell>
          <cell r="CP123">
            <v>2.9010688465908516</v>
          </cell>
          <cell r="CQ123">
            <v>2.200017428668148</v>
          </cell>
          <cell r="CR123">
            <v>1.596935235739495</v>
          </cell>
          <cell r="CS123">
            <v>1.0646905238320277</v>
          </cell>
          <cell r="CT123">
            <v>0.60147339279190504</v>
          </cell>
          <cell r="CU123">
            <v>0.28876286621151032</v>
          </cell>
          <cell r="CV123">
            <v>0.10370057548121558</v>
          </cell>
          <cell r="CW123">
            <v>2.4014693707915633E-2</v>
          </cell>
          <cell r="CX123">
            <v>3.2511169430116068E-3</v>
          </cell>
          <cell r="CY123">
            <v>2.3461668660908501E-4</v>
          </cell>
          <cell r="CZ123">
            <v>100</v>
          </cell>
          <cell r="DA123">
            <v>99.999698349974352</v>
          </cell>
        </row>
        <row r="124">
          <cell r="B124" t="str">
            <v>MUS</v>
          </cell>
          <cell r="C124" t="str">
            <v>Sub-Saharan Africa</v>
          </cell>
          <cell r="D124" t="str">
            <v>Upper middle income</v>
          </cell>
          <cell r="E124" t="str">
            <v>IBRD</v>
          </cell>
          <cell r="G124">
            <v>1</v>
          </cell>
          <cell r="H124">
            <v>480</v>
          </cell>
          <cell r="I124">
            <v>1271.77</v>
          </cell>
          <cell r="J124">
            <v>1273.43</v>
          </cell>
          <cell r="K124">
            <v>1274.72</v>
          </cell>
          <cell r="L124">
            <v>1275.6600000000001</v>
          </cell>
          <cell r="M124">
            <v>1276.28</v>
          </cell>
          <cell r="N124">
            <v>1276.6400000000001</v>
          </cell>
          <cell r="O124">
            <v>1276.72</v>
          </cell>
          <cell r="P124">
            <v>1276.49</v>
          </cell>
          <cell r="Q124">
            <v>1275.97</v>
          </cell>
          <cell r="R124">
            <v>1275.1400000000001</v>
          </cell>
          <cell r="S124">
            <v>1274.04</v>
          </cell>
          <cell r="T124">
            <v>64.048000000000002</v>
          </cell>
          <cell r="U124">
            <v>68.837999999999994</v>
          </cell>
          <cell r="V124">
            <v>80.575999999999993</v>
          </cell>
          <cell r="W124">
            <v>94.587999999999994</v>
          </cell>
          <cell r="X124">
            <v>94.111000000000004</v>
          </cell>
          <cell r="Y124">
            <v>102.69799999999999</v>
          </cell>
          <cell r="Z124">
            <v>88.438999999999993</v>
          </cell>
          <cell r="AA124">
            <v>86.668999999999997</v>
          </cell>
          <cell r="AB124">
            <v>99.352000000000004</v>
          </cell>
          <cell r="AC124">
            <v>82.738</v>
          </cell>
          <cell r="AD124">
            <v>85.134</v>
          </cell>
          <cell r="AE124">
            <v>90.215000000000003</v>
          </cell>
          <cell r="AF124">
            <v>75.135000000000005</v>
          </cell>
          <cell r="AG124">
            <v>62.854999999999997</v>
          </cell>
          <cell r="AH124">
            <v>44.573999999999998</v>
          </cell>
          <cell r="AI124">
            <v>24.638999999999999</v>
          </cell>
          <cell r="AJ124">
            <v>15.427</v>
          </cell>
          <cell r="AK124">
            <v>7.907</v>
          </cell>
          <cell r="AL124">
            <v>2.9239999999999999</v>
          </cell>
          <cell r="AM124">
            <v>0.78100000000000003</v>
          </cell>
          <cell r="AN124">
            <v>0.11899999999999999</v>
          </cell>
          <cell r="AO124">
            <v>60.683999999999997</v>
          </cell>
          <cell r="AP124">
            <v>62.216000000000001</v>
          </cell>
          <cell r="AQ124">
            <v>63.914000000000001</v>
          </cell>
          <cell r="AR124">
            <v>68.69</v>
          </cell>
          <cell r="AS124">
            <v>80.198999999999998</v>
          </cell>
          <cell r="AT124">
            <v>93.828999999999994</v>
          </cell>
          <cell r="AU124">
            <v>93.08</v>
          </cell>
          <cell r="AV124">
            <v>101.206</v>
          </cell>
          <cell r="AW124">
            <v>86.629000000000005</v>
          </cell>
          <cell r="AX124">
            <v>84.108000000000004</v>
          </cell>
          <cell r="AY124">
            <v>95.081999999999994</v>
          </cell>
          <cell r="AZ124">
            <v>77.635999999999996</v>
          </cell>
          <cell r="BA124">
            <v>77.55</v>
          </cell>
          <cell r="BB124">
            <v>78.411000000000001</v>
          </cell>
          <cell r="BC124">
            <v>60.744</v>
          </cell>
          <cell r="BD124">
            <v>45.515000000000001</v>
          </cell>
          <cell r="BE124">
            <v>27.146000000000001</v>
          </cell>
          <cell r="BF124">
            <v>11.265000000000001</v>
          </cell>
          <cell r="BG124">
            <v>4.5650000000000004</v>
          </cell>
          <cell r="BH124">
            <v>1.3169999999999999</v>
          </cell>
          <cell r="BI124">
            <v>0.25</v>
          </cell>
          <cell r="BJ124">
            <v>5.036130746911784</v>
          </cell>
          <cell r="BK124">
            <v>5.4127711771782634</v>
          </cell>
          <cell r="BL124">
            <v>6.3357368077561187</v>
          </cell>
          <cell r="BM124">
            <v>7.4375083544980614</v>
          </cell>
          <cell r="BN124">
            <v>7.4000015726114006</v>
          </cell>
          <cell r="BO124">
            <v>8.0752022771413063</v>
          </cell>
          <cell r="BP124">
            <v>6.9540089796110927</v>
          </cell>
          <cell r="BQ124">
            <v>6.8148328707234791</v>
          </cell>
          <cell r="BR124">
            <v>7.8121043899447224</v>
          </cell>
          <cell r="BS124">
            <v>6.5057361000809903</v>
          </cell>
          <cell r="BT124">
            <v>6.6941349457842216</v>
          </cell>
          <cell r="BU124">
            <v>7.0936568719186646</v>
          </cell>
          <cell r="BV124">
            <v>5.907907876424197</v>
          </cell>
          <cell r="BW124">
            <v>4.9423244769101329</v>
          </cell>
          <cell r="BX124">
            <v>3.5048790268680658</v>
          </cell>
          <cell r="BY124">
            <v>1.9373786140575733</v>
          </cell>
          <cell r="BZ124">
            <v>1.21303380328204</v>
          </cell>
          <cell r="CA124">
            <v>0.6217319169346659</v>
          </cell>
          <cell r="CB124">
            <v>0.22991578665953749</v>
          </cell>
          <cell r="CC124">
            <v>6.1410475164534468E-2</v>
          </cell>
          <cell r="CD124">
            <v>9.3570378291672231E-3</v>
          </cell>
          <cell r="CE124">
            <v>4.7631157577470091</v>
          </cell>
          <cell r="CF124">
            <v>4.8833631597124105</v>
          </cell>
          <cell r="CG124">
            <v>5.0166399799064401</v>
          </cell>
          <cell r="CH124">
            <v>5.3915104706288659</v>
          </cell>
          <cell r="CI124">
            <v>6.294857304323255</v>
          </cell>
          <cell r="CJ124">
            <v>7.3646824275532943</v>
          </cell>
          <cell r="CK124">
            <v>7.3058930645819604</v>
          </cell>
          <cell r="CL124">
            <v>7.9437066340146316</v>
          </cell>
          <cell r="CM124">
            <v>6.799551034504411</v>
          </cell>
          <cell r="CN124">
            <v>6.6016765564660451</v>
          </cell>
          <cell r="CO124">
            <v>7.4630309880380521</v>
          </cell>
          <cell r="CP124">
            <v>6.0936862264921041</v>
          </cell>
          <cell r="CQ124">
            <v>6.0869360459640198</v>
          </cell>
          <cell r="CR124">
            <v>6.1545163417161159</v>
          </cell>
          <cell r="CS124">
            <v>4.7678251860224163</v>
          </cell>
          <cell r="CT124">
            <v>3.5724937992527712</v>
          </cell>
          <cell r="CU124">
            <v>2.1307023327368055</v>
          </cell>
          <cell r="CV124">
            <v>0.88419515870773302</v>
          </cell>
          <cell r="CW124">
            <v>0.35830900128724374</v>
          </cell>
          <cell r="CX124">
            <v>0.10337195064519167</v>
          </cell>
          <cell r="CY124">
            <v>1.9622617814197357E-2</v>
          </cell>
          <cell r="CZ124">
            <v>99.999764108290023</v>
          </cell>
          <cell r="DA124">
            <v>99.98006342030078</v>
          </cell>
        </row>
        <row r="125">
          <cell r="B125" t="str">
            <v>MWI</v>
          </cell>
          <cell r="C125" t="str">
            <v>Sub-Saharan Africa</v>
          </cell>
          <cell r="D125" t="str">
            <v>Low income</v>
          </cell>
          <cell r="E125" t="str">
            <v>IDA</v>
          </cell>
          <cell r="F125" t="str">
            <v>HIPC</v>
          </cell>
          <cell r="G125">
            <v>1</v>
          </cell>
          <cell r="H125">
            <v>454</v>
          </cell>
          <cell r="I125">
            <v>19130</v>
          </cell>
          <cell r="J125">
            <v>19647.7</v>
          </cell>
          <cell r="K125">
            <v>20180.8</v>
          </cell>
          <cell r="L125">
            <v>20728.2</v>
          </cell>
          <cell r="M125">
            <v>21287.599999999999</v>
          </cell>
          <cell r="N125">
            <v>21857.5</v>
          </cell>
          <cell r="O125">
            <v>22437.4</v>
          </cell>
          <cell r="P125">
            <v>23027.4</v>
          </cell>
          <cell r="Q125">
            <v>23626.6</v>
          </cell>
          <cell r="R125">
            <v>24234.2</v>
          </cell>
          <cell r="S125">
            <v>24849.4</v>
          </cell>
          <cell r="T125">
            <v>2923.94</v>
          </cell>
          <cell r="U125">
            <v>2738.58</v>
          </cell>
          <cell r="V125">
            <v>2561.84</v>
          </cell>
          <cell r="W125">
            <v>2176.21</v>
          </cell>
          <cell r="X125">
            <v>1838.72</v>
          </cell>
          <cell r="Y125">
            <v>1538.8</v>
          </cell>
          <cell r="Z125">
            <v>1292.43</v>
          </cell>
          <cell r="AA125">
            <v>993.59400000000005</v>
          </cell>
          <cell r="AB125">
            <v>806.78700000000003</v>
          </cell>
          <cell r="AC125">
            <v>629.95399999999995</v>
          </cell>
          <cell r="AD125">
            <v>481.315</v>
          </cell>
          <cell r="AE125">
            <v>364.83300000000003</v>
          </cell>
          <cell r="AF125">
            <v>277.62200000000001</v>
          </cell>
          <cell r="AG125">
            <v>202.626</v>
          </cell>
          <cell r="AH125">
            <v>152.76599999999999</v>
          </cell>
          <cell r="AI125">
            <v>91.475999999999999</v>
          </cell>
          <cell r="AJ125">
            <v>42.802999999999997</v>
          </cell>
          <cell r="AK125">
            <v>13.353999999999999</v>
          </cell>
          <cell r="AL125">
            <v>2.1619999999999999</v>
          </cell>
          <cell r="AM125">
            <v>0.13900000000000001</v>
          </cell>
          <cell r="AN125">
            <v>5.0000000000000001E-3</v>
          </cell>
          <cell r="AO125">
            <v>3539.96</v>
          </cell>
          <cell r="AP125">
            <v>3218.62</v>
          </cell>
          <cell r="AQ125">
            <v>2885.2</v>
          </cell>
          <cell r="AR125">
            <v>2713.46</v>
          </cell>
          <cell r="AS125">
            <v>2526.02</v>
          </cell>
          <cell r="AT125">
            <v>2126.88</v>
          </cell>
          <cell r="AU125">
            <v>1781.7</v>
          </cell>
          <cell r="AV125">
            <v>1477.99</v>
          </cell>
          <cell r="AW125">
            <v>1227.56</v>
          </cell>
          <cell r="AX125">
            <v>930.55799999999999</v>
          </cell>
          <cell r="AY125">
            <v>741.68399999999997</v>
          </cell>
          <cell r="AZ125">
            <v>563.61699999999996</v>
          </cell>
          <cell r="BA125">
            <v>413.86500000000001</v>
          </cell>
          <cell r="BB125">
            <v>293.29899999999998</v>
          </cell>
          <cell r="BC125">
            <v>198.792</v>
          </cell>
          <cell r="BD125">
            <v>119.51900000000001</v>
          </cell>
          <cell r="BE125">
            <v>64.813999999999993</v>
          </cell>
          <cell r="BF125">
            <v>21.806999999999999</v>
          </cell>
          <cell r="BG125">
            <v>3.81</v>
          </cell>
          <cell r="BH125">
            <v>0.27</v>
          </cell>
          <cell r="BI125">
            <v>8.9999999999999993E-3</v>
          </cell>
          <cell r="BJ125">
            <v>15.284579194981704</v>
          </cell>
          <cell r="BK125">
            <v>14.315629900679561</v>
          </cell>
          <cell r="BL125">
            <v>13.391740721380033</v>
          </cell>
          <cell r="BM125">
            <v>11.375901725039206</v>
          </cell>
          <cell r="BN125">
            <v>9.6117093570308416</v>
          </cell>
          <cell r="BO125">
            <v>8.0439100888656565</v>
          </cell>
          <cell r="BP125">
            <v>6.7560376372190287</v>
          </cell>
          <cell r="BQ125">
            <v>5.1939048614741248</v>
          </cell>
          <cell r="BR125">
            <v>4.2173915316257187</v>
          </cell>
          <cell r="BS125">
            <v>3.2930162049137479</v>
          </cell>
          <cell r="BT125">
            <v>2.5160219550444327</v>
          </cell>
          <cell r="BU125">
            <v>1.9071249346576062</v>
          </cell>
          <cell r="BV125">
            <v>1.4512388917929953</v>
          </cell>
          <cell r="BW125">
            <v>1.059205436487193</v>
          </cell>
          <cell r="BX125">
            <v>0.79856769472033462</v>
          </cell>
          <cell r="BY125">
            <v>0.47818086774699425</v>
          </cell>
          <cell r="BZ125">
            <v>0.22374803972817561</v>
          </cell>
          <cell r="CA125">
            <v>6.9806586513329841E-2</v>
          </cell>
          <cell r="CB125">
            <v>1.1301620491374804E-2</v>
          </cell>
          <cell r="CC125">
            <v>7.2660742289597496E-4</v>
          </cell>
          <cell r="CD125">
            <v>2.6136957658128594E-5</v>
          </cell>
          <cell r="CE125">
            <v>14.245655830724283</v>
          </cell>
          <cell r="CF125">
            <v>12.95250589551458</v>
          </cell>
          <cell r="CG125">
            <v>11.610743116534</v>
          </cell>
          <cell r="CH125">
            <v>10.919619789612627</v>
          </cell>
          <cell r="CI125">
            <v>10.165315862757248</v>
          </cell>
          <cell r="CJ125">
            <v>8.5590798973013431</v>
          </cell>
          <cell r="CK125">
            <v>7.1699920320007733</v>
          </cell>
          <cell r="CL125">
            <v>5.9477894838507162</v>
          </cell>
          <cell r="CM125">
            <v>4.9399985512728675</v>
          </cell>
          <cell r="CN125">
            <v>3.7447906186869702</v>
          </cell>
          <cell r="CO125">
            <v>2.9847159287548188</v>
          </cell>
          <cell r="CP125">
            <v>2.2681312224842447</v>
          </cell>
          <cell r="CQ125">
            <v>1.665492929406746</v>
          </cell>
          <cell r="CR125">
            <v>1.1803061643339476</v>
          </cell>
          <cell r="CS125">
            <v>0.79998712242549119</v>
          </cell>
          <cell r="CT125">
            <v>0.48097338366318704</v>
          </cell>
          <cell r="CU125">
            <v>0.26082722319251161</v>
          </cell>
          <cell r="CV125">
            <v>8.7756646035719157E-2</v>
          </cell>
          <cell r="CW125">
            <v>1.5332362149589123E-2</v>
          </cell>
          <cell r="CX125">
            <v>1.0865453491834814E-3</v>
          </cell>
          <cell r="CY125">
            <v>3.6218178306116038E-5</v>
          </cell>
          <cell r="CZ125">
            <v>99.999769994772606</v>
          </cell>
          <cell r="DA125">
            <v>100.00010060605084</v>
          </cell>
        </row>
        <row r="126">
          <cell r="B126" t="str">
            <v>MYS</v>
          </cell>
          <cell r="C126" t="str">
            <v>East Asia &amp; Pacific</v>
          </cell>
          <cell r="D126" t="str">
            <v>Upper middle income</v>
          </cell>
          <cell r="E126" t="str">
            <v>IBRD</v>
          </cell>
          <cell r="G126">
            <v>0</v>
          </cell>
          <cell r="H126">
            <v>458</v>
          </cell>
          <cell r="I126">
            <v>32366</v>
          </cell>
          <cell r="J126">
            <v>32776.199999999997</v>
          </cell>
          <cell r="K126">
            <v>33181.1</v>
          </cell>
          <cell r="L126">
            <v>33579.300000000003</v>
          </cell>
          <cell r="M126">
            <v>33969.300000000003</v>
          </cell>
          <cell r="N126">
            <v>34349.9</v>
          </cell>
          <cell r="O126">
            <v>34720.300000000003</v>
          </cell>
          <cell r="P126">
            <v>35080.1</v>
          </cell>
          <cell r="Q126">
            <v>35429.1</v>
          </cell>
          <cell r="R126">
            <v>35767.4</v>
          </cell>
          <cell r="S126">
            <v>36095.1</v>
          </cell>
          <cell r="T126">
            <v>2635.11</v>
          </cell>
          <cell r="U126">
            <v>2508.08</v>
          </cell>
          <cell r="V126">
            <v>2446.0300000000002</v>
          </cell>
          <cell r="W126">
            <v>2669.74</v>
          </cell>
          <cell r="X126">
            <v>2863.06</v>
          </cell>
          <cell r="Y126">
            <v>2907.31</v>
          </cell>
          <cell r="Z126">
            <v>2929.65</v>
          </cell>
          <cell r="AA126">
            <v>2721.57</v>
          </cell>
          <cell r="AB126">
            <v>2095.6999999999998</v>
          </cell>
          <cell r="AC126">
            <v>1894.83</v>
          </cell>
          <cell r="AD126">
            <v>1674.47</v>
          </cell>
          <cell r="AE126">
            <v>1471.56</v>
          </cell>
          <cell r="AF126">
            <v>1223.82</v>
          </cell>
          <cell r="AG126">
            <v>927.548</v>
          </cell>
          <cell r="AH126">
            <v>657.88</v>
          </cell>
          <cell r="AI126">
            <v>367.30099999999999</v>
          </cell>
          <cell r="AJ126">
            <v>229.56</v>
          </cell>
          <cell r="AK126">
            <v>103.35</v>
          </cell>
          <cell r="AL126">
            <v>31.442</v>
          </cell>
          <cell r="AM126">
            <v>6.891</v>
          </cell>
          <cell r="AN126">
            <v>1.095</v>
          </cell>
          <cell r="AO126">
            <v>2558.15</v>
          </cell>
          <cell r="AP126">
            <v>2652.02</v>
          </cell>
          <cell r="AQ126">
            <v>2641.91</v>
          </cell>
          <cell r="AR126">
            <v>2532.3000000000002</v>
          </cell>
          <cell r="AS126">
            <v>2507.67</v>
          </cell>
          <cell r="AT126">
            <v>2746.2</v>
          </cell>
          <cell r="AU126">
            <v>2922.05</v>
          </cell>
          <cell r="AV126">
            <v>2934.71</v>
          </cell>
          <cell r="AW126">
            <v>2923.66</v>
          </cell>
          <cell r="AX126">
            <v>2682.39</v>
          </cell>
          <cell r="AY126">
            <v>2031.79</v>
          </cell>
          <cell r="AZ126">
            <v>1796.09</v>
          </cell>
          <cell r="BA126">
            <v>1546.36</v>
          </cell>
          <cell r="BB126">
            <v>1305.8699999999999</v>
          </cell>
          <cell r="BC126">
            <v>1005.8</v>
          </cell>
          <cell r="BD126">
            <v>669.93899999999996</v>
          </cell>
          <cell r="BE126">
            <v>395.36</v>
          </cell>
          <cell r="BF126">
            <v>163.49700000000001</v>
          </cell>
          <cell r="BG126">
            <v>62.667999999999999</v>
          </cell>
          <cell r="BH126">
            <v>14.337999999999999</v>
          </cell>
          <cell r="BI126">
            <v>2.2850000000000001</v>
          </cell>
          <cell r="BJ126">
            <v>8.1415992090465306</v>
          </cell>
          <cell r="BK126">
            <v>7.7491194463325712</v>
          </cell>
          <cell r="BL126">
            <v>7.5574059197923757</v>
          </cell>
          <cell r="BM126">
            <v>8.248594203794104</v>
          </cell>
          <cell r="BN126">
            <v>8.8458876598900069</v>
          </cell>
          <cell r="BO126">
            <v>8.9826052029907935</v>
          </cell>
          <cell r="BP126">
            <v>9.0516282518692446</v>
          </cell>
          <cell r="BQ126">
            <v>8.4087313847865062</v>
          </cell>
          <cell r="BR126">
            <v>6.4750046344929855</v>
          </cell>
          <cell r="BS126">
            <v>5.8543842303651976</v>
          </cell>
          <cell r="BT126">
            <v>5.1735463140332447</v>
          </cell>
          <cell r="BU126">
            <v>4.5466229994438603</v>
          </cell>
          <cell r="BV126">
            <v>3.7811901377989248</v>
          </cell>
          <cell r="BW126">
            <v>2.8658098004078356</v>
          </cell>
          <cell r="BX126">
            <v>2.0326268306247295</v>
          </cell>
          <cell r="BY126">
            <v>1.1348359389482789</v>
          </cell>
          <cell r="BZ126">
            <v>0.70926280664895258</v>
          </cell>
          <cell r="CA126">
            <v>0.31931656676759562</v>
          </cell>
          <cell r="CB126">
            <v>9.7145152320336145E-2</v>
          </cell>
          <cell r="CC126">
            <v>2.1290860779830688E-2</v>
          </cell>
          <cell r="CD126">
            <v>3.3831798801211145E-3</v>
          </cell>
          <cell r="CE126">
            <v>7.0872500699540941</v>
          </cell>
          <cell r="CF126">
            <v>7.3473130701951233</v>
          </cell>
          <cell r="CG126">
            <v>7.3193037282068758</v>
          </cell>
          <cell r="CH126">
            <v>7.0156337009732628</v>
          </cell>
          <cell r="CI126">
            <v>6.9473972921532292</v>
          </cell>
          <cell r="CJ126">
            <v>7.6082349127720938</v>
          </cell>
          <cell r="CK126">
            <v>8.0954201539821202</v>
          </cell>
          <cell r="CL126">
            <v>8.1304941667982629</v>
          </cell>
          <cell r="CM126">
            <v>8.0998805932107114</v>
          </cell>
          <cell r="CN126">
            <v>7.4314519145257938</v>
          </cell>
          <cell r="CO126">
            <v>5.6289911927103686</v>
          </cell>
          <cell r="CP126">
            <v>4.9759939714808938</v>
          </cell>
          <cell r="CQ126">
            <v>4.2841272084022481</v>
          </cell>
          <cell r="CR126">
            <v>3.6178594878529218</v>
          </cell>
          <cell r="CS126">
            <v>2.7865278112541589</v>
          </cell>
          <cell r="CT126">
            <v>1.8560386312823622</v>
          </cell>
          <cell r="CU126">
            <v>1.0953287288302291</v>
          </cell>
          <cell r="CV126">
            <v>0.45296175935237748</v>
          </cell>
          <cell r="CW126">
            <v>0.17361913389906108</v>
          </cell>
          <cell r="CX126">
            <v>3.9722843266814606E-2</v>
          </cell>
          <cell r="CY126">
            <v>6.33049915362473E-3</v>
          </cell>
          <cell r="CZ126">
            <v>99.999990731014037</v>
          </cell>
          <cell r="DA126">
            <v>99.993550371102998</v>
          </cell>
        </row>
        <row r="127">
          <cell r="B127" t="str">
            <v>NAM</v>
          </cell>
          <cell r="C127" t="str">
            <v>Sub-Saharan Africa</v>
          </cell>
          <cell r="D127" t="str">
            <v>Upper middle income</v>
          </cell>
          <cell r="E127" t="str">
            <v>IBRD</v>
          </cell>
          <cell r="G127">
            <v>1</v>
          </cell>
          <cell r="H127">
            <v>516</v>
          </cell>
          <cell r="I127">
            <v>2540.92</v>
          </cell>
          <cell r="J127">
            <v>2587.34</v>
          </cell>
          <cell r="K127">
            <v>2633.87</v>
          </cell>
          <cell r="L127">
            <v>2680.5</v>
          </cell>
          <cell r="M127">
            <v>2727.26</v>
          </cell>
          <cell r="N127">
            <v>2774.2</v>
          </cell>
          <cell r="O127">
            <v>2821.27</v>
          </cell>
          <cell r="P127">
            <v>2868.43</v>
          </cell>
          <cell r="Q127">
            <v>2915.72</v>
          </cell>
          <cell r="R127">
            <v>2963.19</v>
          </cell>
          <cell r="S127">
            <v>3010.87</v>
          </cell>
          <cell r="T127">
            <v>336.07799999999997</v>
          </cell>
          <cell r="U127">
            <v>318.44799999999998</v>
          </cell>
          <cell r="V127">
            <v>281.57799999999997</v>
          </cell>
          <cell r="W127">
            <v>244.85599999999999</v>
          </cell>
          <cell r="X127">
            <v>244.31100000000001</v>
          </cell>
          <cell r="Y127">
            <v>228.398</v>
          </cell>
          <cell r="Z127">
            <v>197.38800000000001</v>
          </cell>
          <cell r="AA127">
            <v>159.459</v>
          </cell>
          <cell r="AB127">
            <v>130.72999999999999</v>
          </cell>
          <cell r="AC127">
            <v>106.827</v>
          </cell>
          <cell r="AD127">
            <v>82.468000000000004</v>
          </cell>
          <cell r="AE127">
            <v>67.866</v>
          </cell>
          <cell r="AF127">
            <v>51.390999999999998</v>
          </cell>
          <cell r="AG127">
            <v>36.07</v>
          </cell>
          <cell r="AH127">
            <v>24.28</v>
          </cell>
          <cell r="AI127">
            <v>16.850999999999999</v>
          </cell>
          <cell r="AJ127">
            <v>9.3490000000000002</v>
          </cell>
          <cell r="AK127">
            <v>3.6419999999999999</v>
          </cell>
          <cell r="AL127">
            <v>0.85</v>
          </cell>
          <cell r="AM127">
            <v>7.3999999999999996E-2</v>
          </cell>
          <cell r="AN127">
            <v>2E-3</v>
          </cell>
          <cell r="AO127">
            <v>342.899</v>
          </cell>
          <cell r="AP127">
            <v>336.69600000000003</v>
          </cell>
          <cell r="AQ127">
            <v>330.98099999999999</v>
          </cell>
          <cell r="AR127">
            <v>314.09800000000001</v>
          </cell>
          <cell r="AS127">
            <v>274.24299999999999</v>
          </cell>
          <cell r="AT127">
            <v>233.80699999999999</v>
          </cell>
          <cell r="AU127">
            <v>230.791</v>
          </cell>
          <cell r="AV127">
            <v>214.1</v>
          </cell>
          <cell r="AW127">
            <v>183.08699999999999</v>
          </cell>
          <cell r="AX127">
            <v>145.899</v>
          </cell>
          <cell r="AY127">
            <v>117.437</v>
          </cell>
          <cell r="AZ127">
            <v>93.388999999999996</v>
          </cell>
          <cell r="BA127">
            <v>69.242999999999995</v>
          </cell>
          <cell r="BB127">
            <v>53.231000000000002</v>
          </cell>
          <cell r="BC127">
            <v>35.847000000000001</v>
          </cell>
          <cell r="BD127">
            <v>20.702000000000002</v>
          </cell>
          <cell r="BE127">
            <v>9.8450000000000006</v>
          </cell>
          <cell r="BF127">
            <v>3.7519999999999998</v>
          </cell>
          <cell r="BG127">
            <v>0.75600000000000001</v>
          </cell>
          <cell r="BH127">
            <v>6.6000000000000003E-2</v>
          </cell>
          <cell r="BI127">
            <v>4.0000000000000001E-3</v>
          </cell>
          <cell r="BJ127">
            <v>13.226626576200745</v>
          </cell>
          <cell r="BK127">
            <v>12.532783401287723</v>
          </cell>
          <cell r="BL127">
            <v>11.081734175023218</v>
          </cell>
          <cell r="BM127">
            <v>9.6365096106921904</v>
          </cell>
          <cell r="BN127">
            <v>9.6150606866804154</v>
          </cell>
          <cell r="BO127">
            <v>8.9887914613604512</v>
          </cell>
          <cell r="BP127">
            <v>7.7683673630023762</v>
          </cell>
          <cell r="BQ127">
            <v>6.2756403192544425</v>
          </cell>
          <cell r="BR127">
            <v>5.1449868551548255</v>
          </cell>
          <cell r="BS127">
            <v>4.2042645970750749</v>
          </cell>
          <cell r="BT127">
            <v>3.2455960833084081</v>
          </cell>
          <cell r="BU127">
            <v>2.6709223430883302</v>
          </cell>
          <cell r="BV127">
            <v>2.0225351447507203</v>
          </cell>
          <cell r="BW127">
            <v>1.4195645671646491</v>
          </cell>
          <cell r="BX127">
            <v>0.95555940368055658</v>
          </cell>
          <cell r="BY127">
            <v>0.66318498811454119</v>
          </cell>
          <cell r="BZ127">
            <v>0.36793759740566406</v>
          </cell>
          <cell r="CA127">
            <v>0.1433339105520835</v>
          </cell>
          <cell r="CB127">
            <v>3.3452450293594449E-2</v>
          </cell>
          <cell r="CC127">
            <v>2.9123309667364577E-3</v>
          </cell>
          <cell r="CD127">
            <v>7.8711647749633986E-5</v>
          </cell>
          <cell r="CE127">
            <v>11.388701604519625</v>
          </cell>
          <cell r="CF127">
            <v>11.182681417663334</v>
          </cell>
          <cell r="CG127">
            <v>10.992869170704815</v>
          </cell>
          <cell r="CH127">
            <v>10.432134233626826</v>
          </cell>
          <cell r="CI127">
            <v>9.1084304536562524</v>
          </cell>
          <cell r="CJ127">
            <v>7.7654299255696859</v>
          </cell>
          <cell r="CK127">
            <v>7.6652595429228105</v>
          </cell>
          <cell r="CL127">
            <v>7.1109015002308302</v>
          </cell>
          <cell r="CM127">
            <v>6.080866991932564</v>
          </cell>
          <cell r="CN127">
            <v>4.8457422605426341</v>
          </cell>
          <cell r="CO127">
            <v>3.9004340938001305</v>
          </cell>
          <cell r="CP127">
            <v>3.1017280719526248</v>
          </cell>
          <cell r="CQ127">
            <v>2.2997671769289276</v>
          </cell>
          <cell r="CR127">
            <v>1.767960755529133</v>
          </cell>
          <cell r="CS127">
            <v>1.1905861096626558</v>
          </cell>
          <cell r="CT127">
            <v>0.68757535197467845</v>
          </cell>
          <cell r="CU127">
            <v>0.32698190224088058</v>
          </cell>
          <cell r="CV127">
            <v>0.12461514445990694</v>
          </cell>
          <cell r="CW127">
            <v>2.5109021644906623E-2</v>
          </cell>
          <cell r="CX127">
            <v>2.1920574451902608E-3</v>
          </cell>
          <cell r="CY127">
            <v>1.3285196637516733E-4</v>
          </cell>
          <cell r="CZ127">
            <v>99.999842576704538</v>
          </cell>
          <cell r="DA127">
            <v>99.99996678700839</v>
          </cell>
        </row>
        <row r="128">
          <cell r="B128" t="str">
            <v>NCL</v>
          </cell>
          <cell r="C128" t="str">
            <v>East Asia &amp; Pacific</v>
          </cell>
          <cell r="D128" t="str">
            <v>High income</v>
          </cell>
          <cell r="G128">
            <v>0</v>
          </cell>
          <cell r="H128">
            <v>540</v>
          </cell>
          <cell r="I128">
            <v>285.49099999999999</v>
          </cell>
          <cell r="J128">
            <v>288.21699999999998</v>
          </cell>
          <cell r="K128">
            <v>290.92399999999998</v>
          </cell>
          <cell r="L128">
            <v>293.58100000000002</v>
          </cell>
          <cell r="M128">
            <v>296.20999999999998</v>
          </cell>
          <cell r="N128">
            <v>298.786</v>
          </cell>
          <cell r="O128">
            <v>301.31599999999997</v>
          </cell>
          <cell r="P128">
            <v>303.79700000000003</v>
          </cell>
          <cell r="Q128">
            <v>306.25</v>
          </cell>
          <cell r="R128">
            <v>308.65800000000002</v>
          </cell>
          <cell r="S128">
            <v>311.02699999999999</v>
          </cell>
          <cell r="T128">
            <v>19.797999999999998</v>
          </cell>
          <cell r="U128">
            <v>21.515999999999998</v>
          </cell>
          <cell r="V128">
            <v>21.806999999999999</v>
          </cell>
          <cell r="W128">
            <v>21.396000000000001</v>
          </cell>
          <cell r="X128">
            <v>23.349</v>
          </cell>
          <cell r="Y128">
            <v>19.843</v>
          </cell>
          <cell r="Z128">
            <v>20.797000000000001</v>
          </cell>
          <cell r="AA128">
            <v>20.693999999999999</v>
          </cell>
          <cell r="AB128">
            <v>19.725999999999999</v>
          </cell>
          <cell r="AC128">
            <v>21.097000000000001</v>
          </cell>
          <cell r="AD128">
            <v>18.244</v>
          </cell>
          <cell r="AE128">
            <v>16.707000000000001</v>
          </cell>
          <cell r="AF128">
            <v>12.832000000000001</v>
          </cell>
          <cell r="AG128">
            <v>9.9629999999999992</v>
          </cell>
          <cell r="AH128">
            <v>8.0939999999999994</v>
          </cell>
          <cell r="AI128">
            <v>5.2089999999999996</v>
          </cell>
          <cell r="AJ128">
            <v>2.8279999999999998</v>
          </cell>
          <cell r="AK128">
            <v>1.133</v>
          </cell>
          <cell r="AL128">
            <v>0.379</v>
          </cell>
          <cell r="AM128">
            <v>7.0000000000000007E-2</v>
          </cell>
          <cell r="AN128">
            <v>8.9999999999999993E-3</v>
          </cell>
          <cell r="AO128">
            <v>19.812999999999999</v>
          </cell>
          <cell r="AP128">
            <v>19.748999999999999</v>
          </cell>
          <cell r="AQ128">
            <v>19.869</v>
          </cell>
          <cell r="AR128">
            <v>21.8</v>
          </cell>
          <cell r="AS128">
            <v>22.504999999999999</v>
          </cell>
          <cell r="AT128">
            <v>22.257000000000001</v>
          </cell>
          <cell r="AU128">
            <v>24.044</v>
          </cell>
          <cell r="AV128">
            <v>20.312999999999999</v>
          </cell>
          <cell r="AW128">
            <v>21.029</v>
          </cell>
          <cell r="AX128">
            <v>20.712</v>
          </cell>
          <cell r="AY128">
            <v>19.512</v>
          </cell>
          <cell r="AZ128">
            <v>20.51</v>
          </cell>
          <cell r="BA128">
            <v>17.314</v>
          </cell>
          <cell r="BB128">
            <v>15.228999999999999</v>
          </cell>
          <cell r="BC128">
            <v>10.923999999999999</v>
          </cell>
          <cell r="BD128">
            <v>7.4829999999999997</v>
          </cell>
          <cell r="BE128">
            <v>4.91</v>
          </cell>
          <cell r="BF128">
            <v>2.1930000000000001</v>
          </cell>
          <cell r="BG128">
            <v>0.71</v>
          </cell>
          <cell r="BH128">
            <v>0.13300000000000001</v>
          </cell>
          <cell r="BI128">
            <v>1.7999999999999999E-2</v>
          </cell>
          <cell r="BJ128">
            <v>6.9347194832761803</v>
          </cell>
          <cell r="BK128">
            <v>7.5364897667527169</v>
          </cell>
          <cell r="BL128">
            <v>7.6384194247804658</v>
          </cell>
          <cell r="BM128">
            <v>7.4944569180814806</v>
          </cell>
          <cell r="BN128">
            <v>8.1785415302058553</v>
          </cell>
          <cell r="BO128">
            <v>6.9504818015278937</v>
          </cell>
          <cell r="BP128">
            <v>7.2846429484642243</v>
          </cell>
          <cell r="BQ128">
            <v>7.2485647533547475</v>
          </cell>
          <cell r="BR128">
            <v>6.9094997740734385</v>
          </cell>
          <cell r="BS128">
            <v>7.3897250701423172</v>
          </cell>
          <cell r="BT128">
            <v>6.3903940929836676</v>
          </cell>
          <cell r="BU128">
            <v>5.8520233562529125</v>
          </cell>
          <cell r="BV128">
            <v>4.4947126179108983</v>
          </cell>
          <cell r="BW128">
            <v>3.4897772609294164</v>
          </cell>
          <cell r="BX128">
            <v>2.8351156428749067</v>
          </cell>
          <cell r="BY128">
            <v>1.8245759060705939</v>
          </cell>
          <cell r="BZ128">
            <v>0.9905741336854752</v>
          </cell>
          <cell r="CA128">
            <v>0.39686014620425869</v>
          </cell>
          <cell r="CB128">
            <v>0.13275374705332216</v>
          </cell>
          <cell r="CC128">
            <v>2.4519161724888001E-2</v>
          </cell>
          <cell r="CD128">
            <v>3.1524636503427431E-3</v>
          </cell>
          <cell r="CE128">
            <v>6.3701865111389049</v>
          </cell>
          <cell r="CF128">
            <v>6.3496095194307891</v>
          </cell>
          <cell r="CG128">
            <v>6.388191378883505</v>
          </cell>
          <cell r="CH128">
            <v>7.0090378005767988</v>
          </cell>
          <cell r="CI128">
            <v>7.2357062248615076</v>
          </cell>
          <cell r="CJ128">
            <v>7.155970381992562</v>
          </cell>
          <cell r="CK128">
            <v>7.7305185723425947</v>
          </cell>
          <cell r="CL128">
            <v>6.5309442588585549</v>
          </cell>
          <cell r="CM128">
            <v>6.7611493535930958</v>
          </cell>
          <cell r="CN128">
            <v>6.6592289415388377</v>
          </cell>
          <cell r="CO128">
            <v>6.2734103470116747</v>
          </cell>
          <cell r="CP128">
            <v>6.5942828114600989</v>
          </cell>
          <cell r="CQ128">
            <v>5.5667192880360874</v>
          </cell>
          <cell r="CR128">
            <v>4.8963594800451409</v>
          </cell>
          <cell r="CS128">
            <v>3.5122352721789429</v>
          </cell>
          <cell r="CT128">
            <v>2.4059004523723022</v>
          </cell>
          <cell r="CU128">
            <v>1.5786410826069761</v>
          </cell>
          <cell r="CV128">
            <v>0.70508348149839084</v>
          </cell>
          <cell r="CW128">
            <v>0.22827600176190491</v>
          </cell>
          <cell r="CX128">
            <v>4.2761560893427267E-2</v>
          </cell>
          <cell r="CY128">
            <v>5.7872789179074487E-3</v>
          </cell>
          <cell r="CZ128">
            <v>100</v>
          </cell>
          <cell r="DA128">
            <v>99.994212721082093</v>
          </cell>
        </row>
        <row r="129">
          <cell r="B129" t="str">
            <v>NER</v>
          </cell>
          <cell r="C129" t="str">
            <v>Sub-Saharan Africa</v>
          </cell>
          <cell r="D129" t="str">
            <v>Low income</v>
          </cell>
          <cell r="E129" t="str">
            <v>IDA</v>
          </cell>
          <cell r="F129" t="str">
            <v>HIPC</v>
          </cell>
          <cell r="G129">
            <v>1</v>
          </cell>
          <cell r="H129">
            <v>562</v>
          </cell>
          <cell r="I129">
            <v>24206.6</v>
          </cell>
          <cell r="J129">
            <v>25130.799999999999</v>
          </cell>
          <cell r="K129">
            <v>26083.7</v>
          </cell>
          <cell r="L129">
            <v>27066.2</v>
          </cell>
          <cell r="M129">
            <v>28079.8</v>
          </cell>
          <cell r="N129">
            <v>29125.5</v>
          </cell>
          <cell r="O129">
            <v>30203.7</v>
          </cell>
          <cell r="P129">
            <v>31314.6</v>
          </cell>
          <cell r="Q129">
            <v>32458.5</v>
          </cell>
          <cell r="R129">
            <v>33635.599999999999</v>
          </cell>
          <cell r="S129">
            <v>34846</v>
          </cell>
          <cell r="T129">
            <v>4787.47</v>
          </cell>
          <cell r="U129">
            <v>3970.55</v>
          </cell>
          <cell r="V129">
            <v>3265.89</v>
          </cell>
          <cell r="W129">
            <v>2635.24</v>
          </cell>
          <cell r="X129">
            <v>2086.86</v>
          </cell>
          <cell r="Y129">
            <v>1630.49</v>
          </cell>
          <cell r="Z129">
            <v>1265.9100000000001</v>
          </cell>
          <cell r="AA129">
            <v>993.10699999999997</v>
          </cell>
          <cell r="AB129">
            <v>838.02499999999998</v>
          </cell>
          <cell r="AC129">
            <v>690.66899999999998</v>
          </cell>
          <cell r="AD129">
            <v>561.35</v>
          </cell>
          <cell r="AE129">
            <v>485.5</v>
          </cell>
          <cell r="AF129">
            <v>367.14400000000001</v>
          </cell>
          <cell r="AG129">
            <v>277.60500000000002</v>
          </cell>
          <cell r="AH129">
            <v>189.654</v>
          </cell>
          <cell r="AI129">
            <v>106.30500000000001</v>
          </cell>
          <cell r="AJ129">
            <v>41.927999999999997</v>
          </cell>
          <cell r="AK129">
            <v>11.144</v>
          </cell>
          <cell r="AL129">
            <v>1.661</v>
          </cell>
          <cell r="AM129">
            <v>0.124</v>
          </cell>
          <cell r="AN129">
            <v>4.0000000000000001E-3</v>
          </cell>
          <cell r="AO129">
            <v>6442.18</v>
          </cell>
          <cell r="AP129">
            <v>5467.49</v>
          </cell>
          <cell r="AQ129">
            <v>4646.62</v>
          </cell>
          <cell r="AR129">
            <v>3916.74</v>
          </cell>
          <cell r="AS129">
            <v>3212.77</v>
          </cell>
          <cell r="AT129">
            <v>2576.19</v>
          </cell>
          <cell r="AU129">
            <v>2029.75</v>
          </cell>
          <cell r="AV129">
            <v>1579.24</v>
          </cell>
          <cell r="AW129">
            <v>1219.28</v>
          </cell>
          <cell r="AX129">
            <v>947.45</v>
          </cell>
          <cell r="AY129">
            <v>785.89800000000002</v>
          </cell>
          <cell r="AZ129">
            <v>628.66800000000001</v>
          </cell>
          <cell r="BA129">
            <v>488.72500000000002</v>
          </cell>
          <cell r="BB129">
            <v>393.73200000000003</v>
          </cell>
          <cell r="BC129">
            <v>262.28100000000001</v>
          </cell>
          <cell r="BD129">
            <v>155.66300000000001</v>
          </cell>
          <cell r="BE129">
            <v>70.061999999999998</v>
          </cell>
          <cell r="BF129">
            <v>20.045999999999999</v>
          </cell>
          <cell r="BG129">
            <v>2.972</v>
          </cell>
          <cell r="BH129">
            <v>0.23599999999999999</v>
          </cell>
          <cell r="BI129">
            <v>0.01</v>
          </cell>
          <cell r="BJ129">
            <v>19.777540009749409</v>
          </cell>
          <cell r="BK129">
            <v>16.402757925524444</v>
          </cell>
          <cell r="BL129">
            <v>13.4917336594152</v>
          </cell>
          <cell r="BM129">
            <v>10.886452455115547</v>
          </cell>
          <cell r="BN129">
            <v>8.6210372377781272</v>
          </cell>
          <cell r="BO129">
            <v>6.7357249675708291</v>
          </cell>
          <cell r="BP129">
            <v>5.2296068014508448</v>
          </cell>
          <cell r="BQ129">
            <v>4.1026290350565553</v>
          </cell>
          <cell r="BR129">
            <v>3.461969049763288</v>
          </cell>
          <cell r="BS129">
            <v>2.8532259796914894</v>
          </cell>
          <cell r="BT129">
            <v>2.3189956458156042</v>
          </cell>
          <cell r="BU129">
            <v>2.0056513512843606</v>
          </cell>
          <cell r="BV129">
            <v>1.5167103186734197</v>
          </cell>
          <cell r="BW129">
            <v>1.1468153313559113</v>
          </cell>
          <cell r="BX129">
            <v>0.78348053836556975</v>
          </cell>
          <cell r="BY129">
            <v>0.4391570893888444</v>
          </cell>
          <cell r="BZ129">
            <v>0.17320895953996018</v>
          </cell>
          <cell r="CA129">
            <v>4.6037031222889629E-2</v>
          </cell>
          <cell r="CB129">
            <v>6.8617649731891302E-3</v>
          </cell>
          <cell r="CC129">
            <v>5.1225698776366784E-4</v>
          </cell>
          <cell r="CD129">
            <v>1.6524418960118317E-5</v>
          </cell>
          <cell r="CE129">
            <v>18.487573896573494</v>
          </cell>
          <cell r="CF129">
            <v>15.690437926878264</v>
          </cell>
          <cell r="CG129">
            <v>13.334729954657638</v>
          </cell>
          <cell r="CH129">
            <v>11.240142340584285</v>
          </cell>
          <cell r="CI129">
            <v>9.2199104631808524</v>
          </cell>
          <cell r="CJ129">
            <v>7.3930723755954775</v>
          </cell>
          <cell r="CK129">
            <v>5.8249153417895885</v>
          </cell>
          <cell r="CL129">
            <v>4.5320553291626018</v>
          </cell>
          <cell r="CM129">
            <v>3.4990529759513285</v>
          </cell>
          <cell r="CN129">
            <v>2.7189634391321817</v>
          </cell>
          <cell r="CO129">
            <v>2.2553463812202263</v>
          </cell>
          <cell r="CP129">
            <v>1.8041324685760203</v>
          </cell>
          <cell r="CQ129">
            <v>1.402528267232968</v>
          </cell>
          <cell r="CR129">
            <v>1.1299202203983241</v>
          </cell>
          <cell r="CS129">
            <v>0.75268610457441321</v>
          </cell>
          <cell r="CT129">
            <v>0.44671698329793957</v>
          </cell>
          <cell r="CU129">
            <v>0.20106181484244962</v>
          </cell>
          <cell r="CV129">
            <v>5.7527406302014583E-2</v>
          </cell>
          <cell r="CW129">
            <v>8.528955977730587E-3</v>
          </cell>
          <cell r="CX129">
            <v>6.7726568329219998E-4</v>
          </cell>
          <cell r="CY129">
            <v>2.8697698444584744E-5</v>
          </cell>
          <cell r="CZ129">
            <v>100.00012393314219</v>
          </cell>
          <cell r="DA129">
            <v>99.999979911611064</v>
          </cell>
        </row>
        <row r="130">
          <cell r="B130" t="str">
            <v>NGA</v>
          </cell>
          <cell r="C130" t="str">
            <v>Sub-Saharan Africa</v>
          </cell>
          <cell r="D130" t="str">
            <v>Lower middle income</v>
          </cell>
          <cell r="E130" t="str">
            <v>Blend</v>
          </cell>
          <cell r="G130">
            <v>1</v>
          </cell>
          <cell r="H130">
            <v>566</v>
          </cell>
          <cell r="I130">
            <v>206140</v>
          </cell>
          <cell r="J130">
            <v>211401</v>
          </cell>
          <cell r="K130">
            <v>216747</v>
          </cell>
          <cell r="L130">
            <v>222182</v>
          </cell>
          <cell r="M130">
            <v>227713</v>
          </cell>
          <cell r="N130">
            <v>233343</v>
          </cell>
          <cell r="O130">
            <v>239073</v>
          </cell>
          <cell r="P130">
            <v>244902</v>
          </cell>
          <cell r="Q130">
            <v>250830</v>
          </cell>
          <cell r="R130">
            <v>256855</v>
          </cell>
          <cell r="S130">
            <v>262977</v>
          </cell>
          <cell r="T130">
            <v>33938.800000000003</v>
          </cell>
          <cell r="U130">
            <v>29913.599999999999</v>
          </cell>
          <cell r="V130">
            <v>25792.7</v>
          </cell>
          <cell r="W130">
            <v>21910.400000000001</v>
          </cell>
          <cell r="X130">
            <v>18068.599999999999</v>
          </cell>
          <cell r="Y130">
            <v>15108.8</v>
          </cell>
          <cell r="Z130">
            <v>13044.5</v>
          </cell>
          <cell r="AA130">
            <v>11323.5</v>
          </cell>
          <cell r="AB130">
            <v>9458.64</v>
          </cell>
          <cell r="AC130">
            <v>7578.82</v>
          </cell>
          <cell r="AD130">
            <v>5943.47</v>
          </cell>
          <cell r="AE130">
            <v>4756.7</v>
          </cell>
          <cell r="AF130">
            <v>3656.62</v>
          </cell>
          <cell r="AG130">
            <v>2601.9</v>
          </cell>
          <cell r="AH130">
            <v>1716.91</v>
          </cell>
          <cell r="AI130">
            <v>906.79100000000005</v>
          </cell>
          <cell r="AJ130">
            <v>333.34800000000001</v>
          </cell>
          <cell r="AK130">
            <v>75.438000000000002</v>
          </cell>
          <cell r="AL130">
            <v>9.1709999999999994</v>
          </cell>
          <cell r="AM130">
            <v>0.63900000000000001</v>
          </cell>
          <cell r="AN130">
            <v>0.03</v>
          </cell>
          <cell r="AO130">
            <v>39848.9</v>
          </cell>
          <cell r="AP130">
            <v>35637.699999999997</v>
          </cell>
          <cell r="AQ130">
            <v>32139.4</v>
          </cell>
          <cell r="AR130">
            <v>28769.599999999999</v>
          </cell>
          <cell r="AS130">
            <v>24652.1</v>
          </cell>
          <cell r="AT130">
            <v>20664.599999999999</v>
          </cell>
          <cell r="AU130">
            <v>16918.3</v>
          </cell>
          <cell r="AV130">
            <v>14085.6</v>
          </cell>
          <cell r="AW130">
            <v>12100.9</v>
          </cell>
          <cell r="AX130">
            <v>10412.200000000001</v>
          </cell>
          <cell r="AY130">
            <v>8553.26</v>
          </cell>
          <cell r="AZ130">
            <v>6644.19</v>
          </cell>
          <cell r="BA130">
            <v>4921.49</v>
          </cell>
          <cell r="BB130">
            <v>3551.53</v>
          </cell>
          <cell r="BC130">
            <v>2282.8200000000002</v>
          </cell>
          <cell r="BD130">
            <v>1193.53</v>
          </cell>
          <cell r="BE130">
            <v>472.13299999999998</v>
          </cell>
          <cell r="BF130">
            <v>113.992</v>
          </cell>
          <cell r="BG130">
            <v>14.045</v>
          </cell>
          <cell r="BH130">
            <v>0.93899999999999995</v>
          </cell>
          <cell r="BI130">
            <v>4.9000000000000002E-2</v>
          </cell>
          <cell r="BJ130">
            <v>16.463956534394104</v>
          </cell>
          <cell r="BK130">
            <v>14.511302997962549</v>
          </cell>
          <cell r="BL130">
            <v>12.512224701659067</v>
          </cell>
          <cell r="BM130">
            <v>10.628892985349763</v>
          </cell>
          <cell r="BN130">
            <v>8.7652081109925284</v>
          </cell>
          <cell r="BO130">
            <v>7.3293877947026287</v>
          </cell>
          <cell r="BP130">
            <v>6.3279809837974197</v>
          </cell>
          <cell r="BQ130">
            <v>5.4931114776365577</v>
          </cell>
          <cell r="BR130">
            <v>4.5884544484331036</v>
          </cell>
          <cell r="BS130">
            <v>3.6765402153876003</v>
          </cell>
          <cell r="BT130">
            <v>2.883220141651305</v>
          </cell>
          <cell r="BU130">
            <v>2.3075094595905692</v>
          </cell>
          <cell r="BV130">
            <v>1.7738527214514406</v>
          </cell>
          <cell r="BW130">
            <v>1.262200446298632</v>
          </cell>
          <cell r="BX130">
            <v>0.83288541767730673</v>
          </cell>
          <cell r="BY130">
            <v>0.43989085087804403</v>
          </cell>
          <cell r="BZ130">
            <v>0.16170951780343457</v>
          </cell>
          <cell r="CA130">
            <v>3.6595517609391677E-2</v>
          </cell>
          <cell r="CB130">
            <v>4.4489182109246142E-3</v>
          </cell>
          <cell r="CC130">
            <v>3.0998350635490446E-4</v>
          </cell>
          <cell r="CD130">
            <v>1.4553216260793633E-5</v>
          </cell>
          <cell r="CE130">
            <v>15.152998170942706</v>
          </cell>
          <cell r="CF130">
            <v>13.551641398297187</v>
          </cell>
          <cell r="CG130">
            <v>12.221372971780802</v>
          </cell>
          <cell r="CH130">
            <v>10.939968134095377</v>
          </cell>
          <cell r="CI130">
            <v>9.3742418538503358</v>
          </cell>
          <cell r="CJ130">
            <v>7.8579495545237785</v>
          </cell>
          <cell r="CK130">
            <v>6.4333763028705926</v>
          </cell>
          <cell r="CL130">
            <v>5.3562098586568405</v>
          </cell>
          <cell r="CM130">
            <v>4.601505074588272</v>
          </cell>
          <cell r="CN130">
            <v>3.9593576624571734</v>
          </cell>
          <cell r="CO130">
            <v>3.2524745510063617</v>
          </cell>
          <cell r="CP130">
            <v>2.5265289359905996</v>
          </cell>
          <cell r="CQ130">
            <v>1.8714526365423594</v>
          </cell>
          <cell r="CR130">
            <v>1.3505097403955479</v>
          </cell>
          <cell r="CS130">
            <v>0.86806831015640151</v>
          </cell>
          <cell r="CT130">
            <v>0.4538533788125958</v>
          </cell>
          <cell r="CU130">
            <v>0.1795339516383562</v>
          </cell>
          <cell r="CV130">
            <v>4.3346756560459665E-2</v>
          </cell>
          <cell r="CW130">
            <v>5.3407712461546065E-3</v>
          </cell>
          <cell r="CX130">
            <v>3.5706544678812212E-4</v>
          </cell>
          <cell r="CY130">
            <v>1.8632808192351422E-5</v>
          </cell>
          <cell r="CZ130">
            <v>99.999697778208969</v>
          </cell>
          <cell r="DA130">
            <v>100.00008707985872</v>
          </cell>
        </row>
        <row r="131">
          <cell r="B131" t="str">
            <v>NIC</v>
          </cell>
          <cell r="C131" t="str">
            <v>Latin America &amp; Caribbean</v>
          </cell>
          <cell r="D131" t="str">
            <v>Lower middle income</v>
          </cell>
          <cell r="E131" t="str">
            <v>IDA</v>
          </cell>
          <cell r="F131" t="str">
            <v>HIPC</v>
          </cell>
          <cell r="G131">
            <v>0</v>
          </cell>
          <cell r="H131">
            <v>558</v>
          </cell>
          <cell r="I131">
            <v>6624.55</v>
          </cell>
          <cell r="J131">
            <v>6702.38</v>
          </cell>
          <cell r="K131">
            <v>6779.1</v>
          </cell>
          <cell r="L131">
            <v>6855.18</v>
          </cell>
          <cell r="M131">
            <v>6931.33</v>
          </cell>
          <cell r="N131">
            <v>7008.01</v>
          </cell>
          <cell r="O131">
            <v>7085.36</v>
          </cell>
          <cell r="P131">
            <v>7163.1</v>
          </cell>
          <cell r="Q131">
            <v>7240.6</v>
          </cell>
          <cell r="R131">
            <v>7317.07</v>
          </cell>
          <cell r="S131">
            <v>7391.88</v>
          </cell>
          <cell r="T131">
            <v>656.94200000000001</v>
          </cell>
          <cell r="U131">
            <v>660.20399999999995</v>
          </cell>
          <cell r="V131">
            <v>637.14</v>
          </cell>
          <cell r="W131">
            <v>603.02099999999996</v>
          </cell>
          <cell r="X131">
            <v>584.71</v>
          </cell>
          <cell r="Y131">
            <v>581.29</v>
          </cell>
          <cell r="Z131">
            <v>549.05899999999997</v>
          </cell>
          <cell r="AA131">
            <v>506.39299999999997</v>
          </cell>
          <cell r="AB131">
            <v>421.19499999999999</v>
          </cell>
          <cell r="AC131">
            <v>341.84199999999998</v>
          </cell>
          <cell r="AD131">
            <v>273.90100000000001</v>
          </cell>
          <cell r="AE131">
            <v>233.41900000000001</v>
          </cell>
          <cell r="AF131">
            <v>199.33</v>
          </cell>
          <cell r="AG131">
            <v>149.422</v>
          </cell>
          <cell r="AH131">
            <v>83.411000000000001</v>
          </cell>
          <cell r="AI131">
            <v>67.090999999999994</v>
          </cell>
          <cell r="AJ131">
            <v>42.805999999999997</v>
          </cell>
          <cell r="AK131">
            <v>21.954999999999998</v>
          </cell>
          <cell r="AL131">
            <v>8.657</v>
          </cell>
          <cell r="AM131">
            <v>2.3519999999999999</v>
          </cell>
          <cell r="AN131">
            <v>0.41399999999999998</v>
          </cell>
          <cell r="AO131">
            <v>606.53300000000002</v>
          </cell>
          <cell r="AP131">
            <v>623.59199999999998</v>
          </cell>
          <cell r="AQ131">
            <v>642.30100000000004</v>
          </cell>
          <cell r="AR131">
            <v>639.92100000000005</v>
          </cell>
          <cell r="AS131">
            <v>611.13699999999994</v>
          </cell>
          <cell r="AT131">
            <v>574.98199999999997</v>
          </cell>
          <cell r="AU131">
            <v>558.89400000000001</v>
          </cell>
          <cell r="AV131">
            <v>558.31799999999998</v>
          </cell>
          <cell r="AW131">
            <v>527.82899999999995</v>
          </cell>
          <cell r="AX131">
            <v>485.25299999999999</v>
          </cell>
          <cell r="AY131">
            <v>400.47899999999998</v>
          </cell>
          <cell r="AZ131">
            <v>320.83499999999998</v>
          </cell>
          <cell r="BA131">
            <v>251.44300000000001</v>
          </cell>
          <cell r="BB131">
            <v>206.364</v>
          </cell>
          <cell r="BC131">
            <v>166.029</v>
          </cell>
          <cell r="BD131">
            <v>113.807</v>
          </cell>
          <cell r="BE131">
            <v>53.941000000000003</v>
          </cell>
          <cell r="BF131">
            <v>32.262999999999998</v>
          </cell>
          <cell r="BG131">
            <v>13.287000000000001</v>
          </cell>
          <cell r="BH131">
            <v>3.87</v>
          </cell>
          <cell r="BI131">
            <v>0.80300000000000005</v>
          </cell>
          <cell r="BJ131">
            <v>9.9167792529303878</v>
          </cell>
          <cell r="BK131">
            <v>9.966020333456612</v>
          </cell>
          <cell r="BL131">
            <v>9.6178608358303581</v>
          </cell>
          <cell r="BM131">
            <v>9.102822078480802</v>
          </cell>
          <cell r="BN131">
            <v>8.8264108505483403</v>
          </cell>
          <cell r="BO131">
            <v>8.7747847023571399</v>
          </cell>
          <cell r="BP131">
            <v>8.2882459940675215</v>
          </cell>
          <cell r="BQ131">
            <v>7.644187152334875</v>
          </cell>
          <cell r="BR131">
            <v>6.3580922477753194</v>
          </cell>
          <cell r="BS131">
            <v>5.160229751454815</v>
          </cell>
          <cell r="BT131">
            <v>4.1346355601512554</v>
          </cell>
          <cell r="BU131">
            <v>3.5235449955091291</v>
          </cell>
          <cell r="BV131">
            <v>3.008959099108619</v>
          </cell>
          <cell r="BW131">
            <v>2.2555796242763657</v>
          </cell>
          <cell r="BX131">
            <v>1.2591194873614056</v>
          </cell>
          <cell r="BY131">
            <v>1.0127631310806016</v>
          </cell>
          <cell r="BZ131">
            <v>0.64617219282819205</v>
          </cell>
          <cell r="CA131">
            <v>0.33141873787653497</v>
          </cell>
          <cell r="CB131">
            <v>0.1306805745295907</v>
          </cell>
          <cell r="CC131">
            <v>3.5504298405174689E-2</v>
          </cell>
          <cell r="CD131">
            <v>6.2494810968292186E-3</v>
          </cell>
          <cell r="CE131">
            <v>8.2053956503622896</v>
          </cell>
          <cell r="CF131">
            <v>8.4361759119466218</v>
          </cell>
          <cell r="CG131">
            <v>8.6892779644691203</v>
          </cell>
          <cell r="CH131">
            <v>8.6570804720855854</v>
          </cell>
          <cell r="CI131">
            <v>8.2676802112588401</v>
          </cell>
          <cell r="CJ131">
            <v>7.7785624225501486</v>
          </cell>
          <cell r="CK131">
            <v>7.5609181967239731</v>
          </cell>
          <cell r="CL131">
            <v>7.5531258624328315</v>
          </cell>
          <cell r="CM131">
            <v>7.1406597509699825</v>
          </cell>
          <cell r="CN131">
            <v>6.5646763746164707</v>
          </cell>
          <cell r="CO131">
            <v>5.4178233412880079</v>
          </cell>
          <cell r="CP131">
            <v>4.3403707852400197</v>
          </cell>
          <cell r="CQ131">
            <v>3.4016109568878279</v>
          </cell>
          <cell r="CR131">
            <v>2.7917661000990277</v>
          </cell>
          <cell r="CS131">
            <v>2.2460997743469862</v>
          </cell>
          <cell r="CT131">
            <v>1.5396218553331493</v>
          </cell>
          <cell r="CU131">
            <v>0.72973316666396104</v>
          </cell>
          <cell r="CV131">
            <v>0.43646541881091139</v>
          </cell>
          <cell r="CW131">
            <v>0.17975129466387441</v>
          </cell>
          <cell r="CX131">
            <v>5.2354746018604202E-2</v>
          </cell>
          <cell r="CY131">
            <v>1.0863271589906763E-2</v>
          </cell>
          <cell r="CZ131">
            <v>100.00006038145987</v>
          </cell>
          <cell r="DA131">
            <v>99.989150256768255</v>
          </cell>
        </row>
        <row r="132">
          <cell r="B132" t="str">
            <v>NLD</v>
          </cell>
          <cell r="C132" t="str">
            <v>Europe &amp; Central Asia</v>
          </cell>
          <cell r="D132" t="str">
            <v>High income</v>
          </cell>
          <cell r="F132" t="str">
            <v>EMU</v>
          </cell>
          <cell r="G132">
            <v>0</v>
          </cell>
          <cell r="H132">
            <v>528</v>
          </cell>
          <cell r="I132">
            <v>17134.900000000001</v>
          </cell>
          <cell r="J132">
            <v>17173.099999999999</v>
          </cell>
          <cell r="K132">
            <v>17211.400000000001</v>
          </cell>
          <cell r="L132">
            <v>17249.3</v>
          </cell>
          <cell r="M132">
            <v>17285.599999999999</v>
          </cell>
          <cell r="N132">
            <v>17319.599999999999</v>
          </cell>
          <cell r="O132">
            <v>17351.099999999999</v>
          </cell>
          <cell r="P132">
            <v>17380.099999999999</v>
          </cell>
          <cell r="Q132">
            <v>17406.400000000001</v>
          </cell>
          <cell r="R132">
            <v>17429.8</v>
          </cell>
          <cell r="S132">
            <v>17450.3</v>
          </cell>
          <cell r="T132">
            <v>858.9</v>
          </cell>
          <cell r="U132">
            <v>893.86300000000006</v>
          </cell>
          <cell r="V132">
            <v>937.7</v>
          </cell>
          <cell r="W132">
            <v>1015.99</v>
          </cell>
          <cell r="X132">
            <v>1020.75</v>
          </cell>
          <cell r="Y132">
            <v>1076.73</v>
          </cell>
          <cell r="Z132">
            <v>1077.1400000000001</v>
          </cell>
          <cell r="AA132">
            <v>1020.39</v>
          </cell>
          <cell r="AB132">
            <v>1004.92</v>
          </cell>
          <cell r="AC132">
            <v>1146.51</v>
          </cell>
          <cell r="AD132">
            <v>1273.71</v>
          </cell>
          <cell r="AE132">
            <v>1250.3599999999999</v>
          </cell>
          <cell r="AF132">
            <v>1124.96</v>
          </cell>
          <cell r="AG132">
            <v>1004.54</v>
          </cell>
          <cell r="AH132">
            <v>952.44899999999996</v>
          </cell>
          <cell r="AI132">
            <v>639.07500000000005</v>
          </cell>
          <cell r="AJ132">
            <v>438.42399999999998</v>
          </cell>
          <cell r="AK132">
            <v>261.75599999999997</v>
          </cell>
          <cell r="AL132">
            <v>106.69499999999999</v>
          </cell>
          <cell r="AM132">
            <v>27.036000000000001</v>
          </cell>
          <cell r="AN132">
            <v>2.9630000000000001</v>
          </cell>
          <cell r="AO132">
            <v>880.428</v>
          </cell>
          <cell r="AP132">
            <v>882.26900000000001</v>
          </cell>
          <cell r="AQ132">
            <v>865.23500000000001</v>
          </cell>
          <cell r="AR132">
            <v>902.14200000000005</v>
          </cell>
          <cell r="AS132">
            <v>958.10500000000002</v>
          </cell>
          <cell r="AT132">
            <v>1047.93</v>
          </cell>
          <cell r="AU132">
            <v>1052.99</v>
          </cell>
          <cell r="AV132">
            <v>1100.5</v>
          </cell>
          <cell r="AW132">
            <v>1090.68</v>
          </cell>
          <cell r="AX132">
            <v>1024.22</v>
          </cell>
          <cell r="AY132">
            <v>998.28399999999999</v>
          </cell>
          <cell r="AZ132">
            <v>1124.08</v>
          </cell>
          <cell r="BA132">
            <v>1228.27</v>
          </cell>
          <cell r="BB132">
            <v>1177.51</v>
          </cell>
          <cell r="BC132">
            <v>1019.83</v>
          </cell>
          <cell r="BD132">
            <v>848.90700000000004</v>
          </cell>
          <cell r="BE132">
            <v>700.29600000000005</v>
          </cell>
          <cell r="BF132">
            <v>357.81599999999997</v>
          </cell>
          <cell r="BG132">
            <v>147.709</v>
          </cell>
          <cell r="BH132">
            <v>38.226999999999997</v>
          </cell>
          <cell r="BI132">
            <v>4.8810000000000002</v>
          </cell>
          <cell r="BJ132">
            <v>5.0125766710047914</v>
          </cell>
          <cell r="BK132">
            <v>5.2166222154783508</v>
          </cell>
          <cell r="BL132">
            <v>5.4724567986973947</v>
          </cell>
          <cell r="BM132">
            <v>5.9293605448529014</v>
          </cell>
          <cell r="BN132">
            <v>5.9571401058658058</v>
          </cell>
          <cell r="BO132">
            <v>6.2838417498789019</v>
          </cell>
          <cell r="BP132">
            <v>6.2862345271930398</v>
          </cell>
          <cell r="BQ132">
            <v>5.9550391306631489</v>
          </cell>
          <cell r="BR132">
            <v>5.864755557371212</v>
          </cell>
          <cell r="BS132">
            <v>6.6910807766604989</v>
          </cell>
          <cell r="BT132">
            <v>7.4334253482658195</v>
          </cell>
          <cell r="BU132">
            <v>7.2971537622046228</v>
          </cell>
          <cell r="BV132">
            <v>6.5653140666125864</v>
          </cell>
          <cell r="BW132">
            <v>5.8625378613239638</v>
          </cell>
          <cell r="BX132">
            <v>5.558532585541788</v>
          </cell>
          <cell r="BY132">
            <v>3.7296686878826257</v>
          </cell>
          <cell r="BZ132">
            <v>2.5586609784708401</v>
          </cell>
          <cell r="CA132">
            <v>1.527619069851589</v>
          </cell>
          <cell r="CB132">
            <v>0.62267652568733978</v>
          </cell>
          <cell r="CC132">
            <v>0.15778323771950814</v>
          </cell>
          <cell r="CD132">
            <v>1.729219312630946E-2</v>
          </cell>
          <cell r="CE132">
            <v>5.0453459252849528</v>
          </cell>
          <cell r="CF132">
            <v>5.0558958871767246</v>
          </cell>
          <cell r="CG132">
            <v>4.958281519515424</v>
          </cell>
          <cell r="CH132">
            <v>5.1697793161149104</v>
          </cell>
          <cell r="CI132">
            <v>5.4904786737190774</v>
          </cell>
          <cell r="CJ132">
            <v>6.0052262711815851</v>
          </cell>
          <cell r="CK132">
            <v>6.0342229073425671</v>
          </cell>
          <cell r="CL132">
            <v>6.3064818369884756</v>
          </cell>
          <cell r="CM132">
            <v>6.250207732818347</v>
          </cell>
          <cell r="CN132">
            <v>5.8693546815814059</v>
          </cell>
          <cell r="CO132">
            <v>5.7207268642945968</v>
          </cell>
          <cell r="CP132">
            <v>6.441608453722858</v>
          </cell>
          <cell r="CQ132">
            <v>7.0386755528558247</v>
          </cell>
          <cell r="CR132">
            <v>6.7477923015650161</v>
          </cell>
          <cell r="CS132">
            <v>5.8441975209595256</v>
          </cell>
          <cell r="CT132">
            <v>4.8647129275714462</v>
          </cell>
          <cell r="CU132">
            <v>4.0130886001959851</v>
          </cell>
          <cell r="CV132">
            <v>2.0504862380589444</v>
          </cell>
          <cell r="CW132">
            <v>0.84645536179893766</v>
          </cell>
          <cell r="CX132">
            <v>0.21906213646756789</v>
          </cell>
          <cell r="CY132">
            <v>2.7970865830386871E-2</v>
          </cell>
          <cell r="CZ132">
            <v>99.99977239435303</v>
          </cell>
          <cell r="DA132">
            <v>99.972080709214168</v>
          </cell>
        </row>
        <row r="133">
          <cell r="B133" t="str">
            <v>NOR</v>
          </cell>
          <cell r="C133" t="str">
            <v>Europe &amp; Central Asia</v>
          </cell>
          <cell r="D133" t="str">
            <v>High income</v>
          </cell>
          <cell r="G133">
            <v>0</v>
          </cell>
          <cell r="H133">
            <v>578</v>
          </cell>
          <cell r="I133">
            <v>5421.24</v>
          </cell>
          <cell r="J133">
            <v>5465.63</v>
          </cell>
          <cell r="K133">
            <v>5511.37</v>
          </cell>
          <cell r="L133">
            <v>5558.03</v>
          </cell>
          <cell r="M133">
            <v>5604.8</v>
          </cell>
          <cell r="N133">
            <v>5651.1</v>
          </cell>
          <cell r="O133">
            <v>5696.88</v>
          </cell>
          <cell r="P133">
            <v>5742.4</v>
          </cell>
          <cell r="Q133">
            <v>5787.49</v>
          </cell>
          <cell r="R133">
            <v>5832.03</v>
          </cell>
          <cell r="S133">
            <v>5875.92</v>
          </cell>
          <cell r="T133">
            <v>301.74799999999999</v>
          </cell>
          <cell r="U133">
            <v>312.57499999999999</v>
          </cell>
          <cell r="V133">
            <v>321.226</v>
          </cell>
          <cell r="W133">
            <v>321.80500000000001</v>
          </cell>
          <cell r="X133">
            <v>353.26900000000001</v>
          </cell>
          <cell r="Y133">
            <v>373.11399999999998</v>
          </cell>
          <cell r="Z133">
            <v>376.83499999999998</v>
          </cell>
          <cell r="AA133">
            <v>361.88900000000001</v>
          </cell>
          <cell r="AB133">
            <v>347.41800000000001</v>
          </cell>
          <cell r="AC133">
            <v>377.512</v>
          </cell>
          <cell r="AD133">
            <v>377.38600000000002</v>
          </cell>
          <cell r="AE133">
            <v>335.12200000000001</v>
          </cell>
          <cell r="AF133">
            <v>311.18299999999999</v>
          </cell>
          <cell r="AG133">
            <v>274.97300000000001</v>
          </cell>
          <cell r="AH133">
            <v>266.77999999999997</v>
          </cell>
          <cell r="AI133">
            <v>179.66800000000001</v>
          </cell>
          <cell r="AJ133">
            <v>113.26900000000001</v>
          </cell>
          <cell r="AK133">
            <v>70.817999999999998</v>
          </cell>
          <cell r="AL133">
            <v>33.613999999999997</v>
          </cell>
          <cell r="AM133">
            <v>9.9580000000000002</v>
          </cell>
          <cell r="AN133">
            <v>1.08</v>
          </cell>
          <cell r="AO133">
            <v>325.916</v>
          </cell>
          <cell r="AP133">
            <v>320.39100000000002</v>
          </cell>
          <cell r="AQ133">
            <v>308.29000000000002</v>
          </cell>
          <cell r="AR133">
            <v>330.60899999999998</v>
          </cell>
          <cell r="AS133">
            <v>363.06599999999997</v>
          </cell>
          <cell r="AT133">
            <v>373.54</v>
          </cell>
          <cell r="AU133">
            <v>396.572</v>
          </cell>
          <cell r="AV133">
            <v>403.43799999999999</v>
          </cell>
          <cell r="AW133">
            <v>396.20499999999998</v>
          </cell>
          <cell r="AX133">
            <v>373.01799999999997</v>
          </cell>
          <cell r="AY133">
            <v>351.803</v>
          </cell>
          <cell r="AZ133">
            <v>374.68099999999998</v>
          </cell>
          <cell r="BA133">
            <v>367.1</v>
          </cell>
          <cell r="BB133">
            <v>317.60599999999999</v>
          </cell>
          <cell r="BC133">
            <v>283.75799999999998</v>
          </cell>
          <cell r="BD133">
            <v>235.15299999999999</v>
          </cell>
          <cell r="BE133">
            <v>200.13300000000001</v>
          </cell>
          <cell r="BF133">
            <v>103.68300000000001</v>
          </cell>
          <cell r="BG133">
            <v>39.369999999999997</v>
          </cell>
          <cell r="BH133">
            <v>10.18</v>
          </cell>
          <cell r="BI133">
            <v>1.41</v>
          </cell>
          <cell r="BJ133">
            <v>5.566032863330161</v>
          </cell>
          <cell r="BK133">
            <v>5.765747319801374</v>
          </cell>
          <cell r="BL133">
            <v>5.9253233577557909</v>
          </cell>
          <cell r="BM133">
            <v>5.9360035711387065</v>
          </cell>
          <cell r="BN133">
            <v>6.5163873947657738</v>
          </cell>
          <cell r="BO133">
            <v>6.8824475581232338</v>
          </cell>
          <cell r="BP133">
            <v>6.9510849916255317</v>
          </cell>
          <cell r="BQ133">
            <v>6.6753916078240412</v>
          </cell>
          <cell r="BR133">
            <v>6.408460057108706</v>
          </cell>
          <cell r="BS133">
            <v>6.9635729095188559</v>
          </cell>
          <cell r="BT133">
            <v>6.961248718005475</v>
          </cell>
          <cell r="BU133">
            <v>6.1816484789457764</v>
          </cell>
          <cell r="BV133">
            <v>5.7400705373678349</v>
          </cell>
          <cell r="BW133">
            <v>5.0721421667367617</v>
          </cell>
          <cell r="BX133">
            <v>4.9210143804738395</v>
          </cell>
          <cell r="BY133">
            <v>3.3141495303657469</v>
          </cell>
          <cell r="BZ133">
            <v>2.0893559407072924</v>
          </cell>
          <cell r="CA133">
            <v>1.3063063063063063</v>
          </cell>
          <cell r="CB133">
            <v>0.62004264706967405</v>
          </cell>
          <cell r="CC133">
            <v>0.18368491341464316</v>
          </cell>
          <cell r="CD133">
            <v>1.9921641543263167E-2</v>
          </cell>
          <cell r="CE133">
            <v>5.5466378031014711</v>
          </cell>
          <cell r="CF133">
            <v>5.4526099742678591</v>
          </cell>
          <cell r="CG133">
            <v>5.2466677558578061</v>
          </cell>
          <cell r="CH133">
            <v>5.6265061471224929</v>
          </cell>
          <cell r="CI133">
            <v>6.1788792223175255</v>
          </cell>
          <cell r="CJ133">
            <v>6.3571321597298809</v>
          </cell>
          <cell r="CK133">
            <v>6.7491048210322813</v>
          </cell>
          <cell r="CL133">
            <v>6.8659546079592637</v>
          </cell>
          <cell r="CM133">
            <v>6.7428589905921115</v>
          </cell>
          <cell r="CN133">
            <v>6.3482484444989034</v>
          </cell>
          <cell r="CO133">
            <v>5.9871986003893856</v>
          </cell>
          <cell r="CP133">
            <v>6.3765503955125329</v>
          </cell>
          <cell r="CQ133">
            <v>6.2475323013247293</v>
          </cell>
          <cell r="CR133">
            <v>5.4052131410910969</v>
          </cell>
          <cell r="CS133">
            <v>4.8291671772250124</v>
          </cell>
          <cell r="CT133">
            <v>4.0019775626625274</v>
          </cell>
          <cell r="CU133">
            <v>3.4059857860556306</v>
          </cell>
          <cell r="CV133">
            <v>1.7645407017113917</v>
          </cell>
          <cell r="CW133">
            <v>0.67002273686503555</v>
          </cell>
          <cell r="CX133">
            <v>0.1732494656155972</v>
          </cell>
          <cell r="CY133">
            <v>2.3996242290568962E-2</v>
          </cell>
          <cell r="CZ133">
            <v>100.0000368919288</v>
          </cell>
          <cell r="DA133">
            <v>99.976037794932552</v>
          </cell>
        </row>
        <row r="134">
          <cell r="B134" t="str">
            <v>NPL</v>
          </cell>
          <cell r="C134" t="str">
            <v>South Asia</v>
          </cell>
          <cell r="D134" t="str">
            <v>Lower middle income</v>
          </cell>
          <cell r="E134" t="str">
            <v>IDA</v>
          </cell>
          <cell r="G134">
            <v>0</v>
          </cell>
          <cell r="H134">
            <v>524</v>
          </cell>
          <cell r="I134">
            <v>29136.799999999999</v>
          </cell>
          <cell r="J134">
            <v>29674.9</v>
          </cell>
          <cell r="K134">
            <v>30225.599999999999</v>
          </cell>
          <cell r="L134">
            <v>30769.7</v>
          </cell>
          <cell r="M134">
            <v>31285.7</v>
          </cell>
          <cell r="N134">
            <v>31757.4</v>
          </cell>
          <cell r="O134">
            <v>32175.3</v>
          </cell>
          <cell r="P134">
            <v>32539.200000000001</v>
          </cell>
          <cell r="Q134">
            <v>32855.4</v>
          </cell>
          <cell r="R134">
            <v>33135.699999999997</v>
          </cell>
          <cell r="S134">
            <v>33389.5</v>
          </cell>
          <cell r="T134">
            <v>2706.77</v>
          </cell>
          <cell r="U134">
            <v>2756.21</v>
          </cell>
          <cell r="V134">
            <v>2931.25</v>
          </cell>
          <cell r="W134">
            <v>3188.88</v>
          </cell>
          <cell r="X134">
            <v>3221.52</v>
          </cell>
          <cell r="Y134">
            <v>2664.85</v>
          </cell>
          <cell r="Z134">
            <v>2069.2600000000002</v>
          </cell>
          <cell r="AA134">
            <v>1723.48</v>
          </cell>
          <cell r="AB134">
            <v>1597.03</v>
          </cell>
          <cell r="AC134">
            <v>1448.63</v>
          </cell>
          <cell r="AD134">
            <v>1263.3900000000001</v>
          </cell>
          <cell r="AE134">
            <v>1044.31</v>
          </cell>
          <cell r="AF134">
            <v>823.09100000000001</v>
          </cell>
          <cell r="AG134">
            <v>664.98699999999997</v>
          </cell>
          <cell r="AH134">
            <v>473.733</v>
          </cell>
          <cell r="AI134">
            <v>337.80200000000002</v>
          </cell>
          <cell r="AJ134">
            <v>152.51400000000001</v>
          </cell>
          <cell r="AK134">
            <v>54.15</v>
          </cell>
          <cell r="AL134">
            <v>13.263</v>
          </cell>
          <cell r="AM134">
            <v>1.5880000000000001</v>
          </cell>
          <cell r="AN134">
            <v>9.8000000000000004E-2</v>
          </cell>
          <cell r="AO134">
            <v>2511.6</v>
          </cell>
          <cell r="AP134">
            <v>2701.24</v>
          </cell>
          <cell r="AQ134">
            <v>2679.19</v>
          </cell>
          <cell r="AR134">
            <v>2726.33</v>
          </cell>
          <cell r="AS134">
            <v>2842.57</v>
          </cell>
          <cell r="AT134">
            <v>3057.67</v>
          </cell>
          <cell r="AU134">
            <v>3186.84</v>
          </cell>
          <cell r="AV134">
            <v>2794.65</v>
          </cell>
          <cell r="AW134">
            <v>2273.69</v>
          </cell>
          <cell r="AX134">
            <v>1892.28</v>
          </cell>
          <cell r="AY134">
            <v>1689.63</v>
          </cell>
          <cell r="AZ134">
            <v>1463.74</v>
          </cell>
          <cell r="BA134">
            <v>1208.17</v>
          </cell>
          <cell r="BB134">
            <v>927.35599999999999</v>
          </cell>
          <cell r="BC134">
            <v>651.49900000000002</v>
          </cell>
          <cell r="BD134">
            <v>434.82799999999997</v>
          </cell>
          <cell r="BE134">
            <v>227.79900000000001</v>
          </cell>
          <cell r="BF134">
            <v>97.418999999999997</v>
          </cell>
          <cell r="BG134">
            <v>20.274000000000001</v>
          </cell>
          <cell r="BH134">
            <v>2.58</v>
          </cell>
          <cell r="BI134">
            <v>0.19400000000000001</v>
          </cell>
          <cell r="BJ134">
            <v>9.2898671096345513</v>
          </cell>
          <cell r="BK134">
            <v>9.4595494357650818</v>
          </cell>
          <cell r="BL134">
            <v>10.060301748990968</v>
          </cell>
          <cell r="BM134">
            <v>10.944510035419126</v>
          </cell>
          <cell r="BN134">
            <v>11.056533318689766</v>
          </cell>
          <cell r="BO134">
            <v>9.1459940693555914</v>
          </cell>
          <cell r="BP134">
            <v>7.1018780373960091</v>
          </cell>
          <cell r="BQ134">
            <v>5.9151313802476597</v>
          </cell>
          <cell r="BR134">
            <v>5.4811441201504625</v>
          </cell>
          <cell r="BS134">
            <v>4.9718225748881144</v>
          </cell>
          <cell r="BT134">
            <v>4.3360629856401527</v>
          </cell>
          <cell r="BU134">
            <v>3.5841616100601299</v>
          </cell>
          <cell r="BV134">
            <v>2.8249190027731257</v>
          </cell>
          <cell r="BW134">
            <v>2.2822924960874222</v>
          </cell>
          <cell r="BX134">
            <v>1.6258923423299745</v>
          </cell>
          <cell r="BY134">
            <v>1.1593654759616707</v>
          </cell>
          <cell r="BZ134">
            <v>0.52344114659125229</v>
          </cell>
          <cell r="CA134">
            <v>0.18584745064660499</v>
          </cell>
          <cell r="CB134">
            <v>4.5519755086351282E-2</v>
          </cell>
          <cell r="CC134">
            <v>5.4501523846132733E-3</v>
          </cell>
          <cell r="CD134">
            <v>3.3634441668268307E-4</v>
          </cell>
          <cell r="CE134">
            <v>7.5221252190059751</v>
          </cell>
          <cell r="CF134">
            <v>8.0900882013806719</v>
          </cell>
          <cell r="CG134">
            <v>8.0240494766318751</v>
          </cell>
          <cell r="CH134">
            <v>8.1652315847796455</v>
          </cell>
          <cell r="CI134">
            <v>8.5133649800086868</v>
          </cell>
          <cell r="CJ134">
            <v>9.1575794785785956</v>
          </cell>
          <cell r="CK134">
            <v>9.5444376226059102</v>
          </cell>
          <cell r="CL134">
            <v>8.3698468081283028</v>
          </cell>
          <cell r="CM134">
            <v>6.8095958310247227</v>
          </cell>
          <cell r="CN134">
            <v>5.6672906153131972</v>
          </cell>
          <cell r="CO134">
            <v>5.060363287859956</v>
          </cell>
          <cell r="CP134">
            <v>4.3838332409889338</v>
          </cell>
          <cell r="CQ134">
            <v>3.6184129741385767</v>
          </cell>
          <cell r="CR134">
            <v>2.777388101049731</v>
          </cell>
          <cell r="CS134">
            <v>1.9512092124769762</v>
          </cell>
          <cell r="CT134">
            <v>1.3022896419533085</v>
          </cell>
          <cell r="CU134">
            <v>0.68224741310891146</v>
          </cell>
          <cell r="CV134">
            <v>0.29176537534254782</v>
          </cell>
          <cell r="CW134">
            <v>6.0719687326854246E-2</v>
          </cell>
          <cell r="CX134">
            <v>7.7269800386349004E-3</v>
          </cell>
          <cell r="CY134">
            <v>5.8102097964929096E-4</v>
          </cell>
          <cell r="CZ134">
            <v>100.0000205925153</v>
          </cell>
          <cell r="DA134">
            <v>99.999565731742038</v>
          </cell>
        </row>
        <row r="135">
          <cell r="B135" t="str">
            <v>NZL</v>
          </cell>
          <cell r="C135" t="str">
            <v>East Asia &amp; Pacific</v>
          </cell>
          <cell r="D135" t="str">
            <v>High income</v>
          </cell>
          <cell r="G135">
            <v>0</v>
          </cell>
          <cell r="H135">
            <v>554</v>
          </cell>
          <cell r="I135">
            <v>4822.2299999999996</v>
          </cell>
          <cell r="J135">
            <v>4860.6400000000003</v>
          </cell>
          <cell r="K135">
            <v>4898.2</v>
          </cell>
          <cell r="L135">
            <v>4934.9799999999996</v>
          </cell>
          <cell r="M135">
            <v>4971.05</v>
          </cell>
          <cell r="N135">
            <v>5006.45</v>
          </cell>
          <cell r="O135">
            <v>5041.24</v>
          </cell>
          <cell r="P135">
            <v>5075.41</v>
          </cell>
          <cell r="Q135">
            <v>5108.8599999999997</v>
          </cell>
          <cell r="R135">
            <v>5141.41</v>
          </cell>
          <cell r="S135">
            <v>5172.96</v>
          </cell>
          <cell r="T135">
            <v>301.25599999999997</v>
          </cell>
          <cell r="U135">
            <v>314.02800000000002</v>
          </cell>
          <cell r="V135">
            <v>321.70699999999999</v>
          </cell>
          <cell r="W135">
            <v>303.24599999999998</v>
          </cell>
          <cell r="X135">
            <v>324.47699999999998</v>
          </cell>
          <cell r="Y135">
            <v>346.75799999999998</v>
          </cell>
          <cell r="Z135">
            <v>324.44400000000002</v>
          </cell>
          <cell r="AA135">
            <v>294.62200000000001</v>
          </cell>
          <cell r="AB135">
            <v>278.41500000000002</v>
          </cell>
          <cell r="AC135">
            <v>313.459</v>
          </cell>
          <cell r="AD135">
            <v>311.98099999999999</v>
          </cell>
          <cell r="AE135">
            <v>316.70999999999998</v>
          </cell>
          <cell r="AF135">
            <v>281.81299999999999</v>
          </cell>
          <cell r="AG135">
            <v>240.499</v>
          </cell>
          <cell r="AH135">
            <v>213.60599999999999</v>
          </cell>
          <cell r="AI135">
            <v>148.226</v>
          </cell>
          <cell r="AJ135">
            <v>97.32</v>
          </cell>
          <cell r="AK135">
            <v>55.323</v>
          </cell>
          <cell r="AL135">
            <v>27.178000000000001</v>
          </cell>
          <cell r="AM135">
            <v>6.4729999999999999</v>
          </cell>
          <cell r="AN135">
            <v>0.69199999999999995</v>
          </cell>
          <cell r="AO135">
            <v>301.13200000000001</v>
          </cell>
          <cell r="AP135">
            <v>306.846</v>
          </cell>
          <cell r="AQ135">
            <v>310.70999999999998</v>
          </cell>
          <cell r="AR135">
            <v>324.13400000000001</v>
          </cell>
          <cell r="AS135">
            <v>331.52199999999999</v>
          </cell>
          <cell r="AT135">
            <v>314.22800000000001</v>
          </cell>
          <cell r="AU135">
            <v>337.54</v>
          </cell>
          <cell r="AV135">
            <v>359.25299999999999</v>
          </cell>
          <cell r="AW135">
            <v>333.88299999999998</v>
          </cell>
          <cell r="AX135">
            <v>299.55500000000001</v>
          </cell>
          <cell r="AY135">
            <v>278.69299999999998</v>
          </cell>
          <cell r="AZ135">
            <v>309.39100000000002</v>
          </cell>
          <cell r="BA135">
            <v>303.70699999999999</v>
          </cell>
          <cell r="BB135">
            <v>301.95600000000002</v>
          </cell>
          <cell r="BC135">
            <v>259.22800000000001</v>
          </cell>
          <cell r="BD135">
            <v>206.99199999999999</v>
          </cell>
          <cell r="BE135">
            <v>162.054</v>
          </cell>
          <cell r="BF135">
            <v>87.22</v>
          </cell>
          <cell r="BG135">
            <v>35.276000000000003</v>
          </cell>
          <cell r="BH135">
            <v>8.4969999999999999</v>
          </cell>
          <cell r="BI135">
            <v>1.1439999999999999</v>
          </cell>
          <cell r="BJ135">
            <v>6.2472341634472013</v>
          </cell>
          <cell r="BK135">
            <v>6.5120908791160943</v>
          </cell>
          <cell r="BL135">
            <v>6.6713325577585483</v>
          </cell>
          <cell r="BM135">
            <v>6.2885013779931693</v>
          </cell>
          <cell r="BN135">
            <v>6.7287748614230338</v>
          </cell>
          <cell r="BO135">
            <v>7.1908225032816766</v>
          </cell>
          <cell r="BP135">
            <v>6.7280905307295598</v>
          </cell>
          <cell r="BQ135">
            <v>6.1096629567648169</v>
          </cell>
          <cell r="BR135">
            <v>5.7735736370932127</v>
          </cell>
          <cell r="BS135">
            <v>6.500291358977071</v>
          </cell>
          <cell r="BT135">
            <v>6.4696416388268503</v>
          </cell>
          <cell r="BU135">
            <v>6.5677083009313115</v>
          </cell>
          <cell r="BV135">
            <v>5.8440389612274828</v>
          </cell>
          <cell r="BW135">
            <v>4.9872984075832143</v>
          </cell>
          <cell r="BX135">
            <v>4.4296103669878875</v>
          </cell>
          <cell r="BY135">
            <v>3.0738061021560568</v>
          </cell>
          <cell r="BZ135">
            <v>2.0181534269414771</v>
          </cell>
          <cell r="CA135">
            <v>1.1472493016716334</v>
          </cell>
          <cell r="CB135">
            <v>0.56359816931170859</v>
          </cell>
          <cell r="CC135">
            <v>0.13423250238997311</v>
          </cell>
          <cell r="CD135">
            <v>1.4350207269250948E-2</v>
          </cell>
          <cell r="CE135">
            <v>5.8212706071572171</v>
          </cell>
          <cell r="CF135">
            <v>5.9317296093532521</v>
          </cell>
          <cell r="CG135">
            <v>6.006425721443815</v>
          </cell>
          <cell r="CH135">
            <v>6.265928984565897</v>
          </cell>
          <cell r="CI135">
            <v>6.4087485694843958</v>
          </cell>
          <cell r="CJ135">
            <v>6.0744332065200588</v>
          </cell>
          <cell r="CK135">
            <v>6.5250842844328973</v>
          </cell>
          <cell r="CL135">
            <v>6.9448246265194387</v>
          </cell>
          <cell r="CM135">
            <v>6.4543897497757561</v>
          </cell>
          <cell r="CN135">
            <v>5.7907851597537965</v>
          </cell>
          <cell r="CO135">
            <v>5.3874957471157714</v>
          </cell>
          <cell r="CP135">
            <v>5.9809277473632116</v>
          </cell>
          <cell r="CQ135">
            <v>5.8710486839256442</v>
          </cell>
          <cell r="CR135">
            <v>5.8371995917231141</v>
          </cell>
          <cell r="CS135">
            <v>5.0112121493303645</v>
          </cell>
          <cell r="CT135">
            <v>4.0014227830874392</v>
          </cell>
          <cell r="CU135">
            <v>3.1327131854876122</v>
          </cell>
          <cell r="CV135">
            <v>1.6860752837833657</v>
          </cell>
          <cell r="CW135">
            <v>0.68193065478952097</v>
          </cell>
          <cell r="CX135">
            <v>0.1642579876898333</v>
          </cell>
          <cell r="CY135">
            <v>2.2114997989545637E-2</v>
          </cell>
          <cell r="CZ135">
            <v>100.00006221188121</v>
          </cell>
          <cell r="DA135">
            <v>99.977904333302433</v>
          </cell>
        </row>
        <row r="136">
          <cell r="B136" t="str">
            <v>OMN</v>
          </cell>
          <cell r="C136" t="str">
            <v>Middle East &amp; North Africa</v>
          </cell>
          <cell r="D136" t="str">
            <v>High income</v>
          </cell>
          <cell r="G136">
            <v>0</v>
          </cell>
          <cell r="H136">
            <v>512</v>
          </cell>
          <cell r="I136">
            <v>5106.62</v>
          </cell>
          <cell r="J136">
            <v>5223.38</v>
          </cell>
          <cell r="K136">
            <v>5324</v>
          </cell>
          <cell r="L136">
            <v>5412.49</v>
          </cell>
          <cell r="M136">
            <v>5494.16</v>
          </cell>
          <cell r="N136">
            <v>5573</v>
          </cell>
          <cell r="O136">
            <v>5650.94</v>
          </cell>
          <cell r="P136">
            <v>5727.61</v>
          </cell>
          <cell r="Q136">
            <v>5801.98</v>
          </cell>
          <cell r="R136">
            <v>5871.93</v>
          </cell>
          <cell r="S136">
            <v>5936.08</v>
          </cell>
          <cell r="T136">
            <v>453.666</v>
          </cell>
          <cell r="U136">
            <v>378.90699999999998</v>
          </cell>
          <cell r="V136">
            <v>315.75099999999998</v>
          </cell>
          <cell r="W136">
            <v>214.553</v>
          </cell>
          <cell r="X136">
            <v>329.05700000000002</v>
          </cell>
          <cell r="Y136">
            <v>756.48599999999999</v>
          </cell>
          <cell r="Z136">
            <v>868.01300000000003</v>
          </cell>
          <cell r="AA136">
            <v>571.80700000000002</v>
          </cell>
          <cell r="AB136">
            <v>400.32600000000002</v>
          </cell>
          <cell r="AC136">
            <v>284.64299999999997</v>
          </cell>
          <cell r="AD136">
            <v>181.71700000000001</v>
          </cell>
          <cell r="AE136">
            <v>133.88300000000001</v>
          </cell>
          <cell r="AF136">
            <v>89.584000000000003</v>
          </cell>
          <cell r="AG136">
            <v>53.203000000000003</v>
          </cell>
          <cell r="AH136">
            <v>28.263000000000002</v>
          </cell>
          <cell r="AI136">
            <v>24.795000000000002</v>
          </cell>
          <cell r="AJ136">
            <v>12.881</v>
          </cell>
          <cell r="AK136">
            <v>5.6390000000000002</v>
          </cell>
          <cell r="AL136">
            <v>2.4590000000000001</v>
          </cell>
          <cell r="AM136">
            <v>0.77400000000000002</v>
          </cell>
          <cell r="AN136">
            <v>0.215</v>
          </cell>
          <cell r="AO136">
            <v>378</v>
          </cell>
          <cell r="AP136">
            <v>420.64600000000002</v>
          </cell>
          <cell r="AQ136">
            <v>455.05</v>
          </cell>
          <cell r="AR136">
            <v>390.78100000000001</v>
          </cell>
          <cell r="AS136">
            <v>420.43299999999999</v>
          </cell>
          <cell r="AT136">
            <v>467.18200000000002</v>
          </cell>
          <cell r="AU136">
            <v>586.82899999999995</v>
          </cell>
          <cell r="AV136">
            <v>762.70399999999995</v>
          </cell>
          <cell r="AW136">
            <v>664.86599999999999</v>
          </cell>
          <cell r="AX136">
            <v>407.98700000000002</v>
          </cell>
          <cell r="AY136">
            <v>317.14</v>
          </cell>
          <cell r="AZ136">
            <v>241.10900000000001</v>
          </cell>
          <cell r="BA136">
            <v>160.03200000000001</v>
          </cell>
          <cell r="BB136">
            <v>115.36499999999999</v>
          </cell>
          <cell r="BC136">
            <v>72.007999999999996</v>
          </cell>
          <cell r="BD136">
            <v>39.466000000000001</v>
          </cell>
          <cell r="BE136">
            <v>18.091000000000001</v>
          </cell>
          <cell r="BF136">
            <v>12.234</v>
          </cell>
          <cell r="BG136">
            <v>4.42</v>
          </cell>
          <cell r="BH136">
            <v>1.3080000000000001</v>
          </cell>
          <cell r="BI136">
            <v>0.432</v>
          </cell>
          <cell r="BJ136">
            <v>8.8838801398968403</v>
          </cell>
          <cell r="BK136">
            <v>7.4199176754878957</v>
          </cell>
          <cell r="BL136">
            <v>6.1831700811887309</v>
          </cell>
          <cell r="BM136">
            <v>4.2014678985317095</v>
          </cell>
          <cell r="BN136">
            <v>6.4437338200218548</v>
          </cell>
          <cell r="BO136">
            <v>14.813829891395875</v>
          </cell>
          <cell r="BP136">
            <v>16.997798935499411</v>
          </cell>
          <cell r="BQ136">
            <v>11.197367338866021</v>
          </cell>
          <cell r="BR136">
            <v>7.8393536233359846</v>
          </cell>
          <cell r="BS136">
            <v>5.5740000234989084</v>
          </cell>
          <cell r="BT136">
            <v>3.5584594115089829</v>
          </cell>
          <cell r="BU136">
            <v>2.6217537235979966</v>
          </cell>
          <cell r="BV136">
            <v>1.7542719058790357</v>
          </cell>
          <cell r="BW136">
            <v>1.0418437244204584</v>
          </cell>
          <cell r="BX136">
            <v>0.55345806032170008</v>
          </cell>
          <cell r="BY136">
            <v>0.48554621256330022</v>
          </cell>
          <cell r="BZ136">
            <v>0.25224120847057352</v>
          </cell>
          <cell r="CA136">
            <v>0.11042529109273845</v>
          </cell>
          <cell r="CB136">
            <v>4.815318155648942E-2</v>
          </cell>
          <cell r="CC136">
            <v>1.5156796472030424E-2</v>
          </cell>
          <cell r="CD136">
            <v>4.2102212422306731E-3</v>
          </cell>
          <cell r="CE136">
            <v>6.3678387083732026</v>
          </cell>
          <cell r="CF136">
            <v>7.0862589452972333</v>
          </cell>
          <cell r="CG136">
            <v>7.6658333445640894</v>
          </cell>
          <cell r="CH136">
            <v>6.5831491489333027</v>
          </cell>
          <cell r="CI136">
            <v>7.0826707187234677</v>
          </cell>
          <cell r="CJ136">
            <v>7.8702106440614008</v>
          </cell>
          <cell r="CK136">
            <v>9.88580005660301</v>
          </cell>
          <cell r="CL136">
            <v>12.84861390008221</v>
          </cell>
          <cell r="CM136">
            <v>11.200421827199095</v>
          </cell>
          <cell r="CN136">
            <v>6.873003733103328</v>
          </cell>
          <cell r="CO136">
            <v>5.3425829840568184</v>
          </cell>
          <cell r="CP136">
            <v>4.0617545585639006</v>
          </cell>
          <cell r="CQ136">
            <v>2.6959205401544457</v>
          </cell>
          <cell r="CR136">
            <v>1.943454266115012</v>
          </cell>
          <cell r="CS136">
            <v>1.2130564278109459</v>
          </cell>
          <cell r="CT136">
            <v>0.66484953032977989</v>
          </cell>
          <cell r="CU136">
            <v>0.30476341289200953</v>
          </cell>
          <cell r="CV136">
            <v>0.20609560518052317</v>
          </cell>
          <cell r="CW136">
            <v>7.4459912939178724E-2</v>
          </cell>
          <cell r="CX136">
            <v>2.2034743467069177E-2</v>
          </cell>
          <cell r="CY136">
            <v>7.2775299524265166E-3</v>
          </cell>
          <cell r="CZ136">
            <v>100.00003916484876</v>
          </cell>
          <cell r="DA136">
            <v>99.99277300845003</v>
          </cell>
        </row>
        <row r="137">
          <cell r="B137" t="str">
            <v>PAK</v>
          </cell>
          <cell r="C137" t="str">
            <v>South Asia</v>
          </cell>
          <cell r="D137" t="str">
            <v>Lower middle income</v>
          </cell>
          <cell r="E137" t="str">
            <v>Blend</v>
          </cell>
          <cell r="G137">
            <v>0</v>
          </cell>
          <cell r="H137">
            <v>586</v>
          </cell>
          <cell r="I137">
            <v>220892</v>
          </cell>
          <cell r="J137">
            <v>225200</v>
          </cell>
          <cell r="K137">
            <v>229489</v>
          </cell>
          <cell r="L137">
            <v>233757</v>
          </cell>
          <cell r="M137">
            <v>238006</v>
          </cell>
          <cell r="N137">
            <v>242234</v>
          </cell>
          <cell r="O137">
            <v>246439</v>
          </cell>
          <cell r="P137">
            <v>250617</v>
          </cell>
          <cell r="Q137">
            <v>254764</v>
          </cell>
          <cell r="R137">
            <v>258878</v>
          </cell>
          <cell r="S137">
            <v>262959</v>
          </cell>
          <cell r="T137">
            <v>27962.9</v>
          </cell>
          <cell r="U137">
            <v>25499.4</v>
          </cell>
          <cell r="V137">
            <v>23451.5</v>
          </cell>
          <cell r="W137">
            <v>21975.9</v>
          </cell>
          <cell r="X137">
            <v>20772.3</v>
          </cell>
          <cell r="Y137">
            <v>19158.099999999999</v>
          </cell>
          <cell r="Z137">
            <v>16818.3</v>
          </cell>
          <cell r="AA137">
            <v>13997.7</v>
          </cell>
          <cell r="AB137">
            <v>11615.5</v>
          </cell>
          <cell r="AC137">
            <v>9633.2199999999993</v>
          </cell>
          <cell r="AD137">
            <v>8230.7099999999991</v>
          </cell>
          <cell r="AE137">
            <v>6891.9</v>
          </cell>
          <cell r="AF137">
            <v>5279.09</v>
          </cell>
          <cell r="AG137">
            <v>3623.32</v>
          </cell>
          <cell r="AH137">
            <v>2705.74</v>
          </cell>
          <cell r="AI137">
            <v>1853.19</v>
          </cell>
          <cell r="AJ137">
            <v>961.86300000000006</v>
          </cell>
          <cell r="AK137">
            <v>364.84899999999999</v>
          </cell>
          <cell r="AL137">
            <v>85.302999999999997</v>
          </cell>
          <cell r="AM137">
            <v>10.72</v>
          </cell>
          <cell r="AN137">
            <v>0.84</v>
          </cell>
          <cell r="AO137">
            <v>28308.7</v>
          </cell>
          <cell r="AP137">
            <v>27972.6</v>
          </cell>
          <cell r="AQ137">
            <v>27450.400000000001</v>
          </cell>
          <cell r="AR137">
            <v>25187.3</v>
          </cell>
          <cell r="AS137">
            <v>23005.5</v>
          </cell>
          <cell r="AT137">
            <v>21411.1</v>
          </cell>
          <cell r="AU137">
            <v>20222.099999999999</v>
          </cell>
          <cell r="AV137">
            <v>18653.7</v>
          </cell>
          <cell r="AW137">
            <v>16321.3</v>
          </cell>
          <cell r="AX137">
            <v>13477.4</v>
          </cell>
          <cell r="AY137">
            <v>11024.8</v>
          </cell>
          <cell r="AZ137">
            <v>8922.25</v>
          </cell>
          <cell r="BA137">
            <v>7304.39</v>
          </cell>
          <cell r="BB137">
            <v>5690.29</v>
          </cell>
          <cell r="BC137">
            <v>3892.52</v>
          </cell>
          <cell r="BD137">
            <v>2232.21</v>
          </cell>
          <cell r="BE137">
            <v>1236.29</v>
          </cell>
          <cell r="BF137">
            <v>511.38600000000002</v>
          </cell>
          <cell r="BG137">
            <v>118.83799999999999</v>
          </cell>
          <cell r="BH137">
            <v>14.664999999999999</v>
          </cell>
          <cell r="BI137">
            <v>1.1100000000000001</v>
          </cell>
          <cell r="BJ137">
            <v>12.659082266446953</v>
          </cell>
          <cell r="BK137">
            <v>11.543831374608407</v>
          </cell>
          <cell r="BL137">
            <v>10.616726726182931</v>
          </cell>
          <cell r="BM137">
            <v>9.9487079658837807</v>
          </cell>
          <cell r="BN137">
            <v>9.4038263042572829</v>
          </cell>
          <cell r="BO137">
            <v>8.6730619488256693</v>
          </cell>
          <cell r="BP137">
            <v>7.6138112742878867</v>
          </cell>
          <cell r="BQ137">
            <v>6.3368976694493231</v>
          </cell>
          <cell r="BR137">
            <v>5.2584520942360973</v>
          </cell>
          <cell r="BS137">
            <v>4.3610542708653997</v>
          </cell>
          <cell r="BT137">
            <v>3.7261240787353094</v>
          </cell>
          <cell r="BU137">
            <v>3.1200315086105426</v>
          </cell>
          <cell r="BV137">
            <v>2.38989641996994</v>
          </cell>
          <cell r="BW137">
            <v>1.6403129130978036</v>
          </cell>
          <cell r="BX137">
            <v>1.2249153432446624</v>
          </cell>
          <cell r="BY137">
            <v>0.83895749959256116</v>
          </cell>
          <cell r="BZ137">
            <v>0.43544492331093926</v>
          </cell>
          <cell r="CA137">
            <v>0.16517076218242396</v>
          </cell>
          <cell r="CB137">
            <v>3.8617514441446496E-2</v>
          </cell>
          <cell r="CC137">
            <v>4.8530503594516779E-3</v>
          </cell>
          <cell r="CD137">
            <v>3.8027633413613893E-4</v>
          </cell>
          <cell r="CE137">
            <v>10.765442521457718</v>
          </cell>
          <cell r="CF137">
            <v>10.637627919181316</v>
          </cell>
          <cell r="CG137">
            <v>10.439041827813462</v>
          </cell>
          <cell r="CH137">
            <v>9.5784133648211309</v>
          </cell>
          <cell r="CI137">
            <v>8.7487022691750411</v>
          </cell>
          <cell r="CJ137">
            <v>8.1423720047611976</v>
          </cell>
          <cell r="CK137">
            <v>7.6902102609151992</v>
          </cell>
          <cell r="CL137">
            <v>7.0937674694534127</v>
          </cell>
          <cell r="CM137">
            <v>6.2067850881696387</v>
          </cell>
          <cell r="CN137">
            <v>5.1252856909252014</v>
          </cell>
          <cell r="CO137">
            <v>4.192592761609224</v>
          </cell>
          <cell r="CP137">
            <v>3.3930194440958474</v>
          </cell>
          <cell r="CQ137">
            <v>2.777767636779878</v>
          </cell>
          <cell r="CR137">
            <v>2.1639457101677451</v>
          </cell>
          <cell r="CS137">
            <v>1.4802763928977523</v>
          </cell>
          <cell r="CT137">
            <v>0.84888138455044315</v>
          </cell>
          <cell r="CU137">
            <v>0.47014553599610587</v>
          </cell>
          <cell r="CV137">
            <v>0.19447366319464252</v>
          </cell>
          <cell r="CW137">
            <v>4.5192596564483434E-2</v>
          </cell>
          <cell r="CX137">
            <v>5.5769150323814734E-3</v>
          </cell>
          <cell r="CY137">
            <v>4.2211903756859438E-4</v>
          </cell>
          <cell r="CZ137">
            <v>100.00015618492296</v>
          </cell>
          <cell r="DA137">
            <v>99.999520457561815</v>
          </cell>
        </row>
        <row r="138">
          <cell r="B138" t="str">
            <v>PAN</v>
          </cell>
          <cell r="C138" t="str">
            <v>Latin America &amp; Caribbean</v>
          </cell>
          <cell r="D138" t="str">
            <v>Upper middle income</v>
          </cell>
          <cell r="E138" t="str">
            <v>IBRD</v>
          </cell>
          <cell r="G138">
            <v>0</v>
          </cell>
          <cell r="H138">
            <v>591</v>
          </cell>
          <cell r="I138">
            <v>4314.7700000000004</v>
          </cell>
          <cell r="J138">
            <v>4381.58</v>
          </cell>
          <cell r="K138">
            <v>4446.96</v>
          </cell>
          <cell r="L138">
            <v>4510.97</v>
          </cell>
          <cell r="M138">
            <v>4573.7700000000004</v>
          </cell>
          <cell r="N138">
            <v>4635.5</v>
          </cell>
          <cell r="O138">
            <v>4696.09</v>
          </cell>
          <cell r="P138">
            <v>4755.4799999999996</v>
          </cell>
          <cell r="Q138">
            <v>4813.7700000000004</v>
          </cell>
          <cell r="R138">
            <v>4871.1000000000004</v>
          </cell>
          <cell r="S138">
            <v>4927.6099999999997</v>
          </cell>
          <cell r="T138">
            <v>389.31299999999999</v>
          </cell>
          <cell r="U138">
            <v>384.46600000000001</v>
          </cell>
          <cell r="V138">
            <v>369.411</v>
          </cell>
          <cell r="W138">
            <v>357.19799999999998</v>
          </cell>
          <cell r="X138">
            <v>349.06299999999999</v>
          </cell>
          <cell r="Y138">
            <v>329.19200000000001</v>
          </cell>
          <cell r="Z138">
            <v>317.13099999999997</v>
          </cell>
          <cell r="AA138">
            <v>301.464</v>
          </cell>
          <cell r="AB138">
            <v>288.12400000000002</v>
          </cell>
          <cell r="AC138">
            <v>268.27100000000002</v>
          </cell>
          <cell r="AD138">
            <v>234.64400000000001</v>
          </cell>
          <cell r="AE138">
            <v>198.33500000000001</v>
          </cell>
          <cell r="AF138">
            <v>159.727</v>
          </cell>
          <cell r="AG138">
            <v>122.905</v>
          </cell>
          <cell r="AH138">
            <v>91.619</v>
          </cell>
          <cell r="AI138">
            <v>66.188999999999993</v>
          </cell>
          <cell r="AJ138">
            <v>44.015999999999998</v>
          </cell>
          <cell r="AK138">
            <v>25.731999999999999</v>
          </cell>
          <cell r="AL138">
            <v>12.41</v>
          </cell>
          <cell r="AM138">
            <v>4.4530000000000003</v>
          </cell>
          <cell r="AN138">
            <v>1.105</v>
          </cell>
          <cell r="AO138">
            <v>396.02300000000002</v>
          </cell>
          <cell r="AP138">
            <v>393.91899999999998</v>
          </cell>
          <cell r="AQ138">
            <v>388.90600000000001</v>
          </cell>
          <cell r="AR138">
            <v>387.28500000000003</v>
          </cell>
          <cell r="AS138">
            <v>373.67599999999999</v>
          </cell>
          <cell r="AT138">
            <v>361.12799999999999</v>
          </cell>
          <cell r="AU138">
            <v>352.76299999999998</v>
          </cell>
          <cell r="AV138">
            <v>332.83600000000001</v>
          </cell>
          <cell r="AW138">
            <v>319.82600000000002</v>
          </cell>
          <cell r="AX138">
            <v>301.57499999999999</v>
          </cell>
          <cell r="AY138">
            <v>283.33499999999998</v>
          </cell>
          <cell r="AZ138">
            <v>258.303</v>
          </cell>
          <cell r="BA138">
            <v>221.14099999999999</v>
          </cell>
          <cell r="BB138">
            <v>181.40700000000001</v>
          </cell>
          <cell r="BC138">
            <v>139.423</v>
          </cell>
          <cell r="BD138">
            <v>99.744</v>
          </cell>
          <cell r="BE138">
            <v>66.292000000000002</v>
          </cell>
          <cell r="BF138">
            <v>40.006</v>
          </cell>
          <cell r="BG138">
            <v>20.183</v>
          </cell>
          <cell r="BH138">
            <v>7.6920000000000002</v>
          </cell>
          <cell r="BI138">
            <v>2.149</v>
          </cell>
          <cell r="BJ138">
            <v>9.0227984342154954</v>
          </cell>
          <cell r="BK138">
            <v>8.9104633618941449</v>
          </cell>
          <cell r="BL138">
            <v>8.561545574851035</v>
          </cell>
          <cell r="BM138">
            <v>8.2784945663384129</v>
          </cell>
          <cell r="BN138">
            <v>8.0899561274413223</v>
          </cell>
          <cell r="BO138">
            <v>7.6294217304746255</v>
          </cell>
          <cell r="BP138">
            <v>7.3498935053316856</v>
          </cell>
          <cell r="BQ138">
            <v>6.9867918799843318</v>
          </cell>
          <cell r="BR138">
            <v>6.6776212868820348</v>
          </cell>
          <cell r="BS138">
            <v>6.2175040616301676</v>
          </cell>
          <cell r="BT138">
            <v>5.4381577697073071</v>
          </cell>
          <cell r="BU138">
            <v>4.5966528922746743</v>
          </cell>
          <cell r="BV138">
            <v>3.7018659163756116</v>
          </cell>
          <cell r="BW138">
            <v>2.8484716450703047</v>
          </cell>
          <cell r="BX138">
            <v>2.1233808522818132</v>
          </cell>
          <cell r="BY138">
            <v>1.5340099240515714</v>
          </cell>
          <cell r="BZ138">
            <v>1.0201238999993045</v>
          </cell>
          <cell r="CA138">
            <v>0.5963701425568454</v>
          </cell>
          <cell r="CB138">
            <v>0.28761672116937864</v>
          </cell>
          <cell r="CC138">
            <v>0.10320364700783587</v>
          </cell>
          <cell r="CD138">
            <v>2.5609708049328234E-2</v>
          </cell>
          <cell r="CE138">
            <v>8.036817037062594</v>
          </cell>
          <cell r="CF138">
            <v>7.9941188527501161</v>
          </cell>
          <cell r="CG138">
            <v>7.892385963986599</v>
          </cell>
          <cell r="CH138">
            <v>7.859489691757263</v>
          </cell>
          <cell r="CI138">
            <v>7.5833111792532284</v>
          </cell>
          <cell r="CJ138">
            <v>7.328664403229963</v>
          </cell>
          <cell r="CK138">
            <v>7.1589066504857328</v>
          </cell>
          <cell r="CL138">
            <v>6.754511822161251</v>
          </cell>
          <cell r="CM138">
            <v>6.4904893041454175</v>
          </cell>
          <cell r="CN138">
            <v>6.1201069078112926</v>
          </cell>
          <cell r="CO138">
            <v>5.7499477434293702</v>
          </cell>
          <cell r="CP138">
            <v>5.2419529954683917</v>
          </cell>
          <cell r="CQ138">
            <v>4.4877942856679001</v>
          </cell>
          <cell r="CR138">
            <v>3.6814398866793443</v>
          </cell>
          <cell r="CS138">
            <v>2.8294244065581493</v>
          </cell>
          <cell r="CT138">
            <v>2.0241861673306127</v>
          </cell>
          <cell r="CU138">
            <v>1.3453175068643826</v>
          </cell>
          <cell r="CV138">
            <v>0.81187431635214646</v>
          </cell>
          <cell r="CW138">
            <v>0.40959004466668431</v>
          </cell>
          <cell r="CX138">
            <v>0.15610001603211296</v>
          </cell>
          <cell r="CY138">
            <v>4.36114059351288E-2</v>
          </cell>
          <cell r="CZ138">
            <v>99.999953647587233</v>
          </cell>
          <cell r="DA138">
            <v>99.956429181692542</v>
          </cell>
        </row>
        <row r="139">
          <cell r="B139" t="str">
            <v>PER</v>
          </cell>
          <cell r="C139" t="str">
            <v>Latin America &amp; Caribbean</v>
          </cell>
          <cell r="D139" t="str">
            <v>Upper middle income</v>
          </cell>
          <cell r="E139" t="str">
            <v>IBRD</v>
          </cell>
          <cell r="G139">
            <v>0</v>
          </cell>
          <cell r="H139">
            <v>604</v>
          </cell>
          <cell r="I139">
            <v>32971.800000000003</v>
          </cell>
          <cell r="J139">
            <v>33359.4</v>
          </cell>
          <cell r="K139">
            <v>33684.199999999997</v>
          </cell>
          <cell r="L139">
            <v>33966</v>
          </cell>
          <cell r="M139">
            <v>34236.199999999997</v>
          </cell>
          <cell r="N139">
            <v>34517.5</v>
          </cell>
          <cell r="O139">
            <v>34814.699999999997</v>
          </cell>
          <cell r="P139">
            <v>35119.9</v>
          </cell>
          <cell r="Q139">
            <v>35429.199999999997</v>
          </cell>
          <cell r="R139">
            <v>35734.699999999997</v>
          </cell>
          <cell r="S139">
            <v>36030.6</v>
          </cell>
          <cell r="T139">
            <v>2833.26</v>
          </cell>
          <cell r="U139">
            <v>2612.14</v>
          </cell>
          <cell r="V139">
            <v>2696.05</v>
          </cell>
          <cell r="W139">
            <v>2438.5500000000002</v>
          </cell>
          <cell r="X139">
            <v>2608.09</v>
          </cell>
          <cell r="Y139">
            <v>2767.69</v>
          </cell>
          <cell r="Z139">
            <v>2693.38</v>
          </cell>
          <cell r="AA139">
            <v>2537.7800000000002</v>
          </cell>
          <cell r="AB139">
            <v>2300.83</v>
          </cell>
          <cell r="AC139">
            <v>2045.83</v>
          </cell>
          <cell r="AD139">
            <v>1792.13</v>
          </cell>
          <cell r="AE139">
            <v>1521.75</v>
          </cell>
          <cell r="AF139">
            <v>1247.47</v>
          </cell>
          <cell r="AG139">
            <v>1029.17</v>
          </cell>
          <cell r="AH139">
            <v>732.07899999999995</v>
          </cell>
          <cell r="AI139">
            <v>523.33000000000004</v>
          </cell>
          <cell r="AJ139">
            <v>345.37599999999998</v>
          </cell>
          <cell r="AK139">
            <v>174.54599999999999</v>
          </cell>
          <cell r="AL139">
            <v>58.588999999999999</v>
          </cell>
          <cell r="AM139">
            <v>12.307</v>
          </cell>
          <cell r="AN139">
            <v>1.486</v>
          </cell>
          <cell r="AO139">
            <v>2689.09</v>
          </cell>
          <cell r="AP139">
            <v>2800.86</v>
          </cell>
          <cell r="AQ139">
            <v>2803.07</v>
          </cell>
          <cell r="AR139">
            <v>2575.29</v>
          </cell>
          <cell r="AS139">
            <v>2641.36</v>
          </cell>
          <cell r="AT139">
            <v>2368.21</v>
          </cell>
          <cell r="AU139">
            <v>2526.5300000000002</v>
          </cell>
          <cell r="AV139">
            <v>2677.81</v>
          </cell>
          <cell r="AW139">
            <v>2598.2199999999998</v>
          </cell>
          <cell r="AX139">
            <v>2437.23</v>
          </cell>
          <cell r="AY139">
            <v>2194.92</v>
          </cell>
          <cell r="AZ139">
            <v>1932.05</v>
          </cell>
          <cell r="BA139">
            <v>1663.18</v>
          </cell>
          <cell r="BB139">
            <v>1371.49</v>
          </cell>
          <cell r="BC139">
            <v>1066.3499999999999</v>
          </cell>
          <cell r="BD139">
            <v>799.24699999999996</v>
          </cell>
          <cell r="BE139">
            <v>482.80099999999999</v>
          </cell>
          <cell r="BF139">
            <v>260.51</v>
          </cell>
          <cell r="BG139">
            <v>108.395</v>
          </cell>
          <cell r="BH139">
            <v>29.478000000000002</v>
          </cell>
          <cell r="BI139">
            <v>4.4989999999999997</v>
          </cell>
          <cell r="BJ139">
            <v>8.5929794551707825</v>
          </cell>
          <cell r="BK139">
            <v>7.9223457621361275</v>
          </cell>
          <cell r="BL139">
            <v>8.1768359628531044</v>
          </cell>
          <cell r="BM139">
            <v>7.3958655578403363</v>
          </cell>
          <cell r="BN139">
            <v>7.9100625382902967</v>
          </cell>
          <cell r="BO139">
            <v>8.3941125446593752</v>
          </cell>
          <cell r="BP139">
            <v>8.1687381337991862</v>
          </cell>
          <cell r="BQ139">
            <v>7.6968197065371013</v>
          </cell>
          <cell r="BR139">
            <v>6.9781752891865167</v>
          </cell>
          <cell r="BS139">
            <v>6.2047871211156194</v>
          </cell>
          <cell r="BT139">
            <v>5.4353417162544959</v>
          </cell>
          <cell r="BU139">
            <v>4.6153076265172048</v>
          </cell>
          <cell r="BV139">
            <v>3.783445247150595</v>
          </cell>
          <cell r="BW139">
            <v>3.1213643173863725</v>
          </cell>
          <cell r="BX139">
            <v>2.2203185752673491</v>
          </cell>
          <cell r="BY139">
            <v>1.5872048235158527</v>
          </cell>
          <cell r="BZ139">
            <v>1.0474890664143297</v>
          </cell>
          <cell r="CA139">
            <v>0.52937965170236378</v>
          </cell>
          <cell r="CB139">
            <v>0.17769427207492461</v>
          </cell>
          <cell r="CC139">
            <v>3.7325836017445206E-2</v>
          </cell>
          <cell r="CD139">
            <v>4.5068816382484427E-3</v>
          </cell>
          <cell r="CE139">
            <v>7.4633505964374738</v>
          </cell>
          <cell r="CF139">
            <v>7.77355914139648</v>
          </cell>
          <cell r="CG139">
            <v>7.7796928166613943</v>
          </cell>
          <cell r="CH139">
            <v>7.1475079515744957</v>
          </cell>
          <cell r="CI139">
            <v>7.3308798632273682</v>
          </cell>
          <cell r="CJ139">
            <v>6.5727742529960649</v>
          </cell>
          <cell r="CK139">
            <v>7.0121785371323266</v>
          </cell>
          <cell r="CL139">
            <v>7.4320438738183654</v>
          </cell>
          <cell r="CM139">
            <v>7.2111483017213134</v>
          </cell>
          <cell r="CN139">
            <v>6.7643336497310624</v>
          </cell>
          <cell r="CO139">
            <v>6.0918219513413607</v>
          </cell>
          <cell r="CP139">
            <v>5.3622476450572565</v>
          </cell>
          <cell r="CQ139">
            <v>4.6160208267417149</v>
          </cell>
          <cell r="CR139">
            <v>3.806458954333261</v>
          </cell>
          <cell r="CS139">
            <v>2.9595677007876637</v>
          </cell>
          <cell r="CT139">
            <v>2.2182450472653801</v>
          </cell>
          <cell r="CU139">
            <v>1.3399749102152061</v>
          </cell>
          <cell r="CV139">
            <v>0.72302431821840329</v>
          </cell>
          <cell r="CW139">
            <v>0.30084150694132206</v>
          </cell>
          <cell r="CX139">
            <v>8.181379161046444E-2</v>
          </cell>
          <cell r="CY139">
            <v>1.2486608604908049E-2</v>
          </cell>
          <cell r="CZ139">
            <v>100.00010008552762</v>
          </cell>
          <cell r="DA139">
            <v>99.987485637208366</v>
          </cell>
        </row>
        <row r="140">
          <cell r="B140" t="str">
            <v>PHL</v>
          </cell>
          <cell r="C140" t="str">
            <v>East Asia &amp; Pacific</v>
          </cell>
          <cell r="D140" t="str">
            <v>Lower middle income</v>
          </cell>
          <cell r="E140" t="str">
            <v>IBRD</v>
          </cell>
          <cell r="G140">
            <v>0</v>
          </cell>
          <cell r="H140">
            <v>608</v>
          </cell>
          <cell r="I140">
            <v>109581</v>
          </cell>
          <cell r="J140">
            <v>111047</v>
          </cell>
          <cell r="K140">
            <v>112509</v>
          </cell>
          <cell r="L140">
            <v>113964</v>
          </cell>
          <cell r="M140">
            <v>115407</v>
          </cell>
          <cell r="N140">
            <v>116833</v>
          </cell>
          <cell r="O140">
            <v>118241</v>
          </cell>
          <cell r="P140">
            <v>119633</v>
          </cell>
          <cell r="Q140">
            <v>121006</v>
          </cell>
          <cell r="R140">
            <v>122361</v>
          </cell>
          <cell r="S140">
            <v>123698</v>
          </cell>
          <cell r="T140">
            <v>10616.3</v>
          </cell>
          <cell r="U140">
            <v>11398</v>
          </cell>
          <cell r="V140">
            <v>10906.8</v>
          </cell>
          <cell r="W140">
            <v>10462.9</v>
          </cell>
          <cell r="X140">
            <v>10104.299999999999</v>
          </cell>
          <cell r="Y140">
            <v>9479.7800000000007</v>
          </cell>
          <cell r="Z140">
            <v>8247.2000000000007</v>
          </cell>
          <cell r="AA140">
            <v>7254.73</v>
          </cell>
          <cell r="AB140">
            <v>6551.96</v>
          </cell>
          <cell r="AC140">
            <v>5759.26</v>
          </cell>
          <cell r="AD140">
            <v>5117</v>
          </cell>
          <cell r="AE140">
            <v>4249.92</v>
          </cell>
          <cell r="AF140">
            <v>3393.19</v>
          </cell>
          <cell r="AG140">
            <v>2485.69</v>
          </cell>
          <cell r="AH140">
            <v>1661.43</v>
          </cell>
          <cell r="AI140">
            <v>978.19</v>
          </cell>
          <cell r="AJ140">
            <v>580.53599999999994</v>
          </cell>
          <cell r="AK140">
            <v>241.03299999999999</v>
          </cell>
          <cell r="AL140">
            <v>76.063999999999993</v>
          </cell>
          <cell r="AM140">
            <v>14.988</v>
          </cell>
          <cell r="AN140">
            <v>1.7969999999999999</v>
          </cell>
          <cell r="AO140">
            <v>10936.1</v>
          </cell>
          <cell r="AP140">
            <v>10767.1</v>
          </cell>
          <cell r="AQ140">
            <v>10514.7</v>
          </cell>
          <cell r="AR140">
            <v>11280.5</v>
          </cell>
          <cell r="AS140">
            <v>10690</v>
          </cell>
          <cell r="AT140">
            <v>10181.6</v>
          </cell>
          <cell r="AU140">
            <v>9825.67</v>
          </cell>
          <cell r="AV140">
            <v>9212.9500000000007</v>
          </cell>
          <cell r="AW140">
            <v>7978.56</v>
          </cell>
          <cell r="AX140">
            <v>6952.06</v>
          </cell>
          <cell r="AY140">
            <v>6172.08</v>
          </cell>
          <cell r="AZ140">
            <v>5275.39</v>
          </cell>
          <cell r="BA140">
            <v>4504.6400000000003</v>
          </cell>
          <cell r="BB140">
            <v>3558.14</v>
          </cell>
          <cell r="BC140">
            <v>2647.19</v>
          </cell>
          <cell r="BD140">
            <v>1714</v>
          </cell>
          <cell r="BE140">
            <v>923.98599999999999</v>
          </cell>
          <cell r="BF140">
            <v>387.815</v>
          </cell>
          <cell r="BG140">
            <v>140.934</v>
          </cell>
          <cell r="BH140">
            <v>30.044</v>
          </cell>
          <cell r="BI140">
            <v>4.4660000000000002</v>
          </cell>
          <cell r="BJ140">
            <v>9.6880846132084937</v>
          </cell>
          <cell r="BK140">
            <v>10.401438205528331</v>
          </cell>
          <cell r="BL140">
            <v>9.9531853149724867</v>
          </cell>
          <cell r="BM140">
            <v>9.5480968416057515</v>
          </cell>
          <cell r="BN140">
            <v>9.2208503298929561</v>
          </cell>
          <cell r="BO140">
            <v>8.6509340122831517</v>
          </cell>
          <cell r="BP140">
            <v>7.5261222292185694</v>
          </cell>
          <cell r="BQ140">
            <v>6.6204268988237001</v>
          </cell>
          <cell r="BR140">
            <v>5.9791022166251446</v>
          </cell>
          <cell r="BS140">
            <v>5.2557103877497013</v>
          </cell>
          <cell r="BT140">
            <v>4.6696051322765806</v>
          </cell>
          <cell r="BU140">
            <v>3.8783365729460404</v>
          </cell>
          <cell r="BV140">
            <v>3.0965130816473661</v>
          </cell>
          <cell r="BW140">
            <v>2.2683585658097662</v>
          </cell>
          <cell r="BX140">
            <v>1.5161661236893258</v>
          </cell>
          <cell r="BY140">
            <v>0.89266387421177029</v>
          </cell>
          <cell r="BZ140">
            <v>0.52977797245872915</v>
          </cell>
          <cell r="CA140">
            <v>0.21995875197342601</v>
          </cell>
          <cell r="CB140">
            <v>6.9413493215064653E-2</v>
          </cell>
          <cell r="CC140">
            <v>1.3677553590494702E-2</v>
          </cell>
          <cell r="CD140">
            <v>1.6398828264023873E-3</v>
          </cell>
          <cell r="CE140">
            <v>8.840967517663989</v>
          </cell>
          <cell r="CF140">
            <v>8.7043444518100532</v>
          </cell>
          <cell r="CG140">
            <v>8.5002991155879641</v>
          </cell>
          <cell r="CH140">
            <v>9.11938754062313</v>
          </cell>
          <cell r="CI140">
            <v>8.6420152306423699</v>
          </cell>
          <cell r="CJ140">
            <v>8.2310142443693515</v>
          </cell>
          <cell r="CK140">
            <v>7.9432731329528368</v>
          </cell>
          <cell r="CL140">
            <v>7.447937719284063</v>
          </cell>
          <cell r="CM140">
            <v>6.4500315283998138</v>
          </cell>
          <cell r="CN140">
            <v>5.620187876926062</v>
          </cell>
          <cell r="CO140">
            <v>4.9896360490872933</v>
          </cell>
          <cell r="CP140">
            <v>4.2647334637585095</v>
          </cell>
          <cell r="CQ140">
            <v>3.6416433572086864</v>
          </cell>
          <cell r="CR140">
            <v>2.8764733463758509</v>
          </cell>
          <cell r="CS140">
            <v>2.1400426846028231</v>
          </cell>
          <cell r="CT140">
            <v>1.3856327507316206</v>
          </cell>
          <cell r="CU140">
            <v>0.74696923151546502</v>
          </cell>
          <cell r="CV140">
            <v>0.31351759931445938</v>
          </cell>
          <cell r="CW140">
            <v>0.11393393587608532</v>
          </cell>
          <cell r="CX140">
            <v>2.4288185742695922E-2</v>
          </cell>
          <cell r="CY140">
            <v>3.6104059887791238E-3</v>
          </cell>
          <cell r="CZ140">
            <v>100.00006205455325</v>
          </cell>
          <cell r="DA140">
            <v>99.996328962473129</v>
          </cell>
        </row>
        <row r="141">
          <cell r="B141" t="str">
            <v>PNG</v>
          </cell>
          <cell r="C141" t="str">
            <v>East Asia &amp; Pacific</v>
          </cell>
          <cell r="D141" t="str">
            <v>Lower middle income</v>
          </cell>
          <cell r="E141" t="str">
            <v>Blend</v>
          </cell>
          <cell r="G141">
            <v>0</v>
          </cell>
          <cell r="H141">
            <v>598</v>
          </cell>
          <cell r="I141">
            <v>8947.0300000000007</v>
          </cell>
          <cell r="J141">
            <v>9119</v>
          </cell>
          <cell r="K141">
            <v>9292.17</v>
          </cell>
          <cell r="L141">
            <v>9466.43</v>
          </cell>
          <cell r="M141">
            <v>9641.7099999999991</v>
          </cell>
          <cell r="N141">
            <v>9817.92</v>
          </cell>
          <cell r="O141">
            <v>9994.9699999999993</v>
          </cell>
          <cell r="P141">
            <v>10172.799999999999</v>
          </cell>
          <cell r="Q141">
            <v>10351.200000000001</v>
          </cell>
          <cell r="R141">
            <v>10530.1</v>
          </cell>
          <cell r="S141">
            <v>10709.4</v>
          </cell>
          <cell r="T141">
            <v>1107.18</v>
          </cell>
          <cell r="U141">
            <v>1043.1600000000001</v>
          </cell>
          <cell r="V141">
            <v>994.17399999999998</v>
          </cell>
          <cell r="W141">
            <v>923.70899999999995</v>
          </cell>
          <cell r="X141">
            <v>836.80899999999997</v>
          </cell>
          <cell r="Y141">
            <v>717.375</v>
          </cell>
          <cell r="Z141">
            <v>636.51099999999997</v>
          </cell>
          <cell r="AA141">
            <v>584.02599999999995</v>
          </cell>
          <cell r="AB141">
            <v>510.59100000000001</v>
          </cell>
          <cell r="AC141">
            <v>427.79300000000001</v>
          </cell>
          <cell r="AD141">
            <v>348.733</v>
          </cell>
          <cell r="AE141">
            <v>280.38600000000002</v>
          </cell>
          <cell r="AF141">
            <v>217.02</v>
          </cell>
          <cell r="AG141">
            <v>155.066</v>
          </cell>
          <cell r="AH141">
            <v>89.796999999999997</v>
          </cell>
          <cell r="AI141">
            <v>46.857999999999997</v>
          </cell>
          <cell r="AJ141">
            <v>20.257999999999999</v>
          </cell>
          <cell r="AK141">
            <v>6.242</v>
          </cell>
          <cell r="AL141">
            <v>1.244</v>
          </cell>
          <cell r="AM141">
            <v>8.4000000000000005E-2</v>
          </cell>
          <cell r="AN141">
            <v>3.0000000000000001E-3</v>
          </cell>
          <cell r="AO141">
            <v>1219.5899999999999</v>
          </cell>
          <cell r="AP141">
            <v>1156.1400000000001</v>
          </cell>
          <cell r="AQ141">
            <v>1092.93</v>
          </cell>
          <cell r="AR141">
            <v>1032.9100000000001</v>
          </cell>
          <cell r="AS141">
            <v>979.83299999999997</v>
          </cell>
          <cell r="AT141">
            <v>905.42</v>
          </cell>
          <cell r="AU141">
            <v>817.88</v>
          </cell>
          <cell r="AV141">
            <v>698.54600000000005</v>
          </cell>
          <cell r="AW141">
            <v>615.37</v>
          </cell>
          <cell r="AX141">
            <v>557.77</v>
          </cell>
          <cell r="AY141">
            <v>477.83499999999998</v>
          </cell>
          <cell r="AZ141">
            <v>387.69299999999998</v>
          </cell>
          <cell r="BA141">
            <v>298.98599999999999</v>
          </cell>
          <cell r="BB141">
            <v>216.476</v>
          </cell>
          <cell r="BC141">
            <v>139.655</v>
          </cell>
          <cell r="BD141">
            <v>74.921999999999997</v>
          </cell>
          <cell r="BE141">
            <v>28.167999999999999</v>
          </cell>
          <cell r="BF141">
            <v>7.7430000000000003</v>
          </cell>
          <cell r="BG141">
            <v>1.3580000000000001</v>
          </cell>
          <cell r="BH141">
            <v>0.13</v>
          </cell>
          <cell r="BI141">
            <v>7.0000000000000001E-3</v>
          </cell>
          <cell r="BJ141">
            <v>12.374832765733434</v>
          </cell>
          <cell r="BK141">
            <v>11.659288054248169</v>
          </cell>
          <cell r="BL141">
            <v>11.111776757203227</v>
          </cell>
          <cell r="BM141">
            <v>10.324196968155912</v>
          </cell>
          <cell r="BN141">
            <v>9.3529249371020313</v>
          </cell>
          <cell r="BO141">
            <v>8.0180238581965178</v>
          </cell>
          <cell r="BP141">
            <v>7.1142155553295323</v>
          </cell>
          <cell r="BQ141">
            <v>6.5275963084956672</v>
          </cell>
          <cell r="BR141">
            <v>5.7068211462351197</v>
          </cell>
          <cell r="BS141">
            <v>4.7813967316528494</v>
          </cell>
          <cell r="BT141">
            <v>3.8977515443672366</v>
          </cell>
          <cell r="BU141">
            <v>3.1338444154093592</v>
          </cell>
          <cell r="BV141">
            <v>2.4256093921670092</v>
          </cell>
          <cell r="BW141">
            <v>1.7331561423176181</v>
          </cell>
          <cell r="BX141">
            <v>1.0036514910534555</v>
          </cell>
          <cell r="BY141">
            <v>0.52372686802212565</v>
          </cell>
          <cell r="BZ141">
            <v>0.22642150523693336</v>
          </cell>
          <cell r="CA141">
            <v>6.9766168214480104E-2</v>
          </cell>
          <cell r="CB141">
            <v>1.390405531220975E-2</v>
          </cell>
          <cell r="CC141">
            <v>9.388590403742918E-4</v>
          </cell>
          <cell r="CD141">
            <v>3.3530680013367562E-5</v>
          </cell>
          <cell r="CE141">
            <v>11.388032943022019</v>
          </cell>
          <cell r="CF141">
            <v>10.795562776626143</v>
          </cell>
          <cell r="CG141">
            <v>10.205333632136256</v>
          </cell>
          <cell r="CH141">
            <v>9.6448914038134728</v>
          </cell>
          <cell r="CI141">
            <v>9.1492800717127007</v>
          </cell>
          <cell r="CJ141">
            <v>8.4544418921694948</v>
          </cell>
          <cell r="CK141">
            <v>7.6370291519599602</v>
          </cell>
          <cell r="CL141">
            <v>6.5227370347545151</v>
          </cell>
          <cell r="CM141">
            <v>5.7460735428688823</v>
          </cell>
          <cell r="CN141">
            <v>5.2082282854314901</v>
          </cell>
          <cell r="CO141">
            <v>4.4618279268679855</v>
          </cell>
          <cell r="CP141">
            <v>3.6201187741610172</v>
          </cell>
          <cell r="CQ141">
            <v>2.7918090649336098</v>
          </cell>
          <cell r="CR141">
            <v>2.0213644088370968</v>
          </cell>
          <cell r="CS141">
            <v>1.3040413095038004</v>
          </cell>
          <cell r="CT141">
            <v>0.69959101350215691</v>
          </cell>
          <cell r="CU141">
            <v>0.26302127103292439</v>
          </cell>
          <cell r="CV141">
            <v>7.230096924197435E-2</v>
          </cell>
          <cell r="CW141">
            <v>1.2680448951388501E-2</v>
          </cell>
          <cell r="CX141">
            <v>1.2138868657441129E-3</v>
          </cell>
          <cell r="CY141">
            <v>6.5363138924683E-5</v>
          </cell>
          <cell r="CZ141">
            <v>99.999877054173268</v>
          </cell>
          <cell r="DA141">
            <v>99.999579808392639</v>
          </cell>
        </row>
        <row r="142">
          <cell r="B142" t="str">
            <v>POL</v>
          </cell>
          <cell r="C142" t="str">
            <v>Europe &amp; Central Asia</v>
          </cell>
          <cell r="D142" t="str">
            <v>High income</v>
          </cell>
          <cell r="E142" t="str">
            <v>IBRD</v>
          </cell>
          <cell r="G142">
            <v>0</v>
          </cell>
          <cell r="H142">
            <v>616</v>
          </cell>
          <cell r="I142">
            <v>37846.6</v>
          </cell>
          <cell r="J142">
            <v>37797</v>
          </cell>
          <cell r="K142">
            <v>37739.800000000003</v>
          </cell>
          <cell r="L142">
            <v>37674</v>
          </cell>
          <cell r="M142">
            <v>37599.1</v>
          </cell>
          <cell r="N142">
            <v>37514.699999999997</v>
          </cell>
          <cell r="O142">
            <v>37420.1</v>
          </cell>
          <cell r="P142">
            <v>37315</v>
          </cell>
          <cell r="Q142">
            <v>37200.1</v>
          </cell>
          <cell r="R142">
            <v>37076.300000000003</v>
          </cell>
          <cell r="S142">
            <v>36944.6</v>
          </cell>
          <cell r="T142">
            <v>1884.91</v>
          </cell>
          <cell r="U142">
            <v>1899.96</v>
          </cell>
          <cell r="V142">
            <v>1974.51</v>
          </cell>
          <cell r="W142">
            <v>1734.62</v>
          </cell>
          <cell r="X142">
            <v>1965.98</v>
          </cell>
          <cell r="Y142">
            <v>2465.5700000000002</v>
          </cell>
          <cell r="Z142">
            <v>2825.85</v>
          </cell>
          <cell r="AA142">
            <v>3179.07</v>
          </cell>
          <cell r="AB142">
            <v>2958.64</v>
          </cell>
          <cell r="AC142">
            <v>2576.8000000000002</v>
          </cell>
          <cell r="AD142">
            <v>2238.5</v>
          </cell>
          <cell r="AE142">
            <v>2324.67</v>
          </cell>
          <cell r="AF142">
            <v>2725.26</v>
          </cell>
          <cell r="AG142">
            <v>2448.89</v>
          </cell>
          <cell r="AH142">
            <v>1855.85</v>
          </cell>
          <cell r="AI142">
            <v>1044.67</v>
          </cell>
          <cell r="AJ142">
            <v>884.06</v>
          </cell>
          <cell r="AK142">
            <v>557.54499999999996</v>
          </cell>
          <cell r="AL142">
            <v>239.20099999999999</v>
          </cell>
          <cell r="AM142">
            <v>57.005000000000003</v>
          </cell>
          <cell r="AN142">
            <v>5.024</v>
          </cell>
          <cell r="AO142">
            <v>1557.25</v>
          </cell>
          <cell r="AP142">
            <v>1715.03</v>
          </cell>
          <cell r="AQ142">
            <v>1879.89</v>
          </cell>
          <cell r="AR142">
            <v>1893.07</v>
          </cell>
          <cell r="AS142">
            <v>1958.15</v>
          </cell>
          <cell r="AT142">
            <v>1709.92</v>
          </cell>
          <cell r="AU142">
            <v>1937.82</v>
          </cell>
          <cell r="AV142">
            <v>2434.0500000000002</v>
          </cell>
          <cell r="AW142">
            <v>2785.04</v>
          </cell>
          <cell r="AX142">
            <v>3115.01</v>
          </cell>
          <cell r="AY142">
            <v>2865.08</v>
          </cell>
          <cell r="AZ142">
            <v>2447.64</v>
          </cell>
          <cell r="BA142">
            <v>2067.59</v>
          </cell>
          <cell r="BB142">
            <v>2069.6</v>
          </cell>
          <cell r="BC142">
            <v>2312.85</v>
          </cell>
          <cell r="BD142">
            <v>1932.03</v>
          </cell>
          <cell r="BE142">
            <v>1277.3800000000001</v>
          </cell>
          <cell r="BF142">
            <v>558.80100000000004</v>
          </cell>
          <cell r="BG142">
            <v>309.36599999999999</v>
          </cell>
          <cell r="BH142">
            <v>101.52500000000001</v>
          </cell>
          <cell r="BI142">
            <v>17.481000000000002</v>
          </cell>
          <cell r="BJ142">
            <v>4.9803945400643652</v>
          </cell>
          <cell r="BK142">
            <v>5.0201603314432477</v>
          </cell>
          <cell r="BL142">
            <v>5.217139716645617</v>
          </cell>
          <cell r="BM142">
            <v>4.583291497783156</v>
          </cell>
          <cell r="BN142">
            <v>5.1946013644554601</v>
          </cell>
          <cell r="BO142">
            <v>6.514640681065142</v>
          </cell>
          <cell r="BP142">
            <v>7.4665888085059153</v>
          </cell>
          <cell r="BQ142">
            <v>8.3998826843098193</v>
          </cell>
          <cell r="BR142">
            <v>7.8174525584860985</v>
          </cell>
          <cell r="BS142">
            <v>6.8085376229304622</v>
          </cell>
          <cell r="BT142">
            <v>5.914666046619776</v>
          </cell>
          <cell r="BU142">
            <v>6.1423483219100268</v>
          </cell>
          <cell r="BV142">
            <v>7.2008053563596217</v>
          </cell>
          <cell r="BW142">
            <v>6.4705680298890789</v>
          </cell>
          <cell r="BX142">
            <v>4.9036108923919191</v>
          </cell>
          <cell r="BY142">
            <v>2.7602743707492881</v>
          </cell>
          <cell r="BZ142">
            <v>2.3359033572368455</v>
          </cell>
          <cell r="CA142">
            <v>1.4731706414843078</v>
          </cell>
          <cell r="CB142">
            <v>0.63202771186843731</v>
          </cell>
          <cell r="CC142">
            <v>0.15062119186399836</v>
          </cell>
          <cell r="CD142">
            <v>1.3274640258305898E-2</v>
          </cell>
          <cell r="CE142">
            <v>4.2150950341863229</v>
          </cell>
          <cell r="CF142">
            <v>4.6421669201994336</v>
          </cell>
          <cell r="CG142">
            <v>5.0884026352971752</v>
          </cell>
          <cell r="CH142">
            <v>5.1240776730564148</v>
          </cell>
          <cell r="CI142">
            <v>5.3002333223258615</v>
          </cell>
          <cell r="CJ142">
            <v>4.6283353994900471</v>
          </cell>
          <cell r="CK142">
            <v>5.2452049825955616</v>
          </cell>
          <cell r="CL142">
            <v>6.5883782744974919</v>
          </cell>
          <cell r="CM142">
            <v>7.5384223946124731</v>
          </cell>
          <cell r="CN142">
            <v>8.4315705136880634</v>
          </cell>
          <cell r="CO142">
            <v>7.755071106467522</v>
          </cell>
          <cell r="CP142">
            <v>6.6251630820201051</v>
          </cell>
          <cell r="CQ142">
            <v>5.5964606464814892</v>
          </cell>
          <cell r="CR142">
            <v>5.6019012250775484</v>
          </cell>
          <cell r="CS142">
            <v>6.2603195054216316</v>
          </cell>
          <cell r="CT142">
            <v>5.229532868132285</v>
          </cell>
          <cell r="CU142">
            <v>3.4575553666841707</v>
          </cell>
          <cell r="CV142">
            <v>1.5125376915706221</v>
          </cell>
          <cell r="CW142">
            <v>0.83737812833269265</v>
          </cell>
          <cell r="CX142">
            <v>0.27480335421144092</v>
          </cell>
          <cell r="CY142">
            <v>4.7316793252599847E-2</v>
          </cell>
          <cell r="CZ142">
            <v>99.999960366320863</v>
          </cell>
          <cell r="DA142">
            <v>99.952610124348382</v>
          </cell>
        </row>
        <row r="143">
          <cell r="B143" t="str">
            <v>PRI</v>
          </cell>
          <cell r="C143" t="str">
            <v>Latin America &amp; Caribbean</v>
          </cell>
          <cell r="D143" t="str">
            <v>High income</v>
          </cell>
          <cell r="G143">
            <v>0</v>
          </cell>
          <cell r="H143">
            <v>630</v>
          </cell>
          <cell r="I143">
            <v>2860.84</v>
          </cell>
          <cell r="J143">
            <v>2828.25</v>
          </cell>
          <cell r="K143">
            <v>2829.81</v>
          </cell>
          <cell r="L143">
            <v>2854.17</v>
          </cell>
          <cell r="M143">
            <v>2884.07</v>
          </cell>
          <cell r="N143">
            <v>2906.65</v>
          </cell>
          <cell r="O143">
            <v>2918.92</v>
          </cell>
          <cell r="P143">
            <v>2923.98</v>
          </cell>
          <cell r="Q143">
            <v>2922.18</v>
          </cell>
          <cell r="R143">
            <v>2915.46</v>
          </cell>
          <cell r="S143">
            <v>2905.36</v>
          </cell>
          <cell r="T143">
            <v>84.290999999999997</v>
          </cell>
          <cell r="U143">
            <v>156.03299999999999</v>
          </cell>
          <cell r="V143">
            <v>210.32300000000001</v>
          </cell>
          <cell r="W143">
            <v>184.34299999999999</v>
          </cell>
          <cell r="X143">
            <v>143.483</v>
          </cell>
          <cell r="Y143">
            <v>145.27000000000001</v>
          </cell>
          <cell r="Z143">
            <v>156.59100000000001</v>
          </cell>
          <cell r="AA143">
            <v>174.92599999999999</v>
          </cell>
          <cell r="AB143">
            <v>196.071</v>
          </cell>
          <cell r="AC143">
            <v>203.173</v>
          </cell>
          <cell r="AD143">
            <v>211.74199999999999</v>
          </cell>
          <cell r="AE143">
            <v>202.44200000000001</v>
          </cell>
          <cell r="AF143">
            <v>196.316</v>
          </cell>
          <cell r="AG143">
            <v>164.709</v>
          </cell>
          <cell r="AH143">
            <v>157.59</v>
          </cell>
          <cell r="AI143">
            <v>116.09099999999999</v>
          </cell>
          <cell r="AJ143">
            <v>78.200999999999993</v>
          </cell>
          <cell r="AK143">
            <v>47.360999999999997</v>
          </cell>
          <cell r="AL143">
            <v>22.265000000000001</v>
          </cell>
          <cell r="AM143">
            <v>7.9589999999999996</v>
          </cell>
          <cell r="AN143">
            <v>1.66</v>
          </cell>
          <cell r="AO143">
            <v>109.333</v>
          </cell>
          <cell r="AP143">
            <v>101.512</v>
          </cell>
          <cell r="AQ143">
            <v>87.968000000000004</v>
          </cell>
          <cell r="AR143">
            <v>163.459</v>
          </cell>
          <cell r="AS143">
            <v>230.15100000000001</v>
          </cell>
          <cell r="AT143">
            <v>211.315</v>
          </cell>
          <cell r="AU143">
            <v>166.93600000000001</v>
          </cell>
          <cell r="AV143">
            <v>161.63</v>
          </cell>
          <cell r="AW143">
            <v>166.49799999999999</v>
          </cell>
          <cell r="AX143">
            <v>179.56700000000001</v>
          </cell>
          <cell r="AY143">
            <v>195.86799999999999</v>
          </cell>
          <cell r="AZ143">
            <v>198.42099999999999</v>
          </cell>
          <cell r="BA143">
            <v>201.81</v>
          </cell>
          <cell r="BB143">
            <v>187.59800000000001</v>
          </cell>
          <cell r="BC143">
            <v>174.98400000000001</v>
          </cell>
          <cell r="BD143">
            <v>137.61000000000001</v>
          </cell>
          <cell r="BE143">
            <v>116.196</v>
          </cell>
          <cell r="BF143">
            <v>68.783000000000001</v>
          </cell>
          <cell r="BG143">
            <v>32.404000000000003</v>
          </cell>
          <cell r="BH143">
            <v>11.015000000000001</v>
          </cell>
          <cell r="BI143">
            <v>2.2999999999999998</v>
          </cell>
          <cell r="BJ143">
            <v>2.9463723941220059</v>
          </cell>
          <cell r="BK143">
            <v>5.45409739796703</v>
          </cell>
          <cell r="BL143">
            <v>7.351791781434823</v>
          </cell>
          <cell r="BM143">
            <v>6.4436668950378211</v>
          </cell>
          <cell r="BN143">
            <v>5.0154150529215196</v>
          </cell>
          <cell r="BO143">
            <v>5.0778792242837767</v>
          </cell>
          <cell r="BP143">
            <v>5.4736021588065045</v>
          </cell>
          <cell r="BQ143">
            <v>6.1144978397953045</v>
          </cell>
          <cell r="BR143">
            <v>6.853616420352064</v>
          </cell>
          <cell r="BS143">
            <v>7.1018651864487348</v>
          </cell>
          <cell r="BT143">
            <v>7.4013925979782149</v>
          </cell>
          <cell r="BU143">
            <v>7.0763132506536541</v>
          </cell>
          <cell r="BV143">
            <v>6.8621803386417977</v>
          </cell>
          <cell r="BW143">
            <v>5.7573649697291698</v>
          </cell>
          <cell r="BX143">
            <v>5.5085219725674976</v>
          </cell>
          <cell r="BY143">
            <v>4.0579340333608309</v>
          </cell>
          <cell r="BZ143">
            <v>2.7334978537772119</v>
          </cell>
          <cell r="CA143">
            <v>1.6554927923267289</v>
          </cell>
          <cell r="CB143">
            <v>0.77826792130982503</v>
          </cell>
          <cell r="CC143">
            <v>0.27820500272647192</v>
          </cell>
          <cell r="CD143">
            <v>5.8024915759007839E-2</v>
          </cell>
          <cell r="CE143">
            <v>3.7631481124542225</v>
          </cell>
          <cell r="CF143">
            <v>3.4939559985681634</v>
          </cell>
          <cell r="CG143">
            <v>3.0277831318666188</v>
          </cell>
          <cell r="CH143">
            <v>5.6261186221328856</v>
          </cell>
          <cell r="CI143">
            <v>7.9216000770988799</v>
          </cell>
          <cell r="CJ143">
            <v>7.2732811080210364</v>
          </cell>
          <cell r="CK143">
            <v>5.7457939807803511</v>
          </cell>
          <cell r="CL143">
            <v>5.5631660104083487</v>
          </cell>
          <cell r="CM143">
            <v>5.7307183963433097</v>
          </cell>
          <cell r="CN143">
            <v>6.1805421703334531</v>
          </cell>
          <cell r="CO143">
            <v>6.7416086130462309</v>
          </cell>
          <cell r="CP143">
            <v>6.8294806839772004</v>
          </cell>
          <cell r="CQ143">
            <v>6.9461271580802384</v>
          </cell>
          <cell r="CR143">
            <v>6.4569623041550797</v>
          </cell>
          <cell r="CS143">
            <v>6.0227992400253321</v>
          </cell>
          <cell r="CT143">
            <v>4.7364182063496436</v>
          </cell>
          <cell r="CU143">
            <v>3.9993666877770737</v>
          </cell>
          <cell r="CV143">
            <v>2.3674518820387145</v>
          </cell>
          <cell r="CW143">
            <v>1.1153178952005949</v>
          </cell>
          <cell r="CX143">
            <v>0.37912685519178346</v>
          </cell>
          <cell r="CY143">
            <v>7.9164027865737799E-2</v>
          </cell>
          <cell r="CZ143">
            <v>99.999999999999972</v>
          </cell>
          <cell r="DA143">
            <v>99.920767133849154</v>
          </cell>
        </row>
        <row r="144">
          <cell r="B144" t="str">
            <v>PRK</v>
          </cell>
          <cell r="C144" t="str">
            <v>East Asia &amp; Pacific</v>
          </cell>
          <cell r="D144" t="str">
            <v>Low income</v>
          </cell>
          <cell r="G144">
            <v>0</v>
          </cell>
          <cell r="H144">
            <v>408</v>
          </cell>
          <cell r="I144">
            <v>25778.799999999999</v>
          </cell>
          <cell r="J144">
            <v>25887</v>
          </cell>
          <cell r="K144">
            <v>25990.7</v>
          </cell>
          <cell r="L144">
            <v>26089.8</v>
          </cell>
          <cell r="M144">
            <v>26184.7</v>
          </cell>
          <cell r="N144">
            <v>26275.5</v>
          </cell>
          <cell r="O144">
            <v>26362.1</v>
          </cell>
          <cell r="P144">
            <v>26443.9</v>
          </cell>
          <cell r="Q144">
            <v>26520.1</v>
          </cell>
          <cell r="R144">
            <v>26589.599999999999</v>
          </cell>
          <cell r="S144">
            <v>26651.3</v>
          </cell>
          <cell r="T144">
            <v>1746.09</v>
          </cell>
          <cell r="U144">
            <v>1684.28</v>
          </cell>
          <cell r="V144">
            <v>1684.99</v>
          </cell>
          <cell r="W144">
            <v>1876.24</v>
          </cell>
          <cell r="X144">
            <v>1940.87</v>
          </cell>
          <cell r="Y144">
            <v>1984.84</v>
          </cell>
          <cell r="Z144">
            <v>1851.03</v>
          </cell>
          <cell r="AA144">
            <v>1790.87</v>
          </cell>
          <cell r="AB144">
            <v>1556.43</v>
          </cell>
          <cell r="AC144">
            <v>2157.89</v>
          </cell>
          <cell r="AD144">
            <v>2140.4899999999998</v>
          </cell>
          <cell r="AE144">
            <v>1482.3</v>
          </cell>
          <cell r="AF144">
            <v>1472.52</v>
          </cell>
          <cell r="AG144">
            <v>662.16600000000005</v>
          </cell>
          <cell r="AH144">
            <v>745.08199999999999</v>
          </cell>
          <cell r="AI144">
            <v>558.87699999999995</v>
          </cell>
          <cell r="AJ144">
            <v>308.65699999999998</v>
          </cell>
          <cell r="AK144">
            <v>105.82599999999999</v>
          </cell>
          <cell r="AL144">
            <v>25.428000000000001</v>
          </cell>
          <cell r="AM144">
            <v>3.6829999999999998</v>
          </cell>
          <cell r="AN144">
            <v>0.26700000000000002</v>
          </cell>
          <cell r="AO144">
            <v>1682.45</v>
          </cell>
          <cell r="AP144">
            <v>1730.99</v>
          </cell>
          <cell r="AQ144">
            <v>1735.3</v>
          </cell>
          <cell r="AR144">
            <v>1674.09</v>
          </cell>
          <cell r="AS144">
            <v>1670.34</v>
          </cell>
          <cell r="AT144">
            <v>1851.99</v>
          </cell>
          <cell r="AU144">
            <v>1907.69</v>
          </cell>
          <cell r="AV144">
            <v>1948.75</v>
          </cell>
          <cell r="AW144">
            <v>1815.13</v>
          </cell>
          <cell r="AX144">
            <v>1748.99</v>
          </cell>
          <cell r="AY144">
            <v>1508.21</v>
          </cell>
          <cell r="AZ144">
            <v>2053.52</v>
          </cell>
          <cell r="BA144">
            <v>1940.46</v>
          </cell>
          <cell r="BB144">
            <v>1232.49</v>
          </cell>
          <cell r="BC144">
            <v>1101.92</v>
          </cell>
          <cell r="BD144">
            <v>427.43</v>
          </cell>
          <cell r="BE144">
            <v>369.77499999999998</v>
          </cell>
          <cell r="BF144">
            <v>185.29499999999999</v>
          </cell>
          <cell r="BG144">
            <v>56.966000000000001</v>
          </cell>
          <cell r="BH144">
            <v>8.7910000000000004</v>
          </cell>
          <cell r="BI144">
            <v>0.753</v>
          </cell>
          <cell r="BJ144">
            <v>6.773356401384083</v>
          </cell>
          <cell r="BK144">
            <v>6.5335857371173214</v>
          </cell>
          <cell r="BL144">
            <v>6.5363399382438274</v>
          </cell>
          <cell r="BM144">
            <v>7.2782286219684398</v>
          </cell>
          <cell r="BN144">
            <v>7.5289385076109046</v>
          </cell>
          <cell r="BO144">
            <v>7.699505019628532</v>
          </cell>
          <cell r="BP144">
            <v>7.1804350861948585</v>
          </cell>
          <cell r="BQ144">
            <v>6.9470650301798376</v>
          </cell>
          <cell r="BR144">
            <v>6.0376355765202421</v>
          </cell>
          <cell r="BS144">
            <v>8.3707930547581721</v>
          </cell>
          <cell r="BT144">
            <v>8.3032957313761688</v>
          </cell>
          <cell r="BU144">
            <v>5.7500737039738077</v>
          </cell>
          <cell r="BV144">
            <v>5.7121355532453029</v>
          </cell>
          <cell r="BW144">
            <v>2.5686455537108013</v>
          </cell>
          <cell r="BX144">
            <v>2.8902896954086303</v>
          </cell>
          <cell r="BY144">
            <v>2.1679713563082839</v>
          </cell>
          <cell r="BZ144">
            <v>1.1973288128229398</v>
          </cell>
          <cell r="CA144">
            <v>0.41051561748413423</v>
          </cell>
          <cell r="CB144">
            <v>9.8639191894114547E-2</v>
          </cell>
          <cell r="CC144">
            <v>1.4286933449190808E-2</v>
          </cell>
          <cell r="CD144">
            <v>1.0357347898273001E-3</v>
          </cell>
          <cell r="CE144">
            <v>6.3128252655592787</v>
          </cell>
          <cell r="CF144">
            <v>6.4949552179443408</v>
          </cell>
          <cell r="CG144">
            <v>6.5111270369550462</v>
          </cell>
          <cell r="CH144">
            <v>6.2814571897055682</v>
          </cell>
          <cell r="CI144">
            <v>6.2673865815175995</v>
          </cell>
          <cell r="CJ144">
            <v>6.9489668421427853</v>
          </cell>
          <cell r="CK144">
            <v>7.1579622757614079</v>
          </cell>
          <cell r="CL144">
            <v>7.3120260550142024</v>
          </cell>
          <cell r="CM144">
            <v>6.8106621440605153</v>
          </cell>
          <cell r="CN144">
            <v>6.5624941372465884</v>
          </cell>
          <cell r="CO144">
            <v>5.6590485267135193</v>
          </cell>
          <cell r="CP144">
            <v>7.7051400869751197</v>
          </cell>
          <cell r="CQ144">
            <v>7.280920630513334</v>
          </cell>
          <cell r="CR144">
            <v>4.6245023694904193</v>
          </cell>
          <cell r="CS144">
            <v>4.1345825531962799</v>
          </cell>
          <cell r="CT144">
            <v>1.6037866820755462</v>
          </cell>
          <cell r="CU144">
            <v>1.3874557713882625</v>
          </cell>
          <cell r="CV144">
            <v>0.6952568917838905</v>
          </cell>
          <cell r="CW144">
            <v>0.21374567094288086</v>
          </cell>
          <cell r="CX144">
            <v>3.2985257754781193E-2</v>
          </cell>
          <cell r="CY144">
            <v>2.8253781241440378E-3</v>
          </cell>
          <cell r="CZ144">
            <v>100.0001008580694</v>
          </cell>
          <cell r="DA144">
            <v>99.997287186741374</v>
          </cell>
        </row>
        <row r="145">
          <cell r="B145" t="str">
            <v>PRT</v>
          </cell>
          <cell r="C145" t="str">
            <v>Europe &amp; Central Asia</v>
          </cell>
          <cell r="D145" t="str">
            <v>High income</v>
          </cell>
          <cell r="F145" t="str">
            <v>EMU</v>
          </cell>
          <cell r="G145">
            <v>0</v>
          </cell>
          <cell r="H145">
            <v>620</v>
          </cell>
          <cell r="I145">
            <v>10196.700000000001</v>
          </cell>
          <cell r="J145">
            <v>10167.9</v>
          </cell>
          <cell r="K145">
            <v>10140.6</v>
          </cell>
          <cell r="L145">
            <v>10114</v>
          </cell>
          <cell r="M145">
            <v>10087.5</v>
          </cell>
          <cell r="N145">
            <v>10060.4</v>
          </cell>
          <cell r="O145">
            <v>10032.5</v>
          </cell>
          <cell r="P145">
            <v>10003.6</v>
          </cell>
          <cell r="Q145">
            <v>9973.8799999999992</v>
          </cell>
          <cell r="R145">
            <v>9943.5400000000009</v>
          </cell>
          <cell r="S145">
            <v>9912.68</v>
          </cell>
          <cell r="T145">
            <v>400.65199999999999</v>
          </cell>
          <cell r="U145">
            <v>440.42399999999998</v>
          </cell>
          <cell r="V145">
            <v>489.99900000000002</v>
          </cell>
          <cell r="W145">
            <v>525.16700000000003</v>
          </cell>
          <cell r="X145">
            <v>539.83399999999995</v>
          </cell>
          <cell r="Y145">
            <v>533.86400000000003</v>
          </cell>
          <cell r="Z145">
            <v>560.99699999999996</v>
          </cell>
          <cell r="AA145">
            <v>654.31200000000001</v>
          </cell>
          <cell r="AB145">
            <v>765.45100000000002</v>
          </cell>
          <cell r="AC145">
            <v>810.46</v>
          </cell>
          <cell r="AD145">
            <v>743.38900000000001</v>
          </cell>
          <cell r="AE145">
            <v>737.61800000000005</v>
          </cell>
          <cell r="AF145">
            <v>672.51900000000001</v>
          </cell>
          <cell r="AG145">
            <v>621.30499999999995</v>
          </cell>
          <cell r="AH145">
            <v>566.94299999999998</v>
          </cell>
          <cell r="AI145">
            <v>451.37099999999998</v>
          </cell>
          <cell r="AJ145">
            <v>352.21199999999999</v>
          </cell>
          <cell r="AK145">
            <v>224.13</v>
          </cell>
          <cell r="AL145">
            <v>84.924000000000007</v>
          </cell>
          <cell r="AM145">
            <v>19.175000000000001</v>
          </cell>
          <cell r="AN145">
            <v>1.9610000000000001</v>
          </cell>
          <cell r="AO145">
            <v>386.14299999999997</v>
          </cell>
          <cell r="AP145">
            <v>390.18</v>
          </cell>
          <cell r="AQ145">
            <v>402.23599999999999</v>
          </cell>
          <cell r="AR145">
            <v>446.38600000000002</v>
          </cell>
          <cell r="AS145">
            <v>503.589</v>
          </cell>
          <cell r="AT145">
            <v>541.23199999999997</v>
          </cell>
          <cell r="AU145">
            <v>552.68899999999996</v>
          </cell>
          <cell r="AV145">
            <v>541.93299999999999</v>
          </cell>
          <cell r="AW145">
            <v>564.09900000000005</v>
          </cell>
          <cell r="AX145">
            <v>651.10400000000004</v>
          </cell>
          <cell r="AY145">
            <v>752.79399999999998</v>
          </cell>
          <cell r="AZ145">
            <v>787</v>
          </cell>
          <cell r="BA145">
            <v>712.24</v>
          </cell>
          <cell r="BB145">
            <v>694.08500000000004</v>
          </cell>
          <cell r="BC145">
            <v>614.36199999999997</v>
          </cell>
          <cell r="BD145">
            <v>535.03599999999994</v>
          </cell>
          <cell r="BE145">
            <v>427.29500000000002</v>
          </cell>
          <cell r="BF145">
            <v>255.12899999999999</v>
          </cell>
          <cell r="BG145">
            <v>118.05500000000001</v>
          </cell>
          <cell r="BH145">
            <v>33.146000000000001</v>
          </cell>
          <cell r="BI145">
            <v>3.95</v>
          </cell>
          <cell r="BJ145">
            <v>3.9292320064334536</v>
          </cell>
          <cell r="BK145">
            <v>4.3192797669834349</v>
          </cell>
          <cell r="BL145">
            <v>4.8054664744476154</v>
          </cell>
          <cell r="BM145">
            <v>5.1503623721400063</v>
          </cell>
          <cell r="BN145">
            <v>5.2942030264693472</v>
          </cell>
          <cell r="BO145">
            <v>5.2356546725901518</v>
          </cell>
          <cell r="BP145">
            <v>5.5017505663597044</v>
          </cell>
          <cell r="BQ145">
            <v>6.4168995851599044</v>
          </cell>
          <cell r="BR145">
            <v>7.5068502554748102</v>
          </cell>
          <cell r="BS145">
            <v>7.9482577696705787</v>
          </cell>
          <cell r="BT145">
            <v>7.2904861376719925</v>
          </cell>
          <cell r="BU145">
            <v>7.2338893955887693</v>
          </cell>
          <cell r="BV145">
            <v>6.5954573538497749</v>
          </cell>
          <cell r="BW145">
            <v>6.0931968185785594</v>
          </cell>
          <cell r="BX145">
            <v>5.5600635499720488</v>
          </cell>
          <cell r="BY145">
            <v>4.4266380299508663</v>
          </cell>
          <cell r="BZ145">
            <v>3.4541763511724382</v>
          </cell>
          <cell r="CA145">
            <v>2.19806407955515</v>
          </cell>
          <cell r="CB145">
            <v>0.83285768925240522</v>
          </cell>
          <cell r="CC145">
            <v>0.18805103611952886</v>
          </cell>
          <cell r="CD145">
            <v>1.9231712220620395E-2</v>
          </cell>
          <cell r="CE145">
            <v>3.8954450259667412</v>
          </cell>
          <cell r="CF145">
            <v>3.9361706420463487</v>
          </cell>
          <cell r="CG145">
            <v>4.0577926453794531</v>
          </cell>
          <cell r="CH145">
            <v>4.5031817833320549</v>
          </cell>
          <cell r="CI145">
            <v>5.0802507495450264</v>
          </cell>
          <cell r="CJ145">
            <v>5.4599966911067437</v>
          </cell>
          <cell r="CK145">
            <v>5.5755759290121336</v>
          </cell>
          <cell r="CL145">
            <v>5.4670684416323336</v>
          </cell>
          <cell r="CM145">
            <v>5.6906810267253656</v>
          </cell>
          <cell r="CN145">
            <v>6.56839522712324</v>
          </cell>
          <cell r="CO145">
            <v>7.5942530173474783</v>
          </cell>
          <cell r="CP145">
            <v>7.9393261963464967</v>
          </cell>
          <cell r="CQ145">
            <v>7.1851406481395541</v>
          </cell>
          <cell r="CR145">
            <v>7.0019913888070633</v>
          </cell>
          <cell r="CS145">
            <v>6.1977386539260815</v>
          </cell>
          <cell r="CT145">
            <v>5.3974908904554564</v>
          </cell>
          <cell r="CU145">
            <v>4.3105900725131852</v>
          </cell>
          <cell r="CV145">
            <v>2.5737641081927389</v>
          </cell>
          <cell r="CW145">
            <v>1.190949369897949</v>
          </cell>
          <cell r="CX145">
            <v>0.33437980445247906</v>
          </cell>
          <cell r="CY145">
            <v>3.9847952319655232E-2</v>
          </cell>
          <cell r="CZ145">
            <v>100.00006864966116</v>
          </cell>
          <cell r="DA145">
            <v>99.960182311947918</v>
          </cell>
        </row>
        <row r="146">
          <cell r="B146" t="str">
            <v>PRY</v>
          </cell>
          <cell r="C146" t="str">
            <v>Latin America &amp; Caribbean</v>
          </cell>
          <cell r="D146" t="str">
            <v>Upper middle income</v>
          </cell>
          <cell r="E146" t="str">
            <v>IBRD</v>
          </cell>
          <cell r="G146">
            <v>0</v>
          </cell>
          <cell r="H146">
            <v>600</v>
          </cell>
          <cell r="I146">
            <v>7132.53</v>
          </cell>
          <cell r="J146">
            <v>7219.64</v>
          </cell>
          <cell r="K146">
            <v>7305.84</v>
          </cell>
          <cell r="L146">
            <v>7391.01</v>
          </cell>
          <cell r="M146">
            <v>7475.02</v>
          </cell>
          <cell r="N146">
            <v>7557.75</v>
          </cell>
          <cell r="O146">
            <v>7639.09</v>
          </cell>
          <cell r="P146">
            <v>7718.99</v>
          </cell>
          <cell r="Q146">
            <v>7797.42</v>
          </cell>
          <cell r="R146">
            <v>7874.41</v>
          </cell>
          <cell r="S146">
            <v>7949.97</v>
          </cell>
          <cell r="T146">
            <v>701.09199999999998</v>
          </cell>
          <cell r="U146">
            <v>682.81899999999996</v>
          </cell>
          <cell r="V146">
            <v>676.92600000000004</v>
          </cell>
          <cell r="W146">
            <v>659.35199999999998</v>
          </cell>
          <cell r="X146">
            <v>677.78800000000001</v>
          </cell>
          <cell r="Y146">
            <v>643.255</v>
          </cell>
          <cell r="Z146">
            <v>595.06799999999998</v>
          </cell>
          <cell r="AA146">
            <v>514.05799999999999</v>
          </cell>
          <cell r="AB146">
            <v>406.93400000000003</v>
          </cell>
          <cell r="AC146">
            <v>320.70400000000001</v>
          </cell>
          <cell r="AD146">
            <v>290.815</v>
          </cell>
          <cell r="AE146">
            <v>257.54899999999998</v>
          </cell>
          <cell r="AF146">
            <v>220.376</v>
          </cell>
          <cell r="AG146">
            <v>181.786</v>
          </cell>
          <cell r="AH146">
            <v>127.51</v>
          </cell>
          <cell r="AI146">
            <v>86.215000000000003</v>
          </cell>
          <cell r="AJ146">
            <v>53.863</v>
          </cell>
          <cell r="AK146">
            <v>24.196999999999999</v>
          </cell>
          <cell r="AL146">
            <v>9.67</v>
          </cell>
          <cell r="AM146">
            <v>2.2320000000000002</v>
          </cell>
          <cell r="AN146">
            <v>0.32100000000000001</v>
          </cell>
          <cell r="AO146">
            <v>683.97199999999998</v>
          </cell>
          <cell r="AP146">
            <v>695.952</v>
          </cell>
          <cell r="AQ146">
            <v>693.04499999999996</v>
          </cell>
          <cell r="AR146">
            <v>671.44799999999998</v>
          </cell>
          <cell r="AS146">
            <v>658.69899999999996</v>
          </cell>
          <cell r="AT146">
            <v>633.34199999999998</v>
          </cell>
          <cell r="AU146">
            <v>646.36</v>
          </cell>
          <cell r="AV146">
            <v>609.27599999999995</v>
          </cell>
          <cell r="AW146">
            <v>562.60699999999997</v>
          </cell>
          <cell r="AX146">
            <v>484.42899999999997</v>
          </cell>
          <cell r="AY146">
            <v>377.108</v>
          </cell>
          <cell r="AZ146">
            <v>293.19</v>
          </cell>
          <cell r="BA146">
            <v>262.90100000000001</v>
          </cell>
          <cell r="BB146">
            <v>224.506</v>
          </cell>
          <cell r="BC146">
            <v>180.74100000000001</v>
          </cell>
          <cell r="BD146">
            <v>136.31399999999999</v>
          </cell>
          <cell r="BE146">
            <v>80.075999999999993</v>
          </cell>
          <cell r="BF146">
            <v>37.93</v>
          </cell>
          <cell r="BG146">
            <v>14.108000000000001</v>
          </cell>
          <cell r="BH146">
            <v>3.327</v>
          </cell>
          <cell r="BI146">
            <v>0.63800000000000001</v>
          </cell>
          <cell r="BJ146">
            <v>9.8294994903631672</v>
          </cell>
          <cell r="BK146">
            <v>9.5733070873869437</v>
          </cell>
          <cell r="BL146">
            <v>9.49068563328861</v>
          </cell>
          <cell r="BM146">
            <v>9.2442933993968488</v>
          </cell>
          <cell r="BN146">
            <v>9.5027711064657279</v>
          </cell>
          <cell r="BO146">
            <v>9.0186091050440726</v>
          </cell>
          <cell r="BP146">
            <v>8.3430143301184856</v>
          </cell>
          <cell r="BQ146">
            <v>7.2072322163383831</v>
          </cell>
          <cell r="BR146">
            <v>5.7053247585358919</v>
          </cell>
          <cell r="BS146">
            <v>4.49635683270873</v>
          </cell>
          <cell r="BT146">
            <v>4.0773049675220436</v>
          </cell>
          <cell r="BU146">
            <v>3.6109066488328825</v>
          </cell>
          <cell r="BV146">
            <v>3.0897311332724855</v>
          </cell>
          <cell r="BW146">
            <v>2.5486888944035289</v>
          </cell>
          <cell r="BX146">
            <v>1.7877246923602146</v>
          </cell>
          <cell r="BY146">
            <v>1.2087576217695544</v>
          </cell>
          <cell r="BZ146">
            <v>0.7551738303238823</v>
          </cell>
          <cell r="CA146">
            <v>0.33924848546027847</v>
          </cell>
          <cell r="CB146">
            <v>0.13557601580364892</v>
          </cell>
          <cell r="CC146">
            <v>3.1293243771845336E-2</v>
          </cell>
          <cell r="CD146">
            <v>4.5005068327788316E-3</v>
          </cell>
          <cell r="CE146">
            <v>8.6034538495113821</v>
          </cell>
          <cell r="CF146">
            <v>8.7541462420612906</v>
          </cell>
          <cell r="CG146">
            <v>8.7175800663398721</v>
          </cell>
          <cell r="CH146">
            <v>8.4459186638440134</v>
          </cell>
          <cell r="CI146">
            <v>8.2855532788174031</v>
          </cell>
          <cell r="CJ146">
            <v>7.9665961003626427</v>
          </cell>
          <cell r="CK146">
            <v>8.1303451459565252</v>
          </cell>
          <cell r="CL146">
            <v>7.6638779768980259</v>
          </cell>
          <cell r="CM146">
            <v>7.0768443151357801</v>
          </cell>
          <cell r="CN146">
            <v>6.0934695351051635</v>
          </cell>
          <cell r="CO146">
            <v>4.7435147554015931</v>
          </cell>
          <cell r="CP146">
            <v>3.6879384450507362</v>
          </cell>
          <cell r="CQ146">
            <v>3.306943296641371</v>
          </cell>
          <cell r="CR146">
            <v>2.8239854993163496</v>
          </cell>
          <cell r="CS146">
            <v>2.2734802772840657</v>
          </cell>
          <cell r="CT146">
            <v>1.7146479798036973</v>
          </cell>
          <cell r="CU146">
            <v>1.0072490839588073</v>
          </cell>
          <cell r="CV146">
            <v>0.47710871864925275</v>
          </cell>
          <cell r="CW146">
            <v>0.17745978915643706</v>
          </cell>
          <cell r="CX146">
            <v>4.1849214525337831E-2</v>
          </cell>
          <cell r="CY146">
            <v>8.0251875164308803E-3</v>
          </cell>
          <cell r="CZ146">
            <v>99.999999999999986</v>
          </cell>
          <cell r="DA146">
            <v>99.991962233819748</v>
          </cell>
        </row>
        <row r="147">
          <cell r="B147" t="str">
            <v>QAT</v>
          </cell>
          <cell r="C147" t="str">
            <v>Middle East &amp; North Africa</v>
          </cell>
          <cell r="D147" t="str">
            <v>High income</v>
          </cell>
          <cell r="G147">
            <v>0</v>
          </cell>
          <cell r="H147">
            <v>634</v>
          </cell>
          <cell r="I147">
            <v>2881.06</v>
          </cell>
          <cell r="J147">
            <v>2930.52</v>
          </cell>
          <cell r="K147">
            <v>2979.92</v>
          </cell>
          <cell r="L147">
            <v>3028.94</v>
          </cell>
          <cell r="M147">
            <v>3076.46</v>
          </cell>
          <cell r="N147">
            <v>3121.71</v>
          </cell>
          <cell r="O147">
            <v>3165.1</v>
          </cell>
          <cell r="P147">
            <v>3207.42</v>
          </cell>
          <cell r="Q147">
            <v>3248.61</v>
          </cell>
          <cell r="R147">
            <v>3288.49</v>
          </cell>
          <cell r="S147">
            <v>3326.89</v>
          </cell>
          <cell r="T147">
            <v>135.16200000000001</v>
          </cell>
          <cell r="U147">
            <v>135.374</v>
          </cell>
          <cell r="V147">
            <v>122.41800000000001</v>
          </cell>
          <cell r="W147">
            <v>105.982</v>
          </cell>
          <cell r="X147">
            <v>237.44300000000001</v>
          </cell>
          <cell r="Y147">
            <v>479.928</v>
          </cell>
          <cell r="Z147">
            <v>495.15199999999999</v>
          </cell>
          <cell r="AA147">
            <v>351.02800000000002</v>
          </cell>
          <cell r="AB147">
            <v>254.99799999999999</v>
          </cell>
          <cell r="AC147">
            <v>206.80199999999999</v>
          </cell>
          <cell r="AD147">
            <v>155.60400000000001</v>
          </cell>
          <cell r="AE147">
            <v>98.557000000000002</v>
          </cell>
          <cell r="AF147">
            <v>53.948999999999998</v>
          </cell>
          <cell r="AG147">
            <v>27.847000000000001</v>
          </cell>
          <cell r="AH147">
            <v>12.864000000000001</v>
          </cell>
          <cell r="AI147">
            <v>3.8610000000000002</v>
          </cell>
          <cell r="AJ147">
            <v>2.294</v>
          </cell>
          <cell r="AK147">
            <v>1.05</v>
          </cell>
          <cell r="AL147">
            <v>0.51600000000000001</v>
          </cell>
          <cell r="AM147">
            <v>0.14199999999999999</v>
          </cell>
          <cell r="AN147">
            <v>8.8999999999999996E-2</v>
          </cell>
          <cell r="AO147">
            <v>134.37899999999999</v>
          </cell>
          <cell r="AP147">
            <v>143.096</v>
          </cell>
          <cell r="AQ147">
            <v>145.65899999999999</v>
          </cell>
          <cell r="AR147">
            <v>148.36799999999999</v>
          </cell>
          <cell r="AS147">
            <v>229.81100000000001</v>
          </cell>
          <cell r="AT147">
            <v>386.00900000000001</v>
          </cell>
          <cell r="AU147">
            <v>450.96100000000001</v>
          </cell>
          <cell r="AV147">
            <v>425.53500000000003</v>
          </cell>
          <cell r="AW147">
            <v>348.36700000000002</v>
          </cell>
          <cell r="AX147">
            <v>256.79399999999998</v>
          </cell>
          <cell r="AY147">
            <v>192.047</v>
          </cell>
          <cell r="AZ147">
            <v>169.14</v>
          </cell>
          <cell r="BA147">
            <v>140.04900000000001</v>
          </cell>
          <cell r="BB147">
            <v>84.462999999999994</v>
          </cell>
          <cell r="BC147">
            <v>41.779000000000003</v>
          </cell>
          <cell r="BD147">
            <v>19.126000000000001</v>
          </cell>
          <cell r="BE147">
            <v>7.7960000000000003</v>
          </cell>
          <cell r="BF147">
            <v>2.04</v>
          </cell>
          <cell r="BG147">
            <v>1</v>
          </cell>
          <cell r="BH147">
            <v>0.33800000000000002</v>
          </cell>
          <cell r="BI147">
            <v>0.13100000000000001</v>
          </cell>
          <cell r="BJ147">
            <v>4.6913983047905985</v>
          </cell>
          <cell r="BK147">
            <v>4.6987567076006744</v>
          </cell>
          <cell r="BL147">
            <v>4.2490611094527706</v>
          </cell>
          <cell r="BM147">
            <v>3.6785766349885112</v>
          </cell>
          <cell r="BN147">
            <v>8.2415152756277212</v>
          </cell>
          <cell r="BO147">
            <v>16.65803558412529</v>
          </cell>
          <cell r="BP147">
            <v>17.186452208562127</v>
          </cell>
          <cell r="BQ147">
            <v>12.183987837809696</v>
          </cell>
          <cell r="BR147">
            <v>8.8508396215281877</v>
          </cell>
          <cell r="BS147">
            <v>7.177983103441095</v>
          </cell>
          <cell r="BT147">
            <v>5.4009288248075364</v>
          </cell>
          <cell r="BU147">
            <v>3.4208589893997354</v>
          </cell>
          <cell r="BV147">
            <v>1.8725399679284709</v>
          </cell>
          <cell r="BW147">
            <v>0.96655397666136778</v>
          </cell>
          <cell r="BX147">
            <v>0.44650232900390835</v>
          </cell>
          <cell r="BY147">
            <v>0.13401317570616372</v>
          </cell>
          <cell r="BZ147">
            <v>7.9623471916586253E-2</v>
          </cell>
          <cell r="CA147">
            <v>3.6444919578210798E-2</v>
          </cell>
          <cell r="CB147">
            <v>1.7910074764149304E-2</v>
          </cell>
          <cell r="CC147">
            <v>4.9287415048627934E-3</v>
          </cell>
          <cell r="CD147">
            <v>3.089140802343582E-3</v>
          </cell>
          <cell r="CE147">
            <v>4.0391777305531589</v>
          </cell>
          <cell r="CF147">
            <v>4.3011942084048469</v>
          </cell>
          <cell r="CG147">
            <v>4.3782331246299089</v>
          </cell>
          <cell r="CH147">
            <v>4.4596605237924907</v>
          </cell>
          <cell r="CI147">
            <v>6.9076825503698664</v>
          </cell>
          <cell r="CJ147">
            <v>11.602698015263506</v>
          </cell>
          <cell r="CK147">
            <v>13.555031876617502</v>
          </cell>
          <cell r="CL147">
            <v>12.790774567238472</v>
          </cell>
          <cell r="CM147">
            <v>10.47125092804391</v>
          </cell>
          <cell r="CN147">
            <v>7.7187403250483175</v>
          </cell>
          <cell r="CO147">
            <v>5.7725683746682339</v>
          </cell>
          <cell r="CP147">
            <v>5.0840274250125486</v>
          </cell>
          <cell r="CQ147">
            <v>4.2096071706608882</v>
          </cell>
          <cell r="CR147">
            <v>2.5387974955589154</v>
          </cell>
          <cell r="CS147">
            <v>1.2557974564833825</v>
          </cell>
          <cell r="CT147">
            <v>0.57489126481488728</v>
          </cell>
          <cell r="CU147">
            <v>0.23433296562254841</v>
          </cell>
          <cell r="CV147">
            <v>6.1318528716008049E-2</v>
          </cell>
          <cell r="CW147">
            <v>3.0058102311768649E-2</v>
          </cell>
          <cell r="CX147">
            <v>1.0159638581377804E-2</v>
          </cell>
          <cell r="CY147">
            <v>3.9376114028416937E-3</v>
          </cell>
          <cell r="CZ147">
            <v>100.00000000000001</v>
          </cell>
          <cell r="DA147">
            <v>99.996002272392531</v>
          </cell>
        </row>
        <row r="148">
          <cell r="B148" t="str">
            <v>ROU</v>
          </cell>
          <cell r="C148" t="str">
            <v>Europe &amp; Central Asia</v>
          </cell>
          <cell r="D148" t="str">
            <v>Upper middle income</v>
          </cell>
          <cell r="E148" t="str">
            <v>IBRD</v>
          </cell>
          <cell r="G148">
            <v>0</v>
          </cell>
          <cell r="H148">
            <v>642</v>
          </cell>
          <cell r="I148">
            <v>19237.7</v>
          </cell>
          <cell r="J148">
            <v>19127.8</v>
          </cell>
          <cell r="K148">
            <v>19031.3</v>
          </cell>
          <cell r="L148">
            <v>18944.099999999999</v>
          </cell>
          <cell r="M148">
            <v>18859.599999999999</v>
          </cell>
          <cell r="N148">
            <v>18772.900000000001</v>
          </cell>
          <cell r="O148">
            <v>18682.900000000001</v>
          </cell>
          <cell r="P148">
            <v>18590.7</v>
          </cell>
          <cell r="Q148">
            <v>18496.7</v>
          </cell>
          <cell r="R148">
            <v>18401.599999999999</v>
          </cell>
          <cell r="S148">
            <v>18306.099999999999</v>
          </cell>
          <cell r="T148">
            <v>939.60599999999999</v>
          </cell>
          <cell r="U148">
            <v>965.44100000000003</v>
          </cell>
          <cell r="V148">
            <v>1080.76</v>
          </cell>
          <cell r="W148">
            <v>994.54499999999996</v>
          </cell>
          <cell r="X148">
            <v>1009.88</v>
          </cell>
          <cell r="Y148">
            <v>1076.3900000000001</v>
          </cell>
          <cell r="Z148">
            <v>1396.16</v>
          </cell>
          <cell r="AA148">
            <v>1189.74</v>
          </cell>
          <cell r="AB148">
            <v>1523.5</v>
          </cell>
          <cell r="AC148">
            <v>1502.97</v>
          </cell>
          <cell r="AD148">
            <v>1526.15</v>
          </cell>
          <cell r="AE148">
            <v>1043.01</v>
          </cell>
          <cell r="AF148">
            <v>1289.96</v>
          </cell>
          <cell r="AG148">
            <v>1245.99</v>
          </cell>
          <cell r="AH148">
            <v>927.45799999999997</v>
          </cell>
          <cell r="AI148">
            <v>602.81100000000004</v>
          </cell>
          <cell r="AJ148">
            <v>536.99</v>
          </cell>
          <cell r="AK148">
            <v>274.61200000000002</v>
          </cell>
          <cell r="AL148">
            <v>93.692999999999998</v>
          </cell>
          <cell r="AM148">
            <v>16.864999999999998</v>
          </cell>
          <cell r="AN148">
            <v>1.1619999999999999</v>
          </cell>
          <cell r="AO148">
            <v>835.03200000000004</v>
          </cell>
          <cell r="AP148">
            <v>872.64300000000003</v>
          </cell>
          <cell r="AQ148">
            <v>933.79600000000005</v>
          </cell>
          <cell r="AR148">
            <v>959.20899999999995</v>
          </cell>
          <cell r="AS148">
            <v>1066.49</v>
          </cell>
          <cell r="AT148">
            <v>971.22</v>
          </cell>
          <cell r="AU148">
            <v>983.59799999999996</v>
          </cell>
          <cell r="AV148">
            <v>1051.82</v>
          </cell>
          <cell r="AW148">
            <v>1367.85</v>
          </cell>
          <cell r="AX148">
            <v>1157.5999999999999</v>
          </cell>
          <cell r="AY148">
            <v>1466.11</v>
          </cell>
          <cell r="AZ148">
            <v>1410.95</v>
          </cell>
          <cell r="BA148">
            <v>1379.07</v>
          </cell>
          <cell r="BB148">
            <v>901.50400000000002</v>
          </cell>
          <cell r="BC148">
            <v>1056.8399999999999</v>
          </cell>
          <cell r="BD148">
            <v>922.91700000000003</v>
          </cell>
          <cell r="BE148">
            <v>560.94799999999998</v>
          </cell>
          <cell r="BF148">
            <v>253.16300000000001</v>
          </cell>
          <cell r="BG148">
            <v>125.02500000000001</v>
          </cell>
          <cell r="BH148">
            <v>27.196000000000002</v>
          </cell>
          <cell r="BI148">
            <v>3.1160000000000001</v>
          </cell>
          <cell r="BJ148">
            <v>4.8841909375860935</v>
          </cell>
          <cell r="BK148">
            <v>5.0184845381724426</v>
          </cell>
          <cell r="BL148">
            <v>5.6179272990014395</v>
          </cell>
          <cell r="BM148">
            <v>5.1697708145984187</v>
          </cell>
          <cell r="BN148">
            <v>5.2494840859354284</v>
          </cell>
          <cell r="BO148">
            <v>5.5952114857805251</v>
          </cell>
          <cell r="BP148">
            <v>7.2574164271196659</v>
          </cell>
          <cell r="BQ148">
            <v>6.1844191353436218</v>
          </cell>
          <cell r="BR148">
            <v>7.9193458677492625</v>
          </cell>
          <cell r="BS148">
            <v>7.8126283287503178</v>
          </cell>
          <cell r="BT148">
            <v>7.9331209032264773</v>
          </cell>
          <cell r="BU148">
            <v>5.4216980200335794</v>
          </cell>
          <cell r="BV148">
            <v>6.7053753827120701</v>
          </cell>
          <cell r="BW148">
            <v>6.4768137563222208</v>
          </cell>
          <cell r="BX148">
            <v>4.8210440957079062</v>
          </cell>
          <cell r="BY148">
            <v>3.1334878909640964</v>
          </cell>
          <cell r="BZ148">
            <v>2.7913420003430764</v>
          </cell>
          <cell r="CA148">
            <v>1.4274679405542243</v>
          </cell>
          <cell r="CB148">
            <v>0.48702807508174051</v>
          </cell>
          <cell r="CC148">
            <v>8.7666405027628028E-2</v>
          </cell>
          <cell r="CD148">
            <v>6.0402231035934645E-3</v>
          </cell>
          <cell r="CE148">
            <v>4.5614958948110198</v>
          </cell>
          <cell r="CF148">
            <v>4.7669519996066887</v>
          </cell>
          <cell r="CG148">
            <v>5.1010100458317176</v>
          </cell>
          <cell r="CH148">
            <v>5.2398326240979785</v>
          </cell>
          <cell r="CI148">
            <v>5.8258722502335294</v>
          </cell>
          <cell r="CJ148">
            <v>5.3054446332096958</v>
          </cell>
          <cell r="CK148">
            <v>5.3730614385368813</v>
          </cell>
          <cell r="CL148">
            <v>5.7457350282146384</v>
          </cell>
          <cell r="CM148">
            <v>7.4720994641130547</v>
          </cell>
          <cell r="CN148">
            <v>6.3235752017087199</v>
          </cell>
          <cell r="CO148">
            <v>8.0088604344999759</v>
          </cell>
          <cell r="CP148">
            <v>7.7075401095809601</v>
          </cell>
          <cell r="CQ148">
            <v>7.5333905091745379</v>
          </cell>
          <cell r="CR148">
            <v>4.9246098295103824</v>
          </cell>
          <cell r="CS148">
            <v>5.7731575813526641</v>
          </cell>
          <cell r="CT148">
            <v>5.0415817678260257</v>
          </cell>
          <cell r="CU148">
            <v>3.0642681947547539</v>
          </cell>
          <cell r="CV148">
            <v>1.3829433904545481</v>
          </cell>
          <cell r="CW148">
            <v>0.68296906495649001</v>
          </cell>
          <cell r="CX148">
            <v>0.14856250102424876</v>
          </cell>
          <cell r="CY148">
            <v>1.7021648521531076E-2</v>
          </cell>
          <cell r="CZ148">
            <v>99.99996361311382</v>
          </cell>
          <cell r="DA148">
            <v>99.982961963498525</v>
          </cell>
        </row>
        <row r="149">
          <cell r="B149" t="str">
            <v>RUS</v>
          </cell>
          <cell r="C149" t="str">
            <v>Europe &amp; Central Asia</v>
          </cell>
          <cell r="D149" t="str">
            <v>Upper middle income</v>
          </cell>
          <cell r="E149" t="str">
            <v>IBRD</v>
          </cell>
          <cell r="G149">
            <v>0</v>
          </cell>
          <cell r="H149">
            <v>643</v>
          </cell>
          <cell r="I149">
            <v>145934</v>
          </cell>
          <cell r="J149">
            <v>145912</v>
          </cell>
          <cell r="K149">
            <v>145806</v>
          </cell>
          <cell r="L149">
            <v>145629</v>
          </cell>
          <cell r="M149">
            <v>145399</v>
          </cell>
          <cell r="N149">
            <v>145133</v>
          </cell>
          <cell r="O149">
            <v>144834</v>
          </cell>
          <cell r="P149">
            <v>144503</v>
          </cell>
          <cell r="Q149">
            <v>144142</v>
          </cell>
          <cell r="R149">
            <v>143756</v>
          </cell>
          <cell r="S149">
            <v>143348</v>
          </cell>
          <cell r="T149">
            <v>9271.69</v>
          </cell>
          <cell r="U149">
            <v>9350.92</v>
          </cell>
          <cell r="V149">
            <v>8174.26</v>
          </cell>
          <cell r="W149">
            <v>7081.77</v>
          </cell>
          <cell r="X149">
            <v>6614.7</v>
          </cell>
          <cell r="Y149">
            <v>8993.09</v>
          </cell>
          <cell r="Z149">
            <v>12543.8</v>
          </cell>
          <cell r="AA149">
            <v>11924.7</v>
          </cell>
          <cell r="AB149">
            <v>10604.6</v>
          </cell>
          <cell r="AC149">
            <v>9770.68</v>
          </cell>
          <cell r="AD149">
            <v>8479.65</v>
          </cell>
          <cell r="AE149">
            <v>10418</v>
          </cell>
          <cell r="AF149">
            <v>10073.6</v>
          </cell>
          <cell r="AG149">
            <v>8427.75</v>
          </cell>
          <cell r="AH149">
            <v>5390.38</v>
          </cell>
          <cell r="AI149">
            <v>3159.34</v>
          </cell>
          <cell r="AJ149">
            <v>3485.78</v>
          </cell>
          <cell r="AK149">
            <v>1389.64</v>
          </cell>
          <cell r="AL149">
            <v>668.33799999999997</v>
          </cell>
          <cell r="AM149">
            <v>102.24299999999999</v>
          </cell>
          <cell r="AN149">
            <v>9.407</v>
          </cell>
          <cell r="AO149">
            <v>7369.58</v>
          </cell>
          <cell r="AP149">
            <v>8232.16</v>
          </cell>
          <cell r="AQ149">
            <v>9275.15</v>
          </cell>
          <cell r="AR149">
            <v>9387.02</v>
          </cell>
          <cell r="AS149">
            <v>8270.5400000000009</v>
          </cell>
          <cell r="AT149">
            <v>7184.42</v>
          </cell>
          <cell r="AU149">
            <v>6650.17</v>
          </cell>
          <cell r="AV149">
            <v>8853.92</v>
          </cell>
          <cell r="AW149">
            <v>12131</v>
          </cell>
          <cell r="AX149">
            <v>11394.6</v>
          </cell>
          <cell r="AY149">
            <v>9992.66</v>
          </cell>
          <cell r="AZ149">
            <v>8988.8700000000008</v>
          </cell>
          <cell r="BA149">
            <v>7516.73</v>
          </cell>
          <cell r="BB149">
            <v>8752.93</v>
          </cell>
          <cell r="BC149">
            <v>7896.58</v>
          </cell>
          <cell r="BD149">
            <v>5913.87</v>
          </cell>
          <cell r="BE149">
            <v>3086.08</v>
          </cell>
          <cell r="BF149">
            <v>1319.51</v>
          </cell>
          <cell r="BG149">
            <v>911.755</v>
          </cell>
          <cell r="BH149">
            <v>184.63200000000001</v>
          </cell>
          <cell r="BI149">
            <v>35.354999999999997</v>
          </cell>
          <cell r="BJ149">
            <v>6.3533446626557213</v>
          </cell>
          <cell r="BK149">
            <v>6.4076363287513534</v>
          </cell>
          <cell r="BL149">
            <v>5.6013403319308726</v>
          </cell>
          <cell r="BM149">
            <v>4.8527210930968794</v>
          </cell>
          <cell r="BN149">
            <v>4.5326654515054754</v>
          </cell>
          <cell r="BO149">
            <v>6.1624364438718873</v>
          </cell>
          <cell r="BP149">
            <v>8.5955294859319959</v>
          </cell>
          <cell r="BQ149">
            <v>8.1712966135376277</v>
          </cell>
          <cell r="BR149">
            <v>7.2667096084531373</v>
          </cell>
          <cell r="BS149">
            <v>6.6952732056957256</v>
          </cell>
          <cell r="BT149">
            <v>5.8106061644304958</v>
          </cell>
          <cell r="BU149">
            <v>7.1388435868269218</v>
          </cell>
          <cell r="BV149">
            <v>6.9028464922499211</v>
          </cell>
          <cell r="BW149">
            <v>5.7750421423383171</v>
          </cell>
          <cell r="BX149">
            <v>3.6937108555922542</v>
          </cell>
          <cell r="BY149">
            <v>2.1649101648690503</v>
          </cell>
          <cell r="BZ149">
            <v>2.3886003261748461</v>
          </cell>
          <cell r="CA149">
            <v>0.95223868324036898</v>
          </cell>
          <cell r="CB149">
            <v>0.45797278221661847</v>
          </cell>
          <cell r="CC149">
            <v>7.0061123521591953E-2</v>
          </cell>
          <cell r="CD149">
            <v>6.4460646593665627E-3</v>
          </cell>
          <cell r="CE149">
            <v>5.1410413818120935</v>
          </cell>
          <cell r="CF149">
            <v>5.7427798085777271</v>
          </cell>
          <cell r="CG149">
            <v>6.4703727990624209</v>
          </cell>
          <cell r="CH149">
            <v>6.5484136506962081</v>
          </cell>
          <cell r="CI149">
            <v>5.7695538130981951</v>
          </cell>
          <cell r="CJ149">
            <v>5.0118732036721827</v>
          </cell>
          <cell r="CK149">
            <v>4.6391787817060584</v>
          </cell>
          <cell r="CL149">
            <v>6.1765214722214479</v>
          </cell>
          <cell r="CM149">
            <v>8.4626224293328125</v>
          </cell>
          <cell r="CN149">
            <v>7.9489075536456735</v>
          </cell>
          <cell r="CO149">
            <v>6.9709099534001169</v>
          </cell>
          <cell r="CP149">
            <v>6.2706630019253851</v>
          </cell>
          <cell r="CQ149">
            <v>5.2436936685548456</v>
          </cell>
          <cell r="CR149">
            <v>6.1060705416189975</v>
          </cell>
          <cell r="CS149">
            <v>5.5086781817674471</v>
          </cell>
          <cell r="CT149">
            <v>4.1255336663225162</v>
          </cell>
          <cell r="CU149">
            <v>2.1528587772413985</v>
          </cell>
          <cell r="CV149">
            <v>0.92049418199068</v>
          </cell>
          <cell r="CW149">
            <v>0.63604305605937994</v>
          </cell>
          <cell r="CX149">
            <v>0.12879984373691994</v>
          </cell>
          <cell r="CY149">
            <v>2.4663755336663221E-2</v>
          </cell>
          <cell r="CZ149">
            <v>100.00023161155046</v>
          </cell>
          <cell r="DA149">
            <v>99.975009766442469</v>
          </cell>
        </row>
        <row r="150">
          <cell r="B150" t="str">
            <v>RWA</v>
          </cell>
          <cell r="C150" t="str">
            <v>Sub-Saharan Africa</v>
          </cell>
          <cell r="D150" t="str">
            <v>Low income</v>
          </cell>
          <cell r="E150" t="str">
            <v>IDA</v>
          </cell>
          <cell r="F150" t="str">
            <v>HIPC</v>
          </cell>
          <cell r="G150">
            <v>1</v>
          </cell>
          <cell r="H150">
            <v>646</v>
          </cell>
          <cell r="I150">
            <v>12952.2</v>
          </cell>
          <cell r="J150">
            <v>13276.5</v>
          </cell>
          <cell r="K150">
            <v>13600.5</v>
          </cell>
          <cell r="L150">
            <v>13924.5</v>
          </cell>
          <cell r="M150">
            <v>14249.7</v>
          </cell>
          <cell r="N150">
            <v>14577</v>
          </cell>
          <cell r="O150">
            <v>14906</v>
          </cell>
          <cell r="P150">
            <v>15236.3</v>
          </cell>
          <cell r="Q150">
            <v>15567.7</v>
          </cell>
          <cell r="R150">
            <v>15900.4</v>
          </cell>
          <cell r="S150">
            <v>16234.4</v>
          </cell>
          <cell r="T150">
            <v>1885.1</v>
          </cell>
          <cell r="U150">
            <v>1675.92</v>
          </cell>
          <cell r="V150">
            <v>1551.77</v>
          </cell>
          <cell r="W150">
            <v>1354.03</v>
          </cell>
          <cell r="X150">
            <v>1183.56</v>
          </cell>
          <cell r="Y150">
            <v>1027.48</v>
          </cell>
          <cell r="Z150">
            <v>978.57799999999997</v>
          </cell>
          <cell r="AA150">
            <v>833.976</v>
          </cell>
          <cell r="AB150">
            <v>609.13199999999995</v>
          </cell>
          <cell r="AC150">
            <v>460.96199999999999</v>
          </cell>
          <cell r="AD150">
            <v>354.41899999999998</v>
          </cell>
          <cell r="AE150">
            <v>374.02800000000002</v>
          </cell>
          <cell r="AF150">
            <v>259.23700000000002</v>
          </cell>
          <cell r="AG150">
            <v>185.917</v>
          </cell>
          <cell r="AH150">
            <v>109.464</v>
          </cell>
          <cell r="AI150">
            <v>65.352999999999994</v>
          </cell>
          <cell r="AJ150">
            <v>25.693999999999999</v>
          </cell>
          <cell r="AK150">
            <v>15.602</v>
          </cell>
          <cell r="AL150">
            <v>1.6830000000000001</v>
          </cell>
          <cell r="AM150">
            <v>0.29599999999999999</v>
          </cell>
          <cell r="AN150">
            <v>7.0000000000000001E-3</v>
          </cell>
          <cell r="AO150">
            <v>2021.84</v>
          </cell>
          <cell r="AP150">
            <v>1943.49</v>
          </cell>
          <cell r="AQ150">
            <v>1866.44</v>
          </cell>
          <cell r="AR150">
            <v>1658.79</v>
          </cell>
          <cell r="AS150">
            <v>1522.63</v>
          </cell>
          <cell r="AT150">
            <v>1316.74</v>
          </cell>
          <cell r="AU150">
            <v>1146.6099999999999</v>
          </cell>
          <cell r="AV150">
            <v>993.13</v>
          </cell>
          <cell r="AW150">
            <v>942.46400000000006</v>
          </cell>
          <cell r="AX150">
            <v>797.303</v>
          </cell>
          <cell r="AY150">
            <v>574.31200000000001</v>
          </cell>
          <cell r="AZ150">
            <v>425.46499999999997</v>
          </cell>
          <cell r="BA150">
            <v>316.2</v>
          </cell>
          <cell r="BB150">
            <v>314.98200000000003</v>
          </cell>
          <cell r="BC150">
            <v>197.65799999999999</v>
          </cell>
          <cell r="BD150">
            <v>120.04</v>
          </cell>
          <cell r="BE150">
            <v>53.225999999999999</v>
          </cell>
          <cell r="BF150">
            <v>19.363</v>
          </cell>
          <cell r="BG150">
            <v>3.19</v>
          </cell>
          <cell r="BH150">
            <v>0.49199999999999999</v>
          </cell>
          <cell r="BI150">
            <v>1.0999999999999999E-2</v>
          </cell>
          <cell r="BJ150">
            <v>14.554284214264756</v>
          </cell>
          <cell r="BK150">
            <v>12.939269004493445</v>
          </cell>
          <cell r="BL150">
            <v>11.980744583931687</v>
          </cell>
          <cell r="BM150">
            <v>10.454054137521037</v>
          </cell>
          <cell r="BN150">
            <v>9.1379070737017631</v>
          </cell>
          <cell r="BO150">
            <v>7.9328608267321385</v>
          </cell>
          <cell r="BP150">
            <v>7.5553033461496888</v>
          </cell>
          <cell r="BQ150">
            <v>6.4388752489924483</v>
          </cell>
          <cell r="BR150">
            <v>4.7029230555426871</v>
          </cell>
          <cell r="BS150">
            <v>3.5589475147079259</v>
          </cell>
          <cell r="BT150">
            <v>2.7363613903429531</v>
          </cell>
          <cell r="BU150">
            <v>2.8877565201278546</v>
          </cell>
          <cell r="BV150">
            <v>2.0014900943469067</v>
          </cell>
          <cell r="BW150">
            <v>1.435408656444465</v>
          </cell>
          <cell r="BX150">
            <v>0.84513827766711447</v>
          </cell>
          <cell r="BY150">
            <v>0.5045706520899923</v>
          </cell>
          <cell r="BZ150">
            <v>0.19837556554098915</v>
          </cell>
          <cell r="CA150">
            <v>0.1204583005203749</v>
          </cell>
          <cell r="CB150">
            <v>1.2993931532867002E-2</v>
          </cell>
          <cell r="CC150">
            <v>2.2853260449962167E-3</v>
          </cell>
          <cell r="CD150">
            <v>5.4044872685721342E-5</v>
          </cell>
          <cell r="CE150">
            <v>12.454048193958506</v>
          </cell>
          <cell r="CF150">
            <v>11.97143103533238</v>
          </cell>
          <cell r="CG150">
            <v>11.496821564086138</v>
          </cell>
          <cell r="CH150">
            <v>10.217747499137634</v>
          </cell>
          <cell r="CI150">
            <v>9.3790346424875572</v>
          </cell>
          <cell r="CJ150">
            <v>8.1108017542995121</v>
          </cell>
          <cell r="CK150">
            <v>7.0628418666535255</v>
          </cell>
          <cell r="CL150">
            <v>6.1174419750652937</v>
          </cell>
          <cell r="CM150">
            <v>5.8053515990735729</v>
          </cell>
          <cell r="CN150">
            <v>4.9111947469570785</v>
          </cell>
          <cell r="CO150">
            <v>3.5376238111664118</v>
          </cell>
          <cell r="CP150">
            <v>2.6207620854481841</v>
          </cell>
          <cell r="CQ150">
            <v>1.9477159611688759</v>
          </cell>
          <cell r="CR150">
            <v>1.9402133740698764</v>
          </cell>
          <cell r="CS150">
            <v>1.217525747794806</v>
          </cell>
          <cell r="CT150">
            <v>0.73941753313950631</v>
          </cell>
          <cell r="CU150">
            <v>0.32785936037057117</v>
          </cell>
          <cell r="CV150">
            <v>0.11927142364362095</v>
          </cell>
          <cell r="CW150">
            <v>1.9649632878332428E-2</v>
          </cell>
          <cell r="CX150">
            <v>3.0306016853102057E-3</v>
          </cell>
          <cell r="CY150">
            <v>6.7757354752870453E-5</v>
          </cell>
          <cell r="CZ150">
            <v>100.00006176556874</v>
          </cell>
          <cell r="DA150">
            <v>99.999784408416687</v>
          </cell>
        </row>
        <row r="151">
          <cell r="B151" t="str">
            <v>SAU</v>
          </cell>
          <cell r="C151" t="str">
            <v>Middle East &amp; North Africa</v>
          </cell>
          <cell r="D151" t="str">
            <v>High income</v>
          </cell>
          <cell r="G151">
            <v>0</v>
          </cell>
          <cell r="H151">
            <v>682</v>
          </cell>
          <cell r="I151">
            <v>34813.9</v>
          </cell>
          <cell r="J151">
            <v>35340.699999999997</v>
          </cell>
          <cell r="K151">
            <v>35844.9</v>
          </cell>
          <cell r="L151">
            <v>36329.4</v>
          </cell>
          <cell r="M151">
            <v>36796.699999999997</v>
          </cell>
          <cell r="N151">
            <v>37248.9</v>
          </cell>
          <cell r="O151">
            <v>37688.1</v>
          </cell>
          <cell r="P151">
            <v>38115.300000000003</v>
          </cell>
          <cell r="Q151">
            <v>38530.699999999997</v>
          </cell>
          <cell r="R151">
            <v>38933.199999999997</v>
          </cell>
          <cell r="S151">
            <v>39322.300000000003</v>
          </cell>
          <cell r="T151">
            <v>2978.34</v>
          </cell>
          <cell r="U151">
            <v>2977.88</v>
          </cell>
          <cell r="V151">
            <v>2641.5</v>
          </cell>
          <cell r="W151">
            <v>2218.7800000000002</v>
          </cell>
          <cell r="X151">
            <v>2333.13</v>
          </cell>
          <cell r="Y151">
            <v>3021.63</v>
          </cell>
          <cell r="Z151">
            <v>3437.94</v>
          </cell>
          <cell r="AA151">
            <v>3542.43</v>
          </cell>
          <cell r="AB151">
            <v>3577.56</v>
          </cell>
          <cell r="AC151">
            <v>2831.23</v>
          </cell>
          <cell r="AD151">
            <v>1891.75</v>
          </cell>
          <cell r="AE151">
            <v>1324.83</v>
          </cell>
          <cell r="AF151">
            <v>818.93700000000001</v>
          </cell>
          <cell r="AG151">
            <v>554.58399999999995</v>
          </cell>
          <cell r="AH151">
            <v>293.041</v>
          </cell>
          <cell r="AI151">
            <v>200.815</v>
          </cell>
          <cell r="AJ151">
            <v>106.173</v>
          </cell>
          <cell r="AK151">
            <v>45.012999999999998</v>
          </cell>
          <cell r="AL151">
            <v>14.923999999999999</v>
          </cell>
          <cell r="AM151">
            <v>3.0880000000000001</v>
          </cell>
          <cell r="AN151">
            <v>0.311</v>
          </cell>
          <cell r="AO151">
            <v>2574.7800000000002</v>
          </cell>
          <cell r="AP151">
            <v>2794.35</v>
          </cell>
          <cell r="AQ151">
            <v>2948.49</v>
          </cell>
          <cell r="AR151">
            <v>2944.97</v>
          </cell>
          <cell r="AS151">
            <v>2755.54</v>
          </cell>
          <cell r="AT151">
            <v>2681.4</v>
          </cell>
          <cell r="AU151">
            <v>2972.15</v>
          </cell>
          <cell r="AV151">
            <v>3425.23</v>
          </cell>
          <cell r="AW151">
            <v>3385.56</v>
          </cell>
          <cell r="AX151">
            <v>3198.3</v>
          </cell>
          <cell r="AY151">
            <v>3117.95</v>
          </cell>
          <cell r="AZ151">
            <v>2458.4899999999998</v>
          </cell>
          <cell r="BA151">
            <v>1686.41</v>
          </cell>
          <cell r="BB151">
            <v>1133.47</v>
          </cell>
          <cell r="BC151">
            <v>633.21100000000001</v>
          </cell>
          <cell r="BD151">
            <v>363.17700000000002</v>
          </cell>
          <cell r="BE151">
            <v>151.29</v>
          </cell>
          <cell r="BF151">
            <v>70.53</v>
          </cell>
          <cell r="BG151">
            <v>21.827999999999999</v>
          </cell>
          <cell r="BH151">
            <v>4.6230000000000002</v>
          </cell>
          <cell r="BI151">
            <v>0.59199999999999997</v>
          </cell>
          <cell r="BJ151">
            <v>8.555031180074625</v>
          </cell>
          <cell r="BK151">
            <v>8.5537098687593165</v>
          </cell>
          <cell r="BL151">
            <v>7.5874866073608525</v>
          </cell>
          <cell r="BM151">
            <v>6.3732589569108891</v>
          </cell>
          <cell r="BN151">
            <v>6.7017197154010315</v>
          </cell>
          <cell r="BO151">
            <v>8.6793780645087164</v>
          </cell>
          <cell r="BP151">
            <v>9.8751935290214536</v>
          </cell>
          <cell r="BQ151">
            <v>10.17533226670956</v>
          </cell>
          <cell r="BR151">
            <v>10.276240237376449</v>
          </cell>
          <cell r="BS151">
            <v>8.1324700766073317</v>
          </cell>
          <cell r="BT151">
            <v>5.4338927842040103</v>
          </cell>
          <cell r="BU151">
            <v>3.8054627605640277</v>
          </cell>
          <cell r="BV151">
            <v>2.3523276622268692</v>
          </cell>
          <cell r="BW151">
            <v>1.5929959010625063</v>
          </cell>
          <cell r="BX151">
            <v>0.84173562858513395</v>
          </cell>
          <cell r="BY151">
            <v>0.57682419952949826</v>
          </cell>
          <cell r="BZ151">
            <v>0.30497301365259277</v>
          </cell>
          <cell r="CA151">
            <v>0.12929605703469016</v>
          </cell>
          <cell r="CB151">
            <v>4.2867934934034971E-2</v>
          </cell>
          <cell r="CC151">
            <v>8.8700203079804339E-3</v>
          </cell>
          <cell r="CD151">
            <v>8.9332134578429874E-4</v>
          </cell>
          <cell r="CE151">
            <v>6.5478875854159098</v>
          </cell>
          <cell r="CF151">
            <v>7.106273030824747</v>
          </cell>
          <cell r="CG151">
            <v>7.4982643436421563</v>
          </cell>
          <cell r="CH151">
            <v>7.4893126800822927</v>
          </cell>
          <cell r="CI151">
            <v>7.0075758539047808</v>
          </cell>
          <cell r="CJ151">
            <v>6.8190314401751673</v>
          </cell>
          <cell r="CK151">
            <v>7.558433764047372</v>
          </cell>
          <cell r="CL151">
            <v>8.7106552770310977</v>
          </cell>
          <cell r="CM151">
            <v>8.6097710459459389</v>
          </cell>
          <cell r="CN151">
            <v>8.1335527169061823</v>
          </cell>
          <cell r="CO151">
            <v>7.9292157376348777</v>
          </cell>
          <cell r="CP151">
            <v>6.2521520867294118</v>
          </cell>
          <cell r="CQ151">
            <v>4.2886860636331035</v>
          </cell>
          <cell r="CR151">
            <v>2.882511958863037</v>
          </cell>
          <cell r="CS151">
            <v>1.6103101802285216</v>
          </cell>
          <cell r="CT151">
            <v>0.9235904308751014</v>
          </cell>
          <cell r="CU151">
            <v>0.38474351703740622</v>
          </cell>
          <cell r="CV151">
            <v>0.17936387240827723</v>
          </cell>
          <cell r="CW151">
            <v>5.5510486416104857E-2</v>
          </cell>
          <cell r="CX151">
            <v>1.1756687681035952E-2</v>
          </cell>
          <cell r="CY151">
            <v>1.5055070532496826E-3</v>
          </cell>
          <cell r="CZ151">
            <v>99.999959786177357</v>
          </cell>
          <cell r="DA151">
            <v>99.998598759482519</v>
          </cell>
        </row>
        <row r="152">
          <cell r="B152" t="str">
            <v>SDN</v>
          </cell>
          <cell r="C152" t="str">
            <v>Sub-Saharan Africa</v>
          </cell>
          <cell r="D152" t="str">
            <v>Low income</v>
          </cell>
          <cell r="E152" t="str">
            <v>IDA</v>
          </cell>
          <cell r="F152" t="str">
            <v>HIPC</v>
          </cell>
          <cell r="G152">
            <v>0</v>
          </cell>
          <cell r="H152">
            <v>729</v>
          </cell>
          <cell r="I152">
            <v>43849.3</v>
          </cell>
          <cell r="J152">
            <v>44909.4</v>
          </cell>
          <cell r="K152">
            <v>45992</v>
          </cell>
          <cell r="L152">
            <v>47095.3</v>
          </cell>
          <cell r="M152">
            <v>48216.4</v>
          </cell>
          <cell r="N152">
            <v>49353.5</v>
          </cell>
          <cell r="O152">
            <v>50505.2</v>
          </cell>
          <cell r="P152">
            <v>51671.3</v>
          </cell>
          <cell r="Q152">
            <v>52851.4</v>
          </cell>
          <cell r="R152">
            <v>54045.599999999999</v>
          </cell>
          <cell r="S152">
            <v>55253.5</v>
          </cell>
          <cell r="T152">
            <v>6339.08</v>
          </cell>
          <cell r="U152">
            <v>5789.73</v>
          </cell>
          <cell r="V152">
            <v>5322.92</v>
          </cell>
          <cell r="W152">
            <v>4800.7299999999996</v>
          </cell>
          <cell r="X152">
            <v>4159.3900000000003</v>
          </cell>
          <cell r="Y152">
            <v>3467.77</v>
          </cell>
          <cell r="Z152">
            <v>2799.33</v>
          </cell>
          <cell r="AA152">
            <v>2403.91</v>
          </cell>
          <cell r="AB152">
            <v>2026.89</v>
          </cell>
          <cell r="AC152">
            <v>1700.43</v>
          </cell>
          <cell r="AD152">
            <v>1424.56</v>
          </cell>
          <cell r="AE152">
            <v>1128.4000000000001</v>
          </cell>
          <cell r="AF152">
            <v>875.05600000000004</v>
          </cell>
          <cell r="AG152">
            <v>660.904</v>
          </cell>
          <cell r="AH152">
            <v>455.13</v>
          </cell>
          <cell r="AI152">
            <v>277.92099999999999</v>
          </cell>
          <cell r="AJ152">
            <v>142.87299999999999</v>
          </cell>
          <cell r="AK152">
            <v>55.962000000000003</v>
          </cell>
          <cell r="AL152">
            <v>15.291</v>
          </cell>
          <cell r="AM152">
            <v>2.714</v>
          </cell>
          <cell r="AN152">
            <v>0.28199999999999997</v>
          </cell>
          <cell r="AO152">
            <v>7362.64</v>
          </cell>
          <cell r="AP152">
            <v>6729.03</v>
          </cell>
          <cell r="AQ152">
            <v>6189.03</v>
          </cell>
          <cell r="AR152">
            <v>5696.99</v>
          </cell>
          <cell r="AS152">
            <v>5223.26</v>
          </cell>
          <cell r="AT152">
            <v>4680.99</v>
          </cell>
          <cell r="AU152">
            <v>4033.32</v>
          </cell>
          <cell r="AV152">
            <v>3344.78</v>
          </cell>
          <cell r="AW152">
            <v>2679.9</v>
          </cell>
          <cell r="AX152">
            <v>2280.41</v>
          </cell>
          <cell r="AY152">
            <v>1897.61</v>
          </cell>
          <cell r="AZ152">
            <v>1557.8</v>
          </cell>
          <cell r="BA152">
            <v>1259.7</v>
          </cell>
          <cell r="BB152">
            <v>937.31299999999999</v>
          </cell>
          <cell r="BC152">
            <v>650.5</v>
          </cell>
          <cell r="BD152">
            <v>409.142</v>
          </cell>
          <cell r="BE152">
            <v>210.62899999999999</v>
          </cell>
          <cell r="BF152">
            <v>82.736999999999995</v>
          </cell>
          <cell r="BG152">
            <v>23.079000000000001</v>
          </cell>
          <cell r="BH152">
            <v>4.1849999999999996</v>
          </cell>
          <cell r="BI152">
            <v>0.47799999999999998</v>
          </cell>
          <cell r="BJ152">
            <v>14.456513558939365</v>
          </cell>
          <cell r="BK152">
            <v>13.20369994503903</v>
          </cell>
          <cell r="BL152">
            <v>12.139121947214663</v>
          </cell>
          <cell r="BM152">
            <v>10.948247748538744</v>
          </cell>
          <cell r="BN152">
            <v>9.4856474333683778</v>
          </cell>
          <cell r="BO152">
            <v>7.9083816617369029</v>
          </cell>
          <cell r="BP152">
            <v>6.3839787636290657</v>
          </cell>
          <cell r="BQ152">
            <v>5.48220838188979</v>
          </cell>
          <cell r="BR152">
            <v>4.6223999014807529</v>
          </cell>
          <cell r="BS152">
            <v>3.8778954282052394</v>
          </cell>
          <cell r="BT152">
            <v>3.2487633782067213</v>
          </cell>
          <cell r="BU152">
            <v>2.5733592098391536</v>
          </cell>
          <cell r="BV152">
            <v>1.9955985614365563</v>
          </cell>
          <cell r="BW152">
            <v>1.5072167628673661</v>
          </cell>
          <cell r="BX152">
            <v>1.0379413126321286</v>
          </cell>
          <cell r="BY152">
            <v>0.63380943367396969</v>
          </cell>
          <cell r="BZ152">
            <v>0.32582732221494981</v>
          </cell>
          <cell r="CA152">
            <v>0.12762347403493329</v>
          </cell>
          <cell r="CB152">
            <v>3.4871708328297141E-2</v>
          </cell>
          <cell r="CC152">
            <v>6.1893804462100866E-3</v>
          </cell>
          <cell r="CD152">
            <v>6.4311174864821095E-4</v>
          </cell>
          <cell r="CE152">
            <v>13.325201118481184</v>
          </cell>
          <cell r="CF152">
            <v>12.17846833232284</v>
          </cell>
          <cell r="CG152">
            <v>11.201154677984199</v>
          </cell>
          <cell r="CH152">
            <v>10.310640954871635</v>
          </cell>
          <cell r="CI152">
            <v>9.4532654040015576</v>
          </cell>
          <cell r="CJ152">
            <v>8.4718434126344935</v>
          </cell>
          <cell r="CK152">
            <v>7.2996642746613345</v>
          </cell>
          <cell r="CL152">
            <v>6.0535169717755437</v>
          </cell>
          <cell r="CM152">
            <v>4.8501904856705913</v>
          </cell>
          <cell r="CN152">
            <v>4.1271774638710665</v>
          </cell>
          <cell r="CO152">
            <v>3.4343706733510095</v>
          </cell>
          <cell r="CP152">
            <v>2.8193689087569114</v>
          </cell>
          <cell r="CQ152">
            <v>2.2798555747599698</v>
          </cell>
          <cell r="CR152">
            <v>1.696386654239098</v>
          </cell>
          <cell r="CS152">
            <v>1.1773009854579348</v>
          </cell>
          <cell r="CT152">
            <v>0.74048159845077688</v>
          </cell>
          <cell r="CU152">
            <v>0.38120481055498745</v>
          </cell>
          <cell r="CV152">
            <v>0.14974074040558516</v>
          </cell>
          <cell r="CW152">
            <v>4.1769299682373064E-2</v>
          </cell>
          <cell r="CX152">
            <v>7.574180821124453E-3</v>
          </cell>
          <cell r="CY152">
            <v>8.6510356809975841E-4</v>
          </cell>
          <cell r="CZ152">
            <v>99.999938425470859</v>
          </cell>
          <cell r="DA152">
            <v>99.999176522754212</v>
          </cell>
        </row>
        <row r="153">
          <cell r="B153" t="str">
            <v>SEN</v>
          </cell>
          <cell r="C153" t="str">
            <v>Sub-Saharan Africa</v>
          </cell>
          <cell r="D153" t="str">
            <v>Lower middle income</v>
          </cell>
          <cell r="E153" t="str">
            <v>IDA</v>
          </cell>
          <cell r="F153" t="str">
            <v>HIPC</v>
          </cell>
          <cell r="G153">
            <v>1</v>
          </cell>
          <cell r="H153">
            <v>686</v>
          </cell>
          <cell r="I153">
            <v>16743.900000000001</v>
          </cell>
          <cell r="J153">
            <v>17196.3</v>
          </cell>
          <cell r="K153">
            <v>17653.7</v>
          </cell>
          <cell r="L153">
            <v>18116.5</v>
          </cell>
          <cell r="M153">
            <v>18585.8</v>
          </cell>
          <cell r="N153">
            <v>19062.2</v>
          </cell>
          <cell r="O153">
            <v>19545.8</v>
          </cell>
          <cell r="P153">
            <v>20036.3</v>
          </cell>
          <cell r="Q153">
            <v>20533.900000000001</v>
          </cell>
          <cell r="R153">
            <v>21038.9</v>
          </cell>
          <cell r="S153">
            <v>21551.5</v>
          </cell>
          <cell r="T153">
            <v>2615.34</v>
          </cell>
          <cell r="U153">
            <v>2417.2399999999998</v>
          </cell>
          <cell r="V153">
            <v>2098.92</v>
          </cell>
          <cell r="W153">
            <v>1764.78</v>
          </cell>
          <cell r="X153">
            <v>1519.04</v>
          </cell>
          <cell r="Y153">
            <v>1304.49</v>
          </cell>
          <cell r="Z153">
            <v>1110.69</v>
          </cell>
          <cell r="AA153">
            <v>940.59900000000005</v>
          </cell>
          <cell r="AB153">
            <v>741.96600000000001</v>
          </cell>
          <cell r="AC153">
            <v>589.86199999999997</v>
          </cell>
          <cell r="AD153">
            <v>467.26499999999999</v>
          </cell>
          <cell r="AE153">
            <v>367.435</v>
          </cell>
          <cell r="AF153">
            <v>285.86599999999999</v>
          </cell>
          <cell r="AG153">
            <v>219.898</v>
          </cell>
          <cell r="AH153">
            <v>145.62299999999999</v>
          </cell>
          <cell r="AI153">
            <v>93.558999999999997</v>
          </cell>
          <cell r="AJ153">
            <v>45.112000000000002</v>
          </cell>
          <cell r="AK153">
            <v>13.763999999999999</v>
          </cell>
          <cell r="AL153">
            <v>2.2799999999999998</v>
          </cell>
          <cell r="AM153">
            <v>0.185</v>
          </cell>
          <cell r="AN153">
            <v>6.0000000000000001E-3</v>
          </cell>
          <cell r="AO153">
            <v>3002.66</v>
          </cell>
          <cell r="AP153">
            <v>2774.02</v>
          </cell>
          <cell r="AQ153">
            <v>2579.36</v>
          </cell>
          <cell r="AR153">
            <v>2389.27</v>
          </cell>
          <cell r="AS153">
            <v>2054.8000000000002</v>
          </cell>
          <cell r="AT153">
            <v>1703.88</v>
          </cell>
          <cell r="AU153">
            <v>1456.48</v>
          </cell>
          <cell r="AV153">
            <v>1249.29</v>
          </cell>
          <cell r="AW153">
            <v>1062.19</v>
          </cell>
          <cell r="AX153">
            <v>895.10699999999997</v>
          </cell>
          <cell r="AY153">
            <v>697.77800000000002</v>
          </cell>
          <cell r="AZ153">
            <v>543.03099999999995</v>
          </cell>
          <cell r="BA153">
            <v>414.416</v>
          </cell>
          <cell r="BB153">
            <v>305.29700000000003</v>
          </cell>
          <cell r="BC153">
            <v>211.02199999999999</v>
          </cell>
          <cell r="BD153">
            <v>130.31700000000001</v>
          </cell>
          <cell r="BE153">
            <v>58.491999999999997</v>
          </cell>
          <cell r="BF153">
            <v>19.928999999999998</v>
          </cell>
          <cell r="BG153">
            <v>3.7719999999999998</v>
          </cell>
          <cell r="BH153">
            <v>0.34499999999999997</v>
          </cell>
          <cell r="BI153">
            <v>1.2999999999999999E-2</v>
          </cell>
          <cell r="BJ153">
            <v>15.619658502499417</v>
          </cell>
          <cell r="BK153">
            <v>14.436541068687699</v>
          </cell>
          <cell r="BL153">
            <v>12.535430813609732</v>
          </cell>
          <cell r="BM153">
            <v>10.539838388905808</v>
          </cell>
          <cell r="BN153">
            <v>9.072199427851336</v>
          </cell>
          <cell r="BO153">
            <v>7.7908372601365263</v>
          </cell>
          <cell r="BP153">
            <v>6.6334008205973518</v>
          </cell>
          <cell r="BQ153">
            <v>5.617562216687868</v>
          </cell>
          <cell r="BR153">
            <v>4.431261534051206</v>
          </cell>
          <cell r="BS153">
            <v>3.5228471264161869</v>
          </cell>
          <cell r="BT153">
            <v>2.7906580904090443</v>
          </cell>
          <cell r="BU153">
            <v>2.1944409605886324</v>
          </cell>
          <cell r="BV153">
            <v>1.7072844438870274</v>
          </cell>
          <cell r="BW153">
            <v>1.3133021578007511</v>
          </cell>
          <cell r="BX153">
            <v>0.86970777417447531</v>
          </cell>
          <cell r="BY153">
            <v>0.55876468445224825</v>
          </cell>
          <cell r="BZ153">
            <v>0.26942349154020268</v>
          </cell>
          <cell r="CA153">
            <v>8.2203070969129044E-2</v>
          </cell>
          <cell r="CB153">
            <v>1.361689928869618E-2</v>
          </cell>
          <cell r="CC153">
            <v>1.1048799861442075E-3</v>
          </cell>
          <cell r="CD153">
            <v>3.5833945496568897E-5</v>
          </cell>
          <cell r="CE153">
            <v>13.932487297867896</v>
          </cell>
          <cell r="CF153">
            <v>12.871586664501312</v>
          </cell>
          <cell r="CG153">
            <v>11.968354870890657</v>
          </cell>
          <cell r="CH153">
            <v>11.086328097812217</v>
          </cell>
          <cell r="CI153">
            <v>9.534371157460038</v>
          </cell>
          <cell r="CJ153">
            <v>7.9060854232884035</v>
          </cell>
          <cell r="CK153">
            <v>6.7581374846298408</v>
          </cell>
          <cell r="CL153">
            <v>5.7967658863652183</v>
          </cell>
          <cell r="CM153">
            <v>4.9286128575737189</v>
          </cell>
          <cell r="CN153">
            <v>4.1533396747326172</v>
          </cell>
          <cell r="CO153">
            <v>3.2377235923253602</v>
          </cell>
          <cell r="CP153">
            <v>2.5196900447764654</v>
          </cell>
          <cell r="CQ153">
            <v>1.922910238266478</v>
          </cell>
          <cell r="CR153">
            <v>1.4165928125652509</v>
          </cell>
          <cell r="CS153">
            <v>0.9791522631835371</v>
          </cell>
          <cell r="CT153">
            <v>0.60467716864255394</v>
          </cell>
          <cell r="CU153">
            <v>0.27140570261930724</v>
          </cell>
          <cell r="CV153">
            <v>9.2471521703825721E-2</v>
          </cell>
          <cell r="CW153">
            <v>1.7502262023525044E-2</v>
          </cell>
          <cell r="CX153">
            <v>1.6008166484931441E-3</v>
          </cell>
          <cell r="CY153">
            <v>6.0320627334524279E-5</v>
          </cell>
          <cell r="CZ153">
            <v>100.00011944648496</v>
          </cell>
          <cell r="DA153">
            <v>99.999795837876746</v>
          </cell>
        </row>
        <row r="154">
          <cell r="B154" t="str">
            <v>SGP</v>
          </cell>
          <cell r="C154" t="str">
            <v>East Asia &amp; Pacific</v>
          </cell>
          <cell r="D154" t="str">
            <v>High income</v>
          </cell>
          <cell r="G154">
            <v>0</v>
          </cell>
          <cell r="H154">
            <v>702</v>
          </cell>
          <cell r="I154">
            <v>5850.34</v>
          </cell>
          <cell r="J154">
            <v>5896.68</v>
          </cell>
          <cell r="K154">
            <v>5943.55</v>
          </cell>
          <cell r="L154">
            <v>5990.29</v>
          </cell>
          <cell r="M154">
            <v>6035.67</v>
          </cell>
          <cell r="N154">
            <v>6078.76</v>
          </cell>
          <cell r="O154">
            <v>6119.59</v>
          </cell>
          <cell r="P154">
            <v>6158.53</v>
          </cell>
          <cell r="Q154">
            <v>6195.44</v>
          </cell>
          <cell r="R154">
            <v>6230.13</v>
          </cell>
          <cell r="S154">
            <v>6262.46</v>
          </cell>
          <cell r="T154">
            <v>258.17599999999999</v>
          </cell>
          <cell r="U154">
            <v>220.86099999999999</v>
          </cell>
          <cell r="V154">
            <v>240.625</v>
          </cell>
          <cell r="W154">
            <v>265.16899999999998</v>
          </cell>
          <cell r="X154">
            <v>397.53699999999998</v>
          </cell>
          <cell r="Y154">
            <v>435.52100000000002</v>
          </cell>
          <cell r="Z154">
            <v>434.67700000000002</v>
          </cell>
          <cell r="AA154">
            <v>461.93799999999999</v>
          </cell>
          <cell r="AB154">
            <v>473.27100000000002</v>
          </cell>
          <cell r="AC154">
            <v>491.60199999999998</v>
          </cell>
          <cell r="AD154">
            <v>466.411</v>
          </cell>
          <cell r="AE154">
            <v>479.81099999999998</v>
          </cell>
          <cell r="AF154">
            <v>443.63099999999997</v>
          </cell>
          <cell r="AG154">
            <v>355.69400000000002</v>
          </cell>
          <cell r="AH154">
            <v>190.22800000000001</v>
          </cell>
          <cell r="AI154">
            <v>99.406000000000006</v>
          </cell>
          <cell r="AJ154">
            <v>73.381</v>
          </cell>
          <cell r="AK154">
            <v>40.499000000000002</v>
          </cell>
          <cell r="AL154">
            <v>16.981000000000002</v>
          </cell>
          <cell r="AM154">
            <v>4.173</v>
          </cell>
          <cell r="AN154">
            <v>0.751</v>
          </cell>
          <cell r="AO154">
            <v>247.34200000000001</v>
          </cell>
          <cell r="AP154">
            <v>260.10500000000002</v>
          </cell>
          <cell r="AQ154">
            <v>264.423</v>
          </cell>
          <cell r="AR154">
            <v>237.61699999999999</v>
          </cell>
          <cell r="AS154">
            <v>279.90699999999998</v>
          </cell>
          <cell r="AT154">
            <v>314.589</v>
          </cell>
          <cell r="AU154">
            <v>439.60500000000002</v>
          </cell>
          <cell r="AV154">
            <v>465.57100000000003</v>
          </cell>
          <cell r="AW154">
            <v>454.154</v>
          </cell>
          <cell r="AX154">
            <v>472.78300000000002</v>
          </cell>
          <cell r="AY154">
            <v>476.68</v>
          </cell>
          <cell r="AZ154">
            <v>487.20100000000002</v>
          </cell>
          <cell r="BA154">
            <v>453.97800000000001</v>
          </cell>
          <cell r="BB154">
            <v>455.38299999999998</v>
          </cell>
          <cell r="BC154">
            <v>404.50400000000002</v>
          </cell>
          <cell r="BD154">
            <v>301.64100000000002</v>
          </cell>
          <cell r="BE154">
            <v>143.48599999999999</v>
          </cell>
          <cell r="BF154">
            <v>60.936</v>
          </cell>
          <cell r="BG154">
            <v>31.312000000000001</v>
          </cell>
          <cell r="BH154">
            <v>9.5960000000000001</v>
          </cell>
          <cell r="BI154">
            <v>1.6519999999999999</v>
          </cell>
          <cell r="BJ154">
            <v>4.4130084747211269</v>
          </cell>
          <cell r="BK154">
            <v>3.7751822970972624</v>
          </cell>
          <cell r="BL154">
            <v>4.1130088165816003</v>
          </cell>
          <cell r="BM154">
            <v>4.5325399891288365</v>
          </cell>
          <cell r="BN154">
            <v>6.7951093440723103</v>
          </cell>
          <cell r="BO154">
            <v>7.4443707545202509</v>
          </cell>
          <cell r="BP154">
            <v>7.4299442425568438</v>
          </cell>
          <cell r="BQ154">
            <v>7.8959171603701668</v>
          </cell>
          <cell r="BR154">
            <v>8.0896323974333129</v>
          </cell>
          <cell r="BS154">
            <v>8.4029646140224319</v>
          </cell>
          <cell r="BT154">
            <v>7.972374255171494</v>
          </cell>
          <cell r="BU154">
            <v>8.2014207721260632</v>
          </cell>
          <cell r="BV154">
            <v>7.5829951763487236</v>
          </cell>
          <cell r="BW154">
            <v>6.0798859553461853</v>
          </cell>
          <cell r="BX154">
            <v>3.2515717035249234</v>
          </cell>
          <cell r="BY154">
            <v>1.6991491092825373</v>
          </cell>
          <cell r="BZ154">
            <v>1.2543031687047248</v>
          </cell>
          <cell r="CA154">
            <v>0.69225036493605507</v>
          </cell>
          <cell r="CB154">
            <v>0.29025663465713109</v>
          </cell>
          <cell r="CC154">
            <v>7.1329187705329949E-2</v>
          </cell>
          <cell r="CD154">
            <v>1.2836860763647923E-2</v>
          </cell>
          <cell r="CE154">
            <v>3.9495980812651896</v>
          </cell>
          <cell r="CF154">
            <v>4.1533997821942181</v>
          </cell>
          <cell r="CG154">
            <v>4.2223503223972694</v>
          </cell>
          <cell r="CH154">
            <v>3.7943076682326113</v>
          </cell>
          <cell r="CI154">
            <v>4.469601402643689</v>
          </cell>
          <cell r="CJ154">
            <v>5.0234093311574046</v>
          </cell>
          <cell r="CK154">
            <v>7.0196855548777952</v>
          </cell>
          <cell r="CL154">
            <v>7.4343149497162457</v>
          </cell>
          <cell r="CM154">
            <v>7.2520064000408784</v>
          </cell>
          <cell r="CN154">
            <v>7.5494773619312543</v>
          </cell>
          <cell r="CO154">
            <v>7.6117053043053371</v>
          </cell>
          <cell r="CP154">
            <v>7.7797063773660833</v>
          </cell>
          <cell r="CQ154">
            <v>7.2491960028487208</v>
          </cell>
          <cell r="CR154">
            <v>7.2716312758883888</v>
          </cell>
          <cell r="CS154">
            <v>6.4591869648668423</v>
          </cell>
          <cell r="CT154">
            <v>4.816653519543439</v>
          </cell>
          <cell r="CU154">
            <v>2.2912082472383055</v>
          </cell>
          <cell r="CV154">
            <v>0.97303615512115049</v>
          </cell>
          <cell r="CW154">
            <v>0.49999520955024068</v>
          </cell>
          <cell r="CX154">
            <v>0.15323051963605355</v>
          </cell>
          <cell r="CY154">
            <v>2.6379410008207635E-2</v>
          </cell>
          <cell r="CZ154">
            <v>100.00005127907095</v>
          </cell>
          <cell r="DA154">
            <v>99.973700430821111</v>
          </cell>
        </row>
        <row r="155">
          <cell r="B155" t="str">
            <v>SLB</v>
          </cell>
          <cell r="C155" t="str">
            <v>East Asia &amp; Pacific</v>
          </cell>
          <cell r="D155" t="str">
            <v>Lower middle income</v>
          </cell>
          <cell r="E155" t="str">
            <v>IDA</v>
          </cell>
          <cell r="G155">
            <v>0</v>
          </cell>
          <cell r="H155">
            <v>90</v>
          </cell>
          <cell r="I155">
            <v>686.87800000000004</v>
          </cell>
          <cell r="J155">
            <v>703.995</v>
          </cell>
          <cell r="K155">
            <v>721.16399999999999</v>
          </cell>
          <cell r="L155">
            <v>738.41600000000005</v>
          </cell>
          <cell r="M155">
            <v>755.82299999999998</v>
          </cell>
          <cell r="N155">
            <v>773.42200000000003</v>
          </cell>
          <cell r="O155">
            <v>791.21</v>
          </cell>
          <cell r="P155">
            <v>809.19799999999998</v>
          </cell>
          <cell r="Q155">
            <v>827.40899999999999</v>
          </cell>
          <cell r="R155">
            <v>845.87199999999996</v>
          </cell>
          <cell r="S155">
            <v>864.60299999999995</v>
          </cell>
          <cell r="T155">
            <v>103.15600000000001</v>
          </cell>
          <cell r="U155">
            <v>93.013999999999996</v>
          </cell>
          <cell r="V155">
            <v>78.790999999999997</v>
          </cell>
          <cell r="W155">
            <v>70.034000000000006</v>
          </cell>
          <cell r="X155">
            <v>60.994999999999997</v>
          </cell>
          <cell r="Y155">
            <v>50.835000000000001</v>
          </cell>
          <cell r="Z155">
            <v>42.609000000000002</v>
          </cell>
          <cell r="AA155">
            <v>39.441000000000003</v>
          </cell>
          <cell r="AB155">
            <v>37.090000000000003</v>
          </cell>
          <cell r="AC155">
            <v>31.58</v>
          </cell>
          <cell r="AD155">
            <v>22.806000000000001</v>
          </cell>
          <cell r="AE155">
            <v>17.888999999999999</v>
          </cell>
          <cell r="AF155">
            <v>13.425000000000001</v>
          </cell>
          <cell r="AG155">
            <v>9.5530000000000008</v>
          </cell>
          <cell r="AH155">
            <v>7.157</v>
          </cell>
          <cell r="AI155">
            <v>4.8360000000000003</v>
          </cell>
          <cell r="AJ155">
            <v>2.2650000000000001</v>
          </cell>
          <cell r="AK155">
            <v>1.083</v>
          </cell>
          <cell r="AL155">
            <v>0.26800000000000002</v>
          </cell>
          <cell r="AM155">
            <v>4.7E-2</v>
          </cell>
          <cell r="AN155">
            <v>4.0000000000000001E-3</v>
          </cell>
          <cell r="AO155">
            <v>114.499</v>
          </cell>
          <cell r="AP155">
            <v>107.218</v>
          </cell>
          <cell r="AQ155">
            <v>102.23399999999999</v>
          </cell>
          <cell r="AR155">
            <v>91.543000000000006</v>
          </cell>
          <cell r="AS155">
            <v>75.771000000000001</v>
          </cell>
          <cell r="AT155">
            <v>66.299000000000007</v>
          </cell>
          <cell r="AU155">
            <v>57.737000000000002</v>
          </cell>
          <cell r="AV155">
            <v>48.304000000000002</v>
          </cell>
          <cell r="AW155">
            <v>40.593000000000004</v>
          </cell>
          <cell r="AX155">
            <v>37.58</v>
          </cell>
          <cell r="AY155">
            <v>35.052</v>
          </cell>
          <cell r="AZ155">
            <v>29.231999999999999</v>
          </cell>
          <cell r="BA155">
            <v>20.376000000000001</v>
          </cell>
          <cell r="BB155">
            <v>15.182</v>
          </cell>
          <cell r="BC155">
            <v>10.492000000000001</v>
          </cell>
          <cell r="BD155">
            <v>6.4690000000000003</v>
          </cell>
          <cell r="BE155">
            <v>3.7869999999999999</v>
          </cell>
          <cell r="BF155">
            <v>1.7070000000000001</v>
          </cell>
          <cell r="BG155">
            <v>0.432</v>
          </cell>
          <cell r="BH155">
            <v>8.7999999999999995E-2</v>
          </cell>
          <cell r="BI155">
            <v>8.0000000000000002E-3</v>
          </cell>
          <cell r="BJ155">
            <v>15.018096372281539</v>
          </cell>
          <cell r="BK155">
            <v>13.541560510017788</v>
          </cell>
          <cell r="BL155">
            <v>11.4708871153247</v>
          </cell>
          <cell r="BM155">
            <v>10.195988224983186</v>
          </cell>
          <cell r="BN155">
            <v>8.8800340089506413</v>
          </cell>
          <cell r="BO155">
            <v>7.4008775939832097</v>
          </cell>
          <cell r="BP155">
            <v>6.2032850084003268</v>
          </cell>
          <cell r="BQ155">
            <v>5.7420677325522149</v>
          </cell>
          <cell r="BR155">
            <v>5.3997944321990223</v>
          </cell>
          <cell r="BS155">
            <v>4.5976141323495572</v>
          </cell>
          <cell r="BT155">
            <v>3.3202402755656752</v>
          </cell>
          <cell r="BU155">
            <v>2.6043926286764165</v>
          </cell>
          <cell r="BV155">
            <v>1.9544955581631673</v>
          </cell>
          <cell r="BW155">
            <v>1.3907855543488072</v>
          </cell>
          <cell r="BX155">
            <v>1.0419608722364087</v>
          </cell>
          <cell r="BY155">
            <v>0.70405515972268728</v>
          </cell>
          <cell r="BZ155">
            <v>0.3297528818800427</v>
          </cell>
          <cell r="CA155">
            <v>0.15766992100489458</v>
          </cell>
          <cell r="CB155">
            <v>3.9017118032605498E-2</v>
          </cell>
          <cell r="CC155">
            <v>6.8425542818375314E-3</v>
          </cell>
          <cell r="CD155">
            <v>5.8234504526276853E-4</v>
          </cell>
          <cell r="CE155">
            <v>13.242956593951213</v>
          </cell>
          <cell r="CF155">
            <v>12.400835990622287</v>
          </cell>
          <cell r="CG155">
            <v>11.824386452510574</v>
          </cell>
          <cell r="CH155">
            <v>10.587865182054655</v>
          </cell>
          <cell r="CI155">
            <v>8.763675351577545</v>
          </cell>
          <cell r="CJ155">
            <v>7.6681436451180502</v>
          </cell>
          <cell r="CK155">
            <v>6.6778625565722072</v>
          </cell>
          <cell r="CL155">
            <v>5.5868415908804394</v>
          </cell>
          <cell r="CM155">
            <v>4.6949871790868185</v>
          </cell>
          <cell r="CN155">
            <v>4.3465035397749023</v>
          </cell>
          <cell r="CO155">
            <v>4.0541150100103751</v>
          </cell>
          <cell r="CP155">
            <v>3.3809736954417233</v>
          </cell>
          <cell r="CQ155">
            <v>2.3566885611083932</v>
          </cell>
          <cell r="CR155">
            <v>1.7559504188627613</v>
          </cell>
          <cell r="CS155">
            <v>1.2135049265385387</v>
          </cell>
          <cell r="CT155">
            <v>0.74820466734443447</v>
          </cell>
          <cell r="CU155">
            <v>0.43800449454836504</v>
          </cell>
          <cell r="CV155">
            <v>0.19743165360286749</v>
          </cell>
          <cell r="CW155">
            <v>4.9965128504064878E-2</v>
          </cell>
          <cell r="CX155">
            <v>1.0178081732309512E-2</v>
          </cell>
          <cell r="CY155">
            <v>9.2528015748268293E-4</v>
          </cell>
          <cell r="CZ155">
            <v>100</v>
          </cell>
          <cell r="DA155">
            <v>99.99907471984254</v>
          </cell>
        </row>
        <row r="156">
          <cell r="B156" t="str">
            <v>SLE</v>
          </cell>
          <cell r="C156" t="str">
            <v>Sub-Saharan Africa</v>
          </cell>
          <cell r="D156" t="str">
            <v>Low income</v>
          </cell>
          <cell r="E156" t="str">
            <v>IDA</v>
          </cell>
          <cell r="F156" t="str">
            <v>HIPC</v>
          </cell>
          <cell r="G156">
            <v>1</v>
          </cell>
          <cell r="H156">
            <v>694</v>
          </cell>
          <cell r="I156">
            <v>7976.98</v>
          </cell>
          <cell r="J156">
            <v>8141.34</v>
          </cell>
          <cell r="K156">
            <v>8306.44</v>
          </cell>
          <cell r="L156">
            <v>8472.2099999999991</v>
          </cell>
          <cell r="M156">
            <v>8638.68</v>
          </cell>
          <cell r="N156">
            <v>8805.82</v>
          </cell>
          <cell r="O156">
            <v>8973.5400000000009</v>
          </cell>
          <cell r="P156">
            <v>9141.7000000000007</v>
          </cell>
          <cell r="Q156">
            <v>9310.31</v>
          </cell>
          <cell r="R156">
            <v>9479.31</v>
          </cell>
          <cell r="S156">
            <v>9648.68</v>
          </cell>
          <cell r="T156">
            <v>1158.6500000000001</v>
          </cell>
          <cell r="U156">
            <v>1067.23</v>
          </cell>
          <cell r="V156">
            <v>992.31899999999996</v>
          </cell>
          <cell r="W156">
            <v>874.87699999999995</v>
          </cell>
          <cell r="X156">
            <v>754.02099999999996</v>
          </cell>
          <cell r="Y156">
            <v>651.49300000000005</v>
          </cell>
          <cell r="Z156">
            <v>553.89300000000003</v>
          </cell>
          <cell r="AA156">
            <v>463.15699999999998</v>
          </cell>
          <cell r="AB156">
            <v>373.11900000000003</v>
          </cell>
          <cell r="AC156">
            <v>299.77499999999998</v>
          </cell>
          <cell r="AD156">
            <v>236.393</v>
          </cell>
          <cell r="AE156">
            <v>182.74</v>
          </cell>
          <cell r="AF156">
            <v>135.79900000000001</v>
          </cell>
          <cell r="AG156">
            <v>98.225999999999999</v>
          </cell>
          <cell r="AH156">
            <v>68.338999999999999</v>
          </cell>
          <cell r="AI156">
            <v>40.47</v>
          </cell>
          <cell r="AJ156">
            <v>18.574000000000002</v>
          </cell>
          <cell r="AK156">
            <v>6.2640000000000002</v>
          </cell>
          <cell r="AL156">
            <v>1.4259999999999999</v>
          </cell>
          <cell r="AM156">
            <v>0.19800000000000001</v>
          </cell>
          <cell r="AN156">
            <v>1.7000000000000001E-2</v>
          </cell>
          <cell r="AO156">
            <v>1228.6400000000001</v>
          </cell>
          <cell r="AP156">
            <v>1168.3800000000001</v>
          </cell>
          <cell r="AQ156">
            <v>1110.47</v>
          </cell>
          <cell r="AR156">
            <v>1033.98</v>
          </cell>
          <cell r="AS156">
            <v>952.70899999999995</v>
          </cell>
          <cell r="AT156">
            <v>828.20600000000002</v>
          </cell>
          <cell r="AU156">
            <v>707.88199999999995</v>
          </cell>
          <cell r="AV156">
            <v>607.48099999999999</v>
          </cell>
          <cell r="AW156">
            <v>511.077</v>
          </cell>
          <cell r="AX156">
            <v>420.81</v>
          </cell>
          <cell r="AY156">
            <v>330.983</v>
          </cell>
          <cell r="AZ156">
            <v>256.11200000000002</v>
          </cell>
          <cell r="BA156">
            <v>190.351</v>
          </cell>
          <cell r="BB156">
            <v>133.85900000000001</v>
          </cell>
          <cell r="BC156">
            <v>85.533000000000001</v>
          </cell>
          <cell r="BD156">
            <v>48.677</v>
          </cell>
          <cell r="BE156">
            <v>23.417999999999999</v>
          </cell>
          <cell r="BF156">
            <v>8.0920000000000005</v>
          </cell>
          <cell r="BG156">
            <v>1.776</v>
          </cell>
          <cell r="BH156">
            <v>0.23200000000000001</v>
          </cell>
          <cell r="BI156">
            <v>1.7999999999999999E-2</v>
          </cell>
          <cell r="BJ156">
            <v>14.524920458619681</v>
          </cell>
          <cell r="BK156">
            <v>13.378872706212128</v>
          </cell>
          <cell r="BL156">
            <v>12.439782975512035</v>
          </cell>
          <cell r="BM156">
            <v>10.967521543240675</v>
          </cell>
          <cell r="BN156">
            <v>9.4524619592878523</v>
          </cell>
          <cell r="BO156">
            <v>8.167163513008683</v>
          </cell>
          <cell r="BP156">
            <v>6.9436428322497994</v>
          </cell>
          <cell r="BQ156">
            <v>5.8061697534655972</v>
          </cell>
          <cell r="BR156">
            <v>4.6774468533204301</v>
          </cell>
          <cell r="BS156">
            <v>3.7580011483042455</v>
          </cell>
          <cell r="BT156">
            <v>2.9634397980187992</v>
          </cell>
          <cell r="BU156">
            <v>2.2908418975602296</v>
          </cell>
          <cell r="BV156">
            <v>1.7023861160489311</v>
          </cell>
          <cell r="BW156">
            <v>1.2313682621744069</v>
          </cell>
          <cell r="BX156">
            <v>0.85670266190964495</v>
          </cell>
          <cell r="BY156">
            <v>0.50733485604827899</v>
          </cell>
          <cell r="BZ156">
            <v>0.23284501152065074</v>
          </cell>
          <cell r="CA156">
            <v>7.852595844542673E-2</v>
          </cell>
          <cell r="CB156">
            <v>1.7876439454530414E-2</v>
          </cell>
          <cell r="CC156">
            <v>2.482142364654293E-3</v>
          </cell>
          <cell r="CD156">
            <v>2.1311323332890396E-4</v>
          </cell>
          <cell r="CE156">
            <v>12.733762545757553</v>
          </cell>
          <cell r="CF156">
            <v>12.109221157712765</v>
          </cell>
          <cell r="CG156">
            <v>11.509035432826044</v>
          </cell>
          <cell r="CH156">
            <v>10.716284507310844</v>
          </cell>
          <cell r="CI156">
            <v>9.87398276240895</v>
          </cell>
          <cell r="CJ156">
            <v>8.5836197282944404</v>
          </cell>
          <cell r="CK156">
            <v>7.3365683181533639</v>
          </cell>
          <cell r="CL156">
            <v>6.2960011110328047</v>
          </cell>
          <cell r="CM156">
            <v>5.2968592595049273</v>
          </cell>
          <cell r="CN156">
            <v>4.3613219632115481</v>
          </cell>
          <cell r="CO156">
            <v>3.4303448761903179</v>
          </cell>
          <cell r="CP156">
            <v>2.6543734479742307</v>
          </cell>
          <cell r="CQ156">
            <v>1.9728190799155947</v>
          </cell>
          <cell r="CR156">
            <v>1.3873296658195733</v>
          </cell>
          <cell r="CS156">
            <v>0.88647359016984695</v>
          </cell>
          <cell r="CT156">
            <v>0.50449387895546327</v>
          </cell>
          <cell r="CU156">
            <v>0.24270677439815602</v>
          </cell>
          <cell r="CV156">
            <v>8.3866394159615623E-2</v>
          </cell>
          <cell r="CW156">
            <v>1.8406662880311089E-2</v>
          </cell>
          <cell r="CX156">
            <v>2.4044739798604578E-3</v>
          </cell>
          <cell r="CY156">
            <v>1.8655401567882859E-4</v>
          </cell>
          <cell r="CZ156">
            <v>100</v>
          </cell>
          <cell r="DA156">
            <v>99.999875630656234</v>
          </cell>
        </row>
        <row r="157">
          <cell r="B157" t="str">
            <v>SLV</v>
          </cell>
          <cell r="C157" t="str">
            <v>Latin America &amp; Caribbean</v>
          </cell>
          <cell r="D157" t="str">
            <v>Lower middle income</v>
          </cell>
          <cell r="E157" t="str">
            <v>IBRD</v>
          </cell>
          <cell r="G157">
            <v>0</v>
          </cell>
          <cell r="H157">
            <v>222</v>
          </cell>
          <cell r="I157">
            <v>6486.2</v>
          </cell>
          <cell r="J157">
            <v>6518.5</v>
          </cell>
          <cell r="K157">
            <v>6550.4</v>
          </cell>
          <cell r="L157">
            <v>6581.79</v>
          </cell>
          <cell r="M157">
            <v>6612.66</v>
          </cell>
          <cell r="N157">
            <v>6642.93</v>
          </cell>
          <cell r="O157">
            <v>6672.55</v>
          </cell>
          <cell r="P157">
            <v>6701.35</v>
          </cell>
          <cell r="Q157">
            <v>6728.92</v>
          </cell>
          <cell r="R157">
            <v>6754.78</v>
          </cell>
          <cell r="S157">
            <v>6778.59</v>
          </cell>
          <cell r="T157">
            <v>576.21600000000001</v>
          </cell>
          <cell r="U157">
            <v>570.60699999999997</v>
          </cell>
          <cell r="V157">
            <v>577.89599999999996</v>
          </cell>
          <cell r="W157">
            <v>587.92700000000002</v>
          </cell>
          <cell r="X157">
            <v>633.08399999999995</v>
          </cell>
          <cell r="Y157">
            <v>582.73</v>
          </cell>
          <cell r="Z157">
            <v>474.24099999999999</v>
          </cell>
          <cell r="AA157">
            <v>408.20100000000002</v>
          </cell>
          <cell r="AB157">
            <v>381.60399999999998</v>
          </cell>
          <cell r="AC157">
            <v>343.53800000000001</v>
          </cell>
          <cell r="AD157">
            <v>303.12700000000001</v>
          </cell>
          <cell r="AE157">
            <v>264.94400000000002</v>
          </cell>
          <cell r="AF157">
            <v>220.96700000000001</v>
          </cell>
          <cell r="AG157">
            <v>185.32900000000001</v>
          </cell>
          <cell r="AH157">
            <v>139.60499999999999</v>
          </cell>
          <cell r="AI157">
            <v>108.786</v>
          </cell>
          <cell r="AJ157">
            <v>74.608000000000004</v>
          </cell>
          <cell r="AK157">
            <v>37.716999999999999</v>
          </cell>
          <cell r="AL157">
            <v>12.339</v>
          </cell>
          <cell r="AM157">
            <v>2.5</v>
          </cell>
          <cell r="AN157">
            <v>0.23499999999999999</v>
          </cell>
          <cell r="AO157">
            <v>515.71600000000001</v>
          </cell>
          <cell r="AP157">
            <v>544.62400000000002</v>
          </cell>
          <cell r="AQ157">
            <v>555.63599999999997</v>
          </cell>
          <cell r="AR157">
            <v>535.923</v>
          </cell>
          <cell r="AS157">
            <v>522.14200000000005</v>
          </cell>
          <cell r="AT157">
            <v>524.245</v>
          </cell>
          <cell r="AU157">
            <v>574.33100000000002</v>
          </cell>
          <cell r="AV157">
            <v>536.22400000000005</v>
          </cell>
          <cell r="AW157">
            <v>437.93099999999998</v>
          </cell>
          <cell r="AX157">
            <v>375.89600000000002</v>
          </cell>
          <cell r="AY157">
            <v>350.56900000000002</v>
          </cell>
          <cell r="AZ157">
            <v>312.77300000000002</v>
          </cell>
          <cell r="BA157">
            <v>270.887</v>
          </cell>
          <cell r="BB157">
            <v>229.48400000000001</v>
          </cell>
          <cell r="BC157">
            <v>182.291</v>
          </cell>
          <cell r="BD157">
            <v>141.18799999999999</v>
          </cell>
          <cell r="BE157">
            <v>90.51</v>
          </cell>
          <cell r="BF157">
            <v>51.716999999999999</v>
          </cell>
          <cell r="BG157">
            <v>21.087</v>
          </cell>
          <cell r="BH157">
            <v>4.8659999999999997</v>
          </cell>
          <cell r="BI157">
            <v>0.55200000000000005</v>
          </cell>
          <cell r="BJ157">
            <v>8.883722364404429</v>
          </cell>
          <cell r="BK157">
            <v>8.7972464617187267</v>
          </cell>
          <cell r="BL157">
            <v>8.9096235083716202</v>
          </cell>
          <cell r="BM157">
            <v>9.0642749221423955</v>
          </cell>
          <cell r="BN157">
            <v>9.7604760876938723</v>
          </cell>
          <cell r="BO157">
            <v>8.9841509666676949</v>
          </cell>
          <cell r="BP157">
            <v>7.3115383429434804</v>
          </cell>
          <cell r="BQ157">
            <v>6.2933767074712472</v>
          </cell>
          <cell r="BR157">
            <v>5.8833215133668402</v>
          </cell>
          <cell r="BS157">
            <v>5.2964447596435509</v>
          </cell>
          <cell r="BT157">
            <v>4.6734143257993894</v>
          </cell>
          <cell r="BU157">
            <v>4.0847337424069572</v>
          </cell>
          <cell r="BV157">
            <v>3.4067250470229107</v>
          </cell>
          <cell r="BW157">
            <v>2.8572816132712529</v>
          </cell>
          <cell r="BX157">
            <v>2.1523388116308473</v>
          </cell>
          <cell r="BY157">
            <v>1.6771915759612719</v>
          </cell>
          <cell r="BZ157">
            <v>1.1502574697049122</v>
          </cell>
          <cell r="CA157">
            <v>0.5814960994110574</v>
          </cell>
          <cell r="CB157">
            <v>0.19023465203046469</v>
          </cell>
          <cell r="CC157">
            <v>3.8543368998797449E-2</v>
          </cell>
          <cell r="CD157">
            <v>3.6230766858869603E-3</v>
          </cell>
          <cell r="CE157">
            <v>7.6080128758340599</v>
          </cell>
          <cell r="CF157">
            <v>8.0344732459110233</v>
          </cell>
          <cell r="CG157">
            <v>8.1969259093705329</v>
          </cell>
          <cell r="CH157">
            <v>7.9061132182356513</v>
          </cell>
          <cell r="CI157">
            <v>7.7028113516232732</v>
          </cell>
          <cell r="CJ157">
            <v>7.733835502663533</v>
          </cell>
          <cell r="CK157">
            <v>8.4727207280570145</v>
          </cell>
          <cell r="CL157">
            <v>7.9105536697159735</v>
          </cell>
          <cell r="CM157">
            <v>6.460502847937402</v>
          </cell>
          <cell r="CN157">
            <v>5.5453420254064634</v>
          </cell>
          <cell r="CO157">
            <v>5.1717097508478904</v>
          </cell>
          <cell r="CP157">
            <v>4.6141306672921658</v>
          </cell>
          <cell r="CQ157">
            <v>3.9962145519938512</v>
          </cell>
          <cell r="CR157">
            <v>3.3854238123267524</v>
          </cell>
          <cell r="CS157">
            <v>2.6892170790680656</v>
          </cell>
          <cell r="CT157">
            <v>2.08285203855079</v>
          </cell>
          <cell r="CU157">
            <v>1.3352334335016574</v>
          </cell>
          <cell r="CV157">
            <v>0.76294627643802027</v>
          </cell>
          <cell r="CW157">
            <v>0.31108239324107223</v>
          </cell>
          <cell r="CX157">
            <v>7.1784840210132178E-2</v>
          </cell>
          <cell r="CY157">
            <v>8.1432864356746765E-3</v>
          </cell>
          <cell r="CZ157">
            <v>100.00001541734761</v>
          </cell>
          <cell r="DA157">
            <v>99.991886218225304</v>
          </cell>
        </row>
        <row r="158">
          <cell r="B158" t="str">
            <v>SOM</v>
          </cell>
          <cell r="C158" t="str">
            <v>Sub-Saharan Africa</v>
          </cell>
          <cell r="D158" t="str">
            <v>Low income</v>
          </cell>
          <cell r="E158" t="str">
            <v>IDA</v>
          </cell>
          <cell r="F158" t="str">
            <v>HIPC</v>
          </cell>
          <cell r="G158">
            <v>1</v>
          </cell>
          <cell r="H158">
            <v>706</v>
          </cell>
          <cell r="I158">
            <v>15893.2</v>
          </cell>
          <cell r="J158">
            <v>16359.5</v>
          </cell>
          <cell r="K158">
            <v>16841.8</v>
          </cell>
          <cell r="L158">
            <v>17339.400000000001</v>
          </cell>
          <cell r="M158">
            <v>17851.3</v>
          </cell>
          <cell r="N158">
            <v>18376.5</v>
          </cell>
          <cell r="O158">
            <v>18914.8</v>
          </cell>
          <cell r="P158">
            <v>19466</v>
          </cell>
          <cell r="Q158">
            <v>20029.5</v>
          </cell>
          <cell r="R158">
            <v>20604.7</v>
          </cell>
          <cell r="S158">
            <v>21191</v>
          </cell>
          <cell r="T158">
            <v>2826.5</v>
          </cell>
          <cell r="U158">
            <v>2388.86</v>
          </cell>
          <cell r="V158">
            <v>2119.34</v>
          </cell>
          <cell r="W158">
            <v>1818.25</v>
          </cell>
          <cell r="X158">
            <v>1534.28</v>
          </cell>
          <cell r="Y158">
            <v>1159.5999999999999</v>
          </cell>
          <cell r="Z158">
            <v>868.58199999999999</v>
          </cell>
          <cell r="AA158">
            <v>665.822</v>
          </cell>
          <cell r="AB158">
            <v>561.005</v>
          </cell>
          <cell r="AC158">
            <v>492.88900000000001</v>
          </cell>
          <cell r="AD158">
            <v>407.29199999999997</v>
          </cell>
          <cell r="AE158">
            <v>326.68</v>
          </cell>
          <cell r="AF158">
            <v>262.875</v>
          </cell>
          <cell r="AG158">
            <v>199.91499999999999</v>
          </cell>
          <cell r="AH158">
            <v>134.577</v>
          </cell>
          <cell r="AI158">
            <v>75.53</v>
          </cell>
          <cell r="AJ158">
            <v>36.029000000000003</v>
          </cell>
          <cell r="AK158">
            <v>11.768000000000001</v>
          </cell>
          <cell r="AL158">
            <v>2.9489999999999998</v>
          </cell>
          <cell r="AM158">
            <v>0.437</v>
          </cell>
          <cell r="AN158">
            <v>3.9E-2</v>
          </cell>
          <cell r="AO158">
            <v>3603.32</v>
          </cell>
          <cell r="AP158">
            <v>3112.78</v>
          </cell>
          <cell r="AQ158">
            <v>2684.29</v>
          </cell>
          <cell r="AR158">
            <v>2309.4299999999998</v>
          </cell>
          <cell r="AS158">
            <v>2025.69</v>
          </cell>
          <cell r="AT158">
            <v>1701.53</v>
          </cell>
          <cell r="AU158">
            <v>1414.29</v>
          </cell>
          <cell r="AV158">
            <v>1057.3599999999999</v>
          </cell>
          <cell r="AW158">
            <v>785.221</v>
          </cell>
          <cell r="AX158">
            <v>597.97799999999995</v>
          </cell>
          <cell r="AY158">
            <v>500.31200000000001</v>
          </cell>
          <cell r="AZ158">
            <v>431.82299999999998</v>
          </cell>
          <cell r="BA158">
            <v>343.04199999999997</v>
          </cell>
          <cell r="BB158">
            <v>255.48</v>
          </cell>
          <cell r="BC158">
            <v>180.71299999999999</v>
          </cell>
          <cell r="BD158">
            <v>111.08199999999999</v>
          </cell>
          <cell r="BE158">
            <v>53.432000000000002</v>
          </cell>
          <cell r="BF158">
            <v>18.257999999999999</v>
          </cell>
          <cell r="BG158">
            <v>4.3860000000000001</v>
          </cell>
          <cell r="BH158">
            <v>0.58299999999999996</v>
          </cell>
          <cell r="BI158">
            <v>5.5E-2</v>
          </cell>
          <cell r="BJ158">
            <v>17.784335439055695</v>
          </cell>
          <cell r="BK158">
            <v>15.030704955578486</v>
          </cell>
          <cell r="BL158">
            <v>13.334885359776507</v>
          </cell>
          <cell r="BM158">
            <v>11.44042735257846</v>
          </cell>
          <cell r="BN158">
            <v>9.653688369868874</v>
          </cell>
          <cell r="BO158">
            <v>7.2962021493468896</v>
          </cell>
          <cell r="BP158">
            <v>5.4651171570231289</v>
          </cell>
          <cell r="BQ158">
            <v>4.1893514207333959</v>
          </cell>
          <cell r="BR158">
            <v>3.5298429517026149</v>
          </cell>
          <cell r="BS158">
            <v>3.1012571414189716</v>
          </cell>
          <cell r="BT158">
            <v>2.5626808949739508</v>
          </cell>
          <cell r="BU158">
            <v>2.0554702640122819</v>
          </cell>
          <cell r="BV158">
            <v>1.6540092618226663</v>
          </cell>
          <cell r="BW158">
            <v>1.25786499886744</v>
          </cell>
          <cell r="BX158">
            <v>0.84675836206679589</v>
          </cell>
          <cell r="BY158">
            <v>0.47523469156620435</v>
          </cell>
          <cell r="BZ158">
            <v>0.22669443535600131</v>
          </cell>
          <cell r="CA158">
            <v>7.404424533762867E-2</v>
          </cell>
          <cell r="CB158">
            <v>1.8555105328064831E-2</v>
          </cell>
          <cell r="CC158">
            <v>2.749603604057081E-3</v>
          </cell>
          <cell r="CD158">
            <v>2.4538796466413304E-4</v>
          </cell>
          <cell r="CE158">
            <v>17.00401113680336</v>
          </cell>
          <cell r="CF158">
            <v>14.68916049266198</v>
          </cell>
          <cell r="CG158">
            <v>12.667122835165873</v>
          </cell>
          <cell r="CH158">
            <v>10.898164315039404</v>
          </cell>
          <cell r="CI158">
            <v>9.5591996602331175</v>
          </cell>
          <cell r="CJ158">
            <v>8.0294936529658809</v>
          </cell>
          <cell r="CK158">
            <v>6.6740125524987022</v>
          </cell>
          <cell r="CL158">
            <v>4.989665424000755</v>
          </cell>
          <cell r="CM158">
            <v>3.7054457080836203</v>
          </cell>
          <cell r="CN158">
            <v>2.8218488981171248</v>
          </cell>
          <cell r="CO158">
            <v>2.3609645604265963</v>
          </cell>
          <cell r="CP158">
            <v>2.0377660327497522</v>
          </cell>
          <cell r="CQ158">
            <v>1.6188098721155206</v>
          </cell>
          <cell r="CR158">
            <v>1.2056061535557547</v>
          </cell>
          <cell r="CS158">
            <v>0.85278184134774204</v>
          </cell>
          <cell r="CT158">
            <v>0.52419423340097215</v>
          </cell>
          <cell r="CU158">
            <v>0.25214477844367894</v>
          </cell>
          <cell r="CV158">
            <v>8.615921853617102E-2</v>
          </cell>
          <cell r="CW158">
            <v>2.0697465905337172E-2</v>
          </cell>
          <cell r="CX158">
            <v>2.7511679486574487E-3</v>
          </cell>
          <cell r="CY158">
            <v>2.5954414609975931E-4</v>
          </cell>
          <cell r="CZ158">
            <v>100.00011954798281</v>
          </cell>
          <cell r="DA158">
            <v>100</v>
          </cell>
        </row>
        <row r="159">
          <cell r="B159" t="str">
            <v>SRB</v>
          </cell>
          <cell r="C159" t="str">
            <v>Europe &amp; Central Asia</v>
          </cell>
          <cell r="D159" t="str">
            <v>Upper middle income</v>
          </cell>
          <cell r="E159" t="str">
            <v>IBRD</v>
          </cell>
          <cell r="G159">
            <v>0</v>
          </cell>
          <cell r="H159">
            <v>688</v>
          </cell>
          <cell r="I159">
            <v>8737.3700000000008</v>
          </cell>
          <cell r="J159">
            <v>8697.5499999999993</v>
          </cell>
          <cell r="K159">
            <v>8653.02</v>
          </cell>
          <cell r="L159">
            <v>8605</v>
          </cell>
          <cell r="M159">
            <v>8555.2900000000009</v>
          </cell>
          <cell r="N159">
            <v>8505.25</v>
          </cell>
          <cell r="O159">
            <v>8455.2900000000009</v>
          </cell>
          <cell r="P159">
            <v>8405.11</v>
          </cell>
          <cell r="Q159">
            <v>8354.5</v>
          </cell>
          <cell r="R159">
            <v>8303.0499999999993</v>
          </cell>
          <cell r="S159">
            <v>8250.43</v>
          </cell>
          <cell r="T159">
            <v>419.05700000000002</v>
          </cell>
          <cell r="U159">
            <v>436.76299999999998</v>
          </cell>
          <cell r="V159">
            <v>486.863</v>
          </cell>
          <cell r="W159">
            <v>512.86800000000005</v>
          </cell>
          <cell r="X159">
            <v>529.16899999999998</v>
          </cell>
          <cell r="Y159">
            <v>573.29700000000003</v>
          </cell>
          <cell r="Z159">
            <v>617.923</v>
          </cell>
          <cell r="AA159">
            <v>596.96100000000001</v>
          </cell>
          <cell r="AB159">
            <v>621.55200000000002</v>
          </cell>
          <cell r="AC159">
            <v>608.34199999999998</v>
          </cell>
          <cell r="AD159">
            <v>570.649</v>
          </cell>
          <cell r="AE159">
            <v>550.85900000000004</v>
          </cell>
          <cell r="AF159">
            <v>547.85400000000004</v>
          </cell>
          <cell r="AG159">
            <v>594.61699999999996</v>
          </cell>
          <cell r="AH159">
            <v>464.14100000000002</v>
          </cell>
          <cell r="AI159">
            <v>265.541</v>
          </cell>
          <cell r="AJ159">
            <v>204.46100000000001</v>
          </cell>
          <cell r="AK159">
            <v>105.40900000000001</v>
          </cell>
          <cell r="AL159">
            <v>28.003</v>
          </cell>
          <cell r="AM159">
            <v>2.9340000000000002</v>
          </cell>
          <cell r="AN159">
            <v>0.107</v>
          </cell>
          <cell r="AO159">
            <v>361.02300000000002</v>
          </cell>
          <cell r="AP159">
            <v>384.67899999999997</v>
          </cell>
          <cell r="AQ159">
            <v>415.22500000000002</v>
          </cell>
          <cell r="AR159">
            <v>431.714</v>
          </cell>
          <cell r="AS159">
            <v>474.77</v>
          </cell>
          <cell r="AT159">
            <v>493.88499999999999</v>
          </cell>
          <cell r="AU159">
            <v>509.07499999999999</v>
          </cell>
          <cell r="AV159">
            <v>555.55499999999995</v>
          </cell>
          <cell r="AW159">
            <v>601.88599999999997</v>
          </cell>
          <cell r="AX159">
            <v>580.29600000000005</v>
          </cell>
          <cell r="AY159">
            <v>598.70000000000005</v>
          </cell>
          <cell r="AZ159">
            <v>574.44799999999998</v>
          </cell>
          <cell r="BA159">
            <v>521.78800000000001</v>
          </cell>
          <cell r="BB159">
            <v>480.82299999999998</v>
          </cell>
          <cell r="BC159">
            <v>446.30700000000002</v>
          </cell>
          <cell r="BD159">
            <v>426.64699999999999</v>
          </cell>
          <cell r="BE159">
            <v>258.2</v>
          </cell>
          <cell r="BF159">
            <v>94.385999999999996</v>
          </cell>
          <cell r="BG159">
            <v>34.875</v>
          </cell>
          <cell r="BH159">
            <v>5.7889999999999997</v>
          </cell>
          <cell r="BI159">
            <v>0.36299999999999999</v>
          </cell>
          <cell r="BJ159">
            <v>4.796145750952518</v>
          </cell>
          <cell r="BK159">
            <v>4.9987925428361164</v>
          </cell>
          <cell r="BL159">
            <v>5.5721916320357261</v>
          </cell>
          <cell r="BM159">
            <v>5.8698212391142874</v>
          </cell>
          <cell r="BN159">
            <v>6.0563876772987744</v>
          </cell>
          <cell r="BO159">
            <v>6.5614366794584642</v>
          </cell>
          <cell r="BP159">
            <v>7.0721853372353456</v>
          </cell>
          <cell r="BQ159">
            <v>6.8322733270995739</v>
          </cell>
          <cell r="BR159">
            <v>7.113719574654616</v>
          </cell>
          <cell r="BS159">
            <v>6.9625299146081705</v>
          </cell>
          <cell r="BT159">
            <v>6.5311300768995704</v>
          </cell>
          <cell r="BU159">
            <v>6.3046317141199237</v>
          </cell>
          <cell r="BV159">
            <v>6.270239213859548</v>
          </cell>
          <cell r="BW159">
            <v>6.8054460323873194</v>
          </cell>
          <cell r="BX159">
            <v>5.3121362606825624</v>
          </cell>
          <cell r="BY159">
            <v>3.0391410687655438</v>
          </cell>
          <cell r="BZ159">
            <v>2.3400748737892525</v>
          </cell>
          <cell r="CA159">
            <v>1.2064156605477392</v>
          </cell>
          <cell r="CB159">
            <v>0.32049690009693987</v>
          </cell>
          <cell r="CC159">
            <v>3.3579898756719698E-2</v>
          </cell>
          <cell r="CD159">
            <v>1.2246248012845969E-3</v>
          </cell>
          <cell r="CE159">
            <v>4.3758082912042164</v>
          </cell>
          <cell r="CF159">
            <v>4.6625327407177561</v>
          </cell>
          <cell r="CG159">
            <v>5.0327679890623882</v>
          </cell>
          <cell r="CH159">
            <v>5.2326242389790592</v>
          </cell>
          <cell r="CI159">
            <v>5.7544879479008975</v>
          </cell>
          <cell r="CJ159">
            <v>5.9861728419003608</v>
          </cell>
          <cell r="CK159">
            <v>6.1702844579009817</v>
          </cell>
          <cell r="CL159">
            <v>6.7336490340503454</v>
          </cell>
          <cell r="CM159">
            <v>7.2952076437228115</v>
          </cell>
          <cell r="CN159">
            <v>7.0335243132782184</v>
          </cell>
          <cell r="CO159">
            <v>7.2565914746261715</v>
          </cell>
          <cell r="CP159">
            <v>6.962643159205034</v>
          </cell>
          <cell r="CQ159">
            <v>6.3243733962957087</v>
          </cell>
          <cell r="CR159">
            <v>5.8278538209523623</v>
          </cell>
          <cell r="CS159">
            <v>5.4094998684917028</v>
          </cell>
          <cell r="CT159">
            <v>5.1712092581841187</v>
          </cell>
          <cell r="CU159">
            <v>3.1295338545990932</v>
          </cell>
          <cell r="CV159">
            <v>1.1440130999232765</v>
          </cell>
          <cell r="CW159">
            <v>0.42270524081775129</v>
          </cell>
          <cell r="CX159">
            <v>7.0166039830651242E-2</v>
          </cell>
          <cell r="CY159">
            <v>4.3997706786191746E-3</v>
          </cell>
          <cell r="CZ159">
            <v>99.999999999999986</v>
          </cell>
          <cell r="DA159">
            <v>99.9956487116429</v>
          </cell>
        </row>
        <row r="160">
          <cell r="B160" t="str">
            <v>SSD</v>
          </cell>
          <cell r="C160" t="str">
            <v>Sub-Saharan Africa</v>
          </cell>
          <cell r="D160" t="str">
            <v>Low income</v>
          </cell>
          <cell r="E160" t="str">
            <v>IDA</v>
          </cell>
          <cell r="G160">
            <v>1</v>
          </cell>
          <cell r="H160">
            <v>728</v>
          </cell>
          <cell r="I160">
            <v>11193.7</v>
          </cell>
          <cell r="J160">
            <v>11381.4</v>
          </cell>
          <cell r="K160">
            <v>11618.5</v>
          </cell>
          <cell r="L160">
            <v>11891</v>
          </cell>
          <cell r="M160">
            <v>12176.5</v>
          </cell>
          <cell r="N160">
            <v>12458.3</v>
          </cell>
          <cell r="O160">
            <v>12733</v>
          </cell>
          <cell r="P160">
            <v>13005.7</v>
          </cell>
          <cell r="Q160">
            <v>13278.4</v>
          </cell>
          <cell r="R160">
            <v>13555.2</v>
          </cell>
          <cell r="S160">
            <v>13839.3</v>
          </cell>
          <cell r="T160">
            <v>1707.39</v>
          </cell>
          <cell r="U160">
            <v>1538.29</v>
          </cell>
          <cell r="V160">
            <v>1380.43</v>
          </cell>
          <cell r="W160">
            <v>1201.47</v>
          </cell>
          <cell r="X160">
            <v>1062.17</v>
          </cell>
          <cell r="Y160">
            <v>900.78700000000003</v>
          </cell>
          <cell r="Z160">
            <v>744.17399999999998</v>
          </cell>
          <cell r="AA160">
            <v>589.97900000000004</v>
          </cell>
          <cell r="AB160">
            <v>491.92599999999999</v>
          </cell>
          <cell r="AC160">
            <v>404.911</v>
          </cell>
          <cell r="AD160">
            <v>332.202</v>
          </cell>
          <cell r="AE160">
            <v>263.32299999999998</v>
          </cell>
          <cell r="AF160">
            <v>201.37700000000001</v>
          </cell>
          <cell r="AG160">
            <v>143.56</v>
          </cell>
          <cell r="AH160">
            <v>112.23</v>
          </cell>
          <cell r="AI160">
            <v>70.396000000000001</v>
          </cell>
          <cell r="AJ160">
            <v>33.933999999999997</v>
          </cell>
          <cell r="AK160">
            <v>12.064</v>
          </cell>
          <cell r="AL160">
            <v>2.7290000000000001</v>
          </cell>
          <cell r="AM160">
            <v>0.36299999999999999</v>
          </cell>
          <cell r="AN160">
            <v>2.5999999999999999E-2</v>
          </cell>
          <cell r="AO160">
            <v>1927.29</v>
          </cell>
          <cell r="AP160">
            <v>1768.12</v>
          </cell>
          <cell r="AQ160">
            <v>1612.98</v>
          </cell>
          <cell r="AR160">
            <v>1476.75</v>
          </cell>
          <cell r="AS160">
            <v>1322.69</v>
          </cell>
          <cell r="AT160">
            <v>1139.49</v>
          </cell>
          <cell r="AU160">
            <v>995.06299999999999</v>
          </cell>
          <cell r="AV160">
            <v>831.24599999999998</v>
          </cell>
          <cell r="AW160">
            <v>676.16899999999998</v>
          </cell>
          <cell r="AX160">
            <v>529.47299999999996</v>
          </cell>
          <cell r="AY160">
            <v>436.05799999999999</v>
          </cell>
          <cell r="AZ160">
            <v>351.54</v>
          </cell>
          <cell r="BA160">
            <v>277.69099999999997</v>
          </cell>
          <cell r="BB160">
            <v>205.416</v>
          </cell>
          <cell r="BC160">
            <v>139.67500000000001</v>
          </cell>
          <cell r="BD160">
            <v>81.477999999999994</v>
          </cell>
          <cell r="BE160">
            <v>45.901000000000003</v>
          </cell>
          <cell r="BF160">
            <v>17.407</v>
          </cell>
          <cell r="BG160">
            <v>4.1619999999999999</v>
          </cell>
          <cell r="BH160">
            <v>0.61199999999999999</v>
          </cell>
          <cell r="BI160">
            <v>4.8000000000000001E-2</v>
          </cell>
          <cell r="BJ160">
            <v>15.253133458999258</v>
          </cell>
          <cell r="BK160">
            <v>13.742462277888453</v>
          </cell>
          <cell r="BL160">
            <v>12.332204722299151</v>
          </cell>
          <cell r="BM160">
            <v>10.733448278942619</v>
          </cell>
          <cell r="BN160">
            <v>9.4889982758158595</v>
          </cell>
          <cell r="BO160">
            <v>8.0472676594870318</v>
          </cell>
          <cell r="BP160">
            <v>6.6481502988288046</v>
          </cell>
          <cell r="BQ160">
            <v>5.2706343746929081</v>
          </cell>
          <cell r="BR160">
            <v>4.3946684295630574</v>
          </cell>
          <cell r="BS160">
            <v>3.6173115234462241</v>
          </cell>
          <cell r="BT160">
            <v>2.9677586499548854</v>
          </cell>
          <cell r="BU160">
            <v>2.3524214513520993</v>
          </cell>
          <cell r="BV160">
            <v>1.7990208778151995</v>
          </cell>
          <cell r="BW160">
            <v>1.28250712454327</v>
          </cell>
          <cell r="BX160">
            <v>1.0026175437969571</v>
          </cell>
          <cell r="BY160">
            <v>0.62888946460955708</v>
          </cell>
          <cell r="BZ160">
            <v>0.30315266623189829</v>
          </cell>
          <cell r="CA160">
            <v>0.10777490910065482</v>
          </cell>
          <cell r="CB160">
            <v>2.4379785057666366E-2</v>
          </cell>
          <cell r="CC160">
            <v>3.2428955573224221E-3</v>
          </cell>
          <cell r="CD160">
            <v>2.3227351099279055E-4</v>
          </cell>
          <cell r="CE160">
            <v>13.926210140686306</v>
          </cell>
          <cell r="CF160">
            <v>12.776079715014488</v>
          </cell>
          <cell r="CG160">
            <v>11.655069259283346</v>
          </cell>
          <cell r="CH160">
            <v>10.670698662504607</v>
          </cell>
          <cell r="CI160">
            <v>9.5574920696856065</v>
          </cell>
          <cell r="CJ160">
            <v>8.2337256942186379</v>
          </cell>
          <cell r="CK160">
            <v>7.190125223096544</v>
          </cell>
          <cell r="CL160">
            <v>6.0064165095055388</v>
          </cell>
          <cell r="CM160">
            <v>4.8858612791109373</v>
          </cell>
          <cell r="CN160">
            <v>3.8258654700743535</v>
          </cell>
          <cell r="CO160">
            <v>3.1508674571690767</v>
          </cell>
          <cell r="CP160">
            <v>2.5401573779020619</v>
          </cell>
          <cell r="CQ160">
            <v>2.0065393480884151</v>
          </cell>
          <cell r="CR160">
            <v>1.4842947258893151</v>
          </cell>
          <cell r="CS160">
            <v>1.0092634743086719</v>
          </cell>
          <cell r="CT160">
            <v>0.58874365032913512</v>
          </cell>
          <cell r="CU160">
            <v>0.33167139956500696</v>
          </cell>
          <cell r="CV160">
            <v>0.12577948306634007</v>
          </cell>
          <cell r="CW160">
            <v>3.0073775407715709E-2</v>
          </cell>
          <cell r="CX160">
            <v>4.4221889835468556E-3</v>
          </cell>
          <cell r="CY160">
            <v>3.4683835165073379E-4</v>
          </cell>
          <cell r="CZ160">
            <v>100.00027694149385</v>
          </cell>
          <cell r="DA160">
            <v>99.999356903889634</v>
          </cell>
        </row>
        <row r="161">
          <cell r="B161" t="str">
            <v>STP</v>
          </cell>
          <cell r="C161" t="str">
            <v>Sub-Saharan Africa</v>
          </cell>
          <cell r="D161" t="str">
            <v>Lower middle income</v>
          </cell>
          <cell r="E161" t="str">
            <v>IDA</v>
          </cell>
          <cell r="F161" t="str">
            <v>HIPC</v>
          </cell>
          <cell r="G161">
            <v>1</v>
          </cell>
          <cell r="H161">
            <v>678</v>
          </cell>
          <cell r="I161">
            <v>219.161</v>
          </cell>
          <cell r="J161">
            <v>223.364</v>
          </cell>
          <cell r="K161">
            <v>227.679</v>
          </cell>
          <cell r="L161">
            <v>232.13200000000001</v>
          </cell>
          <cell r="M161">
            <v>236.76</v>
          </cell>
          <cell r="N161">
            <v>241.57599999999999</v>
          </cell>
          <cell r="O161">
            <v>246.58600000000001</v>
          </cell>
          <cell r="P161">
            <v>251.792</v>
          </cell>
          <cell r="Q161">
            <v>257.15699999999998</v>
          </cell>
          <cell r="R161">
            <v>262.65300000000002</v>
          </cell>
          <cell r="S161">
            <v>268.24200000000002</v>
          </cell>
          <cell r="T161">
            <v>31.754000000000001</v>
          </cell>
          <cell r="U161">
            <v>30.657</v>
          </cell>
          <cell r="V161">
            <v>29.106000000000002</v>
          </cell>
          <cell r="W161">
            <v>25.003</v>
          </cell>
          <cell r="X161">
            <v>18.677</v>
          </cell>
          <cell r="Y161">
            <v>14.948</v>
          </cell>
          <cell r="Z161">
            <v>14.083</v>
          </cell>
          <cell r="AA161">
            <v>12.548</v>
          </cell>
          <cell r="AB161">
            <v>11.052</v>
          </cell>
          <cell r="AC161">
            <v>7.6280000000000001</v>
          </cell>
          <cell r="AD161">
            <v>7.3609999999999998</v>
          </cell>
          <cell r="AE161">
            <v>5.4189999999999996</v>
          </cell>
          <cell r="AF161">
            <v>4.3319999999999999</v>
          </cell>
          <cell r="AG161">
            <v>2.75</v>
          </cell>
          <cell r="AH161">
            <v>1.744</v>
          </cell>
          <cell r="AI161">
            <v>1.02</v>
          </cell>
          <cell r="AJ161">
            <v>0.72399999999999998</v>
          </cell>
          <cell r="AK161">
            <v>0.25700000000000001</v>
          </cell>
          <cell r="AL161">
            <v>8.6999999999999994E-2</v>
          </cell>
          <cell r="AM161">
            <v>0.01</v>
          </cell>
          <cell r="AN161">
            <v>1E-3</v>
          </cell>
          <cell r="AO161">
            <v>36.304000000000002</v>
          </cell>
          <cell r="AP161">
            <v>33.183999999999997</v>
          </cell>
          <cell r="AQ161">
            <v>31.248999999999999</v>
          </cell>
          <cell r="AR161">
            <v>29.798999999999999</v>
          </cell>
          <cell r="AS161">
            <v>27.135999999999999</v>
          </cell>
          <cell r="AT161">
            <v>22.459</v>
          </cell>
          <cell r="AU161">
            <v>16.484000000000002</v>
          </cell>
          <cell r="AV161">
            <v>13.314</v>
          </cell>
          <cell r="AW161">
            <v>12.852</v>
          </cell>
          <cell r="AX161">
            <v>11.561999999999999</v>
          </cell>
          <cell r="AY161">
            <v>10.163</v>
          </cell>
          <cell r="AZ161">
            <v>6.8479999999999999</v>
          </cell>
          <cell r="BA161">
            <v>6.415</v>
          </cell>
          <cell r="BB161">
            <v>4.4320000000000004</v>
          </cell>
          <cell r="BC161">
            <v>3.1819999999999999</v>
          </cell>
          <cell r="BD161">
            <v>1.6759999999999999</v>
          </cell>
          <cell r="BE161">
            <v>0.77500000000000002</v>
          </cell>
          <cell r="BF161">
            <v>0.28699999999999998</v>
          </cell>
          <cell r="BG161">
            <v>0.105</v>
          </cell>
          <cell r="BH161">
            <v>1.4999999999999999E-2</v>
          </cell>
          <cell r="BI161">
            <v>1E-3</v>
          </cell>
          <cell r="BJ161">
            <v>14.48889172799905</v>
          </cell>
          <cell r="BK161">
            <v>13.988346466752752</v>
          </cell>
          <cell r="BL161">
            <v>13.280647560469244</v>
          </cell>
          <cell r="BM161">
            <v>11.408507900584501</v>
          </cell>
          <cell r="BN161">
            <v>8.5220454369162404</v>
          </cell>
          <cell r="BO161">
            <v>6.8205565771282295</v>
          </cell>
          <cell r="BP161">
            <v>6.4258695662093164</v>
          </cell>
          <cell r="BQ161">
            <v>5.7254712289139036</v>
          </cell>
          <cell r="BR161">
            <v>5.0428680285269731</v>
          </cell>
          <cell r="BS161">
            <v>3.4805462650745342</v>
          </cell>
          <cell r="BT161">
            <v>3.3587180200856901</v>
          </cell>
          <cell r="BU161">
            <v>2.4726114591555977</v>
          </cell>
          <cell r="BV161">
            <v>1.9766290535268591</v>
          </cell>
          <cell r="BW161">
            <v>1.2547852948289158</v>
          </cell>
          <cell r="BX161">
            <v>0.79576201970241056</v>
          </cell>
          <cell r="BY161">
            <v>0.4654112729910887</v>
          </cell>
          <cell r="BZ161">
            <v>0.33035074671132181</v>
          </cell>
          <cell r="CA161">
            <v>0.11726538937128413</v>
          </cell>
          <cell r="CB161">
            <v>3.9696843872769332E-2</v>
          </cell>
          <cell r="CC161">
            <v>4.5628556175596937E-3</v>
          </cell>
          <cell r="CD161">
            <v>4.5628556175596934E-4</v>
          </cell>
          <cell r="CE161">
            <v>13.534047613721937</v>
          </cell>
          <cell r="CF161">
            <v>12.370918797205507</v>
          </cell>
          <cell r="CG161">
            <v>11.64955525234676</v>
          </cell>
          <cell r="CH161">
            <v>11.108998590824703</v>
          </cell>
          <cell r="CI161">
            <v>10.116238322112121</v>
          </cell>
          <cell r="CJ161">
            <v>8.3726634904302824</v>
          </cell>
          <cell r="CK161">
            <v>6.1451972472618017</v>
          </cell>
          <cell r="CL161">
            <v>4.9634285458653</v>
          </cell>
          <cell r="CM161">
            <v>4.7911960095734445</v>
          </cell>
          <cell r="CN161">
            <v>4.3102869796676133</v>
          </cell>
          <cell r="CO161">
            <v>3.7887430007232279</v>
          </cell>
          <cell r="CP161">
            <v>2.5529186331745213</v>
          </cell>
          <cell r="CQ161">
            <v>2.3914972301131066</v>
          </cell>
          <cell r="CR161">
            <v>1.6522393957694916</v>
          </cell>
          <cell r="CS161">
            <v>1.186242273767717</v>
          </cell>
          <cell r="CT161">
            <v>0.6248089411799792</v>
          </cell>
          <cell r="CU161">
            <v>0.28891821564110021</v>
          </cell>
          <cell r="CV161">
            <v>0.10699293921160741</v>
          </cell>
          <cell r="CW161">
            <v>3.9143758248149058E-2</v>
          </cell>
          <cell r="CX161">
            <v>5.5919654640212936E-3</v>
          </cell>
          <cell r="CY161">
            <v>3.7279769760141957E-4</v>
          </cell>
          <cell r="CZ161">
            <v>100.00000000000001</v>
          </cell>
          <cell r="DA161">
            <v>99.999627202302378</v>
          </cell>
        </row>
        <row r="162">
          <cell r="B162" t="str">
            <v>SUR</v>
          </cell>
          <cell r="C162" t="str">
            <v>Latin America &amp; Caribbean</v>
          </cell>
          <cell r="D162" t="str">
            <v>Upper middle income</v>
          </cell>
          <cell r="E162" t="str">
            <v>IBRD</v>
          </cell>
          <cell r="G162">
            <v>0</v>
          </cell>
          <cell r="H162">
            <v>740</v>
          </cell>
          <cell r="I162">
            <v>586.63400000000001</v>
          </cell>
          <cell r="J162">
            <v>591.798</v>
          </cell>
          <cell r="K162">
            <v>596.83799999999997</v>
          </cell>
          <cell r="L162">
            <v>601.75</v>
          </cell>
          <cell r="M162">
            <v>606.53300000000002</v>
          </cell>
          <cell r="N162">
            <v>611.19000000000005</v>
          </cell>
          <cell r="O162">
            <v>615.70299999999997</v>
          </cell>
          <cell r="P162">
            <v>620.09199999999998</v>
          </cell>
          <cell r="Q162">
            <v>624.34</v>
          </cell>
          <cell r="R162">
            <v>628.44000000000005</v>
          </cell>
          <cell r="S162">
            <v>632.399</v>
          </cell>
          <cell r="T162">
            <v>52.186</v>
          </cell>
          <cell r="U162">
            <v>52.645000000000003</v>
          </cell>
          <cell r="V162">
            <v>51.594000000000001</v>
          </cell>
          <cell r="W162">
            <v>50.637</v>
          </cell>
          <cell r="X162">
            <v>48.735999999999997</v>
          </cell>
          <cell r="Y162">
            <v>47.036000000000001</v>
          </cell>
          <cell r="Z162">
            <v>42.969000000000001</v>
          </cell>
          <cell r="AA162">
            <v>39.817</v>
          </cell>
          <cell r="AB162">
            <v>35.203000000000003</v>
          </cell>
          <cell r="AC162">
            <v>37.521000000000001</v>
          </cell>
          <cell r="AD162">
            <v>32.863</v>
          </cell>
          <cell r="AE162">
            <v>31.965</v>
          </cell>
          <cell r="AF162">
            <v>21.600999999999999</v>
          </cell>
          <cell r="AG162">
            <v>15.327</v>
          </cell>
          <cell r="AH162">
            <v>11.343</v>
          </cell>
          <cell r="AI162">
            <v>7.3419999999999996</v>
          </cell>
          <cell r="AJ162">
            <v>4.7110000000000003</v>
          </cell>
          <cell r="AK162">
            <v>2.1779999999999999</v>
          </cell>
          <cell r="AL162">
            <v>0.77100000000000002</v>
          </cell>
          <cell r="AM162">
            <v>0.16600000000000001</v>
          </cell>
          <cell r="AN162">
            <v>2.3E-2</v>
          </cell>
          <cell r="AO162">
            <v>49.942</v>
          </cell>
          <cell r="AP162">
            <v>50.917000000000002</v>
          </cell>
          <cell r="AQ162">
            <v>51.723999999999997</v>
          </cell>
          <cell r="AR162">
            <v>51.79</v>
          </cell>
          <cell r="AS162">
            <v>49.78</v>
          </cell>
          <cell r="AT162">
            <v>48.207000000000001</v>
          </cell>
          <cell r="AU162">
            <v>46.31</v>
          </cell>
          <cell r="AV162">
            <v>44.798000000000002</v>
          </cell>
          <cell r="AW162">
            <v>40.927</v>
          </cell>
          <cell r="AX162">
            <v>37.860999999999997</v>
          </cell>
          <cell r="AY162">
            <v>33.177999999999997</v>
          </cell>
          <cell r="AZ162">
            <v>34.694000000000003</v>
          </cell>
          <cell r="BA162">
            <v>29.202000000000002</v>
          </cell>
          <cell r="BB162">
            <v>26.67</v>
          </cell>
          <cell r="BC162">
            <v>16.309999999999999</v>
          </cell>
          <cell r="BD162">
            <v>9.9960000000000004</v>
          </cell>
          <cell r="BE162">
            <v>5.9089999999999998</v>
          </cell>
          <cell r="BF162">
            <v>2.7679999999999998</v>
          </cell>
          <cell r="BG162">
            <v>1.107</v>
          </cell>
          <cell r="BH162">
            <v>0.26600000000000001</v>
          </cell>
          <cell r="BI162">
            <v>4.2999999999999997E-2</v>
          </cell>
          <cell r="BJ162">
            <v>8.8958362454273026</v>
          </cell>
          <cell r="BK162">
            <v>8.9740792385030534</v>
          </cell>
          <cell r="BL162">
            <v>8.7949215354036756</v>
          </cell>
          <cell r="BM162">
            <v>8.6317874518012925</v>
          </cell>
          <cell r="BN162">
            <v>8.3077353170801551</v>
          </cell>
          <cell r="BO162">
            <v>8.0179464538366343</v>
          </cell>
          <cell r="BP162">
            <v>7.3246692145358088</v>
          </cell>
          <cell r="BQ162">
            <v>6.7873665692748801</v>
          </cell>
          <cell r="BR162">
            <v>6.0008455016245232</v>
          </cell>
          <cell r="BS162">
            <v>6.3959811398589235</v>
          </cell>
          <cell r="BT162">
            <v>5.601959654571675</v>
          </cell>
          <cell r="BU162">
            <v>5.448882949164215</v>
          </cell>
          <cell r="BV162">
            <v>3.6821936676019456</v>
          </cell>
          <cell r="BW162">
            <v>2.6127022981961496</v>
          </cell>
          <cell r="BX162">
            <v>1.9335735739830966</v>
          </cell>
          <cell r="BY162">
            <v>1.2515469611376087</v>
          </cell>
          <cell r="BZ162">
            <v>0.80305607925895883</v>
          </cell>
          <cell r="CA162">
            <v>0.37127067302611166</v>
          </cell>
          <cell r="CB162">
            <v>0.13142777268279709</v>
          </cell>
          <cell r="CC162">
            <v>2.8297030175543868E-2</v>
          </cell>
          <cell r="CD162">
            <v>3.9206728556476439E-3</v>
          </cell>
          <cell r="CE162">
            <v>7.8972294390092328</v>
          </cell>
          <cell r="CF162">
            <v>8.0514042558574577</v>
          </cell>
          <cell r="CG162">
            <v>8.1790135658026024</v>
          </cell>
          <cell r="CH162">
            <v>8.1894500149430982</v>
          </cell>
          <cell r="CI162">
            <v>7.8716127002098357</v>
          </cell>
          <cell r="CJ162">
            <v>7.6228773290280341</v>
          </cell>
          <cell r="CK162">
            <v>7.3229084802474391</v>
          </cell>
          <cell r="CL162">
            <v>7.0838189181197313</v>
          </cell>
          <cell r="CM162">
            <v>6.4717053632279615</v>
          </cell>
          <cell r="CN162">
            <v>5.986884862246777</v>
          </cell>
          <cell r="CO162">
            <v>5.2463713573234614</v>
          </cell>
          <cell r="CP162">
            <v>5.4860934315202909</v>
          </cell>
          <cell r="CQ162">
            <v>4.6176543606172693</v>
          </cell>
          <cell r="CR162">
            <v>4.2172742208637271</v>
          </cell>
          <cell r="CS162">
            <v>2.5790679618405465</v>
          </cell>
          <cell r="CT162">
            <v>1.5806476607331765</v>
          </cell>
          <cell r="CU162">
            <v>0.93437845410887732</v>
          </cell>
          <cell r="CV162">
            <v>0.43769835183167582</v>
          </cell>
          <cell r="CW162">
            <v>0.17504771512921433</v>
          </cell>
          <cell r="CX162">
            <v>4.2062052596541111E-2</v>
          </cell>
          <cell r="CY162">
            <v>6.7995047430498782E-3</v>
          </cell>
          <cell r="CZ162">
            <v>100</v>
          </cell>
          <cell r="DA162">
            <v>99.993200495256943</v>
          </cell>
        </row>
        <row r="163">
          <cell r="B163" t="str">
            <v>SVK</v>
          </cell>
          <cell r="C163" t="str">
            <v>Europe &amp; Central Asia</v>
          </cell>
          <cell r="D163" t="str">
            <v>High income</v>
          </cell>
          <cell r="F163" t="str">
            <v>EMU</v>
          </cell>
          <cell r="G163">
            <v>0</v>
          </cell>
          <cell r="H163">
            <v>703</v>
          </cell>
          <cell r="I163">
            <v>5459.64</v>
          </cell>
          <cell r="J163">
            <v>5460.73</v>
          </cell>
          <cell r="K163">
            <v>5460.19</v>
          </cell>
          <cell r="L163">
            <v>5458.1</v>
          </cell>
          <cell r="M163">
            <v>5454.54</v>
          </cell>
          <cell r="N163">
            <v>5449.6</v>
          </cell>
          <cell r="O163">
            <v>5443.29</v>
          </cell>
          <cell r="P163">
            <v>5435.54</v>
          </cell>
          <cell r="Q163">
            <v>5426.33</v>
          </cell>
          <cell r="R163">
            <v>5415.62</v>
          </cell>
          <cell r="S163">
            <v>5403.41</v>
          </cell>
          <cell r="T163">
            <v>283.69099999999997</v>
          </cell>
          <cell r="U163">
            <v>282.89999999999998</v>
          </cell>
          <cell r="V163">
            <v>282.577</v>
          </cell>
          <cell r="W163">
            <v>262.91800000000001</v>
          </cell>
          <cell r="X163">
            <v>290.70499999999998</v>
          </cell>
          <cell r="Y163">
            <v>365.08</v>
          </cell>
          <cell r="Z163">
            <v>410.49400000000003</v>
          </cell>
          <cell r="AA163">
            <v>437.10899999999998</v>
          </cell>
          <cell r="AB163">
            <v>457.80799999999999</v>
          </cell>
          <cell r="AC163">
            <v>403.59199999999998</v>
          </cell>
          <cell r="AD163">
            <v>346.84899999999999</v>
          </cell>
          <cell r="AE163">
            <v>362.36799999999999</v>
          </cell>
          <cell r="AF163">
            <v>361.83800000000002</v>
          </cell>
          <cell r="AG163">
            <v>333.37299999999999</v>
          </cell>
          <cell r="AH163">
            <v>236.821</v>
          </cell>
          <cell r="AI163">
            <v>161.88999999999999</v>
          </cell>
          <cell r="AJ163">
            <v>100.449</v>
          </cell>
          <cell r="AK163">
            <v>56.655000000000001</v>
          </cell>
          <cell r="AL163">
            <v>18.905999999999999</v>
          </cell>
          <cell r="AM163">
            <v>3.456</v>
          </cell>
          <cell r="AN163">
            <v>0.16400000000000001</v>
          </cell>
          <cell r="AO163">
            <v>246.92099999999999</v>
          </cell>
          <cell r="AP163">
            <v>266.65800000000002</v>
          </cell>
          <cell r="AQ163">
            <v>283.68900000000002</v>
          </cell>
          <cell r="AR163">
            <v>282.94099999999997</v>
          </cell>
          <cell r="AS163">
            <v>282.88</v>
          </cell>
          <cell r="AT163">
            <v>263.517</v>
          </cell>
          <cell r="AU163">
            <v>290.947</v>
          </cell>
          <cell r="AV163">
            <v>363.97399999999999</v>
          </cell>
          <cell r="AW163">
            <v>407.25299999999999</v>
          </cell>
          <cell r="AX163">
            <v>430.327</v>
          </cell>
          <cell r="AY163">
            <v>444.84300000000002</v>
          </cell>
          <cell r="AZ163">
            <v>384.351</v>
          </cell>
          <cell r="BA163">
            <v>320.726</v>
          </cell>
          <cell r="BB163">
            <v>321.45699999999999</v>
          </cell>
          <cell r="BC163">
            <v>303.42500000000001</v>
          </cell>
          <cell r="BD163">
            <v>254.971</v>
          </cell>
          <cell r="BE163">
            <v>151.399</v>
          </cell>
          <cell r="BF163">
            <v>73.343000000000004</v>
          </cell>
          <cell r="BG163">
            <v>24.443999999999999</v>
          </cell>
          <cell r="BH163">
            <v>4.9210000000000003</v>
          </cell>
          <cell r="BI163">
            <v>0.41899999999999998</v>
          </cell>
          <cell r="BJ163">
            <v>5.1961484640012889</v>
          </cell>
          <cell r="BK163">
            <v>5.1816603292524777</v>
          </cell>
          <cell r="BL163">
            <v>5.175744188261497</v>
          </cell>
          <cell r="BM163">
            <v>4.8156655017546939</v>
          </cell>
          <cell r="BN163">
            <v>5.3246184730128725</v>
          </cell>
          <cell r="BO163">
            <v>6.6868877801466757</v>
          </cell>
          <cell r="BP163">
            <v>7.5187008667238135</v>
          </cell>
          <cell r="BQ163">
            <v>8.006187221135459</v>
          </cell>
          <cell r="BR163">
            <v>8.3853147826596608</v>
          </cell>
          <cell r="BS163">
            <v>7.3922822750217954</v>
          </cell>
          <cell r="BT163">
            <v>6.3529646643368425</v>
          </cell>
          <cell r="BU163">
            <v>6.6372141752936082</v>
          </cell>
          <cell r="BV163">
            <v>6.6275065755251257</v>
          </cell>
          <cell r="BW163">
            <v>6.1061352030536806</v>
          </cell>
          <cell r="BX163">
            <v>4.3376669523997915</v>
          </cell>
          <cell r="BY163">
            <v>2.9652138236220695</v>
          </cell>
          <cell r="BZ163">
            <v>1.8398465832912059</v>
          </cell>
          <cell r="CA163">
            <v>1.0377057827988658</v>
          </cell>
          <cell r="CB163">
            <v>0.34628656834516558</v>
          </cell>
          <cell r="CC163">
            <v>6.3300876980899839E-2</v>
          </cell>
          <cell r="CD163">
            <v>3.003861060436219E-3</v>
          </cell>
          <cell r="CE163">
            <v>4.569725414136629</v>
          </cell>
          <cell r="CF163">
            <v>4.9349947533131866</v>
          </cell>
          <cell r="CG163">
            <v>5.250184605647175</v>
          </cell>
          <cell r="CH163">
            <v>5.2363414954630496</v>
          </cell>
          <cell r="CI163">
            <v>5.235212578723436</v>
          </cell>
          <cell r="CJ163">
            <v>4.8768647946389407</v>
          </cell>
          <cell r="CK163">
            <v>5.3845071908294946</v>
          </cell>
          <cell r="CL163">
            <v>6.7360055964659358</v>
          </cell>
          <cell r="CM163">
            <v>7.5369627698064736</v>
          </cell>
          <cell r="CN163">
            <v>7.9639894066894801</v>
          </cell>
          <cell r="CO163">
            <v>8.2326345770541192</v>
          </cell>
          <cell r="CP163">
            <v>7.1131193079925454</v>
          </cell>
          <cell r="CQ163">
            <v>5.9356221349111022</v>
          </cell>
          <cell r="CR163">
            <v>5.9491506289546789</v>
          </cell>
          <cell r="CS163">
            <v>5.6154354379919349</v>
          </cell>
          <cell r="CT163">
            <v>4.7187054101021388</v>
          </cell>
          <cell r="CU163">
            <v>2.8019158272276212</v>
          </cell>
          <cell r="CV163">
            <v>1.3573465644842795</v>
          </cell>
          <cell r="CW163">
            <v>0.45238099644483765</v>
          </cell>
          <cell r="CX163">
            <v>9.1072119272829571E-2</v>
          </cell>
          <cell r="CY163">
            <v>7.7543625229253383E-3</v>
          </cell>
          <cell r="CZ163">
            <v>100.00005494867793</v>
          </cell>
          <cell r="DA163">
            <v>99.992171610149882</v>
          </cell>
        </row>
        <row r="164">
          <cell r="B164" t="str">
            <v>SVN</v>
          </cell>
          <cell r="C164" t="str">
            <v>Europe &amp; Central Asia</v>
          </cell>
          <cell r="D164" t="str">
            <v>High income</v>
          </cell>
          <cell r="F164" t="str">
            <v>EMU</v>
          </cell>
          <cell r="G164">
            <v>0</v>
          </cell>
          <cell r="H164">
            <v>705</v>
          </cell>
          <cell r="I164">
            <v>2078.9299999999998</v>
          </cell>
          <cell r="J164">
            <v>2078.7199999999998</v>
          </cell>
          <cell r="K164">
            <v>2078.0300000000002</v>
          </cell>
          <cell r="L164">
            <v>2076.87</v>
          </cell>
          <cell r="M164">
            <v>2075.2199999999998</v>
          </cell>
          <cell r="N164">
            <v>2073.0700000000002</v>
          </cell>
          <cell r="O164">
            <v>2070.44</v>
          </cell>
          <cell r="P164">
            <v>2067.4</v>
          </cell>
          <cell r="Q164">
            <v>2063.9699999999998</v>
          </cell>
          <cell r="R164">
            <v>2060.2199999999998</v>
          </cell>
          <cell r="S164">
            <v>2056.1999999999998</v>
          </cell>
          <cell r="T164">
            <v>101.27200000000001</v>
          </cell>
          <cell r="U164">
            <v>108.899</v>
          </cell>
          <cell r="V164">
            <v>104.506</v>
          </cell>
          <cell r="W164">
            <v>91.87</v>
          </cell>
          <cell r="X164">
            <v>96.316000000000003</v>
          </cell>
          <cell r="Y164">
            <v>109.178</v>
          </cell>
          <cell r="Z164">
            <v>133.863</v>
          </cell>
          <cell r="AA164">
            <v>149.786</v>
          </cell>
          <cell r="AB164">
            <v>158.37299999999999</v>
          </cell>
          <cell r="AC164">
            <v>146.953</v>
          </cell>
          <cell r="AD164">
            <v>151.31200000000001</v>
          </cell>
          <cell r="AE164">
            <v>149.88999999999999</v>
          </cell>
          <cell r="AF164">
            <v>145.59299999999999</v>
          </cell>
          <cell r="AG164">
            <v>139.34800000000001</v>
          </cell>
          <cell r="AH164">
            <v>97.507999999999996</v>
          </cell>
          <cell r="AI164">
            <v>79.986999999999995</v>
          </cell>
          <cell r="AJ164">
            <v>59.368000000000002</v>
          </cell>
          <cell r="AK164">
            <v>37.277999999999999</v>
          </cell>
          <cell r="AL164">
            <v>14.426</v>
          </cell>
          <cell r="AM164">
            <v>3.0150000000000001</v>
          </cell>
          <cell r="AN164">
            <v>0.191</v>
          </cell>
          <cell r="AO164">
            <v>86.497</v>
          </cell>
          <cell r="AP164">
            <v>93.406000000000006</v>
          </cell>
          <cell r="AQ164">
            <v>101.679</v>
          </cell>
          <cell r="AR164">
            <v>110.11799999999999</v>
          </cell>
          <cell r="AS164">
            <v>107.371</v>
          </cell>
          <cell r="AT164">
            <v>95.388000000000005</v>
          </cell>
          <cell r="AU164">
            <v>99.15</v>
          </cell>
          <cell r="AV164">
            <v>110.98699999999999</v>
          </cell>
          <cell r="AW164">
            <v>134.64599999999999</v>
          </cell>
          <cell r="AX164">
            <v>149.48099999999999</v>
          </cell>
          <cell r="AY164">
            <v>156.548</v>
          </cell>
          <cell r="AZ164">
            <v>143.17599999999999</v>
          </cell>
          <cell r="BA164">
            <v>144.249</v>
          </cell>
          <cell r="BB164">
            <v>138.68100000000001</v>
          </cell>
          <cell r="BC164">
            <v>129.20500000000001</v>
          </cell>
          <cell r="BD164">
            <v>115.497</v>
          </cell>
          <cell r="BE164">
            <v>70.772000000000006</v>
          </cell>
          <cell r="BF164">
            <v>44.177</v>
          </cell>
          <cell r="BG164">
            <v>19.565000000000001</v>
          </cell>
          <cell r="BH164">
            <v>5.069</v>
          </cell>
          <cell r="BI164">
            <v>0.53900000000000003</v>
          </cell>
          <cell r="BJ164">
            <v>4.8713520897769538</v>
          </cell>
          <cell r="BK164">
            <v>5.2382235092090648</v>
          </cell>
          <cell r="BL164">
            <v>5.0269128830696559</v>
          </cell>
          <cell r="BM164">
            <v>4.419100210204288</v>
          </cell>
          <cell r="BN164">
            <v>4.6329602247309918</v>
          </cell>
          <cell r="BO164">
            <v>5.2516438744931291</v>
          </cell>
          <cell r="BP164">
            <v>6.4390335412928765</v>
          </cell>
          <cell r="BQ164">
            <v>7.2049563958382441</v>
          </cell>
          <cell r="BR164">
            <v>7.6180054162477822</v>
          </cell>
          <cell r="BS164">
            <v>7.0686843712871541</v>
          </cell>
          <cell r="BT164">
            <v>7.2783595407252779</v>
          </cell>
          <cell r="BU164">
            <v>7.2099589692774648</v>
          </cell>
          <cell r="BV164">
            <v>7.0032661032357986</v>
          </cell>
          <cell r="BW164">
            <v>6.7028711885441083</v>
          </cell>
          <cell r="BX164">
            <v>4.6902974126112955</v>
          </cell>
          <cell r="BY164">
            <v>3.8475080931055881</v>
          </cell>
          <cell r="BZ164">
            <v>2.855699807112313</v>
          </cell>
          <cell r="CA164">
            <v>1.7931339679546692</v>
          </cell>
          <cell r="CB164">
            <v>0.69391465802119368</v>
          </cell>
          <cell r="CC164">
            <v>0.14502652806972818</v>
          </cell>
          <cell r="CD164">
            <v>9.18741852780036E-3</v>
          </cell>
          <cell r="CE164">
            <v>4.2066433226339859</v>
          </cell>
          <cell r="CF164">
            <v>4.5426514930454243</v>
          </cell>
          <cell r="CG164">
            <v>4.9449956229938721</v>
          </cell>
          <cell r="CH164">
            <v>5.3554128975780566</v>
          </cell>
          <cell r="CI164">
            <v>5.2218169438770552</v>
          </cell>
          <cell r="CJ164">
            <v>4.6390428946600535</v>
          </cell>
          <cell r="CK164">
            <v>4.8220017508024515</v>
          </cell>
          <cell r="CL164">
            <v>5.3976753234121198</v>
          </cell>
          <cell r="CM164">
            <v>6.5482929676101547</v>
          </cell>
          <cell r="CN164">
            <v>7.2697694776772694</v>
          </cell>
          <cell r="CO164">
            <v>7.6134617255130834</v>
          </cell>
          <cell r="CP164">
            <v>6.9631358817235673</v>
          </cell>
          <cell r="CQ164">
            <v>7.0153195214473305</v>
          </cell>
          <cell r="CR164">
            <v>6.7445287423402407</v>
          </cell>
          <cell r="CS164">
            <v>6.2836786304834176</v>
          </cell>
          <cell r="CT164">
            <v>5.6170119638167497</v>
          </cell>
          <cell r="CU164">
            <v>3.4418830853029867</v>
          </cell>
          <cell r="CV164">
            <v>2.1484777745355514</v>
          </cell>
          <cell r="CW164">
            <v>0.951512498784165</v>
          </cell>
          <cell r="CX164">
            <v>0.24652271179846319</v>
          </cell>
          <cell r="CY164">
            <v>2.6213403365431383E-2</v>
          </cell>
          <cell r="CZ164">
            <v>100.00009620333542</v>
          </cell>
          <cell r="DA164">
            <v>99.973835230036002</v>
          </cell>
        </row>
        <row r="165">
          <cell r="B165" t="str">
            <v>SWE</v>
          </cell>
          <cell r="C165" t="str">
            <v>Europe &amp; Central Asia</v>
          </cell>
          <cell r="D165" t="str">
            <v>High income</v>
          </cell>
          <cell r="G165">
            <v>0</v>
          </cell>
          <cell r="H165">
            <v>752</v>
          </cell>
          <cell r="I165">
            <v>10099.299999999999</v>
          </cell>
          <cell r="J165">
            <v>10160.200000000001</v>
          </cell>
          <cell r="K165">
            <v>10219</v>
          </cell>
          <cell r="L165">
            <v>10275.9</v>
          </cell>
          <cell r="M165">
            <v>10331.1</v>
          </cell>
          <cell r="N165">
            <v>10384.799999999999</v>
          </cell>
          <cell r="O165">
            <v>10437.200000000001</v>
          </cell>
          <cell r="P165">
            <v>10488.2</v>
          </cell>
          <cell r="Q165">
            <v>10537.6</v>
          </cell>
          <cell r="R165">
            <v>10584.9</v>
          </cell>
          <cell r="S165">
            <v>10630</v>
          </cell>
          <cell r="T165">
            <v>601.45000000000005</v>
          </cell>
          <cell r="U165">
            <v>592.50099999999998</v>
          </cell>
          <cell r="V165">
            <v>585.90099999999995</v>
          </cell>
          <cell r="W165">
            <v>541.226</v>
          </cell>
          <cell r="X165">
            <v>543.78599999999994</v>
          </cell>
          <cell r="Y165">
            <v>733.14400000000001</v>
          </cell>
          <cell r="Z165">
            <v>692.94899999999996</v>
          </cell>
          <cell r="AA165">
            <v>627.35</v>
          </cell>
          <cell r="AB165">
            <v>609.202</v>
          </cell>
          <cell r="AC165">
            <v>654.92100000000005</v>
          </cell>
          <cell r="AD165">
            <v>679.40499999999997</v>
          </cell>
          <cell r="AE165">
            <v>617.24199999999996</v>
          </cell>
          <cell r="AF165">
            <v>567.13300000000004</v>
          </cell>
          <cell r="AG165">
            <v>526.73500000000001</v>
          </cell>
          <cell r="AH165">
            <v>564.149</v>
          </cell>
          <cell r="AI165">
            <v>430.09500000000003</v>
          </cell>
          <cell r="AJ165">
            <v>269.77699999999999</v>
          </cell>
          <cell r="AK165">
            <v>161.72200000000001</v>
          </cell>
          <cell r="AL165">
            <v>76.911000000000001</v>
          </cell>
          <cell r="AM165">
            <v>21.401</v>
          </cell>
          <cell r="AN165">
            <v>2.27</v>
          </cell>
          <cell r="AO165">
            <v>592.21100000000001</v>
          </cell>
          <cell r="AP165">
            <v>612.79999999999995</v>
          </cell>
          <cell r="AQ165">
            <v>608.29399999999998</v>
          </cell>
          <cell r="AR165">
            <v>611.71400000000006</v>
          </cell>
          <cell r="AS165">
            <v>630.50300000000004</v>
          </cell>
          <cell r="AT165">
            <v>596.17899999999997</v>
          </cell>
          <cell r="AU165">
            <v>589.58900000000006</v>
          </cell>
          <cell r="AV165">
            <v>764.39</v>
          </cell>
          <cell r="AW165">
            <v>712.58199999999999</v>
          </cell>
          <cell r="AX165">
            <v>637.92100000000005</v>
          </cell>
          <cell r="AY165">
            <v>611.52200000000005</v>
          </cell>
          <cell r="AZ165">
            <v>647.54700000000003</v>
          </cell>
          <cell r="BA165">
            <v>660.005</v>
          </cell>
          <cell r="BB165">
            <v>585.27700000000004</v>
          </cell>
          <cell r="BC165">
            <v>518.64599999999996</v>
          </cell>
          <cell r="BD165">
            <v>453.00400000000002</v>
          </cell>
          <cell r="BE165">
            <v>428.03199999999998</v>
          </cell>
          <cell r="BF165">
            <v>250.08600000000001</v>
          </cell>
          <cell r="BG165">
            <v>93.57</v>
          </cell>
          <cell r="BH165">
            <v>23.076000000000001</v>
          </cell>
          <cell r="BI165">
            <v>3.0249999999999999</v>
          </cell>
          <cell r="BJ165">
            <v>5.9553632429970405</v>
          </cell>
          <cell r="BK165">
            <v>5.8667531413068232</v>
          </cell>
          <cell r="BL165">
            <v>5.8014020773716997</v>
          </cell>
          <cell r="BM165">
            <v>5.3590446862653849</v>
          </cell>
          <cell r="BN165">
            <v>5.3843929777311299</v>
          </cell>
          <cell r="BO165">
            <v>7.2593546087352596</v>
          </cell>
          <cell r="BP165">
            <v>6.8613567276939982</v>
          </cell>
          <cell r="BQ165">
            <v>6.2118166605606335</v>
          </cell>
          <cell r="BR165">
            <v>6.0321210380917494</v>
          </cell>
          <cell r="BS165">
            <v>6.4848157793114387</v>
          </cell>
          <cell r="BT165">
            <v>6.7272484231580414</v>
          </cell>
          <cell r="BU165">
            <v>6.1117305159763546</v>
          </cell>
          <cell r="BV165">
            <v>5.6155674155634561</v>
          </cell>
          <cell r="BW165">
            <v>5.2155594942223722</v>
          </cell>
          <cell r="BX165">
            <v>5.5860208133236968</v>
          </cell>
          <cell r="BY165">
            <v>4.2586614913904937</v>
          </cell>
          <cell r="BZ165">
            <v>2.6712445417009101</v>
          </cell>
          <cell r="CA165">
            <v>1.601318903290327</v>
          </cell>
          <cell r="CB165">
            <v>0.76154783004762716</v>
          </cell>
          <cell r="CC165">
            <v>0.21190577564781718</v>
          </cell>
          <cell r="CD165">
            <v>2.2476805323141211E-2</v>
          </cell>
          <cell r="CE165">
            <v>5.5711288805268113</v>
          </cell>
          <cell r="CF165">
            <v>5.7648165569143925</v>
          </cell>
          <cell r="CG165">
            <v>5.7224270931326435</v>
          </cell>
          <cell r="CH165">
            <v>5.754600188146755</v>
          </cell>
          <cell r="CI165">
            <v>5.9313546566321733</v>
          </cell>
          <cell r="CJ165">
            <v>5.6084571966133581</v>
          </cell>
          <cell r="CK165">
            <v>5.5464628410159929</v>
          </cell>
          <cell r="CL165">
            <v>7.190874882408278</v>
          </cell>
          <cell r="CM165">
            <v>6.7034995296331141</v>
          </cell>
          <cell r="CN165">
            <v>6.001138287864535</v>
          </cell>
          <cell r="CO165">
            <v>5.7527939793038572</v>
          </cell>
          <cell r="CP165">
            <v>6.0916933207902169</v>
          </cell>
          <cell r="CQ165">
            <v>6.2088899341486359</v>
          </cell>
          <cell r="CR165">
            <v>5.5058984007525877</v>
          </cell>
          <cell r="CS165">
            <v>4.8790780809031045</v>
          </cell>
          <cell r="CT165">
            <v>4.261561618062089</v>
          </cell>
          <cell r="CU165">
            <v>4.0266415804327371</v>
          </cell>
          <cell r="CV165">
            <v>2.3526434619002825</v>
          </cell>
          <cell r="CW165">
            <v>0.88024459078080897</v>
          </cell>
          <cell r="CX165">
            <v>0.21708372530573847</v>
          </cell>
          <cell r="CY165">
            <v>2.8457196613358417E-2</v>
          </cell>
          <cell r="CZ165">
            <v>99.99970294970943</v>
          </cell>
          <cell r="DA165">
            <v>99.971288805268102</v>
          </cell>
        </row>
        <row r="166">
          <cell r="B166" t="str">
            <v>SWZ</v>
          </cell>
          <cell r="C166" t="str">
            <v>Sub-Saharan Africa</v>
          </cell>
          <cell r="D166" t="str">
            <v>Lower middle income</v>
          </cell>
          <cell r="E166" t="str">
            <v>IBRD</v>
          </cell>
          <cell r="G166">
            <v>1</v>
          </cell>
          <cell r="H166">
            <v>748</v>
          </cell>
          <cell r="I166">
            <v>1160.1600000000001</v>
          </cell>
          <cell r="J166">
            <v>1172.3699999999999</v>
          </cell>
          <cell r="K166">
            <v>1184.82</v>
          </cell>
          <cell r="L166">
            <v>1197.51</v>
          </cell>
          <cell r="M166">
            <v>1210.45</v>
          </cell>
          <cell r="N166">
            <v>1223.69</v>
          </cell>
          <cell r="O166">
            <v>1237.1300000000001</v>
          </cell>
          <cell r="P166">
            <v>1250.83</v>
          </cell>
          <cell r="Q166">
            <v>1265.21</v>
          </cell>
          <cell r="R166">
            <v>1280.76</v>
          </cell>
          <cell r="S166">
            <v>1297.8399999999999</v>
          </cell>
          <cell r="T166">
            <v>143.67699999999999</v>
          </cell>
          <cell r="U166">
            <v>142.94300000000001</v>
          </cell>
          <cell r="V166">
            <v>147.779</v>
          </cell>
          <cell r="W166">
            <v>129.239</v>
          </cell>
          <cell r="X166">
            <v>112.81699999999999</v>
          </cell>
          <cell r="Y166">
            <v>100.07</v>
          </cell>
          <cell r="Z166">
            <v>82.554000000000002</v>
          </cell>
          <cell r="AA166">
            <v>78.775000000000006</v>
          </cell>
          <cell r="AB166">
            <v>60.204000000000001</v>
          </cell>
          <cell r="AC166">
            <v>44.195</v>
          </cell>
          <cell r="AD166">
            <v>29.594000000000001</v>
          </cell>
          <cell r="AE166">
            <v>22.123000000000001</v>
          </cell>
          <cell r="AF166">
            <v>19.638999999999999</v>
          </cell>
          <cell r="AG166">
            <v>16.882999999999999</v>
          </cell>
          <cell r="AH166">
            <v>13.551</v>
          </cell>
          <cell r="AI166">
            <v>9.0340000000000007</v>
          </cell>
          <cell r="AJ166">
            <v>4.9039999999999999</v>
          </cell>
          <cell r="AK166">
            <v>1.7789999999999999</v>
          </cell>
          <cell r="AL166">
            <v>0.36099999999999999</v>
          </cell>
          <cell r="AM166">
            <v>0.04</v>
          </cell>
          <cell r="AN166">
            <v>3.0000000000000001E-3</v>
          </cell>
          <cell r="AO166">
            <v>138.88499999999999</v>
          </cell>
          <cell r="AP166">
            <v>136.76499999999999</v>
          </cell>
          <cell r="AQ166">
            <v>141.30500000000001</v>
          </cell>
          <cell r="AR166">
            <v>138.12799999999999</v>
          </cell>
          <cell r="AS166">
            <v>133.89599999999999</v>
          </cell>
          <cell r="AT166">
            <v>110.64400000000001</v>
          </cell>
          <cell r="AU166">
            <v>98.475999999999999</v>
          </cell>
          <cell r="AV166">
            <v>92.57</v>
          </cell>
          <cell r="AW166">
            <v>77.704999999999998</v>
          </cell>
          <cell r="AX166">
            <v>70.039000000000001</v>
          </cell>
          <cell r="AY166">
            <v>50.456000000000003</v>
          </cell>
          <cell r="AZ166">
            <v>35.716000000000001</v>
          </cell>
          <cell r="BA166">
            <v>23.556999999999999</v>
          </cell>
          <cell r="BB166">
            <v>17.186</v>
          </cell>
          <cell r="BC166">
            <v>13.717000000000001</v>
          </cell>
          <cell r="BD166">
            <v>9.9019999999999992</v>
          </cell>
          <cell r="BE166">
            <v>5.9539999999999997</v>
          </cell>
          <cell r="BF166">
            <v>2.351</v>
          </cell>
          <cell r="BG166">
            <v>0.52700000000000002</v>
          </cell>
          <cell r="BH166">
            <v>5.5E-2</v>
          </cell>
          <cell r="BI166">
            <v>3.0000000000000001E-3</v>
          </cell>
          <cell r="BJ166">
            <v>12.384240104813129</v>
          </cell>
          <cell r="BK166">
            <v>12.320972969245622</v>
          </cell>
          <cell r="BL166">
            <v>12.737812025927456</v>
          </cell>
          <cell r="BM166">
            <v>11.13975658529858</v>
          </cell>
          <cell r="BN166">
            <v>9.72426217073507</v>
          </cell>
          <cell r="BO166">
            <v>8.6255344090470274</v>
          </cell>
          <cell r="BP166">
            <v>7.1157426561853532</v>
          </cell>
          <cell r="BQ166">
            <v>6.7900117225210321</v>
          </cell>
          <cell r="BR166">
            <v>5.189284236657012</v>
          </cell>
          <cell r="BS166">
            <v>3.8093883602261758</v>
          </cell>
          <cell r="BT166">
            <v>2.5508550544752446</v>
          </cell>
          <cell r="BU166">
            <v>1.9068921528065095</v>
          </cell>
          <cell r="BV166">
            <v>1.6927837539649702</v>
          </cell>
          <cell r="BW166">
            <v>1.4552303130602673</v>
          </cell>
          <cell r="BX166">
            <v>1.1680285477865122</v>
          </cell>
          <cell r="BY166">
            <v>0.77868569852434144</v>
          </cell>
          <cell r="BZ166">
            <v>0.42270031719762785</v>
          </cell>
          <cell r="CA166">
            <v>0.15334091849400081</v>
          </cell>
          <cell r="CB166">
            <v>3.1116397738242998E-2</v>
          </cell>
          <cell r="CC166">
            <v>3.4478003034064263E-3</v>
          </cell>
          <cell r="CD166">
            <v>2.5858502275548199E-4</v>
          </cell>
          <cell r="CE166">
            <v>10.70124206373667</v>
          </cell>
          <cell r="CF166">
            <v>10.53789373112248</v>
          </cell>
          <cell r="CG166">
            <v>10.887705726437774</v>
          </cell>
          <cell r="CH166">
            <v>10.642914380817357</v>
          </cell>
          <cell r="CI166">
            <v>10.316834124391296</v>
          </cell>
          <cell r="CJ166">
            <v>8.5252419404549116</v>
          </cell>
          <cell r="CK166">
            <v>7.5876841521296923</v>
          </cell>
          <cell r="CL166">
            <v>7.1326203538186528</v>
          </cell>
          <cell r="CM166">
            <v>5.9872557480120818</v>
          </cell>
          <cell r="CN166">
            <v>5.3965820131911491</v>
          </cell>
          <cell r="CO166">
            <v>3.8876903162177157</v>
          </cell>
          <cell r="CP166">
            <v>2.7519570979473591</v>
          </cell>
          <cell r="CQ166">
            <v>1.815092769524749</v>
          </cell>
          <cell r="CR166">
            <v>1.3242002095789929</v>
          </cell>
          <cell r="CS166">
            <v>1.0569099426739816</v>
          </cell>
          <cell r="CT166">
            <v>0.76295999506872958</v>
          </cell>
          <cell r="CU166">
            <v>0.45876225112494606</v>
          </cell>
          <cell r="CV166">
            <v>0.18114713678111324</v>
          </cell>
          <cell r="CW166">
            <v>4.0605929852678302E-2</v>
          </cell>
          <cell r="CX166">
            <v>4.2378105159341676E-3</v>
          </cell>
          <cell r="CY166">
            <v>2.3115330086913646E-4</v>
          </cell>
          <cell r="CZ166">
            <v>100.00034478003033</v>
          </cell>
          <cell r="DA166">
            <v>99.999537693398253</v>
          </cell>
        </row>
        <row r="167">
          <cell r="B167" t="str">
            <v>SYC</v>
          </cell>
          <cell r="C167" t="str">
            <v>Sub-Saharan Africa</v>
          </cell>
          <cell r="D167" t="str">
            <v>High income</v>
          </cell>
          <cell r="E167" t="str">
            <v>IBRD</v>
          </cell>
          <cell r="G167">
            <v>1</v>
          </cell>
          <cell r="H167">
            <v>690</v>
          </cell>
          <cell r="I167">
            <v>98.34</v>
          </cell>
          <cell r="J167">
            <v>98.91</v>
          </cell>
          <cell r="K167">
            <v>99.433000000000007</v>
          </cell>
          <cell r="L167">
            <v>99.912000000000006</v>
          </cell>
          <cell r="M167">
            <v>100.357</v>
          </cell>
          <cell r="N167">
            <v>100.783</v>
          </cell>
          <cell r="O167">
            <v>101.175</v>
          </cell>
          <cell r="P167">
            <v>101.548</v>
          </cell>
          <cell r="Q167">
            <v>101.889</v>
          </cell>
          <cell r="R167">
            <v>102.229</v>
          </cell>
          <cell r="S167">
            <v>102.538</v>
          </cell>
          <cell r="T167">
            <v>7.9669999999999996</v>
          </cell>
          <cell r="U167">
            <v>7.9660000000000002</v>
          </cell>
          <cell r="V167">
            <v>7.4379999999999997</v>
          </cell>
          <cell r="W167">
            <v>6.4279999999999999</v>
          </cell>
          <cell r="X167">
            <v>6.3630000000000004</v>
          </cell>
          <cell r="Y167">
            <v>7.0679999999999996</v>
          </cell>
          <cell r="Z167">
            <v>7.1050000000000004</v>
          </cell>
          <cell r="AA167">
            <v>7.3810000000000002</v>
          </cell>
          <cell r="AB167">
            <v>7.4359999999999999</v>
          </cell>
          <cell r="AC167">
            <v>7.4370000000000003</v>
          </cell>
          <cell r="AD167">
            <v>6.819</v>
          </cell>
          <cell r="AE167">
            <v>6.1580000000000004</v>
          </cell>
          <cell r="AF167">
            <v>4.8410000000000002</v>
          </cell>
          <cell r="AG167">
            <v>3.0680000000000001</v>
          </cell>
          <cell r="AH167">
            <v>1.645</v>
          </cell>
          <cell r="AI167">
            <v>1.56</v>
          </cell>
          <cell r="AJ167">
            <v>0.92800000000000005</v>
          </cell>
          <cell r="AK167">
            <v>0.49299999999999999</v>
          </cell>
          <cell r="AL167">
            <v>0.19800000000000001</v>
          </cell>
          <cell r="AM167">
            <v>3.5999999999999997E-2</v>
          </cell>
          <cell r="AN167">
            <v>5.0000000000000001E-3</v>
          </cell>
          <cell r="AO167">
            <v>6.9660000000000002</v>
          </cell>
          <cell r="AP167">
            <v>7.2949999999999999</v>
          </cell>
          <cell r="AQ167">
            <v>7.8920000000000003</v>
          </cell>
          <cell r="AR167">
            <v>7.8070000000000004</v>
          </cell>
          <cell r="AS167">
            <v>7.0830000000000002</v>
          </cell>
          <cell r="AT167">
            <v>5.9829999999999997</v>
          </cell>
          <cell r="AU167">
            <v>5.9649999999999999</v>
          </cell>
          <cell r="AV167">
            <v>6.7329999999999997</v>
          </cell>
          <cell r="AW167">
            <v>6.8070000000000004</v>
          </cell>
          <cell r="AX167">
            <v>7.0590000000000002</v>
          </cell>
          <cell r="AY167">
            <v>7.032</v>
          </cell>
          <cell r="AZ167">
            <v>6.89</v>
          </cell>
          <cell r="BA167">
            <v>6.1059999999999999</v>
          </cell>
          <cell r="BB167">
            <v>5.2460000000000004</v>
          </cell>
          <cell r="BC167">
            <v>3.8079999999999998</v>
          </cell>
          <cell r="BD167">
            <v>2.1120000000000001</v>
          </cell>
          <cell r="BE167">
            <v>0.9</v>
          </cell>
          <cell r="BF167">
            <v>0.59399999999999997</v>
          </cell>
          <cell r="BG167">
            <v>0.20499999999999999</v>
          </cell>
          <cell r="BH167">
            <v>4.8000000000000001E-2</v>
          </cell>
          <cell r="BI167">
            <v>7.0000000000000001E-3</v>
          </cell>
          <cell r="BJ167">
            <v>8.1014846451088065</v>
          </cell>
          <cell r="BK167">
            <v>8.1004677648972958</v>
          </cell>
          <cell r="BL167">
            <v>7.5635550132194416</v>
          </cell>
          <cell r="BM167">
            <v>6.5365059995932482</v>
          </cell>
          <cell r="BN167">
            <v>6.4704087858450272</v>
          </cell>
          <cell r="BO167">
            <v>7.1873093349603412</v>
          </cell>
          <cell r="BP167">
            <v>7.2249339027862511</v>
          </cell>
          <cell r="BQ167">
            <v>7.5055928411633115</v>
          </cell>
          <cell r="BR167">
            <v>7.5615212527964202</v>
          </cell>
          <cell r="BS167">
            <v>7.5625381330079318</v>
          </cell>
          <cell r="BT167">
            <v>6.9341061622940821</v>
          </cell>
          <cell r="BU167">
            <v>6.2619483424852556</v>
          </cell>
          <cell r="BV167">
            <v>4.9227171039251578</v>
          </cell>
          <cell r="BW167">
            <v>3.1197884889160057</v>
          </cell>
          <cell r="BX167">
            <v>1.6727679479357331</v>
          </cell>
          <cell r="BY167">
            <v>1.5863331299572909</v>
          </cell>
          <cell r="BZ167">
            <v>0.94366483628228592</v>
          </cell>
          <cell r="CA167">
            <v>0.50132194427496435</v>
          </cell>
          <cell r="CB167">
            <v>0.20134228187919465</v>
          </cell>
          <cell r="CC167">
            <v>3.6607687614399025E-2</v>
          </cell>
          <cell r="CD167">
            <v>5.0844010575554202E-3</v>
          </cell>
          <cell r="CE167">
            <v>6.793578965846808</v>
          </cell>
          <cell r="CF167">
            <v>7.1144356238662745</v>
          </cell>
          <cell r="CG167">
            <v>7.6966587996645162</v>
          </cell>
          <cell r="CH167">
            <v>7.6137627026078141</v>
          </cell>
          <cell r="CI167">
            <v>6.9076830053248548</v>
          </cell>
          <cell r="CJ167">
            <v>5.8349099845910777</v>
          </cell>
          <cell r="CK167">
            <v>5.8173555169790712</v>
          </cell>
          <cell r="CL167">
            <v>6.5663461350913801</v>
          </cell>
          <cell r="CM167">
            <v>6.6385145019407439</v>
          </cell>
          <cell r="CN167">
            <v>6.8842770485088449</v>
          </cell>
          <cell r="CO167">
            <v>6.8579453470908351</v>
          </cell>
          <cell r="CP167">
            <v>6.71946010259611</v>
          </cell>
          <cell r="CQ167">
            <v>5.9548655132731287</v>
          </cell>
          <cell r="CR167">
            <v>5.1161520606994486</v>
          </cell>
          <cell r="CS167">
            <v>3.7137451481402017</v>
          </cell>
          <cell r="CT167">
            <v>2.0597241998088518</v>
          </cell>
          <cell r="CU167">
            <v>0.87772338060036292</v>
          </cell>
          <cell r="CV167">
            <v>0.57929743119623944</v>
          </cell>
          <cell r="CW167">
            <v>0.19992588113674931</v>
          </cell>
          <cell r="CX167">
            <v>4.681191363201935E-2</v>
          </cell>
          <cell r="CY167">
            <v>6.8267374046694891E-3</v>
          </cell>
          <cell r="CZ167">
            <v>99.999999999999986</v>
          </cell>
          <cell r="DA167">
            <v>99.993173262595334</v>
          </cell>
        </row>
        <row r="168">
          <cell r="B168" t="str">
            <v>SYR</v>
          </cell>
          <cell r="C168" t="str">
            <v>Middle East &amp; North Africa</v>
          </cell>
          <cell r="D168" t="str">
            <v>Low income</v>
          </cell>
          <cell r="E168" t="str">
            <v>IDA</v>
          </cell>
          <cell r="G168">
            <v>0</v>
          </cell>
          <cell r="H168">
            <v>760</v>
          </cell>
          <cell r="I168">
            <v>17500.7</v>
          </cell>
          <cell r="J168">
            <v>18275.7</v>
          </cell>
          <cell r="K168">
            <v>19364.8</v>
          </cell>
          <cell r="L168">
            <v>20638.3</v>
          </cell>
          <cell r="M168">
            <v>21915.5</v>
          </cell>
          <cell r="N168">
            <v>23062</v>
          </cell>
          <cell r="O168">
            <v>24032.6</v>
          </cell>
          <cell r="P168">
            <v>24851.1</v>
          </cell>
          <cell r="Q168">
            <v>25536.7</v>
          </cell>
          <cell r="R168">
            <v>26133.8</v>
          </cell>
          <cell r="S168">
            <v>26676.6</v>
          </cell>
          <cell r="T168">
            <v>1919.1</v>
          </cell>
          <cell r="U168">
            <v>1716.81</v>
          </cell>
          <cell r="V168">
            <v>1749.86</v>
          </cell>
          <cell r="W168">
            <v>1575.26</v>
          </cell>
          <cell r="X168">
            <v>1603.5</v>
          </cell>
          <cell r="Y168">
            <v>1496.48</v>
          </cell>
          <cell r="Z168">
            <v>1520.85</v>
          </cell>
          <cell r="AA168">
            <v>1386.34</v>
          </cell>
          <cell r="AB168">
            <v>1095.04</v>
          </cell>
          <cell r="AC168">
            <v>833.86500000000001</v>
          </cell>
          <cell r="AD168">
            <v>689.43799999999999</v>
          </cell>
          <cell r="AE168">
            <v>595.90800000000002</v>
          </cell>
          <cell r="AF168">
            <v>465.14600000000002</v>
          </cell>
          <cell r="AG168">
            <v>357.21899999999999</v>
          </cell>
          <cell r="AH168">
            <v>209.32</v>
          </cell>
          <cell r="AI168">
            <v>146.227</v>
          </cell>
          <cell r="AJ168">
            <v>84.923000000000002</v>
          </cell>
          <cell r="AK168">
            <v>41.886000000000003</v>
          </cell>
          <cell r="AL168">
            <v>11.541</v>
          </cell>
          <cell r="AM168">
            <v>1.78</v>
          </cell>
          <cell r="AN168">
            <v>0.16400000000000001</v>
          </cell>
          <cell r="AO168">
            <v>2375.36</v>
          </cell>
          <cell r="AP168">
            <v>2676.63</v>
          </cell>
          <cell r="AQ168">
            <v>2758.46</v>
          </cell>
          <cell r="AR168">
            <v>2248.31</v>
          </cell>
          <cell r="AS168">
            <v>1908.56</v>
          </cell>
          <cell r="AT168">
            <v>1657.89</v>
          </cell>
          <cell r="AU168">
            <v>1836.88</v>
          </cell>
          <cell r="AV168">
            <v>2047.03</v>
          </cell>
          <cell r="AW168">
            <v>2200.84</v>
          </cell>
          <cell r="AX168">
            <v>1955.05</v>
          </cell>
          <cell r="AY168">
            <v>1490.13</v>
          </cell>
          <cell r="AZ168">
            <v>1080.47</v>
          </cell>
          <cell r="BA168">
            <v>827.34699999999998</v>
          </cell>
          <cell r="BB168">
            <v>648.72199999999998</v>
          </cell>
          <cell r="BC168">
            <v>452.81400000000002</v>
          </cell>
          <cell r="BD168">
            <v>295.06200000000001</v>
          </cell>
          <cell r="BE168">
            <v>137.309</v>
          </cell>
          <cell r="BF168">
            <v>60.405999999999999</v>
          </cell>
          <cell r="BG168">
            <v>16.202999999999999</v>
          </cell>
          <cell r="BH168">
            <v>2.8519999999999999</v>
          </cell>
          <cell r="BI168">
            <v>0.23699999999999999</v>
          </cell>
          <cell r="BJ168">
            <v>10.965847080402497</v>
          </cell>
          <cell r="BK168">
            <v>9.8099504591244919</v>
          </cell>
          <cell r="BL168">
            <v>9.9988000479980776</v>
          </cell>
          <cell r="BM168">
            <v>9.0011256692589434</v>
          </cell>
          <cell r="BN168">
            <v>9.162490643231413</v>
          </cell>
          <cell r="BO168">
            <v>8.5509722468244114</v>
          </cell>
          <cell r="BP168">
            <v>8.6902238196186428</v>
          </cell>
          <cell r="BQ168">
            <v>7.9216259921031718</v>
          </cell>
          <cell r="BR168">
            <v>6.2571211437256791</v>
          </cell>
          <cell r="BS168">
            <v>4.7647522670521747</v>
          </cell>
          <cell r="BT168">
            <v>3.9394881347603237</v>
          </cell>
          <cell r="BU168">
            <v>3.4050523693337982</v>
          </cell>
          <cell r="BV168">
            <v>2.6578708280240217</v>
          </cell>
          <cell r="BW168">
            <v>2.0411697817801571</v>
          </cell>
          <cell r="BX168">
            <v>1.1960664430565633</v>
          </cell>
          <cell r="BY168">
            <v>0.83554943516545055</v>
          </cell>
          <cell r="BZ168">
            <v>0.48525487551926494</v>
          </cell>
          <cell r="CA168">
            <v>0.23933899786865667</v>
          </cell>
          <cell r="CB168">
            <v>6.5945933591227773E-2</v>
          </cell>
          <cell r="CC168">
            <v>1.0171021730559348E-2</v>
          </cell>
          <cell r="CD168">
            <v>9.3710537292793997E-4</v>
          </cell>
          <cell r="CE168">
            <v>8.9042831545249399</v>
          </cell>
          <cell r="CF168">
            <v>10.033624974696927</v>
          </cell>
          <cell r="CG168">
            <v>10.34037321097891</v>
          </cell>
          <cell r="CH168">
            <v>8.4280230614096254</v>
          </cell>
          <cell r="CI168">
            <v>7.1544349729725676</v>
          </cell>
          <cell r="CJ168">
            <v>6.2147724972447769</v>
          </cell>
          <cell r="CK168">
            <v>6.8857350636887764</v>
          </cell>
          <cell r="CL168">
            <v>7.6735041197154059</v>
          </cell>
          <cell r="CM168">
            <v>8.2500768463747267</v>
          </cell>
          <cell r="CN168">
            <v>7.3287075564352282</v>
          </cell>
          <cell r="CO168">
            <v>5.5859067497357247</v>
          </cell>
          <cell r="CP168">
            <v>4.0502537804667762</v>
          </cell>
          <cell r="CQ168">
            <v>3.1013959799974513</v>
          </cell>
          <cell r="CR168">
            <v>2.4318016538839284</v>
          </cell>
          <cell r="CS168">
            <v>1.6974202109714134</v>
          </cell>
          <cell r="CT168">
            <v>1.1060704887429433</v>
          </cell>
          <cell r="CU168">
            <v>0.51471701791082825</v>
          </cell>
          <cell r="CV168">
            <v>0.22643815178845883</v>
          </cell>
          <cell r="CW168">
            <v>6.073862486223882E-2</v>
          </cell>
          <cell r="CX168">
            <v>1.0691017595945511E-2</v>
          </cell>
          <cell r="CY168">
            <v>8.8841906389869774E-4</v>
          </cell>
          <cell r="CZ168">
            <v>99.999754295542445</v>
          </cell>
          <cell r="DA168">
            <v>99.998969133997591</v>
          </cell>
        </row>
        <row r="169">
          <cell r="B169" t="str">
            <v>TCD</v>
          </cell>
          <cell r="C169" t="str">
            <v>Sub-Saharan Africa</v>
          </cell>
          <cell r="D169" t="str">
            <v>Low income</v>
          </cell>
          <cell r="E169" t="str">
            <v>IDA</v>
          </cell>
          <cell r="F169" t="str">
            <v>HIPC</v>
          </cell>
          <cell r="G169">
            <v>1</v>
          </cell>
          <cell r="H169">
            <v>148</v>
          </cell>
          <cell r="I169">
            <v>16425.900000000001</v>
          </cell>
          <cell r="J169">
            <v>16915</v>
          </cell>
          <cell r="K169">
            <v>17413.599999999999</v>
          </cell>
          <cell r="L169">
            <v>17921.2</v>
          </cell>
          <cell r="M169">
            <v>18437</v>
          </cell>
          <cell r="N169">
            <v>18960.5</v>
          </cell>
          <cell r="O169">
            <v>19491.5</v>
          </cell>
          <cell r="P169">
            <v>20030</v>
          </cell>
          <cell r="Q169">
            <v>20576</v>
          </cell>
          <cell r="R169">
            <v>21129.5</v>
          </cell>
          <cell r="S169">
            <v>21690.400000000001</v>
          </cell>
          <cell r="T169">
            <v>2930.44</v>
          </cell>
          <cell r="U169">
            <v>2522.11</v>
          </cell>
          <cell r="V169">
            <v>2183.88</v>
          </cell>
          <cell r="W169">
            <v>1854.85</v>
          </cell>
          <cell r="X169">
            <v>1535.5</v>
          </cell>
          <cell r="Y169">
            <v>1245.52</v>
          </cell>
          <cell r="Z169">
            <v>989.98500000000001</v>
          </cell>
          <cell r="AA169">
            <v>779.66099999999994</v>
          </cell>
          <cell r="AB169">
            <v>610.04</v>
          </cell>
          <cell r="AC169">
            <v>472.791</v>
          </cell>
          <cell r="AD169">
            <v>362.36700000000002</v>
          </cell>
          <cell r="AE169">
            <v>292.27999999999997</v>
          </cell>
          <cell r="AF169">
            <v>236.024</v>
          </cell>
          <cell r="AG169">
            <v>181.32499999999999</v>
          </cell>
          <cell r="AH169">
            <v>112.184</v>
          </cell>
          <cell r="AI169">
            <v>68.477000000000004</v>
          </cell>
          <cell r="AJ169">
            <v>33.615000000000002</v>
          </cell>
          <cell r="AK169">
            <v>11.769</v>
          </cell>
          <cell r="AL169">
            <v>2.661</v>
          </cell>
          <cell r="AM169">
            <v>0.35899999999999999</v>
          </cell>
          <cell r="AN169">
            <v>2.7E-2</v>
          </cell>
          <cell r="AO169">
            <v>3497.73</v>
          </cell>
          <cell r="AP169">
            <v>3109.49</v>
          </cell>
          <cell r="AQ169">
            <v>2764.82</v>
          </cell>
          <cell r="AR169">
            <v>2433.62</v>
          </cell>
          <cell r="AS169">
            <v>2105.0300000000002</v>
          </cell>
          <cell r="AT169">
            <v>1768.1</v>
          </cell>
          <cell r="AU169">
            <v>1441.88</v>
          </cell>
          <cell r="AV169">
            <v>1149.3900000000001</v>
          </cell>
          <cell r="AW169">
            <v>898.98699999999997</v>
          </cell>
          <cell r="AX169">
            <v>701.27599999999995</v>
          </cell>
          <cell r="AY169">
            <v>544.73299999999995</v>
          </cell>
          <cell r="AZ169">
            <v>415.28500000000003</v>
          </cell>
          <cell r="BA169">
            <v>306.18299999999999</v>
          </cell>
          <cell r="BB169">
            <v>228.77199999999999</v>
          </cell>
          <cell r="BC169">
            <v>161.744</v>
          </cell>
          <cell r="BD169">
            <v>99.936000000000007</v>
          </cell>
          <cell r="BE169">
            <v>43.636000000000003</v>
          </cell>
          <cell r="BF169">
            <v>15.625</v>
          </cell>
          <cell r="BG169">
            <v>3.6059999999999999</v>
          </cell>
          <cell r="BH169">
            <v>0.48699999999999999</v>
          </cell>
          <cell r="BI169">
            <v>3.9E-2</v>
          </cell>
          <cell r="BJ169">
            <v>17.840361867538459</v>
          </cell>
          <cell r="BK169">
            <v>15.354470683493751</v>
          </cell>
          <cell r="BL169">
            <v>13.295344547330739</v>
          </cell>
          <cell r="BM169">
            <v>11.292227518735654</v>
          </cell>
          <cell r="BN169">
            <v>9.3480418120163868</v>
          </cell>
          <cell r="BO169">
            <v>7.5826590932612516</v>
          </cell>
          <cell r="BP169">
            <v>6.0269756908297261</v>
          </cell>
          <cell r="BQ169">
            <v>4.7465344364692337</v>
          </cell>
          <cell r="BR169">
            <v>3.713890867471493</v>
          </cell>
          <cell r="BS169">
            <v>2.8783263017551546</v>
          </cell>
          <cell r="BT169">
            <v>2.206070900224645</v>
          </cell>
          <cell r="BU169">
            <v>1.7793849956471179</v>
          </cell>
          <cell r="BV169">
            <v>1.4369014787621985</v>
          </cell>
          <cell r="BW169">
            <v>1.103896894538503</v>
          </cell>
          <cell r="BX169">
            <v>0.68297018732611292</v>
          </cell>
          <cell r="BY169">
            <v>0.41688431075313981</v>
          </cell>
          <cell r="BZ169">
            <v>0.20464632074954797</v>
          </cell>
          <cell r="CA169">
            <v>7.164904206162219E-2</v>
          </cell>
          <cell r="CB169">
            <v>1.6200025569375193E-2</v>
          </cell>
          <cell r="CC169">
            <v>2.1855727844440789E-3</v>
          </cell>
          <cell r="CD169">
            <v>1.6437455481891402E-4</v>
          </cell>
          <cell r="CE169">
            <v>16.125705381182456</v>
          </cell>
          <cell r="CF169">
            <v>14.335789104857447</v>
          </cell>
          <cell r="CG169">
            <v>12.746745103824733</v>
          </cell>
          <cell r="CH169">
            <v>11.219802308855529</v>
          </cell>
          <cell r="CI169">
            <v>9.7048924869988582</v>
          </cell>
          <cell r="CJ169">
            <v>8.1515324751963991</v>
          </cell>
          <cell r="CK169">
            <v>6.6475491461660461</v>
          </cell>
          <cell r="CL169">
            <v>5.2990724006933938</v>
          </cell>
          <cell r="CM169">
            <v>4.1446308044111673</v>
          </cell>
          <cell r="CN169">
            <v>3.2331169549662517</v>
          </cell>
          <cell r="CO169">
            <v>2.5114013572824843</v>
          </cell>
          <cell r="CP169">
            <v>1.9146027735772508</v>
          </cell>
          <cell r="CQ169">
            <v>1.4116060561354331</v>
          </cell>
          <cell r="CR169">
            <v>1.0547154501530631</v>
          </cell>
          <cell r="CS169">
            <v>0.74569394755283447</v>
          </cell>
          <cell r="CT169">
            <v>0.4607383911776638</v>
          </cell>
          <cell r="CU169">
            <v>0.20117655737100282</v>
          </cell>
          <cell r="CV169">
            <v>7.2036476966768709E-2</v>
          </cell>
          <cell r="CW169">
            <v>1.6624866300298746E-2</v>
          </cell>
          <cell r="CX169">
            <v>2.2452329141002471E-3</v>
          </cell>
          <cell r="CY169">
            <v>1.7980304650905469E-4</v>
          </cell>
          <cell r="CZ169">
            <v>99.999786921873365</v>
          </cell>
          <cell r="DA169">
            <v>99.999677276583199</v>
          </cell>
        </row>
        <row r="170">
          <cell r="B170" t="str">
            <v>TGO</v>
          </cell>
          <cell r="C170" t="str">
            <v>Sub-Saharan Africa</v>
          </cell>
          <cell r="D170" t="str">
            <v>Low income</v>
          </cell>
          <cell r="E170" t="str">
            <v>IDA</v>
          </cell>
          <cell r="F170" t="str">
            <v>HIPC</v>
          </cell>
          <cell r="G170">
            <v>1</v>
          </cell>
          <cell r="H170">
            <v>768</v>
          </cell>
          <cell r="I170">
            <v>8278.74</v>
          </cell>
          <cell r="J170">
            <v>8478.24</v>
          </cell>
          <cell r="K170">
            <v>8680.83</v>
          </cell>
          <cell r="L170">
            <v>8886.6299999999992</v>
          </cell>
          <cell r="M170">
            <v>9095.7900000000009</v>
          </cell>
          <cell r="N170">
            <v>9308.39</v>
          </cell>
          <cell r="O170">
            <v>9524.4599999999991</v>
          </cell>
          <cell r="P170">
            <v>9743.9599999999991</v>
          </cell>
          <cell r="Q170">
            <v>9966.7999999999993</v>
          </cell>
          <cell r="R170">
            <v>10192.799999999999</v>
          </cell>
          <cell r="S170">
            <v>10421.9</v>
          </cell>
          <cell r="T170">
            <v>1220.06</v>
          </cell>
          <cell r="U170">
            <v>1120.1199999999999</v>
          </cell>
          <cell r="V170">
            <v>1023.99</v>
          </cell>
          <cell r="W170">
            <v>891.005</v>
          </cell>
          <cell r="X170">
            <v>743.73299999999995</v>
          </cell>
          <cell r="Y170">
            <v>631.52800000000002</v>
          </cell>
          <cell r="Z170">
            <v>567.255</v>
          </cell>
          <cell r="AA170">
            <v>497.30200000000002</v>
          </cell>
          <cell r="AB170">
            <v>414.56400000000002</v>
          </cell>
          <cell r="AC170">
            <v>329.95299999999997</v>
          </cell>
          <cell r="AD170">
            <v>254.83199999999999</v>
          </cell>
          <cell r="AE170">
            <v>195.88200000000001</v>
          </cell>
          <cell r="AF170">
            <v>148.012</v>
          </cell>
          <cell r="AG170">
            <v>107.925</v>
          </cell>
          <cell r="AH170">
            <v>71.771000000000001</v>
          </cell>
          <cell r="AI170">
            <v>39.722000000000001</v>
          </cell>
          <cell r="AJ170">
            <v>16.178999999999998</v>
          </cell>
          <cell r="AK170">
            <v>4.2409999999999997</v>
          </cell>
          <cell r="AL170">
            <v>0.61599999999999999</v>
          </cell>
          <cell r="AM170">
            <v>4.4999999999999998E-2</v>
          </cell>
          <cell r="AN170">
            <v>0</v>
          </cell>
          <cell r="AO170">
            <v>1420.32</v>
          </cell>
          <cell r="AP170">
            <v>1289.46</v>
          </cell>
          <cell r="AQ170">
            <v>1183.9000000000001</v>
          </cell>
          <cell r="AR170">
            <v>1097.98</v>
          </cell>
          <cell r="AS170">
            <v>998.94799999999998</v>
          </cell>
          <cell r="AT170">
            <v>860.82100000000003</v>
          </cell>
          <cell r="AU170">
            <v>714.70500000000004</v>
          </cell>
          <cell r="AV170">
            <v>604.87599999999998</v>
          </cell>
          <cell r="AW170">
            <v>540.32399999999996</v>
          </cell>
          <cell r="AX170">
            <v>469.19799999999998</v>
          </cell>
          <cell r="AY170">
            <v>384.74900000000002</v>
          </cell>
          <cell r="AZ170">
            <v>297.52600000000001</v>
          </cell>
          <cell r="BA170">
            <v>218.54499999999999</v>
          </cell>
          <cell r="BB170">
            <v>153.95500000000001</v>
          </cell>
          <cell r="BC170">
            <v>99.942999999999998</v>
          </cell>
          <cell r="BD170">
            <v>55.744</v>
          </cell>
          <cell r="BE170">
            <v>23.521999999999998</v>
          </cell>
          <cell r="BF170">
            <v>6.383</v>
          </cell>
          <cell r="BG170">
            <v>0.95199999999999996</v>
          </cell>
          <cell r="BH170">
            <v>7.0999999999999994E-2</v>
          </cell>
          <cell r="BI170">
            <v>0</v>
          </cell>
          <cell r="BJ170">
            <v>14.737266782143177</v>
          </cell>
          <cell r="BK170">
            <v>13.530078248622374</v>
          </cell>
          <cell r="BL170">
            <v>12.368911211126331</v>
          </cell>
          <cell r="BM170">
            <v>10.762567733737258</v>
          </cell>
          <cell r="BN170">
            <v>8.9836496858217547</v>
          </cell>
          <cell r="BO170">
            <v>7.6283105883262436</v>
          </cell>
          <cell r="BP170">
            <v>6.8519484849143701</v>
          </cell>
          <cell r="BQ170">
            <v>6.0069769071138843</v>
          </cell>
          <cell r="BR170">
            <v>5.0075736162749411</v>
          </cell>
          <cell r="BS170">
            <v>3.9855461096736939</v>
          </cell>
          <cell r="BT170">
            <v>3.0781495734858204</v>
          </cell>
          <cell r="BU170">
            <v>2.366084694047645</v>
          </cell>
          <cell r="BV170">
            <v>1.7878566061985279</v>
          </cell>
          <cell r="BW170">
            <v>1.3036404090477536</v>
          </cell>
          <cell r="BX170">
            <v>0.86693144125796917</v>
          </cell>
          <cell r="BY170">
            <v>0.47980731367333673</v>
          </cell>
          <cell r="BZ170">
            <v>0.1954282898122178</v>
          </cell>
          <cell r="CA170">
            <v>5.122760226797797E-2</v>
          </cell>
          <cell r="CB170">
            <v>7.4407458139765228E-3</v>
          </cell>
          <cell r="CC170">
            <v>5.4356097667036286E-4</v>
          </cell>
          <cell r="CD170">
            <v>0</v>
          </cell>
          <cell r="CE170">
            <v>13.628225179669734</v>
          </cell>
          <cell r="CF170">
            <v>12.372600005757109</v>
          </cell>
          <cell r="CG170">
            <v>11.35973287020601</v>
          </cell>
          <cell r="CH170">
            <v>10.535315057715005</v>
          </cell>
          <cell r="CI170">
            <v>9.585085253168808</v>
          </cell>
          <cell r="CJ170">
            <v>8.2597319106880711</v>
          </cell>
          <cell r="CK170">
            <v>6.8577226801255051</v>
          </cell>
          <cell r="CL170">
            <v>5.8038937237931663</v>
          </cell>
          <cell r="CM170">
            <v>5.1845057043341418</v>
          </cell>
          <cell r="CN170">
            <v>4.5020389756186487</v>
          </cell>
          <cell r="CO170">
            <v>3.6917356719983885</v>
          </cell>
          <cell r="CP170">
            <v>2.8548153407727961</v>
          </cell>
          <cell r="CQ170">
            <v>2.0969784780126464</v>
          </cell>
          <cell r="CR170">
            <v>1.4772258417371116</v>
          </cell>
          <cell r="CS170">
            <v>0.95897101296308729</v>
          </cell>
          <cell r="CT170">
            <v>0.53487367946343756</v>
          </cell>
          <cell r="CU170">
            <v>0.22569780942054712</v>
          </cell>
          <cell r="CV170">
            <v>6.124602999453075E-2</v>
          </cell>
          <cell r="CW170">
            <v>9.1346107715483734E-3</v>
          </cell>
          <cell r="CX170">
            <v>6.8125773611337663E-4</v>
          </cell>
          <cell r="CY170">
            <v>0</v>
          </cell>
          <cell r="CZ170">
            <v>99.999939604335921</v>
          </cell>
          <cell r="DA170">
            <v>100.00021109394642</v>
          </cell>
        </row>
        <row r="171">
          <cell r="B171" t="str">
            <v>THA</v>
          </cell>
          <cell r="C171" t="str">
            <v>East Asia &amp; Pacific</v>
          </cell>
          <cell r="D171" t="str">
            <v>Upper middle income</v>
          </cell>
          <cell r="E171" t="str">
            <v>IBRD</v>
          </cell>
          <cell r="G171">
            <v>0</v>
          </cell>
          <cell r="H171">
            <v>764</v>
          </cell>
          <cell r="I171">
            <v>69800</v>
          </cell>
          <cell r="J171">
            <v>69950.8</v>
          </cell>
          <cell r="K171">
            <v>70078.2</v>
          </cell>
          <cell r="L171">
            <v>70182.8</v>
          </cell>
          <cell r="M171">
            <v>70266.100000000006</v>
          </cell>
          <cell r="N171">
            <v>70328.899999999994</v>
          </cell>
          <cell r="O171">
            <v>70371.600000000006</v>
          </cell>
          <cell r="P171">
            <v>70394.100000000006</v>
          </cell>
          <cell r="Q171">
            <v>70396.899999999994</v>
          </cell>
          <cell r="R171">
            <v>70380.5</v>
          </cell>
          <cell r="S171">
            <v>70345.5</v>
          </cell>
          <cell r="T171">
            <v>3596.05</v>
          </cell>
          <cell r="U171">
            <v>3843.78</v>
          </cell>
          <cell r="V171">
            <v>4113.8100000000004</v>
          </cell>
          <cell r="W171">
            <v>4378.51</v>
          </cell>
          <cell r="X171">
            <v>4807.8999999999996</v>
          </cell>
          <cell r="Y171">
            <v>4822.3999999999996</v>
          </cell>
          <cell r="Z171">
            <v>4466.6899999999996</v>
          </cell>
          <cell r="AA171">
            <v>4763.03</v>
          </cell>
          <cell r="AB171">
            <v>5308.84</v>
          </cell>
          <cell r="AC171">
            <v>5605.42</v>
          </cell>
          <cell r="AD171">
            <v>5598.95</v>
          </cell>
          <cell r="AE171">
            <v>5082.4399999999996</v>
          </cell>
          <cell r="AF171">
            <v>4367.6499999999996</v>
          </cell>
          <cell r="AG171">
            <v>3256.7</v>
          </cell>
          <cell r="AH171">
            <v>2282.34</v>
          </cell>
          <cell r="AI171">
            <v>1584.23</v>
          </cell>
          <cell r="AJ171">
            <v>1070.9100000000001</v>
          </cell>
          <cell r="AK171">
            <v>563.68299999999999</v>
          </cell>
          <cell r="AL171">
            <v>225.19800000000001</v>
          </cell>
          <cell r="AM171">
            <v>52.665999999999997</v>
          </cell>
          <cell r="AN171">
            <v>8.766</v>
          </cell>
          <cell r="AO171">
            <v>3101.43</v>
          </cell>
          <cell r="AP171">
            <v>3319.14</v>
          </cell>
          <cell r="AQ171">
            <v>3593.28</v>
          </cell>
          <cell r="AR171">
            <v>3835.63</v>
          </cell>
          <cell r="AS171">
            <v>4102.8599999999997</v>
          </cell>
          <cell r="AT171">
            <v>4369.25</v>
          </cell>
          <cell r="AU171">
            <v>4789.78</v>
          </cell>
          <cell r="AV171">
            <v>4776.88</v>
          </cell>
          <cell r="AW171">
            <v>4387.34</v>
          </cell>
          <cell r="AX171">
            <v>4631.7299999999996</v>
          </cell>
          <cell r="AY171">
            <v>5107.8</v>
          </cell>
          <cell r="AZ171">
            <v>5322.36</v>
          </cell>
          <cell r="BA171">
            <v>5211.47</v>
          </cell>
          <cell r="BB171">
            <v>4587.17</v>
          </cell>
          <cell r="BC171">
            <v>3753.96</v>
          </cell>
          <cell r="BD171">
            <v>2561.88</v>
          </cell>
          <cell r="BE171">
            <v>1538.39</v>
          </cell>
          <cell r="BF171">
            <v>830.82799999999997</v>
          </cell>
          <cell r="BG171">
            <v>383.02</v>
          </cell>
          <cell r="BH171">
            <v>117.5</v>
          </cell>
          <cell r="BI171">
            <v>23.838000000000001</v>
          </cell>
          <cell r="BJ171">
            <v>5.1519340974212033</v>
          </cell>
          <cell r="BK171">
            <v>5.5068481375358171</v>
          </cell>
          <cell r="BL171">
            <v>5.8937106017191976</v>
          </cell>
          <cell r="BM171">
            <v>6.2729369627507161</v>
          </cell>
          <cell r="BN171">
            <v>6.8881088825214887</v>
          </cell>
          <cell r="BO171">
            <v>6.9088825214899705</v>
          </cell>
          <cell r="BP171">
            <v>6.3992693409742119</v>
          </cell>
          <cell r="BQ171">
            <v>6.8238252148997134</v>
          </cell>
          <cell r="BR171">
            <v>7.6057879656160452</v>
          </cell>
          <cell r="BS171">
            <v>8.0306876790830941</v>
          </cell>
          <cell r="BT171">
            <v>8.0214183381088819</v>
          </cell>
          <cell r="BU171">
            <v>7.281432664756446</v>
          </cell>
          <cell r="BV171">
            <v>6.2573782234957021</v>
          </cell>
          <cell r="BW171">
            <v>4.6657593123209171</v>
          </cell>
          <cell r="BX171">
            <v>3.2698280802292263</v>
          </cell>
          <cell r="BY171">
            <v>2.2696704871060174</v>
          </cell>
          <cell r="BZ171">
            <v>1.5342550143266476</v>
          </cell>
          <cell r="CA171">
            <v>0.80756876790830956</v>
          </cell>
          <cell r="CB171">
            <v>0.32263323782234954</v>
          </cell>
          <cell r="CC171">
            <v>7.5452722063037242E-2</v>
          </cell>
          <cell r="CD171">
            <v>1.2558739255014327E-2</v>
          </cell>
          <cell r="CE171">
            <v>4.4088534447832481</v>
          </cell>
          <cell r="CF171">
            <v>4.718340192336397</v>
          </cell>
          <cell r="CG171">
            <v>5.1080452907435445</v>
          </cell>
          <cell r="CH171">
            <v>5.4525591544590624</v>
          </cell>
          <cell r="CI171">
            <v>5.8324413075463246</v>
          </cell>
          <cell r="CJ171">
            <v>6.2111293544007786</v>
          </cell>
          <cell r="CK171">
            <v>6.8089358949755141</v>
          </cell>
          <cell r="CL171">
            <v>6.7905978349716758</v>
          </cell>
          <cell r="CM171">
            <v>6.2368452850573242</v>
          </cell>
          <cell r="CN171">
            <v>6.5842591210525185</v>
          </cell>
          <cell r="CO171">
            <v>7.2610188284964918</v>
          </cell>
          <cell r="CP171">
            <v>7.5660276776766091</v>
          </cell>
          <cell r="CQ171">
            <v>7.4083914393955546</v>
          </cell>
          <cell r="CR171">
            <v>6.5209146285121298</v>
          </cell>
          <cell r="CS171">
            <v>5.3364607544192593</v>
          </cell>
          <cell r="CT171">
            <v>3.6418534234599234</v>
          </cell>
          <cell r="CU171">
            <v>2.1869060565352441</v>
          </cell>
          <cell r="CV171">
            <v>1.1810677299898358</v>
          </cell>
          <cell r="CW171">
            <v>0.54448401105969813</v>
          </cell>
          <cell r="CX171">
            <v>0.1670327170892239</v>
          </cell>
          <cell r="CY171">
            <v>3.3887029021046122E-2</v>
          </cell>
          <cell r="CZ171">
            <v>99.999946991404016</v>
          </cell>
          <cell r="DA171">
            <v>99.966164146960381</v>
          </cell>
        </row>
        <row r="172">
          <cell r="B172" t="str">
            <v>TJK</v>
          </cell>
          <cell r="C172" t="str">
            <v>Europe &amp; Central Asia</v>
          </cell>
          <cell r="D172" t="str">
            <v>Lower middle income</v>
          </cell>
          <cell r="E172" t="str">
            <v>IDA</v>
          </cell>
          <cell r="G172">
            <v>0</v>
          </cell>
          <cell r="H172">
            <v>762</v>
          </cell>
          <cell r="I172">
            <v>9537.64</v>
          </cell>
          <cell r="J172">
            <v>9749.6299999999992</v>
          </cell>
          <cell r="K172">
            <v>9957.4699999999993</v>
          </cell>
          <cell r="L172">
            <v>10161.6</v>
          </cell>
          <cell r="M172">
            <v>10363.200000000001</v>
          </cell>
          <cell r="N172">
            <v>10563.2</v>
          </cell>
          <cell r="O172">
            <v>10761.5</v>
          </cell>
          <cell r="P172">
            <v>10958.2</v>
          </cell>
          <cell r="Q172">
            <v>11155.1</v>
          </cell>
          <cell r="R172">
            <v>11354.3</v>
          </cell>
          <cell r="S172">
            <v>11557.4</v>
          </cell>
          <cell r="T172">
            <v>1356.75</v>
          </cell>
          <cell r="U172">
            <v>1220.8599999999999</v>
          </cell>
          <cell r="V172">
            <v>977.07799999999997</v>
          </cell>
          <cell r="W172">
            <v>811.28899999999999</v>
          </cell>
          <cell r="X172">
            <v>833.803</v>
          </cell>
          <cell r="Y172">
            <v>814.71900000000005</v>
          </cell>
          <cell r="Z172">
            <v>786.16499999999996</v>
          </cell>
          <cell r="AA172">
            <v>604.16600000000005</v>
          </cell>
          <cell r="AB172">
            <v>472.63299999999998</v>
          </cell>
          <cell r="AC172">
            <v>409.76600000000002</v>
          </cell>
          <cell r="AD172">
            <v>372.286</v>
          </cell>
          <cell r="AE172">
            <v>328.60399999999998</v>
          </cell>
          <cell r="AF172">
            <v>246.25</v>
          </cell>
          <cell r="AG172">
            <v>141.63999999999999</v>
          </cell>
          <cell r="AH172">
            <v>77.992000000000004</v>
          </cell>
          <cell r="AI172">
            <v>39.613999999999997</v>
          </cell>
          <cell r="AJ172">
            <v>29.792999999999999</v>
          </cell>
          <cell r="AK172">
            <v>10.476000000000001</v>
          </cell>
          <cell r="AL172">
            <v>3.39</v>
          </cell>
          <cell r="AM172">
            <v>0.35099999999999998</v>
          </cell>
          <cell r="AN172">
            <v>1.7000000000000001E-2</v>
          </cell>
          <cell r="AO172">
            <v>1315.9</v>
          </cell>
          <cell r="AP172">
            <v>1312.84</v>
          </cell>
          <cell r="AQ172">
            <v>1348.47</v>
          </cell>
          <cell r="AR172">
            <v>1205.5999999999999</v>
          </cell>
          <cell r="AS172">
            <v>943.51499999999999</v>
          </cell>
          <cell r="AT172">
            <v>769.08799999999997</v>
          </cell>
          <cell r="AU172">
            <v>794.88199999999995</v>
          </cell>
          <cell r="AV172">
            <v>781.56500000000005</v>
          </cell>
          <cell r="AW172">
            <v>756.78099999999995</v>
          </cell>
          <cell r="AX172">
            <v>579.46299999999997</v>
          </cell>
          <cell r="AY172">
            <v>449.53199999999998</v>
          </cell>
          <cell r="AZ172">
            <v>382.06099999999998</v>
          </cell>
          <cell r="BA172">
            <v>332.65100000000001</v>
          </cell>
          <cell r="BB172">
            <v>272.952</v>
          </cell>
          <cell r="BC172">
            <v>181.26499999999999</v>
          </cell>
          <cell r="BD172">
            <v>84.438000000000002</v>
          </cell>
          <cell r="BE172">
            <v>32.625999999999998</v>
          </cell>
          <cell r="BF172">
            <v>9.7210000000000001</v>
          </cell>
          <cell r="BG172">
            <v>3.5190000000000001</v>
          </cell>
          <cell r="BH172">
            <v>0.45</v>
          </cell>
          <cell r="BI172">
            <v>4.3999999999999997E-2</v>
          </cell>
          <cell r="BJ172">
            <v>14.225217139669772</v>
          </cell>
          <cell r="BK172">
            <v>12.800441199290391</v>
          </cell>
          <cell r="BL172">
            <v>10.244442021296674</v>
          </cell>
          <cell r="BM172">
            <v>8.506181822756993</v>
          </cell>
          <cell r="BN172">
            <v>8.742236024844722</v>
          </cell>
          <cell r="BO172">
            <v>8.5421445976153443</v>
          </cell>
          <cell r="BP172">
            <v>8.2427623605000822</v>
          </cell>
          <cell r="BQ172">
            <v>6.3345439752391579</v>
          </cell>
          <cell r="BR172">
            <v>4.9554501952264918</v>
          </cell>
          <cell r="BS172">
            <v>4.2963039074655791</v>
          </cell>
          <cell r="BT172">
            <v>3.903334577526516</v>
          </cell>
          <cell r="BU172">
            <v>3.4453386791701091</v>
          </cell>
          <cell r="BV172">
            <v>2.5818756002533121</v>
          </cell>
          <cell r="BW172">
            <v>1.4850633909436715</v>
          </cell>
          <cell r="BX172">
            <v>0.81772849468002584</v>
          </cell>
          <cell r="BY172">
            <v>0.41534383767892263</v>
          </cell>
          <cell r="BZ172">
            <v>0.31237287211511444</v>
          </cell>
          <cell r="CA172">
            <v>0.10983849254113179</v>
          </cell>
          <cell r="CB172">
            <v>3.5543383897903465E-2</v>
          </cell>
          <cell r="CC172">
            <v>3.6801556779245182E-3</v>
          </cell>
          <cell r="CD172">
            <v>1.782411581900764E-4</v>
          </cell>
          <cell r="CE172">
            <v>11.38577880838251</v>
          </cell>
          <cell r="CF172">
            <v>11.35930226521536</v>
          </cell>
          <cell r="CG172">
            <v>11.667589596275979</v>
          </cell>
          <cell r="CH172">
            <v>10.431411909252946</v>
          </cell>
          <cell r="CI172">
            <v>8.1637305968470422</v>
          </cell>
          <cell r="CJ172">
            <v>6.6545070690639765</v>
          </cell>
          <cell r="CK172">
            <v>6.8776887535258791</v>
          </cell>
          <cell r="CL172">
            <v>6.7624638759582609</v>
          </cell>
          <cell r="CM172">
            <v>6.5480211812345344</v>
          </cell>
          <cell r="CN172">
            <v>5.0137833768840743</v>
          </cell>
          <cell r="CO172">
            <v>3.8895599356256598</v>
          </cell>
          <cell r="CP172">
            <v>3.3057694637202135</v>
          </cell>
          <cell r="CQ172">
            <v>2.8782511637565547</v>
          </cell>
          <cell r="CR172">
            <v>2.3617076505096302</v>
          </cell>
          <cell r="CS172">
            <v>1.5683890840500456</v>
          </cell>
          <cell r="CT172">
            <v>0.73059684704172223</v>
          </cell>
          <cell r="CU172">
            <v>0.28229532593835982</v>
          </cell>
          <cell r="CV172">
            <v>8.4110613113676097E-2</v>
          </cell>
          <cell r="CW172">
            <v>3.0448024642220569E-2</v>
          </cell>
          <cell r="CX172">
            <v>3.893609289286518E-3</v>
          </cell>
          <cell r="CY172">
            <v>3.8070846384134836E-4</v>
          </cell>
          <cell r="CZ172">
            <v>100.00002096954803</v>
          </cell>
          <cell r="DA172">
            <v>99.999299150327943</v>
          </cell>
        </row>
        <row r="173">
          <cell r="B173" t="str">
            <v>TKM</v>
          </cell>
          <cell r="C173" t="str">
            <v>Europe &amp; Central Asia</v>
          </cell>
          <cell r="D173" t="str">
            <v>Upper middle income</v>
          </cell>
          <cell r="E173" t="str">
            <v>IBRD</v>
          </cell>
          <cell r="G173">
            <v>0</v>
          </cell>
          <cell r="H173">
            <v>795</v>
          </cell>
          <cell r="I173">
            <v>6031.19</v>
          </cell>
          <cell r="J173">
            <v>6117.93</v>
          </cell>
          <cell r="K173">
            <v>6201.95</v>
          </cell>
          <cell r="L173">
            <v>6283.19</v>
          </cell>
          <cell r="M173">
            <v>6361.72</v>
          </cell>
          <cell r="N173">
            <v>6437.59</v>
          </cell>
          <cell r="O173">
            <v>6510.79</v>
          </cell>
          <cell r="P173">
            <v>6581.39</v>
          </cell>
          <cell r="Q173">
            <v>6649.84</v>
          </cell>
          <cell r="R173">
            <v>6716.67</v>
          </cell>
          <cell r="S173">
            <v>6782.36</v>
          </cell>
          <cell r="T173">
            <v>661.06500000000005</v>
          </cell>
          <cell r="U173">
            <v>671.86500000000001</v>
          </cell>
          <cell r="V173">
            <v>524.18299999999999</v>
          </cell>
          <cell r="W173">
            <v>484.56</v>
          </cell>
          <cell r="X173">
            <v>461.53699999999998</v>
          </cell>
          <cell r="Y173">
            <v>548.25400000000002</v>
          </cell>
          <cell r="Z173">
            <v>525.197</v>
          </cell>
          <cell r="AA173">
            <v>432.68799999999999</v>
          </cell>
          <cell r="AB173">
            <v>378.45499999999998</v>
          </cell>
          <cell r="AC173">
            <v>319.36599999999999</v>
          </cell>
          <cell r="AD173">
            <v>283.59699999999998</v>
          </cell>
          <cell r="AE173">
            <v>251.86199999999999</v>
          </cell>
          <cell r="AF173">
            <v>200.994</v>
          </cell>
          <cell r="AG173">
            <v>133.44999999999999</v>
          </cell>
          <cell r="AH173">
            <v>68.644000000000005</v>
          </cell>
          <cell r="AI173">
            <v>34.814</v>
          </cell>
          <cell r="AJ173">
            <v>32.508000000000003</v>
          </cell>
          <cell r="AK173">
            <v>12.789</v>
          </cell>
          <cell r="AL173">
            <v>4.5819999999999999</v>
          </cell>
          <cell r="AM173">
            <v>0.70499999999999996</v>
          </cell>
          <cell r="AN173">
            <v>7.1999999999999995E-2</v>
          </cell>
          <cell r="AO173">
            <v>583.40800000000002</v>
          </cell>
          <cell r="AP173">
            <v>615.18299999999999</v>
          </cell>
          <cell r="AQ173">
            <v>654.94100000000003</v>
          </cell>
          <cell r="AR173">
            <v>666.34400000000005</v>
          </cell>
          <cell r="AS173">
            <v>514.303</v>
          </cell>
          <cell r="AT173">
            <v>471.84</v>
          </cell>
          <cell r="AU173">
            <v>448.68400000000003</v>
          </cell>
          <cell r="AV173">
            <v>533.12699999999995</v>
          </cell>
          <cell r="AW173">
            <v>507.82100000000003</v>
          </cell>
          <cell r="AX173">
            <v>414.07</v>
          </cell>
          <cell r="AY173">
            <v>355.92899999999997</v>
          </cell>
          <cell r="AZ173">
            <v>291.44099999999997</v>
          </cell>
          <cell r="BA173">
            <v>245.61099999999999</v>
          </cell>
          <cell r="BB173">
            <v>203.45</v>
          </cell>
          <cell r="BC173">
            <v>144.096</v>
          </cell>
          <cell r="BD173">
            <v>80.938000000000002</v>
          </cell>
          <cell r="BE173">
            <v>33.405999999999999</v>
          </cell>
          <cell r="BF173">
            <v>11.12</v>
          </cell>
          <cell r="BG173">
            <v>5.5289999999999999</v>
          </cell>
          <cell r="BH173">
            <v>0.98099999999999998</v>
          </cell>
          <cell r="BI173">
            <v>0.13800000000000001</v>
          </cell>
          <cell r="BJ173">
            <v>10.960772252242096</v>
          </cell>
          <cell r="BK173">
            <v>11.139841391168243</v>
          </cell>
          <cell r="BL173">
            <v>8.6912035601597708</v>
          </cell>
          <cell r="BM173">
            <v>8.0342353664865467</v>
          </cell>
          <cell r="BN173">
            <v>7.6525030715331468</v>
          </cell>
          <cell r="BO173">
            <v>9.0903121937793365</v>
          </cell>
          <cell r="BP173">
            <v>8.7080161626478354</v>
          </cell>
          <cell r="BQ173">
            <v>7.1741729244145844</v>
          </cell>
          <cell r="BR173">
            <v>6.2749639789162677</v>
          </cell>
          <cell r="BS173">
            <v>5.2952402428044882</v>
          </cell>
          <cell r="BT173">
            <v>4.7021732029665788</v>
          </cell>
          <cell r="BU173">
            <v>4.175991802612752</v>
          </cell>
          <cell r="BV173">
            <v>3.3325761582705899</v>
          </cell>
          <cell r="BW173">
            <v>2.2126644990457933</v>
          </cell>
          <cell r="BX173">
            <v>1.1381501826339413</v>
          </cell>
          <cell r="BY173">
            <v>0.57723268542360628</v>
          </cell>
          <cell r="BZ173">
            <v>0.53899810816770832</v>
          </cell>
          <cell r="CA173">
            <v>0.21204770534504802</v>
          </cell>
          <cell r="CB173">
            <v>7.5971740237001317E-2</v>
          </cell>
          <cell r="CC173">
            <v>1.1689235457679165E-2</v>
          </cell>
          <cell r="CD173">
            <v>1.1937942595076593E-3</v>
          </cell>
          <cell r="CE173">
            <v>8.6018436060604273</v>
          </cell>
          <cell r="CF173">
            <v>9.0703383483035402</v>
          </cell>
          <cell r="CG173">
            <v>9.656535483224129</v>
          </cell>
          <cell r="CH173">
            <v>9.8246628017386293</v>
          </cell>
          <cell r="CI173">
            <v>7.5829504774149417</v>
          </cell>
          <cell r="CJ173">
            <v>6.9568704698659456</v>
          </cell>
          <cell r="CK173">
            <v>6.6154553872103516</v>
          </cell>
          <cell r="CL173">
            <v>7.8604939873436379</v>
          </cell>
          <cell r="CM173">
            <v>7.4873790244103828</v>
          </cell>
          <cell r="CN173">
            <v>6.1051020588703642</v>
          </cell>
          <cell r="CO173">
            <v>5.2478635755105891</v>
          </cell>
          <cell r="CP173">
            <v>4.2970440967450854</v>
          </cell>
          <cell r="CQ173">
            <v>3.6213206022682369</v>
          </cell>
          <cell r="CR173">
            <v>2.9996933220884765</v>
          </cell>
          <cell r="CS173">
            <v>2.1245702085999567</v>
          </cell>
          <cell r="CT173">
            <v>1.1933604232155179</v>
          </cell>
          <cell r="CU173">
            <v>0.49254241886305067</v>
          </cell>
          <cell r="CV173">
            <v>0.16395472962213742</v>
          </cell>
          <cell r="CW173">
            <v>8.1520296769855921E-2</v>
          </cell>
          <cell r="CX173">
            <v>1.446399188483065E-2</v>
          </cell>
          <cell r="CY173">
            <v>2.0346899899150151E-3</v>
          </cell>
          <cell r="CZ173">
            <v>99.999950258572511</v>
          </cell>
          <cell r="DA173">
            <v>99.997965310010088</v>
          </cell>
        </row>
        <row r="174">
          <cell r="B174" t="str">
            <v>TLS</v>
          </cell>
          <cell r="C174" t="str">
            <v>East Asia &amp; Pacific</v>
          </cell>
          <cell r="D174" t="str">
            <v>Lower middle income</v>
          </cell>
          <cell r="E174" t="str">
            <v>Blend</v>
          </cell>
          <cell r="G174">
            <v>0</v>
          </cell>
          <cell r="H174">
            <v>626</v>
          </cell>
          <cell r="I174">
            <v>1318.44</v>
          </cell>
          <cell r="J174">
            <v>1343.88</v>
          </cell>
          <cell r="K174">
            <v>1369.43</v>
          </cell>
          <cell r="L174">
            <v>1395.06</v>
          </cell>
          <cell r="M174">
            <v>1420.76</v>
          </cell>
          <cell r="N174">
            <v>1446.51</v>
          </cell>
          <cell r="O174">
            <v>1472.25</v>
          </cell>
          <cell r="P174">
            <v>1497.93</v>
          </cell>
          <cell r="Q174">
            <v>1523.49</v>
          </cell>
          <cell r="R174">
            <v>1548.88</v>
          </cell>
          <cell r="S174">
            <v>1574.06</v>
          </cell>
          <cell r="T174">
            <v>178.084</v>
          </cell>
          <cell r="U174">
            <v>153.79400000000001</v>
          </cell>
          <cell r="V174">
            <v>153.72999999999999</v>
          </cell>
          <cell r="W174">
            <v>152.98599999999999</v>
          </cell>
          <cell r="X174">
            <v>129.785</v>
          </cell>
          <cell r="Y174">
            <v>115.123</v>
          </cell>
          <cell r="Z174">
            <v>89.86</v>
          </cell>
          <cell r="AA174">
            <v>69.167000000000002</v>
          </cell>
          <cell r="AB174">
            <v>46.63</v>
          </cell>
          <cell r="AC174">
            <v>54.158000000000001</v>
          </cell>
          <cell r="AD174">
            <v>48.161999999999999</v>
          </cell>
          <cell r="AE174">
            <v>40.311</v>
          </cell>
          <cell r="AF174">
            <v>30.184000000000001</v>
          </cell>
          <cell r="AG174">
            <v>19.96</v>
          </cell>
          <cell r="AH174">
            <v>17.931999999999999</v>
          </cell>
          <cell r="AI174">
            <v>10.981999999999999</v>
          </cell>
          <cell r="AJ174">
            <v>5.4470000000000001</v>
          </cell>
          <cell r="AK174">
            <v>1.6950000000000001</v>
          </cell>
          <cell r="AL174">
            <v>0.40100000000000002</v>
          </cell>
          <cell r="AM174">
            <v>4.8000000000000001E-2</v>
          </cell>
          <cell r="AN174">
            <v>3.0000000000000001E-3</v>
          </cell>
          <cell r="AO174">
            <v>188.03899999999999</v>
          </cell>
          <cell r="AP174">
            <v>183.52199999999999</v>
          </cell>
          <cell r="AQ174">
            <v>174.89400000000001</v>
          </cell>
          <cell r="AR174">
            <v>150.78899999999999</v>
          </cell>
          <cell r="AS174">
            <v>147.215</v>
          </cell>
          <cell r="AT174">
            <v>143.00200000000001</v>
          </cell>
          <cell r="AU174">
            <v>119.64700000000001</v>
          </cell>
          <cell r="AV174">
            <v>106.747</v>
          </cell>
          <cell r="AW174">
            <v>83.492000000000004</v>
          </cell>
          <cell r="AX174">
            <v>64.215000000000003</v>
          </cell>
          <cell r="AY174">
            <v>42.7</v>
          </cell>
          <cell r="AZ174">
            <v>49.34</v>
          </cell>
          <cell r="BA174">
            <v>42.219000000000001</v>
          </cell>
          <cell r="BB174">
            <v>32.99</v>
          </cell>
          <cell r="BC174">
            <v>21.963000000000001</v>
          </cell>
          <cell r="BD174">
            <v>11.874000000000001</v>
          </cell>
          <cell r="BE174">
            <v>7.7290000000000001</v>
          </cell>
          <cell r="BF174">
            <v>2.8809999999999998</v>
          </cell>
          <cell r="BG174">
            <v>0.70699999999999996</v>
          </cell>
          <cell r="BH174">
            <v>8.6999999999999994E-2</v>
          </cell>
          <cell r="BI174">
            <v>7.0000000000000001E-3</v>
          </cell>
          <cell r="BJ174">
            <v>13.507175146385123</v>
          </cell>
          <cell r="BK174">
            <v>11.664846333545706</v>
          </cell>
          <cell r="BL174">
            <v>11.659992111889808</v>
          </cell>
          <cell r="BM174">
            <v>11.603561785140013</v>
          </cell>
          <cell r="BN174">
            <v>9.8438305876642076</v>
          </cell>
          <cell r="BO174">
            <v>8.7317587451837007</v>
          </cell>
          <cell r="BP174">
            <v>6.8156305937319859</v>
          </cell>
          <cell r="BQ174">
            <v>5.2461242073966199</v>
          </cell>
          <cell r="BR174">
            <v>3.5367555596007403</v>
          </cell>
          <cell r="BS174">
            <v>4.1077333818755504</v>
          </cell>
          <cell r="BT174">
            <v>3.6529534904887591</v>
          </cell>
          <cell r="BU174">
            <v>3.0574770182943478</v>
          </cell>
          <cell r="BV174">
            <v>2.2893722884621219</v>
          </cell>
          <cell r="BW174">
            <v>1.513910378932678</v>
          </cell>
          <cell r="BX174">
            <v>1.360092230211462</v>
          </cell>
          <cell r="BY174">
            <v>0.83295409726646641</v>
          </cell>
          <cell r="BZ174">
            <v>0.41313977124480444</v>
          </cell>
          <cell r="CA174">
            <v>0.12856102666788022</v>
          </cell>
          <cell r="CB174">
            <v>3.0414732562725644E-2</v>
          </cell>
          <cell r="CC174">
            <v>3.6406662419222716E-3</v>
          </cell>
          <cell r="CD174">
            <v>2.2754164012014197E-4</v>
          </cell>
          <cell r="CE174">
            <v>11.946113871135788</v>
          </cell>
          <cell r="CF174">
            <v>11.659148952390632</v>
          </cell>
          <cell r="CG174">
            <v>11.111012286698093</v>
          </cell>
          <cell r="CH174">
            <v>9.5796221236801653</v>
          </cell>
          <cell r="CI174">
            <v>9.3525659758840192</v>
          </cell>
          <cell r="CJ174">
            <v>9.0849141709972958</v>
          </cell>
          <cell r="CK174">
            <v>7.6011714928274658</v>
          </cell>
          <cell r="CL174">
            <v>6.781634753440148</v>
          </cell>
          <cell r="CM174">
            <v>5.3042450732500672</v>
          </cell>
          <cell r="CN174">
            <v>4.0795776526943071</v>
          </cell>
          <cell r="CO174">
            <v>2.7127301373518167</v>
          </cell>
          <cell r="CP174">
            <v>3.1345692032069938</v>
          </cell>
          <cell r="CQ174">
            <v>2.682172217069235</v>
          </cell>
          <cell r="CR174">
            <v>2.0958540335184175</v>
          </cell>
          <cell r="CS174">
            <v>1.3953089462917552</v>
          </cell>
          <cell r="CT174">
            <v>0.75435498011511637</v>
          </cell>
          <cell r="CU174">
            <v>0.491023213854618</v>
          </cell>
          <cell r="CV174">
            <v>0.18302987179650076</v>
          </cell>
          <cell r="CW174">
            <v>4.4915695716808764E-2</v>
          </cell>
          <cell r="CX174">
            <v>5.5271082423795793E-3</v>
          </cell>
          <cell r="CY174">
            <v>4.4470985858226496E-4</v>
          </cell>
          <cell r="CZ174">
            <v>100.00015169442672</v>
          </cell>
          <cell r="DA174">
            <v>99.999491760161618</v>
          </cell>
        </row>
        <row r="175">
          <cell r="B175" t="str">
            <v>TON</v>
          </cell>
          <cell r="C175" t="str">
            <v>East Asia &amp; Pacific</v>
          </cell>
          <cell r="D175" t="str">
            <v>Upper middle income</v>
          </cell>
          <cell r="E175" t="str">
            <v>IDA</v>
          </cell>
          <cell r="G175">
            <v>0</v>
          </cell>
          <cell r="H175">
            <v>776</v>
          </cell>
          <cell r="I175">
            <v>105.697</v>
          </cell>
          <cell r="J175">
            <v>106.759</v>
          </cell>
          <cell r="K175">
            <v>107.748</v>
          </cell>
          <cell r="L175">
            <v>108.663</v>
          </cell>
          <cell r="M175">
            <v>109.59399999999999</v>
          </cell>
          <cell r="N175">
            <v>110.55500000000001</v>
          </cell>
          <cell r="O175">
            <v>111.551</v>
          </cell>
          <cell r="P175">
            <v>112.55500000000001</v>
          </cell>
          <cell r="Q175">
            <v>113.571</v>
          </cell>
          <cell r="R175">
            <v>114.59099999999999</v>
          </cell>
          <cell r="S175">
            <v>115.616</v>
          </cell>
          <cell r="T175">
            <v>12.201000000000001</v>
          </cell>
          <cell r="U175">
            <v>12.438000000000001</v>
          </cell>
          <cell r="V175">
            <v>12.103</v>
          </cell>
          <cell r="W175">
            <v>11.419</v>
          </cell>
          <cell r="X175">
            <v>9.6980000000000004</v>
          </cell>
          <cell r="Y175">
            <v>7.4420000000000002</v>
          </cell>
          <cell r="Z175">
            <v>6.11</v>
          </cell>
          <cell r="AA175">
            <v>6.0730000000000004</v>
          </cell>
          <cell r="AB175">
            <v>5.3259999999999996</v>
          </cell>
          <cell r="AC175">
            <v>4.9640000000000004</v>
          </cell>
          <cell r="AD175">
            <v>4.8559999999999999</v>
          </cell>
          <cell r="AE175">
            <v>3.8450000000000002</v>
          </cell>
          <cell r="AF175">
            <v>2.9630000000000001</v>
          </cell>
          <cell r="AG175">
            <v>2.34</v>
          </cell>
          <cell r="AH175">
            <v>1.645</v>
          </cell>
          <cell r="AI175">
            <v>1.1459999999999999</v>
          </cell>
          <cell r="AJ175">
            <v>0.71799999999999997</v>
          </cell>
          <cell r="AK175">
            <v>0.308</v>
          </cell>
          <cell r="AL175">
            <v>9.1999999999999998E-2</v>
          </cell>
          <cell r="AM175">
            <v>0.01</v>
          </cell>
          <cell r="AN175">
            <v>0</v>
          </cell>
          <cell r="AO175">
            <v>12.504</v>
          </cell>
          <cell r="AP175">
            <v>12.048</v>
          </cell>
          <cell r="AQ175">
            <v>11.959</v>
          </cell>
          <cell r="AR175">
            <v>11.86</v>
          </cell>
          <cell r="AS175">
            <v>10.79</v>
          </cell>
          <cell r="AT175">
            <v>9.7739999999999991</v>
          </cell>
          <cell r="AU175">
            <v>8.2829999999999995</v>
          </cell>
          <cell r="AV175">
            <v>6.4009999999999998</v>
          </cell>
          <cell r="AW175">
            <v>5.3559999999999999</v>
          </cell>
          <cell r="AX175">
            <v>5.4740000000000002</v>
          </cell>
          <cell r="AY175">
            <v>4.8049999999999997</v>
          </cell>
          <cell r="AZ175">
            <v>4.4320000000000004</v>
          </cell>
          <cell r="BA175">
            <v>4.2050000000000001</v>
          </cell>
          <cell r="BB175">
            <v>3.105</v>
          </cell>
          <cell r="BC175">
            <v>2.1269999999999998</v>
          </cell>
          <cell r="BD175">
            <v>1.3839999999999999</v>
          </cell>
          <cell r="BE175">
            <v>0.70799999999999996</v>
          </cell>
          <cell r="BF175">
            <v>0.3</v>
          </cell>
          <cell r="BG175">
            <v>8.8999999999999996E-2</v>
          </cell>
          <cell r="BH175">
            <v>1.2E-2</v>
          </cell>
          <cell r="BI175">
            <v>0</v>
          </cell>
          <cell r="BJ175">
            <v>11.543373984124432</v>
          </cell>
          <cell r="BK175">
            <v>11.767599837270689</v>
          </cell>
          <cell r="BL175">
            <v>11.450656120798131</v>
          </cell>
          <cell r="BM175">
            <v>10.8035232788064</v>
          </cell>
          <cell r="BN175">
            <v>9.1752840667190174</v>
          </cell>
          <cell r="BO175">
            <v>7.0408810089217289</v>
          </cell>
          <cell r="BP175">
            <v>5.7806749482009891</v>
          </cell>
          <cell r="BQ175">
            <v>5.7456692242920804</v>
          </cell>
          <cell r="BR175">
            <v>5.0389320415905843</v>
          </cell>
          <cell r="BS175">
            <v>4.6964436076709841</v>
          </cell>
          <cell r="BT175">
            <v>4.5942647378828161</v>
          </cell>
          <cell r="BU175">
            <v>3.6377569845880204</v>
          </cell>
          <cell r="BV175">
            <v>2.8032962146513145</v>
          </cell>
          <cell r="BW175">
            <v>2.2138755120769744</v>
          </cell>
          <cell r="BX175">
            <v>1.5563355629771896</v>
          </cell>
          <cell r="BY175">
            <v>1.0842313405300055</v>
          </cell>
          <cell r="BZ175">
            <v>0.67930026396208032</v>
          </cell>
          <cell r="CA175">
            <v>0.2913989990255163</v>
          </cell>
          <cell r="CB175">
            <v>8.7041259449180203E-2</v>
          </cell>
          <cell r="CC175">
            <v>9.4610064618674133E-3</v>
          </cell>
          <cell r="CD175">
            <v>0</v>
          </cell>
          <cell r="CE175">
            <v>10.815112095211735</v>
          </cell>
          <cell r="CF175">
            <v>10.420703016883476</v>
          </cell>
          <cell r="CG175">
            <v>10.34372405203432</v>
          </cell>
          <cell r="CH175">
            <v>10.258095765292001</v>
          </cell>
          <cell r="CI175">
            <v>9.3326183227234978</v>
          </cell>
          <cell r="CJ175">
            <v>8.453847218378078</v>
          </cell>
          <cell r="CK175">
            <v>7.1642333241073901</v>
          </cell>
          <cell r="CL175">
            <v>5.5364309438140049</v>
          </cell>
          <cell r="CM175">
            <v>4.6325768059784114</v>
          </cell>
          <cell r="CN175">
            <v>4.7346388043177416</v>
          </cell>
          <cell r="CO175">
            <v>4.1559991696650975</v>
          </cell>
          <cell r="CP175">
            <v>3.8333794630500977</v>
          </cell>
          <cell r="CQ175">
            <v>3.6370398560752837</v>
          </cell>
          <cell r="CR175">
            <v>2.6856144478272901</v>
          </cell>
          <cell r="CS175">
            <v>1.8397107666758925</v>
          </cell>
          <cell r="CT175">
            <v>1.1970661500138389</v>
          </cell>
          <cell r="CU175">
            <v>0.6123719900359812</v>
          </cell>
          <cell r="CV175">
            <v>0.25947965679490725</v>
          </cell>
          <cell r="CW175">
            <v>7.6978964849155826E-2</v>
          </cell>
          <cell r="CX175">
            <v>1.0379186271796291E-2</v>
          </cell>
          <cell r="CY175">
            <v>0</v>
          </cell>
          <cell r="CZ175">
            <v>100.00000000000001</v>
          </cell>
          <cell r="DA175">
            <v>100</v>
          </cell>
        </row>
        <row r="176">
          <cell r="B176" t="str">
            <v>TTO</v>
          </cell>
          <cell r="C176" t="str">
            <v>Latin America &amp; Caribbean</v>
          </cell>
          <cell r="D176" t="str">
            <v>High income</v>
          </cell>
          <cell r="E176" t="str">
            <v>IBRD</v>
          </cell>
          <cell r="G176">
            <v>0</v>
          </cell>
          <cell r="H176">
            <v>780</v>
          </cell>
          <cell r="I176">
            <v>1399.49</v>
          </cell>
          <cell r="J176">
            <v>1403.37</v>
          </cell>
          <cell r="K176">
            <v>1406.59</v>
          </cell>
          <cell r="L176">
            <v>1409.18</v>
          </cell>
          <cell r="M176">
            <v>1411.18</v>
          </cell>
          <cell r="N176">
            <v>1412.7</v>
          </cell>
          <cell r="O176">
            <v>1413.71</v>
          </cell>
          <cell r="P176">
            <v>1414.23</v>
          </cell>
          <cell r="Q176">
            <v>1414.33</v>
          </cell>
          <cell r="R176">
            <v>1414.05</v>
          </cell>
          <cell r="S176">
            <v>1413.41</v>
          </cell>
          <cell r="T176">
            <v>88.366</v>
          </cell>
          <cell r="U176">
            <v>96.084999999999994</v>
          </cell>
          <cell r="V176">
            <v>96.32</v>
          </cell>
          <cell r="W176">
            <v>89.49</v>
          </cell>
          <cell r="X176">
            <v>85.695999999999998</v>
          </cell>
          <cell r="Y176">
            <v>97.305999999999997</v>
          </cell>
          <cell r="Z176">
            <v>116.833</v>
          </cell>
          <cell r="AA176">
            <v>126.02800000000001</v>
          </cell>
          <cell r="AB176">
            <v>101.245</v>
          </cell>
          <cell r="AC176">
            <v>90.197000000000003</v>
          </cell>
          <cell r="AD176">
            <v>82.715000000000003</v>
          </cell>
          <cell r="AE176">
            <v>92.346999999999994</v>
          </cell>
          <cell r="AF176">
            <v>75.716999999999999</v>
          </cell>
          <cell r="AG176">
            <v>60.176000000000002</v>
          </cell>
          <cell r="AH176">
            <v>43.96</v>
          </cell>
          <cell r="AI176">
            <v>29.693999999999999</v>
          </cell>
          <cell r="AJ176">
            <v>16.45</v>
          </cell>
          <cell r="AK176">
            <v>7.3609999999999998</v>
          </cell>
          <cell r="AL176">
            <v>2.7679999999999998</v>
          </cell>
          <cell r="AM176">
            <v>0.64900000000000002</v>
          </cell>
          <cell r="AN176">
            <v>8.7999999999999995E-2</v>
          </cell>
          <cell r="AO176">
            <v>72.935000000000002</v>
          </cell>
          <cell r="AP176">
            <v>78.381</v>
          </cell>
          <cell r="AQ176">
            <v>87.706000000000003</v>
          </cell>
          <cell r="AR176">
            <v>95.108999999999995</v>
          </cell>
          <cell r="AS176">
            <v>94.393000000000001</v>
          </cell>
          <cell r="AT176">
            <v>87.066999999999993</v>
          </cell>
          <cell r="AU176">
            <v>83.424999999999997</v>
          </cell>
          <cell r="AV176">
            <v>95.033000000000001</v>
          </cell>
          <cell r="AW176">
            <v>114.004</v>
          </cell>
          <cell r="AX176">
            <v>122.125</v>
          </cell>
          <cell r="AY176">
            <v>96.659000000000006</v>
          </cell>
          <cell r="AZ176">
            <v>84.036000000000001</v>
          </cell>
          <cell r="BA176">
            <v>74.468000000000004</v>
          </cell>
          <cell r="BB176">
            <v>79.783000000000001</v>
          </cell>
          <cell r="BC176">
            <v>61.554000000000002</v>
          </cell>
          <cell r="BD176">
            <v>43.603000000000002</v>
          </cell>
          <cell r="BE176">
            <v>25.719000000000001</v>
          </cell>
          <cell r="BF176">
            <v>12.29</v>
          </cell>
          <cell r="BG176">
            <v>4.0730000000000004</v>
          </cell>
          <cell r="BH176">
            <v>0.90200000000000002</v>
          </cell>
          <cell r="BI176">
            <v>0.14799999999999999</v>
          </cell>
          <cell r="BJ176">
            <v>6.3141573001593443</v>
          </cell>
          <cell r="BK176">
            <v>6.8657153677411058</v>
          </cell>
          <cell r="BL176">
            <v>6.8825071990510827</v>
          </cell>
          <cell r="BM176">
            <v>6.3944722720419582</v>
          </cell>
          <cell r="BN176">
            <v>6.1233735146374748</v>
          </cell>
          <cell r="BO176">
            <v>6.9529614359516687</v>
          </cell>
          <cell r="BP176">
            <v>8.3482554359087953</v>
          </cell>
          <cell r="BQ176">
            <v>9.0052804950374785</v>
          </cell>
          <cell r="BR176">
            <v>7.2344211105474132</v>
          </cell>
          <cell r="BS176">
            <v>6.4449906751745276</v>
          </cell>
          <cell r="BT176">
            <v>5.9103673481053818</v>
          </cell>
          <cell r="BU176">
            <v>6.5986180680104898</v>
          </cell>
          <cell r="BV176">
            <v>5.4103280480746561</v>
          </cell>
          <cell r="BW176">
            <v>4.2998520889752694</v>
          </cell>
          <cell r="BX176">
            <v>3.1411442739855229</v>
          </cell>
          <cell r="BY176">
            <v>2.1217729315679281</v>
          </cell>
          <cell r="BZ176">
            <v>1.1754281916984044</v>
          </cell>
          <cell r="CA176">
            <v>0.52597732030954136</v>
          </cell>
          <cell r="CB176">
            <v>0.19778633645113575</v>
          </cell>
          <cell r="CC176">
            <v>4.6374036256064712E-2</v>
          </cell>
          <cell r="CD176">
            <v>6.2880049160765703E-3</v>
          </cell>
          <cell r="CE176">
            <v>5.1602153656759189</v>
          </cell>
          <cell r="CF176">
            <v>5.5455246531438149</v>
          </cell>
          <cell r="CG176">
            <v>6.2052766005617617</v>
          </cell>
          <cell r="CH176">
            <v>6.7290453583885776</v>
          </cell>
          <cell r="CI176">
            <v>6.6783877289675315</v>
          </cell>
          <cell r="CJ176">
            <v>6.1600667888298499</v>
          </cell>
          <cell r="CK176">
            <v>5.9023920872216831</v>
          </cell>
          <cell r="CL176">
            <v>6.7236682915785231</v>
          </cell>
          <cell r="CM176">
            <v>8.0658832185989908</v>
          </cell>
          <cell r="CN176">
            <v>8.6404511076050117</v>
          </cell>
          <cell r="CO176">
            <v>6.8387092209620706</v>
          </cell>
          <cell r="CP176">
            <v>5.9456208743393635</v>
          </cell>
          <cell r="CQ176">
            <v>5.2686764633050567</v>
          </cell>
          <cell r="CR176">
            <v>5.6447173856135162</v>
          </cell>
          <cell r="CS176">
            <v>4.3549996108701654</v>
          </cell>
          <cell r="CT176">
            <v>3.0849505805109629</v>
          </cell>
          <cell r="CU176">
            <v>1.8196418590500987</v>
          </cell>
          <cell r="CV176">
            <v>0.86952830388917579</v>
          </cell>
          <cell r="CW176">
            <v>0.28816833049150636</v>
          </cell>
          <cell r="CX176">
            <v>6.3817292929864655E-2</v>
          </cell>
          <cell r="CY176">
            <v>1.0471130103791538E-2</v>
          </cell>
          <cell r="CZ176">
            <v>100.00007145460133</v>
          </cell>
          <cell r="DA176">
            <v>99.989741122533445</v>
          </cell>
        </row>
        <row r="177">
          <cell r="B177" t="str">
            <v>TUN</v>
          </cell>
          <cell r="C177" t="str">
            <v>Middle East &amp; North Africa</v>
          </cell>
          <cell r="D177" t="str">
            <v>Lower middle income</v>
          </cell>
          <cell r="E177" t="str">
            <v>IBRD</v>
          </cell>
          <cell r="G177">
            <v>0</v>
          </cell>
          <cell r="H177">
            <v>788</v>
          </cell>
          <cell r="I177">
            <v>11818.6</v>
          </cell>
          <cell r="J177">
            <v>11935.8</v>
          </cell>
          <cell r="K177">
            <v>12046.7</v>
          </cell>
          <cell r="L177">
            <v>12151.6</v>
          </cell>
          <cell r="M177">
            <v>12251.4</v>
          </cell>
          <cell r="N177">
            <v>12346.7</v>
          </cell>
          <cell r="O177">
            <v>12437.5</v>
          </cell>
          <cell r="P177">
            <v>12523.5</v>
          </cell>
          <cell r="Q177">
            <v>12604.8</v>
          </cell>
          <cell r="R177">
            <v>12682.1</v>
          </cell>
          <cell r="S177">
            <v>12755.8</v>
          </cell>
          <cell r="T177">
            <v>1004.15</v>
          </cell>
          <cell r="U177">
            <v>1013.6</v>
          </cell>
          <cell r="V177">
            <v>853.06600000000003</v>
          </cell>
          <cell r="W177">
            <v>786.87199999999996</v>
          </cell>
          <cell r="X177">
            <v>821.28700000000003</v>
          </cell>
          <cell r="Y177">
            <v>904.05899999999997</v>
          </cell>
          <cell r="Z177">
            <v>928.18899999999996</v>
          </cell>
          <cell r="AA177">
            <v>985.875</v>
          </cell>
          <cell r="AB177">
            <v>846.84500000000003</v>
          </cell>
          <cell r="AC177">
            <v>725.62599999999998</v>
          </cell>
          <cell r="AD177">
            <v>711.33900000000006</v>
          </cell>
          <cell r="AE177">
            <v>650.16700000000003</v>
          </cell>
          <cell r="AF177">
            <v>538.87199999999996</v>
          </cell>
          <cell r="AG177">
            <v>423.72199999999998</v>
          </cell>
          <cell r="AH177">
            <v>250.363</v>
          </cell>
          <cell r="AI177">
            <v>173.74299999999999</v>
          </cell>
          <cell r="AJ177">
            <v>119.672</v>
          </cell>
          <cell r="AK177">
            <v>61.5</v>
          </cell>
          <cell r="AL177">
            <v>16.314</v>
          </cell>
          <cell r="AM177">
            <v>3.0979999999999999</v>
          </cell>
          <cell r="AN177">
            <v>0.25</v>
          </cell>
          <cell r="AO177">
            <v>831.60599999999999</v>
          </cell>
          <cell r="AP177">
            <v>916.61099999999999</v>
          </cell>
          <cell r="AQ177">
            <v>1001.61</v>
          </cell>
          <cell r="AR177">
            <v>1008.92</v>
          </cell>
          <cell r="AS177">
            <v>844.31200000000001</v>
          </cell>
          <cell r="AT177">
            <v>775.96699999999998</v>
          </cell>
          <cell r="AU177">
            <v>810.70699999999999</v>
          </cell>
          <cell r="AV177">
            <v>893.88300000000004</v>
          </cell>
          <cell r="AW177">
            <v>917.05799999999999</v>
          </cell>
          <cell r="AX177">
            <v>970.34500000000003</v>
          </cell>
          <cell r="AY177">
            <v>826.39800000000002</v>
          </cell>
          <cell r="AZ177">
            <v>697.27099999999996</v>
          </cell>
          <cell r="BA177">
            <v>666.66600000000005</v>
          </cell>
          <cell r="BB177">
            <v>584.83900000000006</v>
          </cell>
          <cell r="BC177">
            <v>451.75099999999998</v>
          </cell>
          <cell r="BD177">
            <v>311.15100000000001</v>
          </cell>
          <cell r="BE177">
            <v>145.48099999999999</v>
          </cell>
          <cell r="BF177">
            <v>68.346000000000004</v>
          </cell>
          <cell r="BG177">
            <v>26.234999999999999</v>
          </cell>
          <cell r="BH177">
            <v>6.0279999999999996</v>
          </cell>
          <cell r="BI177">
            <v>0.57299999999999995</v>
          </cell>
          <cell r="BJ177">
            <v>8.4963532059634801</v>
          </cell>
          <cell r="BK177">
            <v>8.5763119151168485</v>
          </cell>
          <cell r="BL177">
            <v>7.2179953632409939</v>
          </cell>
          <cell r="BM177">
            <v>6.6579121046486041</v>
          </cell>
          <cell r="BN177">
            <v>6.9491056470309509</v>
          </cell>
          <cell r="BO177">
            <v>7.6494593268238198</v>
          </cell>
          <cell r="BP177">
            <v>7.8536290254344845</v>
          </cell>
          <cell r="BQ177">
            <v>8.3417240620716502</v>
          </cell>
          <cell r="BR177">
            <v>7.1653579950247916</v>
          </cell>
          <cell r="BS177">
            <v>6.139695056944138</v>
          </cell>
          <cell r="BT177">
            <v>6.0188093344389353</v>
          </cell>
          <cell r="BU177">
            <v>5.5012184184251947</v>
          </cell>
          <cell r="BV177">
            <v>4.5595248168141733</v>
          </cell>
          <cell r="BW177">
            <v>3.5852131386120178</v>
          </cell>
          <cell r="BX177">
            <v>2.1183811957423044</v>
          </cell>
          <cell r="BY177">
            <v>1.4700810586702315</v>
          </cell>
          <cell r="BZ177">
            <v>1.012573401248879</v>
          </cell>
          <cell r="CA177">
            <v>0.52036620242668341</v>
          </cell>
          <cell r="CB177">
            <v>0.13803665408762461</v>
          </cell>
          <cell r="CC177">
            <v>2.6212918619802683E-2</v>
          </cell>
          <cell r="CD177">
            <v>2.1153097659621276E-3</v>
          </cell>
          <cell r="CE177">
            <v>6.5194342965552927</v>
          </cell>
          <cell r="CF177">
            <v>7.1858370309976642</v>
          </cell>
          <cell r="CG177">
            <v>7.8521927280139234</v>
          </cell>
          <cell r="CH177">
            <v>7.9094999921604288</v>
          </cell>
          <cell r="CI177">
            <v>6.619043885918563</v>
          </cell>
          <cell r="CJ177">
            <v>6.0832484046472981</v>
          </cell>
          <cell r="CK177">
            <v>6.3555951018360286</v>
          </cell>
          <cell r="CL177">
            <v>7.0076592608852444</v>
          </cell>
          <cell r="CM177">
            <v>7.1893413192430113</v>
          </cell>
          <cell r="CN177">
            <v>7.6070885401150852</v>
          </cell>
          <cell r="CO177">
            <v>6.4786058106900395</v>
          </cell>
          <cell r="CP177">
            <v>5.4663055237617399</v>
          </cell>
          <cell r="CQ177">
            <v>5.2263754527352271</v>
          </cell>
          <cell r="CR177">
            <v>4.5848868749902012</v>
          </cell>
          <cell r="CS177">
            <v>3.5415340472569343</v>
          </cell>
          <cell r="CT177">
            <v>2.4392903620313899</v>
          </cell>
          <cell r="CU177">
            <v>1.1405086313676915</v>
          </cell>
          <cell r="CV177">
            <v>0.53580332084228355</v>
          </cell>
          <cell r="CW177">
            <v>0.20567114567490866</v>
          </cell>
          <cell r="CX177">
            <v>4.7256934100566014E-2</v>
          </cell>
          <cell r="CY177">
            <v>4.4920741937001206E-3</v>
          </cell>
          <cell r="CZ177">
            <v>100.00007615115157</v>
          </cell>
          <cell r="DA177">
            <v>99.995178663823523</v>
          </cell>
        </row>
        <row r="178">
          <cell r="B178" t="str">
            <v>TUR</v>
          </cell>
          <cell r="C178" t="str">
            <v>Europe &amp; Central Asia</v>
          </cell>
          <cell r="D178" t="str">
            <v>Upper middle income</v>
          </cell>
          <cell r="E178" t="str">
            <v>IBRD</v>
          </cell>
          <cell r="G178">
            <v>0</v>
          </cell>
          <cell r="H178">
            <v>792</v>
          </cell>
          <cell r="I178">
            <v>84339.1</v>
          </cell>
          <cell r="J178">
            <v>85042.7</v>
          </cell>
          <cell r="K178">
            <v>85562</v>
          </cell>
          <cell r="L178">
            <v>85957.3</v>
          </cell>
          <cell r="M178">
            <v>86316.5</v>
          </cell>
          <cell r="N178">
            <v>86705.2</v>
          </cell>
          <cell r="O178">
            <v>87141.8</v>
          </cell>
          <cell r="P178">
            <v>87613</v>
          </cell>
          <cell r="Q178">
            <v>88114.6</v>
          </cell>
          <cell r="R178">
            <v>88633.2</v>
          </cell>
          <cell r="S178">
            <v>89157.8</v>
          </cell>
          <cell r="T178">
            <v>6567.15</v>
          </cell>
          <cell r="U178">
            <v>6852.12</v>
          </cell>
          <cell r="V178">
            <v>6773.24</v>
          </cell>
          <cell r="W178">
            <v>6821.91</v>
          </cell>
          <cell r="X178">
            <v>6770.02</v>
          </cell>
          <cell r="Y178">
            <v>6404.14</v>
          </cell>
          <cell r="Z178">
            <v>6394.98</v>
          </cell>
          <cell r="AA178">
            <v>6379.75</v>
          </cell>
          <cell r="AB178">
            <v>6008.07</v>
          </cell>
          <cell r="AC178">
            <v>5438.5</v>
          </cell>
          <cell r="AD178">
            <v>4755.47</v>
          </cell>
          <cell r="AE178">
            <v>4152.96</v>
          </cell>
          <cell r="AF178">
            <v>3446.2</v>
          </cell>
          <cell r="AG178">
            <v>2746.19</v>
          </cell>
          <cell r="AH178">
            <v>1970.5</v>
          </cell>
          <cell r="AI178">
            <v>1383.08</v>
          </cell>
          <cell r="AJ178">
            <v>877.36300000000006</v>
          </cell>
          <cell r="AK178">
            <v>453.346</v>
          </cell>
          <cell r="AL178">
            <v>124.98399999999999</v>
          </cell>
          <cell r="AM178">
            <v>17.811</v>
          </cell>
          <cell r="AN178">
            <v>1.2769999999999999</v>
          </cell>
          <cell r="AO178">
            <v>6024.21</v>
          </cell>
          <cell r="AP178">
            <v>6274.85</v>
          </cell>
          <cell r="AQ178">
            <v>6484.71</v>
          </cell>
          <cell r="AR178">
            <v>6451.62</v>
          </cell>
          <cell r="AS178">
            <v>6399.79</v>
          </cell>
          <cell r="AT178">
            <v>6455.31</v>
          </cell>
          <cell r="AU178">
            <v>6481.29</v>
          </cell>
          <cell r="AV178">
            <v>6162.19</v>
          </cell>
          <cell r="AW178">
            <v>6138.4</v>
          </cell>
          <cell r="AX178">
            <v>6102.13</v>
          </cell>
          <cell r="AY178">
            <v>5706.06</v>
          </cell>
          <cell r="AZ178">
            <v>5103.32</v>
          </cell>
          <cell r="BA178">
            <v>4371.2700000000004</v>
          </cell>
          <cell r="BB178">
            <v>3691.94</v>
          </cell>
          <cell r="BC178">
            <v>2961.78</v>
          </cell>
          <cell r="BD178">
            <v>2165.39</v>
          </cell>
          <cell r="BE178">
            <v>1265.6400000000001</v>
          </cell>
          <cell r="BF178">
            <v>632.85599999999999</v>
          </cell>
          <cell r="BG178">
            <v>229.773</v>
          </cell>
          <cell r="BH178">
            <v>50.704000000000001</v>
          </cell>
          <cell r="BI178">
            <v>4.548</v>
          </cell>
          <cell r="BJ178">
            <v>7.7866019438196519</v>
          </cell>
          <cell r="BK178">
            <v>8.124487930271961</v>
          </cell>
          <cell r="BL178">
            <v>8.0309607287722997</v>
          </cell>
          <cell r="BM178">
            <v>8.0886682452148531</v>
          </cell>
          <cell r="BN178">
            <v>8.0271428080214271</v>
          </cell>
          <cell r="BO178">
            <v>7.5933226700308634</v>
          </cell>
          <cell r="BP178">
            <v>7.5824617526153339</v>
          </cell>
          <cell r="BQ178">
            <v>7.5644036988775074</v>
          </cell>
          <cell r="BR178">
            <v>7.1237065607766725</v>
          </cell>
          <cell r="BS178">
            <v>6.4483732930515032</v>
          </cell>
          <cell r="BT178">
            <v>5.638511674893377</v>
          </cell>
          <cell r="BU178">
            <v>4.9241217893005738</v>
          </cell>
          <cell r="BV178">
            <v>4.0861237551740528</v>
          </cell>
          <cell r="BW178">
            <v>3.2561291263482768</v>
          </cell>
          <cell r="BX178">
            <v>2.3364015029802307</v>
          </cell>
          <cell r="BY178">
            <v>1.6399036745708691</v>
          </cell>
          <cell r="BZ178">
            <v>1.0402802496113903</v>
          </cell>
          <cell r="CA178">
            <v>0.53752767103277121</v>
          </cell>
          <cell r="CB178">
            <v>0.14819223823825484</v>
          </cell>
          <cell r="CC178">
            <v>2.1118318786897176E-2</v>
          </cell>
          <cell r="CD178">
            <v>1.5141257139333949E-3</v>
          </cell>
          <cell r="CE178">
            <v>6.7567952551543433</v>
          </cell>
          <cell r="CF178">
            <v>7.0379147982565744</v>
          </cell>
          <cell r="CG178">
            <v>7.2732952136548903</v>
          </cell>
          <cell r="CH178">
            <v>7.2361812426955341</v>
          </cell>
          <cell r="CI178">
            <v>7.178048359201326</v>
          </cell>
          <cell r="CJ178">
            <v>7.2403199720046922</v>
          </cell>
          <cell r="CK178">
            <v>7.2694593181976224</v>
          </cell>
          <cell r="CL178">
            <v>6.9115545695385023</v>
          </cell>
          <cell r="CM178">
            <v>6.8848715423664553</v>
          </cell>
          <cell r="CN178">
            <v>6.8441908615959575</v>
          </cell>
          <cell r="CO178">
            <v>6.3999560330111338</v>
          </cell>
          <cell r="CP178">
            <v>5.7239187149077244</v>
          </cell>
          <cell r="CQ178">
            <v>4.9028464138863903</v>
          </cell>
          <cell r="CR178">
            <v>4.1409052264636408</v>
          </cell>
          <cell r="CS178">
            <v>3.3219527624055325</v>
          </cell>
          <cell r="CT178">
            <v>2.4287162760857717</v>
          </cell>
          <cell r="CU178">
            <v>1.4195505048352473</v>
          </cell>
          <cell r="CV178">
            <v>0.70981563026454209</v>
          </cell>
          <cell r="CW178">
            <v>0.25771497277860156</v>
          </cell>
          <cell r="CX178">
            <v>5.6869954171143738E-2</v>
          </cell>
          <cell r="CY178">
            <v>5.1010679940509968E-3</v>
          </cell>
          <cell r="CZ178">
            <v>99.99995375810272</v>
          </cell>
          <cell r="DA178">
            <v>99.994877621475624</v>
          </cell>
        </row>
        <row r="179">
          <cell r="B179" t="str">
            <v>TZA</v>
          </cell>
          <cell r="C179" t="str">
            <v>Sub-Saharan Africa</v>
          </cell>
          <cell r="D179" t="str">
            <v>Lower middle income</v>
          </cell>
          <cell r="E179" t="str">
            <v>IDA</v>
          </cell>
          <cell r="F179" t="str">
            <v>HIPC</v>
          </cell>
          <cell r="G179">
            <v>1</v>
          </cell>
          <cell r="H179">
            <v>834</v>
          </cell>
          <cell r="I179">
            <v>59734.2</v>
          </cell>
          <cell r="J179">
            <v>61498.400000000001</v>
          </cell>
          <cell r="K179">
            <v>63298.5</v>
          </cell>
          <cell r="L179">
            <v>65136.2</v>
          </cell>
          <cell r="M179">
            <v>67014.100000000006</v>
          </cell>
          <cell r="N179">
            <v>68934.2</v>
          </cell>
          <cell r="O179">
            <v>70896.5</v>
          </cell>
          <cell r="P179">
            <v>72900.3</v>
          </cell>
          <cell r="Q179">
            <v>74946</v>
          </cell>
          <cell r="R179">
            <v>77033.5</v>
          </cell>
          <cell r="S179">
            <v>79162.7</v>
          </cell>
          <cell r="T179">
            <v>9738.6</v>
          </cell>
          <cell r="U179">
            <v>8623.7099999999991</v>
          </cell>
          <cell r="V179">
            <v>7654.58</v>
          </cell>
          <cell r="W179">
            <v>6434.46</v>
          </cell>
          <cell r="X179">
            <v>5262.56</v>
          </cell>
          <cell r="Y179">
            <v>4583.6899999999996</v>
          </cell>
          <cell r="Z179">
            <v>3902.89</v>
          </cell>
          <cell r="AA179">
            <v>3259.04</v>
          </cell>
          <cell r="AB179">
            <v>2684.79</v>
          </cell>
          <cell r="AC179">
            <v>2135.9299999999998</v>
          </cell>
          <cell r="AD179">
            <v>1660.78</v>
          </cell>
          <cell r="AE179">
            <v>1265.8499999999999</v>
          </cell>
          <cell r="AF179">
            <v>948.18899999999996</v>
          </cell>
          <cell r="AG179">
            <v>674.61099999999999</v>
          </cell>
          <cell r="AH179">
            <v>472.21300000000002</v>
          </cell>
          <cell r="AI179">
            <v>269.02300000000002</v>
          </cell>
          <cell r="AJ179">
            <v>121.85599999999999</v>
          </cell>
          <cell r="AK179">
            <v>36.082000000000001</v>
          </cell>
          <cell r="AL179">
            <v>5.0880000000000001</v>
          </cell>
          <cell r="AM179">
            <v>0.247</v>
          </cell>
          <cell r="AN179">
            <v>7.0000000000000001E-3</v>
          </cell>
          <cell r="AO179">
            <v>12018.5</v>
          </cell>
          <cell r="AP179">
            <v>10699.8</v>
          </cell>
          <cell r="AQ179">
            <v>9533.2000000000007</v>
          </cell>
          <cell r="AR179">
            <v>8485.6299999999992</v>
          </cell>
          <cell r="AS179">
            <v>7508.43</v>
          </cell>
          <cell r="AT179">
            <v>6274.85</v>
          </cell>
          <cell r="AU179">
            <v>5107.83</v>
          </cell>
          <cell r="AV179">
            <v>4427.6899999999996</v>
          </cell>
          <cell r="AW179">
            <v>3742.06</v>
          </cell>
          <cell r="AX179">
            <v>3091.56</v>
          </cell>
          <cell r="AY179">
            <v>2505.3200000000002</v>
          </cell>
          <cell r="AZ179">
            <v>1942.17</v>
          </cell>
          <cell r="BA179">
            <v>1450.59</v>
          </cell>
          <cell r="BB179">
            <v>1030.8399999999999</v>
          </cell>
          <cell r="BC179">
            <v>683.31700000000001</v>
          </cell>
          <cell r="BD179">
            <v>395.44499999999999</v>
          </cell>
          <cell r="BE179">
            <v>194.65</v>
          </cell>
          <cell r="BF179">
            <v>60.56</v>
          </cell>
          <cell r="BG179">
            <v>9.73</v>
          </cell>
          <cell r="BH179">
            <v>0.58199999999999996</v>
          </cell>
          <cell r="BI179">
            <v>1.6E-2</v>
          </cell>
          <cell r="BJ179">
            <v>16.303223279126534</v>
          </cell>
          <cell r="BK179">
            <v>14.436805046355353</v>
          </cell>
          <cell r="BL179">
            <v>12.814401130340745</v>
          </cell>
          <cell r="BM179">
            <v>10.771819158873813</v>
          </cell>
          <cell r="BN179">
            <v>8.8099614626127085</v>
          </cell>
          <cell r="BO179">
            <v>7.6734768357155536</v>
          </cell>
          <cell r="BP179">
            <v>6.5337612289107412</v>
          </cell>
          <cell r="BQ179">
            <v>5.4559029835504615</v>
          </cell>
          <cell r="BR179">
            <v>4.4945609048083011</v>
          </cell>
          <cell r="BS179">
            <v>3.5757237897218004</v>
          </cell>
          <cell r="BT179">
            <v>2.7802833217821616</v>
          </cell>
          <cell r="BU179">
            <v>2.1191377803670259</v>
          </cell>
          <cell r="BV179">
            <v>1.5873469469750996</v>
          </cell>
          <cell r="BW179">
            <v>1.1293547080232094</v>
          </cell>
          <cell r="BX179">
            <v>0.79052368659829719</v>
          </cell>
          <cell r="BY179">
            <v>0.45036679155324766</v>
          </cell>
          <cell r="BZ179">
            <v>0.20399704022151466</v>
          </cell>
          <cell r="CA179">
            <v>6.040425752751355E-2</v>
          </cell>
          <cell r="CB179">
            <v>8.5177335596693347E-3</v>
          </cell>
          <cell r="CC179">
            <v>4.1349846486602311E-4</v>
          </cell>
          <cell r="CD179">
            <v>1.1718579975960172E-5</v>
          </cell>
          <cell r="CE179">
            <v>15.18202385719537</v>
          </cell>
          <cell r="CF179">
            <v>13.516214075568417</v>
          </cell>
          <cell r="CG179">
            <v>12.042540236752917</v>
          </cell>
          <cell r="CH179">
            <v>10.719227616036338</v>
          </cell>
          <cell r="CI179">
            <v>9.4848078703732952</v>
          </cell>
          <cell r="CJ179">
            <v>7.9265234763341841</v>
          </cell>
          <cell r="CK179">
            <v>6.4523190846193987</v>
          </cell>
          <cell r="CL179">
            <v>5.5931518252914563</v>
          </cell>
          <cell r="CM179">
            <v>4.7270494816371853</v>
          </cell>
          <cell r="CN179">
            <v>3.9053240983442961</v>
          </cell>
          <cell r="CO179">
            <v>3.1647733086415699</v>
          </cell>
          <cell r="CP179">
            <v>2.4533902961874721</v>
          </cell>
          <cell r="CQ179">
            <v>1.832416024213424</v>
          </cell>
          <cell r="CR179">
            <v>1.3021789302285041</v>
          </cell>
          <cell r="CS179">
            <v>0.86318051304465371</v>
          </cell>
          <cell r="CT179">
            <v>0.49953450299193941</v>
          </cell>
          <cell r="CU179">
            <v>0.24588600439348329</v>
          </cell>
          <cell r="CV179">
            <v>7.6500675191725404E-2</v>
          </cell>
          <cell r="CW179">
            <v>1.2291142166702249E-2</v>
          </cell>
          <cell r="CX179">
            <v>7.3519473186235435E-4</v>
          </cell>
          <cell r="CY179">
            <v>2.0211539020270913E-5</v>
          </cell>
          <cell r="CZ179">
            <v>99.99999330366856</v>
          </cell>
          <cell r="DA179">
            <v>100.0000682139442</v>
          </cell>
        </row>
        <row r="180">
          <cell r="B180" t="str">
            <v>UGA</v>
          </cell>
          <cell r="C180" t="str">
            <v>Sub-Saharan Africa</v>
          </cell>
          <cell r="D180" t="str">
            <v>Low income</v>
          </cell>
          <cell r="E180" t="str">
            <v>IDA</v>
          </cell>
          <cell r="F180" t="str">
            <v>HIPC</v>
          </cell>
          <cell r="G180">
            <v>1</v>
          </cell>
          <cell r="H180">
            <v>800</v>
          </cell>
          <cell r="I180">
            <v>45741</v>
          </cell>
          <cell r="J180">
            <v>47123.5</v>
          </cell>
          <cell r="K180">
            <v>48432.9</v>
          </cell>
          <cell r="L180">
            <v>49700.800000000003</v>
          </cell>
          <cell r="M180">
            <v>50976</v>
          </cell>
          <cell r="N180">
            <v>52294.3</v>
          </cell>
          <cell r="O180">
            <v>53663.6</v>
          </cell>
          <cell r="P180">
            <v>55072.4</v>
          </cell>
          <cell r="Q180">
            <v>56513</v>
          </cell>
          <cell r="R180">
            <v>57971.6</v>
          </cell>
          <cell r="S180">
            <v>59437.9</v>
          </cell>
          <cell r="T180">
            <v>7796.04</v>
          </cell>
          <cell r="U180">
            <v>7059.91</v>
          </cell>
          <cell r="V180">
            <v>6192.18</v>
          </cell>
          <cell r="W180">
            <v>5257.25</v>
          </cell>
          <cell r="X180">
            <v>4328.18</v>
          </cell>
          <cell r="Y180">
            <v>3544.49</v>
          </cell>
          <cell r="Z180">
            <v>2848.52</v>
          </cell>
          <cell r="AA180">
            <v>2252.58</v>
          </cell>
          <cell r="AB180">
            <v>1765.4</v>
          </cell>
          <cell r="AC180">
            <v>1368</v>
          </cell>
          <cell r="AD180">
            <v>1065.5899999999999</v>
          </cell>
          <cell r="AE180">
            <v>786.84199999999998</v>
          </cell>
          <cell r="AF180">
            <v>567.73400000000004</v>
          </cell>
          <cell r="AG180">
            <v>406.59100000000001</v>
          </cell>
          <cell r="AH180">
            <v>261.48899999999998</v>
          </cell>
          <cell r="AI180">
            <v>150.50899999999999</v>
          </cell>
          <cell r="AJ180">
            <v>63.645000000000003</v>
          </cell>
          <cell r="AK180">
            <v>22.445</v>
          </cell>
          <cell r="AL180">
            <v>3.3940000000000001</v>
          </cell>
          <cell r="AM180">
            <v>0.19700000000000001</v>
          </cell>
          <cell r="AN180">
            <v>6.0000000000000001E-3</v>
          </cell>
          <cell r="AO180">
            <v>8593.3799999999992</v>
          </cell>
          <cell r="AP180">
            <v>7996.39</v>
          </cell>
          <cell r="AQ180">
            <v>7540.87</v>
          </cell>
          <cell r="AR180">
            <v>6875.15</v>
          </cell>
          <cell r="AS180">
            <v>6009.19</v>
          </cell>
          <cell r="AT180">
            <v>5065.21</v>
          </cell>
          <cell r="AU180">
            <v>4139.4799999999996</v>
          </cell>
          <cell r="AV180">
            <v>3362.01</v>
          </cell>
          <cell r="AW180">
            <v>2672.18</v>
          </cell>
          <cell r="AX180">
            <v>2084.04</v>
          </cell>
          <cell r="AY180">
            <v>1602.46</v>
          </cell>
          <cell r="AZ180">
            <v>1207.2</v>
          </cell>
          <cell r="BA180">
            <v>901.90200000000004</v>
          </cell>
          <cell r="BB180">
            <v>619.83199999999999</v>
          </cell>
          <cell r="BC180">
            <v>395.226</v>
          </cell>
          <cell r="BD180">
            <v>230.636</v>
          </cell>
          <cell r="BE180">
            <v>104.396</v>
          </cell>
          <cell r="BF180">
            <v>32.929000000000002</v>
          </cell>
          <cell r="BG180">
            <v>5.0490000000000004</v>
          </cell>
          <cell r="BH180">
            <v>0.38600000000000001</v>
          </cell>
          <cell r="BI180">
            <v>1.2999999999999999E-2</v>
          </cell>
          <cell r="BJ180">
            <v>17.043877484095233</v>
          </cell>
          <cell r="BK180">
            <v>15.434533569445355</v>
          </cell>
          <cell r="BL180">
            <v>13.537482783498394</v>
          </cell>
          <cell r="BM180">
            <v>11.493517850506111</v>
          </cell>
          <cell r="BN180">
            <v>9.4623641809317682</v>
          </cell>
          <cell r="BO180">
            <v>7.7490435276885066</v>
          </cell>
          <cell r="BP180">
            <v>6.227498305677619</v>
          </cell>
          <cell r="BQ180">
            <v>4.9246409129664857</v>
          </cell>
          <cell r="BR180">
            <v>3.8595570713364378</v>
          </cell>
          <cell r="BS180">
            <v>2.990752279136879</v>
          </cell>
          <cell r="BT180">
            <v>2.3296167552086748</v>
          </cell>
          <cell r="BU180">
            <v>1.7202116263308629</v>
          </cell>
          <cell r="BV180">
            <v>1.2411928029557728</v>
          </cell>
          <cell r="BW180">
            <v>0.8888983625194028</v>
          </cell>
          <cell r="BX180">
            <v>0.57167311602282411</v>
          </cell>
          <cell r="BY180">
            <v>0.32904615115541852</v>
          </cell>
          <cell r="BZ180">
            <v>0.13914212631993178</v>
          </cell>
          <cell r="CA180">
            <v>4.9069762357622268E-2</v>
          </cell>
          <cell r="CB180">
            <v>7.420038914759188E-3</v>
          </cell>
          <cell r="CC180">
            <v>4.3068581797512084E-4</v>
          </cell>
          <cell r="CD180">
            <v>1.3117334557617893E-5</v>
          </cell>
          <cell r="CE180">
            <v>14.457744974166314</v>
          </cell>
          <cell r="CF180">
            <v>13.453352154096965</v>
          </cell>
          <cell r="CG180">
            <v>12.686972453602834</v>
          </cell>
          <cell r="CH180">
            <v>11.566946342316939</v>
          </cell>
          <cell r="CI180">
            <v>10.110030805260616</v>
          </cell>
          <cell r="CJ180">
            <v>8.5218522188704515</v>
          </cell>
          <cell r="CK180">
            <v>6.9643779474039285</v>
          </cell>
          <cell r="CL180">
            <v>5.6563404830924373</v>
          </cell>
          <cell r="CM180">
            <v>4.4957510275430312</v>
          </cell>
          <cell r="CN180">
            <v>3.5062476971763803</v>
          </cell>
          <cell r="CO180">
            <v>2.6960239173995046</v>
          </cell>
          <cell r="CP180">
            <v>2.0310273411409221</v>
          </cell>
          <cell r="CQ180">
            <v>1.517385371959642</v>
          </cell>
          <cell r="CR180">
            <v>1.0428228453562458</v>
          </cell>
          <cell r="CS180">
            <v>0.66493937369927258</v>
          </cell>
          <cell r="CT180">
            <v>0.38802851379338771</v>
          </cell>
          <cell r="CU180">
            <v>0.17563877593252789</v>
          </cell>
          <cell r="CV180">
            <v>5.5400678691541937E-2</v>
          </cell>
          <cell r="CW180">
            <v>8.4945800575053979E-3</v>
          </cell>
          <cell r="CX180">
            <v>6.4941729098773684E-4</v>
          </cell>
          <cell r="CY180">
            <v>2.1871566794923778E-5</v>
          </cell>
          <cell r="CZ180">
            <v>99.99998251022059</v>
          </cell>
          <cell r="DA180">
            <v>100.00002691885143</v>
          </cell>
        </row>
        <row r="181">
          <cell r="B181" t="str">
            <v>UKR</v>
          </cell>
          <cell r="C181" t="str">
            <v>Europe &amp; Central Asia</v>
          </cell>
          <cell r="D181" t="str">
            <v>Lower middle income</v>
          </cell>
          <cell r="E181" t="str">
            <v>IBRD</v>
          </cell>
          <cell r="G181">
            <v>0</v>
          </cell>
          <cell r="H181">
            <v>804</v>
          </cell>
          <cell r="I181">
            <v>43733.8</v>
          </cell>
          <cell r="J181">
            <v>43466.8</v>
          </cell>
          <cell r="K181">
            <v>43192.1</v>
          </cell>
          <cell r="L181">
            <v>42911.3</v>
          </cell>
          <cell r="M181">
            <v>42626.3</v>
          </cell>
          <cell r="N181">
            <v>42338.6</v>
          </cell>
          <cell r="O181">
            <v>42049.2</v>
          </cell>
          <cell r="P181">
            <v>41758.6</v>
          </cell>
          <cell r="Q181">
            <v>41467.199999999997</v>
          </cell>
          <cell r="R181">
            <v>41175.1</v>
          </cell>
          <cell r="S181">
            <v>40882.300000000003</v>
          </cell>
          <cell r="T181">
            <v>2113.85</v>
          </cell>
          <cell r="U181">
            <v>2475.66</v>
          </cell>
          <cell r="V181">
            <v>2403.7399999999998</v>
          </cell>
          <cell r="W181">
            <v>1979.77</v>
          </cell>
          <cell r="X181">
            <v>2146.0500000000002</v>
          </cell>
          <cell r="Y181">
            <v>2752.44</v>
          </cell>
          <cell r="Z181">
            <v>3584.83</v>
          </cell>
          <cell r="AA181">
            <v>3624.12</v>
          </cell>
          <cell r="AB181">
            <v>3337.19</v>
          </cell>
          <cell r="AC181">
            <v>3069.21</v>
          </cell>
          <cell r="AD181">
            <v>2802.96</v>
          </cell>
          <cell r="AE181">
            <v>3103.78</v>
          </cell>
          <cell r="AF181">
            <v>2927.64</v>
          </cell>
          <cell r="AG181">
            <v>2612.21</v>
          </cell>
          <cell r="AH181">
            <v>1769.08</v>
          </cell>
          <cell r="AI181">
            <v>1214.3499999999999</v>
          </cell>
          <cell r="AJ181">
            <v>1187.1600000000001</v>
          </cell>
          <cell r="AK181">
            <v>412.197</v>
          </cell>
          <cell r="AL181">
            <v>188.148</v>
          </cell>
          <cell r="AM181">
            <v>27.428999999999998</v>
          </cell>
          <cell r="AN181">
            <v>1.919</v>
          </cell>
          <cell r="AO181">
            <v>1703.83</v>
          </cell>
          <cell r="AP181">
            <v>1842.47</v>
          </cell>
          <cell r="AQ181">
            <v>2110.56</v>
          </cell>
          <cell r="AR181">
            <v>2472.35</v>
          </cell>
          <cell r="AS181">
            <v>2399.16</v>
          </cell>
          <cell r="AT181">
            <v>1971.14</v>
          </cell>
          <cell r="AU181">
            <v>2122.4499999999998</v>
          </cell>
          <cell r="AV181">
            <v>2695.37</v>
          </cell>
          <cell r="AW181">
            <v>3473.89</v>
          </cell>
          <cell r="AX181">
            <v>3472.4</v>
          </cell>
          <cell r="AY181">
            <v>3146.64</v>
          </cell>
          <cell r="AZ181">
            <v>2819.36</v>
          </cell>
          <cell r="BA181">
            <v>2474.0500000000002</v>
          </cell>
          <cell r="BB181">
            <v>2590.34</v>
          </cell>
          <cell r="BC181">
            <v>2248.4899999999998</v>
          </cell>
          <cell r="BD181">
            <v>1733.88</v>
          </cell>
          <cell r="BE181">
            <v>914.21799999999996</v>
          </cell>
          <cell r="BF181">
            <v>426.90899999999999</v>
          </cell>
          <cell r="BG181">
            <v>227.75899999999999</v>
          </cell>
          <cell r="BH181">
            <v>32.31</v>
          </cell>
          <cell r="BI181">
            <v>4.766</v>
          </cell>
          <cell r="BJ181">
            <v>4.8334468991946729</v>
          </cell>
          <cell r="BK181">
            <v>5.6607475225111923</v>
          </cell>
          <cell r="BL181">
            <v>5.4962980577951139</v>
          </cell>
          <cell r="BM181">
            <v>4.5268648047962898</v>
          </cell>
          <cell r="BN181">
            <v>4.9070741623183904</v>
          </cell>
          <cell r="BO181">
            <v>6.2936218668398354</v>
          </cell>
          <cell r="BP181">
            <v>8.1969323498072431</v>
          </cell>
          <cell r="BQ181">
            <v>8.286771330183976</v>
          </cell>
          <cell r="BR181">
            <v>7.630688392044596</v>
          </cell>
          <cell r="BS181">
            <v>7.0179357842218142</v>
          </cell>
          <cell r="BT181">
            <v>6.4091389268712069</v>
          </cell>
          <cell r="BU181">
            <v>7.096982196836314</v>
          </cell>
          <cell r="BV181">
            <v>6.6942273481837846</v>
          </cell>
          <cell r="BW181">
            <v>5.9729774224970162</v>
          </cell>
          <cell r="BX181">
            <v>4.0451092747485919</v>
          </cell>
          <cell r="BY181">
            <v>2.7766853097604138</v>
          </cell>
          <cell r="BZ181">
            <v>2.7145137170792384</v>
          </cell>
          <cell r="CA181">
            <v>0.9425135707393365</v>
          </cell>
          <cell r="CB181">
            <v>0.43021187273916284</v>
          </cell>
          <cell r="CC181">
            <v>6.2718080752187086E-2</v>
          </cell>
          <cell r="CD181">
            <v>4.387910494857524E-3</v>
          </cell>
          <cell r="CE181">
            <v>4.1676471235718138</v>
          </cell>
          <cell r="CF181">
            <v>4.5067669871802707</v>
          </cell>
          <cell r="CG181">
            <v>5.1625275485968247</v>
          </cell>
          <cell r="CH181">
            <v>6.0474826514163826</v>
          </cell>
          <cell r="CI181">
            <v>5.8684565203034067</v>
          </cell>
          <cell r="CJ181">
            <v>4.8214997688486214</v>
          </cell>
          <cell r="CK181">
            <v>5.1916110394963093</v>
          </cell>
          <cell r="CL181">
            <v>6.5929999046041923</v>
          </cell>
          <cell r="CM181">
            <v>8.4972958957788567</v>
          </cell>
          <cell r="CN181">
            <v>8.4936512867426739</v>
          </cell>
          <cell r="CO181">
            <v>7.6968272333014527</v>
          </cell>
          <cell r="CP181">
            <v>6.8962851894340575</v>
          </cell>
          <cell r="CQ181">
            <v>6.0516409301824998</v>
          </cell>
          <cell r="CR181">
            <v>6.3360916582481899</v>
          </cell>
          <cell r="CS181">
            <v>5.4999107193088443</v>
          </cell>
          <cell r="CT181">
            <v>4.241150815878755</v>
          </cell>
          <cell r="CU181">
            <v>2.2362195864714067</v>
          </cell>
          <cell r="CV181">
            <v>1.0442391939788123</v>
          </cell>
          <cell r="CW181">
            <v>0.55710906675994254</v>
          </cell>
          <cell r="CX181">
            <v>7.903175701954146E-2</v>
          </cell>
          <cell r="CY181">
            <v>1.1657856823123943E-2</v>
          </cell>
          <cell r="CZ181">
            <v>99.999846800415227</v>
          </cell>
          <cell r="DA181">
            <v>99.988444877122845</v>
          </cell>
        </row>
        <row r="182">
          <cell r="B182" t="str">
            <v>URY</v>
          </cell>
          <cell r="C182" t="str">
            <v>Latin America &amp; Caribbean</v>
          </cell>
          <cell r="D182" t="str">
            <v>High income</v>
          </cell>
          <cell r="E182" t="str">
            <v>IBRD</v>
          </cell>
          <cell r="G182">
            <v>0</v>
          </cell>
          <cell r="H182">
            <v>858</v>
          </cell>
          <cell r="I182">
            <v>3473.73</v>
          </cell>
          <cell r="J182">
            <v>3485.15</v>
          </cell>
          <cell r="K182">
            <v>3496.01</v>
          </cell>
          <cell r="L182">
            <v>3506.37</v>
          </cell>
          <cell r="M182">
            <v>3516.36</v>
          </cell>
          <cell r="N182">
            <v>3526.08</v>
          </cell>
          <cell r="O182">
            <v>3535.51</v>
          </cell>
          <cell r="P182">
            <v>3544.57</v>
          </cell>
          <cell r="Q182">
            <v>3553.26</v>
          </cell>
          <cell r="R182">
            <v>3561.58</v>
          </cell>
          <cell r="S182">
            <v>3569.47</v>
          </cell>
          <cell r="T182">
            <v>236.65600000000001</v>
          </cell>
          <cell r="U182">
            <v>236.41399999999999</v>
          </cell>
          <cell r="V182">
            <v>233.31399999999999</v>
          </cell>
          <cell r="W182">
            <v>245.61500000000001</v>
          </cell>
          <cell r="X182">
            <v>254.065</v>
          </cell>
          <cell r="Y182">
            <v>257.495</v>
          </cell>
          <cell r="Z182">
            <v>239.61600000000001</v>
          </cell>
          <cell r="AA182">
            <v>221.53</v>
          </cell>
          <cell r="AB182">
            <v>234.364</v>
          </cell>
          <cell r="AC182">
            <v>220.65600000000001</v>
          </cell>
          <cell r="AD182">
            <v>196.34100000000001</v>
          </cell>
          <cell r="AE182">
            <v>194.73599999999999</v>
          </cell>
          <cell r="AF182">
            <v>178.82400000000001</v>
          </cell>
          <cell r="AG182">
            <v>149.09700000000001</v>
          </cell>
          <cell r="AH182">
            <v>123.81100000000001</v>
          </cell>
          <cell r="AI182">
            <v>96.454999999999998</v>
          </cell>
          <cell r="AJ182">
            <v>70.331000000000003</v>
          </cell>
          <cell r="AK182">
            <v>48.222999999999999</v>
          </cell>
          <cell r="AL182">
            <v>25.231999999999999</v>
          </cell>
          <cell r="AM182">
            <v>8.8089999999999993</v>
          </cell>
          <cell r="AN182">
            <v>2.1429999999999998</v>
          </cell>
          <cell r="AO182">
            <v>222.74100000000001</v>
          </cell>
          <cell r="AP182">
            <v>228.57400000000001</v>
          </cell>
          <cell r="AQ182">
            <v>234.381</v>
          </cell>
          <cell r="AR182">
            <v>234.05600000000001</v>
          </cell>
          <cell r="AS182">
            <v>229.614</v>
          </cell>
          <cell r="AT182">
            <v>239.72800000000001</v>
          </cell>
          <cell r="AU182">
            <v>247.54400000000001</v>
          </cell>
          <cell r="AV182">
            <v>251.61500000000001</v>
          </cell>
          <cell r="AW182">
            <v>234.31800000000001</v>
          </cell>
          <cell r="AX182">
            <v>215.94900000000001</v>
          </cell>
          <cell r="AY182">
            <v>226.44300000000001</v>
          </cell>
          <cell r="AZ182">
            <v>209.959</v>
          </cell>
          <cell r="BA182">
            <v>182.30199999999999</v>
          </cell>
          <cell r="BB182">
            <v>173.68100000000001</v>
          </cell>
          <cell r="BC182">
            <v>149.874</v>
          </cell>
          <cell r="BD182">
            <v>113.571</v>
          </cell>
          <cell r="BE182">
            <v>81.572999999999993</v>
          </cell>
          <cell r="BF182">
            <v>50.99</v>
          </cell>
          <cell r="BG182">
            <v>27.099</v>
          </cell>
          <cell r="BH182">
            <v>11.816000000000001</v>
          </cell>
          <cell r="BI182">
            <v>3.6429999999999998</v>
          </cell>
          <cell r="BJ182">
            <v>6.8127344381975572</v>
          </cell>
          <cell r="BK182">
            <v>6.8057678633630134</v>
          </cell>
          <cell r="BL182">
            <v>6.7165266154824934</v>
          </cell>
          <cell r="BM182">
            <v>7.0706416445722606</v>
          </cell>
          <cell r="BN182">
            <v>7.3138960137949693</v>
          </cell>
          <cell r="BO182">
            <v>7.4126371364498675</v>
          </cell>
          <cell r="BP182">
            <v>6.8979454361737966</v>
          </cell>
          <cell r="BQ182">
            <v>6.3772947235392508</v>
          </cell>
          <cell r="BR182">
            <v>6.7467534897646049</v>
          </cell>
          <cell r="BS182">
            <v>6.3521344491368064</v>
          </cell>
          <cell r="BT182">
            <v>5.6521664032610479</v>
          </cell>
          <cell r="BU182">
            <v>5.6059624668583909</v>
          </cell>
          <cell r="BV182">
            <v>5.1478957777374754</v>
          </cell>
          <cell r="BW182">
            <v>4.2921297855619178</v>
          </cell>
          <cell r="BX182">
            <v>3.5642090778500348</v>
          </cell>
          <cell r="BY182">
            <v>2.7766982465534165</v>
          </cell>
          <cell r="BZ182">
            <v>2.0246536144144769</v>
          </cell>
          <cell r="CA182">
            <v>1.3882195795297849</v>
          </cell>
          <cell r="CB182">
            <v>0.72636618274880316</v>
          </cell>
          <cell r="CC182">
            <v>0.25358908147725928</v>
          </cell>
          <cell r="CD182">
            <v>6.1691611034824227E-2</v>
          </cell>
          <cell r="CE182">
            <v>6.2401701092879343</v>
          </cell>
          <cell r="CF182">
            <v>6.4035837253149639</v>
          </cell>
          <cell r="CG182">
            <v>6.5662689418877314</v>
          </cell>
          <cell r="CH182">
            <v>6.5571639487094728</v>
          </cell>
          <cell r="CI182">
            <v>6.4327197034853913</v>
          </cell>
          <cell r="CJ182">
            <v>6.7160670911928104</v>
          </cell>
          <cell r="CK182">
            <v>6.9350351732890321</v>
          </cell>
          <cell r="CL182">
            <v>7.0490857186080849</v>
          </cell>
          <cell r="CM182">
            <v>6.5645039739793312</v>
          </cell>
          <cell r="CN182">
            <v>6.0498897595441345</v>
          </cell>
          <cell r="CO182">
            <v>6.34388298542921</v>
          </cell>
          <cell r="CP182">
            <v>5.8820777314279153</v>
          </cell>
          <cell r="CQ182">
            <v>5.1072568196398906</v>
          </cell>
          <cell r="CR182">
            <v>4.8657363698252123</v>
          </cell>
          <cell r="CS182">
            <v>4.1987746079950243</v>
          </cell>
          <cell r="CT182">
            <v>3.1817328623016867</v>
          </cell>
          <cell r="CU182">
            <v>2.2852972570157473</v>
          </cell>
          <cell r="CV182">
            <v>1.4285033912597671</v>
          </cell>
          <cell r="CW182">
            <v>0.75918833888504467</v>
          </cell>
          <cell r="CX182">
            <v>0.33102953659787032</v>
          </cell>
          <cell r="CY182">
            <v>0.10205996968737656</v>
          </cell>
          <cell r="CZ182">
            <v>99.999913637502047</v>
          </cell>
          <cell r="DA182">
            <v>99.897968045676222</v>
          </cell>
        </row>
        <row r="183">
          <cell r="B183" t="str">
            <v>USA</v>
          </cell>
          <cell r="C183" t="str">
            <v>North America</v>
          </cell>
          <cell r="D183" t="str">
            <v>High income</v>
          </cell>
          <cell r="G183">
            <v>0</v>
          </cell>
          <cell r="H183">
            <v>840</v>
          </cell>
          <cell r="I183">
            <v>331003</v>
          </cell>
          <cell r="J183">
            <v>332915</v>
          </cell>
          <cell r="K183">
            <v>334805</v>
          </cell>
          <cell r="L183">
            <v>336679</v>
          </cell>
          <cell r="M183">
            <v>338543</v>
          </cell>
          <cell r="N183">
            <v>340400</v>
          </cell>
          <cell r="O183">
            <v>342252</v>
          </cell>
          <cell r="P183">
            <v>344101</v>
          </cell>
          <cell r="Q183">
            <v>345948</v>
          </cell>
          <cell r="R183">
            <v>347795</v>
          </cell>
          <cell r="S183">
            <v>349642</v>
          </cell>
          <cell r="T183">
            <v>19676.3</v>
          </cell>
          <cell r="U183">
            <v>20045.2</v>
          </cell>
          <cell r="V183">
            <v>21089.5</v>
          </cell>
          <cell r="W183">
            <v>21242.9</v>
          </cell>
          <cell r="X183">
            <v>22258.7</v>
          </cell>
          <cell r="Y183">
            <v>23835.3</v>
          </cell>
          <cell r="Z183">
            <v>23052.5</v>
          </cell>
          <cell r="AA183">
            <v>21615.8</v>
          </cell>
          <cell r="AB183">
            <v>20294.599999999999</v>
          </cell>
          <cell r="AC183">
            <v>20053.8</v>
          </cell>
          <cell r="AD183">
            <v>20577.8</v>
          </cell>
          <cell r="AE183">
            <v>21542.3</v>
          </cell>
          <cell r="AF183">
            <v>20669.099999999999</v>
          </cell>
          <cell r="AG183">
            <v>17819</v>
          </cell>
          <cell r="AH183">
            <v>14354.9</v>
          </cell>
          <cell r="AI183">
            <v>9727.73</v>
          </cell>
          <cell r="AJ183">
            <v>6461.2</v>
          </cell>
          <cell r="AK183">
            <v>3911.1</v>
          </cell>
          <cell r="AL183">
            <v>2051.14</v>
          </cell>
          <cell r="AM183">
            <v>626.63599999999997</v>
          </cell>
          <cell r="AN183">
            <v>97.103999999999999</v>
          </cell>
          <cell r="AO183">
            <v>20808.2</v>
          </cell>
          <cell r="AP183">
            <v>20449.400000000001</v>
          </cell>
          <cell r="AQ183">
            <v>19868.400000000001</v>
          </cell>
          <cell r="AR183">
            <v>20647.8</v>
          </cell>
          <cell r="AS183">
            <v>22466.799999999999</v>
          </cell>
          <cell r="AT183">
            <v>22864</v>
          </cell>
          <cell r="AU183">
            <v>23499.3</v>
          </cell>
          <cell r="AV183">
            <v>24563.4</v>
          </cell>
          <cell r="AW183">
            <v>23378.6</v>
          </cell>
          <cell r="AX183">
            <v>21619.599999999999</v>
          </cell>
          <cell r="AY183">
            <v>19981.099999999999</v>
          </cell>
          <cell r="AZ183">
            <v>19335.900000000001</v>
          </cell>
          <cell r="BA183">
            <v>19317.5</v>
          </cell>
          <cell r="BB183">
            <v>19563.5</v>
          </cell>
          <cell r="BC183">
            <v>17935.2</v>
          </cell>
          <cell r="BD183">
            <v>14360.6</v>
          </cell>
          <cell r="BE183">
            <v>10157.700000000001</v>
          </cell>
          <cell r="BF183">
            <v>5463.47</v>
          </cell>
          <cell r="BG183">
            <v>2434.3000000000002</v>
          </cell>
          <cell r="BH183">
            <v>765.32299999999998</v>
          </cell>
          <cell r="BI183">
            <v>161.75700000000001</v>
          </cell>
          <cell r="BJ183">
            <v>5.9444476334051348</v>
          </cell>
          <cell r="BK183">
            <v>6.0558967743494767</v>
          </cell>
          <cell r="BL183">
            <v>6.3713924042984509</v>
          </cell>
          <cell r="BM183">
            <v>6.4177363951384123</v>
          </cell>
          <cell r="BN183">
            <v>6.7246218312220734</v>
          </cell>
          <cell r="BO183">
            <v>7.2009317136098465</v>
          </cell>
          <cell r="BP183">
            <v>6.9644383887759327</v>
          </cell>
          <cell r="BQ183">
            <v>6.5303939843445526</v>
          </cell>
          <cell r="BR183">
            <v>6.1312435234725964</v>
          </cell>
          <cell r="BS183">
            <v>6.058494938112343</v>
          </cell>
          <cell r="BT183">
            <v>6.2168016604079117</v>
          </cell>
          <cell r="BU183">
            <v>6.5081887475340103</v>
          </cell>
          <cell r="BV183">
            <v>6.2443844919834559</v>
          </cell>
          <cell r="BW183">
            <v>5.3833348942456709</v>
          </cell>
          <cell r="BX183">
            <v>4.3367884883218579</v>
          </cell>
          <cell r="BY183">
            <v>2.9388646024356273</v>
          </cell>
          <cell r="BZ183">
            <v>1.9520064772826831</v>
          </cell>
          <cell r="CA183">
            <v>1.1815904991797657</v>
          </cell>
          <cell r="CB183">
            <v>0.61967414192620607</v>
          </cell>
          <cell r="CC183">
            <v>0.18931429624504914</v>
          </cell>
          <cell r="CD183">
            <v>2.9336290003413867E-2</v>
          </cell>
          <cell r="CE183">
            <v>5.9512873167411238</v>
          </cell>
          <cell r="CF183">
            <v>5.8486680661934205</v>
          </cell>
          <cell r="CG183">
            <v>5.6824980980545821</v>
          </cell>
          <cell r="CH183">
            <v>5.9054118212342912</v>
          </cell>
          <cell r="CI183">
            <v>6.4256582447188837</v>
          </cell>
          <cell r="CJ183">
            <v>6.5392601575325617</v>
          </cell>
          <cell r="CK183">
            <v>6.7209602965318807</v>
          </cell>
          <cell r="CL183">
            <v>7.0253001641679207</v>
          </cell>
          <cell r="CM183">
            <v>6.6864392721698191</v>
          </cell>
          <cell r="CN183">
            <v>6.1833532584758117</v>
          </cell>
          <cell r="CO183">
            <v>5.7147310677778975</v>
          </cell>
          <cell r="CP183">
            <v>5.5301994611631331</v>
          </cell>
          <cell r="CQ183">
            <v>5.5249369354940194</v>
          </cell>
          <cell r="CR183">
            <v>5.5952946156354209</v>
          </cell>
          <cell r="CS183">
            <v>5.1295896946019077</v>
          </cell>
          <cell r="CT183">
            <v>4.1072296806447737</v>
          </cell>
          <cell r="CU183">
            <v>2.9051715754972229</v>
          </cell>
          <cell r="CV183">
            <v>1.5625897346428632</v>
          </cell>
          <cell r="CW183">
            <v>0.69622642588705019</v>
          </cell>
          <cell r="CX183">
            <v>0.21888760503600826</v>
          </cell>
          <cell r="CY183">
            <v>4.6263606774929786E-2</v>
          </cell>
          <cell r="CZ183">
            <v>99.999882176294449</v>
          </cell>
          <cell r="DA183">
            <v>99.953693492200614</v>
          </cell>
        </row>
        <row r="184">
          <cell r="B184" t="str">
            <v>UZB</v>
          </cell>
          <cell r="C184" t="str">
            <v>Europe &amp; Central Asia</v>
          </cell>
          <cell r="D184" t="str">
            <v>Lower middle income</v>
          </cell>
          <cell r="E184" t="str">
            <v>Blend</v>
          </cell>
          <cell r="G184">
            <v>0</v>
          </cell>
          <cell r="H184">
            <v>860</v>
          </cell>
          <cell r="I184">
            <v>33469.199999999997</v>
          </cell>
          <cell r="J184">
            <v>33935.800000000003</v>
          </cell>
          <cell r="K184">
            <v>34382.1</v>
          </cell>
          <cell r="L184">
            <v>34809.4</v>
          </cell>
          <cell r="M184">
            <v>35220.5</v>
          </cell>
          <cell r="N184">
            <v>35617.699999999997</v>
          </cell>
          <cell r="O184">
            <v>36000.9</v>
          </cell>
          <cell r="P184">
            <v>36369.800000000003</v>
          </cell>
          <cell r="Q184">
            <v>36727</v>
          </cell>
          <cell r="R184">
            <v>37075.699999999997</v>
          </cell>
          <cell r="S184">
            <v>37418.400000000001</v>
          </cell>
          <cell r="T184">
            <v>3431.64</v>
          </cell>
          <cell r="U184">
            <v>3282.09</v>
          </cell>
          <cell r="V184">
            <v>2925.42</v>
          </cell>
          <cell r="W184">
            <v>2535.4299999999998</v>
          </cell>
          <cell r="X184">
            <v>2782.34</v>
          </cell>
          <cell r="Y184">
            <v>3164.65</v>
          </cell>
          <cell r="Z184">
            <v>3030.4</v>
          </cell>
          <cell r="AA184">
            <v>2546.8000000000002</v>
          </cell>
          <cell r="AB184">
            <v>2105.4</v>
          </cell>
          <cell r="AC184">
            <v>1825.1</v>
          </cell>
          <cell r="AD184">
            <v>1568.64</v>
          </cell>
          <cell r="AE184">
            <v>1500.12</v>
          </cell>
          <cell r="AF184">
            <v>1168.3900000000001</v>
          </cell>
          <cell r="AG184">
            <v>771.24300000000005</v>
          </cell>
          <cell r="AH184">
            <v>343.94600000000003</v>
          </cell>
          <cell r="AI184">
            <v>228.20400000000001</v>
          </cell>
          <cell r="AJ184">
            <v>163.80199999999999</v>
          </cell>
          <cell r="AK184">
            <v>67.757000000000005</v>
          </cell>
          <cell r="AL184">
            <v>23.65</v>
          </cell>
          <cell r="AM184">
            <v>3.7120000000000002</v>
          </cell>
          <cell r="AN184">
            <v>0.47899999999999998</v>
          </cell>
          <cell r="AO184">
            <v>2934.05</v>
          </cell>
          <cell r="AP184">
            <v>3130.73</v>
          </cell>
          <cell r="AQ184">
            <v>3414.42</v>
          </cell>
          <cell r="AR184">
            <v>3266.95</v>
          </cell>
          <cell r="AS184">
            <v>2900</v>
          </cell>
          <cell r="AT184">
            <v>2503.3000000000002</v>
          </cell>
          <cell r="AU184">
            <v>2743.93</v>
          </cell>
          <cell r="AV184">
            <v>3115.49</v>
          </cell>
          <cell r="AW184">
            <v>2971.11</v>
          </cell>
          <cell r="AX184">
            <v>2476.85</v>
          </cell>
          <cell r="AY184">
            <v>2019.04</v>
          </cell>
          <cell r="AZ184">
            <v>1708.67</v>
          </cell>
          <cell r="BA184">
            <v>1404.59</v>
          </cell>
          <cell r="BB184">
            <v>1245.93</v>
          </cell>
          <cell r="BC184">
            <v>861.87300000000005</v>
          </cell>
          <cell r="BD184">
            <v>471.1</v>
          </cell>
          <cell r="BE184">
            <v>155.83000000000001</v>
          </cell>
          <cell r="BF184">
            <v>65.296999999999997</v>
          </cell>
          <cell r="BG184">
            <v>24.535</v>
          </cell>
          <cell r="BH184">
            <v>4.2320000000000002</v>
          </cell>
          <cell r="BI184">
            <v>0.54100000000000004</v>
          </cell>
          <cell r="BJ184">
            <v>10.253128249256033</v>
          </cell>
          <cell r="BK184">
            <v>9.806299523143668</v>
          </cell>
          <cell r="BL184">
            <v>8.7406331791617369</v>
          </cell>
          <cell r="BM184">
            <v>7.5754126181683468</v>
          </cell>
          <cell r="BN184">
            <v>8.3131356590536978</v>
          </cell>
          <cell r="BO184">
            <v>9.4554097498595731</v>
          </cell>
          <cell r="BP184">
            <v>9.0542946948238985</v>
          </cell>
          <cell r="BQ184">
            <v>7.6093841502037716</v>
          </cell>
          <cell r="BR184">
            <v>6.2905596787494176</v>
          </cell>
          <cell r="BS184">
            <v>5.4530732733378748</v>
          </cell>
          <cell r="BT184">
            <v>4.6868165358000802</v>
          </cell>
          <cell r="BU184">
            <v>4.4820909970958374</v>
          </cell>
          <cell r="BV184">
            <v>3.4909409247905545</v>
          </cell>
          <cell r="BW184">
            <v>2.3043365243268439</v>
          </cell>
          <cell r="BX184">
            <v>1.0276493014473009</v>
          </cell>
          <cell r="BY184">
            <v>0.68183284930622789</v>
          </cell>
          <cell r="BZ184">
            <v>0.48941116011138597</v>
          </cell>
          <cell r="CA184">
            <v>0.202445830793685</v>
          </cell>
          <cell r="CB184">
            <v>7.066198176233672E-2</v>
          </cell>
          <cell r="CC184">
            <v>1.1090793923965916E-2</v>
          </cell>
          <cell r="CD184">
            <v>1.4311665650807311E-3</v>
          </cell>
          <cell r="CE184">
            <v>7.8411957753404744</v>
          </cell>
          <cell r="CF184">
            <v>8.3668195326363488</v>
          </cell>
          <cell r="CG184">
            <v>9.1249759476621133</v>
          </cell>
          <cell r="CH184">
            <v>8.7308650289697045</v>
          </cell>
          <cell r="CI184">
            <v>7.7501977636670727</v>
          </cell>
          <cell r="CJ184">
            <v>6.6900241592371668</v>
          </cell>
          <cell r="CK184">
            <v>7.3331034998824096</v>
          </cell>
          <cell r="CL184">
            <v>8.3260909071472842</v>
          </cell>
          <cell r="CM184">
            <v>7.9402379577961648</v>
          </cell>
          <cell r="CN184">
            <v>6.6193370106685485</v>
          </cell>
          <cell r="CO184">
            <v>5.3958480319842641</v>
          </cell>
          <cell r="CP184">
            <v>4.5663897975327643</v>
          </cell>
          <cell r="CQ184">
            <v>3.7537414747824598</v>
          </cell>
          <cell r="CR184">
            <v>3.3297254826502467</v>
          </cell>
          <cell r="CS184">
            <v>2.3033400679879419</v>
          </cell>
          <cell r="CT184">
            <v>1.2590062642977786</v>
          </cell>
          <cell r="CU184">
            <v>0.41645286810766896</v>
          </cell>
          <cell r="CV184">
            <v>0.17450505633592028</v>
          </cell>
          <cell r="CW184">
            <v>6.5569345562610903E-2</v>
          </cell>
          <cell r="CX184">
            <v>1.1309943770978983E-2</v>
          </cell>
          <cell r="CY184">
            <v>1.4458127552220298E-3</v>
          </cell>
          <cell r="CZ184">
            <v>100.00003884168132</v>
          </cell>
          <cell r="DA184">
            <v>99.998735916019925</v>
          </cell>
        </row>
        <row r="185">
          <cell r="B185" t="str">
            <v>VCT</v>
          </cell>
          <cell r="C185" t="str">
            <v>Latin America &amp; Caribbean</v>
          </cell>
          <cell r="D185" t="str">
            <v>Upper middle income</v>
          </cell>
          <cell r="E185" t="str">
            <v>Blend</v>
          </cell>
          <cell r="G185">
            <v>0</v>
          </cell>
          <cell r="H185">
            <v>670</v>
          </cell>
          <cell r="I185">
            <v>110.947</v>
          </cell>
          <cell r="J185">
            <v>111.26900000000001</v>
          </cell>
          <cell r="K185">
            <v>111.55200000000001</v>
          </cell>
          <cell r="L185">
            <v>111.806</v>
          </cell>
          <cell r="M185">
            <v>112.044</v>
          </cell>
          <cell r="N185">
            <v>112.265</v>
          </cell>
          <cell r="O185">
            <v>112.47199999999999</v>
          </cell>
          <cell r="P185">
            <v>112.637</v>
          </cell>
          <cell r="Q185">
            <v>112.803</v>
          </cell>
          <cell r="R185">
            <v>112.935</v>
          </cell>
          <cell r="S185">
            <v>113.041</v>
          </cell>
          <cell r="T185">
            <v>7.7060000000000004</v>
          </cell>
          <cell r="U185">
            <v>8.2409999999999997</v>
          </cell>
          <cell r="V185">
            <v>8.3550000000000004</v>
          </cell>
          <cell r="W185">
            <v>9.0730000000000004</v>
          </cell>
          <cell r="X185">
            <v>9.2899999999999991</v>
          </cell>
          <cell r="Y185">
            <v>8.2119999999999997</v>
          </cell>
          <cell r="Z185">
            <v>7.94</v>
          </cell>
          <cell r="AA185">
            <v>7.7709999999999999</v>
          </cell>
          <cell r="AB185">
            <v>7.5229999999999997</v>
          </cell>
          <cell r="AC185">
            <v>6.9610000000000003</v>
          </cell>
          <cell r="AD185">
            <v>6.782</v>
          </cell>
          <cell r="AE185">
            <v>6.8079999999999998</v>
          </cell>
          <cell r="AF185">
            <v>5.2889999999999997</v>
          </cell>
          <cell r="AG185">
            <v>3.887</v>
          </cell>
          <cell r="AH185">
            <v>2.7210000000000001</v>
          </cell>
          <cell r="AI185">
            <v>1.782</v>
          </cell>
          <cell r="AJ185">
            <v>1.44</v>
          </cell>
          <cell r="AK185">
            <v>0.9</v>
          </cell>
          <cell r="AL185">
            <v>0.22700000000000001</v>
          </cell>
          <cell r="AM185">
            <v>3.4000000000000002E-2</v>
          </cell>
          <cell r="AN185">
            <v>5.0000000000000001E-3</v>
          </cell>
          <cell r="AO185">
            <v>7.0510000000000002</v>
          </cell>
          <cell r="AP185">
            <v>7.3769999999999998</v>
          </cell>
          <cell r="AQ185">
            <v>7.6340000000000003</v>
          </cell>
          <cell r="AR185">
            <v>8.0690000000000008</v>
          </cell>
          <cell r="AS185">
            <v>7.98</v>
          </cell>
          <cell r="AT185">
            <v>8.5809999999999995</v>
          </cell>
          <cell r="AU185">
            <v>8.8360000000000003</v>
          </cell>
          <cell r="AV185">
            <v>7.8410000000000002</v>
          </cell>
          <cell r="AW185">
            <v>7.6040000000000001</v>
          </cell>
          <cell r="AX185">
            <v>7.4169999999999998</v>
          </cell>
          <cell r="AY185">
            <v>7.0910000000000002</v>
          </cell>
          <cell r="AZ185">
            <v>6.4029999999999996</v>
          </cell>
          <cell r="BA185">
            <v>6.0229999999999997</v>
          </cell>
          <cell r="BB185">
            <v>5.7569999999999997</v>
          </cell>
          <cell r="BC185">
            <v>4.1479999999999997</v>
          </cell>
          <cell r="BD185">
            <v>2.68</v>
          </cell>
          <cell r="BE185">
            <v>1.4910000000000001</v>
          </cell>
          <cell r="BF185">
            <v>0.66700000000000004</v>
          </cell>
          <cell r="BG185">
            <v>0.30199999999999999</v>
          </cell>
          <cell r="BH185">
            <v>8.1000000000000003E-2</v>
          </cell>
          <cell r="BI185">
            <v>8.0000000000000002E-3</v>
          </cell>
          <cell r="BJ185">
            <v>6.9456587379559602</v>
          </cell>
          <cell r="BK185">
            <v>7.4278709654159183</v>
          </cell>
          <cell r="BL185">
            <v>7.5306227297718724</v>
          </cell>
          <cell r="BM185">
            <v>8.1777785789611261</v>
          </cell>
          <cell r="BN185">
            <v>8.3733674637439481</v>
          </cell>
          <cell r="BO185">
            <v>7.4017323586937893</v>
          </cell>
          <cell r="BP185">
            <v>7.1565702542655503</v>
          </cell>
          <cell r="BQ185">
            <v>7.00424527026418</v>
          </cell>
          <cell r="BR185">
            <v>6.7807151162266672</v>
          </cell>
          <cell r="BS185">
            <v>6.2741669445771402</v>
          </cell>
          <cell r="BT185">
            <v>6.1128286479129672</v>
          </cell>
          <cell r="BU185">
            <v>6.1362632608362544</v>
          </cell>
          <cell r="BV185">
            <v>4.7671410673564854</v>
          </cell>
          <cell r="BW185">
            <v>3.5034746320315104</v>
          </cell>
          <cell r="BX185">
            <v>2.4525223755486856</v>
          </cell>
          <cell r="BY185">
            <v>1.6061723165114874</v>
          </cell>
          <cell r="BZ185">
            <v>1.2979170234436261</v>
          </cell>
          <cell r="CA185">
            <v>0.81119813965226639</v>
          </cell>
          <cell r="CB185">
            <v>0.20460219744562722</v>
          </cell>
          <cell r="CC185">
            <v>3.0645263053530065E-2</v>
          </cell>
          <cell r="CD185">
            <v>4.5066563314014796E-3</v>
          </cell>
          <cell r="CE185">
            <v>6.2375598234268983</v>
          </cell>
          <cell r="CF185">
            <v>6.525950761228227</v>
          </cell>
          <cell r="CG185">
            <v>6.7533018993108707</v>
          </cell>
          <cell r="CH185">
            <v>7.138118027972153</v>
          </cell>
          <cell r="CI185">
            <v>7.0593855326828328</v>
          </cell>
          <cell r="CJ185">
            <v>7.5910510345803734</v>
          </cell>
          <cell r="CK185">
            <v>7.8166329031059538</v>
          </cell>
          <cell r="CL185">
            <v>6.9364212984669287</v>
          </cell>
          <cell r="CM185">
            <v>6.7267628559549193</v>
          </cell>
          <cell r="CN185">
            <v>6.5613361523694946</v>
          </cell>
          <cell r="CO185">
            <v>6.272945214568165</v>
          </cell>
          <cell r="CP185">
            <v>5.6643164869383673</v>
          </cell>
          <cell r="CQ185">
            <v>5.3281552710963274</v>
          </cell>
          <cell r="CR185">
            <v>5.0928424200069005</v>
          </cell>
          <cell r="CS185">
            <v>3.6694650613494217</v>
          </cell>
          <cell r="CT185">
            <v>2.3708212064649112</v>
          </cell>
          <cell r="CU185">
            <v>1.3189904547907396</v>
          </cell>
          <cell r="CV185">
            <v>0.59005139728063272</v>
          </cell>
          <cell r="CW185">
            <v>0.26715970311656834</v>
          </cell>
          <cell r="CX185">
            <v>7.1655417061066345E-2</v>
          </cell>
          <cell r="CY185">
            <v>7.0770782282534661E-3</v>
          </cell>
          <cell r="CZ185">
            <v>100</v>
          </cell>
          <cell r="DA185">
            <v>99.992922921771736</v>
          </cell>
        </row>
        <row r="186">
          <cell r="B186" t="str">
            <v>VEN</v>
          </cell>
          <cell r="C186" t="str">
            <v>Latin America &amp; Caribbean</v>
          </cell>
          <cell r="E186" t="str">
            <v>IBRD</v>
          </cell>
          <cell r="G186">
            <v>0</v>
          </cell>
          <cell r="H186">
            <v>862</v>
          </cell>
          <cell r="I186">
            <v>28435.9</v>
          </cell>
          <cell r="J186">
            <v>28704.9</v>
          </cell>
          <cell r="K186">
            <v>29267</v>
          </cell>
          <cell r="L186">
            <v>30016.6</v>
          </cell>
          <cell r="M186">
            <v>30794</v>
          </cell>
          <cell r="N186">
            <v>31481.1</v>
          </cell>
          <cell r="O186">
            <v>32048.799999999999</v>
          </cell>
          <cell r="P186">
            <v>32528.1</v>
          </cell>
          <cell r="Q186">
            <v>32931.800000000003</v>
          </cell>
          <cell r="R186">
            <v>33290.400000000001</v>
          </cell>
          <cell r="S186">
            <v>33626.5</v>
          </cell>
          <cell r="T186">
            <v>2363.41</v>
          </cell>
          <cell r="U186">
            <v>2731.19</v>
          </cell>
          <cell r="V186">
            <v>2657.8</v>
          </cell>
          <cell r="W186">
            <v>2500.77</v>
          </cell>
          <cell r="X186">
            <v>2101.63</v>
          </cell>
          <cell r="Y186">
            <v>2028.71</v>
          </cell>
          <cell r="Z186">
            <v>2064.3200000000002</v>
          </cell>
          <cell r="AA186">
            <v>1963.6</v>
          </cell>
          <cell r="AB186">
            <v>1867.72</v>
          </cell>
          <cell r="AC186">
            <v>1697.25</v>
          </cell>
          <cell r="AD186">
            <v>1599.83</v>
          </cell>
          <cell r="AE186">
            <v>1415.15</v>
          </cell>
          <cell r="AF186">
            <v>1177.44</v>
          </cell>
          <cell r="AG186">
            <v>865.11400000000003</v>
          </cell>
          <cell r="AH186">
            <v>603.58100000000002</v>
          </cell>
          <cell r="AI186">
            <v>386.279</v>
          </cell>
          <cell r="AJ186">
            <v>226.565</v>
          </cell>
          <cell r="AK186">
            <v>118.75</v>
          </cell>
          <cell r="AL186">
            <v>49.076000000000001</v>
          </cell>
          <cell r="AM186">
            <v>14.875</v>
          </cell>
          <cell r="AN186">
            <v>2.8780000000000001</v>
          </cell>
          <cell r="AO186">
            <v>2639.87</v>
          </cell>
          <cell r="AP186">
            <v>2506.3200000000002</v>
          </cell>
          <cell r="AQ186">
            <v>2428.19</v>
          </cell>
          <cell r="AR186">
            <v>2810.16</v>
          </cell>
          <cell r="AS186">
            <v>2765.54</v>
          </cell>
          <cell r="AT186">
            <v>2655.63</v>
          </cell>
          <cell r="AU186">
            <v>2448.02</v>
          </cell>
          <cell r="AV186">
            <v>2380.3200000000002</v>
          </cell>
          <cell r="AW186">
            <v>2333.08</v>
          </cell>
          <cell r="AX186">
            <v>2124.3200000000002</v>
          </cell>
          <cell r="AY186">
            <v>1934.56</v>
          </cell>
          <cell r="AZ186">
            <v>1685.21</v>
          </cell>
          <cell r="BA186">
            <v>1510.52</v>
          </cell>
          <cell r="BB186">
            <v>1248.6300000000001</v>
          </cell>
          <cell r="BC186">
            <v>938.08600000000001</v>
          </cell>
          <cell r="BD186">
            <v>598.14499999999998</v>
          </cell>
          <cell r="BE186">
            <v>349.34100000000001</v>
          </cell>
          <cell r="BF186">
            <v>174.12</v>
          </cell>
          <cell r="BG186">
            <v>70.06</v>
          </cell>
          <cell r="BH186">
            <v>21.937999999999999</v>
          </cell>
          <cell r="BI186">
            <v>4.3970000000000002</v>
          </cell>
          <cell r="BJ186">
            <v>8.3113599358557302</v>
          </cell>
          <cell r="BK186">
            <v>9.6047250130996389</v>
          </cell>
          <cell r="BL186">
            <v>9.3466357667596238</v>
          </cell>
          <cell r="BM186">
            <v>8.7944112899538958</v>
          </cell>
          <cell r="BN186">
            <v>7.3907630846922379</v>
          </cell>
          <cell r="BO186">
            <v>7.1343266785999377</v>
          </cell>
          <cell r="BP186">
            <v>7.2595557024746888</v>
          </cell>
          <cell r="BQ186">
            <v>6.9053555540707343</v>
          </cell>
          <cell r="BR186">
            <v>6.5681761435368662</v>
          </cell>
          <cell r="BS186">
            <v>5.9686874690092449</v>
          </cell>
          <cell r="BT186">
            <v>5.6260923691530769</v>
          </cell>
          <cell r="BU186">
            <v>4.9766316522424123</v>
          </cell>
          <cell r="BV186">
            <v>4.140681321850197</v>
          </cell>
          <cell r="BW186">
            <v>3.0423302937483956</v>
          </cell>
          <cell r="BX186">
            <v>2.1226020628852966</v>
          </cell>
          <cell r="BY186">
            <v>1.3584201660576947</v>
          </cell>
          <cell r="BZ186">
            <v>0.79675691643310043</v>
          </cell>
          <cell r="CA186">
            <v>0.41760591365140548</v>
          </cell>
          <cell r="CB186">
            <v>0.17258465531247472</v>
          </cell>
          <cell r="CC186">
            <v>5.2310635499491838E-2</v>
          </cell>
          <cell r="CD186">
            <v>1.012100900622101E-2</v>
          </cell>
          <cell r="CE186">
            <v>7.8505642870949996</v>
          </cell>
          <cell r="CF186">
            <v>7.4534072829464861</v>
          </cell>
          <cell r="CG186">
            <v>7.2210607705232484</v>
          </cell>
          <cell r="CH186">
            <v>8.3569803577535566</v>
          </cell>
          <cell r="CI186">
            <v>8.2242873923839834</v>
          </cell>
          <cell r="CJ186">
            <v>7.89743208481406</v>
          </cell>
          <cell r="CK186">
            <v>7.2800321175263552</v>
          </cell>
          <cell r="CL186">
            <v>7.0787028087966348</v>
          </cell>
          <cell r="CM186">
            <v>6.9382183694407686</v>
          </cell>
          <cell r="CN186">
            <v>6.3173984803651884</v>
          </cell>
          <cell r="CO186">
            <v>5.7530816469153789</v>
          </cell>
          <cell r="CP186">
            <v>5.0115533879529535</v>
          </cell>
          <cell r="CQ186">
            <v>4.4920523991494798</v>
          </cell>
          <cell r="CR186">
            <v>3.7132321234740457</v>
          </cell>
          <cell r="CS186">
            <v>2.7897223915661753</v>
          </cell>
          <cell r="CT186">
            <v>1.7787905372251052</v>
          </cell>
          <cell r="CU186">
            <v>1.0388859976506624</v>
          </cell>
          <cell r="CV186">
            <v>0.51780589713470027</v>
          </cell>
          <cell r="CW186">
            <v>0.20834758300744949</v>
          </cell>
          <cell r="CX186">
            <v>6.5240212332535352E-2</v>
          </cell>
          <cell r="CY186">
            <v>1.3075996609816662E-2</v>
          </cell>
          <cell r="CZ186">
            <v>100.00013363389236</v>
          </cell>
          <cell r="DA186">
            <v>99.986796128053783</v>
          </cell>
        </row>
        <row r="187">
          <cell r="B187" t="str">
            <v>VIR</v>
          </cell>
          <cell r="C187" t="str">
            <v>Latin America &amp; Caribbean</v>
          </cell>
          <cell r="D187" t="str">
            <v>High income</v>
          </cell>
          <cell r="G187">
            <v>0</v>
          </cell>
          <cell r="H187">
            <v>850</v>
          </cell>
          <cell r="I187">
            <v>104.423</v>
          </cell>
          <cell r="J187">
            <v>104.218</v>
          </cell>
          <cell r="K187">
            <v>103.96899999999999</v>
          </cell>
          <cell r="L187">
            <v>103.67100000000001</v>
          </cell>
          <cell r="M187">
            <v>103.32599999999999</v>
          </cell>
          <cell r="N187">
            <v>102.95699999999999</v>
          </cell>
          <cell r="O187">
            <v>102.55500000000001</v>
          </cell>
          <cell r="P187">
            <v>102.13800000000001</v>
          </cell>
          <cell r="Q187">
            <v>101.679</v>
          </cell>
          <cell r="R187">
            <v>101.19199999999999</v>
          </cell>
          <cell r="S187">
            <v>100.687</v>
          </cell>
          <cell r="T187">
            <v>5.97</v>
          </cell>
          <cell r="U187">
            <v>6.8979999999999997</v>
          </cell>
          <cell r="V187">
            <v>7.242</v>
          </cell>
          <cell r="W187">
            <v>6.7759999999999998</v>
          </cell>
          <cell r="X187">
            <v>6.484</v>
          </cell>
          <cell r="Y187">
            <v>6.2469999999999999</v>
          </cell>
          <cell r="Z187">
            <v>4.6879999999999997</v>
          </cell>
          <cell r="AA187">
            <v>5.0430000000000001</v>
          </cell>
          <cell r="AB187">
            <v>5.5410000000000004</v>
          </cell>
          <cell r="AC187">
            <v>6.2249999999999996</v>
          </cell>
          <cell r="AD187">
            <v>7.085</v>
          </cell>
          <cell r="AE187">
            <v>7.3639999999999999</v>
          </cell>
          <cell r="AF187">
            <v>7.4580000000000002</v>
          </cell>
          <cell r="AG187">
            <v>6.5629999999999997</v>
          </cell>
          <cell r="AH187">
            <v>6.3470000000000004</v>
          </cell>
          <cell r="AI187">
            <v>4.5540000000000003</v>
          </cell>
          <cell r="AJ187">
            <v>2.3929999999999998</v>
          </cell>
          <cell r="AK187">
            <v>1.079</v>
          </cell>
          <cell r="AL187">
            <v>0.36699999999999999</v>
          </cell>
          <cell r="AM187">
            <v>8.7999999999999995E-2</v>
          </cell>
          <cell r="AN187">
            <v>1.0999999999999999E-2</v>
          </cell>
          <cell r="AO187">
            <v>5.3460000000000001</v>
          </cell>
          <cell r="AP187">
            <v>5.532</v>
          </cell>
          <cell r="AQ187">
            <v>5.851</v>
          </cell>
          <cell r="AR187">
            <v>6.5890000000000004</v>
          </cell>
          <cell r="AS187">
            <v>6.5380000000000003</v>
          </cell>
          <cell r="AT187">
            <v>5.9039999999999999</v>
          </cell>
          <cell r="AU187">
            <v>5.7450000000000001</v>
          </cell>
          <cell r="AV187">
            <v>5.7110000000000003</v>
          </cell>
          <cell r="AW187">
            <v>4.3170000000000002</v>
          </cell>
          <cell r="AX187">
            <v>4.7789999999999999</v>
          </cell>
          <cell r="AY187">
            <v>5.319</v>
          </cell>
          <cell r="AZ187">
            <v>5.9880000000000004</v>
          </cell>
          <cell r="BA187">
            <v>6.75</v>
          </cell>
          <cell r="BB187">
            <v>6.8410000000000002</v>
          </cell>
          <cell r="BC187">
            <v>6.5860000000000003</v>
          </cell>
          <cell r="BD187">
            <v>5.2880000000000003</v>
          </cell>
          <cell r="BE187">
            <v>4.3230000000000004</v>
          </cell>
          <cell r="BF187">
            <v>2.306</v>
          </cell>
          <cell r="BG187">
            <v>0.76500000000000001</v>
          </cell>
          <cell r="BH187">
            <v>0.183</v>
          </cell>
          <cell r="BI187">
            <v>2.5999999999999999E-2</v>
          </cell>
          <cell r="BJ187">
            <v>5.7171312833379613</v>
          </cell>
          <cell r="BK187">
            <v>6.6058243873476137</v>
          </cell>
          <cell r="BL187">
            <v>6.9352537276270549</v>
          </cell>
          <cell r="BM187">
            <v>6.4889918887601388</v>
          </cell>
          <cell r="BN187">
            <v>6.2093600068950323</v>
          </cell>
          <cell r="BO187">
            <v>5.9823985137373947</v>
          </cell>
          <cell r="BP187">
            <v>4.4894324047384195</v>
          </cell>
          <cell r="BQ187">
            <v>4.8293958227593539</v>
          </cell>
          <cell r="BR187">
            <v>5.3063022514197069</v>
          </cell>
          <cell r="BS187">
            <v>5.9613303582544068</v>
          </cell>
          <cell r="BT187">
            <v>6.7849037089530082</v>
          </cell>
          <cell r="BU187">
            <v>7.0520862262145307</v>
          </cell>
          <cell r="BV187">
            <v>7.1421047087327505</v>
          </cell>
          <cell r="BW187">
            <v>6.2850138379475782</v>
          </cell>
          <cell r="BX187">
            <v>6.0781628568418835</v>
          </cell>
          <cell r="BY187">
            <v>4.3611081849784048</v>
          </cell>
          <cell r="BZ187">
            <v>2.2916407304904092</v>
          </cell>
          <cell r="CA187">
            <v>1.0332972620974306</v>
          </cell>
          <cell r="CB187">
            <v>0.35145513919347265</v>
          </cell>
          <cell r="CC187">
            <v>8.4272621931949857E-2</v>
          </cell>
          <cell r="CD187">
            <v>1.0534077741493732E-2</v>
          </cell>
          <cell r="CE187">
            <v>5.3095235730531254</v>
          </cell>
          <cell r="CF187">
            <v>5.4942544717788788</v>
          </cell>
          <cell r="CG187">
            <v>5.8110778948622963</v>
          </cell>
          <cell r="CH187">
            <v>6.5440424285160947</v>
          </cell>
          <cell r="CI187">
            <v>6.493390407897742</v>
          </cell>
          <cell r="CJ187">
            <v>5.8637162692303875</v>
          </cell>
          <cell r="CK187">
            <v>5.705801146126114</v>
          </cell>
          <cell r="CL187">
            <v>5.6720331323805464</v>
          </cell>
          <cell r="CM187">
            <v>4.28754456881226</v>
          </cell>
          <cell r="CN187">
            <v>4.7463922850020355</v>
          </cell>
          <cell r="CO187">
            <v>5.2827077974316445</v>
          </cell>
          <cell r="CP187">
            <v>5.9471431267194381</v>
          </cell>
          <cell r="CQ187">
            <v>6.7039439053701075</v>
          </cell>
          <cell r="CR187">
            <v>6.7943230009832449</v>
          </cell>
          <cell r="CS187">
            <v>6.5410628978914866</v>
          </cell>
          <cell r="CT187">
            <v>5.2519193143106859</v>
          </cell>
          <cell r="CU187">
            <v>4.2935036300614779</v>
          </cell>
          <cell r="CV187">
            <v>2.2902658734494028</v>
          </cell>
          <cell r="CW187">
            <v>0.75978030927527884</v>
          </cell>
          <cell r="CX187">
            <v>0.18175136810114514</v>
          </cell>
          <cell r="CY187">
            <v>2.5822598746610786E-2</v>
          </cell>
          <cell r="CZ187">
            <v>99.999999999999986</v>
          </cell>
          <cell r="DA187">
            <v>99.974177401253399</v>
          </cell>
        </row>
        <row r="188">
          <cell r="B188" t="str">
            <v>VNM</v>
          </cell>
          <cell r="C188" t="str">
            <v>East Asia &amp; Pacific</v>
          </cell>
          <cell r="D188" t="str">
            <v>Lower middle income</v>
          </cell>
          <cell r="E188" t="str">
            <v>IBRD</v>
          </cell>
          <cell r="G188">
            <v>0</v>
          </cell>
          <cell r="H188">
            <v>704</v>
          </cell>
          <cell r="I188">
            <v>97338.6</v>
          </cell>
          <cell r="J188">
            <v>98168.8</v>
          </cell>
          <cell r="K188">
            <v>98953.5</v>
          </cell>
          <cell r="L188">
            <v>99698.6</v>
          </cell>
          <cell r="M188">
            <v>100414</v>
          </cell>
          <cell r="N188">
            <v>101107</v>
          </cell>
          <cell r="O188">
            <v>101779</v>
          </cell>
          <cell r="P188">
            <v>102426</v>
          </cell>
          <cell r="Q188">
            <v>103043</v>
          </cell>
          <cell r="R188">
            <v>103624</v>
          </cell>
          <cell r="S188">
            <v>104164</v>
          </cell>
          <cell r="T188">
            <v>7892.47</v>
          </cell>
          <cell r="U188">
            <v>7586.1</v>
          </cell>
          <cell r="V188">
            <v>7098.17</v>
          </cell>
          <cell r="W188">
            <v>6500.87</v>
          </cell>
          <cell r="X188">
            <v>6820.2</v>
          </cell>
          <cell r="Y188">
            <v>8569.2900000000009</v>
          </cell>
          <cell r="Z188">
            <v>8437.0300000000007</v>
          </cell>
          <cell r="AA188">
            <v>7763.9</v>
          </cell>
          <cell r="AB188">
            <v>7033.83</v>
          </cell>
          <cell r="AC188">
            <v>6539.14</v>
          </cell>
          <cell r="AD188">
            <v>5868.36</v>
          </cell>
          <cell r="AE188">
            <v>5241.6099999999997</v>
          </cell>
          <cell r="AF188">
            <v>4330.95</v>
          </cell>
          <cell r="AG188">
            <v>3011.73</v>
          </cell>
          <cell r="AH188">
            <v>1651.96</v>
          </cell>
          <cell r="AI188">
            <v>1126.51</v>
          </cell>
          <cell r="AJ188">
            <v>860.58600000000001</v>
          </cell>
          <cell r="AK188">
            <v>609.173</v>
          </cell>
          <cell r="AL188">
            <v>274.625</v>
          </cell>
          <cell r="AM188">
            <v>98.224999999999994</v>
          </cell>
          <cell r="AN188">
            <v>23.85</v>
          </cell>
          <cell r="AO188">
            <v>6974.47</v>
          </cell>
          <cell r="AP188">
            <v>7320.51</v>
          </cell>
          <cell r="AQ188">
            <v>7774.91</v>
          </cell>
          <cell r="AR188">
            <v>7475.29</v>
          </cell>
          <cell r="AS188">
            <v>6939.97</v>
          </cell>
          <cell r="AT188">
            <v>6250.03</v>
          </cell>
          <cell r="AU188">
            <v>6554.5</v>
          </cell>
          <cell r="AV188">
            <v>8331.01</v>
          </cell>
          <cell r="AW188">
            <v>8230.27</v>
          </cell>
          <cell r="AX188">
            <v>7560.95</v>
          </cell>
          <cell r="AY188">
            <v>6788.31</v>
          </cell>
          <cell r="AZ188">
            <v>6168.09</v>
          </cell>
          <cell r="BA188">
            <v>5349.59</v>
          </cell>
          <cell r="BB188">
            <v>4578.6499999999996</v>
          </cell>
          <cell r="BC188">
            <v>3536.15</v>
          </cell>
          <cell r="BD188">
            <v>2221.5100000000002</v>
          </cell>
          <cell r="BE188">
            <v>1053.0999999999999</v>
          </cell>
          <cell r="BF188">
            <v>572.07299999999998</v>
          </cell>
          <cell r="BG188">
            <v>312.12400000000002</v>
          </cell>
          <cell r="BH188">
            <v>136.203</v>
          </cell>
          <cell r="BI188">
            <v>35.811999999999998</v>
          </cell>
          <cell r="BJ188">
            <v>8.1082633199984375</v>
          </cell>
          <cell r="BK188">
            <v>7.7935166521811494</v>
          </cell>
          <cell r="BL188">
            <v>7.292245830533826</v>
          </cell>
          <cell r="BM188">
            <v>6.6786146503031674</v>
          </cell>
          <cell r="BN188">
            <v>7.0066756661797056</v>
          </cell>
          <cell r="BO188">
            <v>8.80358870992597</v>
          </cell>
          <cell r="BP188">
            <v>8.6677125004879869</v>
          </cell>
          <cell r="BQ188">
            <v>7.9761780013273249</v>
          </cell>
          <cell r="BR188">
            <v>7.2261466674063524</v>
          </cell>
          <cell r="BS188">
            <v>6.7179310160614598</v>
          </cell>
          <cell r="BT188">
            <v>6.0288107698282074</v>
          </cell>
          <cell r="BU188">
            <v>5.3849243773795799</v>
          </cell>
          <cell r="BV188">
            <v>4.4493654110496754</v>
          </cell>
          <cell r="BW188">
            <v>3.0940757315186369</v>
          </cell>
          <cell r="BX188">
            <v>1.6971273472188833</v>
          </cell>
          <cell r="BY188">
            <v>1.1573106660666992</v>
          </cell>
          <cell r="BZ188">
            <v>0.88411585948431559</v>
          </cell>
          <cell r="CA188">
            <v>0.62582880789327155</v>
          </cell>
          <cell r="CB188">
            <v>0.28213370646382829</v>
          </cell>
          <cell r="CC188">
            <v>0.10091063565738564</v>
          </cell>
          <cell r="CD188">
            <v>2.450209885903434E-2</v>
          </cell>
          <cell r="CE188">
            <v>6.6956626089627891</v>
          </cell>
          <cell r="CF188">
            <v>7.027869513459545</v>
          </cell>
          <cell r="CG188">
            <v>7.4641046810798359</v>
          </cell>
          <cell r="CH188">
            <v>7.1764621174302059</v>
          </cell>
          <cell r="CI188">
            <v>6.6625417610690834</v>
          </cell>
          <cell r="CJ188">
            <v>6.0001824046695598</v>
          </cell>
          <cell r="CK188">
            <v>6.2924810875158403</v>
          </cell>
          <cell r="CL188">
            <v>7.9979743481433125</v>
          </cell>
          <cell r="CM188">
            <v>7.9012614722936911</v>
          </cell>
          <cell r="CN188">
            <v>7.25869782266426</v>
          </cell>
          <cell r="CO188">
            <v>6.5169444337775051</v>
          </cell>
          <cell r="CP188">
            <v>5.9215179908605666</v>
          </cell>
          <cell r="CQ188">
            <v>5.1357378748895979</v>
          </cell>
          <cell r="CR188">
            <v>4.395616527783111</v>
          </cell>
          <cell r="CS188">
            <v>3.3947909066472102</v>
          </cell>
          <cell r="CT188">
            <v>2.132704197227449</v>
          </cell>
          <cell r="CU188">
            <v>1.0110018816481703</v>
          </cell>
          <cell r="CV188">
            <v>0.54920413962597447</v>
          </cell>
          <cell r="CW188">
            <v>0.29964671095580053</v>
          </cell>
          <cell r="CX188">
            <v>0.13075822741062171</v>
          </cell>
          <cell r="CY188">
            <v>3.4380400138243533E-2</v>
          </cell>
          <cell r="CZ188">
            <v>99.999978425824864</v>
          </cell>
          <cell r="DA188">
            <v>99.965160708114126</v>
          </cell>
        </row>
        <row r="189">
          <cell r="B189" t="str">
            <v>VUT</v>
          </cell>
          <cell r="C189" t="str">
            <v>East Asia &amp; Pacific</v>
          </cell>
          <cell r="D189" t="str">
            <v>Lower middle income</v>
          </cell>
          <cell r="E189" t="str">
            <v>IDA</v>
          </cell>
          <cell r="G189">
            <v>0</v>
          </cell>
          <cell r="H189">
            <v>548</v>
          </cell>
          <cell r="I189">
            <v>307.14999999999998</v>
          </cell>
          <cell r="J189">
            <v>314.464</v>
          </cell>
          <cell r="K189">
            <v>321.834</v>
          </cell>
          <cell r="L189">
            <v>329.24900000000002</v>
          </cell>
          <cell r="M189">
            <v>336.73899999999998</v>
          </cell>
          <cell r="N189">
            <v>344.3</v>
          </cell>
          <cell r="O189">
            <v>351.94499999999999</v>
          </cell>
          <cell r="P189">
            <v>359.678</v>
          </cell>
          <cell r="Q189">
            <v>367.5</v>
          </cell>
          <cell r="R189">
            <v>375.38900000000001</v>
          </cell>
          <cell r="S189">
            <v>383.37700000000001</v>
          </cell>
          <cell r="T189">
            <v>42.08</v>
          </cell>
          <cell r="U189">
            <v>38.805</v>
          </cell>
          <cell r="V189">
            <v>37.091999999999999</v>
          </cell>
          <cell r="W189">
            <v>29.834</v>
          </cell>
          <cell r="X189">
            <v>25.908999999999999</v>
          </cell>
          <cell r="Y189">
            <v>24.859000000000002</v>
          </cell>
          <cell r="Z189">
            <v>22.997</v>
          </cell>
          <cell r="AA189">
            <v>18.006</v>
          </cell>
          <cell r="AB189">
            <v>16.116</v>
          </cell>
          <cell r="AC189">
            <v>13.076000000000001</v>
          </cell>
          <cell r="AD189">
            <v>11.561999999999999</v>
          </cell>
          <cell r="AE189">
            <v>8.9830000000000005</v>
          </cell>
          <cell r="AF189">
            <v>6.75</v>
          </cell>
          <cell r="AG189">
            <v>4.6870000000000003</v>
          </cell>
          <cell r="AH189">
            <v>3.149</v>
          </cell>
          <cell r="AI189">
            <v>1.6890000000000001</v>
          </cell>
          <cell r="AJ189">
            <v>1.2110000000000001</v>
          </cell>
          <cell r="AK189">
            <v>0.29699999999999999</v>
          </cell>
          <cell r="AL189">
            <v>4.3999999999999997E-2</v>
          </cell>
          <cell r="AM189">
            <v>4.0000000000000001E-3</v>
          </cell>
          <cell r="AN189">
            <v>0</v>
          </cell>
          <cell r="AO189">
            <v>47.018999999999998</v>
          </cell>
          <cell r="AP189">
            <v>44.198</v>
          </cell>
          <cell r="AQ189">
            <v>41.877000000000002</v>
          </cell>
          <cell r="AR189">
            <v>38.654000000000003</v>
          </cell>
          <cell r="AS189">
            <v>36.874000000000002</v>
          </cell>
          <cell r="AT189">
            <v>29.6</v>
          </cell>
          <cell r="AU189">
            <v>25.686</v>
          </cell>
          <cell r="AV189">
            <v>24.603000000000002</v>
          </cell>
          <cell r="AW189">
            <v>22.663</v>
          </cell>
          <cell r="AX189">
            <v>17.606000000000002</v>
          </cell>
          <cell r="AY189">
            <v>15.545999999999999</v>
          </cell>
          <cell r="AZ189">
            <v>12.329000000000001</v>
          </cell>
          <cell r="BA189">
            <v>10.446999999999999</v>
          </cell>
          <cell r="BB189">
            <v>7.4420000000000002</v>
          </cell>
          <cell r="BC189">
            <v>4.7510000000000003</v>
          </cell>
          <cell r="BD189">
            <v>2.5379999999999998</v>
          </cell>
          <cell r="BE189">
            <v>1.133</v>
          </cell>
          <cell r="BF189">
            <v>0.318</v>
          </cell>
          <cell r="BG189">
            <v>8.6999999999999994E-2</v>
          </cell>
          <cell r="BH189">
            <v>6.0000000000000001E-3</v>
          </cell>
          <cell r="BI189">
            <v>0</v>
          </cell>
          <cell r="BJ189">
            <v>13.70014650822074</v>
          </cell>
          <cell r="BK189">
            <v>12.6338922350643</v>
          </cell>
          <cell r="BL189">
            <v>12.076184274784307</v>
          </cell>
          <cell r="BM189">
            <v>9.7131694611753225</v>
          </cell>
          <cell r="BN189">
            <v>8.4352922025069201</v>
          </cell>
          <cell r="BO189">
            <v>8.0934396874491306</v>
          </cell>
          <cell r="BP189">
            <v>7.4872212274133165</v>
          </cell>
          <cell r="BQ189">
            <v>5.8622822725052908</v>
          </cell>
          <cell r="BR189">
            <v>5.2469477454012701</v>
          </cell>
          <cell r="BS189">
            <v>4.2572033208530033</v>
          </cell>
          <cell r="BT189">
            <v>3.7642845515220578</v>
          </cell>
          <cell r="BU189">
            <v>2.9246296597753547</v>
          </cell>
          <cell r="BV189">
            <v>2.1976233110857892</v>
          </cell>
          <cell r="BW189">
            <v>1.5259645124531989</v>
          </cell>
          <cell r="BX189">
            <v>1.0252319713495037</v>
          </cell>
          <cell r="BY189">
            <v>0.54989418850724414</v>
          </cell>
          <cell r="BZ189">
            <v>0.39426990069998374</v>
          </cell>
          <cell r="CA189">
            <v>9.66954256877747E-2</v>
          </cell>
          <cell r="CB189">
            <v>1.4325248250040697E-2</v>
          </cell>
          <cell r="CC189">
            <v>1.3022952954582453E-3</v>
          </cell>
          <cell r="CD189">
            <v>0</v>
          </cell>
          <cell r="CE189">
            <v>12.264429008521638</v>
          </cell>
          <cell r="CF189">
            <v>11.528599785589641</v>
          </cell>
          <cell r="CG189">
            <v>10.923190488735631</v>
          </cell>
          <cell r="CH189">
            <v>10.082503645236935</v>
          </cell>
          <cell r="CI189">
            <v>9.6182087083993046</v>
          </cell>
          <cell r="CJ189">
            <v>7.7208596238167653</v>
          </cell>
          <cell r="CK189">
            <v>6.6999324424782918</v>
          </cell>
          <cell r="CL189">
            <v>6.4174428825933747</v>
          </cell>
          <cell r="CM189">
            <v>5.9114135694107883</v>
          </cell>
          <cell r="CN189">
            <v>4.5923464370580396</v>
          </cell>
          <cell r="CO189">
            <v>4.0550163416167369</v>
          </cell>
          <cell r="CP189">
            <v>3.2158945372309762</v>
          </cell>
          <cell r="CQ189">
            <v>2.7249939354734369</v>
          </cell>
          <cell r="CR189">
            <v>1.941170179744742</v>
          </cell>
          <cell r="CS189">
            <v>1.239250137593022</v>
          </cell>
          <cell r="CT189">
            <v>0.66201154477185642</v>
          </cell>
          <cell r="CU189">
            <v>0.29553155249271601</v>
          </cell>
          <cell r="CV189">
            <v>8.294707298559903E-2</v>
          </cell>
          <cell r="CW189">
            <v>2.2693067137569543E-2</v>
          </cell>
          <cell r="CX189">
            <v>1.5650391129358307E-3</v>
          </cell>
          <cell r="CY189">
            <v>0</v>
          </cell>
          <cell r="CZ189">
            <v>100</v>
          </cell>
          <cell r="DA189">
            <v>99.999999999999986</v>
          </cell>
        </row>
        <row r="190">
          <cell r="B190" t="str">
            <v>WSM</v>
          </cell>
          <cell r="C190" t="str">
            <v>East Asia &amp; Pacific</v>
          </cell>
          <cell r="D190" t="str">
            <v>Lower middle income</v>
          </cell>
          <cell r="E190" t="str">
            <v>IDA</v>
          </cell>
          <cell r="G190">
            <v>0</v>
          </cell>
          <cell r="H190">
            <v>882</v>
          </cell>
          <cell r="I190">
            <v>198.41</v>
          </cell>
          <cell r="J190">
            <v>200.14400000000001</v>
          </cell>
          <cell r="K190">
            <v>202.24100000000001</v>
          </cell>
          <cell r="L190">
            <v>204.56800000000001</v>
          </cell>
          <cell r="M190">
            <v>206.97200000000001</v>
          </cell>
          <cell r="N190">
            <v>209.32300000000001</v>
          </cell>
          <cell r="O190">
            <v>211.57300000000001</v>
          </cell>
          <cell r="P190">
            <v>213.79</v>
          </cell>
          <cell r="Q190">
            <v>215.96799999999999</v>
          </cell>
          <cell r="R190">
            <v>218.15199999999999</v>
          </cell>
          <cell r="S190">
            <v>220.36799999999999</v>
          </cell>
          <cell r="T190">
            <v>26.99</v>
          </cell>
          <cell r="U190">
            <v>24.132999999999999</v>
          </cell>
          <cell r="V190">
            <v>22.684000000000001</v>
          </cell>
          <cell r="W190">
            <v>19.314</v>
          </cell>
          <cell r="X190">
            <v>16.571999999999999</v>
          </cell>
          <cell r="Y190">
            <v>14.723000000000001</v>
          </cell>
          <cell r="Z190">
            <v>11.657</v>
          </cell>
          <cell r="AA190">
            <v>10.355</v>
          </cell>
          <cell r="AB190">
            <v>9.8810000000000002</v>
          </cell>
          <cell r="AC190">
            <v>9.6790000000000003</v>
          </cell>
          <cell r="AD190">
            <v>8.9670000000000005</v>
          </cell>
          <cell r="AE190">
            <v>7.5030000000000001</v>
          </cell>
          <cell r="AF190">
            <v>5.8650000000000002</v>
          </cell>
          <cell r="AG190">
            <v>4.0949999999999998</v>
          </cell>
          <cell r="AH190">
            <v>2.742</v>
          </cell>
          <cell r="AI190">
            <v>1.8380000000000001</v>
          </cell>
          <cell r="AJ190">
            <v>0.93799999999999994</v>
          </cell>
          <cell r="AK190">
            <v>0.34</v>
          </cell>
          <cell r="AL190">
            <v>0.122</v>
          </cell>
          <cell r="AM190">
            <v>1.2E-2</v>
          </cell>
          <cell r="AN190">
            <v>0</v>
          </cell>
          <cell r="AO190">
            <v>23.710999999999999</v>
          </cell>
          <cell r="AP190">
            <v>22.827000000000002</v>
          </cell>
          <cell r="AQ190">
            <v>26.54</v>
          </cell>
          <cell r="AR190">
            <v>23.065999999999999</v>
          </cell>
          <cell r="AS190">
            <v>20.260999999999999</v>
          </cell>
          <cell r="AT190">
            <v>16.315999999999999</v>
          </cell>
          <cell r="AU190">
            <v>14.023999999999999</v>
          </cell>
          <cell r="AV190">
            <v>12.852</v>
          </cell>
          <cell r="AW190">
            <v>10.342000000000001</v>
          </cell>
          <cell r="AX190">
            <v>9.3919999999999995</v>
          </cell>
          <cell r="AY190">
            <v>9.0809999999999995</v>
          </cell>
          <cell r="AZ190">
            <v>8.8719999999999999</v>
          </cell>
          <cell r="BA190">
            <v>8.0150000000000006</v>
          </cell>
          <cell r="BB190">
            <v>6.3120000000000003</v>
          </cell>
          <cell r="BC190">
            <v>4.3890000000000002</v>
          </cell>
          <cell r="BD190">
            <v>2.5209999999999999</v>
          </cell>
          <cell r="BE190">
            <v>1.2250000000000001</v>
          </cell>
          <cell r="BF190">
            <v>0.495</v>
          </cell>
          <cell r="BG190">
            <v>0.113</v>
          </cell>
          <cell r="BH190">
            <v>1.2999999999999999E-2</v>
          </cell>
          <cell r="BI190">
            <v>1E-3</v>
          </cell>
          <cell r="BJ190">
            <v>13.603145002772038</v>
          </cell>
          <cell r="BK190">
            <v>12.163197419484904</v>
          </cell>
          <cell r="BL190">
            <v>11.432891487324229</v>
          </cell>
          <cell r="BM190">
            <v>9.734388387682074</v>
          </cell>
          <cell r="BN190">
            <v>8.3524015926616588</v>
          </cell>
          <cell r="BO190">
            <v>7.4204929187036948</v>
          </cell>
          <cell r="BP190">
            <v>5.8752079028274782</v>
          </cell>
          <cell r="BQ190">
            <v>5.2189909782773043</v>
          </cell>
          <cell r="BR190">
            <v>4.9800917292475182</v>
          </cell>
          <cell r="BS190">
            <v>4.8782823446398869</v>
          </cell>
          <cell r="BT190">
            <v>4.519429464240714</v>
          </cell>
          <cell r="BU190">
            <v>3.7815634292626381</v>
          </cell>
          <cell r="BV190">
            <v>2.956000201602742</v>
          </cell>
          <cell r="BW190">
            <v>2.0639080691497407</v>
          </cell>
          <cell r="BX190">
            <v>1.3819867950204123</v>
          </cell>
          <cell r="BY190">
            <v>0.92636459855854036</v>
          </cell>
          <cell r="BZ190">
            <v>0.47275842951464142</v>
          </cell>
          <cell r="CA190">
            <v>0.1713623305276952</v>
          </cell>
          <cell r="CB190">
            <v>6.1488836248172973E-2</v>
          </cell>
          <cell r="CC190">
            <v>6.0480822539186532E-3</v>
          </cell>
          <cell r="CD190">
            <v>0</v>
          </cell>
          <cell r="CE190">
            <v>10.759729180280258</v>
          </cell>
          <cell r="CF190">
            <v>10.358582008277065</v>
          </cell>
          <cell r="CG190">
            <v>12.043490887969215</v>
          </cell>
          <cell r="CH190">
            <v>10.4670369563639</v>
          </cell>
          <cell r="CI190">
            <v>9.1941661221229953</v>
          </cell>
          <cell r="CJ190">
            <v>7.4039787990996881</v>
          </cell>
          <cell r="CK190">
            <v>6.3639003848108615</v>
          </cell>
          <cell r="CL190">
            <v>5.8320627314310611</v>
          </cell>
          <cell r="CM190">
            <v>4.6930588833224434</v>
          </cell>
          <cell r="CN190">
            <v>4.2619618093371088</v>
          </cell>
          <cell r="CO190">
            <v>4.1208342409061203</v>
          </cell>
          <cell r="CP190">
            <v>4.0259928846293471</v>
          </cell>
          <cell r="CQ190">
            <v>3.6370979452552099</v>
          </cell>
          <cell r="CR190">
            <v>2.8642997168372908</v>
          </cell>
          <cell r="CS190">
            <v>1.9916684818122414</v>
          </cell>
          <cell r="CT190">
            <v>1.1439954984389746</v>
          </cell>
          <cell r="CU190">
            <v>0.55588833224424605</v>
          </cell>
          <cell r="CV190">
            <v>0.22462426486604226</v>
          </cell>
          <cell r="CW190">
            <v>5.1277862484571266E-2</v>
          </cell>
          <cell r="CX190">
            <v>5.8992231176940389E-3</v>
          </cell>
          <cell r="CY190">
            <v>4.537863936687723E-4</v>
          </cell>
          <cell r="CZ190">
            <v>100</v>
          </cell>
          <cell r="DA190">
            <v>99.999546213606337</v>
          </cell>
        </row>
        <row r="191">
          <cell r="B191" t="str">
            <v>YEM</v>
          </cell>
          <cell r="C191" t="str">
            <v>Middle East &amp; North Africa</v>
          </cell>
          <cell r="D191" t="str">
            <v>Low income</v>
          </cell>
          <cell r="E191" t="str">
            <v>IDA</v>
          </cell>
          <cell r="G191">
            <v>0</v>
          </cell>
          <cell r="H191">
            <v>887</v>
          </cell>
          <cell r="I191">
            <v>29826</v>
          </cell>
          <cell r="J191">
            <v>30490.6</v>
          </cell>
          <cell r="K191">
            <v>31154.9</v>
          </cell>
          <cell r="L191">
            <v>31818.2</v>
          </cell>
          <cell r="M191">
            <v>32480.2</v>
          </cell>
          <cell r="N191">
            <v>33140.300000000003</v>
          </cell>
          <cell r="O191">
            <v>33798.199999999997</v>
          </cell>
          <cell r="P191">
            <v>34453.800000000003</v>
          </cell>
          <cell r="Q191">
            <v>35107.1</v>
          </cell>
          <cell r="R191">
            <v>35758.1</v>
          </cell>
          <cell r="S191">
            <v>36406.9</v>
          </cell>
          <cell r="T191">
            <v>4115.3100000000004</v>
          </cell>
          <cell r="U191">
            <v>3918.1</v>
          </cell>
          <cell r="V191">
            <v>3548.68</v>
          </cell>
          <cell r="W191">
            <v>3201.59</v>
          </cell>
          <cell r="X191">
            <v>2925.25</v>
          </cell>
          <cell r="Y191">
            <v>2807.5</v>
          </cell>
          <cell r="Z191">
            <v>2329.3200000000002</v>
          </cell>
          <cell r="AA191">
            <v>1811.12</v>
          </cell>
          <cell r="AB191">
            <v>1362.09</v>
          </cell>
          <cell r="AC191">
            <v>1000.71</v>
          </cell>
          <cell r="AD191">
            <v>773.31299999999999</v>
          </cell>
          <cell r="AE191">
            <v>649.52200000000005</v>
          </cell>
          <cell r="AF191">
            <v>509.267</v>
          </cell>
          <cell r="AG191">
            <v>370.18299999999999</v>
          </cell>
          <cell r="AH191">
            <v>258.97800000000001</v>
          </cell>
          <cell r="AI191">
            <v>144.49299999999999</v>
          </cell>
          <cell r="AJ191">
            <v>69.141000000000005</v>
          </cell>
          <cell r="AK191">
            <v>24.422999999999998</v>
          </cell>
          <cell r="AL191">
            <v>5.9889999999999999</v>
          </cell>
          <cell r="AM191">
            <v>0.91100000000000003</v>
          </cell>
          <cell r="AN191">
            <v>7.8E-2</v>
          </cell>
          <cell r="AO191">
            <v>4223.62</v>
          </cell>
          <cell r="AP191">
            <v>4152.91</v>
          </cell>
          <cell r="AQ191">
            <v>4045.96</v>
          </cell>
          <cell r="AR191">
            <v>3850.22</v>
          </cell>
          <cell r="AS191">
            <v>3451.29</v>
          </cell>
          <cell r="AT191">
            <v>3092.32</v>
          </cell>
          <cell r="AU191">
            <v>2825.19</v>
          </cell>
          <cell r="AV191">
            <v>2714.05</v>
          </cell>
          <cell r="AW191">
            <v>2242.31</v>
          </cell>
          <cell r="AX191">
            <v>1725.86</v>
          </cell>
          <cell r="AY191">
            <v>1274.3599999999999</v>
          </cell>
          <cell r="AZ191">
            <v>908.43</v>
          </cell>
          <cell r="BA191">
            <v>669.60799999999995</v>
          </cell>
          <cell r="BB191">
            <v>519.92700000000002</v>
          </cell>
          <cell r="BC191">
            <v>356.67200000000003</v>
          </cell>
          <cell r="BD191">
            <v>208.376</v>
          </cell>
          <cell r="BE191">
            <v>102.92700000000001</v>
          </cell>
          <cell r="BF191">
            <v>33.947000000000003</v>
          </cell>
          <cell r="BG191">
            <v>7.7729999999999997</v>
          </cell>
          <cell r="BH191">
            <v>1.05</v>
          </cell>
          <cell r="BI191">
            <v>8.5999999999999993E-2</v>
          </cell>
          <cell r="BJ191">
            <v>13.797726815530076</v>
          </cell>
          <cell r="BK191">
            <v>13.136525179373701</v>
          </cell>
          <cell r="BL191">
            <v>11.89794139341514</v>
          </cell>
          <cell r="BM191">
            <v>10.734225172668141</v>
          </cell>
          <cell r="BN191">
            <v>9.8077180983034928</v>
          </cell>
          <cell r="BO191">
            <v>9.41292831757527</v>
          </cell>
          <cell r="BP191">
            <v>7.809696238181453</v>
          </cell>
          <cell r="BQ191">
            <v>6.0722859250318511</v>
          </cell>
          <cell r="BR191">
            <v>4.5667873667270165</v>
          </cell>
          <cell r="BS191">
            <v>3.355159927579964</v>
          </cell>
          <cell r="BT191">
            <v>2.5927479380406355</v>
          </cell>
          <cell r="BU191">
            <v>2.1777040166297863</v>
          </cell>
          <cell r="BV191">
            <v>1.7074599342855226</v>
          </cell>
          <cell r="BW191">
            <v>1.2411419566820894</v>
          </cell>
          <cell r="BX191">
            <v>0.86829611748139213</v>
          </cell>
          <cell r="BY191">
            <v>0.48445316167102526</v>
          </cell>
          <cell r="BZ191">
            <v>0.23181452424059548</v>
          </cell>
          <cell r="CA191">
            <v>8.1884932609132974E-2</v>
          </cell>
          <cell r="CB191">
            <v>2.0079796151009185E-2</v>
          </cell>
          <cell r="CC191">
            <v>3.0543820827465969E-3</v>
          </cell>
          <cell r="CD191">
            <v>2.6151679742506537E-4</v>
          </cell>
          <cell r="CE191">
            <v>11.601152528778885</v>
          </cell>
          <cell r="CF191">
            <v>11.40693110371935</v>
          </cell>
          <cell r="CG191">
            <v>11.113168108243217</v>
          </cell>
          <cell r="CH191">
            <v>10.575522771782271</v>
          </cell>
          <cell r="CI191">
            <v>9.4797689448978062</v>
          </cell>
          <cell r="CJ191">
            <v>8.4937745317508497</v>
          </cell>
          <cell r="CK191">
            <v>7.7600399924190198</v>
          </cell>
          <cell r="CL191">
            <v>7.4547681895464875</v>
          </cell>
          <cell r="CM191">
            <v>6.159024800243909</v>
          </cell>
          <cell r="CN191">
            <v>4.7404750198451389</v>
          </cell>
          <cell r="CO191">
            <v>3.5003254877509478</v>
          </cell>
          <cell r="CP191">
            <v>2.4952138193584181</v>
          </cell>
          <cell r="CQ191">
            <v>1.8392337716202147</v>
          </cell>
          <cell r="CR191">
            <v>1.4281001678253298</v>
          </cell>
          <cell r="CS191">
            <v>0.97968242283742923</v>
          </cell>
          <cell r="CT191">
            <v>0.57235304296712985</v>
          </cell>
          <cell r="CU191">
            <v>0.28271289233634284</v>
          </cell>
          <cell r="CV191">
            <v>9.3243313767445185E-2</v>
          </cell>
          <cell r="CW191">
            <v>2.1350348422963777E-2</v>
          </cell>
          <cell r="CX191">
            <v>2.8840686792888162E-3</v>
          </cell>
          <cell r="CY191">
            <v>2.3621895849413157E-4</v>
          </cell>
          <cell r="CZ191">
            <v>99.999892711057441</v>
          </cell>
          <cell r="DA191">
            <v>99.999725326792444</v>
          </cell>
        </row>
        <row r="192">
          <cell r="B192" t="str">
            <v>ZAF</v>
          </cell>
          <cell r="C192" t="str">
            <v>Sub-Saharan Africa</v>
          </cell>
          <cell r="D192" t="str">
            <v>Upper middle income</v>
          </cell>
          <cell r="E192" t="str">
            <v>IBRD</v>
          </cell>
          <cell r="G192">
            <v>1</v>
          </cell>
          <cell r="H192">
            <v>710</v>
          </cell>
          <cell r="I192">
            <v>59308.7</v>
          </cell>
          <cell r="J192">
            <v>60042</v>
          </cell>
          <cell r="K192">
            <v>60756.1</v>
          </cell>
          <cell r="L192">
            <v>61452.7</v>
          </cell>
          <cell r="M192">
            <v>62134.2</v>
          </cell>
          <cell r="N192">
            <v>62802.7</v>
          </cell>
          <cell r="O192">
            <v>63458.400000000001</v>
          </cell>
          <cell r="P192">
            <v>64101</v>
          </cell>
          <cell r="Q192">
            <v>64731.199999999997</v>
          </cell>
          <cell r="R192">
            <v>65349.4</v>
          </cell>
          <cell r="S192">
            <v>65956.100000000006</v>
          </cell>
          <cell r="T192">
            <v>5764.94</v>
          </cell>
          <cell r="U192">
            <v>5820.66</v>
          </cell>
          <cell r="V192">
            <v>5495.96</v>
          </cell>
          <cell r="W192">
            <v>4913.21</v>
          </cell>
          <cell r="X192">
            <v>4924.09</v>
          </cell>
          <cell r="Y192">
            <v>5217.3999999999996</v>
          </cell>
          <cell r="Z192">
            <v>5374.11</v>
          </cell>
          <cell r="AA192">
            <v>4781.21</v>
          </cell>
          <cell r="AB192">
            <v>3810.04</v>
          </cell>
          <cell r="AC192">
            <v>3233.24</v>
          </cell>
          <cell r="AD192">
            <v>2692.13</v>
          </cell>
          <cell r="AE192">
            <v>2219.4</v>
          </cell>
          <cell r="AF192">
            <v>1794.71</v>
          </cell>
          <cell r="AG192">
            <v>1369.73</v>
          </cell>
          <cell r="AH192">
            <v>895.21699999999998</v>
          </cell>
          <cell r="AI192">
            <v>580.83799999999997</v>
          </cell>
          <cell r="AJ192">
            <v>298.42</v>
          </cell>
          <cell r="AK192">
            <v>103.95399999999999</v>
          </cell>
          <cell r="AL192">
            <v>18.094000000000001</v>
          </cell>
          <cell r="AM192">
            <v>1.274</v>
          </cell>
          <cell r="AN192">
            <v>5.1999999999999998E-2</v>
          </cell>
          <cell r="AO192">
            <v>5592.69</v>
          </cell>
          <cell r="AP192">
            <v>5649.15</v>
          </cell>
          <cell r="AQ192">
            <v>5745.29</v>
          </cell>
          <cell r="AR192">
            <v>5821.53</v>
          </cell>
          <cell r="AS192">
            <v>5543.33</v>
          </cell>
          <cell r="AT192">
            <v>4991.5200000000004</v>
          </cell>
          <cell r="AU192">
            <v>4949.3900000000003</v>
          </cell>
          <cell r="AV192">
            <v>5111.8999999999996</v>
          </cell>
          <cell r="AW192">
            <v>5116.3100000000004</v>
          </cell>
          <cell r="AX192">
            <v>4442.6899999999996</v>
          </cell>
          <cell r="AY192">
            <v>3458.59</v>
          </cell>
          <cell r="AZ192">
            <v>2849.93</v>
          </cell>
          <cell r="BA192">
            <v>2279.7600000000002</v>
          </cell>
          <cell r="BB192">
            <v>1761.23</v>
          </cell>
          <cell r="BC192">
            <v>1276.26</v>
          </cell>
          <cell r="BD192">
            <v>811.14499999999998</v>
          </cell>
          <cell r="BE192">
            <v>385.86</v>
          </cell>
          <cell r="BF192">
            <v>140.53399999999999</v>
          </cell>
          <cell r="BG192">
            <v>26.7</v>
          </cell>
          <cell r="BH192">
            <v>2.2000000000000002</v>
          </cell>
          <cell r="BI192">
            <v>9.1999999999999998E-2</v>
          </cell>
          <cell r="BJ192">
            <v>9.7202265434919326</v>
          </cell>
          <cell r="BK192">
            <v>9.814175660569191</v>
          </cell>
          <cell r="BL192">
            <v>9.266701175375621</v>
          </cell>
          <cell r="BM192">
            <v>8.2841303215211273</v>
          </cell>
          <cell r="BN192">
            <v>8.3024750163129539</v>
          </cell>
          <cell r="BO192">
            <v>8.7970230337201798</v>
          </cell>
          <cell r="BP192">
            <v>9.0612507102667905</v>
          </cell>
          <cell r="BQ192">
            <v>8.0615660097085247</v>
          </cell>
          <cell r="BR192">
            <v>6.4240828074127414</v>
          </cell>
          <cell r="BS192">
            <v>5.4515442085225265</v>
          </cell>
          <cell r="BT192">
            <v>4.5391822784852822</v>
          </cell>
          <cell r="BU192">
            <v>3.7421154063400484</v>
          </cell>
          <cell r="BV192">
            <v>3.0260484549484308</v>
          </cell>
          <cell r="BW192">
            <v>2.3094925365081345</v>
          </cell>
          <cell r="BX192">
            <v>1.5094193600601598</v>
          </cell>
          <cell r="BY192">
            <v>0.97934704351975344</v>
          </cell>
          <cell r="BZ192">
            <v>0.50316395402360881</v>
          </cell>
          <cell r="CA192">
            <v>0.17527613992550839</v>
          </cell>
          <cell r="CB192">
            <v>3.0508171651039393E-2</v>
          </cell>
          <cell r="CC192">
            <v>2.1480828276458598E-3</v>
          </cell>
          <cell r="CD192">
            <v>8.7676850107994272E-5</v>
          </cell>
          <cell r="CE192">
            <v>8.4794128215585811</v>
          </cell>
          <cell r="CF192">
            <v>8.565015214665511</v>
          </cell>
          <cell r="CG192">
            <v>8.7107788362259129</v>
          </cell>
          <cell r="CH192">
            <v>8.8263708739601032</v>
          </cell>
          <cell r="CI192">
            <v>8.4045751643896462</v>
          </cell>
          <cell r="CJ192">
            <v>7.5679429196086483</v>
          </cell>
          <cell r="CK192">
            <v>7.5040670991765728</v>
          </cell>
          <cell r="CL192">
            <v>7.7504582593573597</v>
          </cell>
          <cell r="CM192">
            <v>7.7571445249188482</v>
          </cell>
          <cell r="CN192">
            <v>6.7358288316016246</v>
          </cell>
          <cell r="CO192">
            <v>5.2437757841958508</v>
          </cell>
          <cell r="CP192">
            <v>4.3209498439113281</v>
          </cell>
          <cell r="CQ192">
            <v>3.4564809016906701</v>
          </cell>
          <cell r="CR192">
            <v>2.6703064614190346</v>
          </cell>
          <cell r="CS192">
            <v>1.9350143504543171</v>
          </cell>
          <cell r="CT192">
            <v>1.2298255961162046</v>
          </cell>
          <cell r="CU192">
            <v>0.58502549423025307</v>
          </cell>
          <cell r="CV192">
            <v>0.2130720282127051</v>
          </cell>
          <cell r="CW192">
            <v>4.0481471766826718E-2</v>
          </cell>
          <cell r="CX192">
            <v>3.3355519807872205E-3</v>
          </cell>
          <cell r="CY192">
            <v>1.394867191965565E-4</v>
          </cell>
          <cell r="CZ192">
            <v>99.999964592041323</v>
          </cell>
          <cell r="DA192">
            <v>99.999862029440763</v>
          </cell>
        </row>
        <row r="193">
          <cell r="B193" t="str">
            <v>ZMB</v>
          </cell>
          <cell r="C193" t="str">
            <v>Sub-Saharan Africa</v>
          </cell>
          <cell r="D193" t="str">
            <v>Lower middle income</v>
          </cell>
          <cell r="E193" t="str">
            <v>IDA</v>
          </cell>
          <cell r="F193" t="str">
            <v>HIPC</v>
          </cell>
          <cell r="G193">
            <v>1</v>
          </cell>
          <cell r="H193">
            <v>894</v>
          </cell>
          <cell r="I193">
            <v>18384</v>
          </cell>
          <cell r="J193">
            <v>18920.7</v>
          </cell>
          <cell r="K193">
            <v>19470.2</v>
          </cell>
          <cell r="L193">
            <v>20032.8</v>
          </cell>
          <cell r="M193">
            <v>20608.400000000001</v>
          </cell>
          <cell r="N193">
            <v>21196.799999999999</v>
          </cell>
          <cell r="O193">
            <v>21798.2</v>
          </cell>
          <cell r="P193">
            <v>22412.3</v>
          </cell>
          <cell r="Q193">
            <v>23038.7</v>
          </cell>
          <cell r="R193">
            <v>23676.7</v>
          </cell>
          <cell r="S193">
            <v>24325.5</v>
          </cell>
          <cell r="T193">
            <v>2946.45</v>
          </cell>
          <cell r="U193">
            <v>2717.09</v>
          </cell>
          <cell r="V193">
            <v>2428.6</v>
          </cell>
          <cell r="W193">
            <v>2121.58</v>
          </cell>
          <cell r="X193">
            <v>1746.94</v>
          </cell>
          <cell r="Y193">
            <v>1433.44</v>
          </cell>
          <cell r="Z193">
            <v>1193.47</v>
          </cell>
          <cell r="AA193">
            <v>991.71900000000005</v>
          </cell>
          <cell r="AB193">
            <v>808.23099999999999</v>
          </cell>
          <cell r="AC193">
            <v>605.65800000000002</v>
          </cell>
          <cell r="AD193">
            <v>433.59699999999998</v>
          </cell>
          <cell r="AE193">
            <v>327.66199999999998</v>
          </cell>
          <cell r="AF193">
            <v>237.554</v>
          </cell>
          <cell r="AG193">
            <v>166.28100000000001</v>
          </cell>
          <cell r="AH193">
            <v>112.76300000000001</v>
          </cell>
          <cell r="AI193">
            <v>67.201999999999998</v>
          </cell>
          <cell r="AJ193">
            <v>32.915999999999997</v>
          </cell>
          <cell r="AK193">
            <v>10.863</v>
          </cell>
          <cell r="AL193">
            <v>1.8029999999999999</v>
          </cell>
          <cell r="AM193">
            <v>0.121</v>
          </cell>
          <cell r="AN193">
            <v>5.0000000000000001E-3</v>
          </cell>
          <cell r="AO193">
            <v>3654.81</v>
          </cell>
          <cell r="AP193">
            <v>3267.53</v>
          </cell>
          <cell r="AQ193">
            <v>2901.55</v>
          </cell>
          <cell r="AR193">
            <v>2689.27</v>
          </cell>
          <cell r="AS193">
            <v>2388.14</v>
          </cell>
          <cell r="AT193">
            <v>2065.92</v>
          </cell>
          <cell r="AU193">
            <v>1687.37</v>
          </cell>
          <cell r="AV193">
            <v>1372.5</v>
          </cell>
          <cell r="AW193">
            <v>1128.71</v>
          </cell>
          <cell r="AX193">
            <v>924.15700000000004</v>
          </cell>
          <cell r="AY193">
            <v>738.774</v>
          </cell>
          <cell r="AZ193">
            <v>538.51800000000003</v>
          </cell>
          <cell r="BA193">
            <v>370.37700000000001</v>
          </cell>
          <cell r="BB193">
            <v>261.85399999999998</v>
          </cell>
          <cell r="BC193">
            <v>169.571</v>
          </cell>
          <cell r="BD193">
            <v>98.447000000000003</v>
          </cell>
          <cell r="BE193">
            <v>48.311999999999998</v>
          </cell>
          <cell r="BF193">
            <v>16.382999999999999</v>
          </cell>
          <cell r="BG193">
            <v>3.0640000000000001</v>
          </cell>
          <cell r="BH193">
            <v>0.245</v>
          </cell>
          <cell r="BI193">
            <v>8.9999999999999993E-3</v>
          </cell>
          <cell r="BJ193">
            <v>16.027251958224543</v>
          </cell>
          <cell r="BK193">
            <v>14.779645343777197</v>
          </cell>
          <cell r="BL193">
            <v>13.210400348128806</v>
          </cell>
          <cell r="BM193">
            <v>11.540361183637945</v>
          </cell>
          <cell r="BN193">
            <v>9.5025021758050485</v>
          </cell>
          <cell r="BO193">
            <v>7.7972149695387296</v>
          </cell>
          <cell r="BP193">
            <v>6.4918951261966926</v>
          </cell>
          <cell r="BQ193">
            <v>5.3944680156657965</v>
          </cell>
          <cell r="BR193">
            <v>4.3963827241079203</v>
          </cell>
          <cell r="BS193">
            <v>3.2944843342036552</v>
          </cell>
          <cell r="BT193">
            <v>2.3585563533507399</v>
          </cell>
          <cell r="BU193">
            <v>1.7823215839860747</v>
          </cell>
          <cell r="BV193">
            <v>1.2921779808529157</v>
          </cell>
          <cell r="BW193">
            <v>0.90448759791122713</v>
          </cell>
          <cell r="BX193">
            <v>0.61337576153176676</v>
          </cell>
          <cell r="BY193">
            <v>0.36554612706701478</v>
          </cell>
          <cell r="BZ193">
            <v>0.17904699738903393</v>
          </cell>
          <cell r="CA193">
            <v>5.9089425587467354E-2</v>
          </cell>
          <cell r="CB193">
            <v>9.807441253263707E-3</v>
          </cell>
          <cell r="CC193">
            <v>6.5818102697998257E-4</v>
          </cell>
          <cell r="CD193">
            <v>2.7197563098346387E-5</v>
          </cell>
          <cell r="CE193">
            <v>15.02460381081581</v>
          </cell>
          <cell r="CF193">
            <v>13.432529649955807</v>
          </cell>
          <cell r="CG193">
            <v>11.928017923578139</v>
          </cell>
          <cell r="CH193">
            <v>11.055353435695052</v>
          </cell>
          <cell r="CI193">
            <v>9.8174343795605434</v>
          </cell>
          <cell r="CJ193">
            <v>8.4928161805512747</v>
          </cell>
          <cell r="CK193">
            <v>6.936630285091776</v>
          </cell>
          <cell r="CL193">
            <v>5.6422272923475365</v>
          </cell>
          <cell r="CM193">
            <v>4.6400279542044354</v>
          </cell>
          <cell r="CN193">
            <v>3.7991284865675943</v>
          </cell>
          <cell r="CO193">
            <v>3.0370352099648517</v>
          </cell>
          <cell r="CP193">
            <v>2.2138003329839058</v>
          </cell>
          <cell r="CQ193">
            <v>1.5225874082752668</v>
          </cell>
          <cell r="CR193">
            <v>1.0764588600439866</v>
          </cell>
          <cell r="CS193">
            <v>0.69709152946496478</v>
          </cell>
          <cell r="CT193">
            <v>0.40470699471747756</v>
          </cell>
          <cell r="CU193">
            <v>0.19860640069063329</v>
          </cell>
          <cell r="CV193">
            <v>6.7349078127890483E-2</v>
          </cell>
          <cell r="CW193">
            <v>1.2595835645721568E-2</v>
          </cell>
          <cell r="CX193">
            <v>1.0071735421676841E-3</v>
          </cell>
          <cell r="CY193">
            <v>3.6998211753098597E-5</v>
          </cell>
          <cell r="CZ193">
            <v>99.99970082680592</v>
          </cell>
          <cell r="DA193">
            <v>100.00000822182487</v>
          </cell>
        </row>
        <row r="194">
          <cell r="B194" t="str">
            <v>ZWE</v>
          </cell>
          <cell r="C194" t="str">
            <v>Sub-Saharan Africa</v>
          </cell>
          <cell r="D194" t="str">
            <v>Lower middle income</v>
          </cell>
          <cell r="E194" t="str">
            <v>Blend</v>
          </cell>
          <cell r="G194">
            <v>1</v>
          </cell>
          <cell r="H194">
            <v>716</v>
          </cell>
          <cell r="I194">
            <v>14862.9</v>
          </cell>
          <cell r="J194">
            <v>15092.2</v>
          </cell>
          <cell r="K194">
            <v>15331.4</v>
          </cell>
          <cell r="L194">
            <v>15581</v>
          </cell>
          <cell r="M194">
            <v>15840.8</v>
          </cell>
          <cell r="N194">
            <v>16110.5</v>
          </cell>
          <cell r="O194">
            <v>16390.400000000001</v>
          </cell>
          <cell r="P194">
            <v>16680.400000000001</v>
          </cell>
          <cell r="Q194">
            <v>16979.3</v>
          </cell>
          <cell r="R194">
            <v>17285.2</v>
          </cell>
          <cell r="S194">
            <v>17596.400000000001</v>
          </cell>
          <cell r="T194">
            <v>2097.4499999999998</v>
          </cell>
          <cell r="U194">
            <v>2210.71</v>
          </cell>
          <cell r="V194">
            <v>1921.06</v>
          </cell>
          <cell r="W194">
            <v>1638.9</v>
          </cell>
          <cell r="X194">
            <v>1377.83</v>
          </cell>
          <cell r="Y194">
            <v>1105.1600000000001</v>
          </cell>
          <cell r="Z194">
            <v>994.87400000000002</v>
          </cell>
          <cell r="AA194">
            <v>872.60199999999998</v>
          </cell>
          <cell r="AB194">
            <v>737.52700000000004</v>
          </cell>
          <cell r="AC194">
            <v>520.29499999999996</v>
          </cell>
          <cell r="AD194">
            <v>389.42</v>
          </cell>
          <cell r="AE194">
            <v>308.66899999999998</v>
          </cell>
          <cell r="AF194">
            <v>240.44200000000001</v>
          </cell>
          <cell r="AG194">
            <v>184.97300000000001</v>
          </cell>
          <cell r="AH194">
            <v>114.658</v>
          </cell>
          <cell r="AI194">
            <v>85.7</v>
          </cell>
          <cell r="AJ194">
            <v>43.887999999999998</v>
          </cell>
          <cell r="AK194">
            <v>15.46</v>
          </cell>
          <cell r="AL194">
            <v>3.0270000000000001</v>
          </cell>
          <cell r="AM194">
            <v>0.26700000000000002</v>
          </cell>
          <cell r="AN194">
            <v>1.9E-2</v>
          </cell>
          <cell r="AO194">
            <v>2122.63</v>
          </cell>
          <cell r="AP194">
            <v>2032.91</v>
          </cell>
          <cell r="AQ194">
            <v>2057.04</v>
          </cell>
          <cell r="AR194">
            <v>2173.2800000000002</v>
          </cell>
          <cell r="AS194">
            <v>1838.86</v>
          </cell>
          <cell r="AT194">
            <v>1496.4</v>
          </cell>
          <cell r="AU194">
            <v>1219.44</v>
          </cell>
          <cell r="AV194">
            <v>983.99300000000005</v>
          </cell>
          <cell r="AW194">
            <v>895.28700000000003</v>
          </cell>
          <cell r="AX194">
            <v>775.32399999999996</v>
          </cell>
          <cell r="AY194">
            <v>645.90200000000004</v>
          </cell>
          <cell r="AZ194">
            <v>446.68299999999999</v>
          </cell>
          <cell r="BA194">
            <v>323.25099999999998</v>
          </cell>
          <cell r="BB194">
            <v>239.71600000000001</v>
          </cell>
          <cell r="BC194">
            <v>166.846</v>
          </cell>
          <cell r="BD194">
            <v>106.52200000000001</v>
          </cell>
          <cell r="BE194">
            <v>47.853999999999999</v>
          </cell>
          <cell r="BF194">
            <v>20.175999999999998</v>
          </cell>
          <cell r="BG194">
            <v>3.9380000000000002</v>
          </cell>
          <cell r="BH194">
            <v>0.36099999999999999</v>
          </cell>
          <cell r="BI194">
            <v>0.02</v>
          </cell>
          <cell r="BJ194">
            <v>14.111983529459257</v>
          </cell>
          <cell r="BK194">
            <v>14.874015165277301</v>
          </cell>
          <cell r="BL194">
            <v>12.925203022290402</v>
          </cell>
          <cell r="BM194">
            <v>11.026784813192581</v>
          </cell>
          <cell r="BN194">
            <v>9.2702635421082018</v>
          </cell>
          <cell r="BO194">
            <v>7.4356955910353975</v>
          </cell>
          <cell r="BP194">
            <v>6.6936735092074899</v>
          </cell>
          <cell r="BQ194">
            <v>5.8710076768329191</v>
          </cell>
          <cell r="BR194">
            <v>4.9622011855021571</v>
          </cell>
          <cell r="BS194">
            <v>3.5006290831533544</v>
          </cell>
          <cell r="BT194">
            <v>2.6200808725080571</v>
          </cell>
          <cell r="BU194">
            <v>2.0767750573575818</v>
          </cell>
          <cell r="BV194">
            <v>1.6177327439463363</v>
          </cell>
          <cell r="BW194">
            <v>1.2445283221982251</v>
          </cell>
          <cell r="BX194">
            <v>0.77143760638906278</v>
          </cell>
          <cell r="BY194">
            <v>0.5766034892248485</v>
          </cell>
          <cell r="BZ194">
            <v>0.29528557683897488</v>
          </cell>
          <cell r="CA194">
            <v>0.10401738557078363</v>
          </cell>
          <cell r="CB194">
            <v>2.0366146579738814E-2</v>
          </cell>
          <cell r="CC194">
            <v>1.7964192721474277E-3</v>
          </cell>
          <cell r="CD194">
            <v>1.2783507929138997E-4</v>
          </cell>
          <cell r="CE194">
            <v>12.06286513150417</v>
          </cell>
          <cell r="CF194">
            <v>11.552988111204563</v>
          </cell>
          <cell r="CG194">
            <v>11.690118433315904</v>
          </cell>
          <cell r="CH194">
            <v>12.350708099383965</v>
          </cell>
          <cell r="CI194">
            <v>10.450205723898069</v>
          </cell>
          <cell r="CJ194">
            <v>8.5040121843104259</v>
          </cell>
          <cell r="CK194">
            <v>6.9300538746561795</v>
          </cell>
          <cell r="CL194">
            <v>5.5920131390511694</v>
          </cell>
          <cell r="CM194">
            <v>5.0878986610897678</v>
          </cell>
          <cell r="CN194">
            <v>4.4061512582119065</v>
          </cell>
          <cell r="CO194">
            <v>3.6706485417471755</v>
          </cell>
          <cell r="CP194">
            <v>2.5384908276692957</v>
          </cell>
          <cell r="CQ194">
            <v>1.8370291650564887</v>
          </cell>
          <cell r="CR194">
            <v>1.3623013798276919</v>
          </cell>
          <cell r="CS194">
            <v>0.94818258280102741</v>
          </cell>
          <cell r="CT194">
            <v>0.60536246050328468</v>
          </cell>
          <cell r="CU194">
            <v>0.27195335409515581</v>
          </cell>
          <cell r="CV194">
            <v>0.11465981678070512</v>
          </cell>
          <cell r="CW194">
            <v>2.2379577640881089E-2</v>
          </cell>
          <cell r="CX194">
            <v>2.0515560000909272E-3</v>
          </cell>
          <cell r="CY194">
            <v>1.1365961219340319E-4</v>
          </cell>
          <cell r="CZ194">
            <v>100.00020857302411</v>
          </cell>
          <cell r="DA194">
            <v>100.00007387874793</v>
          </cell>
        </row>
        <row r="199">
          <cell r="H199"/>
        </row>
        <row r="217">
          <cell r="H217"/>
        </row>
        <row r="256">
          <cell r="H256"/>
        </row>
        <row r="261">
          <cell r="H261"/>
        </row>
      </sheetData>
      <sheetData sheetId="6">
        <row r="1">
          <cell r="B1" t="str">
            <v>ctr_id</v>
          </cell>
          <cell r="C1" t="str">
            <v>soc_exp_year</v>
          </cell>
          <cell r="D1" t="str">
            <v>totalSoc_exp_pctofgdp</v>
          </cell>
          <cell r="E1" t="str">
            <v>cct</v>
          </cell>
          <cell r="F1" t="str">
            <v>uct</v>
          </cell>
          <cell r="G1" t="str">
            <v>socialpension</v>
          </cell>
          <cell r="H1" t="str">
            <v>schoolfeeding</v>
          </cell>
          <cell r="I1" t="str">
            <v>publicworks</v>
          </cell>
          <cell r="J1" t="str">
            <v>foodandinkind</v>
          </cell>
          <cell r="K1" t="str">
            <v>feewaivers</v>
          </cell>
          <cell r="L1" t="str">
            <v>othersocialassistance</v>
          </cell>
          <cell r="M1" t="str">
            <v>totalexcludinghealthfeewaivers</v>
          </cell>
          <cell r="N1" t="str">
            <v>cct_noofbeneficiaries</v>
          </cell>
          <cell r="O1" t="str">
            <v>cct_year</v>
          </cell>
          <cell r="P1" t="str">
            <v>uct_noofbeneficiaries</v>
          </cell>
          <cell r="Q1" t="str">
            <v>uct_year</v>
          </cell>
          <cell r="R1" t="str">
            <v>socpension_noofbeneficiaries</v>
          </cell>
          <cell r="S1" t="str">
            <v>socpension_year</v>
          </cell>
          <cell r="T1" t="str">
            <v>foodandinkind_noofbeneficiaries</v>
          </cell>
          <cell r="U1" t="str">
            <v>foodandinkind_year</v>
          </cell>
          <cell r="V1" t="str">
            <v>schoolfeeding_noofbeneficiaries</v>
          </cell>
          <cell r="W1" t="str">
            <v>schoolfeeding_year</v>
          </cell>
          <cell r="X1" t="str">
            <v>publicworks_noofbeneficiaries</v>
          </cell>
          <cell r="Y1" t="str">
            <v>publicworks_year</v>
          </cell>
          <cell r="Z1" t="str">
            <v>feewaivers_noofbeneficiaries</v>
          </cell>
          <cell r="AA1" t="str">
            <v>feewaivers_year</v>
          </cell>
        </row>
        <row r="2">
          <cell r="B2" t="str">
            <v>ALB</v>
          </cell>
          <cell r="C2">
            <v>2018</v>
          </cell>
          <cell r="D2">
            <v>1.48</v>
          </cell>
          <cell r="F2">
            <v>0.42</v>
          </cell>
          <cell r="G2">
            <v>0.98</v>
          </cell>
          <cell r="I2">
            <v>0.02</v>
          </cell>
          <cell r="K2">
            <v>0.02</v>
          </cell>
          <cell r="L2">
            <v>0.04</v>
          </cell>
          <cell r="M2">
            <v>1.48</v>
          </cell>
          <cell r="P2">
            <v>317268.90000000002</v>
          </cell>
          <cell r="Q2">
            <v>2017</v>
          </cell>
          <cell r="X2">
            <v>5264</v>
          </cell>
          <cell r="Y2">
            <v>2017</v>
          </cell>
          <cell r="Z2">
            <v>128747</v>
          </cell>
          <cell r="AA2">
            <v>2017</v>
          </cell>
        </row>
        <row r="3">
          <cell r="B3" t="str">
            <v>DZA</v>
          </cell>
          <cell r="V3">
            <v>31000</v>
          </cell>
          <cell r="W3">
            <v>2011</v>
          </cell>
        </row>
        <row r="4">
          <cell r="B4" t="str">
            <v>AGO</v>
          </cell>
          <cell r="P4">
            <v>2016</v>
          </cell>
          <cell r="Q4">
            <v>2015</v>
          </cell>
          <cell r="T4">
            <v>101246</v>
          </cell>
          <cell r="U4">
            <v>2011</v>
          </cell>
          <cell r="V4">
            <v>418733</v>
          </cell>
          <cell r="W4">
            <v>2011</v>
          </cell>
        </row>
        <row r="5">
          <cell r="B5" t="str">
            <v>ARG</v>
          </cell>
          <cell r="C5">
            <v>2017</v>
          </cell>
          <cell r="D5">
            <v>1.84</v>
          </cell>
          <cell r="E5">
            <v>1.53</v>
          </cell>
          <cell r="F5">
            <v>0.02</v>
          </cell>
          <cell r="G5">
            <v>0.08</v>
          </cell>
          <cell r="H5">
            <v>0.01</v>
          </cell>
          <cell r="I5">
            <v>0.14000000000000001</v>
          </cell>
          <cell r="J5">
            <v>0.05</v>
          </cell>
          <cell r="L5">
            <v>0.01</v>
          </cell>
          <cell r="M5">
            <v>1.84</v>
          </cell>
          <cell r="N5">
            <v>3969777</v>
          </cell>
          <cell r="O5">
            <v>2017</v>
          </cell>
          <cell r="R5">
            <v>1073291</v>
          </cell>
          <cell r="S5">
            <v>2017</v>
          </cell>
          <cell r="T5">
            <v>1464348</v>
          </cell>
          <cell r="U5">
            <v>2016</v>
          </cell>
          <cell r="V5">
            <v>1687785</v>
          </cell>
          <cell r="W5">
            <v>2015</v>
          </cell>
          <cell r="X5">
            <v>187282</v>
          </cell>
          <cell r="Y5">
            <v>2015</v>
          </cell>
        </row>
        <row r="6">
          <cell r="B6" t="str">
            <v>ARM</v>
          </cell>
          <cell r="C6">
            <v>2017</v>
          </cell>
          <cell r="D6">
            <v>1.53</v>
          </cell>
          <cell r="F6">
            <v>1.1599999999999999</v>
          </cell>
          <cell r="G6">
            <v>0.24</v>
          </cell>
          <cell r="H6">
            <v>0.01</v>
          </cell>
          <cell r="K6">
            <v>0.11</v>
          </cell>
          <cell r="M6">
            <v>1.41</v>
          </cell>
          <cell r="P6">
            <v>372094.2</v>
          </cell>
          <cell r="Q6">
            <v>2017</v>
          </cell>
          <cell r="V6">
            <v>31200</v>
          </cell>
          <cell r="W6">
            <v>2017</v>
          </cell>
          <cell r="Z6">
            <v>38951</v>
          </cell>
          <cell r="AA6">
            <v>2013</v>
          </cell>
        </row>
        <row r="7">
          <cell r="B7" t="str">
            <v>AZE</v>
          </cell>
          <cell r="C7">
            <v>2014</v>
          </cell>
          <cell r="D7">
            <v>0.84</v>
          </cell>
          <cell r="F7">
            <v>0.39</v>
          </cell>
          <cell r="G7">
            <v>0.45</v>
          </cell>
          <cell r="M7">
            <v>0.84</v>
          </cell>
          <cell r="P7">
            <v>2600283</v>
          </cell>
          <cell r="Q7">
            <v>2014</v>
          </cell>
          <cell r="X7">
            <v>1605</v>
          </cell>
          <cell r="Y7">
            <v>2014</v>
          </cell>
        </row>
        <row r="8">
          <cell r="B8" t="str">
            <v>BGD</v>
          </cell>
          <cell r="C8">
            <v>2016</v>
          </cell>
          <cell r="D8">
            <v>0.99</v>
          </cell>
          <cell r="E8">
            <v>0.15</v>
          </cell>
          <cell r="F8">
            <v>0.06</v>
          </cell>
          <cell r="G8">
            <v>0.28000000000000003</v>
          </cell>
          <cell r="H8">
            <v>0.02</v>
          </cell>
          <cell r="I8">
            <v>0.25</v>
          </cell>
          <cell r="J8">
            <v>0.19</v>
          </cell>
          <cell r="K8">
            <v>0.01</v>
          </cell>
          <cell r="L8">
            <v>0.03</v>
          </cell>
          <cell r="M8">
            <v>0.99</v>
          </cell>
          <cell r="N8">
            <v>7800000</v>
          </cell>
          <cell r="O8">
            <v>2013</v>
          </cell>
          <cell r="P8">
            <v>1150000</v>
          </cell>
          <cell r="Q8">
            <v>2016</v>
          </cell>
          <cell r="R8">
            <v>3150000</v>
          </cell>
          <cell r="S8">
            <v>2016</v>
          </cell>
          <cell r="T8">
            <v>42647316</v>
          </cell>
          <cell r="U8">
            <v>2016</v>
          </cell>
          <cell r="V8">
            <v>3003124</v>
          </cell>
          <cell r="W8">
            <v>2015</v>
          </cell>
          <cell r="X8">
            <v>96700</v>
          </cell>
          <cell r="Y8">
            <v>2018</v>
          </cell>
          <cell r="Z8">
            <v>2500</v>
          </cell>
          <cell r="AA8">
            <v>2015</v>
          </cell>
        </row>
        <row r="9">
          <cell r="B9" t="str">
            <v>BLR</v>
          </cell>
          <cell r="C9">
            <v>2017</v>
          </cell>
          <cell r="D9">
            <v>2.35</v>
          </cell>
          <cell r="F9">
            <v>2</v>
          </cell>
          <cell r="G9">
            <v>0.21</v>
          </cell>
          <cell r="K9">
            <v>0.06</v>
          </cell>
          <cell r="L9">
            <v>7.0000000000000007E-2</v>
          </cell>
          <cell r="M9">
            <v>2.29</v>
          </cell>
          <cell r="R9">
            <v>40609</v>
          </cell>
          <cell r="S9">
            <v>2017</v>
          </cell>
          <cell r="X9">
            <v>50800</v>
          </cell>
          <cell r="Y9">
            <v>2017</v>
          </cell>
          <cell r="Z9">
            <v>1490000</v>
          </cell>
          <cell r="AA9">
            <v>2011</v>
          </cell>
        </row>
        <row r="10">
          <cell r="B10" t="str">
            <v>BLZ</v>
          </cell>
          <cell r="N10">
            <v>8600</v>
          </cell>
          <cell r="O10">
            <v>2012</v>
          </cell>
          <cell r="R10">
            <v>3711</v>
          </cell>
          <cell r="S10">
            <v>2015</v>
          </cell>
        </row>
        <row r="11">
          <cell r="B11" t="str">
            <v>BEN</v>
          </cell>
          <cell r="C11">
            <v>2014</v>
          </cell>
          <cell r="D11">
            <v>2.16</v>
          </cell>
          <cell r="F11">
            <v>2.12</v>
          </cell>
          <cell r="H11">
            <v>0.03</v>
          </cell>
          <cell r="K11">
            <v>0.01</v>
          </cell>
          <cell r="M11">
            <v>2.15</v>
          </cell>
          <cell r="P11">
            <v>13000</v>
          </cell>
          <cell r="Q11">
            <v>2015</v>
          </cell>
          <cell r="X11">
            <v>12000</v>
          </cell>
          <cell r="Y11">
            <v>2015</v>
          </cell>
          <cell r="Z11">
            <v>10932</v>
          </cell>
          <cell r="AA11">
            <v>2008</v>
          </cell>
        </row>
        <row r="12">
          <cell r="B12" t="str">
            <v>BTN</v>
          </cell>
          <cell r="V12">
            <v>30345</v>
          </cell>
          <cell r="W12">
            <v>2014</v>
          </cell>
        </row>
        <row r="13">
          <cell r="B13" t="str">
            <v>BOL</v>
          </cell>
          <cell r="C13">
            <v>2015</v>
          </cell>
          <cell r="D13">
            <v>2.1800000000000002</v>
          </cell>
          <cell r="E13">
            <v>0.28000000000000003</v>
          </cell>
          <cell r="G13">
            <v>1.21</v>
          </cell>
          <cell r="H13">
            <v>0.28999999999999998</v>
          </cell>
          <cell r="J13">
            <v>0.4</v>
          </cell>
          <cell r="M13">
            <v>2.1800000000000002</v>
          </cell>
          <cell r="N13">
            <v>2228000</v>
          </cell>
          <cell r="O13">
            <v>2015</v>
          </cell>
          <cell r="R13">
            <v>934748</v>
          </cell>
          <cell r="S13">
            <v>2015</v>
          </cell>
          <cell r="T13">
            <v>893696</v>
          </cell>
          <cell r="U13">
            <v>2015</v>
          </cell>
          <cell r="V13">
            <v>2162921</v>
          </cell>
          <cell r="W13">
            <v>2012</v>
          </cell>
        </row>
        <row r="14">
          <cell r="B14" t="str">
            <v>BIH</v>
          </cell>
          <cell r="C14">
            <v>2017</v>
          </cell>
          <cell r="D14">
            <v>2.79</v>
          </cell>
          <cell r="F14">
            <v>0.28999999999999998</v>
          </cell>
          <cell r="G14">
            <v>2.3199999999999998</v>
          </cell>
          <cell r="J14">
            <v>0.02</v>
          </cell>
          <cell r="K14">
            <v>0.01</v>
          </cell>
          <cell r="L14">
            <v>0.15</v>
          </cell>
          <cell r="M14">
            <v>2.79</v>
          </cell>
        </row>
        <row r="15">
          <cell r="B15" t="str">
            <v>BWA</v>
          </cell>
          <cell r="C15">
            <v>2019</v>
          </cell>
          <cell r="D15">
            <v>2.71</v>
          </cell>
          <cell r="F15">
            <v>0.05</v>
          </cell>
          <cell r="G15">
            <v>0.32</v>
          </cell>
          <cell r="H15">
            <v>0.57999999999999996</v>
          </cell>
          <cell r="I15">
            <v>0.33</v>
          </cell>
          <cell r="J15">
            <v>0.3</v>
          </cell>
          <cell r="L15">
            <v>1.1299999999999999</v>
          </cell>
          <cell r="M15">
            <v>2.71</v>
          </cell>
          <cell r="P15">
            <v>31677</v>
          </cell>
          <cell r="Q15">
            <v>2018</v>
          </cell>
          <cell r="R15">
            <v>108870</v>
          </cell>
          <cell r="S15">
            <v>2018</v>
          </cell>
          <cell r="T15">
            <v>383392</v>
          </cell>
          <cell r="U15">
            <v>2013</v>
          </cell>
          <cell r="V15">
            <v>544767</v>
          </cell>
          <cell r="W15">
            <v>2016</v>
          </cell>
          <cell r="X15">
            <v>839930</v>
          </cell>
          <cell r="Y15">
            <v>2018</v>
          </cell>
        </row>
        <row r="16">
          <cell r="B16" t="str">
            <v>BRA</v>
          </cell>
          <cell r="C16">
            <v>2018</v>
          </cell>
          <cell r="D16">
            <v>1.48</v>
          </cell>
          <cell r="E16">
            <v>0.38</v>
          </cell>
          <cell r="F16">
            <v>0.04</v>
          </cell>
          <cell r="G16">
            <v>0.55000000000000004</v>
          </cell>
          <cell r="H16">
            <v>0.05</v>
          </cell>
          <cell r="K16">
            <v>0.43</v>
          </cell>
          <cell r="L16">
            <v>0.04</v>
          </cell>
          <cell r="M16">
            <v>1.48</v>
          </cell>
          <cell r="N16">
            <v>42400000</v>
          </cell>
          <cell r="O16">
            <v>2018</v>
          </cell>
          <cell r="R16">
            <v>2603082</v>
          </cell>
          <cell r="S16">
            <v>2018</v>
          </cell>
          <cell r="T16">
            <v>337536</v>
          </cell>
          <cell r="U16">
            <v>2018</v>
          </cell>
          <cell r="V16">
            <v>40544184</v>
          </cell>
          <cell r="W16">
            <v>2018</v>
          </cell>
        </row>
        <row r="17">
          <cell r="B17" t="str">
            <v>BGR</v>
          </cell>
          <cell r="C17">
            <v>2017</v>
          </cell>
          <cell r="D17">
            <v>1.08</v>
          </cell>
          <cell r="E17">
            <v>0.3</v>
          </cell>
          <cell r="F17">
            <v>0.08</v>
          </cell>
          <cell r="G17">
            <v>0.56000000000000005</v>
          </cell>
          <cell r="I17">
            <v>0.04</v>
          </cell>
          <cell r="J17">
            <v>0.01</v>
          </cell>
          <cell r="K17">
            <v>7.0000000000000007E-2</v>
          </cell>
          <cell r="L17">
            <v>0.01</v>
          </cell>
          <cell r="M17">
            <v>1.08</v>
          </cell>
          <cell r="P17">
            <v>1875180</v>
          </cell>
          <cell r="Q17">
            <v>2017</v>
          </cell>
          <cell r="T17">
            <v>38489</v>
          </cell>
          <cell r="U17">
            <v>2017</v>
          </cell>
          <cell r="X17">
            <v>9543</v>
          </cell>
          <cell r="Y17">
            <v>2015</v>
          </cell>
          <cell r="Z17">
            <v>204635</v>
          </cell>
          <cell r="AA17">
            <v>2017</v>
          </cell>
        </row>
        <row r="18">
          <cell r="B18" t="str">
            <v>BFA</v>
          </cell>
          <cell r="C18">
            <v>2016</v>
          </cell>
          <cell r="D18">
            <v>1.85</v>
          </cell>
          <cell r="E18">
            <v>0.02</v>
          </cell>
          <cell r="F18">
            <v>0.03</v>
          </cell>
          <cell r="H18">
            <v>0.35</v>
          </cell>
          <cell r="I18">
            <v>0.27</v>
          </cell>
          <cell r="J18">
            <v>0.9</v>
          </cell>
          <cell r="K18">
            <v>0.06</v>
          </cell>
          <cell r="L18">
            <v>0.23</v>
          </cell>
          <cell r="M18">
            <v>1.8</v>
          </cell>
          <cell r="N18">
            <v>88500</v>
          </cell>
          <cell r="O18">
            <v>2016</v>
          </cell>
          <cell r="P18">
            <v>135000</v>
          </cell>
          <cell r="Q18">
            <v>2015</v>
          </cell>
          <cell r="T18">
            <v>153499</v>
          </cell>
          <cell r="U18">
            <v>2016</v>
          </cell>
          <cell r="V18">
            <v>2906000</v>
          </cell>
          <cell r="W18">
            <v>2016</v>
          </cell>
          <cell r="X18">
            <v>128095</v>
          </cell>
          <cell r="Y18">
            <v>2016</v>
          </cell>
          <cell r="Z18">
            <v>702083</v>
          </cell>
          <cell r="AA18">
            <v>2014</v>
          </cell>
        </row>
        <row r="19">
          <cell r="B19" t="str">
            <v>BDI</v>
          </cell>
          <cell r="C19">
            <v>2015</v>
          </cell>
          <cell r="D19">
            <v>2.4500000000000002</v>
          </cell>
          <cell r="F19">
            <v>0.06</v>
          </cell>
          <cell r="G19">
            <v>0.04</v>
          </cell>
          <cell r="H19">
            <v>0.06</v>
          </cell>
          <cell r="I19">
            <v>1.07</v>
          </cell>
          <cell r="J19">
            <v>0.71</v>
          </cell>
          <cell r="K19">
            <v>0.21</v>
          </cell>
          <cell r="L19">
            <v>0.3</v>
          </cell>
          <cell r="M19">
            <v>2.23</v>
          </cell>
          <cell r="P19">
            <v>10000</v>
          </cell>
          <cell r="Q19">
            <v>2013</v>
          </cell>
          <cell r="T19">
            <v>111301</v>
          </cell>
          <cell r="U19">
            <v>2013</v>
          </cell>
          <cell r="V19">
            <v>316315</v>
          </cell>
          <cell r="W19">
            <v>2013</v>
          </cell>
          <cell r="X19">
            <v>91480</v>
          </cell>
          <cell r="Y19">
            <v>2013</v>
          </cell>
          <cell r="Z19">
            <v>7846</v>
          </cell>
          <cell r="AA19">
            <v>2015</v>
          </cell>
        </row>
        <row r="20">
          <cell r="B20" t="str">
            <v>CPV</v>
          </cell>
          <cell r="C20">
            <v>2011</v>
          </cell>
          <cell r="D20">
            <v>2.5</v>
          </cell>
          <cell r="G20">
            <v>1.1299999999999999</v>
          </cell>
          <cell r="H20">
            <v>0.17</v>
          </cell>
          <cell r="J20">
            <v>0.06</v>
          </cell>
          <cell r="K20">
            <v>0.63</v>
          </cell>
          <cell r="L20">
            <v>0.5</v>
          </cell>
          <cell r="M20">
            <v>1.88</v>
          </cell>
          <cell r="P20">
            <v>550</v>
          </cell>
          <cell r="Q20">
            <v>2010</v>
          </cell>
          <cell r="R20">
            <v>23000</v>
          </cell>
          <cell r="S20">
            <v>2011</v>
          </cell>
          <cell r="V20">
            <v>3168</v>
          </cell>
          <cell r="W20">
            <v>2015</v>
          </cell>
          <cell r="Z20">
            <v>153326</v>
          </cell>
          <cell r="AA20">
            <v>2010</v>
          </cell>
        </row>
        <row r="21">
          <cell r="B21" t="str">
            <v>KHM</v>
          </cell>
          <cell r="C21">
            <v>2015</v>
          </cell>
          <cell r="D21">
            <v>0.9</v>
          </cell>
          <cell r="F21">
            <v>0.01</v>
          </cell>
          <cell r="H21">
            <v>0.04</v>
          </cell>
          <cell r="I21">
            <v>0.01</v>
          </cell>
          <cell r="K21">
            <v>0.1</v>
          </cell>
          <cell r="L21">
            <v>0.74</v>
          </cell>
          <cell r="M21">
            <v>0.79</v>
          </cell>
          <cell r="N21">
            <v>150655</v>
          </cell>
          <cell r="O21">
            <v>2015</v>
          </cell>
          <cell r="V21">
            <v>296007</v>
          </cell>
          <cell r="W21">
            <v>2015</v>
          </cell>
          <cell r="X21">
            <v>131928</v>
          </cell>
          <cell r="Y21">
            <v>2015</v>
          </cell>
          <cell r="Z21">
            <v>2956305</v>
          </cell>
          <cell r="AA21">
            <v>2015</v>
          </cell>
        </row>
        <row r="22">
          <cell r="B22" t="str">
            <v>CMR</v>
          </cell>
          <cell r="C22">
            <v>2016</v>
          </cell>
          <cell r="D22">
            <v>0.03</v>
          </cell>
          <cell r="E22">
            <v>0.02</v>
          </cell>
          <cell r="M22">
            <v>0.03</v>
          </cell>
          <cell r="N22">
            <v>21500</v>
          </cell>
          <cell r="O22">
            <v>2016</v>
          </cell>
          <cell r="P22">
            <v>118710</v>
          </cell>
          <cell r="Q22">
            <v>2016</v>
          </cell>
          <cell r="V22">
            <v>55000</v>
          </cell>
          <cell r="W22">
            <v>2016</v>
          </cell>
          <cell r="X22">
            <v>5000</v>
          </cell>
          <cell r="Y22">
            <v>2016</v>
          </cell>
          <cell r="Z22">
            <v>46449</v>
          </cell>
          <cell r="AA22">
            <v>2016</v>
          </cell>
        </row>
        <row r="23">
          <cell r="B23" t="str">
            <v>CAF</v>
          </cell>
          <cell r="C23">
            <v>2015</v>
          </cell>
          <cell r="D23">
            <v>2.58</v>
          </cell>
          <cell r="F23">
            <v>0.22</v>
          </cell>
          <cell r="I23">
            <v>0.98</v>
          </cell>
          <cell r="J23">
            <v>0.94</v>
          </cell>
          <cell r="L23">
            <v>0.45</v>
          </cell>
          <cell r="M23">
            <v>2.58</v>
          </cell>
          <cell r="P23">
            <v>46168</v>
          </cell>
          <cell r="Q23">
            <v>2015</v>
          </cell>
          <cell r="T23">
            <v>80000</v>
          </cell>
          <cell r="U23">
            <v>2015</v>
          </cell>
          <cell r="X23">
            <v>60000</v>
          </cell>
          <cell r="Y23">
            <v>2015</v>
          </cell>
          <cell r="Z23">
            <v>50000</v>
          </cell>
          <cell r="AA23">
            <v>2015</v>
          </cell>
        </row>
        <row r="24">
          <cell r="B24" t="str">
            <v>TCD</v>
          </cell>
          <cell r="C24">
            <v>2018</v>
          </cell>
          <cell r="D24">
            <v>0.75</v>
          </cell>
          <cell r="F24">
            <v>0.03</v>
          </cell>
          <cell r="H24">
            <v>0.01</v>
          </cell>
          <cell r="I24">
            <v>0.04</v>
          </cell>
          <cell r="J24">
            <v>0.57999999999999996</v>
          </cell>
          <cell r="K24">
            <v>0.08</v>
          </cell>
          <cell r="M24">
            <v>0.68</v>
          </cell>
          <cell r="N24">
            <v>11833</v>
          </cell>
          <cell r="O24">
            <v>2016</v>
          </cell>
          <cell r="P24">
            <v>308862</v>
          </cell>
          <cell r="Q24">
            <v>2016</v>
          </cell>
          <cell r="T24">
            <v>422457</v>
          </cell>
          <cell r="U24">
            <v>2016</v>
          </cell>
          <cell r="V24">
            <v>128027</v>
          </cell>
          <cell r="W24">
            <v>2017</v>
          </cell>
          <cell r="X24">
            <v>10670</v>
          </cell>
          <cell r="Y24">
            <v>2017</v>
          </cell>
        </row>
        <row r="25">
          <cell r="B25" t="str">
            <v>CHL</v>
          </cell>
          <cell r="C25">
            <v>2018</v>
          </cell>
          <cell r="D25">
            <v>3.78</v>
          </cell>
          <cell r="E25">
            <v>0.04</v>
          </cell>
          <cell r="F25">
            <v>0.57999999999999996</v>
          </cell>
          <cell r="G25">
            <v>0.93</v>
          </cell>
          <cell r="H25">
            <v>0.33</v>
          </cell>
          <cell r="I25">
            <v>0.04</v>
          </cell>
          <cell r="J25">
            <v>0.2</v>
          </cell>
          <cell r="K25">
            <v>0.88</v>
          </cell>
          <cell r="L25">
            <v>0.78</v>
          </cell>
          <cell r="M25">
            <v>3.78</v>
          </cell>
          <cell r="N25">
            <v>2055132</v>
          </cell>
          <cell r="O25">
            <v>2018</v>
          </cell>
          <cell r="R25">
            <v>399820</v>
          </cell>
          <cell r="S25">
            <v>2018</v>
          </cell>
          <cell r="T25">
            <v>570000</v>
          </cell>
          <cell r="U25">
            <v>2018</v>
          </cell>
          <cell r="V25">
            <v>1573709</v>
          </cell>
          <cell r="W25">
            <v>2018</v>
          </cell>
          <cell r="X25">
            <v>24034</v>
          </cell>
          <cell r="Y25">
            <v>2018</v>
          </cell>
          <cell r="Z25">
            <v>187828</v>
          </cell>
          <cell r="AA25">
            <v>2018</v>
          </cell>
        </row>
        <row r="26">
          <cell r="B26" t="str">
            <v>CHN</v>
          </cell>
          <cell r="C26">
            <v>2016</v>
          </cell>
          <cell r="D26">
            <v>1.24</v>
          </cell>
          <cell r="F26">
            <v>0.23</v>
          </cell>
          <cell r="G26">
            <v>0.1</v>
          </cell>
          <cell r="I26">
            <v>0.12</v>
          </cell>
          <cell r="J26">
            <v>0.05</v>
          </cell>
          <cell r="K26">
            <v>0.75</v>
          </cell>
          <cell r="M26">
            <v>1.2</v>
          </cell>
          <cell r="P26">
            <v>74500000</v>
          </cell>
          <cell r="Q26">
            <v>2017</v>
          </cell>
          <cell r="R26">
            <v>12638000</v>
          </cell>
          <cell r="S26">
            <v>2009</v>
          </cell>
          <cell r="T26">
            <v>4970000</v>
          </cell>
          <cell r="U26">
            <v>2016</v>
          </cell>
          <cell r="V26">
            <v>26000000</v>
          </cell>
          <cell r="W26">
            <v>2011</v>
          </cell>
          <cell r="Z26">
            <v>91190000</v>
          </cell>
          <cell r="AA26">
            <v>2014</v>
          </cell>
        </row>
        <row r="27">
          <cell r="B27" t="str">
            <v>COL</v>
          </cell>
          <cell r="C27">
            <v>2018</v>
          </cell>
          <cell r="D27">
            <v>2.77</v>
          </cell>
          <cell r="E27">
            <v>0.19</v>
          </cell>
          <cell r="F27">
            <v>7.0000000000000007E-2</v>
          </cell>
          <cell r="G27">
            <v>0.12</v>
          </cell>
          <cell r="H27">
            <v>0.11</v>
          </cell>
          <cell r="J27">
            <v>0.1</v>
          </cell>
          <cell r="K27">
            <v>1.88</v>
          </cell>
          <cell r="L27">
            <v>0.28999999999999998</v>
          </cell>
          <cell r="M27">
            <v>0.96</v>
          </cell>
          <cell r="N27">
            <v>2666236</v>
          </cell>
          <cell r="O27">
            <v>2019</v>
          </cell>
          <cell r="R27">
            <v>1528462</v>
          </cell>
          <cell r="S27">
            <v>2018</v>
          </cell>
          <cell r="T27">
            <v>85612</v>
          </cell>
          <cell r="U27">
            <v>2017</v>
          </cell>
          <cell r="V27">
            <v>5387504</v>
          </cell>
          <cell r="W27">
            <v>2018</v>
          </cell>
        </row>
        <row r="28">
          <cell r="B28" t="str">
            <v>COM</v>
          </cell>
          <cell r="C28">
            <v>2016</v>
          </cell>
          <cell r="D28">
            <v>0.4</v>
          </cell>
          <cell r="I28">
            <v>0.39</v>
          </cell>
          <cell r="M28">
            <v>0.4</v>
          </cell>
          <cell r="P28">
            <v>13700</v>
          </cell>
          <cell r="Q28">
            <v>2016</v>
          </cell>
          <cell r="X28">
            <v>4196</v>
          </cell>
          <cell r="Y28">
            <v>2016</v>
          </cell>
        </row>
        <row r="29">
          <cell r="B29" t="str">
            <v>COD</v>
          </cell>
          <cell r="C29">
            <v>2016</v>
          </cell>
          <cell r="D29">
            <v>0.68</v>
          </cell>
          <cell r="I29">
            <v>0.03</v>
          </cell>
          <cell r="J29">
            <v>0.65</v>
          </cell>
          <cell r="M29">
            <v>0.68</v>
          </cell>
          <cell r="P29">
            <v>64343</v>
          </cell>
          <cell r="Q29">
            <v>2015</v>
          </cell>
          <cell r="T29">
            <v>3233000</v>
          </cell>
          <cell r="U29">
            <v>2016</v>
          </cell>
          <cell r="X29">
            <v>588359</v>
          </cell>
          <cell r="Y29">
            <v>2016</v>
          </cell>
          <cell r="Z29">
            <v>47580</v>
          </cell>
          <cell r="AA29">
            <v>2016</v>
          </cell>
        </row>
        <row r="30">
          <cell r="B30" t="str">
            <v>COG</v>
          </cell>
          <cell r="C30">
            <v>2015</v>
          </cell>
          <cell r="D30">
            <v>0.05</v>
          </cell>
          <cell r="E30">
            <v>0.05</v>
          </cell>
          <cell r="M30">
            <v>0.05</v>
          </cell>
          <cell r="N30">
            <v>40000</v>
          </cell>
          <cell r="O30">
            <v>2015</v>
          </cell>
        </row>
        <row r="31">
          <cell r="B31" t="str">
            <v>CRI</v>
          </cell>
          <cell r="C31">
            <v>2014</v>
          </cell>
          <cell r="D31">
            <v>1.46</v>
          </cell>
          <cell r="E31">
            <v>0.12</v>
          </cell>
          <cell r="F31">
            <v>0.46</v>
          </cell>
          <cell r="G31">
            <v>0.55000000000000004</v>
          </cell>
          <cell r="H31">
            <v>0.21</v>
          </cell>
          <cell r="I31">
            <v>0.04</v>
          </cell>
          <cell r="K31">
            <v>0.09</v>
          </cell>
          <cell r="M31">
            <v>1.46</v>
          </cell>
          <cell r="N31">
            <v>10940</v>
          </cell>
          <cell r="O31">
            <v>2015</v>
          </cell>
          <cell r="R31">
            <v>104141</v>
          </cell>
          <cell r="S31">
            <v>2015</v>
          </cell>
          <cell r="T31">
            <v>31184</v>
          </cell>
          <cell r="U31">
            <v>2013</v>
          </cell>
          <cell r="V31">
            <v>691294</v>
          </cell>
          <cell r="W31">
            <v>2014</v>
          </cell>
          <cell r="X31">
            <v>9225</v>
          </cell>
          <cell r="Y31">
            <v>2014</v>
          </cell>
          <cell r="Z31">
            <v>135895</v>
          </cell>
          <cell r="AA31">
            <v>2015</v>
          </cell>
        </row>
        <row r="32">
          <cell r="B32" t="str">
            <v>HRV</v>
          </cell>
          <cell r="C32">
            <v>2017</v>
          </cell>
          <cell r="D32">
            <v>3.27</v>
          </cell>
          <cell r="F32">
            <v>1.58</v>
          </cell>
          <cell r="G32">
            <v>1.64</v>
          </cell>
          <cell r="I32">
            <v>0.05</v>
          </cell>
          <cell r="M32">
            <v>3.27</v>
          </cell>
          <cell r="P32">
            <v>216013</v>
          </cell>
          <cell r="Q32">
            <v>2011</v>
          </cell>
          <cell r="T32">
            <v>1097141</v>
          </cell>
          <cell r="U32">
            <v>2011</v>
          </cell>
          <cell r="V32">
            <v>152000</v>
          </cell>
          <cell r="W32">
            <v>2011</v>
          </cell>
        </row>
        <row r="33">
          <cell r="B33" t="str">
            <v>CZE</v>
          </cell>
          <cell r="C33">
            <v>2017</v>
          </cell>
          <cell r="D33">
            <v>0.79</v>
          </cell>
          <cell r="F33">
            <v>0.74</v>
          </cell>
          <cell r="I33">
            <v>0.06</v>
          </cell>
          <cell r="M33">
            <v>0.79</v>
          </cell>
          <cell r="P33">
            <v>3343752</v>
          </cell>
          <cell r="Q33">
            <v>2017</v>
          </cell>
        </row>
        <row r="34">
          <cell r="B34" t="str">
            <v>CIV</v>
          </cell>
          <cell r="C34">
            <v>2017</v>
          </cell>
          <cell r="D34">
            <v>0.01</v>
          </cell>
          <cell r="M34">
            <v>0.01</v>
          </cell>
          <cell r="P34">
            <v>35000</v>
          </cell>
          <cell r="Q34">
            <v>2016</v>
          </cell>
          <cell r="V34">
            <v>1086721</v>
          </cell>
          <cell r="W34">
            <v>2016</v>
          </cell>
        </row>
        <row r="35">
          <cell r="B35" t="str">
            <v>DJI</v>
          </cell>
          <cell r="C35">
            <v>2015</v>
          </cell>
          <cell r="D35">
            <v>0.13</v>
          </cell>
          <cell r="E35">
            <v>0.05</v>
          </cell>
          <cell r="F35">
            <v>0.05</v>
          </cell>
          <cell r="J35">
            <v>0.03</v>
          </cell>
          <cell r="M35">
            <v>0.13</v>
          </cell>
          <cell r="N35">
            <v>91526</v>
          </cell>
          <cell r="O35">
            <v>2015</v>
          </cell>
          <cell r="P35">
            <v>6740</v>
          </cell>
          <cell r="Q35">
            <v>2015</v>
          </cell>
          <cell r="T35">
            <v>72800</v>
          </cell>
          <cell r="U35">
            <v>2015</v>
          </cell>
          <cell r="V35">
            <v>16814</v>
          </cell>
          <cell r="W35">
            <v>2014</v>
          </cell>
          <cell r="X35">
            <v>37744</v>
          </cell>
          <cell r="Y35">
            <v>2015</v>
          </cell>
          <cell r="Z35">
            <v>600</v>
          </cell>
          <cell r="AA35">
            <v>2015</v>
          </cell>
        </row>
        <row r="36">
          <cell r="B36" t="str">
            <v>DMA</v>
          </cell>
          <cell r="C36">
            <v>2018</v>
          </cell>
          <cell r="D36">
            <v>4.16</v>
          </cell>
          <cell r="E36">
            <v>0.52</v>
          </cell>
          <cell r="F36">
            <v>0.95</v>
          </cell>
          <cell r="G36">
            <v>0.27</v>
          </cell>
          <cell r="I36">
            <v>7.0000000000000007E-2</v>
          </cell>
          <cell r="J36">
            <v>1.07</v>
          </cell>
          <cell r="K36">
            <v>0.33</v>
          </cell>
          <cell r="L36">
            <v>0.96</v>
          </cell>
          <cell r="M36">
            <v>3.84</v>
          </cell>
          <cell r="V36">
            <v>1925</v>
          </cell>
          <cell r="W36">
            <v>2016</v>
          </cell>
        </row>
        <row r="37">
          <cell r="B37" t="str">
            <v>DOM</v>
          </cell>
          <cell r="C37">
            <v>2018</v>
          </cell>
          <cell r="D37">
            <v>1.59</v>
          </cell>
          <cell r="E37">
            <v>0.06</v>
          </cell>
          <cell r="F37">
            <v>0.12</v>
          </cell>
          <cell r="H37">
            <v>0.52</v>
          </cell>
          <cell r="J37">
            <v>0.31</v>
          </cell>
          <cell r="K37">
            <v>0.38</v>
          </cell>
          <cell r="L37">
            <v>0.2</v>
          </cell>
          <cell r="M37">
            <v>1.22</v>
          </cell>
          <cell r="N37">
            <v>864542</v>
          </cell>
          <cell r="O37">
            <v>2018</v>
          </cell>
          <cell r="R37">
            <v>86782</v>
          </cell>
          <cell r="S37">
            <v>2018</v>
          </cell>
          <cell r="T37">
            <v>295058.81</v>
          </cell>
          <cell r="U37">
            <v>2018</v>
          </cell>
          <cell r="V37">
            <v>1649760</v>
          </cell>
          <cell r="W37">
            <v>2018</v>
          </cell>
        </row>
        <row r="38">
          <cell r="B38" t="str">
            <v>ECU</v>
          </cell>
          <cell r="C38">
            <v>2015</v>
          </cell>
          <cell r="D38">
            <v>1.5</v>
          </cell>
          <cell r="E38">
            <v>0.26</v>
          </cell>
          <cell r="F38">
            <v>0.23</v>
          </cell>
          <cell r="G38">
            <v>0.47</v>
          </cell>
          <cell r="H38">
            <v>0.21</v>
          </cell>
          <cell r="J38">
            <v>0.09</v>
          </cell>
          <cell r="K38">
            <v>7.0000000000000007E-2</v>
          </cell>
          <cell r="L38">
            <v>0.17</v>
          </cell>
          <cell r="M38">
            <v>1.47</v>
          </cell>
          <cell r="N38">
            <v>1640434</v>
          </cell>
          <cell r="O38">
            <v>2014</v>
          </cell>
          <cell r="R38">
            <v>3015199</v>
          </cell>
          <cell r="S38">
            <v>2010</v>
          </cell>
          <cell r="V38">
            <v>293303</v>
          </cell>
          <cell r="W38">
            <v>2014</v>
          </cell>
          <cell r="X38">
            <v>1222</v>
          </cell>
          <cell r="Y38">
            <v>2013</v>
          </cell>
          <cell r="Z38">
            <v>6206416</v>
          </cell>
          <cell r="AA38">
            <v>2015</v>
          </cell>
        </row>
        <row r="39">
          <cell r="B39" t="str">
            <v>EGY</v>
          </cell>
          <cell r="C39">
            <v>2018</v>
          </cell>
          <cell r="D39">
            <v>3.51</v>
          </cell>
          <cell r="E39">
            <v>0.41</v>
          </cell>
          <cell r="F39">
            <v>0.14000000000000001</v>
          </cell>
          <cell r="G39">
            <v>0.45</v>
          </cell>
          <cell r="J39">
            <v>1.7</v>
          </cell>
          <cell r="K39">
            <v>0.79</v>
          </cell>
          <cell r="L39">
            <v>0.02</v>
          </cell>
          <cell r="M39">
            <v>3.51</v>
          </cell>
          <cell r="N39">
            <v>8347320</v>
          </cell>
          <cell r="O39">
            <v>2017</v>
          </cell>
          <cell r="R39">
            <v>7000000</v>
          </cell>
          <cell r="S39">
            <v>2014</v>
          </cell>
          <cell r="T39">
            <v>70000000</v>
          </cell>
          <cell r="U39">
            <v>2015</v>
          </cell>
          <cell r="V39">
            <v>13500000</v>
          </cell>
          <cell r="W39">
            <v>2016</v>
          </cell>
          <cell r="X39">
            <v>38308</v>
          </cell>
          <cell r="Y39">
            <v>2014</v>
          </cell>
        </row>
        <row r="40">
          <cell r="B40" t="str">
            <v>SLV</v>
          </cell>
          <cell r="C40">
            <v>2014</v>
          </cell>
          <cell r="D40">
            <v>0.99</v>
          </cell>
          <cell r="E40">
            <v>0.01</v>
          </cell>
          <cell r="F40">
            <v>0.14000000000000001</v>
          </cell>
          <cell r="G40">
            <v>0.09</v>
          </cell>
          <cell r="H40">
            <v>0.11</v>
          </cell>
          <cell r="I40">
            <v>7.0000000000000007E-2</v>
          </cell>
          <cell r="J40">
            <v>0.49</v>
          </cell>
          <cell r="K40">
            <v>0.05</v>
          </cell>
          <cell r="L40">
            <v>0.03</v>
          </cell>
          <cell r="M40">
            <v>0.97</v>
          </cell>
          <cell r="N40">
            <v>277500</v>
          </cell>
          <cell r="O40">
            <v>2014</v>
          </cell>
          <cell r="R40">
            <v>26000</v>
          </cell>
          <cell r="S40">
            <v>2014</v>
          </cell>
          <cell r="T40">
            <v>2462400</v>
          </cell>
          <cell r="U40">
            <v>2014</v>
          </cell>
          <cell r="V40">
            <v>1453118</v>
          </cell>
          <cell r="W40">
            <v>2013</v>
          </cell>
          <cell r="X40">
            <v>5500</v>
          </cell>
          <cell r="Y40">
            <v>2014</v>
          </cell>
          <cell r="Z40">
            <v>59409</v>
          </cell>
          <cell r="AA40">
            <v>2014</v>
          </cell>
        </row>
        <row r="41">
          <cell r="B41" t="str">
            <v>EST</v>
          </cell>
          <cell r="C41">
            <v>2017</v>
          </cell>
          <cell r="D41">
            <v>3.11</v>
          </cell>
          <cell r="F41">
            <v>2</v>
          </cell>
          <cell r="G41">
            <v>0.33</v>
          </cell>
          <cell r="J41">
            <v>0.32</v>
          </cell>
          <cell r="L41">
            <v>0.46</v>
          </cell>
          <cell r="M41">
            <v>3.11</v>
          </cell>
          <cell r="P41">
            <v>257404</v>
          </cell>
          <cell r="Q41">
            <v>2017</v>
          </cell>
          <cell r="R41">
            <v>6516</v>
          </cell>
          <cell r="S41">
            <v>2014</v>
          </cell>
          <cell r="X41">
            <v>98</v>
          </cell>
          <cell r="Y41">
            <v>2015</v>
          </cell>
        </row>
        <row r="42">
          <cell r="B42" t="str">
            <v>SWZ</v>
          </cell>
          <cell r="C42">
            <v>2015</v>
          </cell>
          <cell r="D42">
            <v>1.51</v>
          </cell>
          <cell r="F42">
            <v>0.03</v>
          </cell>
          <cell r="G42">
            <v>0.27</v>
          </cell>
          <cell r="H42">
            <v>0.09</v>
          </cell>
          <cell r="I42">
            <v>7.0000000000000007E-2</v>
          </cell>
          <cell r="J42">
            <v>0.1</v>
          </cell>
          <cell r="K42">
            <v>0.22</v>
          </cell>
          <cell r="L42">
            <v>0.74</v>
          </cell>
          <cell r="M42">
            <v>1.3</v>
          </cell>
          <cell r="P42">
            <v>5075</v>
          </cell>
          <cell r="Q42">
            <v>2011</v>
          </cell>
          <cell r="R42">
            <v>63500</v>
          </cell>
          <cell r="S42">
            <v>2014</v>
          </cell>
          <cell r="T42">
            <v>88511</v>
          </cell>
          <cell r="U42">
            <v>2010</v>
          </cell>
          <cell r="V42">
            <v>328000</v>
          </cell>
          <cell r="W42">
            <v>2011</v>
          </cell>
        </row>
        <row r="43">
          <cell r="B43" t="str">
            <v>ETH</v>
          </cell>
          <cell r="C43">
            <v>2017</v>
          </cell>
          <cell r="D43">
            <v>1.02</v>
          </cell>
          <cell r="H43">
            <v>0.03</v>
          </cell>
          <cell r="I43">
            <v>0.7</v>
          </cell>
          <cell r="J43">
            <v>0.3</v>
          </cell>
          <cell r="M43">
            <v>1.02</v>
          </cell>
          <cell r="P43">
            <v>17705</v>
          </cell>
          <cell r="Q43">
            <v>2014</v>
          </cell>
          <cell r="T43">
            <v>2550579</v>
          </cell>
          <cell r="U43">
            <v>2013</v>
          </cell>
          <cell r="V43">
            <v>681195</v>
          </cell>
          <cell r="W43">
            <v>2014</v>
          </cell>
          <cell r="X43">
            <v>7997218</v>
          </cell>
          <cell r="Y43">
            <v>2016</v>
          </cell>
        </row>
        <row r="44">
          <cell r="B44" t="str">
            <v>FJI</v>
          </cell>
          <cell r="C44">
            <v>2016</v>
          </cell>
          <cell r="D44">
            <v>0.73</v>
          </cell>
          <cell r="E44">
            <v>0.03</v>
          </cell>
          <cell r="F44">
            <v>0.23</v>
          </cell>
          <cell r="G44">
            <v>0.14000000000000001</v>
          </cell>
          <cell r="J44">
            <v>0.01</v>
          </cell>
          <cell r="K44">
            <v>0.11</v>
          </cell>
          <cell r="L44">
            <v>0.22</v>
          </cell>
          <cell r="M44">
            <v>0.64</v>
          </cell>
          <cell r="P44">
            <v>106084</v>
          </cell>
          <cell r="Q44">
            <v>2016</v>
          </cell>
          <cell r="R44">
            <v>19174</v>
          </cell>
          <cell r="S44">
            <v>2016</v>
          </cell>
          <cell r="T44">
            <v>26394</v>
          </cell>
          <cell r="U44">
            <v>2015</v>
          </cell>
          <cell r="Z44">
            <v>350</v>
          </cell>
          <cell r="AA44">
            <v>2010</v>
          </cell>
        </row>
        <row r="45">
          <cell r="B45" t="str">
            <v>GAB</v>
          </cell>
          <cell r="C45">
            <v>2014</v>
          </cell>
          <cell r="D45">
            <v>0.2</v>
          </cell>
          <cell r="F45">
            <v>0.06</v>
          </cell>
          <cell r="K45">
            <v>0.14000000000000001</v>
          </cell>
          <cell r="M45">
            <v>0.06</v>
          </cell>
          <cell r="Z45">
            <v>483000</v>
          </cell>
          <cell r="AA45">
            <v>2014</v>
          </cell>
        </row>
        <row r="46">
          <cell r="B46" t="str">
            <v>GMB</v>
          </cell>
          <cell r="T46">
            <v>50100</v>
          </cell>
          <cell r="U46">
            <v>2015</v>
          </cell>
          <cell r="V46">
            <v>120000</v>
          </cell>
          <cell r="W46">
            <v>2016</v>
          </cell>
        </row>
        <row r="47">
          <cell r="B47" t="str">
            <v>GEO</v>
          </cell>
          <cell r="C47">
            <v>2013</v>
          </cell>
          <cell r="D47">
            <v>6.59</v>
          </cell>
          <cell r="F47">
            <v>1.08</v>
          </cell>
          <cell r="G47">
            <v>4.32</v>
          </cell>
          <cell r="K47">
            <v>1.17</v>
          </cell>
          <cell r="L47">
            <v>0.02</v>
          </cell>
          <cell r="M47">
            <v>5.42</v>
          </cell>
          <cell r="P47">
            <v>1532982.8</v>
          </cell>
          <cell r="Q47">
            <v>2017</v>
          </cell>
          <cell r="R47">
            <v>732067</v>
          </cell>
          <cell r="S47">
            <v>2017</v>
          </cell>
          <cell r="Z47">
            <v>1661421</v>
          </cell>
          <cell r="AA47">
            <v>2013</v>
          </cell>
        </row>
        <row r="48">
          <cell r="B48" t="str">
            <v>GHA</v>
          </cell>
          <cell r="C48">
            <v>2016</v>
          </cell>
          <cell r="D48">
            <v>0.45</v>
          </cell>
          <cell r="F48">
            <v>0.05</v>
          </cell>
          <cell r="H48">
            <v>0.11</v>
          </cell>
          <cell r="I48">
            <v>0.01</v>
          </cell>
          <cell r="K48">
            <v>0.09</v>
          </cell>
          <cell r="L48">
            <v>0.19</v>
          </cell>
          <cell r="M48">
            <v>0.42</v>
          </cell>
          <cell r="P48">
            <v>939022</v>
          </cell>
          <cell r="Q48">
            <v>2016</v>
          </cell>
          <cell r="V48">
            <v>1700000</v>
          </cell>
          <cell r="W48">
            <v>2014</v>
          </cell>
          <cell r="X48">
            <v>164785</v>
          </cell>
          <cell r="Y48">
            <v>2016</v>
          </cell>
          <cell r="Z48">
            <v>6700000</v>
          </cell>
          <cell r="AA48">
            <v>2014</v>
          </cell>
        </row>
        <row r="49">
          <cell r="B49" t="str">
            <v>GRD</v>
          </cell>
          <cell r="C49">
            <v>2015</v>
          </cell>
          <cell r="D49">
            <v>1.96</v>
          </cell>
          <cell r="E49">
            <v>0.39</v>
          </cell>
          <cell r="F49">
            <v>0.41</v>
          </cell>
          <cell r="G49">
            <v>0.02</v>
          </cell>
          <cell r="H49">
            <v>0.12</v>
          </cell>
          <cell r="I49">
            <v>0.76</v>
          </cell>
          <cell r="J49">
            <v>0.02</v>
          </cell>
          <cell r="L49">
            <v>0.24</v>
          </cell>
          <cell r="M49">
            <v>1.96</v>
          </cell>
          <cell r="N49">
            <v>7318</v>
          </cell>
          <cell r="O49">
            <v>2015</v>
          </cell>
          <cell r="P49">
            <v>202</v>
          </cell>
          <cell r="Q49">
            <v>2015</v>
          </cell>
          <cell r="R49">
            <v>206</v>
          </cell>
          <cell r="S49">
            <v>2015</v>
          </cell>
          <cell r="T49">
            <v>4532</v>
          </cell>
          <cell r="U49">
            <v>2015</v>
          </cell>
          <cell r="V49">
            <v>7051</v>
          </cell>
          <cell r="W49">
            <v>2012</v>
          </cell>
          <cell r="X49">
            <v>33392</v>
          </cell>
          <cell r="Y49">
            <v>2015</v>
          </cell>
        </row>
        <row r="50">
          <cell r="B50" t="str">
            <v>GTM</v>
          </cell>
          <cell r="C50">
            <v>2013</v>
          </cell>
          <cell r="D50">
            <v>0.35</v>
          </cell>
          <cell r="E50">
            <v>0.13</v>
          </cell>
          <cell r="F50">
            <v>0.01</v>
          </cell>
          <cell r="G50">
            <v>0.01</v>
          </cell>
          <cell r="H50">
            <v>0.14000000000000001</v>
          </cell>
          <cell r="J50">
            <v>0.05</v>
          </cell>
          <cell r="L50">
            <v>0.02</v>
          </cell>
          <cell r="M50">
            <v>0.35</v>
          </cell>
          <cell r="N50">
            <v>5150673</v>
          </cell>
          <cell r="O50">
            <v>2013</v>
          </cell>
          <cell r="T50">
            <v>196341</v>
          </cell>
          <cell r="U50">
            <v>2013</v>
          </cell>
          <cell r="V50">
            <v>3052000</v>
          </cell>
          <cell r="W50">
            <v>2011</v>
          </cell>
        </row>
        <row r="51">
          <cell r="B51" t="str">
            <v>GIN</v>
          </cell>
          <cell r="C51">
            <v>2015</v>
          </cell>
          <cell r="D51">
            <v>1.17</v>
          </cell>
          <cell r="E51">
            <v>0.06</v>
          </cell>
          <cell r="I51">
            <v>0.22</v>
          </cell>
          <cell r="K51">
            <v>0.9</v>
          </cell>
          <cell r="M51">
            <v>1.1200000000000001</v>
          </cell>
          <cell r="N51">
            <v>10000</v>
          </cell>
          <cell r="O51">
            <v>2012</v>
          </cell>
          <cell r="X51">
            <v>24005</v>
          </cell>
          <cell r="Y51">
            <v>2013</v>
          </cell>
        </row>
        <row r="52">
          <cell r="B52" t="str">
            <v>GNB</v>
          </cell>
          <cell r="C52">
            <v>2015</v>
          </cell>
          <cell r="D52">
            <v>0.02</v>
          </cell>
          <cell r="H52">
            <v>0.01</v>
          </cell>
          <cell r="K52">
            <v>0.01</v>
          </cell>
          <cell r="M52">
            <v>0.01</v>
          </cell>
          <cell r="R52">
            <v>800</v>
          </cell>
          <cell r="S52">
            <v>2015</v>
          </cell>
          <cell r="V52">
            <v>145000</v>
          </cell>
          <cell r="W52">
            <v>2014</v>
          </cell>
        </row>
        <row r="53">
          <cell r="B53" t="str">
            <v>HTI</v>
          </cell>
          <cell r="N53">
            <v>86234</v>
          </cell>
          <cell r="O53">
            <v>2014</v>
          </cell>
          <cell r="T53">
            <v>300000</v>
          </cell>
          <cell r="U53">
            <v>2014</v>
          </cell>
          <cell r="V53">
            <v>818828</v>
          </cell>
          <cell r="W53">
            <v>2013</v>
          </cell>
          <cell r="X53">
            <v>450000</v>
          </cell>
          <cell r="Y53">
            <v>2009</v>
          </cell>
          <cell r="Z53">
            <v>1399173</v>
          </cell>
          <cell r="AA53">
            <v>2013</v>
          </cell>
        </row>
        <row r="54">
          <cell r="B54" t="str">
            <v>HND</v>
          </cell>
          <cell r="C54">
            <v>2018</v>
          </cell>
          <cell r="D54">
            <v>0.43</v>
          </cell>
          <cell r="E54">
            <v>0.11</v>
          </cell>
          <cell r="F54">
            <v>0.01</v>
          </cell>
          <cell r="H54">
            <v>0.02</v>
          </cell>
          <cell r="I54">
            <v>0.03</v>
          </cell>
          <cell r="J54">
            <v>7.0000000000000007E-2</v>
          </cell>
          <cell r="K54">
            <v>0.04</v>
          </cell>
          <cell r="L54">
            <v>0.15</v>
          </cell>
          <cell r="M54">
            <v>0.43</v>
          </cell>
          <cell r="N54">
            <v>240530</v>
          </cell>
          <cell r="O54">
            <v>2015</v>
          </cell>
          <cell r="V54">
            <v>1460000</v>
          </cell>
          <cell r="W54">
            <v>2011</v>
          </cell>
          <cell r="X54">
            <v>13000</v>
          </cell>
          <cell r="Y54">
            <v>2011</v>
          </cell>
        </row>
        <row r="55">
          <cell r="B55" t="str">
            <v>HUN</v>
          </cell>
          <cell r="C55">
            <v>2017</v>
          </cell>
          <cell r="D55">
            <v>1.87</v>
          </cell>
          <cell r="F55">
            <v>1.08</v>
          </cell>
          <cell r="G55">
            <v>0.02</v>
          </cell>
          <cell r="I55">
            <v>0.75</v>
          </cell>
          <cell r="J55">
            <v>0.02</v>
          </cell>
          <cell r="M55">
            <v>1.87</v>
          </cell>
          <cell r="N55">
            <v>26000</v>
          </cell>
          <cell r="O55">
            <v>2008</v>
          </cell>
          <cell r="P55">
            <v>269000</v>
          </cell>
          <cell r="Q55">
            <v>2009</v>
          </cell>
          <cell r="X55">
            <v>329000</v>
          </cell>
          <cell r="Y55">
            <v>2015</v>
          </cell>
        </row>
        <row r="56">
          <cell r="B56" t="str">
            <v>IND</v>
          </cell>
          <cell r="C56">
            <v>2016</v>
          </cell>
          <cell r="D56">
            <v>1.5</v>
          </cell>
          <cell r="G56">
            <v>0.06</v>
          </cell>
          <cell r="H56">
            <v>0.06</v>
          </cell>
          <cell r="I56">
            <v>0.25</v>
          </cell>
          <cell r="J56">
            <v>1.02</v>
          </cell>
          <cell r="K56">
            <v>0.09</v>
          </cell>
          <cell r="L56">
            <v>0.02</v>
          </cell>
          <cell r="M56">
            <v>1.5</v>
          </cell>
          <cell r="N56">
            <v>1946858</v>
          </cell>
          <cell r="O56">
            <v>2016</v>
          </cell>
          <cell r="R56">
            <v>24243753</v>
          </cell>
          <cell r="S56">
            <v>2016</v>
          </cell>
          <cell r="T56">
            <v>232000000</v>
          </cell>
          <cell r="U56">
            <v>2016</v>
          </cell>
          <cell r="V56">
            <v>104500000</v>
          </cell>
          <cell r="W56">
            <v>2014</v>
          </cell>
          <cell r="X56">
            <v>115400000</v>
          </cell>
          <cell r="Y56">
            <v>2017</v>
          </cell>
        </row>
        <row r="57">
          <cell r="B57" t="str">
            <v>IDN</v>
          </cell>
          <cell r="C57">
            <v>2016</v>
          </cell>
          <cell r="D57">
            <v>0.72</v>
          </cell>
          <cell r="E57">
            <v>7.0000000000000007E-2</v>
          </cell>
          <cell r="F57">
            <v>0.02</v>
          </cell>
          <cell r="J57">
            <v>0.34</v>
          </cell>
          <cell r="K57">
            <v>0.2</v>
          </cell>
          <cell r="L57">
            <v>0.09</v>
          </cell>
          <cell r="M57">
            <v>0.52</v>
          </cell>
          <cell r="N57">
            <v>39000904</v>
          </cell>
          <cell r="O57">
            <v>2018</v>
          </cell>
          <cell r="R57">
            <v>30000</v>
          </cell>
          <cell r="S57">
            <v>2016</v>
          </cell>
          <cell r="T57">
            <v>60450000</v>
          </cell>
          <cell r="U57">
            <v>2016</v>
          </cell>
          <cell r="V57">
            <v>1400000</v>
          </cell>
          <cell r="W57">
            <v>2011</v>
          </cell>
          <cell r="X57">
            <v>416559</v>
          </cell>
          <cell r="Y57">
            <v>2013</v>
          </cell>
          <cell r="Z57">
            <v>92400000</v>
          </cell>
          <cell r="AA57">
            <v>2016</v>
          </cell>
        </row>
        <row r="58">
          <cell r="B58" t="str">
            <v>IRN</v>
          </cell>
          <cell r="P58">
            <v>6100000</v>
          </cell>
          <cell r="Q58">
            <v>2009</v>
          </cell>
          <cell r="V58">
            <v>3000</v>
          </cell>
          <cell r="W58">
            <v>2011</v>
          </cell>
        </row>
        <row r="59">
          <cell r="B59" t="str">
            <v>IRQ</v>
          </cell>
          <cell r="C59">
            <v>2013</v>
          </cell>
          <cell r="D59">
            <v>2.56</v>
          </cell>
          <cell r="F59">
            <v>0.36</v>
          </cell>
          <cell r="J59">
            <v>2.2000000000000002</v>
          </cell>
          <cell r="M59">
            <v>2.56</v>
          </cell>
          <cell r="P59">
            <v>877520</v>
          </cell>
          <cell r="Q59">
            <v>2013</v>
          </cell>
          <cell r="V59">
            <v>555000</v>
          </cell>
          <cell r="W59">
            <v>2011</v>
          </cell>
        </row>
        <row r="60">
          <cell r="B60" t="str">
            <v>JAM</v>
          </cell>
          <cell r="C60">
            <v>2018</v>
          </cell>
          <cell r="D60">
            <v>1.51</v>
          </cell>
          <cell r="E60">
            <v>0.37</v>
          </cell>
          <cell r="H60">
            <v>0.3</v>
          </cell>
          <cell r="J60">
            <v>0.04</v>
          </cell>
          <cell r="K60">
            <v>0.51</v>
          </cell>
          <cell r="L60">
            <v>0.27</v>
          </cell>
          <cell r="M60">
            <v>1.23</v>
          </cell>
          <cell r="N60">
            <v>265285</v>
          </cell>
          <cell r="O60">
            <v>2018</v>
          </cell>
          <cell r="V60">
            <v>172300</v>
          </cell>
          <cell r="W60">
            <v>2018</v>
          </cell>
        </row>
        <row r="61">
          <cell r="B61" t="str">
            <v>JOR</v>
          </cell>
          <cell r="C61">
            <v>2015</v>
          </cell>
          <cell r="D61">
            <v>1.0900000000000001</v>
          </cell>
          <cell r="F61">
            <v>0.4</v>
          </cell>
          <cell r="H61">
            <v>0.02</v>
          </cell>
          <cell r="J61">
            <v>0.01</v>
          </cell>
          <cell r="K61">
            <v>0.67</v>
          </cell>
          <cell r="M61">
            <v>0.48</v>
          </cell>
          <cell r="P61">
            <v>250000</v>
          </cell>
          <cell r="Q61">
            <v>2011</v>
          </cell>
          <cell r="T61">
            <v>40000</v>
          </cell>
          <cell r="U61">
            <v>2014</v>
          </cell>
          <cell r="V61">
            <v>184698</v>
          </cell>
          <cell r="W61">
            <v>2014</v>
          </cell>
          <cell r="X61">
            <v>42000</v>
          </cell>
          <cell r="Y61">
            <v>2011</v>
          </cell>
        </row>
        <row r="62">
          <cell r="B62" t="str">
            <v>KAZ</v>
          </cell>
          <cell r="C62">
            <v>2017</v>
          </cell>
          <cell r="D62">
            <v>1.71</v>
          </cell>
          <cell r="E62">
            <v>0.04</v>
          </cell>
          <cell r="F62">
            <v>0.44</v>
          </cell>
          <cell r="G62">
            <v>1.07</v>
          </cell>
          <cell r="I62">
            <v>0.03</v>
          </cell>
          <cell r="L62">
            <v>0.13</v>
          </cell>
          <cell r="M62">
            <v>1.71</v>
          </cell>
          <cell r="N62">
            <v>179603</v>
          </cell>
          <cell r="O62">
            <v>2017</v>
          </cell>
          <cell r="P62">
            <v>539600</v>
          </cell>
          <cell r="Q62">
            <v>2017</v>
          </cell>
          <cell r="R62">
            <v>2112751</v>
          </cell>
          <cell r="S62">
            <v>2017</v>
          </cell>
          <cell r="X62">
            <v>94500</v>
          </cell>
          <cell r="Y62">
            <v>2014</v>
          </cell>
        </row>
        <row r="63">
          <cell r="B63" t="str">
            <v>KEN</v>
          </cell>
          <cell r="C63">
            <v>2017</v>
          </cell>
          <cell r="D63">
            <v>0.39</v>
          </cell>
          <cell r="E63">
            <v>0.1</v>
          </cell>
          <cell r="F63">
            <v>7.0000000000000007E-2</v>
          </cell>
          <cell r="G63">
            <v>0.1</v>
          </cell>
          <cell r="H63">
            <v>0.02</v>
          </cell>
          <cell r="I63">
            <v>0.03</v>
          </cell>
          <cell r="J63">
            <v>0.06</v>
          </cell>
          <cell r="K63">
            <v>0.02</v>
          </cell>
          <cell r="M63">
            <v>0.38</v>
          </cell>
          <cell r="N63">
            <v>2018</v>
          </cell>
          <cell r="O63">
            <v>2016</v>
          </cell>
          <cell r="P63">
            <v>507190</v>
          </cell>
          <cell r="Q63">
            <v>2016</v>
          </cell>
          <cell r="R63">
            <v>310000</v>
          </cell>
          <cell r="S63">
            <v>2017</v>
          </cell>
          <cell r="T63">
            <v>333000</v>
          </cell>
          <cell r="U63">
            <v>2016</v>
          </cell>
          <cell r="V63">
            <v>907659</v>
          </cell>
          <cell r="W63">
            <v>2016</v>
          </cell>
          <cell r="X63">
            <v>300000</v>
          </cell>
          <cell r="Y63">
            <v>2016</v>
          </cell>
          <cell r="Z63">
            <v>932310</v>
          </cell>
          <cell r="AA63">
            <v>2016</v>
          </cell>
        </row>
        <row r="64">
          <cell r="B64" t="str">
            <v>KIR</v>
          </cell>
          <cell r="C64">
            <v>2016</v>
          </cell>
          <cell r="D64">
            <v>1.29</v>
          </cell>
          <cell r="G64">
            <v>1.29</v>
          </cell>
          <cell r="M64">
            <v>1.29</v>
          </cell>
          <cell r="R64">
            <v>6698</v>
          </cell>
          <cell r="S64">
            <v>2015</v>
          </cell>
        </row>
        <row r="65">
          <cell r="B65" t="str">
            <v>XKX</v>
          </cell>
          <cell r="C65">
            <v>2018</v>
          </cell>
          <cell r="D65">
            <v>4.57</v>
          </cell>
          <cell r="F65">
            <v>2.11</v>
          </cell>
          <cell r="G65">
            <v>2.42</v>
          </cell>
          <cell r="L65">
            <v>0.04</v>
          </cell>
          <cell r="M65">
            <v>4.57</v>
          </cell>
          <cell r="P65">
            <v>25943</v>
          </cell>
          <cell r="Q65">
            <v>2015</v>
          </cell>
          <cell r="R65">
            <v>126215</v>
          </cell>
          <cell r="S65">
            <v>2017</v>
          </cell>
        </row>
        <row r="66">
          <cell r="B66" t="str">
            <v>KWT</v>
          </cell>
          <cell r="C66">
            <v>2010</v>
          </cell>
          <cell r="D66">
            <v>0.8</v>
          </cell>
          <cell r="E66">
            <v>0.02</v>
          </cell>
          <cell r="F66">
            <v>0.19</v>
          </cell>
          <cell r="G66">
            <v>0.18</v>
          </cell>
          <cell r="K66">
            <v>0.41</v>
          </cell>
          <cell r="M66">
            <v>0.8</v>
          </cell>
        </row>
        <row r="67">
          <cell r="B67" t="str">
            <v>KGZ</v>
          </cell>
          <cell r="C67">
            <v>2018</v>
          </cell>
          <cell r="D67">
            <v>2.6</v>
          </cell>
          <cell r="F67">
            <v>1.2</v>
          </cell>
          <cell r="G67">
            <v>1.2</v>
          </cell>
          <cell r="H67">
            <v>0.08</v>
          </cell>
          <cell r="I67">
            <v>0.01</v>
          </cell>
          <cell r="J67">
            <v>0.02</v>
          </cell>
          <cell r="L67">
            <v>0.09</v>
          </cell>
          <cell r="M67">
            <v>2.6</v>
          </cell>
          <cell r="P67">
            <v>291846</v>
          </cell>
          <cell r="Q67">
            <v>2017</v>
          </cell>
          <cell r="T67">
            <v>800</v>
          </cell>
          <cell r="U67">
            <v>2012</v>
          </cell>
          <cell r="V67">
            <v>400000</v>
          </cell>
          <cell r="W67">
            <v>2012</v>
          </cell>
        </row>
        <row r="68">
          <cell r="B68" t="str">
            <v>LAO</v>
          </cell>
          <cell r="C68">
            <v>2011</v>
          </cell>
          <cell r="D68">
            <v>0.04</v>
          </cell>
          <cell r="J68">
            <v>0.03</v>
          </cell>
          <cell r="L68">
            <v>0.01</v>
          </cell>
          <cell r="M68">
            <v>0.04</v>
          </cell>
          <cell r="V68">
            <v>27128</v>
          </cell>
          <cell r="W68">
            <v>2015</v>
          </cell>
          <cell r="Z68">
            <v>488813</v>
          </cell>
          <cell r="AA68">
            <v>2015</v>
          </cell>
        </row>
        <row r="69">
          <cell r="B69" t="str">
            <v>LVA</v>
          </cell>
          <cell r="C69">
            <v>2017</v>
          </cell>
          <cell r="D69">
            <v>1.03</v>
          </cell>
          <cell r="F69">
            <v>0.79</v>
          </cell>
          <cell r="G69">
            <v>0.22</v>
          </cell>
          <cell r="I69">
            <v>0.02</v>
          </cell>
          <cell r="M69">
            <v>1.03</v>
          </cell>
          <cell r="P69">
            <v>319900</v>
          </cell>
          <cell r="Q69">
            <v>2017</v>
          </cell>
          <cell r="X69">
            <v>2211</v>
          </cell>
          <cell r="Y69">
            <v>2015</v>
          </cell>
          <cell r="Z69">
            <v>444350</v>
          </cell>
          <cell r="AA69">
            <v>2012</v>
          </cell>
        </row>
        <row r="70">
          <cell r="B70" t="str">
            <v>LBN</v>
          </cell>
          <cell r="C70">
            <v>2013</v>
          </cell>
          <cell r="D70">
            <v>0.99</v>
          </cell>
          <cell r="F70">
            <v>0.17</v>
          </cell>
          <cell r="G70">
            <v>0.03</v>
          </cell>
          <cell r="K70">
            <v>0.56999999999999995</v>
          </cell>
          <cell r="L70">
            <v>0.21</v>
          </cell>
          <cell r="M70">
            <v>0.42</v>
          </cell>
        </row>
        <row r="71">
          <cell r="B71" t="str">
            <v>LSO</v>
          </cell>
          <cell r="C71">
            <v>2017</v>
          </cell>
          <cell r="D71">
            <v>5.4</v>
          </cell>
          <cell r="G71">
            <v>2.2400000000000002</v>
          </cell>
          <cell r="H71">
            <v>0.61</v>
          </cell>
          <cell r="I71">
            <v>0.31</v>
          </cell>
          <cell r="J71">
            <v>0.01</v>
          </cell>
          <cell r="K71">
            <v>0.24</v>
          </cell>
          <cell r="L71">
            <v>2</v>
          </cell>
          <cell r="M71">
            <v>5.4</v>
          </cell>
          <cell r="P71">
            <v>117600</v>
          </cell>
          <cell r="Q71">
            <v>2015</v>
          </cell>
          <cell r="R71">
            <v>83751</v>
          </cell>
          <cell r="S71">
            <v>2017</v>
          </cell>
          <cell r="T71">
            <v>5512</v>
          </cell>
          <cell r="U71">
            <v>2017</v>
          </cell>
          <cell r="V71">
            <v>295723</v>
          </cell>
          <cell r="W71">
            <v>2017</v>
          </cell>
          <cell r="X71">
            <v>80500</v>
          </cell>
          <cell r="Y71">
            <v>2017</v>
          </cell>
          <cell r="Z71">
            <v>10657</v>
          </cell>
          <cell r="AA71">
            <v>2017</v>
          </cell>
        </row>
        <row r="72">
          <cell r="B72" t="str">
            <v>LBR</v>
          </cell>
          <cell r="C72">
            <v>2016</v>
          </cell>
          <cell r="D72">
            <v>1.7</v>
          </cell>
          <cell r="F72">
            <v>0.1</v>
          </cell>
          <cell r="H72">
            <v>0.64</v>
          </cell>
          <cell r="I72">
            <v>0.64</v>
          </cell>
          <cell r="J72">
            <v>0.32</v>
          </cell>
          <cell r="M72">
            <v>1.7</v>
          </cell>
          <cell r="P72">
            <v>41086</v>
          </cell>
          <cell r="Q72">
            <v>2016</v>
          </cell>
          <cell r="T72">
            <v>30000</v>
          </cell>
          <cell r="U72">
            <v>2015</v>
          </cell>
          <cell r="V72">
            <v>648000</v>
          </cell>
          <cell r="W72">
            <v>2011</v>
          </cell>
          <cell r="X72">
            <v>58581</v>
          </cell>
          <cell r="Y72">
            <v>2016</v>
          </cell>
        </row>
        <row r="73">
          <cell r="B73" t="str">
            <v>LTU</v>
          </cell>
          <cell r="C73">
            <v>2016</v>
          </cell>
          <cell r="D73">
            <v>0.43</v>
          </cell>
          <cell r="F73">
            <v>0.37</v>
          </cell>
          <cell r="H73">
            <v>0.04</v>
          </cell>
          <cell r="I73">
            <v>0.03</v>
          </cell>
          <cell r="M73">
            <v>0.43</v>
          </cell>
          <cell r="P73">
            <v>110701</v>
          </cell>
          <cell r="Q73">
            <v>2015</v>
          </cell>
          <cell r="V73">
            <v>75839</v>
          </cell>
          <cell r="W73">
            <v>2015</v>
          </cell>
          <cell r="X73">
            <v>3076</v>
          </cell>
          <cell r="Y73">
            <v>2015</v>
          </cell>
        </row>
        <row r="74">
          <cell r="B74" t="str">
            <v>MDG</v>
          </cell>
          <cell r="C74">
            <v>2018</v>
          </cell>
          <cell r="D74">
            <v>0.26</v>
          </cell>
          <cell r="E74">
            <v>0.16</v>
          </cell>
          <cell r="F74">
            <v>0.03</v>
          </cell>
          <cell r="H74">
            <v>0.03</v>
          </cell>
          <cell r="I74">
            <v>0.03</v>
          </cell>
          <cell r="J74">
            <v>0.01</v>
          </cell>
          <cell r="M74">
            <v>0.26</v>
          </cell>
          <cell r="N74">
            <v>187200</v>
          </cell>
          <cell r="O74">
            <v>2016</v>
          </cell>
          <cell r="P74">
            <v>6660</v>
          </cell>
          <cell r="Q74">
            <v>2016</v>
          </cell>
          <cell r="T74">
            <v>115339</v>
          </cell>
          <cell r="U74">
            <v>2016</v>
          </cell>
          <cell r="V74">
            <v>237000</v>
          </cell>
          <cell r="W74">
            <v>2011</v>
          </cell>
          <cell r="X74">
            <v>377179</v>
          </cell>
          <cell r="Y74">
            <v>2013</v>
          </cell>
        </row>
        <row r="75">
          <cell r="B75" t="str">
            <v>MWI</v>
          </cell>
          <cell r="C75">
            <v>2016</v>
          </cell>
          <cell r="D75">
            <v>1.49</v>
          </cell>
          <cell r="H75">
            <v>1.0900000000000001</v>
          </cell>
          <cell r="I75">
            <v>0.41</v>
          </cell>
          <cell r="M75">
            <v>1.49</v>
          </cell>
          <cell r="P75">
            <v>782561</v>
          </cell>
          <cell r="Q75">
            <v>2016</v>
          </cell>
          <cell r="T75">
            <v>125717</v>
          </cell>
          <cell r="U75">
            <v>2015</v>
          </cell>
          <cell r="V75">
            <v>2230000</v>
          </cell>
          <cell r="W75">
            <v>2016</v>
          </cell>
          <cell r="X75">
            <v>2623702</v>
          </cell>
          <cell r="Y75">
            <v>2014</v>
          </cell>
        </row>
        <row r="76">
          <cell r="B76" t="str">
            <v>MYS</v>
          </cell>
          <cell r="C76">
            <v>2016</v>
          </cell>
          <cell r="D76">
            <v>0.76</v>
          </cell>
          <cell r="F76">
            <v>0.52</v>
          </cell>
          <cell r="G76">
            <v>0.05</v>
          </cell>
          <cell r="H76">
            <v>0.14000000000000001</v>
          </cell>
          <cell r="L76">
            <v>0.05</v>
          </cell>
          <cell r="M76">
            <v>0.76</v>
          </cell>
          <cell r="P76">
            <v>7400000</v>
          </cell>
          <cell r="Q76">
            <v>2016</v>
          </cell>
          <cell r="R76">
            <v>141493</v>
          </cell>
          <cell r="S76">
            <v>2015</v>
          </cell>
        </row>
        <row r="77">
          <cell r="B77" t="str">
            <v>MDV</v>
          </cell>
          <cell r="C77">
            <v>2011</v>
          </cell>
          <cell r="D77">
            <v>1.07</v>
          </cell>
          <cell r="F77">
            <v>0.02</v>
          </cell>
          <cell r="G77">
            <v>0.9</v>
          </cell>
          <cell r="K77">
            <v>0.09</v>
          </cell>
          <cell r="L77">
            <v>0.06</v>
          </cell>
          <cell r="M77">
            <v>0.98</v>
          </cell>
        </row>
        <row r="78">
          <cell r="B78" t="str">
            <v>MLI</v>
          </cell>
          <cell r="C78">
            <v>2016</v>
          </cell>
          <cell r="D78">
            <v>0.6</v>
          </cell>
          <cell r="F78">
            <v>0.11</v>
          </cell>
          <cell r="H78">
            <v>0.06</v>
          </cell>
          <cell r="I78">
            <v>7.0000000000000007E-2</v>
          </cell>
          <cell r="J78">
            <v>0.31</v>
          </cell>
          <cell r="L78">
            <v>0.06</v>
          </cell>
          <cell r="M78">
            <v>0.6</v>
          </cell>
          <cell r="P78">
            <v>321790</v>
          </cell>
          <cell r="Q78">
            <v>2016</v>
          </cell>
          <cell r="T78">
            <v>427048</v>
          </cell>
          <cell r="U78">
            <v>2016</v>
          </cell>
          <cell r="V78">
            <v>479465</v>
          </cell>
          <cell r="W78">
            <v>2016</v>
          </cell>
          <cell r="X78">
            <v>91038</v>
          </cell>
          <cell r="Y78">
            <v>2016</v>
          </cell>
        </row>
        <row r="79">
          <cell r="B79" t="str">
            <v>MHL</v>
          </cell>
        </row>
        <row r="80">
          <cell r="B80" t="str">
            <v>MRT</v>
          </cell>
          <cell r="C80">
            <v>2016</v>
          </cell>
          <cell r="D80">
            <v>3.43</v>
          </cell>
          <cell r="E80">
            <v>0.03</v>
          </cell>
          <cell r="H80">
            <v>0.6</v>
          </cell>
          <cell r="J80">
            <v>2.2799999999999998</v>
          </cell>
          <cell r="K80">
            <v>0.52</v>
          </cell>
          <cell r="M80">
            <v>2.91</v>
          </cell>
          <cell r="N80">
            <v>31110</v>
          </cell>
          <cell r="O80">
            <v>2016</v>
          </cell>
          <cell r="T80">
            <v>300000</v>
          </cell>
          <cell r="U80">
            <v>2015</v>
          </cell>
          <cell r="V80">
            <v>346164</v>
          </cell>
          <cell r="W80">
            <v>2016</v>
          </cell>
          <cell r="Z80">
            <v>603</v>
          </cell>
          <cell r="AA80">
            <v>2015</v>
          </cell>
        </row>
        <row r="81">
          <cell r="B81" t="str">
            <v>MUS</v>
          </cell>
          <cell r="C81">
            <v>2015</v>
          </cell>
          <cell r="D81">
            <v>3.46</v>
          </cell>
          <cell r="F81">
            <v>0.25</v>
          </cell>
          <cell r="G81">
            <v>3.18</v>
          </cell>
          <cell r="J81">
            <v>0.02</v>
          </cell>
          <cell r="M81">
            <v>3.46</v>
          </cell>
          <cell r="P81">
            <v>19619</v>
          </cell>
          <cell r="Q81">
            <v>2016</v>
          </cell>
          <cell r="R81">
            <v>195591</v>
          </cell>
          <cell r="S81">
            <v>2016</v>
          </cell>
          <cell r="T81">
            <v>3000</v>
          </cell>
          <cell r="U81">
            <v>2014</v>
          </cell>
          <cell r="X81">
            <v>1107</v>
          </cell>
          <cell r="Y81">
            <v>2009</v>
          </cell>
          <cell r="Z81">
            <v>517</v>
          </cell>
          <cell r="AA81">
            <v>2009</v>
          </cell>
        </row>
        <row r="82">
          <cell r="B82" t="str">
            <v>MEX</v>
          </cell>
          <cell r="C82">
            <v>2015</v>
          </cell>
          <cell r="D82">
            <v>1.22</v>
          </cell>
          <cell r="F82">
            <v>0.19</v>
          </cell>
          <cell r="G82">
            <v>0.21</v>
          </cell>
          <cell r="I82">
            <v>0.01</v>
          </cell>
          <cell r="J82">
            <v>0.06</v>
          </cell>
          <cell r="K82">
            <v>0.61</v>
          </cell>
          <cell r="L82">
            <v>0.12</v>
          </cell>
          <cell r="M82">
            <v>0.68</v>
          </cell>
          <cell r="R82">
            <v>5701662</v>
          </cell>
          <cell r="S82">
            <v>2015</v>
          </cell>
          <cell r="T82">
            <v>6432853</v>
          </cell>
          <cell r="U82">
            <v>2015</v>
          </cell>
          <cell r="V82">
            <v>5164000</v>
          </cell>
          <cell r="W82">
            <v>2011</v>
          </cell>
          <cell r="X82">
            <v>1440640</v>
          </cell>
          <cell r="Y82">
            <v>2014</v>
          </cell>
          <cell r="Z82">
            <v>2984153</v>
          </cell>
          <cell r="AA82">
            <v>2015</v>
          </cell>
        </row>
        <row r="83">
          <cell r="B83" t="str">
            <v>MDA</v>
          </cell>
          <cell r="C83">
            <v>2017</v>
          </cell>
          <cell r="D83">
            <v>1.1100000000000001</v>
          </cell>
          <cell r="F83">
            <v>0.77</v>
          </cell>
          <cell r="G83">
            <v>0.34</v>
          </cell>
          <cell r="M83">
            <v>1.1100000000000001</v>
          </cell>
          <cell r="P83">
            <v>159000</v>
          </cell>
          <cell r="Q83">
            <v>2017</v>
          </cell>
          <cell r="R83">
            <v>6222</v>
          </cell>
          <cell r="S83">
            <v>2015</v>
          </cell>
          <cell r="X83">
            <v>112000</v>
          </cell>
          <cell r="Y83">
            <v>2009</v>
          </cell>
        </row>
        <row r="84">
          <cell r="B84" t="str">
            <v>MNG</v>
          </cell>
          <cell r="C84">
            <v>2016</v>
          </cell>
          <cell r="D84">
            <v>2.52</v>
          </cell>
          <cell r="F84">
            <v>1.72</v>
          </cell>
          <cell r="G84">
            <v>0.6</v>
          </cell>
          <cell r="J84">
            <v>0.08</v>
          </cell>
          <cell r="L84">
            <v>0.13</v>
          </cell>
          <cell r="M84">
            <v>2.52</v>
          </cell>
          <cell r="P84">
            <v>960300</v>
          </cell>
          <cell r="Q84">
            <v>2013</v>
          </cell>
          <cell r="R84">
            <v>63423</v>
          </cell>
          <cell r="S84">
            <v>2013</v>
          </cell>
          <cell r="T84">
            <v>343700</v>
          </cell>
          <cell r="U84">
            <v>2013</v>
          </cell>
          <cell r="V84">
            <v>174600</v>
          </cell>
          <cell r="W84">
            <v>2013</v>
          </cell>
          <cell r="Z84">
            <v>103000</v>
          </cell>
          <cell r="AA84">
            <v>2013</v>
          </cell>
        </row>
        <row r="85">
          <cell r="B85" t="str">
            <v>MNE</v>
          </cell>
          <cell r="C85">
            <v>2018</v>
          </cell>
          <cell r="D85">
            <v>0.6</v>
          </cell>
          <cell r="F85">
            <v>0.28000000000000003</v>
          </cell>
          <cell r="G85">
            <v>0.28999999999999998</v>
          </cell>
          <cell r="J85">
            <v>0.02</v>
          </cell>
          <cell r="M85">
            <v>0.6</v>
          </cell>
          <cell r="P85">
            <v>42339</v>
          </cell>
          <cell r="Q85">
            <v>2008</v>
          </cell>
          <cell r="Z85">
            <v>68736</v>
          </cell>
          <cell r="AA85">
            <v>2007</v>
          </cell>
        </row>
        <row r="86">
          <cell r="B86" t="str">
            <v>MAR</v>
          </cell>
          <cell r="C86">
            <v>2016</v>
          </cell>
          <cell r="D86">
            <v>1.0900000000000001</v>
          </cell>
          <cell r="E86">
            <v>0.1</v>
          </cell>
          <cell r="F86">
            <v>0.11</v>
          </cell>
          <cell r="J86">
            <v>0.02</v>
          </cell>
          <cell r="K86">
            <v>0.14000000000000001</v>
          </cell>
          <cell r="L86">
            <v>0.72</v>
          </cell>
          <cell r="M86">
            <v>0.95</v>
          </cell>
          <cell r="P86">
            <v>22627</v>
          </cell>
          <cell r="Q86">
            <v>2013</v>
          </cell>
          <cell r="T86">
            <v>3906948</v>
          </cell>
          <cell r="U86">
            <v>2014</v>
          </cell>
          <cell r="V86">
            <v>1267109</v>
          </cell>
          <cell r="W86">
            <v>2014</v>
          </cell>
          <cell r="X86">
            <v>50000</v>
          </cell>
          <cell r="Y86">
            <v>2009</v>
          </cell>
          <cell r="Z86">
            <v>1684800</v>
          </cell>
          <cell r="AA86">
            <v>2010</v>
          </cell>
        </row>
        <row r="87">
          <cell r="B87" t="str">
            <v>MOZ</v>
          </cell>
          <cell r="C87">
            <v>2015</v>
          </cell>
          <cell r="D87">
            <v>1.17</v>
          </cell>
          <cell r="F87">
            <v>0.38</v>
          </cell>
          <cell r="H87">
            <v>0.08</v>
          </cell>
          <cell r="I87">
            <v>0.12</v>
          </cell>
          <cell r="J87">
            <v>0.4</v>
          </cell>
          <cell r="K87">
            <v>0.03</v>
          </cell>
          <cell r="L87">
            <v>0.15</v>
          </cell>
          <cell r="M87">
            <v>1.17</v>
          </cell>
          <cell r="P87">
            <v>1671340</v>
          </cell>
          <cell r="Q87">
            <v>2015</v>
          </cell>
          <cell r="T87">
            <v>258940</v>
          </cell>
          <cell r="U87">
            <v>2015</v>
          </cell>
          <cell r="V87">
            <v>427000</v>
          </cell>
          <cell r="W87">
            <v>2011</v>
          </cell>
          <cell r="X87">
            <v>282480</v>
          </cell>
          <cell r="Y87">
            <v>2015</v>
          </cell>
        </row>
        <row r="88">
          <cell r="B88" t="str">
            <v>MMR</v>
          </cell>
          <cell r="C88">
            <v>2016</v>
          </cell>
          <cell r="D88">
            <v>0.02</v>
          </cell>
          <cell r="E88">
            <v>0.02</v>
          </cell>
          <cell r="M88">
            <v>0.02</v>
          </cell>
          <cell r="N88">
            <v>196000</v>
          </cell>
          <cell r="O88">
            <v>2016</v>
          </cell>
          <cell r="P88">
            <v>318157</v>
          </cell>
          <cell r="Q88">
            <v>2014</v>
          </cell>
          <cell r="V88">
            <v>583271</v>
          </cell>
          <cell r="W88">
            <v>2014</v>
          </cell>
          <cell r="Z88">
            <v>5200000</v>
          </cell>
          <cell r="AA88">
            <v>2013</v>
          </cell>
        </row>
        <row r="89">
          <cell r="B89" t="str">
            <v>NAM</v>
          </cell>
          <cell r="C89">
            <v>2018</v>
          </cell>
          <cell r="D89">
            <v>2.85</v>
          </cell>
          <cell r="F89">
            <v>0.57999999999999996</v>
          </cell>
          <cell r="G89">
            <v>2.15</v>
          </cell>
          <cell r="H89">
            <v>0.04</v>
          </cell>
          <cell r="J89">
            <v>0.04</v>
          </cell>
          <cell r="L89">
            <v>0.04</v>
          </cell>
          <cell r="M89">
            <v>2.85</v>
          </cell>
          <cell r="P89">
            <v>176187</v>
          </cell>
          <cell r="Q89">
            <v>2018</v>
          </cell>
          <cell r="R89">
            <v>176187</v>
          </cell>
          <cell r="S89">
            <v>2018</v>
          </cell>
          <cell r="V89">
            <v>377752</v>
          </cell>
          <cell r="W89">
            <v>2018</v>
          </cell>
        </row>
        <row r="90">
          <cell r="B90" t="str">
            <v>NPL</v>
          </cell>
          <cell r="C90">
            <v>2016</v>
          </cell>
          <cell r="D90">
            <v>2.06</v>
          </cell>
          <cell r="F90">
            <v>0.06</v>
          </cell>
          <cell r="G90">
            <v>1.82</v>
          </cell>
          <cell r="H90">
            <v>7.0000000000000007E-2</v>
          </cell>
          <cell r="I90">
            <v>0.03</v>
          </cell>
          <cell r="L90">
            <v>0.08</v>
          </cell>
          <cell r="M90">
            <v>2.06</v>
          </cell>
          <cell r="N90">
            <v>1112682</v>
          </cell>
          <cell r="O90">
            <v>2015</v>
          </cell>
          <cell r="P90">
            <v>2080094</v>
          </cell>
          <cell r="Q90">
            <v>2015</v>
          </cell>
          <cell r="R90">
            <v>1046273</v>
          </cell>
          <cell r="S90">
            <v>2016</v>
          </cell>
          <cell r="V90">
            <v>586349</v>
          </cell>
          <cell r="W90">
            <v>2016</v>
          </cell>
          <cell r="X90">
            <v>19170</v>
          </cell>
          <cell r="Y90">
            <v>2016</v>
          </cell>
        </row>
        <row r="91">
          <cell r="B91" t="str">
            <v>NIC</v>
          </cell>
          <cell r="C91">
            <v>2013</v>
          </cell>
          <cell r="D91">
            <v>2.2200000000000002</v>
          </cell>
          <cell r="F91">
            <v>0.19</v>
          </cell>
          <cell r="H91">
            <v>0.2</v>
          </cell>
          <cell r="K91">
            <v>1.7</v>
          </cell>
          <cell r="L91">
            <v>0.14000000000000001</v>
          </cell>
          <cell r="M91">
            <v>1.03</v>
          </cell>
          <cell r="R91">
            <v>403016</v>
          </cell>
          <cell r="S91">
            <v>2013</v>
          </cell>
          <cell r="T91">
            <v>54217</v>
          </cell>
          <cell r="U91">
            <v>2013</v>
          </cell>
          <cell r="V91">
            <v>1050000</v>
          </cell>
          <cell r="W91">
            <v>2013</v>
          </cell>
          <cell r="Z91">
            <v>300000</v>
          </cell>
          <cell r="AA91">
            <v>2013</v>
          </cell>
        </row>
        <row r="92">
          <cell r="B92" t="str">
            <v>NER</v>
          </cell>
          <cell r="C92">
            <v>2017</v>
          </cell>
          <cell r="D92">
            <v>0.42</v>
          </cell>
          <cell r="E92">
            <v>0.04</v>
          </cell>
          <cell r="H92">
            <v>0.02</v>
          </cell>
          <cell r="I92">
            <v>0.01</v>
          </cell>
          <cell r="J92">
            <v>0.36</v>
          </cell>
          <cell r="M92">
            <v>0.42</v>
          </cell>
          <cell r="N92">
            <v>43117</v>
          </cell>
          <cell r="O92">
            <v>2017</v>
          </cell>
          <cell r="P92">
            <v>2385</v>
          </cell>
          <cell r="Q92">
            <v>2017</v>
          </cell>
          <cell r="T92">
            <v>1178830</v>
          </cell>
          <cell r="U92">
            <v>2016</v>
          </cell>
          <cell r="V92">
            <v>302849</v>
          </cell>
          <cell r="W92">
            <v>2017</v>
          </cell>
          <cell r="X92">
            <v>12500</v>
          </cell>
          <cell r="Y92">
            <v>2017</v>
          </cell>
        </row>
        <row r="93">
          <cell r="B93" t="str">
            <v>NGA</v>
          </cell>
          <cell r="C93">
            <v>2016</v>
          </cell>
          <cell r="D93">
            <v>0.28000000000000003</v>
          </cell>
          <cell r="F93">
            <v>0.01</v>
          </cell>
          <cell r="I93">
            <v>0.27</v>
          </cell>
          <cell r="M93">
            <v>0.28000000000000003</v>
          </cell>
          <cell r="N93">
            <v>16271</v>
          </cell>
          <cell r="O93">
            <v>2014</v>
          </cell>
          <cell r="P93">
            <v>47746</v>
          </cell>
          <cell r="Q93">
            <v>2013</v>
          </cell>
          <cell r="R93">
            <v>25000</v>
          </cell>
          <cell r="S93">
            <v>2013</v>
          </cell>
          <cell r="T93">
            <v>7000</v>
          </cell>
          <cell r="U93">
            <v>2012</v>
          </cell>
          <cell r="V93">
            <v>155000</v>
          </cell>
          <cell r="W93">
            <v>2011</v>
          </cell>
          <cell r="X93">
            <v>34091</v>
          </cell>
          <cell r="Y93">
            <v>2016</v>
          </cell>
        </row>
        <row r="94">
          <cell r="B94" t="str">
            <v>MKD</v>
          </cell>
          <cell r="C94">
            <v>2017</v>
          </cell>
          <cell r="D94">
            <v>1.27</v>
          </cell>
          <cell r="E94">
            <v>0.59</v>
          </cell>
          <cell r="F94">
            <v>0.05</v>
          </cell>
          <cell r="G94">
            <v>0.62</v>
          </cell>
          <cell r="L94">
            <v>0.01</v>
          </cell>
          <cell r="M94">
            <v>1.27</v>
          </cell>
          <cell r="N94">
            <v>4715</v>
          </cell>
          <cell r="O94">
            <v>2017</v>
          </cell>
          <cell r="P94">
            <v>25373</v>
          </cell>
          <cell r="Q94">
            <v>2017</v>
          </cell>
          <cell r="Z94">
            <v>5653</v>
          </cell>
          <cell r="AA94">
            <v>2014</v>
          </cell>
        </row>
        <row r="95">
          <cell r="B95" t="str">
            <v>PAK</v>
          </cell>
          <cell r="C95">
            <v>2016</v>
          </cell>
          <cell r="D95">
            <v>0.64</v>
          </cell>
          <cell r="E95">
            <v>0.01</v>
          </cell>
          <cell r="F95">
            <v>0.6</v>
          </cell>
          <cell r="J95">
            <v>0.02</v>
          </cell>
          <cell r="L95">
            <v>0.01</v>
          </cell>
          <cell r="M95">
            <v>0.64</v>
          </cell>
          <cell r="N95">
            <v>1930711</v>
          </cell>
          <cell r="O95">
            <v>2016</v>
          </cell>
          <cell r="P95">
            <v>33480000</v>
          </cell>
          <cell r="Q95">
            <v>2017</v>
          </cell>
          <cell r="X95">
            <v>3118451</v>
          </cell>
          <cell r="Y95">
            <v>2016</v>
          </cell>
        </row>
        <row r="96">
          <cell r="B96" t="str">
            <v>PAN</v>
          </cell>
          <cell r="C96">
            <v>2015</v>
          </cell>
          <cell r="D96">
            <v>1.48</v>
          </cell>
          <cell r="E96">
            <v>0.08</v>
          </cell>
          <cell r="F96">
            <v>0.04</v>
          </cell>
          <cell r="G96">
            <v>0.31</v>
          </cell>
          <cell r="H96">
            <v>0.04</v>
          </cell>
          <cell r="J96">
            <v>0.03</v>
          </cell>
          <cell r="K96">
            <v>0.43</v>
          </cell>
          <cell r="L96">
            <v>0.54</v>
          </cell>
          <cell r="M96">
            <v>1.48</v>
          </cell>
          <cell r="N96">
            <v>222371</v>
          </cell>
          <cell r="O96">
            <v>2015</v>
          </cell>
          <cell r="R96">
            <v>117940</v>
          </cell>
          <cell r="S96">
            <v>2015</v>
          </cell>
          <cell r="T96">
            <v>30360</v>
          </cell>
          <cell r="U96">
            <v>2009</v>
          </cell>
          <cell r="V96">
            <v>461000</v>
          </cell>
          <cell r="W96">
            <v>2011</v>
          </cell>
          <cell r="X96">
            <v>110095</v>
          </cell>
          <cell r="Y96">
            <v>2011</v>
          </cell>
          <cell r="Z96">
            <v>554953</v>
          </cell>
          <cell r="AA96">
            <v>2015</v>
          </cell>
        </row>
        <row r="97">
          <cell r="B97" t="str">
            <v>PNG</v>
          </cell>
          <cell r="C97">
            <v>2015</v>
          </cell>
          <cell r="D97">
            <v>0.01</v>
          </cell>
          <cell r="G97">
            <v>0.01</v>
          </cell>
          <cell r="M97">
            <v>0.01</v>
          </cell>
        </row>
        <row r="98">
          <cell r="B98" t="str">
            <v>PRY</v>
          </cell>
          <cell r="C98">
            <v>2017</v>
          </cell>
          <cell r="D98">
            <v>1.43</v>
          </cell>
          <cell r="E98">
            <v>0.18</v>
          </cell>
          <cell r="F98">
            <v>0.03</v>
          </cell>
          <cell r="G98">
            <v>0.47</v>
          </cell>
          <cell r="H98">
            <v>0.23</v>
          </cell>
          <cell r="J98">
            <v>0.2</v>
          </cell>
          <cell r="K98">
            <v>0.28999999999999998</v>
          </cell>
          <cell r="L98">
            <v>0.04</v>
          </cell>
          <cell r="M98">
            <v>1.43</v>
          </cell>
          <cell r="N98">
            <v>647979</v>
          </cell>
          <cell r="O98">
            <v>2015</v>
          </cell>
          <cell r="R98">
            <v>137223</v>
          </cell>
          <cell r="S98">
            <v>2016</v>
          </cell>
          <cell r="T98">
            <v>113709</v>
          </cell>
          <cell r="U98">
            <v>2016</v>
          </cell>
          <cell r="V98">
            <v>10000</v>
          </cell>
          <cell r="W98">
            <v>2011</v>
          </cell>
        </row>
        <row r="99">
          <cell r="B99" t="str">
            <v>PER</v>
          </cell>
          <cell r="C99">
            <v>2018</v>
          </cell>
          <cell r="D99">
            <v>1.39</v>
          </cell>
          <cell r="E99">
            <v>0.45</v>
          </cell>
          <cell r="G99">
            <v>0.13</v>
          </cell>
          <cell r="H99">
            <v>0.2</v>
          </cell>
          <cell r="J99">
            <v>0.06</v>
          </cell>
          <cell r="K99">
            <v>0.28999999999999998</v>
          </cell>
          <cell r="L99">
            <v>0.26</v>
          </cell>
          <cell r="M99">
            <v>1.1000000000000001</v>
          </cell>
          <cell r="N99">
            <v>2933486</v>
          </cell>
          <cell r="O99">
            <v>2015</v>
          </cell>
          <cell r="R99">
            <v>501681</v>
          </cell>
          <cell r="S99">
            <v>2015</v>
          </cell>
          <cell r="T99">
            <v>1768049</v>
          </cell>
          <cell r="U99">
            <v>2010</v>
          </cell>
          <cell r="V99">
            <v>2398480</v>
          </cell>
          <cell r="W99">
            <v>2015</v>
          </cell>
        </row>
        <row r="100">
          <cell r="B100" t="str">
            <v>PHL</v>
          </cell>
          <cell r="C100">
            <v>2016</v>
          </cell>
          <cell r="D100">
            <v>0.67</v>
          </cell>
          <cell r="E100">
            <v>0.35</v>
          </cell>
          <cell r="G100">
            <v>0.06</v>
          </cell>
          <cell r="J100">
            <v>0.03</v>
          </cell>
          <cell r="K100">
            <v>0.14000000000000001</v>
          </cell>
          <cell r="L100">
            <v>0.08</v>
          </cell>
          <cell r="M100">
            <v>0.56000000000000005</v>
          </cell>
          <cell r="N100">
            <v>20240000</v>
          </cell>
          <cell r="O100">
            <v>2015</v>
          </cell>
          <cell r="R100">
            <v>1368941</v>
          </cell>
          <cell r="S100">
            <v>2016</v>
          </cell>
          <cell r="V100">
            <v>562000</v>
          </cell>
          <cell r="W100">
            <v>2013</v>
          </cell>
          <cell r="X100">
            <v>145380</v>
          </cell>
          <cell r="Y100">
            <v>2013</v>
          </cell>
          <cell r="Z100">
            <v>46200000</v>
          </cell>
          <cell r="AA100">
            <v>2013</v>
          </cell>
        </row>
        <row r="101">
          <cell r="B101" t="str">
            <v>POL</v>
          </cell>
          <cell r="C101">
            <v>2016</v>
          </cell>
          <cell r="D101">
            <v>1.97</v>
          </cell>
          <cell r="F101">
            <v>1.48</v>
          </cell>
          <cell r="G101">
            <v>0.22</v>
          </cell>
          <cell r="I101">
            <v>0.03</v>
          </cell>
          <cell r="J101">
            <v>0.02</v>
          </cell>
          <cell r="K101">
            <v>0.06</v>
          </cell>
          <cell r="L101">
            <v>0.16</v>
          </cell>
          <cell r="M101">
            <v>1.97</v>
          </cell>
          <cell r="P101">
            <v>3820000</v>
          </cell>
          <cell r="Q101">
            <v>2016</v>
          </cell>
          <cell r="T101">
            <v>554400</v>
          </cell>
          <cell r="U101">
            <v>2013</v>
          </cell>
          <cell r="V101">
            <v>730000</v>
          </cell>
          <cell r="W101">
            <v>2011</v>
          </cell>
          <cell r="X101">
            <v>9070</v>
          </cell>
          <cell r="Y101">
            <v>2013</v>
          </cell>
          <cell r="Z101">
            <v>188650</v>
          </cell>
          <cell r="AA101">
            <v>2013</v>
          </cell>
        </row>
        <row r="102">
          <cell r="B102" t="str">
            <v>QAT</v>
          </cell>
        </row>
        <row r="103">
          <cell r="B103" t="str">
            <v>ROU</v>
          </cell>
          <cell r="C103">
            <v>2018</v>
          </cell>
          <cell r="D103">
            <v>1.1599999999999999</v>
          </cell>
          <cell r="E103">
            <v>0.15</v>
          </cell>
          <cell r="F103">
            <v>0.6</v>
          </cell>
          <cell r="G103">
            <v>0.34</v>
          </cell>
          <cell r="J103">
            <v>0.01</v>
          </cell>
          <cell r="L103">
            <v>7.0000000000000007E-2</v>
          </cell>
          <cell r="M103">
            <v>1.1599999999999999</v>
          </cell>
          <cell r="N103">
            <v>215487</v>
          </cell>
          <cell r="O103">
            <v>2014</v>
          </cell>
          <cell r="P103">
            <v>3635792</v>
          </cell>
          <cell r="Q103">
            <v>2017</v>
          </cell>
          <cell r="R103">
            <v>1336514</v>
          </cell>
          <cell r="S103">
            <v>2014</v>
          </cell>
          <cell r="T103">
            <v>680260</v>
          </cell>
          <cell r="U103">
            <v>2014</v>
          </cell>
          <cell r="X103">
            <v>2812</v>
          </cell>
          <cell r="Y103">
            <v>2012</v>
          </cell>
          <cell r="Z103">
            <v>3592213</v>
          </cell>
          <cell r="AA103">
            <v>2009</v>
          </cell>
        </row>
        <row r="104">
          <cell r="B104" t="str">
            <v>RUS</v>
          </cell>
          <cell r="C104">
            <v>2018</v>
          </cell>
          <cell r="D104">
            <v>1.61</v>
          </cell>
          <cell r="F104">
            <v>1.1299999999999999</v>
          </cell>
          <cell r="G104">
            <v>0.48</v>
          </cell>
          <cell r="M104">
            <v>1.61</v>
          </cell>
          <cell r="P104">
            <v>8056000</v>
          </cell>
          <cell r="Q104">
            <v>2015</v>
          </cell>
          <cell r="V104">
            <v>2647000</v>
          </cell>
          <cell r="W104">
            <v>2011</v>
          </cell>
          <cell r="X104">
            <v>811900</v>
          </cell>
          <cell r="Y104">
            <v>2013</v>
          </cell>
        </row>
        <row r="105">
          <cell r="B105" t="str">
            <v>RWA</v>
          </cell>
          <cell r="C105">
            <v>2016</v>
          </cell>
          <cell r="D105">
            <v>1.44</v>
          </cell>
          <cell r="F105">
            <v>1.1599999999999999</v>
          </cell>
          <cell r="G105">
            <v>0.08</v>
          </cell>
          <cell r="I105">
            <v>0.13</v>
          </cell>
          <cell r="L105">
            <v>7.0000000000000007E-2</v>
          </cell>
          <cell r="M105">
            <v>1.44</v>
          </cell>
          <cell r="P105">
            <v>246009</v>
          </cell>
          <cell r="Q105">
            <v>2015</v>
          </cell>
          <cell r="R105">
            <v>2821</v>
          </cell>
          <cell r="S105">
            <v>2015</v>
          </cell>
          <cell r="T105">
            <v>872900</v>
          </cell>
          <cell r="U105">
            <v>2015</v>
          </cell>
          <cell r="V105">
            <v>25000</v>
          </cell>
          <cell r="W105">
            <v>2014</v>
          </cell>
          <cell r="X105">
            <v>296915</v>
          </cell>
          <cell r="Y105">
            <v>2015</v>
          </cell>
        </row>
        <row r="106">
          <cell r="B106" t="str">
            <v>WSM</v>
          </cell>
          <cell r="C106">
            <v>2016</v>
          </cell>
          <cell r="D106">
            <v>0.08</v>
          </cell>
          <cell r="G106">
            <v>0.08</v>
          </cell>
          <cell r="M106">
            <v>0.08</v>
          </cell>
          <cell r="R106">
            <v>12262</v>
          </cell>
          <cell r="S106">
            <v>2015</v>
          </cell>
        </row>
        <row r="107">
          <cell r="B107" t="str">
            <v>SAU</v>
          </cell>
          <cell r="C107">
            <v>2012</v>
          </cell>
          <cell r="D107">
            <v>0.71</v>
          </cell>
          <cell r="F107">
            <v>0.35</v>
          </cell>
          <cell r="G107">
            <v>0.36</v>
          </cell>
          <cell r="M107">
            <v>0.71</v>
          </cell>
          <cell r="N107">
            <v>428028</v>
          </cell>
          <cell r="O107">
            <v>2012</v>
          </cell>
          <cell r="P107">
            <v>370846</v>
          </cell>
          <cell r="Q107">
            <v>2012</v>
          </cell>
        </row>
        <row r="108">
          <cell r="B108" t="str">
            <v>SEN</v>
          </cell>
          <cell r="C108">
            <v>2015</v>
          </cell>
          <cell r="D108">
            <v>0.89</v>
          </cell>
          <cell r="E108">
            <v>0.16</v>
          </cell>
          <cell r="F108">
            <v>0.03</v>
          </cell>
          <cell r="H108">
            <v>0.02</v>
          </cell>
          <cell r="J108">
            <v>0.1</v>
          </cell>
          <cell r="K108">
            <v>0.21</v>
          </cell>
          <cell r="L108">
            <v>0.36</v>
          </cell>
          <cell r="M108">
            <v>0.81</v>
          </cell>
          <cell r="N108">
            <v>2400000</v>
          </cell>
          <cell r="O108">
            <v>2016</v>
          </cell>
          <cell r="T108">
            <v>927416</v>
          </cell>
          <cell r="U108">
            <v>2015</v>
          </cell>
          <cell r="V108">
            <v>303738</v>
          </cell>
          <cell r="W108">
            <v>2015</v>
          </cell>
          <cell r="Z108">
            <v>792985</v>
          </cell>
          <cell r="AA108">
            <v>2015</v>
          </cell>
        </row>
        <row r="109">
          <cell r="B109" t="str">
            <v>SRB</v>
          </cell>
          <cell r="C109">
            <v>2013</v>
          </cell>
          <cell r="D109">
            <v>1.85</v>
          </cell>
          <cell r="F109">
            <v>1.41</v>
          </cell>
          <cell r="G109">
            <v>0.43</v>
          </cell>
          <cell r="I109">
            <v>0.01</v>
          </cell>
          <cell r="M109">
            <v>1.85</v>
          </cell>
          <cell r="P109">
            <v>1144215</v>
          </cell>
          <cell r="Q109">
            <v>2013</v>
          </cell>
          <cell r="X109">
            <v>1629</v>
          </cell>
          <cell r="Y109">
            <v>2013</v>
          </cell>
        </row>
        <row r="110">
          <cell r="B110" t="str">
            <v>SYC</v>
          </cell>
          <cell r="C110">
            <v>2015</v>
          </cell>
          <cell r="D110">
            <v>2.68</v>
          </cell>
          <cell r="F110">
            <v>0.36</v>
          </cell>
          <cell r="G110">
            <v>2.16</v>
          </cell>
          <cell r="J110">
            <v>0.02</v>
          </cell>
          <cell r="L110">
            <v>0.14000000000000001</v>
          </cell>
          <cell r="M110">
            <v>2.68</v>
          </cell>
          <cell r="P110">
            <v>11019</v>
          </cell>
          <cell r="Q110">
            <v>2015</v>
          </cell>
          <cell r="R110">
            <v>9496</v>
          </cell>
          <cell r="S110">
            <v>2015</v>
          </cell>
        </row>
        <row r="111">
          <cell r="B111" t="str">
            <v>SLE</v>
          </cell>
          <cell r="C111">
            <v>2016</v>
          </cell>
          <cell r="D111">
            <v>0.9</v>
          </cell>
          <cell r="E111">
            <v>0.13</v>
          </cell>
          <cell r="F111">
            <v>0.01</v>
          </cell>
          <cell r="H111">
            <v>0.45</v>
          </cell>
          <cell r="J111">
            <v>0.18</v>
          </cell>
          <cell r="K111">
            <v>0.02</v>
          </cell>
          <cell r="L111">
            <v>0.1</v>
          </cell>
          <cell r="M111">
            <v>0.9</v>
          </cell>
          <cell r="N111">
            <v>136768</v>
          </cell>
          <cell r="O111">
            <v>2016</v>
          </cell>
          <cell r="T111">
            <v>110000</v>
          </cell>
          <cell r="U111">
            <v>2012</v>
          </cell>
          <cell r="V111">
            <v>125000</v>
          </cell>
          <cell r="W111">
            <v>2012</v>
          </cell>
        </row>
        <row r="112">
          <cell r="B112" t="str">
            <v>SVK</v>
          </cell>
          <cell r="C112">
            <v>2017</v>
          </cell>
          <cell r="D112">
            <v>1.48</v>
          </cell>
          <cell r="F112">
            <v>1.1399999999999999</v>
          </cell>
          <cell r="G112">
            <v>0.3</v>
          </cell>
          <cell r="I112">
            <v>0.02</v>
          </cell>
          <cell r="J112">
            <v>0.01</v>
          </cell>
          <cell r="M112">
            <v>1.48</v>
          </cell>
          <cell r="P112">
            <v>162904</v>
          </cell>
          <cell r="Q112">
            <v>2014</v>
          </cell>
        </row>
        <row r="113">
          <cell r="B113" t="str">
            <v>SVN</v>
          </cell>
          <cell r="C113">
            <v>2016</v>
          </cell>
          <cell r="D113">
            <v>0.18</v>
          </cell>
          <cell r="G113">
            <v>0.1</v>
          </cell>
          <cell r="I113">
            <v>0.09</v>
          </cell>
          <cell r="M113">
            <v>0.18</v>
          </cell>
          <cell r="P113">
            <v>371000</v>
          </cell>
          <cell r="Q113">
            <v>2007</v>
          </cell>
          <cell r="Z113">
            <v>4500</v>
          </cell>
          <cell r="AA113">
            <v>2007</v>
          </cell>
        </row>
        <row r="114">
          <cell r="B114" t="str">
            <v>SLB</v>
          </cell>
          <cell r="X114">
            <v>61857</v>
          </cell>
          <cell r="Y114">
            <v>2016</v>
          </cell>
        </row>
        <row r="115">
          <cell r="B115" t="str">
            <v>SOM</v>
          </cell>
          <cell r="C115">
            <v>2016</v>
          </cell>
          <cell r="D115">
            <v>0.18</v>
          </cell>
          <cell r="M115">
            <v>0.18</v>
          </cell>
          <cell r="N115">
            <v>87000</v>
          </cell>
          <cell r="O115">
            <v>2016</v>
          </cell>
          <cell r="P115">
            <v>34365</v>
          </cell>
          <cell r="Q115">
            <v>2016</v>
          </cell>
          <cell r="T115">
            <v>24732</v>
          </cell>
          <cell r="U115">
            <v>2016</v>
          </cell>
          <cell r="X115">
            <v>5104</v>
          </cell>
          <cell r="Y115">
            <v>2016</v>
          </cell>
        </row>
        <row r="116">
          <cell r="B116" t="str">
            <v>ZAF</v>
          </cell>
          <cell r="C116">
            <v>2016</v>
          </cell>
          <cell r="D116">
            <v>3.4</v>
          </cell>
          <cell r="F116">
            <v>1.27</v>
          </cell>
          <cell r="G116">
            <v>1.78</v>
          </cell>
          <cell r="H116">
            <v>0.13</v>
          </cell>
          <cell r="I116">
            <v>0.22</v>
          </cell>
          <cell r="J116">
            <v>0.01</v>
          </cell>
          <cell r="M116">
            <v>3.4</v>
          </cell>
          <cell r="P116">
            <v>11703165</v>
          </cell>
          <cell r="Q116">
            <v>2015</v>
          </cell>
          <cell r="R116">
            <v>3086851</v>
          </cell>
          <cell r="S116">
            <v>2015</v>
          </cell>
          <cell r="V116">
            <v>9200000</v>
          </cell>
          <cell r="W116">
            <v>2013</v>
          </cell>
          <cell r="X116">
            <v>350068</v>
          </cell>
          <cell r="Y116">
            <v>2013</v>
          </cell>
        </row>
        <row r="117">
          <cell r="B117" t="str">
            <v>SSD</v>
          </cell>
          <cell r="C117">
            <v>2015</v>
          </cell>
          <cell r="D117">
            <v>10.1</v>
          </cell>
          <cell r="I117">
            <v>0.03</v>
          </cell>
          <cell r="M117">
            <v>10.1</v>
          </cell>
          <cell r="P117">
            <v>42000</v>
          </cell>
          <cell r="Q117">
            <v>2016</v>
          </cell>
          <cell r="T117">
            <v>2208005</v>
          </cell>
          <cell r="U117">
            <v>2016</v>
          </cell>
          <cell r="X117">
            <v>29184</v>
          </cell>
          <cell r="Y117">
            <v>2015</v>
          </cell>
        </row>
        <row r="118">
          <cell r="B118" t="str">
            <v>LKA</v>
          </cell>
          <cell r="C118">
            <v>2016</v>
          </cell>
          <cell r="D118">
            <v>0.51</v>
          </cell>
          <cell r="F118">
            <v>0.26</v>
          </cell>
          <cell r="G118">
            <v>0.09</v>
          </cell>
          <cell r="H118">
            <v>0.04</v>
          </cell>
          <cell r="J118">
            <v>0.12</v>
          </cell>
          <cell r="M118">
            <v>0.51</v>
          </cell>
          <cell r="N118">
            <v>72480</v>
          </cell>
          <cell r="O118">
            <v>2016</v>
          </cell>
          <cell r="P118">
            <v>5880000</v>
          </cell>
          <cell r="Q118">
            <v>2018</v>
          </cell>
          <cell r="R118">
            <v>580720</v>
          </cell>
          <cell r="S118">
            <v>2015</v>
          </cell>
          <cell r="T118">
            <v>4206364</v>
          </cell>
          <cell r="U118">
            <v>2016</v>
          </cell>
          <cell r="V118">
            <v>973245</v>
          </cell>
          <cell r="W118">
            <v>2016</v>
          </cell>
          <cell r="Z118">
            <v>16728</v>
          </cell>
          <cell r="AA118">
            <v>2016</v>
          </cell>
        </row>
        <row r="119">
          <cell r="B119" t="str">
            <v>KNA</v>
          </cell>
          <cell r="R119">
            <v>1000</v>
          </cell>
          <cell r="S119">
            <v>2008</v>
          </cell>
          <cell r="T119">
            <v>2000</v>
          </cell>
          <cell r="U119">
            <v>2008</v>
          </cell>
        </row>
        <row r="120">
          <cell r="B120" t="str">
            <v>LCA</v>
          </cell>
          <cell r="C120">
            <v>2014</v>
          </cell>
          <cell r="D120">
            <v>0.38</v>
          </cell>
          <cell r="F120">
            <v>0.16</v>
          </cell>
          <cell r="H120">
            <v>0.02</v>
          </cell>
          <cell r="I120">
            <v>0.18</v>
          </cell>
          <cell r="L120">
            <v>0.02</v>
          </cell>
          <cell r="M120">
            <v>0.38</v>
          </cell>
          <cell r="P120">
            <v>6685</v>
          </cell>
          <cell r="Q120">
            <v>2014</v>
          </cell>
          <cell r="V120">
            <v>7500</v>
          </cell>
          <cell r="W120">
            <v>2014</v>
          </cell>
          <cell r="X120">
            <v>9487</v>
          </cell>
          <cell r="Y120">
            <v>2013</v>
          </cell>
          <cell r="Z120">
            <v>3000</v>
          </cell>
          <cell r="AA120">
            <v>2008</v>
          </cell>
        </row>
        <row r="121">
          <cell r="B121" t="str">
            <v>VCT</v>
          </cell>
          <cell r="P121">
            <v>6000</v>
          </cell>
          <cell r="Q121">
            <v>2009</v>
          </cell>
          <cell r="T121">
            <v>1000</v>
          </cell>
          <cell r="U121">
            <v>2009</v>
          </cell>
          <cell r="X121">
            <v>3000</v>
          </cell>
          <cell r="Y121">
            <v>2009</v>
          </cell>
        </row>
        <row r="122">
          <cell r="B122" t="str">
            <v>SDN</v>
          </cell>
          <cell r="C122">
            <v>2016</v>
          </cell>
          <cell r="D122">
            <v>1.19</v>
          </cell>
          <cell r="E122">
            <v>0.02</v>
          </cell>
          <cell r="F122">
            <v>0.62</v>
          </cell>
          <cell r="H122">
            <v>0.02</v>
          </cell>
          <cell r="I122">
            <v>0.01</v>
          </cell>
          <cell r="J122">
            <v>0.17</v>
          </cell>
          <cell r="K122">
            <v>0.35</v>
          </cell>
          <cell r="M122">
            <v>0.84</v>
          </cell>
          <cell r="N122">
            <v>200000</v>
          </cell>
          <cell r="O122">
            <v>2016</v>
          </cell>
          <cell r="P122">
            <v>15327539</v>
          </cell>
          <cell r="Q122">
            <v>2016</v>
          </cell>
          <cell r="T122">
            <v>2095568</v>
          </cell>
          <cell r="U122">
            <v>2015</v>
          </cell>
          <cell r="V122">
            <v>974099</v>
          </cell>
          <cell r="W122">
            <v>2016</v>
          </cell>
          <cell r="X122">
            <v>108362</v>
          </cell>
          <cell r="Y122">
            <v>2015</v>
          </cell>
          <cell r="Z122">
            <v>15725537</v>
          </cell>
          <cell r="AA122">
            <v>2016</v>
          </cell>
        </row>
        <row r="123">
          <cell r="B123" t="str">
            <v>SUR</v>
          </cell>
          <cell r="R123">
            <v>44739</v>
          </cell>
          <cell r="S123">
            <v>2015</v>
          </cell>
        </row>
        <row r="124">
          <cell r="B124" t="str">
            <v>SYR</v>
          </cell>
          <cell r="V124">
            <v>46000</v>
          </cell>
          <cell r="W124">
            <v>2011</v>
          </cell>
        </row>
        <row r="125">
          <cell r="B125" t="str">
            <v>STP</v>
          </cell>
          <cell r="N125">
            <v>5018</v>
          </cell>
          <cell r="O125">
            <v>2017</v>
          </cell>
          <cell r="R125">
            <v>2024</v>
          </cell>
          <cell r="S125">
            <v>2014</v>
          </cell>
          <cell r="V125">
            <v>41000</v>
          </cell>
          <cell r="W125">
            <v>2014</v>
          </cell>
        </row>
        <row r="126">
          <cell r="B126" t="str">
            <v>TJK</v>
          </cell>
          <cell r="C126">
            <v>2018</v>
          </cell>
          <cell r="D126">
            <v>0.77</v>
          </cell>
          <cell r="F126">
            <v>0.15</v>
          </cell>
          <cell r="G126">
            <v>0.4</v>
          </cell>
          <cell r="K126">
            <v>0.01</v>
          </cell>
          <cell r="L126">
            <v>0.2</v>
          </cell>
          <cell r="M126">
            <v>0.77</v>
          </cell>
          <cell r="P126">
            <v>535412</v>
          </cell>
          <cell r="Q126">
            <v>2017</v>
          </cell>
          <cell r="T126">
            <v>45000</v>
          </cell>
          <cell r="U126">
            <v>2011</v>
          </cell>
          <cell r="V126">
            <v>355000</v>
          </cell>
          <cell r="W126">
            <v>2015</v>
          </cell>
        </row>
        <row r="127">
          <cell r="B127" t="str">
            <v>TZA</v>
          </cell>
          <cell r="C127">
            <v>2016</v>
          </cell>
          <cell r="D127">
            <v>0.38</v>
          </cell>
          <cell r="E127">
            <v>0.24</v>
          </cell>
          <cell r="H127">
            <v>0.06</v>
          </cell>
          <cell r="I127">
            <v>0.06</v>
          </cell>
          <cell r="J127">
            <v>0.02</v>
          </cell>
          <cell r="M127">
            <v>0.38</v>
          </cell>
          <cell r="N127">
            <v>5164623</v>
          </cell>
          <cell r="O127">
            <v>2016</v>
          </cell>
          <cell r="T127">
            <v>910653</v>
          </cell>
          <cell r="U127">
            <v>2016</v>
          </cell>
          <cell r="V127">
            <v>48717</v>
          </cell>
          <cell r="W127">
            <v>2016</v>
          </cell>
          <cell r="X127">
            <v>1405159</v>
          </cell>
          <cell r="Y127">
            <v>2016</v>
          </cell>
          <cell r="Z127">
            <v>48717</v>
          </cell>
          <cell r="AA127">
            <v>2016</v>
          </cell>
        </row>
        <row r="128">
          <cell r="B128" t="str">
            <v>THA</v>
          </cell>
          <cell r="C128">
            <v>2019</v>
          </cell>
          <cell r="D128">
            <v>1.69</v>
          </cell>
          <cell r="F128">
            <v>0.19</v>
          </cell>
          <cell r="G128">
            <v>0.41</v>
          </cell>
          <cell r="H128">
            <v>0</v>
          </cell>
          <cell r="J128">
            <v>0.08</v>
          </cell>
          <cell r="K128">
            <v>0.82</v>
          </cell>
          <cell r="L128">
            <v>0.19</v>
          </cell>
          <cell r="M128">
            <v>0.87</v>
          </cell>
          <cell r="P128">
            <v>14600000</v>
          </cell>
          <cell r="Q128">
            <v>2019</v>
          </cell>
          <cell r="R128">
            <v>8510000</v>
          </cell>
          <cell r="S128">
            <v>2020</v>
          </cell>
          <cell r="V128">
            <v>1677000</v>
          </cell>
          <cell r="W128">
            <v>2011</v>
          </cell>
          <cell r="Z128">
            <v>47472496</v>
          </cell>
          <cell r="AA128">
            <v>2019</v>
          </cell>
        </row>
        <row r="129">
          <cell r="B129" t="str">
            <v>TLS</v>
          </cell>
          <cell r="C129">
            <v>2016</v>
          </cell>
          <cell r="D129">
            <v>5.31</v>
          </cell>
          <cell r="E129">
            <v>0.28999999999999998</v>
          </cell>
          <cell r="F129">
            <v>0.02</v>
          </cell>
          <cell r="G129">
            <v>5</v>
          </cell>
          <cell r="M129">
            <v>5.31</v>
          </cell>
          <cell r="N129">
            <v>316030</v>
          </cell>
          <cell r="O129">
            <v>2012</v>
          </cell>
          <cell r="P129">
            <v>31852</v>
          </cell>
          <cell r="Q129">
            <v>2015</v>
          </cell>
          <cell r="R129">
            <v>84569</v>
          </cell>
          <cell r="S129">
            <v>2012</v>
          </cell>
          <cell r="V129">
            <v>288000</v>
          </cell>
          <cell r="W129">
            <v>2011</v>
          </cell>
          <cell r="X129">
            <v>55000</v>
          </cell>
          <cell r="Y129">
            <v>2008</v>
          </cell>
        </row>
        <row r="130">
          <cell r="B130" t="str">
            <v>TGO</v>
          </cell>
          <cell r="C130">
            <v>2015</v>
          </cell>
          <cell r="D130">
            <v>0.2</v>
          </cell>
          <cell r="F130">
            <v>0.04</v>
          </cell>
          <cell r="H130">
            <v>0.04</v>
          </cell>
          <cell r="J130">
            <v>0.02</v>
          </cell>
          <cell r="K130">
            <v>0.11</v>
          </cell>
          <cell r="M130">
            <v>0.09</v>
          </cell>
          <cell r="N130">
            <v>50732</v>
          </cell>
          <cell r="O130">
            <v>2015</v>
          </cell>
          <cell r="T130">
            <v>25914</v>
          </cell>
          <cell r="U130">
            <v>2011</v>
          </cell>
          <cell r="V130">
            <v>40000</v>
          </cell>
          <cell r="W130">
            <v>2011</v>
          </cell>
          <cell r="X130">
            <v>25000</v>
          </cell>
          <cell r="Y130">
            <v>2011</v>
          </cell>
        </row>
        <row r="131">
          <cell r="B131" t="str">
            <v>TON</v>
          </cell>
        </row>
        <row r="132">
          <cell r="B132" t="str">
            <v>TTO</v>
          </cell>
          <cell r="C132">
            <v>2018</v>
          </cell>
          <cell r="D132">
            <v>3.81</v>
          </cell>
          <cell r="E132">
            <v>0.09</v>
          </cell>
          <cell r="F132">
            <v>0.26</v>
          </cell>
          <cell r="G132">
            <v>2.52</v>
          </cell>
          <cell r="H132">
            <v>0.15</v>
          </cell>
          <cell r="I132">
            <v>0.45</v>
          </cell>
          <cell r="L132">
            <v>0.33</v>
          </cell>
          <cell r="M132">
            <v>3.81</v>
          </cell>
        </row>
        <row r="133">
          <cell r="B133" t="str">
            <v>TUN</v>
          </cell>
          <cell r="C133">
            <v>2015</v>
          </cell>
          <cell r="D133">
            <v>0.76</v>
          </cell>
          <cell r="E133">
            <v>0.03</v>
          </cell>
          <cell r="F133">
            <v>0.55000000000000004</v>
          </cell>
          <cell r="K133">
            <v>0.16</v>
          </cell>
          <cell r="L133">
            <v>0.01</v>
          </cell>
          <cell r="M133">
            <v>0.59</v>
          </cell>
          <cell r="N133">
            <v>89626</v>
          </cell>
          <cell r="O133">
            <v>2017</v>
          </cell>
          <cell r="P133">
            <v>992200</v>
          </cell>
          <cell r="Q133">
            <v>2017</v>
          </cell>
          <cell r="V133">
            <v>240000</v>
          </cell>
          <cell r="W133">
            <v>2011</v>
          </cell>
        </row>
        <row r="134">
          <cell r="B134" t="str">
            <v>TUR</v>
          </cell>
          <cell r="C134">
            <v>2016</v>
          </cell>
          <cell r="D134">
            <v>1.17</v>
          </cell>
          <cell r="E134">
            <v>0.04</v>
          </cell>
          <cell r="F134">
            <v>0.2</v>
          </cell>
          <cell r="G134">
            <v>0.21</v>
          </cell>
          <cell r="H134">
            <v>0.03</v>
          </cell>
          <cell r="J134">
            <v>0.04</v>
          </cell>
          <cell r="K134">
            <v>0.28000000000000003</v>
          </cell>
          <cell r="L134">
            <v>0.37</v>
          </cell>
          <cell r="M134">
            <v>0.89</v>
          </cell>
          <cell r="N134">
            <v>7267932</v>
          </cell>
          <cell r="O134">
            <v>2015</v>
          </cell>
          <cell r="P134">
            <v>62256</v>
          </cell>
          <cell r="Q134">
            <v>2013</v>
          </cell>
          <cell r="R134">
            <v>632407</v>
          </cell>
          <cell r="S134">
            <v>2013</v>
          </cell>
          <cell r="T134">
            <v>2452910.5</v>
          </cell>
          <cell r="U134">
            <v>2015</v>
          </cell>
          <cell r="V134">
            <v>5848375</v>
          </cell>
          <cell r="W134">
            <v>2015</v>
          </cell>
          <cell r="X134">
            <v>523225</v>
          </cell>
          <cell r="Y134">
            <v>2015</v>
          </cell>
          <cell r="Z134">
            <v>8983853</v>
          </cell>
          <cell r="AA134">
            <v>2015</v>
          </cell>
        </row>
        <row r="135">
          <cell r="B135" t="str">
            <v>UGA</v>
          </cell>
          <cell r="C135">
            <v>2016</v>
          </cell>
          <cell r="D135">
            <v>0.67</v>
          </cell>
          <cell r="E135">
            <v>0.15</v>
          </cell>
          <cell r="F135">
            <v>0.01</v>
          </cell>
          <cell r="G135">
            <v>0.09</v>
          </cell>
          <cell r="I135">
            <v>0.18</v>
          </cell>
          <cell r="J135">
            <v>0.03</v>
          </cell>
          <cell r="L135">
            <v>0.22</v>
          </cell>
          <cell r="M135">
            <v>0.67</v>
          </cell>
          <cell r="N135">
            <v>94457</v>
          </cell>
          <cell r="O135">
            <v>2016</v>
          </cell>
          <cell r="P135">
            <v>510138</v>
          </cell>
          <cell r="Q135">
            <v>2016</v>
          </cell>
          <cell r="R135">
            <v>150000</v>
          </cell>
          <cell r="S135">
            <v>2018</v>
          </cell>
          <cell r="T135">
            <v>55000</v>
          </cell>
          <cell r="U135">
            <v>2015</v>
          </cell>
          <cell r="X135">
            <v>33085</v>
          </cell>
          <cell r="Y135">
            <v>2015</v>
          </cell>
        </row>
        <row r="136">
          <cell r="B136" t="str">
            <v>UKR</v>
          </cell>
          <cell r="C136">
            <v>2017</v>
          </cell>
          <cell r="D136">
            <v>5.28</v>
          </cell>
          <cell r="E136">
            <v>0.48</v>
          </cell>
          <cell r="F136">
            <v>1.22</v>
          </cell>
          <cell r="G136">
            <v>0.37</v>
          </cell>
          <cell r="I136">
            <v>0.01</v>
          </cell>
          <cell r="K136">
            <v>2.48</v>
          </cell>
          <cell r="L136">
            <v>0.72</v>
          </cell>
          <cell r="M136">
            <v>5.25</v>
          </cell>
          <cell r="N136">
            <v>2245737.5</v>
          </cell>
          <cell r="O136">
            <v>2017</v>
          </cell>
          <cell r="P136">
            <v>1529608</v>
          </cell>
          <cell r="Q136">
            <v>2017</v>
          </cell>
          <cell r="R136">
            <v>98255</v>
          </cell>
          <cell r="S136">
            <v>2017</v>
          </cell>
          <cell r="X136">
            <v>234818</v>
          </cell>
          <cell r="Y136">
            <v>2014</v>
          </cell>
          <cell r="Z136">
            <v>923000</v>
          </cell>
          <cell r="AA136">
            <v>2017</v>
          </cell>
        </row>
        <row r="137">
          <cell r="B137" t="str">
            <v>URY</v>
          </cell>
          <cell r="C137">
            <v>2015</v>
          </cell>
          <cell r="D137">
            <v>1.1499999999999999</v>
          </cell>
          <cell r="E137">
            <v>0.28999999999999998</v>
          </cell>
          <cell r="F137">
            <v>0.14000000000000001</v>
          </cell>
          <cell r="G137">
            <v>0.54</v>
          </cell>
          <cell r="I137">
            <v>0.02</v>
          </cell>
          <cell r="J137">
            <v>0.12</v>
          </cell>
          <cell r="L137">
            <v>0.04</v>
          </cell>
          <cell r="M137">
            <v>1.1499999999999999</v>
          </cell>
          <cell r="N137">
            <v>375734</v>
          </cell>
          <cell r="O137">
            <v>2015</v>
          </cell>
          <cell r="R137">
            <v>86939</v>
          </cell>
          <cell r="S137">
            <v>2015</v>
          </cell>
          <cell r="T137">
            <v>69162</v>
          </cell>
          <cell r="U137">
            <v>2013</v>
          </cell>
          <cell r="V137">
            <v>256000</v>
          </cell>
          <cell r="W137">
            <v>2011</v>
          </cell>
          <cell r="X137">
            <v>3081</v>
          </cell>
          <cell r="Y137">
            <v>2015</v>
          </cell>
          <cell r="Z137">
            <v>14875</v>
          </cell>
          <cell r="AA137">
            <v>2015</v>
          </cell>
        </row>
        <row r="138">
          <cell r="B138" t="str">
            <v>UZB</v>
          </cell>
          <cell r="C138">
            <v>2017</v>
          </cell>
          <cell r="D138">
            <v>0.79</v>
          </cell>
          <cell r="F138">
            <v>0.4</v>
          </cell>
          <cell r="G138">
            <v>0.27</v>
          </cell>
          <cell r="J138">
            <v>0.02</v>
          </cell>
          <cell r="K138">
            <v>0.03</v>
          </cell>
          <cell r="L138">
            <v>0.06</v>
          </cell>
          <cell r="M138">
            <v>0.76</v>
          </cell>
          <cell r="X138">
            <v>560</v>
          </cell>
          <cell r="Y138">
            <v>2009</v>
          </cell>
        </row>
        <row r="139">
          <cell r="B139" t="str">
            <v>VUT</v>
          </cell>
          <cell r="P139">
            <v>38493</v>
          </cell>
          <cell r="Q139">
            <v>2009</v>
          </cell>
        </row>
        <row r="140">
          <cell r="B140" t="str">
            <v>VEN</v>
          </cell>
          <cell r="R140">
            <v>531546</v>
          </cell>
          <cell r="S140">
            <v>2015</v>
          </cell>
          <cell r="V140">
            <v>4031000</v>
          </cell>
          <cell r="W140">
            <v>2011</v>
          </cell>
        </row>
        <row r="141">
          <cell r="B141" t="str">
            <v>VNM</v>
          </cell>
          <cell r="C141">
            <v>2016</v>
          </cell>
          <cell r="D141">
            <v>1.92</v>
          </cell>
          <cell r="F141">
            <v>0.33</v>
          </cell>
          <cell r="G141">
            <v>0.71</v>
          </cell>
          <cell r="H141">
            <v>0.03</v>
          </cell>
          <cell r="J141">
            <v>0.01</v>
          </cell>
          <cell r="K141">
            <v>0.72</v>
          </cell>
          <cell r="L141">
            <v>0.12</v>
          </cell>
          <cell r="M141">
            <v>1.31</v>
          </cell>
          <cell r="P141">
            <v>3056436</v>
          </cell>
          <cell r="Q141">
            <v>2014</v>
          </cell>
          <cell r="R141">
            <v>2200844</v>
          </cell>
          <cell r="S141">
            <v>2018</v>
          </cell>
          <cell r="T141">
            <v>2092170</v>
          </cell>
          <cell r="U141">
            <v>2015</v>
          </cell>
          <cell r="Z141">
            <v>162540</v>
          </cell>
          <cell r="AA141">
            <v>2013</v>
          </cell>
        </row>
        <row r="142">
          <cell r="B142" t="str">
            <v>PSE</v>
          </cell>
          <cell r="C142">
            <v>2015</v>
          </cell>
          <cell r="D142">
            <v>5.63</v>
          </cell>
          <cell r="F142">
            <v>4</v>
          </cell>
          <cell r="I142">
            <v>0.17</v>
          </cell>
          <cell r="J142">
            <v>0.93</v>
          </cell>
          <cell r="K142">
            <v>0.54</v>
          </cell>
          <cell r="M142">
            <v>4.8</v>
          </cell>
          <cell r="P142">
            <v>695706</v>
          </cell>
          <cell r="Q142">
            <v>2014</v>
          </cell>
          <cell r="R142">
            <v>2813</v>
          </cell>
          <cell r="S142">
            <v>2014</v>
          </cell>
          <cell r="T142">
            <v>876497</v>
          </cell>
          <cell r="U142">
            <v>2015</v>
          </cell>
          <cell r="V142">
            <v>65000</v>
          </cell>
          <cell r="W142">
            <v>2014</v>
          </cell>
          <cell r="X142">
            <v>123300</v>
          </cell>
          <cell r="Y142">
            <v>2014</v>
          </cell>
          <cell r="Z142">
            <v>1500000</v>
          </cell>
          <cell r="AA142">
            <v>2014</v>
          </cell>
        </row>
        <row r="143">
          <cell r="B143" t="str">
            <v>YEM</v>
          </cell>
          <cell r="N143">
            <v>39791</v>
          </cell>
          <cell r="O143">
            <v>2014</v>
          </cell>
          <cell r="P143">
            <v>7500000</v>
          </cell>
          <cell r="Q143">
            <v>2017</v>
          </cell>
          <cell r="R143">
            <v>361514</v>
          </cell>
          <cell r="S143">
            <v>2014</v>
          </cell>
          <cell r="T143">
            <v>4313631</v>
          </cell>
          <cell r="U143">
            <v>2013</v>
          </cell>
          <cell r="V143">
            <v>65000</v>
          </cell>
          <cell r="W143">
            <v>2011</v>
          </cell>
          <cell r="X143">
            <v>400000</v>
          </cell>
          <cell r="Y143">
            <v>2017</v>
          </cell>
        </row>
        <row r="144">
          <cell r="B144" t="str">
            <v>ZMB</v>
          </cell>
          <cell r="C144">
            <v>2016</v>
          </cell>
          <cell r="D144">
            <v>0.23</v>
          </cell>
          <cell r="F144">
            <v>0.01</v>
          </cell>
          <cell r="G144">
            <v>0.01</v>
          </cell>
          <cell r="H144">
            <v>0.01</v>
          </cell>
          <cell r="J144">
            <v>0.02</v>
          </cell>
          <cell r="K144">
            <v>0.17</v>
          </cell>
          <cell r="M144">
            <v>0.23</v>
          </cell>
          <cell r="P144">
            <v>2600000</v>
          </cell>
          <cell r="Q144">
            <v>2016</v>
          </cell>
          <cell r="T144">
            <v>156520</v>
          </cell>
          <cell r="U144">
            <v>2015</v>
          </cell>
          <cell r="V144">
            <v>1052760</v>
          </cell>
          <cell r="W144">
            <v>2016</v>
          </cell>
          <cell r="Z144">
            <v>20676</v>
          </cell>
          <cell r="AA144">
            <v>2013</v>
          </cell>
        </row>
        <row r="145">
          <cell r="B145" t="str">
            <v>ZWE</v>
          </cell>
          <cell r="C145">
            <v>2015</v>
          </cell>
          <cell r="D145">
            <v>0.35</v>
          </cell>
          <cell r="F145">
            <v>0.09</v>
          </cell>
          <cell r="I145">
            <v>0.05</v>
          </cell>
          <cell r="J145">
            <v>0.16</v>
          </cell>
          <cell r="K145">
            <v>0.04</v>
          </cell>
          <cell r="L145">
            <v>0.01</v>
          </cell>
          <cell r="M145">
            <v>0.34</v>
          </cell>
          <cell r="P145">
            <v>218400</v>
          </cell>
          <cell r="Q145">
            <v>2015</v>
          </cell>
          <cell r="R145">
            <v>2444</v>
          </cell>
          <cell r="S145">
            <v>2015</v>
          </cell>
          <cell r="T145">
            <v>1118363</v>
          </cell>
          <cell r="U145">
            <v>2015</v>
          </cell>
          <cell r="X145">
            <v>756000</v>
          </cell>
          <cell r="Y145">
            <v>2015</v>
          </cell>
          <cell r="Z145">
            <v>118408</v>
          </cell>
          <cell r="AA145">
            <v>2015</v>
          </cell>
        </row>
      </sheetData>
      <sheetData sheetId="7">
        <row r="1">
          <cell r="B1" t="str">
            <v>ctr_id</v>
          </cell>
          <cell r="C1" t="str">
            <v>ctr</v>
          </cell>
          <cell r="D1" t="str">
            <v>weovar_descr</v>
          </cell>
          <cell r="E1" t="str">
            <v>govrev_2020</v>
          </cell>
          <cell r="F1" t="str">
            <v>govrev_2021</v>
          </cell>
          <cell r="G1" t="str">
            <v>govrev_2022</v>
          </cell>
          <cell r="H1" t="str">
            <v>govrev_2023</v>
          </cell>
          <cell r="I1" t="str">
            <v>govrev_2024</v>
          </cell>
          <cell r="J1" t="str">
            <v>govrev_2025</v>
          </cell>
          <cell r="K1" t="str">
            <v>govrev_2026</v>
          </cell>
          <cell r="L1" t="str">
            <v>estimates_start_after</v>
          </cell>
        </row>
        <row r="2">
          <cell r="B2" t="str">
            <v>ABW</v>
          </cell>
          <cell r="C2" t="str">
            <v>Aruba</v>
          </cell>
          <cell r="D2" t="str">
            <v>General government revenue</v>
          </cell>
          <cell r="E2">
            <v>23.969000000000001</v>
          </cell>
          <cell r="F2">
            <v>19.472999999999999</v>
          </cell>
          <cell r="G2">
            <v>19.643000000000001</v>
          </cell>
          <cell r="H2">
            <v>22.113</v>
          </cell>
          <cell r="I2">
            <v>23.295000000000002</v>
          </cell>
          <cell r="J2">
            <v>24.007999999999999</v>
          </cell>
          <cell r="K2">
            <v>24.234999999999999</v>
          </cell>
          <cell r="L2">
            <v>2020</v>
          </cell>
        </row>
        <row r="3">
          <cell r="B3" t="str">
            <v>AFG</v>
          </cell>
          <cell r="C3" t="str">
            <v>Afghanistan</v>
          </cell>
          <cell r="D3" t="str">
            <v>General government revenue</v>
          </cell>
          <cell r="E3">
            <v>25.693999999999999</v>
          </cell>
          <cell r="L3">
            <v>2019</v>
          </cell>
        </row>
        <row r="4">
          <cell r="B4" t="str">
            <v>AGO</v>
          </cell>
          <cell r="C4" t="str">
            <v>Angola</v>
          </cell>
          <cell r="D4" t="str">
            <v>General government revenue</v>
          </cell>
          <cell r="E4">
            <v>20.893000000000001</v>
          </cell>
          <cell r="F4">
            <v>22.890999999999998</v>
          </cell>
          <cell r="G4">
            <v>22.423999999999999</v>
          </cell>
          <cell r="H4">
            <v>21.577000000000002</v>
          </cell>
          <cell r="I4">
            <v>20.853000000000002</v>
          </cell>
          <cell r="J4">
            <v>20.216000000000001</v>
          </cell>
          <cell r="K4">
            <v>19.657</v>
          </cell>
          <cell r="L4">
            <v>2020</v>
          </cell>
        </row>
        <row r="5">
          <cell r="B5" t="str">
            <v>ALB</v>
          </cell>
          <cell r="C5" t="str">
            <v>Albania</v>
          </cell>
          <cell r="D5" t="str">
            <v>General government revenue</v>
          </cell>
          <cell r="E5">
            <v>26.486999999999998</v>
          </cell>
          <cell r="F5">
            <v>27.326000000000001</v>
          </cell>
          <cell r="G5">
            <v>27.468</v>
          </cell>
          <cell r="H5">
            <v>27.620999999999999</v>
          </cell>
          <cell r="I5">
            <v>27.646000000000001</v>
          </cell>
          <cell r="J5">
            <v>27.631</v>
          </cell>
          <cell r="K5">
            <v>27.606999999999999</v>
          </cell>
          <cell r="L5">
            <v>2019</v>
          </cell>
        </row>
        <row r="6">
          <cell r="B6" t="str">
            <v>AND</v>
          </cell>
          <cell r="C6" t="str">
            <v>Andorra</v>
          </cell>
          <cell r="D6" t="str">
            <v>General government revenue</v>
          </cell>
          <cell r="E6">
            <v>40.75</v>
          </cell>
          <cell r="F6">
            <v>38.158999999999999</v>
          </cell>
          <cell r="G6">
            <v>38.512</v>
          </cell>
          <cell r="H6">
            <v>38.677</v>
          </cell>
          <cell r="I6">
            <v>38.789000000000001</v>
          </cell>
          <cell r="J6">
            <v>38.923000000000002</v>
          </cell>
          <cell r="K6">
            <v>38.997</v>
          </cell>
          <cell r="L6">
            <v>2019</v>
          </cell>
        </row>
        <row r="7">
          <cell r="B7" t="str">
            <v>ARE</v>
          </cell>
          <cell r="C7" t="str">
            <v>United Arab Emirates</v>
          </cell>
          <cell r="D7" t="str">
            <v>General government revenue</v>
          </cell>
          <cell r="E7">
            <v>27.501999999999999</v>
          </cell>
          <cell r="F7">
            <v>30.742000000000001</v>
          </cell>
          <cell r="G7">
            <v>30.574999999999999</v>
          </cell>
          <cell r="H7">
            <v>30.306999999999999</v>
          </cell>
          <cell r="I7">
            <v>30.068000000000001</v>
          </cell>
          <cell r="J7">
            <v>29.879000000000001</v>
          </cell>
          <cell r="K7">
            <v>29.704000000000001</v>
          </cell>
          <cell r="L7">
            <v>2019</v>
          </cell>
        </row>
        <row r="8">
          <cell r="B8" t="str">
            <v>ARG</v>
          </cell>
          <cell r="C8" t="str">
            <v>Argentina</v>
          </cell>
          <cell r="D8" t="str">
            <v>General government revenue</v>
          </cell>
          <cell r="E8">
            <v>33.466000000000001</v>
          </cell>
          <cell r="L8">
            <v>2020</v>
          </cell>
        </row>
        <row r="9">
          <cell r="B9" t="str">
            <v>ARM</v>
          </cell>
          <cell r="C9" t="str">
            <v>Armenia</v>
          </cell>
          <cell r="D9" t="str">
            <v>General government revenue</v>
          </cell>
          <cell r="E9">
            <v>25.247</v>
          </cell>
          <cell r="F9">
            <v>23.178999999999998</v>
          </cell>
          <cell r="G9">
            <v>23.655000000000001</v>
          </cell>
          <cell r="H9">
            <v>24.216999999999999</v>
          </cell>
          <cell r="I9">
            <v>24.736000000000001</v>
          </cell>
          <cell r="J9">
            <v>24.713999999999999</v>
          </cell>
          <cell r="K9">
            <v>24.695</v>
          </cell>
          <cell r="L9">
            <v>2020</v>
          </cell>
        </row>
        <row r="10">
          <cell r="B10" t="str">
            <v>ATG</v>
          </cell>
          <cell r="C10" t="str">
            <v>Antigua and Barbuda</v>
          </cell>
          <cell r="D10" t="str">
            <v>General government revenue</v>
          </cell>
          <cell r="E10">
            <v>20.402000000000001</v>
          </cell>
          <cell r="F10">
            <v>23.765999999999998</v>
          </cell>
          <cell r="G10">
            <v>22.831</v>
          </cell>
          <cell r="H10">
            <v>24.1</v>
          </cell>
          <cell r="I10">
            <v>24.584</v>
          </cell>
          <cell r="J10">
            <v>24.681999999999999</v>
          </cell>
          <cell r="K10">
            <v>24.565999999999999</v>
          </cell>
          <cell r="L10">
            <v>2020</v>
          </cell>
        </row>
        <row r="11">
          <cell r="B11" t="str">
            <v>AUS</v>
          </cell>
          <cell r="C11" t="str">
            <v>Australia</v>
          </cell>
          <cell r="D11" t="str">
            <v>General government revenue</v>
          </cell>
          <cell r="E11">
            <v>36.061</v>
          </cell>
          <cell r="F11">
            <v>34.302</v>
          </cell>
          <cell r="G11">
            <v>33.426000000000002</v>
          </cell>
          <cell r="H11">
            <v>33.659999999999997</v>
          </cell>
          <cell r="I11">
            <v>33.896999999999998</v>
          </cell>
          <cell r="J11">
            <v>34.072000000000003</v>
          </cell>
          <cell r="K11">
            <v>34.229999999999997</v>
          </cell>
          <cell r="L11">
            <v>2019</v>
          </cell>
        </row>
        <row r="12">
          <cell r="B12" t="str">
            <v>AUT</v>
          </cell>
          <cell r="C12" t="str">
            <v>Austria</v>
          </cell>
          <cell r="D12" t="str">
            <v>General government revenue</v>
          </cell>
          <cell r="E12">
            <v>48.594999999999999</v>
          </cell>
          <cell r="F12">
            <v>48.408000000000001</v>
          </cell>
          <cell r="G12">
            <v>47.947000000000003</v>
          </cell>
          <cell r="H12">
            <v>47.91</v>
          </cell>
          <cell r="I12">
            <v>48.396999999999998</v>
          </cell>
          <cell r="J12">
            <v>48.271999999999998</v>
          </cell>
          <cell r="K12">
            <v>48.167999999999999</v>
          </cell>
          <cell r="L12">
            <v>2019</v>
          </cell>
        </row>
        <row r="13">
          <cell r="B13" t="str">
            <v>AZE</v>
          </cell>
          <cell r="C13" t="str">
            <v>Azerbaijan</v>
          </cell>
          <cell r="D13" t="str">
            <v>General government revenue</v>
          </cell>
          <cell r="E13">
            <v>33.795999999999999</v>
          </cell>
          <cell r="F13">
            <v>34.341000000000001</v>
          </cell>
          <cell r="G13">
            <v>35.896999999999998</v>
          </cell>
          <cell r="H13">
            <v>34.290999999999997</v>
          </cell>
          <cell r="I13">
            <v>32.08</v>
          </cell>
          <cell r="J13">
            <v>30.794</v>
          </cell>
          <cell r="K13">
            <v>29.988</v>
          </cell>
          <cell r="L13">
            <v>2020</v>
          </cell>
        </row>
        <row r="14">
          <cell r="B14" t="str">
            <v>BDI</v>
          </cell>
          <cell r="C14" t="str">
            <v>Burundi</v>
          </cell>
          <cell r="D14" t="str">
            <v>General government revenue</v>
          </cell>
          <cell r="E14">
            <v>22.678000000000001</v>
          </cell>
          <cell r="F14">
            <v>25.167999999999999</v>
          </cell>
          <cell r="G14">
            <v>25.143999999999998</v>
          </cell>
          <cell r="H14">
            <v>25.213000000000001</v>
          </cell>
          <cell r="I14">
            <v>25.279</v>
          </cell>
          <cell r="J14">
            <v>25.318999999999999</v>
          </cell>
          <cell r="K14">
            <v>25.37</v>
          </cell>
          <cell r="L14">
            <v>2020</v>
          </cell>
        </row>
        <row r="15">
          <cell r="B15" t="str">
            <v>BEL</v>
          </cell>
          <cell r="C15" t="str">
            <v>Belgium</v>
          </cell>
          <cell r="D15" t="str">
            <v>General government revenue</v>
          </cell>
          <cell r="E15">
            <v>50.59</v>
          </cell>
          <cell r="F15">
            <v>50.290999999999997</v>
          </cell>
          <cell r="G15">
            <v>50.143000000000001</v>
          </cell>
          <cell r="H15">
            <v>50.051000000000002</v>
          </cell>
          <cell r="I15">
            <v>50.149000000000001</v>
          </cell>
          <cell r="J15">
            <v>50.042999999999999</v>
          </cell>
          <cell r="K15">
            <v>49.991999999999997</v>
          </cell>
          <cell r="L15">
            <v>2020</v>
          </cell>
        </row>
        <row r="16">
          <cell r="B16" t="str">
            <v>BEN</v>
          </cell>
          <cell r="C16" t="str">
            <v>Benin</v>
          </cell>
          <cell r="D16" t="str">
            <v>General government revenue</v>
          </cell>
          <cell r="E16">
            <v>14.367000000000001</v>
          </cell>
          <cell r="F16">
            <v>13.692</v>
          </cell>
          <cell r="G16">
            <v>14.081</v>
          </cell>
          <cell r="H16">
            <v>14.734999999999999</v>
          </cell>
          <cell r="I16">
            <v>14.935</v>
          </cell>
          <cell r="J16">
            <v>14.9</v>
          </cell>
          <cell r="K16">
            <v>15.1</v>
          </cell>
          <cell r="L16">
            <v>2019</v>
          </cell>
        </row>
        <row r="17">
          <cell r="B17" t="str">
            <v>BFA</v>
          </cell>
          <cell r="C17" t="str">
            <v>Burkina Faso</v>
          </cell>
          <cell r="D17" t="str">
            <v>General government revenue</v>
          </cell>
          <cell r="E17">
            <v>19.776</v>
          </cell>
          <cell r="F17">
            <v>18.701000000000001</v>
          </cell>
          <cell r="G17">
            <v>18.46</v>
          </cell>
          <cell r="H17">
            <v>18.347999999999999</v>
          </cell>
          <cell r="I17">
            <v>18.452999999999999</v>
          </cell>
          <cell r="J17">
            <v>18.638999999999999</v>
          </cell>
          <cell r="K17">
            <v>18.802</v>
          </cell>
          <cell r="L17">
            <v>2020</v>
          </cell>
        </row>
        <row r="18">
          <cell r="B18" t="str">
            <v>BGD</v>
          </cell>
          <cell r="C18" t="str">
            <v>Bangladesh</v>
          </cell>
          <cell r="D18" t="str">
            <v>General government revenue</v>
          </cell>
          <cell r="E18">
            <v>9.7989999999999995</v>
          </cell>
          <cell r="F18">
            <v>10.132999999999999</v>
          </cell>
          <cell r="G18">
            <v>10.226000000000001</v>
          </cell>
          <cell r="H18">
            <v>10.257999999999999</v>
          </cell>
          <cell r="I18">
            <v>10.29</v>
          </cell>
          <cell r="J18">
            <v>10.445</v>
          </cell>
          <cell r="K18">
            <v>10.496</v>
          </cell>
          <cell r="L18">
            <v>2019</v>
          </cell>
        </row>
        <row r="19">
          <cell r="B19" t="str">
            <v>BGR</v>
          </cell>
          <cell r="C19" t="str">
            <v>Bulgaria</v>
          </cell>
          <cell r="D19" t="str">
            <v>General government revenue</v>
          </cell>
          <cell r="E19">
            <v>35.435000000000002</v>
          </cell>
          <cell r="F19">
            <v>36.747</v>
          </cell>
          <cell r="G19">
            <v>34.409999999999997</v>
          </cell>
          <cell r="H19">
            <v>34.436999999999998</v>
          </cell>
          <cell r="I19">
            <v>35.320999999999998</v>
          </cell>
          <cell r="J19">
            <v>35.892000000000003</v>
          </cell>
          <cell r="K19">
            <v>36.189</v>
          </cell>
          <cell r="L19">
            <v>2020</v>
          </cell>
        </row>
        <row r="20">
          <cell r="B20" t="str">
            <v>BHR</v>
          </cell>
          <cell r="C20" t="str">
            <v>Bahrain</v>
          </cell>
          <cell r="D20" t="str">
            <v>General government revenue</v>
          </cell>
          <cell r="E20">
            <v>17.364000000000001</v>
          </cell>
          <cell r="F20">
            <v>22.495000000000001</v>
          </cell>
          <cell r="G20">
            <v>21.073</v>
          </cell>
          <cell r="H20">
            <v>19.760999999999999</v>
          </cell>
          <cell r="I20">
            <v>18.919</v>
          </cell>
          <cell r="J20">
            <v>17.481000000000002</v>
          </cell>
          <cell r="K20">
            <v>16.852</v>
          </cell>
          <cell r="L20">
            <v>2020</v>
          </cell>
        </row>
        <row r="21">
          <cell r="B21" t="str">
            <v>BHS</v>
          </cell>
          <cell r="C21" t="str">
            <v>The Bahamas</v>
          </cell>
          <cell r="D21" t="str">
            <v>General government revenue</v>
          </cell>
          <cell r="E21">
            <v>18.466000000000001</v>
          </cell>
          <cell r="F21">
            <v>18.934999999999999</v>
          </cell>
          <cell r="G21">
            <v>19.149999999999999</v>
          </cell>
          <cell r="H21">
            <v>19.582000000000001</v>
          </cell>
          <cell r="I21">
            <v>19.713000000000001</v>
          </cell>
          <cell r="J21">
            <v>19.856999999999999</v>
          </cell>
          <cell r="K21">
            <v>19.885999999999999</v>
          </cell>
          <cell r="L21">
            <v>2020</v>
          </cell>
        </row>
        <row r="22">
          <cell r="B22" t="str">
            <v>BIH</v>
          </cell>
          <cell r="C22" t="str">
            <v>Bosnia and Herzegovina</v>
          </cell>
          <cell r="D22" t="str">
            <v>General government revenue</v>
          </cell>
          <cell r="E22">
            <v>41.58</v>
          </cell>
          <cell r="F22">
            <v>41.582999999999998</v>
          </cell>
          <cell r="G22">
            <v>41.768999999999998</v>
          </cell>
          <cell r="H22">
            <v>41.965000000000003</v>
          </cell>
          <cell r="I22">
            <v>42.104999999999997</v>
          </cell>
          <cell r="J22">
            <v>42.335999999999999</v>
          </cell>
          <cell r="K22">
            <v>42.545000000000002</v>
          </cell>
          <cell r="L22">
            <v>2020</v>
          </cell>
        </row>
        <row r="23">
          <cell r="B23" t="str">
            <v>BLR</v>
          </cell>
          <cell r="C23" t="str">
            <v>Belarus</v>
          </cell>
          <cell r="D23" t="str">
            <v>General government revenue</v>
          </cell>
          <cell r="E23">
            <v>35.823999999999998</v>
          </cell>
          <cell r="F23">
            <v>34.652999999999999</v>
          </cell>
          <cell r="G23">
            <v>34.305</v>
          </cell>
          <cell r="H23">
            <v>34.567</v>
          </cell>
          <cell r="I23">
            <v>34.832000000000001</v>
          </cell>
          <cell r="J23">
            <v>35.115000000000002</v>
          </cell>
          <cell r="K23">
            <v>35.279000000000003</v>
          </cell>
          <cell r="L23">
            <v>2020</v>
          </cell>
        </row>
        <row r="24">
          <cell r="B24" t="str">
            <v>BLZ</v>
          </cell>
          <cell r="C24" t="str">
            <v>Belize</v>
          </cell>
          <cell r="D24" t="str">
            <v>General government revenue</v>
          </cell>
          <cell r="E24">
            <v>28.888999999999999</v>
          </cell>
          <cell r="F24">
            <v>27.094999999999999</v>
          </cell>
          <cell r="G24">
            <v>28.332999999999998</v>
          </cell>
          <cell r="H24">
            <v>29.661000000000001</v>
          </cell>
          <cell r="I24">
            <v>29.995999999999999</v>
          </cell>
          <cell r="J24">
            <v>29.995999999999999</v>
          </cell>
          <cell r="K24">
            <v>29.995999999999999</v>
          </cell>
          <cell r="L24">
            <v>2020</v>
          </cell>
        </row>
        <row r="25">
          <cell r="B25" t="str">
            <v>BOL</v>
          </cell>
          <cell r="C25" t="str">
            <v>Bolivia</v>
          </cell>
          <cell r="D25" t="str">
            <v>General government revenue</v>
          </cell>
          <cell r="E25">
            <v>25.302</v>
          </cell>
          <cell r="F25">
            <v>26.861000000000001</v>
          </cell>
          <cell r="G25">
            <v>28.86</v>
          </cell>
          <cell r="H25">
            <v>28.686</v>
          </cell>
          <cell r="I25">
            <v>28.420999999999999</v>
          </cell>
          <cell r="J25">
            <v>27.954999999999998</v>
          </cell>
          <cell r="K25">
            <v>27.998999999999999</v>
          </cell>
          <cell r="L25">
            <v>2020</v>
          </cell>
        </row>
        <row r="26">
          <cell r="B26" t="str">
            <v>BRA</v>
          </cell>
          <cell r="C26" t="str">
            <v>Brazil</v>
          </cell>
          <cell r="D26" t="str">
            <v>General government revenue</v>
          </cell>
          <cell r="E26">
            <v>29.361999999999998</v>
          </cell>
          <cell r="F26">
            <v>30.175999999999998</v>
          </cell>
          <cell r="G26">
            <v>29.559000000000001</v>
          </cell>
          <cell r="H26">
            <v>29.512</v>
          </cell>
          <cell r="I26">
            <v>29.577000000000002</v>
          </cell>
          <cell r="J26">
            <v>29.545999999999999</v>
          </cell>
          <cell r="K26">
            <v>29.437000000000001</v>
          </cell>
          <cell r="L26">
            <v>2020</v>
          </cell>
        </row>
        <row r="27">
          <cell r="B27" t="str">
            <v>BRB</v>
          </cell>
          <cell r="C27" t="str">
            <v>Barbados</v>
          </cell>
          <cell r="D27" t="str">
            <v>General government revenue</v>
          </cell>
          <cell r="E27">
            <v>31.881</v>
          </cell>
          <cell r="F27">
            <v>28.393999999999998</v>
          </cell>
          <cell r="G27">
            <v>29.242000000000001</v>
          </cell>
          <cell r="H27">
            <v>29.678000000000001</v>
          </cell>
          <cell r="I27">
            <v>29.678000000000001</v>
          </cell>
          <cell r="J27">
            <v>29.678000000000001</v>
          </cell>
          <cell r="K27">
            <v>29.678000000000001</v>
          </cell>
          <cell r="L27">
            <v>2020</v>
          </cell>
        </row>
        <row r="28">
          <cell r="B28" t="str">
            <v>BRN</v>
          </cell>
          <cell r="C28" t="str">
            <v>Brunei Darussalam</v>
          </cell>
          <cell r="D28" t="str">
            <v>General government revenue</v>
          </cell>
          <cell r="E28">
            <v>17.465</v>
          </cell>
          <cell r="F28">
            <v>19.103999999999999</v>
          </cell>
          <cell r="G28">
            <v>20.016999999999999</v>
          </cell>
          <cell r="H28">
            <v>18.494</v>
          </cell>
          <cell r="I28">
            <v>19.36</v>
          </cell>
          <cell r="J28">
            <v>18.965</v>
          </cell>
          <cell r="K28">
            <v>18.852</v>
          </cell>
          <cell r="L28">
            <v>2020</v>
          </cell>
        </row>
        <row r="29">
          <cell r="B29" t="str">
            <v>BTN</v>
          </cell>
          <cell r="C29" t="str">
            <v>Bhutan</v>
          </cell>
          <cell r="D29" t="str">
            <v>General government revenue</v>
          </cell>
          <cell r="E29">
            <v>29.498000000000001</v>
          </cell>
          <cell r="F29">
            <v>24.934999999999999</v>
          </cell>
          <cell r="G29">
            <v>26.055</v>
          </cell>
          <cell r="H29">
            <v>25.01</v>
          </cell>
          <cell r="I29">
            <v>25.975999999999999</v>
          </cell>
          <cell r="J29">
            <v>26.193999999999999</v>
          </cell>
          <cell r="K29">
            <v>25.914999999999999</v>
          </cell>
          <cell r="L29">
            <v>2020</v>
          </cell>
        </row>
        <row r="30">
          <cell r="B30" t="str">
            <v>BWA</v>
          </cell>
          <cell r="C30" t="str">
            <v>Botswana</v>
          </cell>
          <cell r="D30" t="str">
            <v>General government revenue</v>
          </cell>
          <cell r="E30">
            <v>27.038</v>
          </cell>
          <cell r="F30">
            <v>29.274999999999999</v>
          </cell>
          <cell r="G30">
            <v>27.106000000000002</v>
          </cell>
          <cell r="H30">
            <v>30.600999999999999</v>
          </cell>
          <cell r="I30">
            <v>30.242999999999999</v>
          </cell>
          <cell r="J30">
            <v>30.324999999999999</v>
          </cell>
          <cell r="K30">
            <v>29.34</v>
          </cell>
          <cell r="L30">
            <v>2021</v>
          </cell>
        </row>
        <row r="31">
          <cell r="B31" t="str">
            <v>CAF</v>
          </cell>
          <cell r="C31" t="str">
            <v>Central African Republic</v>
          </cell>
          <cell r="D31" t="str">
            <v>General government revenue</v>
          </cell>
          <cell r="E31">
            <v>21.771999999999998</v>
          </cell>
          <cell r="F31">
            <v>16.946000000000002</v>
          </cell>
          <cell r="G31">
            <v>18.074999999999999</v>
          </cell>
          <cell r="H31">
            <v>17.919</v>
          </cell>
          <cell r="I31">
            <v>17.96</v>
          </cell>
          <cell r="J31">
            <v>17.722000000000001</v>
          </cell>
          <cell r="K31">
            <v>17.63</v>
          </cell>
          <cell r="L31">
            <v>2019</v>
          </cell>
        </row>
        <row r="32">
          <cell r="B32" t="str">
            <v>CAN</v>
          </cell>
          <cell r="C32" t="str">
            <v>Canada</v>
          </cell>
          <cell r="D32" t="str">
            <v>General government revenue</v>
          </cell>
          <cell r="E32">
            <v>41.948</v>
          </cell>
          <cell r="F32">
            <v>40.584000000000003</v>
          </cell>
          <cell r="G32">
            <v>41.119</v>
          </cell>
          <cell r="H32">
            <v>41.426000000000002</v>
          </cell>
          <cell r="I32">
            <v>41.697000000000003</v>
          </cell>
          <cell r="J32">
            <v>41.83</v>
          </cell>
          <cell r="K32">
            <v>41.847000000000001</v>
          </cell>
          <cell r="L32">
            <v>2020</v>
          </cell>
        </row>
        <row r="33">
          <cell r="B33" t="str">
            <v>CHE</v>
          </cell>
          <cell r="C33" t="str">
            <v>Switzerland</v>
          </cell>
          <cell r="D33" t="str">
            <v>General government revenue</v>
          </cell>
          <cell r="E33">
            <v>33.658999999999999</v>
          </cell>
          <cell r="F33">
            <v>33.154000000000003</v>
          </cell>
          <cell r="G33">
            <v>32.988</v>
          </cell>
          <cell r="H33">
            <v>32.988</v>
          </cell>
          <cell r="I33">
            <v>32.658000000000001</v>
          </cell>
          <cell r="J33">
            <v>32.658000000000001</v>
          </cell>
          <cell r="K33">
            <v>32.658000000000001</v>
          </cell>
          <cell r="L33">
            <v>2019</v>
          </cell>
        </row>
        <row r="34">
          <cell r="B34" t="str">
            <v>CHL</v>
          </cell>
          <cell r="C34" t="str">
            <v>Chile</v>
          </cell>
          <cell r="D34" t="str">
            <v>General government revenue</v>
          </cell>
          <cell r="E34">
            <v>22.091999999999999</v>
          </cell>
          <cell r="F34">
            <v>25.408999999999999</v>
          </cell>
          <cell r="G34">
            <v>24.021000000000001</v>
          </cell>
          <cell r="H34">
            <v>24.553999999999998</v>
          </cell>
          <cell r="I34">
            <v>25.393000000000001</v>
          </cell>
          <cell r="J34">
            <v>25.585999999999999</v>
          </cell>
          <cell r="K34">
            <v>25.503</v>
          </cell>
          <cell r="L34">
            <v>2020</v>
          </cell>
        </row>
        <row r="35">
          <cell r="B35" t="str">
            <v>CHN</v>
          </cell>
          <cell r="C35" t="str">
            <v>China</v>
          </cell>
          <cell r="D35" t="str">
            <v>General government revenue</v>
          </cell>
          <cell r="E35">
            <v>25.344000000000001</v>
          </cell>
          <cell r="F35">
            <v>25.795999999999999</v>
          </cell>
          <cell r="G35">
            <v>25.878</v>
          </cell>
          <cell r="H35">
            <v>25.954000000000001</v>
          </cell>
          <cell r="I35">
            <v>26.454000000000001</v>
          </cell>
          <cell r="J35">
            <v>26.92</v>
          </cell>
          <cell r="K35">
            <v>27.387</v>
          </cell>
          <cell r="L35">
            <v>2019</v>
          </cell>
        </row>
        <row r="36">
          <cell r="B36" t="str">
            <v>CIV</v>
          </cell>
          <cell r="C36" t="str">
            <v>Côte d'Ivoire</v>
          </cell>
          <cell r="D36" t="str">
            <v>General government revenue</v>
          </cell>
          <cell r="E36">
            <v>15.029</v>
          </cell>
          <cell r="F36">
            <v>14.612</v>
          </cell>
          <cell r="G36">
            <v>15.302</v>
          </cell>
          <cell r="H36">
            <v>15.422000000000001</v>
          </cell>
          <cell r="I36">
            <v>15.484</v>
          </cell>
          <cell r="J36">
            <v>15.305</v>
          </cell>
          <cell r="K36">
            <v>15.17</v>
          </cell>
          <cell r="L36">
            <v>2020</v>
          </cell>
        </row>
        <row r="37">
          <cell r="B37" t="str">
            <v>CMR</v>
          </cell>
          <cell r="C37" t="str">
            <v>Cameroon</v>
          </cell>
          <cell r="D37" t="str">
            <v>General government revenue</v>
          </cell>
          <cell r="E37">
            <v>13.702</v>
          </cell>
          <cell r="F37">
            <v>15.294</v>
          </cell>
          <cell r="G37">
            <v>16.603000000000002</v>
          </cell>
          <cell r="H37">
            <v>16.783000000000001</v>
          </cell>
          <cell r="I37">
            <v>17.068000000000001</v>
          </cell>
          <cell r="J37">
            <v>17.541</v>
          </cell>
          <cell r="K37">
            <v>18.021999999999998</v>
          </cell>
          <cell r="L37">
            <v>2020</v>
          </cell>
        </row>
        <row r="38">
          <cell r="B38" t="str">
            <v>COD</v>
          </cell>
          <cell r="C38" t="str">
            <v>Democratic Republic of the Congo</v>
          </cell>
          <cell r="D38" t="str">
            <v>General government revenue</v>
          </cell>
          <cell r="E38">
            <v>9.7799999999999994</v>
          </cell>
          <cell r="F38">
            <v>11.199</v>
          </cell>
          <cell r="G38">
            <v>12.189</v>
          </cell>
          <cell r="H38">
            <v>13.041</v>
          </cell>
          <cell r="I38">
            <v>13.996</v>
          </cell>
          <cell r="J38">
            <v>14.093999999999999</v>
          </cell>
          <cell r="K38">
            <v>14.448</v>
          </cell>
          <cell r="L38">
            <v>2020</v>
          </cell>
        </row>
        <row r="39">
          <cell r="B39" t="str">
            <v>COG</v>
          </cell>
          <cell r="C39" t="str">
            <v>Republic of Congo</v>
          </cell>
          <cell r="D39" t="str">
            <v>General government revenue</v>
          </cell>
          <cell r="E39">
            <v>22.242999999999999</v>
          </cell>
          <cell r="F39">
            <v>22.667999999999999</v>
          </cell>
          <cell r="G39">
            <v>25.434000000000001</v>
          </cell>
          <cell r="H39">
            <v>24.798999999999999</v>
          </cell>
          <cell r="I39">
            <v>24.811</v>
          </cell>
          <cell r="J39">
            <v>24.231000000000002</v>
          </cell>
          <cell r="K39">
            <v>23.484000000000002</v>
          </cell>
          <cell r="L39">
            <v>2018</v>
          </cell>
        </row>
        <row r="40">
          <cell r="B40" t="str">
            <v>COL</v>
          </cell>
          <cell r="C40" t="str">
            <v>Colombia</v>
          </cell>
          <cell r="D40" t="str">
            <v>General government revenue</v>
          </cell>
          <cell r="E40">
            <v>26.507000000000001</v>
          </cell>
          <cell r="F40">
            <v>27.297000000000001</v>
          </cell>
          <cell r="G40">
            <v>28.99</v>
          </cell>
          <cell r="H40">
            <v>29.728999999999999</v>
          </cell>
          <cell r="I40">
            <v>29.757000000000001</v>
          </cell>
          <cell r="J40">
            <v>29.62</v>
          </cell>
          <cell r="K40">
            <v>29.434000000000001</v>
          </cell>
          <cell r="L40">
            <v>2020</v>
          </cell>
        </row>
        <row r="41">
          <cell r="B41" t="str">
            <v>COM</v>
          </cell>
          <cell r="C41" t="str">
            <v>Comoros</v>
          </cell>
          <cell r="D41" t="str">
            <v>General government revenue</v>
          </cell>
          <cell r="E41">
            <v>18.266999999999999</v>
          </cell>
          <cell r="F41">
            <v>16.463999999999999</v>
          </cell>
          <cell r="G41">
            <v>16.907</v>
          </cell>
          <cell r="H41">
            <v>15.558</v>
          </cell>
          <cell r="I41">
            <v>15.755000000000001</v>
          </cell>
          <cell r="J41">
            <v>16.204000000000001</v>
          </cell>
          <cell r="K41">
            <v>17.149000000000001</v>
          </cell>
          <cell r="L41">
            <v>2020</v>
          </cell>
        </row>
        <row r="42">
          <cell r="B42" t="str">
            <v>CPV</v>
          </cell>
          <cell r="C42" t="str">
            <v>Cabo Verde</v>
          </cell>
          <cell r="D42" t="str">
            <v>General government revenue</v>
          </cell>
          <cell r="E42">
            <v>26.53</v>
          </cell>
          <cell r="F42">
            <v>30.181999999999999</v>
          </cell>
          <cell r="G42">
            <v>30.709</v>
          </cell>
          <cell r="H42">
            <v>30.38</v>
          </cell>
          <cell r="I42">
            <v>30.713999999999999</v>
          </cell>
          <cell r="J42">
            <v>30.864999999999998</v>
          </cell>
          <cell r="K42">
            <v>31.062000000000001</v>
          </cell>
          <cell r="L42">
            <v>2020</v>
          </cell>
        </row>
        <row r="43">
          <cell r="B43" t="str">
            <v>CRI</v>
          </cell>
          <cell r="C43" t="str">
            <v>Costa Rica</v>
          </cell>
          <cell r="D43" t="str">
            <v>General government revenue</v>
          </cell>
          <cell r="E43">
            <v>13.930999999999999</v>
          </cell>
          <cell r="F43">
            <v>15.486000000000001</v>
          </cell>
          <cell r="G43">
            <v>15.263999999999999</v>
          </cell>
          <cell r="H43">
            <v>16.001999999999999</v>
          </cell>
          <cell r="I43">
            <v>16.021999999999998</v>
          </cell>
          <cell r="J43">
            <v>16.015000000000001</v>
          </cell>
          <cell r="K43">
            <v>15.997</v>
          </cell>
          <cell r="L43">
            <v>2020</v>
          </cell>
        </row>
        <row r="44">
          <cell r="B44" t="str">
            <v>CYP</v>
          </cell>
          <cell r="C44" t="str">
            <v>Cyprus</v>
          </cell>
          <cell r="D44" t="str">
            <v>General government revenue</v>
          </cell>
          <cell r="E44">
            <v>40.901000000000003</v>
          </cell>
          <cell r="F44">
            <v>42.655999999999999</v>
          </cell>
          <cell r="G44">
            <v>43.505000000000003</v>
          </cell>
          <cell r="H44">
            <v>43.533000000000001</v>
          </cell>
          <cell r="I44">
            <v>43.753</v>
          </cell>
          <cell r="J44">
            <v>43.718000000000004</v>
          </cell>
          <cell r="K44">
            <v>43.258000000000003</v>
          </cell>
          <cell r="L44">
            <v>2020</v>
          </cell>
        </row>
        <row r="45">
          <cell r="B45" t="str">
            <v>CZE</v>
          </cell>
          <cell r="C45" t="str">
            <v>Czech Republic</v>
          </cell>
          <cell r="D45" t="str">
            <v>General government revenue</v>
          </cell>
          <cell r="E45">
            <v>41.033000000000001</v>
          </cell>
          <cell r="F45">
            <v>39.558999999999997</v>
          </cell>
          <cell r="G45">
            <v>39.679000000000002</v>
          </cell>
          <cell r="H45">
            <v>39.96</v>
          </cell>
          <cell r="I45">
            <v>39.677</v>
          </cell>
          <cell r="J45">
            <v>39.465000000000003</v>
          </cell>
          <cell r="K45">
            <v>39.326000000000001</v>
          </cell>
          <cell r="L45">
            <v>2019</v>
          </cell>
        </row>
        <row r="46">
          <cell r="B46" t="str">
            <v>DEU</v>
          </cell>
          <cell r="C46" t="str">
            <v>Germany</v>
          </cell>
          <cell r="D46" t="str">
            <v>General government revenue</v>
          </cell>
          <cell r="E46">
            <v>46.529000000000003</v>
          </cell>
          <cell r="F46">
            <v>46.316000000000003</v>
          </cell>
          <cell r="G46">
            <v>46.433999999999997</v>
          </cell>
          <cell r="H46">
            <v>46.631999999999998</v>
          </cell>
          <cell r="I46">
            <v>46.384999999999998</v>
          </cell>
          <cell r="J46">
            <v>46.503</v>
          </cell>
          <cell r="K46">
            <v>46.503</v>
          </cell>
          <cell r="L46">
            <v>2020</v>
          </cell>
        </row>
        <row r="47">
          <cell r="B47" t="str">
            <v>DJI</v>
          </cell>
          <cell r="C47" t="str">
            <v>Djibouti</v>
          </cell>
          <cell r="D47" t="str">
            <v>General government revenue</v>
          </cell>
          <cell r="E47">
            <v>21.045000000000002</v>
          </cell>
          <cell r="F47">
            <v>18.646999999999998</v>
          </cell>
          <cell r="G47">
            <v>18.725000000000001</v>
          </cell>
          <cell r="H47">
            <v>18.626999999999999</v>
          </cell>
          <cell r="I47">
            <v>18.338999999999999</v>
          </cell>
          <cell r="J47">
            <v>18.088000000000001</v>
          </cell>
          <cell r="K47">
            <v>17.798999999999999</v>
          </cell>
          <cell r="L47">
            <v>2020</v>
          </cell>
        </row>
        <row r="48">
          <cell r="B48" t="str">
            <v>DMA</v>
          </cell>
          <cell r="C48" t="str">
            <v>Dominica</v>
          </cell>
          <cell r="D48" t="str">
            <v>General government revenue</v>
          </cell>
          <cell r="E48">
            <v>43.576000000000001</v>
          </cell>
          <cell r="F48">
            <v>43.929000000000002</v>
          </cell>
          <cell r="G48">
            <v>44.154000000000003</v>
          </cell>
          <cell r="H48">
            <v>43.149000000000001</v>
          </cell>
          <cell r="I48">
            <v>42.664999999999999</v>
          </cell>
          <cell r="J48">
            <v>42.441000000000003</v>
          </cell>
          <cell r="K48">
            <v>42.156999999999996</v>
          </cell>
          <cell r="L48">
            <v>2021</v>
          </cell>
        </row>
        <row r="49">
          <cell r="B49" t="str">
            <v>DNK</v>
          </cell>
          <cell r="C49" t="str">
            <v>Denmark</v>
          </cell>
          <cell r="D49" t="str">
            <v>General government revenue</v>
          </cell>
          <cell r="E49">
            <v>53.154000000000003</v>
          </cell>
          <cell r="F49">
            <v>51.683</v>
          </cell>
          <cell r="G49">
            <v>50.204999999999998</v>
          </cell>
          <cell r="H49">
            <v>50.095999999999997</v>
          </cell>
          <cell r="I49">
            <v>49.728999999999999</v>
          </cell>
          <cell r="J49">
            <v>49.475000000000001</v>
          </cell>
          <cell r="K49">
            <v>49.475000000000001</v>
          </cell>
          <cell r="L49">
            <v>2020</v>
          </cell>
        </row>
        <row r="50">
          <cell r="B50" t="str">
            <v>DOM</v>
          </cell>
          <cell r="C50" t="str">
            <v>Dominican Republic</v>
          </cell>
          <cell r="D50" t="str">
            <v>General government revenue</v>
          </cell>
          <cell r="E50">
            <v>14.186999999999999</v>
          </cell>
          <cell r="F50">
            <v>14.51</v>
          </cell>
          <cell r="G50">
            <v>14.574999999999999</v>
          </cell>
          <cell r="H50">
            <v>14.234</v>
          </cell>
          <cell r="I50">
            <v>14.257999999999999</v>
          </cell>
          <cell r="J50">
            <v>14.257999999999999</v>
          </cell>
          <cell r="K50">
            <v>14.257999999999999</v>
          </cell>
          <cell r="L50">
            <v>2020</v>
          </cell>
        </row>
        <row r="51">
          <cell r="B51" t="str">
            <v>DZA</v>
          </cell>
          <cell r="C51" t="str">
            <v>Algeria</v>
          </cell>
          <cell r="D51" t="str">
            <v>General government revenue</v>
          </cell>
          <cell r="E51">
            <v>31.533000000000001</v>
          </cell>
          <cell r="F51">
            <v>26.960999999999999</v>
          </cell>
          <cell r="G51">
            <v>27.8</v>
          </cell>
          <cell r="H51">
            <v>27.725000000000001</v>
          </cell>
          <cell r="I51">
            <v>27.148</v>
          </cell>
          <cell r="J51">
            <v>26.707999999999998</v>
          </cell>
          <cell r="K51">
            <v>26.408000000000001</v>
          </cell>
          <cell r="L51">
            <v>2019</v>
          </cell>
        </row>
        <row r="52">
          <cell r="B52" t="str">
            <v>ECU</v>
          </cell>
          <cell r="C52" t="str">
            <v>Ecuador</v>
          </cell>
          <cell r="D52" t="str">
            <v>General government revenue</v>
          </cell>
          <cell r="E52">
            <v>29.763000000000002</v>
          </cell>
          <cell r="F52">
            <v>33.200000000000003</v>
          </cell>
          <cell r="G52">
            <v>33.847000000000001</v>
          </cell>
          <cell r="H52">
            <v>33.768000000000001</v>
          </cell>
          <cell r="I52">
            <v>33.268000000000001</v>
          </cell>
          <cell r="J52">
            <v>32.814999999999998</v>
          </cell>
          <cell r="K52">
            <v>32.506999999999998</v>
          </cell>
          <cell r="L52">
            <v>2020</v>
          </cell>
        </row>
        <row r="53">
          <cell r="B53" t="str">
            <v>EGY</v>
          </cell>
          <cell r="C53" t="str">
            <v>Egypt</v>
          </cell>
          <cell r="D53" t="str">
            <v>General government revenue</v>
          </cell>
          <cell r="E53">
            <v>19.193999999999999</v>
          </cell>
          <cell r="F53">
            <v>19.902999999999999</v>
          </cell>
          <cell r="G53">
            <v>21.023</v>
          </cell>
          <cell r="H53">
            <v>21.196000000000002</v>
          </cell>
          <cell r="I53">
            <v>21.36</v>
          </cell>
          <cell r="J53">
            <v>21.57</v>
          </cell>
          <cell r="K53">
            <v>21.643999999999998</v>
          </cell>
          <cell r="L53">
            <v>2020</v>
          </cell>
        </row>
        <row r="54">
          <cell r="B54" t="str">
            <v>ERI</v>
          </cell>
          <cell r="C54" t="str">
            <v>Eritrea</v>
          </cell>
          <cell r="D54" t="str">
            <v>General government revenue</v>
          </cell>
          <cell r="E54">
            <v>31.364000000000001</v>
          </cell>
          <cell r="F54">
            <v>32.073</v>
          </cell>
          <cell r="G54">
            <v>34.436999999999998</v>
          </cell>
          <cell r="H54">
            <v>34.374000000000002</v>
          </cell>
          <cell r="I54">
            <v>34.356999999999999</v>
          </cell>
          <cell r="J54">
            <v>34.323</v>
          </cell>
          <cell r="K54">
            <v>34.286999999999999</v>
          </cell>
          <cell r="L54">
            <v>2018</v>
          </cell>
        </row>
        <row r="55">
          <cell r="B55" t="str">
            <v>ESP</v>
          </cell>
          <cell r="C55" t="str">
            <v>Spain</v>
          </cell>
          <cell r="D55" t="str">
            <v>General government revenue</v>
          </cell>
          <cell r="E55">
            <v>41.295999999999999</v>
          </cell>
          <cell r="F55">
            <v>42.058</v>
          </cell>
          <cell r="G55">
            <v>40.875999999999998</v>
          </cell>
          <cell r="H55">
            <v>40.622</v>
          </cell>
          <cell r="I55">
            <v>40.365000000000002</v>
          </cell>
          <cell r="J55">
            <v>39.076999999999998</v>
          </cell>
          <cell r="K55">
            <v>39.095999999999997</v>
          </cell>
          <cell r="L55">
            <v>2020</v>
          </cell>
        </row>
        <row r="56">
          <cell r="B56" t="str">
            <v>EST</v>
          </cell>
          <cell r="C56" t="str">
            <v>Estonia</v>
          </cell>
          <cell r="D56" t="str">
            <v>General government revenue</v>
          </cell>
          <cell r="E56">
            <v>40.725000000000001</v>
          </cell>
          <cell r="F56">
            <v>41.241</v>
          </cell>
          <cell r="G56">
            <v>40.671999999999997</v>
          </cell>
          <cell r="H56">
            <v>40.850999999999999</v>
          </cell>
          <cell r="I56">
            <v>41.334000000000003</v>
          </cell>
          <cell r="J56">
            <v>41.67</v>
          </cell>
          <cell r="K56">
            <v>41.904000000000003</v>
          </cell>
          <cell r="L56">
            <v>2020</v>
          </cell>
        </row>
        <row r="57">
          <cell r="B57" t="str">
            <v>ETH</v>
          </cell>
          <cell r="C57" t="str">
            <v>Ethiopia</v>
          </cell>
          <cell r="D57" t="str">
            <v>General government revenue</v>
          </cell>
          <cell r="E57">
            <v>11.705</v>
          </cell>
          <cell r="F57">
            <v>10.859</v>
          </cell>
          <cell r="L57">
            <v>2020</v>
          </cell>
        </row>
        <row r="58">
          <cell r="B58" t="str">
            <v>FIN</v>
          </cell>
          <cell r="C58" t="str">
            <v>Finland</v>
          </cell>
          <cell r="D58" t="str">
            <v>General government revenue</v>
          </cell>
          <cell r="E58">
            <v>51.517000000000003</v>
          </cell>
          <cell r="F58">
            <v>52.164000000000001</v>
          </cell>
          <cell r="G58">
            <v>51.872999999999998</v>
          </cell>
          <cell r="H58">
            <v>51.743000000000002</v>
          </cell>
          <cell r="I58">
            <v>51.713000000000001</v>
          </cell>
          <cell r="J58">
            <v>51.625999999999998</v>
          </cell>
          <cell r="K58">
            <v>51.598999999999997</v>
          </cell>
          <cell r="L58">
            <v>2020</v>
          </cell>
        </row>
        <row r="59">
          <cell r="B59" t="str">
            <v>FJI</v>
          </cell>
          <cell r="C59" t="str">
            <v>Fiji</v>
          </cell>
          <cell r="D59" t="str">
            <v>General government revenue</v>
          </cell>
          <cell r="E59">
            <v>20.399999999999999</v>
          </cell>
          <cell r="F59">
            <v>22.431999999999999</v>
          </cell>
          <cell r="G59">
            <v>22.244</v>
          </cell>
          <cell r="H59">
            <v>23.837</v>
          </cell>
          <cell r="I59">
            <v>24.975999999999999</v>
          </cell>
          <cell r="J59">
            <v>25.292000000000002</v>
          </cell>
          <cell r="K59">
            <v>25.524000000000001</v>
          </cell>
          <cell r="L59">
            <v>2020</v>
          </cell>
        </row>
        <row r="60">
          <cell r="B60" t="str">
            <v>FRA</v>
          </cell>
          <cell r="C60" t="str">
            <v>France</v>
          </cell>
          <cell r="D60" t="str">
            <v>General government revenue</v>
          </cell>
          <cell r="E60">
            <v>52.576999999999998</v>
          </cell>
          <cell r="F60">
            <v>51.725000000000001</v>
          </cell>
          <cell r="G60">
            <v>51.314</v>
          </cell>
          <cell r="H60">
            <v>50.607999999999997</v>
          </cell>
          <cell r="I60">
            <v>50.606999999999999</v>
          </cell>
          <cell r="J60">
            <v>50.543999999999997</v>
          </cell>
          <cell r="K60">
            <v>50.493000000000002</v>
          </cell>
          <cell r="L60">
            <v>2020</v>
          </cell>
        </row>
        <row r="61">
          <cell r="B61" t="str">
            <v>FSM</v>
          </cell>
          <cell r="C61" t="str">
            <v>Micronesia</v>
          </cell>
          <cell r="D61" t="str">
            <v>General government revenue</v>
          </cell>
          <cell r="E61">
            <v>69.349000000000004</v>
          </cell>
          <cell r="F61">
            <v>72.849000000000004</v>
          </cell>
          <cell r="G61">
            <v>67.668999999999997</v>
          </cell>
          <cell r="H61">
            <v>64.593999999999994</v>
          </cell>
          <cell r="I61">
            <v>57.216999999999999</v>
          </cell>
          <cell r="J61">
            <v>54.697000000000003</v>
          </cell>
          <cell r="K61">
            <v>54.786999999999999</v>
          </cell>
          <cell r="L61">
            <v>2018</v>
          </cell>
        </row>
        <row r="62">
          <cell r="B62" t="str">
            <v>GAB</v>
          </cell>
          <cell r="C62" t="str">
            <v>Gabon</v>
          </cell>
          <cell r="D62" t="str">
            <v>General government revenue</v>
          </cell>
          <cell r="E62">
            <v>17.614999999999998</v>
          </cell>
          <cell r="F62">
            <v>17.035</v>
          </cell>
          <cell r="G62">
            <v>18.399999999999999</v>
          </cell>
          <cell r="H62">
            <v>19.271000000000001</v>
          </cell>
          <cell r="I62">
            <v>20.116</v>
          </cell>
          <cell r="J62">
            <v>20.762</v>
          </cell>
          <cell r="K62">
            <v>20.946000000000002</v>
          </cell>
          <cell r="L62">
            <v>2019</v>
          </cell>
        </row>
        <row r="63">
          <cell r="B63" t="str">
            <v>GBR</v>
          </cell>
          <cell r="C63" t="str">
            <v>United Kingdom</v>
          </cell>
          <cell r="D63" t="str">
            <v>General government revenue</v>
          </cell>
          <cell r="E63">
            <v>36.581000000000003</v>
          </cell>
          <cell r="F63">
            <v>35.841000000000001</v>
          </cell>
          <cell r="G63">
            <v>36.040999999999997</v>
          </cell>
          <cell r="H63">
            <v>37.35</v>
          </cell>
          <cell r="I63">
            <v>37.816000000000003</v>
          </cell>
          <cell r="J63">
            <v>37.92</v>
          </cell>
          <cell r="K63">
            <v>36.478000000000002</v>
          </cell>
          <cell r="L63">
            <v>2020</v>
          </cell>
        </row>
        <row r="64">
          <cell r="B64" t="str">
            <v>GEO</v>
          </cell>
          <cell r="C64" t="str">
            <v>Georgia</v>
          </cell>
          <cell r="D64" t="str">
            <v>General government revenue</v>
          </cell>
          <cell r="E64">
            <v>25.141999999999999</v>
          </cell>
          <cell r="F64">
            <v>25.734999999999999</v>
          </cell>
          <cell r="G64">
            <v>26.135999999999999</v>
          </cell>
          <cell r="H64">
            <v>26.088000000000001</v>
          </cell>
          <cell r="I64">
            <v>25.984999999999999</v>
          </cell>
          <cell r="J64">
            <v>25.93</v>
          </cell>
          <cell r="K64">
            <v>25.817</v>
          </cell>
          <cell r="L64">
            <v>2020</v>
          </cell>
        </row>
        <row r="65">
          <cell r="B65" t="str">
            <v>GHA</v>
          </cell>
          <cell r="C65" t="str">
            <v>Ghana</v>
          </cell>
          <cell r="D65" t="str">
            <v>General government revenue</v>
          </cell>
          <cell r="E65">
            <v>12.467000000000001</v>
          </cell>
          <cell r="F65">
            <v>14.351000000000001</v>
          </cell>
          <cell r="G65">
            <v>14.295</v>
          </cell>
          <cell r="H65">
            <v>14.215</v>
          </cell>
          <cell r="I65">
            <v>14.347</v>
          </cell>
          <cell r="J65">
            <v>14.324</v>
          </cell>
          <cell r="K65">
            <v>14.49</v>
          </cell>
          <cell r="L65">
            <v>2018</v>
          </cell>
        </row>
        <row r="66">
          <cell r="B66" t="str">
            <v>GIN</v>
          </cell>
          <cell r="C66" t="str">
            <v>Guinea</v>
          </cell>
          <cell r="D66" t="str">
            <v>General government revenue</v>
          </cell>
          <cell r="E66">
            <v>12.813000000000001</v>
          </cell>
          <cell r="F66">
            <v>14.885999999999999</v>
          </cell>
          <cell r="G66">
            <v>14.654999999999999</v>
          </cell>
          <cell r="H66">
            <v>15.143000000000001</v>
          </cell>
          <cell r="I66">
            <v>15.590999999999999</v>
          </cell>
          <cell r="J66">
            <v>15.677</v>
          </cell>
          <cell r="K66">
            <v>15.625</v>
          </cell>
          <cell r="L66">
            <v>2019</v>
          </cell>
        </row>
        <row r="67">
          <cell r="B67" t="str">
            <v>GMB</v>
          </cell>
          <cell r="C67" t="str">
            <v>The Gambia</v>
          </cell>
          <cell r="D67" t="str">
            <v>General government revenue</v>
          </cell>
          <cell r="E67">
            <v>22.329000000000001</v>
          </cell>
          <cell r="F67">
            <v>22.782</v>
          </cell>
          <cell r="G67">
            <v>21.698</v>
          </cell>
          <cell r="H67">
            <v>21.765999999999998</v>
          </cell>
          <cell r="I67">
            <v>20.702999999999999</v>
          </cell>
          <cell r="J67">
            <v>20.641999999999999</v>
          </cell>
          <cell r="K67">
            <v>19.998999999999999</v>
          </cell>
          <cell r="L67">
            <v>2019</v>
          </cell>
        </row>
        <row r="68">
          <cell r="B68" t="str">
            <v>GNB</v>
          </cell>
          <cell r="C68" t="str">
            <v>Guinea-Bissau</v>
          </cell>
          <cell r="D68" t="str">
            <v>General government revenue</v>
          </cell>
          <cell r="E68">
            <v>16.352</v>
          </cell>
          <cell r="F68">
            <v>18.584</v>
          </cell>
          <cell r="G68">
            <v>18.613</v>
          </cell>
          <cell r="H68">
            <v>18.934999999999999</v>
          </cell>
          <cell r="I68">
            <v>18.606000000000002</v>
          </cell>
          <cell r="J68">
            <v>18.707000000000001</v>
          </cell>
          <cell r="K68">
            <v>18.655000000000001</v>
          </cell>
          <cell r="L68">
            <v>2019</v>
          </cell>
        </row>
        <row r="69">
          <cell r="B69" t="str">
            <v>GNQ</v>
          </cell>
          <cell r="C69" t="str">
            <v>Equatorial Guinea</v>
          </cell>
          <cell r="D69" t="str">
            <v>General government revenue</v>
          </cell>
          <cell r="E69">
            <v>14.211</v>
          </cell>
          <cell r="F69">
            <v>16.431000000000001</v>
          </cell>
          <cell r="G69">
            <v>15.555999999999999</v>
          </cell>
          <cell r="H69">
            <v>15.297000000000001</v>
          </cell>
          <cell r="I69">
            <v>15.167999999999999</v>
          </cell>
          <cell r="J69">
            <v>14.872</v>
          </cell>
          <cell r="K69">
            <v>14.994</v>
          </cell>
          <cell r="L69">
            <v>2019</v>
          </cell>
        </row>
        <row r="70">
          <cell r="B70" t="str">
            <v>GRC</v>
          </cell>
          <cell r="C70" t="str">
            <v>Greece</v>
          </cell>
          <cell r="D70" t="str">
            <v>General government revenue</v>
          </cell>
          <cell r="E70">
            <v>50.180999999999997</v>
          </cell>
          <cell r="F70">
            <v>48.783000000000001</v>
          </cell>
          <cell r="G70">
            <v>48.121000000000002</v>
          </cell>
          <cell r="H70">
            <v>48.064</v>
          </cell>
          <cell r="I70">
            <v>47.79</v>
          </cell>
          <cell r="J70">
            <v>47.177</v>
          </cell>
          <cell r="K70">
            <v>46.756999999999998</v>
          </cell>
          <cell r="L70">
            <v>2020</v>
          </cell>
        </row>
        <row r="71">
          <cell r="B71" t="str">
            <v>GRD</v>
          </cell>
          <cell r="C71" t="str">
            <v>Grenada</v>
          </cell>
          <cell r="D71" t="str">
            <v>General government revenue</v>
          </cell>
          <cell r="E71">
            <v>28.606999999999999</v>
          </cell>
          <cell r="F71">
            <v>28.152000000000001</v>
          </cell>
          <cell r="G71">
            <v>26.922999999999998</v>
          </cell>
          <cell r="H71">
            <v>26.946000000000002</v>
          </cell>
          <cell r="I71">
            <v>26.79</v>
          </cell>
          <cell r="J71">
            <v>26.794</v>
          </cell>
          <cell r="K71">
            <v>26.794</v>
          </cell>
          <cell r="L71">
            <v>2020</v>
          </cell>
        </row>
        <row r="72">
          <cell r="B72" t="str">
            <v>GTM</v>
          </cell>
          <cell r="C72" t="str">
            <v>Guatemala</v>
          </cell>
          <cell r="D72" t="str">
            <v>General government revenue</v>
          </cell>
          <cell r="E72">
            <v>10.691000000000001</v>
          </cell>
          <cell r="F72">
            <v>11.48</v>
          </cell>
          <cell r="G72">
            <v>11.3</v>
          </cell>
          <cell r="H72">
            <v>11.526</v>
          </cell>
          <cell r="I72">
            <v>11.638999999999999</v>
          </cell>
          <cell r="J72">
            <v>11.718</v>
          </cell>
          <cell r="K72">
            <v>11.821</v>
          </cell>
          <cell r="L72">
            <v>2020</v>
          </cell>
        </row>
        <row r="73">
          <cell r="B73" t="str">
            <v>GUY</v>
          </cell>
          <cell r="C73" t="str">
            <v>Guyana</v>
          </cell>
          <cell r="D73" t="str">
            <v>General government revenue</v>
          </cell>
          <cell r="E73">
            <v>22.733000000000001</v>
          </cell>
          <cell r="F73">
            <v>19.789000000000001</v>
          </cell>
          <cell r="G73">
            <v>18.734000000000002</v>
          </cell>
          <cell r="H73">
            <v>17.888000000000002</v>
          </cell>
          <cell r="I73">
            <v>19.030999999999999</v>
          </cell>
          <cell r="J73">
            <v>19.329999999999998</v>
          </cell>
          <cell r="K73">
            <v>19.271999999999998</v>
          </cell>
          <cell r="L73">
            <v>2019</v>
          </cell>
        </row>
        <row r="74">
          <cell r="B74" t="str">
            <v>HKG</v>
          </cell>
          <cell r="C74" t="str">
            <v>Hong Kong SAR</v>
          </cell>
          <cell r="D74" t="str">
            <v>General government revenue</v>
          </cell>
          <cell r="E74">
            <v>20.579000000000001</v>
          </cell>
          <cell r="F74">
            <v>21.163</v>
          </cell>
          <cell r="G74">
            <v>21.411999999999999</v>
          </cell>
          <cell r="H74">
            <v>21.364999999999998</v>
          </cell>
          <cell r="I74">
            <v>21.347999999999999</v>
          </cell>
          <cell r="J74">
            <v>21.446999999999999</v>
          </cell>
          <cell r="K74">
            <v>21.446999999999999</v>
          </cell>
          <cell r="L74">
            <v>2021</v>
          </cell>
        </row>
        <row r="75">
          <cell r="B75" t="str">
            <v>HND</v>
          </cell>
          <cell r="C75" t="str">
            <v>Honduras</v>
          </cell>
          <cell r="D75" t="str">
            <v>General government revenue</v>
          </cell>
          <cell r="E75">
            <v>23.352</v>
          </cell>
          <cell r="F75">
            <v>24.582999999999998</v>
          </cell>
          <cell r="G75">
            <v>25.376000000000001</v>
          </cell>
          <cell r="H75">
            <v>25.911999999999999</v>
          </cell>
          <cell r="I75">
            <v>25.684999999999999</v>
          </cell>
          <cell r="J75">
            <v>25.657</v>
          </cell>
          <cell r="K75">
            <v>25.57</v>
          </cell>
          <cell r="L75">
            <v>2019</v>
          </cell>
        </row>
        <row r="76">
          <cell r="B76" t="str">
            <v>HRV</v>
          </cell>
          <cell r="C76" t="str">
            <v>Croatia</v>
          </cell>
          <cell r="D76" t="str">
            <v>General government revenue</v>
          </cell>
          <cell r="E76">
            <v>48.021000000000001</v>
          </cell>
          <cell r="F76">
            <v>51.128</v>
          </cell>
          <cell r="G76">
            <v>52.317999999999998</v>
          </cell>
          <cell r="H76">
            <v>52.057000000000002</v>
          </cell>
          <cell r="I76">
            <v>50.411000000000001</v>
          </cell>
          <cell r="J76">
            <v>48.79</v>
          </cell>
          <cell r="K76">
            <v>48.082000000000001</v>
          </cell>
          <cell r="L76">
            <v>2020</v>
          </cell>
        </row>
        <row r="77">
          <cell r="B77" t="str">
            <v>HTI</v>
          </cell>
          <cell r="C77" t="str">
            <v>Haiti</v>
          </cell>
          <cell r="D77" t="str">
            <v>General government revenue</v>
          </cell>
          <cell r="E77">
            <v>7.4850000000000003</v>
          </cell>
          <cell r="F77">
            <v>7.8609999999999998</v>
          </cell>
          <cell r="G77">
            <v>7.8780000000000001</v>
          </cell>
          <cell r="H77">
            <v>8.9489999999999998</v>
          </cell>
          <cell r="I77">
            <v>9.68</v>
          </cell>
          <cell r="J77">
            <v>10.206</v>
          </cell>
          <cell r="K77">
            <v>10.276999999999999</v>
          </cell>
          <cell r="L77">
            <v>2020</v>
          </cell>
        </row>
        <row r="78">
          <cell r="B78" t="str">
            <v>HUN</v>
          </cell>
          <cell r="C78" t="str">
            <v>Hungary</v>
          </cell>
          <cell r="D78" t="str">
            <v>General government revenue</v>
          </cell>
          <cell r="E78">
            <v>43.512999999999998</v>
          </cell>
          <cell r="F78">
            <v>42.459000000000003</v>
          </cell>
          <cell r="G78">
            <v>41.332999999999998</v>
          </cell>
          <cell r="H78">
            <v>42.819000000000003</v>
          </cell>
          <cell r="I78">
            <v>43.237000000000002</v>
          </cell>
          <cell r="J78">
            <v>43.530999999999999</v>
          </cell>
          <cell r="K78">
            <v>43.722999999999999</v>
          </cell>
          <cell r="L78">
            <v>2020</v>
          </cell>
        </row>
        <row r="79">
          <cell r="B79" t="str">
            <v>IDN</v>
          </cell>
          <cell r="C79" t="str">
            <v>Indonesia</v>
          </cell>
          <cell r="D79" t="str">
            <v>General government revenue</v>
          </cell>
          <cell r="E79">
            <v>12.365</v>
          </cell>
          <cell r="F79">
            <v>12.387</v>
          </cell>
          <cell r="G79">
            <v>12.041</v>
          </cell>
          <cell r="H79">
            <v>12.294</v>
          </cell>
          <cell r="I79">
            <v>12.397</v>
          </cell>
          <cell r="J79">
            <v>12.644</v>
          </cell>
          <cell r="K79">
            <v>12.823</v>
          </cell>
          <cell r="L79">
            <v>2020</v>
          </cell>
        </row>
        <row r="80">
          <cell r="B80" t="str">
            <v>IND</v>
          </cell>
          <cell r="C80" t="str">
            <v>India</v>
          </cell>
          <cell r="D80" t="str">
            <v>General government revenue</v>
          </cell>
          <cell r="E80">
            <v>18.292999999999999</v>
          </cell>
          <cell r="F80">
            <v>19.169</v>
          </cell>
          <cell r="G80">
            <v>19.452000000000002</v>
          </cell>
          <cell r="H80">
            <v>19.623999999999999</v>
          </cell>
          <cell r="I80">
            <v>19.826000000000001</v>
          </cell>
          <cell r="J80">
            <v>19.995000000000001</v>
          </cell>
          <cell r="K80">
            <v>20.135000000000002</v>
          </cell>
          <cell r="L80">
            <v>2020</v>
          </cell>
        </row>
        <row r="81">
          <cell r="B81" t="str">
            <v>IRL</v>
          </cell>
          <cell r="C81" t="str">
            <v>Ireland</v>
          </cell>
          <cell r="D81" t="str">
            <v>General government revenue</v>
          </cell>
          <cell r="E81">
            <v>22.67</v>
          </cell>
          <cell r="F81">
            <v>19.853000000000002</v>
          </cell>
          <cell r="G81">
            <v>19.902000000000001</v>
          </cell>
          <cell r="H81">
            <v>19.702999999999999</v>
          </cell>
          <cell r="I81">
            <v>19.620999999999999</v>
          </cell>
          <cell r="J81">
            <v>19.529</v>
          </cell>
          <cell r="K81">
            <v>19.088000000000001</v>
          </cell>
          <cell r="L81">
            <v>2020</v>
          </cell>
        </row>
        <row r="82">
          <cell r="B82" t="str">
            <v>IRN</v>
          </cell>
          <cell r="C82" t="str">
            <v>Islamic Republic of Iran</v>
          </cell>
          <cell r="D82" t="str">
            <v>General government revenue</v>
          </cell>
          <cell r="E82">
            <v>8.9120000000000008</v>
          </cell>
          <cell r="F82">
            <v>9.1690000000000005</v>
          </cell>
          <cell r="G82">
            <v>9.3989999999999991</v>
          </cell>
          <cell r="H82">
            <v>9.6050000000000004</v>
          </cell>
          <cell r="I82">
            <v>9.8309999999999995</v>
          </cell>
          <cell r="J82">
            <v>10.076000000000001</v>
          </cell>
          <cell r="K82">
            <v>10.342000000000001</v>
          </cell>
          <cell r="L82">
            <v>2019</v>
          </cell>
        </row>
        <row r="83">
          <cell r="B83" t="str">
            <v>IRQ</v>
          </cell>
          <cell r="C83" t="str">
            <v>Iraq</v>
          </cell>
          <cell r="D83" t="str">
            <v>General government revenue</v>
          </cell>
          <cell r="E83">
            <v>31.297000000000001</v>
          </cell>
          <cell r="F83">
            <v>42.119</v>
          </cell>
          <cell r="G83">
            <v>41.331000000000003</v>
          </cell>
          <cell r="H83">
            <v>38.963999999999999</v>
          </cell>
          <cell r="I83">
            <v>36.548000000000002</v>
          </cell>
          <cell r="J83">
            <v>34.731999999999999</v>
          </cell>
          <cell r="K83">
            <v>33.317999999999998</v>
          </cell>
          <cell r="L83">
            <v>2020</v>
          </cell>
        </row>
        <row r="84">
          <cell r="B84" t="str">
            <v>ISL</v>
          </cell>
          <cell r="C84" t="str">
            <v>Iceland</v>
          </cell>
          <cell r="D84" t="str">
            <v>General government revenue</v>
          </cell>
          <cell r="E84">
            <v>41.875999999999998</v>
          </cell>
          <cell r="F84">
            <v>41.31</v>
          </cell>
          <cell r="G84">
            <v>41.128</v>
          </cell>
          <cell r="H84">
            <v>41.593000000000004</v>
          </cell>
          <cell r="I84">
            <v>41.527999999999999</v>
          </cell>
          <cell r="J84">
            <v>41.390999999999998</v>
          </cell>
          <cell r="K84">
            <v>41.104999999999997</v>
          </cell>
          <cell r="L84">
            <v>2020</v>
          </cell>
        </row>
        <row r="85">
          <cell r="B85" t="str">
            <v>ISR</v>
          </cell>
          <cell r="C85" t="str">
            <v>Israel</v>
          </cell>
          <cell r="D85" t="str">
            <v>General government revenue</v>
          </cell>
          <cell r="E85">
            <v>34.747</v>
          </cell>
          <cell r="F85">
            <v>35.801000000000002</v>
          </cell>
          <cell r="G85">
            <v>35.311999999999998</v>
          </cell>
          <cell r="H85">
            <v>34.984000000000002</v>
          </cell>
          <cell r="I85">
            <v>34.996000000000002</v>
          </cell>
          <cell r="J85">
            <v>35.008000000000003</v>
          </cell>
          <cell r="K85">
            <v>35.012</v>
          </cell>
          <cell r="L85">
            <v>2019</v>
          </cell>
        </row>
        <row r="86">
          <cell r="B86" t="str">
            <v>ITA</v>
          </cell>
          <cell r="C86" t="str">
            <v>Italy</v>
          </cell>
          <cell r="D86" t="str">
            <v>General government revenue</v>
          </cell>
          <cell r="E86">
            <v>47.793999999999997</v>
          </cell>
          <cell r="F86">
            <v>47.473999999999997</v>
          </cell>
          <cell r="G86">
            <v>47.453000000000003</v>
          </cell>
          <cell r="H86">
            <v>47.606999999999999</v>
          </cell>
          <cell r="I86">
            <v>47.567</v>
          </cell>
          <cell r="J86">
            <v>47.430999999999997</v>
          </cell>
          <cell r="K86">
            <v>47.067999999999998</v>
          </cell>
          <cell r="L86">
            <v>2020</v>
          </cell>
        </row>
        <row r="87">
          <cell r="B87" t="str">
            <v>JAM</v>
          </cell>
          <cell r="C87" t="str">
            <v>Jamaica</v>
          </cell>
          <cell r="D87" t="str">
            <v>General government revenue</v>
          </cell>
          <cell r="E87">
            <v>29.151</v>
          </cell>
          <cell r="F87">
            <v>29.55</v>
          </cell>
          <cell r="G87">
            <v>29.524000000000001</v>
          </cell>
          <cell r="H87">
            <v>30.26</v>
          </cell>
          <cell r="I87">
            <v>30.218</v>
          </cell>
          <cell r="J87">
            <v>29.966000000000001</v>
          </cell>
          <cell r="K87">
            <v>29.832999999999998</v>
          </cell>
          <cell r="L87">
            <v>2020</v>
          </cell>
        </row>
        <row r="88">
          <cell r="B88" t="str">
            <v>JOR</v>
          </cell>
          <cell r="C88" t="str">
            <v>Jordan</v>
          </cell>
          <cell r="D88" t="str">
            <v>General government revenue</v>
          </cell>
          <cell r="E88">
            <v>22.655000000000001</v>
          </cell>
          <cell r="F88">
            <v>24.87</v>
          </cell>
          <cell r="G88">
            <v>25.425999999999998</v>
          </cell>
          <cell r="H88">
            <v>25.308</v>
          </cell>
          <cell r="I88">
            <v>25.641999999999999</v>
          </cell>
          <cell r="J88">
            <v>25.611999999999998</v>
          </cell>
          <cell r="K88">
            <v>25.318000000000001</v>
          </cell>
          <cell r="L88">
            <v>2019</v>
          </cell>
        </row>
        <row r="89">
          <cell r="B89" t="str">
            <v>JPN</v>
          </cell>
          <cell r="C89" t="str">
            <v>Japan</v>
          </cell>
          <cell r="D89" t="str">
            <v>General government revenue</v>
          </cell>
          <cell r="E89">
            <v>34.753999999999998</v>
          </cell>
          <cell r="F89">
            <v>34.539000000000001</v>
          </cell>
          <cell r="G89">
            <v>34.454000000000001</v>
          </cell>
          <cell r="H89">
            <v>34.554000000000002</v>
          </cell>
          <cell r="I89">
            <v>34.573999999999998</v>
          </cell>
          <cell r="J89">
            <v>34.555</v>
          </cell>
          <cell r="K89">
            <v>34.54</v>
          </cell>
          <cell r="L89">
            <v>2019</v>
          </cell>
        </row>
        <row r="90">
          <cell r="B90" t="str">
            <v>KAZ</v>
          </cell>
          <cell r="C90" t="str">
            <v>Kazakhstan</v>
          </cell>
          <cell r="D90" t="str">
            <v>General government revenue</v>
          </cell>
          <cell r="E90">
            <v>17.492999999999999</v>
          </cell>
          <cell r="F90">
            <v>18.347999999999999</v>
          </cell>
          <cell r="G90">
            <v>18.888000000000002</v>
          </cell>
          <cell r="H90">
            <v>19.111000000000001</v>
          </cell>
          <cell r="I90">
            <v>19.036999999999999</v>
          </cell>
          <cell r="J90">
            <v>18.899000000000001</v>
          </cell>
          <cell r="K90">
            <v>18.821000000000002</v>
          </cell>
          <cell r="L90">
            <v>2020</v>
          </cell>
        </row>
        <row r="91">
          <cell r="B91" t="str">
            <v>KEN</v>
          </cell>
          <cell r="C91" t="str">
            <v>Kenya</v>
          </cell>
          <cell r="D91" t="str">
            <v>General government revenue</v>
          </cell>
          <cell r="E91">
            <v>16.593</v>
          </cell>
          <cell r="F91">
            <v>16.335999999999999</v>
          </cell>
          <cell r="G91">
            <v>16.972000000000001</v>
          </cell>
          <cell r="H91">
            <v>17.818999999999999</v>
          </cell>
          <cell r="I91">
            <v>18.286000000000001</v>
          </cell>
          <cell r="J91">
            <v>18.681000000000001</v>
          </cell>
          <cell r="K91">
            <v>19.053999999999998</v>
          </cell>
          <cell r="L91">
            <v>2020</v>
          </cell>
        </row>
        <row r="92">
          <cell r="B92" t="str">
            <v>KGZ</v>
          </cell>
          <cell r="C92" t="str">
            <v>Kyrgyz Republic</v>
          </cell>
          <cell r="D92" t="str">
            <v>General government revenue</v>
          </cell>
          <cell r="E92">
            <v>31.015999999999998</v>
          </cell>
          <cell r="F92">
            <v>31.306000000000001</v>
          </cell>
          <cell r="G92">
            <v>30.709</v>
          </cell>
          <cell r="H92">
            <v>30.556999999999999</v>
          </cell>
          <cell r="I92">
            <v>30.545999999999999</v>
          </cell>
          <cell r="J92">
            <v>30.692</v>
          </cell>
          <cell r="K92">
            <v>30.574000000000002</v>
          </cell>
          <cell r="L92">
            <v>2020</v>
          </cell>
        </row>
        <row r="93">
          <cell r="B93" t="str">
            <v>KHM</v>
          </cell>
          <cell r="C93" t="str">
            <v>Cambodia</v>
          </cell>
          <cell r="D93" t="str">
            <v>General government revenue</v>
          </cell>
          <cell r="E93">
            <v>24.116</v>
          </cell>
          <cell r="F93">
            <v>24.233000000000001</v>
          </cell>
          <cell r="G93">
            <v>24.265999999999998</v>
          </cell>
          <cell r="H93">
            <v>24.13</v>
          </cell>
          <cell r="I93">
            <v>24.009</v>
          </cell>
          <cell r="J93">
            <v>23.949000000000002</v>
          </cell>
          <cell r="K93">
            <v>23.922999999999998</v>
          </cell>
          <cell r="L93">
            <v>2019</v>
          </cell>
        </row>
        <row r="94">
          <cell r="B94" t="str">
            <v>KIR</v>
          </cell>
          <cell r="C94" t="str">
            <v>Kiribati</v>
          </cell>
          <cell r="D94" t="str">
            <v>General government revenue</v>
          </cell>
          <cell r="E94">
            <v>105.809</v>
          </cell>
          <cell r="F94">
            <v>106.851</v>
          </cell>
          <cell r="G94">
            <v>103.316</v>
          </cell>
          <cell r="H94">
            <v>99.822999999999993</v>
          </cell>
          <cell r="I94">
            <v>98.537000000000006</v>
          </cell>
          <cell r="J94">
            <v>97.483999999999995</v>
          </cell>
          <cell r="K94">
            <v>97.114999999999995</v>
          </cell>
          <cell r="L94">
            <v>2019</v>
          </cell>
        </row>
        <row r="95">
          <cell r="B95" t="str">
            <v>KNA</v>
          </cell>
          <cell r="C95" t="str">
            <v>St. Kitts and Nevis</v>
          </cell>
          <cell r="D95" t="str">
            <v>General government revenue</v>
          </cell>
          <cell r="E95">
            <v>31.3</v>
          </cell>
          <cell r="F95">
            <v>33.183999999999997</v>
          </cell>
          <cell r="G95">
            <v>30.553000000000001</v>
          </cell>
          <cell r="H95">
            <v>30.622</v>
          </cell>
          <cell r="I95">
            <v>30.631</v>
          </cell>
          <cell r="J95">
            <v>30.632000000000001</v>
          </cell>
          <cell r="K95">
            <v>30.63</v>
          </cell>
          <cell r="L95">
            <v>2020</v>
          </cell>
        </row>
        <row r="96">
          <cell r="B96" t="str">
            <v>KOR</v>
          </cell>
          <cell r="C96" t="str">
            <v>Korea</v>
          </cell>
          <cell r="D96" t="str">
            <v>General government revenue</v>
          </cell>
          <cell r="E96">
            <v>22.952000000000002</v>
          </cell>
          <cell r="F96">
            <v>23.594000000000001</v>
          </cell>
          <cell r="G96">
            <v>23.198</v>
          </cell>
          <cell r="H96">
            <v>23.231999999999999</v>
          </cell>
          <cell r="I96">
            <v>23.236999999999998</v>
          </cell>
          <cell r="J96">
            <v>23.227</v>
          </cell>
          <cell r="K96">
            <v>23.236000000000001</v>
          </cell>
          <cell r="L96">
            <v>2019</v>
          </cell>
        </row>
        <row r="97">
          <cell r="B97" t="str">
            <v>KWT</v>
          </cell>
          <cell r="C97" t="str">
            <v>Kuwait</v>
          </cell>
          <cell r="D97" t="str">
            <v>General government revenue</v>
          </cell>
          <cell r="E97">
            <v>58.756</v>
          </cell>
          <cell r="F97">
            <v>54.970999999999997</v>
          </cell>
          <cell r="G97">
            <v>56.192999999999998</v>
          </cell>
          <cell r="H97">
            <v>54.798999999999999</v>
          </cell>
          <cell r="I97">
            <v>53.389000000000003</v>
          </cell>
          <cell r="J97">
            <v>52.503</v>
          </cell>
          <cell r="K97">
            <v>51.786000000000001</v>
          </cell>
          <cell r="L97">
            <v>2019</v>
          </cell>
        </row>
        <row r="98">
          <cell r="B98" t="str">
            <v>LAO</v>
          </cell>
          <cell r="C98" t="str">
            <v>Lao P.D.R.</v>
          </cell>
          <cell r="D98" t="str">
            <v>General government revenue</v>
          </cell>
          <cell r="E98">
            <v>12.776999999999999</v>
          </cell>
          <cell r="F98">
            <v>13.196999999999999</v>
          </cell>
          <cell r="G98">
            <v>13.675000000000001</v>
          </cell>
          <cell r="H98">
            <v>14.183</v>
          </cell>
          <cell r="I98">
            <v>14.625</v>
          </cell>
          <cell r="J98">
            <v>14.834</v>
          </cell>
          <cell r="K98">
            <v>14.975</v>
          </cell>
          <cell r="L98">
            <v>2020</v>
          </cell>
        </row>
        <row r="99">
          <cell r="B99" t="str">
            <v>LBN</v>
          </cell>
          <cell r="C99" t="str">
            <v>Lebanon</v>
          </cell>
          <cell r="D99" t="str">
            <v>General government revenue</v>
          </cell>
          <cell r="E99">
            <v>16.012</v>
          </cell>
          <cell r="L99">
            <v>2020</v>
          </cell>
        </row>
        <row r="100">
          <cell r="B100" t="str">
            <v>LBR</v>
          </cell>
          <cell r="C100" t="str">
            <v>Liberia</v>
          </cell>
          <cell r="D100" t="str">
            <v>General government revenue</v>
          </cell>
          <cell r="E100">
            <v>30</v>
          </cell>
          <cell r="F100">
            <v>28.712</v>
          </cell>
          <cell r="G100">
            <v>27.812000000000001</v>
          </cell>
          <cell r="H100">
            <v>28.646000000000001</v>
          </cell>
          <cell r="I100">
            <v>28.603999999999999</v>
          </cell>
          <cell r="J100">
            <v>28.038</v>
          </cell>
          <cell r="K100">
            <v>24.960999999999999</v>
          </cell>
          <cell r="L100">
            <v>2019</v>
          </cell>
        </row>
        <row r="101">
          <cell r="B101" t="str">
            <v>LBY</v>
          </cell>
          <cell r="C101" t="str">
            <v>Libya</v>
          </cell>
          <cell r="D101" t="str">
            <v>General government revenue</v>
          </cell>
          <cell r="E101">
            <v>85.738</v>
          </cell>
          <cell r="F101">
            <v>72.793000000000006</v>
          </cell>
          <cell r="G101">
            <v>70.953999999999994</v>
          </cell>
          <cell r="H101">
            <v>68.697999999999993</v>
          </cell>
          <cell r="I101">
            <v>66.132999999999996</v>
          </cell>
          <cell r="J101">
            <v>64.896000000000001</v>
          </cell>
          <cell r="K101">
            <v>64.998999999999995</v>
          </cell>
          <cell r="L101">
            <v>2019</v>
          </cell>
        </row>
        <row r="102">
          <cell r="B102" t="str">
            <v>LCA</v>
          </cell>
          <cell r="C102" t="str">
            <v>St. Lucia</v>
          </cell>
          <cell r="D102" t="str">
            <v>General government revenue</v>
          </cell>
          <cell r="E102">
            <v>21.274999999999999</v>
          </cell>
          <cell r="F102">
            <v>22.347999999999999</v>
          </cell>
          <cell r="G102">
            <v>21.952999999999999</v>
          </cell>
          <cell r="H102">
            <v>21.794</v>
          </cell>
          <cell r="I102">
            <v>21.712</v>
          </cell>
          <cell r="J102">
            <v>21.687000000000001</v>
          </cell>
          <cell r="K102">
            <v>21.643999999999998</v>
          </cell>
          <cell r="L102">
            <v>2020</v>
          </cell>
        </row>
        <row r="103">
          <cell r="B103" t="str">
            <v>LKA</v>
          </cell>
          <cell r="C103" t="str">
            <v>Sri Lanka</v>
          </cell>
          <cell r="D103" t="str">
            <v>General government revenue</v>
          </cell>
          <cell r="E103">
            <v>9.1720000000000006</v>
          </cell>
          <cell r="F103">
            <v>9.4600000000000009</v>
          </cell>
          <cell r="G103">
            <v>10.331</v>
          </cell>
          <cell r="H103">
            <v>10.686</v>
          </cell>
          <cell r="I103">
            <v>11.023999999999999</v>
          </cell>
          <cell r="J103">
            <v>11.099</v>
          </cell>
          <cell r="K103">
            <v>11.137</v>
          </cell>
          <cell r="L103">
            <v>2019</v>
          </cell>
        </row>
        <row r="104">
          <cell r="B104" t="str">
            <v>LSO</v>
          </cell>
          <cell r="C104" t="str">
            <v>Lesotho</v>
          </cell>
          <cell r="D104" t="str">
            <v>General government revenue</v>
          </cell>
          <cell r="E104">
            <v>57.185000000000002</v>
          </cell>
          <cell r="F104">
            <v>46.036999999999999</v>
          </cell>
          <cell r="G104">
            <v>47.48</v>
          </cell>
          <cell r="H104">
            <v>44.98</v>
          </cell>
          <cell r="I104">
            <v>45.06</v>
          </cell>
          <cell r="J104">
            <v>45.564</v>
          </cell>
          <cell r="K104">
            <v>45.235999999999997</v>
          </cell>
          <cell r="L104">
            <v>2021</v>
          </cell>
        </row>
        <row r="105">
          <cell r="B105" t="str">
            <v>LTU</v>
          </cell>
          <cell r="C105" t="str">
            <v>Lithuania</v>
          </cell>
          <cell r="D105" t="str">
            <v>General government revenue</v>
          </cell>
          <cell r="E105">
            <v>35.319000000000003</v>
          </cell>
          <cell r="F105">
            <v>36.421999999999997</v>
          </cell>
          <cell r="G105">
            <v>36.746000000000002</v>
          </cell>
          <cell r="H105">
            <v>36.293999999999997</v>
          </cell>
          <cell r="I105">
            <v>35.368000000000002</v>
          </cell>
          <cell r="J105">
            <v>35.395000000000003</v>
          </cell>
          <cell r="K105">
            <v>34.941000000000003</v>
          </cell>
          <cell r="L105">
            <v>2019</v>
          </cell>
        </row>
        <row r="106">
          <cell r="B106" t="str">
            <v>LUX</v>
          </cell>
          <cell r="C106" t="str">
            <v>Luxembourg</v>
          </cell>
          <cell r="D106" t="str">
            <v>General government revenue</v>
          </cell>
          <cell r="E106">
            <v>43.706000000000003</v>
          </cell>
          <cell r="F106">
            <v>42.787999999999997</v>
          </cell>
          <cell r="G106">
            <v>42.500999999999998</v>
          </cell>
          <cell r="H106">
            <v>42.353000000000002</v>
          </cell>
          <cell r="I106">
            <v>42.259</v>
          </cell>
          <cell r="J106">
            <v>42.277000000000001</v>
          </cell>
          <cell r="K106">
            <v>42.298000000000002</v>
          </cell>
          <cell r="L106">
            <v>2020</v>
          </cell>
        </row>
        <row r="107">
          <cell r="B107" t="str">
            <v>LVA</v>
          </cell>
          <cell r="C107" t="str">
            <v>Latvia</v>
          </cell>
          <cell r="D107" t="str">
            <v>General government revenue</v>
          </cell>
          <cell r="E107">
            <v>38.591999999999999</v>
          </cell>
          <cell r="F107">
            <v>38.521999999999998</v>
          </cell>
          <cell r="G107">
            <v>38.145000000000003</v>
          </cell>
          <cell r="H107">
            <v>39.076000000000001</v>
          </cell>
          <cell r="I107">
            <v>38.822000000000003</v>
          </cell>
          <cell r="J107">
            <v>38.078000000000003</v>
          </cell>
          <cell r="K107">
            <v>37.683</v>
          </cell>
          <cell r="L107">
            <v>2020</v>
          </cell>
        </row>
        <row r="108">
          <cell r="B108" t="str">
            <v>MAC</v>
          </cell>
          <cell r="C108" t="str">
            <v>Macao SAR</v>
          </cell>
          <cell r="D108" t="str">
            <v>General government revenue</v>
          </cell>
          <cell r="E108">
            <v>28.553999999999998</v>
          </cell>
          <cell r="F108">
            <v>30.797999999999998</v>
          </cell>
          <cell r="G108">
            <v>33.61</v>
          </cell>
          <cell r="H108">
            <v>37.889000000000003</v>
          </cell>
          <cell r="I108">
            <v>38.210999999999999</v>
          </cell>
          <cell r="J108">
            <v>38.234000000000002</v>
          </cell>
          <cell r="K108">
            <v>38.308</v>
          </cell>
          <cell r="L108">
            <v>2019</v>
          </cell>
        </row>
        <row r="109">
          <cell r="B109" t="str">
            <v>MAR</v>
          </cell>
          <cell r="C109" t="str">
            <v>Morocco</v>
          </cell>
          <cell r="D109" t="str">
            <v>General government revenue</v>
          </cell>
          <cell r="E109">
            <v>28.417999999999999</v>
          </cell>
          <cell r="F109">
            <v>24.687999999999999</v>
          </cell>
          <cell r="G109">
            <v>26.004000000000001</v>
          </cell>
          <cell r="H109">
            <v>26.248000000000001</v>
          </cell>
          <cell r="I109">
            <v>26.542000000000002</v>
          </cell>
          <cell r="J109">
            <v>26.899000000000001</v>
          </cell>
          <cell r="K109">
            <v>27.21</v>
          </cell>
          <cell r="L109">
            <v>2020</v>
          </cell>
        </row>
        <row r="110">
          <cell r="B110" t="str">
            <v>MDA</v>
          </cell>
          <cell r="C110" t="str">
            <v>Moldova</v>
          </cell>
          <cell r="D110" t="str">
            <v>General government revenue</v>
          </cell>
          <cell r="E110">
            <v>30.363</v>
          </cell>
          <cell r="F110">
            <v>30.986999999999998</v>
          </cell>
          <cell r="G110">
            <v>31.815000000000001</v>
          </cell>
          <cell r="H110">
            <v>32.165999999999997</v>
          </cell>
          <cell r="I110">
            <v>32.283000000000001</v>
          </cell>
          <cell r="J110">
            <v>32.439</v>
          </cell>
          <cell r="K110">
            <v>32.527999999999999</v>
          </cell>
          <cell r="L110">
            <v>2019</v>
          </cell>
        </row>
        <row r="111">
          <cell r="B111" t="str">
            <v>MDG</v>
          </cell>
          <cell r="C111" t="str">
            <v>Madagascar</v>
          </cell>
          <cell r="D111" t="str">
            <v>General government revenue</v>
          </cell>
          <cell r="E111">
            <v>12.196999999999999</v>
          </cell>
          <cell r="F111">
            <v>12.183999999999999</v>
          </cell>
          <cell r="G111">
            <v>13.37</v>
          </cell>
          <cell r="H111">
            <v>13.404999999999999</v>
          </cell>
          <cell r="I111">
            <v>13.68</v>
          </cell>
          <cell r="J111">
            <v>13.933</v>
          </cell>
          <cell r="K111">
            <v>14.093</v>
          </cell>
          <cell r="L111">
            <v>2020</v>
          </cell>
        </row>
        <row r="112">
          <cell r="B112" t="str">
            <v>MDV</v>
          </cell>
          <cell r="C112" t="str">
            <v>Maldives</v>
          </cell>
          <cell r="D112" t="str">
            <v>General government revenue</v>
          </cell>
          <cell r="E112">
            <v>27.238</v>
          </cell>
          <cell r="F112">
            <v>27.922000000000001</v>
          </cell>
          <cell r="G112">
            <v>28.408999999999999</v>
          </cell>
          <cell r="H112">
            <v>28.04</v>
          </cell>
          <cell r="I112">
            <v>27.861000000000001</v>
          </cell>
          <cell r="J112">
            <v>27.283999999999999</v>
          </cell>
          <cell r="K112">
            <v>27.216999999999999</v>
          </cell>
          <cell r="L112">
            <v>2020</v>
          </cell>
        </row>
        <row r="113">
          <cell r="B113" t="str">
            <v>MEX</v>
          </cell>
          <cell r="C113" t="str">
            <v>Mexico</v>
          </cell>
          <cell r="D113" t="str">
            <v>General government revenue</v>
          </cell>
          <cell r="E113">
            <v>24.524000000000001</v>
          </cell>
          <cell r="F113">
            <v>24.041</v>
          </cell>
          <cell r="G113">
            <v>23.21</v>
          </cell>
          <cell r="H113">
            <v>22.948</v>
          </cell>
          <cell r="I113">
            <v>22.983000000000001</v>
          </cell>
          <cell r="J113">
            <v>23.033999999999999</v>
          </cell>
          <cell r="K113">
            <v>23.085000000000001</v>
          </cell>
          <cell r="L113">
            <v>2020</v>
          </cell>
        </row>
        <row r="114">
          <cell r="B114" t="str">
            <v>MHL</v>
          </cell>
          <cell r="C114" t="str">
            <v>Marshall Islands</v>
          </cell>
          <cell r="D114" t="str">
            <v>General government revenue</v>
          </cell>
          <cell r="E114">
            <v>70.290999999999997</v>
          </cell>
          <cell r="F114">
            <v>83.706000000000003</v>
          </cell>
          <cell r="G114">
            <v>70.084999999999994</v>
          </cell>
          <cell r="H114">
            <v>69.2</v>
          </cell>
          <cell r="I114">
            <v>66.016000000000005</v>
          </cell>
          <cell r="J114">
            <v>62.265000000000001</v>
          </cell>
          <cell r="K114">
            <v>63.792999999999999</v>
          </cell>
          <cell r="L114">
            <v>2020</v>
          </cell>
        </row>
        <row r="115">
          <cell r="B115" t="str">
            <v>MKD</v>
          </cell>
          <cell r="C115" t="str">
            <v>North Macedonia</v>
          </cell>
          <cell r="D115" t="str">
            <v>General government revenue</v>
          </cell>
          <cell r="E115">
            <v>28.579000000000001</v>
          </cell>
          <cell r="F115">
            <v>29.681000000000001</v>
          </cell>
          <cell r="G115">
            <v>30.114000000000001</v>
          </cell>
          <cell r="H115">
            <v>30.140999999999998</v>
          </cell>
          <cell r="I115">
            <v>30.140999999999998</v>
          </cell>
          <cell r="J115">
            <v>30.140999999999998</v>
          </cell>
          <cell r="K115">
            <v>30.140999999999998</v>
          </cell>
          <cell r="L115">
            <v>2020</v>
          </cell>
        </row>
        <row r="116">
          <cell r="B116" t="str">
            <v>MLI</v>
          </cell>
          <cell r="C116" t="str">
            <v>Mali</v>
          </cell>
          <cell r="D116" t="str">
            <v>General government revenue</v>
          </cell>
          <cell r="E116">
            <v>20.722999999999999</v>
          </cell>
          <cell r="F116">
            <v>22.042000000000002</v>
          </cell>
          <cell r="G116">
            <v>22.024000000000001</v>
          </cell>
          <cell r="H116">
            <v>22.53</v>
          </cell>
          <cell r="I116">
            <v>22.817</v>
          </cell>
          <cell r="J116">
            <v>22.88</v>
          </cell>
          <cell r="K116">
            <v>22.945</v>
          </cell>
          <cell r="L116">
            <v>2019</v>
          </cell>
        </row>
        <row r="117">
          <cell r="B117" t="str">
            <v>MLT</v>
          </cell>
          <cell r="C117" t="str">
            <v>Malta</v>
          </cell>
          <cell r="D117" t="str">
            <v>General government revenue</v>
          </cell>
          <cell r="E117">
            <v>35.808999999999997</v>
          </cell>
          <cell r="F117">
            <v>35.570999999999998</v>
          </cell>
          <cell r="G117">
            <v>35.255000000000003</v>
          </cell>
          <cell r="H117">
            <v>34.951999999999998</v>
          </cell>
          <cell r="I117">
            <v>34.759</v>
          </cell>
          <cell r="J117">
            <v>34.616</v>
          </cell>
          <cell r="K117">
            <v>34.593000000000004</v>
          </cell>
          <cell r="L117">
            <v>2020</v>
          </cell>
        </row>
        <row r="118">
          <cell r="B118" t="str">
            <v>MMR</v>
          </cell>
          <cell r="C118" t="str">
            <v>Myanmar</v>
          </cell>
          <cell r="D118" t="str">
            <v>General government revenue</v>
          </cell>
          <cell r="E118">
            <v>16.038</v>
          </cell>
          <cell r="F118">
            <v>14.125</v>
          </cell>
          <cell r="G118">
            <v>15.135</v>
          </cell>
          <cell r="H118">
            <v>16.045000000000002</v>
          </cell>
          <cell r="I118">
            <v>16.355</v>
          </cell>
          <cell r="J118">
            <v>16.664999999999999</v>
          </cell>
          <cell r="K118">
            <v>16.975000000000001</v>
          </cell>
          <cell r="L118">
            <v>2020</v>
          </cell>
        </row>
        <row r="119">
          <cell r="B119" t="str">
            <v>MNE</v>
          </cell>
          <cell r="C119" t="str">
            <v>Montenegro</v>
          </cell>
          <cell r="D119" t="str">
            <v>General government revenue</v>
          </cell>
          <cell r="E119">
            <v>43.332999999999998</v>
          </cell>
          <cell r="F119">
            <v>43.320999999999998</v>
          </cell>
          <cell r="G119">
            <v>42.493000000000002</v>
          </cell>
          <cell r="H119">
            <v>41.997</v>
          </cell>
          <cell r="I119">
            <v>41.975999999999999</v>
          </cell>
          <cell r="J119">
            <v>41.936999999999998</v>
          </cell>
          <cell r="K119">
            <v>41.901000000000003</v>
          </cell>
          <cell r="L119">
            <v>2020</v>
          </cell>
        </row>
        <row r="120">
          <cell r="B120" t="str">
            <v>MNG</v>
          </cell>
          <cell r="C120" t="str">
            <v>Mongolia</v>
          </cell>
          <cell r="D120" t="str">
            <v>General government revenue</v>
          </cell>
          <cell r="E120">
            <v>28.148</v>
          </cell>
          <cell r="F120">
            <v>33.716999999999999</v>
          </cell>
          <cell r="G120">
            <v>32.247</v>
          </cell>
          <cell r="H120">
            <v>31.98</v>
          </cell>
          <cell r="I120">
            <v>31.613</v>
          </cell>
          <cell r="J120">
            <v>31.14</v>
          </cell>
          <cell r="K120">
            <v>30.667999999999999</v>
          </cell>
          <cell r="L120">
            <v>2020</v>
          </cell>
        </row>
        <row r="121">
          <cell r="B121" t="str">
            <v>MOZ</v>
          </cell>
          <cell r="C121" t="str">
            <v>Mozambique</v>
          </cell>
          <cell r="D121" t="str">
            <v>General government revenue</v>
          </cell>
          <cell r="E121">
            <v>28.062000000000001</v>
          </cell>
          <cell r="F121">
            <v>28.225999999999999</v>
          </cell>
          <cell r="G121">
            <v>29.533999999999999</v>
          </cell>
          <cell r="H121">
            <v>27.260999999999999</v>
          </cell>
          <cell r="I121">
            <v>26.692</v>
          </cell>
          <cell r="J121">
            <v>26.914000000000001</v>
          </cell>
          <cell r="K121">
            <v>27.07</v>
          </cell>
          <cell r="L121">
            <v>2020</v>
          </cell>
        </row>
        <row r="122">
          <cell r="B122" t="str">
            <v>MRT</v>
          </cell>
          <cell r="C122" t="str">
            <v>Mauritania</v>
          </cell>
          <cell r="D122" t="str">
            <v>General government revenue</v>
          </cell>
          <cell r="E122">
            <v>22.242999999999999</v>
          </cell>
          <cell r="F122">
            <v>19.373000000000001</v>
          </cell>
          <cell r="G122">
            <v>19.257999999999999</v>
          </cell>
          <cell r="H122">
            <v>19.922999999999998</v>
          </cell>
          <cell r="I122">
            <v>20.111999999999998</v>
          </cell>
          <cell r="J122">
            <v>20.395</v>
          </cell>
          <cell r="K122">
            <v>20.594999999999999</v>
          </cell>
          <cell r="L122">
            <v>2020</v>
          </cell>
        </row>
        <row r="123">
          <cell r="B123" t="str">
            <v>MUS</v>
          </cell>
          <cell r="C123" t="str">
            <v>Mauritius</v>
          </cell>
          <cell r="D123" t="str">
            <v>General government revenue</v>
          </cell>
          <cell r="E123">
            <v>21.555</v>
          </cell>
          <cell r="F123">
            <v>22.991</v>
          </cell>
          <cell r="G123">
            <v>23.678999999999998</v>
          </cell>
          <cell r="H123">
            <v>24.5</v>
          </cell>
          <cell r="I123">
            <v>25.681999999999999</v>
          </cell>
          <cell r="J123">
            <v>25.75</v>
          </cell>
          <cell r="K123">
            <v>25.687000000000001</v>
          </cell>
          <cell r="L123">
            <v>2021</v>
          </cell>
        </row>
        <row r="124">
          <cell r="B124" t="str">
            <v>MWI</v>
          </cell>
          <cell r="C124" t="str">
            <v>Malawi</v>
          </cell>
          <cell r="D124" t="str">
            <v>General government revenue</v>
          </cell>
          <cell r="E124">
            <v>14.734</v>
          </cell>
          <cell r="F124">
            <v>14.282</v>
          </cell>
          <cell r="G124">
            <v>14.916</v>
          </cell>
          <cell r="H124">
            <v>15.179</v>
          </cell>
          <cell r="I124">
            <v>15.66</v>
          </cell>
          <cell r="J124">
            <v>15.547000000000001</v>
          </cell>
          <cell r="K124">
            <v>15.384</v>
          </cell>
          <cell r="L124">
            <v>2019</v>
          </cell>
        </row>
        <row r="125">
          <cell r="B125" t="str">
            <v>MYS</v>
          </cell>
          <cell r="C125" t="str">
            <v>Malaysia</v>
          </cell>
          <cell r="D125" t="str">
            <v>General government revenue</v>
          </cell>
          <cell r="E125">
            <v>20.181999999999999</v>
          </cell>
          <cell r="F125">
            <v>20.146999999999998</v>
          </cell>
          <cell r="G125">
            <v>19.585999999999999</v>
          </cell>
          <cell r="H125">
            <v>19.239000000000001</v>
          </cell>
          <cell r="I125">
            <v>19.207999999999998</v>
          </cell>
          <cell r="J125">
            <v>19.186</v>
          </cell>
          <cell r="K125">
            <v>19.170000000000002</v>
          </cell>
          <cell r="L125">
            <v>2020</v>
          </cell>
        </row>
        <row r="126">
          <cell r="B126" t="str">
            <v>NAM</v>
          </cell>
          <cell r="C126" t="str">
            <v>Namibia</v>
          </cell>
          <cell r="D126" t="str">
            <v>General government revenue</v>
          </cell>
          <cell r="E126">
            <v>30.928999999999998</v>
          </cell>
          <cell r="F126">
            <v>28.312999999999999</v>
          </cell>
          <cell r="G126">
            <v>28.617000000000001</v>
          </cell>
          <cell r="H126">
            <v>31.402000000000001</v>
          </cell>
          <cell r="I126">
            <v>32.393999999999998</v>
          </cell>
          <cell r="J126">
            <v>32.637999999999998</v>
          </cell>
          <cell r="K126">
            <v>32.911000000000001</v>
          </cell>
          <cell r="L126">
            <v>2021</v>
          </cell>
        </row>
        <row r="127">
          <cell r="B127" t="str">
            <v>NER</v>
          </cell>
          <cell r="C127" t="str">
            <v>Niger</v>
          </cell>
          <cell r="D127" t="str">
            <v>General government revenue</v>
          </cell>
          <cell r="E127">
            <v>17.553999999999998</v>
          </cell>
          <cell r="F127">
            <v>17.213000000000001</v>
          </cell>
          <cell r="G127">
            <v>17.131</v>
          </cell>
          <cell r="H127">
            <v>17.885999999999999</v>
          </cell>
          <cell r="I127">
            <v>18.302</v>
          </cell>
          <cell r="J127">
            <v>18.591999999999999</v>
          </cell>
          <cell r="K127">
            <v>18.760999999999999</v>
          </cell>
          <cell r="L127">
            <v>2020</v>
          </cell>
        </row>
        <row r="128">
          <cell r="B128" t="str">
            <v>NGA</v>
          </cell>
          <cell r="C128" t="str">
            <v>Nigeria</v>
          </cell>
          <cell r="D128" t="str">
            <v>General government revenue</v>
          </cell>
          <cell r="E128">
            <v>6.3209999999999997</v>
          </cell>
          <cell r="F128">
            <v>7.2270000000000003</v>
          </cell>
          <cell r="G128">
            <v>6.9180000000000001</v>
          </cell>
          <cell r="H128">
            <v>6.5540000000000003</v>
          </cell>
          <cell r="I128">
            <v>6.5919999999999996</v>
          </cell>
          <cell r="J128">
            <v>6.5289999999999999</v>
          </cell>
          <cell r="K128">
            <v>6.4980000000000002</v>
          </cell>
          <cell r="L128">
            <v>2020</v>
          </cell>
        </row>
        <row r="129">
          <cell r="B129" t="str">
            <v>NIC</v>
          </cell>
          <cell r="C129" t="str">
            <v>Nicaragua</v>
          </cell>
          <cell r="D129" t="str">
            <v>General government revenue</v>
          </cell>
          <cell r="E129">
            <v>26.837</v>
          </cell>
          <cell r="F129">
            <v>26.927</v>
          </cell>
          <cell r="G129">
            <v>26.92</v>
          </cell>
          <cell r="H129">
            <v>26.898</v>
          </cell>
          <cell r="I129">
            <v>26.888999999999999</v>
          </cell>
          <cell r="J129">
            <v>26.937999999999999</v>
          </cell>
          <cell r="K129">
            <v>27.187999999999999</v>
          </cell>
          <cell r="L129">
            <v>2020</v>
          </cell>
        </row>
        <row r="130">
          <cell r="B130" t="str">
            <v>NLD</v>
          </cell>
          <cell r="C130" t="str">
            <v>Netherlands</v>
          </cell>
          <cell r="D130" t="str">
            <v>General government revenue</v>
          </cell>
          <cell r="E130">
            <v>41.072000000000003</v>
          </cell>
          <cell r="F130">
            <v>42.054000000000002</v>
          </cell>
          <cell r="G130">
            <v>42.445999999999998</v>
          </cell>
          <cell r="H130">
            <v>42.756</v>
          </cell>
          <cell r="I130">
            <v>42.673000000000002</v>
          </cell>
          <cell r="J130">
            <v>42.646999999999998</v>
          </cell>
          <cell r="K130">
            <v>42.704000000000001</v>
          </cell>
          <cell r="L130">
            <v>2019</v>
          </cell>
        </row>
        <row r="131">
          <cell r="B131" t="str">
            <v>NOR</v>
          </cell>
          <cell r="C131" t="str">
            <v>Norway</v>
          </cell>
          <cell r="D131" t="str">
            <v>General government revenue</v>
          </cell>
          <cell r="E131">
            <v>50.85</v>
          </cell>
          <cell r="F131">
            <v>44.899000000000001</v>
          </cell>
          <cell r="G131">
            <v>50.368000000000002</v>
          </cell>
          <cell r="H131">
            <v>52.314</v>
          </cell>
          <cell r="I131">
            <v>53.473999999999997</v>
          </cell>
          <cell r="J131">
            <v>53.823999999999998</v>
          </cell>
          <cell r="K131">
            <v>53.9</v>
          </cell>
          <cell r="L131">
            <v>2020</v>
          </cell>
        </row>
        <row r="132">
          <cell r="B132" t="str">
            <v>NPL</v>
          </cell>
          <cell r="C132" t="str">
            <v>Nepal</v>
          </cell>
          <cell r="D132" t="str">
            <v>General government revenue</v>
          </cell>
          <cell r="E132">
            <v>22.097000000000001</v>
          </cell>
          <cell r="F132">
            <v>24.204000000000001</v>
          </cell>
          <cell r="G132">
            <v>24.425000000000001</v>
          </cell>
          <cell r="H132">
            <v>25.585999999999999</v>
          </cell>
          <cell r="I132">
            <v>26.468</v>
          </cell>
          <cell r="J132">
            <v>27.08</v>
          </cell>
          <cell r="K132">
            <v>27.184000000000001</v>
          </cell>
          <cell r="L132">
            <v>2020</v>
          </cell>
        </row>
        <row r="133">
          <cell r="B133" t="str">
            <v>NRU</v>
          </cell>
          <cell r="C133" t="str">
            <v>Nauru</v>
          </cell>
          <cell r="D133" t="str">
            <v>General government revenue</v>
          </cell>
          <cell r="E133">
            <v>166.03100000000001</v>
          </cell>
          <cell r="F133">
            <v>158.07599999999999</v>
          </cell>
          <cell r="G133">
            <v>131.13900000000001</v>
          </cell>
          <cell r="H133">
            <v>111.05500000000001</v>
          </cell>
          <cell r="I133">
            <v>106.36199999999999</v>
          </cell>
          <cell r="J133">
            <v>103.871</v>
          </cell>
          <cell r="K133">
            <v>101.015</v>
          </cell>
          <cell r="L133">
            <v>2020</v>
          </cell>
        </row>
        <row r="134">
          <cell r="B134" t="str">
            <v>NZL</v>
          </cell>
          <cell r="C134" t="str">
            <v>New Zealand</v>
          </cell>
          <cell r="D134" t="str">
            <v>General government revenue</v>
          </cell>
          <cell r="E134">
            <v>37.201999999999998</v>
          </cell>
          <cell r="F134">
            <v>36.244999999999997</v>
          </cell>
          <cell r="G134">
            <v>35.74</v>
          </cell>
          <cell r="H134">
            <v>36.039000000000001</v>
          </cell>
          <cell r="I134">
            <v>36.006</v>
          </cell>
          <cell r="J134">
            <v>36.002000000000002</v>
          </cell>
          <cell r="K134">
            <v>35.987000000000002</v>
          </cell>
          <cell r="L134">
            <v>2020</v>
          </cell>
        </row>
        <row r="135">
          <cell r="B135" t="str">
            <v>OMN</v>
          </cell>
          <cell r="C135" t="str">
            <v>Oman</v>
          </cell>
          <cell r="D135" t="str">
            <v>General government revenue</v>
          </cell>
          <cell r="E135">
            <v>34.578000000000003</v>
          </cell>
          <cell r="F135">
            <v>32.33</v>
          </cell>
          <cell r="G135">
            <v>34.557000000000002</v>
          </cell>
          <cell r="H135">
            <v>34.287999999999997</v>
          </cell>
          <cell r="I135">
            <v>34.481999999999999</v>
          </cell>
          <cell r="J135">
            <v>33.585999999999999</v>
          </cell>
          <cell r="K135">
            <v>32.845999999999997</v>
          </cell>
          <cell r="L135">
            <v>2020</v>
          </cell>
        </row>
        <row r="136">
          <cell r="B136" t="str">
            <v>PAK</v>
          </cell>
          <cell r="C136" t="str">
            <v>Pakistan</v>
          </cell>
          <cell r="D136" t="str">
            <v>General government revenue</v>
          </cell>
          <cell r="E136">
            <v>15.175000000000001</v>
          </cell>
          <cell r="F136">
            <v>14.532</v>
          </cell>
          <cell r="G136">
            <v>15.365</v>
          </cell>
          <cell r="H136">
            <v>16.591000000000001</v>
          </cell>
          <cell r="I136">
            <v>16.626000000000001</v>
          </cell>
          <cell r="J136">
            <v>16.628</v>
          </cell>
          <cell r="K136">
            <v>16.695</v>
          </cell>
          <cell r="L136">
            <v>2020</v>
          </cell>
        </row>
        <row r="137">
          <cell r="B137" t="str">
            <v>PAN</v>
          </cell>
          <cell r="C137" t="str">
            <v>Panama</v>
          </cell>
          <cell r="D137" t="str">
            <v>General government revenue</v>
          </cell>
          <cell r="E137">
            <v>18.527000000000001</v>
          </cell>
          <cell r="F137">
            <v>18.954999999999998</v>
          </cell>
          <cell r="G137">
            <v>21.047000000000001</v>
          </cell>
          <cell r="H137">
            <v>21.271999999999998</v>
          </cell>
          <cell r="I137">
            <v>21.550999999999998</v>
          </cell>
          <cell r="J137">
            <v>21.641999999999999</v>
          </cell>
          <cell r="K137">
            <v>21.507999999999999</v>
          </cell>
          <cell r="L137">
            <v>2020</v>
          </cell>
        </row>
        <row r="138">
          <cell r="B138" t="str">
            <v>PER</v>
          </cell>
          <cell r="C138" t="str">
            <v>Peru</v>
          </cell>
          <cell r="D138" t="str">
            <v>General government revenue</v>
          </cell>
          <cell r="E138">
            <v>17.873000000000001</v>
          </cell>
          <cell r="F138">
            <v>18.285</v>
          </cell>
          <cell r="G138">
            <v>18.731999999999999</v>
          </cell>
          <cell r="H138">
            <v>18.797999999999998</v>
          </cell>
          <cell r="I138">
            <v>18.920999999999999</v>
          </cell>
          <cell r="J138">
            <v>19.052</v>
          </cell>
          <cell r="K138">
            <v>19.167000000000002</v>
          </cell>
          <cell r="L138">
            <v>2020</v>
          </cell>
        </row>
        <row r="139">
          <cell r="B139" t="str">
            <v>PHL</v>
          </cell>
          <cell r="C139" t="str">
            <v>Philippines</v>
          </cell>
          <cell r="D139" t="str">
            <v>General government revenue</v>
          </cell>
          <cell r="E139">
            <v>20.641999999999999</v>
          </cell>
          <cell r="F139">
            <v>20.07</v>
          </cell>
          <cell r="G139">
            <v>20.884</v>
          </cell>
          <cell r="H139">
            <v>21.190999999999999</v>
          </cell>
          <cell r="I139">
            <v>21.657</v>
          </cell>
          <cell r="J139">
            <v>21.978999999999999</v>
          </cell>
          <cell r="K139">
            <v>22.231999999999999</v>
          </cell>
          <cell r="L139">
            <v>2020</v>
          </cell>
        </row>
        <row r="140">
          <cell r="B140" t="str">
            <v>PLW</v>
          </cell>
          <cell r="C140" t="str">
            <v>Palau</v>
          </cell>
          <cell r="D140" t="str">
            <v>General government revenue</v>
          </cell>
          <cell r="E140">
            <v>47.582000000000001</v>
          </cell>
          <cell r="F140">
            <v>45.021000000000001</v>
          </cell>
          <cell r="G140">
            <v>42.642000000000003</v>
          </cell>
          <cell r="H140">
            <v>40.805</v>
          </cell>
          <cell r="I140">
            <v>41.859000000000002</v>
          </cell>
          <cell r="J140">
            <v>41.298999999999999</v>
          </cell>
          <cell r="K140">
            <v>41.76</v>
          </cell>
          <cell r="L140">
            <v>2019</v>
          </cell>
        </row>
        <row r="141">
          <cell r="B141" t="str">
            <v>PNG</v>
          </cell>
          <cell r="C141" t="str">
            <v>Papua New Guinea</v>
          </cell>
          <cell r="D141" t="str">
            <v>General government revenue</v>
          </cell>
          <cell r="E141">
            <v>14.831</v>
          </cell>
          <cell r="F141">
            <v>14.02</v>
          </cell>
          <cell r="G141">
            <v>14.91</v>
          </cell>
          <cell r="H141">
            <v>15.427</v>
          </cell>
          <cell r="I141">
            <v>15.602</v>
          </cell>
          <cell r="J141">
            <v>15.766</v>
          </cell>
          <cell r="K141">
            <v>16.007000000000001</v>
          </cell>
          <cell r="L141">
            <v>2019</v>
          </cell>
        </row>
        <row r="142">
          <cell r="B142" t="str">
            <v>POL</v>
          </cell>
          <cell r="C142" t="str">
            <v>Poland</v>
          </cell>
          <cell r="D142" t="str">
            <v>General government revenue</v>
          </cell>
          <cell r="E142">
            <v>41.71</v>
          </cell>
          <cell r="F142">
            <v>40.918999999999997</v>
          </cell>
          <cell r="G142">
            <v>41.097000000000001</v>
          </cell>
          <cell r="H142">
            <v>41.326999999999998</v>
          </cell>
          <cell r="I142">
            <v>41.256</v>
          </cell>
          <cell r="J142">
            <v>41.225000000000001</v>
          </cell>
          <cell r="K142">
            <v>41.112000000000002</v>
          </cell>
          <cell r="L142">
            <v>2020</v>
          </cell>
        </row>
        <row r="143">
          <cell r="B143" t="str">
            <v>PRI</v>
          </cell>
          <cell r="C143" t="str">
            <v>Puerto Rico</v>
          </cell>
          <cell r="D143" t="str">
            <v>General government revenue</v>
          </cell>
          <cell r="E143">
            <v>19.649999999999999</v>
          </cell>
          <cell r="F143">
            <v>19.623000000000001</v>
          </cell>
          <cell r="G143">
            <v>18.414999999999999</v>
          </cell>
          <cell r="H143">
            <v>17.173999999999999</v>
          </cell>
          <cell r="I143">
            <v>16.760000000000002</v>
          </cell>
          <cell r="J143">
            <v>16.827999999999999</v>
          </cell>
          <cell r="K143">
            <v>16.911999999999999</v>
          </cell>
          <cell r="L143">
            <v>2020</v>
          </cell>
        </row>
        <row r="144">
          <cell r="B144" t="str">
            <v>PRT</v>
          </cell>
          <cell r="C144" t="str">
            <v>Portugal</v>
          </cell>
          <cell r="D144" t="str">
            <v>General government revenue</v>
          </cell>
          <cell r="E144">
            <v>43.274000000000001</v>
          </cell>
          <cell r="F144">
            <v>44.031999999999996</v>
          </cell>
          <cell r="G144">
            <v>43.512</v>
          </cell>
          <cell r="H144">
            <v>43.360999999999997</v>
          </cell>
          <cell r="I144">
            <v>43.081000000000003</v>
          </cell>
          <cell r="J144">
            <v>42.671999999999997</v>
          </cell>
          <cell r="K144">
            <v>42.179000000000002</v>
          </cell>
          <cell r="L144">
            <v>2020</v>
          </cell>
        </row>
        <row r="145">
          <cell r="B145" t="str">
            <v>PRY</v>
          </cell>
          <cell r="C145" t="str">
            <v>Paraguay</v>
          </cell>
          <cell r="D145" t="str">
            <v>General government revenue</v>
          </cell>
          <cell r="E145">
            <v>18.535</v>
          </cell>
          <cell r="F145">
            <v>18.187999999999999</v>
          </cell>
          <cell r="G145">
            <v>18.716000000000001</v>
          </cell>
          <cell r="H145">
            <v>19.175000000000001</v>
          </cell>
          <cell r="I145">
            <v>18.959</v>
          </cell>
          <cell r="J145">
            <v>19.052</v>
          </cell>
          <cell r="K145">
            <v>19.254999999999999</v>
          </cell>
          <cell r="L145">
            <v>2019</v>
          </cell>
        </row>
        <row r="146">
          <cell r="B146" t="str">
            <v>PSE</v>
          </cell>
          <cell r="C146" t="str">
            <v>West Bank and Gaza</v>
          </cell>
          <cell r="D146" t="str">
            <v>General government revenue</v>
          </cell>
          <cell r="E146">
            <v>24.44</v>
          </cell>
          <cell r="F146">
            <v>24.535</v>
          </cell>
          <cell r="G146">
            <v>24.728999999999999</v>
          </cell>
          <cell r="H146">
            <v>24.613</v>
          </cell>
          <cell r="I146">
            <v>24.613</v>
          </cell>
          <cell r="J146">
            <v>24.603000000000002</v>
          </cell>
          <cell r="K146">
            <v>24.65</v>
          </cell>
          <cell r="L146">
            <v>2020</v>
          </cell>
        </row>
        <row r="147">
          <cell r="B147" t="str">
            <v>QAT</v>
          </cell>
          <cell r="C147" t="str">
            <v>Qatar</v>
          </cell>
          <cell r="D147" t="str">
            <v>General government revenue</v>
          </cell>
          <cell r="E147">
            <v>35.774999999999999</v>
          </cell>
          <cell r="F147">
            <v>34.347999999999999</v>
          </cell>
          <cell r="G147">
            <v>36.439</v>
          </cell>
          <cell r="H147">
            <v>36.703000000000003</v>
          </cell>
          <cell r="I147">
            <v>35.78</v>
          </cell>
          <cell r="J147">
            <v>35.591999999999999</v>
          </cell>
          <cell r="K147">
            <v>35.795999999999999</v>
          </cell>
          <cell r="L147">
            <v>2020</v>
          </cell>
        </row>
        <row r="148">
          <cell r="B148" t="str">
            <v>ROU</v>
          </cell>
          <cell r="C148" t="str">
            <v>Romania</v>
          </cell>
          <cell r="D148" t="str">
            <v>General government revenue</v>
          </cell>
          <cell r="E148">
            <v>28.946999999999999</v>
          </cell>
          <cell r="F148">
            <v>30.331</v>
          </cell>
          <cell r="G148">
            <v>30.158999999999999</v>
          </cell>
          <cell r="H148">
            <v>29.779</v>
          </cell>
          <cell r="I148">
            <v>29.852</v>
          </cell>
          <cell r="J148">
            <v>29.963000000000001</v>
          </cell>
          <cell r="K148">
            <v>30.198</v>
          </cell>
          <cell r="L148">
            <v>2020</v>
          </cell>
        </row>
        <row r="149">
          <cell r="B149" t="str">
            <v>RUS</v>
          </cell>
          <cell r="C149" t="str">
            <v>Russia</v>
          </cell>
          <cell r="D149" t="str">
            <v>General government revenue</v>
          </cell>
          <cell r="E149">
            <v>35.390999999999998</v>
          </cell>
          <cell r="F149">
            <v>36.418999999999997</v>
          </cell>
          <cell r="G149">
            <v>36.332000000000001</v>
          </cell>
          <cell r="H149">
            <v>36.036999999999999</v>
          </cell>
          <cell r="I149">
            <v>35.804000000000002</v>
          </cell>
          <cell r="J149">
            <v>35.387999999999998</v>
          </cell>
          <cell r="K149">
            <v>34.945999999999998</v>
          </cell>
          <cell r="L149">
            <v>2020</v>
          </cell>
        </row>
        <row r="150">
          <cell r="B150" t="str">
            <v>RWA</v>
          </cell>
          <cell r="C150" t="str">
            <v>Rwanda</v>
          </cell>
          <cell r="D150" t="str">
            <v>General government revenue</v>
          </cell>
          <cell r="E150">
            <v>23.550999999999998</v>
          </cell>
          <cell r="F150">
            <v>25.486999999999998</v>
          </cell>
          <cell r="G150">
            <v>24.594000000000001</v>
          </cell>
          <cell r="H150">
            <v>24.2</v>
          </cell>
          <cell r="I150">
            <v>24.451000000000001</v>
          </cell>
          <cell r="J150">
            <v>25.350999999999999</v>
          </cell>
          <cell r="K150">
            <v>24.5</v>
          </cell>
          <cell r="L150">
            <v>2019</v>
          </cell>
        </row>
        <row r="151">
          <cell r="B151" t="str">
            <v>SAU</v>
          </cell>
          <cell r="C151" t="str">
            <v>Saudi Arabia</v>
          </cell>
          <cell r="D151" t="str">
            <v>General government revenue</v>
          </cell>
          <cell r="E151">
            <v>29.664999999999999</v>
          </cell>
          <cell r="F151">
            <v>29.082000000000001</v>
          </cell>
          <cell r="G151">
            <v>29.062000000000001</v>
          </cell>
          <cell r="H151">
            <v>29.03</v>
          </cell>
          <cell r="I151">
            <v>29.067</v>
          </cell>
          <cell r="J151">
            <v>29.164000000000001</v>
          </cell>
          <cell r="K151">
            <v>29.175999999999998</v>
          </cell>
          <cell r="L151">
            <v>2020</v>
          </cell>
        </row>
        <row r="152">
          <cell r="B152" t="str">
            <v>SDN</v>
          </cell>
          <cell r="C152" t="str">
            <v>Sudan</v>
          </cell>
          <cell r="D152" t="str">
            <v>General government revenue</v>
          </cell>
          <cell r="E152">
            <v>4.8209999999999997</v>
          </cell>
          <cell r="F152">
            <v>9.0380000000000003</v>
          </cell>
          <cell r="G152">
            <v>12.5</v>
          </cell>
          <cell r="H152">
            <v>12.295</v>
          </cell>
          <cell r="I152">
            <v>12.272</v>
          </cell>
          <cell r="J152">
            <v>11.723000000000001</v>
          </cell>
          <cell r="K152">
            <v>11.56</v>
          </cell>
          <cell r="L152">
            <v>2019</v>
          </cell>
        </row>
        <row r="153">
          <cell r="B153" t="str">
            <v>SEN</v>
          </cell>
          <cell r="C153" t="str">
            <v>Senegal</v>
          </cell>
          <cell r="D153" t="str">
            <v>General government revenue</v>
          </cell>
          <cell r="E153">
            <v>20.04</v>
          </cell>
          <cell r="F153">
            <v>20.199000000000002</v>
          </cell>
          <cell r="G153">
            <v>20.957000000000001</v>
          </cell>
          <cell r="H153">
            <v>21.943000000000001</v>
          </cell>
          <cell r="I153">
            <v>22.966999999999999</v>
          </cell>
          <cell r="J153">
            <v>23.867999999999999</v>
          </cell>
          <cell r="K153">
            <v>23.853999999999999</v>
          </cell>
          <cell r="L153">
            <v>2020</v>
          </cell>
        </row>
        <row r="154">
          <cell r="B154" t="str">
            <v>SGP</v>
          </cell>
          <cell r="C154" t="str">
            <v>Singapore</v>
          </cell>
          <cell r="D154" t="str">
            <v>General government revenue</v>
          </cell>
          <cell r="E154">
            <v>17.582000000000001</v>
          </cell>
          <cell r="F154">
            <v>18.98</v>
          </cell>
          <cell r="G154">
            <v>18.408999999999999</v>
          </cell>
          <cell r="H154">
            <v>17.962</v>
          </cell>
          <cell r="I154">
            <v>17.547999999999998</v>
          </cell>
          <cell r="J154">
            <v>17.367000000000001</v>
          </cell>
          <cell r="K154">
            <v>17.236999999999998</v>
          </cell>
          <cell r="L154">
            <v>2021</v>
          </cell>
        </row>
        <row r="155">
          <cell r="B155" t="str">
            <v>SLB</v>
          </cell>
          <cell r="C155" t="str">
            <v>Solomon Islands</v>
          </cell>
          <cell r="D155" t="str">
            <v>General government revenue</v>
          </cell>
          <cell r="E155">
            <v>33.249000000000002</v>
          </cell>
          <cell r="F155">
            <v>31.032</v>
          </cell>
          <cell r="G155">
            <v>32.804000000000002</v>
          </cell>
          <cell r="H155">
            <v>31.111999999999998</v>
          </cell>
          <cell r="I155">
            <v>30.463000000000001</v>
          </cell>
          <cell r="J155">
            <v>29.908999999999999</v>
          </cell>
          <cell r="K155">
            <v>29.478999999999999</v>
          </cell>
          <cell r="L155">
            <v>2019</v>
          </cell>
        </row>
        <row r="156">
          <cell r="B156" t="str">
            <v>SLE</v>
          </cell>
          <cell r="C156" t="str">
            <v>Sierra Leone</v>
          </cell>
          <cell r="D156" t="str">
            <v>General government revenue</v>
          </cell>
          <cell r="E156">
            <v>19.288</v>
          </cell>
          <cell r="F156">
            <v>18.974</v>
          </cell>
          <cell r="G156">
            <v>17.649000000000001</v>
          </cell>
          <cell r="H156">
            <v>17.672000000000001</v>
          </cell>
          <cell r="I156">
            <v>18.141999999999999</v>
          </cell>
          <cell r="J156">
            <v>17.8</v>
          </cell>
          <cell r="K156">
            <v>17.335000000000001</v>
          </cell>
          <cell r="L156">
            <v>2019</v>
          </cell>
        </row>
        <row r="157">
          <cell r="B157" t="str">
            <v>SLV</v>
          </cell>
          <cell r="C157" t="str">
            <v>El Salvador</v>
          </cell>
          <cell r="D157" t="str">
            <v>General government revenue</v>
          </cell>
          <cell r="E157">
            <v>24.524999999999999</v>
          </cell>
          <cell r="F157">
            <v>25.835999999999999</v>
          </cell>
          <cell r="G157">
            <v>25.893000000000001</v>
          </cell>
          <cell r="H157">
            <v>25.904</v>
          </cell>
          <cell r="I157">
            <v>25.895</v>
          </cell>
          <cell r="J157">
            <v>25.878</v>
          </cell>
          <cell r="K157">
            <v>25.876000000000001</v>
          </cell>
          <cell r="L157">
            <v>2020</v>
          </cell>
        </row>
        <row r="158">
          <cell r="B158" t="str">
            <v>SMR</v>
          </cell>
          <cell r="C158" t="str">
            <v>San Marino</v>
          </cell>
          <cell r="D158" t="str">
            <v>General government revenue</v>
          </cell>
          <cell r="E158">
            <v>21.137</v>
          </cell>
          <cell r="F158">
            <v>20.533999999999999</v>
          </cell>
          <cell r="G158">
            <v>20.486000000000001</v>
          </cell>
          <cell r="H158">
            <v>20.637</v>
          </cell>
          <cell r="I158">
            <v>20.552</v>
          </cell>
          <cell r="J158">
            <v>20.562000000000001</v>
          </cell>
          <cell r="K158">
            <v>20.544</v>
          </cell>
          <cell r="L158">
            <v>2019</v>
          </cell>
        </row>
        <row r="159">
          <cell r="B159" t="str">
            <v>SOM</v>
          </cell>
          <cell r="C159" t="str">
            <v>Somalia</v>
          </cell>
          <cell r="D159" t="str">
            <v>General government revenue</v>
          </cell>
          <cell r="E159">
            <v>9.9589999999999996</v>
          </cell>
          <cell r="F159">
            <v>5.7249999999999996</v>
          </cell>
          <cell r="G159">
            <v>8.7420000000000009</v>
          </cell>
          <cell r="H159">
            <v>9.577</v>
          </cell>
          <cell r="I159">
            <v>9.0890000000000004</v>
          </cell>
          <cell r="J159">
            <v>9.8889999999999993</v>
          </cell>
          <cell r="K159">
            <v>10.638</v>
          </cell>
          <cell r="L159">
            <v>2019</v>
          </cell>
        </row>
        <row r="160">
          <cell r="B160" t="str">
            <v>SRB</v>
          </cell>
          <cell r="C160" t="str">
            <v>Serbia</v>
          </cell>
          <cell r="D160" t="str">
            <v>General government revenue</v>
          </cell>
          <cell r="E160">
            <v>41.273000000000003</v>
          </cell>
          <cell r="F160">
            <v>41.426000000000002</v>
          </cell>
          <cell r="G160">
            <v>41.194000000000003</v>
          </cell>
          <cell r="H160">
            <v>41.372999999999998</v>
          </cell>
          <cell r="I160">
            <v>41.470999999999997</v>
          </cell>
          <cell r="J160">
            <v>41.430999999999997</v>
          </cell>
          <cell r="K160">
            <v>41.426000000000002</v>
          </cell>
          <cell r="L160">
            <v>2020</v>
          </cell>
        </row>
        <row r="161">
          <cell r="B161" t="str">
            <v>SSD</v>
          </cell>
          <cell r="C161" t="str">
            <v>South Sudan</v>
          </cell>
          <cell r="D161" t="str">
            <v>General government revenue</v>
          </cell>
          <cell r="E161">
            <v>36.457999999999998</v>
          </cell>
          <cell r="F161">
            <v>50.61</v>
          </cell>
          <cell r="G161">
            <v>42.65</v>
          </cell>
          <cell r="H161">
            <v>36.743000000000002</v>
          </cell>
          <cell r="I161">
            <v>38.110999999999997</v>
          </cell>
          <cell r="J161">
            <v>39.469000000000001</v>
          </cell>
          <cell r="K161">
            <v>35.006999999999998</v>
          </cell>
          <cell r="L161">
            <v>2019</v>
          </cell>
        </row>
        <row r="162">
          <cell r="B162" t="str">
            <v>STP</v>
          </cell>
          <cell r="C162" t="str">
            <v>São Tomé and Príncipe</v>
          </cell>
          <cell r="D162" t="str">
            <v>General government revenue</v>
          </cell>
          <cell r="E162">
            <v>25.305</v>
          </cell>
          <cell r="F162">
            <v>25.736999999999998</v>
          </cell>
          <cell r="G162">
            <v>24.759</v>
          </cell>
          <cell r="H162">
            <v>23.968</v>
          </cell>
          <cell r="I162">
            <v>23.94</v>
          </cell>
          <cell r="J162">
            <v>23.792999999999999</v>
          </cell>
          <cell r="K162">
            <v>23.529</v>
          </cell>
          <cell r="L162">
            <v>2020</v>
          </cell>
        </row>
        <row r="163">
          <cell r="B163" t="str">
            <v>SUR</v>
          </cell>
          <cell r="C163" t="str">
            <v>Suriname</v>
          </cell>
          <cell r="D163" t="str">
            <v>General government revenue</v>
          </cell>
          <cell r="E163">
            <v>18.422999999999998</v>
          </cell>
          <cell r="F163">
            <v>22.611999999999998</v>
          </cell>
          <cell r="G163">
            <v>24.337</v>
          </cell>
          <cell r="H163">
            <v>24.760999999999999</v>
          </cell>
          <cell r="I163">
            <v>24.024999999999999</v>
          </cell>
          <cell r="J163">
            <v>23.113</v>
          </cell>
          <cell r="K163">
            <v>22.399000000000001</v>
          </cell>
          <cell r="L163">
            <v>2020</v>
          </cell>
        </row>
        <row r="164">
          <cell r="B164" t="str">
            <v>SVK</v>
          </cell>
          <cell r="C164" t="str">
            <v>Slovak Republic</v>
          </cell>
          <cell r="D164" t="str">
            <v>General government revenue</v>
          </cell>
          <cell r="E164">
            <v>41.625</v>
          </cell>
          <cell r="F164">
            <v>42.392000000000003</v>
          </cell>
          <cell r="G164">
            <v>41.933999999999997</v>
          </cell>
          <cell r="H164">
            <v>42.637999999999998</v>
          </cell>
          <cell r="I164">
            <v>40.892000000000003</v>
          </cell>
          <cell r="J164">
            <v>40.665999999999997</v>
          </cell>
          <cell r="K164">
            <v>40.311999999999998</v>
          </cell>
          <cell r="L164">
            <v>2019</v>
          </cell>
        </row>
        <row r="165">
          <cell r="B165" t="str">
            <v>SVN</v>
          </cell>
          <cell r="C165" t="str">
            <v>Slovenia</v>
          </cell>
          <cell r="D165" t="str">
            <v>General government revenue</v>
          </cell>
          <cell r="E165">
            <v>42.997999999999998</v>
          </cell>
          <cell r="F165">
            <v>42.628</v>
          </cell>
          <cell r="G165">
            <v>42.487000000000002</v>
          </cell>
          <cell r="H165">
            <v>42.220999999999997</v>
          </cell>
          <cell r="I165">
            <v>41.954000000000001</v>
          </cell>
          <cell r="J165">
            <v>42.125</v>
          </cell>
          <cell r="K165">
            <v>42.241999999999997</v>
          </cell>
          <cell r="L165">
            <v>2019</v>
          </cell>
        </row>
        <row r="166">
          <cell r="B166" t="str">
            <v>SWE</v>
          </cell>
          <cell r="C166" t="str">
            <v>Sweden</v>
          </cell>
          <cell r="D166" t="str">
            <v>General government revenue</v>
          </cell>
          <cell r="E166">
            <v>48.744999999999997</v>
          </cell>
          <cell r="F166">
            <v>49.942</v>
          </cell>
          <cell r="G166">
            <v>50.598999999999997</v>
          </cell>
          <cell r="H166">
            <v>49.444000000000003</v>
          </cell>
          <cell r="I166">
            <v>49.235999999999997</v>
          </cell>
          <cell r="J166">
            <v>49.087000000000003</v>
          </cell>
          <cell r="K166">
            <v>48.933</v>
          </cell>
          <cell r="L166">
            <v>2020</v>
          </cell>
        </row>
        <row r="167">
          <cell r="B167" t="str">
            <v>SWZ</v>
          </cell>
          <cell r="C167" t="str">
            <v>Eswatini</v>
          </cell>
          <cell r="D167" t="str">
            <v>General government revenue</v>
          </cell>
          <cell r="E167">
            <v>28.358000000000001</v>
          </cell>
          <cell r="F167">
            <v>26.349</v>
          </cell>
          <cell r="G167">
            <v>23.956</v>
          </cell>
          <cell r="H167">
            <v>25.146999999999998</v>
          </cell>
          <cell r="I167">
            <v>26.013999999999999</v>
          </cell>
          <cell r="J167">
            <v>26.515000000000001</v>
          </cell>
          <cell r="K167">
            <v>26.529</v>
          </cell>
          <cell r="L167">
            <v>2020</v>
          </cell>
        </row>
        <row r="168">
          <cell r="B168" t="str">
            <v>SYC</v>
          </cell>
          <cell r="C168" t="str">
            <v>Seychelles</v>
          </cell>
          <cell r="D168" t="str">
            <v>General government revenue</v>
          </cell>
          <cell r="E168">
            <v>37.673999999999999</v>
          </cell>
          <cell r="F168">
            <v>34.807000000000002</v>
          </cell>
          <cell r="G168">
            <v>35.914000000000001</v>
          </cell>
          <cell r="H168">
            <v>36.253</v>
          </cell>
          <cell r="I168">
            <v>37.572000000000003</v>
          </cell>
          <cell r="J168">
            <v>38.042000000000002</v>
          </cell>
          <cell r="K168">
            <v>38.36</v>
          </cell>
          <cell r="L168">
            <v>2020</v>
          </cell>
        </row>
        <row r="169">
          <cell r="B169" t="str">
            <v>SYR</v>
          </cell>
          <cell r="C169" t="str">
            <v>Syria</v>
          </cell>
          <cell r="D169" t="str">
            <v>General government revenue</v>
          </cell>
          <cell r="L169">
            <v>2009</v>
          </cell>
        </row>
        <row r="170">
          <cell r="B170" t="str">
            <v>TCD</v>
          </cell>
          <cell r="C170" t="str">
            <v>Chad</v>
          </cell>
          <cell r="D170" t="str">
            <v>General government revenue</v>
          </cell>
          <cell r="E170">
            <v>20.946000000000002</v>
          </cell>
          <cell r="F170">
            <v>16.045999999999999</v>
          </cell>
          <cell r="G170">
            <v>17.983000000000001</v>
          </cell>
          <cell r="H170">
            <v>17.553999999999998</v>
          </cell>
          <cell r="I170">
            <v>17.501999999999999</v>
          </cell>
          <cell r="J170">
            <v>17.998000000000001</v>
          </cell>
          <cell r="K170">
            <v>17.882999999999999</v>
          </cell>
          <cell r="L170">
            <v>2020</v>
          </cell>
        </row>
        <row r="171">
          <cell r="B171" t="str">
            <v>TGO</v>
          </cell>
          <cell r="C171" t="str">
            <v>Togo</v>
          </cell>
          <cell r="D171" t="str">
            <v>General government revenue</v>
          </cell>
          <cell r="E171">
            <v>16.238</v>
          </cell>
          <cell r="F171">
            <v>17.213999999999999</v>
          </cell>
          <cell r="G171">
            <v>16.904</v>
          </cell>
          <cell r="H171">
            <v>17.393000000000001</v>
          </cell>
          <cell r="I171">
            <v>17.882999999999999</v>
          </cell>
          <cell r="J171">
            <v>18.489000000000001</v>
          </cell>
          <cell r="K171">
            <v>18.698</v>
          </cell>
          <cell r="L171">
            <v>2020</v>
          </cell>
        </row>
        <row r="172">
          <cell r="B172" t="str">
            <v>THA</v>
          </cell>
          <cell r="C172" t="str">
            <v>Thailand</v>
          </cell>
          <cell r="D172" t="str">
            <v>General government revenue</v>
          </cell>
          <cell r="E172">
            <v>20.602</v>
          </cell>
          <cell r="F172">
            <v>20.289000000000001</v>
          </cell>
          <cell r="G172">
            <v>20.786000000000001</v>
          </cell>
          <cell r="H172">
            <v>21.07</v>
          </cell>
          <cell r="I172">
            <v>21.178999999999998</v>
          </cell>
          <cell r="J172">
            <v>21.178999999999998</v>
          </cell>
          <cell r="K172">
            <v>21.178999999999998</v>
          </cell>
          <cell r="L172">
            <v>2020</v>
          </cell>
        </row>
        <row r="173">
          <cell r="B173" t="str">
            <v>TJK</v>
          </cell>
          <cell r="C173" t="str">
            <v>Tajikistan</v>
          </cell>
          <cell r="D173" t="str">
            <v>General government revenue</v>
          </cell>
          <cell r="E173">
            <v>25.25</v>
          </cell>
          <cell r="F173">
            <v>26.079000000000001</v>
          </cell>
          <cell r="G173">
            <v>25.431000000000001</v>
          </cell>
          <cell r="H173">
            <v>25.661999999999999</v>
          </cell>
          <cell r="I173">
            <v>25.847999999999999</v>
          </cell>
          <cell r="J173">
            <v>25.959</v>
          </cell>
          <cell r="K173">
            <v>26.183</v>
          </cell>
          <cell r="L173">
            <v>2019</v>
          </cell>
        </row>
        <row r="174">
          <cell r="B174" t="str">
            <v>TKM</v>
          </cell>
          <cell r="C174" t="str">
            <v>Turkmenistan</v>
          </cell>
          <cell r="D174" t="str">
            <v>General government revenue</v>
          </cell>
          <cell r="E174">
            <v>13.343</v>
          </cell>
          <cell r="F174">
            <v>12.259</v>
          </cell>
          <cell r="G174">
            <v>12.718999999999999</v>
          </cell>
          <cell r="H174">
            <v>12.406000000000001</v>
          </cell>
          <cell r="I174">
            <v>12.255000000000001</v>
          </cell>
          <cell r="J174">
            <v>12.102</v>
          </cell>
          <cell r="K174">
            <v>11.951000000000001</v>
          </cell>
          <cell r="L174">
            <v>2020</v>
          </cell>
        </row>
        <row r="175">
          <cell r="B175" t="str">
            <v>TLS</v>
          </cell>
          <cell r="C175" t="str">
            <v>Timor-Leste</v>
          </cell>
          <cell r="D175" t="str">
            <v>General government revenue</v>
          </cell>
          <cell r="E175">
            <v>51.228000000000002</v>
          </cell>
          <cell r="F175">
            <v>56.343000000000004</v>
          </cell>
          <cell r="G175">
            <v>54.7</v>
          </cell>
          <cell r="H175">
            <v>52.698</v>
          </cell>
          <cell r="I175">
            <v>50.728999999999999</v>
          </cell>
          <cell r="J175">
            <v>48.518000000000001</v>
          </cell>
          <cell r="K175">
            <v>46.43</v>
          </cell>
          <cell r="L175">
            <v>2019</v>
          </cell>
        </row>
        <row r="176">
          <cell r="B176" t="str">
            <v>TON</v>
          </cell>
          <cell r="C176" t="str">
            <v>Tonga</v>
          </cell>
          <cell r="D176" t="str">
            <v>General government revenue</v>
          </cell>
          <cell r="E176">
            <v>43.83</v>
          </cell>
          <cell r="F176">
            <v>42.877000000000002</v>
          </cell>
          <cell r="G176">
            <v>47.933999999999997</v>
          </cell>
          <cell r="H176">
            <v>40.997</v>
          </cell>
          <cell r="I176">
            <v>38.308</v>
          </cell>
          <cell r="J176">
            <v>33.276000000000003</v>
          </cell>
          <cell r="K176">
            <v>24.599</v>
          </cell>
          <cell r="L176">
            <v>2020</v>
          </cell>
        </row>
        <row r="177">
          <cell r="B177" t="str">
            <v>TTO</v>
          </cell>
          <cell r="C177" t="str">
            <v>Trinidad and Tobago</v>
          </cell>
          <cell r="D177" t="str">
            <v>General government revenue</v>
          </cell>
          <cell r="E177">
            <v>22.457000000000001</v>
          </cell>
          <cell r="F177">
            <v>23.495000000000001</v>
          </cell>
          <cell r="G177">
            <v>26.475999999999999</v>
          </cell>
          <cell r="H177">
            <v>26.419</v>
          </cell>
          <cell r="I177">
            <v>26.114000000000001</v>
          </cell>
          <cell r="J177">
            <v>25.832999999999998</v>
          </cell>
          <cell r="K177">
            <v>25.789000000000001</v>
          </cell>
          <cell r="L177">
            <v>2020</v>
          </cell>
        </row>
        <row r="178">
          <cell r="B178" t="str">
            <v>TUN</v>
          </cell>
          <cell r="C178" t="str">
            <v>Tunisia</v>
          </cell>
          <cell r="D178" t="str">
            <v>General government revenue</v>
          </cell>
          <cell r="E178">
            <v>27.602</v>
          </cell>
          <cell r="F178">
            <v>28.132000000000001</v>
          </cell>
          <cell r="G178">
            <v>28.033000000000001</v>
          </cell>
          <cell r="H178">
            <v>28.367000000000001</v>
          </cell>
          <cell r="I178">
            <v>28.515999999999998</v>
          </cell>
          <cell r="J178">
            <v>28.718</v>
          </cell>
          <cell r="K178">
            <v>28.902999999999999</v>
          </cell>
          <cell r="L178">
            <v>2020</v>
          </cell>
        </row>
        <row r="179">
          <cell r="B179" t="str">
            <v>TUR</v>
          </cell>
          <cell r="C179" t="str">
            <v>Turkey</v>
          </cell>
          <cell r="D179" t="str">
            <v>General government revenue</v>
          </cell>
          <cell r="E179">
            <v>28.702999999999999</v>
          </cell>
          <cell r="F179">
            <v>27.991</v>
          </cell>
          <cell r="G179">
            <v>28.716000000000001</v>
          </cell>
          <cell r="H179">
            <v>28.553000000000001</v>
          </cell>
          <cell r="I179">
            <v>28.562999999999999</v>
          </cell>
          <cell r="J179">
            <v>28.576000000000001</v>
          </cell>
          <cell r="K179">
            <v>28.509</v>
          </cell>
          <cell r="L179">
            <v>2020</v>
          </cell>
        </row>
        <row r="180">
          <cell r="B180" t="str">
            <v>TUV</v>
          </cell>
          <cell r="C180" t="str">
            <v>Tuvalu</v>
          </cell>
          <cell r="D180" t="str">
            <v>General government revenue</v>
          </cell>
          <cell r="E180">
            <v>121.48699999999999</v>
          </cell>
          <cell r="F180">
            <v>121.883</v>
          </cell>
          <cell r="G180">
            <v>106.723</v>
          </cell>
          <cell r="H180">
            <v>106.505</v>
          </cell>
          <cell r="I180">
            <v>105.654</v>
          </cell>
          <cell r="J180">
            <v>104.33799999999999</v>
          </cell>
          <cell r="K180">
            <v>103.18899999999999</v>
          </cell>
          <cell r="L180">
            <v>2019</v>
          </cell>
        </row>
        <row r="181">
          <cell r="B181" t="str">
            <v>TWN</v>
          </cell>
          <cell r="C181" t="str">
            <v>Taiwan Province of China</v>
          </cell>
          <cell r="D181" t="str">
            <v>General government revenue</v>
          </cell>
          <cell r="E181">
            <v>15.36</v>
          </cell>
          <cell r="F181">
            <v>15.66</v>
          </cell>
          <cell r="G181">
            <v>15.96</v>
          </cell>
          <cell r="H181">
            <v>16.059999999999999</v>
          </cell>
          <cell r="I181">
            <v>16.059999999999999</v>
          </cell>
          <cell r="J181">
            <v>16.059999999999999</v>
          </cell>
          <cell r="K181">
            <v>15.91</v>
          </cell>
          <cell r="L181">
            <v>2020</v>
          </cell>
        </row>
        <row r="182">
          <cell r="B182" t="str">
            <v>TZA</v>
          </cell>
          <cell r="C182" t="str">
            <v>Tanzania</v>
          </cell>
          <cell r="D182" t="str">
            <v>General government revenue</v>
          </cell>
          <cell r="E182">
            <v>14.606</v>
          </cell>
          <cell r="F182">
            <v>13.981999999999999</v>
          </cell>
          <cell r="G182">
            <v>14.443</v>
          </cell>
          <cell r="H182">
            <v>14.882999999999999</v>
          </cell>
          <cell r="I182">
            <v>14.965999999999999</v>
          </cell>
          <cell r="J182">
            <v>14.935</v>
          </cell>
          <cell r="K182">
            <v>14.933999999999999</v>
          </cell>
          <cell r="L182">
            <v>2020</v>
          </cell>
        </row>
        <row r="183">
          <cell r="B183" t="str">
            <v>UGA</v>
          </cell>
          <cell r="C183" t="str">
            <v>Uganda</v>
          </cell>
          <cell r="D183" t="str">
            <v>General government revenue</v>
          </cell>
          <cell r="E183">
            <v>13.398</v>
          </cell>
          <cell r="F183">
            <v>14.486000000000001</v>
          </cell>
          <cell r="G183">
            <v>14.792999999999999</v>
          </cell>
          <cell r="H183">
            <v>14.914</v>
          </cell>
          <cell r="I183">
            <v>15.46</v>
          </cell>
          <cell r="J183">
            <v>16.454999999999998</v>
          </cell>
          <cell r="K183">
            <v>17.489000000000001</v>
          </cell>
          <cell r="L183">
            <v>2020</v>
          </cell>
        </row>
        <row r="184">
          <cell r="B184" t="str">
            <v>UKR</v>
          </cell>
          <cell r="C184" t="str">
            <v>Ukraine</v>
          </cell>
          <cell r="D184" t="str">
            <v>General government revenue</v>
          </cell>
          <cell r="E184">
            <v>39.968000000000004</v>
          </cell>
          <cell r="F184">
            <v>36.741</v>
          </cell>
          <cell r="G184">
            <v>36.057000000000002</v>
          </cell>
          <cell r="H184">
            <v>35.780999999999999</v>
          </cell>
          <cell r="I184">
            <v>35.728000000000002</v>
          </cell>
          <cell r="J184">
            <v>35.615000000000002</v>
          </cell>
          <cell r="K184">
            <v>35.551000000000002</v>
          </cell>
          <cell r="L184">
            <v>2020</v>
          </cell>
        </row>
        <row r="185">
          <cell r="B185" t="str">
            <v>URY</v>
          </cell>
          <cell r="C185" t="str">
            <v>Uruguay</v>
          </cell>
          <cell r="D185" t="str">
            <v>General government revenue</v>
          </cell>
          <cell r="E185">
            <v>28.088999999999999</v>
          </cell>
          <cell r="F185">
            <v>27.486000000000001</v>
          </cell>
          <cell r="G185">
            <v>27.468</v>
          </cell>
          <cell r="H185">
            <v>27.8</v>
          </cell>
          <cell r="I185">
            <v>28.016999999999999</v>
          </cell>
          <cell r="J185">
            <v>28.1</v>
          </cell>
          <cell r="K185">
            <v>28.164000000000001</v>
          </cell>
          <cell r="L185">
            <v>2020</v>
          </cell>
        </row>
        <row r="186">
          <cell r="B186" t="str">
            <v>USA</v>
          </cell>
          <cell r="C186" t="str">
            <v>United States</v>
          </cell>
          <cell r="D186" t="str">
            <v>General government revenue</v>
          </cell>
          <cell r="E186">
            <v>30.591999999999999</v>
          </cell>
          <cell r="F186">
            <v>31.14</v>
          </cell>
          <cell r="G186">
            <v>32.478999999999999</v>
          </cell>
          <cell r="H186">
            <v>32.631</v>
          </cell>
          <cell r="I186">
            <v>32.325000000000003</v>
          </cell>
          <cell r="J186">
            <v>32.142000000000003</v>
          </cell>
          <cell r="K186">
            <v>32.476999999999997</v>
          </cell>
          <cell r="L186">
            <v>2020</v>
          </cell>
        </row>
        <row r="187">
          <cell r="B187" t="str">
            <v>UZB</v>
          </cell>
          <cell r="C187" t="str">
            <v>Uzbekistan</v>
          </cell>
          <cell r="D187" t="str">
            <v>General government revenue</v>
          </cell>
          <cell r="E187">
            <v>25.617999999999999</v>
          </cell>
          <cell r="F187">
            <v>25.638000000000002</v>
          </cell>
          <cell r="G187">
            <v>25.757000000000001</v>
          </cell>
          <cell r="H187">
            <v>26.053000000000001</v>
          </cell>
          <cell r="I187">
            <v>26.404</v>
          </cell>
          <cell r="J187">
            <v>26.824000000000002</v>
          </cell>
          <cell r="K187">
            <v>27.305</v>
          </cell>
          <cell r="L187">
            <v>2020</v>
          </cell>
        </row>
        <row r="188">
          <cell r="B188" t="str">
            <v>VCT</v>
          </cell>
          <cell r="C188" t="str">
            <v>St. Vincent and the Grenadines</v>
          </cell>
          <cell r="D188" t="str">
            <v>General government revenue</v>
          </cell>
          <cell r="E188">
            <v>30.707999999999998</v>
          </cell>
          <cell r="F188">
            <v>31.369</v>
          </cell>
          <cell r="G188">
            <v>36.607999999999997</v>
          </cell>
          <cell r="H188">
            <v>34.200000000000003</v>
          </cell>
          <cell r="I188">
            <v>32.021000000000001</v>
          </cell>
          <cell r="J188">
            <v>32.021000000000001</v>
          </cell>
          <cell r="K188">
            <v>31.821000000000002</v>
          </cell>
          <cell r="L188">
            <v>2020</v>
          </cell>
        </row>
        <row r="189">
          <cell r="B189" t="str">
            <v>VEN</v>
          </cell>
          <cell r="C189" t="str">
            <v>Venezuela</v>
          </cell>
          <cell r="D189" t="str">
            <v>General government revenue</v>
          </cell>
          <cell r="E189">
            <v>5.8819999999999997</v>
          </cell>
          <cell r="L189">
            <v>2017</v>
          </cell>
        </row>
        <row r="190">
          <cell r="B190" t="str">
            <v>VNM</v>
          </cell>
          <cell r="C190" t="str">
            <v>Vietnam</v>
          </cell>
          <cell r="D190" t="str">
            <v>General government revenue</v>
          </cell>
          <cell r="E190">
            <v>18.535</v>
          </cell>
          <cell r="F190">
            <v>15.648999999999999</v>
          </cell>
          <cell r="G190">
            <v>15.792999999999999</v>
          </cell>
          <cell r="H190">
            <v>15.996</v>
          </cell>
          <cell r="I190">
            <v>16.233000000000001</v>
          </cell>
          <cell r="J190">
            <v>16.503</v>
          </cell>
          <cell r="K190">
            <v>16.771999999999998</v>
          </cell>
          <cell r="L190">
            <v>2020</v>
          </cell>
        </row>
        <row r="191">
          <cell r="B191" t="str">
            <v>VUT</v>
          </cell>
          <cell r="C191" t="str">
            <v>Vanuatu</v>
          </cell>
          <cell r="D191" t="str">
            <v>General government revenue</v>
          </cell>
          <cell r="E191">
            <v>44.241999999999997</v>
          </cell>
          <cell r="F191">
            <v>40.552</v>
          </cell>
          <cell r="G191">
            <v>34.232999999999997</v>
          </cell>
          <cell r="H191">
            <v>32.115000000000002</v>
          </cell>
          <cell r="I191">
            <v>31.648</v>
          </cell>
          <cell r="J191">
            <v>31.010999999999999</v>
          </cell>
          <cell r="K191">
            <v>30.606000000000002</v>
          </cell>
          <cell r="L191">
            <v>2019</v>
          </cell>
        </row>
        <row r="192">
          <cell r="B192" t="str">
            <v>WSM</v>
          </cell>
          <cell r="C192" t="str">
            <v>Samoa</v>
          </cell>
          <cell r="D192" t="str">
            <v>General government revenue</v>
          </cell>
          <cell r="E192">
            <v>38.323999999999998</v>
          </cell>
          <cell r="F192">
            <v>37.290999999999997</v>
          </cell>
          <cell r="G192">
            <v>32.893000000000001</v>
          </cell>
          <cell r="H192">
            <v>33.918999999999997</v>
          </cell>
          <cell r="I192">
            <v>35.04</v>
          </cell>
          <cell r="J192">
            <v>35.682000000000002</v>
          </cell>
          <cell r="K192">
            <v>35.982999999999997</v>
          </cell>
          <cell r="L192">
            <v>2020</v>
          </cell>
        </row>
        <row r="193">
          <cell r="B193" t="str">
            <v>XKX</v>
          </cell>
          <cell r="C193" t="str">
            <v>Kosovo</v>
          </cell>
          <cell r="D193" t="str">
            <v>General government revenue</v>
          </cell>
          <cell r="E193">
            <v>25.469000000000001</v>
          </cell>
          <cell r="F193">
            <v>27.324999999999999</v>
          </cell>
          <cell r="G193">
            <v>26.85</v>
          </cell>
          <cell r="H193">
            <v>26.85</v>
          </cell>
          <cell r="I193">
            <v>26.771000000000001</v>
          </cell>
          <cell r="J193">
            <v>26.731000000000002</v>
          </cell>
          <cell r="K193">
            <v>26.526</v>
          </cell>
          <cell r="L193">
            <v>2020</v>
          </cell>
        </row>
        <row r="194">
          <cell r="B194" t="str">
            <v>YEM</v>
          </cell>
          <cell r="C194" t="str">
            <v>Yemen</v>
          </cell>
          <cell r="D194" t="str">
            <v>General government revenue</v>
          </cell>
          <cell r="E194">
            <v>6.5359999999999996</v>
          </cell>
          <cell r="F194">
            <v>6.3</v>
          </cell>
          <cell r="G194">
            <v>5.6109999999999998</v>
          </cell>
          <cell r="H194">
            <v>6.1189999999999998</v>
          </cell>
          <cell r="I194">
            <v>6.8239999999999998</v>
          </cell>
          <cell r="J194">
            <v>7.8129999999999997</v>
          </cell>
          <cell r="K194">
            <v>8.4489999999999998</v>
          </cell>
          <cell r="L194">
            <v>2020</v>
          </cell>
        </row>
        <row r="195">
          <cell r="B195" t="str">
            <v>ZAF</v>
          </cell>
          <cell r="C195" t="str">
            <v>South Africa</v>
          </cell>
          <cell r="D195" t="str">
            <v>General government revenue</v>
          </cell>
          <cell r="E195">
            <v>25.169</v>
          </cell>
          <cell r="F195">
            <v>25.123999999999999</v>
          </cell>
          <cell r="G195">
            <v>26.145</v>
          </cell>
          <cell r="H195">
            <v>26.157</v>
          </cell>
          <cell r="I195">
            <v>26.256</v>
          </cell>
          <cell r="J195">
            <v>26.338999999999999</v>
          </cell>
          <cell r="K195">
            <v>26.425000000000001</v>
          </cell>
          <cell r="L195">
            <v>2020</v>
          </cell>
        </row>
        <row r="196">
          <cell r="B196" t="str">
            <v>ZMB</v>
          </cell>
          <cell r="C196" t="str">
            <v>Zambia</v>
          </cell>
          <cell r="D196" t="str">
            <v>General government revenue</v>
          </cell>
          <cell r="E196">
            <v>19.029</v>
          </cell>
          <cell r="F196">
            <v>19.588999999999999</v>
          </cell>
          <cell r="G196">
            <v>18.991</v>
          </cell>
          <cell r="H196">
            <v>19.254999999999999</v>
          </cell>
          <cell r="I196">
            <v>19.369</v>
          </cell>
          <cell r="J196">
            <v>19.582999999999998</v>
          </cell>
          <cell r="K196">
            <v>19.547999999999998</v>
          </cell>
          <cell r="L196">
            <v>2020</v>
          </cell>
        </row>
        <row r="197">
          <cell r="B197" t="str">
            <v>ZWE</v>
          </cell>
          <cell r="C197" t="str">
            <v>Zimbabwe</v>
          </cell>
          <cell r="D197" t="str">
            <v>General government revenue</v>
          </cell>
          <cell r="E197">
            <v>16.274999999999999</v>
          </cell>
          <cell r="F197">
            <v>16.158999999999999</v>
          </cell>
          <cell r="G197">
            <v>16.283000000000001</v>
          </cell>
          <cell r="H197">
            <v>16.283999999999999</v>
          </cell>
          <cell r="I197">
            <v>16.285</v>
          </cell>
          <cell r="J197">
            <v>16.286000000000001</v>
          </cell>
          <cell r="K197">
            <v>16.288</v>
          </cell>
          <cell r="L197">
            <v>2019</v>
          </cell>
        </row>
      </sheetData>
      <sheetData sheetId="8"/>
      <sheetData sheetId="9">
        <row r="1">
          <cell r="B1" t="str">
            <v>Country Code</v>
          </cell>
          <cell r="C1" t="str">
            <v>Series Name</v>
          </cell>
          <cell r="D1" t="str">
            <v>Series Code</v>
          </cell>
          <cell r="E1" t="str">
            <v>1960 [YR1960]</v>
          </cell>
          <cell r="F1" t="str">
            <v>1961 [YR1961]</v>
          </cell>
          <cell r="G1" t="str">
            <v>1962 [YR1962]</v>
          </cell>
          <cell r="H1" t="str">
            <v>1963 [YR1963]</v>
          </cell>
          <cell r="I1" t="str">
            <v>1964 [YR1964]</v>
          </cell>
          <cell r="J1" t="str">
            <v>1965 [YR1965]</v>
          </cell>
          <cell r="K1" t="str">
            <v>1966 [YR1966]</v>
          </cell>
          <cell r="L1" t="str">
            <v>1967 [YR1967]</v>
          </cell>
          <cell r="M1" t="str">
            <v>1968 [YR1968]</v>
          </cell>
          <cell r="N1" t="str">
            <v>1969 [YR1969]</v>
          </cell>
          <cell r="O1" t="str">
            <v>1970 [YR1970]</v>
          </cell>
          <cell r="P1" t="str">
            <v>1971 [YR1971]</v>
          </cell>
          <cell r="Q1" t="str">
            <v>1972 [YR1972]</v>
          </cell>
          <cell r="R1" t="str">
            <v>1973 [YR1973]</v>
          </cell>
          <cell r="S1" t="str">
            <v>1974 [YR1974]</v>
          </cell>
          <cell r="T1" t="str">
            <v>1975 [YR1975]</v>
          </cell>
          <cell r="U1" t="str">
            <v>1976 [YR1976]</v>
          </cell>
          <cell r="V1" t="str">
            <v>1977 [YR1977]</v>
          </cell>
          <cell r="W1" t="str">
            <v>1978 [YR1978]</v>
          </cell>
          <cell r="X1" t="str">
            <v>1979 [YR1979]</v>
          </cell>
          <cell r="Y1" t="str">
            <v>1980 [YR1980]</v>
          </cell>
          <cell r="Z1" t="str">
            <v>1981 [YR1981]</v>
          </cell>
          <cell r="AA1" t="str">
            <v>1982 [YR1982]</v>
          </cell>
          <cell r="AB1" t="str">
            <v>1983 [YR1983]</v>
          </cell>
          <cell r="AC1" t="str">
            <v>1984 [YR1984]</v>
          </cell>
          <cell r="AD1" t="str">
            <v>1985 [YR1985]</v>
          </cell>
          <cell r="AE1" t="str">
            <v>1986 [YR1986]</v>
          </cell>
          <cell r="AF1" t="str">
            <v>1987 [YR1987]</v>
          </cell>
          <cell r="AG1" t="str">
            <v>1988 [YR1988]</v>
          </cell>
          <cell r="AH1" t="str">
            <v>1989 [YR1989]</v>
          </cell>
          <cell r="AI1" t="str">
            <v>1990 [YR1990]</v>
          </cell>
          <cell r="AJ1" t="str">
            <v>1991 [YR1991]</v>
          </cell>
          <cell r="AK1" t="str">
            <v>1992 [YR1992]</v>
          </cell>
          <cell r="AL1" t="str">
            <v>1993 [YR1993]</v>
          </cell>
          <cell r="AM1" t="str">
            <v>1994 [YR1994]</v>
          </cell>
          <cell r="AN1" t="str">
            <v>1995 [YR1995]</v>
          </cell>
          <cell r="AO1" t="str">
            <v>1996 [YR1996]</v>
          </cell>
          <cell r="AP1" t="str">
            <v>1997 [YR1997]</v>
          </cell>
          <cell r="AQ1" t="str">
            <v>1998 [YR1998]</v>
          </cell>
          <cell r="AR1" t="str">
            <v>1999 [YR1999]</v>
          </cell>
          <cell r="AS1" t="str">
            <v>2000 [YR2000]</v>
          </cell>
          <cell r="AT1" t="str">
            <v>2001 [YR2001]</v>
          </cell>
          <cell r="AU1" t="str">
            <v>2002 [YR2002]</v>
          </cell>
          <cell r="AV1" t="str">
            <v>2003 [YR2003]</v>
          </cell>
          <cell r="AW1" t="str">
            <v>2004 [YR2004]</v>
          </cell>
          <cell r="AX1" t="str">
            <v>2005 [YR2005]</v>
          </cell>
          <cell r="AY1" t="str">
            <v>2006 [YR2006]</v>
          </cell>
          <cell r="AZ1" t="str">
            <v>2007 [YR2007]</v>
          </cell>
          <cell r="BA1" t="str">
            <v>2008 [YR2008]</v>
          </cell>
          <cell r="BB1" t="str">
            <v>2009 [YR2009]</v>
          </cell>
          <cell r="BC1" t="str">
            <v>2010 [YR2010]</v>
          </cell>
          <cell r="BD1" t="str">
            <v>2011 [YR2011]</v>
          </cell>
          <cell r="BE1" t="str">
            <v>2012 [YR2012]</v>
          </cell>
          <cell r="BF1" t="str">
            <v>2013 [YR2013]</v>
          </cell>
          <cell r="BG1" t="str">
            <v>2014 [YR2014]</v>
          </cell>
          <cell r="BH1" t="str">
            <v>2015 [YR2015]</v>
          </cell>
          <cell r="BI1" t="str">
            <v>2016 [YR2016]</v>
          </cell>
          <cell r="BJ1" t="str">
            <v>2017 [YR2017]</v>
          </cell>
          <cell r="BK1" t="str">
            <v>2018 [YR2018]</v>
          </cell>
          <cell r="BL1" t="str">
            <v>2019 [YR2019]</v>
          </cell>
          <cell r="BM1" t="str">
            <v>2020 [YR2020]</v>
          </cell>
          <cell r="BN1" t="str">
            <v>latest</v>
          </cell>
        </row>
        <row r="2">
          <cell r="B2" t="str">
            <v>AFG</v>
          </cell>
          <cell r="C2" t="str">
            <v>GDP (current LCU)</v>
          </cell>
          <cell r="D2" t="str">
            <v>NY.GDP.MKTP.CN</v>
          </cell>
          <cell r="E2">
            <v>24200001500</v>
          </cell>
          <cell r="F2">
            <v>24700000300</v>
          </cell>
          <cell r="G2">
            <v>24600000500</v>
          </cell>
          <cell r="H2">
            <v>33800003600</v>
          </cell>
          <cell r="I2">
            <v>36000002000</v>
          </cell>
          <cell r="J2">
            <v>45299998700</v>
          </cell>
          <cell r="K2">
            <v>62999998500</v>
          </cell>
          <cell r="L2">
            <v>75300003800</v>
          </cell>
          <cell r="M2">
            <v>61800001500</v>
          </cell>
          <cell r="N2">
            <v>63400001500</v>
          </cell>
          <cell r="O2">
            <v>78699896800</v>
          </cell>
          <cell r="P2">
            <v>82399903700</v>
          </cell>
          <cell r="Q2">
            <v>71799996400</v>
          </cell>
          <cell r="R2">
            <v>77999996900</v>
          </cell>
          <cell r="S2">
            <v>96999997400</v>
          </cell>
          <cell r="T2">
            <v>106499997700</v>
          </cell>
          <cell r="U2">
            <v>115000000500</v>
          </cell>
          <cell r="V2">
            <v>132900003800</v>
          </cell>
          <cell r="W2">
            <v>148500004900</v>
          </cell>
          <cell r="X2">
            <v>161599995900</v>
          </cell>
          <cell r="Y2">
            <v>160599998500</v>
          </cell>
          <cell r="Z2">
            <v>172200001500</v>
          </cell>
          <cell r="AA2" t="str">
            <v>..</v>
          </cell>
          <cell r="AB2" t="str">
            <v>..</v>
          </cell>
          <cell r="AC2" t="str">
            <v>..</v>
          </cell>
          <cell r="AD2" t="str">
            <v>..</v>
          </cell>
          <cell r="AE2" t="str">
            <v>..</v>
          </cell>
          <cell r="AF2" t="str">
            <v>..</v>
          </cell>
          <cell r="AG2" t="str">
            <v>..</v>
          </cell>
          <cell r="AH2" t="str">
            <v>..</v>
          </cell>
          <cell r="AI2" t="str">
            <v>..</v>
          </cell>
          <cell r="AJ2" t="str">
            <v>..</v>
          </cell>
          <cell r="AK2" t="str">
            <v>..</v>
          </cell>
          <cell r="AL2" t="str">
            <v>..</v>
          </cell>
          <cell r="AM2" t="str">
            <v>..</v>
          </cell>
          <cell r="AN2" t="str">
            <v>..</v>
          </cell>
          <cell r="AO2" t="str">
            <v>..</v>
          </cell>
          <cell r="AP2" t="str">
            <v>..</v>
          </cell>
          <cell r="AQ2" t="str">
            <v>..</v>
          </cell>
          <cell r="AR2" t="str">
            <v>..</v>
          </cell>
          <cell r="AS2" t="str">
            <v>..</v>
          </cell>
          <cell r="AT2" t="str">
            <v>..</v>
          </cell>
          <cell r="AU2">
            <v>182162721300</v>
          </cell>
          <cell r="AV2">
            <v>221358563000</v>
          </cell>
          <cell r="AW2">
            <v>249791940700</v>
          </cell>
          <cell r="AX2">
            <v>308163225800</v>
          </cell>
          <cell r="AY2">
            <v>348048404600</v>
          </cell>
          <cell r="AZ2">
            <v>485419056200</v>
          </cell>
          <cell r="BA2">
            <v>515046858600</v>
          </cell>
          <cell r="BB2">
            <v>611692107000</v>
          </cell>
          <cell r="BC2">
            <v>726231122700</v>
          </cell>
          <cell r="BD2">
            <v>850347275400</v>
          </cell>
          <cell r="BE2">
            <v>1028794220100</v>
          </cell>
          <cell r="BF2">
            <v>1138809791300</v>
          </cell>
          <cell r="BG2">
            <v>1176469485800</v>
          </cell>
          <cell r="BH2">
            <v>1222756495400</v>
          </cell>
          <cell r="BI2">
            <v>1222916881100</v>
          </cell>
          <cell r="BJ2">
            <v>1285460326500</v>
          </cell>
          <cell r="BK2">
            <v>1327690394700</v>
          </cell>
          <cell r="BL2">
            <v>1469596303300</v>
          </cell>
          <cell r="BM2">
            <v>1547289027600</v>
          </cell>
          <cell r="BN2">
            <v>1547289027600</v>
          </cell>
        </row>
        <row r="3">
          <cell r="B3" t="str">
            <v>ALB</v>
          </cell>
          <cell r="C3" t="str">
            <v>GDP (current LCU)</v>
          </cell>
          <cell r="D3" t="str">
            <v>NY.GDP.MKTP.CN</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v>14991970000</v>
          </cell>
          <cell r="Z3">
            <v>15514160000</v>
          </cell>
          <cell r="AA3">
            <v>15968780000</v>
          </cell>
          <cell r="AB3">
            <v>16142520000</v>
          </cell>
          <cell r="AC3">
            <v>15935960000</v>
          </cell>
          <cell r="AD3">
            <v>16276690000</v>
          </cell>
          <cell r="AE3">
            <v>16778610000</v>
          </cell>
          <cell r="AF3">
            <v>16646370000</v>
          </cell>
          <cell r="AG3">
            <v>16409890000</v>
          </cell>
          <cell r="AH3">
            <v>18024720000</v>
          </cell>
          <cell r="AI3">
            <v>16228430000</v>
          </cell>
          <cell r="AJ3">
            <v>15833650000</v>
          </cell>
          <cell r="AK3">
            <v>48934320000</v>
          </cell>
          <cell r="AL3">
            <v>120976260000</v>
          </cell>
          <cell r="AM3">
            <v>177981840000</v>
          </cell>
          <cell r="AN3">
            <v>221803320000</v>
          </cell>
          <cell r="AO3">
            <v>334359000000</v>
          </cell>
          <cell r="AP3">
            <v>331324000000</v>
          </cell>
          <cell r="AQ3">
            <v>384848000000</v>
          </cell>
          <cell r="AR3">
            <v>443594000000</v>
          </cell>
          <cell r="AS3">
            <v>501199000000</v>
          </cell>
          <cell r="AT3">
            <v>563449000000</v>
          </cell>
          <cell r="AU3">
            <v>610494000000</v>
          </cell>
          <cell r="AV3">
            <v>677738000000</v>
          </cell>
          <cell r="AW3">
            <v>737656000000</v>
          </cell>
          <cell r="AX3">
            <v>804163000000</v>
          </cell>
          <cell r="AY3">
            <v>872735000000</v>
          </cell>
          <cell r="AZ3">
            <v>965528000000</v>
          </cell>
          <cell r="BA3">
            <v>1080676000000</v>
          </cell>
          <cell r="BB3">
            <v>1143936000000</v>
          </cell>
          <cell r="BC3">
            <v>1239645000000</v>
          </cell>
          <cell r="BD3">
            <v>1300624000000</v>
          </cell>
          <cell r="BE3">
            <v>1332811000000</v>
          </cell>
          <cell r="BF3">
            <v>1350053000000</v>
          </cell>
          <cell r="BG3">
            <v>1395305000000</v>
          </cell>
          <cell r="BH3">
            <v>1434307000000</v>
          </cell>
          <cell r="BI3">
            <v>1472479000000</v>
          </cell>
          <cell r="BJ3">
            <v>1550645000000</v>
          </cell>
          <cell r="BK3">
            <v>1636731000000</v>
          </cell>
          <cell r="BL3">
            <v>1691729000000</v>
          </cell>
          <cell r="BM3">
            <v>1617540920000</v>
          </cell>
          <cell r="BN3">
            <v>1617540920000</v>
          </cell>
        </row>
        <row r="4">
          <cell r="B4" t="str">
            <v>DZA</v>
          </cell>
          <cell r="C4" t="str">
            <v>GDP (current LCU)</v>
          </cell>
          <cell r="D4" t="str">
            <v>NY.GDP.MKTP.CN</v>
          </cell>
          <cell r="E4">
            <v>13446652900</v>
          </cell>
          <cell r="F4">
            <v>12020492300</v>
          </cell>
          <cell r="G4">
            <v>9881251800</v>
          </cell>
          <cell r="H4">
            <v>13344784400</v>
          </cell>
          <cell r="I4">
            <v>14363469800</v>
          </cell>
          <cell r="J4">
            <v>15484023800</v>
          </cell>
          <cell r="K4">
            <v>15007967200</v>
          </cell>
          <cell r="L4">
            <v>16642189300</v>
          </cell>
          <cell r="M4">
            <v>19018281000</v>
          </cell>
          <cell r="N4">
            <v>21018314800</v>
          </cell>
          <cell r="O4">
            <v>24011524100</v>
          </cell>
          <cell r="P4">
            <v>24942362600</v>
          </cell>
          <cell r="Q4">
            <v>30318497800</v>
          </cell>
          <cell r="R4">
            <v>34504847400</v>
          </cell>
          <cell r="S4">
            <v>55227170800</v>
          </cell>
          <cell r="T4">
            <v>61444505600</v>
          </cell>
          <cell r="U4">
            <v>73817292800</v>
          </cell>
          <cell r="V4">
            <v>86966280200</v>
          </cell>
          <cell r="W4">
            <v>104558936100</v>
          </cell>
          <cell r="X4">
            <v>128096878600</v>
          </cell>
          <cell r="Y4">
            <v>162500001800</v>
          </cell>
          <cell r="Z4">
            <v>191400001500</v>
          </cell>
          <cell r="AA4">
            <v>207599992800</v>
          </cell>
          <cell r="AB4">
            <v>233699999700</v>
          </cell>
          <cell r="AC4">
            <v>267600003100</v>
          </cell>
          <cell r="AD4">
            <v>291300016100</v>
          </cell>
          <cell r="AE4">
            <v>299500011500</v>
          </cell>
          <cell r="AF4">
            <v>323699998700</v>
          </cell>
          <cell r="AG4">
            <v>349500014600</v>
          </cell>
          <cell r="AH4">
            <v>423300005900</v>
          </cell>
          <cell r="AI4">
            <v>555800002600</v>
          </cell>
          <cell r="AJ4">
            <v>844499976200</v>
          </cell>
          <cell r="AK4">
            <v>1048200020000</v>
          </cell>
          <cell r="AL4">
            <v>1165999996900</v>
          </cell>
          <cell r="AM4">
            <v>1491500007400</v>
          </cell>
          <cell r="AN4">
            <v>1990600032300</v>
          </cell>
          <cell r="AO4">
            <v>2570000007200</v>
          </cell>
          <cell r="AP4">
            <v>2780199911400</v>
          </cell>
          <cell r="AQ4">
            <v>2830500102100</v>
          </cell>
          <cell r="AR4">
            <v>3238198000000</v>
          </cell>
          <cell r="AS4">
            <v>4123514000000</v>
          </cell>
          <cell r="AT4">
            <v>4227113000000</v>
          </cell>
          <cell r="AU4">
            <v>4522773000000</v>
          </cell>
          <cell r="AV4">
            <v>5252321000000</v>
          </cell>
          <cell r="AW4">
            <v>6149117000000</v>
          </cell>
          <cell r="AX4">
            <v>7561984000000</v>
          </cell>
          <cell r="AY4">
            <v>8501636000000</v>
          </cell>
          <cell r="AZ4">
            <v>9352886000000</v>
          </cell>
          <cell r="BA4">
            <v>11043704000000</v>
          </cell>
          <cell r="BB4">
            <v>9968025000000</v>
          </cell>
          <cell r="BC4">
            <v>11991564000000</v>
          </cell>
          <cell r="BD4">
            <v>14588532000000</v>
          </cell>
          <cell r="BE4">
            <v>16209598000000</v>
          </cell>
          <cell r="BF4">
            <v>16647919000000</v>
          </cell>
          <cell r="BG4">
            <v>17228598000000</v>
          </cell>
          <cell r="BH4">
            <v>16712686000000</v>
          </cell>
          <cell r="BI4">
            <v>17514635000000</v>
          </cell>
          <cell r="BJ4">
            <v>18876176000000</v>
          </cell>
          <cell r="BK4">
            <v>20393524000000</v>
          </cell>
          <cell r="BL4">
            <v>20501058000000</v>
          </cell>
          <cell r="BM4">
            <v>18383800000000</v>
          </cell>
          <cell r="BN4">
            <v>18383800000000</v>
          </cell>
        </row>
        <row r="5">
          <cell r="B5" t="str">
            <v>ASM</v>
          </cell>
          <cell r="C5" t="str">
            <v>GDP (current LCU)</v>
          </cell>
          <cell r="D5" t="str">
            <v>NY.GDP.MKTP.CN</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v>512000000</v>
          </cell>
          <cell r="AV5">
            <v>524000000</v>
          </cell>
          <cell r="AW5">
            <v>509000000</v>
          </cell>
          <cell r="AX5">
            <v>500000000</v>
          </cell>
          <cell r="AY5">
            <v>493000000</v>
          </cell>
          <cell r="AZ5">
            <v>518000000</v>
          </cell>
          <cell r="BA5">
            <v>560000000</v>
          </cell>
          <cell r="BB5">
            <v>675000000</v>
          </cell>
          <cell r="BC5">
            <v>573000000</v>
          </cell>
          <cell r="BD5">
            <v>570000000</v>
          </cell>
          <cell r="BE5">
            <v>640000000</v>
          </cell>
          <cell r="BF5">
            <v>638000000</v>
          </cell>
          <cell r="BG5">
            <v>643000000</v>
          </cell>
          <cell r="BH5">
            <v>673000000</v>
          </cell>
          <cell r="BI5">
            <v>671000000</v>
          </cell>
          <cell r="BJ5">
            <v>612000000</v>
          </cell>
          <cell r="BK5">
            <v>639000000</v>
          </cell>
          <cell r="BL5">
            <v>648000000</v>
          </cell>
          <cell r="BM5">
            <v>709000000</v>
          </cell>
          <cell r="BN5">
            <v>709000000</v>
          </cell>
        </row>
        <row r="6">
          <cell r="B6" t="str">
            <v>AND</v>
          </cell>
          <cell r="C6" t="str">
            <v>GDP (current LCU)</v>
          </cell>
          <cell r="D6" t="str">
            <v>NY.GDP.MKTP.CN</v>
          </cell>
          <cell r="E6" t="str">
            <v>..</v>
          </cell>
          <cell r="F6" t="str">
            <v>..</v>
          </cell>
          <cell r="G6" t="str">
            <v>..</v>
          </cell>
          <cell r="H6" t="str">
            <v>..</v>
          </cell>
          <cell r="I6" t="str">
            <v>..</v>
          </cell>
          <cell r="J6" t="str">
            <v>..</v>
          </cell>
          <cell r="K6" t="str">
            <v>..</v>
          </cell>
          <cell r="L6" t="str">
            <v>..</v>
          </cell>
          <cell r="M6" t="str">
            <v>..</v>
          </cell>
          <cell r="N6" t="str">
            <v>..</v>
          </cell>
          <cell r="O6">
            <v>33075100</v>
          </cell>
          <cell r="P6">
            <v>37328600</v>
          </cell>
          <cell r="Q6">
            <v>43809600</v>
          </cell>
          <cell r="R6">
            <v>52817200</v>
          </cell>
          <cell r="S6">
            <v>64679900</v>
          </cell>
          <cell r="T6">
            <v>75943900</v>
          </cell>
          <cell r="U6">
            <v>91389700</v>
          </cell>
          <cell r="V6">
            <v>115960200</v>
          </cell>
          <cell r="W6">
            <v>141930500</v>
          </cell>
          <cell r="X6">
            <v>166030700</v>
          </cell>
          <cell r="Y6">
            <v>192360700</v>
          </cell>
          <cell r="Z6">
            <v>215833200</v>
          </cell>
          <cell r="AA6">
            <v>248204100</v>
          </cell>
          <cell r="AB6">
            <v>282616900</v>
          </cell>
          <cell r="AC6">
            <v>318914300</v>
          </cell>
          <cell r="AD6">
            <v>354366200</v>
          </cell>
          <cell r="AE6">
            <v>405699900</v>
          </cell>
          <cell r="AF6">
            <v>453657900</v>
          </cell>
          <cell r="AG6">
            <v>505070300</v>
          </cell>
          <cell r="AH6">
            <v>565962200</v>
          </cell>
          <cell r="AI6">
            <v>630395100</v>
          </cell>
          <cell r="AJ6">
            <v>691276900</v>
          </cell>
          <cell r="AK6">
            <v>744521400</v>
          </cell>
          <cell r="AL6">
            <v>770274000</v>
          </cell>
          <cell r="AM6">
            <v>819228800</v>
          </cell>
          <cell r="AN6">
            <v>883347000</v>
          </cell>
          <cell r="AO6">
            <v>931789600</v>
          </cell>
          <cell r="AP6">
            <v>1038925600</v>
          </cell>
          <cell r="AQ6">
            <v>1088194100</v>
          </cell>
          <cell r="AR6">
            <v>1163747900</v>
          </cell>
          <cell r="AS6">
            <v>1551090000</v>
          </cell>
          <cell r="AT6">
            <v>1728690000</v>
          </cell>
          <cell r="AU6">
            <v>1865830000</v>
          </cell>
          <cell r="AV6">
            <v>2092490000</v>
          </cell>
          <cell r="AW6">
            <v>2331570000</v>
          </cell>
          <cell r="AX6">
            <v>2540880000</v>
          </cell>
          <cell r="AY6">
            <v>2755130000</v>
          </cell>
          <cell r="AZ6">
            <v>2887770000</v>
          </cell>
          <cell r="BA6">
            <v>2789260000</v>
          </cell>
          <cell r="BB6">
            <v>2644840000</v>
          </cell>
          <cell r="BC6">
            <v>2602310000</v>
          </cell>
          <cell r="BD6">
            <v>2607220000</v>
          </cell>
          <cell r="BE6">
            <v>2481850000</v>
          </cell>
          <cell r="BF6">
            <v>2404540000</v>
          </cell>
          <cell r="BG6">
            <v>2462690000</v>
          </cell>
          <cell r="BH6">
            <v>2514510000</v>
          </cell>
          <cell r="BI6">
            <v>2616860000</v>
          </cell>
          <cell r="BJ6">
            <v>2655760000</v>
          </cell>
          <cell r="BK6">
            <v>2725270000</v>
          </cell>
          <cell r="BL6">
            <v>2818420000</v>
          </cell>
          <cell r="BM6">
            <v>2507800000</v>
          </cell>
          <cell r="BN6">
            <v>2507800000</v>
          </cell>
        </row>
        <row r="7">
          <cell r="B7" t="str">
            <v>AGO</v>
          </cell>
          <cell r="C7" t="str">
            <v>GDP (current LCU)</v>
          </cell>
          <cell r="D7" t="str">
            <v>NY.GDP.MKTP.CN</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v>177.42880074609999</v>
          </cell>
          <cell r="Z7">
            <v>166.05935146830001</v>
          </cell>
          <cell r="AA7">
            <v>166.05935146830001</v>
          </cell>
          <cell r="AB7">
            <v>173.05593188</v>
          </cell>
          <cell r="AC7">
            <v>183.44147100180001</v>
          </cell>
          <cell r="AD7">
            <v>226.00252893640001</v>
          </cell>
          <cell r="AE7">
            <v>211.5961352958</v>
          </cell>
          <cell r="AF7">
            <v>241.8694506132</v>
          </cell>
          <cell r="AG7">
            <v>262.3759764481</v>
          </cell>
          <cell r="AH7">
            <v>305.21688326380001</v>
          </cell>
          <cell r="AI7">
            <v>335.96464769779999</v>
          </cell>
          <cell r="AJ7">
            <v>700</v>
          </cell>
          <cell r="AK7">
            <v>3800</v>
          </cell>
          <cell r="AL7">
            <v>29400</v>
          </cell>
          <cell r="AM7">
            <v>678100</v>
          </cell>
          <cell r="AN7">
            <v>15015300</v>
          </cell>
          <cell r="AO7">
            <v>835493000</v>
          </cell>
          <cell r="AP7">
            <v>1751785000</v>
          </cell>
          <cell r="AQ7">
            <v>2555800000</v>
          </cell>
          <cell r="AR7">
            <v>17171000000</v>
          </cell>
          <cell r="AS7">
            <v>91666100000</v>
          </cell>
          <cell r="AT7">
            <v>197110800000</v>
          </cell>
          <cell r="AU7">
            <v>665385000000</v>
          </cell>
          <cell r="AV7">
            <v>1328940035000</v>
          </cell>
          <cell r="AW7">
            <v>1967571431000</v>
          </cell>
          <cell r="AX7">
            <v>3222352000000</v>
          </cell>
          <cell r="AY7">
            <v>4209762000000</v>
          </cell>
          <cell r="AZ7">
            <v>5006335000000</v>
          </cell>
          <cell r="BA7">
            <v>6643353030000</v>
          </cell>
          <cell r="BB7">
            <v>5577340741700</v>
          </cell>
          <cell r="BC7">
            <v>7701651395700</v>
          </cell>
          <cell r="BD7">
            <v>10500941840100</v>
          </cell>
          <cell r="BE7">
            <v>12224949831600</v>
          </cell>
          <cell r="BF7">
            <v>13195003553700</v>
          </cell>
          <cell r="BG7">
            <v>14323859000000</v>
          </cell>
          <cell r="BH7">
            <v>13950290849400</v>
          </cell>
          <cell r="BI7">
            <v>16549565423600</v>
          </cell>
          <cell r="BJ7">
            <v>20262296106300</v>
          </cell>
          <cell r="BK7">
            <v>25627742117300</v>
          </cell>
          <cell r="BL7">
            <v>32621698000000</v>
          </cell>
          <cell r="BM7">
            <v>33756422000000</v>
          </cell>
          <cell r="BN7">
            <v>33756422000000</v>
          </cell>
        </row>
        <row r="8">
          <cell r="B8" t="str">
            <v>ATG</v>
          </cell>
          <cell r="C8" t="str">
            <v>GDP (current LCU)</v>
          </cell>
          <cell r="D8" t="str">
            <v>NY.GDP.MKTP.CN</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v>209241235</v>
          </cell>
          <cell r="W8">
            <v>237274222</v>
          </cell>
          <cell r="X8">
            <v>294515943</v>
          </cell>
          <cell r="Y8">
            <v>354863772</v>
          </cell>
          <cell r="Z8">
            <v>399172683</v>
          </cell>
          <cell r="AA8">
            <v>443797053</v>
          </cell>
          <cell r="AB8">
            <v>491789051</v>
          </cell>
          <cell r="AC8">
            <v>562606685</v>
          </cell>
          <cell r="AD8">
            <v>650494597</v>
          </cell>
          <cell r="AE8">
            <v>784188380</v>
          </cell>
          <cell r="AF8">
            <v>910372127</v>
          </cell>
          <cell r="AG8">
            <v>1076321865</v>
          </cell>
          <cell r="AH8">
            <v>1184745929</v>
          </cell>
          <cell r="AI8">
            <v>1240570000</v>
          </cell>
          <cell r="AJ8">
            <v>1300610000</v>
          </cell>
          <cell r="AK8">
            <v>1348060000</v>
          </cell>
          <cell r="AL8">
            <v>1444970000</v>
          </cell>
          <cell r="AM8">
            <v>1591460000</v>
          </cell>
          <cell r="AN8">
            <v>1558660000</v>
          </cell>
          <cell r="AO8">
            <v>1711070000</v>
          </cell>
          <cell r="AP8">
            <v>1837670000</v>
          </cell>
          <cell r="AQ8">
            <v>1965220000</v>
          </cell>
          <cell r="AR8">
            <v>2068740000</v>
          </cell>
          <cell r="AS8">
            <v>2231200000</v>
          </cell>
          <cell r="AT8">
            <v>2161300000</v>
          </cell>
          <cell r="AU8">
            <v>2198830000</v>
          </cell>
          <cell r="AV8">
            <v>2312270000</v>
          </cell>
          <cell r="AW8">
            <v>2483270000</v>
          </cell>
          <cell r="AX8">
            <v>2762000000</v>
          </cell>
          <cell r="AY8">
            <v>3125690000</v>
          </cell>
          <cell r="AZ8">
            <v>3544450000</v>
          </cell>
          <cell r="BA8">
            <v>3699190000</v>
          </cell>
          <cell r="BB8">
            <v>3316490000</v>
          </cell>
          <cell r="BC8">
            <v>3101490000</v>
          </cell>
          <cell r="BD8">
            <v>3071620000</v>
          </cell>
          <cell r="BE8">
            <v>3239860000</v>
          </cell>
          <cell r="BF8">
            <v>3189910000</v>
          </cell>
          <cell r="BG8">
            <v>3374280000</v>
          </cell>
          <cell r="BH8">
            <v>3609070000</v>
          </cell>
          <cell r="BI8">
            <v>3878780000</v>
          </cell>
          <cell r="BJ8">
            <v>3963540000</v>
          </cell>
          <cell r="BK8">
            <v>4336050000</v>
          </cell>
          <cell r="BL8">
            <v>4556340000</v>
          </cell>
          <cell r="BM8">
            <v>3699760000</v>
          </cell>
          <cell r="BN8">
            <v>3699760000</v>
          </cell>
        </row>
        <row r="9">
          <cell r="B9" t="str">
            <v>ARG</v>
          </cell>
          <cell r="C9" t="str">
            <v>GDP (current LCU)</v>
          </cell>
          <cell r="D9" t="str">
            <v>NY.GDP.MKTP.CN</v>
          </cell>
          <cell r="E9">
            <v>0.1315089166</v>
          </cell>
          <cell r="F9">
            <v>0.16680718959999999</v>
          </cell>
          <cell r="G9">
            <v>0.21313592789999999</v>
          </cell>
          <cell r="H9">
            <v>0.25347089769999998</v>
          </cell>
          <cell r="I9">
            <v>0.35947209600000002</v>
          </cell>
          <cell r="J9">
            <v>0.48186001179999999</v>
          </cell>
          <cell r="K9">
            <v>0.60123997929999995</v>
          </cell>
          <cell r="L9">
            <v>0.8004699945</v>
          </cell>
          <cell r="M9">
            <v>0.92528998849999999</v>
          </cell>
          <cell r="N9">
            <v>1.0939699410999999</v>
          </cell>
          <cell r="O9">
            <v>1.2001999617000001</v>
          </cell>
          <cell r="P9">
            <v>1.6646599769999999</v>
          </cell>
          <cell r="Q9">
            <v>2.7786400318000002</v>
          </cell>
          <cell r="R9">
            <v>4.7289600372000002</v>
          </cell>
          <cell r="S9">
            <v>6.5193099975999997</v>
          </cell>
          <cell r="T9">
            <v>19.402299881000001</v>
          </cell>
          <cell r="U9">
            <v>102.3389968872</v>
          </cell>
          <cell r="V9">
            <v>283.9049987793</v>
          </cell>
          <cell r="W9">
            <v>708.61102294919999</v>
          </cell>
          <cell r="X9">
            <v>1932.1400146484</v>
          </cell>
          <cell r="Y9">
            <v>3840.3999023438</v>
          </cell>
          <cell r="Z9">
            <v>7474.2998046875</v>
          </cell>
          <cell r="AA9">
            <v>21852.5</v>
          </cell>
          <cell r="AB9">
            <v>109490</v>
          </cell>
          <cell r="AC9">
            <v>790920</v>
          </cell>
          <cell r="AD9">
            <v>5305000</v>
          </cell>
          <cell r="AE9">
            <v>9984100</v>
          </cell>
          <cell r="AF9">
            <v>23332300</v>
          </cell>
          <cell r="AG9">
            <v>111062000</v>
          </cell>
          <cell r="AH9">
            <v>3244039936</v>
          </cell>
          <cell r="AI9">
            <v>68921999360</v>
          </cell>
          <cell r="AJ9">
            <v>180898005000</v>
          </cell>
          <cell r="AK9">
            <v>226638004200</v>
          </cell>
          <cell r="AL9">
            <v>236504973300</v>
          </cell>
          <cell r="AM9">
            <v>257440000000</v>
          </cell>
          <cell r="AN9">
            <v>258031750000</v>
          </cell>
          <cell r="AO9">
            <v>272149750000</v>
          </cell>
          <cell r="AP9">
            <v>292859000000</v>
          </cell>
          <cell r="AQ9">
            <v>298948250000</v>
          </cell>
          <cell r="AR9">
            <v>283523000000</v>
          </cell>
          <cell r="AS9">
            <v>284203750000</v>
          </cell>
          <cell r="AT9">
            <v>268696750000</v>
          </cell>
          <cell r="AU9">
            <v>312580000000</v>
          </cell>
          <cell r="AV9">
            <v>375909500000</v>
          </cell>
          <cell r="AW9">
            <v>485115194700</v>
          </cell>
          <cell r="AX9">
            <v>582538172900</v>
          </cell>
          <cell r="AY9">
            <v>715904271700</v>
          </cell>
          <cell r="AZ9">
            <v>896980174100</v>
          </cell>
          <cell r="BA9">
            <v>1149646090600</v>
          </cell>
          <cell r="BB9">
            <v>1247929268900</v>
          </cell>
          <cell r="BC9">
            <v>1661720925900</v>
          </cell>
          <cell r="BD9">
            <v>2179024103600</v>
          </cell>
          <cell r="BE9">
            <v>2637913848200</v>
          </cell>
          <cell r="BF9">
            <v>3348308488200</v>
          </cell>
          <cell r="BG9">
            <v>4579086425400</v>
          </cell>
          <cell r="BH9">
            <v>5954510895700</v>
          </cell>
          <cell r="BI9">
            <v>8228159556500</v>
          </cell>
          <cell r="BJ9">
            <v>10660228494800</v>
          </cell>
          <cell r="BK9">
            <v>14744810677300</v>
          </cell>
          <cell r="BL9">
            <v>21802256302000</v>
          </cell>
          <cell r="BM9">
            <v>27481439972800</v>
          </cell>
          <cell r="BN9">
            <v>27481439972800</v>
          </cell>
        </row>
        <row r="10">
          <cell r="B10" t="str">
            <v>ARM</v>
          </cell>
          <cell r="C10" t="str">
            <v>GDP (current LCU)</v>
          </cell>
          <cell r="D10" t="str">
            <v>NY.GDP.MKTP.CN</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v>50310000</v>
          </cell>
          <cell r="AJ10">
            <v>79690000</v>
          </cell>
          <cell r="AK10">
            <v>310190000</v>
          </cell>
          <cell r="AL10">
            <v>4218410000</v>
          </cell>
          <cell r="AM10">
            <v>187065008100</v>
          </cell>
          <cell r="AN10">
            <v>522255990800</v>
          </cell>
          <cell r="AO10">
            <v>661209022500</v>
          </cell>
          <cell r="AP10">
            <v>804334993400</v>
          </cell>
          <cell r="AQ10">
            <v>955384987600</v>
          </cell>
          <cell r="AR10">
            <v>987443691500</v>
          </cell>
          <cell r="AS10">
            <v>1031338300000</v>
          </cell>
          <cell r="AT10">
            <v>1175876800000</v>
          </cell>
          <cell r="AU10">
            <v>1362471700000</v>
          </cell>
          <cell r="AV10">
            <v>1624642700000</v>
          </cell>
          <cell r="AW10">
            <v>1907945400000</v>
          </cell>
          <cell r="AX10">
            <v>2242880900000</v>
          </cell>
          <cell r="AY10">
            <v>2656189800000</v>
          </cell>
          <cell r="AZ10">
            <v>3149283400000</v>
          </cell>
          <cell r="BA10">
            <v>3568227600000</v>
          </cell>
          <cell r="BB10">
            <v>3141651000000</v>
          </cell>
          <cell r="BC10">
            <v>3460202700000</v>
          </cell>
          <cell r="BD10">
            <v>3777945600000</v>
          </cell>
          <cell r="BE10">
            <v>4266460500000</v>
          </cell>
          <cell r="BF10">
            <v>4555638200000</v>
          </cell>
          <cell r="BG10">
            <v>4828626300000</v>
          </cell>
          <cell r="BH10">
            <v>5043633200000</v>
          </cell>
          <cell r="BI10">
            <v>5067293500000</v>
          </cell>
          <cell r="BJ10">
            <v>5564493300000</v>
          </cell>
          <cell r="BK10">
            <v>6017035200000</v>
          </cell>
          <cell r="BL10">
            <v>6543321800000</v>
          </cell>
          <cell r="BM10">
            <v>6181664100000</v>
          </cell>
          <cell r="BN10">
            <v>6181664100000</v>
          </cell>
        </row>
        <row r="11">
          <cell r="B11" t="str">
            <v>ABW</v>
          </cell>
          <cell r="C11" t="str">
            <v>GDP (current LCU)</v>
          </cell>
          <cell r="D11" t="str">
            <v>NY.GDP.MKTP.CN</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725779516.64025295</v>
          </cell>
          <cell r="AF11">
            <v>872808399.36608505</v>
          </cell>
          <cell r="AG11">
            <v>1067598256.73534</v>
          </cell>
          <cell r="AH11">
            <v>1244594809.82567</v>
          </cell>
          <cell r="AI11">
            <v>1369147939.7781301</v>
          </cell>
          <cell r="AJ11">
            <v>1561128300</v>
          </cell>
          <cell r="AK11">
            <v>1715649100</v>
          </cell>
          <cell r="AL11">
            <v>1938533700</v>
          </cell>
          <cell r="AM11">
            <v>2229782000</v>
          </cell>
          <cell r="AN11">
            <v>2363650000</v>
          </cell>
          <cell r="AO11">
            <v>2470130000</v>
          </cell>
          <cell r="AP11">
            <v>2742180000</v>
          </cell>
          <cell r="AQ11">
            <v>2980530000</v>
          </cell>
          <cell r="AR11">
            <v>3083810000</v>
          </cell>
          <cell r="AS11">
            <v>3353480000</v>
          </cell>
          <cell r="AT11">
            <v>3437000000</v>
          </cell>
          <cell r="AU11">
            <v>3475000000</v>
          </cell>
          <cell r="AV11">
            <v>3618000000</v>
          </cell>
          <cell r="AW11">
            <v>3989000000</v>
          </cell>
          <cell r="AX11">
            <v>4172000000</v>
          </cell>
          <cell r="AY11">
            <v>4340000000</v>
          </cell>
          <cell r="AZ11">
            <v>4681000000</v>
          </cell>
          <cell r="BA11">
            <v>4914000000</v>
          </cell>
          <cell r="BB11">
            <v>4473000000</v>
          </cell>
          <cell r="BC11">
            <v>4279000000</v>
          </cell>
          <cell r="BD11">
            <v>4564000000</v>
          </cell>
          <cell r="BE11">
            <v>4537000000</v>
          </cell>
          <cell r="BF11">
            <v>4882851000</v>
          </cell>
          <cell r="BG11">
            <v>4995620000</v>
          </cell>
          <cell r="BH11">
            <v>5303600000</v>
          </cell>
          <cell r="BI11">
            <v>5340710000</v>
          </cell>
          <cell r="BJ11">
            <v>5535450000</v>
          </cell>
          <cell r="BK11">
            <v>5731917606.4027901</v>
          </cell>
          <cell r="BL11" t="str">
            <v>..</v>
          </cell>
          <cell r="BM11" t="str">
            <v>..</v>
          </cell>
          <cell r="BN11">
            <v>5731917606.4027901</v>
          </cell>
        </row>
        <row r="12">
          <cell r="B12" t="str">
            <v>AUS</v>
          </cell>
          <cell r="C12" t="str">
            <v>GDP (current LCU)</v>
          </cell>
          <cell r="D12" t="str">
            <v>NY.GDP.MKTP.CN</v>
          </cell>
          <cell r="E12">
            <v>16614000000</v>
          </cell>
          <cell r="F12">
            <v>17575000000</v>
          </cell>
          <cell r="G12">
            <v>17789000000</v>
          </cell>
          <cell r="H12">
            <v>19233000000</v>
          </cell>
          <cell r="I12">
            <v>21252000000</v>
          </cell>
          <cell r="J12">
            <v>23195000000</v>
          </cell>
          <cell r="K12">
            <v>24385000000</v>
          </cell>
          <cell r="L12">
            <v>27184000000</v>
          </cell>
          <cell r="M12">
            <v>29213000000</v>
          </cell>
          <cell r="N12">
            <v>32757000000</v>
          </cell>
          <cell r="O12">
            <v>36910000000</v>
          </cell>
          <cell r="P12">
            <v>40379000000</v>
          </cell>
          <cell r="Q12">
            <v>44556000000</v>
          </cell>
          <cell r="R12">
            <v>49831000000</v>
          </cell>
          <cell r="S12">
            <v>60374000000</v>
          </cell>
          <cell r="T12">
            <v>71277000000</v>
          </cell>
          <cell r="U12">
            <v>83377000000</v>
          </cell>
          <cell r="V12">
            <v>96236000000</v>
          </cell>
          <cell r="W12">
            <v>105094000000</v>
          </cell>
          <cell r="X12">
            <v>118789000000</v>
          </cell>
          <cell r="Y12">
            <v>134654000000</v>
          </cell>
          <cell r="Z12">
            <v>152410000000</v>
          </cell>
          <cell r="AA12">
            <v>175917000000</v>
          </cell>
          <cell r="AB12">
            <v>189481000000</v>
          </cell>
          <cell r="AC12">
            <v>213766000000</v>
          </cell>
          <cell r="AD12">
            <v>235414000000</v>
          </cell>
          <cell r="AE12">
            <v>260714000000</v>
          </cell>
          <cell r="AF12">
            <v>286222000000</v>
          </cell>
          <cell r="AG12">
            <v>324449000000</v>
          </cell>
          <cell r="AH12">
            <v>368145000000</v>
          </cell>
          <cell r="AI12">
            <v>404569000000</v>
          </cell>
          <cell r="AJ12">
            <v>415233000000</v>
          </cell>
          <cell r="AK12">
            <v>423222000000</v>
          </cell>
          <cell r="AL12">
            <v>444218000000</v>
          </cell>
          <cell r="AM12">
            <v>466618000000</v>
          </cell>
          <cell r="AN12">
            <v>495509000000</v>
          </cell>
          <cell r="AO12">
            <v>528636000000</v>
          </cell>
          <cell r="AP12">
            <v>556257000000</v>
          </cell>
          <cell r="AQ12">
            <v>588842000000</v>
          </cell>
          <cell r="AR12">
            <v>620924000000</v>
          </cell>
          <cell r="AS12">
            <v>661722000000</v>
          </cell>
          <cell r="AT12">
            <v>706385000000</v>
          </cell>
          <cell r="AU12">
            <v>755579000000</v>
          </cell>
          <cell r="AV12">
            <v>802510000000</v>
          </cell>
          <cell r="AW12">
            <v>863395000000</v>
          </cell>
          <cell r="AX12">
            <v>924589000000</v>
          </cell>
          <cell r="AY12">
            <v>998436000000</v>
          </cell>
          <cell r="AZ12">
            <v>1087683000000</v>
          </cell>
          <cell r="BA12">
            <v>1178577000000</v>
          </cell>
          <cell r="BB12">
            <v>1260468000000</v>
          </cell>
          <cell r="BC12">
            <v>1302858000000</v>
          </cell>
          <cell r="BD12">
            <v>1417898000000</v>
          </cell>
          <cell r="BE12">
            <v>1499804000000</v>
          </cell>
          <cell r="BF12">
            <v>1536454000000</v>
          </cell>
          <cell r="BG12">
            <v>1598553000000</v>
          </cell>
          <cell r="BH12">
            <v>1623207000000</v>
          </cell>
          <cell r="BI12">
            <v>1657744000000</v>
          </cell>
          <cell r="BJ12">
            <v>1759314000000</v>
          </cell>
          <cell r="BK12">
            <v>1842946000000</v>
          </cell>
          <cell r="BL12">
            <v>1946228000000</v>
          </cell>
          <cell r="BM12">
            <v>1980866000000</v>
          </cell>
          <cell r="BN12">
            <v>1980866000000</v>
          </cell>
        </row>
        <row r="13">
          <cell r="B13" t="str">
            <v>AUT</v>
          </cell>
          <cell r="C13" t="str">
            <v>GDP (current LCU)</v>
          </cell>
          <cell r="D13" t="str">
            <v>NY.GDP.MKTP.CN</v>
          </cell>
          <cell r="E13">
            <v>12456853504</v>
          </cell>
          <cell r="F13">
            <v>13815504896</v>
          </cell>
          <cell r="G13">
            <v>14655121408</v>
          </cell>
          <cell r="H13">
            <v>15822951424</v>
          </cell>
          <cell r="I13">
            <v>17326626816</v>
          </cell>
          <cell r="J13">
            <v>18883733504</v>
          </cell>
          <cell r="K13">
            <v>20572207104</v>
          </cell>
          <cell r="L13">
            <v>21879263232</v>
          </cell>
          <cell r="M13">
            <v>23506483200</v>
          </cell>
          <cell r="N13">
            <v>25664612352</v>
          </cell>
          <cell r="O13">
            <v>29047294000</v>
          </cell>
          <cell r="P13">
            <v>32427439000</v>
          </cell>
          <cell r="Q13">
            <v>37057943000</v>
          </cell>
          <cell r="R13">
            <v>41997559000</v>
          </cell>
          <cell r="S13">
            <v>47801145000</v>
          </cell>
          <cell r="T13">
            <v>50702938000</v>
          </cell>
          <cell r="U13">
            <v>56006921000</v>
          </cell>
          <cell r="V13">
            <v>61911611000</v>
          </cell>
          <cell r="W13">
            <v>65483749000</v>
          </cell>
          <cell r="X13">
            <v>71830084000</v>
          </cell>
          <cell r="Y13">
            <v>77151790000</v>
          </cell>
          <cell r="Z13">
            <v>82215016000</v>
          </cell>
          <cell r="AA13">
            <v>88359974000</v>
          </cell>
          <cell r="AB13">
            <v>94146775000</v>
          </cell>
          <cell r="AC13">
            <v>98857490000</v>
          </cell>
          <cell r="AD13">
            <v>104329954000</v>
          </cell>
          <cell r="AE13">
            <v>109880625000</v>
          </cell>
          <cell r="AF13">
            <v>114085965000</v>
          </cell>
          <cell r="AG13">
            <v>119645441000</v>
          </cell>
          <cell r="AH13">
            <v>127981232000</v>
          </cell>
          <cell r="AI13">
            <v>137548696000</v>
          </cell>
          <cell r="AJ13">
            <v>147464360000</v>
          </cell>
          <cell r="AK13">
            <v>155789392000</v>
          </cell>
          <cell r="AL13">
            <v>160927978000</v>
          </cell>
          <cell r="AM13">
            <v>168954605000</v>
          </cell>
          <cell r="AN13">
            <v>176608750000</v>
          </cell>
          <cell r="AO13">
            <v>182540880000</v>
          </cell>
          <cell r="AP13">
            <v>188723760000</v>
          </cell>
          <cell r="AQ13">
            <v>196346610000</v>
          </cell>
          <cell r="AR13">
            <v>203850580000</v>
          </cell>
          <cell r="AS13">
            <v>213606480000</v>
          </cell>
          <cell r="AT13">
            <v>220525080000</v>
          </cell>
          <cell r="AU13">
            <v>226735220000</v>
          </cell>
          <cell r="AV13">
            <v>231862460000</v>
          </cell>
          <cell r="AW13">
            <v>242348260000</v>
          </cell>
          <cell r="AX13">
            <v>254075030000</v>
          </cell>
          <cell r="AY13">
            <v>267824450000</v>
          </cell>
          <cell r="AZ13">
            <v>283977970000</v>
          </cell>
          <cell r="BA13">
            <v>293761910000</v>
          </cell>
          <cell r="BB13">
            <v>288044020000</v>
          </cell>
          <cell r="BC13">
            <v>295896640000</v>
          </cell>
          <cell r="BD13">
            <v>310128660000</v>
          </cell>
          <cell r="BE13">
            <v>318653040000</v>
          </cell>
          <cell r="BF13">
            <v>323910200000</v>
          </cell>
          <cell r="BG13">
            <v>333146070000</v>
          </cell>
          <cell r="BH13">
            <v>344269230000</v>
          </cell>
          <cell r="BI13">
            <v>357607950000</v>
          </cell>
          <cell r="BJ13">
            <v>369361870000</v>
          </cell>
          <cell r="BK13">
            <v>385423950000</v>
          </cell>
          <cell r="BL13">
            <v>397518540000</v>
          </cell>
          <cell r="BM13">
            <v>379320560000</v>
          </cell>
          <cell r="BN13">
            <v>379320560000</v>
          </cell>
        </row>
        <row r="14">
          <cell r="B14" t="str">
            <v>AZE</v>
          </cell>
          <cell r="C14" t="str">
            <v>GDP (current LCU)</v>
          </cell>
          <cell r="D14" t="str">
            <v>NY.GDP.MKTP.CN</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v>293200</v>
          </cell>
          <cell r="AJ14">
            <v>534400</v>
          </cell>
          <cell r="AK14">
            <v>4820100</v>
          </cell>
          <cell r="AL14">
            <v>31400000</v>
          </cell>
          <cell r="AM14">
            <v>374700000</v>
          </cell>
          <cell r="AN14">
            <v>2133800000</v>
          </cell>
          <cell r="AO14">
            <v>2732600000</v>
          </cell>
          <cell r="AP14">
            <v>3158300000</v>
          </cell>
          <cell r="AQ14">
            <v>3440600000</v>
          </cell>
          <cell r="AR14">
            <v>3775100000</v>
          </cell>
          <cell r="AS14">
            <v>4718100000</v>
          </cell>
          <cell r="AT14">
            <v>5315600000</v>
          </cell>
          <cell r="AU14">
            <v>6062500000</v>
          </cell>
          <cell r="AV14">
            <v>7146500000</v>
          </cell>
          <cell r="AW14">
            <v>8530200000</v>
          </cell>
          <cell r="AX14">
            <v>12522500000</v>
          </cell>
          <cell r="AY14">
            <v>18746200000</v>
          </cell>
          <cell r="AZ14">
            <v>28360500000</v>
          </cell>
          <cell r="BA14">
            <v>40137200000</v>
          </cell>
          <cell r="BB14">
            <v>35601500000</v>
          </cell>
          <cell r="BC14">
            <v>42465000000</v>
          </cell>
          <cell r="BD14">
            <v>52082000000</v>
          </cell>
          <cell r="BE14">
            <v>54743700000</v>
          </cell>
          <cell r="BF14">
            <v>58182000000</v>
          </cell>
          <cell r="BG14">
            <v>59014100000</v>
          </cell>
          <cell r="BH14">
            <v>54380000000</v>
          </cell>
          <cell r="BI14">
            <v>60425200000</v>
          </cell>
          <cell r="BJ14">
            <v>70337800000</v>
          </cell>
          <cell r="BK14">
            <v>80092000000</v>
          </cell>
          <cell r="BL14">
            <v>81896200000</v>
          </cell>
          <cell r="BM14">
            <v>72432200000</v>
          </cell>
          <cell r="BN14">
            <v>72432200000</v>
          </cell>
        </row>
        <row r="15">
          <cell r="B15" t="str">
            <v>BHS</v>
          </cell>
          <cell r="C15" t="str">
            <v>GDP (current LCU)</v>
          </cell>
          <cell r="D15" t="str">
            <v>NY.GDP.MKTP.CN</v>
          </cell>
          <cell r="E15">
            <v>173200000</v>
          </cell>
          <cell r="F15">
            <v>193900000</v>
          </cell>
          <cell r="G15">
            <v>216500000</v>
          </cell>
          <cell r="H15">
            <v>242500000</v>
          </cell>
          <cell r="I15">
            <v>272000000</v>
          </cell>
          <cell r="J15">
            <v>306400000</v>
          </cell>
          <cell r="K15">
            <v>346800000</v>
          </cell>
          <cell r="L15">
            <v>398000000</v>
          </cell>
          <cell r="M15">
            <v>453800000</v>
          </cell>
          <cell r="N15">
            <v>538700000</v>
          </cell>
          <cell r="O15">
            <v>539500000</v>
          </cell>
          <cell r="P15">
            <v>573400000</v>
          </cell>
          <cell r="Q15">
            <v>590900000</v>
          </cell>
          <cell r="R15">
            <v>670900000</v>
          </cell>
          <cell r="S15">
            <v>632400000</v>
          </cell>
          <cell r="T15">
            <v>596200000</v>
          </cell>
          <cell r="U15">
            <v>642100000</v>
          </cell>
          <cell r="V15">
            <v>713000000</v>
          </cell>
          <cell r="W15">
            <v>832400000</v>
          </cell>
          <cell r="X15">
            <v>1139800100</v>
          </cell>
          <cell r="Y15">
            <v>1335300000</v>
          </cell>
          <cell r="Z15">
            <v>1426500000</v>
          </cell>
          <cell r="AA15">
            <v>1578300000</v>
          </cell>
          <cell r="AB15">
            <v>1732800000</v>
          </cell>
          <cell r="AC15">
            <v>2041100000</v>
          </cell>
          <cell r="AD15">
            <v>2320699900</v>
          </cell>
          <cell r="AE15">
            <v>2472500000</v>
          </cell>
          <cell r="AF15">
            <v>2713999900</v>
          </cell>
          <cell r="AG15">
            <v>2817900000</v>
          </cell>
          <cell r="AH15">
            <v>3062000000</v>
          </cell>
          <cell r="AI15">
            <v>3166000000</v>
          </cell>
          <cell r="AJ15">
            <v>3111160000</v>
          </cell>
          <cell r="AK15">
            <v>3109000000</v>
          </cell>
          <cell r="AL15">
            <v>3092000000</v>
          </cell>
          <cell r="AM15">
            <v>3259000000</v>
          </cell>
          <cell r="AN15">
            <v>3429000000</v>
          </cell>
          <cell r="AO15">
            <v>3609000000</v>
          </cell>
          <cell r="AP15">
            <v>6332360000</v>
          </cell>
          <cell r="AQ15">
            <v>6833220000</v>
          </cell>
          <cell r="AR15">
            <v>7683870000</v>
          </cell>
          <cell r="AS15">
            <v>8076470000</v>
          </cell>
          <cell r="AT15">
            <v>8317830000</v>
          </cell>
          <cell r="AU15">
            <v>8881160000</v>
          </cell>
          <cell r="AV15">
            <v>8870090000</v>
          </cell>
          <cell r="AW15">
            <v>9055290000</v>
          </cell>
          <cell r="AX15">
            <v>9836200000</v>
          </cell>
          <cell r="AY15">
            <v>10167250000</v>
          </cell>
          <cell r="AZ15">
            <v>10618340000</v>
          </cell>
          <cell r="BA15">
            <v>10526000000</v>
          </cell>
          <cell r="BB15">
            <v>9981960000</v>
          </cell>
          <cell r="BC15">
            <v>10095760000</v>
          </cell>
          <cell r="BD15">
            <v>10070450000</v>
          </cell>
          <cell r="BE15">
            <v>10720500000</v>
          </cell>
          <cell r="BF15">
            <v>10494600000</v>
          </cell>
          <cell r="BG15">
            <v>11142900000</v>
          </cell>
          <cell r="BH15">
            <v>11890600000</v>
          </cell>
          <cell r="BI15">
            <v>11992600000</v>
          </cell>
          <cell r="BJ15">
            <v>12359700000</v>
          </cell>
          <cell r="BK15">
            <v>12837800000</v>
          </cell>
          <cell r="BL15">
            <v>13164400000</v>
          </cell>
          <cell r="BM15">
            <v>9907500000</v>
          </cell>
          <cell r="BN15">
            <v>9907500000</v>
          </cell>
        </row>
        <row r="16">
          <cell r="B16" t="str">
            <v>BHR</v>
          </cell>
          <cell r="C16" t="str">
            <v>GDP (current LCU)</v>
          </cell>
          <cell r="D16" t="str">
            <v>NY.GDP.MKTP.CN</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v>1158100000</v>
          </cell>
          <cell r="Z16">
            <v>1303900000</v>
          </cell>
          <cell r="AA16">
            <v>1370800000</v>
          </cell>
          <cell r="AB16">
            <v>1404400000</v>
          </cell>
          <cell r="AC16">
            <v>1468500000</v>
          </cell>
          <cell r="AD16">
            <v>1373100000</v>
          </cell>
          <cell r="AE16">
            <v>1147700000</v>
          </cell>
          <cell r="AF16">
            <v>1275399900</v>
          </cell>
          <cell r="AG16">
            <v>1392100000</v>
          </cell>
          <cell r="AH16">
            <v>1452700000</v>
          </cell>
          <cell r="AI16">
            <v>1590400000</v>
          </cell>
          <cell r="AJ16">
            <v>1735700000</v>
          </cell>
          <cell r="AK16">
            <v>1786400000</v>
          </cell>
          <cell r="AL16">
            <v>1955300000</v>
          </cell>
          <cell r="AM16">
            <v>2093400100</v>
          </cell>
          <cell r="AN16">
            <v>2199399900</v>
          </cell>
          <cell r="AO16">
            <v>2294299900</v>
          </cell>
          <cell r="AP16">
            <v>2387300100</v>
          </cell>
          <cell r="AQ16">
            <v>2325100000</v>
          </cell>
          <cell r="AR16">
            <v>2489499900</v>
          </cell>
          <cell r="AS16">
            <v>3407650000</v>
          </cell>
          <cell r="AT16">
            <v>3375050000</v>
          </cell>
          <cell r="AU16">
            <v>3607160000</v>
          </cell>
          <cell r="AV16">
            <v>4164130000</v>
          </cell>
          <cell r="AW16">
            <v>4944460000</v>
          </cell>
          <cell r="AX16">
            <v>6004240000</v>
          </cell>
          <cell r="AY16">
            <v>6957790000</v>
          </cell>
          <cell r="AZ16">
            <v>8170480000</v>
          </cell>
          <cell r="BA16">
            <v>9667300000</v>
          </cell>
          <cell r="BB16">
            <v>8624770000</v>
          </cell>
          <cell r="BC16">
            <v>9668190000</v>
          </cell>
          <cell r="BD16">
            <v>10820000000</v>
          </cell>
          <cell r="BE16">
            <v>11561740000</v>
          </cell>
          <cell r="BF16">
            <v>12234840000</v>
          </cell>
          <cell r="BG16">
            <v>12553780000</v>
          </cell>
          <cell r="BH16">
            <v>11675040000</v>
          </cell>
          <cell r="BI16">
            <v>12120350000</v>
          </cell>
          <cell r="BJ16">
            <v>13338140000</v>
          </cell>
          <cell r="BK16">
            <v>14213350000</v>
          </cell>
          <cell r="BL16">
            <v>14533370000</v>
          </cell>
          <cell r="BM16">
            <v>13058190000</v>
          </cell>
          <cell r="BN16">
            <v>13058190000</v>
          </cell>
        </row>
        <row r="17">
          <cell r="B17" t="str">
            <v>BGD</v>
          </cell>
          <cell r="C17" t="str">
            <v>GDP (current LCU)</v>
          </cell>
          <cell r="D17" t="str">
            <v>NY.GDP.MKTP.CN</v>
          </cell>
          <cell r="E17">
            <v>20519491600</v>
          </cell>
          <cell r="F17">
            <v>23124385800</v>
          </cell>
          <cell r="G17">
            <v>24390785000</v>
          </cell>
          <cell r="H17">
            <v>25533401100</v>
          </cell>
          <cell r="I17">
            <v>25853063200</v>
          </cell>
          <cell r="J17">
            <v>28351856600</v>
          </cell>
          <cell r="K17">
            <v>30910501700</v>
          </cell>
          <cell r="L17">
            <v>34817163300</v>
          </cell>
          <cell r="M17">
            <v>35921691700</v>
          </cell>
          <cell r="N17">
            <v>40660830900</v>
          </cell>
          <cell r="O17">
            <v>43165066400</v>
          </cell>
          <cell r="P17">
            <v>42008847300</v>
          </cell>
          <cell r="Q17">
            <v>37729475200</v>
          </cell>
          <cell r="R17">
            <v>62922812900</v>
          </cell>
          <cell r="S17">
            <v>99674260500</v>
          </cell>
          <cell r="T17">
            <v>172623537500</v>
          </cell>
          <cell r="U17">
            <v>150239133000</v>
          </cell>
          <cell r="V17">
            <v>149303279700</v>
          </cell>
          <cell r="W17">
            <v>200820319200</v>
          </cell>
          <cell r="X17">
            <v>236906610500</v>
          </cell>
          <cell r="Y17">
            <v>280777000000</v>
          </cell>
          <cell r="Z17">
            <v>330880000000</v>
          </cell>
          <cell r="AA17">
            <v>371249000000</v>
          </cell>
          <cell r="AB17">
            <v>418391000000</v>
          </cell>
          <cell r="AC17">
            <v>473021000000</v>
          </cell>
          <cell r="AD17">
            <v>579239000000</v>
          </cell>
          <cell r="AE17">
            <v>653221000000</v>
          </cell>
          <cell r="AF17">
            <v>753239000000</v>
          </cell>
          <cell r="AG17">
            <v>829265000000</v>
          </cell>
          <cell r="AH17">
            <v>923893000000</v>
          </cell>
          <cell r="AI17">
            <v>1039585474800</v>
          </cell>
          <cell r="AJ17">
            <v>1105182177000</v>
          </cell>
          <cell r="AK17">
            <v>1195424572200</v>
          </cell>
          <cell r="AL17">
            <v>1253694434000</v>
          </cell>
          <cell r="AM17">
            <v>1354123301400</v>
          </cell>
          <cell r="AN17">
            <v>1525177900500</v>
          </cell>
          <cell r="AO17">
            <v>1899334000000</v>
          </cell>
          <cell r="AP17">
            <v>2060032000000</v>
          </cell>
          <cell r="AQ17">
            <v>2269299000000</v>
          </cell>
          <cell r="AR17">
            <v>2465089000000</v>
          </cell>
          <cell r="AS17">
            <v>2685034000000</v>
          </cell>
          <cell r="AT17">
            <v>2913370000000</v>
          </cell>
          <cell r="AU17">
            <v>3142804000000</v>
          </cell>
          <cell r="AV17">
            <v>3483202000000</v>
          </cell>
          <cell r="AW17">
            <v>3832940000000</v>
          </cell>
          <cell r="AX17">
            <v>4270741000000</v>
          </cell>
          <cell r="AY17">
            <v>4823369660200</v>
          </cell>
          <cell r="AZ17">
            <v>5497997000000</v>
          </cell>
          <cell r="BA17">
            <v>6286822000000</v>
          </cell>
          <cell r="BB17">
            <v>7050718000000</v>
          </cell>
          <cell r="BC17">
            <v>7975387000000</v>
          </cell>
          <cell r="BD17">
            <v>9158288000000</v>
          </cell>
          <cell r="BE17">
            <v>10552040389300</v>
          </cell>
          <cell r="BF17">
            <v>11989231718700</v>
          </cell>
          <cell r="BG17">
            <v>13436744000000</v>
          </cell>
          <cell r="BH17">
            <v>15158023000000</v>
          </cell>
          <cell r="BI17">
            <v>17328639000000</v>
          </cell>
          <cell r="BJ17">
            <v>19758152000000</v>
          </cell>
          <cell r="BK17">
            <v>22504793000000</v>
          </cell>
          <cell r="BL17">
            <v>25424826000000</v>
          </cell>
          <cell r="BM17">
            <v>27393324000000</v>
          </cell>
          <cell r="BN17">
            <v>27393324000000</v>
          </cell>
        </row>
        <row r="18">
          <cell r="B18" t="str">
            <v>BRB</v>
          </cell>
          <cell r="C18" t="str">
            <v>GDP (current LCU)</v>
          </cell>
          <cell r="D18" t="str">
            <v>NY.GDP.MKTP.CN</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v>640206931.70234501</v>
          </cell>
          <cell r="T18">
            <v>812441000</v>
          </cell>
          <cell r="U18">
            <v>873479000</v>
          </cell>
          <cell r="V18">
            <v>993562000</v>
          </cell>
          <cell r="W18">
            <v>1112015000</v>
          </cell>
          <cell r="X18">
            <v>1348300000</v>
          </cell>
          <cell r="Y18">
            <v>2036000000</v>
          </cell>
          <cell r="Z18">
            <v>2241000000</v>
          </cell>
          <cell r="AA18">
            <v>2341000000</v>
          </cell>
          <cell r="AB18">
            <v>2486000000</v>
          </cell>
          <cell r="AC18">
            <v>2709000000</v>
          </cell>
          <cell r="AD18">
            <v>2835000000</v>
          </cell>
          <cell r="AE18">
            <v>3113000000</v>
          </cell>
          <cell r="AF18">
            <v>3428000000</v>
          </cell>
          <cell r="AG18">
            <v>3646000000</v>
          </cell>
          <cell r="AH18">
            <v>4035000000</v>
          </cell>
          <cell r="AI18">
            <v>4047000000</v>
          </cell>
          <cell r="AJ18">
            <v>4064000000</v>
          </cell>
          <cell r="AK18">
            <v>3914000000</v>
          </cell>
          <cell r="AL18">
            <v>4150000000</v>
          </cell>
          <cell r="AM18">
            <v>4327000000</v>
          </cell>
          <cell r="AN18">
            <v>4459000000</v>
          </cell>
          <cell r="AO18">
            <v>4754000000</v>
          </cell>
          <cell r="AP18">
            <v>5025000000</v>
          </cell>
          <cell r="AQ18">
            <v>5666000000</v>
          </cell>
          <cell r="AR18">
            <v>5937000000</v>
          </cell>
          <cell r="AS18">
            <v>6119000000</v>
          </cell>
          <cell r="AT18">
            <v>6109000000</v>
          </cell>
          <cell r="AU18">
            <v>6213000000</v>
          </cell>
          <cell r="AV18">
            <v>6419000000</v>
          </cell>
          <cell r="AW18">
            <v>6889000000</v>
          </cell>
          <cell r="AX18">
            <v>7639000000</v>
          </cell>
          <cell r="AY18">
            <v>8435000000</v>
          </cell>
          <cell r="AZ18">
            <v>9348000000</v>
          </cell>
          <cell r="BA18">
            <v>9570000000</v>
          </cell>
          <cell r="BB18">
            <v>8931000000</v>
          </cell>
          <cell r="BC18">
            <v>9060000000</v>
          </cell>
          <cell r="BD18">
            <v>9315000000</v>
          </cell>
          <cell r="BE18">
            <v>9220000000</v>
          </cell>
          <cell r="BF18">
            <v>9354000000</v>
          </cell>
          <cell r="BG18">
            <v>9393000000</v>
          </cell>
          <cell r="BH18">
            <v>9430000000</v>
          </cell>
          <cell r="BI18">
            <v>9660000000</v>
          </cell>
          <cell r="BJ18">
            <v>9956000000</v>
          </cell>
          <cell r="BK18">
            <v>10173000000</v>
          </cell>
          <cell r="BL18">
            <v>10418000000</v>
          </cell>
          <cell r="BM18">
            <v>8836000000</v>
          </cell>
          <cell r="BN18">
            <v>8836000000</v>
          </cell>
        </row>
        <row r="19">
          <cell r="B19" t="str">
            <v>BLR</v>
          </cell>
          <cell r="C19" t="str">
            <v>GDP (current LCU)</v>
          </cell>
          <cell r="D19" t="str">
            <v>NY.GDP.MKTP.CN</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v>433</v>
          </cell>
          <cell r="AJ19">
            <v>900</v>
          </cell>
          <cell r="AK19">
            <v>9200</v>
          </cell>
          <cell r="AL19">
            <v>98500</v>
          </cell>
          <cell r="AM19">
            <v>1779300</v>
          </cell>
          <cell r="AN19">
            <v>12140300</v>
          </cell>
          <cell r="AO19">
            <v>19183900</v>
          </cell>
          <cell r="AP19">
            <v>36683000</v>
          </cell>
          <cell r="AQ19">
            <v>70216100</v>
          </cell>
          <cell r="AR19">
            <v>302606400</v>
          </cell>
          <cell r="AS19">
            <v>913380000</v>
          </cell>
          <cell r="AT19">
            <v>1717320000</v>
          </cell>
          <cell r="AU19">
            <v>2613830000</v>
          </cell>
          <cell r="AV19">
            <v>3656480000</v>
          </cell>
          <cell r="AW19">
            <v>4999180000</v>
          </cell>
          <cell r="AX19">
            <v>6506710000</v>
          </cell>
          <cell r="AY19">
            <v>7926700000</v>
          </cell>
          <cell r="AZ19">
            <v>9716530000</v>
          </cell>
          <cell r="BA19">
            <v>12979080000</v>
          </cell>
          <cell r="BB19">
            <v>14209130000</v>
          </cell>
          <cell r="BC19">
            <v>17046580000</v>
          </cell>
          <cell r="BD19">
            <v>30724500000</v>
          </cell>
          <cell r="BE19">
            <v>54761670000</v>
          </cell>
          <cell r="BF19">
            <v>67068850000</v>
          </cell>
          <cell r="BG19">
            <v>80579270000</v>
          </cell>
          <cell r="BH19">
            <v>89909810000</v>
          </cell>
          <cell r="BI19">
            <v>94949000000</v>
          </cell>
          <cell r="BJ19">
            <v>105748200000</v>
          </cell>
          <cell r="BK19">
            <v>122319700000</v>
          </cell>
          <cell r="BL19">
            <v>134732100000</v>
          </cell>
          <cell r="BM19">
            <v>147006000000</v>
          </cell>
          <cell r="BN19">
            <v>147006000000</v>
          </cell>
        </row>
        <row r="20">
          <cell r="B20" t="str">
            <v>BEL</v>
          </cell>
          <cell r="C20" t="str">
            <v>GDP (current LCU)</v>
          </cell>
          <cell r="D20" t="str">
            <v>NY.GDP.MKTP.CN</v>
          </cell>
          <cell r="E20">
            <v>14450609152</v>
          </cell>
          <cell r="F20">
            <v>15369578496</v>
          </cell>
          <cell r="G20">
            <v>16440317952</v>
          </cell>
          <cell r="H20">
            <v>17674829824</v>
          </cell>
          <cell r="I20">
            <v>19782035456</v>
          </cell>
          <cell r="J20">
            <v>21531359232</v>
          </cell>
          <cell r="K20">
            <v>23118405632</v>
          </cell>
          <cell r="L20">
            <v>24779487232</v>
          </cell>
          <cell r="M20">
            <v>26495297536</v>
          </cell>
          <cell r="N20">
            <v>29388689408</v>
          </cell>
          <cell r="O20">
            <v>33102330000</v>
          </cell>
          <cell r="P20">
            <v>36266123000</v>
          </cell>
          <cell r="Q20">
            <v>40599196000</v>
          </cell>
          <cell r="R20">
            <v>46130061000</v>
          </cell>
          <cell r="S20">
            <v>54105540000</v>
          </cell>
          <cell r="T20">
            <v>59878805000</v>
          </cell>
          <cell r="U20">
            <v>68055986000</v>
          </cell>
          <cell r="V20">
            <v>73603256000</v>
          </cell>
          <cell r="W20">
            <v>79043163000</v>
          </cell>
          <cell r="X20">
            <v>84538074000</v>
          </cell>
          <cell r="Y20">
            <v>91938570000</v>
          </cell>
          <cell r="Z20">
            <v>96393509000</v>
          </cell>
          <cell r="AA20">
            <v>104307846000</v>
          </cell>
          <cell r="AB20">
            <v>110506023000</v>
          </cell>
          <cell r="AC20">
            <v>119389867000</v>
          </cell>
          <cell r="AD20">
            <v>126978258000</v>
          </cell>
          <cell r="AE20">
            <v>132908805000</v>
          </cell>
          <cell r="AF20">
            <v>138264521000</v>
          </cell>
          <cell r="AG20">
            <v>147935633000</v>
          </cell>
          <cell r="AH20">
            <v>160411128000</v>
          </cell>
          <cell r="AI20">
            <v>170096820000</v>
          </cell>
          <cell r="AJ20">
            <v>178197561000</v>
          </cell>
          <cell r="AK20">
            <v>187120977000</v>
          </cell>
          <cell r="AL20">
            <v>192721412000</v>
          </cell>
          <cell r="AM20">
            <v>203106897000</v>
          </cell>
          <cell r="AN20">
            <v>210489100000</v>
          </cell>
          <cell r="AO20">
            <v>214287100000</v>
          </cell>
          <cell r="AP20">
            <v>224101500000</v>
          </cell>
          <cell r="AQ20">
            <v>232623800000</v>
          </cell>
          <cell r="AR20">
            <v>242307600000</v>
          </cell>
          <cell r="AS20">
            <v>256376400000</v>
          </cell>
          <cell r="AT20">
            <v>264334900000</v>
          </cell>
          <cell r="AU20">
            <v>273255900000</v>
          </cell>
          <cell r="AV20">
            <v>281200200000</v>
          </cell>
          <cell r="AW20">
            <v>296819700000</v>
          </cell>
          <cell r="AX20">
            <v>310037600000</v>
          </cell>
          <cell r="AY20">
            <v>325151500000</v>
          </cell>
          <cell r="AZ20">
            <v>343618900000</v>
          </cell>
          <cell r="BA20">
            <v>351743100000</v>
          </cell>
          <cell r="BB20">
            <v>346472800000</v>
          </cell>
          <cell r="BC20">
            <v>363140100000</v>
          </cell>
          <cell r="BD20">
            <v>375967800000</v>
          </cell>
          <cell r="BE20">
            <v>386174700000</v>
          </cell>
          <cell r="BF20">
            <v>392880000000</v>
          </cell>
          <cell r="BG20">
            <v>403003300000</v>
          </cell>
          <cell r="BH20">
            <v>416701400000</v>
          </cell>
          <cell r="BI20">
            <v>430085300000</v>
          </cell>
          <cell r="BJ20">
            <v>445050100000</v>
          </cell>
          <cell r="BK20">
            <v>460029400000</v>
          </cell>
          <cell r="BL20">
            <v>478160700000</v>
          </cell>
          <cell r="BM20">
            <v>456892900000</v>
          </cell>
          <cell r="BN20">
            <v>456892900000</v>
          </cell>
        </row>
        <row r="21">
          <cell r="B21" t="str">
            <v>BLZ</v>
          </cell>
          <cell r="C21" t="str">
            <v>GDP (current LCU)</v>
          </cell>
          <cell r="D21" t="str">
            <v>NY.GDP.MKTP.CN</v>
          </cell>
          <cell r="E21">
            <v>40103500</v>
          </cell>
          <cell r="F21">
            <v>42807100</v>
          </cell>
          <cell r="G21">
            <v>45510800</v>
          </cell>
          <cell r="H21">
            <v>48214400</v>
          </cell>
          <cell r="I21">
            <v>51706500</v>
          </cell>
          <cell r="J21">
            <v>57300000</v>
          </cell>
          <cell r="K21">
            <v>63500000</v>
          </cell>
          <cell r="L21">
            <v>68700000</v>
          </cell>
          <cell r="M21">
            <v>75000000</v>
          </cell>
          <cell r="N21">
            <v>79000000</v>
          </cell>
          <cell r="O21">
            <v>88900000</v>
          </cell>
          <cell r="P21">
            <v>97100000</v>
          </cell>
          <cell r="Q21">
            <v>105700000</v>
          </cell>
          <cell r="R21">
            <v>127700000</v>
          </cell>
          <cell r="S21">
            <v>176500000</v>
          </cell>
          <cell r="T21">
            <v>213700000</v>
          </cell>
          <cell r="U21">
            <v>216100000</v>
          </cell>
          <cell r="V21">
            <v>235300000</v>
          </cell>
          <cell r="W21">
            <v>272600000</v>
          </cell>
          <cell r="X21">
            <v>303600000</v>
          </cell>
          <cell r="Y21">
            <v>395876444.85856599</v>
          </cell>
          <cell r="Z21">
            <v>392179709.31269401</v>
          </cell>
          <cell r="AA21">
            <v>364412653.97141802</v>
          </cell>
          <cell r="AB21">
            <v>384206371.91064298</v>
          </cell>
          <cell r="AC21">
            <v>428763898.03876102</v>
          </cell>
          <cell r="AD21">
            <v>425287485.32941103</v>
          </cell>
          <cell r="AE21">
            <v>463276641.07113302</v>
          </cell>
          <cell r="AF21">
            <v>562165117.17180002</v>
          </cell>
          <cell r="AG21">
            <v>640186720.54489994</v>
          </cell>
          <cell r="AH21">
            <v>738267781.40948999</v>
          </cell>
          <cell r="AI21">
            <v>824172890.98435295</v>
          </cell>
          <cell r="AJ21">
            <v>889441500</v>
          </cell>
          <cell r="AK21">
            <v>1037119400</v>
          </cell>
          <cell r="AL21">
            <v>1120410600</v>
          </cell>
          <cell r="AM21">
            <v>1162539100</v>
          </cell>
          <cell r="AN21">
            <v>1240845000</v>
          </cell>
          <cell r="AO21">
            <v>1283320000</v>
          </cell>
          <cell r="AP21">
            <v>1309165800</v>
          </cell>
          <cell r="AQ21">
            <v>1378280000</v>
          </cell>
          <cell r="AR21">
            <v>1465464700</v>
          </cell>
          <cell r="AS21">
            <v>1664144900</v>
          </cell>
          <cell r="AT21">
            <v>1736717500</v>
          </cell>
          <cell r="AU21">
            <v>1850395900</v>
          </cell>
          <cell r="AV21">
            <v>1967151200</v>
          </cell>
          <cell r="AW21">
            <v>2102773200</v>
          </cell>
          <cell r="AX21">
            <v>2205129800</v>
          </cell>
          <cell r="AY21">
            <v>2421207500</v>
          </cell>
          <cell r="AZ21">
            <v>2543196100</v>
          </cell>
          <cell r="BA21">
            <v>2702677300</v>
          </cell>
          <cell r="BB21">
            <v>2634618900</v>
          </cell>
          <cell r="BC21">
            <v>2754354200</v>
          </cell>
          <cell r="BD21">
            <v>2921595806.4681201</v>
          </cell>
          <cell r="BE21">
            <v>3045795012.15698</v>
          </cell>
          <cell r="BF21">
            <v>3158822506.0102701</v>
          </cell>
          <cell r="BG21">
            <v>3334670121.9212799</v>
          </cell>
          <cell r="BH21">
            <v>3443401982.9382401</v>
          </cell>
          <cell r="BI21">
            <v>3578608175.5712299</v>
          </cell>
          <cell r="BJ21">
            <v>3717059353.43714</v>
          </cell>
          <cell r="BK21">
            <v>3831799573.9281402</v>
          </cell>
          <cell r="BL21">
            <v>3965037081.2268</v>
          </cell>
          <cell r="BM21">
            <v>3272561594.1611199</v>
          </cell>
          <cell r="BN21">
            <v>3272561594.1611199</v>
          </cell>
        </row>
        <row r="22">
          <cell r="B22" t="str">
            <v>BEN</v>
          </cell>
          <cell r="C22" t="str">
            <v>GDP (current LCU)</v>
          </cell>
          <cell r="D22" t="str">
            <v>NY.GDP.MKTP.CN</v>
          </cell>
          <cell r="E22">
            <v>55462047700</v>
          </cell>
          <cell r="F22">
            <v>57800011800</v>
          </cell>
          <cell r="G22">
            <v>57929838600</v>
          </cell>
          <cell r="H22">
            <v>62216437800</v>
          </cell>
          <cell r="I22">
            <v>66112991200</v>
          </cell>
          <cell r="J22">
            <v>71045292000</v>
          </cell>
          <cell r="K22">
            <v>74422198300</v>
          </cell>
          <cell r="L22">
            <v>75330887700</v>
          </cell>
          <cell r="M22">
            <v>80786079700</v>
          </cell>
          <cell r="N22">
            <v>85981503500</v>
          </cell>
          <cell r="O22">
            <v>92215746600</v>
          </cell>
          <cell r="P22">
            <v>92264521700</v>
          </cell>
          <cell r="Q22">
            <v>103414964200</v>
          </cell>
          <cell r="R22">
            <v>112419971100</v>
          </cell>
          <cell r="S22">
            <v>133508014100</v>
          </cell>
          <cell r="T22">
            <v>145062002700</v>
          </cell>
          <cell r="U22">
            <v>166884999200</v>
          </cell>
          <cell r="V22">
            <v>184271994900</v>
          </cell>
          <cell r="W22">
            <v>209598971900</v>
          </cell>
          <cell r="X22">
            <v>252337012700</v>
          </cell>
          <cell r="Y22">
            <v>296900984800</v>
          </cell>
          <cell r="Z22">
            <v>350837964800</v>
          </cell>
          <cell r="AA22">
            <v>416599998500</v>
          </cell>
          <cell r="AB22">
            <v>417399996400</v>
          </cell>
          <cell r="AC22">
            <v>459300012000</v>
          </cell>
          <cell r="AD22">
            <v>469800026100</v>
          </cell>
          <cell r="AE22">
            <v>462700019700</v>
          </cell>
          <cell r="AF22">
            <v>469561999400</v>
          </cell>
          <cell r="AG22">
            <v>482587410400</v>
          </cell>
          <cell r="AH22">
            <v>479244386300</v>
          </cell>
          <cell r="AI22">
            <v>533629545100</v>
          </cell>
          <cell r="AJ22">
            <v>560387826700</v>
          </cell>
          <cell r="AK22">
            <v>594416368900</v>
          </cell>
          <cell r="AL22">
            <v>644069732800</v>
          </cell>
          <cell r="AM22">
            <v>887259268600</v>
          </cell>
          <cell r="AN22">
            <v>1082965970900</v>
          </cell>
          <cell r="AO22">
            <v>1207834857200</v>
          </cell>
          <cell r="AP22">
            <v>1323938197500</v>
          </cell>
          <cell r="AQ22">
            <v>1448386288100</v>
          </cell>
          <cell r="AR22">
            <v>2263338000000</v>
          </cell>
          <cell r="AS22">
            <v>2499926000000</v>
          </cell>
          <cell r="AT22">
            <v>2685133000000</v>
          </cell>
          <cell r="AU22">
            <v>2909671000000</v>
          </cell>
          <cell r="AV22">
            <v>3102021000000</v>
          </cell>
          <cell r="AW22">
            <v>3264365000000</v>
          </cell>
          <cell r="AX22">
            <v>3462851000000</v>
          </cell>
          <cell r="AY22">
            <v>3674800000000</v>
          </cell>
          <cell r="AZ22">
            <v>3909982000000</v>
          </cell>
          <cell r="BA22">
            <v>4365330000000</v>
          </cell>
          <cell r="BB22">
            <v>4580012000000</v>
          </cell>
          <cell r="BC22">
            <v>4718034000000</v>
          </cell>
          <cell r="BD22">
            <v>5039213000000</v>
          </cell>
          <cell r="BE22">
            <v>5688291000000</v>
          </cell>
          <cell r="BF22">
            <v>6182559000000</v>
          </cell>
          <cell r="BG22">
            <v>6559333000000</v>
          </cell>
          <cell r="BH22">
            <v>6732814000000</v>
          </cell>
          <cell r="BI22">
            <v>7005230000000</v>
          </cell>
          <cell r="BJ22">
            <v>7375302197900</v>
          </cell>
          <cell r="BK22">
            <v>7922004056127.25</v>
          </cell>
          <cell r="BL22">
            <v>8432247506700</v>
          </cell>
          <cell r="BM22">
            <v>9008810371200</v>
          </cell>
          <cell r="BN22">
            <v>9008810371200</v>
          </cell>
        </row>
        <row r="23">
          <cell r="B23" t="str">
            <v>BMU</v>
          </cell>
          <cell r="C23" t="str">
            <v>GDP (current LCU)</v>
          </cell>
          <cell r="D23" t="str">
            <v>NY.GDP.MKTP.CN</v>
          </cell>
          <cell r="E23">
            <v>72400000</v>
          </cell>
          <cell r="F23">
            <v>76500000</v>
          </cell>
          <cell r="G23">
            <v>80700000</v>
          </cell>
          <cell r="H23">
            <v>82600000</v>
          </cell>
          <cell r="I23">
            <v>92200000</v>
          </cell>
          <cell r="J23">
            <v>98000000</v>
          </cell>
          <cell r="K23">
            <v>115000000</v>
          </cell>
          <cell r="L23">
            <v>134800000</v>
          </cell>
          <cell r="M23">
            <v>150000000</v>
          </cell>
          <cell r="N23">
            <v>164900000</v>
          </cell>
          <cell r="O23">
            <v>186300000</v>
          </cell>
          <cell r="P23">
            <v>211100000</v>
          </cell>
          <cell r="Q23">
            <v>235400000</v>
          </cell>
          <cell r="R23">
            <v>269500000</v>
          </cell>
          <cell r="S23">
            <v>312600000</v>
          </cell>
          <cell r="T23">
            <v>345000000</v>
          </cell>
          <cell r="U23">
            <v>386300000</v>
          </cell>
          <cell r="V23">
            <v>447000000</v>
          </cell>
          <cell r="W23">
            <v>475800000</v>
          </cell>
          <cell r="X23">
            <v>517200000</v>
          </cell>
          <cell r="Y23">
            <v>613299968</v>
          </cell>
          <cell r="Z23">
            <v>739100032</v>
          </cell>
          <cell r="AA23">
            <v>785500032</v>
          </cell>
          <cell r="AB23">
            <v>889400000</v>
          </cell>
          <cell r="AC23">
            <v>985699968</v>
          </cell>
          <cell r="AD23">
            <v>1039500032</v>
          </cell>
          <cell r="AE23">
            <v>1173500032</v>
          </cell>
          <cell r="AF23">
            <v>1296499968</v>
          </cell>
          <cell r="AG23">
            <v>1415100032</v>
          </cell>
          <cell r="AH23">
            <v>1501500032</v>
          </cell>
          <cell r="AI23">
            <v>1592400000</v>
          </cell>
          <cell r="AJ23">
            <v>1634900000</v>
          </cell>
          <cell r="AK23">
            <v>1679900000</v>
          </cell>
          <cell r="AL23">
            <v>1820359900</v>
          </cell>
          <cell r="AM23">
            <v>1867160100</v>
          </cell>
          <cell r="AN23">
            <v>2030750000</v>
          </cell>
          <cell r="AO23">
            <v>2695390000</v>
          </cell>
          <cell r="AP23">
            <v>2932827000</v>
          </cell>
          <cell r="AQ23">
            <v>3130748000</v>
          </cell>
          <cell r="AR23">
            <v>3324433000</v>
          </cell>
          <cell r="AS23">
            <v>3480219000</v>
          </cell>
          <cell r="AT23">
            <v>3680483000</v>
          </cell>
          <cell r="AU23">
            <v>3937228000</v>
          </cell>
          <cell r="AV23">
            <v>4186525000</v>
          </cell>
          <cell r="AW23">
            <v>4484703000</v>
          </cell>
          <cell r="AX23">
            <v>4868136000</v>
          </cell>
          <cell r="AY23">
            <v>6144000000</v>
          </cell>
          <cell r="AZ23">
            <v>6767000000</v>
          </cell>
          <cell r="BA23">
            <v>6980000000</v>
          </cell>
          <cell r="BB23">
            <v>6656000000</v>
          </cell>
          <cell r="BC23">
            <v>6634526000</v>
          </cell>
          <cell r="BD23">
            <v>6312691000</v>
          </cell>
          <cell r="BE23">
            <v>6378188000</v>
          </cell>
          <cell r="BF23">
            <v>6465756000</v>
          </cell>
          <cell r="BG23">
            <v>6413988000</v>
          </cell>
          <cell r="BH23">
            <v>6654541000</v>
          </cell>
          <cell r="BI23">
            <v>6899911000</v>
          </cell>
          <cell r="BJ23">
            <v>7142316000</v>
          </cell>
          <cell r="BK23">
            <v>7224329000</v>
          </cell>
          <cell r="BL23">
            <v>7484113000</v>
          </cell>
          <cell r="BM23">
            <v>6842700000</v>
          </cell>
          <cell r="BN23">
            <v>6842700000</v>
          </cell>
        </row>
        <row r="24">
          <cell r="B24" t="str">
            <v>BTN</v>
          </cell>
          <cell r="C24" t="str">
            <v>GDP (current LCU)</v>
          </cell>
          <cell r="D24" t="str">
            <v>NY.GDP.MKTP.CN</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v>1011718849.7722501</v>
          </cell>
          <cell r="Z24">
            <v>1205042821.74242</v>
          </cell>
          <cell r="AA24">
            <v>1337327416.1400101</v>
          </cell>
          <cell r="AB24">
            <v>1582540639.85288</v>
          </cell>
          <cell r="AC24">
            <v>1822825265.2739999</v>
          </cell>
          <cell r="AD24">
            <v>2019678534.49406</v>
          </cell>
          <cell r="AE24">
            <v>2411419721.0193501</v>
          </cell>
          <cell r="AF24">
            <v>3146310366.0812402</v>
          </cell>
          <cell r="AG24">
            <v>3789594792.8219099</v>
          </cell>
          <cell r="AH24">
            <v>4296490108.8126698</v>
          </cell>
          <cell r="AI24">
            <v>5036894801.9098501</v>
          </cell>
          <cell r="AJ24">
            <v>5464876700</v>
          </cell>
          <cell r="AK24">
            <v>6226392600</v>
          </cell>
          <cell r="AL24">
            <v>6890681800</v>
          </cell>
          <cell r="AM24">
            <v>8124378200</v>
          </cell>
          <cell r="AN24">
            <v>9419773500</v>
          </cell>
          <cell r="AO24">
            <v>10750720400</v>
          </cell>
          <cell r="AP24">
            <v>12790595200</v>
          </cell>
          <cell r="AQ24">
            <v>14996062000</v>
          </cell>
          <cell r="AR24">
            <v>17192514600</v>
          </cell>
          <cell r="AS24">
            <v>19075416200</v>
          </cell>
          <cell r="AT24">
            <v>21775566600</v>
          </cell>
          <cell r="AU24">
            <v>25318496700</v>
          </cell>
          <cell r="AV24">
            <v>28136274400</v>
          </cell>
          <cell r="AW24">
            <v>30931981200</v>
          </cell>
          <cell r="AX24">
            <v>35144971100</v>
          </cell>
          <cell r="AY24">
            <v>39643167200</v>
          </cell>
          <cell r="AZ24">
            <v>48307804700</v>
          </cell>
          <cell r="BA24">
            <v>53416067000</v>
          </cell>
          <cell r="BB24">
            <v>59732832000</v>
          </cell>
          <cell r="BC24">
            <v>70783141400</v>
          </cell>
          <cell r="BD24">
            <v>82938207000</v>
          </cell>
          <cell r="BE24">
            <v>95186684100</v>
          </cell>
          <cell r="BF24">
            <v>102910374300</v>
          </cell>
          <cell r="BG24">
            <v>116388798800</v>
          </cell>
          <cell r="BH24">
            <v>128534632200</v>
          </cell>
          <cell r="BI24">
            <v>145072779900</v>
          </cell>
          <cell r="BJ24">
            <v>159571684700</v>
          </cell>
          <cell r="BK24">
            <v>167339970000</v>
          </cell>
          <cell r="BL24">
            <v>178561731493.689</v>
          </cell>
          <cell r="BM24">
            <v>171572903898.44299</v>
          </cell>
          <cell r="BN24">
            <v>171572903898.44299</v>
          </cell>
        </row>
        <row r="25">
          <cell r="B25" t="str">
            <v>BOL</v>
          </cell>
          <cell r="C25" t="str">
            <v>GDP (current LCU)</v>
          </cell>
          <cell r="D25" t="str">
            <v>NY.GDP.MKTP.CN</v>
          </cell>
          <cell r="E25">
            <v>4479</v>
          </cell>
          <cell r="F25">
            <v>4872</v>
          </cell>
          <cell r="G25">
            <v>5327</v>
          </cell>
          <cell r="H25">
            <v>5736</v>
          </cell>
          <cell r="I25">
            <v>6463</v>
          </cell>
          <cell r="J25">
            <v>7180</v>
          </cell>
          <cell r="K25">
            <v>7950</v>
          </cell>
          <cell r="L25">
            <v>8979</v>
          </cell>
          <cell r="M25">
            <v>10192</v>
          </cell>
          <cell r="N25">
            <v>11044</v>
          </cell>
          <cell r="O25">
            <v>12082</v>
          </cell>
          <cell r="P25">
            <v>13016</v>
          </cell>
          <cell r="Q25">
            <v>16720</v>
          </cell>
          <cell r="R25">
            <v>25272</v>
          </cell>
          <cell r="S25">
            <v>42026</v>
          </cell>
          <cell r="T25">
            <v>48118</v>
          </cell>
          <cell r="U25">
            <v>54667</v>
          </cell>
          <cell r="V25">
            <v>64581</v>
          </cell>
          <cell r="W25">
            <v>75202</v>
          </cell>
          <cell r="X25">
            <v>90210</v>
          </cell>
          <cell r="Y25">
            <v>111000</v>
          </cell>
          <cell r="Z25">
            <v>144000</v>
          </cell>
          <cell r="AA25">
            <v>358000</v>
          </cell>
          <cell r="AB25">
            <v>1256000</v>
          </cell>
          <cell r="AC25">
            <v>19347000</v>
          </cell>
          <cell r="AD25">
            <v>2366158000</v>
          </cell>
          <cell r="AE25">
            <v>7607769000</v>
          </cell>
          <cell r="AF25">
            <v>8884398000</v>
          </cell>
          <cell r="AG25">
            <v>10805500000</v>
          </cell>
          <cell r="AH25">
            <v>12693906000</v>
          </cell>
          <cell r="AI25">
            <v>15443136000</v>
          </cell>
          <cell r="AJ25">
            <v>19132128000</v>
          </cell>
          <cell r="AK25">
            <v>22014006000</v>
          </cell>
          <cell r="AL25">
            <v>24458969000</v>
          </cell>
          <cell r="AM25">
            <v>27636342000</v>
          </cell>
          <cell r="AN25">
            <v>32235073000</v>
          </cell>
          <cell r="AO25">
            <v>37536647000</v>
          </cell>
          <cell r="AP25">
            <v>41643866000</v>
          </cell>
          <cell r="AQ25">
            <v>46822326000</v>
          </cell>
          <cell r="AR25">
            <v>48156175000</v>
          </cell>
          <cell r="AS25">
            <v>51928492000</v>
          </cell>
          <cell r="AT25">
            <v>53790327000</v>
          </cell>
          <cell r="AU25">
            <v>56682329000</v>
          </cell>
          <cell r="AV25">
            <v>61904449000</v>
          </cell>
          <cell r="AW25">
            <v>69626113000</v>
          </cell>
          <cell r="AX25">
            <v>77023817000</v>
          </cell>
          <cell r="AY25">
            <v>91747795000</v>
          </cell>
          <cell r="AZ25">
            <v>103009182000</v>
          </cell>
          <cell r="BA25">
            <v>120693764000</v>
          </cell>
          <cell r="BB25">
            <v>121726745000</v>
          </cell>
          <cell r="BC25">
            <v>137875568041.28201</v>
          </cell>
          <cell r="BD25">
            <v>166231562908.04001</v>
          </cell>
          <cell r="BE25">
            <v>187153877606.57401</v>
          </cell>
          <cell r="BF25">
            <v>211856031663.41599</v>
          </cell>
          <cell r="BG25">
            <v>228003659167.633</v>
          </cell>
          <cell r="BH25">
            <v>228031369896.00299</v>
          </cell>
          <cell r="BI25">
            <v>234533182042.41901</v>
          </cell>
          <cell r="BJ25">
            <v>259184717362.47601</v>
          </cell>
          <cell r="BK25">
            <v>278387647199.59003</v>
          </cell>
          <cell r="BL25">
            <v>282586680850.55499</v>
          </cell>
          <cell r="BM25">
            <v>252717805202.10999</v>
          </cell>
          <cell r="BN25">
            <v>252717805202.10999</v>
          </cell>
        </row>
        <row r="26">
          <cell r="B26" t="str">
            <v>BIH</v>
          </cell>
          <cell r="C26" t="str">
            <v>GDP (current LCU)</v>
          </cell>
          <cell r="D26" t="str">
            <v>NY.GDP.MKTP.CN</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v>2034400000</v>
          </cell>
          <cell r="AN26">
            <v>2674985700</v>
          </cell>
          <cell r="AO26">
            <v>4192441000</v>
          </cell>
          <cell r="AP26">
            <v>6367297000</v>
          </cell>
          <cell r="AQ26">
            <v>7244156000</v>
          </cell>
          <cell r="AR26">
            <v>8603006000</v>
          </cell>
          <cell r="AS26">
            <v>11819602087.3395</v>
          </cell>
          <cell r="AT26">
            <v>12678173222.3612</v>
          </cell>
          <cell r="AU26">
            <v>13982386790.2178</v>
          </cell>
          <cell r="AV26">
            <v>14728006043.6717</v>
          </cell>
          <cell r="AW26">
            <v>15998147499.8402</v>
          </cell>
          <cell r="AX26">
            <v>17650338710.4869</v>
          </cell>
          <cell r="AY26">
            <v>20057214795.864201</v>
          </cell>
          <cell r="AZ26">
            <v>22547858630.048801</v>
          </cell>
          <cell r="BA26">
            <v>25519329644.0574</v>
          </cell>
          <cell r="BB26">
            <v>24798520445.8554</v>
          </cell>
          <cell r="BC26">
            <v>25364952570.0327</v>
          </cell>
          <cell r="BD26">
            <v>26231261989.602699</v>
          </cell>
          <cell r="BE26">
            <v>26222709768.270302</v>
          </cell>
          <cell r="BF26">
            <v>26778754000</v>
          </cell>
          <cell r="BG26">
            <v>27358709686.855598</v>
          </cell>
          <cell r="BH26">
            <v>28589053000</v>
          </cell>
          <cell r="BI26">
            <v>29904460033</v>
          </cell>
          <cell r="BJ26">
            <v>31376236000</v>
          </cell>
          <cell r="BK26">
            <v>33444056000</v>
          </cell>
          <cell r="BL26">
            <v>35295752000</v>
          </cell>
          <cell r="BM26">
            <v>34240156000</v>
          </cell>
          <cell r="BN26">
            <v>34240156000</v>
          </cell>
        </row>
        <row r="27">
          <cell r="B27" t="str">
            <v>BWA</v>
          </cell>
          <cell r="C27" t="str">
            <v>GDP (current LCU)</v>
          </cell>
          <cell r="D27" t="str">
            <v>NY.GDP.MKTP.CN</v>
          </cell>
          <cell r="E27">
            <v>21693100</v>
          </cell>
          <cell r="F27">
            <v>23515300</v>
          </cell>
          <cell r="G27">
            <v>25424300</v>
          </cell>
          <cell r="H27">
            <v>27246600</v>
          </cell>
          <cell r="I27">
            <v>29849700</v>
          </cell>
          <cell r="J27">
            <v>32800000</v>
          </cell>
          <cell r="K27">
            <v>36900000</v>
          </cell>
          <cell r="L27">
            <v>42049500</v>
          </cell>
          <cell r="M27">
            <v>47500000</v>
          </cell>
          <cell r="N27">
            <v>55550000</v>
          </cell>
          <cell r="O27">
            <v>68950000</v>
          </cell>
          <cell r="P27">
            <v>90800000</v>
          </cell>
          <cell r="Q27">
            <v>127100000</v>
          </cell>
          <cell r="R27">
            <v>169450000</v>
          </cell>
          <cell r="S27">
            <v>207950000</v>
          </cell>
          <cell r="T27">
            <v>262650000</v>
          </cell>
          <cell r="U27">
            <v>323500000</v>
          </cell>
          <cell r="V27">
            <v>380250000</v>
          </cell>
          <cell r="W27">
            <v>488950000</v>
          </cell>
          <cell r="X27">
            <v>668200000</v>
          </cell>
          <cell r="Y27">
            <v>824550000</v>
          </cell>
          <cell r="Z27">
            <v>898500000</v>
          </cell>
          <cell r="AA27">
            <v>1045050000</v>
          </cell>
          <cell r="AB27">
            <v>1285850000</v>
          </cell>
          <cell r="AC27">
            <v>1611050000</v>
          </cell>
          <cell r="AD27">
            <v>2120950000</v>
          </cell>
          <cell r="AE27">
            <v>2616900000</v>
          </cell>
          <cell r="AF27">
            <v>3299500000</v>
          </cell>
          <cell r="AG27">
            <v>4835800000</v>
          </cell>
          <cell r="AH27">
            <v>6213550000</v>
          </cell>
          <cell r="AI27">
            <v>7052350000</v>
          </cell>
          <cell r="AJ27">
            <v>7970750000</v>
          </cell>
          <cell r="AK27">
            <v>8747900000</v>
          </cell>
          <cell r="AL27">
            <v>10080305000</v>
          </cell>
          <cell r="AM27">
            <v>11434600000</v>
          </cell>
          <cell r="AN27">
            <v>13114200000</v>
          </cell>
          <cell r="AO27">
            <v>16114900000</v>
          </cell>
          <cell r="AP27">
            <v>18327800000</v>
          </cell>
          <cell r="AQ27">
            <v>20244000000</v>
          </cell>
          <cell r="AR27">
            <v>25361400000</v>
          </cell>
          <cell r="AS27">
            <v>29530900000</v>
          </cell>
          <cell r="AT27">
            <v>32065900000</v>
          </cell>
          <cell r="AU27">
            <v>34416000000</v>
          </cell>
          <cell r="AV27">
            <v>37181580600</v>
          </cell>
          <cell r="AW27">
            <v>42036500200</v>
          </cell>
          <cell r="AX27">
            <v>50752072000</v>
          </cell>
          <cell r="AY27">
            <v>59106901000</v>
          </cell>
          <cell r="AZ27">
            <v>67152660800</v>
          </cell>
          <cell r="BA27">
            <v>74720901400</v>
          </cell>
          <cell r="BB27">
            <v>73462364600</v>
          </cell>
          <cell r="BC27">
            <v>86867416000</v>
          </cell>
          <cell r="BD27">
            <v>104979857400</v>
          </cell>
          <cell r="BE27">
            <v>109870421900</v>
          </cell>
          <cell r="BF27">
            <v>125158316400</v>
          </cell>
          <cell r="BG27">
            <v>140517800000</v>
          </cell>
          <cell r="BH27">
            <v>137539200000</v>
          </cell>
          <cell r="BI27">
            <v>164418200000</v>
          </cell>
          <cell r="BJ27">
            <v>166473500000</v>
          </cell>
          <cell r="BK27">
            <v>172525300000</v>
          </cell>
          <cell r="BL27">
            <v>178480400000</v>
          </cell>
          <cell r="BM27">
            <v>172552400000</v>
          </cell>
          <cell r="BN27">
            <v>172552400000</v>
          </cell>
        </row>
        <row r="28">
          <cell r="B28" t="str">
            <v>BRA</v>
          </cell>
          <cell r="C28" t="str">
            <v>GDP (current LCU)</v>
          </cell>
          <cell r="D28" t="str">
            <v>NY.GDP.MKTP.CN</v>
          </cell>
          <cell r="E28">
            <v>1.1573091000000001E-3</v>
          </cell>
          <cell r="F28">
            <v>1.6919273000000001E-3</v>
          </cell>
          <cell r="G28">
            <v>2.7098908999999998E-3</v>
          </cell>
          <cell r="H28">
            <v>4.8639273000000002E-3</v>
          </cell>
          <cell r="I28">
            <v>9.5322181999999995E-3</v>
          </cell>
          <cell r="J28">
            <v>1.5513454499999999E-2</v>
          </cell>
          <cell r="K28">
            <v>2.2832363599999999E-2</v>
          </cell>
          <cell r="L28">
            <v>3.0102909099999998E-2</v>
          </cell>
          <cell r="M28">
            <v>4.1880363599999998E-2</v>
          </cell>
          <cell r="N28">
            <v>5.5054545500000003E-2</v>
          </cell>
          <cell r="O28">
            <v>7.0660110499999998E-2</v>
          </cell>
          <cell r="P28">
            <v>9.3925860200000003E-2</v>
          </cell>
          <cell r="Q28">
            <v>0.12602938080000001</v>
          </cell>
          <cell r="R28">
            <v>0.18612154589999999</v>
          </cell>
          <cell r="S28">
            <v>0.2709586014</v>
          </cell>
          <cell r="T28">
            <v>0.38164275349999999</v>
          </cell>
          <cell r="U28">
            <v>0.59416839269999999</v>
          </cell>
          <cell r="V28">
            <v>0.90653741239999996</v>
          </cell>
          <cell r="W28">
            <v>1.3153620530000001</v>
          </cell>
          <cell r="X28">
            <v>2.1677221865999998</v>
          </cell>
          <cell r="Y28">
            <v>4.5482930908999997</v>
          </cell>
          <cell r="Z28">
            <v>8.7330138181999999</v>
          </cell>
          <cell r="AA28">
            <v>17.702079272700001</v>
          </cell>
          <cell r="AB28">
            <v>39.776848727299999</v>
          </cell>
          <cell r="AC28">
            <v>126.5040054545</v>
          </cell>
          <cell r="AD28">
            <v>475.53404218179998</v>
          </cell>
          <cell r="AE28">
            <v>1273.6839276364001</v>
          </cell>
          <cell r="AF28">
            <v>4037.8057352727001</v>
          </cell>
          <cell r="AG28">
            <v>29375.6302541818</v>
          </cell>
          <cell r="AH28">
            <v>425595.31039345497</v>
          </cell>
          <cell r="AI28">
            <v>11548794.5454545</v>
          </cell>
          <cell r="AJ28">
            <v>60285999.272727303</v>
          </cell>
          <cell r="AK28">
            <v>640958767.63636398</v>
          </cell>
          <cell r="AL28">
            <v>14097114181.818199</v>
          </cell>
          <cell r="AM28">
            <v>349204679000</v>
          </cell>
          <cell r="AN28">
            <v>705991552860.91797</v>
          </cell>
          <cell r="AO28">
            <v>854763607812.39795</v>
          </cell>
          <cell r="AP28">
            <v>952089196088.81104</v>
          </cell>
          <cell r="AQ28">
            <v>1002351019213.48</v>
          </cell>
          <cell r="AR28">
            <v>1087710456053.99</v>
          </cell>
          <cell r="AS28">
            <v>1199092070940.21</v>
          </cell>
          <cell r="AT28">
            <v>1315755467830.9299</v>
          </cell>
          <cell r="AU28">
            <v>1488787255158.3701</v>
          </cell>
          <cell r="AV28">
            <v>1717950396424.49</v>
          </cell>
          <cell r="AW28">
            <v>1957751212962.5701</v>
          </cell>
          <cell r="AX28">
            <v>2170584503422.1399</v>
          </cell>
          <cell r="AY28">
            <v>2409449922072.0601</v>
          </cell>
          <cell r="AZ28">
            <v>2720262937838.3198</v>
          </cell>
          <cell r="BA28">
            <v>3109803089046.29</v>
          </cell>
          <cell r="BB28">
            <v>3333039355422.4199</v>
          </cell>
          <cell r="BC28">
            <v>3885847000000</v>
          </cell>
          <cell r="BD28">
            <v>4376382000000</v>
          </cell>
          <cell r="BE28">
            <v>4814760000000</v>
          </cell>
          <cell r="BF28">
            <v>5331619000000</v>
          </cell>
          <cell r="BG28">
            <v>5778953000000</v>
          </cell>
          <cell r="BH28">
            <v>5995787000000</v>
          </cell>
          <cell r="BI28">
            <v>6269328000000</v>
          </cell>
          <cell r="BJ28">
            <v>6585479000000</v>
          </cell>
          <cell r="BK28">
            <v>7004141000000</v>
          </cell>
          <cell r="BL28">
            <v>7407023573499.9902</v>
          </cell>
          <cell r="BM28">
            <v>7447858250246.4004</v>
          </cell>
          <cell r="BN28">
            <v>7447858250246.4004</v>
          </cell>
        </row>
        <row r="29">
          <cell r="B29" t="str">
            <v>VGB</v>
          </cell>
          <cell r="C29" t="str">
            <v>GDP (current LCU)</v>
          </cell>
          <cell r="D29" t="str">
            <v>NY.GDP.MKTP.CN</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
          </cell>
        </row>
        <row r="30">
          <cell r="B30" t="str">
            <v>BRN</v>
          </cell>
          <cell r="C30" t="str">
            <v>GDP (current LCU)</v>
          </cell>
          <cell r="D30" t="str">
            <v>NY.GDP.MKTP.CN</v>
          </cell>
          <cell r="E30" t="str">
            <v>..</v>
          </cell>
          <cell r="F30" t="str">
            <v>..</v>
          </cell>
          <cell r="G30" t="str">
            <v>..</v>
          </cell>
          <cell r="H30" t="str">
            <v>..</v>
          </cell>
          <cell r="I30" t="str">
            <v>..</v>
          </cell>
          <cell r="J30">
            <v>349100000</v>
          </cell>
          <cell r="K30">
            <v>406400000</v>
          </cell>
          <cell r="L30">
            <v>425600000</v>
          </cell>
          <cell r="M30">
            <v>492300000</v>
          </cell>
          <cell r="N30">
            <v>493500000</v>
          </cell>
          <cell r="O30">
            <v>548200000</v>
          </cell>
          <cell r="P30">
            <v>602900000</v>
          </cell>
          <cell r="Q30">
            <v>763600000</v>
          </cell>
          <cell r="R30">
            <v>1064800000</v>
          </cell>
          <cell r="S30">
            <v>2616200000</v>
          </cell>
          <cell r="T30">
            <v>2770400000</v>
          </cell>
          <cell r="U30">
            <v>3516100000</v>
          </cell>
          <cell r="V30">
            <v>4226800000</v>
          </cell>
          <cell r="W30">
            <v>4415200000</v>
          </cell>
          <cell r="X30">
            <v>6097100000</v>
          </cell>
          <cell r="Y30">
            <v>10553600000</v>
          </cell>
          <cell r="Z30">
            <v>9224500000</v>
          </cell>
          <cell r="AA30">
            <v>9125500000</v>
          </cell>
          <cell r="AB30">
            <v>8123900000</v>
          </cell>
          <cell r="AC30">
            <v>8068500000</v>
          </cell>
          <cell r="AD30">
            <v>7752300000</v>
          </cell>
          <cell r="AE30">
            <v>5135600000</v>
          </cell>
          <cell r="AF30">
            <v>5800900000</v>
          </cell>
          <cell r="AG30">
            <v>5414800000</v>
          </cell>
          <cell r="AH30">
            <v>5822558200</v>
          </cell>
          <cell r="AI30">
            <v>6381000000</v>
          </cell>
          <cell r="AJ30">
            <v>6395000000</v>
          </cell>
          <cell r="AK30">
            <v>6815000000</v>
          </cell>
          <cell r="AL30">
            <v>6634000000</v>
          </cell>
          <cell r="AM30">
            <v>6243000000</v>
          </cell>
          <cell r="AN30">
            <v>6710000000</v>
          </cell>
          <cell r="AO30">
            <v>7213000000</v>
          </cell>
          <cell r="AP30">
            <v>7717000000</v>
          </cell>
          <cell r="AQ30">
            <v>6780000000</v>
          </cell>
          <cell r="AR30">
            <v>7797000000</v>
          </cell>
          <cell r="AS30">
            <v>10345988300</v>
          </cell>
          <cell r="AT30">
            <v>10035474000</v>
          </cell>
          <cell r="AU30">
            <v>10463065100</v>
          </cell>
          <cell r="AV30">
            <v>11424185700</v>
          </cell>
          <cell r="AW30">
            <v>13305817600</v>
          </cell>
          <cell r="AX30">
            <v>15864066900</v>
          </cell>
          <cell r="AY30">
            <v>18225800000</v>
          </cell>
          <cell r="AZ30">
            <v>18458500000</v>
          </cell>
          <cell r="BA30">
            <v>20397900000</v>
          </cell>
          <cell r="BB30">
            <v>15611300000</v>
          </cell>
          <cell r="BC30">
            <v>18690000000</v>
          </cell>
          <cell r="BD30">
            <v>23303000000</v>
          </cell>
          <cell r="BE30">
            <v>23802306200</v>
          </cell>
          <cell r="BF30">
            <v>22639000000</v>
          </cell>
          <cell r="BG30">
            <v>21663600000</v>
          </cell>
          <cell r="BH30">
            <v>17778000000</v>
          </cell>
          <cell r="BI30">
            <v>15748000000</v>
          </cell>
          <cell r="BJ30">
            <v>16747700000</v>
          </cell>
          <cell r="BK30">
            <v>18301000000</v>
          </cell>
          <cell r="BL30">
            <v>18374986800</v>
          </cell>
          <cell r="BM30">
            <v>16564437814.191099</v>
          </cell>
          <cell r="BN30">
            <v>16564437814.191099</v>
          </cell>
        </row>
        <row r="31">
          <cell r="B31" t="str">
            <v>BGR</v>
          </cell>
          <cell r="C31" t="str">
            <v>GDP (current LCU)</v>
          </cell>
          <cell r="D31" t="str">
            <v>NY.GDP.MKTP.CN</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v>25791000</v>
          </cell>
          <cell r="Z31">
            <v>27818000</v>
          </cell>
          <cell r="AA31">
            <v>29013000</v>
          </cell>
          <cell r="AB31">
            <v>29814600</v>
          </cell>
          <cell r="AC31">
            <v>31670900</v>
          </cell>
          <cell r="AD31">
            <v>32595300</v>
          </cell>
          <cell r="AE31">
            <v>34423800</v>
          </cell>
          <cell r="AF31">
            <v>36531300</v>
          </cell>
          <cell r="AG31">
            <v>38345100</v>
          </cell>
          <cell r="AH31">
            <v>39579200</v>
          </cell>
          <cell r="AI31">
            <v>45390600</v>
          </cell>
          <cell r="AJ31">
            <v>135700000</v>
          </cell>
          <cell r="AK31">
            <v>200800000</v>
          </cell>
          <cell r="AL31">
            <v>298900000</v>
          </cell>
          <cell r="AM31">
            <v>525600000</v>
          </cell>
          <cell r="AN31">
            <v>1275678000</v>
          </cell>
          <cell r="AO31">
            <v>2187142000</v>
          </cell>
          <cell r="AP31">
            <v>19032357000</v>
          </cell>
          <cell r="AQ31">
            <v>26460036000</v>
          </cell>
          <cell r="AR31">
            <v>25042932000</v>
          </cell>
          <cell r="AS31">
            <v>28124879000</v>
          </cell>
          <cell r="AT31">
            <v>30986688000</v>
          </cell>
          <cell r="AU31">
            <v>34068712000</v>
          </cell>
          <cell r="AV31">
            <v>36637913000</v>
          </cell>
          <cell r="AW31">
            <v>41201300000</v>
          </cell>
          <cell r="AX31">
            <v>47017239000</v>
          </cell>
          <cell r="AY31">
            <v>53608436000</v>
          </cell>
          <cell r="AZ31">
            <v>63454890000</v>
          </cell>
          <cell r="BA31">
            <v>72790342000</v>
          </cell>
          <cell r="BB31">
            <v>73181464000</v>
          </cell>
          <cell r="BC31">
            <v>74877677000</v>
          </cell>
          <cell r="BD31">
            <v>81124446000</v>
          </cell>
          <cell r="BE31">
            <v>82645905000</v>
          </cell>
          <cell r="BF31">
            <v>82241820000</v>
          </cell>
          <cell r="BG31">
            <v>84150301000</v>
          </cell>
          <cell r="BH31">
            <v>89599755000</v>
          </cell>
          <cell r="BI31">
            <v>95390491000</v>
          </cell>
          <cell r="BJ31">
            <v>102740641000</v>
          </cell>
          <cell r="BK31">
            <v>109964191000</v>
          </cell>
          <cell r="BL31">
            <v>120395232000</v>
          </cell>
          <cell r="BM31">
            <v>119951087000</v>
          </cell>
          <cell r="BN31">
            <v>119951087000</v>
          </cell>
        </row>
        <row r="32">
          <cell r="B32" t="str">
            <v>BFA</v>
          </cell>
          <cell r="C32" t="str">
            <v>GDP (current LCU)</v>
          </cell>
          <cell r="D32" t="str">
            <v>NY.GDP.MKTP.CN</v>
          </cell>
          <cell r="E32">
            <v>81022959600</v>
          </cell>
          <cell r="F32">
            <v>85901672400</v>
          </cell>
          <cell r="G32">
            <v>92999196700</v>
          </cell>
          <cell r="H32">
            <v>96546406400</v>
          </cell>
          <cell r="I32">
            <v>100539957200</v>
          </cell>
          <cell r="J32">
            <v>103640383500</v>
          </cell>
          <cell r="K32">
            <v>106597359600</v>
          </cell>
          <cell r="L32">
            <v>110885888000</v>
          </cell>
          <cell r="M32">
            <v>113989353500</v>
          </cell>
          <cell r="N32">
            <v>124338790400</v>
          </cell>
          <cell r="O32">
            <v>126704377900</v>
          </cell>
          <cell r="P32">
            <v>132835033100</v>
          </cell>
          <cell r="Q32">
            <v>145822056400</v>
          </cell>
          <cell r="R32">
            <v>150399729700</v>
          </cell>
          <cell r="S32">
            <v>180801323000</v>
          </cell>
          <cell r="T32">
            <v>201448276000</v>
          </cell>
          <cell r="U32">
            <v>233346433000</v>
          </cell>
          <cell r="V32">
            <v>277918974000</v>
          </cell>
          <cell r="W32">
            <v>332974096400</v>
          </cell>
          <cell r="X32">
            <v>371939672100</v>
          </cell>
          <cell r="Y32">
            <v>407499079700</v>
          </cell>
          <cell r="Z32">
            <v>482552217600</v>
          </cell>
          <cell r="AA32">
            <v>576523272200</v>
          </cell>
          <cell r="AB32">
            <v>609811824600</v>
          </cell>
          <cell r="AC32">
            <v>637904355300</v>
          </cell>
          <cell r="AD32">
            <v>697477693400</v>
          </cell>
          <cell r="AE32">
            <v>705183875100</v>
          </cell>
          <cell r="AF32">
            <v>712222048300</v>
          </cell>
          <cell r="AG32">
            <v>779182997500</v>
          </cell>
          <cell r="AH32">
            <v>834394193900</v>
          </cell>
          <cell r="AI32">
            <v>844374999000</v>
          </cell>
          <cell r="AJ32">
            <v>884418019300</v>
          </cell>
          <cell r="AK32">
            <v>888488984600</v>
          </cell>
          <cell r="AL32">
            <v>905988997100</v>
          </cell>
          <cell r="AM32">
            <v>1052274262000</v>
          </cell>
          <cell r="AN32">
            <v>1187732652000</v>
          </cell>
          <cell r="AO32">
            <v>1323156242400</v>
          </cell>
          <cell r="AP32">
            <v>1428629487600</v>
          </cell>
          <cell r="AQ32">
            <v>1654757130200</v>
          </cell>
          <cell r="AR32">
            <v>2086187976300</v>
          </cell>
          <cell r="AS32">
            <v>2108160114900</v>
          </cell>
          <cell r="AT32">
            <v>2336620419500</v>
          </cell>
          <cell r="AU32">
            <v>2512872151500</v>
          </cell>
          <cell r="AV32">
            <v>2749159243200</v>
          </cell>
          <cell r="AW32">
            <v>2874882704500</v>
          </cell>
          <cell r="AX32">
            <v>3240716112600</v>
          </cell>
          <cell r="AY32">
            <v>3420539891800</v>
          </cell>
          <cell r="AZ32">
            <v>3649928073800</v>
          </cell>
          <cell r="BA32">
            <v>4215340616100</v>
          </cell>
          <cell r="BB32">
            <v>4444600582300</v>
          </cell>
          <cell r="BC32">
            <v>5002181838700</v>
          </cell>
          <cell r="BD32">
            <v>5692822881100</v>
          </cell>
          <cell r="BE32">
            <v>6413105899900</v>
          </cell>
          <cell r="BF32">
            <v>6640134954900</v>
          </cell>
          <cell r="BG32">
            <v>6884466390200</v>
          </cell>
          <cell r="BH32">
            <v>6995311000000</v>
          </cell>
          <cell r="BI32">
            <v>7605123000000</v>
          </cell>
          <cell r="BJ32">
            <v>8191299000000</v>
          </cell>
          <cell r="BK32">
            <v>8826081000000</v>
          </cell>
          <cell r="BL32">
            <v>9478963093200</v>
          </cell>
          <cell r="BM32">
            <v>10322332746400</v>
          </cell>
          <cell r="BN32">
            <v>10322332746400</v>
          </cell>
        </row>
        <row r="33">
          <cell r="B33" t="str">
            <v>BDI</v>
          </cell>
          <cell r="C33" t="str">
            <v>GDP (current LCU)</v>
          </cell>
          <cell r="D33" t="str">
            <v>NY.GDP.MKTP.CN</v>
          </cell>
          <cell r="E33">
            <v>9799999500</v>
          </cell>
          <cell r="F33">
            <v>10149999600</v>
          </cell>
          <cell r="G33">
            <v>10675000300</v>
          </cell>
          <cell r="H33">
            <v>11637499900</v>
          </cell>
          <cell r="I33">
            <v>13037500400</v>
          </cell>
          <cell r="J33">
            <v>13415200000</v>
          </cell>
          <cell r="K33">
            <v>14476400000</v>
          </cell>
          <cell r="L33">
            <v>15601000000</v>
          </cell>
          <cell r="M33">
            <v>16030000000</v>
          </cell>
          <cell r="N33">
            <v>16643000000</v>
          </cell>
          <cell r="O33">
            <v>21239100000</v>
          </cell>
          <cell r="P33">
            <v>22123700000</v>
          </cell>
          <cell r="Q33">
            <v>21595400000</v>
          </cell>
          <cell r="R33">
            <v>24355100000</v>
          </cell>
          <cell r="S33">
            <v>27189500000</v>
          </cell>
          <cell r="T33">
            <v>33152700000</v>
          </cell>
          <cell r="U33">
            <v>38675600000</v>
          </cell>
          <cell r="V33">
            <v>49278200000</v>
          </cell>
          <cell r="W33">
            <v>54920300000</v>
          </cell>
          <cell r="X33">
            <v>70424700000</v>
          </cell>
          <cell r="Y33">
            <v>82775400000</v>
          </cell>
          <cell r="Z33">
            <v>87214200000</v>
          </cell>
          <cell r="AA33">
            <v>91190000000</v>
          </cell>
          <cell r="AB33">
            <v>100658000000</v>
          </cell>
          <cell r="AC33">
            <v>118171000000</v>
          </cell>
          <cell r="AD33">
            <v>138791000000</v>
          </cell>
          <cell r="AE33">
            <v>137201000000</v>
          </cell>
          <cell r="AF33">
            <v>139804000000</v>
          </cell>
          <cell r="AG33">
            <v>151964000000</v>
          </cell>
          <cell r="AH33">
            <v>176743000000</v>
          </cell>
          <cell r="AI33">
            <v>193878000000</v>
          </cell>
          <cell r="AJ33">
            <v>211898000000</v>
          </cell>
          <cell r="AK33">
            <v>225599995900</v>
          </cell>
          <cell r="AL33">
            <v>227899998200</v>
          </cell>
          <cell r="AM33">
            <v>233721004000</v>
          </cell>
          <cell r="AN33">
            <v>249864994800</v>
          </cell>
          <cell r="AO33">
            <v>263100000000</v>
          </cell>
          <cell r="AP33">
            <v>342800000000</v>
          </cell>
          <cell r="AQ33">
            <v>400200000000</v>
          </cell>
          <cell r="AR33">
            <v>455400000000</v>
          </cell>
          <cell r="AS33">
            <v>627333193100</v>
          </cell>
          <cell r="AT33">
            <v>728046498300</v>
          </cell>
          <cell r="AU33">
            <v>768235261400</v>
          </cell>
          <cell r="AV33">
            <v>849482572100</v>
          </cell>
          <cell r="AW33">
            <v>1007615939900</v>
          </cell>
          <cell r="AX33">
            <v>1208244000000</v>
          </cell>
          <cell r="AY33">
            <v>1309900000000</v>
          </cell>
          <cell r="AZ33">
            <v>1467231000000</v>
          </cell>
          <cell r="BA33">
            <v>1911139000000</v>
          </cell>
          <cell r="BB33">
            <v>2191509000000</v>
          </cell>
          <cell r="BC33">
            <v>2501047000000</v>
          </cell>
          <cell r="BD33">
            <v>2819534000000</v>
          </cell>
          <cell r="BE33">
            <v>3365810000000</v>
          </cell>
          <cell r="BF33">
            <v>3812500000000</v>
          </cell>
          <cell r="BG33">
            <v>4184999000000</v>
          </cell>
          <cell r="BH33">
            <v>4879793000000</v>
          </cell>
          <cell r="BI33">
            <v>4897101000000</v>
          </cell>
          <cell r="BJ33">
            <v>5485068000000</v>
          </cell>
          <cell r="BK33">
            <v>5414485000000</v>
          </cell>
          <cell r="BL33">
            <v>5559586343900</v>
          </cell>
          <cell r="BM33">
            <v>6239579000000</v>
          </cell>
          <cell r="BN33">
            <v>6239579000000</v>
          </cell>
        </row>
        <row r="34">
          <cell r="B34" t="str">
            <v>CPV</v>
          </cell>
          <cell r="C34" t="str">
            <v>GDP (current LCU)</v>
          </cell>
          <cell r="D34" t="str">
            <v>NY.GDP.MKTP.CN</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v>5714754000</v>
          </cell>
          <cell r="Z34">
            <v>6791358000</v>
          </cell>
          <cell r="AA34">
            <v>8197831000</v>
          </cell>
          <cell r="AB34">
            <v>9926780000</v>
          </cell>
          <cell r="AC34">
            <v>11205501000</v>
          </cell>
          <cell r="AD34">
            <v>12620265000</v>
          </cell>
          <cell r="AE34">
            <v>15279722000</v>
          </cell>
          <cell r="AF34">
            <v>17047809300</v>
          </cell>
          <cell r="AG34">
            <v>19048026900</v>
          </cell>
          <cell r="AH34">
            <v>20855126900</v>
          </cell>
          <cell r="AI34">
            <v>21491983200</v>
          </cell>
          <cell r="AJ34">
            <v>22838210600</v>
          </cell>
          <cell r="AK34">
            <v>24293375900</v>
          </cell>
          <cell r="AL34">
            <v>39442799400</v>
          </cell>
          <cell r="AM34">
            <v>33295296200</v>
          </cell>
          <cell r="AN34">
            <v>37438861600</v>
          </cell>
          <cell r="AO34">
            <v>41459204300</v>
          </cell>
          <cell r="AP34">
            <v>45684006400</v>
          </cell>
          <cell r="AQ34">
            <v>51229696800</v>
          </cell>
          <cell r="AR34">
            <v>61316313600</v>
          </cell>
          <cell r="AS34">
            <v>64538549100</v>
          </cell>
          <cell r="AT34">
            <v>69380256100</v>
          </cell>
          <cell r="AU34">
            <v>72758110600</v>
          </cell>
          <cell r="AV34">
            <v>79526708100</v>
          </cell>
          <cell r="AW34">
            <v>82086506800</v>
          </cell>
          <cell r="AX34">
            <v>86185500000</v>
          </cell>
          <cell r="AY34">
            <v>97384400000</v>
          </cell>
          <cell r="AZ34">
            <v>121973724800</v>
          </cell>
          <cell r="BA34">
            <v>134698360600</v>
          </cell>
          <cell r="BB34">
            <v>135879083600</v>
          </cell>
          <cell r="BC34">
            <v>138568517500</v>
          </cell>
          <cell r="BD34">
            <v>147924000000</v>
          </cell>
          <cell r="BE34">
            <v>150351280900</v>
          </cell>
          <cell r="BF34">
            <v>153723172600</v>
          </cell>
          <cell r="BG34">
            <v>154435743100</v>
          </cell>
          <cell r="BH34">
            <v>158699114300</v>
          </cell>
          <cell r="BI34">
            <v>165782176300</v>
          </cell>
          <cell r="BJ34">
            <v>173097401200</v>
          </cell>
          <cell r="BK34">
            <v>183697948800</v>
          </cell>
          <cell r="BL34">
            <v>195202292600</v>
          </cell>
          <cell r="BM34">
            <v>164910706000</v>
          </cell>
          <cell r="BN34">
            <v>164910706000</v>
          </cell>
        </row>
        <row r="35">
          <cell r="B35" t="str">
            <v>KHM</v>
          </cell>
          <cell r="C35" t="str">
            <v>GDP (current LCU)</v>
          </cell>
          <cell r="D35" t="str">
            <v>NY.GDP.MKTP.CN</v>
          </cell>
          <cell r="E35">
            <v>22300000300</v>
          </cell>
          <cell r="F35">
            <v>22499999700</v>
          </cell>
          <cell r="G35">
            <v>23100000300</v>
          </cell>
          <cell r="H35">
            <v>25500000300</v>
          </cell>
          <cell r="I35">
            <v>27399999500</v>
          </cell>
          <cell r="J35">
            <v>30400000000</v>
          </cell>
          <cell r="K35">
            <v>32000000000</v>
          </cell>
          <cell r="L35">
            <v>33699999700</v>
          </cell>
          <cell r="M35">
            <v>37299998700</v>
          </cell>
          <cell r="N35">
            <v>41699999700</v>
          </cell>
          <cell r="O35">
            <v>39900000300</v>
          </cell>
          <cell r="P35">
            <v>69499002900</v>
          </cell>
          <cell r="Q35">
            <v>82354004000</v>
          </cell>
          <cell r="R35">
            <v>172140003300</v>
          </cell>
          <cell r="S35">
            <v>473256001500</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v>6813193495000</v>
          </cell>
          <cell r="AM35">
            <v>7105040198500</v>
          </cell>
          <cell r="AN35">
            <v>8433706912200</v>
          </cell>
          <cell r="AO35">
            <v>9201920588400</v>
          </cell>
          <cell r="AP35">
            <v>10145328867100</v>
          </cell>
          <cell r="AQ35">
            <v>11720318187700</v>
          </cell>
          <cell r="AR35">
            <v>13376073140900</v>
          </cell>
          <cell r="AS35">
            <v>14082638234500</v>
          </cell>
          <cell r="AT35">
            <v>15633218028800</v>
          </cell>
          <cell r="AU35">
            <v>16780539566100</v>
          </cell>
          <cell r="AV35">
            <v>18535164487800</v>
          </cell>
          <cell r="AW35">
            <v>21438339674100</v>
          </cell>
          <cell r="AX35">
            <v>25754291417300</v>
          </cell>
          <cell r="AY35">
            <v>29849484833400</v>
          </cell>
          <cell r="AZ35">
            <v>35042180736500</v>
          </cell>
          <cell r="BA35">
            <v>41968385397800</v>
          </cell>
          <cell r="BB35">
            <v>43056731746900</v>
          </cell>
          <cell r="BC35">
            <v>47047985226200</v>
          </cell>
          <cell r="BD35">
            <v>52068692720800</v>
          </cell>
          <cell r="BE35">
            <v>56681569479900</v>
          </cell>
          <cell r="BF35">
            <v>61326928346400</v>
          </cell>
          <cell r="BG35">
            <v>67436791276200</v>
          </cell>
          <cell r="BH35">
            <v>73422701560800</v>
          </cell>
          <cell r="BI35">
            <v>81241866018800</v>
          </cell>
          <cell r="BJ35">
            <v>89830524848200</v>
          </cell>
          <cell r="BK35">
            <v>99544274792400</v>
          </cell>
          <cell r="BL35">
            <v>110014048244000</v>
          </cell>
          <cell r="BM35">
            <v>105628847131900</v>
          </cell>
          <cell r="BN35">
            <v>105628847131900</v>
          </cell>
        </row>
        <row r="36">
          <cell r="B36" t="str">
            <v>CMR</v>
          </cell>
          <cell r="C36" t="str">
            <v>GDP (current LCU)</v>
          </cell>
          <cell r="D36" t="str">
            <v>NY.GDP.MKTP.CN</v>
          </cell>
          <cell r="E36">
            <v>150600319000</v>
          </cell>
          <cell r="F36">
            <v>160100302800</v>
          </cell>
          <cell r="G36">
            <v>170100342800</v>
          </cell>
          <cell r="H36">
            <v>176000352300</v>
          </cell>
          <cell r="I36">
            <v>190300405800</v>
          </cell>
          <cell r="J36">
            <v>199500005400</v>
          </cell>
          <cell r="K36">
            <v>209099997200</v>
          </cell>
          <cell r="L36">
            <v>230299992100</v>
          </cell>
          <cell r="M36">
            <v>259000008700</v>
          </cell>
          <cell r="N36">
            <v>286099996700</v>
          </cell>
          <cell r="O36">
            <v>318199988200</v>
          </cell>
          <cell r="P36">
            <v>340599799800</v>
          </cell>
          <cell r="Q36">
            <v>377600868400</v>
          </cell>
          <cell r="R36">
            <v>423800012800</v>
          </cell>
          <cell r="S36">
            <v>519299989500</v>
          </cell>
          <cell r="T36">
            <v>612299964400</v>
          </cell>
          <cell r="U36">
            <v>692500037600</v>
          </cell>
          <cell r="V36">
            <v>833999994900</v>
          </cell>
          <cell r="W36">
            <v>1052200009700</v>
          </cell>
          <cell r="X36">
            <v>1259100045300</v>
          </cell>
          <cell r="Y36">
            <v>1410199978000</v>
          </cell>
          <cell r="Z36">
            <v>1796399956000</v>
          </cell>
          <cell r="AA36">
            <v>2172500049900</v>
          </cell>
          <cell r="AB36">
            <v>2617999884300</v>
          </cell>
          <cell r="AC36">
            <v>3195000062000</v>
          </cell>
          <cell r="AD36">
            <v>3838866882600</v>
          </cell>
          <cell r="AE36">
            <v>4106168565800</v>
          </cell>
          <cell r="AF36">
            <v>3921899946000</v>
          </cell>
          <cell r="AG36">
            <v>3644487893000</v>
          </cell>
          <cell r="AH36">
            <v>3513100009500</v>
          </cell>
          <cell r="AI36">
            <v>3352800002000</v>
          </cell>
          <cell r="AJ36">
            <v>3340200050700</v>
          </cell>
          <cell r="AK36">
            <v>3195299954700</v>
          </cell>
          <cell r="AL36">
            <v>4582084386900</v>
          </cell>
          <cell r="AM36">
            <v>4942679965100</v>
          </cell>
          <cell r="AN36">
            <v>5423134077700</v>
          </cell>
          <cell r="AO36">
            <v>5674926754200</v>
          </cell>
          <cell r="AP36">
            <v>6297476427600</v>
          </cell>
          <cell r="AQ36">
            <v>6665360691300</v>
          </cell>
          <cell r="AR36">
            <v>7118457948300</v>
          </cell>
          <cell r="AS36">
            <v>7504468904900</v>
          </cell>
          <cell r="AT36">
            <v>8022307400000</v>
          </cell>
          <cell r="AU36">
            <v>8614011492400</v>
          </cell>
          <cell r="AV36">
            <v>9261144581200</v>
          </cell>
          <cell r="AW36">
            <v>9927778712300</v>
          </cell>
          <cell r="AX36">
            <v>10286732736700</v>
          </cell>
          <cell r="AY36">
            <v>10924187809500</v>
          </cell>
          <cell r="AZ36">
            <v>11452867470400</v>
          </cell>
          <cell r="BA36">
            <v>12360954482800</v>
          </cell>
          <cell r="BB36">
            <v>13136692225100</v>
          </cell>
          <cell r="BC36">
            <v>13610554063300</v>
          </cell>
          <cell r="BD36">
            <v>14434774483800</v>
          </cell>
          <cell r="BE36">
            <v>15395858195200</v>
          </cell>
          <cell r="BF36">
            <v>16658553318900</v>
          </cell>
          <cell r="BG36">
            <v>17966123162400</v>
          </cell>
          <cell r="BH36">
            <v>19043066557100</v>
          </cell>
          <cell r="BI36">
            <v>20038566000000</v>
          </cell>
          <cell r="BJ36">
            <v>20960865000000</v>
          </cell>
          <cell r="BK36">
            <v>22203329000000</v>
          </cell>
          <cell r="BL36">
            <v>23243662000000</v>
          </cell>
          <cell r="BM36">
            <v>23486470000000</v>
          </cell>
          <cell r="BN36">
            <v>23486470000000</v>
          </cell>
        </row>
        <row r="37">
          <cell r="B37" t="str">
            <v>CAN</v>
          </cell>
          <cell r="C37" t="str">
            <v>GDP (current LCU)</v>
          </cell>
          <cell r="D37" t="str">
            <v>NY.GDP.MKTP.CN</v>
          </cell>
          <cell r="E37">
            <v>39239090176</v>
          </cell>
          <cell r="F37">
            <v>41469849373.204597</v>
          </cell>
          <cell r="G37">
            <v>45131300479.4114</v>
          </cell>
          <cell r="H37">
            <v>48565203776.757896</v>
          </cell>
          <cell r="I37">
            <v>53258992994.157898</v>
          </cell>
          <cell r="J37">
            <v>58766438012.937103</v>
          </cell>
          <cell r="K37">
            <v>65811554588.560204</v>
          </cell>
          <cell r="L37">
            <v>70837307492.479294</v>
          </cell>
          <cell r="M37">
            <v>77394821620.544601</v>
          </cell>
          <cell r="N37">
            <v>85225027389.508301</v>
          </cell>
          <cell r="O37">
            <v>91842630000</v>
          </cell>
          <cell r="P37">
            <v>100244827000</v>
          </cell>
          <cell r="Q37">
            <v>111940684000</v>
          </cell>
          <cell r="R37">
            <v>131334991000</v>
          </cell>
          <cell r="S37">
            <v>156879706000</v>
          </cell>
          <cell r="T37">
            <v>176823975000</v>
          </cell>
          <cell r="U37">
            <v>203683507000</v>
          </cell>
          <cell r="V37">
            <v>225049529000</v>
          </cell>
          <cell r="W37">
            <v>249394512000</v>
          </cell>
          <cell r="X37">
            <v>284734661000</v>
          </cell>
          <cell r="Y37">
            <v>320189894000</v>
          </cell>
          <cell r="Z37">
            <v>367121000000</v>
          </cell>
          <cell r="AA37">
            <v>386773000000</v>
          </cell>
          <cell r="AB37">
            <v>419691000000</v>
          </cell>
          <cell r="AC37">
            <v>460243000000</v>
          </cell>
          <cell r="AD37">
            <v>498075000000</v>
          </cell>
          <cell r="AE37">
            <v>524450000000</v>
          </cell>
          <cell r="AF37">
            <v>571926000000</v>
          </cell>
          <cell r="AG37">
            <v>624401000000</v>
          </cell>
          <cell r="AH37">
            <v>669026000000</v>
          </cell>
          <cell r="AI37">
            <v>692997000000</v>
          </cell>
          <cell r="AJ37">
            <v>699253000000</v>
          </cell>
          <cell r="AK37">
            <v>716019000000</v>
          </cell>
          <cell r="AL37">
            <v>744608000000</v>
          </cell>
          <cell r="AM37">
            <v>789507000000</v>
          </cell>
          <cell r="AN37">
            <v>828973000000</v>
          </cell>
          <cell r="AO37">
            <v>857023000000</v>
          </cell>
          <cell r="AP37">
            <v>906895000000</v>
          </cell>
          <cell r="AQ37">
            <v>940539000000</v>
          </cell>
          <cell r="AR37">
            <v>1007917000000</v>
          </cell>
          <cell r="AS37">
            <v>1106063000000</v>
          </cell>
          <cell r="AT37">
            <v>1144535000000</v>
          </cell>
          <cell r="AU37">
            <v>1193687000000</v>
          </cell>
          <cell r="AV37">
            <v>1254742000000</v>
          </cell>
          <cell r="AW37">
            <v>1335724000000</v>
          </cell>
          <cell r="AX37">
            <v>1421573000000</v>
          </cell>
          <cell r="AY37">
            <v>1496574000000</v>
          </cell>
          <cell r="AZ37">
            <v>1577660000000</v>
          </cell>
          <cell r="BA37">
            <v>1657040000000</v>
          </cell>
          <cell r="BB37">
            <v>1571334000000</v>
          </cell>
          <cell r="BC37">
            <v>1666046000000</v>
          </cell>
          <cell r="BD37">
            <v>1774063000000</v>
          </cell>
          <cell r="BE37">
            <v>1827205000000</v>
          </cell>
          <cell r="BF37">
            <v>1902249000000</v>
          </cell>
          <cell r="BG37">
            <v>1994897000000</v>
          </cell>
          <cell r="BH37">
            <v>1990442000000</v>
          </cell>
          <cell r="BI37">
            <v>2025533000000</v>
          </cell>
          <cell r="BJ37">
            <v>2140641000000</v>
          </cell>
          <cell r="BK37">
            <v>2235672000000</v>
          </cell>
          <cell r="BL37">
            <v>2311294000000</v>
          </cell>
          <cell r="BM37">
            <v>2206764000000</v>
          </cell>
          <cell r="BN37">
            <v>2206764000000</v>
          </cell>
        </row>
        <row r="38">
          <cell r="B38" t="str">
            <v>CYM</v>
          </cell>
          <cell r="C38" t="str">
            <v>GDP (current LCU)</v>
          </cell>
          <cell r="D38" t="str">
            <v>NY.GDP.MKTP.CN</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v>3500226200</v>
          </cell>
          <cell r="AZ38">
            <v>3721883500</v>
          </cell>
          <cell r="BA38">
            <v>3821608900</v>
          </cell>
          <cell r="BB38">
            <v>3568081200</v>
          </cell>
          <cell r="BC38">
            <v>3464020400</v>
          </cell>
          <cell r="BD38">
            <v>3488380300</v>
          </cell>
          <cell r="BE38">
            <v>3575822800</v>
          </cell>
          <cell r="BF38">
            <v>3671482000</v>
          </cell>
          <cell r="BG38">
            <v>3802362800</v>
          </cell>
          <cell r="BH38">
            <v>3923457000</v>
          </cell>
          <cell r="BI38">
            <v>4091085500</v>
          </cell>
          <cell r="BJ38">
            <v>4305217200</v>
          </cell>
          <cell r="BK38">
            <v>4602003900</v>
          </cell>
          <cell r="BL38">
            <v>4946276600</v>
          </cell>
          <cell r="BM38">
            <v>4659500000</v>
          </cell>
          <cell r="BN38">
            <v>4659500000</v>
          </cell>
        </row>
        <row r="39">
          <cell r="B39" t="str">
            <v>CAF</v>
          </cell>
          <cell r="C39" t="str">
            <v>GDP (current LCU)</v>
          </cell>
          <cell r="D39" t="str">
            <v>NY.GDP.MKTP.CN</v>
          </cell>
          <cell r="E39">
            <v>27500003300</v>
          </cell>
          <cell r="F39">
            <v>30200000500</v>
          </cell>
          <cell r="G39">
            <v>30500003800</v>
          </cell>
          <cell r="H39">
            <v>31700000800</v>
          </cell>
          <cell r="I39">
            <v>34800005100</v>
          </cell>
          <cell r="J39">
            <v>36900000000</v>
          </cell>
          <cell r="K39">
            <v>38800000000</v>
          </cell>
          <cell r="L39">
            <v>40300000000</v>
          </cell>
          <cell r="M39">
            <v>47474848000</v>
          </cell>
          <cell r="N39">
            <v>48882781000</v>
          </cell>
          <cell r="O39">
            <v>52269637900</v>
          </cell>
          <cell r="P39">
            <v>55470778500</v>
          </cell>
          <cell r="Q39">
            <v>58046469600</v>
          </cell>
          <cell r="R39">
            <v>60443775600</v>
          </cell>
          <cell r="S39">
            <v>67733982000</v>
          </cell>
          <cell r="T39">
            <v>81151726200</v>
          </cell>
          <cell r="U39">
            <v>107803103500</v>
          </cell>
          <cell r="V39">
            <v>124632850100</v>
          </cell>
          <cell r="W39">
            <v>137780646300</v>
          </cell>
          <cell r="X39">
            <v>149067829200</v>
          </cell>
          <cell r="Y39">
            <v>168399988700</v>
          </cell>
          <cell r="Z39">
            <v>188799998000</v>
          </cell>
          <cell r="AA39">
            <v>245900130800</v>
          </cell>
          <cell r="AB39">
            <v>251000322300</v>
          </cell>
          <cell r="AC39">
            <v>278699993600</v>
          </cell>
          <cell r="AD39">
            <v>388545000000</v>
          </cell>
          <cell r="AE39">
            <v>388647000000</v>
          </cell>
          <cell r="AF39">
            <v>360942000000</v>
          </cell>
          <cell r="AG39">
            <v>376748000000</v>
          </cell>
          <cell r="AH39">
            <v>393634000000</v>
          </cell>
          <cell r="AI39">
            <v>392255000000</v>
          </cell>
          <cell r="AJ39">
            <v>388567000000</v>
          </cell>
          <cell r="AK39">
            <v>373723000000</v>
          </cell>
          <cell r="AL39">
            <v>362103000000</v>
          </cell>
          <cell r="AM39">
            <v>472576000000</v>
          </cell>
          <cell r="AN39">
            <v>556745000000</v>
          </cell>
          <cell r="AO39">
            <v>515538000000</v>
          </cell>
          <cell r="AP39">
            <v>547331000000</v>
          </cell>
          <cell r="AQ39">
            <v>570683000000</v>
          </cell>
          <cell r="AR39">
            <v>615377403800</v>
          </cell>
          <cell r="AS39">
            <v>651102539300</v>
          </cell>
          <cell r="AT39">
            <v>683069686500</v>
          </cell>
          <cell r="AU39">
            <v>690985647100</v>
          </cell>
          <cell r="AV39">
            <v>662425831200</v>
          </cell>
          <cell r="AW39">
            <v>670964091200</v>
          </cell>
          <cell r="AX39">
            <v>705416000000</v>
          </cell>
          <cell r="AY39">
            <v>763713000000</v>
          </cell>
          <cell r="AZ39">
            <v>813587000000</v>
          </cell>
          <cell r="BA39">
            <v>889060000000</v>
          </cell>
          <cell r="BB39">
            <v>972276000000</v>
          </cell>
          <cell r="BC39">
            <v>1060142000000</v>
          </cell>
          <cell r="BD39">
            <v>1148896000000</v>
          </cell>
          <cell r="BE39">
            <v>1281561000000</v>
          </cell>
          <cell r="BF39">
            <v>835453000000</v>
          </cell>
          <cell r="BG39">
            <v>935578000000</v>
          </cell>
          <cell r="BH39">
            <v>1002592000000</v>
          </cell>
          <cell r="BI39">
            <v>1081516000000</v>
          </cell>
          <cell r="BJ39">
            <v>1203324000000</v>
          </cell>
          <cell r="BK39">
            <v>1233635000000</v>
          </cell>
          <cell r="BL39">
            <v>1300902510700</v>
          </cell>
          <cell r="BM39">
            <v>1369945192300</v>
          </cell>
          <cell r="BN39">
            <v>1369945192300</v>
          </cell>
        </row>
        <row r="40">
          <cell r="B40" t="str">
            <v>TCD</v>
          </cell>
          <cell r="C40" t="str">
            <v>GDP (current LCU)</v>
          </cell>
          <cell r="D40" t="str">
            <v>NY.GDP.MKTP.CN</v>
          </cell>
          <cell r="E40">
            <v>76888948700</v>
          </cell>
          <cell r="F40">
            <v>81910825000</v>
          </cell>
          <cell r="G40">
            <v>87625703400</v>
          </cell>
          <cell r="H40">
            <v>91088994300</v>
          </cell>
          <cell r="I40">
            <v>96111304700</v>
          </cell>
          <cell r="J40">
            <v>102172349300</v>
          </cell>
          <cell r="K40">
            <v>106328379900</v>
          </cell>
          <cell r="L40">
            <v>110657697300</v>
          </cell>
          <cell r="M40">
            <v>112389443600</v>
          </cell>
          <cell r="N40">
            <v>122606666900</v>
          </cell>
          <cell r="O40">
            <v>129706798100</v>
          </cell>
          <cell r="P40">
            <v>138192244700</v>
          </cell>
          <cell r="Q40">
            <v>147543915400</v>
          </cell>
          <cell r="R40">
            <v>144253764000</v>
          </cell>
          <cell r="S40">
            <v>157067689800</v>
          </cell>
          <cell r="T40">
            <v>185295384400</v>
          </cell>
          <cell r="U40">
            <v>206941871500</v>
          </cell>
          <cell r="V40">
            <v>229799066200</v>
          </cell>
          <cell r="W40">
            <v>251362603500</v>
          </cell>
          <cell r="X40">
            <v>213639856200</v>
          </cell>
          <cell r="Y40">
            <v>218252288200</v>
          </cell>
          <cell r="Z40">
            <v>238291516900</v>
          </cell>
          <cell r="AA40">
            <v>274179153200</v>
          </cell>
          <cell r="AB40">
            <v>317205391500</v>
          </cell>
          <cell r="AC40">
            <v>401608503700</v>
          </cell>
          <cell r="AD40">
            <v>464119958600</v>
          </cell>
          <cell r="AE40">
            <v>369795226000</v>
          </cell>
          <cell r="AF40">
            <v>349652306300</v>
          </cell>
          <cell r="AG40">
            <v>441588964700</v>
          </cell>
          <cell r="AH40">
            <v>457357831700</v>
          </cell>
          <cell r="AI40">
            <v>473361073600</v>
          </cell>
          <cell r="AJ40">
            <v>529553593800</v>
          </cell>
          <cell r="AK40">
            <v>498109648900</v>
          </cell>
          <cell r="AL40">
            <v>414337973300</v>
          </cell>
          <cell r="AM40">
            <v>655051577700</v>
          </cell>
          <cell r="AN40">
            <v>721728639500</v>
          </cell>
          <cell r="AO40">
            <v>822241422600</v>
          </cell>
          <cell r="AP40">
            <v>901587995300</v>
          </cell>
          <cell r="AQ40">
            <v>1029344630700</v>
          </cell>
          <cell r="AR40">
            <v>944897144000</v>
          </cell>
          <cell r="AS40">
            <v>986128585300</v>
          </cell>
          <cell r="AT40">
            <v>1253017742400</v>
          </cell>
          <cell r="AU40">
            <v>1385349274600</v>
          </cell>
          <cell r="AV40">
            <v>1590551400000</v>
          </cell>
          <cell r="AW40">
            <v>2332340000000</v>
          </cell>
          <cell r="AX40">
            <v>3505903000000</v>
          </cell>
          <cell r="AY40">
            <v>3880944000000</v>
          </cell>
          <cell r="AZ40">
            <v>4140247589300</v>
          </cell>
          <cell r="BA40">
            <v>4635650285500</v>
          </cell>
          <cell r="BB40">
            <v>4369368423300</v>
          </cell>
          <cell r="BC40">
            <v>5278516425000</v>
          </cell>
          <cell r="BD40">
            <v>5736183821300</v>
          </cell>
          <cell r="BE40">
            <v>6314235440000</v>
          </cell>
          <cell r="BF40">
            <v>6397746000000</v>
          </cell>
          <cell r="BG40">
            <v>6883356000000</v>
          </cell>
          <cell r="BH40">
            <v>6474000000000</v>
          </cell>
          <cell r="BI40">
            <v>5984000000000</v>
          </cell>
          <cell r="BJ40">
            <v>5806796500000</v>
          </cell>
          <cell r="BK40">
            <v>6242756000000</v>
          </cell>
          <cell r="BL40">
            <v>6629554456200</v>
          </cell>
          <cell r="BM40">
            <v>6233065000000</v>
          </cell>
          <cell r="BN40">
            <v>6233065000000</v>
          </cell>
        </row>
        <row r="41">
          <cell r="B41" t="str">
            <v>CHI</v>
          </cell>
          <cell r="C41" t="str">
            <v>GDP (current LCU)</v>
          </cell>
          <cell r="D41" t="str">
            <v>NY.GDP.MKTP.CN</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v>3590000000</v>
          </cell>
          <cell r="AR41">
            <v>3871000000</v>
          </cell>
          <cell r="AS41">
            <v>4256000000</v>
          </cell>
          <cell r="AT41">
            <v>4330000000</v>
          </cell>
          <cell r="AU41">
            <v>4446000000</v>
          </cell>
          <cell r="AV41">
            <v>4491000000</v>
          </cell>
          <cell r="AW41">
            <v>4672000000</v>
          </cell>
          <cell r="AX41">
            <v>4855000000</v>
          </cell>
          <cell r="AY41">
            <v>5259000000</v>
          </cell>
          <cell r="AZ41">
            <v>5755000000</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
          </cell>
        </row>
        <row r="42">
          <cell r="B42" t="str">
            <v>CHL</v>
          </cell>
          <cell r="C42" t="str">
            <v>GDP (current LCU)</v>
          </cell>
          <cell r="D42" t="str">
            <v>NY.GDP.MKTP.CN</v>
          </cell>
          <cell r="E42">
            <v>4521000</v>
          </cell>
          <cell r="F42">
            <v>5070700</v>
          </cell>
          <cell r="G42">
            <v>5957900</v>
          </cell>
          <cell r="H42">
            <v>9069100</v>
          </cell>
          <cell r="I42">
            <v>13759400</v>
          </cell>
          <cell r="J42">
            <v>19285100</v>
          </cell>
          <cell r="K42">
            <v>27583300</v>
          </cell>
          <cell r="L42">
            <v>35767300</v>
          </cell>
          <cell r="M42">
            <v>49452900</v>
          </cell>
          <cell r="N42">
            <v>72043000</v>
          </cell>
          <cell r="O42">
            <v>103127300</v>
          </cell>
          <cell r="P42">
            <v>132786200</v>
          </cell>
          <cell r="Q42">
            <v>246559400</v>
          </cell>
          <cell r="R42">
            <v>1205476300</v>
          </cell>
          <cell r="S42">
            <v>9609527600</v>
          </cell>
          <cell r="T42">
            <v>37425087200</v>
          </cell>
          <cell r="U42">
            <v>134962124500</v>
          </cell>
          <cell r="V42">
            <v>300760724300</v>
          </cell>
          <cell r="W42">
            <v>506241301200</v>
          </cell>
          <cell r="X42">
            <v>812187712700</v>
          </cell>
          <cell r="Y42">
            <v>1132431685000</v>
          </cell>
          <cell r="Z42">
            <v>1345885243700</v>
          </cell>
          <cell r="AA42">
            <v>1289341223100</v>
          </cell>
          <cell r="AB42">
            <v>1603846028300</v>
          </cell>
          <cell r="AC42">
            <v>1932426506200</v>
          </cell>
          <cell r="AD42">
            <v>2847686144400</v>
          </cell>
          <cell r="AE42">
            <v>3644650048600</v>
          </cell>
          <cell r="AF42">
            <v>4883059000100</v>
          </cell>
          <cell r="AG42">
            <v>6380116701600</v>
          </cell>
          <cell r="AH42">
            <v>7977983648900</v>
          </cell>
          <cell r="AI42">
            <v>10096424395700</v>
          </cell>
          <cell r="AJ42">
            <v>13212666666500</v>
          </cell>
          <cell r="AK42">
            <v>16665745886300</v>
          </cell>
          <cell r="AL42">
            <v>19924680966000</v>
          </cell>
          <cell r="AM42">
            <v>23953800140800</v>
          </cell>
          <cell r="AN42">
            <v>29141591313200</v>
          </cell>
          <cell r="AO42">
            <v>32173374439800</v>
          </cell>
          <cell r="AP42">
            <v>35621374458411.703</v>
          </cell>
          <cell r="AQ42">
            <v>37549275338224.297</v>
          </cell>
          <cell r="AR42">
            <v>38246923164208.797</v>
          </cell>
          <cell r="AS42">
            <v>42005194286644.797</v>
          </cell>
          <cell r="AT42">
            <v>45067992919379.703</v>
          </cell>
          <cell r="AU42">
            <v>48044478870119.797</v>
          </cell>
          <cell r="AV42">
            <v>52299888133072.102</v>
          </cell>
          <cell r="AW42">
            <v>60471710758510.203</v>
          </cell>
          <cell r="AX42">
            <v>68831705427037.203</v>
          </cell>
          <cell r="AY42">
            <v>82080219853929.906</v>
          </cell>
          <cell r="AZ42">
            <v>90702903280006.094</v>
          </cell>
          <cell r="BA42">
            <v>93854108404159.906</v>
          </cell>
          <cell r="BB42">
            <v>96686356858733.094</v>
          </cell>
          <cell r="BC42">
            <v>111508610680027</v>
          </cell>
          <cell r="BD42">
            <v>122006090354937</v>
          </cell>
          <cell r="BE42">
            <v>129947342297034</v>
          </cell>
          <cell r="BF42">
            <v>137876215768071</v>
          </cell>
          <cell r="BG42">
            <v>148599453874995</v>
          </cell>
          <cell r="BH42">
            <v>159553348309832</v>
          </cell>
          <cell r="BI42">
            <v>169537387722371</v>
          </cell>
          <cell r="BJ42">
            <v>179749461246608</v>
          </cell>
          <cell r="BK42">
            <v>190825823098788</v>
          </cell>
          <cell r="BL42">
            <v>196379332652176</v>
          </cell>
          <cell r="BM42">
            <v>200512436237197</v>
          </cell>
          <cell r="BN42">
            <v>200512436237197</v>
          </cell>
        </row>
        <row r="43">
          <cell r="B43" t="str">
            <v>CHN</v>
          </cell>
          <cell r="C43" t="str">
            <v>GDP (current LCU)</v>
          </cell>
          <cell r="D43" t="str">
            <v>NY.GDP.MKTP.CN</v>
          </cell>
          <cell r="E43">
            <v>147010000000</v>
          </cell>
          <cell r="F43">
            <v>123230000000</v>
          </cell>
          <cell r="G43">
            <v>116220000000</v>
          </cell>
          <cell r="H43">
            <v>124830000000</v>
          </cell>
          <cell r="I43">
            <v>146990000000</v>
          </cell>
          <cell r="J43">
            <v>173400000000</v>
          </cell>
          <cell r="K43">
            <v>188870000000</v>
          </cell>
          <cell r="L43">
            <v>179420000000</v>
          </cell>
          <cell r="M43">
            <v>174410000000</v>
          </cell>
          <cell r="N43">
            <v>196220000000</v>
          </cell>
          <cell r="O43">
            <v>227970000000</v>
          </cell>
          <cell r="P43">
            <v>245690000000</v>
          </cell>
          <cell r="Q43">
            <v>255240000000</v>
          </cell>
          <cell r="R43">
            <v>275620000000</v>
          </cell>
          <cell r="S43">
            <v>282770000000</v>
          </cell>
          <cell r="T43">
            <v>303950000000</v>
          </cell>
          <cell r="U43">
            <v>298860000000</v>
          </cell>
          <cell r="V43">
            <v>325000000000</v>
          </cell>
          <cell r="W43">
            <v>367870251960</v>
          </cell>
          <cell r="X43">
            <v>410045367150</v>
          </cell>
          <cell r="Y43">
            <v>458758107780</v>
          </cell>
          <cell r="Z43">
            <v>493583283730</v>
          </cell>
          <cell r="AA43">
            <v>537335013630</v>
          </cell>
          <cell r="AB43">
            <v>602092410070</v>
          </cell>
          <cell r="AC43">
            <v>727850230680</v>
          </cell>
          <cell r="AD43">
            <v>909894802710</v>
          </cell>
          <cell r="AE43">
            <v>1037615445370</v>
          </cell>
          <cell r="AF43">
            <v>1217459467450</v>
          </cell>
          <cell r="AG43">
            <v>1518038647670</v>
          </cell>
          <cell r="AH43">
            <v>1717974173480</v>
          </cell>
          <cell r="AI43">
            <v>1887286882720</v>
          </cell>
          <cell r="AJ43">
            <v>2200562845800</v>
          </cell>
          <cell r="AK43">
            <v>2719453090000</v>
          </cell>
          <cell r="AL43">
            <v>3567323035800</v>
          </cell>
          <cell r="AM43">
            <v>4863745033400</v>
          </cell>
          <cell r="AN43">
            <v>6133989133700</v>
          </cell>
          <cell r="AO43">
            <v>7181362958700</v>
          </cell>
          <cell r="AP43">
            <v>7971504449200</v>
          </cell>
          <cell r="AQ43">
            <v>8519550709000</v>
          </cell>
          <cell r="AR43">
            <v>9056437577700</v>
          </cell>
          <cell r="AS43">
            <v>10028013925300</v>
          </cell>
          <cell r="AT43">
            <v>11086312304600</v>
          </cell>
          <cell r="AU43">
            <v>12171742474800</v>
          </cell>
          <cell r="AV43">
            <v>13742203491800</v>
          </cell>
          <cell r="AW43">
            <v>16184016090700</v>
          </cell>
          <cell r="AX43">
            <v>18731890311800</v>
          </cell>
          <cell r="AY43">
            <v>21943847481700</v>
          </cell>
          <cell r="AZ43">
            <v>27009232371800</v>
          </cell>
          <cell r="BA43">
            <v>31924461277900</v>
          </cell>
          <cell r="BB43">
            <v>34851774373500</v>
          </cell>
          <cell r="BC43">
            <v>41211925579600</v>
          </cell>
          <cell r="BD43">
            <v>48794018052500</v>
          </cell>
          <cell r="BE43">
            <v>53857995346900</v>
          </cell>
          <cell r="BF43">
            <v>59296322954900</v>
          </cell>
          <cell r="BG43">
            <v>64356310454400</v>
          </cell>
          <cell r="BH43">
            <v>68885821804900</v>
          </cell>
          <cell r="BI43">
            <v>74639505948400</v>
          </cell>
          <cell r="BJ43">
            <v>83203594856000</v>
          </cell>
          <cell r="BK43">
            <v>91928112906700</v>
          </cell>
          <cell r="BL43">
            <v>98651520000000</v>
          </cell>
          <cell r="BM43">
            <v>101598620000000</v>
          </cell>
          <cell r="BN43">
            <v>101598620000000</v>
          </cell>
        </row>
        <row r="44">
          <cell r="B44" t="str">
            <v>COL</v>
          </cell>
          <cell r="C44" t="str">
            <v>GDP (current LCU)</v>
          </cell>
          <cell r="D44" t="str">
            <v>NY.GDP.MKTP.CN</v>
          </cell>
          <cell r="E44">
            <v>26746700000</v>
          </cell>
          <cell r="F44">
            <v>30421000000</v>
          </cell>
          <cell r="G44">
            <v>34199200000</v>
          </cell>
          <cell r="H44">
            <v>43525500000</v>
          </cell>
          <cell r="I44">
            <v>53760300000</v>
          </cell>
          <cell r="J44">
            <v>60488000000</v>
          </cell>
          <cell r="K44">
            <v>73285000000</v>
          </cell>
          <cell r="L44">
            <v>84504000000</v>
          </cell>
          <cell r="M44">
            <v>97102000000</v>
          </cell>
          <cell r="N44">
            <v>111728000000</v>
          </cell>
          <cell r="O44">
            <v>132768000000</v>
          </cell>
          <cell r="P44">
            <v>155886000000</v>
          </cell>
          <cell r="Q44">
            <v>189614000000</v>
          </cell>
          <cell r="R44">
            <v>243160000000</v>
          </cell>
          <cell r="S44">
            <v>322384000000</v>
          </cell>
          <cell r="T44">
            <v>405108000000</v>
          </cell>
          <cell r="U44">
            <v>532270000000</v>
          </cell>
          <cell r="V44">
            <v>716029000000</v>
          </cell>
          <cell r="W44">
            <v>909487000000</v>
          </cell>
          <cell r="X44">
            <v>1188817000000</v>
          </cell>
          <cell r="Y44">
            <v>1579130000000</v>
          </cell>
          <cell r="Z44">
            <v>1982773000000</v>
          </cell>
          <cell r="AA44">
            <v>2497298000000</v>
          </cell>
          <cell r="AB44">
            <v>3054137000000</v>
          </cell>
          <cell r="AC44">
            <v>3856584000000</v>
          </cell>
          <cell r="AD44">
            <v>4965883000000</v>
          </cell>
          <cell r="AE44">
            <v>6787956000000</v>
          </cell>
          <cell r="AF44">
            <v>8824408000000</v>
          </cell>
          <cell r="AG44">
            <v>11731348000000</v>
          </cell>
          <cell r="AH44">
            <v>15126718000000</v>
          </cell>
          <cell r="AI44">
            <v>24030173000000</v>
          </cell>
          <cell r="AJ44">
            <v>31130592000000</v>
          </cell>
          <cell r="AK44">
            <v>39730752000000</v>
          </cell>
          <cell r="AL44">
            <v>52271688000000</v>
          </cell>
          <cell r="AM44">
            <v>67532862000000</v>
          </cell>
          <cell r="AN44">
            <v>84439109000000</v>
          </cell>
          <cell r="AO44">
            <v>100711389000000</v>
          </cell>
          <cell r="AP44">
            <v>121707501000000</v>
          </cell>
          <cell r="AQ44">
            <v>140483322000000</v>
          </cell>
          <cell r="AR44">
            <v>151565005000000</v>
          </cell>
          <cell r="AS44">
            <v>208531000000000</v>
          </cell>
          <cell r="AT44">
            <v>225851000000000</v>
          </cell>
          <cell r="AU44">
            <v>245323000000000</v>
          </cell>
          <cell r="AV44">
            <v>272345000000000</v>
          </cell>
          <cell r="AW44">
            <v>307762000000000</v>
          </cell>
          <cell r="AX44">
            <v>337958000000001</v>
          </cell>
          <cell r="AY44">
            <v>381604000000001</v>
          </cell>
          <cell r="AZ44">
            <v>428506000000001</v>
          </cell>
          <cell r="BA44">
            <v>476554000000001</v>
          </cell>
          <cell r="BB44">
            <v>501574000000000</v>
          </cell>
          <cell r="BC44">
            <v>544060000000001</v>
          </cell>
          <cell r="BD44">
            <v>619023000000001</v>
          </cell>
          <cell r="BE44">
            <v>666507000000001</v>
          </cell>
          <cell r="BF44">
            <v>714093000000001</v>
          </cell>
          <cell r="BG44">
            <v>762903000000001</v>
          </cell>
          <cell r="BH44">
            <v>804692000000001</v>
          </cell>
          <cell r="BI44">
            <v>863782000000001</v>
          </cell>
          <cell r="BJ44">
            <v>920471000000000</v>
          </cell>
          <cell r="BK44">
            <v>987791000000001</v>
          </cell>
          <cell r="BL44">
            <v>1061119000000000</v>
          </cell>
          <cell r="BM44">
            <v>1002922315560450</v>
          </cell>
          <cell r="BN44">
            <v>1002922315560450</v>
          </cell>
        </row>
        <row r="45">
          <cell r="B45" t="str">
            <v>COM</v>
          </cell>
          <cell r="C45" t="str">
            <v>GDP (current LCU)</v>
          </cell>
          <cell r="D45" t="str">
            <v>NY.GDP.MKTP.CN</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v>44837000000</v>
          </cell>
          <cell r="Z45">
            <v>53354000000</v>
          </cell>
          <cell r="AA45">
            <v>60466000000</v>
          </cell>
          <cell r="AB45">
            <v>73020000000</v>
          </cell>
          <cell r="AC45">
            <v>80704000000</v>
          </cell>
          <cell r="AD45">
            <v>88381000000</v>
          </cell>
          <cell r="AE45">
            <v>96687000000</v>
          </cell>
          <cell r="AF45">
            <v>101438000000</v>
          </cell>
          <cell r="AG45">
            <v>106182000000</v>
          </cell>
          <cell r="AH45">
            <v>108933000000</v>
          </cell>
          <cell r="AI45">
            <v>116970000000</v>
          </cell>
          <cell r="AJ45">
            <v>119643000000</v>
          </cell>
          <cell r="AK45">
            <v>121066000000</v>
          </cell>
          <cell r="AL45">
            <v>128238000000</v>
          </cell>
          <cell r="AM45">
            <v>132910000000</v>
          </cell>
          <cell r="AN45">
            <v>149167000000</v>
          </cell>
          <cell r="AO45">
            <v>151950000000</v>
          </cell>
          <cell r="AP45">
            <v>159535000000</v>
          </cell>
          <cell r="AQ45">
            <v>163757000000</v>
          </cell>
          <cell r="AR45">
            <v>176608000000</v>
          </cell>
          <cell r="AS45">
            <v>187035000000</v>
          </cell>
          <cell r="AT45">
            <v>207916000000</v>
          </cell>
          <cell r="AU45">
            <v>221623000000</v>
          </cell>
          <cell r="AV45">
            <v>237853000000</v>
          </cell>
          <cell r="AW45">
            <v>250633000000</v>
          </cell>
          <cell r="AX45">
            <v>258559000000</v>
          </cell>
          <cell r="AY45">
            <v>273659000000</v>
          </cell>
          <cell r="AZ45">
            <v>285627000000</v>
          </cell>
          <cell r="BA45">
            <v>306288000000</v>
          </cell>
          <cell r="BB45">
            <v>319332000000</v>
          </cell>
          <cell r="BC45">
            <v>336947000000</v>
          </cell>
          <cell r="BD45">
            <v>361596000000</v>
          </cell>
          <cell r="BE45">
            <v>388984000000</v>
          </cell>
          <cell r="BF45">
            <v>413477000000</v>
          </cell>
          <cell r="BG45">
            <v>425713000000</v>
          </cell>
          <cell r="BH45">
            <v>428346000000</v>
          </cell>
          <cell r="BI45">
            <v>450159000000</v>
          </cell>
          <cell r="BJ45">
            <v>469217000000</v>
          </cell>
          <cell r="BK45">
            <v>495235000000</v>
          </cell>
          <cell r="BL45">
            <v>524086000000</v>
          </cell>
          <cell r="BM45">
            <v>532112751600</v>
          </cell>
          <cell r="BN45">
            <v>532112751600</v>
          </cell>
        </row>
        <row r="46">
          <cell r="B46" t="str">
            <v>COD</v>
          </cell>
          <cell r="C46" t="str">
            <v>GDP (current LCU)</v>
          </cell>
          <cell r="D46" t="str">
            <v>NY.GDP.MKTP.CN</v>
          </cell>
          <cell r="E46">
            <v>5.7109870000000005E-4</v>
          </cell>
          <cell r="F46">
            <v>5.4018070000000004E-4</v>
          </cell>
          <cell r="G46">
            <v>7.9376670000000002E-4</v>
          </cell>
          <cell r="H46">
            <v>1.5688294E-3</v>
          </cell>
          <cell r="I46">
            <v>1.5848499E-3</v>
          </cell>
          <cell r="J46">
            <v>2.2241460000000002E-3</v>
          </cell>
          <cell r="K46">
            <v>2.4929631E-3</v>
          </cell>
          <cell r="L46">
            <v>3.9142333000000001E-3</v>
          </cell>
          <cell r="M46">
            <v>6.5293334999999997E-3</v>
          </cell>
          <cell r="N46">
            <v>8.4041663999999995E-3</v>
          </cell>
          <cell r="O46">
            <v>8.1457338000000008E-3</v>
          </cell>
          <cell r="P46">
            <v>9.3432665000000008E-3</v>
          </cell>
          <cell r="Q46">
            <v>1.0310100399999999E-2</v>
          </cell>
          <cell r="R46">
            <v>1.3143299900000001E-2</v>
          </cell>
          <cell r="S46">
            <v>1.6026923500000002E-2</v>
          </cell>
          <cell r="T46">
            <v>1.7096363100000001E-2</v>
          </cell>
          <cell r="U46">
            <v>2.54803002E-2</v>
          </cell>
          <cell r="V46">
            <v>3.5243332699999998E-2</v>
          </cell>
          <cell r="W46">
            <v>4.2838334300000003E-2</v>
          </cell>
          <cell r="X46">
            <v>8.6806669099999997E-2</v>
          </cell>
          <cell r="Y46">
            <v>0.1343166693</v>
          </cell>
          <cell r="Z46">
            <v>0.18315666899999999</v>
          </cell>
          <cell r="AA46">
            <v>0.26160007600000001</v>
          </cell>
          <cell r="AB46">
            <v>0.4727933419</v>
          </cell>
          <cell r="AC46">
            <v>0.94610333540000002</v>
          </cell>
          <cell r="AD46">
            <v>1.1958700456</v>
          </cell>
          <cell r="AE46">
            <v>1.6085966792999999</v>
          </cell>
          <cell r="AF46">
            <v>2.8700065938999999</v>
          </cell>
          <cell r="AG46">
            <v>5.5244002444999998</v>
          </cell>
          <cell r="AH46">
            <v>11.468667142099999</v>
          </cell>
          <cell r="AI46">
            <v>22.390333145900001</v>
          </cell>
          <cell r="AJ46">
            <v>500</v>
          </cell>
          <cell r="AK46">
            <v>17700</v>
          </cell>
          <cell r="AL46">
            <v>269200</v>
          </cell>
          <cell r="AM46">
            <v>69502300</v>
          </cell>
          <cell r="AN46">
            <v>396421800</v>
          </cell>
          <cell r="AO46">
            <v>2896399900</v>
          </cell>
          <cell r="AP46">
            <v>7999999900</v>
          </cell>
          <cell r="AQ46">
            <v>9989899900</v>
          </cell>
          <cell r="AR46">
            <v>51823853700</v>
          </cell>
          <cell r="AS46">
            <v>1317075195100</v>
          </cell>
          <cell r="AT46">
            <v>2231456730100</v>
          </cell>
          <cell r="AU46">
            <v>3025905347400</v>
          </cell>
          <cell r="AV46">
            <v>3623266448400</v>
          </cell>
          <cell r="AW46">
            <v>4113594421900</v>
          </cell>
          <cell r="AX46">
            <v>5670065000000</v>
          </cell>
          <cell r="AY46">
            <v>6767519545400</v>
          </cell>
          <cell r="AZ46">
            <v>8648878513700</v>
          </cell>
          <cell r="BA46">
            <v>11067568514400</v>
          </cell>
          <cell r="BB46">
            <v>15101187901500</v>
          </cell>
          <cell r="BC46">
            <v>19536676925500</v>
          </cell>
          <cell r="BD46">
            <v>23759424582500</v>
          </cell>
          <cell r="BE46">
            <v>26954556932500</v>
          </cell>
          <cell r="BF46">
            <v>30051179396400</v>
          </cell>
          <cell r="BG46">
            <v>33223988461800</v>
          </cell>
          <cell r="BH46">
            <v>35111225971900</v>
          </cell>
          <cell r="BI46">
            <v>37517392391700</v>
          </cell>
          <cell r="BJ46">
            <v>55676093127400</v>
          </cell>
          <cell r="BK46">
            <v>76495500373000</v>
          </cell>
          <cell r="BL46">
            <v>83048340000000</v>
          </cell>
          <cell r="BM46">
            <v>90181047764600</v>
          </cell>
          <cell r="BN46">
            <v>90181047764600</v>
          </cell>
        </row>
        <row r="47">
          <cell r="B47" t="str">
            <v>COG</v>
          </cell>
          <cell r="C47" t="str">
            <v>GDP (current LCU)</v>
          </cell>
          <cell r="D47" t="str">
            <v>NY.GDP.MKTP.CN</v>
          </cell>
          <cell r="E47">
            <v>32300007400</v>
          </cell>
          <cell r="F47">
            <v>37200007200</v>
          </cell>
          <cell r="G47">
            <v>40800010200</v>
          </cell>
          <cell r="H47">
            <v>42200006700</v>
          </cell>
          <cell r="I47">
            <v>45500010500</v>
          </cell>
          <cell r="J47">
            <v>48600010000</v>
          </cell>
          <cell r="K47">
            <v>54200000000</v>
          </cell>
          <cell r="L47">
            <v>58399990000</v>
          </cell>
          <cell r="M47">
            <v>62200000000</v>
          </cell>
          <cell r="N47">
            <v>68899960000</v>
          </cell>
          <cell r="O47">
            <v>76000000000</v>
          </cell>
          <cell r="P47">
            <v>88700030000</v>
          </cell>
          <cell r="Q47">
            <v>103500000000</v>
          </cell>
          <cell r="R47">
            <v>120800000000</v>
          </cell>
          <cell r="S47">
            <v>140900000000</v>
          </cell>
          <cell r="T47">
            <v>164400000000</v>
          </cell>
          <cell r="U47">
            <v>180300000000</v>
          </cell>
          <cell r="V47">
            <v>188000000000</v>
          </cell>
          <cell r="W47">
            <v>198300000000</v>
          </cell>
          <cell r="X47">
            <v>255000000000</v>
          </cell>
          <cell r="Y47">
            <v>360400000000</v>
          </cell>
          <cell r="Z47">
            <v>541700000000</v>
          </cell>
          <cell r="AA47">
            <v>710000000000</v>
          </cell>
          <cell r="AB47">
            <v>799200000000</v>
          </cell>
          <cell r="AC47">
            <v>958500000000</v>
          </cell>
          <cell r="AD47">
            <v>970800000000</v>
          </cell>
          <cell r="AE47">
            <v>640412500000</v>
          </cell>
          <cell r="AF47">
            <v>690558983000</v>
          </cell>
          <cell r="AG47">
            <v>659000000000</v>
          </cell>
          <cell r="AH47">
            <v>762300006400</v>
          </cell>
          <cell r="AI47">
            <v>762000000000</v>
          </cell>
          <cell r="AJ47">
            <v>768700000000</v>
          </cell>
          <cell r="AK47">
            <v>776400000000</v>
          </cell>
          <cell r="AL47">
            <v>760100000000</v>
          </cell>
          <cell r="AM47">
            <v>982360000000</v>
          </cell>
          <cell r="AN47">
            <v>1056200000000</v>
          </cell>
          <cell r="AO47">
            <v>1299700000000</v>
          </cell>
          <cell r="AP47">
            <v>1355700000000</v>
          </cell>
          <cell r="AQ47">
            <v>1150100000000</v>
          </cell>
          <cell r="AR47">
            <v>1449300000000</v>
          </cell>
          <cell r="AS47">
            <v>2292500000000</v>
          </cell>
          <cell r="AT47">
            <v>2048300000000</v>
          </cell>
          <cell r="AU47">
            <v>2104900000000</v>
          </cell>
          <cell r="AV47">
            <v>2031800000000</v>
          </cell>
          <cell r="AW47">
            <v>2455800000000</v>
          </cell>
          <cell r="AX47">
            <v>3506269000000</v>
          </cell>
          <cell r="AY47">
            <v>4217179000000</v>
          </cell>
          <cell r="AZ47">
            <v>4203698000000</v>
          </cell>
          <cell r="BA47">
            <v>5195837000000</v>
          </cell>
          <cell r="BB47">
            <v>4572804000000</v>
          </cell>
          <cell r="BC47">
            <v>6505751000000</v>
          </cell>
          <cell r="BD47">
            <v>7377578000000</v>
          </cell>
          <cell r="BE47">
            <v>9033228000000</v>
          </cell>
          <cell r="BF47">
            <v>8869805400772.4609</v>
          </cell>
          <cell r="BG47">
            <v>8844629467374.8496</v>
          </cell>
          <cell r="BH47">
            <v>7029660317337.7197</v>
          </cell>
          <cell r="BI47">
            <v>6056038869040.3096</v>
          </cell>
          <cell r="BJ47">
            <v>6442284253308.6797</v>
          </cell>
          <cell r="BK47">
            <v>7592974204296.4102</v>
          </cell>
          <cell r="BL47">
            <v>7470563887276.3496</v>
          </cell>
          <cell r="BM47">
            <v>5863565000000</v>
          </cell>
          <cell r="BN47">
            <v>5863565000000</v>
          </cell>
        </row>
        <row r="48">
          <cell r="B48" t="str">
            <v>CRI</v>
          </cell>
          <cell r="C48" t="str">
            <v>GDP (current LCU)</v>
          </cell>
          <cell r="D48" t="str">
            <v>NY.GDP.MKTP.CN</v>
          </cell>
          <cell r="E48">
            <v>2860500200</v>
          </cell>
          <cell r="F48">
            <v>2929300700</v>
          </cell>
          <cell r="G48">
            <v>3186600400</v>
          </cell>
          <cell r="H48">
            <v>3404200400</v>
          </cell>
          <cell r="I48">
            <v>3608200400</v>
          </cell>
          <cell r="J48">
            <v>3928500200</v>
          </cell>
          <cell r="K48">
            <v>4288399800</v>
          </cell>
          <cell r="L48">
            <v>4633900100</v>
          </cell>
          <cell r="M48">
            <v>5126699900</v>
          </cell>
          <cell r="N48">
            <v>5655300100</v>
          </cell>
          <cell r="O48">
            <v>6524499800</v>
          </cell>
          <cell r="P48">
            <v>7136999700</v>
          </cell>
          <cell r="Q48">
            <v>8215800000</v>
          </cell>
          <cell r="R48">
            <v>10162400100</v>
          </cell>
          <cell r="S48">
            <v>13215699900</v>
          </cell>
          <cell r="T48">
            <v>16804599900</v>
          </cell>
          <cell r="U48">
            <v>20675600000</v>
          </cell>
          <cell r="V48">
            <v>26330699500</v>
          </cell>
          <cell r="W48">
            <v>30193899500</v>
          </cell>
          <cell r="X48">
            <v>34584400600</v>
          </cell>
          <cell r="Y48">
            <v>41405500800</v>
          </cell>
          <cell r="Z48">
            <v>57102700500</v>
          </cell>
          <cell r="AA48">
            <v>97505099300</v>
          </cell>
          <cell r="AB48">
            <v>129314000000</v>
          </cell>
          <cell r="AC48">
            <v>163010900000</v>
          </cell>
          <cell r="AD48">
            <v>197919800000</v>
          </cell>
          <cell r="AE48">
            <v>246579300000</v>
          </cell>
          <cell r="AF48">
            <v>284533400000</v>
          </cell>
          <cell r="AG48">
            <v>349742800000</v>
          </cell>
          <cell r="AH48">
            <v>425910700000</v>
          </cell>
          <cell r="AI48">
            <v>522847900000</v>
          </cell>
          <cell r="AJ48">
            <v>881040082000.94995</v>
          </cell>
          <cell r="AK48">
            <v>1151917873758.0701</v>
          </cell>
          <cell r="AL48">
            <v>1362412387549.1599</v>
          </cell>
          <cell r="AM48">
            <v>1647124682888.53</v>
          </cell>
          <cell r="AN48">
            <v>2079862886938.4099</v>
          </cell>
          <cell r="AO48">
            <v>2425725554424.4502</v>
          </cell>
          <cell r="AP48">
            <v>2934156514136.1001</v>
          </cell>
          <cell r="AQ48">
            <v>3519453786929.7598</v>
          </cell>
          <cell r="AR48">
            <v>4072330199172.4302</v>
          </cell>
          <cell r="AS48">
            <v>4627050524473.8096</v>
          </cell>
          <cell r="AT48">
            <v>5254084454224.6904</v>
          </cell>
          <cell r="AU48">
            <v>5965391259675.8398</v>
          </cell>
          <cell r="AV48">
            <v>6885560043737.3799</v>
          </cell>
          <cell r="AW48">
            <v>8150137801043.7598</v>
          </cell>
          <cell r="AX48">
            <v>9577022226860.4199</v>
          </cell>
          <cell r="AY48">
            <v>11613319990806</v>
          </cell>
          <cell r="AZ48">
            <v>13889052911136.301</v>
          </cell>
          <cell r="BA48">
            <v>16208974698512.4</v>
          </cell>
          <cell r="BB48">
            <v>17626147744796</v>
          </cell>
          <cell r="BC48">
            <v>19802010592707.602</v>
          </cell>
          <cell r="BD48">
            <v>21623524556480.801</v>
          </cell>
          <cell r="BE48">
            <v>23752868569291.199</v>
          </cell>
          <cell r="BF48">
            <v>25462954639352.699</v>
          </cell>
          <cell r="BG48">
            <v>28001327620471</v>
          </cell>
          <cell r="BH48">
            <v>30171918863718.398</v>
          </cell>
          <cell r="BI48">
            <v>32056288212048</v>
          </cell>
          <cell r="BJ48">
            <v>34343647497605.199</v>
          </cell>
          <cell r="BK48">
            <v>36014718708004</v>
          </cell>
          <cell r="BL48">
            <v>37629651104627.398</v>
          </cell>
          <cell r="BM48">
            <v>36174304618350.297</v>
          </cell>
          <cell r="BN48">
            <v>36174304618350.297</v>
          </cell>
        </row>
        <row r="49">
          <cell r="B49" t="str">
            <v>CIV</v>
          </cell>
          <cell r="C49" t="str">
            <v>GDP (current LCU)</v>
          </cell>
          <cell r="D49" t="str">
            <v>NY.GDP.MKTP.CN</v>
          </cell>
          <cell r="E49">
            <v>133926436900</v>
          </cell>
          <cell r="F49">
            <v>151630987300</v>
          </cell>
          <cell r="G49">
            <v>158103633900</v>
          </cell>
          <cell r="H49">
            <v>186469007400</v>
          </cell>
          <cell r="I49">
            <v>225685553200</v>
          </cell>
          <cell r="J49">
            <v>225399996400</v>
          </cell>
          <cell r="K49">
            <v>251599994900</v>
          </cell>
          <cell r="L49">
            <v>266400006100</v>
          </cell>
          <cell r="M49">
            <v>317200007200</v>
          </cell>
          <cell r="N49">
            <v>353900003300</v>
          </cell>
          <cell r="O49">
            <v>402300010500</v>
          </cell>
          <cell r="P49">
            <v>436200013800</v>
          </cell>
          <cell r="Q49">
            <v>466099994600</v>
          </cell>
          <cell r="R49">
            <v>559100002300</v>
          </cell>
          <cell r="S49">
            <v>738999992300</v>
          </cell>
          <cell r="T49">
            <v>834499969000</v>
          </cell>
          <cell r="U49">
            <v>1114000064500</v>
          </cell>
          <cell r="V49">
            <v>1539199991800</v>
          </cell>
          <cell r="W49">
            <v>1782800056300</v>
          </cell>
          <cell r="X49">
            <v>1944899944400</v>
          </cell>
          <cell r="Y49">
            <v>2149899960300</v>
          </cell>
          <cell r="Z49">
            <v>2291399917600</v>
          </cell>
          <cell r="AA49">
            <v>2486599942100</v>
          </cell>
          <cell r="AB49">
            <v>2605799964700</v>
          </cell>
          <cell r="AC49">
            <v>2989499875300</v>
          </cell>
          <cell r="AD49">
            <v>3134800003100</v>
          </cell>
          <cell r="AE49">
            <v>3171574087700</v>
          </cell>
          <cell r="AF49">
            <v>3031708991500</v>
          </cell>
          <cell r="AG49">
            <v>3054484062200</v>
          </cell>
          <cell r="AH49">
            <v>3112694972400</v>
          </cell>
          <cell r="AI49">
            <v>2939329970200</v>
          </cell>
          <cell r="AJ49">
            <v>2960043016200</v>
          </cell>
          <cell r="AK49">
            <v>2952100053000</v>
          </cell>
          <cell r="AL49">
            <v>3127745970200</v>
          </cell>
          <cell r="AM49">
            <v>4615726170100</v>
          </cell>
          <cell r="AN49">
            <v>5490705694700</v>
          </cell>
          <cell r="AO49">
            <v>9244342143428.5801</v>
          </cell>
          <cell r="AP49">
            <v>10533806865926.699</v>
          </cell>
          <cell r="AQ49">
            <v>11574650148039.301</v>
          </cell>
          <cell r="AR49">
            <v>11618853071085</v>
          </cell>
          <cell r="AS49">
            <v>11773496809253.6</v>
          </cell>
          <cell r="AT49">
            <v>12311998549428.5</v>
          </cell>
          <cell r="AU49">
            <v>12524564514707.301</v>
          </cell>
          <cell r="AV49">
            <v>12323837640441.801</v>
          </cell>
          <cell r="AW49">
            <v>12398020711077.699</v>
          </cell>
          <cell r="AX49">
            <v>12673666407069.6</v>
          </cell>
          <cell r="AY49">
            <v>13207658124852.199</v>
          </cell>
          <cell r="AZ49">
            <v>13765549262832.199</v>
          </cell>
          <cell r="BA49">
            <v>15198896568003.5</v>
          </cell>
          <cell r="BB49">
            <v>15936745397808.9</v>
          </cell>
          <cell r="BC49">
            <v>17286284723957.699</v>
          </cell>
          <cell r="BD49">
            <v>17291860797480.199</v>
          </cell>
          <cell r="BE49">
            <v>18534370817529.301</v>
          </cell>
          <cell r="BF49">
            <v>21119264227480.199</v>
          </cell>
          <cell r="BG49">
            <v>24116592040516.199</v>
          </cell>
          <cell r="BH49">
            <v>27086150000000</v>
          </cell>
          <cell r="BI49">
            <v>28423874000000</v>
          </cell>
          <cell r="BJ49">
            <v>29955010000000</v>
          </cell>
          <cell r="BK49">
            <v>32222266000000</v>
          </cell>
          <cell r="BL49">
            <v>34298893000000</v>
          </cell>
          <cell r="BM49">
            <v>35311383460000</v>
          </cell>
          <cell r="BN49">
            <v>35311383460000</v>
          </cell>
        </row>
        <row r="50">
          <cell r="B50" t="str">
            <v>HRV</v>
          </cell>
          <cell r="C50" t="str">
            <v>GDP (current LCU)</v>
          </cell>
          <cell r="D50" t="str">
            <v>NY.GDP.MKTP.CN</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v>118827514472.524</v>
          </cell>
          <cell r="AO50">
            <v>130828333579.42599</v>
          </cell>
          <cell r="AP50">
            <v>148415646641.47501</v>
          </cell>
          <cell r="AQ50">
            <v>164127442248.60001</v>
          </cell>
          <cell r="AR50">
            <v>168386921992.28699</v>
          </cell>
          <cell r="AS50">
            <v>180782421491.952</v>
          </cell>
          <cell r="AT50">
            <v>194138024424.65799</v>
          </cell>
          <cell r="AU50">
            <v>213122263459.78799</v>
          </cell>
          <cell r="AV50">
            <v>234578362577.94101</v>
          </cell>
          <cell r="AW50">
            <v>253193895564.353</v>
          </cell>
          <cell r="AX50">
            <v>272357477545.73999</v>
          </cell>
          <cell r="AY50">
            <v>296914766354.31299</v>
          </cell>
          <cell r="AZ50">
            <v>324783331361.70801</v>
          </cell>
          <cell r="BA50">
            <v>349157251572.34601</v>
          </cell>
          <cell r="BB50">
            <v>333332500612.49701</v>
          </cell>
          <cell r="BC50">
            <v>332222889930.57001</v>
          </cell>
          <cell r="BD50">
            <v>337571775552.57001</v>
          </cell>
          <cell r="BE50">
            <v>334591920132.84698</v>
          </cell>
          <cell r="BF50">
            <v>335955157735.92401</v>
          </cell>
          <cell r="BG50">
            <v>335292154325.50403</v>
          </cell>
          <cell r="BH50">
            <v>344034413862.49103</v>
          </cell>
          <cell r="BI50">
            <v>355920333457.01501</v>
          </cell>
          <cell r="BJ50">
            <v>372354867066.03302</v>
          </cell>
          <cell r="BK50">
            <v>390855978562.49902</v>
          </cell>
          <cell r="BL50">
            <v>412228312946</v>
          </cell>
          <cell r="BM50">
            <v>378348996914.78101</v>
          </cell>
          <cell r="BN50">
            <v>378348996914.78101</v>
          </cell>
        </row>
        <row r="51">
          <cell r="B51" t="str">
            <v>CUB</v>
          </cell>
          <cell r="C51" t="str">
            <v>GDP (current LCU)</v>
          </cell>
          <cell r="D51" t="str">
            <v>NY.GDP.MKTP.CN</v>
          </cell>
          <cell r="E51" t="str">
            <v>..</v>
          </cell>
          <cell r="F51" t="str">
            <v>..</v>
          </cell>
          <cell r="G51" t="str">
            <v>..</v>
          </cell>
          <cell r="H51" t="str">
            <v>..</v>
          </cell>
          <cell r="I51" t="str">
            <v>..</v>
          </cell>
          <cell r="J51" t="str">
            <v>..</v>
          </cell>
          <cell r="K51" t="str">
            <v>..</v>
          </cell>
          <cell r="L51" t="str">
            <v>..</v>
          </cell>
          <cell r="M51" t="str">
            <v>..</v>
          </cell>
          <cell r="N51" t="str">
            <v>..</v>
          </cell>
          <cell r="O51">
            <v>5693005200</v>
          </cell>
          <cell r="P51">
            <v>6914658400</v>
          </cell>
          <cell r="Q51">
            <v>7752798800</v>
          </cell>
          <cell r="R51">
            <v>8279811300</v>
          </cell>
          <cell r="S51">
            <v>9352885000</v>
          </cell>
          <cell r="T51">
            <v>10682480500</v>
          </cell>
          <cell r="U51">
            <v>11321245100</v>
          </cell>
          <cell r="V51">
            <v>11791111700</v>
          </cell>
          <cell r="W51">
            <v>13740423100</v>
          </cell>
          <cell r="X51">
            <v>14296643600</v>
          </cell>
          <cell r="Y51">
            <v>14337280700</v>
          </cell>
          <cell r="Z51">
            <v>16724710900</v>
          </cell>
          <cell r="AA51">
            <v>17810483700</v>
          </cell>
          <cell r="AB51">
            <v>19074043900</v>
          </cell>
          <cell r="AC51">
            <v>21118598500</v>
          </cell>
          <cell r="AD51">
            <v>20992877500</v>
          </cell>
          <cell r="AE51">
            <v>20190427300</v>
          </cell>
          <cell r="AF51">
            <v>19825717100</v>
          </cell>
          <cell r="AG51">
            <v>20813921600</v>
          </cell>
          <cell r="AH51">
            <v>21086412600</v>
          </cell>
          <cell r="AI51">
            <v>21541368300</v>
          </cell>
          <cell r="AJ51">
            <v>17816740600</v>
          </cell>
          <cell r="AK51">
            <v>16343535100</v>
          </cell>
          <cell r="AL51">
            <v>16551768600</v>
          </cell>
          <cell r="AM51">
            <v>21051761800</v>
          </cell>
          <cell r="AN51">
            <v>23835665200</v>
          </cell>
          <cell r="AO51">
            <v>25017368700</v>
          </cell>
          <cell r="AP51">
            <v>25365908100</v>
          </cell>
          <cell r="AQ51">
            <v>25736331200</v>
          </cell>
          <cell r="AR51">
            <v>28364615200</v>
          </cell>
          <cell r="AS51">
            <v>30565400000</v>
          </cell>
          <cell r="AT51">
            <v>31682400000</v>
          </cell>
          <cell r="AU51">
            <v>33590500000</v>
          </cell>
          <cell r="AV51">
            <v>35901200000</v>
          </cell>
          <cell r="AW51">
            <v>38203000000</v>
          </cell>
          <cell r="AX51">
            <v>42643836100</v>
          </cell>
          <cell r="AY51">
            <v>52742800000</v>
          </cell>
          <cell r="AZ51">
            <v>58603900000</v>
          </cell>
          <cell r="BA51">
            <v>60806300000</v>
          </cell>
          <cell r="BB51">
            <v>62080000000</v>
          </cell>
          <cell r="BC51">
            <v>64328000000</v>
          </cell>
          <cell r="BD51">
            <v>68990000000</v>
          </cell>
          <cell r="BE51">
            <v>73141000000</v>
          </cell>
          <cell r="BF51">
            <v>77148000000</v>
          </cell>
          <cell r="BG51">
            <v>80656000000</v>
          </cell>
          <cell r="BH51">
            <v>87133000000</v>
          </cell>
          <cell r="BI51">
            <v>91370000000</v>
          </cell>
          <cell r="BJ51">
            <v>96851000000</v>
          </cell>
          <cell r="BK51">
            <v>100050000000</v>
          </cell>
          <cell r="BL51">
            <v>103428000000</v>
          </cell>
          <cell r="BM51">
            <v>107352000000</v>
          </cell>
          <cell r="BN51">
            <v>107352000000</v>
          </cell>
        </row>
        <row r="52">
          <cell r="B52" t="str">
            <v>CUW</v>
          </cell>
          <cell r="C52" t="str">
            <v>GDP (current LCU)</v>
          </cell>
          <cell r="D52" t="str">
            <v>NY.GDP.MKTP.CN</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v>3795715100</v>
          </cell>
          <cell r="AT52">
            <v>3836776800</v>
          </cell>
          <cell r="AU52">
            <v>3867804600</v>
          </cell>
          <cell r="AV52">
            <v>3941790100</v>
          </cell>
          <cell r="AW52">
            <v>4004517300</v>
          </cell>
          <cell r="AX52">
            <v>4196900700</v>
          </cell>
          <cell r="AY52">
            <v>4399071300</v>
          </cell>
          <cell r="AZ52">
            <v>4642958400</v>
          </cell>
          <cell r="BA52">
            <v>5071922300</v>
          </cell>
          <cell r="BB52">
            <v>5135784200</v>
          </cell>
          <cell r="BC52">
            <v>5282903600</v>
          </cell>
          <cell r="BD52">
            <v>5439272300</v>
          </cell>
          <cell r="BE52">
            <v>5604662000</v>
          </cell>
          <cell r="BF52">
            <v>5634233000</v>
          </cell>
          <cell r="BG52">
            <v>5653546800</v>
          </cell>
          <cell r="BH52">
            <v>5641920300</v>
          </cell>
          <cell r="BI52">
            <v>5588895400</v>
          </cell>
          <cell r="BJ52">
            <v>5578732100</v>
          </cell>
          <cell r="BK52">
            <v>5598955400</v>
          </cell>
          <cell r="BL52">
            <v>5552200000</v>
          </cell>
          <cell r="BM52">
            <v>4646520858.7755003</v>
          </cell>
          <cell r="BN52">
            <v>4646520858.7755003</v>
          </cell>
        </row>
        <row r="53">
          <cell r="B53" t="str">
            <v>CYP</v>
          </cell>
          <cell r="C53" t="str">
            <v>GDP (current LCU)</v>
          </cell>
          <cell r="D53" t="str">
            <v>NY.GDP.MKTP.CN</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v>439110600</v>
          </cell>
          <cell r="U53">
            <v>570502000</v>
          </cell>
          <cell r="V53">
            <v>722909300</v>
          </cell>
          <cell r="W53">
            <v>865406600</v>
          </cell>
          <cell r="X53">
            <v>1076077200</v>
          </cell>
          <cell r="Y53">
            <v>1299049700</v>
          </cell>
          <cell r="Z53">
            <v>1496734900</v>
          </cell>
          <cell r="AA53">
            <v>1751145600</v>
          </cell>
          <cell r="AB53">
            <v>1942167300</v>
          </cell>
          <cell r="AC53">
            <v>2285083700</v>
          </cell>
          <cell r="AD53">
            <v>2532489200</v>
          </cell>
          <cell r="AE53">
            <v>2735300000</v>
          </cell>
          <cell r="AF53">
            <v>3041652200</v>
          </cell>
          <cell r="AG53">
            <v>3410197700</v>
          </cell>
          <cell r="AH53">
            <v>3856142800</v>
          </cell>
          <cell r="AI53">
            <v>4366672700</v>
          </cell>
          <cell r="AJ53">
            <v>4569996300</v>
          </cell>
          <cell r="AK53">
            <v>5301619400</v>
          </cell>
          <cell r="AL53">
            <v>5595157100</v>
          </cell>
          <cell r="AM53">
            <v>6237591300</v>
          </cell>
          <cell r="AN53">
            <v>7678312000</v>
          </cell>
          <cell r="AO53">
            <v>7979499000</v>
          </cell>
          <cell r="AP53">
            <v>8373437000</v>
          </cell>
          <cell r="AQ53">
            <v>9059778000</v>
          </cell>
          <cell r="AR53">
            <v>9731561000</v>
          </cell>
          <cell r="AS53">
            <v>10594981000</v>
          </cell>
          <cell r="AT53">
            <v>11416891000</v>
          </cell>
          <cell r="AU53">
            <v>11877037000</v>
          </cell>
          <cell r="AV53">
            <v>12845288000</v>
          </cell>
          <cell r="AW53">
            <v>13856442000</v>
          </cell>
          <cell r="AX53">
            <v>14822306000</v>
          </cell>
          <cell r="AY53">
            <v>16000018000</v>
          </cell>
          <cell r="AZ53">
            <v>17511579000</v>
          </cell>
          <cell r="BA53">
            <v>19009576000</v>
          </cell>
          <cell r="BB53">
            <v>18675493000</v>
          </cell>
          <cell r="BC53">
            <v>19409974000</v>
          </cell>
          <cell r="BD53">
            <v>19803033000</v>
          </cell>
          <cell r="BE53">
            <v>19440777000</v>
          </cell>
          <cell r="BF53">
            <v>17994967000</v>
          </cell>
          <cell r="BG53">
            <v>17430161000</v>
          </cell>
          <cell r="BH53">
            <v>17883959000</v>
          </cell>
          <cell r="BI53">
            <v>18929340000</v>
          </cell>
          <cell r="BJ53">
            <v>20245262000</v>
          </cell>
          <cell r="BK53">
            <v>21612598000</v>
          </cell>
          <cell r="BL53">
            <v>23009941000</v>
          </cell>
          <cell r="BM53">
            <v>21548372000</v>
          </cell>
          <cell r="BN53">
            <v>21548372000</v>
          </cell>
        </row>
        <row r="54">
          <cell r="B54" t="str">
            <v>CZE</v>
          </cell>
          <cell r="C54" t="str">
            <v>GDP (current LCU)</v>
          </cell>
          <cell r="D54" t="str">
            <v>NY.GDP.MKTP.CN</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v>731206852000</v>
          </cell>
          <cell r="AJ54">
            <v>880180896000</v>
          </cell>
          <cell r="AK54">
            <v>983937724000</v>
          </cell>
          <cell r="AL54">
            <v>1191388325000</v>
          </cell>
          <cell r="AM54">
            <v>1377368118000</v>
          </cell>
          <cell r="AN54">
            <v>1596306000000</v>
          </cell>
          <cell r="AO54">
            <v>1829255000000</v>
          </cell>
          <cell r="AP54">
            <v>1971024000000</v>
          </cell>
          <cell r="AQ54">
            <v>2156624000000</v>
          </cell>
          <cell r="AR54">
            <v>2252983000000</v>
          </cell>
          <cell r="AS54">
            <v>2386289000000</v>
          </cell>
          <cell r="AT54">
            <v>2579126000000</v>
          </cell>
          <cell r="AU54">
            <v>2690982000000</v>
          </cell>
          <cell r="AV54">
            <v>2823452000000</v>
          </cell>
          <cell r="AW54">
            <v>3079207000000</v>
          </cell>
          <cell r="AX54">
            <v>3285601000000</v>
          </cell>
          <cell r="AY54">
            <v>3530881000000</v>
          </cell>
          <cell r="AZ54">
            <v>3859533000000</v>
          </cell>
          <cell r="BA54">
            <v>4042860000000</v>
          </cell>
          <cell r="BB54">
            <v>3954320000000</v>
          </cell>
          <cell r="BC54">
            <v>3992870000000</v>
          </cell>
          <cell r="BD54">
            <v>4062323000000</v>
          </cell>
          <cell r="BE54">
            <v>4088912000000</v>
          </cell>
          <cell r="BF54">
            <v>4142811000000</v>
          </cell>
          <cell r="BG54">
            <v>4345766000000</v>
          </cell>
          <cell r="BH54">
            <v>4625378000000</v>
          </cell>
          <cell r="BI54">
            <v>4796873000000</v>
          </cell>
          <cell r="BJ54">
            <v>5110743000000</v>
          </cell>
          <cell r="BK54">
            <v>5409665000000</v>
          </cell>
          <cell r="BL54">
            <v>5790348000000</v>
          </cell>
          <cell r="BM54">
            <v>5694387000000</v>
          </cell>
          <cell r="BN54">
            <v>5694387000000</v>
          </cell>
        </row>
        <row r="55">
          <cell r="B55" t="str">
            <v>DNK</v>
          </cell>
          <cell r="C55" t="str">
            <v>GDP (current LCU)</v>
          </cell>
          <cell r="D55" t="str">
            <v>NY.GDP.MKTP.CN</v>
          </cell>
          <cell r="E55" t="str">
            <v>..</v>
          </cell>
          <cell r="F55" t="str">
            <v>..</v>
          </cell>
          <cell r="G55" t="str">
            <v>..</v>
          </cell>
          <cell r="H55" t="str">
            <v>..</v>
          </cell>
          <cell r="I55" t="str">
            <v>..</v>
          </cell>
          <cell r="J55" t="str">
            <v>..</v>
          </cell>
          <cell r="K55">
            <v>82414195000</v>
          </cell>
          <cell r="L55">
            <v>90845930000</v>
          </cell>
          <cell r="M55">
            <v>101291804000</v>
          </cell>
          <cell r="N55">
            <v>115611767000</v>
          </cell>
          <cell r="O55">
            <v>128065932000</v>
          </cell>
          <cell r="P55">
            <v>141736366000</v>
          </cell>
          <cell r="Q55">
            <v>161448778000</v>
          </cell>
          <cell r="R55">
            <v>185904926000</v>
          </cell>
          <cell r="S55">
            <v>208204495000</v>
          </cell>
          <cell r="T55">
            <v>232574033000</v>
          </cell>
          <cell r="U55">
            <v>269461270000</v>
          </cell>
          <cell r="V55">
            <v>298865341000</v>
          </cell>
          <cell r="W55">
            <v>332877424000</v>
          </cell>
          <cell r="X55">
            <v>370196799000</v>
          </cell>
          <cell r="Y55">
            <v>400867639000</v>
          </cell>
          <cell r="Z55">
            <v>440780420000</v>
          </cell>
          <cell r="AA55">
            <v>503383987000</v>
          </cell>
          <cell r="AB55">
            <v>554596533000</v>
          </cell>
          <cell r="AC55">
            <v>612129296000</v>
          </cell>
          <cell r="AD55">
            <v>663955253000</v>
          </cell>
          <cell r="AE55">
            <v>712645248000</v>
          </cell>
          <cell r="AF55">
            <v>748427484000</v>
          </cell>
          <cell r="AG55">
            <v>777843987000</v>
          </cell>
          <cell r="AH55">
            <v>821733896000</v>
          </cell>
          <cell r="AI55">
            <v>855557153000</v>
          </cell>
          <cell r="AJ55">
            <v>890550722000</v>
          </cell>
          <cell r="AK55">
            <v>923014182000</v>
          </cell>
          <cell r="AL55">
            <v>928466126000</v>
          </cell>
          <cell r="AM55">
            <v>993286477000</v>
          </cell>
          <cell r="AN55">
            <v>1036482553000</v>
          </cell>
          <cell r="AO55">
            <v>1088023687000</v>
          </cell>
          <cell r="AP55">
            <v>1146129390000</v>
          </cell>
          <cell r="AQ55">
            <v>1185987558000</v>
          </cell>
          <cell r="AR55">
            <v>1241520747000</v>
          </cell>
          <cell r="AS55">
            <v>1326911504000</v>
          </cell>
          <cell r="AT55">
            <v>1371526218000</v>
          </cell>
          <cell r="AU55">
            <v>1410271027000</v>
          </cell>
          <cell r="AV55">
            <v>1436751240000</v>
          </cell>
          <cell r="AW55">
            <v>1506000798000</v>
          </cell>
          <cell r="AX55">
            <v>1585984170000</v>
          </cell>
          <cell r="AY55">
            <v>1682260207000</v>
          </cell>
          <cell r="AZ55">
            <v>1738845296000</v>
          </cell>
          <cell r="BA55">
            <v>1801469912000</v>
          </cell>
          <cell r="BB55">
            <v>1722142505000</v>
          </cell>
          <cell r="BC55">
            <v>1810925601000</v>
          </cell>
          <cell r="BD55">
            <v>1846853613000</v>
          </cell>
          <cell r="BE55">
            <v>1895002254000</v>
          </cell>
          <cell r="BF55">
            <v>1929677034000</v>
          </cell>
          <cell r="BG55">
            <v>1981164991000</v>
          </cell>
          <cell r="BH55">
            <v>2036356221000</v>
          </cell>
          <cell r="BI55">
            <v>2107808218000</v>
          </cell>
          <cell r="BJ55">
            <v>2192960002000</v>
          </cell>
          <cell r="BK55">
            <v>2253316249000</v>
          </cell>
          <cell r="BL55">
            <v>2318041864000</v>
          </cell>
          <cell r="BM55">
            <v>2329561402000</v>
          </cell>
          <cell r="BN55">
            <v>2329561402000</v>
          </cell>
        </row>
        <row r="56">
          <cell r="B56" t="str">
            <v>DJI</v>
          </cell>
          <cell r="C56" t="str">
            <v>GDP (current LCU)</v>
          </cell>
          <cell r="D56" t="str">
            <v>NY.GDP.MKTP.CN</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v>60600999900</v>
          </cell>
          <cell r="AE56" t="str">
            <v>..</v>
          </cell>
          <cell r="AF56">
            <v>66355998700</v>
          </cell>
          <cell r="AG56">
            <v>70341001200</v>
          </cell>
          <cell r="AH56">
            <v>72727003100</v>
          </cell>
          <cell r="AI56">
            <v>80388200000</v>
          </cell>
          <cell r="AJ56">
            <v>82182100000</v>
          </cell>
          <cell r="AK56">
            <v>84961000000</v>
          </cell>
          <cell r="AL56">
            <v>82826600000</v>
          </cell>
          <cell r="AM56">
            <v>87383500000</v>
          </cell>
          <cell r="AN56">
            <v>88456000000</v>
          </cell>
          <cell r="AO56">
            <v>87795000000</v>
          </cell>
          <cell r="AP56">
            <v>89336000000</v>
          </cell>
          <cell r="AQ56">
            <v>91396200000</v>
          </cell>
          <cell r="AR56">
            <v>95272700000</v>
          </cell>
          <cell r="AS56">
            <v>97965300000</v>
          </cell>
          <cell r="AT56">
            <v>101730600000</v>
          </cell>
          <cell r="AU56">
            <v>105054800000</v>
          </cell>
          <cell r="AV56">
            <v>110550400000</v>
          </cell>
          <cell r="AW56">
            <v>118375000000</v>
          </cell>
          <cell r="AX56">
            <v>125939000000</v>
          </cell>
          <cell r="AY56">
            <v>136645000000</v>
          </cell>
          <cell r="AZ56">
            <v>150693000000</v>
          </cell>
          <cell r="BA56">
            <v>177562000000</v>
          </cell>
          <cell r="BB56">
            <v>186449000000</v>
          </cell>
          <cell r="BC56">
            <v>200578000000</v>
          </cell>
          <cell r="BD56">
            <v>220222000000</v>
          </cell>
          <cell r="BE56">
            <v>240569000000</v>
          </cell>
          <cell r="BF56">
            <v>363051509000</v>
          </cell>
          <cell r="BG56">
            <v>393594981000</v>
          </cell>
          <cell r="BH56">
            <v>431910777500</v>
          </cell>
          <cell r="BI56">
            <v>462703778000</v>
          </cell>
          <cell r="BJ56">
            <v>488989658800</v>
          </cell>
          <cell r="BK56">
            <v>535438443200</v>
          </cell>
          <cell r="BL56">
            <v>590854000000</v>
          </cell>
          <cell r="BM56">
            <v>601476325100</v>
          </cell>
          <cell r="BN56">
            <v>601476325100</v>
          </cell>
        </row>
        <row r="57">
          <cell r="B57" t="str">
            <v>DMA</v>
          </cell>
          <cell r="C57" t="str">
            <v>GDP (current LCU)</v>
          </cell>
          <cell r="D57" t="str">
            <v>NY.GDP.MKTP.CN</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v>123856958</v>
          </cell>
          <cell r="W57">
            <v>154251582</v>
          </cell>
          <cell r="X57">
            <v>148547949</v>
          </cell>
          <cell r="Y57">
            <v>196572564</v>
          </cell>
          <cell r="Z57">
            <v>221689956</v>
          </cell>
          <cell r="AA57">
            <v>241724457</v>
          </cell>
          <cell r="AB57">
            <v>266396017</v>
          </cell>
          <cell r="AC57">
            <v>294724091</v>
          </cell>
          <cell r="AD57">
            <v>322628219</v>
          </cell>
          <cell r="AE57">
            <v>364937288</v>
          </cell>
          <cell r="AF57">
            <v>410045637</v>
          </cell>
          <cell r="AG57">
            <v>461986697</v>
          </cell>
          <cell r="AH57">
            <v>499870556</v>
          </cell>
          <cell r="AI57">
            <v>543860000</v>
          </cell>
          <cell r="AJ57">
            <v>593360000</v>
          </cell>
          <cell r="AK57">
            <v>631960000</v>
          </cell>
          <cell r="AL57">
            <v>662920000</v>
          </cell>
          <cell r="AM57">
            <v>713810000</v>
          </cell>
          <cell r="AN57">
            <v>741210000</v>
          </cell>
          <cell r="AO57">
            <v>789170000</v>
          </cell>
          <cell r="AP57">
            <v>818070000</v>
          </cell>
          <cell r="AQ57">
            <v>870510000</v>
          </cell>
          <cell r="AR57">
            <v>895750000</v>
          </cell>
          <cell r="AS57">
            <v>900370000</v>
          </cell>
          <cell r="AT57">
            <v>918550000</v>
          </cell>
          <cell r="AU57">
            <v>899630000</v>
          </cell>
          <cell r="AV57">
            <v>926940000</v>
          </cell>
          <cell r="AW57">
            <v>991440000</v>
          </cell>
          <cell r="AX57">
            <v>983490000</v>
          </cell>
          <cell r="AY57">
            <v>1053680000</v>
          </cell>
          <cell r="AZ57">
            <v>1137710000</v>
          </cell>
          <cell r="BA57">
            <v>1237110000</v>
          </cell>
          <cell r="BB57">
            <v>1320500000</v>
          </cell>
          <cell r="BC57">
            <v>1333330000</v>
          </cell>
          <cell r="BD57">
            <v>1352770000</v>
          </cell>
          <cell r="BE57">
            <v>1312190000</v>
          </cell>
          <cell r="BF57">
            <v>1345400000</v>
          </cell>
          <cell r="BG57">
            <v>1404560000</v>
          </cell>
          <cell r="BH57">
            <v>1459990000</v>
          </cell>
          <cell r="BI57">
            <v>1555820000</v>
          </cell>
          <cell r="BJ57">
            <v>1403560000</v>
          </cell>
          <cell r="BK57">
            <v>1486680000</v>
          </cell>
          <cell r="BL57">
            <v>1651150000</v>
          </cell>
          <cell r="BM57">
            <v>1361380000</v>
          </cell>
          <cell r="BN57">
            <v>1361380000</v>
          </cell>
        </row>
        <row r="58">
          <cell r="B58" t="str">
            <v>DOM</v>
          </cell>
          <cell r="C58" t="str">
            <v>GDP (current LCU)</v>
          </cell>
          <cell r="D58" t="str">
            <v>NY.GDP.MKTP.CN</v>
          </cell>
          <cell r="E58">
            <v>672399700</v>
          </cell>
          <cell r="F58">
            <v>654100200</v>
          </cell>
          <cell r="G58">
            <v>824100000</v>
          </cell>
          <cell r="H58">
            <v>940799900</v>
          </cell>
          <cell r="I58">
            <v>1025599900</v>
          </cell>
          <cell r="J58">
            <v>888100000</v>
          </cell>
          <cell r="K58">
            <v>983900000</v>
          </cell>
          <cell r="L58">
            <v>1034800000</v>
          </cell>
          <cell r="M58">
            <v>1079100000</v>
          </cell>
          <cell r="N58">
            <v>1230500000</v>
          </cell>
          <cell r="O58">
            <v>1485500000</v>
          </cell>
          <cell r="P58">
            <v>1666500000</v>
          </cell>
          <cell r="Q58">
            <v>1987400000</v>
          </cell>
          <cell r="R58">
            <v>2344800000</v>
          </cell>
          <cell r="S58">
            <v>2925700000</v>
          </cell>
          <cell r="T58">
            <v>3599200000</v>
          </cell>
          <cell r="U58">
            <v>3951500000</v>
          </cell>
          <cell r="V58">
            <v>4587100000</v>
          </cell>
          <cell r="W58">
            <v>4734400000</v>
          </cell>
          <cell r="X58">
            <v>5498800000</v>
          </cell>
          <cell r="Y58">
            <v>6761300000</v>
          </cell>
          <cell r="Z58">
            <v>7561300000</v>
          </cell>
          <cell r="AA58">
            <v>8267400000</v>
          </cell>
          <cell r="AB58">
            <v>9220600000</v>
          </cell>
          <cell r="AC58">
            <v>11594000000</v>
          </cell>
          <cell r="AD58">
            <v>15701800000</v>
          </cell>
          <cell r="AE58">
            <v>17780700000</v>
          </cell>
          <cell r="AF58">
            <v>22403600000</v>
          </cell>
          <cell r="AG58">
            <v>32850500000</v>
          </cell>
          <cell r="AH58">
            <v>42393000000</v>
          </cell>
          <cell r="AI58">
            <v>60305206122.155602</v>
          </cell>
          <cell r="AJ58">
            <v>123551906700</v>
          </cell>
          <cell r="AK58">
            <v>145067281300</v>
          </cell>
          <cell r="AL58">
            <v>163513030000</v>
          </cell>
          <cell r="AM58">
            <v>184769394600</v>
          </cell>
          <cell r="AN58">
            <v>214122962700</v>
          </cell>
          <cell r="AO58">
            <v>235250330700</v>
          </cell>
          <cell r="AP58">
            <v>280362823900</v>
          </cell>
          <cell r="AQ58">
            <v>318648990800</v>
          </cell>
          <cell r="AR58">
            <v>350520116900</v>
          </cell>
          <cell r="AS58">
            <v>393302968400</v>
          </cell>
          <cell r="AT58">
            <v>427319066300</v>
          </cell>
          <cell r="AU58">
            <v>477430189800</v>
          </cell>
          <cell r="AV58">
            <v>628611039700</v>
          </cell>
          <cell r="AW58">
            <v>935984734500</v>
          </cell>
          <cell r="AX58">
            <v>1083445000900</v>
          </cell>
          <cell r="AY58">
            <v>1261399667600</v>
          </cell>
          <cell r="AZ58">
            <v>1458416518100</v>
          </cell>
          <cell r="BA58">
            <v>1661642680500</v>
          </cell>
          <cell r="BB58">
            <v>1736041063700</v>
          </cell>
          <cell r="BC58">
            <v>1983201682200</v>
          </cell>
          <cell r="BD58">
            <v>2210213934500</v>
          </cell>
          <cell r="BE58">
            <v>2386016247000</v>
          </cell>
          <cell r="BF58">
            <v>2619769696500</v>
          </cell>
          <cell r="BG58">
            <v>2925665101900</v>
          </cell>
          <cell r="BH58">
            <v>3205655136100</v>
          </cell>
          <cell r="BI58">
            <v>3487292512700</v>
          </cell>
          <cell r="BJ58">
            <v>3802655772400</v>
          </cell>
          <cell r="BK58">
            <v>4235846766900</v>
          </cell>
          <cell r="BL58">
            <v>4562235075700</v>
          </cell>
          <cell r="BM58">
            <v>4456657376800</v>
          </cell>
          <cell r="BN58">
            <v>4456657376800</v>
          </cell>
        </row>
        <row r="59">
          <cell r="B59" t="str">
            <v>ECU</v>
          </cell>
          <cell r="C59" t="str">
            <v>GDP (current LCU)</v>
          </cell>
          <cell r="D59" t="str">
            <v>NY.GDP.MKTP.CN</v>
          </cell>
          <cell r="E59">
            <v>1723727707.4962201</v>
          </cell>
          <cell r="F59">
            <v>1606925598.7567101</v>
          </cell>
          <cell r="G59">
            <v>1517480482.39083</v>
          </cell>
          <cell r="H59">
            <v>1823470009.6882501</v>
          </cell>
          <cell r="I59">
            <v>2243071157.1957998</v>
          </cell>
          <cell r="J59">
            <v>2385904000</v>
          </cell>
          <cell r="K59">
            <v>2428145000</v>
          </cell>
          <cell r="L59">
            <v>2552372000</v>
          </cell>
          <cell r="M59">
            <v>2580943000</v>
          </cell>
          <cell r="N59">
            <v>3110675000</v>
          </cell>
          <cell r="O59">
            <v>2861132000</v>
          </cell>
          <cell r="P59">
            <v>2752900000</v>
          </cell>
          <cell r="Q59">
            <v>3184460000</v>
          </cell>
          <cell r="R59">
            <v>3889890000</v>
          </cell>
          <cell r="S59">
            <v>6596096000</v>
          </cell>
          <cell r="T59">
            <v>7727971000</v>
          </cell>
          <cell r="U59">
            <v>9087566000</v>
          </cell>
          <cell r="V59">
            <v>11021061000</v>
          </cell>
          <cell r="W59">
            <v>11916787000</v>
          </cell>
          <cell r="X59">
            <v>14168371000</v>
          </cell>
          <cell r="Y59">
            <v>17872943000</v>
          </cell>
          <cell r="Z59">
            <v>21800312000</v>
          </cell>
          <cell r="AA59">
            <v>19920300000</v>
          </cell>
          <cell r="AB59">
            <v>17144261000</v>
          </cell>
          <cell r="AC59">
            <v>16904408000</v>
          </cell>
          <cell r="AD59">
            <v>17140874000</v>
          </cell>
          <cell r="AE59">
            <v>15306803000</v>
          </cell>
          <cell r="AF59">
            <v>13938747000</v>
          </cell>
          <cell r="AG59">
            <v>13045630000</v>
          </cell>
          <cell r="AH59">
            <v>13884170000</v>
          </cell>
          <cell r="AI59">
            <v>15231973000</v>
          </cell>
          <cell r="AJ59">
            <v>16980041000</v>
          </cell>
          <cell r="AK59">
            <v>18085191000</v>
          </cell>
          <cell r="AL59">
            <v>18929248000</v>
          </cell>
          <cell r="AM59">
            <v>22697319000</v>
          </cell>
          <cell r="AN59">
            <v>24420668000</v>
          </cell>
          <cell r="AO59">
            <v>25213780000</v>
          </cell>
          <cell r="AP59">
            <v>28147972000</v>
          </cell>
          <cell r="AQ59">
            <v>27967906000</v>
          </cell>
          <cell r="AR59">
            <v>19635450000</v>
          </cell>
          <cell r="AS59">
            <v>18318601000</v>
          </cell>
          <cell r="AT59">
            <v>24468324000</v>
          </cell>
          <cell r="AU59">
            <v>28548945000</v>
          </cell>
          <cell r="AV59">
            <v>32432858000</v>
          </cell>
          <cell r="AW59">
            <v>36591661000</v>
          </cell>
          <cell r="AX59">
            <v>41507085000</v>
          </cell>
          <cell r="AY59">
            <v>46802044000</v>
          </cell>
          <cell r="AZ59">
            <v>51007777000</v>
          </cell>
          <cell r="BA59">
            <v>61762635000</v>
          </cell>
          <cell r="BB59">
            <v>62519686000</v>
          </cell>
          <cell r="BC59">
            <v>69555367000</v>
          </cell>
          <cell r="BD59">
            <v>79276664000</v>
          </cell>
          <cell r="BE59">
            <v>87924544000</v>
          </cell>
          <cell r="BF59">
            <v>95129659000</v>
          </cell>
          <cell r="BG59">
            <v>101726331000</v>
          </cell>
          <cell r="BH59">
            <v>99290381000</v>
          </cell>
          <cell r="BI59">
            <v>99937696000</v>
          </cell>
          <cell r="BJ59">
            <v>104295862000</v>
          </cell>
          <cell r="BK59">
            <v>107562008000</v>
          </cell>
          <cell r="BL59">
            <v>108108009000</v>
          </cell>
          <cell r="BM59">
            <v>98808010000</v>
          </cell>
          <cell r="BN59">
            <v>98808010000</v>
          </cell>
        </row>
        <row r="60">
          <cell r="B60" t="str">
            <v>EGY</v>
          </cell>
          <cell r="C60" t="str">
            <v>GDP (current LCU)</v>
          </cell>
          <cell r="D60" t="str">
            <v>NY.GDP.MKTP.CN</v>
          </cell>
          <cell r="E60">
            <v>1464800000</v>
          </cell>
          <cell r="F60">
            <v>1565200000</v>
          </cell>
          <cell r="G60">
            <v>1632300000</v>
          </cell>
          <cell r="H60">
            <v>1820500000</v>
          </cell>
          <cell r="I60">
            <v>2047500000</v>
          </cell>
          <cell r="J60">
            <v>2265500000</v>
          </cell>
          <cell r="K60">
            <v>2445300000</v>
          </cell>
          <cell r="L60">
            <v>2534800000</v>
          </cell>
          <cell r="M60">
            <v>2539000000</v>
          </cell>
          <cell r="N60">
            <v>2694600000</v>
          </cell>
          <cell r="O60">
            <v>3201600000</v>
          </cell>
          <cell r="P60">
            <v>3375700000</v>
          </cell>
          <cell r="Q60">
            <v>3597100000</v>
          </cell>
          <cell r="R60">
            <v>3997000000</v>
          </cell>
          <cell r="S60">
            <v>4441900000</v>
          </cell>
          <cell r="T60">
            <v>5306600000</v>
          </cell>
          <cell r="U60">
            <v>6704600000</v>
          </cell>
          <cell r="V60">
            <v>8209900000</v>
          </cell>
          <cell r="W60">
            <v>9769800000</v>
          </cell>
          <cell r="X60">
            <v>12614400000</v>
          </cell>
          <cell r="Y60">
            <v>15602333887.487801</v>
          </cell>
          <cell r="Z60">
            <v>16380700000</v>
          </cell>
          <cell r="AA60">
            <v>22456000000</v>
          </cell>
          <cell r="AB60">
            <v>26600000000</v>
          </cell>
          <cell r="AC60">
            <v>31600000000</v>
          </cell>
          <cell r="AD60">
            <v>37300000000</v>
          </cell>
          <cell r="AE60">
            <v>44100000000</v>
          </cell>
          <cell r="AF60">
            <v>51500000000</v>
          </cell>
          <cell r="AG60">
            <v>61600000000</v>
          </cell>
          <cell r="AH60">
            <v>77000000000</v>
          </cell>
          <cell r="AI60">
            <v>95800000000</v>
          </cell>
          <cell r="AJ60">
            <v>112500000000</v>
          </cell>
          <cell r="AK60">
            <v>139100000000</v>
          </cell>
          <cell r="AL60">
            <v>155200000000</v>
          </cell>
          <cell r="AM60">
            <v>175000000000</v>
          </cell>
          <cell r="AN60">
            <v>204000000000</v>
          </cell>
          <cell r="AO60">
            <v>229400000000</v>
          </cell>
          <cell r="AP60">
            <v>265900000000</v>
          </cell>
          <cell r="AQ60">
            <v>287400000000</v>
          </cell>
          <cell r="AR60">
            <v>307600000000</v>
          </cell>
          <cell r="AS60">
            <v>340100000000</v>
          </cell>
          <cell r="AT60">
            <v>358700000000</v>
          </cell>
          <cell r="AU60">
            <v>378900000000</v>
          </cell>
          <cell r="AV60">
            <v>417500000000</v>
          </cell>
          <cell r="AW60">
            <v>485300000000</v>
          </cell>
          <cell r="AX60">
            <v>538500000000</v>
          </cell>
          <cell r="AY60">
            <v>617700000000</v>
          </cell>
          <cell r="AZ60">
            <v>744800000000</v>
          </cell>
          <cell r="BA60">
            <v>895500000000</v>
          </cell>
          <cell r="BB60">
            <v>1042200000000</v>
          </cell>
          <cell r="BC60">
            <v>1206600000000</v>
          </cell>
          <cell r="BD60">
            <v>1371100000000</v>
          </cell>
          <cell r="BE60">
            <v>1674700000000</v>
          </cell>
          <cell r="BF60">
            <v>1860400000000</v>
          </cell>
          <cell r="BG60">
            <v>2130000000000</v>
          </cell>
          <cell r="BH60">
            <v>2443900000000</v>
          </cell>
          <cell r="BI60">
            <v>2709400000000</v>
          </cell>
          <cell r="BJ60">
            <v>3470000000000</v>
          </cell>
          <cell r="BK60">
            <v>4437400000000</v>
          </cell>
          <cell r="BL60">
            <v>5322100000000</v>
          </cell>
          <cell r="BM60">
            <v>5855000000000</v>
          </cell>
          <cell r="BN60">
            <v>5855000000000</v>
          </cell>
        </row>
        <row r="61">
          <cell r="B61" t="str">
            <v>SLV</v>
          </cell>
          <cell r="C61" t="str">
            <v>GDP (current LCU)</v>
          </cell>
          <cell r="D61" t="str">
            <v>NY.GDP.MKTP.CN</v>
          </cell>
          <cell r="E61" t="str">
            <v>..</v>
          </cell>
          <cell r="F61" t="str">
            <v>..</v>
          </cell>
          <cell r="G61" t="str">
            <v>..</v>
          </cell>
          <cell r="H61" t="str">
            <v>..</v>
          </cell>
          <cell r="I61" t="str">
            <v>..</v>
          </cell>
          <cell r="J61">
            <v>877720000</v>
          </cell>
          <cell r="K61">
            <v>929520000</v>
          </cell>
          <cell r="L61">
            <v>976200000</v>
          </cell>
          <cell r="M61">
            <v>1009760100</v>
          </cell>
          <cell r="N61">
            <v>1049400000</v>
          </cell>
          <cell r="O61">
            <v>1132920000</v>
          </cell>
          <cell r="P61">
            <v>1186120000</v>
          </cell>
          <cell r="Q61">
            <v>1263720000</v>
          </cell>
          <cell r="R61">
            <v>1442320000</v>
          </cell>
          <cell r="S61">
            <v>1665880000</v>
          </cell>
          <cell r="T61">
            <v>1884120100</v>
          </cell>
          <cell r="U61">
            <v>2328280100</v>
          </cell>
          <cell r="V61">
            <v>2941640100</v>
          </cell>
          <cell r="W61">
            <v>3127960000</v>
          </cell>
          <cell r="X61">
            <v>3463639900</v>
          </cell>
          <cell r="Y61">
            <v>3573959900</v>
          </cell>
          <cell r="Z61">
            <v>3437200200</v>
          </cell>
          <cell r="AA61">
            <v>3399189100</v>
          </cell>
          <cell r="AB61">
            <v>3506347800</v>
          </cell>
          <cell r="AC61">
            <v>3661683400</v>
          </cell>
          <cell r="AD61">
            <v>3800368600</v>
          </cell>
          <cell r="AE61">
            <v>3771663200</v>
          </cell>
          <cell r="AF61">
            <v>3958045800</v>
          </cell>
          <cell r="AG61">
            <v>4189880000</v>
          </cell>
          <cell r="AH61">
            <v>4372215300</v>
          </cell>
          <cell r="AI61">
            <v>4817542204.0267296</v>
          </cell>
          <cell r="AJ61">
            <v>5252342400</v>
          </cell>
          <cell r="AK61">
            <v>5813399300</v>
          </cell>
          <cell r="AL61">
            <v>6680269200</v>
          </cell>
          <cell r="AM61">
            <v>7679384000</v>
          </cell>
          <cell r="AN61">
            <v>8921947100</v>
          </cell>
          <cell r="AO61">
            <v>9586327800</v>
          </cell>
          <cell r="AP61">
            <v>10221705900</v>
          </cell>
          <cell r="AQ61">
            <v>10936669900</v>
          </cell>
          <cell r="AR61">
            <v>11284197000</v>
          </cell>
          <cell r="AS61">
            <v>11784927700</v>
          </cell>
          <cell r="AT61">
            <v>12282533600</v>
          </cell>
          <cell r="AU61">
            <v>12664190300</v>
          </cell>
          <cell r="AV61">
            <v>13243892200</v>
          </cell>
          <cell r="AW61">
            <v>13724810900</v>
          </cell>
          <cell r="AX61">
            <v>14698000000</v>
          </cell>
          <cell r="AY61">
            <v>15999890000</v>
          </cell>
          <cell r="AZ61">
            <v>17011750000</v>
          </cell>
          <cell r="BA61">
            <v>17986890000</v>
          </cell>
          <cell r="BB61">
            <v>17601620000</v>
          </cell>
          <cell r="BC61">
            <v>18447920000</v>
          </cell>
          <cell r="BD61">
            <v>20283780000</v>
          </cell>
          <cell r="BE61">
            <v>21386150000</v>
          </cell>
          <cell r="BF61">
            <v>21990960000</v>
          </cell>
          <cell r="BG61">
            <v>22593470000</v>
          </cell>
          <cell r="BH61">
            <v>23438240000</v>
          </cell>
          <cell r="BI61">
            <v>24191430000</v>
          </cell>
          <cell r="BJ61">
            <v>24979190000</v>
          </cell>
          <cell r="BK61">
            <v>26020850000</v>
          </cell>
          <cell r="BL61">
            <v>26896660000</v>
          </cell>
          <cell r="BM61">
            <v>24638720000</v>
          </cell>
          <cell r="BN61">
            <v>24638720000</v>
          </cell>
        </row>
        <row r="62">
          <cell r="B62" t="str">
            <v>GNQ</v>
          </cell>
          <cell r="C62" t="str">
            <v>GDP (current LCU)</v>
          </cell>
          <cell r="D62" t="str">
            <v>NY.GDP.MKTP.CN</v>
          </cell>
          <cell r="E62" t="str">
            <v>..</v>
          </cell>
          <cell r="F62" t="str">
            <v>..</v>
          </cell>
          <cell r="G62">
            <v>2235200000</v>
          </cell>
          <cell r="H62">
            <v>2656000000</v>
          </cell>
          <cell r="I62">
            <v>3114900000</v>
          </cell>
          <cell r="J62">
            <v>3884900000</v>
          </cell>
          <cell r="K62">
            <v>4146600000</v>
          </cell>
          <cell r="L62">
            <v>4459600000</v>
          </cell>
          <cell r="M62">
            <v>4726000000</v>
          </cell>
          <cell r="N62">
            <v>4705800000</v>
          </cell>
          <cell r="O62">
            <v>4643200000</v>
          </cell>
          <cell r="P62">
            <v>4511800000</v>
          </cell>
          <cell r="Q62">
            <v>4205200000</v>
          </cell>
          <cell r="R62">
            <v>4730900000</v>
          </cell>
          <cell r="S62">
            <v>5431800000</v>
          </cell>
          <cell r="T62">
            <v>5987300000</v>
          </cell>
          <cell r="U62">
            <v>6934700000</v>
          </cell>
          <cell r="V62">
            <v>7899100000</v>
          </cell>
          <cell r="W62" t="str">
            <v>..</v>
          </cell>
          <cell r="X62" t="str">
            <v>..</v>
          </cell>
          <cell r="Y62">
            <v>5602621900</v>
          </cell>
          <cell r="Z62">
            <v>6781722600</v>
          </cell>
          <cell r="AA62">
            <v>9732420000</v>
          </cell>
          <cell r="AB62">
            <v>12748763200</v>
          </cell>
          <cell r="AC62">
            <v>16179180400</v>
          </cell>
          <cell r="AD62">
            <v>27907572800</v>
          </cell>
          <cell r="AE62">
            <v>26460332300</v>
          </cell>
          <cell r="AF62">
            <v>28053843700</v>
          </cell>
          <cell r="AG62">
            <v>29944068500</v>
          </cell>
          <cell r="AH62">
            <v>28157578500</v>
          </cell>
          <cell r="AI62">
            <v>30526167800</v>
          </cell>
          <cell r="AJ62">
            <v>31287356900</v>
          </cell>
          <cell r="AK62">
            <v>35655887100</v>
          </cell>
          <cell r="AL62">
            <v>38523676000</v>
          </cell>
          <cell r="AM62">
            <v>55968521200</v>
          </cell>
          <cell r="AN62">
            <v>70805881800</v>
          </cell>
          <cell r="AO62">
            <v>118917024200</v>
          </cell>
          <cell r="AP62">
            <v>258179067200</v>
          </cell>
          <cell r="AQ62">
            <v>218687827900</v>
          </cell>
          <cell r="AR62">
            <v>382421723200</v>
          </cell>
          <cell r="AS62">
            <v>744726139300</v>
          </cell>
          <cell r="AT62">
            <v>1071071157000</v>
          </cell>
          <cell r="AU62">
            <v>1259278371800</v>
          </cell>
          <cell r="AV62">
            <v>1444135082900</v>
          </cell>
          <cell r="AW62">
            <v>2330139756500</v>
          </cell>
          <cell r="AX62">
            <v>4334400062300</v>
          </cell>
          <cell r="AY62">
            <v>5274146000000</v>
          </cell>
          <cell r="AZ62">
            <v>6264840820000</v>
          </cell>
          <cell r="BA62">
            <v>8844107000000</v>
          </cell>
          <cell r="BB62">
            <v>7095919000000</v>
          </cell>
          <cell r="BC62">
            <v>8072293000000</v>
          </cell>
          <cell r="BD62">
            <v>10064618859100</v>
          </cell>
          <cell r="BE62">
            <v>11430511000000</v>
          </cell>
          <cell r="BF62">
            <v>10840521000000</v>
          </cell>
          <cell r="BG62">
            <v>10746852000000</v>
          </cell>
          <cell r="BH62">
            <v>7795420000000</v>
          </cell>
          <cell r="BI62">
            <v>6661366440400</v>
          </cell>
          <cell r="BJ62">
            <v>7084543000000</v>
          </cell>
          <cell r="BK62">
            <v>7274689036200</v>
          </cell>
          <cell r="BL62">
            <v>6689508947100</v>
          </cell>
          <cell r="BM62">
            <v>5768440487100</v>
          </cell>
          <cell r="BN62">
            <v>5768440487100</v>
          </cell>
        </row>
        <row r="63">
          <cell r="B63" t="str">
            <v>ERI</v>
          </cell>
          <cell r="C63" t="str">
            <v>GDP (current LCU)</v>
          </cell>
          <cell r="D63" t="str">
            <v>NY.GDP.MKTP.CN</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v>2186700000</v>
          </cell>
          <cell r="AL63">
            <v>2446600000</v>
          </cell>
          <cell r="AM63">
            <v>3275200000</v>
          </cell>
          <cell r="AN63">
            <v>3699300000</v>
          </cell>
          <cell r="AO63">
            <v>4408600000</v>
          </cell>
          <cell r="AP63">
            <v>4942660000</v>
          </cell>
          <cell r="AQ63">
            <v>5488489000</v>
          </cell>
          <cell r="AR63">
            <v>5616500000</v>
          </cell>
          <cell r="AS63">
            <v>6798819100</v>
          </cell>
          <cell r="AT63">
            <v>8508911500</v>
          </cell>
          <cell r="AU63">
            <v>10180013500</v>
          </cell>
          <cell r="AV63">
            <v>12077210600</v>
          </cell>
          <cell r="AW63">
            <v>15291082100</v>
          </cell>
          <cell r="AX63">
            <v>16880499400</v>
          </cell>
          <cell r="AY63">
            <v>18621613900</v>
          </cell>
          <cell r="AZ63">
            <v>20263857800</v>
          </cell>
          <cell r="BA63">
            <v>21220402800</v>
          </cell>
          <cell r="BB63">
            <v>28546694100</v>
          </cell>
          <cell r="BC63">
            <v>24438800000</v>
          </cell>
          <cell r="BD63">
            <v>31749400000</v>
          </cell>
          <cell r="BE63" t="str">
            <v>..</v>
          </cell>
          <cell r="BF63" t="str">
            <v>..</v>
          </cell>
          <cell r="BG63" t="str">
            <v>..</v>
          </cell>
          <cell r="BH63" t="str">
            <v>..</v>
          </cell>
          <cell r="BI63" t="str">
            <v>..</v>
          </cell>
          <cell r="BJ63" t="str">
            <v>..</v>
          </cell>
          <cell r="BK63" t="str">
            <v>..</v>
          </cell>
          <cell r="BL63" t="str">
            <v>..</v>
          </cell>
          <cell r="BM63" t="str">
            <v>..</v>
          </cell>
          <cell r="BN63" t="str">
            <v/>
          </cell>
        </row>
        <row r="64">
          <cell r="B64" t="str">
            <v>EST</v>
          </cell>
          <cell r="C64" t="str">
            <v>GDP (current LCU)</v>
          </cell>
          <cell r="D64" t="str">
            <v>NY.GDP.MKTP.CN</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v>2861638000</v>
          </cell>
          <cell r="AO64">
            <v>3679970000</v>
          </cell>
          <cell r="AP64">
            <v>4573002000</v>
          </cell>
          <cell r="AQ64">
            <v>5100431000</v>
          </cell>
          <cell r="AR64">
            <v>5406892000</v>
          </cell>
          <cell r="AS64">
            <v>6171645000</v>
          </cell>
          <cell r="AT64">
            <v>6987069000</v>
          </cell>
          <cell r="AU64">
            <v>7822580000</v>
          </cell>
          <cell r="AV64">
            <v>8744426000</v>
          </cell>
          <cell r="AW64">
            <v>9777459000</v>
          </cell>
          <cell r="AX64">
            <v>11343270000</v>
          </cell>
          <cell r="AY64">
            <v>13568930000</v>
          </cell>
          <cell r="AZ64">
            <v>16401334000</v>
          </cell>
          <cell r="BA64">
            <v>16618064000</v>
          </cell>
          <cell r="BB64">
            <v>14131856000</v>
          </cell>
          <cell r="BC64">
            <v>14741103000</v>
          </cell>
          <cell r="BD64">
            <v>16677256000</v>
          </cell>
          <cell r="BE64">
            <v>17916682000</v>
          </cell>
          <cell r="BF64">
            <v>18910784000</v>
          </cell>
          <cell r="BG64">
            <v>20048226000</v>
          </cell>
          <cell r="BH64">
            <v>20631362000</v>
          </cell>
          <cell r="BI64">
            <v>21747910000</v>
          </cell>
          <cell r="BJ64">
            <v>23833614000</v>
          </cell>
          <cell r="BK64">
            <v>25817676000</v>
          </cell>
          <cell r="BL64">
            <v>27732290000</v>
          </cell>
          <cell r="BM64">
            <v>26834521000</v>
          </cell>
          <cell r="BN64">
            <v>26834521000</v>
          </cell>
        </row>
        <row r="65">
          <cell r="B65" t="str">
            <v>SWZ</v>
          </cell>
          <cell r="C65" t="str">
            <v>GDP (current LCU)</v>
          </cell>
          <cell r="D65" t="str">
            <v>NY.GDP.MKTP.CN</v>
          </cell>
          <cell r="E65">
            <v>25054900</v>
          </cell>
          <cell r="F65">
            <v>30732900</v>
          </cell>
          <cell r="G65">
            <v>32805700</v>
          </cell>
          <cell r="H65">
            <v>38663900</v>
          </cell>
          <cell r="I65">
            <v>46414700</v>
          </cell>
          <cell r="J65">
            <v>50200000</v>
          </cell>
          <cell r="K65">
            <v>54900000</v>
          </cell>
          <cell r="L65">
            <v>53400000</v>
          </cell>
          <cell r="M65">
            <v>57000000</v>
          </cell>
          <cell r="N65">
            <v>75300000</v>
          </cell>
          <cell r="O65">
            <v>80100000</v>
          </cell>
          <cell r="P65">
            <v>97600000</v>
          </cell>
          <cell r="Q65">
            <v>112800000</v>
          </cell>
          <cell r="R65">
            <v>154000000</v>
          </cell>
          <cell r="S65">
            <v>179600000</v>
          </cell>
          <cell r="T65">
            <v>213200000</v>
          </cell>
          <cell r="U65">
            <v>237000000</v>
          </cell>
          <cell r="V65">
            <v>264400000</v>
          </cell>
          <cell r="W65">
            <v>296200000</v>
          </cell>
          <cell r="X65">
            <v>346900000</v>
          </cell>
          <cell r="Y65">
            <v>422110000</v>
          </cell>
          <cell r="Z65">
            <v>500900000</v>
          </cell>
          <cell r="AA65">
            <v>583700000</v>
          </cell>
          <cell r="AB65">
            <v>618700000</v>
          </cell>
          <cell r="AC65">
            <v>729500000</v>
          </cell>
          <cell r="AD65">
            <v>802500000</v>
          </cell>
          <cell r="AE65">
            <v>1026300000</v>
          </cell>
          <cell r="AF65">
            <v>1189300000</v>
          </cell>
          <cell r="AG65">
            <v>1573300000</v>
          </cell>
          <cell r="AH65">
            <v>1827800100</v>
          </cell>
          <cell r="AI65">
            <v>2884071300</v>
          </cell>
          <cell r="AJ65">
            <v>3192454900</v>
          </cell>
          <cell r="AK65">
            <v>3664153300</v>
          </cell>
          <cell r="AL65">
            <v>4434945300</v>
          </cell>
          <cell r="AM65">
            <v>5039627200</v>
          </cell>
          <cell r="AN65">
            <v>6162379200</v>
          </cell>
          <cell r="AO65">
            <v>6890746500</v>
          </cell>
          <cell r="AP65">
            <v>7910553200</v>
          </cell>
          <cell r="AQ65">
            <v>8717600000</v>
          </cell>
          <cell r="AR65">
            <v>9456800000</v>
          </cell>
          <cell r="AS65">
            <v>12062072300</v>
          </cell>
          <cell r="AT65">
            <v>13279341400</v>
          </cell>
          <cell r="AU65">
            <v>15096687000</v>
          </cell>
          <cell r="AV65">
            <v>16624280800</v>
          </cell>
          <cell r="AW65">
            <v>17893626800</v>
          </cell>
          <cell r="AX65">
            <v>20210659800</v>
          </cell>
          <cell r="AY65">
            <v>22287402500</v>
          </cell>
          <cell r="AZ65">
            <v>24443057100</v>
          </cell>
          <cell r="BA65">
            <v>27213165100</v>
          </cell>
          <cell r="BB65">
            <v>30339380100</v>
          </cell>
          <cell r="BC65">
            <v>32497184600</v>
          </cell>
          <cell r="BD65">
            <v>35002132000</v>
          </cell>
          <cell r="BE65">
            <v>40118436200</v>
          </cell>
          <cell r="BF65">
            <v>44389631500</v>
          </cell>
          <cell r="BG65">
            <v>48001148500</v>
          </cell>
          <cell r="BH65">
            <v>51791348300</v>
          </cell>
          <cell r="BI65">
            <v>56132157900</v>
          </cell>
          <cell r="BJ65">
            <v>58688938000</v>
          </cell>
          <cell r="BK65">
            <v>61770630500</v>
          </cell>
          <cell r="BL65">
            <v>64962568500</v>
          </cell>
          <cell r="BM65">
            <v>65432037600</v>
          </cell>
          <cell r="BN65">
            <v>65432037600</v>
          </cell>
        </row>
        <row r="66">
          <cell r="B66" t="str">
            <v>ETH</v>
          </cell>
          <cell r="C66" t="str">
            <v>GDP (current LCU)</v>
          </cell>
          <cell r="D66" t="str">
            <v>NY.GDP.MKTP.CN</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v>15162549600</v>
          </cell>
          <cell r="AA66">
            <v>15954893500</v>
          </cell>
          <cell r="AB66">
            <v>17735534000</v>
          </cell>
          <cell r="AC66">
            <v>16759345900</v>
          </cell>
          <cell r="AD66">
            <v>19625339800</v>
          </cell>
          <cell r="AE66">
            <v>20386603800</v>
          </cell>
          <cell r="AF66">
            <v>21791591000</v>
          </cell>
          <cell r="AG66">
            <v>22581497000</v>
          </cell>
          <cell r="AH66">
            <v>23756530700</v>
          </cell>
          <cell r="AI66">
            <v>25202595200</v>
          </cell>
          <cell r="AJ66">
            <v>27870207500</v>
          </cell>
          <cell r="AK66">
            <v>29406613100</v>
          </cell>
          <cell r="AL66">
            <v>37722155500</v>
          </cell>
          <cell r="AM66">
            <v>40066416500</v>
          </cell>
          <cell r="AN66">
            <v>47924428300</v>
          </cell>
          <cell r="AO66">
            <v>54008447600</v>
          </cell>
          <cell r="AP66">
            <v>55816131300</v>
          </cell>
          <cell r="AQ66">
            <v>53805023800</v>
          </cell>
          <cell r="AR66">
            <v>57840190200</v>
          </cell>
          <cell r="AS66">
            <v>67159835100</v>
          </cell>
          <cell r="AT66">
            <v>68548836800</v>
          </cell>
          <cell r="AU66">
            <v>67067110300</v>
          </cell>
          <cell r="AV66">
            <v>73995583200</v>
          </cell>
          <cell r="AW66">
            <v>87325768600</v>
          </cell>
          <cell r="AX66">
            <v>107289698100</v>
          </cell>
          <cell r="AY66">
            <v>132651633500</v>
          </cell>
          <cell r="AZ66">
            <v>173308781900</v>
          </cell>
          <cell r="BA66">
            <v>250206540400</v>
          </cell>
          <cell r="BB66">
            <v>337965157200</v>
          </cell>
          <cell r="BC66">
            <v>385876491200</v>
          </cell>
          <cell r="BD66">
            <v>515078541000</v>
          </cell>
          <cell r="BE66">
            <v>747326498000</v>
          </cell>
          <cell r="BF66">
            <v>866921083000</v>
          </cell>
          <cell r="BG66">
            <v>1060814376000</v>
          </cell>
          <cell r="BH66">
            <v>1297961440000</v>
          </cell>
          <cell r="BI66">
            <v>1568097000000</v>
          </cell>
          <cell r="BJ66">
            <v>1832786000000</v>
          </cell>
          <cell r="BK66">
            <v>2200121000000</v>
          </cell>
          <cell r="BL66">
            <v>2690751000000</v>
          </cell>
          <cell r="BM66">
            <v>3374349000000</v>
          </cell>
          <cell r="BN66">
            <v>3374349000000</v>
          </cell>
        </row>
        <row r="67">
          <cell r="B67" t="str">
            <v>FRO</v>
          </cell>
          <cell r="C67" t="str">
            <v>GDP (current LCU)</v>
          </cell>
          <cell r="D67" t="str">
            <v>NY.GDP.MKTP.CN</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v>7423700000</v>
          </cell>
          <cell r="AR67">
            <v>7815300000</v>
          </cell>
          <cell r="AS67">
            <v>8557600000</v>
          </cell>
          <cell r="AT67">
            <v>9551700000</v>
          </cell>
          <cell r="AU67">
            <v>9968400000</v>
          </cell>
          <cell r="AV67">
            <v>9842100000</v>
          </cell>
          <cell r="AW67">
            <v>10114400000</v>
          </cell>
          <cell r="AX67">
            <v>10361400000</v>
          </cell>
          <cell r="AY67">
            <v>11801100000</v>
          </cell>
          <cell r="AZ67">
            <v>12466800000</v>
          </cell>
          <cell r="BA67">
            <v>12400700000</v>
          </cell>
          <cell r="BB67">
            <v>12160600000</v>
          </cell>
          <cell r="BC67">
            <v>13050300000</v>
          </cell>
          <cell r="BD67">
            <v>13372400000</v>
          </cell>
          <cell r="BE67">
            <v>13706800000</v>
          </cell>
          <cell r="BF67">
            <v>14754300000</v>
          </cell>
          <cell r="BG67">
            <v>15999800000</v>
          </cell>
          <cell r="BH67">
            <v>16941500000</v>
          </cell>
          <cell r="BI67">
            <v>18437000000</v>
          </cell>
          <cell r="BJ67">
            <v>19143300000</v>
          </cell>
          <cell r="BK67">
            <v>19268000000</v>
          </cell>
          <cell r="BL67">
            <v>20850500000</v>
          </cell>
          <cell r="BM67" t="str">
            <v>..</v>
          </cell>
          <cell r="BN67">
            <v>20850500000</v>
          </cell>
        </row>
        <row r="68">
          <cell r="B68" t="str">
            <v>FJI</v>
          </cell>
          <cell r="C68" t="str">
            <v>GDP (current LCU)</v>
          </cell>
          <cell r="D68" t="str">
            <v>NY.GDP.MKTP.CN</v>
          </cell>
          <cell r="E68">
            <v>89200000</v>
          </cell>
          <cell r="F68">
            <v>92900000</v>
          </cell>
          <cell r="G68">
            <v>97600000</v>
          </cell>
          <cell r="H68">
            <v>102800000</v>
          </cell>
          <cell r="I68">
            <v>111200000</v>
          </cell>
          <cell r="J68">
            <v>116800000</v>
          </cell>
          <cell r="K68">
            <v>119700000</v>
          </cell>
          <cell r="L68">
            <v>130800000</v>
          </cell>
          <cell r="M68">
            <v>145800000</v>
          </cell>
          <cell r="N68">
            <v>159300000</v>
          </cell>
          <cell r="O68">
            <v>191800000</v>
          </cell>
          <cell r="P68">
            <v>211900000</v>
          </cell>
          <cell r="Q68">
            <v>261300000</v>
          </cell>
          <cell r="R68">
            <v>338300100</v>
          </cell>
          <cell r="S68">
            <v>450000000</v>
          </cell>
          <cell r="T68">
            <v>562400100</v>
          </cell>
          <cell r="U68">
            <v>623499700</v>
          </cell>
          <cell r="V68">
            <v>660099700</v>
          </cell>
          <cell r="W68">
            <v>702200000</v>
          </cell>
          <cell r="X68">
            <v>852200000</v>
          </cell>
          <cell r="Y68">
            <v>983700100</v>
          </cell>
          <cell r="Z68">
            <v>1056000000</v>
          </cell>
          <cell r="AA68">
            <v>1113400000</v>
          </cell>
          <cell r="AB68">
            <v>1142200100</v>
          </cell>
          <cell r="AC68">
            <v>1275300000</v>
          </cell>
          <cell r="AD68">
            <v>1316400000</v>
          </cell>
          <cell r="AE68">
            <v>1461700000</v>
          </cell>
          <cell r="AF68">
            <v>1465200000</v>
          </cell>
          <cell r="AG68">
            <v>1587600000</v>
          </cell>
          <cell r="AH68">
            <v>1754279000</v>
          </cell>
          <cell r="AI68">
            <v>1980000000</v>
          </cell>
          <cell r="AJ68">
            <v>2042000000</v>
          </cell>
          <cell r="AK68">
            <v>2303200000</v>
          </cell>
          <cell r="AL68">
            <v>2522500000</v>
          </cell>
          <cell r="AM68">
            <v>2673100000</v>
          </cell>
          <cell r="AN68">
            <v>2770900000</v>
          </cell>
          <cell r="AO68">
            <v>2987200000</v>
          </cell>
          <cell r="AP68">
            <v>3017600000</v>
          </cell>
          <cell r="AQ68">
            <v>3284500000</v>
          </cell>
          <cell r="AR68">
            <v>3814100000</v>
          </cell>
          <cell r="AS68">
            <v>3572300000</v>
          </cell>
          <cell r="AT68">
            <v>3762000000</v>
          </cell>
          <cell r="AU68">
            <v>4009200000</v>
          </cell>
          <cell r="AV68">
            <v>4361200000</v>
          </cell>
          <cell r="AW68">
            <v>4693100000</v>
          </cell>
          <cell r="AX68">
            <v>5040000000</v>
          </cell>
          <cell r="AY68">
            <v>5325700000</v>
          </cell>
          <cell r="AZ68">
            <v>5440100000</v>
          </cell>
          <cell r="BA68">
            <v>5614901400</v>
          </cell>
          <cell r="BB68">
            <v>5614080600</v>
          </cell>
          <cell r="BC68">
            <v>6024438100</v>
          </cell>
          <cell r="BD68">
            <v>6768488300</v>
          </cell>
          <cell r="BE68">
            <v>7109505300</v>
          </cell>
          <cell r="BF68">
            <v>7715729700</v>
          </cell>
          <cell r="BG68">
            <v>9167032400</v>
          </cell>
          <cell r="BH68">
            <v>9822110300</v>
          </cell>
          <cell r="BI68">
            <v>10327298800</v>
          </cell>
          <cell r="BJ68">
            <v>11064951600</v>
          </cell>
          <cell r="BK68">
            <v>11650555594.7145</v>
          </cell>
          <cell r="BL68">
            <v>11874130401.2719</v>
          </cell>
          <cell r="BM68">
            <v>9833087146.9971104</v>
          </cell>
          <cell r="BN68">
            <v>9833087146.9971104</v>
          </cell>
        </row>
        <row r="69">
          <cell r="B69" t="str">
            <v>FIN</v>
          </cell>
          <cell r="C69" t="str">
            <v>GDP (current LCU)</v>
          </cell>
          <cell r="D69" t="str">
            <v>NY.GDP.MKTP.CN</v>
          </cell>
          <cell r="E69">
            <v>2811619072</v>
          </cell>
          <cell r="F69">
            <v>3187045376</v>
          </cell>
          <cell r="G69">
            <v>3412509440</v>
          </cell>
          <cell r="H69">
            <v>3706011904</v>
          </cell>
          <cell r="I69">
            <v>4180024576</v>
          </cell>
          <cell r="J69">
            <v>4622794752</v>
          </cell>
          <cell r="K69">
            <v>4956040704</v>
          </cell>
          <cell r="L69">
            <v>5436308992</v>
          </cell>
          <cell r="M69">
            <v>6232452096</v>
          </cell>
          <cell r="N69">
            <v>7113830912</v>
          </cell>
          <cell r="O69">
            <v>8022950000</v>
          </cell>
          <cell r="P69">
            <v>8816788000</v>
          </cell>
          <cell r="Q69">
            <v>10281898000</v>
          </cell>
          <cell r="R69">
            <v>12514888000</v>
          </cell>
          <cell r="S69">
            <v>15771547000</v>
          </cell>
          <cell r="T69">
            <v>18234712000</v>
          </cell>
          <cell r="U69">
            <v>20698999000</v>
          </cell>
          <cell r="V69">
            <v>22702814000</v>
          </cell>
          <cell r="W69">
            <v>25107391000</v>
          </cell>
          <cell r="X69">
            <v>29129189000</v>
          </cell>
          <cell r="Y69">
            <v>33657000000</v>
          </cell>
          <cell r="Z69">
            <v>38067000000</v>
          </cell>
          <cell r="AA69">
            <v>42803000000</v>
          </cell>
          <cell r="AB69">
            <v>47752000000</v>
          </cell>
          <cell r="AC69">
            <v>53460000000</v>
          </cell>
          <cell r="AD69">
            <v>58245000000</v>
          </cell>
          <cell r="AE69">
            <v>62693000000</v>
          </cell>
          <cell r="AF69">
            <v>67716000000</v>
          </cell>
          <cell r="AG69">
            <v>76723000000</v>
          </cell>
          <cell r="AH69">
            <v>85891000000</v>
          </cell>
          <cell r="AI69">
            <v>90959000000</v>
          </cell>
          <cell r="AJ69">
            <v>86899000000</v>
          </cell>
          <cell r="AK69">
            <v>84782000000</v>
          </cell>
          <cell r="AL69">
            <v>85708000000</v>
          </cell>
          <cell r="AM69">
            <v>90749000000</v>
          </cell>
          <cell r="AN69">
            <v>98549000000</v>
          </cell>
          <cell r="AO69">
            <v>102083000000</v>
          </cell>
          <cell r="AP69">
            <v>110807000000</v>
          </cell>
          <cell r="AQ69">
            <v>120474000000</v>
          </cell>
          <cell r="AR69">
            <v>126916000000</v>
          </cell>
          <cell r="AS69">
            <v>136442000000</v>
          </cell>
          <cell r="AT69">
            <v>144628000000</v>
          </cell>
          <cell r="AU69">
            <v>148486000000</v>
          </cell>
          <cell r="AV69">
            <v>151749000000</v>
          </cell>
          <cell r="AW69">
            <v>158758000000</v>
          </cell>
          <cell r="AX69">
            <v>164687000000</v>
          </cell>
          <cell r="AY69">
            <v>172897000000</v>
          </cell>
          <cell r="AZ69">
            <v>187072000000</v>
          </cell>
          <cell r="BA69">
            <v>194265000000</v>
          </cell>
          <cell r="BB69">
            <v>181747000000</v>
          </cell>
          <cell r="BC69">
            <v>188143000000</v>
          </cell>
          <cell r="BD69">
            <v>197998000000</v>
          </cell>
          <cell r="BE69">
            <v>201037000000</v>
          </cell>
          <cell r="BF69">
            <v>204321000000</v>
          </cell>
          <cell r="BG69">
            <v>206897000000</v>
          </cell>
          <cell r="BH69">
            <v>211385000000</v>
          </cell>
          <cell r="BI69">
            <v>217518000000</v>
          </cell>
          <cell r="BJ69">
            <v>226301000000</v>
          </cell>
          <cell r="BK69">
            <v>233468000000</v>
          </cell>
          <cell r="BL69">
            <v>239852000000</v>
          </cell>
          <cell r="BM69">
            <v>236032000000</v>
          </cell>
          <cell r="BN69">
            <v>236032000000</v>
          </cell>
        </row>
        <row r="70">
          <cell r="B70" t="str">
            <v>FRA</v>
          </cell>
          <cell r="C70" t="str">
            <v>GDP (current LCU)</v>
          </cell>
          <cell r="D70" t="str">
            <v>NY.GDP.MKTP.CN</v>
          </cell>
          <cell r="E70">
            <v>46834000000</v>
          </cell>
          <cell r="F70">
            <v>50775000000</v>
          </cell>
          <cell r="G70">
            <v>56906000000</v>
          </cell>
          <cell r="H70">
            <v>63794000000</v>
          </cell>
          <cell r="I70">
            <v>70755000000</v>
          </cell>
          <cell r="J70">
            <v>76422000000</v>
          </cell>
          <cell r="K70">
            <v>82826000000</v>
          </cell>
          <cell r="L70">
            <v>89545000000</v>
          </cell>
          <cell r="M70">
            <v>97683000000</v>
          </cell>
          <cell r="N70">
            <v>112366000000</v>
          </cell>
          <cell r="O70">
            <v>125698000000</v>
          </cell>
          <cell r="P70">
            <v>140192000000</v>
          </cell>
          <cell r="Q70">
            <v>156487000000</v>
          </cell>
          <cell r="R70">
            <v>179495000000</v>
          </cell>
          <cell r="S70">
            <v>209367000000</v>
          </cell>
          <cell r="T70">
            <v>235876000000</v>
          </cell>
          <cell r="U70">
            <v>272612000000</v>
          </cell>
          <cell r="V70">
            <v>306807000000</v>
          </cell>
          <cell r="W70">
            <v>348615000000</v>
          </cell>
          <cell r="X70">
            <v>398210000000</v>
          </cell>
          <cell r="Y70">
            <v>451770000000</v>
          </cell>
          <cell r="Z70">
            <v>509985000000</v>
          </cell>
          <cell r="AA70">
            <v>585989000000</v>
          </cell>
          <cell r="AB70">
            <v>650512000000</v>
          </cell>
          <cell r="AC70">
            <v>707030000000</v>
          </cell>
          <cell r="AD70">
            <v>757689000000</v>
          </cell>
          <cell r="AE70">
            <v>814596000000</v>
          </cell>
          <cell r="AF70">
            <v>855983000000</v>
          </cell>
          <cell r="AG70">
            <v>925215000000</v>
          </cell>
          <cell r="AH70">
            <v>997121000000</v>
          </cell>
          <cell r="AI70">
            <v>1053546000000</v>
          </cell>
          <cell r="AJ70">
            <v>1091705000000</v>
          </cell>
          <cell r="AK70">
            <v>1130983000000</v>
          </cell>
          <cell r="AL70">
            <v>1142119000000</v>
          </cell>
          <cell r="AM70">
            <v>1179867000000</v>
          </cell>
          <cell r="AN70">
            <v>1218273000000</v>
          </cell>
          <cell r="AO70">
            <v>1252266000000</v>
          </cell>
          <cell r="AP70">
            <v>1292777000000</v>
          </cell>
          <cell r="AQ70">
            <v>1351896000000</v>
          </cell>
          <cell r="AR70">
            <v>1400999000000</v>
          </cell>
          <cell r="AS70">
            <v>1478585000000</v>
          </cell>
          <cell r="AT70">
            <v>1538200000000</v>
          </cell>
          <cell r="AU70">
            <v>1587829000000</v>
          </cell>
          <cell r="AV70">
            <v>1630666000000</v>
          </cell>
          <cell r="AW70">
            <v>1704019000000</v>
          </cell>
          <cell r="AX70">
            <v>1765905000000</v>
          </cell>
          <cell r="AY70">
            <v>1848151000000</v>
          </cell>
          <cell r="AZ70">
            <v>1941360000000</v>
          </cell>
          <cell r="BA70">
            <v>1992380000000</v>
          </cell>
          <cell r="BB70">
            <v>1936422000000</v>
          </cell>
          <cell r="BC70">
            <v>1995289000000</v>
          </cell>
          <cell r="BD70">
            <v>2058369000000</v>
          </cell>
          <cell r="BE70">
            <v>2088804000000</v>
          </cell>
          <cell r="BF70">
            <v>2117189000000</v>
          </cell>
          <cell r="BG70">
            <v>2149765000000</v>
          </cell>
          <cell r="BH70">
            <v>2198432000000</v>
          </cell>
          <cell r="BI70">
            <v>2234129000000</v>
          </cell>
          <cell r="BJ70">
            <v>2297242000000</v>
          </cell>
          <cell r="BK70">
            <v>2363306000000</v>
          </cell>
          <cell r="BL70">
            <v>2437635000000</v>
          </cell>
          <cell r="BM70">
            <v>2302860000000</v>
          </cell>
          <cell r="BN70">
            <v>2302860000000</v>
          </cell>
        </row>
        <row r="71">
          <cell r="B71" t="str">
            <v>PYF</v>
          </cell>
          <cell r="C71" t="str">
            <v>GDP (current LCU)</v>
          </cell>
          <cell r="D71" t="str">
            <v>NY.GDP.MKTP.CN</v>
          </cell>
          <cell r="E71" t="str">
            <v>..</v>
          </cell>
          <cell r="F71" t="str">
            <v>..</v>
          </cell>
          <cell r="G71" t="str">
            <v>..</v>
          </cell>
          <cell r="H71" t="str">
            <v>..</v>
          </cell>
          <cell r="I71" t="str">
            <v>..</v>
          </cell>
          <cell r="J71">
            <v>15846627328</v>
          </cell>
          <cell r="K71">
            <v>19358670848</v>
          </cell>
          <cell r="L71">
            <v>19836661760</v>
          </cell>
          <cell r="M71">
            <v>23302103040</v>
          </cell>
          <cell r="N71">
            <v>22943610880</v>
          </cell>
          <cell r="O71">
            <v>25653825536</v>
          </cell>
          <cell r="P71">
            <v>29891225600</v>
          </cell>
          <cell r="Q71">
            <v>29916319744</v>
          </cell>
          <cell r="R71">
            <v>34953146368</v>
          </cell>
          <cell r="S71">
            <v>48608178176</v>
          </cell>
          <cell r="T71">
            <v>53797998592</v>
          </cell>
          <cell r="U71">
            <v>63629074432</v>
          </cell>
          <cell r="V71">
            <v>70862290944</v>
          </cell>
          <cell r="W71">
            <v>82513321984</v>
          </cell>
          <cell r="X71">
            <v>93986349056</v>
          </cell>
          <cell r="Y71">
            <v>104652742656</v>
          </cell>
          <cell r="Z71">
            <v>126475395072</v>
          </cell>
          <cell r="AA71">
            <v>153722765312</v>
          </cell>
          <cell r="AB71">
            <v>185119014912</v>
          </cell>
          <cell r="AC71">
            <v>219124482048</v>
          </cell>
          <cell r="AD71">
            <v>246231777280</v>
          </cell>
          <cell r="AE71">
            <v>289841250304</v>
          </cell>
          <cell r="AF71">
            <v>277930967040</v>
          </cell>
          <cell r="AG71">
            <v>291080175616</v>
          </cell>
          <cell r="AH71">
            <v>305837441024</v>
          </cell>
          <cell r="AI71">
            <v>314955005952</v>
          </cell>
          <cell r="AJ71">
            <v>335178989600</v>
          </cell>
          <cell r="AK71">
            <v>342495985700</v>
          </cell>
          <cell r="AL71">
            <v>349705011200</v>
          </cell>
          <cell r="AM71">
            <v>355559997400</v>
          </cell>
          <cell r="AN71">
            <v>361417015300</v>
          </cell>
          <cell r="AO71">
            <v>367824011300</v>
          </cell>
          <cell r="AP71">
            <v>378501005300</v>
          </cell>
          <cell r="AQ71">
            <v>404885995500</v>
          </cell>
          <cell r="AR71">
            <v>425000009700</v>
          </cell>
          <cell r="AS71">
            <v>446249992200</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v>572812000000</v>
          </cell>
          <cell r="BI71">
            <v>592618000000</v>
          </cell>
          <cell r="BJ71">
            <v>616195000000</v>
          </cell>
          <cell r="BK71">
            <v>636343000000</v>
          </cell>
          <cell r="BL71">
            <v>657240000000</v>
          </cell>
          <cell r="BM71">
            <v>609090000000</v>
          </cell>
          <cell r="BN71">
            <v>609090000000</v>
          </cell>
        </row>
        <row r="72">
          <cell r="B72" t="str">
            <v>GAB</v>
          </cell>
          <cell r="C72" t="str">
            <v>GDP (current LCU)</v>
          </cell>
          <cell r="D72" t="str">
            <v>NY.GDP.MKTP.CN</v>
          </cell>
          <cell r="E72">
            <v>34687500300</v>
          </cell>
          <cell r="F72">
            <v>41114890200</v>
          </cell>
          <cell r="G72">
            <v>44787683300</v>
          </cell>
          <cell r="H72">
            <v>37850185700</v>
          </cell>
          <cell r="I72">
            <v>52847427600</v>
          </cell>
          <cell r="J72">
            <v>55500000000</v>
          </cell>
          <cell r="K72">
            <v>60399990000</v>
          </cell>
          <cell r="L72">
            <v>66800000000</v>
          </cell>
          <cell r="M72">
            <v>72900020000</v>
          </cell>
          <cell r="N72">
            <v>82699880000</v>
          </cell>
          <cell r="O72">
            <v>89500020000</v>
          </cell>
          <cell r="P72">
            <v>105100000000</v>
          </cell>
          <cell r="Q72">
            <v>108500000000</v>
          </cell>
          <cell r="R72">
            <v>161100000000</v>
          </cell>
          <cell r="S72">
            <v>371700000000</v>
          </cell>
          <cell r="T72">
            <v>462400000000</v>
          </cell>
          <cell r="U72">
            <v>719100000000</v>
          </cell>
          <cell r="V72">
            <v>690200000000</v>
          </cell>
          <cell r="W72">
            <v>539200000000</v>
          </cell>
          <cell r="X72">
            <v>644600000000</v>
          </cell>
          <cell r="Y72">
            <v>904200000000</v>
          </cell>
          <cell r="Z72">
            <v>1049500000000</v>
          </cell>
          <cell r="AA72">
            <v>1188900000000</v>
          </cell>
          <cell r="AB72">
            <v>1292300000000</v>
          </cell>
          <cell r="AC72">
            <v>1556200000000</v>
          </cell>
          <cell r="AD72">
            <v>1500500000000</v>
          </cell>
          <cell r="AE72">
            <v>1178700000000</v>
          </cell>
          <cell r="AF72">
            <v>986300000500</v>
          </cell>
          <cell r="AG72">
            <v>1142100001300</v>
          </cell>
          <cell r="AH72">
            <v>1335500000000</v>
          </cell>
          <cell r="AI72">
            <v>1620600000000</v>
          </cell>
          <cell r="AJ72">
            <v>1524201000000</v>
          </cell>
          <cell r="AK72">
            <v>1480260000000</v>
          </cell>
          <cell r="AL72">
            <v>1530840000000</v>
          </cell>
          <cell r="AM72">
            <v>2326762580000</v>
          </cell>
          <cell r="AN72">
            <v>2475200000000</v>
          </cell>
          <cell r="AO72">
            <v>2912800000000</v>
          </cell>
          <cell r="AP72">
            <v>3109100000000</v>
          </cell>
          <cell r="AQ72">
            <v>2645000000000</v>
          </cell>
          <cell r="AR72">
            <v>2871000000000</v>
          </cell>
          <cell r="AS72">
            <v>3608200000000</v>
          </cell>
          <cell r="AT72">
            <v>3679028000000</v>
          </cell>
          <cell r="AU72">
            <v>3701273000000</v>
          </cell>
          <cell r="AV72">
            <v>3776236000000</v>
          </cell>
          <cell r="AW72">
            <v>4097532000000</v>
          </cell>
          <cell r="AX72">
            <v>5052603000000</v>
          </cell>
          <cell r="AY72">
            <v>5395402000000</v>
          </cell>
          <cell r="AZ72">
            <v>5961579000000</v>
          </cell>
          <cell r="BA72">
            <v>6944822000000</v>
          </cell>
          <cell r="BB72">
            <v>5696993000000</v>
          </cell>
          <cell r="BC72">
            <v>7111476556500</v>
          </cell>
          <cell r="BD72">
            <v>8581582503200</v>
          </cell>
          <cell r="BE72">
            <v>8766489229800</v>
          </cell>
          <cell r="BF72">
            <v>8690531739900</v>
          </cell>
          <cell r="BG72">
            <v>8988342089900</v>
          </cell>
          <cell r="BH72">
            <v>8503461562900</v>
          </cell>
          <cell r="BI72">
            <v>8310636115400</v>
          </cell>
          <cell r="BJ72">
            <v>8668907682300</v>
          </cell>
          <cell r="BK72">
            <v>9368896705900</v>
          </cell>
          <cell r="BL72">
            <v>9886900000000</v>
          </cell>
          <cell r="BM72">
            <v>8816150720300</v>
          </cell>
          <cell r="BN72">
            <v>8816150720300</v>
          </cell>
        </row>
        <row r="73">
          <cell r="B73" t="str">
            <v>GMB</v>
          </cell>
          <cell r="C73" t="str">
            <v>GDP (current LCU)</v>
          </cell>
          <cell r="D73" t="str">
            <v>NY.GDP.MKTP.CN</v>
          </cell>
          <cell r="E73" t="str">
            <v>..</v>
          </cell>
          <cell r="F73" t="str">
            <v>..</v>
          </cell>
          <cell r="G73" t="str">
            <v>..</v>
          </cell>
          <cell r="H73" t="str">
            <v>..</v>
          </cell>
          <cell r="I73" t="str">
            <v>..</v>
          </cell>
          <cell r="J73" t="str">
            <v>..</v>
          </cell>
          <cell r="K73">
            <v>78950000</v>
          </cell>
          <cell r="L73">
            <v>85700000</v>
          </cell>
          <cell r="M73">
            <v>85750000</v>
          </cell>
          <cell r="N73">
            <v>94100000</v>
          </cell>
          <cell r="O73">
            <v>108950000</v>
          </cell>
          <cell r="P73">
            <v>114500000</v>
          </cell>
          <cell r="Q73">
            <v>118400000</v>
          </cell>
          <cell r="R73">
            <v>128000000</v>
          </cell>
          <cell r="S73">
            <v>163900000</v>
          </cell>
          <cell r="T73">
            <v>208250000</v>
          </cell>
          <cell r="U73">
            <v>249700100</v>
          </cell>
          <cell r="V73">
            <v>316650100</v>
          </cell>
          <cell r="W73">
            <v>358400000</v>
          </cell>
          <cell r="X73">
            <v>391114800</v>
          </cell>
          <cell r="Y73">
            <v>414899900</v>
          </cell>
          <cell r="Z73">
            <v>435385000</v>
          </cell>
          <cell r="AA73">
            <v>494649900</v>
          </cell>
          <cell r="AB73">
            <v>563200100</v>
          </cell>
          <cell r="AC73">
            <v>635600000</v>
          </cell>
          <cell r="AD73">
            <v>878950000</v>
          </cell>
          <cell r="AE73">
            <v>1285600000</v>
          </cell>
          <cell r="AF73">
            <v>1560800000</v>
          </cell>
          <cell r="AG73">
            <v>1788950000</v>
          </cell>
          <cell r="AH73">
            <v>2154650100</v>
          </cell>
          <cell r="AI73">
            <v>2498299900</v>
          </cell>
          <cell r="AJ73">
            <v>6028584000</v>
          </cell>
          <cell r="AK73">
            <v>6353802300</v>
          </cell>
          <cell r="AL73">
            <v>6881759800</v>
          </cell>
          <cell r="AM73">
            <v>7152734100</v>
          </cell>
          <cell r="AN73">
            <v>7501791000</v>
          </cell>
          <cell r="AO73">
            <v>8310348600</v>
          </cell>
          <cell r="AP73">
            <v>8197194300</v>
          </cell>
          <cell r="AQ73">
            <v>8943240100</v>
          </cell>
          <cell r="AR73">
            <v>9283855300</v>
          </cell>
          <cell r="AS73">
            <v>10011609000</v>
          </cell>
          <cell r="AT73">
            <v>10783519400</v>
          </cell>
          <cell r="AU73">
            <v>11517189700</v>
          </cell>
          <cell r="AV73">
            <v>13895461100</v>
          </cell>
          <cell r="AW73">
            <v>28885956400</v>
          </cell>
          <cell r="AX73">
            <v>29367003000</v>
          </cell>
          <cell r="AY73">
            <v>29584431200</v>
          </cell>
          <cell r="AZ73">
            <v>31830608000</v>
          </cell>
          <cell r="BA73">
            <v>34659278900</v>
          </cell>
          <cell r="BB73">
            <v>38638120500</v>
          </cell>
          <cell r="BC73">
            <v>43230706500</v>
          </cell>
          <cell r="BD73">
            <v>41531716100</v>
          </cell>
          <cell r="BE73">
            <v>45389296600</v>
          </cell>
          <cell r="BF73">
            <v>49463596600</v>
          </cell>
          <cell r="BG73">
            <v>51309079300</v>
          </cell>
          <cell r="BH73">
            <v>58581061600</v>
          </cell>
          <cell r="BI73">
            <v>64389939300</v>
          </cell>
          <cell r="BJ73">
            <v>70142188200</v>
          </cell>
          <cell r="BK73">
            <v>80445799900</v>
          </cell>
          <cell r="BL73">
            <v>90739738300</v>
          </cell>
          <cell r="BM73">
            <v>96209618900</v>
          </cell>
          <cell r="BN73">
            <v>96209618900</v>
          </cell>
        </row>
        <row r="74">
          <cell r="B74" t="str">
            <v>GEO</v>
          </cell>
          <cell r="C74" t="str">
            <v>GDP (current LCU)</v>
          </cell>
          <cell r="D74" t="str">
            <v>NY.GDP.MKTP.CN</v>
          </cell>
          <cell r="E74" t="str">
            <v>..</v>
          </cell>
          <cell r="F74" t="str">
            <v>..</v>
          </cell>
          <cell r="G74" t="str">
            <v>..</v>
          </cell>
          <cell r="H74" t="str">
            <v>..</v>
          </cell>
          <cell r="I74" t="str">
            <v>..</v>
          </cell>
          <cell r="J74">
            <v>3900</v>
          </cell>
          <cell r="K74">
            <v>4200</v>
          </cell>
          <cell r="L74">
            <v>4500</v>
          </cell>
          <cell r="M74">
            <v>4700</v>
          </cell>
          <cell r="N74">
            <v>5100</v>
          </cell>
          <cell r="O74">
            <v>5700</v>
          </cell>
          <cell r="P74">
            <v>6000</v>
          </cell>
          <cell r="Q74">
            <v>6100</v>
          </cell>
          <cell r="R74">
            <v>6500</v>
          </cell>
          <cell r="S74">
            <v>7200</v>
          </cell>
          <cell r="T74">
            <v>7800</v>
          </cell>
          <cell r="U74">
            <v>8300</v>
          </cell>
          <cell r="V74">
            <v>9000</v>
          </cell>
          <cell r="W74">
            <v>9700</v>
          </cell>
          <cell r="X74">
            <v>10700</v>
          </cell>
          <cell r="Y74">
            <v>11300</v>
          </cell>
          <cell r="Z74">
            <v>12300</v>
          </cell>
          <cell r="AA74">
            <v>13000</v>
          </cell>
          <cell r="AB74">
            <v>13200</v>
          </cell>
          <cell r="AC74">
            <v>14000</v>
          </cell>
          <cell r="AD74">
            <v>14000</v>
          </cell>
          <cell r="AE74">
            <v>13700</v>
          </cell>
          <cell r="AF74">
            <v>14200</v>
          </cell>
          <cell r="AG74">
            <v>14600</v>
          </cell>
          <cell r="AH74">
            <v>14400</v>
          </cell>
          <cell r="AI74">
            <v>15000</v>
          </cell>
          <cell r="AJ74">
            <v>19200</v>
          </cell>
          <cell r="AK74">
            <v>149200</v>
          </cell>
          <cell r="AL74">
            <v>16396900</v>
          </cell>
          <cell r="AM74">
            <v>902300000</v>
          </cell>
          <cell r="AN74">
            <v>2432203500</v>
          </cell>
          <cell r="AO74">
            <v>3868500000</v>
          </cell>
          <cell r="AP74">
            <v>4554900000</v>
          </cell>
          <cell r="AQ74">
            <v>5022100000</v>
          </cell>
          <cell r="AR74">
            <v>5668700000</v>
          </cell>
          <cell r="AS74">
            <v>6043100000</v>
          </cell>
          <cell r="AT74">
            <v>6674000000</v>
          </cell>
          <cell r="AU74">
            <v>7456000000</v>
          </cell>
          <cell r="AV74">
            <v>8564100000</v>
          </cell>
          <cell r="AW74">
            <v>9824300000</v>
          </cell>
          <cell r="AX74">
            <v>11620900000</v>
          </cell>
          <cell r="AY74">
            <v>13789900000</v>
          </cell>
          <cell r="AZ74">
            <v>16993800000</v>
          </cell>
          <cell r="BA74">
            <v>19074900000</v>
          </cell>
          <cell r="BB74">
            <v>17986000000</v>
          </cell>
          <cell r="BC74">
            <v>21821600000</v>
          </cell>
          <cell r="BD74">
            <v>25478700000</v>
          </cell>
          <cell r="BE74">
            <v>27227300000</v>
          </cell>
          <cell r="BF74">
            <v>28593100000</v>
          </cell>
          <cell r="BG74">
            <v>31124000000</v>
          </cell>
          <cell r="BH74">
            <v>33935000000</v>
          </cell>
          <cell r="BI74">
            <v>35836000000</v>
          </cell>
          <cell r="BJ74">
            <v>40761600000</v>
          </cell>
          <cell r="BK74">
            <v>44599400000</v>
          </cell>
          <cell r="BL74">
            <v>49252653900</v>
          </cell>
          <cell r="BM74">
            <v>49266736200</v>
          </cell>
          <cell r="BN74">
            <v>49266736200</v>
          </cell>
        </row>
        <row r="75">
          <cell r="B75" t="str">
            <v>DEU</v>
          </cell>
          <cell r="C75" t="str">
            <v>GDP (current LCU)</v>
          </cell>
          <cell r="D75" t="str">
            <v>NY.GDP.MKTP.CN</v>
          </cell>
          <cell r="E75" t="str">
            <v>..</v>
          </cell>
          <cell r="F75" t="str">
            <v>..</v>
          </cell>
          <cell r="G75" t="str">
            <v>..</v>
          </cell>
          <cell r="H75" t="str">
            <v>..</v>
          </cell>
          <cell r="I75" t="str">
            <v>..</v>
          </cell>
          <cell r="J75" t="str">
            <v>..</v>
          </cell>
          <cell r="K75" t="str">
            <v>..</v>
          </cell>
          <cell r="L75" t="str">
            <v>..</v>
          </cell>
          <cell r="M75" t="str">
            <v>..</v>
          </cell>
          <cell r="N75" t="str">
            <v>..</v>
          </cell>
          <cell r="O75">
            <v>403898488000</v>
          </cell>
          <cell r="P75">
            <v>448298200000</v>
          </cell>
          <cell r="Q75">
            <v>488766454000</v>
          </cell>
          <cell r="R75">
            <v>544378101000</v>
          </cell>
          <cell r="S75">
            <v>589181040000</v>
          </cell>
          <cell r="T75">
            <v>617171675000</v>
          </cell>
          <cell r="U75">
            <v>669131883000</v>
          </cell>
          <cell r="V75">
            <v>712971558000</v>
          </cell>
          <cell r="W75">
            <v>760462673000</v>
          </cell>
          <cell r="X75">
            <v>825908565000</v>
          </cell>
          <cell r="Y75">
            <v>883200322000</v>
          </cell>
          <cell r="Z75">
            <v>924945460000</v>
          </cell>
          <cell r="AA75">
            <v>963498388000</v>
          </cell>
          <cell r="AB75">
            <v>1006128384000</v>
          </cell>
          <cell r="AC75">
            <v>1055109196000</v>
          </cell>
          <cell r="AD75">
            <v>1102611512000</v>
          </cell>
          <cell r="AE75">
            <v>1161661784000</v>
          </cell>
          <cell r="AF75">
            <v>1193023841000</v>
          </cell>
          <cell r="AG75">
            <v>1258167313000</v>
          </cell>
          <cell r="AH75">
            <v>1344827397000</v>
          </cell>
          <cell r="AI75">
            <v>1463577584000</v>
          </cell>
          <cell r="AJ75">
            <v>1585800000000</v>
          </cell>
          <cell r="AK75">
            <v>1702060000000</v>
          </cell>
          <cell r="AL75">
            <v>1750890000000</v>
          </cell>
          <cell r="AM75">
            <v>1829550000000</v>
          </cell>
          <cell r="AN75">
            <v>1894610000000</v>
          </cell>
          <cell r="AO75">
            <v>1921380000000</v>
          </cell>
          <cell r="AP75">
            <v>1961150000000</v>
          </cell>
          <cell r="AQ75">
            <v>2014420000000</v>
          </cell>
          <cell r="AR75">
            <v>2059480000000</v>
          </cell>
          <cell r="AS75">
            <v>2109090000000</v>
          </cell>
          <cell r="AT75">
            <v>2172540000000</v>
          </cell>
          <cell r="AU75">
            <v>2198120000000</v>
          </cell>
          <cell r="AV75">
            <v>2211570000000</v>
          </cell>
          <cell r="AW75">
            <v>2262520000000</v>
          </cell>
          <cell r="AX75">
            <v>2288310000000</v>
          </cell>
          <cell r="AY75">
            <v>2385080000000</v>
          </cell>
          <cell r="AZ75">
            <v>2499550000000</v>
          </cell>
          <cell r="BA75">
            <v>2546490000000</v>
          </cell>
          <cell r="BB75">
            <v>2445730000000</v>
          </cell>
          <cell r="BC75">
            <v>2564400000000</v>
          </cell>
          <cell r="BD75">
            <v>2693560000000</v>
          </cell>
          <cell r="BE75">
            <v>2745310000000</v>
          </cell>
          <cell r="BF75">
            <v>2811350000000</v>
          </cell>
          <cell r="BG75">
            <v>2927430000000</v>
          </cell>
          <cell r="BH75">
            <v>3026180000000</v>
          </cell>
          <cell r="BI75">
            <v>3134740000000</v>
          </cell>
          <cell r="BJ75">
            <v>3267160000000</v>
          </cell>
          <cell r="BK75">
            <v>3367860000000</v>
          </cell>
          <cell r="BL75">
            <v>3473350000000</v>
          </cell>
          <cell r="BM75">
            <v>3367560000000</v>
          </cell>
          <cell r="BN75">
            <v>3367560000000</v>
          </cell>
        </row>
        <row r="76">
          <cell r="B76" t="str">
            <v>GHA</v>
          </cell>
          <cell r="C76" t="str">
            <v>GDP (current LCU)</v>
          </cell>
          <cell r="D76" t="str">
            <v>NY.GDP.MKTP.CN</v>
          </cell>
          <cell r="E76">
            <v>86900</v>
          </cell>
          <cell r="F76">
            <v>93000</v>
          </cell>
          <cell r="G76">
            <v>98700</v>
          </cell>
          <cell r="H76">
            <v>110000</v>
          </cell>
          <cell r="I76">
            <v>123600</v>
          </cell>
          <cell r="J76">
            <v>146600</v>
          </cell>
          <cell r="K76">
            <v>151800</v>
          </cell>
          <cell r="L76">
            <v>150400</v>
          </cell>
          <cell r="M76">
            <v>170000</v>
          </cell>
          <cell r="N76">
            <v>200100</v>
          </cell>
          <cell r="O76">
            <v>225900</v>
          </cell>
          <cell r="P76">
            <v>250000</v>
          </cell>
          <cell r="Q76">
            <v>281500</v>
          </cell>
          <cell r="R76">
            <v>350100</v>
          </cell>
          <cell r="S76">
            <v>466000</v>
          </cell>
          <cell r="T76">
            <v>528300</v>
          </cell>
          <cell r="U76">
            <v>652600</v>
          </cell>
          <cell r="V76">
            <v>1116300</v>
          </cell>
          <cell r="W76">
            <v>2098600</v>
          </cell>
          <cell r="X76">
            <v>2822200</v>
          </cell>
          <cell r="Y76">
            <v>4285200</v>
          </cell>
          <cell r="Z76">
            <v>7262600</v>
          </cell>
          <cell r="AA76">
            <v>8645100</v>
          </cell>
          <cell r="AB76">
            <v>18403800</v>
          </cell>
          <cell r="AC76">
            <v>27056100</v>
          </cell>
          <cell r="AD76">
            <v>34304800</v>
          </cell>
          <cell r="AE76">
            <v>51139300</v>
          </cell>
          <cell r="AF76">
            <v>74600000</v>
          </cell>
          <cell r="AG76">
            <v>105119600</v>
          </cell>
          <cell r="AH76">
            <v>141721400</v>
          </cell>
          <cell r="AI76">
            <v>192079100</v>
          </cell>
          <cell r="AJ76">
            <v>242752900</v>
          </cell>
          <cell r="AK76">
            <v>280287500</v>
          </cell>
          <cell r="AL76">
            <v>387210000</v>
          </cell>
          <cell r="AM76">
            <v>520500000</v>
          </cell>
          <cell r="AN76">
            <v>775170000</v>
          </cell>
          <cell r="AO76">
            <v>1133870000</v>
          </cell>
          <cell r="AP76">
            <v>1411340000</v>
          </cell>
          <cell r="AQ76">
            <v>1729600000</v>
          </cell>
          <cell r="AR76">
            <v>2057980000</v>
          </cell>
          <cell r="AS76">
            <v>2715250000</v>
          </cell>
          <cell r="AT76">
            <v>3807070000</v>
          </cell>
          <cell r="AU76">
            <v>4886200000</v>
          </cell>
          <cell r="AV76">
            <v>6615770000</v>
          </cell>
          <cell r="AW76">
            <v>7988791000</v>
          </cell>
          <cell r="AX76">
            <v>9726080000</v>
          </cell>
          <cell r="AY76">
            <v>18705461200</v>
          </cell>
          <cell r="AZ76">
            <v>23154448200</v>
          </cell>
          <cell r="BA76">
            <v>30178598000</v>
          </cell>
          <cell r="BB76">
            <v>36597592000</v>
          </cell>
          <cell r="BC76">
            <v>46042100100</v>
          </cell>
          <cell r="BD76">
            <v>59816320900</v>
          </cell>
          <cell r="BE76">
            <v>75315365300</v>
          </cell>
          <cell r="BF76">
            <v>124477578800</v>
          </cell>
          <cell r="BG76">
            <v>158683996800</v>
          </cell>
          <cell r="BH76">
            <v>183525639100</v>
          </cell>
          <cell r="BI76">
            <v>219594593000</v>
          </cell>
          <cell r="BJ76">
            <v>262797968800</v>
          </cell>
          <cell r="BK76">
            <v>308587391700</v>
          </cell>
          <cell r="BL76">
            <v>356544269800</v>
          </cell>
          <cell r="BM76">
            <v>383486089300</v>
          </cell>
          <cell r="BN76">
            <v>383486089300</v>
          </cell>
        </row>
        <row r="77">
          <cell r="B77" t="str">
            <v>GIB</v>
          </cell>
          <cell r="C77" t="str">
            <v>GDP (current LCU)</v>
          </cell>
          <cell r="D77" t="str">
            <v>NY.GDP.MKTP.CN</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
          </cell>
        </row>
        <row r="78">
          <cell r="B78" t="str">
            <v>GRC</v>
          </cell>
          <cell r="C78" t="str">
            <v>GDP (current LCU)</v>
          </cell>
          <cell r="D78" t="str">
            <v>NY.GDP.MKTP.CN</v>
          </cell>
          <cell r="E78">
            <v>381674500</v>
          </cell>
          <cell r="F78">
            <v>436807100</v>
          </cell>
          <cell r="G78">
            <v>458962400</v>
          </cell>
          <cell r="H78">
            <v>519026700</v>
          </cell>
          <cell r="I78">
            <v>587205300</v>
          </cell>
          <cell r="J78">
            <v>676961500</v>
          </cell>
          <cell r="K78">
            <v>756406600</v>
          </cell>
          <cell r="L78">
            <v>816634000</v>
          </cell>
          <cell r="M78">
            <v>888394100</v>
          </cell>
          <cell r="N78">
            <v>1022655100</v>
          </cell>
          <cell r="O78">
            <v>1156308000</v>
          </cell>
          <cell r="P78">
            <v>1284074000</v>
          </cell>
          <cell r="Q78">
            <v>1485925000</v>
          </cell>
          <cell r="R78">
            <v>1942028000</v>
          </cell>
          <cell r="S78">
            <v>2230915000</v>
          </cell>
          <cell r="T78">
            <v>2684285000</v>
          </cell>
          <cell r="U78">
            <v>3339584000</v>
          </cell>
          <cell r="V78">
            <v>3910651000</v>
          </cell>
          <cell r="W78">
            <v>4772328000</v>
          </cell>
          <cell r="X78">
            <v>5922180000</v>
          </cell>
          <cell r="Y78">
            <v>7109391000</v>
          </cell>
          <cell r="Z78">
            <v>8511542000</v>
          </cell>
          <cell r="AA78">
            <v>10705126000</v>
          </cell>
          <cell r="AB78">
            <v>12772421000</v>
          </cell>
          <cell r="AC78">
            <v>15885024000</v>
          </cell>
          <cell r="AD78">
            <v>19381791000</v>
          </cell>
          <cell r="AE78">
            <v>23160737000</v>
          </cell>
          <cell r="AF78">
            <v>26090403000</v>
          </cell>
          <cell r="AG78">
            <v>31747570000</v>
          </cell>
          <cell r="AH78">
            <v>37731966000</v>
          </cell>
          <cell r="AI78">
            <v>45538936000</v>
          </cell>
          <cell r="AJ78">
            <v>56241115000</v>
          </cell>
          <cell r="AK78">
            <v>65016082000</v>
          </cell>
          <cell r="AL78">
            <v>73206735000</v>
          </cell>
          <cell r="AM78">
            <v>83020483000</v>
          </cell>
          <cell r="AN78">
            <v>93063601000</v>
          </cell>
          <cell r="AO78">
            <v>103036643000</v>
          </cell>
          <cell r="AP78">
            <v>114712185000</v>
          </cell>
          <cell r="AQ78">
            <v>125262554000</v>
          </cell>
          <cell r="AR78">
            <v>133788728000</v>
          </cell>
          <cell r="AS78">
            <v>141247276000</v>
          </cell>
          <cell r="AT78">
            <v>152193838000</v>
          </cell>
          <cell r="AU78">
            <v>163460764000</v>
          </cell>
          <cell r="AV78">
            <v>178904903000</v>
          </cell>
          <cell r="AW78">
            <v>193715824000</v>
          </cell>
          <cell r="AX78">
            <v>199242312000</v>
          </cell>
          <cell r="AY78">
            <v>217861568000</v>
          </cell>
          <cell r="AZ78">
            <v>232694593000</v>
          </cell>
          <cell r="BA78">
            <v>241990390000</v>
          </cell>
          <cell r="BB78">
            <v>237534181000</v>
          </cell>
          <cell r="BC78">
            <v>224124030000</v>
          </cell>
          <cell r="BD78">
            <v>203308218000</v>
          </cell>
          <cell r="BE78">
            <v>188380636000</v>
          </cell>
          <cell r="BF78">
            <v>179884380000</v>
          </cell>
          <cell r="BG78">
            <v>177235976000</v>
          </cell>
          <cell r="BH78">
            <v>176368863000</v>
          </cell>
          <cell r="BI78">
            <v>174494176000</v>
          </cell>
          <cell r="BJ78">
            <v>176903369000</v>
          </cell>
          <cell r="BK78">
            <v>179557676000</v>
          </cell>
          <cell r="BL78">
            <v>183250401000</v>
          </cell>
          <cell r="BM78">
            <v>165326427000</v>
          </cell>
          <cell r="BN78">
            <v>165326427000</v>
          </cell>
        </row>
        <row r="79">
          <cell r="B79" t="str">
            <v>GRL</v>
          </cell>
          <cell r="C79" t="str">
            <v>GDP (current LCU)</v>
          </cell>
          <cell r="D79" t="str">
            <v>NY.GDP.MKTP.CN</v>
          </cell>
          <cell r="E79" t="str">
            <v>..</v>
          </cell>
          <cell r="F79" t="str">
            <v>..</v>
          </cell>
          <cell r="G79" t="str">
            <v>..</v>
          </cell>
          <cell r="H79" t="str">
            <v>..</v>
          </cell>
          <cell r="I79" t="str">
            <v>..</v>
          </cell>
          <cell r="J79" t="str">
            <v>..</v>
          </cell>
          <cell r="K79" t="str">
            <v>..</v>
          </cell>
          <cell r="L79" t="str">
            <v>..</v>
          </cell>
          <cell r="M79" t="str">
            <v>..</v>
          </cell>
          <cell r="N79" t="str">
            <v>..</v>
          </cell>
          <cell r="O79">
            <v>521400200</v>
          </cell>
          <cell r="P79">
            <v>656983900</v>
          </cell>
          <cell r="Q79">
            <v>737328900</v>
          </cell>
          <cell r="R79">
            <v>847860100</v>
          </cell>
          <cell r="S79">
            <v>1035639000</v>
          </cell>
          <cell r="T79">
            <v>1213543600</v>
          </cell>
          <cell r="U79">
            <v>1455517600</v>
          </cell>
          <cell r="V79">
            <v>1694519500</v>
          </cell>
          <cell r="W79">
            <v>1963137200</v>
          </cell>
          <cell r="X79">
            <v>2213000000</v>
          </cell>
          <cell r="Y79">
            <v>2683000000</v>
          </cell>
          <cell r="Z79">
            <v>3104000000</v>
          </cell>
          <cell r="AA79">
            <v>3353000000</v>
          </cell>
          <cell r="AB79">
            <v>3806000000</v>
          </cell>
          <cell r="AC79">
            <v>3929000000</v>
          </cell>
          <cell r="AD79">
            <v>4375000000</v>
          </cell>
          <cell r="AE79">
            <v>4879000000</v>
          </cell>
          <cell r="AF79">
            <v>5386000000</v>
          </cell>
          <cell r="AG79">
            <v>6049000000</v>
          </cell>
          <cell r="AH79">
            <v>6797000000</v>
          </cell>
          <cell r="AI79">
            <v>6306000000</v>
          </cell>
          <cell r="AJ79">
            <v>6502000000</v>
          </cell>
          <cell r="AK79">
            <v>6265000000</v>
          </cell>
          <cell r="AL79">
            <v>6012000000</v>
          </cell>
          <cell r="AM79">
            <v>6398000000</v>
          </cell>
          <cell r="AN79">
            <v>6773000000</v>
          </cell>
          <cell r="AO79">
            <v>6944000000</v>
          </cell>
          <cell r="AP79">
            <v>7081000000</v>
          </cell>
          <cell r="AQ79">
            <v>7705000000</v>
          </cell>
          <cell r="AR79">
            <v>7894000000</v>
          </cell>
          <cell r="AS79">
            <v>8633000000</v>
          </cell>
          <cell r="AT79">
            <v>9040000000</v>
          </cell>
          <cell r="AU79">
            <v>9230000000</v>
          </cell>
          <cell r="AV79">
            <v>10268600000</v>
          </cell>
          <cell r="AW79">
            <v>10918700000</v>
          </cell>
          <cell r="AX79">
            <v>11093100000</v>
          </cell>
          <cell r="AY79">
            <v>11971500000</v>
          </cell>
          <cell r="AZ79">
            <v>12247300000</v>
          </cell>
          <cell r="BA79">
            <v>12740700000</v>
          </cell>
          <cell r="BB79">
            <v>13562800000</v>
          </cell>
          <cell r="BC79">
            <v>14078000000</v>
          </cell>
          <cell r="BD79">
            <v>14412100000</v>
          </cell>
          <cell r="BE79">
            <v>15116500000</v>
          </cell>
          <cell r="BF79">
            <v>15079500000</v>
          </cell>
          <cell r="BG79">
            <v>15951000000</v>
          </cell>
          <cell r="BH79">
            <v>16813800000</v>
          </cell>
          <cell r="BI79">
            <v>18223700000</v>
          </cell>
          <cell r="BJ79">
            <v>18828900000</v>
          </cell>
          <cell r="BK79">
            <v>19199000000</v>
          </cell>
          <cell r="BL79">
            <v>19889800000</v>
          </cell>
          <cell r="BM79" t="str">
            <v>..</v>
          </cell>
          <cell r="BN79">
            <v>19889800000</v>
          </cell>
        </row>
        <row r="80">
          <cell r="B80" t="str">
            <v>GRD</v>
          </cell>
          <cell r="C80" t="str">
            <v>GDP (current LCU)</v>
          </cell>
          <cell r="D80" t="str">
            <v>NY.GDP.MKTP.CN</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v>193035137</v>
          </cell>
          <cell r="W80">
            <v>238470443</v>
          </cell>
          <cell r="X80">
            <v>276059778</v>
          </cell>
          <cell r="Y80">
            <v>299431234</v>
          </cell>
          <cell r="Z80">
            <v>312260181</v>
          </cell>
          <cell r="AA80">
            <v>338676093</v>
          </cell>
          <cell r="AB80">
            <v>355869591</v>
          </cell>
          <cell r="AC80">
            <v>392939939</v>
          </cell>
          <cell r="AD80">
            <v>452866829</v>
          </cell>
          <cell r="AE80">
            <v>506491711</v>
          </cell>
          <cell r="AF80">
            <v>580525838</v>
          </cell>
          <cell r="AG80">
            <v>638165314</v>
          </cell>
          <cell r="AH80">
            <v>721784634</v>
          </cell>
          <cell r="AI80">
            <v>750866660</v>
          </cell>
          <cell r="AJ80">
            <v>812046300</v>
          </cell>
          <cell r="AK80">
            <v>837433200</v>
          </cell>
          <cell r="AL80">
            <v>836492900</v>
          </cell>
          <cell r="AM80">
            <v>877801900</v>
          </cell>
          <cell r="AN80">
            <v>923865800</v>
          </cell>
          <cell r="AO80">
            <v>990660900</v>
          </cell>
          <cell r="AP80">
            <v>1058914600</v>
          </cell>
          <cell r="AQ80">
            <v>1203939700</v>
          </cell>
          <cell r="AR80">
            <v>1301425300</v>
          </cell>
          <cell r="AS80">
            <v>1404119800</v>
          </cell>
          <cell r="AT80">
            <v>1405199300</v>
          </cell>
          <cell r="AU80">
            <v>1458909700</v>
          </cell>
          <cell r="AV80">
            <v>1595749700</v>
          </cell>
          <cell r="AW80">
            <v>1617620200</v>
          </cell>
          <cell r="AX80">
            <v>1878000000</v>
          </cell>
          <cell r="AY80">
            <v>1886491800</v>
          </cell>
          <cell r="AZ80">
            <v>2048445700</v>
          </cell>
          <cell r="BA80">
            <v>2230135300</v>
          </cell>
          <cell r="BB80">
            <v>2082444000</v>
          </cell>
          <cell r="BC80">
            <v>2081735800</v>
          </cell>
          <cell r="BD80">
            <v>2102371000</v>
          </cell>
          <cell r="BE80">
            <v>2159682100</v>
          </cell>
          <cell r="BF80">
            <v>2275074300</v>
          </cell>
          <cell r="BG80">
            <v>2461043000</v>
          </cell>
          <cell r="BH80">
            <v>2691921400</v>
          </cell>
          <cell r="BI80">
            <v>2866430000</v>
          </cell>
          <cell r="BJ80">
            <v>3039350000</v>
          </cell>
          <cell r="BK80">
            <v>3149613600</v>
          </cell>
          <cell r="BL80">
            <v>3274274900</v>
          </cell>
          <cell r="BM80">
            <v>2813671500</v>
          </cell>
          <cell r="BN80">
            <v>2813671500</v>
          </cell>
        </row>
        <row r="81">
          <cell r="B81" t="str">
            <v>GUM</v>
          </cell>
          <cell r="C81" t="str">
            <v>GDP (current LCU)</v>
          </cell>
          <cell r="D81" t="str">
            <v>NY.GDP.MKTP.CN</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v>3394000000</v>
          </cell>
          <cell r="AV81">
            <v>3569000000</v>
          </cell>
          <cell r="AW81">
            <v>3869000000</v>
          </cell>
          <cell r="AX81">
            <v>4213000000</v>
          </cell>
          <cell r="AY81">
            <v>4238000000</v>
          </cell>
          <cell r="AZ81">
            <v>4397000000</v>
          </cell>
          <cell r="BA81">
            <v>4658000000</v>
          </cell>
          <cell r="BB81">
            <v>4828000000</v>
          </cell>
          <cell r="BC81">
            <v>4949000000</v>
          </cell>
          <cell r="BD81">
            <v>4984000000</v>
          </cell>
          <cell r="BE81">
            <v>5265000000</v>
          </cell>
          <cell r="BF81">
            <v>5399000000</v>
          </cell>
          <cell r="BG81">
            <v>5610000000</v>
          </cell>
          <cell r="BH81">
            <v>5799000000</v>
          </cell>
          <cell r="BI81">
            <v>5901000000</v>
          </cell>
          <cell r="BJ81">
            <v>6013000000</v>
          </cell>
          <cell r="BK81">
            <v>6060000000</v>
          </cell>
          <cell r="BL81">
            <v>6364000000</v>
          </cell>
          <cell r="BM81">
            <v>5844000000</v>
          </cell>
          <cell r="BN81">
            <v>5844000000</v>
          </cell>
        </row>
        <row r="82">
          <cell r="B82" t="str">
            <v>GTM</v>
          </cell>
          <cell r="C82" t="str">
            <v>GDP (current LCU)</v>
          </cell>
          <cell r="D82" t="str">
            <v>NY.GDP.MKTP.CN</v>
          </cell>
          <cell r="E82">
            <v>1043599900</v>
          </cell>
          <cell r="F82">
            <v>1076699900</v>
          </cell>
          <cell r="G82">
            <v>1143600000</v>
          </cell>
          <cell r="H82">
            <v>1262800000</v>
          </cell>
          <cell r="I82">
            <v>1299099900</v>
          </cell>
          <cell r="J82">
            <v>1331399900</v>
          </cell>
          <cell r="K82">
            <v>1390700000</v>
          </cell>
          <cell r="L82">
            <v>1453500000</v>
          </cell>
          <cell r="M82">
            <v>1610500000</v>
          </cell>
          <cell r="N82">
            <v>1715399900</v>
          </cell>
          <cell r="O82">
            <v>1904000000</v>
          </cell>
          <cell r="P82">
            <v>1984800000</v>
          </cell>
          <cell r="Q82">
            <v>2101300000</v>
          </cell>
          <cell r="R82">
            <v>2569200100</v>
          </cell>
          <cell r="S82">
            <v>3161499900</v>
          </cell>
          <cell r="T82">
            <v>3645900000</v>
          </cell>
          <cell r="U82">
            <v>4365300200</v>
          </cell>
          <cell r="V82">
            <v>5480500200</v>
          </cell>
          <cell r="W82">
            <v>6070600200</v>
          </cell>
          <cell r="X82">
            <v>6902600200</v>
          </cell>
          <cell r="Y82">
            <v>7878700000</v>
          </cell>
          <cell r="Z82">
            <v>8607500300</v>
          </cell>
          <cell r="AA82">
            <v>8716999700</v>
          </cell>
          <cell r="AB82">
            <v>9050000400</v>
          </cell>
          <cell r="AC82">
            <v>9470000100</v>
          </cell>
          <cell r="AD82">
            <v>11179899900</v>
          </cell>
          <cell r="AE82">
            <v>15838000100</v>
          </cell>
          <cell r="AF82">
            <v>17710999600</v>
          </cell>
          <cell r="AG82">
            <v>20544999400</v>
          </cell>
          <cell r="AH82">
            <v>23684599800</v>
          </cell>
          <cell r="AI82">
            <v>34316931700</v>
          </cell>
          <cell r="AJ82">
            <v>47302324900</v>
          </cell>
          <cell r="AK82">
            <v>53985418500</v>
          </cell>
          <cell r="AL82">
            <v>64243235700</v>
          </cell>
          <cell r="AM82">
            <v>74669184400</v>
          </cell>
          <cell r="AN82">
            <v>85156693000</v>
          </cell>
          <cell r="AO82">
            <v>95478558700</v>
          </cell>
          <cell r="AP82">
            <v>107873382000</v>
          </cell>
          <cell r="AQ82">
            <v>124022534000</v>
          </cell>
          <cell r="AR82">
            <v>135286970000</v>
          </cell>
          <cell r="AS82">
            <v>149743023000</v>
          </cell>
          <cell r="AT82">
            <v>144639135000</v>
          </cell>
          <cell r="AU82">
            <v>159908446000</v>
          </cell>
          <cell r="AV82">
            <v>171335652000</v>
          </cell>
          <cell r="AW82">
            <v>187356905000</v>
          </cell>
          <cell r="AX82">
            <v>204462894000</v>
          </cell>
          <cell r="AY82">
            <v>226134533000</v>
          </cell>
          <cell r="AZ82">
            <v>257576324000</v>
          </cell>
          <cell r="BA82">
            <v>291089203000</v>
          </cell>
          <cell r="BB82">
            <v>303007101000</v>
          </cell>
          <cell r="BC82">
            <v>327762554000</v>
          </cell>
          <cell r="BD82">
            <v>364949303000</v>
          </cell>
          <cell r="BE82">
            <v>388499254000</v>
          </cell>
          <cell r="BF82">
            <v>416383221000</v>
          </cell>
          <cell r="BG82">
            <v>447326327000</v>
          </cell>
          <cell r="BH82">
            <v>476022821000</v>
          </cell>
          <cell r="BI82">
            <v>502001705000</v>
          </cell>
          <cell r="BJ82">
            <v>526507414000</v>
          </cell>
          <cell r="BK82">
            <v>550469983000</v>
          </cell>
          <cell r="BL82">
            <v>592799951000</v>
          </cell>
          <cell r="BM82">
            <v>599235808000</v>
          </cell>
          <cell r="BN82">
            <v>599235808000</v>
          </cell>
        </row>
        <row r="83">
          <cell r="B83" t="str">
            <v>GIN</v>
          </cell>
          <cell r="C83" t="str">
            <v>GDP (current LCU)</v>
          </cell>
          <cell r="D83" t="str">
            <v>NY.GDP.MKTP.CN</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665300000000</v>
          </cell>
          <cell r="AF83">
            <v>874600000000</v>
          </cell>
          <cell r="AG83">
            <v>1131100000000</v>
          </cell>
          <cell r="AH83">
            <v>1438900000000</v>
          </cell>
          <cell r="AI83">
            <v>1760500000000</v>
          </cell>
          <cell r="AJ83">
            <v>2272926000000</v>
          </cell>
          <cell r="AK83">
            <v>2962732000000</v>
          </cell>
          <cell r="AL83">
            <v>3133145000000</v>
          </cell>
          <cell r="AM83">
            <v>3304051600000</v>
          </cell>
          <cell r="AN83">
            <v>3661987100000</v>
          </cell>
          <cell r="AO83">
            <v>3884508400000</v>
          </cell>
          <cell r="AP83">
            <v>4144383600000</v>
          </cell>
          <cell r="AQ83">
            <v>4438216900000</v>
          </cell>
          <cell r="AR83">
            <v>4802187900000</v>
          </cell>
          <cell r="AS83">
            <v>5232506216200</v>
          </cell>
          <cell r="AT83">
            <v>5518979789300</v>
          </cell>
          <cell r="AU83">
            <v>5829131709300</v>
          </cell>
          <cell r="AV83">
            <v>6840950000000</v>
          </cell>
          <cell r="AW83">
            <v>8157718293700</v>
          </cell>
          <cell r="AX83">
            <v>10703668445900</v>
          </cell>
          <cell r="AY83">
            <v>21727824076100</v>
          </cell>
          <cell r="AZ83">
            <v>26369932403900</v>
          </cell>
          <cell r="BA83">
            <v>32047000718700</v>
          </cell>
          <cell r="BB83">
            <v>32248417681100</v>
          </cell>
          <cell r="BC83">
            <v>39243443548900</v>
          </cell>
          <cell r="BD83">
            <v>45175655671100</v>
          </cell>
          <cell r="BE83">
            <v>53358078041700</v>
          </cell>
          <cell r="BF83">
            <v>57864627320100</v>
          </cell>
          <cell r="BG83">
            <v>61573256815100</v>
          </cell>
          <cell r="BH83">
            <v>65829149255300</v>
          </cell>
          <cell r="BI83">
            <v>77087903007200</v>
          </cell>
          <cell r="BJ83">
            <v>93833883938300</v>
          </cell>
          <cell r="BK83">
            <v>106845291575900</v>
          </cell>
          <cell r="BL83">
            <v>124109147163700</v>
          </cell>
          <cell r="BM83">
            <v>149990791901800</v>
          </cell>
          <cell r="BN83">
            <v>149990791901800</v>
          </cell>
        </row>
        <row r="84">
          <cell r="B84" t="str">
            <v>GNB</v>
          </cell>
          <cell r="C84" t="str">
            <v>GDP (current LCU)</v>
          </cell>
          <cell r="D84" t="str">
            <v>NY.GDP.MKTP.CN</v>
          </cell>
          <cell r="E84" t="str">
            <v>..</v>
          </cell>
          <cell r="F84" t="str">
            <v>..</v>
          </cell>
          <cell r="G84" t="str">
            <v>..</v>
          </cell>
          <cell r="H84" t="str">
            <v>..</v>
          </cell>
          <cell r="I84" t="str">
            <v>..</v>
          </cell>
          <cell r="J84" t="str">
            <v>..</v>
          </cell>
          <cell r="K84" t="str">
            <v>..</v>
          </cell>
          <cell r="L84" t="str">
            <v>..</v>
          </cell>
          <cell r="M84" t="str">
            <v>..</v>
          </cell>
          <cell r="N84" t="str">
            <v>..</v>
          </cell>
          <cell r="O84">
            <v>43230800</v>
          </cell>
          <cell r="P84">
            <v>42290800</v>
          </cell>
          <cell r="Q84">
            <v>47224600</v>
          </cell>
          <cell r="R84">
            <v>52730800</v>
          </cell>
          <cell r="S84">
            <v>60055400</v>
          </cell>
          <cell r="T84">
            <v>69432300</v>
          </cell>
          <cell r="U84">
            <v>73967600</v>
          </cell>
          <cell r="V84">
            <v>70769200</v>
          </cell>
          <cell r="W84">
            <v>85130800</v>
          </cell>
          <cell r="X84">
            <v>90544700</v>
          </cell>
          <cell r="Y84">
            <v>84880000</v>
          </cell>
          <cell r="Z84">
            <v>102123100</v>
          </cell>
          <cell r="AA84">
            <v>124015400</v>
          </cell>
          <cell r="AB84">
            <v>147723100</v>
          </cell>
          <cell r="AC84">
            <v>256923100</v>
          </cell>
          <cell r="AD84">
            <v>354107700</v>
          </cell>
          <cell r="AE84">
            <v>747892300</v>
          </cell>
          <cell r="AF84">
            <v>1495015000</v>
          </cell>
          <cell r="AG84">
            <v>2807696500</v>
          </cell>
          <cell r="AH84">
            <v>5935688700</v>
          </cell>
          <cell r="AI84">
            <v>8202590300</v>
          </cell>
          <cell r="AJ84">
            <v>14474043100</v>
          </cell>
          <cell r="AK84">
            <v>24142122400</v>
          </cell>
          <cell r="AL84">
            <v>36741684100</v>
          </cell>
          <cell r="AM84">
            <v>46733020800</v>
          </cell>
          <cell r="AN84">
            <v>70612734500</v>
          </cell>
          <cell r="AO84">
            <v>109721473400</v>
          </cell>
          <cell r="AP84">
            <v>156745000000</v>
          </cell>
          <cell r="AQ84">
            <v>121800000000</v>
          </cell>
          <cell r="AR84">
            <v>138191608900</v>
          </cell>
          <cell r="AS84">
            <v>263555000000</v>
          </cell>
          <cell r="AT84">
            <v>287555000000</v>
          </cell>
          <cell r="AU84">
            <v>289838000000</v>
          </cell>
          <cell r="AV84">
            <v>276877000000</v>
          </cell>
          <cell r="AW84">
            <v>280577000000</v>
          </cell>
          <cell r="AX84">
            <v>309516000000</v>
          </cell>
          <cell r="AY84">
            <v>309467000000</v>
          </cell>
          <cell r="AZ84">
            <v>333565000000</v>
          </cell>
          <cell r="BA84">
            <v>387197000000</v>
          </cell>
          <cell r="BB84">
            <v>390403000000</v>
          </cell>
          <cell r="BC84">
            <v>420515000000</v>
          </cell>
          <cell r="BD84">
            <v>518288000000</v>
          </cell>
          <cell r="BE84">
            <v>505078658700</v>
          </cell>
          <cell r="BF84">
            <v>516662157300</v>
          </cell>
          <cell r="BG84">
            <v>520872300700</v>
          </cell>
          <cell r="BH84">
            <v>619725621200</v>
          </cell>
          <cell r="BI84">
            <v>698684930600</v>
          </cell>
          <cell r="BJ84">
            <v>783989395300</v>
          </cell>
          <cell r="BK84">
            <v>835741534500</v>
          </cell>
          <cell r="BL84">
            <v>843500000000</v>
          </cell>
          <cell r="BM84">
            <v>824100000000</v>
          </cell>
          <cell r="BN84">
            <v>824100000000</v>
          </cell>
        </row>
        <row r="85">
          <cell r="B85" t="str">
            <v>GUY</v>
          </cell>
          <cell r="C85" t="str">
            <v>GDP (current LCU)</v>
          </cell>
          <cell r="D85" t="str">
            <v>NY.GDP.MKTP.CN</v>
          </cell>
          <cell r="E85">
            <v>291800000</v>
          </cell>
          <cell r="F85">
            <v>318600000</v>
          </cell>
          <cell r="G85">
            <v>334200000</v>
          </cell>
          <cell r="H85">
            <v>301300000</v>
          </cell>
          <cell r="I85">
            <v>333900000</v>
          </cell>
          <cell r="J85">
            <v>362500000</v>
          </cell>
          <cell r="K85">
            <v>388800000</v>
          </cell>
          <cell r="L85">
            <v>425300000</v>
          </cell>
          <cell r="M85">
            <v>459500000</v>
          </cell>
          <cell r="N85">
            <v>498600000</v>
          </cell>
          <cell r="O85">
            <v>535600000</v>
          </cell>
          <cell r="P85">
            <v>564100000</v>
          </cell>
          <cell r="Q85">
            <v>599300000</v>
          </cell>
          <cell r="R85">
            <v>644800000</v>
          </cell>
          <cell r="S85">
            <v>954700000</v>
          </cell>
          <cell r="T85">
            <v>1187500000</v>
          </cell>
          <cell r="U85">
            <v>1136100000</v>
          </cell>
          <cell r="V85">
            <v>1124700000</v>
          </cell>
          <cell r="W85">
            <v>1267700000</v>
          </cell>
          <cell r="X85">
            <v>1326100000</v>
          </cell>
          <cell r="Y85">
            <v>1508000000</v>
          </cell>
          <cell r="Z85">
            <v>1596999900</v>
          </cell>
          <cell r="AA85">
            <v>1446000000</v>
          </cell>
          <cell r="AB85">
            <v>1468000000</v>
          </cell>
          <cell r="AC85">
            <v>1663000100</v>
          </cell>
          <cell r="AD85">
            <v>1950000000</v>
          </cell>
          <cell r="AE85">
            <v>2169999900</v>
          </cell>
          <cell r="AF85">
            <v>3475000100</v>
          </cell>
          <cell r="AG85">
            <v>4137999900</v>
          </cell>
          <cell r="AH85">
            <v>10329999400</v>
          </cell>
          <cell r="AI85">
            <v>15664999400</v>
          </cell>
          <cell r="AJ85">
            <v>38966000000</v>
          </cell>
          <cell r="AK85">
            <v>46734000000</v>
          </cell>
          <cell r="AL85">
            <v>59124000000</v>
          </cell>
          <cell r="AM85">
            <v>74803003400</v>
          </cell>
          <cell r="AN85">
            <v>88271003600</v>
          </cell>
          <cell r="AO85">
            <v>99039002600</v>
          </cell>
          <cell r="AP85">
            <v>106678001700</v>
          </cell>
          <cell r="AQ85">
            <v>108002000900</v>
          </cell>
          <cell r="AR85">
            <v>123664998400</v>
          </cell>
          <cell r="AS85">
            <v>130012004400</v>
          </cell>
          <cell r="AT85">
            <v>133403800000</v>
          </cell>
          <cell r="AU85">
            <v>138447850000</v>
          </cell>
          <cell r="AV85">
            <v>144064000000</v>
          </cell>
          <cell r="AW85">
            <v>156229500000</v>
          </cell>
          <cell r="AX85">
            <v>164873000000</v>
          </cell>
          <cell r="AY85">
            <v>476411796400</v>
          </cell>
          <cell r="AZ85">
            <v>552603000000</v>
          </cell>
          <cell r="BA85">
            <v>616029000000</v>
          </cell>
          <cell r="BB85">
            <v>645637000000</v>
          </cell>
          <cell r="BC85">
            <v>699064000000</v>
          </cell>
          <cell r="BD85">
            <v>753107000000</v>
          </cell>
          <cell r="BE85">
            <v>830326000000</v>
          </cell>
          <cell r="BF85">
            <v>856042000000</v>
          </cell>
          <cell r="BG85">
            <v>852152000000</v>
          </cell>
          <cell r="BH85">
            <v>883787000000</v>
          </cell>
          <cell r="BI85">
            <v>925677000000</v>
          </cell>
          <cell r="BJ85">
            <v>980498000000</v>
          </cell>
          <cell r="BK85">
            <v>994472000000</v>
          </cell>
          <cell r="BL85">
            <v>1078729000000</v>
          </cell>
          <cell r="BM85">
            <v>1140757000000</v>
          </cell>
          <cell r="BN85">
            <v>1140757000000</v>
          </cell>
        </row>
        <row r="86">
          <cell r="B86" t="str">
            <v>HTI</v>
          </cell>
          <cell r="C86" t="str">
            <v>GDP (current LCU)</v>
          </cell>
          <cell r="D86" t="str">
            <v>NY.GDP.MKTP.CN</v>
          </cell>
          <cell r="E86">
            <v>1365936000</v>
          </cell>
          <cell r="F86">
            <v>1355330000</v>
          </cell>
          <cell r="G86">
            <v>1409484000</v>
          </cell>
          <cell r="H86">
            <v>1474417000</v>
          </cell>
          <cell r="I86">
            <v>1626406000</v>
          </cell>
          <cell r="J86">
            <v>1766259000</v>
          </cell>
          <cell r="K86">
            <v>1844743000</v>
          </cell>
          <cell r="L86">
            <v>1845621000</v>
          </cell>
          <cell r="M86">
            <v>1839844000</v>
          </cell>
          <cell r="N86">
            <v>1959102000</v>
          </cell>
          <cell r="O86">
            <v>1656000000</v>
          </cell>
          <cell r="P86">
            <v>1814000000</v>
          </cell>
          <cell r="Q86">
            <v>1860000000</v>
          </cell>
          <cell r="R86">
            <v>2334000000</v>
          </cell>
          <cell r="S86">
            <v>2827000000</v>
          </cell>
          <cell r="T86">
            <v>3407000000</v>
          </cell>
          <cell r="U86">
            <v>4395000000</v>
          </cell>
          <cell r="V86">
            <v>4735000000</v>
          </cell>
          <cell r="W86">
            <v>4871000000</v>
          </cell>
          <cell r="X86">
            <v>5403000000</v>
          </cell>
          <cell r="Y86">
            <v>6919000000</v>
          </cell>
          <cell r="Z86">
            <v>7397000000</v>
          </cell>
          <cell r="AA86">
            <v>7371000000</v>
          </cell>
          <cell r="AB86">
            <v>8118000000</v>
          </cell>
          <cell r="AC86">
            <v>9081000000</v>
          </cell>
          <cell r="AD86">
            <v>10047000000</v>
          </cell>
          <cell r="AE86">
            <v>11590000000</v>
          </cell>
          <cell r="AF86">
            <v>10236000000</v>
          </cell>
          <cell r="AG86">
            <v>13069634000</v>
          </cell>
          <cell r="AH86">
            <v>13681219000</v>
          </cell>
          <cell r="AI86">
            <v>15481449000</v>
          </cell>
          <cell r="AJ86">
            <v>18077000000</v>
          </cell>
          <cell r="AK86">
            <v>20696000000</v>
          </cell>
          <cell r="AL86">
            <v>23162000000</v>
          </cell>
          <cell r="AM86">
            <v>31959000000</v>
          </cell>
          <cell r="AN86">
            <v>40728899000</v>
          </cell>
          <cell r="AO86">
            <v>46647000000</v>
          </cell>
          <cell r="AP86">
            <v>54006000000</v>
          </cell>
          <cell r="AQ86">
            <v>62997000000</v>
          </cell>
          <cell r="AR86">
            <v>69254000000</v>
          </cell>
          <cell r="AS86">
            <v>133691930700</v>
          </cell>
          <cell r="AT86">
            <v>150884945100</v>
          </cell>
          <cell r="AU86">
            <v>164056098800</v>
          </cell>
          <cell r="AV86">
            <v>195267378900</v>
          </cell>
          <cell r="AW86">
            <v>239564076600</v>
          </cell>
          <cell r="AX86">
            <v>280063576600</v>
          </cell>
          <cell r="AY86">
            <v>311615042400</v>
          </cell>
          <cell r="AZ86">
            <v>356149437400</v>
          </cell>
          <cell r="BA86">
            <v>401233924500</v>
          </cell>
          <cell r="BB86">
            <v>471795554900</v>
          </cell>
          <cell r="BC86">
            <v>478044247100</v>
          </cell>
          <cell r="BD86">
            <v>524124004000</v>
          </cell>
          <cell r="BE86">
            <v>569992486400</v>
          </cell>
          <cell r="BF86">
            <v>642673665900</v>
          </cell>
          <cell r="BG86">
            <v>675571518800</v>
          </cell>
          <cell r="BH86">
            <v>720254965000</v>
          </cell>
          <cell r="BI86">
            <v>844479034100</v>
          </cell>
          <cell r="BJ86">
            <v>986919147300</v>
          </cell>
          <cell r="BK86">
            <v>1076412654200</v>
          </cell>
          <cell r="BL86">
            <v>1244013989400</v>
          </cell>
          <cell r="BM86">
            <v>1449887472500</v>
          </cell>
          <cell r="BN86">
            <v>1449887472500</v>
          </cell>
        </row>
        <row r="87">
          <cell r="B87" t="str">
            <v>HND</v>
          </cell>
          <cell r="C87" t="str">
            <v>GDP (current LCU)</v>
          </cell>
          <cell r="D87" t="str">
            <v>NY.GDP.MKTP.CN</v>
          </cell>
          <cell r="E87">
            <v>671300000</v>
          </cell>
          <cell r="F87">
            <v>712400000</v>
          </cell>
          <cell r="G87">
            <v>775500000</v>
          </cell>
          <cell r="H87">
            <v>820400000</v>
          </cell>
          <cell r="I87">
            <v>914000000</v>
          </cell>
          <cell r="J87">
            <v>1017300000</v>
          </cell>
          <cell r="K87">
            <v>1099900000</v>
          </cell>
          <cell r="L87">
            <v>1196200000</v>
          </cell>
          <cell r="M87">
            <v>1293600000</v>
          </cell>
          <cell r="N87">
            <v>1336000100</v>
          </cell>
          <cell r="O87">
            <v>1446000000</v>
          </cell>
          <cell r="P87">
            <v>1462000000</v>
          </cell>
          <cell r="Q87">
            <v>1605999900</v>
          </cell>
          <cell r="R87">
            <v>1824999900</v>
          </cell>
          <cell r="S87">
            <v>2069000000</v>
          </cell>
          <cell r="T87">
            <v>2248000000</v>
          </cell>
          <cell r="U87">
            <v>2695999900</v>
          </cell>
          <cell r="V87">
            <v>3338999900</v>
          </cell>
          <cell r="W87">
            <v>6194484186.4488201</v>
          </cell>
          <cell r="X87">
            <v>7088563952.5839596</v>
          </cell>
          <cell r="Y87">
            <v>7936320091.97367</v>
          </cell>
          <cell r="Z87">
            <v>8087789757.1601</v>
          </cell>
          <cell r="AA87">
            <v>8533007051.2210197</v>
          </cell>
          <cell r="AB87">
            <v>8953394369.7196102</v>
          </cell>
          <cell r="AC87">
            <v>9830623692.9765396</v>
          </cell>
          <cell r="AD87">
            <v>10556241425.091801</v>
          </cell>
          <cell r="AE87">
            <v>11355657917.812099</v>
          </cell>
          <cell r="AF87">
            <v>12381042482.929899</v>
          </cell>
          <cell r="AG87">
            <v>13753330823.305599</v>
          </cell>
          <cell r="AH87">
            <v>15753800215.156799</v>
          </cell>
          <cell r="AI87">
            <v>20243415275.832199</v>
          </cell>
          <cell r="AJ87">
            <v>24715575700</v>
          </cell>
          <cell r="AK87">
            <v>27179970600</v>
          </cell>
          <cell r="AL87">
            <v>32103058400</v>
          </cell>
          <cell r="AM87">
            <v>39036009800</v>
          </cell>
          <cell r="AN87">
            <v>51281997600</v>
          </cell>
          <cell r="AO87">
            <v>61745943200</v>
          </cell>
          <cell r="AP87">
            <v>75442860400</v>
          </cell>
          <cell r="AQ87">
            <v>86200247200</v>
          </cell>
          <cell r="AR87">
            <v>92048369600</v>
          </cell>
          <cell r="AS87">
            <v>106654200000</v>
          </cell>
          <cell r="AT87">
            <v>118415700000</v>
          </cell>
          <cell r="AU87">
            <v>129166600000</v>
          </cell>
          <cell r="AV87">
            <v>142817800000</v>
          </cell>
          <cell r="AW87">
            <v>161507500000</v>
          </cell>
          <cell r="AX87">
            <v>183747400000</v>
          </cell>
          <cell r="AY87">
            <v>206288000000</v>
          </cell>
          <cell r="AZ87">
            <v>233567200000</v>
          </cell>
          <cell r="BA87">
            <v>262416900000</v>
          </cell>
          <cell r="BB87">
            <v>275632200000</v>
          </cell>
          <cell r="BC87">
            <v>299286000000</v>
          </cell>
          <cell r="BD87">
            <v>335027800000</v>
          </cell>
          <cell r="BE87">
            <v>361348500000</v>
          </cell>
          <cell r="BF87">
            <v>376539400000</v>
          </cell>
          <cell r="BG87">
            <v>414633500000</v>
          </cell>
          <cell r="BH87">
            <v>460405200000</v>
          </cell>
          <cell r="BI87">
            <v>495921900000</v>
          </cell>
          <cell r="BJ87">
            <v>543403000000</v>
          </cell>
          <cell r="BK87">
            <v>575284900000</v>
          </cell>
          <cell r="BL87">
            <v>614917700000</v>
          </cell>
          <cell r="BM87">
            <v>585733600000</v>
          </cell>
          <cell r="BN87">
            <v>585733600000</v>
          </cell>
        </row>
        <row r="88">
          <cell r="B88" t="str">
            <v>HKG</v>
          </cell>
          <cell r="C88" t="str">
            <v>GDP (current LCU)</v>
          </cell>
          <cell r="D88" t="str">
            <v>NY.GDP.MKTP.CN</v>
          </cell>
          <cell r="E88">
            <v>7116188200</v>
          </cell>
          <cell r="F88">
            <v>7455000000</v>
          </cell>
          <cell r="G88">
            <v>8687000000</v>
          </cell>
          <cell r="H88">
            <v>10427000000</v>
          </cell>
          <cell r="I88">
            <v>11888000000</v>
          </cell>
          <cell r="J88">
            <v>13953000000</v>
          </cell>
          <cell r="K88">
            <v>14282000000</v>
          </cell>
          <cell r="L88">
            <v>15475000000</v>
          </cell>
          <cell r="M88">
            <v>16533000000</v>
          </cell>
          <cell r="N88">
            <v>19437000000</v>
          </cell>
          <cell r="O88">
            <v>23106000000</v>
          </cell>
          <cell r="P88">
            <v>26681000000</v>
          </cell>
          <cell r="Q88">
            <v>32213000000</v>
          </cell>
          <cell r="R88">
            <v>41327000000</v>
          </cell>
          <cell r="S88">
            <v>47240000000</v>
          </cell>
          <cell r="T88">
            <v>49589000000</v>
          </cell>
          <cell r="U88">
            <v>63156000000</v>
          </cell>
          <cell r="V88">
            <v>73284000000</v>
          </cell>
          <cell r="W88">
            <v>85782000000</v>
          </cell>
          <cell r="X88">
            <v>112691000000</v>
          </cell>
          <cell r="Y88">
            <v>143619000000</v>
          </cell>
          <cell r="Z88">
            <v>173578000000</v>
          </cell>
          <cell r="AA88">
            <v>196005000000</v>
          </cell>
          <cell r="AB88">
            <v>217281000000</v>
          </cell>
          <cell r="AC88">
            <v>261992000000</v>
          </cell>
          <cell r="AD88">
            <v>278128000000</v>
          </cell>
          <cell r="AE88">
            <v>320525000000</v>
          </cell>
          <cell r="AF88">
            <v>394770000000</v>
          </cell>
          <cell r="AG88">
            <v>466076000000</v>
          </cell>
          <cell r="AH88">
            <v>536558000000</v>
          </cell>
          <cell r="AI88">
            <v>599256000000</v>
          </cell>
          <cell r="AJ88">
            <v>691323000000</v>
          </cell>
          <cell r="AK88">
            <v>807130000000</v>
          </cell>
          <cell r="AL88">
            <v>931010000000</v>
          </cell>
          <cell r="AM88">
            <v>1049610000000</v>
          </cell>
          <cell r="AN88">
            <v>1119006000000</v>
          </cell>
          <cell r="AO88">
            <v>1235301000000</v>
          </cell>
          <cell r="AP88">
            <v>1373083000000</v>
          </cell>
          <cell r="AQ88">
            <v>1308074000000</v>
          </cell>
          <cell r="AR88">
            <v>1285946000000</v>
          </cell>
          <cell r="AS88">
            <v>1337501000000</v>
          </cell>
          <cell r="AT88">
            <v>1321142000000</v>
          </cell>
          <cell r="AU88">
            <v>1297341000000</v>
          </cell>
          <cell r="AV88">
            <v>1256669000000</v>
          </cell>
          <cell r="AW88">
            <v>1316949000000</v>
          </cell>
          <cell r="AX88">
            <v>1412125000000</v>
          </cell>
          <cell r="AY88">
            <v>1503351000000</v>
          </cell>
          <cell r="AZ88">
            <v>1650756000000</v>
          </cell>
          <cell r="BA88">
            <v>1707487000000</v>
          </cell>
          <cell r="BB88">
            <v>1659245000000</v>
          </cell>
          <cell r="BC88">
            <v>1776332000000</v>
          </cell>
          <cell r="BD88">
            <v>1934430000000</v>
          </cell>
          <cell r="BE88">
            <v>2037059000000</v>
          </cell>
          <cell r="BF88">
            <v>2138305000000</v>
          </cell>
          <cell r="BG88">
            <v>2260005000000</v>
          </cell>
          <cell r="BH88">
            <v>2398280000000</v>
          </cell>
          <cell r="BI88">
            <v>2490438000000</v>
          </cell>
          <cell r="BJ88">
            <v>2659384000000</v>
          </cell>
          <cell r="BK88">
            <v>2835119000000</v>
          </cell>
          <cell r="BL88">
            <v>2844560000000</v>
          </cell>
          <cell r="BM88">
            <v>2688536000000</v>
          </cell>
          <cell r="BN88">
            <v>2688536000000</v>
          </cell>
        </row>
        <row r="89">
          <cell r="B89" t="str">
            <v>HUN</v>
          </cell>
          <cell r="C89" t="str">
            <v>GDP (current LCU)</v>
          </cell>
          <cell r="D89" t="str">
            <v>NY.GDP.MKTP.CN</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v>2597308031000</v>
          </cell>
          <cell r="AK89">
            <v>3059263140000</v>
          </cell>
          <cell r="AL89">
            <v>3688852139000</v>
          </cell>
          <cell r="AM89">
            <v>4537754652000</v>
          </cell>
          <cell r="AN89">
            <v>5836483000000</v>
          </cell>
          <cell r="AO89">
            <v>7122305000000</v>
          </cell>
          <cell r="AP89">
            <v>8834560000000</v>
          </cell>
          <cell r="AQ89">
            <v>10442818000000</v>
          </cell>
          <cell r="AR89">
            <v>11637546000000</v>
          </cell>
          <cell r="AS89">
            <v>13324052000000</v>
          </cell>
          <cell r="AT89">
            <v>15398700000000</v>
          </cell>
          <cell r="AU89">
            <v>17433859000000</v>
          </cell>
          <cell r="AV89">
            <v>19133811000000</v>
          </cell>
          <cell r="AW89">
            <v>21114159000000</v>
          </cell>
          <cell r="AX89">
            <v>22600066000000</v>
          </cell>
          <cell r="AY89">
            <v>24352909000000</v>
          </cell>
          <cell r="AZ89">
            <v>25749398000000</v>
          </cell>
          <cell r="BA89">
            <v>27258344000000</v>
          </cell>
          <cell r="BB89">
            <v>26529876000000</v>
          </cell>
          <cell r="BC89">
            <v>27496693000000</v>
          </cell>
          <cell r="BD89">
            <v>28549802000000</v>
          </cell>
          <cell r="BE89">
            <v>29006331000000</v>
          </cell>
          <cell r="BF89">
            <v>30362703000000</v>
          </cell>
          <cell r="BG89">
            <v>32815207000000</v>
          </cell>
          <cell r="BH89">
            <v>34975313000000</v>
          </cell>
          <cell r="BI89">
            <v>36214066000000</v>
          </cell>
          <cell r="BJ89">
            <v>39281357000000</v>
          </cell>
          <cell r="BK89">
            <v>43392436000000</v>
          </cell>
          <cell r="BL89">
            <v>47530610000000</v>
          </cell>
          <cell r="BM89">
            <v>47988479000000</v>
          </cell>
          <cell r="BN89">
            <v>47988479000000</v>
          </cell>
        </row>
        <row r="90">
          <cell r="B90" t="str">
            <v>ISL</v>
          </cell>
          <cell r="C90" t="str">
            <v>GDP (current LCU)</v>
          </cell>
          <cell r="D90" t="str">
            <v>NY.GDP.MKTP.CN</v>
          </cell>
          <cell r="E90">
            <v>89909544</v>
          </cell>
          <cell r="F90">
            <v>101765752</v>
          </cell>
          <cell r="G90">
            <v>122514104</v>
          </cell>
          <cell r="H90">
            <v>146226512</v>
          </cell>
          <cell r="I90">
            <v>186735216</v>
          </cell>
          <cell r="J90">
            <v>225188832</v>
          </cell>
          <cell r="K90">
            <v>270424128</v>
          </cell>
          <cell r="L90">
            <v>274374816</v>
          </cell>
          <cell r="M90">
            <v>294918368</v>
          </cell>
          <cell r="N90">
            <v>364944192</v>
          </cell>
          <cell r="O90">
            <v>463500000</v>
          </cell>
          <cell r="P90">
            <v>589821000</v>
          </cell>
          <cell r="Q90">
            <v>741077000</v>
          </cell>
          <cell r="R90">
            <v>1040497000</v>
          </cell>
          <cell r="S90">
            <v>1514433000</v>
          </cell>
          <cell r="T90">
            <v>2162367000</v>
          </cell>
          <cell r="U90">
            <v>3041307000</v>
          </cell>
          <cell r="V90">
            <v>4392062000</v>
          </cell>
          <cell r="W90">
            <v>6809812000</v>
          </cell>
          <cell r="X90">
            <v>10061212000</v>
          </cell>
          <cell r="Y90">
            <v>16222696000</v>
          </cell>
          <cell r="Z90">
            <v>25234109000</v>
          </cell>
          <cell r="AA90">
            <v>39606648000</v>
          </cell>
          <cell r="AB90">
            <v>68713950000</v>
          </cell>
          <cell r="AC90">
            <v>90784745000</v>
          </cell>
          <cell r="AD90">
            <v>123861149000</v>
          </cell>
          <cell r="AE90">
            <v>163990250000</v>
          </cell>
          <cell r="AF90">
            <v>213510457000</v>
          </cell>
          <cell r="AG90">
            <v>262670831000</v>
          </cell>
          <cell r="AH90">
            <v>323573569000</v>
          </cell>
          <cell r="AI90">
            <v>377022532000</v>
          </cell>
          <cell r="AJ90">
            <v>407648518000</v>
          </cell>
          <cell r="AK90">
            <v>407481463000</v>
          </cell>
          <cell r="AL90">
            <v>420396007000</v>
          </cell>
          <cell r="AM90">
            <v>446906966000</v>
          </cell>
          <cell r="AN90">
            <v>460839952000</v>
          </cell>
          <cell r="AO90">
            <v>493834405000</v>
          </cell>
          <cell r="AP90">
            <v>536721938000</v>
          </cell>
          <cell r="AQ90">
            <v>603407606000</v>
          </cell>
          <cell r="AR90">
            <v>649719107000</v>
          </cell>
          <cell r="AS90">
            <v>709561315000</v>
          </cell>
          <cell r="AT90">
            <v>802276656000</v>
          </cell>
          <cell r="AU90">
            <v>854139932000</v>
          </cell>
          <cell r="AV90">
            <v>876732708000</v>
          </cell>
          <cell r="AW90">
            <v>970421488000</v>
          </cell>
          <cell r="AX90">
            <v>1061428264000</v>
          </cell>
          <cell r="AY90">
            <v>1225716056000</v>
          </cell>
          <cell r="AZ90">
            <v>1386951246000</v>
          </cell>
          <cell r="BA90">
            <v>1589625135000</v>
          </cell>
          <cell r="BB90">
            <v>1626390727000</v>
          </cell>
          <cell r="BC90">
            <v>1680966939000</v>
          </cell>
          <cell r="BD90">
            <v>1765008670000</v>
          </cell>
          <cell r="BE90">
            <v>1845159750000</v>
          </cell>
          <cell r="BF90">
            <v>1970145725000</v>
          </cell>
          <cell r="BG90">
            <v>2086359608000</v>
          </cell>
          <cell r="BH90">
            <v>2310847787000</v>
          </cell>
          <cell r="BI90">
            <v>2512054819000</v>
          </cell>
          <cell r="BJ90">
            <v>2641959405000</v>
          </cell>
          <cell r="BK90">
            <v>2844727636000</v>
          </cell>
          <cell r="BL90">
            <v>3047727355000</v>
          </cell>
          <cell r="BM90">
            <v>2941098988000</v>
          </cell>
          <cell r="BN90">
            <v>2941098988000</v>
          </cell>
        </row>
        <row r="91">
          <cell r="B91" t="str">
            <v>IND</v>
          </cell>
          <cell r="C91" t="str">
            <v>GDP (current LCU)</v>
          </cell>
          <cell r="D91" t="str">
            <v>NY.GDP.MKTP.CN</v>
          </cell>
          <cell r="E91">
            <v>176332604026.54001</v>
          </cell>
          <cell r="F91">
            <v>186820935960.28</v>
          </cell>
          <cell r="G91">
            <v>200768760462.95001</v>
          </cell>
          <cell r="H91">
            <v>230580357318.17999</v>
          </cell>
          <cell r="I91">
            <v>268953492669.22</v>
          </cell>
          <cell r="J91">
            <v>283600217485.16998</v>
          </cell>
          <cell r="K91">
            <v>321058234237.37</v>
          </cell>
          <cell r="L91">
            <v>376012066525.84998</v>
          </cell>
          <cell r="M91">
            <v>398140919031.16998</v>
          </cell>
          <cell r="N91">
            <v>438359962626.37</v>
          </cell>
          <cell r="O91">
            <v>468168622908.88</v>
          </cell>
          <cell r="P91">
            <v>501199112456.35999</v>
          </cell>
          <cell r="Q91">
            <v>552453366225.33997</v>
          </cell>
          <cell r="R91">
            <v>672406564750.95996</v>
          </cell>
          <cell r="S91">
            <v>793778760987.78003</v>
          </cell>
          <cell r="T91">
            <v>852124496861.98999</v>
          </cell>
          <cell r="U91">
            <v>918116831145.5</v>
          </cell>
          <cell r="V91">
            <v>1040235198686.1801</v>
          </cell>
          <cell r="W91">
            <v>1126713683356.8201</v>
          </cell>
          <cell r="X91">
            <v>1235621792692.6899</v>
          </cell>
          <cell r="Y91">
            <v>1470628683724.4099</v>
          </cell>
          <cell r="Z91">
            <v>1727755053220.6299</v>
          </cell>
          <cell r="AA91">
            <v>1932545634078.53</v>
          </cell>
          <cell r="AB91">
            <v>2250742389632.2798</v>
          </cell>
          <cell r="AC91">
            <v>2521882497861.3501</v>
          </cell>
          <cell r="AD91">
            <v>2845340853904.1899</v>
          </cell>
          <cell r="AE91">
            <v>3183659412846.1602</v>
          </cell>
          <cell r="AF91">
            <v>3618647035299.1602</v>
          </cell>
          <cell r="AG91">
            <v>4293629901195.7402</v>
          </cell>
          <cell r="AH91">
            <v>4932776135720.8203</v>
          </cell>
          <cell r="AI91">
            <v>5761092055692.79</v>
          </cell>
          <cell r="AJ91">
            <v>6622604835400</v>
          </cell>
          <cell r="AK91">
            <v>7611959317400</v>
          </cell>
          <cell r="AL91">
            <v>8759924253800</v>
          </cell>
          <cell r="AM91">
            <v>10275700589300</v>
          </cell>
          <cell r="AN91">
            <v>12055826758200</v>
          </cell>
          <cell r="AO91">
            <v>13948159747000</v>
          </cell>
          <cell r="AP91">
            <v>15452938758400</v>
          </cell>
          <cell r="AQ91">
            <v>17722970117100</v>
          </cell>
          <cell r="AR91">
            <v>19882615729000</v>
          </cell>
          <cell r="AS91">
            <v>21398856906300</v>
          </cell>
          <cell r="AT91">
            <v>23152429571000</v>
          </cell>
          <cell r="AU91">
            <v>24926137846800</v>
          </cell>
          <cell r="AV91">
            <v>27925301413900</v>
          </cell>
          <cell r="AW91">
            <v>31863319237500</v>
          </cell>
          <cell r="AX91">
            <v>36321246607100</v>
          </cell>
          <cell r="AY91">
            <v>42546289837900</v>
          </cell>
          <cell r="AZ91">
            <v>48986620590600</v>
          </cell>
          <cell r="BA91">
            <v>55141523846600</v>
          </cell>
          <cell r="BB91">
            <v>63664065417200</v>
          </cell>
          <cell r="BC91">
            <v>76344721043700</v>
          </cell>
          <cell r="BD91">
            <v>87363287113700</v>
          </cell>
          <cell r="BE91">
            <v>99440131041500</v>
          </cell>
          <cell r="BF91">
            <v>112335216116400</v>
          </cell>
          <cell r="BG91">
            <v>124679592925500</v>
          </cell>
          <cell r="BH91">
            <v>137718738788600</v>
          </cell>
          <cell r="BI91">
            <v>153916690148700</v>
          </cell>
          <cell r="BJ91">
            <v>170900423611300</v>
          </cell>
          <cell r="BK91">
            <v>188869569075800</v>
          </cell>
          <cell r="BL91">
            <v>203510128945000</v>
          </cell>
          <cell r="BM91">
            <v>197456703597200</v>
          </cell>
          <cell r="BN91">
            <v>197456703597200</v>
          </cell>
        </row>
        <row r="92">
          <cell r="B92" t="str">
            <v>IDN</v>
          </cell>
          <cell r="C92" t="str">
            <v>GDP (current LCU)</v>
          </cell>
          <cell r="D92" t="str">
            <v>NY.GDP.MKTP.CN</v>
          </cell>
          <cell r="E92">
            <v>390200000000</v>
          </cell>
          <cell r="F92">
            <v>470100000000</v>
          </cell>
          <cell r="G92">
            <v>1335100000000</v>
          </cell>
          <cell r="H92">
            <v>3208800000000</v>
          </cell>
          <cell r="I92">
            <v>7133500000000</v>
          </cell>
          <cell r="J92">
            <v>23710000000000</v>
          </cell>
          <cell r="K92">
            <v>315900000000</v>
          </cell>
          <cell r="L92">
            <v>847800000000</v>
          </cell>
          <cell r="M92">
            <v>2096700000000</v>
          </cell>
          <cell r="N92">
            <v>2718000000000</v>
          </cell>
          <cell r="O92">
            <v>3340000000000</v>
          </cell>
          <cell r="P92">
            <v>3672000000000</v>
          </cell>
          <cell r="Q92">
            <v>4564000000000</v>
          </cell>
          <cell r="R92">
            <v>6753400000000</v>
          </cell>
          <cell r="S92">
            <v>10708000000000</v>
          </cell>
          <cell r="T92">
            <v>12642500000000</v>
          </cell>
          <cell r="U92">
            <v>15466700000000</v>
          </cell>
          <cell r="V92">
            <v>19010700000000</v>
          </cell>
          <cell r="W92">
            <v>22746000000000</v>
          </cell>
          <cell r="X92">
            <v>32025400000000</v>
          </cell>
          <cell r="Y92">
            <v>45445700000000</v>
          </cell>
          <cell r="Z92">
            <v>54027000000000</v>
          </cell>
          <cell r="AA92">
            <v>59632600000000</v>
          </cell>
          <cell r="AB92">
            <v>73697600000000</v>
          </cell>
          <cell r="AC92">
            <v>87054800000000</v>
          </cell>
          <cell r="AD92">
            <v>94720800000000</v>
          </cell>
          <cell r="AE92">
            <v>102545900000000</v>
          </cell>
          <cell r="AF92">
            <v>124816900000000</v>
          </cell>
          <cell r="AG92">
            <v>142104800000000</v>
          </cell>
          <cell r="AH92">
            <v>167184700000000</v>
          </cell>
          <cell r="AI92">
            <v>195597200000000</v>
          </cell>
          <cell r="AJ92">
            <v>227450200000000</v>
          </cell>
          <cell r="AK92">
            <v>259884500000000</v>
          </cell>
          <cell r="AL92">
            <v>329775800000000</v>
          </cell>
          <cell r="AM92">
            <v>382219700000000</v>
          </cell>
          <cell r="AN92">
            <v>454514100000000</v>
          </cell>
          <cell r="AO92">
            <v>532568000000000</v>
          </cell>
          <cell r="AP92">
            <v>627695800000000</v>
          </cell>
          <cell r="AQ92">
            <v>955753500000000</v>
          </cell>
          <cell r="AR92">
            <v>1099731600000000</v>
          </cell>
          <cell r="AS92">
            <v>1389769900000000</v>
          </cell>
          <cell r="AT92">
            <v>1646322000000000</v>
          </cell>
          <cell r="AU92">
            <v>1821833400000000</v>
          </cell>
          <cell r="AV92">
            <v>2013674600000000</v>
          </cell>
          <cell r="AW92">
            <v>2295826200000000</v>
          </cell>
          <cell r="AX92">
            <v>2774281100000000</v>
          </cell>
          <cell r="AY92">
            <v>3339216800000000</v>
          </cell>
          <cell r="AZ92">
            <v>3950893200000000</v>
          </cell>
          <cell r="BA92">
            <v>4948688397216100</v>
          </cell>
          <cell r="BB92">
            <v>5606203365757500</v>
          </cell>
          <cell r="BC92">
            <v>6864133100000000</v>
          </cell>
          <cell r="BD92">
            <v>7831726000000000</v>
          </cell>
          <cell r="BE92">
            <v>8615704500000000</v>
          </cell>
          <cell r="BF92">
            <v>9546134000000000</v>
          </cell>
          <cell r="BG92">
            <v>1.05697053E+16</v>
          </cell>
          <cell r="BH92">
            <v>1.15263328E+16</v>
          </cell>
          <cell r="BI92">
            <v>1.24017285E+16</v>
          </cell>
          <cell r="BJ92">
            <v>1.35898257E+16</v>
          </cell>
          <cell r="BK92">
            <v>1.4838756E+16</v>
          </cell>
          <cell r="BL92">
            <v>1.58325354E+16</v>
          </cell>
          <cell r="BM92">
            <v>1.54341518E+16</v>
          </cell>
          <cell r="BN92">
            <v>1.54341518E+16</v>
          </cell>
        </row>
        <row r="93">
          <cell r="B93" t="str">
            <v>IRN</v>
          </cell>
          <cell r="C93" t="str">
            <v>GDP (current LCU)</v>
          </cell>
          <cell r="D93" t="str">
            <v>NY.GDP.MKTP.CN</v>
          </cell>
          <cell r="E93">
            <v>318084430035.20502</v>
          </cell>
          <cell r="F93">
            <v>335341393934.15302</v>
          </cell>
          <cell r="G93">
            <v>355537656048.62201</v>
          </cell>
          <cell r="H93">
            <v>373343572392.85999</v>
          </cell>
          <cell r="I93">
            <v>407523307813.38</v>
          </cell>
          <cell r="J93">
            <v>469446984624.80902</v>
          </cell>
          <cell r="K93">
            <v>514337854385.13397</v>
          </cell>
          <cell r="L93">
            <v>572320314529.62</v>
          </cell>
          <cell r="M93">
            <v>653205351712.276</v>
          </cell>
          <cell r="N93">
            <v>738039037767.81201</v>
          </cell>
          <cell r="O93">
            <v>831450570384.396</v>
          </cell>
          <cell r="P93">
            <v>1040183968479.88</v>
          </cell>
          <cell r="Q93">
            <v>1299374842180.48</v>
          </cell>
          <cell r="R93">
            <v>1865441538822.6299</v>
          </cell>
          <cell r="S93">
            <v>3124889851378.3501</v>
          </cell>
          <cell r="T93">
            <v>3529377972702.3901</v>
          </cell>
          <cell r="U93">
            <v>4800280238520.9697</v>
          </cell>
          <cell r="V93">
            <v>5688676060181.8604</v>
          </cell>
          <cell r="W93">
            <v>5496649463898.9004</v>
          </cell>
          <cell r="X93">
            <v>6370367554544.8096</v>
          </cell>
          <cell r="Y93">
            <v>6753979874640.1396</v>
          </cell>
          <cell r="Z93">
            <v>8042658501438.0498</v>
          </cell>
          <cell r="AA93">
            <v>10636624378827.4</v>
          </cell>
          <cell r="AB93">
            <v>13639419881495.9</v>
          </cell>
          <cell r="AC93">
            <v>14913555913591</v>
          </cell>
          <cell r="AD93">
            <v>15808050375669.1</v>
          </cell>
          <cell r="AE93">
            <v>16006188708352.9</v>
          </cell>
          <cell r="AF93">
            <v>19419388509226.398</v>
          </cell>
          <cell r="AG93">
            <v>21900607581595.602</v>
          </cell>
          <cell r="AH93">
            <v>27232178019077.301</v>
          </cell>
          <cell r="AI93">
            <v>37986542436154.797</v>
          </cell>
          <cell r="AJ93">
            <v>53785438612200</v>
          </cell>
          <cell r="AK93">
            <v>71861214730000</v>
          </cell>
          <cell r="AL93">
            <v>106133132681300</v>
          </cell>
          <cell r="AM93">
            <v>139731641980700</v>
          </cell>
          <cell r="AN93">
            <v>197370155097300</v>
          </cell>
          <cell r="AO93">
            <v>270427231014700</v>
          </cell>
          <cell r="AP93">
            <v>316638314729100</v>
          </cell>
          <cell r="AQ93">
            <v>353547784240200</v>
          </cell>
          <cell r="AR93">
            <v>474975733768600</v>
          </cell>
          <cell r="AS93">
            <v>628070077414500</v>
          </cell>
          <cell r="AT93">
            <v>738307447972100</v>
          </cell>
          <cell r="AU93">
            <v>1023613009494600</v>
          </cell>
          <cell r="AV93">
            <v>1258128741593600</v>
          </cell>
          <cell r="AW93">
            <v>1637032106708400</v>
          </cell>
          <cell r="AX93">
            <v>2029907660462500</v>
          </cell>
          <cell r="AY93">
            <v>2442212113176500</v>
          </cell>
          <cell r="AZ93">
            <v>3247304255164000</v>
          </cell>
          <cell r="BA93">
            <v>3887723271028800</v>
          </cell>
          <cell r="BB93">
            <v>4107466221894700</v>
          </cell>
          <cell r="BC93">
            <v>5035812289024900</v>
          </cell>
          <cell r="BD93">
            <v>6396330919248400</v>
          </cell>
          <cell r="BE93">
            <v>7341942699645000</v>
          </cell>
          <cell r="BF93">
            <v>9933967854471800</v>
          </cell>
          <cell r="BG93">
            <v>1.15174876175972E+16</v>
          </cell>
          <cell r="BH93">
            <v>1.14141669527103E+16</v>
          </cell>
          <cell r="BI93">
            <v>1.31512591678306E+16</v>
          </cell>
          <cell r="BJ93">
            <v>1.53165291173659E+16</v>
          </cell>
          <cell r="BK93">
            <v>1.91288401541458E+16</v>
          </cell>
          <cell r="BL93">
            <v>2.44125694724609E+16</v>
          </cell>
          <cell r="BM93">
            <v>3.50847260455034E+16</v>
          </cell>
          <cell r="BN93">
            <v>3.50847260455034E+16</v>
          </cell>
        </row>
        <row r="94">
          <cell r="B94" t="str">
            <v>IRQ</v>
          </cell>
          <cell r="C94" t="str">
            <v>GDP (current LCU)</v>
          </cell>
          <cell r="D94" t="str">
            <v>NY.GDP.MKTP.CN</v>
          </cell>
          <cell r="E94">
            <v>601399800</v>
          </cell>
          <cell r="F94">
            <v>654100200</v>
          </cell>
          <cell r="G94">
            <v>698000100</v>
          </cell>
          <cell r="H94">
            <v>706500100</v>
          </cell>
          <cell r="I94">
            <v>835800100</v>
          </cell>
          <cell r="J94" t="str">
            <v>..</v>
          </cell>
          <cell r="K94" t="str">
            <v>..</v>
          </cell>
          <cell r="L94" t="str">
            <v>..</v>
          </cell>
          <cell r="M94">
            <v>1034500000</v>
          </cell>
          <cell r="N94">
            <v>1074200000</v>
          </cell>
          <cell r="O94">
            <v>1171900000</v>
          </cell>
          <cell r="P94">
            <v>1366400000</v>
          </cell>
          <cell r="Q94">
            <v>1369500000</v>
          </cell>
          <cell r="R94">
            <v>1555200000</v>
          </cell>
          <cell r="S94">
            <v>3400900000</v>
          </cell>
          <cell r="T94">
            <v>3974300000</v>
          </cell>
          <cell r="U94">
            <v>5243000000</v>
          </cell>
          <cell r="V94">
            <v>5858200000</v>
          </cell>
          <cell r="W94">
            <v>7017000000</v>
          </cell>
          <cell r="X94">
            <v>11167200000</v>
          </cell>
          <cell r="Y94">
            <v>15770700000</v>
          </cell>
          <cell r="Z94">
            <v>11346900000</v>
          </cell>
          <cell r="AA94">
            <v>12714700000</v>
          </cell>
          <cell r="AB94">
            <v>12621000000</v>
          </cell>
          <cell r="AC94">
            <v>14550900000</v>
          </cell>
          <cell r="AD94">
            <v>15011800000</v>
          </cell>
          <cell r="AE94">
            <v>14652000000</v>
          </cell>
          <cell r="AF94">
            <v>17600000000</v>
          </cell>
          <cell r="AG94">
            <v>19432200000</v>
          </cell>
          <cell r="AH94">
            <v>20407900000</v>
          </cell>
          <cell r="AI94">
            <v>55926500000</v>
          </cell>
          <cell r="AJ94">
            <v>42451600000</v>
          </cell>
          <cell r="AK94">
            <v>115108400000</v>
          </cell>
          <cell r="AL94">
            <v>321646900000</v>
          </cell>
          <cell r="AM94">
            <v>1658325800000</v>
          </cell>
          <cell r="AN94">
            <v>6695482900000</v>
          </cell>
          <cell r="AO94">
            <v>6500924600000</v>
          </cell>
          <cell r="AP94">
            <v>15093144000000</v>
          </cell>
          <cell r="AQ94">
            <v>17125847500000</v>
          </cell>
          <cell r="AR94">
            <v>34464012600000</v>
          </cell>
          <cell r="AS94">
            <v>50213699900000</v>
          </cell>
          <cell r="AT94">
            <v>41314568500000</v>
          </cell>
          <cell r="AU94">
            <v>41022927400000</v>
          </cell>
          <cell r="AV94">
            <v>29585788600000</v>
          </cell>
          <cell r="AW94">
            <v>53235358700000</v>
          </cell>
          <cell r="AX94">
            <v>73533598600000</v>
          </cell>
          <cell r="AY94">
            <v>95587954800000</v>
          </cell>
          <cell r="AZ94">
            <v>111455813400000</v>
          </cell>
          <cell r="BA94">
            <v>157026061600000</v>
          </cell>
          <cell r="BB94">
            <v>130643200400000</v>
          </cell>
          <cell r="BC94">
            <v>162064565500000</v>
          </cell>
          <cell r="BD94">
            <v>217327107400000</v>
          </cell>
          <cell r="BE94">
            <v>254225490700000</v>
          </cell>
          <cell r="BF94">
            <v>273587529200000</v>
          </cell>
          <cell r="BG94">
            <v>266332655100000</v>
          </cell>
          <cell r="BH94">
            <v>194680971800000</v>
          </cell>
          <cell r="BI94">
            <v>196924141700000</v>
          </cell>
          <cell r="BJ94">
            <v>221665709500000</v>
          </cell>
          <cell r="BK94">
            <v>268918874000000</v>
          </cell>
          <cell r="BL94">
            <v>277884869400000</v>
          </cell>
          <cell r="BM94">
            <v>198774325400000</v>
          </cell>
          <cell r="BN94">
            <v>198774325400000</v>
          </cell>
        </row>
        <row r="95">
          <cell r="B95" t="str">
            <v>IRL</v>
          </cell>
          <cell r="C95" t="str">
            <v>GDP (current LCU)</v>
          </cell>
          <cell r="D95" t="str">
            <v>NY.GDP.MKTP.CN</v>
          </cell>
          <cell r="E95">
            <v>879443520</v>
          </cell>
          <cell r="F95">
            <v>946867776</v>
          </cell>
          <cell r="G95">
            <v>1025019008</v>
          </cell>
          <cell r="H95">
            <v>1102334336</v>
          </cell>
          <cell r="I95">
            <v>1254596480</v>
          </cell>
          <cell r="J95">
            <v>1335812224</v>
          </cell>
          <cell r="K95">
            <v>1407611520</v>
          </cell>
          <cell r="L95">
            <v>1537325184</v>
          </cell>
          <cell r="M95">
            <v>1734561280</v>
          </cell>
          <cell r="N95">
            <v>2003583488</v>
          </cell>
          <cell r="O95">
            <v>2325921000</v>
          </cell>
          <cell r="P95">
            <v>2660267000</v>
          </cell>
          <cell r="Q95">
            <v>3212102000</v>
          </cell>
          <cell r="R95">
            <v>3877492000</v>
          </cell>
          <cell r="S95">
            <v>4288785000</v>
          </cell>
          <cell r="T95">
            <v>5443706000</v>
          </cell>
          <cell r="U95">
            <v>6680024000</v>
          </cell>
          <cell r="V95">
            <v>8187667000</v>
          </cell>
          <cell r="W95">
            <v>9699903000</v>
          </cell>
          <cell r="X95">
            <v>11365315000</v>
          </cell>
          <cell r="Y95">
            <v>13438000000</v>
          </cell>
          <cell r="Z95">
            <v>16306713000</v>
          </cell>
          <cell r="AA95">
            <v>19211314000</v>
          </cell>
          <cell r="AB95">
            <v>21216671000</v>
          </cell>
          <cell r="AC95">
            <v>23552928000</v>
          </cell>
          <cell r="AD95">
            <v>25538905000</v>
          </cell>
          <cell r="AE95">
            <v>27095070000</v>
          </cell>
          <cell r="AF95">
            <v>28981691000</v>
          </cell>
          <cell r="AG95">
            <v>31483709000</v>
          </cell>
          <cell r="AH95">
            <v>35153676000</v>
          </cell>
          <cell r="AI95">
            <v>37851934000</v>
          </cell>
          <cell r="AJ95">
            <v>39277360000</v>
          </cell>
          <cell r="AK95">
            <v>41732005000</v>
          </cell>
          <cell r="AL95">
            <v>45073789000</v>
          </cell>
          <cell r="AM95">
            <v>48475910000</v>
          </cell>
          <cell r="AN95">
            <v>54758740000</v>
          </cell>
          <cell r="AO95">
            <v>60147568000</v>
          </cell>
          <cell r="AP95">
            <v>69400729000</v>
          </cell>
          <cell r="AQ95">
            <v>80430814000</v>
          </cell>
          <cell r="AR95">
            <v>92790527000</v>
          </cell>
          <cell r="AS95">
            <v>108495289000</v>
          </cell>
          <cell r="AT95">
            <v>122089174000</v>
          </cell>
          <cell r="AU95">
            <v>135997894000</v>
          </cell>
          <cell r="AV95">
            <v>145576854000</v>
          </cell>
          <cell r="AW95">
            <v>156259951000</v>
          </cell>
          <cell r="AX95">
            <v>170306765000</v>
          </cell>
          <cell r="AY95">
            <v>184916243000</v>
          </cell>
          <cell r="AZ95">
            <v>197069396000</v>
          </cell>
          <cell r="BA95">
            <v>187282983000</v>
          </cell>
          <cell r="BB95">
            <v>169519713000</v>
          </cell>
          <cell r="BC95">
            <v>167363070000</v>
          </cell>
          <cell r="BD95">
            <v>171683363000</v>
          </cell>
          <cell r="BE95">
            <v>175512764000</v>
          </cell>
          <cell r="BF95">
            <v>179411214000</v>
          </cell>
          <cell r="BG95">
            <v>194933757000</v>
          </cell>
          <cell r="BH95">
            <v>262800045000</v>
          </cell>
          <cell r="BI95">
            <v>270058101000</v>
          </cell>
          <cell r="BJ95">
            <v>296925218000</v>
          </cell>
          <cell r="BK95">
            <v>326042797000</v>
          </cell>
          <cell r="BL95">
            <v>356526263000</v>
          </cell>
          <cell r="BM95">
            <v>372868501000</v>
          </cell>
          <cell r="BN95">
            <v>372868501000</v>
          </cell>
        </row>
        <row r="96">
          <cell r="B96" t="str">
            <v>IMN</v>
          </cell>
          <cell r="C96" t="str">
            <v>GDP (current LCU)</v>
          </cell>
          <cell r="D96" t="str">
            <v>NY.GDP.MKTP.CN</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v>188849000</v>
          </cell>
          <cell r="AD96">
            <v>199733000</v>
          </cell>
          <cell r="AE96">
            <v>243059000</v>
          </cell>
          <cell r="AF96">
            <v>281459000</v>
          </cell>
          <cell r="AG96">
            <v>328720000</v>
          </cell>
          <cell r="AH96">
            <v>377489000</v>
          </cell>
          <cell r="AI96">
            <v>428885000</v>
          </cell>
          <cell r="AJ96">
            <v>465795000</v>
          </cell>
          <cell r="AK96">
            <v>487093000</v>
          </cell>
          <cell r="AL96">
            <v>510534000</v>
          </cell>
          <cell r="AM96">
            <v>544449000</v>
          </cell>
          <cell r="AN96">
            <v>584442000</v>
          </cell>
          <cell r="AO96">
            <v>645619000</v>
          </cell>
          <cell r="AP96">
            <v>719682000</v>
          </cell>
          <cell r="AQ96">
            <v>836338000</v>
          </cell>
          <cell r="AR96">
            <v>972730000</v>
          </cell>
          <cell r="AS96">
            <v>1058134000</v>
          </cell>
          <cell r="AT96">
            <v>1159235000</v>
          </cell>
          <cell r="AU96">
            <v>1261677000</v>
          </cell>
          <cell r="AV96">
            <v>1379730000</v>
          </cell>
          <cell r="AW96">
            <v>1530565000</v>
          </cell>
          <cell r="AX96">
            <v>1667820000</v>
          </cell>
          <cell r="AY96">
            <v>1860211000</v>
          </cell>
          <cell r="AZ96">
            <v>2232157000</v>
          </cell>
          <cell r="BA96">
            <v>3225061000</v>
          </cell>
          <cell r="BB96">
            <v>3522159000</v>
          </cell>
          <cell r="BC96">
            <v>3831539000</v>
          </cell>
          <cell r="BD96">
            <v>4097902000</v>
          </cell>
          <cell r="BE96">
            <v>4235229000</v>
          </cell>
          <cell r="BF96">
            <v>4478379000</v>
          </cell>
          <cell r="BG96">
            <v>4684659000</v>
          </cell>
          <cell r="BH96">
            <v>4637321000</v>
          </cell>
          <cell r="BI96">
            <v>5070660000</v>
          </cell>
          <cell r="BJ96">
            <v>5423135000</v>
          </cell>
          <cell r="BK96">
            <v>5615231000</v>
          </cell>
          <cell r="BL96">
            <v>5730875000</v>
          </cell>
          <cell r="BM96" t="str">
            <v>..</v>
          </cell>
          <cell r="BN96">
            <v>5730875000</v>
          </cell>
        </row>
        <row r="97">
          <cell r="B97" t="str">
            <v>ISR</v>
          </cell>
          <cell r="C97" t="str">
            <v>GDP (current LCU)</v>
          </cell>
          <cell r="D97" t="str">
            <v>NY.GDP.MKTP.CN</v>
          </cell>
          <cell r="E97">
            <v>519700</v>
          </cell>
          <cell r="F97">
            <v>627700</v>
          </cell>
          <cell r="G97">
            <v>753000</v>
          </cell>
          <cell r="H97">
            <v>897700</v>
          </cell>
          <cell r="I97">
            <v>1021600</v>
          </cell>
          <cell r="J97">
            <v>1099000</v>
          </cell>
          <cell r="K97">
            <v>1194000</v>
          </cell>
          <cell r="L97">
            <v>1209000</v>
          </cell>
          <cell r="M97">
            <v>1385700</v>
          </cell>
          <cell r="N97">
            <v>1598800</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v>302953952000</v>
          </cell>
          <cell r="AO97">
            <v>351663633000</v>
          </cell>
          <cell r="AP97">
            <v>395830696000</v>
          </cell>
          <cell r="AQ97">
            <v>440808114000</v>
          </cell>
          <cell r="AR97">
            <v>485033407000</v>
          </cell>
          <cell r="AS97">
            <v>540061471000</v>
          </cell>
          <cell r="AT97">
            <v>550174202000</v>
          </cell>
          <cell r="AU97">
            <v>573977246000</v>
          </cell>
          <cell r="AV97">
            <v>578583075000</v>
          </cell>
          <cell r="AW97">
            <v>607630782000</v>
          </cell>
          <cell r="AX97">
            <v>640202129000</v>
          </cell>
          <cell r="AY97">
            <v>686841498000</v>
          </cell>
          <cell r="AZ97">
            <v>736014537000</v>
          </cell>
          <cell r="BA97">
            <v>777561040000</v>
          </cell>
          <cell r="BB97">
            <v>817735309000</v>
          </cell>
          <cell r="BC97">
            <v>877367644000</v>
          </cell>
          <cell r="BD97">
            <v>938521387000</v>
          </cell>
          <cell r="BE97">
            <v>996436152000</v>
          </cell>
          <cell r="BF97">
            <v>1062167270000</v>
          </cell>
          <cell r="BG97">
            <v>1112537666000</v>
          </cell>
          <cell r="BH97">
            <v>1166354254000</v>
          </cell>
          <cell r="BI97">
            <v>1225234543000</v>
          </cell>
          <cell r="BJ97">
            <v>1278840101000</v>
          </cell>
          <cell r="BK97">
            <v>1341580596000</v>
          </cell>
          <cell r="BL97">
            <v>1418448753000</v>
          </cell>
          <cell r="BM97">
            <v>1401405958000</v>
          </cell>
          <cell r="BN97">
            <v>1401405958000</v>
          </cell>
        </row>
        <row r="98">
          <cell r="B98" t="str">
            <v>ITA</v>
          </cell>
          <cell r="C98" t="str">
            <v>GDP (current LCU)</v>
          </cell>
          <cell r="D98" t="str">
            <v>NY.GDP.MKTP.CN</v>
          </cell>
          <cell r="E98">
            <v>13014645760</v>
          </cell>
          <cell r="F98">
            <v>14474595328</v>
          </cell>
          <cell r="G98">
            <v>16263192576</v>
          </cell>
          <cell r="H98">
            <v>18628194304</v>
          </cell>
          <cell r="I98">
            <v>20392112128</v>
          </cell>
          <cell r="J98">
            <v>21942366208</v>
          </cell>
          <cell r="K98">
            <v>23774728192</v>
          </cell>
          <cell r="L98">
            <v>26188599296</v>
          </cell>
          <cell r="M98">
            <v>28386482176</v>
          </cell>
          <cell r="N98">
            <v>31337662464</v>
          </cell>
          <cell r="O98">
            <v>36604008000</v>
          </cell>
          <cell r="P98">
            <v>39945026000</v>
          </cell>
          <cell r="Q98">
            <v>43752324000</v>
          </cell>
          <cell r="R98">
            <v>52840658000</v>
          </cell>
          <cell r="S98">
            <v>67033712000</v>
          </cell>
          <cell r="T98">
            <v>76779041000</v>
          </cell>
          <cell r="U98">
            <v>96605958000</v>
          </cell>
          <cell r="V98">
            <v>117386640000</v>
          </cell>
          <cell r="W98">
            <v>138090063000</v>
          </cell>
          <cell r="X98">
            <v>168926870000</v>
          </cell>
          <cell r="Y98">
            <v>211090672000</v>
          </cell>
          <cell r="Z98">
            <v>252865644000</v>
          </cell>
          <cell r="AA98">
            <v>298449943000</v>
          </cell>
          <cell r="AB98">
            <v>347522438000</v>
          </cell>
          <cell r="AC98">
            <v>397339289000</v>
          </cell>
          <cell r="AD98">
            <v>445931669000</v>
          </cell>
          <cell r="AE98">
            <v>493033453000</v>
          </cell>
          <cell r="AF98">
            <v>539344368000</v>
          </cell>
          <cell r="AG98">
            <v>599339541000</v>
          </cell>
          <cell r="AH98">
            <v>658049420000</v>
          </cell>
          <cell r="AI98">
            <v>730940578000</v>
          </cell>
          <cell r="AJ98">
            <v>798453254000</v>
          </cell>
          <cell r="AK98">
            <v>840282887000</v>
          </cell>
          <cell r="AL98">
            <v>865491428000</v>
          </cell>
          <cell r="AM98">
            <v>915427658000</v>
          </cell>
          <cell r="AN98">
            <v>988243200000</v>
          </cell>
          <cell r="AO98">
            <v>1045872700000</v>
          </cell>
          <cell r="AP98">
            <v>1092357300000</v>
          </cell>
          <cell r="AQ98">
            <v>1138856100000</v>
          </cell>
          <cell r="AR98">
            <v>1175149500000</v>
          </cell>
          <cell r="AS98">
            <v>1241512900000</v>
          </cell>
          <cell r="AT98">
            <v>1304136800000</v>
          </cell>
          <cell r="AU98">
            <v>1350258900000</v>
          </cell>
          <cell r="AV98">
            <v>1394693200000</v>
          </cell>
          <cell r="AW98">
            <v>1452319000000</v>
          </cell>
          <cell r="AX98">
            <v>1493635300000</v>
          </cell>
          <cell r="AY98">
            <v>1552686800000</v>
          </cell>
          <cell r="AZ98">
            <v>1614839800000</v>
          </cell>
          <cell r="BA98">
            <v>1637699400000</v>
          </cell>
          <cell r="BB98">
            <v>1577255900000</v>
          </cell>
          <cell r="BC98">
            <v>1611279400000</v>
          </cell>
          <cell r="BD98">
            <v>1648755800000</v>
          </cell>
          <cell r="BE98">
            <v>1624358700000</v>
          </cell>
          <cell r="BF98">
            <v>1612751300000</v>
          </cell>
          <cell r="BG98">
            <v>1627405600000</v>
          </cell>
          <cell r="BH98">
            <v>1655355000000</v>
          </cell>
          <cell r="BI98">
            <v>1695786800000</v>
          </cell>
          <cell r="BJ98">
            <v>1736592800000</v>
          </cell>
          <cell r="BK98">
            <v>1771391200000</v>
          </cell>
          <cell r="BL98">
            <v>1794934900000</v>
          </cell>
          <cell r="BM98">
            <v>1653577200000</v>
          </cell>
          <cell r="BN98">
            <v>1653577200000</v>
          </cell>
        </row>
        <row r="99">
          <cell r="B99" t="str">
            <v>JAM</v>
          </cell>
          <cell r="C99" t="str">
            <v>GDP (current LCU)</v>
          </cell>
          <cell r="D99" t="str">
            <v>NY.GDP.MKTP.CN</v>
          </cell>
          <cell r="E99">
            <v>499331900</v>
          </cell>
          <cell r="F99">
            <v>534317000</v>
          </cell>
          <cell r="G99">
            <v>555520000</v>
          </cell>
          <cell r="H99">
            <v>590505000</v>
          </cell>
          <cell r="I99">
            <v>641392400</v>
          </cell>
          <cell r="J99">
            <v>694400000</v>
          </cell>
          <cell r="K99">
            <v>783400000</v>
          </cell>
          <cell r="L99">
            <v>831400000</v>
          </cell>
          <cell r="M99">
            <v>903200000</v>
          </cell>
          <cell r="N99">
            <v>992700000</v>
          </cell>
          <cell r="O99">
            <v>1170599900</v>
          </cell>
          <cell r="P99">
            <v>1282400000</v>
          </cell>
          <cell r="Q99">
            <v>1439100000</v>
          </cell>
          <cell r="R99">
            <v>1719900000</v>
          </cell>
          <cell r="S99">
            <v>2159200000</v>
          </cell>
          <cell r="T99">
            <v>2600399900</v>
          </cell>
          <cell r="U99">
            <v>2696399900</v>
          </cell>
          <cell r="V99">
            <v>2954299900</v>
          </cell>
          <cell r="W99">
            <v>3737400100</v>
          </cell>
          <cell r="X99">
            <v>4279700000</v>
          </cell>
          <cell r="Y99">
            <v>4773100000</v>
          </cell>
          <cell r="Z99">
            <v>5306900000</v>
          </cell>
          <cell r="AA99">
            <v>5867100200</v>
          </cell>
          <cell r="AB99">
            <v>6993200100</v>
          </cell>
          <cell r="AC99">
            <v>9358499800</v>
          </cell>
          <cell r="AD99">
            <v>11674300400</v>
          </cell>
          <cell r="AE99">
            <v>15088962600</v>
          </cell>
          <cell r="AF99">
            <v>18034714600</v>
          </cell>
          <cell r="AG99">
            <v>21012066300</v>
          </cell>
          <cell r="AH99">
            <v>25304791000</v>
          </cell>
          <cell r="AI99">
            <v>32990537700</v>
          </cell>
          <cell r="AJ99">
            <v>49750298600</v>
          </cell>
          <cell r="AK99">
            <v>81175224300</v>
          </cell>
          <cell r="AL99">
            <v>135722000000</v>
          </cell>
          <cell r="AM99">
            <v>180403000000</v>
          </cell>
          <cell r="AN99">
            <v>231148000000</v>
          </cell>
          <cell r="AO99">
            <v>274458000000</v>
          </cell>
          <cell r="AP99">
            <v>297399000000</v>
          </cell>
          <cell r="AQ99">
            <v>321172000000</v>
          </cell>
          <cell r="AR99">
            <v>346982000000</v>
          </cell>
          <cell r="AS99">
            <v>387089000000</v>
          </cell>
          <cell r="AT99">
            <v>422923000000</v>
          </cell>
          <cell r="AU99">
            <v>470555000000</v>
          </cell>
          <cell r="AV99">
            <v>544510000000</v>
          </cell>
          <cell r="AW99">
            <v>622661000000</v>
          </cell>
          <cell r="AX99">
            <v>700276000000</v>
          </cell>
          <cell r="AY99">
            <v>784336000000</v>
          </cell>
          <cell r="AZ99">
            <v>885632000000</v>
          </cell>
          <cell r="BA99">
            <v>997444000000</v>
          </cell>
          <cell r="BB99">
            <v>1065317000000</v>
          </cell>
          <cell r="BC99">
            <v>1152781000000</v>
          </cell>
          <cell r="BD99">
            <v>1240702000000</v>
          </cell>
          <cell r="BE99">
            <v>1314126000000</v>
          </cell>
          <cell r="BF99">
            <v>1432096000000</v>
          </cell>
          <cell r="BG99">
            <v>1541904000000</v>
          </cell>
          <cell r="BH99">
            <v>1659677000000</v>
          </cell>
          <cell r="BI99">
            <v>1760976000000</v>
          </cell>
          <cell r="BJ99">
            <v>1895025000000</v>
          </cell>
          <cell r="BK99">
            <v>2027251000000</v>
          </cell>
          <cell r="BL99">
            <v>2110433000000</v>
          </cell>
          <cell r="BM99">
            <v>1966928000000</v>
          </cell>
          <cell r="BN99">
            <v>1966928000000</v>
          </cell>
        </row>
        <row r="100">
          <cell r="B100" t="str">
            <v>JPN</v>
          </cell>
          <cell r="C100" t="str">
            <v>GDP (current LCU)</v>
          </cell>
          <cell r="D100" t="str">
            <v>NY.GDP.MKTP.CN</v>
          </cell>
          <cell r="E100">
            <v>15950643462144</v>
          </cell>
          <cell r="F100">
            <v>19263102386176</v>
          </cell>
          <cell r="G100">
            <v>21860286726144</v>
          </cell>
          <cell r="H100">
            <v>25019327447040</v>
          </cell>
          <cell r="I100">
            <v>29429642297344</v>
          </cell>
          <cell r="J100">
            <v>32742100172800</v>
          </cell>
          <cell r="K100">
            <v>38026105323520</v>
          </cell>
          <cell r="L100">
            <v>44561476878336</v>
          </cell>
          <cell r="M100">
            <v>52776386166784</v>
          </cell>
          <cell r="N100">
            <v>61993511813120</v>
          </cell>
          <cell r="O100">
            <v>76539307651000</v>
          </cell>
          <cell r="P100">
            <v>84215883491000</v>
          </cell>
          <cell r="Q100">
            <v>96418343539000</v>
          </cell>
          <cell r="R100">
            <v>117397596102000</v>
          </cell>
          <cell r="S100">
            <v>140090360740000</v>
          </cell>
          <cell r="T100">
            <v>154787118330000</v>
          </cell>
          <cell r="U100">
            <v>173827764691000</v>
          </cell>
          <cell r="V100">
            <v>193706278803000</v>
          </cell>
          <cell r="W100">
            <v>213306268936000</v>
          </cell>
          <cell r="X100">
            <v>231195355873000</v>
          </cell>
          <cell r="Y100">
            <v>250636100000000</v>
          </cell>
          <cell r="Z100">
            <v>268830700000000</v>
          </cell>
          <cell r="AA100">
            <v>282582000000000</v>
          </cell>
          <cell r="AB100">
            <v>295303900000000</v>
          </cell>
          <cell r="AC100">
            <v>313145300000000</v>
          </cell>
          <cell r="AD100">
            <v>333686000000000</v>
          </cell>
          <cell r="AE100">
            <v>350344800000000</v>
          </cell>
          <cell r="AF100">
            <v>366339100000000</v>
          </cell>
          <cell r="AG100">
            <v>393641400000000</v>
          </cell>
          <cell r="AH100">
            <v>421469400000000</v>
          </cell>
          <cell r="AI100">
            <v>453608500000000</v>
          </cell>
          <cell r="AJ100">
            <v>482845400000000</v>
          </cell>
          <cell r="AK100">
            <v>495055800000000</v>
          </cell>
          <cell r="AL100">
            <v>495291000000000</v>
          </cell>
          <cell r="AM100">
            <v>510916100000000</v>
          </cell>
          <cell r="AN100">
            <v>521613500000000</v>
          </cell>
          <cell r="AO100">
            <v>535562100000000</v>
          </cell>
          <cell r="AP100">
            <v>543545400000000</v>
          </cell>
          <cell r="AQ100">
            <v>536497400000000</v>
          </cell>
          <cell r="AR100">
            <v>528069900000000</v>
          </cell>
          <cell r="AS100">
            <v>535417700000000</v>
          </cell>
          <cell r="AT100">
            <v>531653900000000</v>
          </cell>
          <cell r="AU100">
            <v>524478700000000</v>
          </cell>
          <cell r="AV100">
            <v>523968600000000</v>
          </cell>
          <cell r="AW100">
            <v>529400900000000</v>
          </cell>
          <cell r="AX100">
            <v>532515600000000</v>
          </cell>
          <cell r="AY100">
            <v>535170200000000</v>
          </cell>
          <cell r="AZ100">
            <v>539281700000000</v>
          </cell>
          <cell r="BA100">
            <v>527823800000000</v>
          </cell>
          <cell r="BB100">
            <v>494938400000000</v>
          </cell>
          <cell r="BC100">
            <v>505530600000000</v>
          </cell>
          <cell r="BD100">
            <v>497448900000000</v>
          </cell>
          <cell r="BE100">
            <v>500474700000000</v>
          </cell>
          <cell r="BF100">
            <v>508700600000000</v>
          </cell>
          <cell r="BG100">
            <v>518811000000000</v>
          </cell>
          <cell r="BH100">
            <v>538032300000000</v>
          </cell>
          <cell r="BI100">
            <v>544364600000000</v>
          </cell>
          <cell r="BJ100">
            <v>553073000000000</v>
          </cell>
          <cell r="BK100">
            <v>556189600000000</v>
          </cell>
          <cell r="BL100">
            <v>561267000000000</v>
          </cell>
          <cell r="BM100">
            <v>540040100000000</v>
          </cell>
          <cell r="BN100">
            <v>540040100000000</v>
          </cell>
        </row>
        <row r="101">
          <cell r="B101" t="str">
            <v>JOR</v>
          </cell>
          <cell r="C101" t="str">
            <v>GDP (current LCU)</v>
          </cell>
          <cell r="D101" t="str">
            <v>NY.GDP.MKTP.CN</v>
          </cell>
          <cell r="E101" t="str">
            <v>..</v>
          </cell>
          <cell r="F101" t="str">
            <v>..</v>
          </cell>
          <cell r="G101" t="str">
            <v>..</v>
          </cell>
          <cell r="H101" t="str">
            <v>..</v>
          </cell>
          <cell r="I101" t="str">
            <v>..</v>
          </cell>
          <cell r="J101">
            <v>214200000</v>
          </cell>
          <cell r="K101">
            <v>235000000</v>
          </cell>
          <cell r="L101">
            <v>225600000</v>
          </cell>
          <cell r="M101">
            <v>200400000</v>
          </cell>
          <cell r="N101">
            <v>249600000</v>
          </cell>
          <cell r="O101">
            <v>228400000</v>
          </cell>
          <cell r="P101">
            <v>242200000</v>
          </cell>
          <cell r="Q101">
            <v>281600000</v>
          </cell>
          <cell r="R101">
            <v>310100000</v>
          </cell>
          <cell r="S101">
            <v>385700000</v>
          </cell>
          <cell r="T101">
            <v>435900000</v>
          </cell>
          <cell r="U101">
            <v>567300000</v>
          </cell>
          <cell r="V101">
            <v>690400000</v>
          </cell>
          <cell r="W101">
            <v>795400000</v>
          </cell>
          <cell r="X101">
            <v>982500000</v>
          </cell>
          <cell r="Y101">
            <v>1164800000</v>
          </cell>
          <cell r="Z101">
            <v>1448700000</v>
          </cell>
          <cell r="AA101">
            <v>1649900000</v>
          </cell>
          <cell r="AB101">
            <v>1786600000</v>
          </cell>
          <cell r="AC101">
            <v>1909700000</v>
          </cell>
          <cell r="AD101">
            <v>1970565000</v>
          </cell>
          <cell r="AE101">
            <v>2240483000</v>
          </cell>
          <cell r="AF101">
            <v>2286770300</v>
          </cell>
          <cell r="AG101">
            <v>2349555000</v>
          </cell>
          <cell r="AH101">
            <v>2425355000</v>
          </cell>
          <cell r="AI101">
            <v>2760994600</v>
          </cell>
          <cell r="AJ101">
            <v>2958000000</v>
          </cell>
          <cell r="AK101">
            <v>3610641500</v>
          </cell>
          <cell r="AL101">
            <v>3884287600</v>
          </cell>
          <cell r="AM101">
            <v>4358308600</v>
          </cell>
          <cell r="AN101">
            <v>4714594600</v>
          </cell>
          <cell r="AO101">
            <v>4912206700</v>
          </cell>
          <cell r="AP101">
            <v>5137547700</v>
          </cell>
          <cell r="AQ101">
            <v>5609840100</v>
          </cell>
          <cell r="AR101">
            <v>5777716200</v>
          </cell>
          <cell r="AS101">
            <v>5998440900</v>
          </cell>
          <cell r="AT101">
            <v>6363764100</v>
          </cell>
          <cell r="AU101">
            <v>6793959200</v>
          </cell>
          <cell r="AV101">
            <v>7228723500</v>
          </cell>
          <cell r="AW101">
            <v>8090675800</v>
          </cell>
          <cell r="AX101">
            <v>8925363700</v>
          </cell>
          <cell r="AY101">
            <v>10675363200</v>
          </cell>
          <cell r="AZ101">
            <v>12131406500</v>
          </cell>
          <cell r="BA101">
            <v>16080143000</v>
          </cell>
          <cell r="BB101">
            <v>17421892000</v>
          </cell>
          <cell r="BC101">
            <v>19265001000</v>
          </cell>
          <cell r="BD101">
            <v>20962145900</v>
          </cell>
          <cell r="BE101">
            <v>22460538800</v>
          </cell>
          <cell r="BF101">
            <v>24462652500</v>
          </cell>
          <cell r="BG101">
            <v>26161826900</v>
          </cell>
          <cell r="BH101">
            <v>27396782700</v>
          </cell>
          <cell r="BI101">
            <v>28323711300</v>
          </cell>
          <cell r="BJ101">
            <v>29400362200</v>
          </cell>
          <cell r="BK101">
            <v>30481800000</v>
          </cell>
          <cell r="BL101">
            <v>31597056100</v>
          </cell>
          <cell r="BM101">
            <v>31025338100</v>
          </cell>
          <cell r="BN101">
            <v>31025338100</v>
          </cell>
        </row>
        <row r="102">
          <cell r="B102" t="str">
            <v>KAZ</v>
          </cell>
          <cell r="C102" t="str">
            <v>GDP (current LCU)</v>
          </cell>
          <cell r="D102" t="str">
            <v>NY.GDP.MKTP.CN</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92700000</v>
          </cell>
          <cell r="AJ102">
            <v>162000000</v>
          </cell>
          <cell r="AK102">
            <v>2412000000</v>
          </cell>
          <cell r="AL102">
            <v>29423100000</v>
          </cell>
          <cell r="AM102">
            <v>423468800000</v>
          </cell>
          <cell r="AN102">
            <v>1014190000000</v>
          </cell>
          <cell r="AO102">
            <v>1415749700000</v>
          </cell>
          <cell r="AP102">
            <v>1672142500000</v>
          </cell>
          <cell r="AQ102">
            <v>1733263500000</v>
          </cell>
          <cell r="AR102">
            <v>2016456300000</v>
          </cell>
          <cell r="AS102">
            <v>2599901600000</v>
          </cell>
          <cell r="AT102">
            <v>3250593300000</v>
          </cell>
          <cell r="AU102">
            <v>3776277300000</v>
          </cell>
          <cell r="AV102">
            <v>4611975300000</v>
          </cell>
          <cell r="AW102">
            <v>5870134300000</v>
          </cell>
          <cell r="AX102">
            <v>7590593500000</v>
          </cell>
          <cell r="AY102">
            <v>10213731200000</v>
          </cell>
          <cell r="AZ102">
            <v>12849794000000</v>
          </cell>
          <cell r="BA102">
            <v>16052919200000</v>
          </cell>
          <cell r="BB102">
            <v>17007647000000</v>
          </cell>
          <cell r="BC102">
            <v>21815517000000</v>
          </cell>
          <cell r="BD102">
            <v>28243052700000</v>
          </cell>
          <cell r="BE102">
            <v>31015186600000</v>
          </cell>
          <cell r="BF102">
            <v>35999025100000</v>
          </cell>
          <cell r="BG102">
            <v>39675832900000</v>
          </cell>
          <cell r="BH102">
            <v>40884133600000</v>
          </cell>
          <cell r="BI102">
            <v>46971150000000</v>
          </cell>
          <cell r="BJ102">
            <v>54378857800000</v>
          </cell>
          <cell r="BK102">
            <v>61819536400000</v>
          </cell>
          <cell r="BL102">
            <v>69532626500000</v>
          </cell>
          <cell r="BM102">
            <v>70649033200000</v>
          </cell>
          <cell r="BN102">
            <v>70649033200000</v>
          </cell>
        </row>
        <row r="103">
          <cell r="B103" t="str">
            <v>KEN</v>
          </cell>
          <cell r="C103" t="str">
            <v>GDP (current LCU)</v>
          </cell>
          <cell r="D103" t="str">
            <v>NY.GDP.MKTP.CN</v>
          </cell>
          <cell r="E103">
            <v>5651898400</v>
          </cell>
          <cell r="F103">
            <v>5663998500</v>
          </cell>
          <cell r="G103">
            <v>6200798200</v>
          </cell>
          <cell r="H103">
            <v>6618498000</v>
          </cell>
          <cell r="I103">
            <v>7133998100</v>
          </cell>
          <cell r="J103">
            <v>7127998000</v>
          </cell>
          <cell r="K103">
            <v>8318001000</v>
          </cell>
          <cell r="L103">
            <v>8804000000</v>
          </cell>
          <cell r="M103">
            <v>9666400000</v>
          </cell>
          <cell r="N103">
            <v>10417000000</v>
          </cell>
          <cell r="O103">
            <v>11453200000</v>
          </cell>
          <cell r="P103">
            <v>12702800000</v>
          </cell>
          <cell r="Q103">
            <v>15052000000</v>
          </cell>
          <cell r="R103">
            <v>17566000000</v>
          </cell>
          <cell r="S103">
            <v>21214000000</v>
          </cell>
          <cell r="T103">
            <v>23934000000</v>
          </cell>
          <cell r="U103">
            <v>29072000000</v>
          </cell>
          <cell r="V103">
            <v>37198000000</v>
          </cell>
          <cell r="W103">
            <v>40994600000</v>
          </cell>
          <cell r="X103">
            <v>46604000000</v>
          </cell>
          <cell r="Y103">
            <v>53910002000</v>
          </cell>
          <cell r="Z103">
            <v>62016000000</v>
          </cell>
          <cell r="AA103">
            <v>70247800000</v>
          </cell>
          <cell r="AB103">
            <v>79592200000</v>
          </cell>
          <cell r="AC103">
            <v>89242600000</v>
          </cell>
          <cell r="AD103">
            <v>100811600000</v>
          </cell>
          <cell r="AE103">
            <v>117460200000</v>
          </cell>
          <cell r="AF103">
            <v>131155800000</v>
          </cell>
          <cell r="AG103">
            <v>148283780000</v>
          </cell>
          <cell r="AH103">
            <v>170404100000</v>
          </cell>
          <cell r="AI103">
            <v>196433610000</v>
          </cell>
          <cell r="AJ103">
            <v>224230069300</v>
          </cell>
          <cell r="AK103">
            <v>264471872700</v>
          </cell>
          <cell r="AL103">
            <v>333611292400</v>
          </cell>
          <cell r="AM103">
            <v>400657837200</v>
          </cell>
          <cell r="AN103">
            <v>465250740000</v>
          </cell>
          <cell r="AO103">
            <v>687998000000</v>
          </cell>
          <cell r="AP103">
            <v>770313000000</v>
          </cell>
          <cell r="AQ103">
            <v>850808200000</v>
          </cell>
          <cell r="AR103">
            <v>906927630000</v>
          </cell>
          <cell r="AS103">
            <v>967836930000</v>
          </cell>
          <cell r="AT103">
            <v>1020221000000</v>
          </cell>
          <cell r="AU103">
            <v>1035373000000</v>
          </cell>
          <cell r="AV103">
            <v>1131782000000</v>
          </cell>
          <cell r="AW103">
            <v>1274329000000</v>
          </cell>
          <cell r="AX103">
            <v>1415725000000</v>
          </cell>
          <cell r="AY103">
            <v>1862041000000</v>
          </cell>
          <cell r="AZ103">
            <v>2151349000000</v>
          </cell>
          <cell r="BA103">
            <v>2483058000000</v>
          </cell>
          <cell r="BB103">
            <v>3275642000000</v>
          </cell>
          <cell r="BC103">
            <v>3597630000000</v>
          </cell>
          <cell r="BD103">
            <v>4162514000000</v>
          </cell>
          <cell r="BE103">
            <v>4767191000000</v>
          </cell>
          <cell r="BF103">
            <v>5311322000000</v>
          </cell>
          <cell r="BG103">
            <v>6003835000000</v>
          </cell>
          <cell r="BH103">
            <v>6884317000000</v>
          </cell>
          <cell r="BI103">
            <v>7594064000000</v>
          </cell>
          <cell r="BJ103">
            <v>8483396000000</v>
          </cell>
          <cell r="BK103">
            <v>9340307000000</v>
          </cell>
          <cell r="BL103">
            <v>10255654000000</v>
          </cell>
          <cell r="BM103">
            <v>10752992000000</v>
          </cell>
          <cell r="BN103">
            <v>10752992000000</v>
          </cell>
        </row>
        <row r="104">
          <cell r="B104" t="str">
            <v>KIR</v>
          </cell>
          <cell r="C104" t="str">
            <v>GDP (current LCU)</v>
          </cell>
          <cell r="D104" t="str">
            <v>NY.GDP.MKTP.CN</v>
          </cell>
          <cell r="E104" t="str">
            <v>..</v>
          </cell>
          <cell r="F104" t="str">
            <v>..</v>
          </cell>
          <cell r="G104" t="str">
            <v>..</v>
          </cell>
          <cell r="H104" t="str">
            <v>..</v>
          </cell>
          <cell r="I104" t="str">
            <v>..</v>
          </cell>
          <cell r="J104" t="str">
            <v>..</v>
          </cell>
          <cell r="K104" t="str">
            <v>..</v>
          </cell>
          <cell r="L104" t="str">
            <v>..</v>
          </cell>
          <cell r="M104" t="str">
            <v>..</v>
          </cell>
          <cell r="N104" t="str">
            <v>..</v>
          </cell>
          <cell r="O104">
            <v>12810000</v>
          </cell>
          <cell r="P104">
            <v>13407000</v>
          </cell>
          <cell r="Q104">
            <v>15812000</v>
          </cell>
          <cell r="R104">
            <v>22226000</v>
          </cell>
          <cell r="S104">
            <v>36490000</v>
          </cell>
          <cell r="T104">
            <v>42077000</v>
          </cell>
          <cell r="U104">
            <v>33640000</v>
          </cell>
          <cell r="V104">
            <v>34943000</v>
          </cell>
          <cell r="W104">
            <v>39500000</v>
          </cell>
          <cell r="X104">
            <v>38128000</v>
          </cell>
          <cell r="Y104">
            <v>34000000</v>
          </cell>
          <cell r="Z104">
            <v>36000000</v>
          </cell>
          <cell r="AA104">
            <v>40000000</v>
          </cell>
          <cell r="AB104">
            <v>42000000</v>
          </cell>
          <cell r="AC104">
            <v>47000000</v>
          </cell>
          <cell r="AD104">
            <v>46000000</v>
          </cell>
          <cell r="AE104">
            <v>48000000</v>
          </cell>
          <cell r="AF104">
            <v>48000000</v>
          </cell>
          <cell r="AG104">
            <v>55000000</v>
          </cell>
          <cell r="AH104">
            <v>52000000</v>
          </cell>
          <cell r="AI104">
            <v>51000000</v>
          </cell>
          <cell r="AJ104">
            <v>61000000</v>
          </cell>
          <cell r="AK104">
            <v>65000000</v>
          </cell>
          <cell r="AL104">
            <v>69000000</v>
          </cell>
          <cell r="AM104">
            <v>75000000</v>
          </cell>
          <cell r="AN104">
            <v>76000000</v>
          </cell>
          <cell r="AO104">
            <v>85000000</v>
          </cell>
          <cell r="AP104">
            <v>91000000</v>
          </cell>
          <cell r="AQ104">
            <v>104000000</v>
          </cell>
          <cell r="AR104">
            <v>107000000</v>
          </cell>
          <cell r="AS104">
            <v>116000000</v>
          </cell>
          <cell r="AT104">
            <v>122000000</v>
          </cell>
          <cell r="AU104">
            <v>132884800</v>
          </cell>
          <cell r="AV104">
            <v>139128500</v>
          </cell>
          <cell r="AW104">
            <v>139198700</v>
          </cell>
          <cell r="AX104">
            <v>146839400</v>
          </cell>
          <cell r="AY104">
            <v>146392000</v>
          </cell>
          <cell r="AZ104">
            <v>158556000</v>
          </cell>
          <cell r="BA104">
            <v>168151000</v>
          </cell>
          <cell r="BB104">
            <v>169788798.35780799</v>
          </cell>
          <cell r="BC104">
            <v>170202502.875617</v>
          </cell>
          <cell r="BD104">
            <v>176163146.42494899</v>
          </cell>
          <cell r="BE104">
            <v>183737107.41129199</v>
          </cell>
          <cell r="BF104">
            <v>191741142.953412</v>
          </cell>
          <cell r="BG104">
            <v>199362691.708498</v>
          </cell>
          <cell r="BH104">
            <v>227774925.764285</v>
          </cell>
          <cell r="BI104">
            <v>239888149.40712801</v>
          </cell>
          <cell r="BJ104">
            <v>244357887.62676299</v>
          </cell>
          <cell r="BK104">
            <v>267890156.42792001</v>
          </cell>
          <cell r="BL104">
            <v>271001562.06098503</v>
          </cell>
          <cell r="BM104">
            <v>287000000</v>
          </cell>
          <cell r="BN104">
            <v>287000000</v>
          </cell>
        </row>
        <row r="105">
          <cell r="B105" t="str">
            <v>PRK</v>
          </cell>
          <cell r="C105" t="str">
            <v>GDP (current LCU)</v>
          </cell>
          <cell r="D105" t="str">
            <v>NY.GDP.MKTP.CN</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
          </cell>
        </row>
        <row r="106">
          <cell r="B106" t="str">
            <v>KOR</v>
          </cell>
          <cell r="C106" t="str">
            <v>GDP (current LCU)</v>
          </cell>
          <cell r="D106" t="str">
            <v>NY.GDP.MKTP.CN</v>
          </cell>
          <cell r="E106">
            <v>249860000000</v>
          </cell>
          <cell r="F106">
            <v>301690000000</v>
          </cell>
          <cell r="G106">
            <v>365860000000</v>
          </cell>
          <cell r="H106">
            <v>518540000000</v>
          </cell>
          <cell r="I106">
            <v>739680000000</v>
          </cell>
          <cell r="J106">
            <v>831390000000</v>
          </cell>
          <cell r="K106">
            <v>1066070000000</v>
          </cell>
          <cell r="L106">
            <v>1313620000000</v>
          </cell>
          <cell r="M106">
            <v>1692900000000</v>
          </cell>
          <cell r="N106">
            <v>2212660000000</v>
          </cell>
          <cell r="O106">
            <v>2796600000000</v>
          </cell>
          <cell r="P106">
            <v>3438000000000</v>
          </cell>
          <cell r="Q106">
            <v>4267700000000</v>
          </cell>
          <cell r="R106">
            <v>5527300000000</v>
          </cell>
          <cell r="S106">
            <v>7905000000000</v>
          </cell>
          <cell r="T106">
            <v>10543600000000</v>
          </cell>
          <cell r="U106">
            <v>14472800000000</v>
          </cell>
          <cell r="V106">
            <v>18608100000000</v>
          </cell>
          <cell r="W106">
            <v>25154500000000</v>
          </cell>
          <cell r="X106">
            <v>32402300000000</v>
          </cell>
          <cell r="Y106">
            <v>39725100000000</v>
          </cell>
          <cell r="Z106">
            <v>49669800000000</v>
          </cell>
          <cell r="AA106">
            <v>57286600000000</v>
          </cell>
          <cell r="AB106">
            <v>68080100000000</v>
          </cell>
          <cell r="AC106">
            <v>78591300000000</v>
          </cell>
          <cell r="AD106">
            <v>88129700000000</v>
          </cell>
          <cell r="AE106">
            <v>102985800000000</v>
          </cell>
          <cell r="AF106">
            <v>121697800000000</v>
          </cell>
          <cell r="AG106">
            <v>145994700000000</v>
          </cell>
          <cell r="AH106">
            <v>165801800000000</v>
          </cell>
          <cell r="AI106">
            <v>200556200000000</v>
          </cell>
          <cell r="AJ106">
            <v>242481100000000</v>
          </cell>
          <cell r="AK106">
            <v>277540800000000</v>
          </cell>
          <cell r="AL106">
            <v>315181300000000</v>
          </cell>
          <cell r="AM106">
            <v>372493400000000</v>
          </cell>
          <cell r="AN106">
            <v>436988800000000</v>
          </cell>
          <cell r="AO106">
            <v>490850900000000</v>
          </cell>
          <cell r="AP106">
            <v>542001800000000</v>
          </cell>
          <cell r="AQ106">
            <v>537215300000000</v>
          </cell>
          <cell r="AR106">
            <v>591453000000000</v>
          </cell>
          <cell r="AS106">
            <v>651634400000000</v>
          </cell>
          <cell r="AT106">
            <v>707021300000000</v>
          </cell>
          <cell r="AU106">
            <v>784741300000000</v>
          </cell>
          <cell r="AV106">
            <v>837365000000000</v>
          </cell>
          <cell r="AW106">
            <v>908439200000000</v>
          </cell>
          <cell r="AX106">
            <v>957447800000000</v>
          </cell>
          <cell r="AY106">
            <v>1005601500000000</v>
          </cell>
          <cell r="AZ106">
            <v>1089660200000000</v>
          </cell>
          <cell r="BA106">
            <v>1154216500000000</v>
          </cell>
          <cell r="BB106">
            <v>1205347700000000</v>
          </cell>
          <cell r="BC106">
            <v>1322611200000000</v>
          </cell>
          <cell r="BD106">
            <v>1388937200000000</v>
          </cell>
          <cell r="BE106">
            <v>1440111400000000</v>
          </cell>
          <cell r="BF106">
            <v>1500819100000000</v>
          </cell>
          <cell r="BG106">
            <v>1562928900000000</v>
          </cell>
          <cell r="BH106">
            <v>1658020400000000</v>
          </cell>
          <cell r="BI106">
            <v>1740779600000000</v>
          </cell>
          <cell r="BJ106">
            <v>1835698200000000</v>
          </cell>
          <cell r="BK106">
            <v>1898192600000000</v>
          </cell>
          <cell r="BL106">
            <v>1924498100000000</v>
          </cell>
          <cell r="BM106">
            <v>1933152400000000</v>
          </cell>
          <cell r="BN106">
            <v>1933152400000000</v>
          </cell>
        </row>
        <row r="107">
          <cell r="B107" t="str">
            <v>XKX</v>
          </cell>
          <cell r="C107" t="str">
            <v>GDP (current LCU)</v>
          </cell>
          <cell r="D107" t="str">
            <v>NY.GDP.MKTP.CN</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v>3537599000</v>
          </cell>
          <cell r="BB107">
            <v>3610441000</v>
          </cell>
          <cell r="BC107">
            <v>4030990000</v>
          </cell>
          <cell r="BD107">
            <v>4555904000</v>
          </cell>
          <cell r="BE107">
            <v>4797274000</v>
          </cell>
          <cell r="BF107">
            <v>5071332000</v>
          </cell>
          <cell r="BG107">
            <v>5325095000</v>
          </cell>
          <cell r="BH107">
            <v>5674423000</v>
          </cell>
          <cell r="BI107">
            <v>6037271000</v>
          </cell>
          <cell r="BJ107">
            <v>6356456000</v>
          </cell>
          <cell r="BK107">
            <v>6671521000</v>
          </cell>
          <cell r="BL107">
            <v>7056172000</v>
          </cell>
          <cell r="BM107">
            <v>6771602000</v>
          </cell>
          <cell r="BN107">
            <v>6771602000</v>
          </cell>
        </row>
        <row r="108">
          <cell r="B108" t="str">
            <v>KWT</v>
          </cell>
          <cell r="C108" t="str">
            <v>GDP (current LCU)</v>
          </cell>
          <cell r="D108" t="str">
            <v>NY.GDP.MKTP.CN</v>
          </cell>
          <cell r="E108" t="str">
            <v>..</v>
          </cell>
          <cell r="F108" t="str">
            <v>..</v>
          </cell>
          <cell r="G108" t="str">
            <v>..</v>
          </cell>
          <cell r="H108" t="str">
            <v>..</v>
          </cell>
          <cell r="I108" t="str">
            <v>..</v>
          </cell>
          <cell r="J108">
            <v>749000000</v>
          </cell>
          <cell r="K108">
            <v>854000000</v>
          </cell>
          <cell r="L108">
            <v>872000000</v>
          </cell>
          <cell r="M108">
            <v>951000000</v>
          </cell>
          <cell r="N108">
            <v>989000000</v>
          </cell>
          <cell r="O108">
            <v>1026300000</v>
          </cell>
          <cell r="P108">
            <v>1381799900</v>
          </cell>
          <cell r="Q108">
            <v>1464000000</v>
          </cell>
          <cell r="R108">
            <v>1604100000</v>
          </cell>
          <cell r="S108">
            <v>3812999900</v>
          </cell>
          <cell r="T108">
            <v>3487000100</v>
          </cell>
          <cell r="U108">
            <v>3839700000</v>
          </cell>
          <cell r="V108">
            <v>4051300100</v>
          </cell>
          <cell r="W108">
            <v>4264300000</v>
          </cell>
          <cell r="X108">
            <v>6839799800</v>
          </cell>
          <cell r="Y108">
            <v>7741000200</v>
          </cell>
          <cell r="Z108">
            <v>6985800200</v>
          </cell>
          <cell r="AA108">
            <v>6212299800</v>
          </cell>
          <cell r="AB108">
            <v>6083440100</v>
          </cell>
          <cell r="AC108">
            <v>6424569900</v>
          </cell>
          <cell r="AD108">
            <v>6449940000</v>
          </cell>
          <cell r="AE108">
            <v>5202809900</v>
          </cell>
          <cell r="AF108">
            <v>6233330200</v>
          </cell>
          <cell r="AG108">
            <v>5773199900</v>
          </cell>
          <cell r="AH108">
            <v>7142900200</v>
          </cell>
          <cell r="AI108">
            <v>5307200000</v>
          </cell>
          <cell r="AJ108">
            <v>3129799900</v>
          </cell>
          <cell r="AK108">
            <v>5826500100</v>
          </cell>
          <cell r="AL108">
            <v>7230300200</v>
          </cell>
          <cell r="AM108">
            <v>7379999700</v>
          </cell>
          <cell r="AN108">
            <v>8113900000</v>
          </cell>
          <cell r="AO108">
            <v>9429100000</v>
          </cell>
          <cell r="AP108">
            <v>9206700000</v>
          </cell>
          <cell r="AQ108">
            <v>7906500000</v>
          </cell>
          <cell r="AR108">
            <v>9169700000</v>
          </cell>
          <cell r="AS108">
            <v>11570300000</v>
          </cell>
          <cell r="AT108">
            <v>10700000000</v>
          </cell>
          <cell r="AU108">
            <v>11590000000</v>
          </cell>
          <cell r="AV108">
            <v>14267200000</v>
          </cell>
          <cell r="AW108">
            <v>17516700000</v>
          </cell>
          <cell r="AX108">
            <v>23593200000</v>
          </cell>
          <cell r="AY108">
            <v>29469500000</v>
          </cell>
          <cell r="AZ108">
            <v>32580600000</v>
          </cell>
          <cell r="BA108">
            <v>39619800000</v>
          </cell>
          <cell r="BB108">
            <v>30496200000</v>
          </cell>
          <cell r="BC108">
            <v>33079200000</v>
          </cell>
          <cell r="BD108">
            <v>42522800000</v>
          </cell>
          <cell r="BE108">
            <v>48722300000</v>
          </cell>
          <cell r="BF108">
            <v>49392100000</v>
          </cell>
          <cell r="BG108">
            <v>46284900000</v>
          </cell>
          <cell r="BH108">
            <v>34473300000</v>
          </cell>
          <cell r="BI108">
            <v>33055700000</v>
          </cell>
          <cell r="BJ108">
            <v>36610565200</v>
          </cell>
          <cell r="BK108">
            <v>41731084900</v>
          </cell>
          <cell r="BL108">
            <v>41349336400</v>
          </cell>
          <cell r="BM108">
            <v>32445021105.710098</v>
          </cell>
          <cell r="BN108">
            <v>32445021105.710098</v>
          </cell>
        </row>
        <row r="109">
          <cell r="B109" t="str">
            <v>KGZ</v>
          </cell>
          <cell r="C109" t="str">
            <v>GDP (current LCU)</v>
          </cell>
          <cell r="D109" t="str">
            <v>NY.GDP.MKTP.CN</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v>30700000</v>
          </cell>
          <cell r="AG109">
            <v>34100000</v>
          </cell>
          <cell r="AH109">
            <v>37500000</v>
          </cell>
          <cell r="AI109">
            <v>42800000</v>
          </cell>
          <cell r="AJ109">
            <v>92500000</v>
          </cell>
          <cell r="AK109">
            <v>741300000</v>
          </cell>
          <cell r="AL109">
            <v>5354700000</v>
          </cell>
          <cell r="AM109">
            <v>12019200000</v>
          </cell>
          <cell r="AN109">
            <v>16145100000</v>
          </cell>
          <cell r="AO109">
            <v>23399300000</v>
          </cell>
          <cell r="AP109">
            <v>30685700000</v>
          </cell>
          <cell r="AQ109">
            <v>34181400000</v>
          </cell>
          <cell r="AR109">
            <v>48744000000</v>
          </cell>
          <cell r="AS109">
            <v>65357700000</v>
          </cell>
          <cell r="AT109">
            <v>73883500000</v>
          </cell>
          <cell r="AU109">
            <v>75366800000</v>
          </cell>
          <cell r="AV109">
            <v>83871400000</v>
          </cell>
          <cell r="AW109">
            <v>94350700000</v>
          </cell>
          <cell r="AX109">
            <v>100899200000</v>
          </cell>
          <cell r="AY109">
            <v>113800100000</v>
          </cell>
          <cell r="AZ109">
            <v>141897700000</v>
          </cell>
          <cell r="BA109">
            <v>187991900000</v>
          </cell>
          <cell r="BB109">
            <v>201222900000</v>
          </cell>
          <cell r="BC109">
            <v>220369300000</v>
          </cell>
          <cell r="BD109">
            <v>285989100000</v>
          </cell>
          <cell r="BE109">
            <v>310471300000</v>
          </cell>
          <cell r="BF109">
            <v>355294800000</v>
          </cell>
          <cell r="BG109">
            <v>400694000000</v>
          </cell>
          <cell r="BH109">
            <v>430489400000</v>
          </cell>
          <cell r="BI109">
            <v>476331200000</v>
          </cell>
          <cell r="BJ109">
            <v>530475700000</v>
          </cell>
          <cell r="BK109">
            <v>569385600000</v>
          </cell>
          <cell r="BL109">
            <v>619102700000</v>
          </cell>
          <cell r="BM109">
            <v>598344500000</v>
          </cell>
          <cell r="BN109">
            <v>598344500000</v>
          </cell>
        </row>
        <row r="110">
          <cell r="B110" t="str">
            <v>LAO</v>
          </cell>
          <cell r="C110" t="str">
            <v>GDP (current LCU)</v>
          </cell>
          <cell r="D110" t="str">
            <v>NY.GDP.MKTP.CN</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v>61499998200</v>
          </cell>
          <cell r="AD110">
            <v>106499997700</v>
          </cell>
          <cell r="AE110">
            <v>168799993900</v>
          </cell>
          <cell r="AF110">
            <v>190400004100</v>
          </cell>
          <cell r="AG110">
            <v>234800005100</v>
          </cell>
          <cell r="AH110">
            <v>416300007400</v>
          </cell>
          <cell r="AI110">
            <v>612599988200</v>
          </cell>
          <cell r="AJ110">
            <v>721800003600</v>
          </cell>
          <cell r="AK110">
            <v>807599996900</v>
          </cell>
          <cell r="AL110">
            <v>950999973900</v>
          </cell>
          <cell r="AM110">
            <v>1107799965700</v>
          </cell>
          <cell r="AN110">
            <v>1419100028900</v>
          </cell>
          <cell r="AO110">
            <v>1725688971300</v>
          </cell>
          <cell r="AP110">
            <v>2201200000000</v>
          </cell>
          <cell r="AQ110">
            <v>4222449098800</v>
          </cell>
          <cell r="AR110">
            <v>10329402638300</v>
          </cell>
          <cell r="AS110">
            <v>13638378020900</v>
          </cell>
          <cell r="AT110">
            <v>15701800000000</v>
          </cell>
          <cell r="AU110">
            <v>17681982600000</v>
          </cell>
          <cell r="AV110">
            <v>21277279467200</v>
          </cell>
          <cell r="AW110">
            <v>25049270658200</v>
          </cell>
          <cell r="AX110">
            <v>29147834245900</v>
          </cell>
          <cell r="AY110">
            <v>35081076407000</v>
          </cell>
          <cell r="AZ110">
            <v>40553790510300</v>
          </cell>
          <cell r="BA110">
            <v>47602813795100</v>
          </cell>
          <cell r="BB110">
            <v>49673414247800</v>
          </cell>
          <cell r="BC110">
            <v>58866800648200</v>
          </cell>
          <cell r="BD110">
            <v>70256887355200</v>
          </cell>
          <cell r="BE110">
            <v>81609860356000</v>
          </cell>
          <cell r="BF110">
            <v>93867573852200</v>
          </cell>
          <cell r="BG110">
            <v>106797293551000</v>
          </cell>
          <cell r="BH110">
            <v>117252000000000</v>
          </cell>
          <cell r="BI110">
            <v>129279000000000</v>
          </cell>
          <cell r="BJ110">
            <v>140749000000000</v>
          </cell>
          <cell r="BK110">
            <v>152414000000000</v>
          </cell>
          <cell r="BL110">
            <v>164017000000000</v>
          </cell>
          <cell r="BM110">
            <v>173069804794500</v>
          </cell>
          <cell r="BN110">
            <v>173069804794500</v>
          </cell>
        </row>
        <row r="111">
          <cell r="B111" t="str">
            <v>LVA</v>
          </cell>
          <cell r="C111" t="str">
            <v>GDP (current LCU)</v>
          </cell>
          <cell r="D111" t="str">
            <v>NY.GDP.MKTP.CN</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v>4059337000</v>
          </cell>
          <cell r="AO111">
            <v>4682205000</v>
          </cell>
          <cell r="AP111">
            <v>5395984000</v>
          </cell>
          <cell r="AQ111">
            <v>6014655000</v>
          </cell>
          <cell r="AR111">
            <v>6272632000</v>
          </cell>
          <cell r="AS111">
            <v>6868490000</v>
          </cell>
          <cell r="AT111">
            <v>7470967000</v>
          </cell>
          <cell r="AU111">
            <v>8406365000</v>
          </cell>
          <cell r="AV111">
            <v>9571793000</v>
          </cell>
          <cell r="AW111">
            <v>11096723000</v>
          </cell>
          <cell r="AX111">
            <v>13662280000</v>
          </cell>
          <cell r="AY111">
            <v>17199979000</v>
          </cell>
          <cell r="AZ111">
            <v>22703836000</v>
          </cell>
          <cell r="BA111">
            <v>24527909000</v>
          </cell>
          <cell r="BB111">
            <v>19000008000</v>
          </cell>
          <cell r="BC111">
            <v>18087980000</v>
          </cell>
          <cell r="BD111">
            <v>19763840000</v>
          </cell>
          <cell r="BE111">
            <v>21924455000</v>
          </cell>
          <cell r="BF111">
            <v>22749010000</v>
          </cell>
          <cell r="BG111">
            <v>23625802000</v>
          </cell>
          <cell r="BH111">
            <v>24572126000</v>
          </cell>
          <cell r="BI111">
            <v>25371324000</v>
          </cell>
          <cell r="BJ111">
            <v>26984433000</v>
          </cell>
          <cell r="BK111">
            <v>29153556000</v>
          </cell>
          <cell r="BL111">
            <v>30647222000</v>
          </cell>
          <cell r="BM111">
            <v>29510975000</v>
          </cell>
          <cell r="BN111">
            <v>29510975000</v>
          </cell>
        </row>
        <row r="112">
          <cell r="B112" t="str">
            <v>LBN</v>
          </cell>
          <cell r="C112" t="str">
            <v>GDP (current LCU)</v>
          </cell>
          <cell r="D112" t="str">
            <v>NY.GDP.MKTP.CN</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v>1356000002000</v>
          </cell>
          <cell r="AH112">
            <v>1350000050200</v>
          </cell>
          <cell r="AI112">
            <v>1972999946200</v>
          </cell>
          <cell r="AJ112">
            <v>4353769930100</v>
          </cell>
          <cell r="AK112">
            <v>10008823951000</v>
          </cell>
          <cell r="AL112">
            <v>13829436188800</v>
          </cell>
          <cell r="AM112">
            <v>16127493356600</v>
          </cell>
          <cell r="AN112">
            <v>19000855069900</v>
          </cell>
          <cell r="AO112">
            <v>21512807517500</v>
          </cell>
          <cell r="AP112">
            <v>24250000000000</v>
          </cell>
          <cell r="AQ112">
            <v>26149000000000</v>
          </cell>
          <cell r="AR112">
            <v>26223000000000</v>
          </cell>
          <cell r="AS112">
            <v>26020000000000</v>
          </cell>
          <cell r="AT112">
            <v>26607000000000</v>
          </cell>
          <cell r="AU112">
            <v>28872000000000</v>
          </cell>
          <cell r="AV112">
            <v>30275000000000</v>
          </cell>
          <cell r="AW112">
            <v>31898440698030.699</v>
          </cell>
          <cell r="AX112">
            <v>32407234772161.398</v>
          </cell>
          <cell r="AY112">
            <v>33199235101215.5</v>
          </cell>
          <cell r="AZ112">
            <v>37427237684577.203</v>
          </cell>
          <cell r="BA112">
            <v>43896766029219.5</v>
          </cell>
          <cell r="BB112">
            <v>53364871264898</v>
          </cell>
          <cell r="BC112">
            <v>57954189866267.602</v>
          </cell>
          <cell r="BD112">
            <v>60190142386519.898</v>
          </cell>
          <cell r="BE112">
            <v>66384257778730.398</v>
          </cell>
          <cell r="BF112">
            <v>70715823342546</v>
          </cell>
          <cell r="BG112">
            <v>72561122871914.297</v>
          </cell>
          <cell r="BH112">
            <v>75474413724901.297</v>
          </cell>
          <cell r="BI112">
            <v>77469397323477.797</v>
          </cell>
          <cell r="BJ112">
            <v>80387137445107.406</v>
          </cell>
          <cell r="BK112">
            <v>83328807510010.797</v>
          </cell>
          <cell r="BL112">
            <v>80736118964513.703</v>
          </cell>
          <cell r="BM112">
            <v>117039483189400</v>
          </cell>
          <cell r="BN112">
            <v>117039483189400</v>
          </cell>
        </row>
        <row r="113">
          <cell r="B113" t="str">
            <v>LSO</v>
          </cell>
          <cell r="C113" t="str">
            <v>GDP (current LCU)</v>
          </cell>
          <cell r="D113" t="str">
            <v>NY.GDP.MKTP.CN</v>
          </cell>
          <cell r="E113">
            <v>24700000</v>
          </cell>
          <cell r="F113">
            <v>25500000</v>
          </cell>
          <cell r="G113">
            <v>29900000</v>
          </cell>
          <cell r="H113">
            <v>33600000</v>
          </cell>
          <cell r="I113">
            <v>37100000</v>
          </cell>
          <cell r="J113">
            <v>39200000</v>
          </cell>
          <cell r="K113">
            <v>40500000</v>
          </cell>
          <cell r="L113">
            <v>42330000</v>
          </cell>
          <cell r="M113">
            <v>43890000</v>
          </cell>
          <cell r="N113">
            <v>47120000</v>
          </cell>
          <cell r="O113">
            <v>49100000</v>
          </cell>
          <cell r="P113">
            <v>54700000</v>
          </cell>
          <cell r="Q113">
            <v>62200000</v>
          </cell>
          <cell r="R113">
            <v>84100000</v>
          </cell>
          <cell r="S113">
            <v>102500000</v>
          </cell>
          <cell r="T113">
            <v>110600000</v>
          </cell>
          <cell r="U113">
            <v>128400000</v>
          </cell>
          <cell r="V113">
            <v>168100000</v>
          </cell>
          <cell r="W113">
            <v>231800000</v>
          </cell>
          <cell r="X113">
            <v>244300000</v>
          </cell>
          <cell r="Y113">
            <v>336100000</v>
          </cell>
          <cell r="Z113">
            <v>381000000</v>
          </cell>
          <cell r="AA113">
            <v>378669300</v>
          </cell>
          <cell r="AB113">
            <v>430821700</v>
          </cell>
          <cell r="AC113">
            <v>491508700</v>
          </cell>
          <cell r="AD113">
            <v>598688800</v>
          </cell>
          <cell r="AE113">
            <v>728601700</v>
          </cell>
          <cell r="AF113">
            <v>820049600</v>
          </cell>
          <cell r="AG113">
            <v>1069429800</v>
          </cell>
          <cell r="AH113">
            <v>1299298400</v>
          </cell>
          <cell r="AI113">
            <v>1543104800</v>
          </cell>
          <cell r="AJ113">
            <v>1944864200</v>
          </cell>
          <cell r="AK113">
            <v>2370108800</v>
          </cell>
          <cell r="AL113">
            <v>2730466600</v>
          </cell>
          <cell r="AM113">
            <v>3118491700</v>
          </cell>
          <cell r="AN113">
            <v>3633954700</v>
          </cell>
          <cell r="AO113">
            <v>4067667800</v>
          </cell>
          <cell r="AP113">
            <v>4598765700</v>
          </cell>
          <cell r="AQ113">
            <v>5132795500</v>
          </cell>
          <cell r="AR113">
            <v>5576576200</v>
          </cell>
          <cell r="AS113">
            <v>6157651700</v>
          </cell>
          <cell r="AT113">
            <v>7108593800</v>
          </cell>
          <cell r="AU113">
            <v>8177271600</v>
          </cell>
          <cell r="AV113">
            <v>8758658800</v>
          </cell>
          <cell r="AW113">
            <v>9761984300</v>
          </cell>
          <cell r="AX113">
            <v>10698574300</v>
          </cell>
          <cell r="AY113">
            <v>12189415000</v>
          </cell>
          <cell r="AZ113">
            <v>11850482200</v>
          </cell>
          <cell r="BA113">
            <v>14596098100</v>
          </cell>
          <cell r="BB113">
            <v>14751275500</v>
          </cell>
          <cell r="BC113">
            <v>16357791100</v>
          </cell>
          <cell r="BD113">
            <v>18726343500</v>
          </cell>
          <cell r="BE113">
            <v>20346890900</v>
          </cell>
          <cell r="BF113">
            <v>22840748400</v>
          </cell>
          <cell r="BG113">
            <v>26492017800</v>
          </cell>
          <cell r="BH113">
            <v>30107939300</v>
          </cell>
          <cell r="BI113">
            <v>31096417200</v>
          </cell>
          <cell r="BJ113">
            <v>30727155800</v>
          </cell>
          <cell r="BK113">
            <v>33271968500</v>
          </cell>
          <cell r="BL113">
            <v>34187992900</v>
          </cell>
          <cell r="BM113">
            <v>30891000000</v>
          </cell>
          <cell r="BN113">
            <v>30891000000</v>
          </cell>
        </row>
        <row r="114">
          <cell r="B114" t="str">
            <v>LBR</v>
          </cell>
          <cell r="C114" t="str">
            <v>GDP (current LCU)</v>
          </cell>
          <cell r="D114" t="str">
            <v>NY.GDP.MKTP.CN</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v>874000000</v>
          </cell>
          <cell r="AT114">
            <v>906000000</v>
          </cell>
          <cell r="AU114">
            <v>927000000</v>
          </cell>
          <cell r="AV114">
            <v>748000000</v>
          </cell>
          <cell r="AW114">
            <v>897000000</v>
          </cell>
          <cell r="AX114">
            <v>949000000</v>
          </cell>
          <cell r="AY114">
            <v>1119000000</v>
          </cell>
          <cell r="AZ114">
            <v>1373000000</v>
          </cell>
          <cell r="BA114">
            <v>1726000000</v>
          </cell>
          <cell r="BB114">
            <v>1768000000</v>
          </cell>
          <cell r="BC114">
            <v>1998000000</v>
          </cell>
          <cell r="BD114">
            <v>2398000000</v>
          </cell>
          <cell r="BE114">
            <v>2791614000</v>
          </cell>
          <cell r="BF114">
            <v>3177198100</v>
          </cell>
          <cell r="BG114">
            <v>3225652000</v>
          </cell>
          <cell r="BH114">
            <v>3227075700</v>
          </cell>
          <cell r="BI114">
            <v>3398419600</v>
          </cell>
          <cell r="BJ114">
            <v>3390703400</v>
          </cell>
          <cell r="BK114">
            <v>3422754800</v>
          </cell>
          <cell r="BL114">
            <v>3319596500</v>
          </cell>
          <cell r="BM114">
            <v>3201187800</v>
          </cell>
          <cell r="BN114">
            <v>3201187800</v>
          </cell>
        </row>
        <row r="115">
          <cell r="B115" t="str">
            <v>LBY</v>
          </cell>
          <cell r="C115" t="str">
            <v>GDP (current LCU)</v>
          </cell>
          <cell r="D115" t="str">
            <v>NY.GDP.MKTP.CN</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v>8185000000</v>
          </cell>
          <cell r="AJ115">
            <v>8981000000</v>
          </cell>
          <cell r="AK115">
            <v>9541000000</v>
          </cell>
          <cell r="AL115">
            <v>9332000000</v>
          </cell>
          <cell r="AM115">
            <v>9967000000</v>
          </cell>
          <cell r="AN115">
            <v>10680000000</v>
          </cell>
          <cell r="AO115">
            <v>12180000000</v>
          </cell>
          <cell r="AP115">
            <v>14149000000</v>
          </cell>
          <cell r="AQ115">
            <v>12742000000</v>
          </cell>
          <cell r="AR115">
            <v>16686000000</v>
          </cell>
          <cell r="AS115">
            <v>19602000000</v>
          </cell>
          <cell r="AT115">
            <v>20640000000</v>
          </cell>
          <cell r="AU115">
            <v>26012000000</v>
          </cell>
          <cell r="AV115">
            <v>33620000000</v>
          </cell>
          <cell r="AW115">
            <v>43059000000</v>
          </cell>
          <cell r="AX115">
            <v>61932000000</v>
          </cell>
          <cell r="AY115">
            <v>72198000000</v>
          </cell>
          <cell r="AZ115">
            <v>85246000000</v>
          </cell>
          <cell r="BA115">
            <v>106625000000</v>
          </cell>
          <cell r="BB115">
            <v>79006000000</v>
          </cell>
          <cell r="BC115">
            <v>94723000000</v>
          </cell>
          <cell r="BD115">
            <v>42479000000</v>
          </cell>
          <cell r="BE115">
            <v>103300000000</v>
          </cell>
          <cell r="BF115">
            <v>83300000000</v>
          </cell>
          <cell r="BG115">
            <v>52350000000</v>
          </cell>
          <cell r="BH115">
            <v>38455552000</v>
          </cell>
          <cell r="BI115">
            <v>36424508000</v>
          </cell>
          <cell r="BJ115">
            <v>52801665000</v>
          </cell>
          <cell r="BK115">
            <v>71809768100</v>
          </cell>
          <cell r="BL115">
            <v>72818221700</v>
          </cell>
          <cell r="BM115">
            <v>35538186500</v>
          </cell>
          <cell r="BN115">
            <v>35538186500</v>
          </cell>
        </row>
        <row r="116">
          <cell r="B116" t="str">
            <v>LIE</v>
          </cell>
          <cell r="C116" t="str">
            <v>GDP (current LCU)</v>
          </cell>
          <cell r="D116" t="str">
            <v>NY.GDP.MKTP.CN</v>
          </cell>
          <cell r="E116" t="str">
            <v>..</v>
          </cell>
          <cell r="F116" t="str">
            <v>..</v>
          </cell>
          <cell r="G116" t="str">
            <v>..</v>
          </cell>
          <cell r="H116" t="str">
            <v>..</v>
          </cell>
          <cell r="I116" t="str">
            <v>..</v>
          </cell>
          <cell r="J116" t="str">
            <v>..</v>
          </cell>
          <cell r="K116" t="str">
            <v>..</v>
          </cell>
          <cell r="L116" t="str">
            <v>..</v>
          </cell>
          <cell r="M116" t="str">
            <v>..</v>
          </cell>
          <cell r="N116" t="str">
            <v>..</v>
          </cell>
          <cell r="O116">
            <v>394000000</v>
          </cell>
          <cell r="P116">
            <v>433599100</v>
          </cell>
          <cell r="Q116">
            <v>477178200</v>
          </cell>
          <cell r="R116">
            <v>525137200</v>
          </cell>
          <cell r="S116">
            <v>577916300</v>
          </cell>
          <cell r="T116">
            <v>636000000</v>
          </cell>
          <cell r="U116">
            <v>681125700</v>
          </cell>
          <cell r="V116">
            <v>729453300</v>
          </cell>
          <cell r="W116">
            <v>781209700</v>
          </cell>
          <cell r="X116">
            <v>836638500</v>
          </cell>
          <cell r="Y116">
            <v>896000000</v>
          </cell>
          <cell r="Z116">
            <v>1005000000</v>
          </cell>
          <cell r="AA116">
            <v>1060000000</v>
          </cell>
          <cell r="AB116">
            <v>1100000000</v>
          </cell>
          <cell r="AC116">
            <v>1181000000</v>
          </cell>
          <cell r="AD116">
            <v>1300000000</v>
          </cell>
          <cell r="AE116">
            <v>1402000000</v>
          </cell>
          <cell r="AF116">
            <v>1570000000</v>
          </cell>
          <cell r="AG116">
            <v>1700000000</v>
          </cell>
          <cell r="AH116">
            <v>1832209500</v>
          </cell>
          <cell r="AI116">
            <v>1974700900</v>
          </cell>
          <cell r="AJ116">
            <v>2128274000</v>
          </cell>
          <cell r="AK116">
            <v>2293790500</v>
          </cell>
          <cell r="AL116">
            <v>2472179200</v>
          </cell>
          <cell r="AM116">
            <v>2664441300</v>
          </cell>
          <cell r="AN116">
            <v>2871655600</v>
          </cell>
          <cell r="AO116">
            <v>3094985100</v>
          </cell>
          <cell r="AP116">
            <v>3335683000</v>
          </cell>
          <cell r="AQ116">
            <v>3595100000</v>
          </cell>
          <cell r="AR116">
            <v>4001900000</v>
          </cell>
          <cell r="AS116">
            <v>4194900000</v>
          </cell>
          <cell r="AT116">
            <v>4205200000</v>
          </cell>
          <cell r="AU116">
            <v>4190500000</v>
          </cell>
          <cell r="AV116">
            <v>4135300000</v>
          </cell>
          <cell r="AW116">
            <v>4295500000</v>
          </cell>
          <cell r="AX116">
            <v>4556500000</v>
          </cell>
          <cell r="AY116">
            <v>5015500000</v>
          </cell>
          <cell r="AZ116">
            <v>5523400000</v>
          </cell>
          <cell r="BA116">
            <v>5503700000</v>
          </cell>
          <cell r="BB116">
            <v>4901400000</v>
          </cell>
          <cell r="BC116">
            <v>5300400000</v>
          </cell>
          <cell r="BD116">
            <v>5097100000</v>
          </cell>
          <cell r="BE116">
            <v>5116100000</v>
          </cell>
          <cell r="BF116">
            <v>5924500000</v>
          </cell>
          <cell r="BG116">
            <v>6099300000</v>
          </cell>
          <cell r="BH116">
            <v>6032700000</v>
          </cell>
          <cell r="BI116">
            <v>6146200000</v>
          </cell>
          <cell r="BJ116">
            <v>6375200000</v>
          </cell>
          <cell r="BK116">
            <v>6688000000</v>
          </cell>
          <cell r="BL116">
            <v>6643000000</v>
          </cell>
          <cell r="BM116" t="str">
            <v>..</v>
          </cell>
          <cell r="BN116">
            <v>6643000000</v>
          </cell>
        </row>
        <row r="117">
          <cell r="B117" t="str">
            <v>LTU</v>
          </cell>
          <cell r="C117" t="str">
            <v>GDP (current LCU)</v>
          </cell>
          <cell r="D117" t="str">
            <v>NY.GDP.MKTP.CN</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v>7760934000</v>
          </cell>
          <cell r="AO117">
            <v>9711149000</v>
          </cell>
          <cell r="AP117">
            <v>11722435000</v>
          </cell>
          <cell r="AQ117">
            <v>13021016000</v>
          </cell>
          <cell r="AR117">
            <v>12710580000</v>
          </cell>
          <cell r="AS117">
            <v>13351454000</v>
          </cell>
          <cell r="AT117">
            <v>14177014000</v>
          </cell>
          <cell r="AU117">
            <v>15182389000</v>
          </cell>
          <cell r="AV117">
            <v>16649996000</v>
          </cell>
          <cell r="AW117">
            <v>18219669000</v>
          </cell>
          <cell r="AX117">
            <v>20979923000</v>
          </cell>
          <cell r="AY117">
            <v>24053291000</v>
          </cell>
          <cell r="AZ117">
            <v>29011219000</v>
          </cell>
          <cell r="BA117">
            <v>32660067000</v>
          </cell>
          <cell r="BB117">
            <v>26897015000</v>
          </cell>
          <cell r="BC117">
            <v>28033833000</v>
          </cell>
          <cell r="BD117">
            <v>31317168000</v>
          </cell>
          <cell r="BE117">
            <v>33410163000</v>
          </cell>
          <cell r="BF117">
            <v>35039541000</v>
          </cell>
          <cell r="BG117">
            <v>36581311000</v>
          </cell>
          <cell r="BH117">
            <v>37345698000</v>
          </cell>
          <cell r="BI117">
            <v>38889862000</v>
          </cell>
          <cell r="BJ117">
            <v>42276297000</v>
          </cell>
          <cell r="BK117">
            <v>45514803000</v>
          </cell>
          <cell r="BL117">
            <v>48859870000</v>
          </cell>
          <cell r="BM117">
            <v>49507223000</v>
          </cell>
          <cell r="BN117">
            <v>49507223000</v>
          </cell>
        </row>
        <row r="118">
          <cell r="B118" t="str">
            <v>LUX</v>
          </cell>
          <cell r="C118" t="str">
            <v>GDP (current LCU)</v>
          </cell>
          <cell r="D118" t="str">
            <v>NY.GDP.MKTP.CN</v>
          </cell>
          <cell r="E118">
            <v>872493120</v>
          </cell>
          <cell r="F118">
            <v>872765760</v>
          </cell>
          <cell r="G118">
            <v>919076992</v>
          </cell>
          <cell r="H118">
            <v>980593152</v>
          </cell>
          <cell r="I118">
            <v>1119436032</v>
          </cell>
          <cell r="J118">
            <v>1142294272</v>
          </cell>
          <cell r="K118">
            <v>1200350208</v>
          </cell>
          <cell r="L118">
            <v>1208136064</v>
          </cell>
          <cell r="M118">
            <v>1321826688</v>
          </cell>
          <cell r="N118">
            <v>1530592512</v>
          </cell>
          <cell r="O118">
            <v>1806904000</v>
          </cell>
          <cell r="P118">
            <v>1839994000</v>
          </cell>
          <cell r="Q118">
            <v>2074942000</v>
          </cell>
          <cell r="R118">
            <v>2521662000</v>
          </cell>
          <cell r="S118">
            <v>3074120000</v>
          </cell>
          <cell r="T118">
            <v>2847543000</v>
          </cell>
          <cell r="U118">
            <v>3276372000</v>
          </cell>
          <cell r="V118">
            <v>3366812000</v>
          </cell>
          <cell r="W118">
            <v>3683764000</v>
          </cell>
          <cell r="X118">
            <v>4009743000</v>
          </cell>
          <cell r="Y118">
            <v>4363757000</v>
          </cell>
          <cell r="Z118">
            <v>4651394000</v>
          </cell>
          <cell r="AA118">
            <v>5212584000</v>
          </cell>
          <cell r="AB118">
            <v>5734446000</v>
          </cell>
          <cell r="AC118">
            <v>6357615000</v>
          </cell>
          <cell r="AD118">
            <v>6737198000</v>
          </cell>
          <cell r="AE118">
            <v>7403628000</v>
          </cell>
          <cell r="AF118">
            <v>7700995000</v>
          </cell>
          <cell r="AG118">
            <v>8584660000</v>
          </cell>
          <cell r="AH118">
            <v>9804800000</v>
          </cell>
          <cell r="AI118">
            <v>10585952000</v>
          </cell>
          <cell r="AJ118">
            <v>11710667000</v>
          </cell>
          <cell r="AK118">
            <v>12368406000</v>
          </cell>
          <cell r="AL118">
            <v>13657727000</v>
          </cell>
          <cell r="AM118">
            <v>14681872000</v>
          </cell>
          <cell r="AN118">
            <v>15239441000</v>
          </cell>
          <cell r="AO118">
            <v>16037154000</v>
          </cell>
          <cell r="AP118">
            <v>17349210000</v>
          </cell>
          <cell r="AQ118">
            <v>18131018000</v>
          </cell>
          <cell r="AR118">
            <v>20547759000</v>
          </cell>
          <cell r="AS118">
            <v>22986027000</v>
          </cell>
          <cell r="AT118">
            <v>23879889000</v>
          </cell>
          <cell r="AU118">
            <v>25011094000</v>
          </cell>
          <cell r="AV118">
            <v>26227287000</v>
          </cell>
          <cell r="AW118">
            <v>28189387000</v>
          </cell>
          <cell r="AX118">
            <v>30280986000</v>
          </cell>
          <cell r="AY118">
            <v>34175045000</v>
          </cell>
          <cell r="AZ118">
            <v>37641903000</v>
          </cell>
          <cell r="BA118">
            <v>40009559000</v>
          </cell>
          <cell r="BB118">
            <v>39050743000</v>
          </cell>
          <cell r="BC118">
            <v>42402715000</v>
          </cell>
          <cell r="BD118">
            <v>44323466000</v>
          </cell>
          <cell r="BE118">
            <v>46526238000</v>
          </cell>
          <cell r="BF118">
            <v>49094489000</v>
          </cell>
          <cell r="BG118">
            <v>51791322000</v>
          </cell>
          <cell r="BH118">
            <v>54142304000</v>
          </cell>
          <cell r="BI118">
            <v>56208068000</v>
          </cell>
          <cell r="BJ118">
            <v>58168784000</v>
          </cell>
          <cell r="BK118">
            <v>60362206000</v>
          </cell>
          <cell r="BL118">
            <v>62704166000</v>
          </cell>
          <cell r="BM118">
            <v>64221137000</v>
          </cell>
          <cell r="BN118">
            <v>64221137000</v>
          </cell>
        </row>
        <row r="119">
          <cell r="B119" t="str">
            <v>MAC</v>
          </cell>
          <cell r="C119" t="str">
            <v>GDP (current LCU)</v>
          </cell>
          <cell r="D119" t="str">
            <v>NY.GDP.MKTP.CN</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v>7113000000</v>
          </cell>
          <cell r="AB119">
            <v>8457000000</v>
          </cell>
          <cell r="AC119">
            <v>10481000000</v>
          </cell>
          <cell r="AD119">
            <v>10895000000</v>
          </cell>
          <cell r="AE119">
            <v>12277000000</v>
          </cell>
          <cell r="AF119">
            <v>15681000000</v>
          </cell>
          <cell r="AG119">
            <v>18403000000</v>
          </cell>
          <cell r="AH119">
            <v>21737000000</v>
          </cell>
          <cell r="AI119">
            <v>26040000000</v>
          </cell>
          <cell r="AJ119">
            <v>30138000000</v>
          </cell>
          <cell r="AK119">
            <v>39179000000</v>
          </cell>
          <cell r="AL119">
            <v>45141000000</v>
          </cell>
          <cell r="AM119">
            <v>50239000000</v>
          </cell>
          <cell r="AN119">
            <v>56142000000</v>
          </cell>
          <cell r="AO119">
            <v>57174000000</v>
          </cell>
          <cell r="AP119">
            <v>57961000000</v>
          </cell>
          <cell r="AQ119">
            <v>54238000000</v>
          </cell>
          <cell r="AR119">
            <v>52328000000</v>
          </cell>
          <cell r="AS119">
            <v>54369000000</v>
          </cell>
          <cell r="AT119">
            <v>55112000000</v>
          </cell>
          <cell r="AU119">
            <v>59220000000</v>
          </cell>
          <cell r="AV119">
            <v>66147000000</v>
          </cell>
          <cell r="AW119">
            <v>85382000000</v>
          </cell>
          <cell r="AX119">
            <v>97415000000</v>
          </cell>
          <cell r="AY119">
            <v>119014000000</v>
          </cell>
          <cell r="AZ119">
            <v>148181000000</v>
          </cell>
          <cell r="BA119">
            <v>168639000000</v>
          </cell>
          <cell r="BB119">
            <v>172363000000</v>
          </cell>
          <cell r="BC119">
            <v>225997000000</v>
          </cell>
          <cell r="BD119">
            <v>295438000000</v>
          </cell>
          <cell r="BE119">
            <v>345080000000</v>
          </cell>
          <cell r="BF119">
            <v>411739000000</v>
          </cell>
          <cell r="BG119">
            <v>438516000000</v>
          </cell>
          <cell r="BH119">
            <v>359708000000</v>
          </cell>
          <cell r="BI119">
            <v>360344000000</v>
          </cell>
          <cell r="BJ119">
            <v>404839000000</v>
          </cell>
          <cell r="BK119">
            <v>446283000000</v>
          </cell>
          <cell r="BL119">
            <v>445530000000</v>
          </cell>
          <cell r="BM119">
            <v>204410000000</v>
          </cell>
          <cell r="BN119">
            <v>204410000000</v>
          </cell>
        </row>
        <row r="120">
          <cell r="B120" t="str">
            <v>MDG</v>
          </cell>
          <cell r="C120" t="str">
            <v>GDP (current LCU)</v>
          </cell>
          <cell r="D120" t="str">
            <v>NY.GDP.MKTP.CN</v>
          </cell>
          <cell r="E120">
            <v>33230448600</v>
          </cell>
          <cell r="F120">
            <v>34518044700</v>
          </cell>
          <cell r="G120">
            <v>36499038200</v>
          </cell>
          <cell r="H120">
            <v>37489360900</v>
          </cell>
          <cell r="I120">
            <v>39619026900</v>
          </cell>
          <cell r="J120">
            <v>41153528800</v>
          </cell>
          <cell r="K120">
            <v>44446602700</v>
          </cell>
          <cell r="L120">
            <v>47219865200</v>
          </cell>
          <cell r="M120">
            <v>50934149000</v>
          </cell>
          <cell r="N120">
            <v>54871037800</v>
          </cell>
          <cell r="O120">
            <v>61754793100</v>
          </cell>
          <cell r="P120">
            <v>66484299800</v>
          </cell>
          <cell r="Q120">
            <v>67623325500</v>
          </cell>
          <cell r="R120">
            <v>73689662300</v>
          </cell>
          <cell r="S120">
            <v>92310282400</v>
          </cell>
          <cell r="T120">
            <v>97857007500</v>
          </cell>
          <cell r="U120">
            <v>104270152200</v>
          </cell>
          <cell r="V120">
            <v>115907814700</v>
          </cell>
          <cell r="W120">
            <v>120488718100</v>
          </cell>
          <cell r="X120">
            <v>147354524100</v>
          </cell>
          <cell r="Y120">
            <v>219806735653.01901</v>
          </cell>
          <cell r="Z120">
            <v>258651160500.85501</v>
          </cell>
          <cell r="AA120">
            <v>334695608112.85602</v>
          </cell>
          <cell r="AB120">
            <v>403456303177.81201</v>
          </cell>
          <cell r="AC120">
            <v>450466026085.65503</v>
          </cell>
          <cell r="AD120">
            <v>503821809564.53601</v>
          </cell>
          <cell r="AE120">
            <v>588144608773.83801</v>
          </cell>
          <cell r="AF120">
            <v>687055223658.52795</v>
          </cell>
          <cell r="AG120">
            <v>897581230652.51404</v>
          </cell>
          <cell r="AH120">
            <v>1018387517766.55</v>
          </cell>
          <cell r="AI120">
            <v>1174798178536.0701</v>
          </cell>
          <cell r="AJ120">
            <v>1194714030900</v>
          </cell>
          <cell r="AK120">
            <v>1384914810000</v>
          </cell>
          <cell r="AL120">
            <v>1555254072800</v>
          </cell>
          <cell r="AM120">
            <v>2160770675800</v>
          </cell>
          <cell r="AN120">
            <v>3274384949700</v>
          </cell>
          <cell r="AO120">
            <v>4005905771000</v>
          </cell>
          <cell r="AP120">
            <v>4340454054100</v>
          </cell>
          <cell r="AQ120">
            <v>4790571869500</v>
          </cell>
          <cell r="AR120">
            <v>5376276965400</v>
          </cell>
          <cell r="AS120">
            <v>6265668346500</v>
          </cell>
          <cell r="AT120">
            <v>7166084523000</v>
          </cell>
          <cell r="AU120">
            <v>7312517881300</v>
          </cell>
          <cell r="AV120">
            <v>7891241683000</v>
          </cell>
          <cell r="AW120">
            <v>9465265240700</v>
          </cell>
          <cell r="AX120">
            <v>11736268677000</v>
          </cell>
          <cell r="AY120">
            <v>13701545530600</v>
          </cell>
          <cell r="AZ120">
            <v>15974088179600</v>
          </cell>
          <cell r="BA120">
            <v>18322512467039.602</v>
          </cell>
          <cell r="BB120">
            <v>18812595595562.398</v>
          </cell>
          <cell r="BC120">
            <v>20863367561085.602</v>
          </cell>
          <cell r="BD120">
            <v>23393792064529.398</v>
          </cell>
          <cell r="BE120">
            <v>25415464299223.301</v>
          </cell>
          <cell r="BF120">
            <v>27417720538512.199</v>
          </cell>
          <cell r="BG120">
            <v>30240583633164.602</v>
          </cell>
          <cell r="BH120">
            <v>33216175581725.102</v>
          </cell>
          <cell r="BI120">
            <v>37637585995492.102</v>
          </cell>
          <cell r="BJ120">
            <v>41058842551971.602</v>
          </cell>
          <cell r="BK120">
            <v>45886302016670.102</v>
          </cell>
          <cell r="BL120">
            <v>51035216506307.102</v>
          </cell>
          <cell r="BM120">
            <v>49453220483220.797</v>
          </cell>
          <cell r="BN120">
            <v>49453220483220.797</v>
          </cell>
        </row>
        <row r="121">
          <cell r="B121" t="str">
            <v>MWI</v>
          </cell>
          <cell r="C121" t="str">
            <v>GDP (current LCU)</v>
          </cell>
          <cell r="D121" t="str">
            <v>NY.GDP.MKTP.CN</v>
          </cell>
          <cell r="E121">
            <v>116400000</v>
          </cell>
          <cell r="F121">
            <v>124700000</v>
          </cell>
          <cell r="G121">
            <v>130800000</v>
          </cell>
          <cell r="H121">
            <v>136300000</v>
          </cell>
          <cell r="I121">
            <v>139100000</v>
          </cell>
          <cell r="J121">
            <v>163900000</v>
          </cell>
          <cell r="K121">
            <v>186000000</v>
          </cell>
          <cell r="L121">
            <v>195400000</v>
          </cell>
          <cell r="M121">
            <v>204300000</v>
          </cell>
          <cell r="N121">
            <v>221500000</v>
          </cell>
          <cell r="O121">
            <v>242100000</v>
          </cell>
          <cell r="P121">
            <v>303600000</v>
          </cell>
          <cell r="Q121">
            <v>325500000</v>
          </cell>
          <cell r="R121">
            <v>364000000</v>
          </cell>
          <cell r="S121">
            <v>461500000</v>
          </cell>
          <cell r="T121">
            <v>529700000</v>
          </cell>
          <cell r="U121">
            <v>612000000</v>
          </cell>
          <cell r="V121">
            <v>728000000</v>
          </cell>
          <cell r="W121">
            <v>800700000</v>
          </cell>
          <cell r="X121">
            <v>864500000</v>
          </cell>
          <cell r="Y121">
            <v>1005100000</v>
          </cell>
          <cell r="Z121">
            <v>1108100000</v>
          </cell>
          <cell r="AA121">
            <v>1245600000</v>
          </cell>
          <cell r="AB121">
            <v>1436999900</v>
          </cell>
          <cell r="AC121">
            <v>1707399900</v>
          </cell>
          <cell r="AD121">
            <v>1944900000</v>
          </cell>
          <cell r="AE121">
            <v>2202900000</v>
          </cell>
          <cell r="AF121">
            <v>2613100000</v>
          </cell>
          <cell r="AG121">
            <v>3534400000</v>
          </cell>
          <cell r="AH121">
            <v>4388199900</v>
          </cell>
          <cell r="AI121">
            <v>5132437500</v>
          </cell>
          <cell r="AJ121">
            <v>6177200100</v>
          </cell>
          <cell r="AK121">
            <v>6484199900</v>
          </cell>
          <cell r="AL121">
            <v>9116600300</v>
          </cell>
          <cell r="AM121">
            <v>10324700200</v>
          </cell>
          <cell r="AN121">
            <v>21358327800</v>
          </cell>
          <cell r="AO121">
            <v>34919211000</v>
          </cell>
          <cell r="AP121">
            <v>43794767900</v>
          </cell>
          <cell r="AQ121">
            <v>54395379700</v>
          </cell>
          <cell r="AR121">
            <v>78297014300</v>
          </cell>
          <cell r="AS121">
            <v>103815004200</v>
          </cell>
          <cell r="AT121">
            <v>123926872100</v>
          </cell>
          <cell r="AU121">
            <v>268065523100</v>
          </cell>
          <cell r="AV121">
            <v>312677106900</v>
          </cell>
          <cell r="AW121">
            <v>378564071400</v>
          </cell>
          <cell r="AX121">
            <v>432929897700</v>
          </cell>
          <cell r="AY121">
            <v>543784717300</v>
          </cell>
          <cell r="AZ121">
            <v>620421900000</v>
          </cell>
          <cell r="BA121">
            <v>747723000000</v>
          </cell>
          <cell r="BB121">
            <v>873982300000</v>
          </cell>
          <cell r="BC121">
            <v>1047335600000</v>
          </cell>
          <cell r="BD121">
            <v>1252750177400</v>
          </cell>
          <cell r="BE121">
            <v>1501732514000</v>
          </cell>
          <cell r="BF121">
            <v>2011120439900</v>
          </cell>
          <cell r="BG121">
            <v>2569690528700</v>
          </cell>
          <cell r="BH121">
            <v>3184094000000</v>
          </cell>
          <cell r="BI121">
            <v>3900950000000</v>
          </cell>
          <cell r="BJ121">
            <v>6531224000000</v>
          </cell>
          <cell r="BK121">
            <v>7235940000000</v>
          </cell>
          <cell r="BL121">
            <v>8219853000000</v>
          </cell>
          <cell r="BM121">
            <v>9131005000000</v>
          </cell>
          <cell r="BN121">
            <v>9131005000000</v>
          </cell>
        </row>
        <row r="122">
          <cell r="B122" t="str">
            <v>MYS</v>
          </cell>
          <cell r="C122" t="str">
            <v>GDP (current LCU)</v>
          </cell>
          <cell r="D122" t="str">
            <v>NY.GDP.MKTP.CN</v>
          </cell>
          <cell r="E122">
            <v>5866000000</v>
          </cell>
          <cell r="F122">
            <v>5822000000</v>
          </cell>
          <cell r="G122">
            <v>6127000000</v>
          </cell>
          <cell r="H122">
            <v>7684000000</v>
          </cell>
          <cell r="I122">
            <v>8187000000</v>
          </cell>
          <cell r="J122">
            <v>9050000000</v>
          </cell>
          <cell r="K122">
            <v>9623000000</v>
          </cell>
          <cell r="L122">
            <v>9762000000</v>
          </cell>
          <cell r="M122">
            <v>10195000000</v>
          </cell>
          <cell r="N122">
            <v>11218000000</v>
          </cell>
          <cell r="O122">
            <v>11829000000</v>
          </cell>
          <cell r="P122">
            <v>12955000000</v>
          </cell>
          <cell r="Q122">
            <v>14220000000</v>
          </cell>
          <cell r="R122">
            <v>18723000000</v>
          </cell>
          <cell r="S122">
            <v>22858000000</v>
          </cell>
          <cell r="T122">
            <v>22332000000</v>
          </cell>
          <cell r="U122">
            <v>28085000000</v>
          </cell>
          <cell r="V122">
            <v>32340000000</v>
          </cell>
          <cell r="W122">
            <v>37886000000</v>
          </cell>
          <cell r="X122">
            <v>46424000000</v>
          </cell>
          <cell r="Y122">
            <v>53308000000</v>
          </cell>
          <cell r="Z122">
            <v>57613000000</v>
          </cell>
          <cell r="AA122">
            <v>62599000000</v>
          </cell>
          <cell r="AB122">
            <v>70444000000</v>
          </cell>
          <cell r="AC122">
            <v>79550000000</v>
          </cell>
          <cell r="AD122">
            <v>77470000000</v>
          </cell>
          <cell r="AE122">
            <v>71594000000</v>
          </cell>
          <cell r="AF122">
            <v>81085000000</v>
          </cell>
          <cell r="AG122">
            <v>92370000000</v>
          </cell>
          <cell r="AH122">
            <v>105233000000</v>
          </cell>
          <cell r="AI122">
            <v>119081000000</v>
          </cell>
          <cell r="AJ122">
            <v>135124000000</v>
          </cell>
          <cell r="AK122">
            <v>150682000000</v>
          </cell>
          <cell r="AL122">
            <v>172194000000</v>
          </cell>
          <cell r="AM122">
            <v>195461000000</v>
          </cell>
          <cell r="AN122">
            <v>222473000000</v>
          </cell>
          <cell r="AO122">
            <v>253732000000</v>
          </cell>
          <cell r="AP122">
            <v>281795000000</v>
          </cell>
          <cell r="AQ122">
            <v>283243000000</v>
          </cell>
          <cell r="AR122">
            <v>300764000000</v>
          </cell>
          <cell r="AS122">
            <v>356401000000</v>
          </cell>
          <cell r="AT122">
            <v>352579000000</v>
          </cell>
          <cell r="AU122">
            <v>383213000000</v>
          </cell>
          <cell r="AV122">
            <v>418769000000</v>
          </cell>
          <cell r="AW122">
            <v>474048000000</v>
          </cell>
          <cell r="AX122">
            <v>543578000000</v>
          </cell>
          <cell r="AY122">
            <v>596784000000</v>
          </cell>
          <cell r="AZ122">
            <v>665340000000</v>
          </cell>
          <cell r="BA122">
            <v>769949000000</v>
          </cell>
          <cell r="BB122">
            <v>712857000000</v>
          </cell>
          <cell r="BC122">
            <v>821434000000</v>
          </cell>
          <cell r="BD122">
            <v>911733000000</v>
          </cell>
          <cell r="BE122">
            <v>971252000000</v>
          </cell>
          <cell r="BF122">
            <v>1018614000000</v>
          </cell>
          <cell r="BG122">
            <v>1106443000000</v>
          </cell>
          <cell r="BH122">
            <v>1176941187000</v>
          </cell>
          <cell r="BI122">
            <v>1249697694000</v>
          </cell>
          <cell r="BJ122">
            <v>1372309832000</v>
          </cell>
          <cell r="BK122">
            <v>1447760000000</v>
          </cell>
          <cell r="BL122">
            <v>1513157000000</v>
          </cell>
          <cell r="BM122">
            <v>1416605000000</v>
          </cell>
          <cell r="BN122">
            <v>1416605000000</v>
          </cell>
        </row>
        <row r="123">
          <cell r="B123" t="str">
            <v>MDV</v>
          </cell>
          <cell r="C123" t="str">
            <v>GDP (current LCU)</v>
          </cell>
          <cell r="D123" t="str">
            <v>NY.GDP.MKTP.CN</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v>320600000</v>
          </cell>
          <cell r="Z123">
            <v>338100000</v>
          </cell>
          <cell r="AA123">
            <v>343700000</v>
          </cell>
          <cell r="AB123">
            <v>407700000</v>
          </cell>
          <cell r="AC123">
            <v>772000000</v>
          </cell>
          <cell r="AD123">
            <v>902800000</v>
          </cell>
          <cell r="AE123">
            <v>1014600000</v>
          </cell>
          <cell r="AF123">
            <v>1302500000</v>
          </cell>
          <cell r="AG123">
            <v>1480400000</v>
          </cell>
          <cell r="AH123">
            <v>1713400000</v>
          </cell>
          <cell r="AI123">
            <v>2054100000</v>
          </cell>
          <cell r="AJ123">
            <v>2505800000</v>
          </cell>
          <cell r="AK123">
            <v>3010900000</v>
          </cell>
          <cell r="AL123">
            <v>3532700000</v>
          </cell>
          <cell r="AM123">
            <v>4124700000</v>
          </cell>
          <cell r="AN123">
            <v>4696100000</v>
          </cell>
          <cell r="AO123">
            <v>5301000000</v>
          </cell>
          <cell r="AP123">
            <v>5981791800</v>
          </cell>
          <cell r="AQ123">
            <v>6356934600</v>
          </cell>
          <cell r="AR123">
            <v>6935351900</v>
          </cell>
          <cell r="AS123">
            <v>7348448200</v>
          </cell>
          <cell r="AT123">
            <v>10651000000</v>
          </cell>
          <cell r="AU123">
            <v>11482000000</v>
          </cell>
          <cell r="AV123">
            <v>13467149500</v>
          </cell>
          <cell r="AW123">
            <v>15703418400</v>
          </cell>
          <cell r="AX123">
            <v>14891039200</v>
          </cell>
          <cell r="AY123">
            <v>20162565000</v>
          </cell>
          <cell r="AZ123">
            <v>23915308300</v>
          </cell>
          <cell r="BA123">
            <v>29077071200</v>
          </cell>
          <cell r="BB123">
            <v>30019774400</v>
          </cell>
          <cell r="BC123">
            <v>33128653500</v>
          </cell>
          <cell r="BD123">
            <v>40511084400</v>
          </cell>
          <cell r="BE123">
            <v>44345433600</v>
          </cell>
          <cell r="BF123">
            <v>50633451400</v>
          </cell>
          <cell r="BG123">
            <v>56866746500</v>
          </cell>
          <cell r="BH123">
            <v>63146654300</v>
          </cell>
          <cell r="BI123">
            <v>67300320800</v>
          </cell>
          <cell r="BJ123">
            <v>73152504100</v>
          </cell>
          <cell r="BK123">
            <v>81586056100</v>
          </cell>
          <cell r="BL123">
            <v>86258604700</v>
          </cell>
          <cell r="BM123">
            <v>57568667700</v>
          </cell>
          <cell r="BN123">
            <v>57568667700</v>
          </cell>
        </row>
        <row r="124">
          <cell r="B124" t="str">
            <v>MLI</v>
          </cell>
          <cell r="C124" t="str">
            <v>GDP (current LCU)</v>
          </cell>
          <cell r="D124" t="str">
            <v>NY.GDP.MKTP.CN</v>
          </cell>
          <cell r="E124" t="str">
            <v>..</v>
          </cell>
          <cell r="F124" t="str">
            <v>..</v>
          </cell>
          <cell r="G124" t="str">
            <v>..</v>
          </cell>
          <cell r="H124" t="str">
            <v>..</v>
          </cell>
          <cell r="I124" t="str">
            <v>..</v>
          </cell>
          <cell r="J124" t="str">
            <v>..</v>
          </cell>
          <cell r="K124" t="str">
            <v>..</v>
          </cell>
          <cell r="L124">
            <v>67771899900</v>
          </cell>
          <cell r="M124">
            <v>85105803300</v>
          </cell>
          <cell r="N124">
            <v>88364204000</v>
          </cell>
          <cell r="O124">
            <v>99442196500</v>
          </cell>
          <cell r="P124">
            <v>108826001400</v>
          </cell>
          <cell r="Q124">
            <v>122640998400</v>
          </cell>
          <cell r="R124">
            <v>125639000100</v>
          </cell>
          <cell r="S124">
            <v>129678999600</v>
          </cell>
          <cell r="T124">
            <v>178032001000</v>
          </cell>
          <cell r="U124">
            <v>224428998700</v>
          </cell>
          <cell r="V124">
            <v>257924005900</v>
          </cell>
          <cell r="W124">
            <v>275910000600</v>
          </cell>
          <cell r="X124">
            <v>339380994000</v>
          </cell>
          <cell r="Y124">
            <v>371786770800</v>
          </cell>
          <cell r="Z124">
            <v>418187213000</v>
          </cell>
          <cell r="AA124">
            <v>438279978300</v>
          </cell>
          <cell r="AB124">
            <v>494534288400</v>
          </cell>
          <cell r="AC124">
            <v>538737901600</v>
          </cell>
          <cell r="AD124">
            <v>625462121600</v>
          </cell>
          <cell r="AE124">
            <v>641415139000</v>
          </cell>
          <cell r="AF124">
            <v>628310748700</v>
          </cell>
          <cell r="AG124">
            <v>646044880600</v>
          </cell>
          <cell r="AH124">
            <v>696019296000</v>
          </cell>
          <cell r="AI124">
            <v>730190242600</v>
          </cell>
          <cell r="AJ124">
            <v>768496305400</v>
          </cell>
          <cell r="AK124">
            <v>749256034500</v>
          </cell>
          <cell r="AL124">
            <v>798031740400</v>
          </cell>
          <cell r="AM124">
            <v>1155850951900</v>
          </cell>
          <cell r="AN124">
            <v>1350907857400</v>
          </cell>
          <cell r="AO124">
            <v>1422331655700</v>
          </cell>
          <cell r="AP124">
            <v>1574218062200</v>
          </cell>
          <cell r="AQ124">
            <v>1722870804900</v>
          </cell>
          <cell r="AR124">
            <v>2117674360000</v>
          </cell>
          <cell r="AS124">
            <v>2103270238000</v>
          </cell>
          <cell r="AT124">
            <v>2540202707500</v>
          </cell>
          <cell r="AU124">
            <v>2711115443400</v>
          </cell>
          <cell r="AV124">
            <v>2733678207000</v>
          </cell>
          <cell r="AW124">
            <v>2876233000000</v>
          </cell>
          <cell r="AX124">
            <v>3294055000000</v>
          </cell>
          <cell r="AY124">
            <v>3607837000000</v>
          </cell>
          <cell r="AZ124">
            <v>3903961000000</v>
          </cell>
          <cell r="BA124">
            <v>4387928186200</v>
          </cell>
          <cell r="BB124">
            <v>4812024616500</v>
          </cell>
          <cell r="BC124">
            <v>5288939000000</v>
          </cell>
          <cell r="BD124">
            <v>6123929000000</v>
          </cell>
          <cell r="BE124">
            <v>6352360000000</v>
          </cell>
          <cell r="BF124">
            <v>6540560000000</v>
          </cell>
          <cell r="BG124">
            <v>7092793000000</v>
          </cell>
          <cell r="BH124">
            <v>7747690000000</v>
          </cell>
          <cell r="BI124">
            <v>8311915000000</v>
          </cell>
          <cell r="BJ124">
            <v>8922205000000</v>
          </cell>
          <cell r="BK124">
            <v>9481952937800</v>
          </cell>
          <cell r="BL124">
            <v>10124689257300</v>
          </cell>
          <cell r="BM124">
            <v>10052835646900</v>
          </cell>
          <cell r="BN124">
            <v>10052835646900</v>
          </cell>
        </row>
        <row r="125">
          <cell r="B125" t="str">
            <v>MLT</v>
          </cell>
          <cell r="C125" t="str">
            <v>GDP (current LCU)</v>
          </cell>
          <cell r="D125" t="str">
            <v>NY.GDP.MKTP.CN</v>
          </cell>
          <cell r="E125" t="str">
            <v>..</v>
          </cell>
          <cell r="F125" t="str">
            <v>..</v>
          </cell>
          <cell r="G125" t="str">
            <v>..</v>
          </cell>
          <cell r="H125" t="str">
            <v>..</v>
          </cell>
          <cell r="I125" t="str">
            <v>..</v>
          </cell>
          <cell r="J125" t="str">
            <v>..</v>
          </cell>
          <cell r="K125" t="str">
            <v>..</v>
          </cell>
          <cell r="L125" t="str">
            <v>..</v>
          </cell>
          <cell r="M125" t="str">
            <v>..</v>
          </cell>
          <cell r="N125" t="str">
            <v>..</v>
          </cell>
          <cell r="O125">
            <v>243350600</v>
          </cell>
          <cell r="P125">
            <v>250901100</v>
          </cell>
          <cell r="Q125">
            <v>262301100</v>
          </cell>
          <cell r="R125">
            <v>296906700</v>
          </cell>
          <cell r="S125">
            <v>337694900</v>
          </cell>
          <cell r="T125">
            <v>425402300</v>
          </cell>
          <cell r="U125">
            <v>522816000</v>
          </cell>
          <cell r="V125">
            <v>615376500</v>
          </cell>
          <cell r="W125">
            <v>712482200</v>
          </cell>
          <cell r="X125">
            <v>836086200</v>
          </cell>
          <cell r="Y125">
            <v>1005944800</v>
          </cell>
          <cell r="Z125">
            <v>1120117200</v>
          </cell>
          <cell r="AA125">
            <v>1185137400</v>
          </cell>
          <cell r="AB125">
            <v>1174281500</v>
          </cell>
          <cell r="AC125">
            <v>1183253700</v>
          </cell>
          <cell r="AD125">
            <v>1221570400</v>
          </cell>
          <cell r="AE125">
            <v>1313671500</v>
          </cell>
          <cell r="AF125">
            <v>1409404200</v>
          </cell>
          <cell r="AG125">
            <v>1556408800</v>
          </cell>
          <cell r="AH125">
            <v>1719859000</v>
          </cell>
          <cell r="AI125">
            <v>1885665200</v>
          </cell>
          <cell r="AJ125">
            <v>2070781200</v>
          </cell>
          <cell r="AK125">
            <v>2244977100</v>
          </cell>
          <cell r="AL125">
            <v>2412523300</v>
          </cell>
          <cell r="AM125">
            <v>2639641300</v>
          </cell>
          <cell r="AN125">
            <v>3059657400</v>
          </cell>
          <cell r="AO125">
            <v>3209692400</v>
          </cell>
          <cell r="AP125">
            <v>3410662500</v>
          </cell>
          <cell r="AQ125">
            <v>3629165900</v>
          </cell>
          <cell r="AR125">
            <v>3829559100</v>
          </cell>
          <cell r="AS125">
            <v>4153347600</v>
          </cell>
          <cell r="AT125">
            <v>4285837200</v>
          </cell>
          <cell r="AU125">
            <v>4515597900</v>
          </cell>
          <cell r="AV125">
            <v>4787522700</v>
          </cell>
          <cell r="AW125">
            <v>4895548700</v>
          </cell>
          <cell r="AX125">
            <v>5159253700</v>
          </cell>
          <cell r="AY125">
            <v>5403002100</v>
          </cell>
          <cell r="AZ125">
            <v>5790276400</v>
          </cell>
          <cell r="BA125">
            <v>6206020700</v>
          </cell>
          <cell r="BB125">
            <v>6259644900</v>
          </cell>
          <cell r="BC125">
            <v>6815803600</v>
          </cell>
          <cell r="BD125">
            <v>6924597600</v>
          </cell>
          <cell r="BE125">
            <v>7364460000</v>
          </cell>
          <cell r="BF125">
            <v>7944345700</v>
          </cell>
          <cell r="BG125">
            <v>8751102000</v>
          </cell>
          <cell r="BH125">
            <v>9996709900</v>
          </cell>
          <cell r="BI125">
            <v>10589222895.951401</v>
          </cell>
          <cell r="BJ125">
            <v>11703493262.1437</v>
          </cell>
          <cell r="BK125">
            <v>12587438960.070101</v>
          </cell>
          <cell r="BL125">
            <v>13592197592.3167</v>
          </cell>
          <cell r="BM125">
            <v>12823785223.9573</v>
          </cell>
          <cell r="BN125">
            <v>12823785223.9573</v>
          </cell>
        </row>
        <row r="126">
          <cell r="B126" t="str">
            <v>MHL</v>
          </cell>
          <cell r="C126" t="str">
            <v>GDP (current LCU)</v>
          </cell>
          <cell r="D126" t="str">
            <v>NY.GDP.MKTP.CN</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v>31020000</v>
          </cell>
          <cell r="AA126">
            <v>34918000</v>
          </cell>
          <cell r="AB126">
            <v>41749000</v>
          </cell>
          <cell r="AC126">
            <v>45144000</v>
          </cell>
          <cell r="AD126">
            <v>43879000</v>
          </cell>
          <cell r="AE126">
            <v>55989000</v>
          </cell>
          <cell r="AF126">
            <v>62983000</v>
          </cell>
          <cell r="AG126">
            <v>70688000</v>
          </cell>
          <cell r="AH126">
            <v>72798000</v>
          </cell>
          <cell r="AI126">
            <v>78476000</v>
          </cell>
          <cell r="AJ126">
            <v>82507000</v>
          </cell>
          <cell r="AK126">
            <v>91063000</v>
          </cell>
          <cell r="AL126">
            <v>99461000</v>
          </cell>
          <cell r="AM126">
            <v>108071000</v>
          </cell>
          <cell r="AN126">
            <v>120230000</v>
          </cell>
          <cell r="AO126">
            <v>110858000</v>
          </cell>
          <cell r="AP126">
            <v>110705600</v>
          </cell>
          <cell r="AQ126">
            <v>112279400</v>
          </cell>
          <cell r="AR126">
            <v>114326300</v>
          </cell>
          <cell r="AS126">
            <v>115347500</v>
          </cell>
          <cell r="AT126">
            <v>122824000</v>
          </cell>
          <cell r="AU126">
            <v>131738200</v>
          </cell>
          <cell r="AV126">
            <v>131398500</v>
          </cell>
          <cell r="AW126">
            <v>132440200</v>
          </cell>
          <cell r="AX126">
            <v>136559500</v>
          </cell>
          <cell r="AY126">
            <v>141515800</v>
          </cell>
          <cell r="AZ126">
            <v>148346700</v>
          </cell>
          <cell r="BA126">
            <v>151898900</v>
          </cell>
          <cell r="BB126">
            <v>149769600</v>
          </cell>
          <cell r="BC126">
            <v>160407100</v>
          </cell>
          <cell r="BD126">
            <v>172188500</v>
          </cell>
          <cell r="BE126">
            <v>180436300</v>
          </cell>
          <cell r="BF126">
            <v>184840400</v>
          </cell>
          <cell r="BG126">
            <v>182142800</v>
          </cell>
          <cell r="BH126">
            <v>183814300</v>
          </cell>
          <cell r="BI126">
            <v>201510900</v>
          </cell>
          <cell r="BJ126">
            <v>213204100</v>
          </cell>
          <cell r="BK126">
            <v>221588900</v>
          </cell>
          <cell r="BL126">
            <v>239462200</v>
          </cell>
          <cell r="BM126">
            <v>244462400</v>
          </cell>
          <cell r="BN126">
            <v>244462400</v>
          </cell>
        </row>
        <row r="127">
          <cell r="B127" t="str">
            <v>MRT</v>
          </cell>
          <cell r="C127" t="str">
            <v>GDP (current LCU)</v>
          </cell>
          <cell r="D127" t="str">
            <v>NY.GDP.MKTP.CN</v>
          </cell>
          <cell r="E127" t="str">
            <v>..</v>
          </cell>
          <cell r="F127">
            <v>786035272.19622397</v>
          </cell>
          <cell r="G127">
            <v>811007201.23927903</v>
          </cell>
          <cell r="H127">
            <v>830334235.62290704</v>
          </cell>
          <cell r="I127">
            <v>1108333466.6457601</v>
          </cell>
          <cell r="J127">
            <v>1260613627.1362901</v>
          </cell>
          <cell r="K127">
            <v>1315874009.9472699</v>
          </cell>
          <cell r="L127">
            <v>1395269243.0204401</v>
          </cell>
          <cell r="M127">
            <v>1537358939.62519</v>
          </cell>
          <cell r="N127">
            <v>1532599955.0664401</v>
          </cell>
          <cell r="O127">
            <v>1718495912.40149</v>
          </cell>
          <cell r="P127">
            <v>1859935298.20012</v>
          </cell>
          <cell r="Q127">
            <v>1977801467.81177</v>
          </cell>
          <cell r="R127">
            <v>2198739528.0901799</v>
          </cell>
          <cell r="S127">
            <v>2778980966.8919601</v>
          </cell>
          <cell r="T127">
            <v>3031857414.9730301</v>
          </cell>
          <cell r="U127">
            <v>3489429302.12114</v>
          </cell>
          <cell r="V127">
            <v>3642544531.3866301</v>
          </cell>
          <cell r="W127">
            <v>3714372668.6428499</v>
          </cell>
          <cell r="X127">
            <v>4368511412.7603998</v>
          </cell>
          <cell r="Y127">
            <v>4811451713.2059298</v>
          </cell>
          <cell r="Z127">
            <v>5339078321.2277403</v>
          </cell>
          <cell r="AA127">
            <v>5740044703.0131798</v>
          </cell>
          <cell r="AB127">
            <v>6386498278.2465696</v>
          </cell>
          <cell r="AC127">
            <v>6854858975.5222702</v>
          </cell>
          <cell r="AD127">
            <v>7783452260.9186296</v>
          </cell>
          <cell r="AE127">
            <v>8825551540.1856899</v>
          </cell>
          <cell r="AF127">
            <v>9934158426.7517509</v>
          </cell>
          <cell r="AG127">
            <v>10649040849.7771</v>
          </cell>
          <cell r="AH127">
            <v>12047768559.200199</v>
          </cell>
          <cell r="AI127">
            <v>12147086350.0229</v>
          </cell>
          <cell r="AJ127">
            <v>17484721900</v>
          </cell>
          <cell r="AK127">
            <v>18835185800</v>
          </cell>
          <cell r="AL127">
            <v>22317103800</v>
          </cell>
          <cell r="AM127">
            <v>24033814500</v>
          </cell>
          <cell r="AN127">
            <v>27143980300</v>
          </cell>
          <cell r="AO127">
            <v>29256854000</v>
          </cell>
          <cell r="AP127">
            <v>31463957800</v>
          </cell>
          <cell r="AQ127">
            <v>38304841300</v>
          </cell>
          <cell r="AR127">
            <v>41607896200</v>
          </cell>
          <cell r="AS127">
            <v>42516905600</v>
          </cell>
          <cell r="AT127">
            <v>44634477800</v>
          </cell>
          <cell r="AU127">
            <v>48289612500</v>
          </cell>
          <cell r="AV127">
            <v>53951335500</v>
          </cell>
          <cell r="AW127">
            <v>62684948400</v>
          </cell>
          <cell r="AX127">
            <v>77980678600</v>
          </cell>
          <cell r="AY127">
            <v>105279845900</v>
          </cell>
          <cell r="AZ127">
            <v>112387258000</v>
          </cell>
          <cell r="BA127">
            <v>124019067700</v>
          </cell>
          <cell r="BB127">
            <v>123694877400</v>
          </cell>
          <cell r="BC127">
            <v>155297484400</v>
          </cell>
          <cell r="BD127">
            <v>190166085500</v>
          </cell>
          <cell r="BE127">
            <v>199572130500</v>
          </cell>
          <cell r="BF127">
            <v>217184508000</v>
          </cell>
          <cell r="BG127">
            <v>199572600000</v>
          </cell>
          <cell r="BH127">
            <v>200220600000</v>
          </cell>
          <cell r="BI127">
            <v>225473200000</v>
          </cell>
          <cell r="BJ127">
            <v>243406900000</v>
          </cell>
          <cell r="BK127">
            <v>262320017000</v>
          </cell>
          <cell r="BL127">
            <v>289478027100</v>
          </cell>
          <cell r="BM127">
            <v>294388904600</v>
          </cell>
          <cell r="BN127">
            <v>294388904600</v>
          </cell>
        </row>
        <row r="128">
          <cell r="B128" t="str">
            <v>MUS</v>
          </cell>
          <cell r="C128" t="str">
            <v>GDP (current LCU)</v>
          </cell>
          <cell r="D128" t="str">
            <v>NY.GDP.MKTP.CN</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v>4704000000</v>
          </cell>
          <cell r="V128">
            <v>5442000000</v>
          </cell>
          <cell r="W128">
            <v>6258000000</v>
          </cell>
          <cell r="X128">
            <v>7640000000</v>
          </cell>
          <cell r="Y128">
            <v>8697000000</v>
          </cell>
          <cell r="Z128">
            <v>10209000000</v>
          </cell>
          <cell r="AA128">
            <v>11725000000</v>
          </cell>
          <cell r="AB128">
            <v>12763000000</v>
          </cell>
          <cell r="AC128">
            <v>14360000000</v>
          </cell>
          <cell r="AD128">
            <v>16618000000</v>
          </cell>
          <cell r="AE128">
            <v>19700000000</v>
          </cell>
          <cell r="AF128">
            <v>24222000000</v>
          </cell>
          <cell r="AG128">
            <v>28683000000</v>
          </cell>
          <cell r="AH128">
            <v>33274000000</v>
          </cell>
          <cell r="AI128">
            <v>39440000000</v>
          </cell>
          <cell r="AJ128">
            <v>44716910000</v>
          </cell>
          <cell r="AK128">
            <v>50179920700</v>
          </cell>
          <cell r="AL128">
            <v>57591925700</v>
          </cell>
          <cell r="AM128">
            <v>63905564500</v>
          </cell>
          <cell r="AN128">
            <v>70246666500</v>
          </cell>
          <cell r="AO128">
            <v>79365491500</v>
          </cell>
          <cell r="AP128">
            <v>88174655800</v>
          </cell>
          <cell r="AQ128">
            <v>100041504300</v>
          </cell>
          <cell r="AR128">
            <v>109399819700</v>
          </cell>
          <cell r="AS128">
            <v>122410117200</v>
          </cell>
          <cell r="AT128">
            <v>134391830500</v>
          </cell>
          <cell r="AU128">
            <v>145055337400</v>
          </cell>
          <cell r="AV128">
            <v>162290576600</v>
          </cell>
          <cell r="AW128">
            <v>180908355100</v>
          </cell>
          <cell r="AX128">
            <v>191393481100</v>
          </cell>
          <cell r="AY128">
            <v>222870000000</v>
          </cell>
          <cell r="AZ128">
            <v>255211000000</v>
          </cell>
          <cell r="BA128">
            <v>284254000000</v>
          </cell>
          <cell r="BB128">
            <v>291756000000</v>
          </cell>
          <cell r="BC128">
            <v>307957000000</v>
          </cell>
          <cell r="BD128">
            <v>330647000000</v>
          </cell>
          <cell r="BE128">
            <v>350644000000</v>
          </cell>
          <cell r="BF128">
            <v>372397000000</v>
          </cell>
          <cell r="BG128">
            <v>392062000000</v>
          </cell>
          <cell r="BH128">
            <v>409893000000</v>
          </cell>
          <cell r="BI128">
            <v>434765000000</v>
          </cell>
          <cell r="BJ128">
            <v>457201000000</v>
          </cell>
          <cell r="BK128">
            <v>481256000000</v>
          </cell>
          <cell r="BL128">
            <v>498254000000</v>
          </cell>
          <cell r="BM128">
            <v>429692000000</v>
          </cell>
          <cell r="BN128">
            <v>429692000000</v>
          </cell>
        </row>
        <row r="129">
          <cell r="B129" t="str">
            <v>MEX</v>
          </cell>
          <cell r="C129" t="str">
            <v>GDP (current LCU)</v>
          </cell>
          <cell r="D129" t="str">
            <v>NY.GDP.MKTP.CN</v>
          </cell>
          <cell r="E129">
            <v>163000000</v>
          </cell>
          <cell r="F129">
            <v>177000000</v>
          </cell>
          <cell r="G129">
            <v>190000000</v>
          </cell>
          <cell r="H129">
            <v>212000000</v>
          </cell>
          <cell r="I129">
            <v>251000000</v>
          </cell>
          <cell r="J129">
            <v>273000000</v>
          </cell>
          <cell r="K129">
            <v>304000000</v>
          </cell>
          <cell r="L129">
            <v>332000000</v>
          </cell>
          <cell r="M129">
            <v>367000000</v>
          </cell>
          <cell r="N129">
            <v>406000000</v>
          </cell>
          <cell r="O129">
            <v>444000000</v>
          </cell>
          <cell r="P129">
            <v>490000000</v>
          </cell>
          <cell r="Q129">
            <v>565000000</v>
          </cell>
          <cell r="R129">
            <v>691000000</v>
          </cell>
          <cell r="S129">
            <v>900000000</v>
          </cell>
          <cell r="T129">
            <v>1100000000</v>
          </cell>
          <cell r="U129">
            <v>1371000000</v>
          </cell>
          <cell r="V129">
            <v>1849000000</v>
          </cell>
          <cell r="W129">
            <v>2337000000</v>
          </cell>
          <cell r="X129">
            <v>3068000000</v>
          </cell>
          <cell r="Y129">
            <v>4718199000</v>
          </cell>
          <cell r="Z129">
            <v>6467003750</v>
          </cell>
          <cell r="AA129">
            <v>10411956500</v>
          </cell>
          <cell r="AB129">
            <v>18754719750</v>
          </cell>
          <cell r="AC129">
            <v>30919079000</v>
          </cell>
          <cell r="AD129">
            <v>50151964000</v>
          </cell>
          <cell r="AE129">
            <v>82317749000</v>
          </cell>
          <cell r="AF129">
            <v>203340645500</v>
          </cell>
          <cell r="AG129">
            <v>412821214250</v>
          </cell>
          <cell r="AH129">
            <v>544977748500</v>
          </cell>
          <cell r="AI129">
            <v>734801827000</v>
          </cell>
          <cell r="AJ129">
            <v>945190132300</v>
          </cell>
          <cell r="AK129">
            <v>1123936450800</v>
          </cell>
          <cell r="AL129">
            <v>1560093286000</v>
          </cell>
          <cell r="AM129">
            <v>1781422460000</v>
          </cell>
          <cell r="AN129">
            <v>2311458453000</v>
          </cell>
          <cell r="AO129">
            <v>3123167939000</v>
          </cell>
          <cell r="AP129">
            <v>3962524166000</v>
          </cell>
          <cell r="AQ129">
            <v>4810123454000</v>
          </cell>
          <cell r="AR129">
            <v>5738466369000</v>
          </cell>
          <cell r="AS129">
            <v>6693683014000</v>
          </cell>
          <cell r="AT129">
            <v>7069377272000</v>
          </cell>
          <cell r="AU129">
            <v>7455459195000</v>
          </cell>
          <cell r="AV129">
            <v>7868809553000</v>
          </cell>
          <cell r="AW129">
            <v>8828367434000</v>
          </cell>
          <cell r="AX129">
            <v>9562648113000</v>
          </cell>
          <cell r="AY129">
            <v>10630939426000</v>
          </cell>
          <cell r="AZ129">
            <v>11504075512000</v>
          </cell>
          <cell r="BA129">
            <v>12353845281000</v>
          </cell>
          <cell r="BB129">
            <v>12162762846000</v>
          </cell>
          <cell r="BC129">
            <v>13366377171000</v>
          </cell>
          <cell r="BD129">
            <v>14665576472000</v>
          </cell>
          <cell r="BE129">
            <v>15817754584000</v>
          </cell>
          <cell r="BF129">
            <v>16277187078000</v>
          </cell>
          <cell r="BG129">
            <v>17484305607000</v>
          </cell>
          <cell r="BH129">
            <v>18572109415000</v>
          </cell>
          <cell r="BI129">
            <v>20129057371000</v>
          </cell>
          <cell r="BJ129">
            <v>21934167572000</v>
          </cell>
          <cell r="BK129">
            <v>23524390183000</v>
          </cell>
          <cell r="BL129">
            <v>24453867508000</v>
          </cell>
          <cell r="BM129">
            <v>23073727049000</v>
          </cell>
          <cell r="BN129">
            <v>23073727049000</v>
          </cell>
        </row>
        <row r="130">
          <cell r="B130" t="str">
            <v>FSM</v>
          </cell>
          <cell r="C130" t="str">
            <v>GDP (current LCU)</v>
          </cell>
          <cell r="D130" t="str">
            <v>NY.GDP.MKTP.CN</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v>106500000</v>
          </cell>
          <cell r="AC130" t="str">
            <v>..</v>
          </cell>
          <cell r="AD130" t="str">
            <v>..</v>
          </cell>
          <cell r="AE130">
            <v>112210000</v>
          </cell>
          <cell r="AF130">
            <v>116700000</v>
          </cell>
          <cell r="AG130">
            <v>124700000</v>
          </cell>
          <cell r="AH130">
            <v>135200000</v>
          </cell>
          <cell r="AI130">
            <v>147200000</v>
          </cell>
          <cell r="AJ130">
            <v>166200000</v>
          </cell>
          <cell r="AK130">
            <v>178100000</v>
          </cell>
          <cell r="AL130">
            <v>198400000</v>
          </cell>
          <cell r="AM130">
            <v>202500000</v>
          </cell>
          <cell r="AN130">
            <v>221575300</v>
          </cell>
          <cell r="AO130">
            <v>218534700</v>
          </cell>
          <cell r="AP130">
            <v>206626300</v>
          </cell>
          <cell r="AQ130">
            <v>218873100</v>
          </cell>
          <cell r="AR130">
            <v>220140500</v>
          </cell>
          <cell r="AS130">
            <v>233271800</v>
          </cell>
          <cell r="AT130">
            <v>240970900</v>
          </cell>
          <cell r="AU130">
            <v>242517200</v>
          </cell>
          <cell r="AV130">
            <v>245432900</v>
          </cell>
          <cell r="AW130">
            <v>240236000</v>
          </cell>
          <cell r="AX130">
            <v>250281900</v>
          </cell>
          <cell r="AY130">
            <v>253541900</v>
          </cell>
          <cell r="AZ130">
            <v>256787200</v>
          </cell>
          <cell r="BA130">
            <v>263145100</v>
          </cell>
          <cell r="BB130">
            <v>280284600</v>
          </cell>
          <cell r="BC130">
            <v>296944100</v>
          </cell>
          <cell r="BD130">
            <v>311301600</v>
          </cell>
          <cell r="BE130">
            <v>327248700</v>
          </cell>
          <cell r="BF130">
            <v>317214400</v>
          </cell>
          <cell r="BG130">
            <v>319271200</v>
          </cell>
          <cell r="BH130">
            <v>316489900</v>
          </cell>
          <cell r="BI130">
            <v>332265200</v>
          </cell>
          <cell r="BJ130">
            <v>366666800</v>
          </cell>
          <cell r="BK130">
            <v>401932300</v>
          </cell>
          <cell r="BL130">
            <v>408057100</v>
          </cell>
          <cell r="BM130">
            <v>410083600</v>
          </cell>
          <cell r="BN130">
            <v>410083600</v>
          </cell>
        </row>
        <row r="131">
          <cell r="B131" t="str">
            <v>MDA</v>
          </cell>
          <cell r="C131" t="str">
            <v>GDP (current LCU)</v>
          </cell>
          <cell r="D131" t="str">
            <v>NY.GDP.MKTP.CN</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v>6479715000</v>
          </cell>
          <cell r="AO131">
            <v>7797562000</v>
          </cell>
          <cell r="AP131">
            <v>8916975000</v>
          </cell>
          <cell r="AQ131">
            <v>9122113000</v>
          </cell>
          <cell r="AR131">
            <v>12321554000</v>
          </cell>
          <cell r="AS131">
            <v>16019558000</v>
          </cell>
          <cell r="AT131">
            <v>19051531000</v>
          </cell>
          <cell r="AU131">
            <v>22555858000</v>
          </cell>
          <cell r="AV131">
            <v>27619000000</v>
          </cell>
          <cell r="AW131">
            <v>32032000000</v>
          </cell>
          <cell r="AX131">
            <v>37652000000</v>
          </cell>
          <cell r="AY131">
            <v>44754000000</v>
          </cell>
          <cell r="AZ131">
            <v>53430000000</v>
          </cell>
          <cell r="BA131">
            <v>62922000000</v>
          </cell>
          <cell r="BB131">
            <v>60429803000</v>
          </cell>
          <cell r="BC131">
            <v>86275377000</v>
          </cell>
          <cell r="BD131">
            <v>98772814000</v>
          </cell>
          <cell r="BE131">
            <v>105480184000</v>
          </cell>
          <cell r="BF131">
            <v>119532871000</v>
          </cell>
          <cell r="BG131">
            <v>133481634000</v>
          </cell>
          <cell r="BH131">
            <v>145753642000</v>
          </cell>
          <cell r="BI131">
            <v>160814564000</v>
          </cell>
          <cell r="BJ131">
            <v>178880890000</v>
          </cell>
          <cell r="BK131">
            <v>192508553000</v>
          </cell>
          <cell r="BL131">
            <v>210378058516.79901</v>
          </cell>
          <cell r="BM131">
            <v>206378470143.92999</v>
          </cell>
          <cell r="BN131">
            <v>206378470143.92999</v>
          </cell>
        </row>
        <row r="132">
          <cell r="B132" t="str">
            <v>MCO</v>
          </cell>
          <cell r="C132" t="str">
            <v>GDP (current LCU)</v>
          </cell>
          <cell r="D132" t="str">
            <v>NY.GDP.MKTP.CN</v>
          </cell>
          <cell r="E132" t="str">
            <v>..</v>
          </cell>
          <cell r="F132" t="str">
            <v>..</v>
          </cell>
          <cell r="G132" t="str">
            <v>..</v>
          </cell>
          <cell r="H132" t="str">
            <v>..</v>
          </cell>
          <cell r="I132" t="str">
            <v>..</v>
          </cell>
          <cell r="J132" t="str">
            <v>..</v>
          </cell>
          <cell r="K132" t="str">
            <v>..</v>
          </cell>
          <cell r="L132" t="str">
            <v>..</v>
          </cell>
          <cell r="M132" t="str">
            <v>..</v>
          </cell>
          <cell r="N132" t="str">
            <v>..</v>
          </cell>
          <cell r="O132">
            <v>248154673</v>
          </cell>
          <cell r="P132">
            <v>276753854</v>
          </cell>
          <cell r="Q132">
            <v>309506426</v>
          </cell>
          <cell r="R132">
            <v>355399109</v>
          </cell>
          <cell r="S132">
            <v>413492753</v>
          </cell>
          <cell r="T132">
            <v>465363289</v>
          </cell>
          <cell r="U132">
            <v>538411535</v>
          </cell>
          <cell r="V132">
            <v>606644400</v>
          </cell>
          <cell r="W132">
            <v>688386255</v>
          </cell>
          <cell r="X132">
            <v>784717819</v>
          </cell>
          <cell r="Y132">
            <v>887770979</v>
          </cell>
          <cell r="Z132">
            <v>998480895</v>
          </cell>
          <cell r="AA132">
            <v>1145412852</v>
          </cell>
          <cell r="AB132">
            <v>1269390491</v>
          </cell>
          <cell r="AC132">
            <v>1381980699</v>
          </cell>
          <cell r="AD132">
            <v>1483277191</v>
          </cell>
          <cell r="AE132">
            <v>1599873239</v>
          </cell>
          <cell r="AF132">
            <v>1685212174</v>
          </cell>
          <cell r="AG132">
            <v>1816872491</v>
          </cell>
          <cell r="AH132">
            <v>1955132772</v>
          </cell>
          <cell r="AI132">
            <v>2059807011</v>
          </cell>
          <cell r="AJ132">
            <v>2133563100</v>
          </cell>
          <cell r="AK132">
            <v>2208914400</v>
          </cell>
          <cell r="AL132">
            <v>2222652700</v>
          </cell>
          <cell r="AM132">
            <v>2302470400</v>
          </cell>
          <cell r="AN132">
            <v>2381969000</v>
          </cell>
          <cell r="AO132">
            <v>2447071400</v>
          </cell>
          <cell r="AP132">
            <v>2527188200</v>
          </cell>
          <cell r="AQ132">
            <v>2639287900</v>
          </cell>
          <cell r="AR132">
            <v>2727659600</v>
          </cell>
          <cell r="AS132">
            <v>2874015300</v>
          </cell>
          <cell r="AT132">
            <v>2985317400</v>
          </cell>
          <cell r="AU132">
            <v>3087746500</v>
          </cell>
          <cell r="AV132">
            <v>3179966500</v>
          </cell>
          <cell r="AW132">
            <v>3310330800</v>
          </cell>
          <cell r="AX132">
            <v>3379700000</v>
          </cell>
          <cell r="AY132">
            <v>3653100000</v>
          </cell>
          <cell r="AZ132">
            <v>4287100000</v>
          </cell>
          <cell r="BA132">
            <v>4421500000</v>
          </cell>
          <cell r="BB132">
            <v>3924100000</v>
          </cell>
          <cell r="BC132">
            <v>4048800000</v>
          </cell>
          <cell r="BD132">
            <v>4374200000</v>
          </cell>
          <cell r="BE132">
            <v>4469800000</v>
          </cell>
          <cell r="BF132">
            <v>4936000000</v>
          </cell>
          <cell r="BG132">
            <v>5321300000</v>
          </cell>
          <cell r="BH132">
            <v>5643600000</v>
          </cell>
          <cell r="BI132">
            <v>5847700000</v>
          </cell>
          <cell r="BJ132">
            <v>5693000000</v>
          </cell>
          <cell r="BK132">
            <v>6091900000</v>
          </cell>
          <cell r="BL132">
            <v>6595900000</v>
          </cell>
          <cell r="BM132">
            <v>5967600000</v>
          </cell>
          <cell r="BN132">
            <v>5967600000</v>
          </cell>
        </row>
        <row r="133">
          <cell r="B133" t="str">
            <v>MNG</v>
          </cell>
          <cell r="C133" t="str">
            <v>GDP (current LCU)</v>
          </cell>
          <cell r="D133" t="str">
            <v>NY.GDP.MKTP.CN</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v>6304182300</v>
          </cell>
          <cell r="Z133">
            <v>6930297300</v>
          </cell>
          <cell r="AA133">
            <v>7657205800</v>
          </cell>
          <cell r="AB133">
            <v>8177209900</v>
          </cell>
          <cell r="AC133">
            <v>8394938400</v>
          </cell>
          <cell r="AD133">
            <v>8746021900</v>
          </cell>
          <cell r="AE133">
            <v>8688536600</v>
          </cell>
          <cell r="AF133">
            <v>9061834800</v>
          </cell>
          <cell r="AG133">
            <v>9613384700</v>
          </cell>
          <cell r="AH133">
            <v>10730900400</v>
          </cell>
          <cell r="AI133">
            <v>12803928300</v>
          </cell>
          <cell r="AJ133">
            <v>22600674100</v>
          </cell>
          <cell r="AK133">
            <v>56130265400</v>
          </cell>
          <cell r="AL133">
            <v>227677404200</v>
          </cell>
          <cell r="AM133">
            <v>382103230300</v>
          </cell>
          <cell r="AN133">
            <v>651455743000</v>
          </cell>
          <cell r="AO133">
            <v>737996595800</v>
          </cell>
          <cell r="AP133">
            <v>932926210900</v>
          </cell>
          <cell r="AQ133">
            <v>945461183000</v>
          </cell>
          <cell r="AR133">
            <v>1080531999700</v>
          </cell>
          <cell r="AS133">
            <v>1224062063100</v>
          </cell>
          <cell r="AT133">
            <v>1391878162500</v>
          </cell>
          <cell r="AU133">
            <v>1550609921100</v>
          </cell>
          <cell r="AV133">
            <v>1829072230300</v>
          </cell>
          <cell r="AW133">
            <v>2361156946300</v>
          </cell>
          <cell r="AX133">
            <v>3041405736500</v>
          </cell>
          <cell r="AY133">
            <v>4027558620100</v>
          </cell>
          <cell r="AZ133">
            <v>4956647181200</v>
          </cell>
          <cell r="BA133">
            <v>6555569353600</v>
          </cell>
          <cell r="BB133">
            <v>6590637139700</v>
          </cell>
          <cell r="BC133">
            <v>9756588400000</v>
          </cell>
          <cell r="BD133">
            <v>13173763400000</v>
          </cell>
          <cell r="BE133">
            <v>16688419553500</v>
          </cell>
          <cell r="BF133">
            <v>19174242644900</v>
          </cell>
          <cell r="BG133">
            <v>22227054279400</v>
          </cell>
          <cell r="BH133">
            <v>22894780891000</v>
          </cell>
          <cell r="BI133">
            <v>23931342642400</v>
          </cell>
          <cell r="BJ133">
            <v>28010710565700</v>
          </cell>
          <cell r="BK133">
            <v>32582629019300</v>
          </cell>
          <cell r="BL133">
            <v>37839225357900</v>
          </cell>
          <cell r="BM133">
            <v>37453275327600</v>
          </cell>
          <cell r="BN133">
            <v>37453275327600</v>
          </cell>
        </row>
        <row r="134">
          <cell r="B134" t="str">
            <v>MNE</v>
          </cell>
          <cell r="C134" t="str">
            <v>GDP (current LCU)</v>
          </cell>
          <cell r="D134" t="str">
            <v>NY.GDP.MKTP.CN</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v>1065699000</v>
          </cell>
          <cell r="AT134">
            <v>1295110000</v>
          </cell>
          <cell r="AU134">
            <v>1360353000</v>
          </cell>
          <cell r="AV134">
            <v>1510128000</v>
          </cell>
          <cell r="AW134">
            <v>1669783000</v>
          </cell>
          <cell r="AX134">
            <v>1814994000</v>
          </cell>
          <cell r="AY134">
            <v>2169629000</v>
          </cell>
          <cell r="AZ134">
            <v>2689128000</v>
          </cell>
          <cell r="BA134">
            <v>3103332000</v>
          </cell>
          <cell r="BB134">
            <v>2993886000</v>
          </cell>
          <cell r="BC134">
            <v>3125090000</v>
          </cell>
          <cell r="BD134">
            <v>3264781000</v>
          </cell>
          <cell r="BE134">
            <v>3181477000</v>
          </cell>
          <cell r="BF134">
            <v>3362481000</v>
          </cell>
          <cell r="BG134">
            <v>3457922000</v>
          </cell>
          <cell r="BH134">
            <v>3654512000</v>
          </cell>
          <cell r="BI134">
            <v>3954212000</v>
          </cell>
          <cell r="BJ134">
            <v>4299091000</v>
          </cell>
          <cell r="BK134">
            <v>4663130000</v>
          </cell>
          <cell r="BL134">
            <v>4950716700</v>
          </cell>
          <cell r="BM134">
            <v>4185552800</v>
          </cell>
          <cell r="BN134">
            <v>4185552800</v>
          </cell>
        </row>
        <row r="135">
          <cell r="B135" t="str">
            <v>MAR</v>
          </cell>
          <cell r="C135" t="str">
            <v>GDP (current LCU)</v>
          </cell>
          <cell r="D135" t="str">
            <v>NY.GDP.MKTP.CN</v>
          </cell>
          <cell r="E135">
            <v>10309001200</v>
          </cell>
          <cell r="F135">
            <v>10251001900</v>
          </cell>
          <cell r="G135">
            <v>12041998300</v>
          </cell>
          <cell r="H135">
            <v>13447000100</v>
          </cell>
          <cell r="I135">
            <v>14160998400</v>
          </cell>
          <cell r="J135">
            <v>14920000000</v>
          </cell>
          <cell r="K135">
            <v>14556000000</v>
          </cell>
          <cell r="L135">
            <v>15416000000</v>
          </cell>
          <cell r="M135">
            <v>16555000000</v>
          </cell>
          <cell r="N135">
            <v>18479000000</v>
          </cell>
          <cell r="O135">
            <v>20021000000</v>
          </cell>
          <cell r="P135">
            <v>22001000000</v>
          </cell>
          <cell r="Q135">
            <v>23345000000</v>
          </cell>
          <cell r="R135">
            <v>25636000000</v>
          </cell>
          <cell r="S135">
            <v>33540000000</v>
          </cell>
          <cell r="T135">
            <v>36411000000</v>
          </cell>
          <cell r="U135">
            <v>42356000000</v>
          </cell>
          <cell r="V135">
            <v>49761000000</v>
          </cell>
          <cell r="W135">
            <v>55154000000</v>
          </cell>
          <cell r="X135">
            <v>62043000000</v>
          </cell>
          <cell r="Y135">
            <v>85537476200</v>
          </cell>
          <cell r="Z135">
            <v>92005760600</v>
          </cell>
          <cell r="AA135">
            <v>106560972000</v>
          </cell>
          <cell r="AB135">
            <v>115569012400</v>
          </cell>
          <cell r="AC135">
            <v>130613270700</v>
          </cell>
          <cell r="AD135">
            <v>150857283000</v>
          </cell>
          <cell r="AE135">
            <v>177191429000</v>
          </cell>
          <cell r="AF135">
            <v>181940170100</v>
          </cell>
          <cell r="AG135">
            <v>211017346900</v>
          </cell>
          <cell r="AH135">
            <v>223360363800</v>
          </cell>
          <cell r="AI135">
            <v>248753508800</v>
          </cell>
          <cell r="AJ135">
            <v>281095960600</v>
          </cell>
          <cell r="AK135">
            <v>287825110800</v>
          </cell>
          <cell r="AL135">
            <v>294364249600</v>
          </cell>
          <cell r="AM135">
            <v>327664876700</v>
          </cell>
          <cell r="AN135">
            <v>333318637900</v>
          </cell>
          <cell r="AO135">
            <v>376190905400</v>
          </cell>
          <cell r="AP135">
            <v>372961514800</v>
          </cell>
          <cell r="AQ135">
            <v>401523653400</v>
          </cell>
          <cell r="AR135">
            <v>408177051400</v>
          </cell>
          <cell r="AS135">
            <v>412897152700</v>
          </cell>
          <cell r="AT135">
            <v>446011646500</v>
          </cell>
          <cell r="AU135">
            <v>465492178600</v>
          </cell>
          <cell r="AV135">
            <v>498482124900</v>
          </cell>
          <cell r="AW135">
            <v>528763546800</v>
          </cell>
          <cell r="AX135">
            <v>552670895800</v>
          </cell>
          <cell r="AY135">
            <v>603737244600</v>
          </cell>
          <cell r="AZ135">
            <v>647530000000</v>
          </cell>
          <cell r="BA135">
            <v>716959000000</v>
          </cell>
          <cell r="BB135">
            <v>748483000000</v>
          </cell>
          <cell r="BC135">
            <v>784624000000</v>
          </cell>
          <cell r="BD135">
            <v>820077000000</v>
          </cell>
          <cell r="BE135">
            <v>847881000000</v>
          </cell>
          <cell r="BF135">
            <v>897923000000</v>
          </cell>
          <cell r="BG135">
            <v>925376000000</v>
          </cell>
          <cell r="BH135">
            <v>987950000000</v>
          </cell>
          <cell r="BI135">
            <v>1013229000000</v>
          </cell>
          <cell r="BJ135">
            <v>1063045000000</v>
          </cell>
          <cell r="BK135">
            <v>1108463000000</v>
          </cell>
          <cell r="BL135">
            <v>1152806000000</v>
          </cell>
          <cell r="BM135">
            <v>1089521000000</v>
          </cell>
          <cell r="BN135">
            <v>1089521000000</v>
          </cell>
        </row>
        <row r="136">
          <cell r="B136" t="str">
            <v>MOZ</v>
          </cell>
          <cell r="C136" t="str">
            <v>GDP (current LCU)</v>
          </cell>
          <cell r="D136" t="str">
            <v>NY.GDP.MKTP.CN</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v>5212121000</v>
          </cell>
          <cell r="AK136">
            <v>6643706300</v>
          </cell>
          <cell r="AL136">
            <v>10574824900</v>
          </cell>
          <cell r="AM136">
            <v>16887246700</v>
          </cell>
          <cell r="AN136">
            <v>26169773700</v>
          </cell>
          <cell r="AO136">
            <v>43557540400</v>
          </cell>
          <cell r="AP136">
            <v>53664259200</v>
          </cell>
          <cell r="AQ136">
            <v>62506440000</v>
          </cell>
          <cell r="AR136">
            <v>76349210400</v>
          </cell>
          <cell r="AS136">
            <v>86132255600</v>
          </cell>
          <cell r="AT136">
            <v>111769803700</v>
          </cell>
          <cell r="AU136">
            <v>134420082700</v>
          </cell>
          <cell r="AV136">
            <v>149909139200</v>
          </cell>
          <cell r="AW136">
            <v>172320622100</v>
          </cell>
          <cell r="AX136">
            <v>196988678800</v>
          </cell>
          <cell r="AY136">
            <v>233100323900</v>
          </cell>
          <cell r="AZ136">
            <v>270052925900</v>
          </cell>
          <cell r="BA136">
            <v>305123076800</v>
          </cell>
          <cell r="BB136">
            <v>327866001000</v>
          </cell>
          <cell r="BC136">
            <v>377114979400</v>
          </cell>
          <cell r="BD136">
            <v>418037213500</v>
          </cell>
          <cell r="BE136">
            <v>463921377300</v>
          </cell>
          <cell r="BF136">
            <v>510996643300</v>
          </cell>
          <cell r="BG136">
            <v>555447070200</v>
          </cell>
          <cell r="BH136">
            <v>637759618800</v>
          </cell>
          <cell r="BI136">
            <v>752701814200</v>
          </cell>
          <cell r="BJ136">
            <v>840526219400</v>
          </cell>
          <cell r="BK136">
            <v>895566718700</v>
          </cell>
          <cell r="BL136">
            <v>962620791500</v>
          </cell>
          <cell r="BM136">
            <v>974511361100</v>
          </cell>
          <cell r="BN136">
            <v>974511361100</v>
          </cell>
        </row>
        <row r="137">
          <cell r="B137" t="str">
            <v>MMR</v>
          </cell>
          <cell r="C137" t="str">
            <v>GDP (current LCU)</v>
          </cell>
          <cell r="D137" t="str">
            <v>NY.GDP.MKTP.CN</v>
          </cell>
          <cell r="E137" t="str">
            <v>..</v>
          </cell>
          <cell r="F137">
            <v>6180002850</v>
          </cell>
          <cell r="G137">
            <v>6386003750</v>
          </cell>
          <cell r="H137">
            <v>7004002300</v>
          </cell>
          <cell r="I137">
            <v>7124000750</v>
          </cell>
          <cell r="J137">
            <v>7198499600</v>
          </cell>
          <cell r="K137">
            <v>7567998500</v>
          </cell>
          <cell r="L137">
            <v>7854499600</v>
          </cell>
          <cell r="M137">
            <v>8769001450</v>
          </cell>
          <cell r="N137">
            <v>9628000250</v>
          </cell>
          <cell r="O137">
            <v>10087499250</v>
          </cell>
          <cell r="P137">
            <v>10348499950</v>
          </cell>
          <cell r="Q137">
            <v>10604499950</v>
          </cell>
          <cell r="R137">
            <v>11253499900</v>
          </cell>
          <cell r="S137">
            <v>15542000150</v>
          </cell>
          <cell r="T137">
            <v>21413000200</v>
          </cell>
          <cell r="U137">
            <v>25452000250</v>
          </cell>
          <cell r="V137">
            <v>28522500100</v>
          </cell>
          <cell r="W137">
            <v>30709000200</v>
          </cell>
          <cell r="X137">
            <v>33566500850</v>
          </cell>
          <cell r="Y137">
            <v>36970999800</v>
          </cell>
          <cell r="Z137">
            <v>40744499200</v>
          </cell>
          <cell r="AA137">
            <v>44845500400</v>
          </cell>
          <cell r="AB137">
            <v>48316999650</v>
          </cell>
          <cell r="AC137">
            <v>51709999100</v>
          </cell>
          <cell r="AD137">
            <v>54792998900</v>
          </cell>
          <cell r="AE137">
            <v>57508499450</v>
          </cell>
          <cell r="AF137">
            <v>63863001100</v>
          </cell>
          <cell r="AG137">
            <v>72470505450</v>
          </cell>
          <cell r="AH137">
            <v>100454506500</v>
          </cell>
          <cell r="AI137">
            <v>138303701750</v>
          </cell>
          <cell r="AJ137">
            <v>169371900000</v>
          </cell>
          <cell r="AK137">
            <v>218098550000</v>
          </cell>
          <cell r="AL137">
            <v>304857700000</v>
          </cell>
          <cell r="AM137">
            <v>416547400000</v>
          </cell>
          <cell r="AN137">
            <v>538751550000</v>
          </cell>
          <cell r="AO137">
            <v>698354500000</v>
          </cell>
          <cell r="AP137">
            <v>955744500000</v>
          </cell>
          <cell r="AQ137">
            <v>1364642500000</v>
          </cell>
          <cell r="AR137">
            <v>1900048000000</v>
          </cell>
          <cell r="AS137">
            <v>2371526250000</v>
          </cell>
          <cell r="AT137">
            <v>3050602350000</v>
          </cell>
          <cell r="AU137">
            <v>4586863450000</v>
          </cell>
          <cell r="AV137">
            <v>6670935450000</v>
          </cell>
          <cell r="AW137">
            <v>8397772350000</v>
          </cell>
          <cell r="AX137">
            <v>10682846950000</v>
          </cell>
          <cell r="AY137">
            <v>14569761600000</v>
          </cell>
          <cell r="AZ137">
            <v>20094435250000</v>
          </cell>
          <cell r="BA137">
            <v>26284700350000</v>
          </cell>
          <cell r="BB137">
            <v>31563663550000</v>
          </cell>
          <cell r="BC137">
            <v>36835402000000</v>
          </cell>
          <cell r="BD137">
            <v>43042326300000</v>
          </cell>
          <cell r="BE137">
            <v>48783573850000</v>
          </cell>
          <cell r="BF137">
            <v>54635443000000</v>
          </cell>
          <cell r="BG137">
            <v>61636758100000</v>
          </cell>
          <cell r="BH137">
            <v>68987955700000</v>
          </cell>
          <cell r="BI137">
            <v>74215745750000</v>
          </cell>
          <cell r="BJ137">
            <v>82700023600000</v>
          </cell>
          <cell r="BK137">
            <v>92788955100000</v>
          </cell>
          <cell r="BL137">
            <v>105258500800000</v>
          </cell>
          <cell r="BM137">
            <v>114091028450700</v>
          </cell>
          <cell r="BN137">
            <v>114091028450700</v>
          </cell>
        </row>
        <row r="138">
          <cell r="B138" t="str">
            <v>NAM</v>
          </cell>
          <cell r="C138" t="str">
            <v>GDP (current LCU)</v>
          </cell>
          <cell r="D138" t="str">
            <v>NY.GDP.MKTP.CN</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v>1886328422.8864701</v>
          </cell>
          <cell r="Z138">
            <v>1974472519.8256199</v>
          </cell>
          <cell r="AA138">
            <v>2300529486.8699799</v>
          </cell>
          <cell r="AB138">
            <v>2559534106.0268302</v>
          </cell>
          <cell r="AC138">
            <v>2878649054.8214698</v>
          </cell>
          <cell r="AD138">
            <v>3584238376.8995199</v>
          </cell>
          <cell r="AE138">
            <v>4133733774.1016898</v>
          </cell>
          <cell r="AF138">
            <v>4683014792.1479702</v>
          </cell>
          <cell r="AG138">
            <v>5672518062.9865303</v>
          </cell>
          <cell r="AH138">
            <v>6648842348.2062101</v>
          </cell>
          <cell r="AI138">
            <v>7218423399.56742</v>
          </cell>
          <cell r="AJ138">
            <v>8275300100</v>
          </cell>
          <cell r="AK138">
            <v>9781043900</v>
          </cell>
          <cell r="AL138">
            <v>10624046300</v>
          </cell>
          <cell r="AM138">
            <v>13019013400</v>
          </cell>
          <cell r="AN138">
            <v>14430409200</v>
          </cell>
          <cell r="AO138">
            <v>17150804800</v>
          </cell>
          <cell r="AP138">
            <v>19146035800</v>
          </cell>
          <cell r="AQ138">
            <v>21411651300</v>
          </cell>
          <cell r="AR138">
            <v>23634854900</v>
          </cell>
          <cell r="AS138">
            <v>27219616600</v>
          </cell>
          <cell r="AT138">
            <v>30625794400</v>
          </cell>
          <cell r="AU138">
            <v>35302751800</v>
          </cell>
          <cell r="AV138">
            <v>37267277400</v>
          </cell>
          <cell r="AW138">
            <v>42693441700</v>
          </cell>
          <cell r="AX138">
            <v>46223734400</v>
          </cell>
          <cell r="AY138">
            <v>54148842400</v>
          </cell>
          <cell r="AZ138">
            <v>62357555400</v>
          </cell>
          <cell r="BA138">
            <v>71026304000</v>
          </cell>
          <cell r="BB138">
            <v>76184185600</v>
          </cell>
          <cell r="BC138">
            <v>83795110900</v>
          </cell>
          <cell r="BD138">
            <v>91420837000</v>
          </cell>
          <cell r="BE138">
            <v>106863600500</v>
          </cell>
          <cell r="BF138">
            <v>117423149200</v>
          </cell>
          <cell r="BG138">
            <v>134835972800</v>
          </cell>
          <cell r="BH138">
            <v>146018649600</v>
          </cell>
          <cell r="BI138">
            <v>157707675300</v>
          </cell>
          <cell r="BJ138">
            <v>171570012800</v>
          </cell>
          <cell r="BK138">
            <v>181067043600</v>
          </cell>
          <cell r="BL138">
            <v>180558501000</v>
          </cell>
          <cell r="BM138">
            <v>174826984900</v>
          </cell>
          <cell r="BN138">
            <v>174826984900</v>
          </cell>
        </row>
        <row r="139">
          <cell r="B139" t="str">
            <v>NRU</v>
          </cell>
          <cell r="C139" t="str">
            <v>GDP (current LCU)</v>
          </cell>
          <cell r="D139" t="str">
            <v>NY.GDP.MKTP.CN</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v>45000000</v>
          </cell>
          <cell r="AX139">
            <v>42000000</v>
          </cell>
          <cell r="AY139">
            <v>39000000</v>
          </cell>
          <cell r="AZ139">
            <v>29000000</v>
          </cell>
          <cell r="BA139">
            <v>42000000</v>
          </cell>
          <cell r="BB139">
            <v>60000000</v>
          </cell>
          <cell r="BC139">
            <v>54000000</v>
          </cell>
          <cell r="BD139">
            <v>67000000</v>
          </cell>
          <cell r="BE139">
            <v>94000000</v>
          </cell>
          <cell r="BF139">
            <v>96000000</v>
          </cell>
          <cell r="BG139">
            <v>114000000</v>
          </cell>
          <cell r="BH139">
            <v>104000000</v>
          </cell>
          <cell r="BI139">
            <v>137000000</v>
          </cell>
          <cell r="BJ139">
            <v>145000000</v>
          </cell>
          <cell r="BK139">
            <v>160000000</v>
          </cell>
          <cell r="BL139">
            <v>166000000</v>
          </cell>
          <cell r="BM139">
            <v>171000000</v>
          </cell>
          <cell r="BN139">
            <v>171000000</v>
          </cell>
        </row>
        <row r="140">
          <cell r="B140" t="str">
            <v>NPL</v>
          </cell>
          <cell r="C140" t="str">
            <v>GDP (current LCU)</v>
          </cell>
          <cell r="D140" t="str">
            <v>NY.GDP.MKTP.CN</v>
          </cell>
          <cell r="E140">
            <v>3872999900</v>
          </cell>
          <cell r="F140">
            <v>4052999900</v>
          </cell>
          <cell r="G140">
            <v>4374000100</v>
          </cell>
          <cell r="H140">
            <v>4616000000</v>
          </cell>
          <cell r="I140">
            <v>5023000100</v>
          </cell>
          <cell r="J140">
            <v>5601999900</v>
          </cell>
          <cell r="K140">
            <v>6909000200</v>
          </cell>
          <cell r="L140">
            <v>6415000100</v>
          </cell>
          <cell r="M140">
            <v>7173000200</v>
          </cell>
          <cell r="N140">
            <v>7984999900</v>
          </cell>
          <cell r="O140">
            <v>8768000000</v>
          </cell>
          <cell r="P140">
            <v>8938000400</v>
          </cell>
          <cell r="Q140">
            <v>10369000400</v>
          </cell>
          <cell r="R140">
            <v>9969000400</v>
          </cell>
          <cell r="S140">
            <v>12807999500</v>
          </cell>
          <cell r="T140">
            <v>16570999800</v>
          </cell>
          <cell r="U140">
            <v>17393999900</v>
          </cell>
          <cell r="V140">
            <v>17280000000</v>
          </cell>
          <cell r="W140">
            <v>19732000800</v>
          </cell>
          <cell r="X140">
            <v>22215000100</v>
          </cell>
          <cell r="Y140">
            <v>23350999000</v>
          </cell>
          <cell r="Z140">
            <v>27306999800</v>
          </cell>
          <cell r="AA140">
            <v>30987999200</v>
          </cell>
          <cell r="AB140">
            <v>33760000000</v>
          </cell>
          <cell r="AC140">
            <v>39389999100</v>
          </cell>
          <cell r="AD140">
            <v>46586000000</v>
          </cell>
          <cell r="AE140">
            <v>55724000000</v>
          </cell>
          <cell r="AF140">
            <v>63864000000</v>
          </cell>
          <cell r="AG140">
            <v>76906000000</v>
          </cell>
          <cell r="AH140">
            <v>89269000000</v>
          </cell>
          <cell r="AI140">
            <v>103416000000</v>
          </cell>
          <cell r="AJ140">
            <v>123801000000</v>
          </cell>
          <cell r="AK140">
            <v>152714400000</v>
          </cell>
          <cell r="AL140">
            <v>175682000000</v>
          </cell>
          <cell r="AM140">
            <v>199272000000</v>
          </cell>
          <cell r="AN140">
            <v>219175000000</v>
          </cell>
          <cell r="AO140">
            <v>248913000000</v>
          </cell>
          <cell r="AP140">
            <v>280513000000</v>
          </cell>
          <cell r="AQ140">
            <v>300845000000</v>
          </cell>
          <cell r="AR140">
            <v>342036000000</v>
          </cell>
          <cell r="AS140">
            <v>379488000000</v>
          </cell>
          <cell r="AT140">
            <v>441518545600</v>
          </cell>
          <cell r="AU140">
            <v>459443000000</v>
          </cell>
          <cell r="AV140">
            <v>492231000000</v>
          </cell>
          <cell r="AW140">
            <v>536749000000</v>
          </cell>
          <cell r="AX140">
            <v>589412000000</v>
          </cell>
          <cell r="AY140">
            <v>654084000000</v>
          </cell>
          <cell r="AZ140">
            <v>727827000000</v>
          </cell>
          <cell r="BA140">
            <v>815658000000</v>
          </cell>
          <cell r="BB140">
            <v>988272000000</v>
          </cell>
          <cell r="BC140">
            <v>1192774000000</v>
          </cell>
          <cell r="BD140">
            <v>1562680982208.49</v>
          </cell>
          <cell r="BE140">
            <v>1758379177900</v>
          </cell>
          <cell r="BF140">
            <v>1949294818500</v>
          </cell>
          <cell r="BG140">
            <v>2232525283500</v>
          </cell>
          <cell r="BH140">
            <v>2423638482800</v>
          </cell>
          <cell r="BI140">
            <v>2608184437700</v>
          </cell>
          <cell r="BJ140">
            <v>3077144919300</v>
          </cell>
          <cell r="BK140">
            <v>3455949289833.4302</v>
          </cell>
          <cell r="BL140">
            <v>3858930402385.3701</v>
          </cell>
          <cell r="BM140">
            <v>3914701068498.3398</v>
          </cell>
          <cell r="BN140">
            <v>3914701068498.3398</v>
          </cell>
        </row>
        <row r="141">
          <cell r="B141" t="str">
            <v>NLD</v>
          </cell>
          <cell r="C141" t="str">
            <v>GDP (current LCU)</v>
          </cell>
          <cell r="D141" t="str">
            <v>NY.GDP.MKTP.CN</v>
          </cell>
          <cell r="E141">
            <v>21169567744</v>
          </cell>
          <cell r="F141">
            <v>22349805568</v>
          </cell>
          <cell r="G141">
            <v>24060491776</v>
          </cell>
          <cell r="H141">
            <v>26104293376</v>
          </cell>
          <cell r="I141">
            <v>30717179904</v>
          </cell>
          <cell r="J141">
            <v>34497335296</v>
          </cell>
          <cell r="K141">
            <v>37563596800</v>
          </cell>
          <cell r="L141">
            <v>41210945536</v>
          </cell>
          <cell r="M141">
            <v>45695545344</v>
          </cell>
          <cell r="N141">
            <v>55910316500</v>
          </cell>
          <cell r="O141">
            <v>62693180000</v>
          </cell>
          <cell r="P141">
            <v>71148280000</v>
          </cell>
          <cell r="Q141">
            <v>79674630000</v>
          </cell>
          <cell r="R141">
            <v>91137378000</v>
          </cell>
          <cell r="S141">
            <v>106428240000</v>
          </cell>
          <cell r="T141">
            <v>115046353000</v>
          </cell>
          <cell r="U141">
            <v>130980631000</v>
          </cell>
          <cell r="V141">
            <v>141458822000</v>
          </cell>
          <cell r="W141">
            <v>153023049000</v>
          </cell>
          <cell r="X141">
            <v>163553060000</v>
          </cell>
          <cell r="Y141">
            <v>176066218000</v>
          </cell>
          <cell r="Z141">
            <v>185849174000</v>
          </cell>
          <cell r="AA141">
            <v>192029644000</v>
          </cell>
          <cell r="AB141">
            <v>198727223000</v>
          </cell>
          <cell r="AC141">
            <v>209536839000</v>
          </cell>
          <cell r="AD141">
            <v>216804424000</v>
          </cell>
          <cell r="AE141">
            <v>223318478000</v>
          </cell>
          <cell r="AF141">
            <v>225246569000</v>
          </cell>
          <cell r="AG141">
            <v>234907535000</v>
          </cell>
          <cell r="AH141">
            <v>248597412000</v>
          </cell>
          <cell r="AI141">
            <v>263036502000</v>
          </cell>
          <cell r="AJ141">
            <v>277851278000</v>
          </cell>
          <cell r="AK141">
            <v>289644372000</v>
          </cell>
          <cell r="AL141">
            <v>297972083000</v>
          </cell>
          <cell r="AM141">
            <v>313123682000</v>
          </cell>
          <cell r="AN141">
            <v>329547000000</v>
          </cell>
          <cell r="AO141">
            <v>344625000000</v>
          </cell>
          <cell r="AP141">
            <v>369046000000</v>
          </cell>
          <cell r="AQ141">
            <v>394295000000</v>
          </cell>
          <cell r="AR141">
            <v>419459000000</v>
          </cell>
          <cell r="AS141">
            <v>452007000000</v>
          </cell>
          <cell r="AT141">
            <v>481881000000</v>
          </cell>
          <cell r="AU141">
            <v>501137000000</v>
          </cell>
          <cell r="AV141">
            <v>512810000000</v>
          </cell>
          <cell r="AW141">
            <v>529286000000</v>
          </cell>
          <cell r="AX141">
            <v>550883000000</v>
          </cell>
          <cell r="AY141">
            <v>584546000000</v>
          </cell>
          <cell r="AZ141">
            <v>619170000000</v>
          </cell>
          <cell r="BA141">
            <v>647198000000</v>
          </cell>
          <cell r="BB141">
            <v>624842000000</v>
          </cell>
          <cell r="BC141">
            <v>639187000000</v>
          </cell>
          <cell r="BD141">
            <v>650359000000</v>
          </cell>
          <cell r="BE141">
            <v>652966000000</v>
          </cell>
          <cell r="BF141">
            <v>660463000000</v>
          </cell>
          <cell r="BG141">
            <v>671560000000</v>
          </cell>
          <cell r="BH141">
            <v>690008000000</v>
          </cell>
          <cell r="BI141">
            <v>708337000000</v>
          </cell>
          <cell r="BJ141">
            <v>738146000000</v>
          </cell>
          <cell r="BK141">
            <v>773987000000</v>
          </cell>
          <cell r="BL141">
            <v>813055000000</v>
          </cell>
          <cell r="BM141">
            <v>800095000000</v>
          </cell>
          <cell r="BN141">
            <v>800095000000</v>
          </cell>
        </row>
        <row r="142">
          <cell r="B142" t="str">
            <v>NCL</v>
          </cell>
          <cell r="C142" t="str">
            <v>GDP (current LCU)</v>
          </cell>
          <cell r="D142" t="str">
            <v>NY.GDP.MKTP.CN</v>
          </cell>
          <cell r="E142" t="str">
            <v>..</v>
          </cell>
          <cell r="F142" t="str">
            <v>..</v>
          </cell>
          <cell r="G142" t="str">
            <v>..</v>
          </cell>
          <cell r="H142" t="str">
            <v>..</v>
          </cell>
          <cell r="I142" t="str">
            <v>..</v>
          </cell>
          <cell r="J142">
            <v>14325999616</v>
          </cell>
          <cell r="K142">
            <v>14739999744</v>
          </cell>
          <cell r="L142">
            <v>16161000448</v>
          </cell>
          <cell r="M142">
            <v>19345000448</v>
          </cell>
          <cell r="N142">
            <v>24847998976</v>
          </cell>
          <cell r="O142">
            <v>36235001856</v>
          </cell>
          <cell r="P142">
            <v>41684000768</v>
          </cell>
          <cell r="Q142">
            <v>46447001600</v>
          </cell>
          <cell r="R142">
            <v>43953000448</v>
          </cell>
          <cell r="S142">
            <v>55791001600</v>
          </cell>
          <cell r="T142">
            <v>63643000832</v>
          </cell>
          <cell r="U142">
            <v>69365997568</v>
          </cell>
          <cell r="V142">
            <v>74831003648</v>
          </cell>
          <cell r="W142">
            <v>69419999232</v>
          </cell>
          <cell r="X142">
            <v>81006002176</v>
          </cell>
          <cell r="Y142">
            <v>90847002624</v>
          </cell>
          <cell r="Z142">
            <v>96099999744</v>
          </cell>
          <cell r="AA142">
            <v>108092997632</v>
          </cell>
          <cell r="AB142">
            <v>114161000448</v>
          </cell>
          <cell r="AC142">
            <v>126489001984</v>
          </cell>
          <cell r="AD142">
            <v>139650007040</v>
          </cell>
          <cell r="AE142">
            <v>151280992256</v>
          </cell>
          <cell r="AF142">
            <v>162626994176</v>
          </cell>
          <cell r="AG142">
            <v>224498008064</v>
          </cell>
          <cell r="AH142">
            <v>253474996224</v>
          </cell>
          <cell r="AI142">
            <v>250426998784</v>
          </cell>
          <cell r="AJ142">
            <v>272235003900</v>
          </cell>
          <cell r="AK142">
            <v>281426985000</v>
          </cell>
          <cell r="AL142">
            <v>290599993300</v>
          </cell>
          <cell r="AM142">
            <v>306747998200</v>
          </cell>
          <cell r="AN142">
            <v>329295986700</v>
          </cell>
          <cell r="AO142">
            <v>335481995300</v>
          </cell>
          <cell r="AP142">
            <v>349259989000</v>
          </cell>
          <cell r="AQ142">
            <v>381462820105.28601</v>
          </cell>
          <cell r="AR142">
            <v>408433138422.57501</v>
          </cell>
          <cell r="AS142">
            <v>441871689654.604</v>
          </cell>
          <cell r="AT142">
            <v>439382912209.86798</v>
          </cell>
          <cell r="AU142">
            <v>471996332169.07098</v>
          </cell>
          <cell r="AV142">
            <v>518544966881.25299</v>
          </cell>
          <cell r="AW142">
            <v>565527882935.48999</v>
          </cell>
          <cell r="AX142">
            <v>598402122295.81494</v>
          </cell>
          <cell r="AY142">
            <v>663296638940.80298</v>
          </cell>
          <cell r="AZ142">
            <v>767977071959.98706</v>
          </cell>
          <cell r="BA142">
            <v>735713380076.42395</v>
          </cell>
          <cell r="BB142">
            <v>744715000000</v>
          </cell>
          <cell r="BC142">
            <v>842913000000</v>
          </cell>
          <cell r="BD142">
            <v>887425000000</v>
          </cell>
          <cell r="BE142">
            <v>897146000000</v>
          </cell>
          <cell r="BF142">
            <v>912104000000</v>
          </cell>
          <cell r="BG142">
            <v>955285000000</v>
          </cell>
          <cell r="BH142">
            <v>939822000000</v>
          </cell>
          <cell r="BI142">
            <v>940568000000</v>
          </cell>
          <cell r="BJ142">
            <v>969043000000</v>
          </cell>
          <cell r="BK142">
            <v>995000000000</v>
          </cell>
          <cell r="BL142">
            <v>1006000000000</v>
          </cell>
          <cell r="BM142" t="str">
            <v>..</v>
          </cell>
          <cell r="BN142">
            <v>1006000000000</v>
          </cell>
        </row>
        <row r="143">
          <cell r="B143" t="str">
            <v>NZL</v>
          </cell>
          <cell r="C143" t="str">
            <v>GDP (current LCU)</v>
          </cell>
          <cell r="D143" t="str">
            <v>NY.GDP.MKTP.CN</v>
          </cell>
          <cell r="E143">
            <v>2818149376</v>
          </cell>
          <cell r="F143">
            <v>2917775360</v>
          </cell>
          <cell r="G143">
            <v>3143524096</v>
          </cell>
          <cell r="H143">
            <v>3433923840</v>
          </cell>
          <cell r="I143">
            <v>3762478336</v>
          </cell>
          <cell r="J143">
            <v>4066656256</v>
          </cell>
          <cell r="K143">
            <v>4217161728</v>
          </cell>
          <cell r="L143">
            <v>4373687296</v>
          </cell>
          <cell r="M143">
            <v>4625532928</v>
          </cell>
          <cell r="N143">
            <v>5144274944</v>
          </cell>
          <cell r="O143" t="str">
            <v>..</v>
          </cell>
          <cell r="P143">
            <v>6855000000</v>
          </cell>
          <cell r="Q143">
            <v>7872000000</v>
          </cell>
          <cell r="R143">
            <v>9201000000</v>
          </cell>
          <cell r="S143">
            <v>10110000000</v>
          </cell>
          <cell r="T143">
            <v>11388000000</v>
          </cell>
          <cell r="U143">
            <v>13964000000</v>
          </cell>
          <cell r="V143">
            <v>15643000000</v>
          </cell>
          <cell r="W143">
            <v>17730000000</v>
          </cell>
          <cell r="X143">
            <v>20696000000</v>
          </cell>
          <cell r="Y143">
            <v>24086000000</v>
          </cell>
          <cell r="Z143">
            <v>29328000000</v>
          </cell>
          <cell r="AA143">
            <v>33178000000</v>
          </cell>
          <cell r="AB143">
            <v>36989000000</v>
          </cell>
          <cell r="AC143">
            <v>41785000000</v>
          </cell>
          <cell r="AD143">
            <v>48249000000</v>
          </cell>
          <cell r="AE143">
            <v>57953000000</v>
          </cell>
          <cell r="AF143">
            <v>65228000000</v>
          </cell>
          <cell r="AG143">
            <v>70137000000</v>
          </cell>
          <cell r="AH143">
            <v>74212000000</v>
          </cell>
          <cell r="AI143">
            <v>76127000000</v>
          </cell>
          <cell r="AJ143">
            <v>75967000000</v>
          </cell>
          <cell r="AK143">
            <v>78335000000</v>
          </cell>
          <cell r="AL143">
            <v>84575000000</v>
          </cell>
          <cell r="AM143">
            <v>90600000000</v>
          </cell>
          <cell r="AN143">
            <v>96236000000</v>
          </cell>
          <cell r="AO143">
            <v>101101000000</v>
          </cell>
          <cell r="AP143">
            <v>104815000000</v>
          </cell>
          <cell r="AQ143">
            <v>106826000000</v>
          </cell>
          <cell r="AR143">
            <v>113229000000</v>
          </cell>
          <cell r="AS143">
            <v>119839000000</v>
          </cell>
          <cell r="AT143">
            <v>128712000000</v>
          </cell>
          <cell r="AU143">
            <v>135181000000</v>
          </cell>
          <cell r="AV143">
            <v>144502000000</v>
          </cell>
          <cell r="AW143">
            <v>154559000000</v>
          </cell>
          <cell r="AX143">
            <v>162937000000</v>
          </cell>
          <cell r="AY143">
            <v>172004000000</v>
          </cell>
          <cell r="AZ143">
            <v>186673000000</v>
          </cell>
          <cell r="BA143">
            <v>189406000000</v>
          </cell>
          <cell r="BB143">
            <v>194307000000</v>
          </cell>
          <cell r="BC143">
            <v>203342000000</v>
          </cell>
          <cell r="BD143">
            <v>213025000000</v>
          </cell>
          <cell r="BE143">
            <v>217489000000</v>
          </cell>
          <cell r="BF143">
            <v>232793000000</v>
          </cell>
          <cell r="BG143">
            <v>242670000000</v>
          </cell>
          <cell r="BH143">
            <v>255340000000</v>
          </cell>
          <cell r="BI143">
            <v>271422000000</v>
          </cell>
          <cell r="BJ143">
            <v>291264000000</v>
          </cell>
          <cell r="BK143">
            <v>306721000000</v>
          </cell>
          <cell r="BL143">
            <v>323142000000</v>
          </cell>
          <cell r="BM143">
            <v>324913000000</v>
          </cell>
          <cell r="BN143">
            <v>324913000000</v>
          </cell>
        </row>
        <row r="144">
          <cell r="B144" t="str">
            <v>NIC</v>
          </cell>
          <cell r="C144" t="str">
            <v>GDP (current LCU)</v>
          </cell>
          <cell r="D144" t="str">
            <v>NY.GDP.MKTP.CN</v>
          </cell>
          <cell r="E144">
            <v>0.47009479999999998</v>
          </cell>
          <cell r="F144">
            <v>0.50510191920000003</v>
          </cell>
          <cell r="G144">
            <v>0.5571123362</v>
          </cell>
          <cell r="H144">
            <v>0.61512410640000004</v>
          </cell>
          <cell r="I144">
            <v>0.7181448936</v>
          </cell>
          <cell r="J144">
            <v>0.79316002129999996</v>
          </cell>
          <cell r="K144">
            <v>0.84934002159999999</v>
          </cell>
          <cell r="L144">
            <v>0.92004001140000002</v>
          </cell>
          <cell r="M144">
            <v>0.97425997259999997</v>
          </cell>
          <cell r="N144">
            <v>1.0471600294000001</v>
          </cell>
          <cell r="O144">
            <v>1.0872199535</v>
          </cell>
          <cell r="P144">
            <v>1.1571999788</v>
          </cell>
          <cell r="Q144">
            <v>1.2331800461</v>
          </cell>
          <cell r="R144">
            <v>1.5310000181000001</v>
          </cell>
          <cell r="S144">
            <v>2.1292600631999998</v>
          </cell>
          <cell r="T144">
            <v>2.2265999317</v>
          </cell>
          <cell r="U144">
            <v>2.5870199204</v>
          </cell>
          <cell r="V144">
            <v>3.1357998847999999</v>
          </cell>
          <cell r="W144">
            <v>2.9989800453000002</v>
          </cell>
          <cell r="X144">
            <v>2.9029200077000001</v>
          </cell>
          <cell r="Y144">
            <v>4.1597599983000002</v>
          </cell>
          <cell r="Z144">
            <v>4.8965802192999996</v>
          </cell>
          <cell r="AA144">
            <v>5.6698799133</v>
          </cell>
          <cell r="AB144">
            <v>6.5840201377999996</v>
          </cell>
          <cell r="AC144">
            <v>9.0059995650999998</v>
          </cell>
          <cell r="AD144">
            <v>23.080820083599999</v>
          </cell>
          <cell r="AE144">
            <v>87.148460388199993</v>
          </cell>
          <cell r="AF144">
            <v>539.169921875</v>
          </cell>
          <cell r="AG144">
            <v>64724.98046875</v>
          </cell>
          <cell r="AH144">
            <v>3059900</v>
          </cell>
          <cell r="AI144">
            <v>156465600</v>
          </cell>
          <cell r="AJ144">
            <v>7220700000</v>
          </cell>
          <cell r="AK144">
            <v>8964000000</v>
          </cell>
          <cell r="AL144">
            <v>10749500000</v>
          </cell>
          <cell r="AM144">
            <v>25960604000</v>
          </cell>
          <cell r="AN144">
            <v>31177739100</v>
          </cell>
          <cell r="AO144">
            <v>36340948300</v>
          </cell>
          <cell r="AP144">
            <v>41476833900</v>
          </cell>
          <cell r="AQ144">
            <v>49050861300</v>
          </cell>
          <cell r="AR144">
            <v>57346028100</v>
          </cell>
          <cell r="AS144">
            <v>64812005100</v>
          </cell>
          <cell r="AT144">
            <v>71563317800</v>
          </cell>
          <cell r="AU144">
            <v>74445035500</v>
          </cell>
          <cell r="AV144">
            <v>80390359200</v>
          </cell>
          <cell r="AW144">
            <v>92323401500</v>
          </cell>
          <cell r="AX144">
            <v>105776805200</v>
          </cell>
          <cell r="AY144">
            <v>118838000000</v>
          </cell>
          <cell r="AZ144">
            <v>136951000000</v>
          </cell>
          <cell r="BA144">
            <v>164602000000</v>
          </cell>
          <cell r="BB144">
            <v>168791000000</v>
          </cell>
          <cell r="BC144">
            <v>187052000000</v>
          </cell>
          <cell r="BD144">
            <v>219181000000</v>
          </cell>
          <cell r="BE144">
            <v>247994000000</v>
          </cell>
          <cell r="BF144">
            <v>271530000000</v>
          </cell>
          <cell r="BG144">
            <v>308403000000</v>
          </cell>
          <cell r="BH144">
            <v>347707000000</v>
          </cell>
          <cell r="BI144">
            <v>380261000000</v>
          </cell>
          <cell r="BJ144">
            <v>414278000000</v>
          </cell>
          <cell r="BK144">
            <v>410988000000</v>
          </cell>
          <cell r="BL144">
            <v>417705000000</v>
          </cell>
          <cell r="BM144">
            <v>433449000000</v>
          </cell>
          <cell r="BN144">
            <v>433449000000</v>
          </cell>
        </row>
        <row r="145">
          <cell r="B145" t="str">
            <v>NER</v>
          </cell>
          <cell r="C145" t="str">
            <v>GDP (current LCU)</v>
          </cell>
          <cell r="D145" t="str">
            <v>NY.GDP.MKTP.CN</v>
          </cell>
          <cell r="E145">
            <v>110221787100</v>
          </cell>
          <cell r="F145">
            <v>119143735300</v>
          </cell>
          <cell r="G145">
            <v>130282831900</v>
          </cell>
          <cell r="H145">
            <v>143651831800</v>
          </cell>
          <cell r="I145">
            <v>142805860400</v>
          </cell>
          <cell r="J145">
            <v>165019992100</v>
          </cell>
          <cell r="K145">
            <v>172539002900</v>
          </cell>
          <cell r="L145">
            <v>163734994900</v>
          </cell>
          <cell r="M145">
            <v>158742003700</v>
          </cell>
          <cell r="N145">
            <v>162701000700</v>
          </cell>
          <cell r="O145">
            <v>179638992900</v>
          </cell>
          <cell r="P145">
            <v>190979997700</v>
          </cell>
          <cell r="Q145">
            <v>187200995300</v>
          </cell>
          <cell r="R145">
            <v>210939002900</v>
          </cell>
          <cell r="S145">
            <v>246995992600</v>
          </cell>
          <cell r="T145">
            <v>224747995100</v>
          </cell>
          <cell r="U145">
            <v>254367006700</v>
          </cell>
          <cell r="V145">
            <v>317285007400</v>
          </cell>
          <cell r="W145">
            <v>400395993100</v>
          </cell>
          <cell r="X145">
            <v>448689012700</v>
          </cell>
          <cell r="Y145">
            <v>529999986700</v>
          </cell>
          <cell r="Z145">
            <v>589900021800</v>
          </cell>
          <cell r="AA145">
            <v>662999990300</v>
          </cell>
          <cell r="AB145">
            <v>687100002300</v>
          </cell>
          <cell r="AC145">
            <v>638500012000</v>
          </cell>
          <cell r="AD145">
            <v>647199981600</v>
          </cell>
          <cell r="AE145">
            <v>659400032300</v>
          </cell>
          <cell r="AF145">
            <v>671099977700</v>
          </cell>
          <cell r="AG145">
            <v>679200030700</v>
          </cell>
          <cell r="AH145">
            <v>695299997700</v>
          </cell>
          <cell r="AI145">
            <v>956291000000</v>
          </cell>
          <cell r="AJ145">
            <v>926946000000</v>
          </cell>
          <cell r="AK145">
            <v>896308000000</v>
          </cell>
          <cell r="AL145">
            <v>864403000000</v>
          </cell>
          <cell r="AM145">
            <v>1076019000000</v>
          </cell>
          <cell r="AN145">
            <v>1149308000000</v>
          </cell>
          <cell r="AO145">
            <v>1230635000000</v>
          </cell>
          <cell r="AP145">
            <v>1336789000000</v>
          </cell>
          <cell r="AQ145">
            <v>1559457000000</v>
          </cell>
          <cell r="AR145">
            <v>1561942000000</v>
          </cell>
          <cell r="AS145">
            <v>1592111000000</v>
          </cell>
          <cell r="AT145">
            <v>1793433000000</v>
          </cell>
          <cell r="AU145">
            <v>1930044000000</v>
          </cell>
          <cell r="AV145">
            <v>1968221000000</v>
          </cell>
          <cell r="AW145">
            <v>1983025000000</v>
          </cell>
          <cell r="AX145">
            <v>2311140000000</v>
          </cell>
          <cell r="AY145">
            <v>2484845000000</v>
          </cell>
          <cell r="AZ145">
            <v>2743282000000</v>
          </cell>
          <cell r="BA145">
            <v>3254730000000</v>
          </cell>
          <cell r="BB145">
            <v>3457659000000</v>
          </cell>
          <cell r="BC145">
            <v>3884725000000</v>
          </cell>
          <cell r="BD145">
            <v>4134241000000</v>
          </cell>
          <cell r="BE145">
            <v>4812970000000</v>
          </cell>
          <cell r="BF145">
            <v>5050073000000</v>
          </cell>
          <cell r="BG145">
            <v>5363658000000</v>
          </cell>
          <cell r="BH145">
            <v>5725216000000</v>
          </cell>
          <cell r="BI145">
            <v>6162424000000</v>
          </cell>
          <cell r="BJ145">
            <v>6494704648500</v>
          </cell>
          <cell r="BK145">
            <v>7114525660000</v>
          </cell>
          <cell r="BL145">
            <v>7567893159900</v>
          </cell>
          <cell r="BM145">
            <v>7909345056600</v>
          </cell>
          <cell r="BN145">
            <v>7909345056600</v>
          </cell>
        </row>
        <row r="146">
          <cell r="B146" t="str">
            <v>NGA</v>
          </cell>
          <cell r="C146" t="str">
            <v>GDP (current LCU)</v>
          </cell>
          <cell r="D146" t="str">
            <v>NY.GDP.MKTP.CN</v>
          </cell>
          <cell r="E146">
            <v>2997268700</v>
          </cell>
          <cell r="F146">
            <v>3190921200</v>
          </cell>
          <cell r="G146">
            <v>3506715100</v>
          </cell>
          <cell r="H146">
            <v>3689708800</v>
          </cell>
          <cell r="I146">
            <v>3966381100</v>
          </cell>
          <cell r="J146">
            <v>4196100000</v>
          </cell>
          <cell r="K146">
            <v>4547800000</v>
          </cell>
          <cell r="L146">
            <v>3716600000</v>
          </cell>
          <cell r="M146">
            <v>3715000000</v>
          </cell>
          <cell r="N146">
            <v>4738800000</v>
          </cell>
          <cell r="O146">
            <v>8961500000</v>
          </cell>
          <cell r="P146">
            <v>10375400000</v>
          </cell>
          <cell r="Q146">
            <v>11034700000</v>
          </cell>
          <cell r="R146">
            <v>12251600000</v>
          </cell>
          <cell r="S146">
            <v>19604000000</v>
          </cell>
          <cell r="T146">
            <v>22945400000</v>
          </cell>
          <cell r="U146">
            <v>28611400000</v>
          </cell>
          <cell r="V146">
            <v>33585000000</v>
          </cell>
          <cell r="W146">
            <v>36053000000</v>
          </cell>
          <cell r="X146">
            <v>42912000000</v>
          </cell>
          <cell r="Y146">
            <v>50270000100</v>
          </cell>
          <cell r="Z146">
            <v>139310502459.366</v>
          </cell>
          <cell r="AA146">
            <v>149051215299.164</v>
          </cell>
          <cell r="AB146">
            <v>158750180777.78601</v>
          </cell>
          <cell r="AC146">
            <v>165854199439.12201</v>
          </cell>
          <cell r="AD146">
            <v>187830606485.095</v>
          </cell>
          <cell r="AE146">
            <v>198123157080.86301</v>
          </cell>
          <cell r="AF146">
            <v>244680214767.54001</v>
          </cell>
          <cell r="AG146">
            <v>315615326585.78497</v>
          </cell>
          <cell r="AH146">
            <v>414860860129.38898</v>
          </cell>
          <cell r="AI146">
            <v>494643670982.59003</v>
          </cell>
          <cell r="AJ146">
            <v>590059736200</v>
          </cell>
          <cell r="AK146">
            <v>906029290700</v>
          </cell>
          <cell r="AL146">
            <v>1257174855700</v>
          </cell>
          <cell r="AM146">
            <v>1768791487400</v>
          </cell>
          <cell r="AN146">
            <v>3100235093700</v>
          </cell>
          <cell r="AO146">
            <v>4086065207400</v>
          </cell>
          <cell r="AP146">
            <v>4418708747600</v>
          </cell>
          <cell r="AQ146">
            <v>4805156414800</v>
          </cell>
          <cell r="AR146">
            <v>5482354321300</v>
          </cell>
          <cell r="AS146">
            <v>7062751068400</v>
          </cell>
          <cell r="AT146">
            <v>8234493679700</v>
          </cell>
          <cell r="AU146">
            <v>11501450399200</v>
          </cell>
          <cell r="AV146">
            <v>13556973687800</v>
          </cell>
          <cell r="AW146">
            <v>18124060020200</v>
          </cell>
          <cell r="AX146">
            <v>23121878996800</v>
          </cell>
          <cell r="AY146">
            <v>30375178716600</v>
          </cell>
          <cell r="AZ146">
            <v>34675943737100</v>
          </cell>
          <cell r="BA146">
            <v>39954211885800</v>
          </cell>
          <cell r="BB146">
            <v>43461458620700</v>
          </cell>
          <cell r="BC146">
            <v>54612264176600</v>
          </cell>
          <cell r="BD146">
            <v>63134734885000</v>
          </cell>
          <cell r="BE146">
            <v>72351452212200</v>
          </cell>
          <cell r="BF146">
            <v>81009964620100</v>
          </cell>
          <cell r="BG146">
            <v>90136984656200</v>
          </cell>
          <cell r="BH146">
            <v>95177735683700</v>
          </cell>
          <cell r="BI146">
            <v>102575418034600</v>
          </cell>
          <cell r="BJ146">
            <v>114899249897700</v>
          </cell>
          <cell r="BK146">
            <v>129086907450900</v>
          </cell>
          <cell r="BL146">
            <v>145639139379100</v>
          </cell>
          <cell r="BM146">
            <v>154252318897900</v>
          </cell>
          <cell r="BN146">
            <v>154252318897900</v>
          </cell>
        </row>
        <row r="147">
          <cell r="B147" t="str">
            <v>MKD</v>
          </cell>
          <cell r="C147" t="str">
            <v>GDP (current LCU)</v>
          </cell>
          <cell r="D147" t="str">
            <v>NY.GDP.MKTP.CN</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v>532000000</v>
          </cell>
          <cell r="AJ147">
            <v>968000000</v>
          </cell>
          <cell r="AK147">
            <v>12406000000</v>
          </cell>
          <cell r="AL147">
            <v>62233000000</v>
          </cell>
          <cell r="AM147">
            <v>154000000000</v>
          </cell>
          <cell r="AN147">
            <v>178311000000</v>
          </cell>
          <cell r="AO147">
            <v>185593000000</v>
          </cell>
          <cell r="AP147">
            <v>195663000000</v>
          </cell>
          <cell r="AQ147">
            <v>205089000000</v>
          </cell>
          <cell r="AR147">
            <v>219847000000</v>
          </cell>
          <cell r="AS147">
            <v>248646000000</v>
          </cell>
          <cell r="AT147">
            <v>252393000000</v>
          </cell>
          <cell r="AU147">
            <v>258581000000</v>
          </cell>
          <cell r="AV147">
            <v>268694000000</v>
          </cell>
          <cell r="AW147">
            <v>280786000000</v>
          </cell>
          <cell r="AX147">
            <v>308447000000</v>
          </cell>
          <cell r="AY147">
            <v>334840000000</v>
          </cell>
          <cell r="AZ147">
            <v>372889000000</v>
          </cell>
          <cell r="BA147">
            <v>414890000000</v>
          </cell>
          <cell r="BB147">
            <v>414622000000</v>
          </cell>
          <cell r="BC147">
            <v>437296000000</v>
          </cell>
          <cell r="BD147">
            <v>464186000000</v>
          </cell>
          <cell r="BE147">
            <v>466703000000</v>
          </cell>
          <cell r="BF147">
            <v>501891000000</v>
          </cell>
          <cell r="BG147">
            <v>527631000000</v>
          </cell>
          <cell r="BH147">
            <v>558954000000</v>
          </cell>
          <cell r="BI147">
            <v>594795000000</v>
          </cell>
          <cell r="BJ147">
            <v>618106000000</v>
          </cell>
          <cell r="BK147">
            <v>660878000000</v>
          </cell>
          <cell r="BL147">
            <v>692683000000</v>
          </cell>
          <cell r="BM147">
            <v>664010000000</v>
          </cell>
          <cell r="BN147">
            <v>664010000000</v>
          </cell>
        </row>
        <row r="148">
          <cell r="B148" t="str">
            <v>MNP</v>
          </cell>
          <cell r="C148" t="str">
            <v>GDP (current LCU)</v>
          </cell>
          <cell r="D148" t="str">
            <v>NY.GDP.MKTP.CN</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v>1284000000</v>
          </cell>
          <cell r="AV148">
            <v>1239000000</v>
          </cell>
          <cell r="AW148">
            <v>1210000000</v>
          </cell>
          <cell r="AX148">
            <v>1061000000</v>
          </cell>
          <cell r="AY148">
            <v>990000000</v>
          </cell>
          <cell r="AZ148">
            <v>938000000</v>
          </cell>
          <cell r="BA148">
            <v>939000000</v>
          </cell>
          <cell r="BB148">
            <v>795000000</v>
          </cell>
          <cell r="BC148">
            <v>799000000</v>
          </cell>
          <cell r="BD148">
            <v>729000000</v>
          </cell>
          <cell r="BE148">
            <v>746000000</v>
          </cell>
          <cell r="BF148">
            <v>772000000</v>
          </cell>
          <cell r="BG148">
            <v>832000000</v>
          </cell>
          <cell r="BH148">
            <v>910000000</v>
          </cell>
          <cell r="BI148">
            <v>1230000000</v>
          </cell>
          <cell r="BJ148">
            <v>1560000000</v>
          </cell>
          <cell r="BK148">
            <v>1302000000</v>
          </cell>
          <cell r="BL148">
            <v>1182000000</v>
          </cell>
          <cell r="BM148" t="str">
            <v>..</v>
          </cell>
          <cell r="BN148">
            <v>1182000000</v>
          </cell>
        </row>
        <row r="149">
          <cell r="B149" t="str">
            <v>NOR</v>
          </cell>
          <cell r="C149" t="str">
            <v>GDP (current LCU)</v>
          </cell>
          <cell r="D149" t="str">
            <v>NY.GDP.MKTP.CN</v>
          </cell>
          <cell r="E149">
            <v>37633208320</v>
          </cell>
          <cell r="F149">
            <v>41052958720</v>
          </cell>
          <cell r="G149">
            <v>44219985920</v>
          </cell>
          <cell r="H149">
            <v>47450767360</v>
          </cell>
          <cell r="I149">
            <v>52180824064</v>
          </cell>
          <cell r="J149">
            <v>57562030080</v>
          </cell>
          <cell r="K149">
            <v>62117597184</v>
          </cell>
          <cell r="L149">
            <v>67960717312</v>
          </cell>
          <cell r="M149">
            <v>72570986496</v>
          </cell>
          <cell r="N149">
            <v>79021924352</v>
          </cell>
          <cell r="O149">
            <v>91530000000</v>
          </cell>
          <cell r="P149">
            <v>102897000000</v>
          </cell>
          <cell r="Q149">
            <v>114362000000</v>
          </cell>
          <cell r="R149">
            <v>129928000000</v>
          </cell>
          <cell r="S149">
            <v>150379000000</v>
          </cell>
          <cell r="T149">
            <v>171849000000</v>
          </cell>
          <cell r="U149">
            <v>196119000000</v>
          </cell>
          <cell r="V149">
            <v>220968000000</v>
          </cell>
          <cell r="W149">
            <v>243888000000</v>
          </cell>
          <cell r="X149">
            <v>269067000000</v>
          </cell>
          <cell r="Y149">
            <v>318279000000</v>
          </cell>
          <cell r="Z149">
            <v>365013000000</v>
          </cell>
          <cell r="AA149">
            <v>404325000000</v>
          </cell>
          <cell r="AB149">
            <v>449657000000</v>
          </cell>
          <cell r="AC149">
            <v>506486000000</v>
          </cell>
          <cell r="AD149">
            <v>562402000000</v>
          </cell>
          <cell r="AE149">
            <v>581913000000</v>
          </cell>
          <cell r="AF149">
            <v>634875000000</v>
          </cell>
          <cell r="AG149">
            <v>664084000000</v>
          </cell>
          <cell r="AH149">
            <v>708635000000</v>
          </cell>
          <cell r="AI149">
            <v>749860000000</v>
          </cell>
          <cell r="AJ149">
            <v>790087000000</v>
          </cell>
          <cell r="AK149">
            <v>813093000000</v>
          </cell>
          <cell r="AL149">
            <v>855400000000</v>
          </cell>
          <cell r="AM149">
            <v>897243000000</v>
          </cell>
          <cell r="AN149">
            <v>963138000000</v>
          </cell>
          <cell r="AO149">
            <v>1054672000000</v>
          </cell>
          <cell r="AP149">
            <v>1141340000000</v>
          </cell>
          <cell r="AQ149">
            <v>1163178000000</v>
          </cell>
          <cell r="AR149">
            <v>1265689000000</v>
          </cell>
          <cell r="AS149">
            <v>1507283000000</v>
          </cell>
          <cell r="AT149">
            <v>1564306000000</v>
          </cell>
          <cell r="AU149">
            <v>1561026000000</v>
          </cell>
          <cell r="AV149">
            <v>1620364000000</v>
          </cell>
          <cell r="AW149">
            <v>1783020000000</v>
          </cell>
          <cell r="AX149">
            <v>1989987000000</v>
          </cell>
          <cell r="AY149">
            <v>2216317000000</v>
          </cell>
          <cell r="AZ149">
            <v>2350173000000</v>
          </cell>
          <cell r="BA149">
            <v>2607090000000</v>
          </cell>
          <cell r="BB149">
            <v>2428481000000</v>
          </cell>
          <cell r="BC149">
            <v>2591479000000</v>
          </cell>
          <cell r="BD149">
            <v>2792683000000</v>
          </cell>
          <cell r="BE149">
            <v>2964053000000</v>
          </cell>
          <cell r="BF149">
            <v>3071224000000</v>
          </cell>
          <cell r="BG149">
            <v>3140814000000</v>
          </cell>
          <cell r="BH149">
            <v>3111168000000</v>
          </cell>
          <cell r="BI149">
            <v>3098148000000</v>
          </cell>
          <cell r="BJ149">
            <v>3295382000000</v>
          </cell>
          <cell r="BK149">
            <v>3553900000000</v>
          </cell>
          <cell r="BL149">
            <v>3563484000000</v>
          </cell>
          <cell r="BM149">
            <v>3410399000000</v>
          </cell>
          <cell r="BN149">
            <v>3410399000000</v>
          </cell>
        </row>
        <row r="150">
          <cell r="B150" t="str">
            <v>OMN</v>
          </cell>
          <cell r="C150" t="str">
            <v>GDP (current LCU)</v>
          </cell>
          <cell r="D150" t="str">
            <v>NY.GDP.MKTP.CN</v>
          </cell>
          <cell r="E150">
            <v>15800000</v>
          </cell>
          <cell r="F150">
            <v>16300000</v>
          </cell>
          <cell r="G150">
            <v>20100000</v>
          </cell>
          <cell r="H150">
            <v>21400000</v>
          </cell>
          <cell r="I150">
            <v>22100000</v>
          </cell>
          <cell r="J150">
            <v>22600000</v>
          </cell>
          <cell r="K150">
            <v>24200000</v>
          </cell>
          <cell r="L150">
            <v>38800000</v>
          </cell>
          <cell r="M150">
            <v>78700000</v>
          </cell>
          <cell r="N150">
            <v>100000000</v>
          </cell>
          <cell r="O150">
            <v>106800000</v>
          </cell>
          <cell r="P150">
            <v>125100000</v>
          </cell>
          <cell r="Q150">
            <v>140800000</v>
          </cell>
          <cell r="R150">
            <v>169400000</v>
          </cell>
          <cell r="S150">
            <v>568500000</v>
          </cell>
          <cell r="T150">
            <v>724199900</v>
          </cell>
          <cell r="U150">
            <v>884300000</v>
          </cell>
          <cell r="V150">
            <v>946800100</v>
          </cell>
          <cell r="W150">
            <v>946500100</v>
          </cell>
          <cell r="X150">
            <v>1289500000</v>
          </cell>
          <cell r="Y150">
            <v>2066100000</v>
          </cell>
          <cell r="Z150">
            <v>2507300100</v>
          </cell>
          <cell r="AA150">
            <v>2609400100</v>
          </cell>
          <cell r="AB150">
            <v>2739899900</v>
          </cell>
          <cell r="AC150">
            <v>3046900000</v>
          </cell>
          <cell r="AD150">
            <v>3455899900</v>
          </cell>
          <cell r="AE150">
            <v>2797700100</v>
          </cell>
          <cell r="AF150">
            <v>3003399900</v>
          </cell>
          <cell r="AG150">
            <v>3224500000</v>
          </cell>
          <cell r="AH150">
            <v>3603600000</v>
          </cell>
          <cell r="AI150">
            <v>4492900000</v>
          </cell>
          <cell r="AJ150">
            <v>4360800000</v>
          </cell>
          <cell r="AK150">
            <v>4787900000</v>
          </cell>
          <cell r="AL150">
            <v>4803600000</v>
          </cell>
          <cell r="AM150">
            <v>4967300000</v>
          </cell>
          <cell r="AN150">
            <v>5307100000</v>
          </cell>
          <cell r="AO150">
            <v>5874300000</v>
          </cell>
          <cell r="AP150">
            <v>6089500000</v>
          </cell>
          <cell r="AQ150">
            <v>5381813700</v>
          </cell>
          <cell r="AR150">
            <v>5995683900</v>
          </cell>
          <cell r="AS150">
            <v>7500615500</v>
          </cell>
          <cell r="AT150">
            <v>7479294200</v>
          </cell>
          <cell r="AU150">
            <v>7744889700</v>
          </cell>
          <cell r="AV150">
            <v>8318160800</v>
          </cell>
          <cell r="AW150">
            <v>9521647600</v>
          </cell>
          <cell r="AX150">
            <v>11951025800</v>
          </cell>
          <cell r="AY150">
            <v>14309467300</v>
          </cell>
          <cell r="AZ150">
            <v>16181828400</v>
          </cell>
          <cell r="BA150">
            <v>23418146500</v>
          </cell>
          <cell r="BB150">
            <v>18605325800</v>
          </cell>
          <cell r="BC150">
            <v>24990000000</v>
          </cell>
          <cell r="BD150">
            <v>29797800000</v>
          </cell>
          <cell r="BE150">
            <v>33608700000</v>
          </cell>
          <cell r="BF150">
            <v>34580400000</v>
          </cell>
          <cell r="BG150">
            <v>35642800000</v>
          </cell>
          <cell r="BH150">
            <v>30264300000</v>
          </cell>
          <cell r="BI150">
            <v>28887000000</v>
          </cell>
          <cell r="BJ150">
            <v>31089400000</v>
          </cell>
          <cell r="BK150">
            <v>35184000000</v>
          </cell>
          <cell r="BL150">
            <v>33859400000</v>
          </cell>
          <cell r="BM150">
            <v>28442000000</v>
          </cell>
          <cell r="BN150">
            <v>28442000000</v>
          </cell>
        </row>
        <row r="151">
          <cell r="B151" t="str">
            <v>PAK</v>
          </cell>
          <cell r="C151" t="str">
            <v>GDP (current LCU)</v>
          </cell>
          <cell r="D151" t="str">
            <v>NY.GDP.MKTP.CN</v>
          </cell>
          <cell r="E151">
            <v>17854000000</v>
          </cell>
          <cell r="F151">
            <v>19613000000</v>
          </cell>
          <cell r="G151">
            <v>20525000000</v>
          </cell>
          <cell r="H151">
            <v>22052000000</v>
          </cell>
          <cell r="I151">
            <v>24786000000</v>
          </cell>
          <cell r="J151">
            <v>28235000000</v>
          </cell>
          <cell r="K151">
            <v>31244000000</v>
          </cell>
          <cell r="L151">
            <v>35546000000</v>
          </cell>
          <cell r="M151">
            <v>38296000000</v>
          </cell>
          <cell r="N151">
            <v>41349000000</v>
          </cell>
          <cell r="O151">
            <v>47751000000</v>
          </cell>
          <cell r="P151">
            <v>50791000000</v>
          </cell>
          <cell r="Q151">
            <v>54673000000</v>
          </cell>
          <cell r="R151">
            <v>67492000000</v>
          </cell>
          <cell r="S151">
            <v>88102000000</v>
          </cell>
          <cell r="T151">
            <v>111183000000</v>
          </cell>
          <cell r="U151">
            <v>130364000000</v>
          </cell>
          <cell r="V151">
            <v>149748000000</v>
          </cell>
          <cell r="W151">
            <v>176334000000</v>
          </cell>
          <cell r="X151">
            <v>194915000000</v>
          </cell>
          <cell r="Y151">
            <v>234179000000</v>
          </cell>
          <cell r="Z151">
            <v>278196000000</v>
          </cell>
          <cell r="AA151">
            <v>324159000000</v>
          </cell>
          <cell r="AB151">
            <v>364387000000</v>
          </cell>
          <cell r="AC151">
            <v>419802000000</v>
          </cell>
          <cell r="AD151">
            <v>472157000000</v>
          </cell>
          <cell r="AE151">
            <v>514532000000</v>
          </cell>
          <cell r="AF151">
            <v>572479000000</v>
          </cell>
          <cell r="AG151">
            <v>675389000000</v>
          </cell>
          <cell r="AH151">
            <v>769745000000</v>
          </cell>
          <cell r="AI151">
            <v>855943000000</v>
          </cell>
          <cell r="AJ151">
            <v>1020600000000</v>
          </cell>
          <cell r="AK151">
            <v>1211385000000</v>
          </cell>
          <cell r="AL151">
            <v>1341629000000</v>
          </cell>
          <cell r="AM151">
            <v>1573097000000</v>
          </cell>
          <cell r="AN151">
            <v>1865922000000</v>
          </cell>
          <cell r="AO151">
            <v>2120173000000</v>
          </cell>
          <cell r="AP151">
            <v>2428312000000</v>
          </cell>
          <cell r="AQ151">
            <v>2677656000000</v>
          </cell>
          <cell r="AR151">
            <v>2938379000000</v>
          </cell>
          <cell r="AS151">
            <v>4243393000000</v>
          </cell>
          <cell r="AT151">
            <v>4627582000000</v>
          </cell>
          <cell r="AU151">
            <v>4920549000000</v>
          </cell>
          <cell r="AV151">
            <v>5374415000000</v>
          </cell>
          <cell r="AW151">
            <v>6203725000000</v>
          </cell>
          <cell r="AX151">
            <v>7126194000000</v>
          </cell>
          <cell r="AY151">
            <v>8216160000000</v>
          </cell>
          <cell r="AZ151">
            <v>9239786000000</v>
          </cell>
          <cell r="BA151">
            <v>10637772000000</v>
          </cell>
          <cell r="BB151">
            <v>13199707000000</v>
          </cell>
          <cell r="BC151">
            <v>14866996000000</v>
          </cell>
          <cell r="BD151">
            <v>18276440000000</v>
          </cell>
          <cell r="BE151">
            <v>20046500000000</v>
          </cell>
          <cell r="BF151">
            <v>22385656800000</v>
          </cell>
          <cell r="BG151">
            <v>25168805000000</v>
          </cell>
          <cell r="BH151">
            <v>27443022495100</v>
          </cell>
          <cell r="BI151">
            <v>29075633000000</v>
          </cell>
          <cell r="BJ151">
            <v>31922302944400</v>
          </cell>
          <cell r="BK151">
            <v>34616302000000</v>
          </cell>
          <cell r="BL151">
            <v>38086232000000</v>
          </cell>
          <cell r="BM151">
            <v>41556326000000</v>
          </cell>
          <cell r="BN151">
            <v>41556326000000</v>
          </cell>
        </row>
        <row r="152">
          <cell r="B152" t="str">
            <v>PLW</v>
          </cell>
          <cell r="C152" t="str">
            <v>GDP (current LCU)</v>
          </cell>
          <cell r="D152" t="str">
            <v>NY.GDP.MKTP.CN</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v>146297500</v>
          </cell>
          <cell r="AT152">
            <v>156907900</v>
          </cell>
          <cell r="AU152">
            <v>163184900</v>
          </cell>
          <cell r="AV152">
            <v>153963200</v>
          </cell>
          <cell r="AW152">
            <v>165186200</v>
          </cell>
          <cell r="AX152">
            <v>190452900</v>
          </cell>
          <cell r="AY152">
            <v>192382400</v>
          </cell>
          <cell r="AZ152">
            <v>198897700</v>
          </cell>
          <cell r="BA152">
            <v>198283900</v>
          </cell>
          <cell r="BB152">
            <v>187522800</v>
          </cell>
          <cell r="BC152">
            <v>185943000</v>
          </cell>
          <cell r="BD152">
            <v>196911100</v>
          </cell>
          <cell r="BE152">
            <v>212397800</v>
          </cell>
          <cell r="BF152">
            <v>221117200</v>
          </cell>
          <cell r="BG152">
            <v>241669800</v>
          </cell>
          <cell r="BH152">
            <v>280457700</v>
          </cell>
          <cell r="BI152">
            <v>298300000</v>
          </cell>
          <cell r="BJ152">
            <v>285300000</v>
          </cell>
          <cell r="BK152">
            <v>284700000</v>
          </cell>
          <cell r="BL152">
            <v>274200000</v>
          </cell>
          <cell r="BM152">
            <v>257700000</v>
          </cell>
          <cell r="BN152">
            <v>257700000</v>
          </cell>
        </row>
        <row r="153">
          <cell r="B153" t="str">
            <v>PAN</v>
          </cell>
          <cell r="C153" t="str">
            <v>GDP (current LCU)</v>
          </cell>
          <cell r="D153" t="str">
            <v>NY.GDP.MKTP.CN</v>
          </cell>
          <cell r="E153">
            <v>537147100</v>
          </cell>
          <cell r="F153">
            <v>599026300</v>
          </cell>
          <cell r="G153">
            <v>652120900</v>
          </cell>
          <cell r="H153">
            <v>722784500</v>
          </cell>
          <cell r="I153">
            <v>776137500</v>
          </cell>
          <cell r="J153">
            <v>852485300</v>
          </cell>
          <cell r="K153">
            <v>928833000</v>
          </cell>
          <cell r="L153">
            <v>1034376400</v>
          </cell>
          <cell r="M153">
            <v>1112791100</v>
          </cell>
          <cell r="N153">
            <v>1221305700</v>
          </cell>
          <cell r="O153">
            <v>1351006400</v>
          </cell>
          <cell r="P153">
            <v>1523917200</v>
          </cell>
          <cell r="Q153">
            <v>1673411700</v>
          </cell>
          <cell r="R153">
            <v>1913793400</v>
          </cell>
          <cell r="S153">
            <v>2188307600</v>
          </cell>
          <cell r="T153">
            <v>2435304100</v>
          </cell>
          <cell r="U153">
            <v>2588106000</v>
          </cell>
          <cell r="V153">
            <v>2738261900</v>
          </cell>
          <cell r="W153">
            <v>3244558600</v>
          </cell>
          <cell r="X153">
            <v>3704551600</v>
          </cell>
          <cell r="Y153">
            <v>4614086400</v>
          </cell>
          <cell r="Z153">
            <v>5222421500</v>
          </cell>
          <cell r="AA153">
            <v>5769767900</v>
          </cell>
          <cell r="AB153">
            <v>5923755900</v>
          </cell>
          <cell r="AC153">
            <v>6183387100</v>
          </cell>
          <cell r="AD153">
            <v>6541517100</v>
          </cell>
          <cell r="AE153">
            <v>6797834200</v>
          </cell>
          <cell r="AF153">
            <v>6827665300</v>
          </cell>
          <cell r="AG153">
            <v>5902783400</v>
          </cell>
          <cell r="AH153">
            <v>5918469800</v>
          </cell>
          <cell r="AI153">
            <v>6433967000</v>
          </cell>
          <cell r="AJ153">
            <v>7074675500</v>
          </cell>
          <cell r="AK153">
            <v>8042337700</v>
          </cell>
          <cell r="AL153">
            <v>8782585400</v>
          </cell>
          <cell r="AM153">
            <v>9365289800</v>
          </cell>
          <cell r="AN153">
            <v>9573813700</v>
          </cell>
          <cell r="AO153">
            <v>9870494000</v>
          </cell>
          <cell r="AP153">
            <v>10677286100</v>
          </cell>
          <cell r="AQ153">
            <v>11575486400</v>
          </cell>
          <cell r="AR153">
            <v>12130252200</v>
          </cell>
          <cell r="AS153">
            <v>12304115000</v>
          </cell>
          <cell r="AT153">
            <v>12502013400</v>
          </cell>
          <cell r="AU153">
            <v>12994310400</v>
          </cell>
          <cell r="AV153">
            <v>13693981200</v>
          </cell>
          <cell r="AW153">
            <v>15013381700</v>
          </cell>
          <cell r="AX153">
            <v>16374393900</v>
          </cell>
          <cell r="AY153">
            <v>18141666300</v>
          </cell>
          <cell r="AZ153">
            <v>21295984230.256401</v>
          </cell>
          <cell r="BA153">
            <v>25155888616.321999</v>
          </cell>
          <cell r="BB153">
            <v>27116635565.174198</v>
          </cell>
          <cell r="BC153">
            <v>29440287581.267502</v>
          </cell>
          <cell r="BD153">
            <v>34686224301.177299</v>
          </cell>
          <cell r="BE153">
            <v>40429734384.218399</v>
          </cell>
          <cell r="BF153">
            <v>45599994004.887299</v>
          </cell>
          <cell r="BG153">
            <v>49921464365.320396</v>
          </cell>
          <cell r="BH153">
            <v>54091713775.5634</v>
          </cell>
          <cell r="BI153">
            <v>57907695408.939201</v>
          </cell>
          <cell r="BJ153">
            <v>62202725204.4646</v>
          </cell>
          <cell r="BK153">
            <v>64929409212.456596</v>
          </cell>
          <cell r="BL153">
            <v>66984427150.320999</v>
          </cell>
          <cell r="BM153">
            <v>53977036995.172897</v>
          </cell>
          <cell r="BN153">
            <v>53977036995.172897</v>
          </cell>
        </row>
        <row r="154">
          <cell r="B154" t="str">
            <v>PNG</v>
          </cell>
          <cell r="C154" t="str">
            <v>GDP (current LCU)</v>
          </cell>
          <cell r="D154" t="str">
            <v>NY.GDP.MKTP.CN</v>
          </cell>
          <cell r="E154">
            <v>205800000</v>
          </cell>
          <cell r="F154">
            <v>218600000</v>
          </cell>
          <cell r="G154">
            <v>233200000</v>
          </cell>
          <cell r="H154">
            <v>246400000</v>
          </cell>
          <cell r="I154">
            <v>272600000</v>
          </cell>
          <cell r="J154">
            <v>307300000</v>
          </cell>
          <cell r="K154">
            <v>349100000</v>
          </cell>
          <cell r="L154">
            <v>394400100</v>
          </cell>
          <cell r="M154">
            <v>433200100</v>
          </cell>
          <cell r="N154">
            <v>492199800</v>
          </cell>
          <cell r="O154">
            <v>576400100</v>
          </cell>
          <cell r="P154">
            <v>633599800</v>
          </cell>
          <cell r="Q154">
            <v>717099700</v>
          </cell>
          <cell r="R154">
            <v>914700000</v>
          </cell>
          <cell r="S154">
            <v>1022300000</v>
          </cell>
          <cell r="T154">
            <v>1036300000</v>
          </cell>
          <cell r="U154">
            <v>1198599900</v>
          </cell>
          <cell r="V154">
            <v>1298500000</v>
          </cell>
          <cell r="W154">
            <v>1380900000</v>
          </cell>
          <cell r="X154">
            <v>1632600100</v>
          </cell>
          <cell r="Y154">
            <v>1708100000</v>
          </cell>
          <cell r="Z154">
            <v>1681200000</v>
          </cell>
          <cell r="AA154">
            <v>1749200000</v>
          </cell>
          <cell r="AB154">
            <v>2142500000</v>
          </cell>
          <cell r="AC154">
            <v>2293700100</v>
          </cell>
          <cell r="AD154">
            <v>2424100100</v>
          </cell>
          <cell r="AE154">
            <v>2572300000</v>
          </cell>
          <cell r="AF154">
            <v>2854299900</v>
          </cell>
          <cell r="AG154">
            <v>3170100000</v>
          </cell>
          <cell r="AH154">
            <v>3045700000</v>
          </cell>
          <cell r="AI154">
            <v>3076200000</v>
          </cell>
          <cell r="AJ154">
            <v>3605600000</v>
          </cell>
          <cell r="AK154">
            <v>4223000000</v>
          </cell>
          <cell r="AL154">
            <v>4867100000</v>
          </cell>
          <cell r="AM154">
            <v>5530300000</v>
          </cell>
          <cell r="AN154">
            <v>6194700000</v>
          </cell>
          <cell r="AO154">
            <v>6794700000</v>
          </cell>
          <cell r="AP154">
            <v>7079600000</v>
          </cell>
          <cell r="AQ154">
            <v>7803600000</v>
          </cell>
          <cell r="AR154">
            <v>8828200000</v>
          </cell>
          <cell r="AS154">
            <v>9735800000</v>
          </cell>
          <cell r="AT154">
            <v>10396300000</v>
          </cell>
          <cell r="AU154">
            <v>11655500000</v>
          </cell>
          <cell r="AV154">
            <v>12567346700</v>
          </cell>
          <cell r="AW154">
            <v>12652124500</v>
          </cell>
          <cell r="AX154">
            <v>15094000000</v>
          </cell>
          <cell r="AY154">
            <v>25538749000</v>
          </cell>
          <cell r="AZ154">
            <v>28304313400</v>
          </cell>
          <cell r="BA154">
            <v>31512437600</v>
          </cell>
          <cell r="BB154">
            <v>32013264100</v>
          </cell>
          <cell r="BC154">
            <v>38752078700</v>
          </cell>
          <cell r="BD154">
            <v>42642222800</v>
          </cell>
          <cell r="BE154">
            <v>44371635600</v>
          </cell>
          <cell r="BF154">
            <v>47721285900</v>
          </cell>
          <cell r="BG154">
            <v>57130774000</v>
          </cell>
          <cell r="BH154">
            <v>60139423700</v>
          </cell>
          <cell r="BI154">
            <v>65038163500</v>
          </cell>
          <cell r="BJ154">
            <v>72521646100</v>
          </cell>
          <cell r="BK154">
            <v>79404670700</v>
          </cell>
          <cell r="BL154">
            <v>83845179670.596695</v>
          </cell>
          <cell r="BM154">
            <v>85354392904.667404</v>
          </cell>
          <cell r="BN154">
            <v>85354392904.667404</v>
          </cell>
        </row>
        <row r="155">
          <cell r="B155" t="str">
            <v>PRY</v>
          </cell>
          <cell r="C155" t="str">
            <v>GDP (current LCU)</v>
          </cell>
          <cell r="D155" t="str">
            <v>NY.GDP.MKTP.CN</v>
          </cell>
          <cell r="E155">
            <v>35580934867.991096</v>
          </cell>
          <cell r="F155">
            <v>40578767858.439499</v>
          </cell>
          <cell r="G155">
            <v>45448000000</v>
          </cell>
          <cell r="H155">
            <v>48372000000</v>
          </cell>
          <cell r="I155">
            <v>51452000000</v>
          </cell>
          <cell r="J155">
            <v>55892000000</v>
          </cell>
          <cell r="K155">
            <v>58702000000</v>
          </cell>
          <cell r="L155">
            <v>62077000000</v>
          </cell>
          <cell r="M155">
            <v>65224000000</v>
          </cell>
          <cell r="N155">
            <v>70093000000</v>
          </cell>
          <cell r="O155">
            <v>74921000000</v>
          </cell>
          <cell r="P155">
            <v>83736000000</v>
          </cell>
          <cell r="Q155">
            <v>96899000000</v>
          </cell>
          <cell r="R155">
            <v>125437000000</v>
          </cell>
          <cell r="S155">
            <v>168017900000</v>
          </cell>
          <cell r="T155">
            <v>190439000000</v>
          </cell>
          <cell r="U155">
            <v>214069000000</v>
          </cell>
          <cell r="V155">
            <v>263612000000</v>
          </cell>
          <cell r="W155">
            <v>322542000000</v>
          </cell>
          <cell r="X155">
            <v>430514000000</v>
          </cell>
          <cell r="Y155">
            <v>560459000000</v>
          </cell>
          <cell r="Z155">
            <v>708689000000</v>
          </cell>
          <cell r="AA155">
            <v>737040000000</v>
          </cell>
          <cell r="AB155">
            <v>828294314022.29297</v>
          </cell>
          <cell r="AC155">
            <v>1097250186080.5699</v>
          </cell>
          <cell r="AD155">
            <v>1446575378249.0601</v>
          </cell>
          <cell r="AE155">
            <v>1926794465963.3501</v>
          </cell>
          <cell r="AF155">
            <v>2652657875499.4302</v>
          </cell>
          <cell r="AG155">
            <v>3574774163805.3301</v>
          </cell>
          <cell r="AH155">
            <v>5025116749604.9102</v>
          </cell>
          <cell r="AI155">
            <v>7147738440418.6299</v>
          </cell>
          <cell r="AJ155">
            <v>9255684159400</v>
          </cell>
          <cell r="AK155">
            <v>10738283273800</v>
          </cell>
          <cell r="AL155">
            <v>12645361493900</v>
          </cell>
          <cell r="AM155">
            <v>14992331683500</v>
          </cell>
          <cell r="AN155">
            <v>17789145328100</v>
          </cell>
          <cell r="AO155">
            <v>20132862098100</v>
          </cell>
          <cell r="AP155">
            <v>21702866395200</v>
          </cell>
          <cell r="AQ155">
            <v>25248610402400</v>
          </cell>
          <cell r="AR155">
            <v>27563440659500</v>
          </cell>
          <cell r="AS155">
            <v>30874087613300</v>
          </cell>
          <cell r="AT155">
            <v>34883186504100</v>
          </cell>
          <cell r="AU155">
            <v>41135696942300</v>
          </cell>
          <cell r="AV155">
            <v>49411959699800</v>
          </cell>
          <cell r="AW155">
            <v>57501991731700</v>
          </cell>
          <cell r="AX155">
            <v>66335828408400</v>
          </cell>
          <cell r="AY155">
            <v>75681657797800</v>
          </cell>
          <cell r="AZ155">
            <v>89866048799900</v>
          </cell>
          <cell r="BA155">
            <v>107403590628100</v>
          </cell>
          <cell r="BB155">
            <v>111030933590100</v>
          </cell>
          <cell r="BC155">
            <v>129092883480000</v>
          </cell>
          <cell r="BD155">
            <v>141486449392600</v>
          </cell>
          <cell r="BE155">
            <v>147225506094700</v>
          </cell>
          <cell r="BF155">
            <v>166350805107500</v>
          </cell>
          <cell r="BG155">
            <v>180174060966200</v>
          </cell>
          <cell r="BH155">
            <v>188477326977400</v>
          </cell>
          <cell r="BI155">
            <v>204647273075000</v>
          </cell>
          <cell r="BJ155">
            <v>219122277202800</v>
          </cell>
          <cell r="BK155">
            <v>230576477470400</v>
          </cell>
          <cell r="BL155">
            <v>236566703629900</v>
          </cell>
          <cell r="BM155">
            <v>241527085717500</v>
          </cell>
          <cell r="BN155">
            <v>241527085717500</v>
          </cell>
        </row>
        <row r="156">
          <cell r="B156" t="str">
            <v>PER</v>
          </cell>
          <cell r="C156" t="str">
            <v>GDP (current LCU)</v>
          </cell>
          <cell r="D156" t="str">
            <v>NY.GDP.MKTP.CN</v>
          </cell>
          <cell r="E156">
            <v>70.213090094699993</v>
          </cell>
          <cell r="F156">
            <v>77.710749721799999</v>
          </cell>
          <cell r="G156">
            <v>88.085521435100006</v>
          </cell>
          <cell r="H156">
            <v>96.505668266900003</v>
          </cell>
          <cell r="I156">
            <v>116.76529172230001</v>
          </cell>
          <cell r="J156">
            <v>138.47187663369999</v>
          </cell>
          <cell r="K156">
            <v>163.84468711459999</v>
          </cell>
          <cell r="L156">
            <v>187.36846350900001</v>
          </cell>
          <cell r="M156">
            <v>221.9864444232</v>
          </cell>
          <cell r="N156">
            <v>248.489208859</v>
          </cell>
          <cell r="O156">
            <v>287.62703694110002</v>
          </cell>
          <cell r="P156">
            <v>320.80685759149998</v>
          </cell>
          <cell r="Q156">
            <v>355.63029892880002</v>
          </cell>
          <cell r="R156">
            <v>425.48257932870001</v>
          </cell>
          <cell r="S156">
            <v>536.32167487419997</v>
          </cell>
          <cell r="T156">
            <v>683.52513358119995</v>
          </cell>
          <cell r="U156">
            <v>899.45080901230006</v>
          </cell>
          <cell r="V156">
            <v>1225.188403269</v>
          </cell>
          <cell r="W156">
            <v>1953.0903549297</v>
          </cell>
          <cell r="X156">
            <v>3585.1683918448998</v>
          </cell>
          <cell r="Y156">
            <v>5238.9210299978004</v>
          </cell>
          <cell r="Z156">
            <v>9142.4308170549994</v>
          </cell>
          <cell r="AA156">
            <v>15203.143381170101</v>
          </cell>
          <cell r="AB156">
            <v>28249.083985282199</v>
          </cell>
          <cell r="AC156">
            <v>61018.021408209701</v>
          </cell>
          <cell r="AD156">
            <v>165488.27018287199</v>
          </cell>
          <cell r="AE156">
            <v>304884.659157519</v>
          </cell>
          <cell r="AF156">
            <v>621068.95190915104</v>
          </cell>
          <cell r="AG156">
            <v>3859852.1118072001</v>
          </cell>
          <cell r="AH156">
            <v>90448225.275902003</v>
          </cell>
          <cell r="AI156">
            <v>5466950101.3016005</v>
          </cell>
          <cell r="AJ156">
            <v>26714226400</v>
          </cell>
          <cell r="AK156">
            <v>44972264400</v>
          </cell>
          <cell r="AL156">
            <v>69284484800</v>
          </cell>
          <cell r="AM156">
            <v>98579000000</v>
          </cell>
          <cell r="AN156">
            <v>120263000000</v>
          </cell>
          <cell r="AO156">
            <v>135606000000</v>
          </cell>
          <cell r="AP156">
            <v>154905000000</v>
          </cell>
          <cell r="AQ156">
            <v>162586000000</v>
          </cell>
          <cell r="AR156">
            <v>169859000000</v>
          </cell>
          <cell r="AS156">
            <v>180584000000</v>
          </cell>
          <cell r="AT156">
            <v>182527000000</v>
          </cell>
          <cell r="AU156">
            <v>192691000000</v>
          </cell>
          <cell r="AV156">
            <v>204337000000</v>
          </cell>
          <cell r="AW156">
            <v>227935000000</v>
          </cell>
          <cell r="AX156">
            <v>250749000000</v>
          </cell>
          <cell r="AY156">
            <v>290271000000</v>
          </cell>
          <cell r="AZ156">
            <v>319693000000</v>
          </cell>
          <cell r="BA156">
            <v>352719000000</v>
          </cell>
          <cell r="BB156">
            <v>363943000000</v>
          </cell>
          <cell r="BC156">
            <v>416784000000</v>
          </cell>
          <cell r="BD156">
            <v>473049000000</v>
          </cell>
          <cell r="BE156">
            <v>508131000000</v>
          </cell>
          <cell r="BF156">
            <v>543556000000</v>
          </cell>
          <cell r="BG156">
            <v>570041000000</v>
          </cell>
          <cell r="BH156">
            <v>604416000000</v>
          </cell>
          <cell r="BI156">
            <v>647668000000</v>
          </cell>
          <cell r="BJ156">
            <v>687989000000</v>
          </cell>
          <cell r="BK156">
            <v>731514000000</v>
          </cell>
          <cell r="BL156">
            <v>762476000000</v>
          </cell>
          <cell r="BM156">
            <v>706020000000</v>
          </cell>
          <cell r="BN156">
            <v>706020000000</v>
          </cell>
        </row>
        <row r="157">
          <cell r="B157" t="str">
            <v>PHL</v>
          </cell>
          <cell r="C157" t="str">
            <v>GDP (current LCU)</v>
          </cell>
          <cell r="D157" t="str">
            <v>NY.GDP.MKTP.CN</v>
          </cell>
          <cell r="E157">
            <v>15144511600.7607</v>
          </cell>
          <cell r="F157">
            <v>16505796395.5779</v>
          </cell>
          <cell r="G157">
            <v>18469989692.139999</v>
          </cell>
          <cell r="H157">
            <v>21526969487.258202</v>
          </cell>
          <cell r="I157">
            <v>23279228398.4147</v>
          </cell>
          <cell r="J157">
            <v>25477447759.965801</v>
          </cell>
          <cell r="K157">
            <v>28037169762.412601</v>
          </cell>
          <cell r="L157">
            <v>30127008347.0905</v>
          </cell>
          <cell r="M157">
            <v>33667722150.502602</v>
          </cell>
          <cell r="N157">
            <v>37330022545.192596</v>
          </cell>
          <cell r="O157">
            <v>44631663701.336899</v>
          </cell>
          <cell r="P157">
            <v>53866040929.145699</v>
          </cell>
          <cell r="Q157">
            <v>60526235889.888603</v>
          </cell>
          <cell r="R157">
            <v>77105740134.945496</v>
          </cell>
          <cell r="S157">
            <v>105944355796.013</v>
          </cell>
          <cell r="T157">
            <v>122310056946.812</v>
          </cell>
          <cell r="U157">
            <v>144200050981.31699</v>
          </cell>
          <cell r="V157">
            <v>164957962333.306</v>
          </cell>
          <cell r="W157">
            <v>189758311665.086</v>
          </cell>
          <cell r="X157">
            <v>230314541812.181</v>
          </cell>
          <cell r="Y157">
            <v>276781890846.97699</v>
          </cell>
          <cell r="Z157">
            <v>319930997283.59399</v>
          </cell>
          <cell r="AA157">
            <v>360439336286.75403</v>
          </cell>
          <cell r="AB157">
            <v>419607080321.22101</v>
          </cell>
          <cell r="AC157">
            <v>596647936678.55396</v>
          </cell>
          <cell r="AD157">
            <v>650540333312.89502</v>
          </cell>
          <cell r="AE157">
            <v>692852433971.75403</v>
          </cell>
          <cell r="AF157">
            <v>777283056653.88696</v>
          </cell>
          <cell r="AG157">
            <v>910280135936.15503</v>
          </cell>
          <cell r="AH157">
            <v>1054528520470.76</v>
          </cell>
          <cell r="AI157">
            <v>1227881702435.1001</v>
          </cell>
          <cell r="AJ157">
            <v>1422957514100.8</v>
          </cell>
          <cell r="AK157">
            <v>1541524165939.27</v>
          </cell>
          <cell r="AL157">
            <v>1682420868721.78</v>
          </cell>
          <cell r="AM157">
            <v>1932662420868.8999</v>
          </cell>
          <cell r="AN157">
            <v>2176583797814.76</v>
          </cell>
          <cell r="AO157">
            <v>2481303646194.48</v>
          </cell>
          <cell r="AP157">
            <v>2773375100607.7998</v>
          </cell>
          <cell r="AQ157">
            <v>3046222105560.7798</v>
          </cell>
          <cell r="AR157">
            <v>3347587190100.1899</v>
          </cell>
          <cell r="AS157">
            <v>3697556200000</v>
          </cell>
          <cell r="AT157">
            <v>4024398940183.8999</v>
          </cell>
          <cell r="AU157">
            <v>4350559772133.9302</v>
          </cell>
          <cell r="AV157">
            <v>4717808940485.1904</v>
          </cell>
          <cell r="AW157">
            <v>5323904177200.0195</v>
          </cell>
          <cell r="AX157">
            <v>5917282301168.3398</v>
          </cell>
          <cell r="AY157">
            <v>6550417112922.96</v>
          </cell>
          <cell r="AZ157">
            <v>7198244887764.4404</v>
          </cell>
          <cell r="BA157">
            <v>8050200620568.5498</v>
          </cell>
          <cell r="BB157">
            <v>8390421456270.6602</v>
          </cell>
          <cell r="BC157">
            <v>9399450758073.9102</v>
          </cell>
          <cell r="BD157">
            <v>10144661326781.699</v>
          </cell>
          <cell r="BE157">
            <v>11060588830567.5</v>
          </cell>
          <cell r="BF157">
            <v>12050591984260.6</v>
          </cell>
          <cell r="BG157">
            <v>13206828251691.9</v>
          </cell>
          <cell r="BH157">
            <v>13944157447764.699</v>
          </cell>
          <cell r="BI157">
            <v>15132381470173.301</v>
          </cell>
          <cell r="BJ157">
            <v>16556651083225.9</v>
          </cell>
          <cell r="BK157">
            <v>18265190258161.699</v>
          </cell>
          <cell r="BL157">
            <v>19517863171682</v>
          </cell>
          <cell r="BM157">
            <v>17938582424182.301</v>
          </cell>
          <cell r="BN157">
            <v>17938582424182.301</v>
          </cell>
        </row>
        <row r="158">
          <cell r="B158" t="str">
            <v>POL</v>
          </cell>
          <cell r="C158" t="str">
            <v>GDP (current LCU)</v>
          </cell>
          <cell r="D158" t="str">
            <v>NY.GDP.MKTP.CN</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v>62678860800</v>
          </cell>
          <cell r="AJ158">
            <v>90485640500</v>
          </cell>
          <cell r="AK158">
            <v>128590833800</v>
          </cell>
          <cell r="AL158">
            <v>174274822900</v>
          </cell>
          <cell r="AM158">
            <v>251822867900</v>
          </cell>
          <cell r="AN158">
            <v>345060000000</v>
          </cell>
          <cell r="AO158">
            <v>431897000000</v>
          </cell>
          <cell r="AP158">
            <v>522582000000</v>
          </cell>
          <cell r="AQ158">
            <v>607103000000</v>
          </cell>
          <cell r="AR158">
            <v>674530000000</v>
          </cell>
          <cell r="AS158">
            <v>748483000000</v>
          </cell>
          <cell r="AT158">
            <v>781548000000</v>
          </cell>
          <cell r="AU158">
            <v>812214000000</v>
          </cell>
          <cell r="AV158">
            <v>847152000000</v>
          </cell>
          <cell r="AW158">
            <v>933091000000</v>
          </cell>
          <cell r="AX158">
            <v>990530000000</v>
          </cell>
          <cell r="AY158">
            <v>1069431000000</v>
          </cell>
          <cell r="AZ158">
            <v>1187508000000</v>
          </cell>
          <cell r="BA158">
            <v>1285571000000</v>
          </cell>
          <cell r="BB158">
            <v>1372025000000</v>
          </cell>
          <cell r="BC158">
            <v>1446844000000</v>
          </cell>
          <cell r="BD158">
            <v>1565251000000</v>
          </cell>
          <cell r="BE158">
            <v>1623442000000</v>
          </cell>
          <cell r="BF158">
            <v>1646724000000</v>
          </cell>
          <cell r="BG158">
            <v>1711244000000</v>
          </cell>
          <cell r="BH158">
            <v>1801112000000</v>
          </cell>
          <cell r="BI158">
            <v>1863487000000</v>
          </cell>
          <cell r="BJ158">
            <v>1989835000000</v>
          </cell>
          <cell r="BK158">
            <v>2121555000000</v>
          </cell>
          <cell r="BL158">
            <v>2293199000000</v>
          </cell>
          <cell r="BM158">
            <v>2326656000000</v>
          </cell>
          <cell r="BN158">
            <v>2326656000000</v>
          </cell>
        </row>
        <row r="159">
          <cell r="B159" t="str">
            <v>PRT</v>
          </cell>
          <cell r="C159" t="str">
            <v>GDP (current LCU)</v>
          </cell>
          <cell r="D159" t="str">
            <v>NY.GDP.MKTP.CN</v>
          </cell>
          <cell r="E159">
            <v>453971392</v>
          </cell>
          <cell r="F159">
            <v>485862016</v>
          </cell>
          <cell r="G159">
            <v>521504384</v>
          </cell>
          <cell r="H159">
            <v>555271040</v>
          </cell>
          <cell r="I159">
            <v>602168576</v>
          </cell>
          <cell r="J159">
            <v>672202944</v>
          </cell>
          <cell r="K159">
            <v>736437184</v>
          </cell>
          <cell r="L159">
            <v>823175808</v>
          </cell>
          <cell r="M159">
            <v>911229184</v>
          </cell>
          <cell r="N159">
            <v>999388928</v>
          </cell>
          <cell r="O159">
            <v>1162721000</v>
          </cell>
          <cell r="P159">
            <v>1302027000</v>
          </cell>
          <cell r="Q159">
            <v>1516157000</v>
          </cell>
          <cell r="R159">
            <v>1845576000</v>
          </cell>
          <cell r="S159">
            <v>2218820000</v>
          </cell>
          <cell r="T159">
            <v>2466820000</v>
          </cell>
          <cell r="U159">
            <v>3066191000</v>
          </cell>
          <cell r="V159">
            <v>4092805000</v>
          </cell>
          <cell r="W159">
            <v>5148485000</v>
          </cell>
          <cell r="X159">
            <v>6495968000</v>
          </cell>
          <cell r="Y159">
            <v>8214261000</v>
          </cell>
          <cell r="Z159">
            <v>9817024000</v>
          </cell>
          <cell r="AA159">
            <v>12101202000</v>
          </cell>
          <cell r="AB159">
            <v>15052631000</v>
          </cell>
          <cell r="AC159">
            <v>18414161000</v>
          </cell>
          <cell r="AD159">
            <v>23045725000</v>
          </cell>
          <cell r="AE159">
            <v>28908317000</v>
          </cell>
          <cell r="AF159">
            <v>33858142000</v>
          </cell>
          <cell r="AG159">
            <v>40457326000</v>
          </cell>
          <cell r="AH159">
            <v>47590600000</v>
          </cell>
          <cell r="AI159">
            <v>55973426000</v>
          </cell>
          <cell r="AJ159">
            <v>64310655000</v>
          </cell>
          <cell r="AK159">
            <v>72452519000</v>
          </cell>
          <cell r="AL159">
            <v>76207322000</v>
          </cell>
          <cell r="AM159">
            <v>82542195000</v>
          </cell>
          <cell r="AN159">
            <v>89028557000</v>
          </cell>
          <cell r="AO159">
            <v>94351591000</v>
          </cell>
          <cell r="AP159">
            <v>102330960000</v>
          </cell>
          <cell r="AQ159">
            <v>111353381000</v>
          </cell>
          <cell r="AR159">
            <v>119603305000</v>
          </cell>
          <cell r="AS159">
            <v>128414445000</v>
          </cell>
          <cell r="AT159">
            <v>135775009000</v>
          </cell>
          <cell r="AU159">
            <v>142554263000</v>
          </cell>
          <cell r="AV159">
            <v>146067858000</v>
          </cell>
          <cell r="AW159">
            <v>152248388000</v>
          </cell>
          <cell r="AX159">
            <v>158552704000</v>
          </cell>
          <cell r="AY159">
            <v>166260469000</v>
          </cell>
          <cell r="AZ159">
            <v>175483401000</v>
          </cell>
          <cell r="BA159">
            <v>179102781000</v>
          </cell>
          <cell r="BB159">
            <v>175416437000</v>
          </cell>
          <cell r="BC159">
            <v>179610779000</v>
          </cell>
          <cell r="BD159">
            <v>176096171000</v>
          </cell>
          <cell r="BE159">
            <v>168295569000</v>
          </cell>
          <cell r="BF159">
            <v>170492269000</v>
          </cell>
          <cell r="BG159">
            <v>173053691000</v>
          </cell>
          <cell r="BH159">
            <v>179713159000</v>
          </cell>
          <cell r="BI159">
            <v>186489811000</v>
          </cell>
          <cell r="BJ159">
            <v>195947210000</v>
          </cell>
          <cell r="BK159">
            <v>205184124000</v>
          </cell>
          <cell r="BL159">
            <v>214374620000</v>
          </cell>
          <cell r="BM159">
            <v>200087571000</v>
          </cell>
          <cell r="BN159">
            <v>200087571000</v>
          </cell>
        </row>
        <row r="160">
          <cell r="B160" t="str">
            <v>PRI</v>
          </cell>
          <cell r="C160" t="str">
            <v>GDP (current LCU)</v>
          </cell>
          <cell r="D160" t="str">
            <v>NY.GDP.MKTP.CN</v>
          </cell>
          <cell r="E160">
            <v>1691900000</v>
          </cell>
          <cell r="F160">
            <v>1865100000</v>
          </cell>
          <cell r="G160">
            <v>2094400000</v>
          </cell>
          <cell r="H160">
            <v>2333600000</v>
          </cell>
          <cell r="I160">
            <v>2570500000</v>
          </cell>
          <cell r="J160">
            <v>2881500000</v>
          </cell>
          <cell r="K160">
            <v>3170500000</v>
          </cell>
          <cell r="L160">
            <v>3532700000</v>
          </cell>
          <cell r="M160">
            <v>3941700000</v>
          </cell>
          <cell r="N160">
            <v>4460700000</v>
          </cell>
          <cell r="O160">
            <v>5034700000</v>
          </cell>
          <cell r="P160">
            <v>5646800000</v>
          </cell>
          <cell r="Q160">
            <v>6328900000</v>
          </cell>
          <cell r="R160">
            <v>7002400000</v>
          </cell>
          <cell r="S160">
            <v>7684800000</v>
          </cell>
          <cell r="T160">
            <v>8198300000</v>
          </cell>
          <cell r="U160">
            <v>8968600000</v>
          </cell>
          <cell r="V160">
            <v>9910900000</v>
          </cell>
          <cell r="W160">
            <v>11165000000</v>
          </cell>
          <cell r="X160">
            <v>12750000000</v>
          </cell>
          <cell r="Y160">
            <v>14436100000</v>
          </cell>
          <cell r="Z160">
            <v>15955700000</v>
          </cell>
          <cell r="AA160">
            <v>16764200000</v>
          </cell>
          <cell r="AB160">
            <v>17276600000</v>
          </cell>
          <cell r="AC160">
            <v>19162600000</v>
          </cell>
          <cell r="AD160">
            <v>20289200000</v>
          </cell>
          <cell r="AE160">
            <v>22009300000</v>
          </cell>
          <cell r="AF160">
            <v>24025800000</v>
          </cell>
          <cell r="AG160">
            <v>26385800000</v>
          </cell>
          <cell r="AH160">
            <v>28161200000</v>
          </cell>
          <cell r="AI160">
            <v>30603919000</v>
          </cell>
          <cell r="AJ160">
            <v>32287031000</v>
          </cell>
          <cell r="AK160">
            <v>34630430000</v>
          </cell>
          <cell r="AL160">
            <v>36922456000</v>
          </cell>
          <cell r="AM160">
            <v>39690630000</v>
          </cell>
          <cell r="AN160">
            <v>42647331000</v>
          </cell>
          <cell r="AO160">
            <v>45340835000</v>
          </cell>
          <cell r="AP160">
            <v>48187039000</v>
          </cell>
          <cell r="AQ160">
            <v>54086400000</v>
          </cell>
          <cell r="AR160">
            <v>57841000000</v>
          </cell>
          <cell r="AS160">
            <v>61701800000</v>
          </cell>
          <cell r="AT160">
            <v>69208400000</v>
          </cell>
          <cell r="AU160">
            <v>71623500000</v>
          </cell>
          <cell r="AV160">
            <v>74827400000</v>
          </cell>
          <cell r="AW160">
            <v>80322313000</v>
          </cell>
          <cell r="AX160">
            <v>83914521300</v>
          </cell>
          <cell r="AY160">
            <v>87276164400</v>
          </cell>
          <cell r="AZ160">
            <v>89524131600</v>
          </cell>
          <cell r="BA160">
            <v>93639300000</v>
          </cell>
          <cell r="BB160">
            <v>96385600000</v>
          </cell>
          <cell r="BC160">
            <v>98381300000</v>
          </cell>
          <cell r="BD160">
            <v>100351700000</v>
          </cell>
          <cell r="BE160">
            <v>101564800000</v>
          </cell>
          <cell r="BF160">
            <v>102450000000</v>
          </cell>
          <cell r="BG160">
            <v>102445800000</v>
          </cell>
          <cell r="BH160">
            <v>103375500000</v>
          </cell>
          <cell r="BI160">
            <v>104336700000</v>
          </cell>
          <cell r="BJ160">
            <v>103445526000</v>
          </cell>
          <cell r="BK160">
            <v>100925000000</v>
          </cell>
          <cell r="BL160">
            <v>104914600000</v>
          </cell>
          <cell r="BM160">
            <v>103138300000</v>
          </cell>
          <cell r="BN160">
            <v>103138300000</v>
          </cell>
        </row>
        <row r="161">
          <cell r="B161" t="str">
            <v>QAT</v>
          </cell>
          <cell r="C161" t="str">
            <v>GDP (current LCU)</v>
          </cell>
          <cell r="D161" t="str">
            <v>NY.GDP.MKTP.CN</v>
          </cell>
          <cell r="E161" t="str">
            <v>..</v>
          </cell>
          <cell r="F161" t="str">
            <v>..</v>
          </cell>
          <cell r="G161" t="str">
            <v>..</v>
          </cell>
          <cell r="H161" t="str">
            <v>..</v>
          </cell>
          <cell r="I161" t="str">
            <v>..</v>
          </cell>
          <cell r="J161" t="str">
            <v>..</v>
          </cell>
          <cell r="K161" t="str">
            <v>..</v>
          </cell>
          <cell r="L161" t="str">
            <v>..</v>
          </cell>
          <cell r="M161" t="str">
            <v>..</v>
          </cell>
          <cell r="N161" t="str">
            <v>..</v>
          </cell>
          <cell r="O161">
            <v>1437100000</v>
          </cell>
          <cell r="P161">
            <v>1840800000</v>
          </cell>
          <cell r="Q161">
            <v>2238000100</v>
          </cell>
          <cell r="R161">
            <v>3172600100</v>
          </cell>
          <cell r="S161">
            <v>9479299100</v>
          </cell>
          <cell r="T161">
            <v>9877000200</v>
          </cell>
          <cell r="U161">
            <v>13016999900</v>
          </cell>
          <cell r="V161">
            <v>14321999900</v>
          </cell>
          <cell r="W161">
            <v>15709200400</v>
          </cell>
          <cell r="X161">
            <v>21255000100</v>
          </cell>
          <cell r="Y161">
            <v>28630999000</v>
          </cell>
          <cell r="Z161">
            <v>31527000100</v>
          </cell>
          <cell r="AA161">
            <v>27651999700</v>
          </cell>
          <cell r="AB161">
            <v>23541999600</v>
          </cell>
          <cell r="AC161">
            <v>24404000800</v>
          </cell>
          <cell r="AD161">
            <v>22397999100</v>
          </cell>
          <cell r="AE161">
            <v>18392999900</v>
          </cell>
          <cell r="AF161">
            <v>19825000400</v>
          </cell>
          <cell r="AG161">
            <v>21979000800</v>
          </cell>
          <cell r="AH161">
            <v>23616000000</v>
          </cell>
          <cell r="AI161">
            <v>26791999500</v>
          </cell>
          <cell r="AJ161">
            <v>25056000000</v>
          </cell>
          <cell r="AK161">
            <v>27832000500</v>
          </cell>
          <cell r="AL161">
            <v>26050000900</v>
          </cell>
          <cell r="AM161">
            <v>26843000800</v>
          </cell>
          <cell r="AN161">
            <v>29621999600</v>
          </cell>
          <cell r="AO161">
            <v>32975999000</v>
          </cell>
          <cell r="AP161">
            <v>41123999700</v>
          </cell>
          <cell r="AQ161">
            <v>37330001900</v>
          </cell>
          <cell r="AR161">
            <v>45111000000</v>
          </cell>
          <cell r="AS161">
            <v>64646000000</v>
          </cell>
          <cell r="AT161">
            <v>63840000000</v>
          </cell>
          <cell r="AU161">
            <v>70484000000</v>
          </cell>
          <cell r="AV161">
            <v>85663000000</v>
          </cell>
          <cell r="AW161">
            <v>115512000000</v>
          </cell>
          <cell r="AX161">
            <v>162091000000</v>
          </cell>
          <cell r="AY161">
            <v>221611000000</v>
          </cell>
          <cell r="AZ161">
            <v>290152000000</v>
          </cell>
          <cell r="BA161">
            <v>419583000000</v>
          </cell>
          <cell r="BB161">
            <v>355986000000</v>
          </cell>
          <cell r="BC161">
            <v>455445195100</v>
          </cell>
          <cell r="BD161">
            <v>610701977800</v>
          </cell>
          <cell r="BE161">
            <v>680073948600</v>
          </cell>
          <cell r="BF161">
            <v>723368620400</v>
          </cell>
          <cell r="BG161">
            <v>750657538800</v>
          </cell>
          <cell r="BH161">
            <v>588733438300</v>
          </cell>
          <cell r="BI161">
            <v>552305142000</v>
          </cell>
          <cell r="BJ161">
            <v>586400804900</v>
          </cell>
          <cell r="BK161">
            <v>667339231900</v>
          </cell>
          <cell r="BL161">
            <v>641991414388.25696</v>
          </cell>
          <cell r="BM161">
            <v>525657362576.78302</v>
          </cell>
          <cell r="BN161">
            <v>525657362576.78302</v>
          </cell>
        </row>
        <row r="162">
          <cell r="B162" t="str">
            <v>ROU</v>
          </cell>
          <cell r="C162" t="str">
            <v>GDP (current LCU)</v>
          </cell>
          <cell r="D162" t="str">
            <v>NY.GDP.MKTP.CN</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v>62370000</v>
          </cell>
          <cell r="AA162">
            <v>72740000</v>
          </cell>
          <cell r="AB162">
            <v>76870000</v>
          </cell>
          <cell r="AC162">
            <v>81610000</v>
          </cell>
          <cell r="AD162">
            <v>81750000</v>
          </cell>
          <cell r="AE162">
            <v>83860000</v>
          </cell>
          <cell r="AF162">
            <v>84510000</v>
          </cell>
          <cell r="AG162">
            <v>85700000</v>
          </cell>
          <cell r="AH162">
            <v>80000000</v>
          </cell>
          <cell r="AI162">
            <v>85790000</v>
          </cell>
          <cell r="AJ162">
            <v>220390000</v>
          </cell>
          <cell r="AK162">
            <v>602920000</v>
          </cell>
          <cell r="AL162">
            <v>2003580000</v>
          </cell>
          <cell r="AM162">
            <v>4977319900</v>
          </cell>
          <cell r="AN162">
            <v>7610600000</v>
          </cell>
          <cell r="AO162">
            <v>11387700000</v>
          </cell>
          <cell r="AP162">
            <v>25500100000</v>
          </cell>
          <cell r="AQ162">
            <v>37007700000</v>
          </cell>
          <cell r="AR162">
            <v>55126400000</v>
          </cell>
          <cell r="AS162">
            <v>80873100000</v>
          </cell>
          <cell r="AT162">
            <v>117391400000</v>
          </cell>
          <cell r="AU162">
            <v>152271500000</v>
          </cell>
          <cell r="AV162">
            <v>191917600000</v>
          </cell>
          <cell r="AW162">
            <v>244688300000</v>
          </cell>
          <cell r="AX162">
            <v>286861900000</v>
          </cell>
          <cell r="AY162">
            <v>342762600000</v>
          </cell>
          <cell r="AZ162">
            <v>425691100000</v>
          </cell>
          <cell r="BA162">
            <v>539834600000</v>
          </cell>
          <cell r="BB162">
            <v>530894400000</v>
          </cell>
          <cell r="BC162">
            <v>528514500000</v>
          </cell>
          <cell r="BD162">
            <v>558889900000</v>
          </cell>
          <cell r="BE162">
            <v>591799100000</v>
          </cell>
          <cell r="BF162">
            <v>634967800000</v>
          </cell>
          <cell r="BG162">
            <v>669703900000</v>
          </cell>
          <cell r="BH162">
            <v>711929900000</v>
          </cell>
          <cell r="BI162">
            <v>763652500000</v>
          </cell>
          <cell r="BJ162">
            <v>857895700000</v>
          </cell>
          <cell r="BK162">
            <v>951728500000</v>
          </cell>
          <cell r="BL162">
            <v>1058973200000</v>
          </cell>
          <cell r="BM162">
            <v>1055548800000</v>
          </cell>
          <cell r="BN162">
            <v>1055548800000</v>
          </cell>
        </row>
        <row r="163">
          <cell r="B163" t="str">
            <v>RUS</v>
          </cell>
          <cell r="C163" t="str">
            <v>GDP (current LCU)</v>
          </cell>
          <cell r="D163" t="str">
            <v>NY.GDP.MKTP.CN</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v>534300000</v>
          </cell>
          <cell r="AH163">
            <v>573000000</v>
          </cell>
          <cell r="AI163">
            <v>644200000</v>
          </cell>
          <cell r="AJ163">
            <v>1398500000</v>
          </cell>
          <cell r="AK163">
            <v>19010000000</v>
          </cell>
          <cell r="AL163">
            <v>171510000000</v>
          </cell>
          <cell r="AM163">
            <v>610750000000</v>
          </cell>
          <cell r="AN163">
            <v>1428522100000</v>
          </cell>
          <cell r="AO163">
            <v>2007825100000</v>
          </cell>
          <cell r="AP163">
            <v>2342514000000</v>
          </cell>
          <cell r="AQ163">
            <v>2629623000000</v>
          </cell>
          <cell r="AR163">
            <v>4823233500000</v>
          </cell>
          <cell r="AS163">
            <v>7305646300000</v>
          </cell>
          <cell r="AT163">
            <v>8943582400000</v>
          </cell>
          <cell r="AU163">
            <v>10830500000000</v>
          </cell>
          <cell r="AV163">
            <v>13208233779300</v>
          </cell>
          <cell r="AW163">
            <v>17027190860300</v>
          </cell>
          <cell r="AX163">
            <v>21609765489300</v>
          </cell>
          <cell r="AY163">
            <v>26917201375100</v>
          </cell>
          <cell r="AZ163">
            <v>33247513228800</v>
          </cell>
          <cell r="BA163">
            <v>41276849187000</v>
          </cell>
          <cell r="BB163">
            <v>38807218574800</v>
          </cell>
          <cell r="BC163">
            <v>46308541189900</v>
          </cell>
          <cell r="BD163">
            <v>60114000000000</v>
          </cell>
          <cell r="BE163">
            <v>68103400000000</v>
          </cell>
          <cell r="BF163">
            <v>72985700000000</v>
          </cell>
          <cell r="BG163">
            <v>79030000000000</v>
          </cell>
          <cell r="BH163">
            <v>83087400000000</v>
          </cell>
          <cell r="BI163">
            <v>85616100000000</v>
          </cell>
          <cell r="BJ163">
            <v>91843200000000</v>
          </cell>
          <cell r="BK163">
            <v>103861651089200</v>
          </cell>
          <cell r="BL163">
            <v>109241536407100</v>
          </cell>
          <cell r="BM163">
            <v>106967459428100</v>
          </cell>
          <cell r="BN163">
            <v>106967459428100</v>
          </cell>
        </row>
        <row r="164">
          <cell r="B164" t="str">
            <v>RWA</v>
          </cell>
          <cell r="C164" t="str">
            <v>GDP (current LCU)</v>
          </cell>
          <cell r="D164" t="str">
            <v>NY.GDP.MKTP.CN</v>
          </cell>
          <cell r="E164">
            <v>5950001200</v>
          </cell>
          <cell r="F164">
            <v>6100000800</v>
          </cell>
          <cell r="G164">
            <v>6250000400</v>
          </cell>
          <cell r="H164">
            <v>6400000000</v>
          </cell>
          <cell r="I164">
            <v>6499999700</v>
          </cell>
          <cell r="J164">
            <v>7439999000</v>
          </cell>
          <cell r="K164">
            <v>10895999000</v>
          </cell>
          <cell r="L164">
            <v>15956001800</v>
          </cell>
          <cell r="M164">
            <v>17220001800</v>
          </cell>
          <cell r="N164">
            <v>18870003700</v>
          </cell>
          <cell r="O164">
            <v>21990000600</v>
          </cell>
          <cell r="P164">
            <v>22229999600</v>
          </cell>
          <cell r="Q164">
            <v>22699999200</v>
          </cell>
          <cell r="R164">
            <v>24399999000</v>
          </cell>
          <cell r="S164">
            <v>28680001500</v>
          </cell>
          <cell r="T164">
            <v>52770000900</v>
          </cell>
          <cell r="U164">
            <v>61869998100</v>
          </cell>
          <cell r="V164">
            <v>71629996000</v>
          </cell>
          <cell r="W164">
            <v>81050009600</v>
          </cell>
          <cell r="X164">
            <v>96170000400</v>
          </cell>
          <cell r="Y164">
            <v>107989999600</v>
          </cell>
          <cell r="Z164">
            <v>122639999000</v>
          </cell>
          <cell r="AA164">
            <v>130958000100</v>
          </cell>
          <cell r="AB164">
            <v>142189002800</v>
          </cell>
          <cell r="AC164">
            <v>159111004200</v>
          </cell>
          <cell r="AD164">
            <v>173698023400</v>
          </cell>
          <cell r="AE164">
            <v>170338992100</v>
          </cell>
          <cell r="AF164">
            <v>171431002100</v>
          </cell>
          <cell r="AG164">
            <v>183129997300</v>
          </cell>
          <cell r="AH164">
            <v>192760102900</v>
          </cell>
          <cell r="AI164">
            <v>213460992000</v>
          </cell>
          <cell r="AJ164">
            <v>239264006100</v>
          </cell>
          <cell r="AK164">
            <v>271764996100</v>
          </cell>
          <cell r="AL164">
            <v>284366995500</v>
          </cell>
          <cell r="AM164">
            <v>165800001500</v>
          </cell>
          <cell r="AN164">
            <v>339141984300</v>
          </cell>
          <cell r="AO164">
            <v>424127987700</v>
          </cell>
          <cell r="AP164">
            <v>558300004400</v>
          </cell>
          <cell r="AQ164">
            <v>621300023300</v>
          </cell>
          <cell r="AR164">
            <v>719865000000</v>
          </cell>
          <cell r="AS164">
            <v>805708000000</v>
          </cell>
          <cell r="AT164">
            <v>870676000000</v>
          </cell>
          <cell r="AU164">
            <v>933988000000</v>
          </cell>
          <cell r="AV164">
            <v>1149019000000</v>
          </cell>
          <cell r="AW164">
            <v>1371604000000</v>
          </cell>
          <cell r="AX164">
            <v>1635655000000</v>
          </cell>
          <cell r="AY164">
            <v>1830548000000</v>
          </cell>
          <cell r="AZ164">
            <v>2225049000000</v>
          </cell>
          <cell r="BA164">
            <v>2831044000000</v>
          </cell>
          <cell r="BB164">
            <v>3222912000000</v>
          </cell>
          <cell r="BC164">
            <v>3569481000000</v>
          </cell>
          <cell r="BD164">
            <v>4130732000000</v>
          </cell>
          <cell r="BE164">
            <v>4699542000000</v>
          </cell>
          <cell r="BF164">
            <v>5053848000000</v>
          </cell>
          <cell r="BG164">
            <v>5619449000000</v>
          </cell>
          <cell r="BH164">
            <v>6146916000000</v>
          </cell>
          <cell r="BI164">
            <v>6841598000000</v>
          </cell>
          <cell r="BJ164">
            <v>7694234000000</v>
          </cell>
          <cell r="BK164">
            <v>8302054000000</v>
          </cell>
          <cell r="BL164">
            <v>9314768000000</v>
          </cell>
          <cell r="BM164">
            <v>9746379000000</v>
          </cell>
          <cell r="BN164">
            <v>9746379000000</v>
          </cell>
        </row>
        <row r="165">
          <cell r="B165" t="str">
            <v>WSM</v>
          </cell>
          <cell r="C165" t="str">
            <v>GDP (current LCU)</v>
          </cell>
          <cell r="D165" t="str">
            <v>NY.GDP.MKTP.CN</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v>146350900</v>
          </cell>
          <cell r="AB165">
            <v>173286700</v>
          </cell>
          <cell r="AC165">
            <v>203364900</v>
          </cell>
          <cell r="AD165">
            <v>214588200</v>
          </cell>
          <cell r="AE165">
            <v>225699200</v>
          </cell>
          <cell r="AF165">
            <v>237034600</v>
          </cell>
          <cell r="AG165">
            <v>276540400</v>
          </cell>
          <cell r="AH165">
            <v>278785100</v>
          </cell>
          <cell r="AI165">
            <v>290457200</v>
          </cell>
          <cell r="AJ165">
            <v>301119300</v>
          </cell>
          <cell r="AK165">
            <v>326259300</v>
          </cell>
          <cell r="AL165">
            <v>341859600</v>
          </cell>
          <cell r="AM165">
            <v>560483700</v>
          </cell>
          <cell r="AN165">
            <v>556182900</v>
          </cell>
          <cell r="AO165">
            <v>623472900</v>
          </cell>
          <cell r="AP165">
            <v>701756100</v>
          </cell>
          <cell r="AQ165">
            <v>741640100</v>
          </cell>
          <cell r="AR165">
            <v>776656600</v>
          </cell>
          <cell r="AS165">
            <v>854406600</v>
          </cell>
          <cell r="AT165">
            <v>935873800</v>
          </cell>
          <cell r="AU165">
            <v>1000296300</v>
          </cell>
          <cell r="AV165">
            <v>1072830900</v>
          </cell>
          <cell r="AW165">
            <v>1201191000</v>
          </cell>
          <cell r="AX165">
            <v>1261829000</v>
          </cell>
          <cell r="AY165">
            <v>1405860100</v>
          </cell>
          <cell r="AZ165">
            <v>1492689700</v>
          </cell>
          <cell r="BA165">
            <v>1637449200</v>
          </cell>
          <cell r="BB165">
            <v>1596715200</v>
          </cell>
          <cell r="BC165">
            <v>1682957182.50699</v>
          </cell>
          <cell r="BD165">
            <v>1759867018.34393</v>
          </cell>
          <cell r="BE165">
            <v>1749494654.1071301</v>
          </cell>
          <cell r="BF165">
            <v>1759509068.0023</v>
          </cell>
          <cell r="BG165">
            <v>1757757476.74261</v>
          </cell>
          <cell r="BH165">
            <v>1910090408.06743</v>
          </cell>
          <cell r="BI165">
            <v>2089637165.45946</v>
          </cell>
          <cell r="BJ165">
            <v>2109684045.3933101</v>
          </cell>
          <cell r="BK165">
            <v>2107750770.8276801</v>
          </cell>
          <cell r="BL165">
            <v>2230554621.1131001</v>
          </cell>
          <cell r="BM165">
            <v>2177396593.94453</v>
          </cell>
          <cell r="BN165">
            <v>2177396593.94453</v>
          </cell>
        </row>
        <row r="166">
          <cell r="B166" t="str">
            <v>SMR</v>
          </cell>
          <cell r="C166" t="str">
            <v>GDP (current LCU)</v>
          </cell>
          <cell r="D166" t="str">
            <v>NY.GDP.MKTP.CN</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v>859000000</v>
          </cell>
          <cell r="AQ166">
            <v>940000000</v>
          </cell>
          <cell r="AR166">
            <v>1041000000</v>
          </cell>
          <cell r="AS166">
            <v>1091000000</v>
          </cell>
          <cell r="AT166">
            <v>1183000000</v>
          </cell>
          <cell r="AU166">
            <v>1215000000</v>
          </cell>
          <cell r="AV166">
            <v>1293000000</v>
          </cell>
          <cell r="AW166">
            <v>1379000000</v>
          </cell>
          <cell r="AX166">
            <v>1436000000</v>
          </cell>
          <cell r="AY166">
            <v>1521000000</v>
          </cell>
          <cell r="AZ166">
            <v>1597000000</v>
          </cell>
          <cell r="BA166">
            <v>1634000000</v>
          </cell>
          <cell r="BB166">
            <v>1480000000</v>
          </cell>
          <cell r="BC166">
            <v>1419000000</v>
          </cell>
          <cell r="BD166">
            <v>1303000000</v>
          </cell>
          <cell r="BE166">
            <v>1249000000</v>
          </cell>
          <cell r="BF166">
            <v>1264000000</v>
          </cell>
          <cell r="BG166">
            <v>1260000000</v>
          </cell>
          <cell r="BH166">
            <v>1279300507.2918301</v>
          </cell>
          <cell r="BI166">
            <v>1326532027.6500001</v>
          </cell>
          <cell r="BJ166">
            <v>1353143902.27718</v>
          </cell>
          <cell r="BK166">
            <v>1401708778.86202</v>
          </cell>
          <cell r="BL166">
            <v>1443741367.8039401</v>
          </cell>
          <cell r="BM166" t="str">
            <v>..</v>
          </cell>
          <cell r="BN166">
            <v>1443741367.8039401</v>
          </cell>
        </row>
        <row r="167">
          <cell r="B167" t="str">
            <v>STP</v>
          </cell>
          <cell r="C167" t="str">
            <v>GDP (current LCU)</v>
          </cell>
          <cell r="D167" t="str">
            <v>NY.GDP.MKTP.CN</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671568200</v>
          </cell>
          <cell r="AU167">
            <v>774062400</v>
          </cell>
          <cell r="AV167">
            <v>954255200</v>
          </cell>
          <cell r="AW167">
            <v>1134630900</v>
          </cell>
          <cell r="AX167">
            <v>1440642000</v>
          </cell>
          <cell r="AY167">
            <v>1777356300</v>
          </cell>
          <cell r="AZ167">
            <v>2018965300</v>
          </cell>
          <cell r="BA167">
            <v>2763009000</v>
          </cell>
          <cell r="BB167">
            <v>3044288000</v>
          </cell>
          <cell r="BC167">
            <v>3652623800</v>
          </cell>
          <cell r="BD167">
            <v>4109906800</v>
          </cell>
          <cell r="BE167">
            <v>4815930000</v>
          </cell>
          <cell r="BF167">
            <v>5588960900</v>
          </cell>
          <cell r="BG167">
            <v>6443313100</v>
          </cell>
          <cell r="BH167">
            <v>7030510500</v>
          </cell>
          <cell r="BI167">
            <v>7697780500</v>
          </cell>
          <cell r="BJ167">
            <v>8231170400</v>
          </cell>
          <cell r="BK167">
            <v>8618990400</v>
          </cell>
          <cell r="BL167">
            <v>9424294700</v>
          </cell>
          <cell r="BM167">
            <v>10247299900</v>
          </cell>
          <cell r="BN167">
            <v>10247299900</v>
          </cell>
        </row>
        <row r="168">
          <cell r="B168" t="str">
            <v>SAU</v>
          </cell>
          <cell r="C168" t="str">
            <v>GDP (current LCU)</v>
          </cell>
          <cell r="D168" t="str">
            <v>NY.GDP.MKTP.CN</v>
          </cell>
          <cell r="E168" t="str">
            <v>..</v>
          </cell>
          <cell r="F168" t="str">
            <v>..</v>
          </cell>
          <cell r="G168" t="str">
            <v>..</v>
          </cell>
          <cell r="H168" t="str">
            <v>..</v>
          </cell>
          <cell r="I168" t="str">
            <v>..</v>
          </cell>
          <cell r="J168" t="str">
            <v>..</v>
          </cell>
          <cell r="K168" t="str">
            <v>..</v>
          </cell>
          <cell r="L168" t="str">
            <v>..</v>
          </cell>
          <cell r="M168">
            <v>18844999700</v>
          </cell>
          <cell r="N168">
            <v>20185999400</v>
          </cell>
          <cell r="O168">
            <v>24197709818.3825</v>
          </cell>
          <cell r="P168">
            <v>32237044549.203701</v>
          </cell>
          <cell r="Q168">
            <v>40055628754.8386</v>
          </cell>
          <cell r="R168">
            <v>55404370349.876602</v>
          </cell>
          <cell r="S168">
            <v>161216050278.297</v>
          </cell>
          <cell r="T168">
            <v>164529773168.61401</v>
          </cell>
          <cell r="U168">
            <v>225939852262.23901</v>
          </cell>
          <cell r="V168">
            <v>261521400194.483</v>
          </cell>
          <cell r="W168">
            <v>272871383501.866</v>
          </cell>
          <cell r="X168">
            <v>375938168581.70099</v>
          </cell>
          <cell r="Y168">
            <v>547380734661.93903</v>
          </cell>
          <cell r="Z168">
            <v>623367313755.02502</v>
          </cell>
          <cell r="AA168">
            <v>525333911924.87903</v>
          </cell>
          <cell r="AB168">
            <v>446287884996.883</v>
          </cell>
          <cell r="AC168">
            <v>421558214401.68201</v>
          </cell>
          <cell r="AD168">
            <v>376318167761.36499</v>
          </cell>
          <cell r="AE168">
            <v>322020334178.086</v>
          </cell>
          <cell r="AF168">
            <v>320931301891.36902</v>
          </cell>
          <cell r="AG168">
            <v>330519326948.302</v>
          </cell>
          <cell r="AH168">
            <v>357064601324.745</v>
          </cell>
          <cell r="AI168">
            <v>440525367900.289</v>
          </cell>
          <cell r="AJ168">
            <v>495176140500</v>
          </cell>
          <cell r="AK168">
            <v>513394098100</v>
          </cell>
          <cell r="AL168">
            <v>497964790800</v>
          </cell>
          <cell r="AM168">
            <v>506229949900</v>
          </cell>
          <cell r="AN168">
            <v>536819671100</v>
          </cell>
          <cell r="AO168">
            <v>594190683300</v>
          </cell>
          <cell r="AP168">
            <v>621533522500</v>
          </cell>
          <cell r="AQ168">
            <v>550408117800</v>
          </cell>
          <cell r="AR168">
            <v>606438600000</v>
          </cell>
          <cell r="AS168">
            <v>710680973300</v>
          </cell>
          <cell r="AT168">
            <v>690515511500</v>
          </cell>
          <cell r="AU168">
            <v>711022200900</v>
          </cell>
          <cell r="AV168">
            <v>809278707200</v>
          </cell>
          <cell r="AW168">
            <v>970283486400</v>
          </cell>
          <cell r="AX168">
            <v>1230771342300</v>
          </cell>
          <cell r="AY168">
            <v>1411491008300</v>
          </cell>
          <cell r="AZ168">
            <v>1558827275000</v>
          </cell>
          <cell r="BA168">
            <v>1949237769900</v>
          </cell>
          <cell r="BB168">
            <v>1609117122300</v>
          </cell>
          <cell r="BC168">
            <v>1980777497400</v>
          </cell>
          <cell r="BD168">
            <v>2517145650400</v>
          </cell>
          <cell r="BE168">
            <v>2759905662600</v>
          </cell>
          <cell r="BF168">
            <v>2799926727800</v>
          </cell>
          <cell r="BG168">
            <v>2836313802500</v>
          </cell>
          <cell r="BH168">
            <v>2453512135800</v>
          </cell>
          <cell r="BI168">
            <v>2418508280400</v>
          </cell>
          <cell r="BJ168">
            <v>2582198416100</v>
          </cell>
          <cell r="BK168">
            <v>2949456868400</v>
          </cell>
          <cell r="BL168">
            <v>2973625643100</v>
          </cell>
          <cell r="BM168">
            <v>2625442024700</v>
          </cell>
          <cell r="BN168">
            <v>2625442024700</v>
          </cell>
        </row>
        <row r="169">
          <cell r="B169" t="str">
            <v>SEN</v>
          </cell>
          <cell r="C169" t="str">
            <v>GDP (current LCU)</v>
          </cell>
          <cell r="D169" t="str">
            <v>NY.GDP.MKTP.CN</v>
          </cell>
          <cell r="E169">
            <v>246100452148.95901</v>
          </cell>
          <cell r="F169">
            <v>259724379535.84299</v>
          </cell>
          <cell r="G169">
            <v>265956603615.42099</v>
          </cell>
          <cell r="H169">
            <v>274942614217.99799</v>
          </cell>
          <cell r="I169">
            <v>291320328001.28198</v>
          </cell>
          <cell r="J169">
            <v>296537999591.09302</v>
          </cell>
          <cell r="K169">
            <v>306338454207.74597</v>
          </cell>
          <cell r="L169">
            <v>306635437627.27002</v>
          </cell>
          <cell r="M169">
            <v>324157462670.71301</v>
          </cell>
          <cell r="N169">
            <v>323711987541.427</v>
          </cell>
          <cell r="O169">
            <v>358607545791.95398</v>
          </cell>
          <cell r="P169">
            <v>368853475664.48999</v>
          </cell>
          <cell r="Q169">
            <v>408500769513.58197</v>
          </cell>
          <cell r="R169">
            <v>415331389428.60602</v>
          </cell>
          <cell r="S169">
            <v>505317382255.20801</v>
          </cell>
          <cell r="T169">
            <v>606588747175.875</v>
          </cell>
          <cell r="U169">
            <v>685734843164.29602</v>
          </cell>
          <cell r="V169">
            <v>721818335346.11401</v>
          </cell>
          <cell r="W169">
            <v>740231310774.72595</v>
          </cell>
          <cell r="X169">
            <v>868941926032.22998</v>
          </cell>
          <cell r="Y169">
            <v>952893672664.97705</v>
          </cell>
          <cell r="Z169">
            <v>1112982896641.71</v>
          </cell>
          <cell r="AA169">
            <v>1319009543266.25</v>
          </cell>
          <cell r="AB169">
            <v>1360160389578.5801</v>
          </cell>
          <cell r="AC169">
            <v>1522866267519.97</v>
          </cell>
          <cell r="AD169">
            <v>1715710509180.6899</v>
          </cell>
          <cell r="AE169">
            <v>1867313795050.28</v>
          </cell>
          <cell r="AF169">
            <v>1949686798036.3101</v>
          </cell>
          <cell r="AG169">
            <v>1911714783717.9099</v>
          </cell>
          <cell r="AH169">
            <v>2030819391613.26</v>
          </cell>
          <cell r="AI169">
            <v>2012300161502.01</v>
          </cell>
          <cell r="AJ169">
            <v>2046744999700</v>
          </cell>
          <cell r="AK169">
            <v>2056607077500</v>
          </cell>
          <cell r="AL169">
            <v>2086337986100</v>
          </cell>
          <cell r="AM169">
            <v>2795227008600</v>
          </cell>
          <cell r="AN169">
            <v>3157783967800</v>
          </cell>
          <cell r="AO169">
            <v>3355636698600</v>
          </cell>
          <cell r="AP169">
            <v>3526226093900</v>
          </cell>
          <cell r="AQ169">
            <v>3837994933400</v>
          </cell>
          <cell r="AR169">
            <v>4057714195500</v>
          </cell>
          <cell r="AS169">
            <v>4270611957000</v>
          </cell>
          <cell r="AT169">
            <v>4766315891400</v>
          </cell>
          <cell r="AU169">
            <v>4860433962900</v>
          </cell>
          <cell r="AV169">
            <v>5084959063800</v>
          </cell>
          <cell r="AW169">
            <v>5313888669800</v>
          </cell>
          <cell r="AX169">
            <v>5804604948700</v>
          </cell>
          <cell r="AY169">
            <v>6111292249300</v>
          </cell>
          <cell r="AZ169">
            <v>6698104789500</v>
          </cell>
          <cell r="BA169">
            <v>7516880064900</v>
          </cell>
          <cell r="BB169">
            <v>7593295291500</v>
          </cell>
          <cell r="BC169">
            <v>7976734607700</v>
          </cell>
          <cell r="BD169">
            <v>8394956688200</v>
          </cell>
          <cell r="BE169">
            <v>9016869323200</v>
          </cell>
          <cell r="BF169">
            <v>9343922875900</v>
          </cell>
          <cell r="BG169">
            <v>9775039000000</v>
          </cell>
          <cell r="BH169">
            <v>10508650000000</v>
          </cell>
          <cell r="BI169">
            <v>11283396000000</v>
          </cell>
          <cell r="BJ169">
            <v>12191796000000</v>
          </cell>
          <cell r="BK169">
            <v>12840090000000</v>
          </cell>
          <cell r="BL169">
            <v>13655367000000</v>
          </cell>
          <cell r="BM169">
            <v>14184876413400</v>
          </cell>
          <cell r="BN169">
            <v>14184876413400</v>
          </cell>
        </row>
        <row r="170">
          <cell r="B170" t="str">
            <v>SRB</v>
          </cell>
          <cell r="C170" t="str">
            <v>GDP (current LCU)</v>
          </cell>
          <cell r="D170" t="str">
            <v>NY.GDP.MKTP.CN</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v>59587400000</v>
          </cell>
          <cell r="AO170">
            <v>117162700000</v>
          </cell>
          <cell r="AP170">
            <v>151807100000</v>
          </cell>
          <cell r="AQ170">
            <v>195179100000</v>
          </cell>
          <cell r="AR170">
            <v>226100900000</v>
          </cell>
          <cell r="AS170">
            <v>434319000000</v>
          </cell>
          <cell r="AT170">
            <v>867237600000</v>
          </cell>
          <cell r="AU170">
            <v>1102557300000</v>
          </cell>
          <cell r="AV170">
            <v>1294656000000</v>
          </cell>
          <cell r="AW170">
            <v>1526204700000</v>
          </cell>
          <cell r="AX170">
            <v>1846853200000</v>
          </cell>
          <cell r="AY170">
            <v>2181034600000</v>
          </cell>
          <cell r="AZ170">
            <v>2523495500000</v>
          </cell>
          <cell r="BA170">
            <v>2908444700000</v>
          </cell>
          <cell r="BB170">
            <v>3052135500000</v>
          </cell>
          <cell r="BC170">
            <v>3250581300000</v>
          </cell>
          <cell r="BD170">
            <v>3612266600000</v>
          </cell>
          <cell r="BE170">
            <v>3810057900000</v>
          </cell>
          <cell r="BF170">
            <v>4121200200000</v>
          </cell>
          <cell r="BG170">
            <v>4160548500000</v>
          </cell>
          <cell r="BH170">
            <v>4315020400000</v>
          </cell>
          <cell r="BI170">
            <v>4528191900000</v>
          </cell>
          <cell r="BJ170">
            <v>4760686400000</v>
          </cell>
          <cell r="BK170">
            <v>5072932200000</v>
          </cell>
          <cell r="BL170">
            <v>5421851300000</v>
          </cell>
          <cell r="BM170">
            <v>5502216300000</v>
          </cell>
          <cell r="BN170">
            <v>5502216300000</v>
          </cell>
        </row>
        <row r="171">
          <cell r="B171" t="str">
            <v>SYC</v>
          </cell>
          <cell r="C171" t="str">
            <v>GDP (current LCU)</v>
          </cell>
          <cell r="D171" t="str">
            <v>NY.GDP.MKTP.CN</v>
          </cell>
          <cell r="E171">
            <v>57200000</v>
          </cell>
          <cell r="F171">
            <v>55200000</v>
          </cell>
          <cell r="G171">
            <v>60200000</v>
          </cell>
          <cell r="H171">
            <v>66300000</v>
          </cell>
          <cell r="I171">
            <v>73300000</v>
          </cell>
          <cell r="J171">
            <v>74300000</v>
          </cell>
          <cell r="K171">
            <v>78300000</v>
          </cell>
          <cell r="L171">
            <v>80300000</v>
          </cell>
          <cell r="M171">
            <v>89300000</v>
          </cell>
          <cell r="N171">
            <v>91400000</v>
          </cell>
          <cell r="O171">
            <v>102400000</v>
          </cell>
          <cell r="P171">
            <v>120500000</v>
          </cell>
          <cell r="Q171">
            <v>163600000</v>
          </cell>
          <cell r="R171">
            <v>200800000</v>
          </cell>
          <cell r="S171">
            <v>246000000</v>
          </cell>
          <cell r="T171">
            <v>288100000</v>
          </cell>
          <cell r="U171">
            <v>365595000</v>
          </cell>
          <cell r="V171">
            <v>493200000</v>
          </cell>
          <cell r="W171">
            <v>594800000</v>
          </cell>
          <cell r="X171">
            <v>805900000</v>
          </cell>
          <cell r="Y171">
            <v>941900000</v>
          </cell>
          <cell r="Z171">
            <v>978200000</v>
          </cell>
          <cell r="AA171">
            <v>969200000</v>
          </cell>
          <cell r="AB171">
            <v>992900000</v>
          </cell>
          <cell r="AC171">
            <v>1068100000</v>
          </cell>
          <cell r="AD171">
            <v>1204900000</v>
          </cell>
          <cell r="AE171">
            <v>1283850000</v>
          </cell>
          <cell r="AF171">
            <v>1395897500</v>
          </cell>
          <cell r="AG171">
            <v>1528011100</v>
          </cell>
          <cell r="AH171">
            <v>1721000000</v>
          </cell>
          <cell r="AI171">
            <v>1967100000</v>
          </cell>
          <cell r="AJ171">
            <v>1980100000</v>
          </cell>
          <cell r="AK171">
            <v>2221200000</v>
          </cell>
          <cell r="AL171">
            <v>2455600000</v>
          </cell>
          <cell r="AM171">
            <v>2459400000</v>
          </cell>
          <cell r="AN171">
            <v>2420100000</v>
          </cell>
          <cell r="AO171">
            <v>2500200000</v>
          </cell>
          <cell r="AP171">
            <v>2829600000</v>
          </cell>
          <cell r="AQ171">
            <v>3201300000</v>
          </cell>
          <cell r="AR171">
            <v>3328300000</v>
          </cell>
          <cell r="AS171">
            <v>3513300000</v>
          </cell>
          <cell r="AT171">
            <v>3644900000</v>
          </cell>
          <cell r="AU171">
            <v>3822400000</v>
          </cell>
          <cell r="AV171">
            <v>3811300000</v>
          </cell>
          <cell r="AW171">
            <v>4616259600</v>
          </cell>
          <cell r="AX171">
            <v>5055067900</v>
          </cell>
          <cell r="AY171">
            <v>5610323700</v>
          </cell>
          <cell r="AZ171">
            <v>6926000000</v>
          </cell>
          <cell r="BA171">
            <v>9147000000</v>
          </cell>
          <cell r="BB171">
            <v>11533000000</v>
          </cell>
          <cell r="BC171">
            <v>11705000000</v>
          </cell>
          <cell r="BD171">
            <v>13196000000</v>
          </cell>
          <cell r="BE171">
            <v>14519372700</v>
          </cell>
          <cell r="BF171">
            <v>16014526000</v>
          </cell>
          <cell r="BG171">
            <v>17119186700</v>
          </cell>
          <cell r="BH171">
            <v>18339831400</v>
          </cell>
          <cell r="BI171">
            <v>19002430900</v>
          </cell>
          <cell r="BJ171">
            <v>20857600000</v>
          </cell>
          <cell r="BK171">
            <v>21530700000</v>
          </cell>
          <cell r="BL171">
            <v>22212800000</v>
          </cell>
          <cell r="BM171">
            <v>18654000000</v>
          </cell>
          <cell r="BN171">
            <v>18654000000</v>
          </cell>
        </row>
        <row r="172">
          <cell r="B172" t="str">
            <v>SLE</v>
          </cell>
          <cell r="C172" t="str">
            <v>GDP (current LCU)</v>
          </cell>
          <cell r="D172" t="str">
            <v>NY.GDP.MKTP.CN</v>
          </cell>
          <cell r="E172">
            <v>197156700</v>
          </cell>
          <cell r="F172">
            <v>200723300</v>
          </cell>
          <cell r="G172">
            <v>209838100</v>
          </cell>
          <cell r="H172">
            <v>213404800</v>
          </cell>
          <cell r="I172">
            <v>227671400</v>
          </cell>
          <cell r="J172">
            <v>256700000</v>
          </cell>
          <cell r="K172">
            <v>268200000</v>
          </cell>
          <cell r="L172">
            <v>252600000</v>
          </cell>
          <cell r="M172">
            <v>274883300</v>
          </cell>
          <cell r="N172">
            <v>340575000</v>
          </cell>
          <cell r="O172">
            <v>362008500</v>
          </cell>
          <cell r="P172">
            <v>348601100</v>
          </cell>
          <cell r="Q172">
            <v>372668800</v>
          </cell>
          <cell r="R172">
            <v>469584600</v>
          </cell>
          <cell r="S172">
            <v>554844000</v>
          </cell>
          <cell r="T172">
            <v>614134600</v>
          </cell>
          <cell r="U172">
            <v>662023700</v>
          </cell>
          <cell r="V172">
            <v>793123200</v>
          </cell>
          <cell r="W172">
            <v>1005921000</v>
          </cell>
          <cell r="X172">
            <v>1172575800</v>
          </cell>
          <cell r="Y172">
            <v>1155500000</v>
          </cell>
          <cell r="Z172">
            <v>1292200000</v>
          </cell>
          <cell r="AA172">
            <v>1604500000</v>
          </cell>
          <cell r="AB172">
            <v>1876100000</v>
          </cell>
          <cell r="AC172">
            <v>2729500000</v>
          </cell>
          <cell r="AD172">
            <v>4365000200</v>
          </cell>
          <cell r="AE172">
            <v>7888000000</v>
          </cell>
          <cell r="AF172">
            <v>22471999500</v>
          </cell>
          <cell r="AG172">
            <v>34304999400</v>
          </cell>
          <cell r="AH172">
            <v>55803998500</v>
          </cell>
          <cell r="AI172">
            <v>98386000000</v>
          </cell>
          <cell r="AJ172">
            <v>230363000000</v>
          </cell>
          <cell r="AK172">
            <v>339591000000</v>
          </cell>
          <cell r="AL172">
            <v>436301000000</v>
          </cell>
          <cell r="AM172">
            <v>535021100000</v>
          </cell>
          <cell r="AN172">
            <v>657597000000</v>
          </cell>
          <cell r="AO172">
            <v>867062000000</v>
          </cell>
          <cell r="AP172">
            <v>834489000000</v>
          </cell>
          <cell r="AQ172">
            <v>1051327000000</v>
          </cell>
          <cell r="AR172">
            <v>1207704000000</v>
          </cell>
          <cell r="AS172">
            <v>1330312000000</v>
          </cell>
          <cell r="AT172">
            <v>2165832446800</v>
          </cell>
          <cell r="AU172">
            <v>2630761750500</v>
          </cell>
          <cell r="AV172">
            <v>3253743468500</v>
          </cell>
          <cell r="AW172">
            <v>3912932001000</v>
          </cell>
          <cell r="AX172">
            <v>4769247891700</v>
          </cell>
          <cell r="AY172">
            <v>5583531173700</v>
          </cell>
          <cell r="AZ172">
            <v>6443514214200</v>
          </cell>
          <cell r="BA172">
            <v>7470061959300</v>
          </cell>
          <cell r="BB172">
            <v>8308046016600</v>
          </cell>
          <cell r="BC172">
            <v>10255614187400</v>
          </cell>
          <cell r="BD172">
            <v>12797612937600</v>
          </cell>
          <cell r="BE172">
            <v>16515434133800</v>
          </cell>
          <cell r="BF172">
            <v>21317382464000</v>
          </cell>
          <cell r="BG172">
            <v>22689365851800</v>
          </cell>
          <cell r="BH172">
            <v>21414242390200</v>
          </cell>
          <cell r="BI172">
            <v>23114237474700</v>
          </cell>
          <cell r="BJ172">
            <v>27465429000000</v>
          </cell>
          <cell r="BK172">
            <v>32401626000000</v>
          </cell>
          <cell r="BL172">
            <v>36730874000000</v>
          </cell>
          <cell r="BM172">
            <v>39938072000000</v>
          </cell>
          <cell r="BN172">
            <v>39938072000000</v>
          </cell>
        </row>
        <row r="173">
          <cell r="B173" t="str">
            <v>SGP</v>
          </cell>
          <cell r="C173" t="str">
            <v>GDP (current LCU)</v>
          </cell>
          <cell r="D173" t="str">
            <v>NY.GDP.MKTP.CN</v>
          </cell>
          <cell r="E173">
            <v>2157400000</v>
          </cell>
          <cell r="F173">
            <v>2340700000</v>
          </cell>
          <cell r="G173">
            <v>2529300000</v>
          </cell>
          <cell r="H173">
            <v>2809000000</v>
          </cell>
          <cell r="I173">
            <v>2737200000</v>
          </cell>
          <cell r="J173">
            <v>2983600000</v>
          </cell>
          <cell r="K173">
            <v>3356400000</v>
          </cell>
          <cell r="L173">
            <v>3789900000</v>
          </cell>
          <cell r="M173">
            <v>4364400000</v>
          </cell>
          <cell r="N173">
            <v>5081300000</v>
          </cell>
          <cell r="O173">
            <v>5879300000</v>
          </cell>
          <cell r="P173">
            <v>6929900000</v>
          </cell>
          <cell r="Q173">
            <v>8302300000</v>
          </cell>
          <cell r="R173">
            <v>10395600000</v>
          </cell>
          <cell r="S173">
            <v>12831400000</v>
          </cell>
          <cell r="T173">
            <v>13728700000</v>
          </cell>
          <cell r="U173">
            <v>15003400000</v>
          </cell>
          <cell r="V173">
            <v>16353200000</v>
          </cell>
          <cell r="W173">
            <v>18337400000</v>
          </cell>
          <cell r="X173">
            <v>21141200000</v>
          </cell>
          <cell r="Y173">
            <v>25869600000</v>
          </cell>
          <cell r="Z173">
            <v>30352000000</v>
          </cell>
          <cell r="AA173">
            <v>33981200000</v>
          </cell>
          <cell r="AB173">
            <v>38058000000</v>
          </cell>
          <cell r="AC173">
            <v>41730400000</v>
          </cell>
          <cell r="AD173">
            <v>40862800000</v>
          </cell>
          <cell r="AE173">
            <v>40892700000</v>
          </cell>
          <cell r="AF173">
            <v>45549500000</v>
          </cell>
          <cell r="AG173">
            <v>53432300000</v>
          </cell>
          <cell r="AH173">
            <v>61308500000</v>
          </cell>
          <cell r="AI173">
            <v>70492300000</v>
          </cell>
          <cell r="AJ173">
            <v>78542800000</v>
          </cell>
          <cell r="AK173">
            <v>84920200000</v>
          </cell>
          <cell r="AL173">
            <v>97923100000</v>
          </cell>
          <cell r="AM173">
            <v>112555400000</v>
          </cell>
          <cell r="AN173">
            <v>124463300000</v>
          </cell>
          <cell r="AO173">
            <v>135777200000</v>
          </cell>
          <cell r="AP173">
            <v>148664400000</v>
          </cell>
          <cell r="AQ173">
            <v>143474900000</v>
          </cell>
          <cell r="AR173">
            <v>146252500000</v>
          </cell>
          <cell r="AS173">
            <v>165632400000</v>
          </cell>
          <cell r="AT173">
            <v>160885600000</v>
          </cell>
          <cell r="AU173">
            <v>165698100000</v>
          </cell>
          <cell r="AV173">
            <v>170117900000</v>
          </cell>
          <cell r="AW173">
            <v>194433000000</v>
          </cell>
          <cell r="AX173">
            <v>212723000000</v>
          </cell>
          <cell r="AY173">
            <v>236158800000</v>
          </cell>
          <cell r="AZ173">
            <v>272697600000</v>
          </cell>
          <cell r="BA173">
            <v>273941600000</v>
          </cell>
          <cell r="BB173">
            <v>282394500000</v>
          </cell>
          <cell r="BC173">
            <v>326980100000</v>
          </cell>
          <cell r="BD173">
            <v>351367900000</v>
          </cell>
          <cell r="BE173">
            <v>368770500000</v>
          </cell>
          <cell r="BF173">
            <v>384870300000</v>
          </cell>
          <cell r="BG173">
            <v>398947900000</v>
          </cell>
          <cell r="BH173">
            <v>423444100000</v>
          </cell>
          <cell r="BI173">
            <v>440372200000</v>
          </cell>
          <cell r="BJ173">
            <v>474115100000</v>
          </cell>
          <cell r="BK173">
            <v>507123900000</v>
          </cell>
          <cell r="BL173">
            <v>510737800000</v>
          </cell>
          <cell r="BM173">
            <v>469095900000</v>
          </cell>
          <cell r="BN173">
            <v>469095900000</v>
          </cell>
        </row>
        <row r="174">
          <cell r="B174" t="str">
            <v>SXM</v>
          </cell>
          <cell r="C174" t="str">
            <v>GDP (current LCU)</v>
          </cell>
          <cell r="D174" t="str">
            <v>NY.GDP.MKTP.CN</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t="str">
            <v>..</v>
          </cell>
          <cell r="AU174" t="str">
            <v>..</v>
          </cell>
          <cell r="AV174" t="str">
            <v>..</v>
          </cell>
          <cell r="AW174" t="str">
            <v>..</v>
          </cell>
          <cell r="AX174" t="str">
            <v>..</v>
          </cell>
          <cell r="AY174" t="str">
            <v>..</v>
          </cell>
          <cell r="AZ174" t="str">
            <v>..</v>
          </cell>
          <cell r="BA174" t="str">
            <v>..</v>
          </cell>
          <cell r="BB174">
            <v>1530400000</v>
          </cell>
          <cell r="BC174">
            <v>1597200000</v>
          </cell>
          <cell r="BD174">
            <v>1675600000</v>
          </cell>
          <cell r="BE174">
            <v>1764700000</v>
          </cell>
          <cell r="BF174">
            <v>1831000000</v>
          </cell>
          <cell r="BG174">
            <v>2229000000</v>
          </cell>
          <cell r="BH174">
            <v>2243000000</v>
          </cell>
          <cell r="BI174">
            <v>2262000000</v>
          </cell>
          <cell r="BJ174">
            <v>2133000000</v>
          </cell>
          <cell r="BK174">
            <v>2122000000</v>
          </cell>
          <cell r="BL174" t="str">
            <v>..</v>
          </cell>
          <cell r="BM174" t="str">
            <v>..</v>
          </cell>
          <cell r="BN174">
            <v>2122000000</v>
          </cell>
        </row>
        <row r="175">
          <cell r="B175" t="str">
            <v>SVK</v>
          </cell>
          <cell r="C175" t="str">
            <v>GDP (current LCU)</v>
          </cell>
          <cell r="D175" t="str">
            <v>NY.GDP.MKTP.CN</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v>10039837000</v>
          </cell>
          <cell r="AJ175">
            <v>11544784000</v>
          </cell>
          <cell r="AK175">
            <v>11976483000</v>
          </cell>
          <cell r="AL175">
            <v>14105354000</v>
          </cell>
          <cell r="AM175">
            <v>16995339000</v>
          </cell>
          <cell r="AN175">
            <v>19767712000</v>
          </cell>
          <cell r="AO175">
            <v>22032854000</v>
          </cell>
          <cell r="AP175">
            <v>24456111000</v>
          </cell>
          <cell r="AQ175">
            <v>26688279000</v>
          </cell>
          <cell r="AR175">
            <v>28583546000</v>
          </cell>
          <cell r="AS175">
            <v>31661067000</v>
          </cell>
          <cell r="AT175">
            <v>34365528000</v>
          </cell>
          <cell r="AU175">
            <v>37329500000</v>
          </cell>
          <cell r="AV175">
            <v>41479498000</v>
          </cell>
          <cell r="AW175">
            <v>46175205000</v>
          </cell>
          <cell r="AX175">
            <v>50485664000</v>
          </cell>
          <cell r="AY175">
            <v>56361425000</v>
          </cell>
          <cell r="AZ175">
            <v>63163352000</v>
          </cell>
          <cell r="BA175">
            <v>68590534000</v>
          </cell>
          <cell r="BB175">
            <v>64095519000</v>
          </cell>
          <cell r="BC175">
            <v>68492145000</v>
          </cell>
          <cell r="BD175">
            <v>71477095000</v>
          </cell>
          <cell r="BE175">
            <v>73360844000</v>
          </cell>
          <cell r="BF175">
            <v>74217289000</v>
          </cell>
          <cell r="BG175">
            <v>76092675000</v>
          </cell>
          <cell r="BH175">
            <v>79888147000</v>
          </cell>
          <cell r="BI175">
            <v>81014252000</v>
          </cell>
          <cell r="BJ175">
            <v>84442865000</v>
          </cell>
          <cell r="BK175">
            <v>89430026000</v>
          </cell>
          <cell r="BL175">
            <v>94048033000</v>
          </cell>
          <cell r="BM175">
            <v>92079253000</v>
          </cell>
          <cell r="BN175">
            <v>92079253000</v>
          </cell>
        </row>
        <row r="176">
          <cell r="B176" t="str">
            <v>SVN</v>
          </cell>
          <cell r="C176" t="str">
            <v>GDP (current LCU)</v>
          </cell>
          <cell r="D176" t="str">
            <v>NY.GDP.MKTP.CN</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v>10560810000</v>
          </cell>
          <cell r="AO176">
            <v>12147285000</v>
          </cell>
          <cell r="AP176">
            <v>13836531000</v>
          </cell>
          <cell r="AQ176">
            <v>15351768000</v>
          </cell>
          <cell r="AR176">
            <v>17226585000</v>
          </cell>
          <cell r="AS176">
            <v>18853122000</v>
          </cell>
          <cell r="AT176">
            <v>21147702000</v>
          </cell>
          <cell r="AU176">
            <v>23548615000</v>
          </cell>
          <cell r="AV176">
            <v>25613283000</v>
          </cell>
          <cell r="AW176">
            <v>27628189000</v>
          </cell>
          <cell r="AX176">
            <v>29113563000</v>
          </cell>
          <cell r="AY176">
            <v>31470341000</v>
          </cell>
          <cell r="AZ176">
            <v>35073456000</v>
          </cell>
          <cell r="BA176">
            <v>37925698000</v>
          </cell>
          <cell r="BB176">
            <v>36254927000</v>
          </cell>
          <cell r="BC176">
            <v>36363909000</v>
          </cell>
          <cell r="BD176">
            <v>37058569000</v>
          </cell>
          <cell r="BE176">
            <v>36253272000</v>
          </cell>
          <cell r="BF176">
            <v>36454333000</v>
          </cell>
          <cell r="BG176">
            <v>37634292000</v>
          </cell>
          <cell r="BH176">
            <v>38852641000</v>
          </cell>
          <cell r="BI176">
            <v>40443217000</v>
          </cell>
          <cell r="BJ176">
            <v>43011339000</v>
          </cell>
          <cell r="BK176">
            <v>45864249000</v>
          </cell>
          <cell r="BL176">
            <v>48396705000</v>
          </cell>
          <cell r="BM176">
            <v>46918046000</v>
          </cell>
          <cell r="BN176">
            <v>46918046000</v>
          </cell>
        </row>
        <row r="177">
          <cell r="B177" t="str">
            <v>SLB</v>
          </cell>
          <cell r="C177" t="str">
            <v>GDP (current LCU)</v>
          </cell>
          <cell r="D177" t="str">
            <v>NY.GDP.MKTP.CN</v>
          </cell>
          <cell r="E177" t="str">
            <v>..</v>
          </cell>
          <cell r="F177" t="str">
            <v>..</v>
          </cell>
          <cell r="G177" t="str">
            <v>..</v>
          </cell>
          <cell r="H177" t="str">
            <v>..</v>
          </cell>
          <cell r="I177" t="str">
            <v>..</v>
          </cell>
          <cell r="J177" t="str">
            <v>..</v>
          </cell>
          <cell r="K177" t="str">
            <v>..</v>
          </cell>
          <cell r="L177">
            <v>22600000</v>
          </cell>
          <cell r="M177">
            <v>25200000</v>
          </cell>
          <cell r="N177">
            <v>25700000</v>
          </cell>
          <cell r="O177" t="str">
            <v>..</v>
          </cell>
          <cell r="P177">
            <v>44000000</v>
          </cell>
          <cell r="Q177">
            <v>34000000</v>
          </cell>
          <cell r="R177">
            <v>39000000</v>
          </cell>
          <cell r="S177">
            <v>59000000</v>
          </cell>
          <cell r="T177">
            <v>57000000</v>
          </cell>
          <cell r="U177">
            <v>68000000</v>
          </cell>
          <cell r="V177">
            <v>84000000</v>
          </cell>
          <cell r="W177">
            <v>97000000</v>
          </cell>
          <cell r="X177">
            <v>131000000</v>
          </cell>
          <cell r="Y177">
            <v>152000000</v>
          </cell>
          <cell r="Z177">
            <v>169000000</v>
          </cell>
          <cell r="AA177">
            <v>187000000</v>
          </cell>
          <cell r="AB177">
            <v>208000000</v>
          </cell>
          <cell r="AC177">
            <v>231000000</v>
          </cell>
          <cell r="AD177">
            <v>245000000</v>
          </cell>
          <cell r="AE177">
            <v>257000000</v>
          </cell>
          <cell r="AF177">
            <v>311000000</v>
          </cell>
          <cell r="AG177">
            <v>368000000</v>
          </cell>
          <cell r="AH177">
            <v>396000000</v>
          </cell>
          <cell r="AI177">
            <v>543000000</v>
          </cell>
          <cell r="AJ177">
            <v>618000000</v>
          </cell>
          <cell r="AK177">
            <v>788000000</v>
          </cell>
          <cell r="AL177">
            <v>959000000</v>
          </cell>
          <cell r="AM177">
            <v>1326000000</v>
          </cell>
          <cell r="AN177">
            <v>1599000000</v>
          </cell>
          <cell r="AO177">
            <v>1821000000</v>
          </cell>
          <cell r="AP177">
            <v>1957000000</v>
          </cell>
          <cell r="AQ177">
            <v>2204000000</v>
          </cell>
          <cell r="AR177">
            <v>2361000000</v>
          </cell>
          <cell r="AS177">
            <v>2137000000</v>
          </cell>
          <cell r="AT177">
            <v>2161000000</v>
          </cell>
          <cell r="AU177">
            <v>2338000000</v>
          </cell>
          <cell r="AV177">
            <v>2646000000</v>
          </cell>
          <cell r="AW177">
            <v>2976000000</v>
          </cell>
          <cell r="AX177">
            <v>3591000000</v>
          </cell>
          <cell r="AY177">
            <v>4099000000</v>
          </cell>
          <cell r="AZ177">
            <v>4746000000</v>
          </cell>
          <cell r="BA177">
            <v>5417000000</v>
          </cell>
          <cell r="BB177">
            <v>5928000000</v>
          </cell>
          <cell r="BC177">
            <v>6829000000</v>
          </cell>
          <cell r="BD177">
            <v>8023000000</v>
          </cell>
          <cell r="BE177">
            <v>8760000000</v>
          </cell>
          <cell r="BF177">
            <v>9381000000</v>
          </cell>
          <cell r="BG177">
            <v>9850000000</v>
          </cell>
          <cell r="BH177">
            <v>10345000000</v>
          </cell>
          <cell r="BI177">
            <v>10957000000</v>
          </cell>
          <cell r="BJ177">
            <v>11703000000</v>
          </cell>
          <cell r="BK177">
            <v>12522000000</v>
          </cell>
          <cell r="BL177">
            <v>12833000000</v>
          </cell>
          <cell r="BM177">
            <v>12697000000</v>
          </cell>
          <cell r="BN177">
            <v>12697000000</v>
          </cell>
        </row>
        <row r="178">
          <cell r="B178" t="str">
            <v>SOM</v>
          </cell>
          <cell r="C178" t="str">
            <v>GDP (current LCU)</v>
          </cell>
          <cell r="D178" t="str">
            <v>NY.GDP.MKTP.CN</v>
          </cell>
          <cell r="E178">
            <v>1289000064</v>
          </cell>
          <cell r="F178">
            <v>1368999936</v>
          </cell>
          <cell r="G178">
            <v>1453800064</v>
          </cell>
          <cell r="H178">
            <v>1543900160</v>
          </cell>
          <cell r="I178">
            <v>1639500032</v>
          </cell>
          <cell r="J178">
            <v>1740899968</v>
          </cell>
          <cell r="K178">
            <v>1838400000</v>
          </cell>
          <cell r="L178">
            <v>1941299968</v>
          </cell>
          <cell r="M178">
            <v>2048000000</v>
          </cell>
          <cell r="N178">
            <v>2144500992</v>
          </cell>
          <cell r="O178">
            <v>2258200064</v>
          </cell>
          <cell r="P178">
            <v>2360299008</v>
          </cell>
          <cell r="Q178">
            <v>2910299904</v>
          </cell>
          <cell r="R178">
            <v>3184899072</v>
          </cell>
          <cell r="S178">
            <v>2943399936</v>
          </cell>
          <cell r="T178">
            <v>4474802176</v>
          </cell>
          <cell r="U178">
            <v>5081801216</v>
          </cell>
          <cell r="V178">
            <v>6880002048</v>
          </cell>
          <cell r="W178">
            <v>8180998144</v>
          </cell>
          <cell r="X178">
            <v>8997998592</v>
          </cell>
          <cell r="Y178">
            <v>17372000256</v>
          </cell>
          <cell r="Z178">
            <v>22050000896</v>
          </cell>
          <cell r="AA178">
            <v>29105010688</v>
          </cell>
          <cell r="AB178">
            <v>35057000448</v>
          </cell>
          <cell r="AC178">
            <v>62321991680</v>
          </cell>
          <cell r="AD178">
            <v>87360012288</v>
          </cell>
          <cell r="AE178">
            <v>120560001024</v>
          </cell>
          <cell r="AF178">
            <v>168079998976</v>
          </cell>
          <cell r="AG178">
            <v>283899985920</v>
          </cell>
          <cell r="AH178">
            <v>559479980032</v>
          </cell>
          <cell r="AI178">
            <v>1738780049408</v>
          </cell>
          <cell r="AJ178" t="str">
            <v>..</v>
          </cell>
          <cell r="AK178" t="str">
            <v>..</v>
          </cell>
          <cell r="AL178" t="str">
            <v>..</v>
          </cell>
          <cell r="AM178" t="str">
            <v>..</v>
          </cell>
          <cell r="AN178" t="str">
            <v>..</v>
          </cell>
          <cell r="AO178" t="str">
            <v>..</v>
          </cell>
          <cell r="AP178" t="str">
            <v>..</v>
          </cell>
          <cell r="AQ178" t="str">
            <v>..</v>
          </cell>
          <cell r="AR178" t="str">
            <v>..</v>
          </cell>
          <cell r="AS178" t="str">
            <v>..</v>
          </cell>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v>88213659543195.5</v>
          </cell>
          <cell r="BG178">
            <v>101598968326951</v>
          </cell>
          <cell r="BH178">
            <v>118654364337503</v>
          </cell>
          <cell r="BI178">
            <v>127528753269999</v>
          </cell>
          <cell r="BJ178">
            <v>129560383940000</v>
          </cell>
          <cell r="BK178">
            <v>140148202806057</v>
          </cell>
          <cell r="BL178">
            <v>162329752802069</v>
          </cell>
          <cell r="BM178">
            <v>179432715245013</v>
          </cell>
          <cell r="BN178">
            <v>179432715245013</v>
          </cell>
        </row>
        <row r="179">
          <cell r="B179" t="str">
            <v>ZAF</v>
          </cell>
          <cell r="C179" t="str">
            <v>GDP (current LCU)</v>
          </cell>
          <cell r="D179" t="str">
            <v>NY.GDP.MKTP.CN</v>
          </cell>
          <cell r="E179">
            <v>5411000000</v>
          </cell>
          <cell r="F179">
            <v>5695000000</v>
          </cell>
          <cell r="G179">
            <v>6070000000</v>
          </cell>
          <cell r="H179">
            <v>6731000000</v>
          </cell>
          <cell r="I179">
            <v>7410000000</v>
          </cell>
          <cell r="J179">
            <v>8096000000</v>
          </cell>
          <cell r="K179">
            <v>8825000000</v>
          </cell>
          <cell r="L179">
            <v>9841000000</v>
          </cell>
          <cell r="M179">
            <v>10639000000</v>
          </cell>
          <cell r="N179">
            <v>11986000000</v>
          </cell>
          <cell r="O179">
            <v>13156000000</v>
          </cell>
          <cell r="P179">
            <v>14543000000</v>
          </cell>
          <cell r="Q179">
            <v>16418000000</v>
          </cell>
          <cell r="R179">
            <v>20330000000</v>
          </cell>
          <cell r="S179">
            <v>25010000000</v>
          </cell>
          <cell r="T179">
            <v>28186000000</v>
          </cell>
          <cell r="U179">
            <v>31829000000</v>
          </cell>
          <cell r="V179">
            <v>35349000000</v>
          </cell>
          <cell r="W179">
            <v>40643000000</v>
          </cell>
          <cell r="X179">
            <v>48539000000</v>
          </cell>
          <cell r="Y179">
            <v>64628000000</v>
          </cell>
          <cell r="Z179">
            <v>74993000000</v>
          </cell>
          <cell r="AA179">
            <v>85153000000</v>
          </cell>
          <cell r="AB179">
            <v>97390000000</v>
          </cell>
          <cell r="AC179">
            <v>114104000000</v>
          </cell>
          <cell r="AD179">
            <v>131676000000</v>
          </cell>
          <cell r="AE179">
            <v>154289000000</v>
          </cell>
          <cell r="AF179">
            <v>180339000000</v>
          </cell>
          <cell r="AG179">
            <v>216381000000</v>
          </cell>
          <cell r="AH179">
            <v>259726000000</v>
          </cell>
          <cell r="AI179">
            <v>298971000000</v>
          </cell>
          <cell r="AJ179">
            <v>342245000000</v>
          </cell>
          <cell r="AK179">
            <v>383723000000</v>
          </cell>
          <cell r="AL179">
            <v>480994458800</v>
          </cell>
          <cell r="AM179">
            <v>545092632100</v>
          </cell>
          <cell r="AN179">
            <v>622900829800</v>
          </cell>
          <cell r="AO179">
            <v>701803913200</v>
          </cell>
          <cell r="AP179">
            <v>778644467000</v>
          </cell>
          <cell r="AQ179">
            <v>845733385800</v>
          </cell>
          <cell r="AR179">
            <v>925690425000</v>
          </cell>
          <cell r="AS179">
            <v>1053138033600</v>
          </cell>
          <cell r="AT179">
            <v>1165940572900</v>
          </cell>
          <cell r="AU179">
            <v>1360679275100</v>
          </cell>
          <cell r="AV179">
            <v>1490399020800</v>
          </cell>
          <cell r="AW179">
            <v>1652434096800</v>
          </cell>
          <cell r="AX179">
            <v>1837001382600</v>
          </cell>
          <cell r="AY179">
            <v>2057593909300</v>
          </cell>
          <cell r="AZ179">
            <v>2346649864200</v>
          </cell>
          <cell r="BA179">
            <v>2611630824700</v>
          </cell>
          <cell r="BB179">
            <v>2794228410100</v>
          </cell>
          <cell r="BC179">
            <v>3055613201500</v>
          </cell>
          <cell r="BD179">
            <v>3327047014300</v>
          </cell>
          <cell r="BE179">
            <v>3566385035100</v>
          </cell>
          <cell r="BF179">
            <v>3868630208400</v>
          </cell>
          <cell r="BG179">
            <v>4133873023400</v>
          </cell>
          <cell r="BH179">
            <v>4420792525200</v>
          </cell>
          <cell r="BI179">
            <v>4759554544700</v>
          </cell>
          <cell r="BJ179">
            <v>5078189924600</v>
          </cell>
          <cell r="BK179">
            <v>5357640088700</v>
          </cell>
          <cell r="BL179">
            <v>5605033900400</v>
          </cell>
          <cell r="BM179">
            <v>5521075090600</v>
          </cell>
          <cell r="BN179">
            <v>5521075090600</v>
          </cell>
        </row>
        <row r="180">
          <cell r="B180" t="str">
            <v>SSD</v>
          </cell>
          <cell r="C180" t="str">
            <v>GDP (current LCU)</v>
          </cell>
          <cell r="D180" t="str">
            <v>NY.GDP.MKTP.CN</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t="str">
            <v>..</v>
          </cell>
          <cell r="AU180" t="str">
            <v>..</v>
          </cell>
          <cell r="AV180" t="str">
            <v>..</v>
          </cell>
          <cell r="AW180" t="str">
            <v>..</v>
          </cell>
          <cell r="AX180" t="str">
            <v>..</v>
          </cell>
          <cell r="AY180" t="str">
            <v>..</v>
          </cell>
          <cell r="AZ180" t="str">
            <v>..</v>
          </cell>
          <cell r="BA180">
            <v>30504231700</v>
          </cell>
          <cell r="BB180">
            <v>28251774800</v>
          </cell>
          <cell r="BC180">
            <v>33656316700</v>
          </cell>
          <cell r="BD180">
            <v>44557946400</v>
          </cell>
          <cell r="BE180">
            <v>35197842900</v>
          </cell>
          <cell r="BF180">
            <v>54358083600</v>
          </cell>
          <cell r="BG180">
            <v>41188527900</v>
          </cell>
          <cell r="BH180">
            <v>43242473500</v>
          </cell>
          <cell r="BI180" t="str">
            <v>..</v>
          </cell>
          <cell r="BJ180" t="str">
            <v>..</v>
          </cell>
          <cell r="BK180" t="str">
            <v>..</v>
          </cell>
          <cell r="BL180" t="str">
            <v>..</v>
          </cell>
          <cell r="BM180" t="str">
            <v>..</v>
          </cell>
          <cell r="BN180">
            <v>43242473500</v>
          </cell>
        </row>
        <row r="181">
          <cell r="B181" t="str">
            <v>ESP</v>
          </cell>
          <cell r="C181" t="str">
            <v>GDP (current LCU)</v>
          </cell>
          <cell r="D181" t="str">
            <v>NY.GDP.MKTP.CN</v>
          </cell>
          <cell r="E181">
            <v>4353296384</v>
          </cell>
          <cell r="F181">
            <v>4988749312</v>
          </cell>
          <cell r="G181">
            <v>5819676672</v>
          </cell>
          <cell r="H181">
            <v>6878552576</v>
          </cell>
          <cell r="I181">
            <v>7696745472</v>
          </cell>
          <cell r="J181">
            <v>8927539200</v>
          </cell>
          <cell r="K181">
            <v>10357023744</v>
          </cell>
          <cell r="L181">
            <v>11729186816</v>
          </cell>
          <cell r="M181">
            <v>13242030080</v>
          </cell>
          <cell r="N181">
            <v>15161791488</v>
          </cell>
          <cell r="O181">
            <v>17245753000</v>
          </cell>
          <cell r="P181">
            <v>19463608000</v>
          </cell>
          <cell r="Q181">
            <v>22842852000</v>
          </cell>
          <cell r="R181">
            <v>27539562000</v>
          </cell>
          <cell r="S181">
            <v>33724898000</v>
          </cell>
          <cell r="T181">
            <v>39598081000</v>
          </cell>
          <cell r="U181">
            <v>47651739000</v>
          </cell>
          <cell r="V181">
            <v>60463095000</v>
          </cell>
          <cell r="W181">
            <v>74004336000</v>
          </cell>
          <cell r="X181">
            <v>86570429000</v>
          </cell>
          <cell r="Y181">
            <v>100299224000</v>
          </cell>
          <cell r="Z181">
            <v>112538099000</v>
          </cell>
          <cell r="AA181">
            <v>129416657000</v>
          </cell>
          <cell r="AB181">
            <v>147359922000</v>
          </cell>
          <cell r="AC181">
            <v>166285832000</v>
          </cell>
          <cell r="AD181">
            <v>184770920000</v>
          </cell>
          <cell r="AE181">
            <v>211536949000</v>
          </cell>
          <cell r="AF181">
            <v>236542843000</v>
          </cell>
          <cell r="AG181">
            <v>263349903000</v>
          </cell>
          <cell r="AH181">
            <v>295099646000</v>
          </cell>
          <cell r="AI181">
            <v>328695793000</v>
          </cell>
          <cell r="AJ181">
            <v>360440276000</v>
          </cell>
          <cell r="AK181">
            <v>388202626000</v>
          </cell>
          <cell r="AL181">
            <v>401630354000</v>
          </cell>
          <cell r="AM181">
            <v>427155977000</v>
          </cell>
          <cell r="AN181">
            <v>460588000000</v>
          </cell>
          <cell r="AO181">
            <v>489203000000</v>
          </cell>
          <cell r="AP181">
            <v>519268000000</v>
          </cell>
          <cell r="AQ181">
            <v>555993000000</v>
          </cell>
          <cell r="AR181">
            <v>595723000000</v>
          </cell>
          <cell r="AS181">
            <v>647851000000</v>
          </cell>
          <cell r="AT181">
            <v>700993000000</v>
          </cell>
          <cell r="AU181">
            <v>749552000000</v>
          </cell>
          <cell r="AV181">
            <v>802266000000</v>
          </cell>
          <cell r="AW181">
            <v>859437000000</v>
          </cell>
          <cell r="AX181">
            <v>927357000000</v>
          </cell>
          <cell r="AY181">
            <v>1003823000000</v>
          </cell>
          <cell r="AZ181">
            <v>1075539000000</v>
          </cell>
          <cell r="BA181">
            <v>1109541000000</v>
          </cell>
          <cell r="BB181">
            <v>1069323000000</v>
          </cell>
          <cell r="BC181">
            <v>1072709000000</v>
          </cell>
          <cell r="BD181">
            <v>1063763000000</v>
          </cell>
          <cell r="BE181">
            <v>1031099000000</v>
          </cell>
          <cell r="BF181">
            <v>1020348000000</v>
          </cell>
          <cell r="BG181">
            <v>1032158000000</v>
          </cell>
          <cell r="BH181">
            <v>1077590000000</v>
          </cell>
          <cell r="BI181">
            <v>1113840000000</v>
          </cell>
          <cell r="BJ181">
            <v>1161867000000</v>
          </cell>
          <cell r="BK181">
            <v>1203259000000</v>
          </cell>
          <cell r="BL181">
            <v>1244375000000</v>
          </cell>
          <cell r="BM181">
            <v>1121948000000</v>
          </cell>
          <cell r="BN181">
            <v>1121948000000</v>
          </cell>
        </row>
        <row r="182">
          <cell r="B182" t="str">
            <v>LKA</v>
          </cell>
          <cell r="C182" t="str">
            <v>GDP (current LCU)</v>
          </cell>
          <cell r="D182" t="str">
            <v>NY.GDP.MKTP.CN</v>
          </cell>
          <cell r="E182">
            <v>6711000000</v>
          </cell>
          <cell r="F182">
            <v>6875000000</v>
          </cell>
          <cell r="G182">
            <v>6970000000</v>
          </cell>
          <cell r="H182">
            <v>7382000000</v>
          </cell>
          <cell r="I182">
            <v>7793000000</v>
          </cell>
          <cell r="J182">
            <v>8084000000</v>
          </cell>
          <cell r="K182">
            <v>8337000000</v>
          </cell>
          <cell r="L182">
            <v>9037000000</v>
          </cell>
          <cell r="M182">
            <v>10718000000</v>
          </cell>
          <cell r="N182">
            <v>11695000000</v>
          </cell>
          <cell r="O182">
            <v>13664000000</v>
          </cell>
          <cell r="P182">
            <v>14050000000</v>
          </cell>
          <cell r="Q182">
            <v>15247000000</v>
          </cell>
          <cell r="R182">
            <v>18404000000</v>
          </cell>
          <cell r="S182">
            <v>23771000000</v>
          </cell>
          <cell r="T182">
            <v>26577000000</v>
          </cell>
          <cell r="U182">
            <v>30203000000</v>
          </cell>
          <cell r="V182">
            <v>36407000000</v>
          </cell>
          <cell r="W182">
            <v>42665000000</v>
          </cell>
          <cell r="X182">
            <v>52387000000</v>
          </cell>
          <cell r="Y182">
            <v>66527000000</v>
          </cell>
          <cell r="Z182">
            <v>85005000000</v>
          </cell>
          <cell r="AA182">
            <v>99238000000</v>
          </cell>
          <cell r="AB182">
            <v>121601000000</v>
          </cell>
          <cell r="AC182">
            <v>153746000000</v>
          </cell>
          <cell r="AD182">
            <v>162375000000</v>
          </cell>
          <cell r="AE182">
            <v>179474000000</v>
          </cell>
          <cell r="AF182">
            <v>196723000000</v>
          </cell>
          <cell r="AG182">
            <v>221982000000</v>
          </cell>
          <cell r="AH182">
            <v>251891000000</v>
          </cell>
          <cell r="AI182">
            <v>321784000000</v>
          </cell>
          <cell r="AJ182">
            <v>372345000000</v>
          </cell>
          <cell r="AK182">
            <v>425283000000</v>
          </cell>
          <cell r="AL182">
            <v>499565000000</v>
          </cell>
          <cell r="AM182">
            <v>579084000000</v>
          </cell>
          <cell r="AN182">
            <v>667772000000</v>
          </cell>
          <cell r="AO182">
            <v>768128000000</v>
          </cell>
          <cell r="AP182">
            <v>890272000000</v>
          </cell>
          <cell r="AQ182">
            <v>1017986000000</v>
          </cell>
          <cell r="AR182">
            <v>1105963000000</v>
          </cell>
          <cell r="AS182">
            <v>1257636000000</v>
          </cell>
          <cell r="AT182">
            <v>1407398000000</v>
          </cell>
          <cell r="AU182">
            <v>1581885000000</v>
          </cell>
          <cell r="AV182">
            <v>1822468000000</v>
          </cell>
          <cell r="AW182">
            <v>2090841000000</v>
          </cell>
          <cell r="AX182">
            <v>2452782000000</v>
          </cell>
          <cell r="AY182">
            <v>2938680000000</v>
          </cell>
          <cell r="AZ182">
            <v>3578688000000</v>
          </cell>
          <cell r="BA182">
            <v>4410682000000</v>
          </cell>
          <cell r="BB182">
            <v>4835293000000</v>
          </cell>
          <cell r="BC182">
            <v>6413668472900</v>
          </cell>
          <cell r="BD182">
            <v>7219106294600</v>
          </cell>
          <cell r="BE182">
            <v>8732463305600</v>
          </cell>
          <cell r="BF182">
            <v>9592124972100</v>
          </cell>
          <cell r="BG182">
            <v>10361151066500</v>
          </cell>
          <cell r="BH182">
            <v>10950620529700</v>
          </cell>
          <cell r="BI182">
            <v>11996083297100</v>
          </cell>
          <cell r="BJ182">
            <v>13328103391200</v>
          </cell>
          <cell r="BK182">
            <v>14290906877600</v>
          </cell>
          <cell r="BL182">
            <v>15012953411600</v>
          </cell>
          <cell r="BM182">
            <v>14972995159500</v>
          </cell>
          <cell r="BN182">
            <v>14972995159500</v>
          </cell>
        </row>
        <row r="183">
          <cell r="B183" t="str">
            <v>KNA</v>
          </cell>
          <cell r="C183" t="str">
            <v>GDP (current LCU)</v>
          </cell>
          <cell r="D183" t="str">
            <v>NY.GDP.MKTP.CN</v>
          </cell>
          <cell r="E183">
            <v>21200000</v>
          </cell>
          <cell r="F183">
            <v>21400000</v>
          </cell>
          <cell r="G183">
            <v>21500000</v>
          </cell>
          <cell r="H183">
            <v>22000000</v>
          </cell>
          <cell r="I183">
            <v>23000000</v>
          </cell>
          <cell r="J183">
            <v>23300000</v>
          </cell>
          <cell r="K183">
            <v>24800000</v>
          </cell>
          <cell r="L183">
            <v>29500000</v>
          </cell>
          <cell r="M183">
            <v>29200000</v>
          </cell>
          <cell r="N183">
            <v>31700000</v>
          </cell>
          <cell r="O183">
            <v>32600000</v>
          </cell>
          <cell r="P183">
            <v>38700000</v>
          </cell>
          <cell r="Q183">
            <v>44100000</v>
          </cell>
          <cell r="R183">
            <v>47400000</v>
          </cell>
          <cell r="S183">
            <v>64700000</v>
          </cell>
          <cell r="T183">
            <v>72400000</v>
          </cell>
          <cell r="U183">
            <v>78700000</v>
          </cell>
          <cell r="V183">
            <v>120140000</v>
          </cell>
          <cell r="W183">
            <v>133470000</v>
          </cell>
          <cell r="X183">
            <v>158870000</v>
          </cell>
          <cell r="Y183">
            <v>184840000</v>
          </cell>
          <cell r="Z183">
            <v>218400000</v>
          </cell>
          <cell r="AA183">
            <v>232260000</v>
          </cell>
          <cell r="AB183">
            <v>234560000</v>
          </cell>
          <cell r="AC183">
            <v>266230000</v>
          </cell>
          <cell r="AD183">
            <v>299720000</v>
          </cell>
          <cell r="AE183">
            <v>352850000</v>
          </cell>
          <cell r="AF183">
            <v>398920000</v>
          </cell>
          <cell r="AG183">
            <v>466270000</v>
          </cell>
          <cell r="AH183">
            <v>519800000</v>
          </cell>
          <cell r="AI183">
            <v>586600000</v>
          </cell>
          <cell r="AJ183">
            <v>595460000</v>
          </cell>
          <cell r="AK183">
            <v>653770000</v>
          </cell>
          <cell r="AL183">
            <v>712140000</v>
          </cell>
          <cell r="AM183">
            <v>796930000</v>
          </cell>
          <cell r="AN183">
            <v>846410000</v>
          </cell>
          <cell r="AO183">
            <v>901650000</v>
          </cell>
          <cell r="AP183">
            <v>1010520000</v>
          </cell>
          <cell r="AQ183">
            <v>1033760000</v>
          </cell>
          <cell r="AR183">
            <v>1096710000</v>
          </cell>
          <cell r="AS183">
            <v>1137440000</v>
          </cell>
          <cell r="AT183">
            <v>1237100000</v>
          </cell>
          <cell r="AU183">
            <v>1297610000</v>
          </cell>
          <cell r="AV183">
            <v>1267380000</v>
          </cell>
          <cell r="AW183">
            <v>1368630000</v>
          </cell>
          <cell r="AX183">
            <v>1477450000</v>
          </cell>
          <cell r="AY183">
            <v>1739910000</v>
          </cell>
          <cell r="AZ183">
            <v>1861070000</v>
          </cell>
          <cell r="BA183">
            <v>2028330000</v>
          </cell>
          <cell r="BB183">
            <v>2019230000</v>
          </cell>
          <cell r="BC183">
            <v>2052460000</v>
          </cell>
          <cell r="BD183">
            <v>2207950000</v>
          </cell>
          <cell r="BE183">
            <v>2161120000</v>
          </cell>
          <cell r="BF183">
            <v>2267380000</v>
          </cell>
          <cell r="BG183">
            <v>2474730000</v>
          </cell>
          <cell r="BH183">
            <v>2492520000</v>
          </cell>
          <cell r="BI183">
            <v>2724000000</v>
          </cell>
          <cell r="BJ183">
            <v>2864000000</v>
          </cell>
          <cell r="BK183">
            <v>2912000000</v>
          </cell>
          <cell r="BL183">
            <v>3145000000</v>
          </cell>
          <cell r="BM183">
            <v>2648000000</v>
          </cell>
          <cell r="BN183">
            <v>2648000000</v>
          </cell>
        </row>
        <row r="184">
          <cell r="B184" t="str">
            <v>LCA</v>
          </cell>
          <cell r="C184" t="str">
            <v>GDP (current LCU)</v>
          </cell>
          <cell r="D184" t="str">
            <v>NY.GDP.MKTP.CN</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v>460000000</v>
          </cell>
          <cell r="Z184">
            <v>525000000</v>
          </cell>
          <cell r="AA184">
            <v>495000000</v>
          </cell>
          <cell r="AB184">
            <v>532000000</v>
          </cell>
          <cell r="AC184">
            <v>679000000</v>
          </cell>
          <cell r="AD184">
            <v>768000000</v>
          </cell>
          <cell r="AE184">
            <v>918000000</v>
          </cell>
          <cell r="AF184">
            <v>1014000000</v>
          </cell>
          <cell r="AG184">
            <v>1160000000</v>
          </cell>
          <cell r="AH184">
            <v>1314000000</v>
          </cell>
          <cell r="AI184">
            <v>1565000000</v>
          </cell>
          <cell r="AJ184">
            <v>1657000000</v>
          </cell>
          <cell r="AK184">
            <v>1820000000</v>
          </cell>
          <cell r="AL184">
            <v>1849000000</v>
          </cell>
          <cell r="AM184">
            <v>1927000000</v>
          </cell>
          <cell r="AN184">
            <v>2060000000</v>
          </cell>
          <cell r="AO184">
            <v>2130000000</v>
          </cell>
          <cell r="AP184">
            <v>2176000000</v>
          </cell>
          <cell r="AQ184">
            <v>2369000000</v>
          </cell>
          <cell r="AR184">
            <v>2489000000</v>
          </cell>
          <cell r="AS184">
            <v>2518000000</v>
          </cell>
          <cell r="AT184">
            <v>2410000000</v>
          </cell>
          <cell r="AU184">
            <v>2430000000</v>
          </cell>
          <cell r="AV184">
            <v>2666000000</v>
          </cell>
          <cell r="AW184">
            <v>2880000000</v>
          </cell>
          <cell r="AX184">
            <v>3066000000</v>
          </cell>
          <cell r="AY184">
            <v>3424461800</v>
          </cell>
          <cell r="AZ184">
            <v>3607439800</v>
          </cell>
          <cell r="BA184">
            <v>3881874000</v>
          </cell>
          <cell r="BB184">
            <v>3784071300</v>
          </cell>
          <cell r="BC184">
            <v>4014246700</v>
          </cell>
          <cell r="BD184">
            <v>4257868700</v>
          </cell>
          <cell r="BE184">
            <v>4333896300</v>
          </cell>
          <cell r="BF184">
            <v>4495005200</v>
          </cell>
          <cell r="BG184">
            <v>4738853200</v>
          </cell>
          <cell r="BH184">
            <v>4881815700</v>
          </cell>
          <cell r="BI184">
            <v>5036886300</v>
          </cell>
          <cell r="BJ184">
            <v>5391282900</v>
          </cell>
          <cell r="BK184">
            <v>5575843600</v>
          </cell>
          <cell r="BL184">
            <v>5720737200</v>
          </cell>
          <cell r="BM184">
            <v>4365286400</v>
          </cell>
          <cell r="BN184">
            <v>4365286400</v>
          </cell>
        </row>
        <row r="185">
          <cell r="B185" t="str">
            <v>MAF</v>
          </cell>
          <cell r="C185" t="str">
            <v>GDP (current LCU)</v>
          </cell>
          <cell r="D185" t="str">
            <v>NY.GDP.MKTP.CN</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t="str">
            <v>..</v>
          </cell>
          <cell r="AU185" t="str">
            <v>..</v>
          </cell>
          <cell r="AV185" t="str">
            <v>..</v>
          </cell>
          <cell r="AW185" t="str">
            <v>..</v>
          </cell>
          <cell r="AX185" t="str">
            <v>..</v>
          </cell>
          <cell r="AY185" t="str">
            <v>..</v>
          </cell>
          <cell r="AZ185" t="str">
            <v>..</v>
          </cell>
          <cell r="BA185" t="str">
            <v>..</v>
          </cell>
          <cell r="BB185" t="str">
            <v>..</v>
          </cell>
          <cell r="BC185" t="str">
            <v>..</v>
          </cell>
          <cell r="BD185">
            <v>557400000</v>
          </cell>
          <cell r="BE185" t="str">
            <v>..</v>
          </cell>
          <cell r="BF185" t="str">
            <v>..</v>
          </cell>
          <cell r="BG185">
            <v>581800000</v>
          </cell>
          <cell r="BH185" t="str">
            <v>..</v>
          </cell>
          <cell r="BI185" t="str">
            <v>..</v>
          </cell>
          <cell r="BJ185" t="str">
            <v>..</v>
          </cell>
          <cell r="BK185" t="str">
            <v>..</v>
          </cell>
          <cell r="BL185" t="str">
            <v>..</v>
          </cell>
          <cell r="BM185" t="str">
            <v>..</v>
          </cell>
          <cell r="BN185" t="str">
            <v/>
          </cell>
        </row>
        <row r="186">
          <cell r="B186" t="str">
            <v>VCT</v>
          </cell>
          <cell r="C186" t="str">
            <v>GDP (current LCU)</v>
          </cell>
          <cell r="D186" t="str">
            <v>NY.GDP.MKTP.CN</v>
          </cell>
          <cell r="E186">
            <v>22400000</v>
          </cell>
          <cell r="F186">
            <v>24000000</v>
          </cell>
          <cell r="G186">
            <v>24900000</v>
          </cell>
          <cell r="H186">
            <v>23500000</v>
          </cell>
          <cell r="I186">
            <v>25300000</v>
          </cell>
          <cell r="J186">
            <v>25900000</v>
          </cell>
          <cell r="K186">
            <v>27600000</v>
          </cell>
          <cell r="L186">
            <v>27900000</v>
          </cell>
          <cell r="M186">
            <v>30700000</v>
          </cell>
          <cell r="N186">
            <v>33300000</v>
          </cell>
          <cell r="O186">
            <v>36900000</v>
          </cell>
          <cell r="P186">
            <v>39600000</v>
          </cell>
          <cell r="Q186">
            <v>53000000</v>
          </cell>
          <cell r="R186">
            <v>59100000</v>
          </cell>
          <cell r="S186">
            <v>67600000</v>
          </cell>
          <cell r="T186">
            <v>72118000</v>
          </cell>
          <cell r="U186">
            <v>85742500</v>
          </cell>
          <cell r="V186">
            <v>133253537</v>
          </cell>
          <cell r="W186">
            <v>164280883</v>
          </cell>
          <cell r="X186">
            <v>191960171</v>
          </cell>
          <cell r="Y186">
            <v>222318917</v>
          </cell>
          <cell r="Z186">
            <v>275633656</v>
          </cell>
          <cell r="AA186">
            <v>307149849</v>
          </cell>
          <cell r="AB186">
            <v>330089444</v>
          </cell>
          <cell r="AC186">
            <v>364567467</v>
          </cell>
          <cell r="AD186">
            <v>393232604</v>
          </cell>
          <cell r="AE186">
            <v>434285973</v>
          </cell>
          <cell r="AF186">
            <v>474067748</v>
          </cell>
          <cell r="AG186">
            <v>541962124</v>
          </cell>
          <cell r="AH186">
            <v>579811506</v>
          </cell>
          <cell r="AI186">
            <v>648990000</v>
          </cell>
          <cell r="AJ186">
            <v>688040000</v>
          </cell>
          <cell r="AK186">
            <v>750480000</v>
          </cell>
          <cell r="AL186">
            <v>773030000</v>
          </cell>
          <cell r="AM186">
            <v>781480000</v>
          </cell>
          <cell r="AN186">
            <v>853220000</v>
          </cell>
          <cell r="AO186">
            <v>895020000</v>
          </cell>
          <cell r="AP186">
            <v>938980000</v>
          </cell>
          <cell r="AQ186">
            <v>1008770000</v>
          </cell>
          <cell r="AR186">
            <v>1054940000</v>
          </cell>
          <cell r="AS186">
            <v>1069910000</v>
          </cell>
          <cell r="AT186">
            <v>1161110000</v>
          </cell>
          <cell r="AU186">
            <v>1247090000</v>
          </cell>
          <cell r="AV186">
            <v>1300880000</v>
          </cell>
          <cell r="AW186">
            <v>1409330000</v>
          </cell>
          <cell r="AX186">
            <v>1486970000</v>
          </cell>
          <cell r="AY186">
            <v>1649510000</v>
          </cell>
          <cell r="AZ186">
            <v>1848000000</v>
          </cell>
          <cell r="BA186">
            <v>1877660000</v>
          </cell>
          <cell r="BB186">
            <v>1822290000</v>
          </cell>
          <cell r="BC186">
            <v>1839310000</v>
          </cell>
          <cell r="BD186">
            <v>1825550000</v>
          </cell>
          <cell r="BE186">
            <v>1870920000</v>
          </cell>
          <cell r="BF186">
            <v>1947260000</v>
          </cell>
          <cell r="BG186">
            <v>1964830000</v>
          </cell>
          <cell r="BH186">
            <v>2039580000</v>
          </cell>
          <cell r="BI186">
            <v>2090960000</v>
          </cell>
          <cell r="BJ186">
            <v>2138880000</v>
          </cell>
          <cell r="BK186">
            <v>2190510000</v>
          </cell>
          <cell r="BL186">
            <v>2227610000</v>
          </cell>
          <cell r="BM186">
            <v>2180180000</v>
          </cell>
          <cell r="BN186">
            <v>2180180000</v>
          </cell>
        </row>
        <row r="187">
          <cell r="B187" t="str">
            <v>SDN</v>
          </cell>
          <cell r="C187" t="str">
            <v>GDP (current LCU)</v>
          </cell>
          <cell r="D187" t="str">
            <v>NY.GDP.MKTP.CN</v>
          </cell>
          <cell r="E187">
            <v>392200</v>
          </cell>
          <cell r="F187">
            <v>425800</v>
          </cell>
          <cell r="G187">
            <v>462500</v>
          </cell>
          <cell r="H187">
            <v>470500</v>
          </cell>
          <cell r="I187">
            <v>483400</v>
          </cell>
          <cell r="J187">
            <v>503800</v>
          </cell>
          <cell r="K187">
            <v>516900</v>
          </cell>
          <cell r="L187">
            <v>559700</v>
          </cell>
          <cell r="M187">
            <v>584200</v>
          </cell>
          <cell r="N187">
            <v>643300</v>
          </cell>
          <cell r="O187">
            <v>731300</v>
          </cell>
          <cell r="P187">
            <v>796800</v>
          </cell>
          <cell r="Q187">
            <v>864600</v>
          </cell>
          <cell r="R187">
            <v>1071500</v>
          </cell>
          <cell r="S187">
            <v>1378500</v>
          </cell>
          <cell r="T187">
            <v>1679400</v>
          </cell>
          <cell r="U187">
            <v>2093800</v>
          </cell>
          <cell r="V187">
            <v>2611200</v>
          </cell>
          <cell r="W187">
            <v>3068200</v>
          </cell>
          <cell r="X187">
            <v>3612900</v>
          </cell>
          <cell r="Y187">
            <v>4475900</v>
          </cell>
          <cell r="Z187">
            <v>6009900</v>
          </cell>
          <cell r="AA187">
            <v>8316000</v>
          </cell>
          <cell r="AB187">
            <v>10699200</v>
          </cell>
          <cell r="AC187">
            <v>13581900</v>
          </cell>
          <cell r="AD187">
            <v>18605600</v>
          </cell>
          <cell r="AE187">
            <v>25230500</v>
          </cell>
          <cell r="AF187">
            <v>36280000</v>
          </cell>
          <cell r="AG187">
            <v>64676500</v>
          </cell>
          <cell r="AH187">
            <v>96336500</v>
          </cell>
          <cell r="AI187">
            <v>151385500</v>
          </cell>
          <cell r="AJ187">
            <v>307239000</v>
          </cell>
          <cell r="AK187">
            <v>685133000</v>
          </cell>
          <cell r="AL187">
            <v>1414868500</v>
          </cell>
          <cell r="AM187">
            <v>3705198100</v>
          </cell>
          <cell r="AN187">
            <v>8033698800</v>
          </cell>
          <cell r="AO187">
            <v>11280018400</v>
          </cell>
          <cell r="AP187">
            <v>18406531100</v>
          </cell>
          <cell r="AQ187">
            <v>22590658600</v>
          </cell>
          <cell r="AR187">
            <v>26977505300</v>
          </cell>
          <cell r="AS187">
            <v>31516274000</v>
          </cell>
          <cell r="AT187">
            <v>40658558000</v>
          </cell>
          <cell r="AU187">
            <v>47756111000</v>
          </cell>
          <cell r="AV187">
            <v>55733784000</v>
          </cell>
          <cell r="AW187">
            <v>68721385000</v>
          </cell>
          <cell r="AX187">
            <v>85707127000</v>
          </cell>
          <cell r="AY187">
            <v>98291904100</v>
          </cell>
          <cell r="AZ187">
            <v>119837265800</v>
          </cell>
          <cell r="BA187">
            <v>135511711800</v>
          </cell>
          <cell r="BB187">
            <v>134214714600</v>
          </cell>
          <cell r="BC187">
            <v>170992636300</v>
          </cell>
          <cell r="BD187">
            <v>209070555400</v>
          </cell>
          <cell r="BE187">
            <v>225797519800</v>
          </cell>
          <cell r="BF187">
            <v>314075332000</v>
          </cell>
          <cell r="BG187">
            <v>440699062700</v>
          </cell>
          <cell r="BH187">
            <v>512094910900</v>
          </cell>
          <cell r="BI187">
            <v>639455640000</v>
          </cell>
          <cell r="BJ187">
            <v>866955977500</v>
          </cell>
          <cell r="BK187">
            <v>1315984861600</v>
          </cell>
          <cell r="BL187">
            <v>1956453789500</v>
          </cell>
          <cell r="BM187">
            <v>4058929542000</v>
          </cell>
          <cell r="BN187">
            <v>4058929542000</v>
          </cell>
        </row>
        <row r="188">
          <cell r="B188" t="str">
            <v>SUR</v>
          </cell>
          <cell r="C188" t="str">
            <v>GDP (current LCU)</v>
          </cell>
          <cell r="D188" t="str">
            <v>NY.GDP.MKTP.CN</v>
          </cell>
          <cell r="E188">
            <v>199300</v>
          </cell>
          <cell r="F188">
            <v>215400</v>
          </cell>
          <cell r="G188">
            <v>232300</v>
          </cell>
          <cell r="H188">
            <v>251900</v>
          </cell>
          <cell r="I188">
            <v>268800</v>
          </cell>
          <cell r="J188">
            <v>308300</v>
          </cell>
          <cell r="K188">
            <v>380700</v>
          </cell>
          <cell r="L188">
            <v>441400</v>
          </cell>
          <cell r="M188">
            <v>482700</v>
          </cell>
          <cell r="N188">
            <v>519300</v>
          </cell>
          <cell r="O188">
            <v>549800</v>
          </cell>
          <cell r="P188">
            <v>602000</v>
          </cell>
          <cell r="Q188">
            <v>623900</v>
          </cell>
          <cell r="R188">
            <v>678900</v>
          </cell>
          <cell r="S188">
            <v>819700</v>
          </cell>
          <cell r="T188">
            <v>931000</v>
          </cell>
          <cell r="U188">
            <v>1011000</v>
          </cell>
          <cell r="V188">
            <v>1283000</v>
          </cell>
          <cell r="W188">
            <v>1471000</v>
          </cell>
          <cell r="X188">
            <v>1565000</v>
          </cell>
          <cell r="Y188">
            <v>1590000</v>
          </cell>
          <cell r="Z188">
            <v>1778000</v>
          </cell>
          <cell r="AA188">
            <v>1830000</v>
          </cell>
          <cell r="AB188">
            <v>1767000</v>
          </cell>
          <cell r="AC188">
            <v>1728000</v>
          </cell>
          <cell r="AD188">
            <v>1746000</v>
          </cell>
          <cell r="AE188">
            <v>1782000</v>
          </cell>
          <cell r="AF188">
            <v>1960000</v>
          </cell>
          <cell r="AG188">
            <v>2322000</v>
          </cell>
          <cell r="AH188">
            <v>2713000</v>
          </cell>
          <cell r="AI188">
            <v>3884000</v>
          </cell>
          <cell r="AJ188">
            <v>4481000</v>
          </cell>
          <cell r="AK188">
            <v>6069000</v>
          </cell>
          <cell r="AL188">
            <v>14578000</v>
          </cell>
          <cell r="AM188">
            <v>81136000</v>
          </cell>
          <cell r="AN188">
            <v>305683000</v>
          </cell>
          <cell r="AO188">
            <v>345426000</v>
          </cell>
          <cell r="AP188">
            <v>370569000</v>
          </cell>
          <cell r="AQ188">
            <v>444340000</v>
          </cell>
          <cell r="AR188">
            <v>762210000</v>
          </cell>
          <cell r="AS188">
            <v>1250927000</v>
          </cell>
          <cell r="AT188">
            <v>1818729000</v>
          </cell>
          <cell r="AU188">
            <v>2569900000</v>
          </cell>
          <cell r="AV188">
            <v>3314169000</v>
          </cell>
          <cell r="AW188">
            <v>4057509000</v>
          </cell>
          <cell r="AX188">
            <v>4899000000</v>
          </cell>
          <cell r="AY188">
            <v>7206000000</v>
          </cell>
          <cell r="AZ188">
            <v>8061000000</v>
          </cell>
          <cell r="BA188">
            <v>9698000000</v>
          </cell>
          <cell r="BB188">
            <v>10638000000</v>
          </cell>
          <cell r="BC188">
            <v>11993000000</v>
          </cell>
          <cell r="BD188">
            <v>14452000000</v>
          </cell>
          <cell r="BE188">
            <v>16434000000</v>
          </cell>
          <cell r="BF188">
            <v>16981000000</v>
          </cell>
          <cell r="BG188">
            <v>17294000000</v>
          </cell>
          <cell r="BH188">
            <v>17515000000</v>
          </cell>
          <cell r="BI188">
            <v>20663000000</v>
          </cell>
          <cell r="BJ188">
            <v>26893000000</v>
          </cell>
          <cell r="BK188">
            <v>29822000000</v>
          </cell>
          <cell r="BL188">
            <v>31483000000</v>
          </cell>
          <cell r="BM188">
            <v>38353000000</v>
          </cell>
          <cell r="BN188">
            <v>38353000000</v>
          </cell>
        </row>
        <row r="189">
          <cell r="B189" t="str">
            <v>SWE</v>
          </cell>
          <cell r="C189" t="str">
            <v>GDP (current LCU)</v>
          </cell>
          <cell r="D189" t="str">
            <v>NY.GDP.MKTP.CN</v>
          </cell>
          <cell r="E189">
            <v>81853557400</v>
          </cell>
          <cell r="F189">
            <v>89044845000</v>
          </cell>
          <cell r="G189">
            <v>96569614200</v>
          </cell>
          <cell r="H189">
            <v>104524041700</v>
          </cell>
          <cell r="I189">
            <v>116564926900</v>
          </cell>
          <cell r="J189">
            <v>128272330500</v>
          </cell>
          <cell r="K189">
            <v>139529167800</v>
          </cell>
          <cell r="L189">
            <v>151450877800</v>
          </cell>
          <cell r="M189">
            <v>160715188000</v>
          </cell>
          <cell r="N189">
            <v>174534294000</v>
          </cell>
          <cell r="O189">
            <v>197059873000</v>
          </cell>
          <cell r="P189">
            <v>213065276000</v>
          </cell>
          <cell r="Q189">
            <v>233139224000</v>
          </cell>
          <cell r="R189">
            <v>259439311000</v>
          </cell>
          <cell r="S189">
            <v>293059617000</v>
          </cell>
          <cell r="T189">
            <v>344156748000</v>
          </cell>
          <cell r="U189">
            <v>389252248000</v>
          </cell>
          <cell r="V189">
            <v>423371109000</v>
          </cell>
          <cell r="W189">
            <v>471922764000</v>
          </cell>
          <cell r="X189">
            <v>528969879000</v>
          </cell>
          <cell r="Y189">
            <v>600992612000</v>
          </cell>
          <cell r="Z189">
            <v>656656843000</v>
          </cell>
          <cell r="AA189">
            <v>718607292000</v>
          </cell>
          <cell r="AB189">
            <v>805155574000</v>
          </cell>
          <cell r="AC189">
            <v>903291831000</v>
          </cell>
          <cell r="AD189">
            <v>981907505000</v>
          </cell>
          <cell r="AE189">
            <v>1072087964000</v>
          </cell>
          <cell r="AF189">
            <v>1160354311000</v>
          </cell>
          <cell r="AG189">
            <v>1268248752000</v>
          </cell>
          <cell r="AH189">
            <v>1405090996000</v>
          </cell>
          <cell r="AI189">
            <v>1549815256000</v>
          </cell>
          <cell r="AJ189">
            <v>1658400085000</v>
          </cell>
          <cell r="AK189">
            <v>1655829313000</v>
          </cell>
          <cell r="AL189">
            <v>1657501000000</v>
          </cell>
          <cell r="AM189">
            <v>1767223000000</v>
          </cell>
          <cell r="AN189">
            <v>1906773000000</v>
          </cell>
          <cell r="AO189">
            <v>1956434000000</v>
          </cell>
          <cell r="AP189">
            <v>2047269000000</v>
          </cell>
          <cell r="AQ189">
            <v>2152905000000</v>
          </cell>
          <cell r="AR189">
            <v>2264494000000</v>
          </cell>
          <cell r="AS189">
            <v>2408151000000</v>
          </cell>
          <cell r="AT189">
            <v>2503731000000</v>
          </cell>
          <cell r="AU189">
            <v>2598336000000</v>
          </cell>
          <cell r="AV189">
            <v>2703551000000</v>
          </cell>
          <cell r="AW189">
            <v>2830194000000</v>
          </cell>
          <cell r="AX189">
            <v>2931085000000</v>
          </cell>
          <cell r="AY189">
            <v>3121668000000</v>
          </cell>
          <cell r="AZ189">
            <v>3320278000000</v>
          </cell>
          <cell r="BA189">
            <v>3412253000000</v>
          </cell>
          <cell r="BB189">
            <v>3341167000000</v>
          </cell>
          <cell r="BC189">
            <v>3573581000000</v>
          </cell>
          <cell r="BD189">
            <v>3727905000000</v>
          </cell>
          <cell r="BE189">
            <v>3743086000000</v>
          </cell>
          <cell r="BF189">
            <v>3822671000000</v>
          </cell>
          <cell r="BG189">
            <v>3992730000000</v>
          </cell>
          <cell r="BH189">
            <v>4260470000000</v>
          </cell>
          <cell r="BI189">
            <v>4415031000000</v>
          </cell>
          <cell r="BJ189">
            <v>4625094000000</v>
          </cell>
          <cell r="BK189">
            <v>4828306000000</v>
          </cell>
          <cell r="BL189">
            <v>5049619000000</v>
          </cell>
          <cell r="BM189">
            <v>4984804000000</v>
          </cell>
          <cell r="BN189">
            <v>4984804000000</v>
          </cell>
        </row>
        <row r="190">
          <cell r="B190" t="str">
            <v>CHE</v>
          </cell>
          <cell r="C190" t="str">
            <v>GDP (current LCU)</v>
          </cell>
          <cell r="D190" t="str">
            <v>NY.GDP.MKTP.CN</v>
          </cell>
          <cell r="E190">
            <v>41642496000</v>
          </cell>
          <cell r="F190">
            <v>46846156800</v>
          </cell>
          <cell r="G190">
            <v>51950571520</v>
          </cell>
          <cell r="H190">
            <v>57126662144</v>
          </cell>
          <cell r="I190">
            <v>63322750976</v>
          </cell>
          <cell r="J190">
            <v>67110535168</v>
          </cell>
          <cell r="K190">
            <v>72066473984</v>
          </cell>
          <cell r="L190">
            <v>77576192000</v>
          </cell>
          <cell r="M190">
            <v>82835611648</v>
          </cell>
          <cell r="N190">
            <v>89754304512</v>
          </cell>
          <cell r="O190" t="str">
            <v>..</v>
          </cell>
          <cell r="P190" t="str">
            <v>..</v>
          </cell>
          <cell r="Q190" t="str">
            <v>..</v>
          </cell>
          <cell r="R190" t="str">
            <v>..</v>
          </cell>
          <cell r="S190" t="str">
            <v>..</v>
          </cell>
          <cell r="T190" t="str">
            <v>..</v>
          </cell>
          <cell r="U190" t="str">
            <v>..</v>
          </cell>
          <cell r="V190" t="str">
            <v>..</v>
          </cell>
          <cell r="W190" t="str">
            <v>..</v>
          </cell>
          <cell r="X190" t="str">
            <v>..</v>
          </cell>
          <cell r="Y190">
            <v>205542880000</v>
          </cell>
          <cell r="Z190">
            <v>220656647000</v>
          </cell>
          <cell r="AA190">
            <v>233768963000</v>
          </cell>
          <cell r="AB190">
            <v>240831333000</v>
          </cell>
          <cell r="AC190">
            <v>257403422000</v>
          </cell>
          <cell r="AD190">
            <v>272919042000</v>
          </cell>
          <cell r="AE190">
            <v>286427521000</v>
          </cell>
          <cell r="AF190">
            <v>297351115000</v>
          </cell>
          <cell r="AG190">
            <v>315665825000</v>
          </cell>
          <cell r="AH190">
            <v>340726640000</v>
          </cell>
          <cell r="AI190">
            <v>369509226000</v>
          </cell>
          <cell r="AJ190">
            <v>385929295000</v>
          </cell>
          <cell r="AK190">
            <v>393956520000</v>
          </cell>
          <cell r="AL190">
            <v>402596439000</v>
          </cell>
          <cell r="AM190">
            <v>412537285000</v>
          </cell>
          <cell r="AN190">
            <v>417579199000</v>
          </cell>
          <cell r="AO190">
            <v>420822455000</v>
          </cell>
          <cell r="AP190">
            <v>428309625000</v>
          </cell>
          <cell r="AQ190">
            <v>440568637000</v>
          </cell>
          <cell r="AR190">
            <v>448437466000</v>
          </cell>
          <cell r="AS190">
            <v>472595737000</v>
          </cell>
          <cell r="AT190">
            <v>484723494000</v>
          </cell>
          <cell r="AU190">
            <v>483439959000</v>
          </cell>
          <cell r="AV190">
            <v>488937338000</v>
          </cell>
          <cell r="AW190">
            <v>504278198000</v>
          </cell>
          <cell r="AX190">
            <v>523662569000</v>
          </cell>
          <cell r="AY190">
            <v>556438829000</v>
          </cell>
          <cell r="AZ190">
            <v>592442267000</v>
          </cell>
          <cell r="BA190">
            <v>617696476000</v>
          </cell>
          <cell r="BB190">
            <v>607377277000</v>
          </cell>
          <cell r="BC190">
            <v>629325240000</v>
          </cell>
          <cell r="BD190">
            <v>641200305000</v>
          </cell>
          <cell r="BE190">
            <v>648980519000</v>
          </cell>
          <cell r="BF190">
            <v>660648765000</v>
          </cell>
          <cell r="BG190">
            <v>672818206000</v>
          </cell>
          <cell r="BH190">
            <v>675735646000</v>
          </cell>
          <cell r="BI190">
            <v>685440984000</v>
          </cell>
          <cell r="BJ190">
            <v>693694125000</v>
          </cell>
          <cell r="BK190">
            <v>719271624000</v>
          </cell>
          <cell r="BL190">
            <v>727212146000</v>
          </cell>
          <cell r="BM190">
            <v>706241809000</v>
          </cell>
          <cell r="BN190">
            <v>706241809000</v>
          </cell>
        </row>
        <row r="191">
          <cell r="B191" t="str">
            <v>SYR</v>
          </cell>
          <cell r="C191" t="str">
            <v>GDP (current LCU)</v>
          </cell>
          <cell r="D191" t="str">
            <v>NY.GDP.MKTP.CN</v>
          </cell>
          <cell r="E191">
            <v>3070581800</v>
          </cell>
          <cell r="F191">
            <v>3383977000</v>
          </cell>
          <cell r="G191">
            <v>4097988100</v>
          </cell>
          <cell r="H191">
            <v>4585709100</v>
          </cell>
          <cell r="I191">
            <v>5116868100</v>
          </cell>
          <cell r="J191">
            <v>5079998100</v>
          </cell>
          <cell r="K191">
            <v>5047001200</v>
          </cell>
          <cell r="L191">
            <v>5515002000</v>
          </cell>
          <cell r="M191">
            <v>5967999100</v>
          </cell>
          <cell r="N191">
            <v>6863000200</v>
          </cell>
          <cell r="O191">
            <v>6800000000</v>
          </cell>
          <cell r="P191">
            <v>8013000000</v>
          </cell>
          <cell r="Q191">
            <v>9228000000</v>
          </cell>
          <cell r="R191">
            <v>9861000000</v>
          </cell>
          <cell r="S191">
            <v>15845000000</v>
          </cell>
          <cell r="T191">
            <v>20597000000</v>
          </cell>
          <cell r="U191">
            <v>24725000000</v>
          </cell>
          <cell r="V191">
            <v>27013000000</v>
          </cell>
          <cell r="W191">
            <v>32389000000</v>
          </cell>
          <cell r="X191">
            <v>38974000000</v>
          </cell>
          <cell r="Y191">
            <v>51270000000</v>
          </cell>
          <cell r="Z191">
            <v>65777000000</v>
          </cell>
          <cell r="AA191">
            <v>68788000000</v>
          </cell>
          <cell r="AB191">
            <v>73291000000</v>
          </cell>
          <cell r="AC191">
            <v>75342000000</v>
          </cell>
          <cell r="AD191">
            <v>83225000000</v>
          </cell>
          <cell r="AE191">
            <v>99933000000</v>
          </cell>
          <cell r="AF191">
            <v>127712000000</v>
          </cell>
          <cell r="AG191">
            <v>186047000000</v>
          </cell>
          <cell r="AH191">
            <v>208892000000</v>
          </cell>
          <cell r="AI191">
            <v>268328000000</v>
          </cell>
          <cell r="AJ191">
            <v>311564000000</v>
          </cell>
          <cell r="AK191">
            <v>371630000000</v>
          </cell>
          <cell r="AL191">
            <v>413755000000</v>
          </cell>
          <cell r="AM191">
            <v>506101000000</v>
          </cell>
          <cell r="AN191">
            <v>570975000000</v>
          </cell>
          <cell r="AO191">
            <v>690857000000</v>
          </cell>
          <cell r="AP191">
            <v>745569000000</v>
          </cell>
          <cell r="AQ191">
            <v>790444000000</v>
          </cell>
          <cell r="AR191">
            <v>819092000000</v>
          </cell>
          <cell r="AS191">
            <v>904623000000</v>
          </cell>
          <cell r="AT191">
            <v>974008000000</v>
          </cell>
          <cell r="AU191">
            <v>1016519000000</v>
          </cell>
          <cell r="AV191">
            <v>1074163000000</v>
          </cell>
          <cell r="AW191">
            <v>1266891000000</v>
          </cell>
          <cell r="AX191">
            <v>1506438000000</v>
          </cell>
          <cell r="AY191">
            <v>1726404000000</v>
          </cell>
          <cell r="AZ191">
            <v>2020838000000</v>
          </cell>
          <cell r="BA191">
            <v>2448060000000</v>
          </cell>
          <cell r="BB191">
            <v>2520705000000</v>
          </cell>
          <cell r="BC191">
            <v>2834517000000</v>
          </cell>
          <cell r="BD191">
            <v>3252720000000</v>
          </cell>
          <cell r="BE191">
            <v>3024842000000</v>
          </cell>
          <cell r="BF191">
            <v>2937560710400</v>
          </cell>
          <cell r="BG191">
            <v>3612014850500</v>
          </cell>
          <cell r="BH191">
            <v>4732655728900</v>
          </cell>
          <cell r="BI191">
            <v>6117032876200</v>
          </cell>
          <cell r="BJ191">
            <v>8317173292300</v>
          </cell>
          <cell r="BK191">
            <v>9588166584500</v>
          </cell>
          <cell r="BL191">
            <v>11904318000000</v>
          </cell>
          <cell r="BM191" t="str">
            <v>..</v>
          </cell>
          <cell r="BN191">
            <v>11904318000000</v>
          </cell>
        </row>
        <row r="192">
          <cell r="B192" t="str">
            <v>TJK</v>
          </cell>
          <cell r="C192" t="str">
            <v>GDP (current LCU)</v>
          </cell>
          <cell r="D192" t="str">
            <v>NY.GDP.MKTP.CN</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v>59700</v>
          </cell>
          <cell r="AE192">
            <v>59300</v>
          </cell>
          <cell r="AF192">
            <v>62000</v>
          </cell>
          <cell r="AG192">
            <v>68800</v>
          </cell>
          <cell r="AH192">
            <v>69000</v>
          </cell>
          <cell r="AI192">
            <v>72900</v>
          </cell>
          <cell r="AJ192">
            <v>135200</v>
          </cell>
          <cell r="AK192">
            <v>647000</v>
          </cell>
          <cell r="AL192">
            <v>7070600</v>
          </cell>
          <cell r="AM192">
            <v>20200000</v>
          </cell>
          <cell r="AN192">
            <v>69800000</v>
          </cell>
          <cell r="AO192">
            <v>308400000</v>
          </cell>
          <cell r="AP192">
            <v>518200000</v>
          </cell>
          <cell r="AQ192">
            <v>1025300000</v>
          </cell>
          <cell r="AR192">
            <v>1345000000</v>
          </cell>
          <cell r="AS192">
            <v>1786700000</v>
          </cell>
          <cell r="AT192">
            <v>2563800000</v>
          </cell>
          <cell r="AU192">
            <v>3375300000</v>
          </cell>
          <cell r="AV192">
            <v>4761400000</v>
          </cell>
          <cell r="AW192">
            <v>6167300000</v>
          </cell>
          <cell r="AX192">
            <v>7206600000</v>
          </cell>
          <cell r="AY192">
            <v>9335200000</v>
          </cell>
          <cell r="AZ192">
            <v>12804400000</v>
          </cell>
          <cell r="BA192">
            <v>17707000000</v>
          </cell>
          <cell r="BB192">
            <v>20628500000</v>
          </cell>
          <cell r="BC192">
            <v>24707100000</v>
          </cell>
          <cell r="BD192">
            <v>30071100000</v>
          </cell>
          <cell r="BE192">
            <v>36163100000</v>
          </cell>
          <cell r="BF192">
            <v>40250200000</v>
          </cell>
          <cell r="BG192">
            <v>44994100000</v>
          </cell>
          <cell r="BH192">
            <v>50977800000</v>
          </cell>
          <cell r="BI192">
            <v>54790300000</v>
          </cell>
          <cell r="BJ192">
            <v>64434300000</v>
          </cell>
          <cell r="BK192">
            <v>71059200000</v>
          </cell>
          <cell r="BL192">
            <v>79109800000</v>
          </cell>
          <cell r="BM192">
            <v>84579200000</v>
          </cell>
          <cell r="BN192">
            <v>84579200000</v>
          </cell>
        </row>
        <row r="193">
          <cell r="B193" t="str">
            <v>TZA</v>
          </cell>
          <cell r="C193" t="str">
            <v>GDP (current LCU)</v>
          </cell>
          <cell r="D193" t="str">
            <v>NY.GDP.MKTP.CN</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v>506430000000</v>
          </cell>
          <cell r="AH193">
            <v>633750000000</v>
          </cell>
          <cell r="AI193">
            <v>830693000000</v>
          </cell>
          <cell r="AJ193">
            <v>1086273000000</v>
          </cell>
          <cell r="AK193">
            <v>1369878000000</v>
          </cell>
          <cell r="AL193">
            <v>1725536000000</v>
          </cell>
          <cell r="AM193">
            <v>2298867000000</v>
          </cell>
          <cell r="AN193">
            <v>3020500000000</v>
          </cell>
          <cell r="AO193">
            <v>3767642000000</v>
          </cell>
          <cell r="AP193">
            <v>4703459000000</v>
          </cell>
          <cell r="AQ193">
            <v>8155813862100</v>
          </cell>
          <cell r="AR193">
            <v>9466791889700</v>
          </cell>
          <cell r="AS193">
            <v>10706245169300</v>
          </cell>
          <cell r="AT193">
            <v>11903111922200</v>
          </cell>
          <cell r="AU193">
            <v>13669447865600</v>
          </cell>
          <cell r="AV193">
            <v>15809158455000</v>
          </cell>
          <cell r="AW193">
            <v>18165690931200</v>
          </cell>
          <cell r="AX193">
            <v>20771312305300</v>
          </cell>
          <cell r="AY193">
            <v>23347422031800</v>
          </cell>
          <cell r="AZ193">
            <v>27195969081300</v>
          </cell>
          <cell r="BA193">
            <v>33450674683400</v>
          </cell>
          <cell r="BB193">
            <v>38397086967400</v>
          </cell>
          <cell r="BC193">
            <v>44679884233500</v>
          </cell>
          <cell r="BD193">
            <v>53976186598600</v>
          </cell>
          <cell r="BE193">
            <v>62318659036800</v>
          </cell>
          <cell r="BF193">
            <v>72977199824200</v>
          </cell>
          <cell r="BG193">
            <v>82603387740700</v>
          </cell>
          <cell r="BH193">
            <v>94349315691600</v>
          </cell>
          <cell r="BI193">
            <v>108362324289500</v>
          </cell>
          <cell r="BJ193">
            <v>118844082404500</v>
          </cell>
          <cell r="BK193">
            <v>129043901000000</v>
          </cell>
          <cell r="BL193">
            <v>139893804000000</v>
          </cell>
          <cell r="BM193">
            <v>143176997000000</v>
          </cell>
          <cell r="BN193">
            <v>143176997000000</v>
          </cell>
        </row>
        <row r="194">
          <cell r="B194" t="str">
            <v>THA</v>
          </cell>
          <cell r="C194" t="str">
            <v>GDP (current LCU)</v>
          </cell>
          <cell r="D194" t="str">
            <v>NY.GDP.MKTP.CN</v>
          </cell>
          <cell r="E194">
            <v>58477600800</v>
          </cell>
          <cell r="F194">
            <v>63892103200</v>
          </cell>
          <cell r="G194">
            <v>69090099200</v>
          </cell>
          <cell r="H194">
            <v>73746604000</v>
          </cell>
          <cell r="I194">
            <v>80893902800</v>
          </cell>
          <cell r="J194">
            <v>91289903100</v>
          </cell>
          <cell r="K194">
            <v>109808001000</v>
          </cell>
          <cell r="L194">
            <v>117279998000</v>
          </cell>
          <cell r="M194">
            <v>126484996100</v>
          </cell>
          <cell r="N194">
            <v>139263000600</v>
          </cell>
          <cell r="O194">
            <v>147399999500</v>
          </cell>
          <cell r="P194">
            <v>153400000500</v>
          </cell>
          <cell r="Q194">
            <v>170099998700</v>
          </cell>
          <cell r="R194">
            <v>222099996700</v>
          </cell>
          <cell r="S194">
            <v>279200006100</v>
          </cell>
          <cell r="T194">
            <v>303299985400</v>
          </cell>
          <cell r="U194">
            <v>346500005900</v>
          </cell>
          <cell r="V194">
            <v>403500007400</v>
          </cell>
          <cell r="W194">
            <v>488200011800</v>
          </cell>
          <cell r="X194">
            <v>558899986400</v>
          </cell>
          <cell r="Y194">
            <v>662481993700</v>
          </cell>
          <cell r="Z194">
            <v>760356012000</v>
          </cell>
          <cell r="AA194">
            <v>841569009700</v>
          </cell>
          <cell r="AB194">
            <v>920989007900</v>
          </cell>
          <cell r="AC194">
            <v>988070019100</v>
          </cell>
          <cell r="AD194">
            <v>1056500023300</v>
          </cell>
          <cell r="AE194">
            <v>1133397016600</v>
          </cell>
          <cell r="AF194">
            <v>1299912982500</v>
          </cell>
          <cell r="AG194">
            <v>1559803985900</v>
          </cell>
          <cell r="AH194">
            <v>1856992051200</v>
          </cell>
          <cell r="AI194">
            <v>2183544963100</v>
          </cell>
          <cell r="AJ194">
            <v>2506635083800</v>
          </cell>
          <cell r="AK194">
            <v>2830914027500</v>
          </cell>
          <cell r="AL194">
            <v>3263426000000</v>
          </cell>
          <cell r="AM194">
            <v>3689090000000</v>
          </cell>
          <cell r="AN194">
            <v>4217614000000</v>
          </cell>
          <cell r="AO194">
            <v>4638604000000</v>
          </cell>
          <cell r="AP194">
            <v>4710310000000</v>
          </cell>
          <cell r="AQ194">
            <v>4701553000000</v>
          </cell>
          <cell r="AR194">
            <v>4789826000000</v>
          </cell>
          <cell r="AS194">
            <v>5069820000000</v>
          </cell>
          <cell r="AT194">
            <v>5345001000000</v>
          </cell>
          <cell r="AU194">
            <v>5769578000000</v>
          </cell>
          <cell r="AV194">
            <v>6317303000000</v>
          </cell>
          <cell r="AW194">
            <v>6954282000000</v>
          </cell>
          <cell r="AX194">
            <v>7614411000000</v>
          </cell>
          <cell r="AY194">
            <v>8400644000000</v>
          </cell>
          <cell r="AZ194">
            <v>9076301000000</v>
          </cell>
          <cell r="BA194">
            <v>9706929000000</v>
          </cell>
          <cell r="BB194">
            <v>9658667000000</v>
          </cell>
          <cell r="BC194">
            <v>10808145000000</v>
          </cell>
          <cell r="BD194">
            <v>11306906000000</v>
          </cell>
          <cell r="BE194">
            <v>12357342000000</v>
          </cell>
          <cell r="BF194">
            <v>12915158000000</v>
          </cell>
          <cell r="BG194">
            <v>13230304000000</v>
          </cell>
          <cell r="BH194">
            <v>13743480000000</v>
          </cell>
          <cell r="BI194">
            <v>14590337000000</v>
          </cell>
          <cell r="BJ194">
            <v>15488664000000</v>
          </cell>
          <cell r="BK194">
            <v>16368705000000</v>
          </cell>
          <cell r="BL194">
            <v>16898086000000</v>
          </cell>
          <cell r="BM194">
            <v>15698286000000</v>
          </cell>
          <cell r="BN194">
            <v>15698286000000</v>
          </cell>
        </row>
        <row r="195">
          <cell r="B195" t="str">
            <v>TLS</v>
          </cell>
          <cell r="C195" t="str">
            <v>GDP (current LCU)</v>
          </cell>
          <cell r="D195" t="str">
            <v>NY.GDP.MKTP.CN</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v>367087900</v>
          </cell>
          <cell r="AT195">
            <v>477443500</v>
          </cell>
          <cell r="AU195">
            <v>469506700</v>
          </cell>
          <cell r="AV195">
            <v>490439100</v>
          </cell>
          <cell r="AW195">
            <v>440764600</v>
          </cell>
          <cell r="AX195">
            <v>462283600</v>
          </cell>
          <cell r="AY195">
            <v>453805100</v>
          </cell>
          <cell r="AZ195">
            <v>542795400</v>
          </cell>
          <cell r="BA195">
            <v>648492700</v>
          </cell>
          <cell r="BB195">
            <v>726882400</v>
          </cell>
          <cell r="BC195">
            <v>881827800</v>
          </cell>
          <cell r="BD195">
            <v>1042411500</v>
          </cell>
          <cell r="BE195">
            <v>1160389500</v>
          </cell>
          <cell r="BF195">
            <v>1395519600</v>
          </cell>
          <cell r="BG195">
            <v>1447307100</v>
          </cell>
          <cell r="BH195">
            <v>1594410900</v>
          </cell>
          <cell r="BI195">
            <v>1650618500</v>
          </cell>
          <cell r="BJ195">
            <v>1615609700</v>
          </cell>
          <cell r="BK195">
            <v>1583876200</v>
          </cell>
          <cell r="BL195">
            <v>2047931700</v>
          </cell>
          <cell r="BM195">
            <v>1902156800</v>
          </cell>
          <cell r="BN195">
            <v>1902156800</v>
          </cell>
        </row>
        <row r="196">
          <cell r="B196" t="str">
            <v>TGO</v>
          </cell>
          <cell r="C196" t="str">
            <v>GDP (current LCU)</v>
          </cell>
          <cell r="D196" t="str">
            <v>NY.GDP.MKTP.CN</v>
          </cell>
          <cell r="E196">
            <v>29700010000</v>
          </cell>
          <cell r="F196">
            <v>31000010800</v>
          </cell>
          <cell r="G196">
            <v>32400011300</v>
          </cell>
          <cell r="H196">
            <v>35100016600</v>
          </cell>
          <cell r="I196">
            <v>40700014600</v>
          </cell>
          <cell r="J196">
            <v>45899989000</v>
          </cell>
          <cell r="K196">
            <v>53100011500</v>
          </cell>
          <cell r="L196">
            <v>57000001500</v>
          </cell>
          <cell r="M196">
            <v>59899990000</v>
          </cell>
          <cell r="N196">
            <v>69599887400</v>
          </cell>
          <cell r="O196">
            <v>70199926800</v>
          </cell>
          <cell r="P196">
            <v>78899970000</v>
          </cell>
          <cell r="Q196">
            <v>84600029200</v>
          </cell>
          <cell r="R196">
            <v>90599981100</v>
          </cell>
          <cell r="S196">
            <v>134899998700</v>
          </cell>
          <cell r="T196">
            <v>132299997200</v>
          </cell>
          <cell r="U196">
            <v>147999998000</v>
          </cell>
          <cell r="V196">
            <v>191000002600</v>
          </cell>
          <cell r="W196">
            <v>185999999000</v>
          </cell>
          <cell r="X196">
            <v>189699997700</v>
          </cell>
          <cell r="Y196">
            <v>240099999700</v>
          </cell>
          <cell r="Z196">
            <v>261499994100</v>
          </cell>
          <cell r="AA196">
            <v>269999996900</v>
          </cell>
          <cell r="AB196">
            <v>291799990300</v>
          </cell>
          <cell r="AC196">
            <v>313799999500</v>
          </cell>
          <cell r="AD196">
            <v>342500016100</v>
          </cell>
          <cell r="AE196">
            <v>367399993300</v>
          </cell>
          <cell r="AF196">
            <v>375400005600</v>
          </cell>
          <cell r="AG196">
            <v>410687242200</v>
          </cell>
          <cell r="AH196">
            <v>431602171900</v>
          </cell>
          <cell r="AI196">
            <v>443363491800</v>
          </cell>
          <cell r="AJ196">
            <v>452019847200</v>
          </cell>
          <cell r="AK196">
            <v>448112394200</v>
          </cell>
          <cell r="AL196">
            <v>349280174100</v>
          </cell>
          <cell r="AM196">
            <v>545557643300</v>
          </cell>
          <cell r="AN196">
            <v>653576372200</v>
          </cell>
          <cell r="AO196">
            <v>749653590000</v>
          </cell>
          <cell r="AP196">
            <v>874891771900</v>
          </cell>
          <cell r="AQ196">
            <v>936457601000</v>
          </cell>
          <cell r="AR196">
            <v>970400006100</v>
          </cell>
          <cell r="AS196">
            <v>1059553000000</v>
          </cell>
          <cell r="AT196">
            <v>1085734000000</v>
          </cell>
          <cell r="AU196">
            <v>1183959000000</v>
          </cell>
          <cell r="AV196">
            <v>1226968000000</v>
          </cell>
          <cell r="AW196">
            <v>1191780000000</v>
          </cell>
          <cell r="AX196">
            <v>1202931000000</v>
          </cell>
          <cell r="AY196">
            <v>1228528000000</v>
          </cell>
          <cell r="AZ196">
            <v>1274416000000</v>
          </cell>
          <cell r="BA196">
            <v>1482360000000</v>
          </cell>
          <cell r="BB196">
            <v>1589243000000</v>
          </cell>
          <cell r="BC196">
            <v>1696878000000</v>
          </cell>
          <cell r="BD196">
            <v>1824891000000</v>
          </cell>
          <cell r="BE196">
            <v>1977542000000</v>
          </cell>
          <cell r="BF196">
            <v>2134464000000</v>
          </cell>
          <cell r="BG196">
            <v>2258933000000</v>
          </cell>
          <cell r="BH196">
            <v>2471777000000</v>
          </cell>
          <cell r="BI196">
            <v>3574379000000</v>
          </cell>
          <cell r="BJ196">
            <v>3713574000000</v>
          </cell>
          <cell r="BK196">
            <v>3950447000000</v>
          </cell>
          <cell r="BL196">
            <v>4230509000000</v>
          </cell>
          <cell r="BM196">
            <v>4359854999999.9902</v>
          </cell>
          <cell r="BN196">
            <v>4359854999999.9902</v>
          </cell>
        </row>
        <row r="197">
          <cell r="B197" t="str">
            <v>TON</v>
          </cell>
          <cell r="C197" t="str">
            <v>GDP (current LCU)</v>
          </cell>
          <cell r="D197" t="str">
            <v>NY.GDP.MKTP.CN</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v>24831900</v>
          </cell>
          <cell r="U197">
            <v>24578800</v>
          </cell>
          <cell r="V197">
            <v>30786900</v>
          </cell>
          <cell r="W197">
            <v>36317500</v>
          </cell>
          <cell r="X197">
            <v>39959100</v>
          </cell>
          <cell r="Y197">
            <v>46773000</v>
          </cell>
          <cell r="Z197">
            <v>54163000</v>
          </cell>
          <cell r="AA197">
            <v>61193000</v>
          </cell>
          <cell r="AB197">
            <v>67559000</v>
          </cell>
          <cell r="AC197">
            <v>73211000</v>
          </cell>
          <cell r="AD197">
            <v>85998000</v>
          </cell>
          <cell r="AE197">
            <v>102021000</v>
          </cell>
          <cell r="AF197">
            <v>116637000</v>
          </cell>
          <cell r="AG197">
            <v>124821000</v>
          </cell>
          <cell r="AH197">
            <v>133835000</v>
          </cell>
          <cell r="AI197">
            <v>147156000</v>
          </cell>
          <cell r="AJ197">
            <v>171412000</v>
          </cell>
          <cell r="AK197">
            <v>184642000</v>
          </cell>
          <cell r="AL197">
            <v>191670000</v>
          </cell>
          <cell r="AM197">
            <v>258747300</v>
          </cell>
          <cell r="AN197">
            <v>265455000</v>
          </cell>
          <cell r="AO197">
            <v>273605700</v>
          </cell>
          <cell r="AP197">
            <v>271641700</v>
          </cell>
          <cell r="AQ197">
            <v>285725300</v>
          </cell>
          <cell r="AR197">
            <v>315297000</v>
          </cell>
          <cell r="AS197">
            <v>335769000</v>
          </cell>
          <cell r="AT197">
            <v>354482100</v>
          </cell>
          <cell r="AU197">
            <v>398388300</v>
          </cell>
          <cell r="AV197">
            <v>444033200</v>
          </cell>
          <cell r="AW197">
            <v>471857000</v>
          </cell>
          <cell r="AX197">
            <v>507442300</v>
          </cell>
          <cell r="AY197">
            <v>587065100</v>
          </cell>
          <cell r="AZ197">
            <v>597833900</v>
          </cell>
          <cell r="BA197">
            <v>654689900</v>
          </cell>
          <cell r="BB197">
            <v>651525500</v>
          </cell>
          <cell r="BC197">
            <v>707597700</v>
          </cell>
          <cell r="BD197">
            <v>759448300</v>
          </cell>
          <cell r="BE197">
            <v>797813300</v>
          </cell>
          <cell r="BF197">
            <v>781325900</v>
          </cell>
          <cell r="BG197">
            <v>797192400</v>
          </cell>
          <cell r="BH197">
            <v>849146800</v>
          </cell>
          <cell r="BI197">
            <v>932589900</v>
          </cell>
          <cell r="BJ197">
            <v>1017668100</v>
          </cell>
          <cell r="BK197">
            <v>1073284900</v>
          </cell>
          <cell r="BL197">
            <v>1164008100</v>
          </cell>
          <cell r="BM197">
            <v>1129246100</v>
          </cell>
          <cell r="BN197">
            <v>1129246100</v>
          </cell>
        </row>
        <row r="198">
          <cell r="B198" t="str">
            <v>TTO</v>
          </cell>
          <cell r="C198" t="str">
            <v>GDP (current LCU)</v>
          </cell>
          <cell r="D198" t="str">
            <v>NY.GDP.MKTP.CN</v>
          </cell>
          <cell r="E198">
            <v>918299300</v>
          </cell>
          <cell r="F198">
            <v>1002799000</v>
          </cell>
          <cell r="G198">
            <v>1061698900</v>
          </cell>
          <cell r="H198">
            <v>1162698900</v>
          </cell>
          <cell r="I198">
            <v>1220398800</v>
          </cell>
          <cell r="J198">
            <v>1262700000</v>
          </cell>
          <cell r="K198">
            <v>1240700000</v>
          </cell>
          <cell r="L198">
            <v>1324400000</v>
          </cell>
          <cell r="M198">
            <v>1517799900</v>
          </cell>
          <cell r="N198">
            <v>1558400000</v>
          </cell>
          <cell r="O198">
            <v>1643700000</v>
          </cell>
          <cell r="P198">
            <v>1771000100</v>
          </cell>
          <cell r="Q198">
            <v>2081500000</v>
          </cell>
          <cell r="R198">
            <v>2564199900</v>
          </cell>
          <cell r="S198">
            <v>4192699900</v>
          </cell>
          <cell r="T198">
            <v>5300100100</v>
          </cell>
          <cell r="U198">
            <v>6090500100</v>
          </cell>
          <cell r="V198">
            <v>7532800000</v>
          </cell>
          <cell r="W198">
            <v>8549600300</v>
          </cell>
          <cell r="X198">
            <v>11045799900</v>
          </cell>
          <cell r="Y198">
            <v>14966000000</v>
          </cell>
          <cell r="Z198">
            <v>16781000000</v>
          </cell>
          <cell r="AA198">
            <v>19537000000</v>
          </cell>
          <cell r="AB198">
            <v>18633000000</v>
          </cell>
          <cell r="AC198">
            <v>18617000000</v>
          </cell>
          <cell r="AD198">
            <v>18071000000</v>
          </cell>
          <cell r="AE198">
            <v>17260000000</v>
          </cell>
          <cell r="AF198">
            <v>17272000000</v>
          </cell>
          <cell r="AG198">
            <v>17285000000</v>
          </cell>
          <cell r="AH198">
            <v>18373000000</v>
          </cell>
          <cell r="AI198">
            <v>21539000000</v>
          </cell>
          <cell r="AJ198">
            <v>22558600000</v>
          </cell>
          <cell r="AK198">
            <v>23118100000</v>
          </cell>
          <cell r="AL198">
            <v>24986900000</v>
          </cell>
          <cell r="AM198">
            <v>29311700000</v>
          </cell>
          <cell r="AN198">
            <v>31697100000</v>
          </cell>
          <cell r="AO198">
            <v>34586600000</v>
          </cell>
          <cell r="AP198">
            <v>35870700000</v>
          </cell>
          <cell r="AQ198">
            <v>38065000000</v>
          </cell>
          <cell r="AR198">
            <v>42889100000</v>
          </cell>
          <cell r="AS198">
            <v>51370700000</v>
          </cell>
          <cell r="AT198">
            <v>55007200000</v>
          </cell>
          <cell r="AU198">
            <v>56290000000</v>
          </cell>
          <cell r="AV198">
            <v>71169000000</v>
          </cell>
          <cell r="AW198">
            <v>83652453000</v>
          </cell>
          <cell r="AX198">
            <v>100681986600</v>
          </cell>
          <cell r="AY198">
            <v>115951081100</v>
          </cell>
          <cell r="AZ198">
            <v>136952500000</v>
          </cell>
          <cell r="BA198">
            <v>175287200000</v>
          </cell>
          <cell r="BB198">
            <v>121281200000</v>
          </cell>
          <cell r="BC198">
            <v>141268000000</v>
          </cell>
          <cell r="BD198">
            <v>163007800000</v>
          </cell>
          <cell r="BE198">
            <v>165647200000</v>
          </cell>
          <cell r="BF198">
            <v>175679900000</v>
          </cell>
          <cell r="BG198">
            <v>176992700000</v>
          </cell>
          <cell r="BH198">
            <v>159179000000</v>
          </cell>
          <cell r="BI198">
            <v>149294000000</v>
          </cell>
          <cell r="BJ198">
            <v>151762000000</v>
          </cell>
          <cell r="BK198">
            <v>160332000000</v>
          </cell>
          <cell r="BL198">
            <v>156756000000</v>
          </cell>
          <cell r="BM198">
            <v>145743000000</v>
          </cell>
          <cell r="BN198">
            <v>145743000000</v>
          </cell>
        </row>
        <row r="199">
          <cell r="B199" t="str">
            <v>TUN</v>
          </cell>
          <cell r="C199" t="str">
            <v>GDP (current LCU)</v>
          </cell>
          <cell r="D199" t="str">
            <v>NY.GDP.MKTP.CN</v>
          </cell>
          <cell r="E199" t="str">
            <v>..</v>
          </cell>
          <cell r="F199" t="str">
            <v>..</v>
          </cell>
          <cell r="G199" t="str">
            <v>..</v>
          </cell>
          <cell r="H199" t="str">
            <v>..</v>
          </cell>
          <cell r="I199" t="str">
            <v>..</v>
          </cell>
          <cell r="J199">
            <v>520300000</v>
          </cell>
          <cell r="K199">
            <v>546500000</v>
          </cell>
          <cell r="L199">
            <v>570000000</v>
          </cell>
          <cell r="M199">
            <v>637700000</v>
          </cell>
          <cell r="N199">
            <v>677200000</v>
          </cell>
          <cell r="O199">
            <v>755600000</v>
          </cell>
          <cell r="P199">
            <v>881200000</v>
          </cell>
          <cell r="Q199">
            <v>1067500000</v>
          </cell>
          <cell r="R199">
            <v>1151300000</v>
          </cell>
          <cell r="S199">
            <v>1547800000</v>
          </cell>
          <cell r="T199">
            <v>1741400000</v>
          </cell>
          <cell r="U199">
            <v>1933000000</v>
          </cell>
          <cell r="V199">
            <v>2191900000</v>
          </cell>
          <cell r="W199">
            <v>2483900000</v>
          </cell>
          <cell r="X199">
            <v>2922000000</v>
          </cell>
          <cell r="Y199">
            <v>3540500000</v>
          </cell>
          <cell r="Z199">
            <v>4162000000</v>
          </cell>
          <cell r="AA199">
            <v>4804400000</v>
          </cell>
          <cell r="AB199">
            <v>5668100000</v>
          </cell>
          <cell r="AC199">
            <v>6412400000</v>
          </cell>
          <cell r="AD199">
            <v>7018300000</v>
          </cell>
          <cell r="AE199">
            <v>7160400000</v>
          </cell>
          <cell r="AF199">
            <v>8035300000</v>
          </cell>
          <cell r="AG199">
            <v>8660600000</v>
          </cell>
          <cell r="AH199">
            <v>9589900000</v>
          </cell>
          <cell r="AI199">
            <v>10815700000</v>
          </cell>
          <cell r="AJ199">
            <v>12028800000</v>
          </cell>
          <cell r="AK199">
            <v>13705800000</v>
          </cell>
          <cell r="AL199">
            <v>14663000000</v>
          </cell>
          <cell r="AM199">
            <v>15813800000</v>
          </cell>
          <cell r="AN199">
            <v>17051800000</v>
          </cell>
          <cell r="AO199">
            <v>19066300000</v>
          </cell>
          <cell r="AP199">
            <v>22943400000</v>
          </cell>
          <cell r="AQ199">
            <v>24827500000</v>
          </cell>
          <cell r="AR199">
            <v>27215800000</v>
          </cell>
          <cell r="AS199">
            <v>29433400000</v>
          </cell>
          <cell r="AT199">
            <v>31746400000</v>
          </cell>
          <cell r="AU199">
            <v>32901200000</v>
          </cell>
          <cell r="AV199">
            <v>35373200000</v>
          </cell>
          <cell r="AW199">
            <v>38838500000</v>
          </cell>
          <cell r="AX199">
            <v>41871000000</v>
          </cell>
          <cell r="AY199">
            <v>45756200000</v>
          </cell>
          <cell r="AZ199">
            <v>49864500000</v>
          </cell>
          <cell r="BA199">
            <v>55273200000</v>
          </cell>
          <cell r="BB199">
            <v>58677200000</v>
          </cell>
          <cell r="BC199">
            <v>66139742567.141296</v>
          </cell>
          <cell r="BD199">
            <v>67747331539.852898</v>
          </cell>
          <cell r="BE199">
            <v>73895357556.086899</v>
          </cell>
          <cell r="BF199">
            <v>79096648761.689499</v>
          </cell>
          <cell r="BG199">
            <v>85345657460.119003</v>
          </cell>
          <cell r="BH199">
            <v>89802183441.9263</v>
          </cell>
          <cell r="BI199">
            <v>95286946094.4095</v>
          </cell>
          <cell r="BJ199">
            <v>102011521009.716</v>
          </cell>
          <cell r="BK199">
            <v>112679247946.522</v>
          </cell>
          <cell r="BL199">
            <v>122671363907.722</v>
          </cell>
          <cell r="BM199">
            <v>117053072301.495</v>
          </cell>
          <cell r="BN199">
            <v>117053072301.495</v>
          </cell>
        </row>
        <row r="200">
          <cell r="B200" t="str">
            <v>TUR</v>
          </cell>
          <cell r="C200" t="str">
            <v>GDP (current LCU)</v>
          </cell>
          <cell r="D200" t="str">
            <v>NY.GDP.MKTP.CN</v>
          </cell>
          <cell r="E200">
            <v>68100</v>
          </cell>
          <cell r="F200">
            <v>71900</v>
          </cell>
          <cell r="G200">
            <v>80300</v>
          </cell>
          <cell r="H200">
            <v>93200</v>
          </cell>
          <cell r="I200">
            <v>100600</v>
          </cell>
          <cell r="J200">
            <v>107700</v>
          </cell>
          <cell r="K200">
            <v>126900</v>
          </cell>
          <cell r="L200">
            <v>140800</v>
          </cell>
          <cell r="M200">
            <v>157500</v>
          </cell>
          <cell r="N200">
            <v>175200</v>
          </cell>
          <cell r="O200">
            <v>196500</v>
          </cell>
          <cell r="P200">
            <v>242500</v>
          </cell>
          <cell r="Q200">
            <v>289100</v>
          </cell>
          <cell r="R200">
            <v>364000</v>
          </cell>
          <cell r="S200">
            <v>495800</v>
          </cell>
          <cell r="T200">
            <v>644600</v>
          </cell>
          <cell r="U200">
            <v>823200</v>
          </cell>
          <cell r="V200">
            <v>1056300</v>
          </cell>
          <cell r="W200">
            <v>1581900</v>
          </cell>
          <cell r="X200">
            <v>2778100</v>
          </cell>
          <cell r="Y200">
            <v>5230600</v>
          </cell>
          <cell r="Z200">
            <v>7901000</v>
          </cell>
          <cell r="AA200">
            <v>10492200</v>
          </cell>
          <cell r="AB200">
            <v>13905800</v>
          </cell>
          <cell r="AC200">
            <v>21997100</v>
          </cell>
          <cell r="AD200">
            <v>35095500</v>
          </cell>
          <cell r="AE200">
            <v>51079300</v>
          </cell>
          <cell r="AF200">
            <v>74721900</v>
          </cell>
          <cell r="AG200">
            <v>129224500</v>
          </cell>
          <cell r="AH200">
            <v>227323900</v>
          </cell>
          <cell r="AI200">
            <v>393060200</v>
          </cell>
          <cell r="AJ200">
            <v>630116900</v>
          </cell>
          <cell r="AK200">
            <v>1093368000</v>
          </cell>
          <cell r="AL200">
            <v>1981867100</v>
          </cell>
          <cell r="AM200">
            <v>3868429100</v>
          </cell>
          <cell r="AN200">
            <v>7762456100</v>
          </cell>
          <cell r="AO200">
            <v>14772110200</v>
          </cell>
          <cell r="AP200">
            <v>28835883200</v>
          </cell>
          <cell r="AQ200">
            <v>71944699600</v>
          </cell>
          <cell r="AR200">
            <v>107374257900</v>
          </cell>
          <cell r="AS200">
            <v>171494210000</v>
          </cell>
          <cell r="AT200">
            <v>247266207500</v>
          </cell>
          <cell r="AU200">
            <v>362109647600</v>
          </cell>
          <cell r="AV200">
            <v>472171775300</v>
          </cell>
          <cell r="AW200">
            <v>582852798800</v>
          </cell>
          <cell r="AX200">
            <v>680275847300</v>
          </cell>
          <cell r="AY200">
            <v>795757108800</v>
          </cell>
          <cell r="AZ200">
            <v>887714413800</v>
          </cell>
          <cell r="BA200">
            <v>1002756496300</v>
          </cell>
          <cell r="BB200">
            <v>1006372481600</v>
          </cell>
          <cell r="BC200">
            <v>1167664479200</v>
          </cell>
          <cell r="BD200">
            <v>1404927614900</v>
          </cell>
          <cell r="BE200">
            <v>1581479250900</v>
          </cell>
          <cell r="BF200">
            <v>1823427315100</v>
          </cell>
          <cell r="BG200">
            <v>2054897827700</v>
          </cell>
          <cell r="BH200">
            <v>2350941343300</v>
          </cell>
          <cell r="BI200">
            <v>2626559709600</v>
          </cell>
          <cell r="BJ200">
            <v>3133704267400</v>
          </cell>
          <cell r="BK200">
            <v>3758773730000</v>
          </cell>
          <cell r="BL200">
            <v>4317786910000</v>
          </cell>
          <cell r="BM200">
            <v>5046883300000</v>
          </cell>
          <cell r="BN200">
            <v>5046883300000</v>
          </cell>
        </row>
        <row r="201">
          <cell r="B201" t="str">
            <v>TKM</v>
          </cell>
          <cell r="C201" t="str">
            <v>GDP (current LCU)</v>
          </cell>
          <cell r="D201" t="str">
            <v>NY.GDP.MKTP.CN</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v>2500</v>
          </cell>
          <cell r="AG201">
            <v>2700</v>
          </cell>
          <cell r="AH201">
            <v>2800</v>
          </cell>
          <cell r="AI201">
            <v>3000</v>
          </cell>
          <cell r="AJ201">
            <v>5900</v>
          </cell>
          <cell r="AK201">
            <v>160000</v>
          </cell>
          <cell r="AL201">
            <v>2004000</v>
          </cell>
          <cell r="AM201">
            <v>17440000</v>
          </cell>
          <cell r="AN201">
            <v>130400000</v>
          </cell>
          <cell r="AO201">
            <v>1550000000</v>
          </cell>
          <cell r="AP201">
            <v>2222000000</v>
          </cell>
          <cell r="AQ201">
            <v>2799000000</v>
          </cell>
          <cell r="AR201">
            <v>4011000000</v>
          </cell>
          <cell r="AS201">
            <v>5223000000</v>
          </cell>
          <cell r="AT201">
            <v>7211000000</v>
          </cell>
          <cell r="AU201">
            <v>9048000000</v>
          </cell>
          <cell r="AV201">
            <v>11881000000</v>
          </cell>
          <cell r="AW201">
            <v>14764000000</v>
          </cell>
          <cell r="AX201">
            <v>17861000000</v>
          </cell>
          <cell r="AY201">
            <v>22249000000</v>
          </cell>
          <cell r="AZ201">
            <v>27000000000</v>
          </cell>
          <cell r="BA201">
            <v>49470000000</v>
          </cell>
          <cell r="BB201">
            <v>57611000000</v>
          </cell>
          <cell r="BC201">
            <v>64362000000</v>
          </cell>
          <cell r="BD201">
            <v>83315000000</v>
          </cell>
          <cell r="BE201">
            <v>100218000000</v>
          </cell>
          <cell r="BF201">
            <v>111713000000</v>
          </cell>
          <cell r="BG201">
            <v>124044000000</v>
          </cell>
          <cell r="BH201">
            <v>125299000000</v>
          </cell>
          <cell r="BI201">
            <v>126593000000</v>
          </cell>
          <cell r="BJ201">
            <v>132742000000</v>
          </cell>
          <cell r="BK201">
            <v>142679000000</v>
          </cell>
          <cell r="BL201">
            <v>158310000000</v>
          </cell>
          <cell r="BM201" t="str">
            <v>..</v>
          </cell>
          <cell r="BN201">
            <v>158310000000</v>
          </cell>
        </row>
        <row r="202">
          <cell r="B202" t="str">
            <v>TCA</v>
          </cell>
          <cell r="C202" t="str">
            <v>GDP (current LCU)</v>
          </cell>
          <cell r="D202" t="str">
            <v>NY.GDP.MKTP.CN</v>
          </cell>
          <cell r="E202" t="str">
            <v>..</v>
          </cell>
          <cell r="F202" t="str">
            <v>..</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t="str">
            <v>..</v>
          </cell>
          <cell r="AF202" t="str">
            <v>..</v>
          </cell>
          <cell r="AG202" t="str">
            <v>..</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v>319443000</v>
          </cell>
          <cell r="AT202">
            <v>358744800</v>
          </cell>
          <cell r="AU202">
            <v>366707910</v>
          </cell>
          <cell r="AV202">
            <v>409753640</v>
          </cell>
          <cell r="AW202">
            <v>485598810</v>
          </cell>
          <cell r="AX202">
            <v>578645760</v>
          </cell>
          <cell r="AY202">
            <v>721891470</v>
          </cell>
          <cell r="AZ202">
            <v>773489740</v>
          </cell>
          <cell r="BA202">
            <v>862683630</v>
          </cell>
          <cell r="BB202">
            <v>703175750</v>
          </cell>
          <cell r="BC202">
            <v>686787810</v>
          </cell>
          <cell r="BD202">
            <v>728789570</v>
          </cell>
          <cell r="BE202">
            <v>727161000</v>
          </cell>
          <cell r="BF202">
            <v>754238000</v>
          </cell>
          <cell r="BG202">
            <v>841070000</v>
          </cell>
          <cell r="BH202">
            <v>942070000</v>
          </cell>
          <cell r="BI202">
            <v>1032452000</v>
          </cell>
          <cell r="BJ202">
            <v>1022365000</v>
          </cell>
          <cell r="BK202">
            <v>1113178000</v>
          </cell>
          <cell r="BL202">
            <v>1197415000</v>
          </cell>
          <cell r="BM202">
            <v>924583000</v>
          </cell>
          <cell r="BN202">
            <v>924583000</v>
          </cell>
        </row>
        <row r="203">
          <cell r="B203" t="str">
            <v>TUV</v>
          </cell>
          <cell r="C203" t="str">
            <v>GDP (current LCU)</v>
          </cell>
          <cell r="D203" t="str">
            <v>NY.GDP.MKTP.CN</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v>11305000</v>
          </cell>
          <cell r="AJ203">
            <v>12023000</v>
          </cell>
          <cell r="AK203">
            <v>13266000</v>
          </cell>
          <cell r="AL203">
            <v>14163000</v>
          </cell>
          <cell r="AM203">
            <v>14891000</v>
          </cell>
          <cell r="AN203">
            <v>14874000</v>
          </cell>
          <cell r="AO203">
            <v>15762700</v>
          </cell>
          <cell r="AP203">
            <v>17113200</v>
          </cell>
          <cell r="AQ203">
            <v>20307600</v>
          </cell>
          <cell r="AR203">
            <v>21213700</v>
          </cell>
          <cell r="AS203">
            <v>23702300</v>
          </cell>
          <cell r="AT203">
            <v>25514200</v>
          </cell>
          <cell r="AU203">
            <v>28439100</v>
          </cell>
          <cell r="AV203">
            <v>28110500</v>
          </cell>
          <cell r="AW203">
            <v>29283200</v>
          </cell>
          <cell r="AX203">
            <v>28598300</v>
          </cell>
          <cell r="AY203">
            <v>30415000</v>
          </cell>
          <cell r="AZ203">
            <v>32304000</v>
          </cell>
          <cell r="BA203">
            <v>36112000</v>
          </cell>
          <cell r="BB203">
            <v>34749000</v>
          </cell>
          <cell r="BC203">
            <v>34694000</v>
          </cell>
          <cell r="BD203">
            <v>37531100</v>
          </cell>
          <cell r="BE203">
            <v>36383400</v>
          </cell>
          <cell r="BF203">
            <v>38851900</v>
          </cell>
          <cell r="BG203">
            <v>41370200</v>
          </cell>
          <cell r="BH203">
            <v>47243500</v>
          </cell>
          <cell r="BI203">
            <v>49164100</v>
          </cell>
          <cell r="BJ203">
            <v>53000000</v>
          </cell>
          <cell r="BK203">
            <v>57000000</v>
          </cell>
          <cell r="BL203">
            <v>68000000</v>
          </cell>
          <cell r="BM203">
            <v>70992000</v>
          </cell>
          <cell r="BN203">
            <v>70992000</v>
          </cell>
        </row>
        <row r="204">
          <cell r="B204" t="str">
            <v>UGA</v>
          </cell>
          <cell r="C204" t="str">
            <v>GDP (current LCU)</v>
          </cell>
          <cell r="D204" t="str">
            <v>NY.GDP.MKTP.CN</v>
          </cell>
          <cell r="E204">
            <v>40355000</v>
          </cell>
          <cell r="F204">
            <v>42121400</v>
          </cell>
          <cell r="G204">
            <v>42835800</v>
          </cell>
          <cell r="H204">
            <v>49240500</v>
          </cell>
          <cell r="I204">
            <v>56196000</v>
          </cell>
          <cell r="J204">
            <v>63180000</v>
          </cell>
          <cell r="K204">
            <v>66100000</v>
          </cell>
          <cell r="L204">
            <v>69090000</v>
          </cell>
          <cell r="M204">
            <v>74100000</v>
          </cell>
          <cell r="N204">
            <v>83470000</v>
          </cell>
          <cell r="O204">
            <v>89970000</v>
          </cell>
          <cell r="P204">
            <v>101230000</v>
          </cell>
          <cell r="Q204">
            <v>106500000</v>
          </cell>
          <cell r="R204">
            <v>121560000</v>
          </cell>
          <cell r="S204">
            <v>147220000</v>
          </cell>
          <cell r="T204">
            <v>212360000</v>
          </cell>
          <cell r="U204">
            <v>244730000</v>
          </cell>
          <cell r="V204">
            <v>499200000</v>
          </cell>
          <cell r="W204">
            <v>556660000</v>
          </cell>
          <cell r="X204">
            <v>855610000</v>
          </cell>
          <cell r="Y204">
            <v>1244610000</v>
          </cell>
          <cell r="Z204">
            <v>2674600000</v>
          </cell>
          <cell r="AA204">
            <v>4355000000</v>
          </cell>
          <cell r="AB204">
            <v>6721000000</v>
          </cell>
          <cell r="AC204">
            <v>8390833100</v>
          </cell>
          <cell r="AD204">
            <v>17876737300</v>
          </cell>
          <cell r="AE204">
            <v>42583546100</v>
          </cell>
          <cell r="AF204">
            <v>124395260800</v>
          </cell>
          <cell r="AG204">
            <v>390535899100</v>
          </cell>
          <cell r="AH204">
            <v>894926000000</v>
          </cell>
          <cell r="AI204">
            <v>1375747000000</v>
          </cell>
          <cell r="AJ204">
            <v>1829999000000</v>
          </cell>
          <cell r="AK204">
            <v>2745492088500</v>
          </cell>
          <cell r="AL204">
            <v>3870387408000</v>
          </cell>
          <cell r="AM204">
            <v>4400270000000</v>
          </cell>
          <cell r="AN204">
            <v>5367456000000</v>
          </cell>
          <cell r="AO204">
            <v>6122089000000</v>
          </cell>
          <cell r="AP204">
            <v>6633475000000</v>
          </cell>
          <cell r="AQ204">
            <v>7570250000000</v>
          </cell>
          <cell r="AR204">
            <v>8170700000000</v>
          </cell>
          <cell r="AS204">
            <v>9364317417900</v>
          </cell>
          <cell r="AT204">
            <v>10296365610100</v>
          </cell>
          <cell r="AU204">
            <v>10840666712600</v>
          </cell>
          <cell r="AV204">
            <v>12443497236600</v>
          </cell>
          <cell r="AW204">
            <v>15362227053900</v>
          </cell>
          <cell r="AX204">
            <v>16050626595600</v>
          </cell>
          <cell r="AY204">
            <v>18209404509000</v>
          </cell>
          <cell r="AZ204">
            <v>21186563444100</v>
          </cell>
          <cell r="BA204">
            <v>24497446506900</v>
          </cell>
          <cell r="BB204">
            <v>48495172151568.203</v>
          </cell>
          <cell r="BC204">
            <v>54117241670692.5</v>
          </cell>
          <cell r="BD204">
            <v>64759582821231.398</v>
          </cell>
          <cell r="BE204">
            <v>69825188689968.398</v>
          </cell>
          <cell r="BF204">
            <v>74924152556171.5</v>
          </cell>
          <cell r="BG204">
            <v>82771227576659.094</v>
          </cell>
          <cell r="BH204">
            <v>91582107734064.703</v>
          </cell>
          <cell r="BI204">
            <v>100548527459600</v>
          </cell>
          <cell r="BJ204">
            <v>108518040921500</v>
          </cell>
          <cell r="BK204">
            <v>120484777455400</v>
          </cell>
          <cell r="BL204">
            <v>132089774789200</v>
          </cell>
          <cell r="BM204">
            <v>139689045108200</v>
          </cell>
          <cell r="BN204">
            <v>139689045108200</v>
          </cell>
        </row>
        <row r="205">
          <cell r="B205" t="str">
            <v>UKR</v>
          </cell>
          <cell r="C205" t="str">
            <v>GDP (current LCU)</v>
          </cell>
          <cell r="D205" t="str">
            <v>NY.GDP.MKTP.CN</v>
          </cell>
          <cell r="E205" t="str">
            <v>..</v>
          </cell>
          <cell r="F205" t="str">
            <v>..</v>
          </cell>
          <cell r="G205" t="str">
            <v>..</v>
          </cell>
          <cell r="H205" t="str">
            <v>..</v>
          </cell>
          <cell r="I205" t="str">
            <v>..</v>
          </cell>
          <cell r="J205">
            <v>477000</v>
          </cell>
          <cell r="K205">
            <v>501000</v>
          </cell>
          <cell r="L205">
            <v>533000</v>
          </cell>
          <cell r="M205">
            <v>583000</v>
          </cell>
          <cell r="N205">
            <v>637000</v>
          </cell>
          <cell r="O205">
            <v>687000</v>
          </cell>
          <cell r="P205">
            <v>719000</v>
          </cell>
          <cell r="Q205">
            <v>752000</v>
          </cell>
          <cell r="R205">
            <v>809000</v>
          </cell>
          <cell r="S205">
            <v>837000</v>
          </cell>
          <cell r="T205">
            <v>867000</v>
          </cell>
          <cell r="U205">
            <v>921000</v>
          </cell>
          <cell r="V205">
            <v>966000</v>
          </cell>
          <cell r="W205">
            <v>1010000</v>
          </cell>
          <cell r="X205">
            <v>1029000</v>
          </cell>
          <cell r="Y205">
            <v>1057000</v>
          </cell>
          <cell r="Z205">
            <v>1092000</v>
          </cell>
          <cell r="AA205">
            <v>1153000</v>
          </cell>
          <cell r="AB205">
            <v>1212000</v>
          </cell>
          <cell r="AC205">
            <v>1265000</v>
          </cell>
          <cell r="AD205">
            <v>1283000</v>
          </cell>
          <cell r="AE205">
            <v>1306000</v>
          </cell>
          <cell r="AF205">
            <v>1363000</v>
          </cell>
          <cell r="AG205">
            <v>1422000</v>
          </cell>
          <cell r="AH205">
            <v>1533900</v>
          </cell>
          <cell r="AI205">
            <v>1670000</v>
          </cell>
          <cell r="AJ205">
            <v>2990000</v>
          </cell>
          <cell r="AK205">
            <v>50330000</v>
          </cell>
          <cell r="AL205">
            <v>1482730000</v>
          </cell>
          <cell r="AM205">
            <v>12037690000</v>
          </cell>
          <cell r="AN205">
            <v>54516420000</v>
          </cell>
          <cell r="AO205">
            <v>81519000000</v>
          </cell>
          <cell r="AP205">
            <v>93365000000</v>
          </cell>
          <cell r="AQ205">
            <v>102593000000</v>
          </cell>
          <cell r="AR205">
            <v>130442000000</v>
          </cell>
          <cell r="AS205">
            <v>176128000000</v>
          </cell>
          <cell r="AT205">
            <v>211175000000</v>
          </cell>
          <cell r="AU205">
            <v>234138000000</v>
          </cell>
          <cell r="AV205">
            <v>277355000000</v>
          </cell>
          <cell r="AW205">
            <v>357544000000</v>
          </cell>
          <cell r="AX205">
            <v>457325000000</v>
          </cell>
          <cell r="AY205">
            <v>565018000000</v>
          </cell>
          <cell r="AZ205">
            <v>751106000000</v>
          </cell>
          <cell r="BA205">
            <v>990819000000</v>
          </cell>
          <cell r="BB205">
            <v>947042000000</v>
          </cell>
          <cell r="BC205">
            <v>1120585000000</v>
          </cell>
          <cell r="BD205">
            <v>1349178000000</v>
          </cell>
          <cell r="BE205">
            <v>1459096000000</v>
          </cell>
          <cell r="BF205">
            <v>1522657000000</v>
          </cell>
          <cell r="BG205">
            <v>1586915000000</v>
          </cell>
          <cell r="BH205">
            <v>1988544000000</v>
          </cell>
          <cell r="BI205">
            <v>2385367000000</v>
          </cell>
          <cell r="BJ205">
            <v>2981227000000</v>
          </cell>
          <cell r="BK205">
            <v>3560302000000</v>
          </cell>
          <cell r="BL205">
            <v>3977198000000</v>
          </cell>
          <cell r="BM205">
            <v>4191864000000</v>
          </cell>
          <cell r="BN205">
            <v>4191864000000</v>
          </cell>
        </row>
        <row r="206">
          <cell r="B206" t="str">
            <v>ARE</v>
          </cell>
          <cell r="C206" t="str">
            <v>GDP (current LCU)</v>
          </cell>
          <cell r="D206" t="str">
            <v>NY.GDP.MKTP.CN</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t="str">
            <v>..</v>
          </cell>
          <cell r="T206">
            <v>58313000000</v>
          </cell>
          <cell r="U206">
            <v>75951000000</v>
          </cell>
          <cell r="V206">
            <v>97082000000</v>
          </cell>
          <cell r="W206">
            <v>92041000000</v>
          </cell>
          <cell r="X206">
            <v>119147000000</v>
          </cell>
          <cell r="Y206">
            <v>161638000000</v>
          </cell>
          <cell r="Z206">
            <v>181103000000</v>
          </cell>
          <cell r="AA206">
            <v>171152000000</v>
          </cell>
          <cell r="AB206">
            <v>157131000000</v>
          </cell>
          <cell r="AC206">
            <v>153477000000</v>
          </cell>
          <cell r="AD206">
            <v>149056000000</v>
          </cell>
          <cell r="AE206">
            <v>124607000000</v>
          </cell>
          <cell r="AF206">
            <v>133569000000</v>
          </cell>
          <cell r="AG206">
            <v>133168000000</v>
          </cell>
          <cell r="AH206">
            <v>152218000000</v>
          </cell>
          <cell r="AI206">
            <v>186125000000</v>
          </cell>
          <cell r="AJ206">
            <v>189248000000</v>
          </cell>
          <cell r="AK206">
            <v>199112000000</v>
          </cell>
          <cell r="AL206">
            <v>204200000000</v>
          </cell>
          <cell r="AM206">
            <v>217709000000</v>
          </cell>
          <cell r="AN206">
            <v>241345000000</v>
          </cell>
          <cell r="AO206">
            <v>270080000000</v>
          </cell>
          <cell r="AP206">
            <v>289418000000</v>
          </cell>
          <cell r="AQ206">
            <v>277914000000</v>
          </cell>
          <cell r="AR206">
            <v>310126000000</v>
          </cell>
          <cell r="AS206">
            <v>383179000000</v>
          </cell>
          <cell r="AT206">
            <v>379412000000</v>
          </cell>
          <cell r="AU206">
            <v>403300000000</v>
          </cell>
          <cell r="AV206">
            <v>456662000000</v>
          </cell>
          <cell r="AW206">
            <v>542885000000</v>
          </cell>
          <cell r="AX206">
            <v>663317651100</v>
          </cell>
          <cell r="AY206">
            <v>815723000000</v>
          </cell>
          <cell r="AZ206">
            <v>947197000000</v>
          </cell>
          <cell r="BA206">
            <v>1158580526300</v>
          </cell>
          <cell r="BB206">
            <v>931152675000</v>
          </cell>
          <cell r="BC206">
            <v>1064244000000</v>
          </cell>
          <cell r="BD206">
            <v>1287821000000</v>
          </cell>
          <cell r="BE206">
            <v>1375684000000</v>
          </cell>
          <cell r="BF206">
            <v>1432670000000</v>
          </cell>
          <cell r="BG206">
            <v>1480521000000</v>
          </cell>
          <cell r="BH206">
            <v>1315251000000</v>
          </cell>
          <cell r="BI206">
            <v>1311248000000</v>
          </cell>
          <cell r="BJ206">
            <v>1416136223900</v>
          </cell>
          <cell r="BK206">
            <v>1550584747600</v>
          </cell>
          <cell r="BL206">
            <v>1532224142312.8301</v>
          </cell>
          <cell r="BM206">
            <v>1317945540104.9099</v>
          </cell>
          <cell r="BN206">
            <v>1317945540104.9099</v>
          </cell>
        </row>
        <row r="207">
          <cell r="B207" t="str">
            <v>GBR</v>
          </cell>
          <cell r="C207" t="str">
            <v>GDP (current LCU)</v>
          </cell>
          <cell r="D207" t="str">
            <v>NY.GDP.MKTP.CN</v>
          </cell>
          <cell r="E207">
            <v>26155000000</v>
          </cell>
          <cell r="F207">
            <v>27765000000</v>
          </cell>
          <cell r="G207">
            <v>29017000000</v>
          </cell>
          <cell r="H207">
            <v>30915000000</v>
          </cell>
          <cell r="I207">
            <v>33717000000</v>
          </cell>
          <cell r="J207">
            <v>36366000000</v>
          </cell>
          <cell r="K207">
            <v>38776000000</v>
          </cell>
          <cell r="L207">
            <v>40960000000</v>
          </cell>
          <cell r="M207">
            <v>44900000000</v>
          </cell>
          <cell r="N207">
            <v>48527000000</v>
          </cell>
          <cell r="O207">
            <v>54451000000</v>
          </cell>
          <cell r="P207">
            <v>60860000000</v>
          </cell>
          <cell r="Q207">
            <v>68054000000</v>
          </cell>
          <cell r="R207">
            <v>78594000000</v>
          </cell>
          <cell r="S207">
            <v>88183000000</v>
          </cell>
          <cell r="T207">
            <v>109274000000</v>
          </cell>
          <cell r="U207">
            <v>129450000000</v>
          </cell>
          <cell r="V207">
            <v>150816000000</v>
          </cell>
          <cell r="W207">
            <v>175163000000</v>
          </cell>
          <cell r="X207">
            <v>207293000000</v>
          </cell>
          <cell r="Y207">
            <v>243097000000</v>
          </cell>
          <cell r="Z207">
            <v>269085000000</v>
          </cell>
          <cell r="AA207">
            <v>294814000000</v>
          </cell>
          <cell r="AB207">
            <v>323001000000</v>
          </cell>
          <cell r="AC207">
            <v>346946000000</v>
          </cell>
          <cell r="AD207">
            <v>381251000000</v>
          </cell>
          <cell r="AE207">
            <v>410311000000</v>
          </cell>
          <cell r="AF207">
            <v>455965000000</v>
          </cell>
          <cell r="AG207">
            <v>511671000000</v>
          </cell>
          <cell r="AH207">
            <v>566512000000</v>
          </cell>
          <cell r="AI207">
            <v>615673000000</v>
          </cell>
          <cell r="AJ207">
            <v>647966000000</v>
          </cell>
          <cell r="AK207">
            <v>672170000000</v>
          </cell>
          <cell r="AL207">
            <v>707734000000</v>
          </cell>
          <cell r="AM207">
            <v>745196000000</v>
          </cell>
          <cell r="AN207">
            <v>853228000000</v>
          </cell>
          <cell r="AO207">
            <v>911191000000</v>
          </cell>
          <cell r="AP207">
            <v>952585000000</v>
          </cell>
          <cell r="AQ207">
            <v>998318000000</v>
          </cell>
          <cell r="AR207">
            <v>1041970000000</v>
          </cell>
          <cell r="AS207">
            <v>1098500000000</v>
          </cell>
          <cell r="AT207">
            <v>1142023000000</v>
          </cell>
          <cell r="AU207">
            <v>1190336000000</v>
          </cell>
          <cell r="AV207">
            <v>1259970000000</v>
          </cell>
          <cell r="AW207">
            <v>1322795000000</v>
          </cell>
          <cell r="AX207">
            <v>1399656000000</v>
          </cell>
          <cell r="AY207">
            <v>1476722000000</v>
          </cell>
          <cell r="AZ207">
            <v>1552470000000</v>
          </cell>
          <cell r="BA207">
            <v>1598752000000</v>
          </cell>
          <cell r="BB207">
            <v>1557120000000</v>
          </cell>
          <cell r="BC207">
            <v>1612195000000</v>
          </cell>
          <cell r="BD207">
            <v>1669509000000</v>
          </cell>
          <cell r="BE207">
            <v>1721355000000</v>
          </cell>
          <cell r="BF207">
            <v>1793155000000</v>
          </cell>
          <cell r="BG207">
            <v>1876162000000</v>
          </cell>
          <cell r="BH207">
            <v>1935212000000</v>
          </cell>
          <cell r="BI207">
            <v>2016638000000</v>
          </cell>
          <cell r="BJ207">
            <v>2097143000000</v>
          </cell>
          <cell r="BK207">
            <v>2174380000000</v>
          </cell>
          <cell r="BL207">
            <v>2255283000000</v>
          </cell>
          <cell r="BM207">
            <v>2152646000000</v>
          </cell>
          <cell r="BN207">
            <v>2152646000000</v>
          </cell>
        </row>
        <row r="208">
          <cell r="B208" t="str">
            <v>USA</v>
          </cell>
          <cell r="C208" t="str">
            <v>GDP (current LCU)</v>
          </cell>
          <cell r="D208" t="str">
            <v>NY.GDP.MKTP.CN</v>
          </cell>
          <cell r="E208">
            <v>543300000000</v>
          </cell>
          <cell r="F208">
            <v>563300000000</v>
          </cell>
          <cell r="G208">
            <v>605100000000</v>
          </cell>
          <cell r="H208">
            <v>638600000000</v>
          </cell>
          <cell r="I208">
            <v>685800000000</v>
          </cell>
          <cell r="J208">
            <v>743700000000</v>
          </cell>
          <cell r="K208">
            <v>815000000000</v>
          </cell>
          <cell r="L208">
            <v>861700000000</v>
          </cell>
          <cell r="M208">
            <v>942500000000</v>
          </cell>
          <cell r="N208">
            <v>1019900000000</v>
          </cell>
          <cell r="O208">
            <v>1073303000000</v>
          </cell>
          <cell r="P208">
            <v>1164850000000</v>
          </cell>
          <cell r="Q208">
            <v>1279110000000</v>
          </cell>
          <cell r="R208">
            <v>1425376000000</v>
          </cell>
          <cell r="S208">
            <v>1545243000000</v>
          </cell>
          <cell r="T208">
            <v>1684904000000</v>
          </cell>
          <cell r="U208">
            <v>1873412000000</v>
          </cell>
          <cell r="V208">
            <v>2081826000000</v>
          </cell>
          <cell r="W208">
            <v>2351599000000</v>
          </cell>
          <cell r="X208">
            <v>2627333000000</v>
          </cell>
          <cell r="Y208">
            <v>2857307000000</v>
          </cell>
          <cell r="Z208">
            <v>3207041000000</v>
          </cell>
          <cell r="AA208">
            <v>3343789000000</v>
          </cell>
          <cell r="AB208">
            <v>3634038000000</v>
          </cell>
          <cell r="AC208">
            <v>4037613000000</v>
          </cell>
          <cell r="AD208">
            <v>4338979000000</v>
          </cell>
          <cell r="AE208">
            <v>4579631000000</v>
          </cell>
          <cell r="AF208">
            <v>4855215000000</v>
          </cell>
          <cell r="AG208">
            <v>5236438000000</v>
          </cell>
          <cell r="AH208">
            <v>5641580000000</v>
          </cell>
          <cell r="AI208">
            <v>5963144000000</v>
          </cell>
          <cell r="AJ208">
            <v>6158129000000</v>
          </cell>
          <cell r="AK208">
            <v>6520327000000</v>
          </cell>
          <cell r="AL208">
            <v>6858559000000</v>
          </cell>
          <cell r="AM208">
            <v>7287236000000</v>
          </cell>
          <cell r="AN208">
            <v>7639749000000</v>
          </cell>
          <cell r="AO208">
            <v>8073122000000</v>
          </cell>
          <cell r="AP208">
            <v>8577554457000</v>
          </cell>
          <cell r="AQ208">
            <v>9062818202000</v>
          </cell>
          <cell r="AR208">
            <v>9630664202000</v>
          </cell>
          <cell r="AS208">
            <v>10252345464000</v>
          </cell>
          <cell r="AT208">
            <v>10581821399000</v>
          </cell>
          <cell r="AU208">
            <v>10936419054000</v>
          </cell>
          <cell r="AV208">
            <v>11458243878000</v>
          </cell>
          <cell r="AW208">
            <v>12213729147000</v>
          </cell>
          <cell r="AX208">
            <v>13036640230000</v>
          </cell>
          <cell r="AY208">
            <v>13814611414000</v>
          </cell>
          <cell r="AZ208">
            <v>14451858656000</v>
          </cell>
          <cell r="BA208">
            <v>14712844084000</v>
          </cell>
          <cell r="BB208">
            <v>14448933025000</v>
          </cell>
          <cell r="BC208">
            <v>14992052727000</v>
          </cell>
          <cell r="BD208">
            <v>15542581104000</v>
          </cell>
          <cell r="BE208">
            <v>16197007349000</v>
          </cell>
          <cell r="BF208">
            <v>16784849196000</v>
          </cell>
          <cell r="BG208">
            <v>17527163695000</v>
          </cell>
          <cell r="BH208">
            <v>18238300569000</v>
          </cell>
          <cell r="BI208">
            <v>18745075687000</v>
          </cell>
          <cell r="BJ208">
            <v>19542979183000</v>
          </cell>
          <cell r="BK208">
            <v>20611860934000</v>
          </cell>
          <cell r="BL208">
            <v>21433224697000</v>
          </cell>
          <cell r="BM208">
            <v>20953030000000</v>
          </cell>
          <cell r="BN208">
            <v>20953030000000</v>
          </cell>
        </row>
        <row r="209">
          <cell r="B209" t="str">
            <v>URY</v>
          </cell>
          <cell r="C209" t="str">
            <v>GDP (current LCU)</v>
          </cell>
          <cell r="D209" t="str">
            <v>NY.GDP.MKTP.CN</v>
          </cell>
          <cell r="E209">
            <v>14500</v>
          </cell>
          <cell r="F209">
            <v>17600</v>
          </cell>
          <cell r="G209">
            <v>19400</v>
          </cell>
          <cell r="H209">
            <v>23300</v>
          </cell>
          <cell r="I209">
            <v>33500</v>
          </cell>
          <cell r="J209">
            <v>54900</v>
          </cell>
          <cell r="K209">
            <v>97500</v>
          </cell>
          <cell r="L209">
            <v>167700</v>
          </cell>
          <cell r="M209">
            <v>369500</v>
          </cell>
          <cell r="N209">
            <v>497100</v>
          </cell>
          <cell r="O209">
            <v>530000</v>
          </cell>
          <cell r="P209">
            <v>696200</v>
          </cell>
          <cell r="Q209">
            <v>1162200</v>
          </cell>
          <cell r="R209">
            <v>3398000</v>
          </cell>
          <cell r="S209">
            <v>4492400</v>
          </cell>
          <cell r="T209">
            <v>7911000</v>
          </cell>
          <cell r="U209">
            <v>12110800</v>
          </cell>
          <cell r="V209">
            <v>19119500</v>
          </cell>
          <cell r="W209">
            <v>29576100</v>
          </cell>
          <cell r="X209">
            <v>56288500</v>
          </cell>
          <cell r="Y209">
            <v>92204000</v>
          </cell>
          <cell r="Z209">
            <v>119248000</v>
          </cell>
          <cell r="AA209">
            <v>127156700</v>
          </cell>
          <cell r="AB209">
            <v>175395000</v>
          </cell>
          <cell r="AC209">
            <v>271096000</v>
          </cell>
          <cell r="AD209">
            <v>478672000</v>
          </cell>
          <cell r="AE209">
            <v>890449000</v>
          </cell>
          <cell r="AF209">
            <v>1661532000</v>
          </cell>
          <cell r="AG209">
            <v>2944611000</v>
          </cell>
          <cell r="AH209">
            <v>5242091000</v>
          </cell>
          <cell r="AI209">
            <v>10874807000</v>
          </cell>
          <cell r="AJ209">
            <v>22610288000</v>
          </cell>
          <cell r="AK209">
            <v>38953979000</v>
          </cell>
          <cell r="AL209">
            <v>59124802000</v>
          </cell>
          <cell r="AM209">
            <v>88140376000</v>
          </cell>
          <cell r="AN209">
            <v>122520863000</v>
          </cell>
          <cell r="AO209">
            <v>163545806000</v>
          </cell>
          <cell r="AP209">
            <v>226318274900</v>
          </cell>
          <cell r="AQ209">
            <v>265838901400</v>
          </cell>
          <cell r="AR209">
            <v>271961149700</v>
          </cell>
          <cell r="AS209">
            <v>276152265900</v>
          </cell>
          <cell r="AT209">
            <v>278353052800</v>
          </cell>
          <cell r="AU209">
            <v>289233255700</v>
          </cell>
          <cell r="AV209">
            <v>339791593800</v>
          </cell>
          <cell r="AW209">
            <v>392849675900</v>
          </cell>
          <cell r="AX209">
            <v>425018448100</v>
          </cell>
          <cell r="AY209">
            <v>471344123400</v>
          </cell>
          <cell r="AZ209">
            <v>549469550300</v>
          </cell>
          <cell r="BA209">
            <v>636150908500</v>
          </cell>
          <cell r="BB209">
            <v>714523445700</v>
          </cell>
          <cell r="BC209">
            <v>808078502800</v>
          </cell>
          <cell r="BD209">
            <v>926356145200</v>
          </cell>
          <cell r="BE209">
            <v>1041210521900</v>
          </cell>
          <cell r="BF209">
            <v>1178331709000</v>
          </cell>
          <cell r="BG209">
            <v>1330508360200</v>
          </cell>
          <cell r="BH209">
            <v>1455848221200</v>
          </cell>
          <cell r="BI209">
            <v>1726406254400</v>
          </cell>
          <cell r="BJ209">
            <v>1841998927300</v>
          </cell>
          <cell r="BK209">
            <v>1982243905300</v>
          </cell>
          <cell r="BL209">
            <v>2158728681500</v>
          </cell>
          <cell r="BM209">
            <v>2253124015900</v>
          </cell>
          <cell r="BN209">
            <v>2253124015900</v>
          </cell>
        </row>
        <row r="210">
          <cell r="B210" t="str">
            <v>UZB</v>
          </cell>
          <cell r="C210" t="str">
            <v>GDP (current LCU)</v>
          </cell>
          <cell r="D210" t="str">
            <v>NY.GDP.MKTP.CN</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t="str">
            <v>..</v>
          </cell>
          <cell r="AF210">
            <v>27269000</v>
          </cell>
          <cell r="AG210">
            <v>29372000</v>
          </cell>
          <cell r="AH210">
            <v>30698000</v>
          </cell>
          <cell r="AI210">
            <v>32430400</v>
          </cell>
          <cell r="AJ210">
            <v>61549300</v>
          </cell>
          <cell r="AK210">
            <v>443886500</v>
          </cell>
          <cell r="AL210">
            <v>5112545100</v>
          </cell>
          <cell r="AM210">
            <v>64877600000</v>
          </cell>
          <cell r="AN210">
            <v>302787300000</v>
          </cell>
          <cell r="AO210">
            <v>559071600000</v>
          </cell>
          <cell r="AP210">
            <v>976830000000</v>
          </cell>
          <cell r="AQ210">
            <v>1416158000000</v>
          </cell>
          <cell r="AR210">
            <v>2128660000000</v>
          </cell>
          <cell r="AS210">
            <v>3255600000000</v>
          </cell>
          <cell r="AT210">
            <v>4925300000000</v>
          </cell>
          <cell r="AU210">
            <v>7450200000000</v>
          </cell>
          <cell r="AV210">
            <v>9844000000000</v>
          </cell>
          <cell r="AW210">
            <v>12261000000000</v>
          </cell>
          <cell r="AX210">
            <v>15923400000000</v>
          </cell>
          <cell r="AY210">
            <v>21124900000000</v>
          </cell>
          <cell r="AZ210">
            <v>28190000000000</v>
          </cell>
          <cell r="BA210">
            <v>38969800000000</v>
          </cell>
          <cell r="BB210">
            <v>49375600000000</v>
          </cell>
          <cell r="BC210">
            <v>78936618900000</v>
          </cell>
          <cell r="BD210">
            <v>103232580000000</v>
          </cell>
          <cell r="BE210">
            <v>127590235500000</v>
          </cell>
          <cell r="BF210">
            <v>153311335300000</v>
          </cell>
          <cell r="BG210">
            <v>186829495500000</v>
          </cell>
          <cell r="BH210">
            <v>221350905700000</v>
          </cell>
          <cell r="BI210">
            <v>255421861800000</v>
          </cell>
          <cell r="BJ210">
            <v>317476369303000</v>
          </cell>
          <cell r="BK210">
            <v>424728743600000</v>
          </cell>
          <cell r="BL210">
            <v>529391385000000</v>
          </cell>
          <cell r="BM210">
            <v>602551388200000</v>
          </cell>
          <cell r="BN210">
            <v>602551388200000</v>
          </cell>
        </row>
        <row r="211">
          <cell r="B211" t="str">
            <v>VUT</v>
          </cell>
          <cell r="C211" t="str">
            <v>GDP (current LCU)</v>
          </cell>
          <cell r="D211" t="str">
            <v>NY.GDP.MKTP.CN</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v>8199999000</v>
          </cell>
          <cell r="Y211">
            <v>8276000000</v>
          </cell>
          <cell r="Z211">
            <v>9993000000</v>
          </cell>
          <cell r="AA211">
            <v>11016000000</v>
          </cell>
          <cell r="AB211">
            <v>11665000000</v>
          </cell>
          <cell r="AC211">
            <v>14337000000</v>
          </cell>
          <cell r="AD211">
            <v>13981000000</v>
          </cell>
          <cell r="AE211">
            <v>13545000000</v>
          </cell>
          <cell r="AF211">
            <v>15320000000</v>
          </cell>
          <cell r="AG211">
            <v>16536000000</v>
          </cell>
          <cell r="AH211">
            <v>17872000000</v>
          </cell>
          <cell r="AI211">
            <v>19769000000</v>
          </cell>
          <cell r="AJ211">
            <v>22485000000</v>
          </cell>
          <cell r="AK211">
            <v>23709000000</v>
          </cell>
          <cell r="AL211">
            <v>24376000000</v>
          </cell>
          <cell r="AM211">
            <v>27204000000</v>
          </cell>
          <cell r="AN211">
            <v>27953000000</v>
          </cell>
          <cell r="AO211">
            <v>29200000000</v>
          </cell>
          <cell r="AP211">
            <v>31606000000</v>
          </cell>
          <cell r="AQ211">
            <v>33447000000</v>
          </cell>
          <cell r="AR211">
            <v>34593000000</v>
          </cell>
          <cell r="AS211">
            <v>37441000000</v>
          </cell>
          <cell r="AT211">
            <v>37480000000</v>
          </cell>
          <cell r="AU211">
            <v>36553000000</v>
          </cell>
          <cell r="AV211">
            <v>38425000000</v>
          </cell>
          <cell r="AW211">
            <v>40803000000</v>
          </cell>
          <cell r="AX211">
            <v>43148000000</v>
          </cell>
          <cell r="AY211">
            <v>48613000000</v>
          </cell>
          <cell r="AZ211">
            <v>52898000000</v>
          </cell>
          <cell r="BA211">
            <v>59863000000</v>
          </cell>
          <cell r="BB211">
            <v>63257000000</v>
          </cell>
          <cell r="BC211">
            <v>64996000000</v>
          </cell>
          <cell r="BD211">
            <v>68905000000</v>
          </cell>
          <cell r="BE211">
            <v>69278000000</v>
          </cell>
          <cell r="BF211">
            <v>71692000000</v>
          </cell>
          <cell r="BG211">
            <v>74970000000</v>
          </cell>
          <cell r="BH211">
            <v>79657000000</v>
          </cell>
          <cell r="BI211">
            <v>84707000000</v>
          </cell>
          <cell r="BJ211">
            <v>94887000000</v>
          </cell>
          <cell r="BK211">
            <v>100771000000</v>
          </cell>
          <cell r="BL211">
            <v>107220000000</v>
          </cell>
          <cell r="BM211">
            <v>101713000000</v>
          </cell>
          <cell r="BN211">
            <v>101713000000</v>
          </cell>
        </row>
        <row r="212">
          <cell r="B212" t="str">
            <v>VEN</v>
          </cell>
          <cell r="C212" t="str">
            <v>GDP (current LCU)</v>
          </cell>
          <cell r="D212" t="str">
            <v>NY.GDP.MKTP.CN</v>
          </cell>
          <cell r="E212">
            <v>25671000</v>
          </cell>
          <cell r="F212">
            <v>27024000</v>
          </cell>
          <cell r="G212">
            <v>29525000</v>
          </cell>
          <cell r="H212">
            <v>32186000</v>
          </cell>
          <cell r="I212">
            <v>35637000</v>
          </cell>
          <cell r="J212">
            <v>37925000</v>
          </cell>
          <cell r="K212">
            <v>39516000</v>
          </cell>
          <cell r="L212">
            <v>41625000</v>
          </cell>
          <cell r="M212">
            <v>45155000</v>
          </cell>
          <cell r="N212">
            <v>46283000</v>
          </cell>
          <cell r="O212">
            <v>52025000</v>
          </cell>
          <cell r="P212">
            <v>57141000</v>
          </cell>
          <cell r="Q212">
            <v>61502000</v>
          </cell>
          <cell r="R212">
            <v>73253000</v>
          </cell>
          <cell r="S212">
            <v>112234000</v>
          </cell>
          <cell r="T212">
            <v>118098000</v>
          </cell>
          <cell r="U212">
            <v>135104000</v>
          </cell>
          <cell r="V212">
            <v>155706000</v>
          </cell>
          <cell r="W212">
            <v>169060000</v>
          </cell>
          <cell r="X212">
            <v>207737000</v>
          </cell>
          <cell r="Y212">
            <v>254201000</v>
          </cell>
          <cell r="Z212">
            <v>285208000</v>
          </cell>
          <cell r="AA212">
            <v>291268000</v>
          </cell>
          <cell r="AB212">
            <v>290492000</v>
          </cell>
          <cell r="AC212">
            <v>420072000</v>
          </cell>
          <cell r="AD212">
            <v>464741000</v>
          </cell>
          <cell r="AE212">
            <v>489172000</v>
          </cell>
          <cell r="AF212">
            <v>696421000</v>
          </cell>
          <cell r="AG212">
            <v>873283000</v>
          </cell>
          <cell r="AH212">
            <v>1510361000</v>
          </cell>
          <cell r="AI212">
            <v>2279261000</v>
          </cell>
          <cell r="AJ212">
            <v>3037492000</v>
          </cell>
          <cell r="AK212">
            <v>4131483000</v>
          </cell>
          <cell r="AL212">
            <v>5453903000</v>
          </cell>
          <cell r="AM212">
            <v>8675172000</v>
          </cell>
          <cell r="AN212">
            <v>13685686000</v>
          </cell>
          <cell r="AO212">
            <v>29437682000</v>
          </cell>
          <cell r="AP212">
            <v>41943151000</v>
          </cell>
          <cell r="AQ212">
            <v>50012967000</v>
          </cell>
          <cell r="AR212">
            <v>59344600000</v>
          </cell>
          <cell r="AS212">
            <v>79655692000</v>
          </cell>
          <cell r="AT212">
            <v>88945596000</v>
          </cell>
          <cell r="AU212">
            <v>107840166000</v>
          </cell>
          <cell r="AV212">
            <v>134227833000</v>
          </cell>
          <cell r="AW212">
            <v>212683082000</v>
          </cell>
          <cell r="AX212">
            <v>304086815000</v>
          </cell>
          <cell r="AY212">
            <v>393926240000</v>
          </cell>
          <cell r="AZ212">
            <v>494591535000</v>
          </cell>
          <cell r="BA212">
            <v>677593637000</v>
          </cell>
          <cell r="BB212">
            <v>707262549000</v>
          </cell>
          <cell r="BC212">
            <v>1016834748000</v>
          </cell>
          <cell r="BD212">
            <v>1357487061000</v>
          </cell>
          <cell r="BE212">
            <v>1635451060000</v>
          </cell>
          <cell r="BF212">
            <v>2245843966000</v>
          </cell>
          <cell r="BG212">
            <v>3031242431000</v>
          </cell>
          <cell r="BH212" t="str">
            <v>..</v>
          </cell>
          <cell r="BI212" t="str">
            <v>..</v>
          </cell>
          <cell r="BJ212" t="str">
            <v>..</v>
          </cell>
          <cell r="BK212" t="str">
            <v>..</v>
          </cell>
          <cell r="BL212" t="str">
            <v>..</v>
          </cell>
          <cell r="BM212" t="str">
            <v>..</v>
          </cell>
          <cell r="BN212" t="str">
            <v/>
          </cell>
        </row>
        <row r="213">
          <cell r="B213" t="str">
            <v>VNM</v>
          </cell>
          <cell r="C213" t="str">
            <v>GDP (current LCU)</v>
          </cell>
          <cell r="D213" t="str">
            <v>NY.GDP.MKTP.CN</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v>117000003600</v>
          </cell>
          <cell r="AE213">
            <v>599000000000</v>
          </cell>
          <cell r="AF213">
            <v>2870000000000</v>
          </cell>
          <cell r="AG213">
            <v>15420000000000</v>
          </cell>
          <cell r="AH213">
            <v>28093000000000</v>
          </cell>
          <cell r="AI213">
            <v>41955000000000</v>
          </cell>
          <cell r="AJ213">
            <v>76707000000000</v>
          </cell>
          <cell r="AK213">
            <v>110532000000000</v>
          </cell>
          <cell r="AL213">
            <v>140258000000000</v>
          </cell>
          <cell r="AM213">
            <v>178534000000000</v>
          </cell>
          <cell r="AN213">
            <v>228892000000000</v>
          </cell>
          <cell r="AO213">
            <v>272036000000000</v>
          </cell>
          <cell r="AP213">
            <v>313623000000000</v>
          </cell>
          <cell r="AQ213">
            <v>361017000000000</v>
          </cell>
          <cell r="AR213">
            <v>399942000000000</v>
          </cell>
          <cell r="AS213">
            <v>441646000000000</v>
          </cell>
          <cell r="AT213">
            <v>481295000000000</v>
          </cell>
          <cell r="AU213">
            <v>535762000000000</v>
          </cell>
          <cell r="AV213">
            <v>613443000000000</v>
          </cell>
          <cell r="AW213">
            <v>715307000000000</v>
          </cell>
          <cell r="AX213">
            <v>914001000000000</v>
          </cell>
          <cell r="AY213">
            <v>1061565000000000</v>
          </cell>
          <cell r="AZ213">
            <v>1246769000000000</v>
          </cell>
          <cell r="BA213">
            <v>1616047000000000</v>
          </cell>
          <cell r="BB213">
            <v>1809149000000000</v>
          </cell>
          <cell r="BC213">
            <v>2157828000000000</v>
          </cell>
          <cell r="BD213">
            <v>2779880000000000</v>
          </cell>
          <cell r="BE213">
            <v>3245419000000000</v>
          </cell>
          <cell r="BF213">
            <v>3584262000000000</v>
          </cell>
          <cell r="BG213">
            <v>3937856000000000</v>
          </cell>
          <cell r="BH213">
            <v>4192862000000000</v>
          </cell>
          <cell r="BI213">
            <v>4502733000000000</v>
          </cell>
          <cell r="BJ213">
            <v>5005975000000000</v>
          </cell>
          <cell r="BK213">
            <v>5542332000000000</v>
          </cell>
          <cell r="BL213">
            <v>6037348000000000</v>
          </cell>
          <cell r="BM213">
            <v>6293145000000000</v>
          </cell>
          <cell r="BN213">
            <v>6293145000000000</v>
          </cell>
        </row>
        <row r="214">
          <cell r="B214" t="str">
            <v>VIR</v>
          </cell>
          <cell r="C214" t="str">
            <v>GDP (current LCU)</v>
          </cell>
          <cell r="D214" t="str">
            <v>NY.GDP.MKTP.CN</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t="str">
            <v>..</v>
          </cell>
          <cell r="AF214" t="str">
            <v>..</v>
          </cell>
          <cell r="AG214" t="str">
            <v>..</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t="str">
            <v>..</v>
          </cell>
          <cell r="AU214">
            <v>3262000000</v>
          </cell>
          <cell r="AV214">
            <v>3443000000</v>
          </cell>
          <cell r="AW214">
            <v>3797000000</v>
          </cell>
          <cell r="AX214">
            <v>4428000000</v>
          </cell>
          <cell r="AY214">
            <v>4484000000</v>
          </cell>
          <cell r="AZ214">
            <v>4784000000</v>
          </cell>
          <cell r="BA214">
            <v>4244000000</v>
          </cell>
          <cell r="BB214">
            <v>4201000000</v>
          </cell>
          <cell r="BC214">
            <v>4324000000</v>
          </cell>
          <cell r="BD214">
            <v>4223000000</v>
          </cell>
          <cell r="BE214">
            <v>4089000000</v>
          </cell>
          <cell r="BF214">
            <v>3738000000</v>
          </cell>
          <cell r="BG214">
            <v>3565000000</v>
          </cell>
          <cell r="BH214">
            <v>3663000000</v>
          </cell>
          <cell r="BI214">
            <v>3798000000</v>
          </cell>
          <cell r="BJ214">
            <v>3794000000</v>
          </cell>
          <cell r="BK214">
            <v>3900000000</v>
          </cell>
          <cell r="BL214">
            <v>4068000000</v>
          </cell>
          <cell r="BM214" t="str">
            <v>..</v>
          </cell>
          <cell r="BN214">
            <v>4068000000</v>
          </cell>
        </row>
        <row r="215">
          <cell r="B215" t="str">
            <v>PSE</v>
          </cell>
          <cell r="C215" t="str">
            <v>GDP (current LCU)</v>
          </cell>
          <cell r="D215" t="str">
            <v>NY.GDP.MKTP.CN</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cell r="AJ215" t="str">
            <v>..</v>
          </cell>
          <cell r="AK215" t="str">
            <v>..</v>
          </cell>
          <cell r="AL215" t="str">
            <v>..</v>
          </cell>
          <cell r="AM215">
            <v>2843300000</v>
          </cell>
          <cell r="AN215">
            <v>3282800000</v>
          </cell>
          <cell r="AO215">
            <v>3409600000</v>
          </cell>
          <cell r="AP215">
            <v>3759800000</v>
          </cell>
          <cell r="AQ215">
            <v>4067800000</v>
          </cell>
          <cell r="AR215">
            <v>4271200000</v>
          </cell>
          <cell r="AS215">
            <v>4313600000</v>
          </cell>
          <cell r="AT215">
            <v>4003700000</v>
          </cell>
          <cell r="AU215">
            <v>3555800000</v>
          </cell>
          <cell r="AV215">
            <v>3968000000</v>
          </cell>
          <cell r="AW215">
            <v>4603100000</v>
          </cell>
          <cell r="AX215">
            <v>5125700000</v>
          </cell>
          <cell r="AY215">
            <v>5348300000</v>
          </cell>
          <cell r="AZ215">
            <v>5815700000</v>
          </cell>
          <cell r="BA215">
            <v>7310400000</v>
          </cell>
          <cell r="BB215">
            <v>8085700000</v>
          </cell>
          <cell r="BC215">
            <v>9681500000</v>
          </cell>
          <cell r="BD215">
            <v>11186100000</v>
          </cell>
          <cell r="BE215">
            <v>12208400000</v>
          </cell>
          <cell r="BF215">
            <v>13515500000</v>
          </cell>
          <cell r="BG215">
            <v>13989700000</v>
          </cell>
          <cell r="BH215">
            <v>13972400000</v>
          </cell>
          <cell r="BI215">
            <v>15405400000</v>
          </cell>
          <cell r="BJ215">
            <v>16128000000</v>
          </cell>
          <cell r="BK215">
            <v>16276600000</v>
          </cell>
          <cell r="BL215">
            <v>17133500000</v>
          </cell>
          <cell r="BM215">
            <v>15561300000</v>
          </cell>
          <cell r="BN215">
            <v>15561300000</v>
          </cell>
        </row>
        <row r="216">
          <cell r="B216" t="str">
            <v>YEM</v>
          </cell>
          <cell r="C216" t="str">
            <v>GDP (current LCU)</v>
          </cell>
          <cell r="D216" t="str">
            <v>NY.GDP.MKTP.CN</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v>147954523800</v>
          </cell>
          <cell r="AJ216">
            <v>176132000000</v>
          </cell>
          <cell r="AK216">
            <v>215692000000</v>
          </cell>
          <cell r="AL216">
            <v>261059000000</v>
          </cell>
          <cell r="AM216">
            <v>336514000000</v>
          </cell>
          <cell r="AN216">
            <v>518252000000</v>
          </cell>
          <cell r="AO216">
            <v>741667000000</v>
          </cell>
          <cell r="AP216">
            <v>884129730000</v>
          </cell>
          <cell r="AQ216">
            <v>859093392700</v>
          </cell>
          <cell r="AR216">
            <v>1189857202700</v>
          </cell>
          <cell r="AS216">
            <v>1560972674100</v>
          </cell>
          <cell r="AT216">
            <v>1663369064300</v>
          </cell>
          <cell r="AU216">
            <v>1878244058600</v>
          </cell>
          <cell r="AV216">
            <v>2160644430300</v>
          </cell>
          <cell r="AW216">
            <v>2563358951500</v>
          </cell>
          <cell r="AX216">
            <v>3207079089100</v>
          </cell>
          <cell r="AY216">
            <v>3759809436900</v>
          </cell>
          <cell r="AZ216">
            <v>4308635620000</v>
          </cell>
          <cell r="BA216">
            <v>5375824693600</v>
          </cell>
          <cell r="BB216">
            <v>5097593176200</v>
          </cell>
          <cell r="BC216">
            <v>6786813130000</v>
          </cell>
          <cell r="BD216">
            <v>6996908000000</v>
          </cell>
          <cell r="BE216">
            <v>7586550000000</v>
          </cell>
          <cell r="BF216">
            <v>8684830000000</v>
          </cell>
          <cell r="BG216">
            <v>9289390699700</v>
          </cell>
          <cell r="BH216">
            <v>9797602983900</v>
          </cell>
          <cell r="BI216">
            <v>8891000000000</v>
          </cell>
          <cell r="BJ216">
            <v>10006000000000</v>
          </cell>
          <cell r="BK216">
            <v>11578730912300</v>
          </cell>
          <cell r="BL216" t="str">
            <v>..</v>
          </cell>
          <cell r="BM216" t="str">
            <v>..</v>
          </cell>
          <cell r="BN216">
            <v>11578730912300</v>
          </cell>
        </row>
        <row r="217">
          <cell r="B217" t="str">
            <v>ZMB</v>
          </cell>
          <cell r="C217" t="str">
            <v>GDP (current LCU)</v>
          </cell>
          <cell r="D217" t="str">
            <v>NY.GDP.MKTP.CN</v>
          </cell>
          <cell r="E217">
            <v>499100</v>
          </cell>
          <cell r="F217">
            <v>487400</v>
          </cell>
          <cell r="G217">
            <v>485200</v>
          </cell>
          <cell r="H217">
            <v>503100</v>
          </cell>
          <cell r="I217">
            <v>587600</v>
          </cell>
          <cell r="J217">
            <v>758000</v>
          </cell>
          <cell r="K217">
            <v>885000</v>
          </cell>
          <cell r="L217">
            <v>957600</v>
          </cell>
          <cell r="M217">
            <v>1124100</v>
          </cell>
          <cell r="N217">
            <v>1376000</v>
          </cell>
          <cell r="O217">
            <v>1277700</v>
          </cell>
          <cell r="P217">
            <v>1180900</v>
          </cell>
          <cell r="Q217">
            <v>1337500</v>
          </cell>
          <cell r="R217">
            <v>1588100</v>
          </cell>
          <cell r="S217">
            <v>1873100</v>
          </cell>
          <cell r="T217">
            <v>1571200</v>
          </cell>
          <cell r="U217">
            <v>1922700</v>
          </cell>
          <cell r="V217">
            <v>1986400</v>
          </cell>
          <cell r="W217">
            <v>2250700</v>
          </cell>
          <cell r="X217">
            <v>2660400</v>
          </cell>
          <cell r="Y217">
            <v>3063600</v>
          </cell>
          <cell r="Z217">
            <v>3485400</v>
          </cell>
          <cell r="AA217">
            <v>3595300</v>
          </cell>
          <cell r="AB217">
            <v>4181200</v>
          </cell>
          <cell r="AC217">
            <v>4931000</v>
          </cell>
          <cell r="AD217">
            <v>7071900</v>
          </cell>
          <cell r="AE217">
            <v>12963200</v>
          </cell>
          <cell r="AF217">
            <v>21564000</v>
          </cell>
          <cell r="AG217">
            <v>30823000</v>
          </cell>
          <cell r="AH217">
            <v>55181200</v>
          </cell>
          <cell r="AI217">
            <v>113340000</v>
          </cell>
          <cell r="AJ217">
            <v>218275800</v>
          </cell>
          <cell r="AK217">
            <v>569564000</v>
          </cell>
          <cell r="AL217">
            <v>1482122100</v>
          </cell>
          <cell r="AM217">
            <v>2447760000</v>
          </cell>
          <cell r="AN217">
            <v>3289686700</v>
          </cell>
          <cell r="AO217">
            <v>4345083200</v>
          </cell>
          <cell r="AP217">
            <v>5656664100</v>
          </cell>
          <cell r="AQ217">
            <v>6587519600</v>
          </cell>
          <cell r="AR217">
            <v>8129497000</v>
          </cell>
          <cell r="AS217">
            <v>11201004800</v>
          </cell>
          <cell r="AT217">
            <v>14784761400</v>
          </cell>
          <cell r="AU217">
            <v>18447049600</v>
          </cell>
          <cell r="AV217">
            <v>23201878000</v>
          </cell>
          <cell r="AW217">
            <v>29729908100</v>
          </cell>
          <cell r="AX217">
            <v>37189302500</v>
          </cell>
          <cell r="AY217">
            <v>45964238300</v>
          </cell>
          <cell r="AZ217">
            <v>56262974300</v>
          </cell>
          <cell r="BA217">
            <v>67088703200</v>
          </cell>
          <cell r="BB217">
            <v>77348348100</v>
          </cell>
          <cell r="BC217">
            <v>97215915400</v>
          </cell>
          <cell r="BD217">
            <v>114029665900</v>
          </cell>
          <cell r="BE217">
            <v>131271902900</v>
          </cell>
          <cell r="BF217">
            <v>151331000000</v>
          </cell>
          <cell r="BG217">
            <v>167053000000</v>
          </cell>
          <cell r="BH217">
            <v>183381000000</v>
          </cell>
          <cell r="BI217">
            <v>216098000000</v>
          </cell>
          <cell r="BJ217">
            <v>246252000000</v>
          </cell>
          <cell r="BK217">
            <v>275174504800</v>
          </cell>
          <cell r="BL217">
            <v>300448727700</v>
          </cell>
          <cell r="BM217">
            <v>332223232700</v>
          </cell>
          <cell r="BN217">
            <v>332223232700</v>
          </cell>
        </row>
        <row r="218">
          <cell r="B218" t="str">
            <v>ZWE</v>
          </cell>
          <cell r="C218" t="str">
            <v>GDP (current LCU)</v>
          </cell>
          <cell r="D218" t="str">
            <v>NY.GDP.MKTP.CN</v>
          </cell>
          <cell r="E218">
            <v>1052990400</v>
          </cell>
          <cell r="F218">
            <v>1096646600</v>
          </cell>
          <cell r="G218">
            <v>1117601600</v>
          </cell>
          <cell r="H218">
            <v>1159511700</v>
          </cell>
          <cell r="I218">
            <v>1217138000</v>
          </cell>
          <cell r="J218">
            <v>1311435800</v>
          </cell>
          <cell r="K218">
            <v>1281749500</v>
          </cell>
          <cell r="L218">
            <v>1397002000</v>
          </cell>
          <cell r="M218">
            <v>1479599900</v>
          </cell>
          <cell r="N218">
            <v>1747998800</v>
          </cell>
          <cell r="O218">
            <v>1884206300</v>
          </cell>
          <cell r="P218">
            <v>2178716300</v>
          </cell>
          <cell r="Q218">
            <v>2677729400</v>
          </cell>
          <cell r="R218">
            <v>3309353600</v>
          </cell>
          <cell r="S218">
            <v>3982161400</v>
          </cell>
          <cell r="T218">
            <v>4371300700</v>
          </cell>
          <cell r="U218">
            <v>4318372000</v>
          </cell>
          <cell r="V218">
            <v>4364382100</v>
          </cell>
          <cell r="W218">
            <v>4351600500</v>
          </cell>
          <cell r="X218">
            <v>5177459400</v>
          </cell>
          <cell r="Y218">
            <v>6678868200</v>
          </cell>
          <cell r="Z218">
            <v>8011373800</v>
          </cell>
          <cell r="AA218">
            <v>8539700700</v>
          </cell>
          <cell r="AB218">
            <v>7764067000</v>
          </cell>
          <cell r="AC218">
            <v>6352125900</v>
          </cell>
          <cell r="AD218">
            <v>5637259300</v>
          </cell>
          <cell r="AE218">
            <v>6217523700</v>
          </cell>
          <cell r="AF218">
            <v>6741215100</v>
          </cell>
          <cell r="AG218">
            <v>7814784100</v>
          </cell>
          <cell r="AH218">
            <v>8286322700</v>
          </cell>
          <cell r="AI218">
            <v>8783816700</v>
          </cell>
          <cell r="AJ218">
            <v>8641481700</v>
          </cell>
          <cell r="AK218">
            <v>6751472200</v>
          </cell>
          <cell r="AL218">
            <v>6563813300</v>
          </cell>
          <cell r="AM218">
            <v>6890675000</v>
          </cell>
          <cell r="AN218">
            <v>7111270700</v>
          </cell>
          <cell r="AO218">
            <v>8553146600</v>
          </cell>
          <cell r="AP218">
            <v>8529571600</v>
          </cell>
          <cell r="AQ218">
            <v>6401968200</v>
          </cell>
          <cell r="AR218">
            <v>6858013100</v>
          </cell>
          <cell r="AS218">
            <v>6689957600</v>
          </cell>
          <cell r="AT218">
            <v>6777384700</v>
          </cell>
          <cell r="AU218">
            <v>6342116400</v>
          </cell>
          <cell r="AV218">
            <v>5727591800</v>
          </cell>
          <cell r="AW218">
            <v>5805598400</v>
          </cell>
          <cell r="AX218">
            <v>5755215200</v>
          </cell>
          <cell r="AY218">
            <v>5443896500</v>
          </cell>
          <cell r="AZ218">
            <v>5291950100</v>
          </cell>
          <cell r="BA218">
            <v>4415702800</v>
          </cell>
          <cell r="BB218">
            <v>9665793300</v>
          </cell>
          <cell r="BC218">
            <v>12041655200</v>
          </cell>
          <cell r="BD218">
            <v>14101920300</v>
          </cell>
          <cell r="BE218">
            <v>17114849900</v>
          </cell>
          <cell r="BF218">
            <v>19091020000</v>
          </cell>
          <cell r="BG218">
            <v>19495519600</v>
          </cell>
          <cell r="BH218">
            <v>19963120600</v>
          </cell>
          <cell r="BI218">
            <v>20548678100</v>
          </cell>
          <cell r="BJ218">
            <v>22040902300</v>
          </cell>
          <cell r="BK218">
            <v>36921289800</v>
          </cell>
          <cell r="BL218">
            <v>187412441400</v>
          </cell>
          <cell r="BM218">
            <v>1157099904500</v>
          </cell>
          <cell r="BN218">
            <v>1157099904500</v>
          </cell>
        </row>
        <row r="219">
          <cell r="B219" t="str">
            <v>AFE</v>
          </cell>
          <cell r="C219" t="str">
            <v>GDP (current LCU)</v>
          </cell>
          <cell r="D219" t="str">
            <v>NY.GDP.MKTP.CN</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cell r="AJ219" t="str">
            <v>..</v>
          </cell>
          <cell r="AK219" t="str">
            <v>..</v>
          </cell>
          <cell r="AL219" t="str">
            <v>..</v>
          </cell>
          <cell r="AM219" t="str">
            <v>..</v>
          </cell>
          <cell r="AN219" t="str">
            <v>..</v>
          </cell>
          <cell r="AO219" t="str">
            <v>..</v>
          </cell>
          <cell r="AP219" t="str">
            <v>..</v>
          </cell>
          <cell r="AQ219" t="str">
            <v>..</v>
          </cell>
          <cell r="AR219" t="str">
            <v>..</v>
          </cell>
          <cell r="AS219" t="str">
            <v>..</v>
          </cell>
          <cell r="AT219" t="str">
            <v>..</v>
          </cell>
          <cell r="AU219" t="str">
            <v>..</v>
          </cell>
          <cell r="AV219" t="str">
            <v>..</v>
          </cell>
          <cell r="AW219" t="str">
            <v>..</v>
          </cell>
          <cell r="AX219" t="str">
            <v>..</v>
          </cell>
          <cell r="AY219" t="str">
            <v>..</v>
          </cell>
          <cell r="AZ219" t="str">
            <v>..</v>
          </cell>
          <cell r="BA219" t="str">
            <v>..</v>
          </cell>
          <cell r="BB219" t="str">
            <v>..</v>
          </cell>
          <cell r="BC219" t="str">
            <v>..</v>
          </cell>
          <cell r="BD219" t="str">
            <v>..</v>
          </cell>
          <cell r="BE219" t="str">
            <v>..</v>
          </cell>
          <cell r="BF219" t="str">
            <v>..</v>
          </cell>
          <cell r="BG219" t="str">
            <v>..</v>
          </cell>
          <cell r="BH219" t="str">
            <v>..</v>
          </cell>
          <cell r="BI219" t="str">
            <v>..</v>
          </cell>
          <cell r="BJ219" t="str">
            <v>..</v>
          </cell>
          <cell r="BK219" t="str">
            <v>..</v>
          </cell>
          <cell r="BL219" t="str">
            <v>..</v>
          </cell>
          <cell r="BM219" t="str">
            <v>..</v>
          </cell>
          <cell r="BN219" t="str">
            <v/>
          </cell>
        </row>
        <row r="220">
          <cell r="B220" t="str">
            <v>AFW</v>
          </cell>
          <cell r="C220" t="str">
            <v>GDP (current LCU)</v>
          </cell>
          <cell r="D220" t="str">
            <v>NY.GDP.MKTP.CN</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cell r="AJ220" t="str">
            <v>..</v>
          </cell>
          <cell r="AK220" t="str">
            <v>..</v>
          </cell>
          <cell r="AL220" t="str">
            <v>..</v>
          </cell>
          <cell r="AM220" t="str">
            <v>..</v>
          </cell>
          <cell r="AN220" t="str">
            <v>..</v>
          </cell>
          <cell r="AO220" t="str">
            <v>..</v>
          </cell>
          <cell r="AP220" t="str">
            <v>..</v>
          </cell>
          <cell r="AQ220" t="str">
            <v>..</v>
          </cell>
          <cell r="AR220" t="str">
            <v>..</v>
          </cell>
          <cell r="AS220" t="str">
            <v>..</v>
          </cell>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v>
          </cell>
          <cell r="BN220" t="str">
            <v/>
          </cell>
        </row>
        <row r="221">
          <cell r="B221" t="str">
            <v>ARB</v>
          </cell>
          <cell r="C221" t="str">
            <v>GDP (current LCU)</v>
          </cell>
          <cell r="D221" t="str">
            <v>NY.GDP.MKTP.CN</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cell r="AJ221" t="str">
            <v>..</v>
          </cell>
          <cell r="AK221" t="str">
            <v>..</v>
          </cell>
          <cell r="AL221" t="str">
            <v>..</v>
          </cell>
          <cell r="AM221" t="str">
            <v>..</v>
          </cell>
          <cell r="AN221" t="str">
            <v>..</v>
          </cell>
          <cell r="AO221" t="str">
            <v>..</v>
          </cell>
          <cell r="AP221" t="str">
            <v>..</v>
          </cell>
          <cell r="AQ221" t="str">
            <v>..</v>
          </cell>
          <cell r="AR221" t="str">
            <v>..</v>
          </cell>
          <cell r="AS221" t="str">
            <v>..</v>
          </cell>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v>
          </cell>
          <cell r="BN221" t="str">
            <v/>
          </cell>
        </row>
        <row r="222">
          <cell r="B222" t="str">
            <v>CSS</v>
          </cell>
          <cell r="C222" t="str">
            <v>GDP (current LCU)</v>
          </cell>
          <cell r="D222" t="str">
            <v>NY.GDP.MKTP.CN</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cell r="AJ222" t="str">
            <v>..</v>
          </cell>
          <cell r="AK222" t="str">
            <v>..</v>
          </cell>
          <cell r="AL222" t="str">
            <v>..</v>
          </cell>
          <cell r="AM222" t="str">
            <v>..</v>
          </cell>
          <cell r="AN222" t="str">
            <v>..</v>
          </cell>
          <cell r="AO222" t="str">
            <v>..</v>
          </cell>
          <cell r="AP222" t="str">
            <v>..</v>
          </cell>
          <cell r="AQ222" t="str">
            <v>..</v>
          </cell>
          <cell r="AR222" t="str">
            <v>..</v>
          </cell>
          <cell r="AS222" t="str">
            <v>..</v>
          </cell>
          <cell r="AT222" t="str">
            <v>..</v>
          </cell>
          <cell r="AU222" t="str">
            <v>..</v>
          </cell>
          <cell r="AV222" t="str">
            <v>..</v>
          </cell>
          <cell r="AW222" t="str">
            <v>..</v>
          </cell>
          <cell r="AX222" t="str">
            <v>..</v>
          </cell>
          <cell r="AY222" t="str">
            <v>..</v>
          </cell>
          <cell r="AZ222" t="str">
            <v>..</v>
          </cell>
          <cell r="BA222" t="str">
            <v>..</v>
          </cell>
          <cell r="BB222" t="str">
            <v>..</v>
          </cell>
          <cell r="BC222" t="str">
            <v>..</v>
          </cell>
          <cell r="BD222" t="str">
            <v>..</v>
          </cell>
          <cell r="BE222" t="str">
            <v>..</v>
          </cell>
          <cell r="BF222" t="str">
            <v>..</v>
          </cell>
          <cell r="BG222" t="str">
            <v>..</v>
          </cell>
          <cell r="BH222" t="str">
            <v>..</v>
          </cell>
          <cell r="BI222" t="str">
            <v>..</v>
          </cell>
          <cell r="BJ222" t="str">
            <v>..</v>
          </cell>
          <cell r="BK222" t="str">
            <v>..</v>
          </cell>
          <cell r="BL222" t="str">
            <v>..</v>
          </cell>
          <cell r="BM222" t="str">
            <v>..</v>
          </cell>
          <cell r="BN222" t="str">
            <v/>
          </cell>
        </row>
        <row r="223">
          <cell r="B223" t="str">
            <v>CEB</v>
          </cell>
          <cell r="C223" t="str">
            <v>GDP (current LCU)</v>
          </cell>
          <cell r="D223" t="str">
            <v>NY.GDP.MKTP.CN</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v>
          </cell>
          <cell r="Q223" t="str">
            <v>..</v>
          </cell>
          <cell r="R223" t="str">
            <v>..</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t="str">
            <v>..</v>
          </cell>
          <cell r="AF223" t="str">
            <v>..</v>
          </cell>
          <cell r="AG223" t="str">
            <v>..</v>
          </cell>
          <cell r="AH223" t="str">
            <v>..</v>
          </cell>
          <cell r="AI223" t="str">
            <v>..</v>
          </cell>
          <cell r="AJ223" t="str">
            <v>..</v>
          </cell>
          <cell r="AK223" t="str">
            <v>..</v>
          </cell>
          <cell r="AL223" t="str">
            <v>..</v>
          </cell>
          <cell r="AM223" t="str">
            <v>..</v>
          </cell>
          <cell r="AN223" t="str">
            <v>..</v>
          </cell>
          <cell r="AO223" t="str">
            <v>..</v>
          </cell>
          <cell r="AP223" t="str">
            <v>..</v>
          </cell>
          <cell r="AQ223" t="str">
            <v>..</v>
          </cell>
          <cell r="AR223" t="str">
            <v>..</v>
          </cell>
          <cell r="AS223" t="str">
            <v>..</v>
          </cell>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t="str">
            <v>..</v>
          </cell>
          <cell r="BG223" t="str">
            <v>..</v>
          </cell>
          <cell r="BH223" t="str">
            <v>..</v>
          </cell>
          <cell r="BI223" t="str">
            <v>..</v>
          </cell>
          <cell r="BJ223" t="str">
            <v>..</v>
          </cell>
          <cell r="BK223" t="str">
            <v>..</v>
          </cell>
          <cell r="BL223" t="str">
            <v>..</v>
          </cell>
          <cell r="BM223" t="str">
            <v>..</v>
          </cell>
          <cell r="BN223" t="str">
            <v/>
          </cell>
        </row>
        <row r="224">
          <cell r="B224" t="str">
            <v>EAR</v>
          </cell>
          <cell r="C224" t="str">
            <v>GDP (current LCU)</v>
          </cell>
          <cell r="D224" t="str">
            <v>NY.GDP.MKTP.CN</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v>
          </cell>
          <cell r="BN224" t="str">
            <v/>
          </cell>
        </row>
        <row r="225">
          <cell r="B225" t="str">
            <v>EAS</v>
          </cell>
          <cell r="C225" t="str">
            <v>GDP (current LCU)</v>
          </cell>
          <cell r="D225" t="str">
            <v>NY.GDP.MKTP.CN</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v>
          </cell>
          <cell r="BN225" t="str">
            <v/>
          </cell>
        </row>
        <row r="226">
          <cell r="B226" t="str">
            <v>EAP</v>
          </cell>
          <cell r="C226" t="str">
            <v>GDP (current LCU)</v>
          </cell>
          <cell r="D226" t="str">
            <v>NY.GDP.MKTP.CN</v>
          </cell>
          <cell r="E226" t="str">
            <v>..</v>
          </cell>
          <cell r="F226" t="str">
            <v>..</v>
          </cell>
          <cell r="G226" t="str">
            <v>..</v>
          </cell>
          <cell r="H226" t="str">
            <v>..</v>
          </cell>
          <cell r="I226" t="str">
            <v>..</v>
          </cell>
          <cell r="J226" t="str">
            <v>..</v>
          </cell>
          <cell r="K226" t="str">
            <v>..</v>
          </cell>
          <cell r="L226" t="str">
            <v>..</v>
          </cell>
          <cell r="M226" t="str">
            <v>..</v>
          </cell>
          <cell r="N226" t="str">
            <v>..</v>
          </cell>
          <cell r="O226" t="str">
            <v>..</v>
          </cell>
          <cell r="P226" t="str">
            <v>..</v>
          </cell>
          <cell r="Q226" t="str">
            <v>..</v>
          </cell>
          <cell r="R226" t="str">
            <v>..</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t="str">
            <v>..</v>
          </cell>
          <cell r="AF226" t="str">
            <v>..</v>
          </cell>
          <cell r="AG226" t="str">
            <v>..</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v>
          </cell>
          <cell r="BN226" t="str">
            <v/>
          </cell>
        </row>
        <row r="227">
          <cell r="B227" t="str">
            <v>TEA</v>
          </cell>
          <cell r="C227" t="str">
            <v>GDP (current LCU)</v>
          </cell>
          <cell r="D227" t="str">
            <v>NY.GDP.MKTP.CN</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t="str">
            <v>..</v>
          </cell>
          <cell r="AU227" t="str">
            <v>..</v>
          </cell>
          <cell r="AV227" t="str">
            <v>..</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t="str">
            <v>..</v>
          </cell>
          <cell r="BJ227" t="str">
            <v>..</v>
          </cell>
          <cell r="BK227" t="str">
            <v>..</v>
          </cell>
          <cell r="BL227" t="str">
            <v>..</v>
          </cell>
          <cell r="BM227" t="str">
            <v>..</v>
          </cell>
          <cell r="BN227" t="str">
            <v/>
          </cell>
        </row>
        <row r="228">
          <cell r="B228" t="str">
            <v>EMU</v>
          </cell>
          <cell r="C228" t="str">
            <v>GDP (current LCU)</v>
          </cell>
          <cell r="D228" t="str">
            <v>NY.GDP.MKTP.CN</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v>
          </cell>
          <cell r="BN228" t="str">
            <v/>
          </cell>
        </row>
        <row r="229">
          <cell r="B229" t="str">
            <v>ECS</v>
          </cell>
          <cell r="C229" t="str">
            <v>GDP (current LCU)</v>
          </cell>
          <cell r="D229" t="str">
            <v>NY.GDP.MKTP.CN</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cell r="AJ229" t="str">
            <v>..</v>
          </cell>
          <cell r="AK229" t="str">
            <v>..</v>
          </cell>
          <cell r="AL229" t="str">
            <v>..</v>
          </cell>
          <cell r="AM229" t="str">
            <v>..</v>
          </cell>
          <cell r="AN229" t="str">
            <v>..</v>
          </cell>
          <cell r="AO229" t="str">
            <v>..</v>
          </cell>
          <cell r="AP229" t="str">
            <v>..</v>
          </cell>
          <cell r="AQ229" t="str">
            <v>..</v>
          </cell>
          <cell r="AR229" t="str">
            <v>..</v>
          </cell>
          <cell r="AS229" t="str">
            <v>..</v>
          </cell>
          <cell r="AT229" t="str">
            <v>..</v>
          </cell>
          <cell r="AU229" t="str">
            <v>..</v>
          </cell>
          <cell r="AV229" t="str">
            <v>..</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t="str">
            <v>..</v>
          </cell>
          <cell r="BJ229" t="str">
            <v>..</v>
          </cell>
          <cell r="BK229" t="str">
            <v>..</v>
          </cell>
          <cell r="BL229" t="str">
            <v>..</v>
          </cell>
          <cell r="BM229" t="str">
            <v>..</v>
          </cell>
          <cell r="BN229" t="str">
            <v/>
          </cell>
        </row>
        <row r="230">
          <cell r="B230" t="str">
            <v>ECA</v>
          </cell>
          <cell r="C230" t="str">
            <v>GDP (current LCU)</v>
          </cell>
          <cell r="D230" t="str">
            <v>NY.GDP.MKTP.CN</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t="str">
            <v>..</v>
          </cell>
          <cell r="AF230" t="str">
            <v>..</v>
          </cell>
          <cell r="AG230" t="str">
            <v>..</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S230" t="str">
            <v>..</v>
          </cell>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t="str">
            <v>..</v>
          </cell>
          <cell r="BM230" t="str">
            <v>..</v>
          </cell>
          <cell r="BN230" t="str">
            <v/>
          </cell>
        </row>
        <row r="231">
          <cell r="B231" t="str">
            <v>TEC</v>
          </cell>
          <cell r="C231" t="str">
            <v>GDP (current LCU)</v>
          </cell>
          <cell r="D231" t="str">
            <v>NY.GDP.MKTP.CN</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cell r="AJ231" t="str">
            <v>..</v>
          </cell>
          <cell r="AK231" t="str">
            <v>..</v>
          </cell>
          <cell r="AL231" t="str">
            <v>..</v>
          </cell>
          <cell r="AM231" t="str">
            <v>..</v>
          </cell>
          <cell r="AN231" t="str">
            <v>..</v>
          </cell>
          <cell r="AO231" t="str">
            <v>..</v>
          </cell>
          <cell r="AP231" t="str">
            <v>..</v>
          </cell>
          <cell r="AQ231" t="str">
            <v>..</v>
          </cell>
          <cell r="AR231" t="str">
            <v>..</v>
          </cell>
          <cell r="AS231" t="str">
            <v>..</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t="str">
            <v>..</v>
          </cell>
          <cell r="BJ231" t="str">
            <v>..</v>
          </cell>
          <cell r="BK231" t="str">
            <v>..</v>
          </cell>
          <cell r="BL231" t="str">
            <v>..</v>
          </cell>
          <cell r="BM231" t="str">
            <v>..</v>
          </cell>
          <cell r="BN231" t="str">
            <v/>
          </cell>
        </row>
        <row r="232">
          <cell r="B232" t="str">
            <v>EUU</v>
          </cell>
          <cell r="C232" t="str">
            <v>GDP (current LCU)</v>
          </cell>
          <cell r="D232" t="str">
            <v>NY.GDP.MKTP.CN</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v>
          </cell>
          <cell r="BN232" t="str">
            <v/>
          </cell>
        </row>
        <row r="233">
          <cell r="B233" t="str">
            <v>FCS</v>
          </cell>
          <cell r="C233" t="str">
            <v>GDP (current LCU)</v>
          </cell>
          <cell r="D233" t="str">
            <v>NY.GDP.MKTP.CN</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cell r="AJ233" t="str">
            <v>..</v>
          </cell>
          <cell r="AK233" t="str">
            <v>..</v>
          </cell>
          <cell r="AL233" t="str">
            <v>..</v>
          </cell>
          <cell r="AM233" t="str">
            <v>..</v>
          </cell>
          <cell r="AN233" t="str">
            <v>..</v>
          </cell>
          <cell r="AO233" t="str">
            <v>..</v>
          </cell>
          <cell r="AP233" t="str">
            <v>..</v>
          </cell>
          <cell r="AQ233" t="str">
            <v>..</v>
          </cell>
          <cell r="AR233" t="str">
            <v>..</v>
          </cell>
          <cell r="AS233" t="str">
            <v>..</v>
          </cell>
          <cell r="AT233" t="str">
            <v>..</v>
          </cell>
          <cell r="AU233" t="str">
            <v>..</v>
          </cell>
          <cell r="AV233" t="str">
            <v>..</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t="str">
            <v>..</v>
          </cell>
          <cell r="BJ233" t="str">
            <v>..</v>
          </cell>
          <cell r="BK233" t="str">
            <v>..</v>
          </cell>
          <cell r="BL233" t="str">
            <v>..</v>
          </cell>
          <cell r="BM233" t="str">
            <v>..</v>
          </cell>
          <cell r="BN233" t="str">
            <v/>
          </cell>
        </row>
        <row r="234">
          <cell r="B234" t="str">
            <v>HPC</v>
          </cell>
          <cell r="C234" t="str">
            <v>GDP (current LCU)</v>
          </cell>
          <cell r="D234" t="str">
            <v>NY.GDP.MKTP.CN</v>
          </cell>
          <cell r="E234" t="str">
            <v>..</v>
          </cell>
          <cell r="F234" t="str">
            <v>..</v>
          </cell>
          <cell r="G234" t="str">
            <v>..</v>
          </cell>
          <cell r="H234" t="str">
            <v>..</v>
          </cell>
          <cell r="I234" t="str">
            <v>..</v>
          </cell>
          <cell r="J234" t="str">
            <v>..</v>
          </cell>
          <cell r="K234" t="str">
            <v>..</v>
          </cell>
          <cell r="L234" t="str">
            <v>..</v>
          </cell>
          <cell r="M234" t="str">
            <v>..</v>
          </cell>
          <cell r="N234" t="str">
            <v>..</v>
          </cell>
          <cell r="O234" t="str">
            <v>..</v>
          </cell>
          <cell r="P234" t="str">
            <v>..</v>
          </cell>
          <cell r="Q234" t="str">
            <v>..</v>
          </cell>
          <cell r="R234" t="str">
            <v>..</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t="str">
            <v>..</v>
          </cell>
          <cell r="AF234" t="str">
            <v>..</v>
          </cell>
          <cell r="AG234" t="str">
            <v>..</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
          </cell>
        </row>
        <row r="235">
          <cell r="B235" t="str">
            <v>HIC</v>
          </cell>
          <cell r="C235" t="str">
            <v>GDP (current LCU)</v>
          </cell>
          <cell r="D235" t="str">
            <v>NY.GDP.MKTP.CN</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v>
          </cell>
          <cell r="BN235" t="str">
            <v/>
          </cell>
        </row>
        <row r="236">
          <cell r="B236" t="str">
            <v>IBD</v>
          </cell>
          <cell r="C236" t="str">
            <v>GDP (current LCU)</v>
          </cell>
          <cell r="D236" t="str">
            <v>NY.GDP.MKTP.CN</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
          </cell>
        </row>
        <row r="237">
          <cell r="B237" t="str">
            <v>IBT</v>
          </cell>
          <cell r="C237" t="str">
            <v>GDP (current LCU)</v>
          </cell>
          <cell r="D237" t="str">
            <v>NY.GDP.MKTP.CN</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t="str">
            <v>..</v>
          </cell>
          <cell r="AU237" t="str">
            <v>..</v>
          </cell>
          <cell r="AV237" t="str">
            <v>..</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t="str">
            <v>..</v>
          </cell>
          <cell r="BJ237" t="str">
            <v>..</v>
          </cell>
          <cell r="BK237" t="str">
            <v>..</v>
          </cell>
          <cell r="BL237" t="str">
            <v>..</v>
          </cell>
          <cell r="BM237" t="str">
            <v>..</v>
          </cell>
          <cell r="BN237" t="str">
            <v/>
          </cell>
        </row>
        <row r="238">
          <cell r="B238" t="str">
            <v>IDB</v>
          </cell>
          <cell r="C238" t="str">
            <v>GDP (current LCU)</v>
          </cell>
          <cell r="D238" t="str">
            <v>NY.GDP.MKTP.CN</v>
          </cell>
          <cell r="E238" t="str">
            <v>..</v>
          </cell>
          <cell r="F238" t="str">
            <v>..</v>
          </cell>
          <cell r="G238" t="str">
            <v>..</v>
          </cell>
          <cell r="H238" t="str">
            <v>..</v>
          </cell>
          <cell r="I238" t="str">
            <v>..</v>
          </cell>
          <cell r="J238" t="str">
            <v>..</v>
          </cell>
          <cell r="K238" t="str">
            <v>..</v>
          </cell>
          <cell r="L238" t="str">
            <v>..</v>
          </cell>
          <cell r="M238" t="str">
            <v>..</v>
          </cell>
          <cell r="N238" t="str">
            <v>..</v>
          </cell>
          <cell r="O238" t="str">
            <v>..</v>
          </cell>
          <cell r="P238" t="str">
            <v>..</v>
          </cell>
          <cell r="Q238" t="str">
            <v>..</v>
          </cell>
          <cell r="R238" t="str">
            <v>..</v>
          </cell>
          <cell r="S238" t="str">
            <v>..</v>
          </cell>
          <cell r="T238" t="str">
            <v>..</v>
          </cell>
          <cell r="U238" t="str">
            <v>..</v>
          </cell>
          <cell r="V238" t="str">
            <v>..</v>
          </cell>
          <cell r="W238" t="str">
            <v>..</v>
          </cell>
          <cell r="X238" t="str">
            <v>..</v>
          </cell>
          <cell r="Y238" t="str">
            <v>..</v>
          </cell>
          <cell r="Z238" t="str">
            <v>..</v>
          </cell>
          <cell r="AA238" t="str">
            <v>..</v>
          </cell>
          <cell r="AB238" t="str">
            <v>..</v>
          </cell>
          <cell r="AC238" t="str">
            <v>..</v>
          </cell>
          <cell r="AD238" t="str">
            <v>..</v>
          </cell>
          <cell r="AE238" t="str">
            <v>..</v>
          </cell>
          <cell r="AF238" t="str">
            <v>..</v>
          </cell>
          <cell r="AG238" t="str">
            <v>..</v>
          </cell>
          <cell r="AH238" t="str">
            <v>..</v>
          </cell>
          <cell r="AI238" t="str">
            <v>..</v>
          </cell>
          <cell r="AJ238" t="str">
            <v>..</v>
          </cell>
          <cell r="AK238" t="str">
            <v>..</v>
          </cell>
          <cell r="AL238" t="str">
            <v>..</v>
          </cell>
          <cell r="AM238" t="str">
            <v>..</v>
          </cell>
          <cell r="AN238" t="str">
            <v>..</v>
          </cell>
          <cell r="AO238" t="str">
            <v>..</v>
          </cell>
          <cell r="AP238" t="str">
            <v>..</v>
          </cell>
          <cell r="AQ238" t="str">
            <v>..</v>
          </cell>
          <cell r="AR238" t="str">
            <v>..</v>
          </cell>
          <cell r="AS238" t="str">
            <v>..</v>
          </cell>
          <cell r="AT238" t="str">
            <v>..</v>
          </cell>
          <cell r="AU238" t="str">
            <v>..</v>
          </cell>
          <cell r="AV238" t="str">
            <v>..</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t="str">
            <v>..</v>
          </cell>
          <cell r="BJ238" t="str">
            <v>..</v>
          </cell>
          <cell r="BK238" t="str">
            <v>..</v>
          </cell>
          <cell r="BL238" t="str">
            <v>..</v>
          </cell>
          <cell r="BM238" t="str">
            <v>..</v>
          </cell>
          <cell r="BN238" t="str">
            <v/>
          </cell>
        </row>
        <row r="239">
          <cell r="B239" t="str">
            <v>IDX</v>
          </cell>
          <cell r="C239" t="str">
            <v>GDP (current LCU)</v>
          </cell>
          <cell r="D239" t="str">
            <v>NY.GDP.MKTP.CN</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S239" t="str">
            <v>..</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cell r="BN239" t="str">
            <v/>
          </cell>
        </row>
        <row r="240">
          <cell r="B240" t="str">
            <v>IDA</v>
          </cell>
          <cell r="C240" t="str">
            <v>GDP (current LCU)</v>
          </cell>
          <cell r="D240" t="str">
            <v>NY.GDP.MKTP.CN</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cell r="AJ240" t="str">
            <v>..</v>
          </cell>
          <cell r="AK240" t="str">
            <v>..</v>
          </cell>
          <cell r="AL240" t="str">
            <v>..</v>
          </cell>
          <cell r="AM240" t="str">
            <v>..</v>
          </cell>
          <cell r="AN240" t="str">
            <v>..</v>
          </cell>
          <cell r="AO240" t="str">
            <v>..</v>
          </cell>
          <cell r="AP240" t="str">
            <v>..</v>
          </cell>
          <cell r="AQ240" t="str">
            <v>..</v>
          </cell>
          <cell r="AR240" t="str">
            <v>..</v>
          </cell>
          <cell r="AS240" t="str">
            <v>..</v>
          </cell>
          <cell r="AT240" t="str">
            <v>..</v>
          </cell>
          <cell r="AU240" t="str">
            <v>..</v>
          </cell>
          <cell r="AV240" t="str">
            <v>..</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t="str">
            <v>..</v>
          </cell>
          <cell r="BJ240" t="str">
            <v>..</v>
          </cell>
          <cell r="BK240" t="str">
            <v>..</v>
          </cell>
          <cell r="BL240" t="str">
            <v>..</v>
          </cell>
          <cell r="BM240" t="str">
            <v>..</v>
          </cell>
          <cell r="BN240" t="str">
            <v/>
          </cell>
        </row>
        <row r="241">
          <cell r="B241" t="str">
            <v>LTE</v>
          </cell>
          <cell r="C241" t="str">
            <v>GDP (current LCU)</v>
          </cell>
          <cell r="D241" t="str">
            <v>NY.GDP.MKTP.CN</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cell r="AJ241" t="str">
            <v>..</v>
          </cell>
          <cell r="AK241" t="str">
            <v>..</v>
          </cell>
          <cell r="AL241" t="str">
            <v>..</v>
          </cell>
          <cell r="AM241" t="str">
            <v>..</v>
          </cell>
          <cell r="AN241" t="str">
            <v>..</v>
          </cell>
          <cell r="AO241" t="str">
            <v>..</v>
          </cell>
          <cell r="AP241" t="str">
            <v>..</v>
          </cell>
          <cell r="AQ241" t="str">
            <v>..</v>
          </cell>
          <cell r="AR241" t="str">
            <v>..</v>
          </cell>
          <cell r="AS241" t="str">
            <v>..</v>
          </cell>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v>
          </cell>
          <cell r="BN241" t="str">
            <v/>
          </cell>
        </row>
        <row r="242">
          <cell r="B242" t="str">
            <v>LCN</v>
          </cell>
          <cell r="C242" t="str">
            <v>GDP (current LCU)</v>
          </cell>
          <cell r="D242" t="str">
            <v>NY.GDP.MKTP.CN</v>
          </cell>
          <cell r="E242" t="str">
            <v>..</v>
          </cell>
          <cell r="F242" t="str">
            <v>..</v>
          </cell>
          <cell r="G242" t="str">
            <v>..</v>
          </cell>
          <cell r="H242" t="str">
            <v>..</v>
          </cell>
          <cell r="I242" t="str">
            <v>..</v>
          </cell>
          <cell r="J242" t="str">
            <v>..</v>
          </cell>
          <cell r="K242" t="str">
            <v>..</v>
          </cell>
          <cell r="L242" t="str">
            <v>..</v>
          </cell>
          <cell r="M242" t="str">
            <v>..</v>
          </cell>
          <cell r="N242" t="str">
            <v>..</v>
          </cell>
          <cell r="O242" t="str">
            <v>..</v>
          </cell>
          <cell r="P242" t="str">
            <v>..</v>
          </cell>
          <cell r="Q242" t="str">
            <v>..</v>
          </cell>
          <cell r="R242" t="str">
            <v>..</v>
          </cell>
          <cell r="S242" t="str">
            <v>..</v>
          </cell>
          <cell r="T242" t="str">
            <v>..</v>
          </cell>
          <cell r="U242" t="str">
            <v>..</v>
          </cell>
          <cell r="V242" t="str">
            <v>..</v>
          </cell>
          <cell r="W242" t="str">
            <v>..</v>
          </cell>
          <cell r="X242" t="str">
            <v>..</v>
          </cell>
          <cell r="Y242" t="str">
            <v>..</v>
          </cell>
          <cell r="Z242" t="str">
            <v>..</v>
          </cell>
          <cell r="AA242" t="str">
            <v>..</v>
          </cell>
          <cell r="AB242" t="str">
            <v>..</v>
          </cell>
          <cell r="AC242" t="str">
            <v>..</v>
          </cell>
          <cell r="AD242" t="str">
            <v>..</v>
          </cell>
          <cell r="AE242" t="str">
            <v>..</v>
          </cell>
          <cell r="AF242" t="str">
            <v>..</v>
          </cell>
          <cell r="AG242" t="str">
            <v>..</v>
          </cell>
          <cell r="AH242" t="str">
            <v>..</v>
          </cell>
          <cell r="AI242" t="str">
            <v>..</v>
          </cell>
          <cell r="AJ242" t="str">
            <v>..</v>
          </cell>
          <cell r="AK242" t="str">
            <v>..</v>
          </cell>
          <cell r="AL242" t="str">
            <v>..</v>
          </cell>
          <cell r="AM242" t="str">
            <v>..</v>
          </cell>
          <cell r="AN242" t="str">
            <v>..</v>
          </cell>
          <cell r="AO242" t="str">
            <v>..</v>
          </cell>
          <cell r="AP242" t="str">
            <v>..</v>
          </cell>
          <cell r="AQ242" t="str">
            <v>..</v>
          </cell>
          <cell r="AR242" t="str">
            <v>..</v>
          </cell>
          <cell r="AS242" t="str">
            <v>..</v>
          </cell>
          <cell r="AT242" t="str">
            <v>..</v>
          </cell>
          <cell r="AU242" t="str">
            <v>..</v>
          </cell>
          <cell r="AV242" t="str">
            <v>..</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t="str">
            <v>..</v>
          </cell>
          <cell r="BJ242" t="str">
            <v>..</v>
          </cell>
          <cell r="BK242" t="str">
            <v>..</v>
          </cell>
          <cell r="BL242" t="str">
            <v>..</v>
          </cell>
          <cell r="BM242" t="str">
            <v>..</v>
          </cell>
          <cell r="BN242" t="str">
            <v/>
          </cell>
        </row>
        <row r="243">
          <cell r="B243" t="str">
            <v>LAC</v>
          </cell>
          <cell r="C243" t="str">
            <v>GDP (current LCU)</v>
          </cell>
          <cell r="D243" t="str">
            <v>NY.GDP.MKTP.CN</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cell r="AJ243" t="str">
            <v>..</v>
          </cell>
          <cell r="AK243" t="str">
            <v>..</v>
          </cell>
          <cell r="AL243" t="str">
            <v>..</v>
          </cell>
          <cell r="AM243" t="str">
            <v>..</v>
          </cell>
          <cell r="AN243" t="str">
            <v>..</v>
          </cell>
          <cell r="AO243" t="str">
            <v>..</v>
          </cell>
          <cell r="AP243" t="str">
            <v>..</v>
          </cell>
          <cell r="AQ243" t="str">
            <v>..</v>
          </cell>
          <cell r="AR243" t="str">
            <v>..</v>
          </cell>
          <cell r="AS243" t="str">
            <v>..</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t="str">
            <v>..</v>
          </cell>
          <cell r="BJ243" t="str">
            <v>..</v>
          </cell>
          <cell r="BK243" t="str">
            <v>..</v>
          </cell>
          <cell r="BL243" t="str">
            <v>..</v>
          </cell>
          <cell r="BM243" t="str">
            <v>..</v>
          </cell>
          <cell r="BN243" t="str">
            <v/>
          </cell>
        </row>
        <row r="244">
          <cell r="B244" t="str">
            <v>TLA</v>
          </cell>
          <cell r="C244" t="str">
            <v>GDP (current LCU)</v>
          </cell>
          <cell r="D244" t="str">
            <v>NY.GDP.MKTP.CN</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t="str">
            <v>..</v>
          </cell>
          <cell r="AU244" t="str">
            <v>..</v>
          </cell>
          <cell r="AV244" t="str">
            <v>..</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t="str">
            <v>..</v>
          </cell>
          <cell r="BJ244" t="str">
            <v>..</v>
          </cell>
          <cell r="BK244" t="str">
            <v>..</v>
          </cell>
          <cell r="BL244" t="str">
            <v>..</v>
          </cell>
          <cell r="BM244" t="str">
            <v>..</v>
          </cell>
          <cell r="BN244" t="str">
            <v/>
          </cell>
        </row>
        <row r="245">
          <cell r="B245" t="str">
            <v>LDC</v>
          </cell>
          <cell r="C245" t="str">
            <v>GDP (current LCU)</v>
          </cell>
          <cell r="D245" t="str">
            <v>NY.GDP.MKTP.CN</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t="str">
            <v>..</v>
          </cell>
          <cell r="AU245" t="str">
            <v>..</v>
          </cell>
          <cell r="AV245" t="str">
            <v>..</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t="str">
            <v>..</v>
          </cell>
          <cell r="BJ245" t="str">
            <v>..</v>
          </cell>
          <cell r="BK245" t="str">
            <v>..</v>
          </cell>
          <cell r="BL245" t="str">
            <v>..</v>
          </cell>
          <cell r="BM245" t="str">
            <v>..</v>
          </cell>
          <cell r="BN245" t="str">
            <v/>
          </cell>
        </row>
        <row r="246">
          <cell r="B246" t="str">
            <v>LMY</v>
          </cell>
          <cell r="C246" t="str">
            <v>GDP (current LCU)</v>
          </cell>
          <cell r="D246" t="str">
            <v>NY.GDP.MKTP.CN</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t="str">
            <v>..</v>
          </cell>
          <cell r="Q246" t="str">
            <v>..</v>
          </cell>
          <cell r="R246" t="str">
            <v>..</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t="str">
            <v>..</v>
          </cell>
          <cell r="AF246" t="str">
            <v>..</v>
          </cell>
          <cell r="AG246" t="str">
            <v>..</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t="str">
            <v>..</v>
          </cell>
          <cell r="AU246" t="str">
            <v>..</v>
          </cell>
          <cell r="AV246" t="str">
            <v>..</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t="str">
            <v>..</v>
          </cell>
          <cell r="BJ246" t="str">
            <v>..</v>
          </cell>
          <cell r="BK246" t="str">
            <v>..</v>
          </cell>
          <cell r="BL246" t="str">
            <v>..</v>
          </cell>
          <cell r="BM246" t="str">
            <v>..</v>
          </cell>
          <cell r="BN246" t="str">
            <v/>
          </cell>
        </row>
        <row r="247">
          <cell r="B247" t="str">
            <v>LIC</v>
          </cell>
          <cell r="C247" t="str">
            <v>GDP (current LCU)</v>
          </cell>
          <cell r="D247" t="str">
            <v>NY.GDP.MKTP.CN</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cell r="AJ247" t="str">
            <v>..</v>
          </cell>
          <cell r="AK247" t="str">
            <v>..</v>
          </cell>
          <cell r="AL247" t="str">
            <v>..</v>
          </cell>
          <cell r="AM247" t="str">
            <v>..</v>
          </cell>
          <cell r="AN247" t="str">
            <v>..</v>
          </cell>
          <cell r="AO247" t="str">
            <v>..</v>
          </cell>
          <cell r="AP247" t="str">
            <v>..</v>
          </cell>
          <cell r="AQ247" t="str">
            <v>..</v>
          </cell>
          <cell r="AR247" t="str">
            <v>..</v>
          </cell>
          <cell r="AS247" t="str">
            <v>..</v>
          </cell>
          <cell r="AT247" t="str">
            <v>..</v>
          </cell>
          <cell r="AU247" t="str">
            <v>..</v>
          </cell>
          <cell r="AV247" t="str">
            <v>..</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t="str">
            <v>..</v>
          </cell>
          <cell r="BJ247" t="str">
            <v>..</v>
          </cell>
          <cell r="BK247" t="str">
            <v>..</v>
          </cell>
          <cell r="BL247" t="str">
            <v>..</v>
          </cell>
          <cell r="BM247" t="str">
            <v>..</v>
          </cell>
          <cell r="BN247" t="str">
            <v/>
          </cell>
        </row>
        <row r="248">
          <cell r="B248" t="str">
            <v>LMC</v>
          </cell>
          <cell r="C248" t="str">
            <v>GDP (current LCU)</v>
          </cell>
          <cell r="D248" t="str">
            <v>NY.GDP.MKTP.CN</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cell r="AJ248" t="str">
            <v>..</v>
          </cell>
          <cell r="AK248" t="str">
            <v>..</v>
          </cell>
          <cell r="AL248" t="str">
            <v>..</v>
          </cell>
          <cell r="AM248" t="str">
            <v>..</v>
          </cell>
          <cell r="AN248" t="str">
            <v>..</v>
          </cell>
          <cell r="AO248" t="str">
            <v>..</v>
          </cell>
          <cell r="AP248" t="str">
            <v>..</v>
          </cell>
          <cell r="AQ248" t="str">
            <v>..</v>
          </cell>
          <cell r="AR248" t="str">
            <v>..</v>
          </cell>
          <cell r="AS248" t="str">
            <v>..</v>
          </cell>
          <cell r="AT248" t="str">
            <v>..</v>
          </cell>
          <cell r="AU248" t="str">
            <v>..</v>
          </cell>
          <cell r="AV248" t="str">
            <v>..</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t="str">
            <v>..</v>
          </cell>
          <cell r="BJ248" t="str">
            <v>..</v>
          </cell>
          <cell r="BK248" t="str">
            <v>..</v>
          </cell>
          <cell r="BL248" t="str">
            <v>..</v>
          </cell>
          <cell r="BM248" t="str">
            <v>..</v>
          </cell>
          <cell r="BN248" t="str">
            <v/>
          </cell>
        </row>
        <row r="249">
          <cell r="B249" t="str">
            <v>MEA</v>
          </cell>
          <cell r="C249" t="str">
            <v>GDP (current LCU)</v>
          </cell>
          <cell r="D249" t="str">
            <v>NY.GDP.MKTP.CN</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cell r="AJ249" t="str">
            <v>..</v>
          </cell>
          <cell r="AK249" t="str">
            <v>..</v>
          </cell>
          <cell r="AL249" t="str">
            <v>..</v>
          </cell>
          <cell r="AM249" t="str">
            <v>..</v>
          </cell>
          <cell r="AN249" t="str">
            <v>..</v>
          </cell>
          <cell r="AO249" t="str">
            <v>..</v>
          </cell>
          <cell r="AP249" t="str">
            <v>..</v>
          </cell>
          <cell r="AQ249" t="str">
            <v>..</v>
          </cell>
          <cell r="AR249" t="str">
            <v>..</v>
          </cell>
          <cell r="AS249" t="str">
            <v>..</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
          </cell>
        </row>
        <row r="250">
          <cell r="B250" t="str">
            <v>MNA</v>
          </cell>
          <cell r="C250" t="str">
            <v>GDP (current LCU)</v>
          </cell>
          <cell r="D250" t="str">
            <v>NY.GDP.MKTP.CN</v>
          </cell>
          <cell r="E250" t="str">
            <v>..</v>
          </cell>
          <cell r="F250" t="str">
            <v>..</v>
          </cell>
          <cell r="G250" t="str">
            <v>..</v>
          </cell>
          <cell r="H250" t="str">
            <v>..</v>
          </cell>
          <cell r="I250" t="str">
            <v>..</v>
          </cell>
          <cell r="J250" t="str">
            <v>..</v>
          </cell>
          <cell r="K250" t="str">
            <v>..</v>
          </cell>
          <cell r="L250" t="str">
            <v>..</v>
          </cell>
          <cell r="M250" t="str">
            <v>..</v>
          </cell>
          <cell r="N250" t="str">
            <v>..</v>
          </cell>
          <cell r="O250" t="str">
            <v>..</v>
          </cell>
          <cell r="P250" t="str">
            <v>..</v>
          </cell>
          <cell r="Q250" t="str">
            <v>..</v>
          </cell>
          <cell r="R250" t="str">
            <v>..</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t="str">
            <v>..</v>
          </cell>
          <cell r="AF250" t="str">
            <v>..</v>
          </cell>
          <cell r="AG250" t="str">
            <v>..</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t="str">
            <v>..</v>
          </cell>
          <cell r="AU250" t="str">
            <v>..</v>
          </cell>
          <cell r="AV250" t="str">
            <v>..</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t="str">
            <v>..</v>
          </cell>
          <cell r="BJ250" t="str">
            <v>..</v>
          </cell>
          <cell r="BK250" t="str">
            <v>..</v>
          </cell>
          <cell r="BL250" t="str">
            <v>..</v>
          </cell>
          <cell r="BM250" t="str">
            <v>..</v>
          </cell>
          <cell r="BN250" t="str">
            <v/>
          </cell>
        </row>
        <row r="251">
          <cell r="B251" t="str">
            <v>TMN</v>
          </cell>
          <cell r="C251" t="str">
            <v>GDP (current LCU)</v>
          </cell>
          <cell r="D251" t="str">
            <v>NY.GDP.MKTP.CN</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t="str">
            <v>..</v>
          </cell>
          <cell r="AU251" t="str">
            <v>..</v>
          </cell>
          <cell r="AV251" t="str">
            <v>..</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t="str">
            <v>..</v>
          </cell>
          <cell r="BJ251" t="str">
            <v>..</v>
          </cell>
          <cell r="BK251" t="str">
            <v>..</v>
          </cell>
          <cell r="BL251" t="str">
            <v>..</v>
          </cell>
          <cell r="BM251" t="str">
            <v>..</v>
          </cell>
          <cell r="BN251" t="str">
            <v/>
          </cell>
        </row>
        <row r="252">
          <cell r="B252" t="str">
            <v>MIC</v>
          </cell>
          <cell r="C252" t="str">
            <v>GDP (current LCU)</v>
          </cell>
          <cell r="D252" t="str">
            <v>NY.GDP.MKTP.CN</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t="str">
            <v>..</v>
          </cell>
          <cell r="AU252" t="str">
            <v>..</v>
          </cell>
          <cell r="AV252" t="str">
            <v>..</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t="str">
            <v>..</v>
          </cell>
          <cell r="BJ252" t="str">
            <v>..</v>
          </cell>
          <cell r="BK252" t="str">
            <v>..</v>
          </cell>
          <cell r="BL252" t="str">
            <v>..</v>
          </cell>
          <cell r="BM252" t="str">
            <v>..</v>
          </cell>
          <cell r="BN252" t="str">
            <v/>
          </cell>
        </row>
        <row r="253">
          <cell r="B253" t="str">
            <v>NAC</v>
          </cell>
          <cell r="C253" t="str">
            <v>GDP (current LCU)</v>
          </cell>
          <cell r="D253" t="str">
            <v>NY.GDP.MKTP.CN</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t="str">
            <v>..</v>
          </cell>
          <cell r="AU253" t="str">
            <v>..</v>
          </cell>
          <cell r="AV253" t="str">
            <v>..</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t="str">
            <v>..</v>
          </cell>
          <cell r="BJ253" t="str">
            <v>..</v>
          </cell>
          <cell r="BK253" t="str">
            <v>..</v>
          </cell>
          <cell r="BL253" t="str">
            <v>..</v>
          </cell>
          <cell r="BM253" t="str">
            <v>..</v>
          </cell>
          <cell r="BN253" t="str">
            <v/>
          </cell>
        </row>
        <row r="254">
          <cell r="B254" t="str">
            <v>INX</v>
          </cell>
          <cell r="C254" t="str">
            <v>GDP (current LCU)</v>
          </cell>
          <cell r="D254" t="str">
            <v>NY.GDP.MKTP.CN</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cell r="AJ254" t="str">
            <v>..</v>
          </cell>
          <cell r="AK254" t="str">
            <v>..</v>
          </cell>
          <cell r="AL254" t="str">
            <v>..</v>
          </cell>
          <cell r="AM254" t="str">
            <v>..</v>
          </cell>
          <cell r="AN254" t="str">
            <v>..</v>
          </cell>
          <cell r="AO254" t="str">
            <v>..</v>
          </cell>
          <cell r="AP254" t="str">
            <v>..</v>
          </cell>
          <cell r="AQ254" t="str">
            <v>..</v>
          </cell>
          <cell r="AR254" t="str">
            <v>..</v>
          </cell>
          <cell r="AS254" t="str">
            <v>..</v>
          </cell>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v>
          </cell>
          <cell r="BN254" t="str">
            <v/>
          </cell>
        </row>
        <row r="255">
          <cell r="B255" t="str">
            <v>OED</v>
          </cell>
          <cell r="C255" t="str">
            <v>GDP (current LCU)</v>
          </cell>
          <cell r="D255" t="str">
            <v>NY.GDP.MKTP.CN</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cell r="AJ255" t="str">
            <v>..</v>
          </cell>
          <cell r="AK255" t="str">
            <v>..</v>
          </cell>
          <cell r="AL255" t="str">
            <v>..</v>
          </cell>
          <cell r="AM255" t="str">
            <v>..</v>
          </cell>
          <cell r="AN255" t="str">
            <v>..</v>
          </cell>
          <cell r="AO255" t="str">
            <v>..</v>
          </cell>
          <cell r="AP255" t="str">
            <v>..</v>
          </cell>
          <cell r="AQ255" t="str">
            <v>..</v>
          </cell>
          <cell r="AR255" t="str">
            <v>..</v>
          </cell>
          <cell r="AS255" t="str">
            <v>..</v>
          </cell>
          <cell r="AT255" t="str">
            <v>..</v>
          </cell>
          <cell r="AU255" t="str">
            <v>..</v>
          </cell>
          <cell r="AV255" t="str">
            <v>..</v>
          </cell>
          <cell r="AW255" t="str">
            <v>..</v>
          </cell>
          <cell r="AX255" t="str">
            <v>..</v>
          </cell>
          <cell r="AY255" t="str">
            <v>..</v>
          </cell>
          <cell r="AZ255" t="str">
            <v>..</v>
          </cell>
          <cell r="BA255" t="str">
            <v>..</v>
          </cell>
          <cell r="BB255" t="str">
            <v>..</v>
          </cell>
          <cell r="BC255" t="str">
            <v>..</v>
          </cell>
          <cell r="BD255" t="str">
            <v>..</v>
          </cell>
          <cell r="BE255" t="str">
            <v>..</v>
          </cell>
          <cell r="BF255" t="str">
            <v>..</v>
          </cell>
          <cell r="BG255" t="str">
            <v>..</v>
          </cell>
          <cell r="BH255" t="str">
            <v>..</v>
          </cell>
          <cell r="BI255" t="str">
            <v>..</v>
          </cell>
          <cell r="BJ255" t="str">
            <v>..</v>
          </cell>
          <cell r="BK255" t="str">
            <v>..</v>
          </cell>
          <cell r="BL255" t="str">
            <v>..</v>
          </cell>
          <cell r="BM255" t="str">
            <v>..</v>
          </cell>
          <cell r="BN255" t="str">
            <v/>
          </cell>
        </row>
        <row r="256">
          <cell r="B256" t="str">
            <v>OSS</v>
          </cell>
          <cell r="C256" t="str">
            <v>GDP (current LCU)</v>
          </cell>
          <cell r="D256" t="str">
            <v>NY.GDP.MKTP.CN</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cell r="AJ256" t="str">
            <v>..</v>
          </cell>
          <cell r="AK256" t="str">
            <v>..</v>
          </cell>
          <cell r="AL256" t="str">
            <v>..</v>
          </cell>
          <cell r="AM256" t="str">
            <v>..</v>
          </cell>
          <cell r="AN256" t="str">
            <v>..</v>
          </cell>
          <cell r="AO256" t="str">
            <v>..</v>
          </cell>
          <cell r="AP256" t="str">
            <v>..</v>
          </cell>
          <cell r="AQ256" t="str">
            <v>..</v>
          </cell>
          <cell r="AR256" t="str">
            <v>..</v>
          </cell>
          <cell r="AS256" t="str">
            <v>..</v>
          </cell>
          <cell r="AT256" t="str">
            <v>..</v>
          </cell>
          <cell r="AU256" t="str">
            <v>..</v>
          </cell>
          <cell r="AV256" t="str">
            <v>..</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t="str">
            <v>..</v>
          </cell>
          <cell r="BJ256" t="str">
            <v>..</v>
          </cell>
          <cell r="BK256" t="str">
            <v>..</v>
          </cell>
          <cell r="BL256" t="str">
            <v>..</v>
          </cell>
          <cell r="BM256" t="str">
            <v>..</v>
          </cell>
          <cell r="BN256" t="str">
            <v/>
          </cell>
        </row>
        <row r="257">
          <cell r="B257" t="str">
            <v>PSS</v>
          </cell>
          <cell r="C257" t="str">
            <v>GDP (current LCU)</v>
          </cell>
          <cell r="D257" t="str">
            <v>NY.GDP.MKTP.CN</v>
          </cell>
          <cell r="E257" t="str">
            <v>..</v>
          </cell>
          <cell r="F257" t="str">
            <v>..</v>
          </cell>
          <cell r="G257" t="str">
            <v>..</v>
          </cell>
          <cell r="H257" t="str">
            <v>..</v>
          </cell>
          <cell r="I257" t="str">
            <v>..</v>
          </cell>
          <cell r="J257" t="str">
            <v>..</v>
          </cell>
          <cell r="K257" t="str">
            <v>..</v>
          </cell>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t="str">
            <v>..</v>
          </cell>
          <cell r="AF257" t="str">
            <v>..</v>
          </cell>
          <cell r="AG257" t="str">
            <v>..</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t="str">
            <v>..</v>
          </cell>
          <cell r="AU257" t="str">
            <v>..</v>
          </cell>
          <cell r="AV257" t="str">
            <v>..</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t="str">
            <v>..</v>
          </cell>
          <cell r="BJ257" t="str">
            <v>..</v>
          </cell>
          <cell r="BK257" t="str">
            <v>..</v>
          </cell>
          <cell r="BL257" t="str">
            <v>..</v>
          </cell>
          <cell r="BM257" t="str">
            <v>..</v>
          </cell>
          <cell r="BN257" t="str">
            <v/>
          </cell>
        </row>
        <row r="258">
          <cell r="B258" t="str">
            <v>PST</v>
          </cell>
          <cell r="C258" t="str">
            <v>GDP (current LCU)</v>
          </cell>
          <cell r="D258" t="str">
            <v>NY.GDP.MKTP.CN</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t="str">
            <v>..</v>
          </cell>
          <cell r="AU258" t="str">
            <v>..</v>
          </cell>
          <cell r="AV258" t="str">
            <v>..</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t="str">
            <v>..</v>
          </cell>
          <cell r="BJ258" t="str">
            <v>..</v>
          </cell>
          <cell r="BK258" t="str">
            <v>..</v>
          </cell>
          <cell r="BL258" t="str">
            <v>..</v>
          </cell>
          <cell r="BM258" t="str">
            <v>..</v>
          </cell>
          <cell r="BN258" t="str">
            <v/>
          </cell>
        </row>
        <row r="259">
          <cell r="B259" t="str">
            <v>PRE</v>
          </cell>
          <cell r="C259" t="str">
            <v>GDP (current LCU)</v>
          </cell>
          <cell r="D259" t="str">
            <v>NY.GDP.MKTP.CN</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v>
          </cell>
          <cell r="BN259" t="str">
            <v/>
          </cell>
        </row>
        <row r="260">
          <cell r="B260" t="str">
            <v>SST</v>
          </cell>
          <cell r="C260" t="str">
            <v>GDP (current LCU)</v>
          </cell>
          <cell r="D260" t="str">
            <v>NY.GDP.MKTP.CN</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t="str">
            <v>..</v>
          </cell>
          <cell r="AU260" t="str">
            <v>..</v>
          </cell>
          <cell r="AV260" t="str">
            <v>..</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t="str">
            <v>..</v>
          </cell>
          <cell r="BJ260" t="str">
            <v>..</v>
          </cell>
          <cell r="BK260" t="str">
            <v>..</v>
          </cell>
          <cell r="BL260" t="str">
            <v>..</v>
          </cell>
          <cell r="BM260" t="str">
            <v>..</v>
          </cell>
          <cell r="BN260" t="str">
            <v/>
          </cell>
        </row>
        <row r="261">
          <cell r="B261" t="str">
            <v>SAS</v>
          </cell>
          <cell r="C261" t="str">
            <v>GDP (current LCU)</v>
          </cell>
          <cell r="D261" t="str">
            <v>NY.GDP.MKTP.CN</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t="str">
            <v>..</v>
          </cell>
          <cell r="AF261" t="str">
            <v>..</v>
          </cell>
          <cell r="AG261" t="str">
            <v>..</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t="str">
            <v>..</v>
          </cell>
          <cell r="AU261" t="str">
            <v>..</v>
          </cell>
          <cell r="AV261" t="str">
            <v>..</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t="str">
            <v>..</v>
          </cell>
          <cell r="BJ261" t="str">
            <v>..</v>
          </cell>
          <cell r="BK261" t="str">
            <v>..</v>
          </cell>
          <cell r="BL261" t="str">
            <v>..</v>
          </cell>
          <cell r="BM261" t="str">
            <v>..</v>
          </cell>
          <cell r="BN261" t="str">
            <v/>
          </cell>
        </row>
        <row r="262">
          <cell r="B262" t="str">
            <v>TSA</v>
          </cell>
          <cell r="C262" t="str">
            <v>GDP (current LCU)</v>
          </cell>
          <cell r="D262" t="str">
            <v>NY.GDP.MKTP.CN</v>
          </cell>
          <cell r="E262" t="str">
            <v>..</v>
          </cell>
          <cell r="F262" t="str">
            <v>..</v>
          </cell>
          <cell r="G262" t="str">
            <v>..</v>
          </cell>
          <cell r="H262" t="str">
            <v>..</v>
          </cell>
          <cell r="I262" t="str">
            <v>..</v>
          </cell>
          <cell r="J262" t="str">
            <v>..</v>
          </cell>
          <cell r="K262" t="str">
            <v>..</v>
          </cell>
          <cell r="L262" t="str">
            <v>..</v>
          </cell>
          <cell r="M262" t="str">
            <v>..</v>
          </cell>
          <cell r="N262" t="str">
            <v>..</v>
          </cell>
          <cell r="O262" t="str">
            <v>..</v>
          </cell>
          <cell r="P262" t="str">
            <v>..</v>
          </cell>
          <cell r="Q262" t="str">
            <v>..</v>
          </cell>
          <cell r="R262" t="str">
            <v>..</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t="str">
            <v>..</v>
          </cell>
          <cell r="AF262" t="str">
            <v>..</v>
          </cell>
          <cell r="AG262" t="str">
            <v>..</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t="str">
            <v>..</v>
          </cell>
          <cell r="AU262" t="str">
            <v>..</v>
          </cell>
          <cell r="AV262" t="str">
            <v>..</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t="str">
            <v>..</v>
          </cell>
          <cell r="BJ262" t="str">
            <v>..</v>
          </cell>
          <cell r="BK262" t="str">
            <v>..</v>
          </cell>
          <cell r="BL262" t="str">
            <v>..</v>
          </cell>
          <cell r="BM262" t="str">
            <v>..</v>
          </cell>
          <cell r="BN262" t="str">
            <v/>
          </cell>
        </row>
        <row r="263">
          <cell r="B263" t="str">
            <v>SSF</v>
          </cell>
          <cell r="C263" t="str">
            <v>GDP (current LCU)</v>
          </cell>
          <cell r="D263" t="str">
            <v>NY.GDP.MKTP.CN</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t="str">
            <v>..</v>
          </cell>
          <cell r="AU263" t="str">
            <v>..</v>
          </cell>
          <cell r="AV263" t="str">
            <v>..</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t="str">
            <v>..</v>
          </cell>
          <cell r="BJ263" t="str">
            <v>..</v>
          </cell>
          <cell r="BK263" t="str">
            <v>..</v>
          </cell>
          <cell r="BL263" t="str">
            <v>..</v>
          </cell>
          <cell r="BM263" t="str">
            <v>..</v>
          </cell>
          <cell r="BN263" t="str">
            <v/>
          </cell>
        </row>
        <row r="264">
          <cell r="B264" t="str">
            <v>SSA</v>
          </cell>
          <cell r="C264" t="str">
            <v>GDP (current LCU)</v>
          </cell>
          <cell r="D264" t="str">
            <v>NY.GDP.MKTP.CN</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cell r="AJ264" t="str">
            <v>..</v>
          </cell>
          <cell r="AK264" t="str">
            <v>..</v>
          </cell>
          <cell r="AL264" t="str">
            <v>..</v>
          </cell>
          <cell r="AM264" t="str">
            <v>..</v>
          </cell>
          <cell r="AN264" t="str">
            <v>..</v>
          </cell>
          <cell r="AO264" t="str">
            <v>..</v>
          </cell>
          <cell r="AP264" t="str">
            <v>..</v>
          </cell>
          <cell r="AQ264" t="str">
            <v>..</v>
          </cell>
          <cell r="AR264" t="str">
            <v>..</v>
          </cell>
          <cell r="AS264" t="str">
            <v>..</v>
          </cell>
          <cell r="AT264" t="str">
            <v>..</v>
          </cell>
          <cell r="AU264" t="str">
            <v>..</v>
          </cell>
          <cell r="AV264" t="str">
            <v>..</v>
          </cell>
          <cell r="AW264" t="str">
            <v>..</v>
          </cell>
          <cell r="AX264" t="str">
            <v>..</v>
          </cell>
          <cell r="AY264" t="str">
            <v>..</v>
          </cell>
          <cell r="AZ264" t="str">
            <v>..</v>
          </cell>
          <cell r="BA264" t="str">
            <v>..</v>
          </cell>
          <cell r="BB264" t="str">
            <v>..</v>
          </cell>
          <cell r="BC264" t="str">
            <v>..</v>
          </cell>
          <cell r="BD264" t="str">
            <v>..</v>
          </cell>
          <cell r="BE264" t="str">
            <v>..</v>
          </cell>
          <cell r="BF264" t="str">
            <v>..</v>
          </cell>
          <cell r="BG264" t="str">
            <v>..</v>
          </cell>
          <cell r="BH264" t="str">
            <v>..</v>
          </cell>
          <cell r="BI264" t="str">
            <v>..</v>
          </cell>
          <cell r="BJ264" t="str">
            <v>..</v>
          </cell>
          <cell r="BK264" t="str">
            <v>..</v>
          </cell>
          <cell r="BL264" t="str">
            <v>..</v>
          </cell>
          <cell r="BM264" t="str">
            <v>..</v>
          </cell>
          <cell r="BN264" t="str">
            <v/>
          </cell>
        </row>
        <row r="265">
          <cell r="B265" t="str">
            <v>TSS</v>
          </cell>
          <cell r="C265" t="str">
            <v>GDP (current LCU)</v>
          </cell>
          <cell r="D265" t="str">
            <v>NY.GDP.MKTP.CN</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cell r="AJ265" t="str">
            <v>..</v>
          </cell>
          <cell r="AK265" t="str">
            <v>..</v>
          </cell>
          <cell r="AL265" t="str">
            <v>..</v>
          </cell>
          <cell r="AM265" t="str">
            <v>..</v>
          </cell>
          <cell r="AN265" t="str">
            <v>..</v>
          </cell>
          <cell r="AO265" t="str">
            <v>..</v>
          </cell>
          <cell r="AP265" t="str">
            <v>..</v>
          </cell>
          <cell r="AQ265" t="str">
            <v>..</v>
          </cell>
          <cell r="AR265" t="str">
            <v>..</v>
          </cell>
          <cell r="AS265" t="str">
            <v>..</v>
          </cell>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v>
          </cell>
          <cell r="BN265" t="str">
            <v/>
          </cell>
        </row>
        <row r="266">
          <cell r="B266" t="str">
            <v>UMC</v>
          </cell>
          <cell r="C266" t="str">
            <v>GDP (current LCU)</v>
          </cell>
          <cell r="D266" t="str">
            <v>NY.GDP.MKTP.CN</v>
          </cell>
          <cell r="E266" t="str">
            <v>..</v>
          </cell>
          <cell r="F266" t="str">
            <v>..</v>
          </cell>
          <cell r="G266" t="str">
            <v>..</v>
          </cell>
          <cell r="H266" t="str">
            <v>..</v>
          </cell>
          <cell r="I266" t="str">
            <v>..</v>
          </cell>
          <cell r="J266" t="str">
            <v>..</v>
          </cell>
          <cell r="K266" t="str">
            <v>..</v>
          </cell>
          <cell r="L266" t="str">
            <v>..</v>
          </cell>
          <cell r="M266" t="str">
            <v>..</v>
          </cell>
          <cell r="N266" t="str">
            <v>..</v>
          </cell>
          <cell r="O266" t="str">
            <v>..</v>
          </cell>
          <cell r="P266" t="str">
            <v>..</v>
          </cell>
          <cell r="Q266" t="str">
            <v>..</v>
          </cell>
          <cell r="R266" t="str">
            <v>..</v>
          </cell>
          <cell r="S266" t="str">
            <v>..</v>
          </cell>
          <cell r="T266" t="str">
            <v>..</v>
          </cell>
          <cell r="U266" t="str">
            <v>..</v>
          </cell>
          <cell r="V266" t="str">
            <v>..</v>
          </cell>
          <cell r="W266" t="str">
            <v>..</v>
          </cell>
          <cell r="X266" t="str">
            <v>..</v>
          </cell>
          <cell r="Y266" t="str">
            <v>..</v>
          </cell>
          <cell r="Z266" t="str">
            <v>..</v>
          </cell>
          <cell r="AA266" t="str">
            <v>..</v>
          </cell>
          <cell r="AB266" t="str">
            <v>..</v>
          </cell>
          <cell r="AC266" t="str">
            <v>..</v>
          </cell>
          <cell r="AD266" t="str">
            <v>..</v>
          </cell>
          <cell r="AE266" t="str">
            <v>..</v>
          </cell>
          <cell r="AF266" t="str">
            <v>..</v>
          </cell>
          <cell r="AG266" t="str">
            <v>..</v>
          </cell>
          <cell r="AH266" t="str">
            <v>..</v>
          </cell>
          <cell r="AI266" t="str">
            <v>..</v>
          </cell>
          <cell r="AJ266" t="str">
            <v>..</v>
          </cell>
          <cell r="AK266" t="str">
            <v>..</v>
          </cell>
          <cell r="AL266" t="str">
            <v>..</v>
          </cell>
          <cell r="AM266" t="str">
            <v>..</v>
          </cell>
          <cell r="AN266" t="str">
            <v>..</v>
          </cell>
          <cell r="AO266" t="str">
            <v>..</v>
          </cell>
          <cell r="AP266" t="str">
            <v>..</v>
          </cell>
          <cell r="AQ266" t="str">
            <v>..</v>
          </cell>
          <cell r="AR266" t="str">
            <v>..</v>
          </cell>
          <cell r="AS266" t="str">
            <v>..</v>
          </cell>
          <cell r="AT266" t="str">
            <v>..</v>
          </cell>
          <cell r="AU266" t="str">
            <v>..</v>
          </cell>
          <cell r="AV266" t="str">
            <v>..</v>
          </cell>
          <cell r="AW266" t="str">
            <v>..</v>
          </cell>
          <cell r="AX266" t="str">
            <v>..</v>
          </cell>
          <cell r="AY266" t="str">
            <v>..</v>
          </cell>
          <cell r="AZ266" t="str">
            <v>..</v>
          </cell>
          <cell r="BA266" t="str">
            <v>..</v>
          </cell>
          <cell r="BB266" t="str">
            <v>..</v>
          </cell>
          <cell r="BC266" t="str">
            <v>..</v>
          </cell>
          <cell r="BD266" t="str">
            <v>..</v>
          </cell>
          <cell r="BE266" t="str">
            <v>..</v>
          </cell>
          <cell r="BF266" t="str">
            <v>..</v>
          </cell>
          <cell r="BG266" t="str">
            <v>..</v>
          </cell>
          <cell r="BH266" t="str">
            <v>..</v>
          </cell>
          <cell r="BI266" t="str">
            <v>..</v>
          </cell>
          <cell r="BJ266" t="str">
            <v>..</v>
          </cell>
          <cell r="BK266" t="str">
            <v>..</v>
          </cell>
          <cell r="BL266" t="str">
            <v>..</v>
          </cell>
          <cell r="BM266" t="str">
            <v>..</v>
          </cell>
          <cell r="BN266" t="str">
            <v/>
          </cell>
        </row>
        <row r="267">
          <cell r="B267" t="str">
            <v>WLD</v>
          </cell>
          <cell r="C267" t="str">
            <v>GDP (current LCU)</v>
          </cell>
          <cell r="D267" t="str">
            <v>NY.GDP.MKTP.CN</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t="str">
            <v>..</v>
          </cell>
          <cell r="Q267" t="str">
            <v>..</v>
          </cell>
          <cell r="R267" t="str">
            <v>..</v>
          </cell>
          <cell r="S267" t="str">
            <v>..</v>
          </cell>
          <cell r="T267" t="str">
            <v>..</v>
          </cell>
          <cell r="U267" t="str">
            <v>..</v>
          </cell>
          <cell r="V267" t="str">
            <v>..</v>
          </cell>
          <cell r="W267" t="str">
            <v>..</v>
          </cell>
          <cell r="X267" t="str">
            <v>..</v>
          </cell>
          <cell r="Y267" t="str">
            <v>..</v>
          </cell>
          <cell r="Z267" t="str">
            <v>..</v>
          </cell>
          <cell r="AA267" t="str">
            <v>..</v>
          </cell>
          <cell r="AB267" t="str">
            <v>..</v>
          </cell>
          <cell r="AC267" t="str">
            <v>..</v>
          </cell>
          <cell r="AD267" t="str">
            <v>..</v>
          </cell>
          <cell r="AE267" t="str">
            <v>..</v>
          </cell>
          <cell r="AF267" t="str">
            <v>..</v>
          </cell>
          <cell r="AG267" t="str">
            <v>..</v>
          </cell>
          <cell r="AH267" t="str">
            <v>..</v>
          </cell>
          <cell r="AI267" t="str">
            <v>..</v>
          </cell>
          <cell r="AJ267" t="str">
            <v>..</v>
          </cell>
          <cell r="AK267" t="str">
            <v>..</v>
          </cell>
          <cell r="AL267" t="str">
            <v>..</v>
          </cell>
          <cell r="AM267" t="str">
            <v>..</v>
          </cell>
          <cell r="AN267" t="str">
            <v>..</v>
          </cell>
          <cell r="AO267" t="str">
            <v>..</v>
          </cell>
          <cell r="AP267" t="str">
            <v>..</v>
          </cell>
          <cell r="AQ267" t="str">
            <v>..</v>
          </cell>
          <cell r="AR267" t="str">
            <v>..</v>
          </cell>
          <cell r="AS267" t="str">
            <v>..</v>
          </cell>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v>
          </cell>
          <cell r="BN267" t="str">
            <v/>
          </cell>
        </row>
      </sheetData>
      <sheetData sheetId="10"/>
      <sheetData sheetId="11">
        <row r="1">
          <cell r="B1" t="str">
            <v>Country Code</v>
          </cell>
          <cell r="C1" t="str">
            <v>Series Name</v>
          </cell>
          <cell r="D1" t="str">
            <v>Series Code</v>
          </cell>
          <cell r="E1" t="str">
            <v>1960 [YR1960]</v>
          </cell>
          <cell r="F1" t="str">
            <v>1961 [YR1961]</v>
          </cell>
          <cell r="G1" t="str">
            <v>1962 [YR1962]</v>
          </cell>
          <cell r="H1" t="str">
            <v>1963 [YR1963]</v>
          </cell>
          <cell r="I1" t="str">
            <v>1964 [YR1964]</v>
          </cell>
          <cell r="J1" t="str">
            <v>1965 [YR1965]</v>
          </cell>
          <cell r="K1" t="str">
            <v>1966 [YR1966]</v>
          </cell>
          <cell r="L1" t="str">
            <v>1967 [YR1967]</v>
          </cell>
          <cell r="M1" t="str">
            <v>1968 [YR1968]</v>
          </cell>
          <cell r="N1" t="str">
            <v>1969 [YR1969]</v>
          </cell>
          <cell r="O1" t="str">
            <v>1970 [YR1970]</v>
          </cell>
          <cell r="P1" t="str">
            <v>1971 [YR1971]</v>
          </cell>
          <cell r="Q1" t="str">
            <v>1972 [YR1972]</v>
          </cell>
          <cell r="R1" t="str">
            <v>1973 [YR1973]</v>
          </cell>
          <cell r="S1" t="str">
            <v>1974 [YR1974]</v>
          </cell>
          <cell r="T1" t="str">
            <v>1975 [YR1975]</v>
          </cell>
          <cell r="U1" t="str">
            <v>1976 [YR1976]</v>
          </cell>
          <cell r="V1" t="str">
            <v>1977 [YR1977]</v>
          </cell>
          <cell r="W1" t="str">
            <v>1978 [YR1978]</v>
          </cell>
          <cell r="X1" t="str">
            <v>1979 [YR1979]</v>
          </cell>
          <cell r="Y1" t="str">
            <v>1980 [YR1980]</v>
          </cell>
          <cell r="Z1" t="str">
            <v>1981 [YR1981]</v>
          </cell>
          <cell r="AA1" t="str">
            <v>1982 [YR1982]</v>
          </cell>
          <cell r="AB1" t="str">
            <v>1983 [YR1983]</v>
          </cell>
          <cell r="AC1" t="str">
            <v>1984 [YR1984]</v>
          </cell>
          <cell r="AD1" t="str">
            <v>1985 [YR1985]</v>
          </cell>
          <cell r="AE1" t="str">
            <v>1986 [YR1986]</v>
          </cell>
          <cell r="AF1" t="str">
            <v>1987 [YR1987]</v>
          </cell>
          <cell r="AG1" t="str">
            <v>1988 [YR1988]</v>
          </cell>
          <cell r="AH1" t="str">
            <v>1989 [YR1989]</v>
          </cell>
          <cell r="AI1" t="str">
            <v>1990 [YR1990]</v>
          </cell>
          <cell r="AJ1" t="str">
            <v>1991 [YR1991]</v>
          </cell>
          <cell r="AK1" t="str">
            <v>1992 [YR1992]</v>
          </cell>
          <cell r="AL1" t="str">
            <v>1993 [YR1993]</v>
          </cell>
          <cell r="AM1" t="str">
            <v>1994 [YR1994]</v>
          </cell>
          <cell r="AN1" t="str">
            <v>1995 [YR1995]</v>
          </cell>
          <cell r="AO1" t="str">
            <v>1996 [YR1996]</v>
          </cell>
          <cell r="AP1" t="str">
            <v>1997 [YR1997]</v>
          </cell>
          <cell r="AQ1" t="str">
            <v>1998 [YR1998]</v>
          </cell>
          <cell r="AR1" t="str">
            <v>1999 [YR1999]</v>
          </cell>
          <cell r="AS1" t="str">
            <v>2000 [YR2000]</v>
          </cell>
          <cell r="AT1" t="str">
            <v>2001 [YR2001]</v>
          </cell>
          <cell r="AU1" t="str">
            <v>2002 [YR2002]</v>
          </cell>
          <cell r="AV1" t="str">
            <v>2003 [YR2003]</v>
          </cell>
          <cell r="AW1" t="str">
            <v>2004 [YR2004]</v>
          </cell>
          <cell r="AX1" t="str">
            <v>2005 [YR2005]</v>
          </cell>
          <cell r="AY1" t="str">
            <v>2006 [YR2006]</v>
          </cell>
          <cell r="AZ1" t="str">
            <v>2007 [YR2007]</v>
          </cell>
          <cell r="BA1" t="str">
            <v>2008 [YR2008]</v>
          </cell>
          <cell r="BB1" t="str">
            <v>2009 [YR2009]</v>
          </cell>
          <cell r="BC1" t="str">
            <v>2010 [YR2010]</v>
          </cell>
          <cell r="BD1" t="str">
            <v>2011 [YR2011]</v>
          </cell>
          <cell r="BE1" t="str">
            <v>2012 [YR2012]</v>
          </cell>
          <cell r="BF1" t="str">
            <v>2013 [YR2013]</v>
          </cell>
          <cell r="BG1" t="str">
            <v>2014 [YR2014]</v>
          </cell>
          <cell r="BH1" t="str">
            <v>2015 [YR2015]</v>
          </cell>
          <cell r="BI1" t="str">
            <v>2016 [YR2016]</v>
          </cell>
          <cell r="BJ1" t="str">
            <v>2017 [YR2017]</v>
          </cell>
          <cell r="BK1" t="str">
            <v>2018 [YR2018]</v>
          </cell>
          <cell r="BL1" t="str">
            <v>2019 [YR2019]</v>
          </cell>
          <cell r="BM1" t="str">
            <v>2020 [YR2020]</v>
          </cell>
          <cell r="BN1" t="str">
            <v>latest</v>
          </cell>
        </row>
        <row r="2">
          <cell r="B2" t="str">
            <v>AFG</v>
          </cell>
          <cell r="C2" t="str">
            <v>GDP (current US$)</v>
          </cell>
          <cell r="D2" t="str">
            <v>NY.GDP.MKTP.CD</v>
          </cell>
          <cell r="E2">
            <v>537777811.11111104</v>
          </cell>
          <cell r="F2">
            <v>548888895.55555606</v>
          </cell>
          <cell r="G2">
            <v>546666677.77777803</v>
          </cell>
          <cell r="H2">
            <v>751111191.11111104</v>
          </cell>
          <cell r="I2">
            <v>800000044.44444394</v>
          </cell>
          <cell r="J2">
            <v>1006666637.7777801</v>
          </cell>
          <cell r="K2">
            <v>1399999966.6666701</v>
          </cell>
          <cell r="L2">
            <v>1673333417.7777801</v>
          </cell>
          <cell r="M2">
            <v>1373333366.6666701</v>
          </cell>
          <cell r="N2">
            <v>1408888922.2222199</v>
          </cell>
          <cell r="O2">
            <v>1748886595.5555601</v>
          </cell>
          <cell r="P2">
            <v>1831108971.11111</v>
          </cell>
          <cell r="Q2">
            <v>1595555475.5555601</v>
          </cell>
          <cell r="R2">
            <v>1733333264.4444399</v>
          </cell>
          <cell r="S2">
            <v>2155555497.7777801</v>
          </cell>
          <cell r="T2">
            <v>2366666615.5555601</v>
          </cell>
          <cell r="U2">
            <v>2555555566.6666698</v>
          </cell>
          <cell r="V2">
            <v>2953333417.7777801</v>
          </cell>
          <cell r="W2">
            <v>3300000108.8888898</v>
          </cell>
          <cell r="X2">
            <v>3697940409.61098</v>
          </cell>
          <cell r="Y2">
            <v>3641723321.99546</v>
          </cell>
          <cell r="Z2">
            <v>3478787909.09091</v>
          </cell>
          <cell r="AA2" t="str">
            <v>..</v>
          </cell>
          <cell r="AB2" t="str">
            <v>..</v>
          </cell>
          <cell r="AC2" t="str">
            <v>..</v>
          </cell>
          <cell r="AD2" t="str">
            <v>..</v>
          </cell>
          <cell r="AE2" t="str">
            <v>..</v>
          </cell>
          <cell r="AF2" t="str">
            <v>..</v>
          </cell>
          <cell r="AG2" t="str">
            <v>..</v>
          </cell>
          <cell r="AH2" t="str">
            <v>..</v>
          </cell>
          <cell r="AI2" t="str">
            <v>..</v>
          </cell>
          <cell r="AJ2" t="str">
            <v>..</v>
          </cell>
          <cell r="AK2" t="str">
            <v>..</v>
          </cell>
          <cell r="AL2" t="str">
            <v>..</v>
          </cell>
          <cell r="AM2" t="str">
            <v>..</v>
          </cell>
          <cell r="AN2" t="str">
            <v>..</v>
          </cell>
          <cell r="AO2" t="str">
            <v>..</v>
          </cell>
          <cell r="AP2" t="str">
            <v>..</v>
          </cell>
          <cell r="AQ2" t="str">
            <v>..</v>
          </cell>
          <cell r="AR2" t="str">
            <v>..</v>
          </cell>
          <cell r="AS2" t="str">
            <v>..</v>
          </cell>
          <cell r="AT2" t="str">
            <v>..</v>
          </cell>
          <cell r="AU2">
            <v>4055179566.3498101</v>
          </cell>
          <cell r="AV2">
            <v>4515558808.1099396</v>
          </cell>
          <cell r="AW2">
            <v>5226778808.8920898</v>
          </cell>
          <cell r="AX2">
            <v>6209137624.7718096</v>
          </cell>
          <cell r="AY2">
            <v>6971285594.68013</v>
          </cell>
          <cell r="AZ2">
            <v>9747879531.8631096</v>
          </cell>
          <cell r="BA2">
            <v>10109305182.952</v>
          </cell>
          <cell r="BB2">
            <v>12416161048.8412</v>
          </cell>
          <cell r="BC2">
            <v>15856678596.148001</v>
          </cell>
          <cell r="BD2">
            <v>17805113118.893799</v>
          </cell>
          <cell r="BE2">
            <v>19907317065.666599</v>
          </cell>
          <cell r="BF2">
            <v>20146404996.223</v>
          </cell>
          <cell r="BG2">
            <v>20497126770.133499</v>
          </cell>
          <cell r="BH2">
            <v>19134211763.859001</v>
          </cell>
          <cell r="BI2">
            <v>18116562464.908798</v>
          </cell>
          <cell r="BJ2">
            <v>18753469630.258598</v>
          </cell>
          <cell r="BK2">
            <v>18053228578.887798</v>
          </cell>
          <cell r="BL2">
            <v>18799450742.782299</v>
          </cell>
          <cell r="BM2">
            <v>20116137325.820599</v>
          </cell>
          <cell r="BN2">
            <v>20116137325.820599</v>
          </cell>
        </row>
        <row r="3">
          <cell r="B3" t="str">
            <v>ALB</v>
          </cell>
          <cell r="C3" t="str">
            <v>GDP (current US$)</v>
          </cell>
          <cell r="D3" t="str">
            <v>NY.GDP.MKTP.CD</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1857338011.8548801</v>
          </cell>
          <cell r="AD3">
            <v>1897050133.42015</v>
          </cell>
          <cell r="AE3">
            <v>2097326250</v>
          </cell>
          <cell r="AF3">
            <v>2080796250</v>
          </cell>
          <cell r="AG3">
            <v>2051236250</v>
          </cell>
          <cell r="AH3">
            <v>2253090000</v>
          </cell>
          <cell r="AI3">
            <v>2028553750</v>
          </cell>
          <cell r="AJ3">
            <v>1099559027.7777801</v>
          </cell>
          <cell r="AK3">
            <v>652174990.837304</v>
          </cell>
          <cell r="AL3">
            <v>1185315468.46295</v>
          </cell>
          <cell r="AM3">
            <v>1880951520.3972001</v>
          </cell>
          <cell r="AN3">
            <v>2392764853.4210701</v>
          </cell>
          <cell r="AO3">
            <v>3199641335.93751</v>
          </cell>
          <cell r="AP3">
            <v>2258513974.0967999</v>
          </cell>
          <cell r="AQ3">
            <v>2545964540.8838301</v>
          </cell>
          <cell r="AR3">
            <v>3212121650.97755</v>
          </cell>
          <cell r="AS3">
            <v>3480355258.0412202</v>
          </cell>
          <cell r="AT3">
            <v>3922100793.5402999</v>
          </cell>
          <cell r="AU3">
            <v>4348068242.1951199</v>
          </cell>
          <cell r="AV3">
            <v>5611496257.1423101</v>
          </cell>
          <cell r="AW3">
            <v>7184685781.5187597</v>
          </cell>
          <cell r="AX3">
            <v>8052073539.3805799</v>
          </cell>
          <cell r="AY3">
            <v>8896072918.9813995</v>
          </cell>
          <cell r="AZ3">
            <v>10677324144.4289</v>
          </cell>
          <cell r="BA3">
            <v>12881353507.853901</v>
          </cell>
          <cell r="BB3">
            <v>12044208085.864</v>
          </cell>
          <cell r="BC3">
            <v>11926922828.9911</v>
          </cell>
          <cell r="BD3">
            <v>12890764531.3284</v>
          </cell>
          <cell r="BE3">
            <v>12319830437.346701</v>
          </cell>
          <cell r="BF3">
            <v>12776220507.016199</v>
          </cell>
          <cell r="BG3">
            <v>13228147516.1168</v>
          </cell>
          <cell r="BH3">
            <v>11386850129.841101</v>
          </cell>
          <cell r="BI3">
            <v>11861199830.8396</v>
          </cell>
          <cell r="BJ3">
            <v>13019689336.6919</v>
          </cell>
          <cell r="BK3">
            <v>15156432309.897699</v>
          </cell>
          <cell r="BL3">
            <v>15400242874.881201</v>
          </cell>
          <cell r="BM3">
            <v>14887629268.2927</v>
          </cell>
          <cell r="BN3">
            <v>14887629268.2927</v>
          </cell>
        </row>
        <row r="4">
          <cell r="B4" t="str">
            <v>DZA</v>
          </cell>
          <cell r="C4" t="str">
            <v>GDP (current US$)</v>
          </cell>
          <cell r="D4" t="str">
            <v>NY.GDP.MKTP.CD</v>
          </cell>
          <cell r="E4">
            <v>2723593384.78054</v>
          </cell>
          <cell r="F4">
            <v>2434727329.809</v>
          </cell>
          <cell r="G4">
            <v>2001428328.3709099</v>
          </cell>
          <cell r="H4">
            <v>2702960118.2880602</v>
          </cell>
          <cell r="I4">
            <v>2909292864.2320399</v>
          </cell>
          <cell r="J4">
            <v>3136258896.9232998</v>
          </cell>
          <cell r="K4">
            <v>3039834558.7490602</v>
          </cell>
          <cell r="L4">
            <v>3370843065.7673502</v>
          </cell>
          <cell r="M4">
            <v>3852115816.9775801</v>
          </cell>
          <cell r="N4">
            <v>4257218772.1536899</v>
          </cell>
          <cell r="O4">
            <v>4863487492.65763</v>
          </cell>
          <cell r="P4">
            <v>5077222366.97472</v>
          </cell>
          <cell r="Q4">
            <v>6766766610.8693199</v>
          </cell>
          <cell r="R4">
            <v>8707847924.2902203</v>
          </cell>
          <cell r="S4">
            <v>13210029612.2659</v>
          </cell>
          <cell r="T4">
            <v>15557934268.4965</v>
          </cell>
          <cell r="U4">
            <v>17728347374.993999</v>
          </cell>
          <cell r="V4">
            <v>20971901273.271</v>
          </cell>
          <cell r="W4">
            <v>26364491313.447102</v>
          </cell>
          <cell r="X4">
            <v>33243422157.6311</v>
          </cell>
          <cell r="Y4">
            <v>42346380830.770798</v>
          </cell>
          <cell r="Z4">
            <v>44348672667.871498</v>
          </cell>
          <cell r="AA4">
            <v>45207088715.6483</v>
          </cell>
          <cell r="AB4">
            <v>48801369800.3675</v>
          </cell>
          <cell r="AC4">
            <v>53698278905.967796</v>
          </cell>
          <cell r="AD4">
            <v>57937868670.193703</v>
          </cell>
          <cell r="AE4">
            <v>63692238160.049301</v>
          </cell>
          <cell r="AF4">
            <v>66746396416.273201</v>
          </cell>
          <cell r="AG4">
            <v>59089067187.394302</v>
          </cell>
          <cell r="AH4">
            <v>55634414465.210403</v>
          </cell>
          <cell r="AI4">
            <v>62048562947.2509</v>
          </cell>
          <cell r="AJ4">
            <v>45715614559.706398</v>
          </cell>
          <cell r="AK4">
            <v>48003078388.5401</v>
          </cell>
          <cell r="AL4">
            <v>49945599428.5812</v>
          </cell>
          <cell r="AM4">
            <v>42543178042.414803</v>
          </cell>
          <cell r="AN4">
            <v>41764315330.4366</v>
          </cell>
          <cell r="AO4">
            <v>46941582519.466103</v>
          </cell>
          <cell r="AP4">
            <v>48177612042.150703</v>
          </cell>
          <cell r="AQ4">
            <v>48187747528.899002</v>
          </cell>
          <cell r="AR4">
            <v>48640653469.302498</v>
          </cell>
          <cell r="AS4">
            <v>54790392746.193901</v>
          </cell>
          <cell r="AT4">
            <v>54744712814.867599</v>
          </cell>
          <cell r="AU4">
            <v>56760355865.008202</v>
          </cell>
          <cell r="AV4">
            <v>67863828412.688202</v>
          </cell>
          <cell r="AW4">
            <v>85332581188.610703</v>
          </cell>
          <cell r="AX4">
            <v>103198223709.439</v>
          </cell>
          <cell r="AY4">
            <v>117027307540.89</v>
          </cell>
          <cell r="AZ4">
            <v>134977082623.78</v>
          </cell>
          <cell r="BA4">
            <v>171000699876.74701</v>
          </cell>
          <cell r="BB4">
            <v>137211035770.034</v>
          </cell>
          <cell r="BC4">
            <v>161207270185.25</v>
          </cell>
          <cell r="BD4">
            <v>200013052199.20001</v>
          </cell>
          <cell r="BE4">
            <v>209058991952.125</v>
          </cell>
          <cell r="BF4">
            <v>209755003250.664</v>
          </cell>
          <cell r="BG4">
            <v>213810024944.46399</v>
          </cell>
          <cell r="BH4">
            <v>165979279263.17401</v>
          </cell>
          <cell r="BI4">
            <v>160034163871.45499</v>
          </cell>
          <cell r="BJ4">
            <v>170097014589.134</v>
          </cell>
          <cell r="BK4">
            <v>174910878623.04901</v>
          </cell>
          <cell r="BL4">
            <v>171767403748.19</v>
          </cell>
          <cell r="BM4">
            <v>145009181490.62</v>
          </cell>
          <cell r="BN4">
            <v>145009181490.62</v>
          </cell>
        </row>
        <row r="5">
          <cell r="B5" t="str">
            <v>ASM</v>
          </cell>
          <cell r="C5" t="str">
            <v>GDP (current US$)</v>
          </cell>
          <cell r="D5" t="str">
            <v>NY.GDP.MKTP.CD</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v>512000000</v>
          </cell>
          <cell r="AV5">
            <v>524000000</v>
          </cell>
          <cell r="AW5">
            <v>509000000</v>
          </cell>
          <cell r="AX5">
            <v>500000000</v>
          </cell>
          <cell r="AY5">
            <v>493000000</v>
          </cell>
          <cell r="AZ5">
            <v>518000000</v>
          </cell>
          <cell r="BA5">
            <v>560000000</v>
          </cell>
          <cell r="BB5">
            <v>675000000</v>
          </cell>
          <cell r="BC5">
            <v>573000000</v>
          </cell>
          <cell r="BD5">
            <v>570000000</v>
          </cell>
          <cell r="BE5">
            <v>640000000</v>
          </cell>
          <cell r="BF5">
            <v>638000000</v>
          </cell>
          <cell r="BG5">
            <v>643000000</v>
          </cell>
          <cell r="BH5">
            <v>673000000</v>
          </cell>
          <cell r="BI5">
            <v>671000000</v>
          </cell>
          <cell r="BJ5">
            <v>612000000</v>
          </cell>
          <cell r="BK5">
            <v>639000000</v>
          </cell>
          <cell r="BL5">
            <v>648000000</v>
          </cell>
          <cell r="BM5">
            <v>709000000</v>
          </cell>
          <cell r="BN5">
            <v>709000000</v>
          </cell>
        </row>
        <row r="6">
          <cell r="B6" t="str">
            <v>AND</v>
          </cell>
          <cell r="C6" t="str">
            <v>GDP (current US$)</v>
          </cell>
          <cell r="D6" t="str">
            <v>NY.GDP.MKTP.CD</v>
          </cell>
          <cell r="E6" t="str">
            <v>..</v>
          </cell>
          <cell r="F6" t="str">
            <v>..</v>
          </cell>
          <cell r="G6" t="str">
            <v>..</v>
          </cell>
          <cell r="H6" t="str">
            <v>..</v>
          </cell>
          <cell r="I6" t="str">
            <v>..</v>
          </cell>
          <cell r="J6" t="str">
            <v>..</v>
          </cell>
          <cell r="K6" t="str">
            <v>..</v>
          </cell>
          <cell r="L6" t="str">
            <v>..</v>
          </cell>
          <cell r="M6" t="str">
            <v>..</v>
          </cell>
          <cell r="N6" t="str">
            <v>..</v>
          </cell>
          <cell r="O6">
            <v>78619206.0850963</v>
          </cell>
          <cell r="P6">
            <v>89409820.359281406</v>
          </cell>
          <cell r="Q6">
            <v>113408231.944085</v>
          </cell>
          <cell r="R6">
            <v>150820102.798401</v>
          </cell>
          <cell r="S6">
            <v>186558696.27920401</v>
          </cell>
          <cell r="T6">
            <v>220127246.37681201</v>
          </cell>
          <cell r="U6">
            <v>227281024.62074101</v>
          </cell>
          <cell r="V6">
            <v>254020153.340635</v>
          </cell>
          <cell r="W6">
            <v>308008897.569444</v>
          </cell>
          <cell r="X6">
            <v>411578334.15964299</v>
          </cell>
          <cell r="Y6">
            <v>446416105.82501698</v>
          </cell>
          <cell r="Z6">
            <v>388958731.30293798</v>
          </cell>
          <cell r="AA6">
            <v>375895956.38346201</v>
          </cell>
          <cell r="AB6">
            <v>327861832.94663602</v>
          </cell>
          <cell r="AC6">
            <v>330070689.29828203</v>
          </cell>
          <cell r="AD6">
            <v>346737964.77495098</v>
          </cell>
          <cell r="AE6">
            <v>482000594.03588003</v>
          </cell>
          <cell r="AF6">
            <v>611316399.40708804</v>
          </cell>
          <cell r="AG6">
            <v>721425939.15155005</v>
          </cell>
          <cell r="AH6">
            <v>795449332.39634597</v>
          </cell>
          <cell r="AI6">
            <v>1029048481.88051</v>
          </cell>
          <cell r="AJ6">
            <v>1106928582.8662901</v>
          </cell>
          <cell r="AK6">
            <v>1210013651.87713</v>
          </cell>
          <cell r="AL6">
            <v>1007025755.00065</v>
          </cell>
          <cell r="AM6">
            <v>1017549124.3323801</v>
          </cell>
          <cell r="AN6">
            <v>1178738991.19295</v>
          </cell>
          <cell r="AO6">
            <v>1223945356.6268201</v>
          </cell>
          <cell r="AP6">
            <v>1180597272.7272699</v>
          </cell>
          <cell r="AQ6">
            <v>1211932397.8171301</v>
          </cell>
          <cell r="AR6">
            <v>1239876305.1353099</v>
          </cell>
          <cell r="AS6">
            <v>1429049198.4521799</v>
          </cell>
          <cell r="AT6">
            <v>1546926174.49664</v>
          </cell>
          <cell r="AU6">
            <v>1755910031.99699</v>
          </cell>
          <cell r="AV6">
            <v>2361726862.3024802</v>
          </cell>
          <cell r="AW6">
            <v>2894921777.9985099</v>
          </cell>
          <cell r="AX6">
            <v>3159905484.3924899</v>
          </cell>
          <cell r="AY6">
            <v>3456442102.6220002</v>
          </cell>
          <cell r="AZ6">
            <v>3952600602.24473</v>
          </cell>
          <cell r="BA6">
            <v>4085630584.4441199</v>
          </cell>
          <cell r="BB6">
            <v>3674409558.2106099</v>
          </cell>
          <cell r="BC6">
            <v>3449966856.6883202</v>
          </cell>
          <cell r="BD6">
            <v>3629203786.1915398</v>
          </cell>
          <cell r="BE6">
            <v>3188808942.5671301</v>
          </cell>
          <cell r="BF6">
            <v>3193704343.2062702</v>
          </cell>
          <cell r="BG6">
            <v>3271808157.3003802</v>
          </cell>
          <cell r="BH6">
            <v>2789870187.5069299</v>
          </cell>
          <cell r="BI6">
            <v>2896679211.8662801</v>
          </cell>
          <cell r="BJ6">
            <v>3000180750.1129699</v>
          </cell>
          <cell r="BK6">
            <v>3218316013.2262602</v>
          </cell>
          <cell r="BL6">
            <v>3155065487.5181899</v>
          </cell>
          <cell r="BM6" t="str">
            <v>..</v>
          </cell>
          <cell r="BN6">
            <v>3155065487.5181899</v>
          </cell>
        </row>
        <row r="7">
          <cell r="B7" t="str">
            <v>AGO</v>
          </cell>
          <cell r="C7" t="str">
            <v>GDP (current US$)</v>
          </cell>
          <cell r="D7" t="str">
            <v>NY.GDP.MKTP.CD</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v>5934073603.5484896</v>
          </cell>
          <cell r="Z7">
            <v>5553824463.8227396</v>
          </cell>
          <cell r="AA7">
            <v>5553824463.8227396</v>
          </cell>
          <cell r="AB7">
            <v>5787823808.6956501</v>
          </cell>
          <cell r="AC7">
            <v>6135166254.2407999</v>
          </cell>
          <cell r="AD7">
            <v>7558613007.9063501</v>
          </cell>
          <cell r="AE7">
            <v>7076793822.6020098</v>
          </cell>
          <cell r="AF7">
            <v>8089279284.7224102</v>
          </cell>
          <cell r="AG7">
            <v>8775116269.1672192</v>
          </cell>
          <cell r="AH7">
            <v>10207922517.183901</v>
          </cell>
          <cell r="AI7">
            <v>11236275842.7358</v>
          </cell>
          <cell r="AJ7" t="str">
            <v>..</v>
          </cell>
          <cell r="AK7" t="str">
            <v>..</v>
          </cell>
          <cell r="AL7" t="str">
            <v>..</v>
          </cell>
          <cell r="AM7">
            <v>3390500000</v>
          </cell>
          <cell r="AN7">
            <v>5561222222.2222204</v>
          </cell>
          <cell r="AO7">
            <v>7526963963.9639597</v>
          </cell>
          <cell r="AP7">
            <v>7649716157.2052402</v>
          </cell>
          <cell r="AQ7">
            <v>6506619144.60285</v>
          </cell>
          <cell r="AR7">
            <v>6152936539.2195501</v>
          </cell>
          <cell r="AS7">
            <v>9129634978.3377304</v>
          </cell>
          <cell r="AT7">
            <v>8936063723.20121</v>
          </cell>
          <cell r="AU7">
            <v>15285594828.417999</v>
          </cell>
          <cell r="AV7">
            <v>17812705294.325001</v>
          </cell>
          <cell r="AW7">
            <v>23552052407.548801</v>
          </cell>
          <cell r="AX7">
            <v>36970918699.252296</v>
          </cell>
          <cell r="AY7">
            <v>52381006892.038002</v>
          </cell>
          <cell r="AZ7">
            <v>65266452081.386002</v>
          </cell>
          <cell r="BA7">
            <v>88538611205.143295</v>
          </cell>
          <cell r="BB7">
            <v>70307163678.238007</v>
          </cell>
          <cell r="BC7">
            <v>83799496611.200394</v>
          </cell>
          <cell r="BD7">
            <v>111789686464.44099</v>
          </cell>
          <cell r="BE7">
            <v>128052853643.106</v>
          </cell>
          <cell r="BF7">
            <v>136709862831.194</v>
          </cell>
          <cell r="BG7">
            <v>145712200312.505</v>
          </cell>
          <cell r="BH7">
            <v>116193649124.151</v>
          </cell>
          <cell r="BI7">
            <v>101123851090.455</v>
          </cell>
          <cell r="BJ7">
            <v>122123822333.59</v>
          </cell>
          <cell r="BK7">
            <v>101353230784.59399</v>
          </cell>
          <cell r="BL7">
            <v>89417190341.253296</v>
          </cell>
          <cell r="BM7">
            <v>58375976292.967796</v>
          </cell>
          <cell r="BN7">
            <v>58375976292.967796</v>
          </cell>
        </row>
        <row r="8">
          <cell r="B8" t="str">
            <v>ATG</v>
          </cell>
          <cell r="C8" t="str">
            <v>GDP (current US$)</v>
          </cell>
          <cell r="D8" t="str">
            <v>NY.GDP.MKTP.CD</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v>77496753.703703701</v>
          </cell>
          <cell r="W8">
            <v>87879341.481481507</v>
          </cell>
          <cell r="X8">
            <v>109079978.888889</v>
          </cell>
          <cell r="Y8">
            <v>131431026.666667</v>
          </cell>
          <cell r="Z8">
            <v>147841734.444444</v>
          </cell>
          <cell r="AA8">
            <v>164369278.88888901</v>
          </cell>
          <cell r="AB8">
            <v>182144092.96296301</v>
          </cell>
          <cell r="AC8">
            <v>208372846.296296</v>
          </cell>
          <cell r="AD8">
            <v>240923924.81481501</v>
          </cell>
          <cell r="AE8">
            <v>290440140.74074101</v>
          </cell>
          <cell r="AF8">
            <v>337174861.851852</v>
          </cell>
          <cell r="AG8">
            <v>398637727.77777803</v>
          </cell>
          <cell r="AH8">
            <v>438794788.51851898</v>
          </cell>
          <cell r="AI8">
            <v>459470370.37036997</v>
          </cell>
          <cell r="AJ8">
            <v>481707407.40740699</v>
          </cell>
          <cell r="AK8">
            <v>499281481.48148102</v>
          </cell>
          <cell r="AL8">
            <v>535174074.07407397</v>
          </cell>
          <cell r="AM8">
            <v>589429629.62962997</v>
          </cell>
          <cell r="AN8">
            <v>577281481.48148096</v>
          </cell>
          <cell r="AO8">
            <v>633729629.62962997</v>
          </cell>
          <cell r="AP8">
            <v>680618518.51851797</v>
          </cell>
          <cell r="AQ8">
            <v>727859259.25925899</v>
          </cell>
          <cell r="AR8">
            <v>766200000</v>
          </cell>
          <cell r="AS8">
            <v>826370370.37037003</v>
          </cell>
          <cell r="AT8">
            <v>800481481.48148096</v>
          </cell>
          <cell r="AU8">
            <v>814381481.48148096</v>
          </cell>
          <cell r="AV8">
            <v>856396296.296296</v>
          </cell>
          <cell r="AW8">
            <v>919729629.62962997</v>
          </cell>
          <cell r="AX8">
            <v>1022962962.96296</v>
          </cell>
          <cell r="AY8">
            <v>1157662962.96296</v>
          </cell>
          <cell r="AZ8">
            <v>1312759259.2592599</v>
          </cell>
          <cell r="BA8">
            <v>1370070370.3703699</v>
          </cell>
          <cell r="BB8">
            <v>1228329629.6296301</v>
          </cell>
          <cell r="BC8">
            <v>1148700000</v>
          </cell>
          <cell r="BD8">
            <v>1137637037.03704</v>
          </cell>
          <cell r="BE8">
            <v>1199948148.14815</v>
          </cell>
          <cell r="BF8">
            <v>1181448148.14815</v>
          </cell>
          <cell r="BG8">
            <v>1249733333.3333299</v>
          </cell>
          <cell r="BH8">
            <v>1336692592.5925901</v>
          </cell>
          <cell r="BI8">
            <v>1436585185.18519</v>
          </cell>
          <cell r="BJ8">
            <v>1467977777.7777801</v>
          </cell>
          <cell r="BK8">
            <v>1605944444.4444399</v>
          </cell>
          <cell r="BL8">
            <v>1687533333.3333299</v>
          </cell>
          <cell r="BM8">
            <v>1370281481.4814799</v>
          </cell>
          <cell r="BN8">
            <v>1370281481.4814799</v>
          </cell>
        </row>
        <row r="9">
          <cell r="B9" t="str">
            <v>ARG</v>
          </cell>
          <cell r="C9" t="str">
            <v>GDP (current US$)</v>
          </cell>
          <cell r="D9" t="str">
            <v>NY.GDP.MKTP.CD</v>
          </cell>
          <cell r="E9" t="str">
            <v>..</v>
          </cell>
          <cell r="F9" t="str">
            <v>..</v>
          </cell>
          <cell r="G9">
            <v>24450604877.608101</v>
          </cell>
          <cell r="H9">
            <v>18272123664.4715</v>
          </cell>
          <cell r="I9">
            <v>25605249381.759701</v>
          </cell>
          <cell r="J9">
            <v>28344705966.638901</v>
          </cell>
          <cell r="K9">
            <v>28630474727.902302</v>
          </cell>
          <cell r="L9">
            <v>24256667553.256901</v>
          </cell>
          <cell r="M9">
            <v>26436857247.498199</v>
          </cell>
          <cell r="N9">
            <v>31256284543.615501</v>
          </cell>
          <cell r="O9">
            <v>31584210365.544701</v>
          </cell>
          <cell r="P9">
            <v>33293199095.488098</v>
          </cell>
          <cell r="Q9">
            <v>34733000536.286201</v>
          </cell>
          <cell r="R9">
            <v>52544000116.903702</v>
          </cell>
          <cell r="S9">
            <v>72436777342.455399</v>
          </cell>
          <cell r="T9">
            <v>52438647921.9226</v>
          </cell>
          <cell r="U9">
            <v>51169499890.772202</v>
          </cell>
          <cell r="V9">
            <v>56781000100.944801</v>
          </cell>
          <cell r="W9">
            <v>58082870156.263397</v>
          </cell>
          <cell r="X9">
            <v>69252328953.378906</v>
          </cell>
          <cell r="Y9">
            <v>76961923741.947906</v>
          </cell>
          <cell r="Z9">
            <v>78676842366.421295</v>
          </cell>
          <cell r="AA9">
            <v>84307486836.723999</v>
          </cell>
          <cell r="AB9">
            <v>103979106777.911</v>
          </cell>
          <cell r="AC9">
            <v>79092001998.031998</v>
          </cell>
          <cell r="AD9">
            <v>88416668900.259598</v>
          </cell>
          <cell r="AE9">
            <v>110934442762.694</v>
          </cell>
          <cell r="AF9">
            <v>111106191358.19701</v>
          </cell>
          <cell r="AG9">
            <v>126206817196.091</v>
          </cell>
          <cell r="AH9">
            <v>76636898036.471207</v>
          </cell>
          <cell r="AI9">
            <v>141352368714.69101</v>
          </cell>
          <cell r="AJ9">
            <v>189719984268.48499</v>
          </cell>
          <cell r="AK9">
            <v>228788617201.69601</v>
          </cell>
          <cell r="AL9">
            <v>236741715015.01501</v>
          </cell>
          <cell r="AM9">
            <v>257440000000</v>
          </cell>
          <cell r="AN9">
            <v>258031750000</v>
          </cell>
          <cell r="AO9">
            <v>272149750000</v>
          </cell>
          <cell r="AP9">
            <v>292859000000</v>
          </cell>
          <cell r="AQ9">
            <v>298948250000</v>
          </cell>
          <cell r="AR9">
            <v>283523000000</v>
          </cell>
          <cell r="AS9">
            <v>284203750000</v>
          </cell>
          <cell r="AT9">
            <v>268696750000</v>
          </cell>
          <cell r="AU9">
            <v>97724004251.860199</v>
          </cell>
          <cell r="AV9">
            <v>127586973492.177</v>
          </cell>
          <cell r="AW9">
            <v>164657930452.78699</v>
          </cell>
          <cell r="AX9">
            <v>198737095012.28201</v>
          </cell>
          <cell r="AY9">
            <v>232557260817.30801</v>
          </cell>
          <cell r="AZ9">
            <v>287530508430.56799</v>
          </cell>
          <cell r="BA9">
            <v>361558037110.41901</v>
          </cell>
          <cell r="BB9">
            <v>332976484577.61902</v>
          </cell>
          <cell r="BC9">
            <v>423627422092.48999</v>
          </cell>
          <cell r="BD9">
            <v>530163281574.65802</v>
          </cell>
          <cell r="BE9">
            <v>545982375701.12799</v>
          </cell>
          <cell r="BF9">
            <v>552025140252.24597</v>
          </cell>
          <cell r="BG9">
            <v>526319673731.638</v>
          </cell>
          <cell r="BH9">
            <v>594749285413.21204</v>
          </cell>
          <cell r="BI9">
            <v>557531376217.96704</v>
          </cell>
          <cell r="BJ9">
            <v>643628665302.15503</v>
          </cell>
          <cell r="BK9">
            <v>524819742918.66901</v>
          </cell>
          <cell r="BL9">
            <v>451932356085.84198</v>
          </cell>
          <cell r="BM9">
            <v>389288056265.32501</v>
          </cell>
          <cell r="BN9">
            <v>389288056265.32501</v>
          </cell>
        </row>
        <row r="10">
          <cell r="B10" t="str">
            <v>ARM</v>
          </cell>
          <cell r="C10" t="str">
            <v>GDP (current US$)</v>
          </cell>
          <cell r="D10" t="str">
            <v>NY.GDP.MKTP.CD</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v>2256838857.6099701</v>
          </cell>
          <cell r="AJ10">
            <v>2069870129.8701301</v>
          </cell>
          <cell r="AK10">
            <v>1272835453.4263401</v>
          </cell>
          <cell r="AL10">
            <v>1201312829.2752399</v>
          </cell>
          <cell r="AM10">
            <v>1315158636.67553</v>
          </cell>
          <cell r="AN10">
            <v>1468317435.2014799</v>
          </cell>
          <cell r="AO10">
            <v>1596968946.2370801</v>
          </cell>
          <cell r="AP10">
            <v>1639492444.7615199</v>
          </cell>
          <cell r="AQ10">
            <v>1893726437.2646201</v>
          </cell>
          <cell r="AR10">
            <v>1845482173.0273199</v>
          </cell>
          <cell r="AS10">
            <v>1911563668.85006</v>
          </cell>
          <cell r="AT10">
            <v>2118467913.3787301</v>
          </cell>
          <cell r="AU10">
            <v>2376335048.3997598</v>
          </cell>
          <cell r="AV10">
            <v>2807061008.6908398</v>
          </cell>
          <cell r="AW10">
            <v>3576615240.4161601</v>
          </cell>
          <cell r="AX10">
            <v>4900469950.0903301</v>
          </cell>
          <cell r="AY10">
            <v>6384451606.1421003</v>
          </cell>
          <cell r="AZ10">
            <v>9206301700.3961906</v>
          </cell>
          <cell r="BA10">
            <v>11662040713.875299</v>
          </cell>
          <cell r="BB10">
            <v>8647936747.9870396</v>
          </cell>
          <cell r="BC10">
            <v>9260284937.7978096</v>
          </cell>
          <cell r="BD10">
            <v>10142111334.496099</v>
          </cell>
          <cell r="BE10">
            <v>10619320048.585699</v>
          </cell>
          <cell r="BF10">
            <v>11121465767.4067</v>
          </cell>
          <cell r="BG10">
            <v>11609512939.7542</v>
          </cell>
          <cell r="BH10">
            <v>10553337672.9872</v>
          </cell>
          <cell r="BI10">
            <v>10546135160.031</v>
          </cell>
          <cell r="BJ10">
            <v>11527458565.7334</v>
          </cell>
          <cell r="BK10">
            <v>12457941907.0333</v>
          </cell>
          <cell r="BL10">
            <v>13619291361.281401</v>
          </cell>
          <cell r="BM10">
            <v>12641209802.112</v>
          </cell>
          <cell r="BN10">
            <v>12641209802.112</v>
          </cell>
        </row>
        <row r="11">
          <cell r="B11" t="str">
            <v>ABW</v>
          </cell>
          <cell r="C11" t="str">
            <v>GDP (current US$)</v>
          </cell>
          <cell r="D11" t="str">
            <v>NY.GDP.MKTP.CD</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405463417.11746001</v>
          </cell>
          <cell r="AF11">
            <v>487602457.74641597</v>
          </cell>
          <cell r="AG11">
            <v>596423607.11471498</v>
          </cell>
          <cell r="AH11">
            <v>695304363.03110099</v>
          </cell>
          <cell r="AI11">
            <v>764887117.19448602</v>
          </cell>
          <cell r="AJ11">
            <v>872138715.083799</v>
          </cell>
          <cell r="AK11">
            <v>958463184.35754204</v>
          </cell>
          <cell r="AL11">
            <v>1082979720.6703899</v>
          </cell>
          <cell r="AM11">
            <v>1245688268.15642</v>
          </cell>
          <cell r="AN11">
            <v>1320474860.3352001</v>
          </cell>
          <cell r="AO11">
            <v>1379960893.8547499</v>
          </cell>
          <cell r="AP11">
            <v>1531944134.0782101</v>
          </cell>
          <cell r="AQ11">
            <v>1665100558.65922</v>
          </cell>
          <cell r="AR11">
            <v>1722798882.68156</v>
          </cell>
          <cell r="AS11">
            <v>1873452513.96648</v>
          </cell>
          <cell r="AT11">
            <v>1920111731.84358</v>
          </cell>
          <cell r="AU11">
            <v>1941340782.12291</v>
          </cell>
          <cell r="AV11">
            <v>2021229050.27933</v>
          </cell>
          <cell r="AW11">
            <v>2228491620.1117301</v>
          </cell>
          <cell r="AX11">
            <v>2330726256.9832401</v>
          </cell>
          <cell r="AY11">
            <v>2424581005.5865898</v>
          </cell>
          <cell r="AZ11">
            <v>2615083798.8826799</v>
          </cell>
          <cell r="BA11">
            <v>2745251396.6480398</v>
          </cell>
          <cell r="BB11">
            <v>2498882681.56425</v>
          </cell>
          <cell r="BC11">
            <v>2390502793.2960901</v>
          </cell>
          <cell r="BD11">
            <v>2549720670.3910599</v>
          </cell>
          <cell r="BE11">
            <v>2534636871.5083799</v>
          </cell>
          <cell r="BF11">
            <v>2727849720.6703901</v>
          </cell>
          <cell r="BG11">
            <v>2790849162.0111699</v>
          </cell>
          <cell r="BH11">
            <v>2962905027.93296</v>
          </cell>
          <cell r="BI11">
            <v>2983636871.5083799</v>
          </cell>
          <cell r="BJ11">
            <v>3092430167.5977702</v>
          </cell>
          <cell r="BK11">
            <v>3202188606.9289298</v>
          </cell>
          <cell r="BL11" t="str">
            <v>..</v>
          </cell>
          <cell r="BM11" t="str">
            <v>..</v>
          </cell>
          <cell r="BN11">
            <v>3202188606.9289298</v>
          </cell>
        </row>
        <row r="12">
          <cell r="B12" t="str">
            <v>AUS</v>
          </cell>
          <cell r="C12" t="str">
            <v>GDP (current US$)</v>
          </cell>
          <cell r="D12" t="str">
            <v>NY.GDP.MKTP.CD</v>
          </cell>
          <cell r="E12">
            <v>18606786874.23</v>
          </cell>
          <cell r="F12">
            <v>19683055213.3498</v>
          </cell>
          <cell r="G12">
            <v>19922723709.262001</v>
          </cell>
          <cell r="H12">
            <v>21539926083.548</v>
          </cell>
          <cell r="I12">
            <v>23801097547.317699</v>
          </cell>
          <cell r="J12">
            <v>25977153096.651402</v>
          </cell>
          <cell r="K12">
            <v>27309889125.321999</v>
          </cell>
          <cell r="L12">
            <v>30444618658.304401</v>
          </cell>
          <cell r="M12">
            <v>32716989584.499901</v>
          </cell>
          <cell r="N12">
            <v>36686079068.204697</v>
          </cell>
          <cell r="O12">
            <v>41337215813.6409</v>
          </cell>
          <cell r="P12">
            <v>45222309329.152199</v>
          </cell>
          <cell r="Q12">
            <v>52051401869.158897</v>
          </cell>
          <cell r="R12">
            <v>63844971172.325401</v>
          </cell>
          <cell r="S12">
            <v>88981577008.106094</v>
          </cell>
          <cell r="T12">
            <v>97333060221.220795</v>
          </cell>
          <cell r="U12">
            <v>105101474851.88499</v>
          </cell>
          <cell r="V12">
            <v>110387703601.744</v>
          </cell>
          <cell r="W12">
            <v>118535980148.883</v>
          </cell>
          <cell r="X12">
            <v>134941497216.858</v>
          </cell>
          <cell r="Y12">
            <v>150032311977.716</v>
          </cell>
          <cell r="Z12">
            <v>176953442470.68399</v>
          </cell>
          <cell r="AA12">
            <v>194104601125.45499</v>
          </cell>
          <cell r="AB12">
            <v>177333645297.146</v>
          </cell>
          <cell r="AC12">
            <v>193593551892.77301</v>
          </cell>
          <cell r="AD12">
            <v>180573751629.97601</v>
          </cell>
          <cell r="AE12">
            <v>182368494683.828</v>
          </cell>
          <cell r="AF12">
            <v>189400476442.56201</v>
          </cell>
          <cell r="AG12">
            <v>236065919674.04001</v>
          </cell>
          <cell r="AH12">
            <v>299767934207.31201</v>
          </cell>
          <cell r="AI12">
            <v>311326664101.578</v>
          </cell>
          <cell r="AJ12">
            <v>325902990346.12701</v>
          </cell>
          <cell r="AK12">
            <v>325480273782.97302</v>
          </cell>
          <cell r="AL12">
            <v>312126194491.28699</v>
          </cell>
          <cell r="AM12">
            <v>322807333102.73297</v>
          </cell>
          <cell r="AN12">
            <v>367915800415.79999</v>
          </cell>
          <cell r="AO12">
            <v>401089529590.28802</v>
          </cell>
          <cell r="AP12">
            <v>435323994365.315</v>
          </cell>
          <cell r="AQ12">
            <v>399404463135.047</v>
          </cell>
          <cell r="AR12">
            <v>389098884572.00098</v>
          </cell>
          <cell r="AS12">
            <v>415576210513.09399</v>
          </cell>
          <cell r="AT12">
            <v>379083932596.32898</v>
          </cell>
          <cell r="AU12">
            <v>395342716617.83197</v>
          </cell>
          <cell r="AV12">
            <v>467390797903.32001</v>
          </cell>
          <cell r="AW12">
            <v>614166310997.297</v>
          </cell>
          <cell r="AX12">
            <v>695075176665.16296</v>
          </cell>
          <cell r="AY12">
            <v>747556154537.28699</v>
          </cell>
          <cell r="AZ12">
            <v>853955405511.50195</v>
          </cell>
          <cell r="BA12">
            <v>1055127126230.98</v>
          </cell>
          <cell r="BB12">
            <v>928042998085.70203</v>
          </cell>
          <cell r="BC12">
            <v>1147589183475.73</v>
          </cell>
          <cell r="BD12">
            <v>1397907916789.8999</v>
          </cell>
          <cell r="BE12">
            <v>1546508558465.6599</v>
          </cell>
          <cell r="BF12">
            <v>1576335282651.0701</v>
          </cell>
          <cell r="BG12">
            <v>1467504819608.9199</v>
          </cell>
          <cell r="BH12">
            <v>1350534154255.76</v>
          </cell>
          <cell r="BI12">
            <v>1206685107002.47</v>
          </cell>
          <cell r="BJ12">
            <v>1326882872011.46</v>
          </cell>
          <cell r="BK12">
            <v>1428529571351.0601</v>
          </cell>
          <cell r="BL12">
            <v>1391952510370.48</v>
          </cell>
          <cell r="BM12">
            <v>1327836171068.51</v>
          </cell>
          <cell r="BN12">
            <v>1327836171068.51</v>
          </cell>
        </row>
        <row r="13">
          <cell r="B13" t="str">
            <v>AUT</v>
          </cell>
          <cell r="C13" t="str">
            <v>GDP (current US$)</v>
          </cell>
          <cell r="D13" t="str">
            <v>NY.GDP.MKTP.CD</v>
          </cell>
          <cell r="E13">
            <v>6592693841.1849499</v>
          </cell>
          <cell r="F13">
            <v>7311749633.3622904</v>
          </cell>
          <cell r="G13">
            <v>7756110210.1196604</v>
          </cell>
          <cell r="H13">
            <v>8374175257.7307501</v>
          </cell>
          <cell r="I13">
            <v>9169983885.7118492</v>
          </cell>
          <cell r="J13">
            <v>9994070615.8599701</v>
          </cell>
          <cell r="K13">
            <v>10887682273.1014</v>
          </cell>
          <cell r="L13">
            <v>11579431668.9165</v>
          </cell>
          <cell r="M13">
            <v>12440625312.8685</v>
          </cell>
          <cell r="N13">
            <v>13582798556.2404</v>
          </cell>
          <cell r="O13">
            <v>15373005557.0257</v>
          </cell>
          <cell r="P13">
            <v>17858486066.747398</v>
          </cell>
          <cell r="Q13">
            <v>22059612476.933201</v>
          </cell>
          <cell r="R13">
            <v>29515467706.796001</v>
          </cell>
          <cell r="S13">
            <v>35189299911.660797</v>
          </cell>
          <cell r="T13">
            <v>40059206763.056</v>
          </cell>
          <cell r="U13">
            <v>42959976221.523399</v>
          </cell>
          <cell r="V13">
            <v>51545758887.686302</v>
          </cell>
          <cell r="W13">
            <v>62052259073.249298</v>
          </cell>
          <cell r="X13">
            <v>73937296963.458603</v>
          </cell>
          <cell r="Y13">
            <v>82058912997.234604</v>
          </cell>
          <cell r="Z13">
            <v>71034228443.061996</v>
          </cell>
          <cell r="AA13">
            <v>71275287569.573303</v>
          </cell>
          <cell r="AB13">
            <v>72121016546.652405</v>
          </cell>
          <cell r="AC13">
            <v>67985344886.871597</v>
          </cell>
          <cell r="AD13">
            <v>69386774408.087204</v>
          </cell>
          <cell r="AE13">
            <v>99036164939.161804</v>
          </cell>
          <cell r="AF13">
            <v>124168442533.74001</v>
          </cell>
          <cell r="AG13">
            <v>133339397080.129</v>
          </cell>
          <cell r="AH13">
            <v>133105805512.22</v>
          </cell>
          <cell r="AI13">
            <v>166463386179.354</v>
          </cell>
          <cell r="AJ13">
            <v>173794177961.108</v>
          </cell>
          <cell r="AK13">
            <v>195078126721.763</v>
          </cell>
          <cell r="AL13">
            <v>190379720809.17999</v>
          </cell>
          <cell r="AM13">
            <v>203535242741.83801</v>
          </cell>
          <cell r="AN13">
            <v>241038283062.64499</v>
          </cell>
          <cell r="AO13">
            <v>237250948791.26599</v>
          </cell>
          <cell r="AP13">
            <v>212790348404.55499</v>
          </cell>
          <cell r="AQ13">
            <v>218259904401.95599</v>
          </cell>
          <cell r="AR13">
            <v>217185787342.85101</v>
          </cell>
          <cell r="AS13">
            <v>196799778883.36099</v>
          </cell>
          <cell r="AT13">
            <v>197337879194.63101</v>
          </cell>
          <cell r="AU13">
            <v>213377771503.858</v>
          </cell>
          <cell r="AV13">
            <v>261695778781.03799</v>
          </cell>
          <cell r="AW13">
            <v>300904221504.84198</v>
          </cell>
          <cell r="AX13">
            <v>315974418604.651</v>
          </cell>
          <cell r="AY13">
            <v>335998557270.104</v>
          </cell>
          <cell r="AZ13">
            <v>388691445387.35303</v>
          </cell>
          <cell r="BA13">
            <v>430294287388.31097</v>
          </cell>
          <cell r="BB13">
            <v>400172297860.51703</v>
          </cell>
          <cell r="BC13">
            <v>391892746544.69</v>
          </cell>
          <cell r="BD13">
            <v>431120310088.82001</v>
          </cell>
          <cell r="BE13">
            <v>409425234155.263</v>
          </cell>
          <cell r="BF13">
            <v>430068712971.867</v>
          </cell>
          <cell r="BG13">
            <v>441996131736.508</v>
          </cell>
          <cell r="BH13">
            <v>381817565893.57397</v>
          </cell>
          <cell r="BI13">
            <v>395568644341.03802</v>
          </cell>
          <cell r="BJ13">
            <v>416230497429.16302</v>
          </cell>
          <cell r="BK13">
            <v>454945881027.37799</v>
          </cell>
          <cell r="BL13">
            <v>445011872704.46997</v>
          </cell>
          <cell r="BM13">
            <v>433258467676.51501</v>
          </cell>
          <cell r="BN13">
            <v>433258467676.51501</v>
          </cell>
        </row>
        <row r="14">
          <cell r="B14" t="str">
            <v>AZE</v>
          </cell>
          <cell r="C14" t="str">
            <v>GDP (current US$)</v>
          </cell>
          <cell r="D14" t="str">
            <v>NY.GDP.MKTP.CD</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v>446305555.555556</v>
          </cell>
          <cell r="AL14">
            <v>1570000000</v>
          </cell>
          <cell r="AM14">
            <v>1193312101.91083</v>
          </cell>
          <cell r="AN14">
            <v>2417355840.0362501</v>
          </cell>
          <cell r="AO14">
            <v>3176333837.0335898</v>
          </cell>
          <cell r="AP14">
            <v>3962238113.1602101</v>
          </cell>
          <cell r="AQ14">
            <v>4446368570.6900997</v>
          </cell>
          <cell r="AR14">
            <v>4581432038.8349504</v>
          </cell>
          <cell r="AS14">
            <v>5272798390.7018299</v>
          </cell>
          <cell r="AT14">
            <v>5707720390.8514996</v>
          </cell>
          <cell r="AU14">
            <v>6235856819.5844498</v>
          </cell>
          <cell r="AV14">
            <v>7276753894.7154102</v>
          </cell>
          <cell r="AW14">
            <v>8680370408.0594292</v>
          </cell>
          <cell r="AX14">
            <v>13245716099.005699</v>
          </cell>
          <cell r="AY14">
            <v>20982986344.3027</v>
          </cell>
          <cell r="AZ14">
            <v>33050343782.775902</v>
          </cell>
          <cell r="BA14">
            <v>48852482960.077904</v>
          </cell>
          <cell r="BB14">
            <v>44291490420.502602</v>
          </cell>
          <cell r="BC14">
            <v>52909294791.926201</v>
          </cell>
          <cell r="BD14">
            <v>65951627200.202599</v>
          </cell>
          <cell r="BE14">
            <v>69683935845.213898</v>
          </cell>
          <cell r="BF14">
            <v>74164435946.462708</v>
          </cell>
          <cell r="BG14">
            <v>75244294275.149796</v>
          </cell>
          <cell r="BH14">
            <v>53074370486.043297</v>
          </cell>
          <cell r="BI14">
            <v>37867518957.197502</v>
          </cell>
          <cell r="BJ14">
            <v>40865558912.386703</v>
          </cell>
          <cell r="BK14">
            <v>47112941176.470596</v>
          </cell>
          <cell r="BL14">
            <v>48174235294.117599</v>
          </cell>
          <cell r="BM14">
            <v>42607176470.588203</v>
          </cell>
          <cell r="BN14">
            <v>42607176470.588203</v>
          </cell>
        </row>
        <row r="15">
          <cell r="B15" t="str">
            <v>BHS</v>
          </cell>
          <cell r="C15" t="str">
            <v>GDP (current US$)</v>
          </cell>
          <cell r="D15" t="str">
            <v>NY.GDP.MKTP.CD</v>
          </cell>
          <cell r="E15">
            <v>169803921.568627</v>
          </cell>
          <cell r="F15">
            <v>190098039.21568599</v>
          </cell>
          <cell r="G15">
            <v>212254901.96078399</v>
          </cell>
          <cell r="H15">
            <v>237745098.03921601</v>
          </cell>
          <cell r="I15">
            <v>266666666.66666701</v>
          </cell>
          <cell r="J15">
            <v>300392156.86274499</v>
          </cell>
          <cell r="K15">
            <v>340000000</v>
          </cell>
          <cell r="L15">
            <v>390196078.431373</v>
          </cell>
          <cell r="M15">
            <v>444901960.78431398</v>
          </cell>
          <cell r="N15">
            <v>528137254.90196103</v>
          </cell>
          <cell r="O15">
            <v>538423153.69261503</v>
          </cell>
          <cell r="P15">
            <v>573400000</v>
          </cell>
          <cell r="Q15">
            <v>590900000</v>
          </cell>
          <cell r="R15">
            <v>670900000</v>
          </cell>
          <cell r="S15">
            <v>632400000</v>
          </cell>
          <cell r="T15">
            <v>596200000</v>
          </cell>
          <cell r="U15">
            <v>642100000</v>
          </cell>
          <cell r="V15">
            <v>713000000</v>
          </cell>
          <cell r="W15">
            <v>832400000</v>
          </cell>
          <cell r="X15">
            <v>1139800100</v>
          </cell>
          <cell r="Y15">
            <v>1335300000</v>
          </cell>
          <cell r="Z15">
            <v>1426500000</v>
          </cell>
          <cell r="AA15">
            <v>1578300000</v>
          </cell>
          <cell r="AB15">
            <v>1732800000</v>
          </cell>
          <cell r="AC15">
            <v>2041100000</v>
          </cell>
          <cell r="AD15">
            <v>2320699900</v>
          </cell>
          <cell r="AE15">
            <v>2472500000</v>
          </cell>
          <cell r="AF15">
            <v>2713999900</v>
          </cell>
          <cell r="AG15">
            <v>2817900000</v>
          </cell>
          <cell r="AH15">
            <v>3062000000</v>
          </cell>
          <cell r="AI15">
            <v>3166000000</v>
          </cell>
          <cell r="AJ15">
            <v>3111160000</v>
          </cell>
          <cell r="AK15">
            <v>3109000000</v>
          </cell>
          <cell r="AL15">
            <v>3092000000</v>
          </cell>
          <cell r="AM15">
            <v>3259000000</v>
          </cell>
          <cell r="AN15">
            <v>3429000000</v>
          </cell>
          <cell r="AO15">
            <v>3609000000</v>
          </cell>
          <cell r="AP15">
            <v>6332360000</v>
          </cell>
          <cell r="AQ15">
            <v>6833220000</v>
          </cell>
          <cell r="AR15">
            <v>7683870000</v>
          </cell>
          <cell r="AS15">
            <v>8076470000</v>
          </cell>
          <cell r="AT15">
            <v>8317830000</v>
          </cell>
          <cell r="AU15">
            <v>8881160000</v>
          </cell>
          <cell r="AV15">
            <v>8870090000</v>
          </cell>
          <cell r="AW15">
            <v>9055290000</v>
          </cell>
          <cell r="AX15">
            <v>9836200000</v>
          </cell>
          <cell r="AY15">
            <v>10167250000</v>
          </cell>
          <cell r="AZ15">
            <v>10618340000</v>
          </cell>
          <cell r="BA15">
            <v>10526000000</v>
          </cell>
          <cell r="BB15">
            <v>9981960000</v>
          </cell>
          <cell r="BC15">
            <v>10095760000</v>
          </cell>
          <cell r="BD15">
            <v>10070450000</v>
          </cell>
          <cell r="BE15">
            <v>10720500000</v>
          </cell>
          <cell r="BF15">
            <v>10494600000</v>
          </cell>
          <cell r="BG15">
            <v>11142900000</v>
          </cell>
          <cell r="BH15">
            <v>11890600000</v>
          </cell>
          <cell r="BI15">
            <v>11992600000</v>
          </cell>
          <cell r="BJ15">
            <v>12359700000</v>
          </cell>
          <cell r="BK15">
            <v>12837800000</v>
          </cell>
          <cell r="BL15">
            <v>13164400000</v>
          </cell>
          <cell r="BM15">
            <v>9907500000</v>
          </cell>
          <cell r="BN15">
            <v>9907500000</v>
          </cell>
        </row>
        <row r="16">
          <cell r="B16" t="str">
            <v>BHR</v>
          </cell>
          <cell r="C16" t="str">
            <v>GDP (current US$)</v>
          </cell>
          <cell r="D16" t="str">
            <v>NY.GDP.MKTP.CD</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v>3072698328.46909</v>
          </cell>
          <cell r="Z16">
            <v>3467819148.9361701</v>
          </cell>
          <cell r="AA16">
            <v>3645744680.8510599</v>
          </cell>
          <cell r="AB16">
            <v>3735106382.9787202</v>
          </cell>
          <cell r="AC16">
            <v>3905585106.3829799</v>
          </cell>
          <cell r="AD16">
            <v>3651861702.1276598</v>
          </cell>
          <cell r="AE16">
            <v>3052393617.0212798</v>
          </cell>
          <cell r="AF16">
            <v>3392021010.6382999</v>
          </cell>
          <cell r="AG16">
            <v>3702393617.0212798</v>
          </cell>
          <cell r="AH16">
            <v>3863563829.78723</v>
          </cell>
          <cell r="AI16">
            <v>4229787234.0425501</v>
          </cell>
          <cell r="AJ16">
            <v>4616223404.2553196</v>
          </cell>
          <cell r="AK16">
            <v>4751063829.7872295</v>
          </cell>
          <cell r="AL16">
            <v>5200265957.4468098</v>
          </cell>
          <cell r="AM16">
            <v>5567553457.4468098</v>
          </cell>
          <cell r="AN16">
            <v>5849467819.1489401</v>
          </cell>
          <cell r="AO16">
            <v>6101861436.1702099</v>
          </cell>
          <cell r="AP16">
            <v>6349202393.6170197</v>
          </cell>
          <cell r="AQ16">
            <v>6183776595.7446804</v>
          </cell>
          <cell r="AR16">
            <v>6621010372.3404303</v>
          </cell>
          <cell r="AS16">
            <v>9062898936.1702099</v>
          </cell>
          <cell r="AT16">
            <v>8976196808.5106392</v>
          </cell>
          <cell r="AU16">
            <v>9593510638.2978706</v>
          </cell>
          <cell r="AV16">
            <v>11074813829.787201</v>
          </cell>
          <cell r="AW16">
            <v>13150159574.4681</v>
          </cell>
          <cell r="AX16">
            <v>15968723404.255301</v>
          </cell>
          <cell r="AY16">
            <v>18504760638.297901</v>
          </cell>
          <cell r="AZ16">
            <v>21730000000</v>
          </cell>
          <cell r="BA16">
            <v>25710904255.319099</v>
          </cell>
          <cell r="BB16">
            <v>22938218085.1064</v>
          </cell>
          <cell r="BC16">
            <v>25713271276.595699</v>
          </cell>
          <cell r="BD16">
            <v>28776595744.680901</v>
          </cell>
          <cell r="BE16">
            <v>30749308510.638302</v>
          </cell>
          <cell r="BF16">
            <v>32539468085.1064</v>
          </cell>
          <cell r="BG16">
            <v>33387712765.957401</v>
          </cell>
          <cell r="BH16">
            <v>31050638297.872299</v>
          </cell>
          <cell r="BI16">
            <v>32234973404.255299</v>
          </cell>
          <cell r="BJ16">
            <v>35473776595.744698</v>
          </cell>
          <cell r="BK16">
            <v>37801462765.957397</v>
          </cell>
          <cell r="BL16">
            <v>38652579787.234001</v>
          </cell>
          <cell r="BM16">
            <v>34729228723.404297</v>
          </cell>
          <cell r="BN16">
            <v>34729228723.404297</v>
          </cell>
        </row>
        <row r="17">
          <cell r="B17" t="str">
            <v>BGD</v>
          </cell>
          <cell r="C17" t="str">
            <v>GDP (current US$)</v>
          </cell>
          <cell r="D17" t="str">
            <v>NY.GDP.MKTP.CD</v>
          </cell>
          <cell r="E17">
            <v>4274893913.4953599</v>
          </cell>
          <cell r="F17">
            <v>4817580183.6015501</v>
          </cell>
          <cell r="G17">
            <v>5081413339.7863503</v>
          </cell>
          <cell r="H17">
            <v>5319458351.1623497</v>
          </cell>
          <cell r="I17">
            <v>5386054619.3498697</v>
          </cell>
          <cell r="J17">
            <v>5906636557.0009203</v>
          </cell>
          <cell r="K17">
            <v>6439687598.3232498</v>
          </cell>
          <cell r="L17">
            <v>7253575399.3214998</v>
          </cell>
          <cell r="M17">
            <v>7483685473.5127497</v>
          </cell>
          <cell r="N17">
            <v>8471006100.95399</v>
          </cell>
          <cell r="O17">
            <v>8992721809.3933201</v>
          </cell>
          <cell r="P17">
            <v>8751842839.7965794</v>
          </cell>
          <cell r="Q17">
            <v>6288245866.6666698</v>
          </cell>
          <cell r="R17">
            <v>8086725729.3407001</v>
          </cell>
          <cell r="S17">
            <v>12512460519.708799</v>
          </cell>
          <cell r="T17">
            <v>19448348073.456501</v>
          </cell>
          <cell r="U17">
            <v>10117113333.3333</v>
          </cell>
          <cell r="V17">
            <v>9651149301.8745995</v>
          </cell>
          <cell r="W17">
            <v>13281767142.8571</v>
          </cell>
          <cell r="X17">
            <v>15565480321.944799</v>
          </cell>
          <cell r="Y17">
            <v>18138049095.607201</v>
          </cell>
          <cell r="Z17">
            <v>20249694002.448002</v>
          </cell>
          <cell r="AA17">
            <v>18525399201.596802</v>
          </cell>
          <cell r="AB17">
            <v>17609048821.548801</v>
          </cell>
          <cell r="AC17">
            <v>18920840000</v>
          </cell>
          <cell r="AD17">
            <v>22278423076.9231</v>
          </cell>
          <cell r="AE17">
            <v>21774033333.333302</v>
          </cell>
          <cell r="AF17">
            <v>24298032258.064499</v>
          </cell>
          <cell r="AG17">
            <v>26579005760.348598</v>
          </cell>
          <cell r="AH17">
            <v>28781714763.801201</v>
          </cell>
          <cell r="AI17">
            <v>31598341233.558998</v>
          </cell>
          <cell r="AJ17">
            <v>30957483949.5798</v>
          </cell>
          <cell r="AK17">
            <v>31708874594.164501</v>
          </cell>
          <cell r="AL17">
            <v>33166519417.989399</v>
          </cell>
          <cell r="AM17">
            <v>33768660882.792999</v>
          </cell>
          <cell r="AN17">
            <v>37939748768.6567</v>
          </cell>
          <cell r="AO17">
            <v>46438484107.579498</v>
          </cell>
          <cell r="AP17">
            <v>48244309133.489502</v>
          </cell>
          <cell r="AQ17">
            <v>49984559471.365601</v>
          </cell>
          <cell r="AR17">
            <v>51270569883.527496</v>
          </cell>
          <cell r="AS17">
            <v>53369787318.624496</v>
          </cell>
          <cell r="AT17">
            <v>53991289844.329102</v>
          </cell>
          <cell r="AU17">
            <v>54724081490.510201</v>
          </cell>
          <cell r="AV17">
            <v>60158929188.2556</v>
          </cell>
          <cell r="AW17">
            <v>65108544250.042503</v>
          </cell>
          <cell r="AX17">
            <v>69442943089.430893</v>
          </cell>
          <cell r="AY17">
            <v>71819083683.740295</v>
          </cell>
          <cell r="AZ17">
            <v>79611888213.147995</v>
          </cell>
          <cell r="BA17">
            <v>91631278239.3237</v>
          </cell>
          <cell r="BB17">
            <v>102477791472.39</v>
          </cell>
          <cell r="BC17">
            <v>115279077465.226</v>
          </cell>
          <cell r="BD17">
            <v>128637938711.386</v>
          </cell>
          <cell r="BE17">
            <v>133355749482.478</v>
          </cell>
          <cell r="BF17">
            <v>149990451022.29001</v>
          </cell>
          <cell r="BG17">
            <v>172885454931.453</v>
          </cell>
          <cell r="BH17">
            <v>195078678697.23001</v>
          </cell>
          <cell r="BI17">
            <v>221415188000.47501</v>
          </cell>
          <cell r="BJ17">
            <v>249710922462.30899</v>
          </cell>
          <cell r="BK17">
            <v>274038973437.27499</v>
          </cell>
          <cell r="BL17">
            <v>302571320445.75</v>
          </cell>
          <cell r="BM17">
            <v>323056957972.31201</v>
          </cell>
          <cell r="BN17">
            <v>323056957972.31201</v>
          </cell>
        </row>
        <row r="18">
          <cell r="B18" t="str">
            <v>BRB</v>
          </cell>
          <cell r="C18" t="str">
            <v>GDP (current US$)</v>
          </cell>
          <cell r="D18" t="str">
            <v>NY.GDP.MKTP.CD</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v>311809337.47435498</v>
          </cell>
          <cell r="T18">
            <v>402178605.01955402</v>
          </cell>
          <cell r="U18">
            <v>435911268.58968002</v>
          </cell>
          <cell r="V18">
            <v>495097667.92904103</v>
          </cell>
          <cell r="W18">
            <v>552883707.05513799</v>
          </cell>
          <cell r="X18">
            <v>670362452.14537895</v>
          </cell>
          <cell r="Y18">
            <v>1012280614.52792</v>
          </cell>
          <cell r="Z18">
            <v>1114204743.2009101</v>
          </cell>
          <cell r="AA18">
            <v>1163923830.35847</v>
          </cell>
          <cell r="AB18">
            <v>1236016506.7369399</v>
          </cell>
          <cell r="AC18">
            <v>1346890071.09829</v>
          </cell>
          <cell r="AD18">
            <v>1409536120.91682</v>
          </cell>
          <cell r="AE18">
            <v>1547755183.2148399</v>
          </cell>
          <cell r="AF18">
            <v>1704370307.7611499</v>
          </cell>
          <cell r="AG18">
            <v>1812757917.7646301</v>
          </cell>
          <cell r="AH18">
            <v>2006165166.8075399</v>
          </cell>
          <cell r="AI18">
            <v>2012131457.2664399</v>
          </cell>
          <cell r="AJ18">
            <v>2020583702.08323</v>
          </cell>
          <cell r="AK18">
            <v>1957000000</v>
          </cell>
          <cell r="AL18">
            <v>2063342117.0387299</v>
          </cell>
          <cell r="AM18">
            <v>2151344901.30761</v>
          </cell>
          <cell r="AN18">
            <v>2216974096.3555899</v>
          </cell>
          <cell r="AO18">
            <v>2363645403.4703898</v>
          </cell>
          <cell r="AP18">
            <v>2498384129.6673799</v>
          </cell>
          <cell r="AQ18">
            <v>2817083478.3473401</v>
          </cell>
          <cell r="AR18">
            <v>2951822204.5443201</v>
          </cell>
          <cell r="AS18">
            <v>3059500000</v>
          </cell>
          <cell r="AT18">
            <v>3054500000</v>
          </cell>
          <cell r="AU18">
            <v>3106500000</v>
          </cell>
          <cell r="AV18">
            <v>3209500000</v>
          </cell>
          <cell r="AW18">
            <v>3444500000</v>
          </cell>
          <cell r="AX18">
            <v>3819500000</v>
          </cell>
          <cell r="AY18">
            <v>4217500000</v>
          </cell>
          <cell r="AZ18">
            <v>4674000000</v>
          </cell>
          <cell r="BA18">
            <v>4785000000</v>
          </cell>
          <cell r="BB18">
            <v>4465500000</v>
          </cell>
          <cell r="BC18">
            <v>4530000000</v>
          </cell>
          <cell r="BD18">
            <v>4657500000</v>
          </cell>
          <cell r="BE18">
            <v>4610000000</v>
          </cell>
          <cell r="BF18">
            <v>4677000000</v>
          </cell>
          <cell r="BG18">
            <v>4696500000</v>
          </cell>
          <cell r="BH18">
            <v>4715000000</v>
          </cell>
          <cell r="BI18">
            <v>4830000000</v>
          </cell>
          <cell r="BJ18">
            <v>4978000000</v>
          </cell>
          <cell r="BK18">
            <v>5086500000</v>
          </cell>
          <cell r="BL18">
            <v>5209000000</v>
          </cell>
          <cell r="BM18">
            <v>4418000000</v>
          </cell>
          <cell r="BN18">
            <v>4418000000</v>
          </cell>
        </row>
        <row r="19">
          <cell r="B19" t="str">
            <v>BLR</v>
          </cell>
          <cell r="C19" t="str">
            <v>GDP (current US$)</v>
          </cell>
          <cell r="D19" t="str">
            <v>NY.GDP.MKTP.CD</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v>21650000000</v>
          </cell>
          <cell r="AJ19" t="str">
            <v>..</v>
          </cell>
          <cell r="AK19" t="str">
            <v>..</v>
          </cell>
          <cell r="AL19" t="str">
            <v>..</v>
          </cell>
          <cell r="AM19">
            <v>17793000000</v>
          </cell>
          <cell r="AN19">
            <v>13489222222.2222</v>
          </cell>
          <cell r="AO19">
            <v>14756846153.846201</v>
          </cell>
          <cell r="AP19">
            <v>14108846153.846201</v>
          </cell>
          <cell r="AQ19">
            <v>15264369565.2174</v>
          </cell>
          <cell r="AR19">
            <v>12152867469.879499</v>
          </cell>
          <cell r="AS19">
            <v>12738912133.891199</v>
          </cell>
          <cell r="AT19">
            <v>12354820143.884899</v>
          </cell>
          <cell r="AU19">
            <v>14594249022.8922</v>
          </cell>
          <cell r="AV19">
            <v>17827791321.306702</v>
          </cell>
          <cell r="AW19">
            <v>23144351851.851898</v>
          </cell>
          <cell r="AX19">
            <v>30207567316.620201</v>
          </cell>
          <cell r="AY19">
            <v>36954312354.312401</v>
          </cell>
          <cell r="AZ19">
            <v>45277399813.606697</v>
          </cell>
          <cell r="BA19">
            <v>60763483146.067398</v>
          </cell>
          <cell r="BB19">
            <v>50874078052.273499</v>
          </cell>
          <cell r="BC19">
            <v>57222490768.714302</v>
          </cell>
          <cell r="BD19">
            <v>61757788944.723602</v>
          </cell>
          <cell r="BE19">
            <v>65685102554.8759</v>
          </cell>
          <cell r="BF19">
            <v>75527984234.234207</v>
          </cell>
          <cell r="BG19">
            <v>78813839984.350601</v>
          </cell>
          <cell r="BH19">
            <v>56454734396.584198</v>
          </cell>
          <cell r="BI19">
            <v>47722657820.667503</v>
          </cell>
          <cell r="BJ19">
            <v>54726595249.184898</v>
          </cell>
          <cell r="BK19">
            <v>60031262269.336502</v>
          </cell>
          <cell r="BL19">
            <v>64409647193.804398</v>
          </cell>
          <cell r="BM19">
            <v>60258239055.582901</v>
          </cell>
          <cell r="BN19">
            <v>60258239055.582901</v>
          </cell>
        </row>
        <row r="20">
          <cell r="B20" t="str">
            <v>BEL</v>
          </cell>
          <cell r="C20" t="str">
            <v>GDP (current US$)</v>
          </cell>
          <cell r="D20" t="str">
            <v>NY.GDP.MKTP.CD</v>
          </cell>
          <cell r="E20">
            <v>11658722590.99</v>
          </cell>
          <cell r="F20">
            <v>12400145221.594999</v>
          </cell>
          <cell r="G20">
            <v>13264015675.3193</v>
          </cell>
          <cell r="H20">
            <v>14260017387.0492</v>
          </cell>
          <cell r="I20">
            <v>15960106680.673201</v>
          </cell>
          <cell r="J20">
            <v>17371457607.937401</v>
          </cell>
          <cell r="K20">
            <v>18651883472.480801</v>
          </cell>
          <cell r="L20">
            <v>19992040788.459301</v>
          </cell>
          <cell r="M20">
            <v>21376353113.474998</v>
          </cell>
          <cell r="N20">
            <v>23710735894.702202</v>
          </cell>
          <cell r="O20">
            <v>26706196046.793098</v>
          </cell>
          <cell r="P20">
            <v>29821661869.911999</v>
          </cell>
          <cell r="Q20">
            <v>37209418018.513397</v>
          </cell>
          <cell r="R20">
            <v>47743801490.374702</v>
          </cell>
          <cell r="S20">
            <v>56033077879.038902</v>
          </cell>
          <cell r="T20">
            <v>65678189097.290802</v>
          </cell>
          <cell r="U20">
            <v>71113882967.607101</v>
          </cell>
          <cell r="V20">
            <v>82839905458.638199</v>
          </cell>
          <cell r="W20">
            <v>101246526194.44099</v>
          </cell>
          <cell r="X20">
            <v>116315456796.918</v>
          </cell>
          <cell r="Y20">
            <v>126829314388.19099</v>
          </cell>
          <cell r="Z20">
            <v>104730018470.23</v>
          </cell>
          <cell r="AA20">
            <v>92095926187.533096</v>
          </cell>
          <cell r="AB20">
            <v>87184239053.254395</v>
          </cell>
          <cell r="AC20">
            <v>83349530159.173401</v>
          </cell>
          <cell r="AD20">
            <v>86268264148.379593</v>
          </cell>
          <cell r="AE20">
            <v>120018787249.41299</v>
          </cell>
          <cell r="AF20">
            <v>149394404105.88901</v>
          </cell>
          <cell r="AG20">
            <v>162299103675.26099</v>
          </cell>
          <cell r="AH20">
            <v>164221056511.05701</v>
          </cell>
          <cell r="AI20">
            <v>205331747947.85101</v>
          </cell>
          <cell r="AJ20">
            <v>210510999409.33301</v>
          </cell>
          <cell r="AK20">
            <v>234781652446.67499</v>
          </cell>
          <cell r="AL20">
            <v>224721795708.95499</v>
          </cell>
          <cell r="AM20">
            <v>244884129491.198</v>
          </cell>
          <cell r="AN20">
            <v>288025588396.27802</v>
          </cell>
          <cell r="AO20">
            <v>279201433224.75598</v>
          </cell>
          <cell r="AP20">
            <v>252708051420.83899</v>
          </cell>
          <cell r="AQ20">
            <v>258528339631.02899</v>
          </cell>
          <cell r="AR20">
            <v>258158533986.789</v>
          </cell>
          <cell r="AS20">
            <v>236204532891.10001</v>
          </cell>
          <cell r="AT20">
            <v>236541297539.14999</v>
          </cell>
          <cell r="AU20">
            <v>257157820440.42899</v>
          </cell>
          <cell r="AV20">
            <v>317381715575.62097</v>
          </cell>
          <cell r="AW20">
            <v>368537000248.32397</v>
          </cell>
          <cell r="AX20">
            <v>385570948886.95398</v>
          </cell>
          <cell r="AY20">
            <v>407918078032.86902</v>
          </cell>
          <cell r="AZ20">
            <v>470324254037.77698</v>
          </cell>
          <cell r="BA20">
            <v>515223524241.97998</v>
          </cell>
          <cell r="BB20">
            <v>481345929424.84003</v>
          </cell>
          <cell r="BC20">
            <v>480951629493.03302</v>
          </cell>
          <cell r="BD20">
            <v>522645519183.591</v>
          </cell>
          <cell r="BE20">
            <v>496181260258.29999</v>
          </cell>
          <cell r="BF20">
            <v>521642714407.84302</v>
          </cell>
          <cell r="BG20">
            <v>534678075827.36102</v>
          </cell>
          <cell r="BH20">
            <v>462149679343.82202</v>
          </cell>
          <cell r="BI20">
            <v>475739588764.75897</v>
          </cell>
          <cell r="BJ20">
            <v>501522868356.44098</v>
          </cell>
          <cell r="BK20">
            <v>543008499294.07898</v>
          </cell>
          <cell r="BL20">
            <v>535288715239.99902</v>
          </cell>
          <cell r="BM20">
            <v>521861292586.61603</v>
          </cell>
          <cell r="BN20">
            <v>521861292586.61603</v>
          </cell>
        </row>
        <row r="21">
          <cell r="B21" t="str">
            <v>BLZ</v>
          </cell>
          <cell r="C21" t="str">
            <v>GDP (current US$)</v>
          </cell>
          <cell r="D21" t="str">
            <v>NY.GDP.MKTP.CD</v>
          </cell>
          <cell r="E21">
            <v>28071888.562228799</v>
          </cell>
          <cell r="F21">
            <v>29964370.712585699</v>
          </cell>
          <cell r="G21">
            <v>31856922.861542799</v>
          </cell>
          <cell r="H21">
            <v>33749405.011899799</v>
          </cell>
          <cell r="I21">
            <v>36193826.123477504</v>
          </cell>
          <cell r="J21">
            <v>40069930.069930099</v>
          </cell>
          <cell r="K21">
            <v>44405594.405594401</v>
          </cell>
          <cell r="L21">
            <v>47379310.3448276</v>
          </cell>
          <cell r="M21">
            <v>44910179.640718602</v>
          </cell>
          <cell r="N21">
            <v>47305389.221556902</v>
          </cell>
          <cell r="O21">
            <v>53233532.934131697</v>
          </cell>
          <cell r="P21">
            <v>59207317.073170699</v>
          </cell>
          <cell r="Q21">
            <v>66062500</v>
          </cell>
          <cell r="R21">
            <v>78343558.282208607</v>
          </cell>
          <cell r="S21">
            <v>103216374.269006</v>
          </cell>
          <cell r="T21">
            <v>118066298.34254099</v>
          </cell>
          <cell r="U21">
            <v>96905829.596412599</v>
          </cell>
          <cell r="V21">
            <v>117650000</v>
          </cell>
          <cell r="W21">
            <v>136300000</v>
          </cell>
          <cell r="X21">
            <v>151800000</v>
          </cell>
          <cell r="Y21">
            <v>197938222.42928299</v>
          </cell>
          <cell r="Z21">
            <v>196089854.65634701</v>
          </cell>
          <cell r="AA21">
            <v>182206326.98570901</v>
          </cell>
          <cell r="AB21">
            <v>192103185.95532101</v>
          </cell>
          <cell r="AC21">
            <v>214381949.01938099</v>
          </cell>
          <cell r="AD21">
            <v>212643742.66470599</v>
          </cell>
          <cell r="AE21">
            <v>231638320.535566</v>
          </cell>
          <cell r="AF21">
            <v>281082558.58590001</v>
          </cell>
          <cell r="AG21">
            <v>320093360.27244997</v>
          </cell>
          <cell r="AH21">
            <v>369133890.70474499</v>
          </cell>
          <cell r="AI21">
            <v>412086445.492176</v>
          </cell>
          <cell r="AJ21">
            <v>444720750</v>
          </cell>
          <cell r="AK21">
            <v>518559700</v>
          </cell>
          <cell r="AL21">
            <v>560205300</v>
          </cell>
          <cell r="AM21">
            <v>581269550</v>
          </cell>
          <cell r="AN21">
            <v>620422500</v>
          </cell>
          <cell r="AO21">
            <v>641660000</v>
          </cell>
          <cell r="AP21">
            <v>654582900</v>
          </cell>
          <cell r="AQ21">
            <v>689140000</v>
          </cell>
          <cell r="AR21">
            <v>732732350</v>
          </cell>
          <cell r="AS21">
            <v>832072450</v>
          </cell>
          <cell r="AT21">
            <v>868358750</v>
          </cell>
          <cell r="AU21">
            <v>925197950</v>
          </cell>
          <cell r="AV21">
            <v>983575600</v>
          </cell>
          <cell r="AW21">
            <v>1051386600</v>
          </cell>
          <cell r="AX21">
            <v>1102564900</v>
          </cell>
          <cell r="AY21">
            <v>1210603750</v>
          </cell>
          <cell r="AZ21">
            <v>1271598050</v>
          </cell>
          <cell r="BA21">
            <v>1351338650</v>
          </cell>
          <cell r="BB21">
            <v>1317309450</v>
          </cell>
          <cell r="BC21">
            <v>1377177100</v>
          </cell>
          <cell r="BD21">
            <v>1460797903.23406</v>
          </cell>
          <cell r="BE21">
            <v>1522897506.07849</v>
          </cell>
          <cell r="BF21">
            <v>1579411253.0051401</v>
          </cell>
          <cell r="BG21">
            <v>1667335060.96064</v>
          </cell>
          <cell r="BH21">
            <v>1721700991.46912</v>
          </cell>
          <cell r="BI21">
            <v>1789304087.78561</v>
          </cell>
          <cell r="BJ21">
            <v>1858529676.71857</v>
          </cell>
          <cell r="BK21">
            <v>1915899786.9640701</v>
          </cell>
          <cell r="BL21">
            <v>1982518540.6134</v>
          </cell>
          <cell r="BM21">
            <v>1636280797.08056</v>
          </cell>
          <cell r="BN21">
            <v>1636280797.08056</v>
          </cell>
        </row>
        <row r="22">
          <cell r="B22" t="str">
            <v>BEN</v>
          </cell>
          <cell r="C22" t="str">
            <v>GDP (current US$)</v>
          </cell>
          <cell r="D22" t="str">
            <v>NY.GDP.MKTP.CD</v>
          </cell>
          <cell r="E22">
            <v>226195579.35701001</v>
          </cell>
          <cell r="F22">
            <v>235668222.429984</v>
          </cell>
          <cell r="G22">
            <v>236434906.75426999</v>
          </cell>
          <cell r="H22">
            <v>253927646.47590899</v>
          </cell>
          <cell r="I22">
            <v>269818988.25926298</v>
          </cell>
          <cell r="J22">
            <v>289908720.64862198</v>
          </cell>
          <cell r="K22">
            <v>302925280.77356398</v>
          </cell>
          <cell r="L22">
            <v>306222000.40731603</v>
          </cell>
          <cell r="M22">
            <v>326323097.355964</v>
          </cell>
          <cell r="N22">
            <v>330748211.459737</v>
          </cell>
          <cell r="O22">
            <v>333627758.15466601</v>
          </cell>
          <cell r="P22">
            <v>335072975.21576601</v>
          </cell>
          <cell r="Q22">
            <v>410331900.95053101</v>
          </cell>
          <cell r="R22">
            <v>504376035.71640098</v>
          </cell>
          <cell r="S22">
            <v>554654786.96510696</v>
          </cell>
          <cell r="T22">
            <v>676870140.34152901</v>
          </cell>
          <cell r="U22">
            <v>698408244.38534296</v>
          </cell>
          <cell r="V22">
            <v>750049739.15223801</v>
          </cell>
          <cell r="W22">
            <v>928843304.78396499</v>
          </cell>
          <cell r="X22">
            <v>1186231265.18417</v>
          </cell>
          <cell r="Y22">
            <v>1405251547.2388201</v>
          </cell>
          <cell r="Z22">
            <v>1291119965.1126201</v>
          </cell>
          <cell r="AA22">
            <v>1267778489.0307901</v>
          </cell>
          <cell r="AB22">
            <v>1095348302.9186499</v>
          </cell>
          <cell r="AC22">
            <v>1051133927.00009</v>
          </cell>
          <cell r="AD22">
            <v>1045712703.02696</v>
          </cell>
          <cell r="AE22">
            <v>1336102040.7102499</v>
          </cell>
          <cell r="AF22">
            <v>1562412030.3483801</v>
          </cell>
          <cell r="AG22">
            <v>1620246187.15171</v>
          </cell>
          <cell r="AH22">
            <v>1502294411.4620199</v>
          </cell>
          <cell r="AI22">
            <v>1959965243.7626901</v>
          </cell>
          <cell r="AJ22">
            <v>1986437859.90346</v>
          </cell>
          <cell r="AK22">
            <v>1695315305.7030799</v>
          </cell>
          <cell r="AL22">
            <v>2274557914.07481</v>
          </cell>
          <cell r="AM22">
            <v>1598075932.35432</v>
          </cell>
          <cell r="AN22">
            <v>2169627250.9337902</v>
          </cell>
          <cell r="AO22">
            <v>2361116587.8607898</v>
          </cell>
          <cell r="AP22">
            <v>2268301537.6512799</v>
          </cell>
          <cell r="AQ22">
            <v>2455092582.3092699</v>
          </cell>
          <cell r="AR22">
            <v>3677394291.5151601</v>
          </cell>
          <cell r="AS22">
            <v>3519991326.4846401</v>
          </cell>
          <cell r="AT22">
            <v>3666222600.09828</v>
          </cell>
          <cell r="AU22">
            <v>4194342849.4657402</v>
          </cell>
          <cell r="AV22">
            <v>5349258334.3191404</v>
          </cell>
          <cell r="AW22">
            <v>6190270756.1374302</v>
          </cell>
          <cell r="AX22">
            <v>6567654493.5083103</v>
          </cell>
          <cell r="AY22">
            <v>7034111651.4963999</v>
          </cell>
          <cell r="AZ22">
            <v>8169048690.0525398</v>
          </cell>
          <cell r="BA22">
            <v>9787735426.0089703</v>
          </cell>
          <cell r="BB22">
            <v>9738626993.2769604</v>
          </cell>
          <cell r="BC22">
            <v>9535344283.47295</v>
          </cell>
          <cell r="BD22">
            <v>10693321953.6355</v>
          </cell>
          <cell r="BE22">
            <v>11141358945.134899</v>
          </cell>
          <cell r="BF22">
            <v>12517845732.209499</v>
          </cell>
          <cell r="BG22">
            <v>13284528654.0574</v>
          </cell>
          <cell r="BH22">
            <v>11388160958.249001</v>
          </cell>
          <cell r="BI22">
            <v>11821066152.5979</v>
          </cell>
          <cell r="BJ22">
            <v>12701654743.214899</v>
          </cell>
          <cell r="BK22">
            <v>14262407011.5254</v>
          </cell>
          <cell r="BL22">
            <v>14391686632.782101</v>
          </cell>
          <cell r="BM22">
            <v>15651545331.5404</v>
          </cell>
          <cell r="BN22">
            <v>15651545331.5404</v>
          </cell>
        </row>
        <row r="23">
          <cell r="B23" t="str">
            <v>BMU</v>
          </cell>
          <cell r="C23" t="str">
            <v>GDP (current US$)</v>
          </cell>
          <cell r="D23" t="str">
            <v>NY.GDP.MKTP.CD</v>
          </cell>
          <cell r="E23">
            <v>84466654.076911896</v>
          </cell>
          <cell r="F23">
            <v>89249986.697289497</v>
          </cell>
          <cell r="G23">
            <v>94149985.966944605</v>
          </cell>
          <cell r="H23">
            <v>96366652.303217098</v>
          </cell>
          <cell r="I23">
            <v>107566650.633857</v>
          </cell>
          <cell r="J23">
            <v>114339048.965166</v>
          </cell>
          <cell r="K23">
            <v>134173373.785653</v>
          </cell>
          <cell r="L23">
            <v>155102984.627334</v>
          </cell>
          <cell r="M23">
            <v>150000000</v>
          </cell>
          <cell r="N23">
            <v>164900000</v>
          </cell>
          <cell r="O23">
            <v>186300000</v>
          </cell>
          <cell r="P23">
            <v>211100000</v>
          </cell>
          <cell r="Q23">
            <v>235400000</v>
          </cell>
          <cell r="R23">
            <v>269500000</v>
          </cell>
          <cell r="S23">
            <v>312600000</v>
          </cell>
          <cell r="T23">
            <v>345000000</v>
          </cell>
          <cell r="U23">
            <v>386300000</v>
          </cell>
          <cell r="V23">
            <v>447000000</v>
          </cell>
          <cell r="W23">
            <v>475800000</v>
          </cell>
          <cell r="X23">
            <v>517200000</v>
          </cell>
          <cell r="Y23">
            <v>613299968</v>
          </cell>
          <cell r="Z23">
            <v>739100032</v>
          </cell>
          <cell r="AA23">
            <v>785500032</v>
          </cell>
          <cell r="AB23">
            <v>889400000</v>
          </cell>
          <cell r="AC23">
            <v>985699968</v>
          </cell>
          <cell r="AD23">
            <v>1039500032</v>
          </cell>
          <cell r="AE23">
            <v>1173500032</v>
          </cell>
          <cell r="AF23">
            <v>1296499968</v>
          </cell>
          <cell r="AG23">
            <v>1415100032</v>
          </cell>
          <cell r="AH23">
            <v>1501500032</v>
          </cell>
          <cell r="AI23">
            <v>1592400000</v>
          </cell>
          <cell r="AJ23">
            <v>1634900000</v>
          </cell>
          <cell r="AK23">
            <v>1679900000</v>
          </cell>
          <cell r="AL23">
            <v>1820359900</v>
          </cell>
          <cell r="AM23">
            <v>1867160100</v>
          </cell>
          <cell r="AN23">
            <v>2030750000</v>
          </cell>
          <cell r="AO23">
            <v>2695390000</v>
          </cell>
          <cell r="AP23">
            <v>2932827000</v>
          </cell>
          <cell r="AQ23">
            <v>3130748000</v>
          </cell>
          <cell r="AR23">
            <v>3324433000</v>
          </cell>
          <cell r="AS23">
            <v>3480219000</v>
          </cell>
          <cell r="AT23">
            <v>3680483000</v>
          </cell>
          <cell r="AU23">
            <v>3937228000</v>
          </cell>
          <cell r="AV23">
            <v>4186525000</v>
          </cell>
          <cell r="AW23">
            <v>4484703000</v>
          </cell>
          <cell r="AX23">
            <v>4868136000</v>
          </cell>
          <cell r="AY23">
            <v>6144000000</v>
          </cell>
          <cell r="AZ23">
            <v>6767000000</v>
          </cell>
          <cell r="BA23">
            <v>6980000000</v>
          </cell>
          <cell r="BB23">
            <v>6656000000</v>
          </cell>
          <cell r="BC23">
            <v>6634526000</v>
          </cell>
          <cell r="BD23">
            <v>6312691000</v>
          </cell>
          <cell r="BE23">
            <v>6378188000</v>
          </cell>
          <cell r="BF23">
            <v>6465756000</v>
          </cell>
          <cell r="BG23">
            <v>6413988000</v>
          </cell>
          <cell r="BH23">
            <v>6654541000</v>
          </cell>
          <cell r="BI23">
            <v>6899911000</v>
          </cell>
          <cell r="BJ23">
            <v>7142316000</v>
          </cell>
          <cell r="BK23">
            <v>7224329000</v>
          </cell>
          <cell r="BL23">
            <v>7484113000</v>
          </cell>
          <cell r="BM23">
            <v>6842700000</v>
          </cell>
          <cell r="BN23">
            <v>6842700000</v>
          </cell>
        </row>
        <row r="24">
          <cell r="B24" t="str">
            <v>BTN</v>
          </cell>
          <cell r="C24" t="str">
            <v>GDP (current US$)</v>
          </cell>
          <cell r="D24" t="str">
            <v>NY.GDP.MKTP.CD</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v>128717410.91249999</v>
          </cell>
          <cell r="Z24">
            <v>139150441.30974799</v>
          </cell>
          <cell r="AA24">
            <v>141366534.47568801</v>
          </cell>
          <cell r="AB24">
            <v>156687192.06464201</v>
          </cell>
          <cell r="AC24">
            <v>160459970.53468299</v>
          </cell>
          <cell r="AD24">
            <v>163272314.83379599</v>
          </cell>
          <cell r="AE24">
            <v>191230747.10700601</v>
          </cell>
          <cell r="AF24">
            <v>242770861.58034301</v>
          </cell>
          <cell r="AG24">
            <v>272241005.23145902</v>
          </cell>
          <cell r="AH24">
            <v>264725206.95087299</v>
          </cell>
          <cell r="AI24">
            <v>287658184.00398898</v>
          </cell>
          <cell r="AJ24">
            <v>240319995.60246301</v>
          </cell>
          <cell r="AK24">
            <v>240215763.88888901</v>
          </cell>
          <cell r="AL24">
            <v>225998091.17743501</v>
          </cell>
          <cell r="AM24">
            <v>258985597.70481399</v>
          </cell>
          <cell r="AN24">
            <v>290464801.11008298</v>
          </cell>
          <cell r="AO24">
            <v>303435517.92266399</v>
          </cell>
          <cell r="AP24">
            <v>352260952.905536</v>
          </cell>
          <cell r="AQ24">
            <v>363452787.20310199</v>
          </cell>
          <cell r="AR24">
            <v>399268801.67208499</v>
          </cell>
          <cell r="AS24">
            <v>424464089.897641</v>
          </cell>
          <cell r="AT24">
            <v>461444513.66815001</v>
          </cell>
          <cell r="AU24">
            <v>520849551.53260601</v>
          </cell>
          <cell r="AV24">
            <v>604041957.92185497</v>
          </cell>
          <cell r="AW24">
            <v>682523857.01677001</v>
          </cell>
          <cell r="AX24">
            <v>796938120.18140602</v>
          </cell>
          <cell r="AY24">
            <v>874989895.60112095</v>
          </cell>
          <cell r="AZ24">
            <v>1168308516.6330099</v>
          </cell>
          <cell r="BA24">
            <v>1227808790.6733</v>
          </cell>
          <cell r="BB24">
            <v>1234014291.82342</v>
          </cell>
          <cell r="BC24">
            <v>1547991317.81183</v>
          </cell>
          <cell r="BD24">
            <v>1777101316.6775601</v>
          </cell>
          <cell r="BE24">
            <v>1781281281.5791199</v>
          </cell>
          <cell r="BF24">
            <v>1756215665.09323</v>
          </cell>
          <cell r="BG24">
            <v>1907090813.45906</v>
          </cell>
          <cell r="BH24">
            <v>2003598212.9913499</v>
          </cell>
          <cell r="BI24">
            <v>2158972129.0030699</v>
          </cell>
          <cell r="BJ24">
            <v>2450364928.07302</v>
          </cell>
          <cell r="BK24">
            <v>2446866404.9305801</v>
          </cell>
          <cell r="BL24">
            <v>2535657068.9657502</v>
          </cell>
          <cell r="BM24">
            <v>2315437338.0880899</v>
          </cell>
          <cell r="BN24">
            <v>2315437338.0880899</v>
          </cell>
        </row>
        <row r="25">
          <cell r="B25" t="str">
            <v>BOL</v>
          </cell>
          <cell r="C25" t="str">
            <v>GDP (current US$)</v>
          </cell>
          <cell r="D25" t="str">
            <v>NY.GDP.MKTP.CD</v>
          </cell>
          <cell r="E25">
            <v>373879363.59538603</v>
          </cell>
          <cell r="F25">
            <v>406684585.71929401</v>
          </cell>
          <cell r="G25">
            <v>444665186.397102</v>
          </cell>
          <cell r="H25">
            <v>478805990.08330703</v>
          </cell>
          <cell r="I25">
            <v>539491477.32015598</v>
          </cell>
          <cell r="J25">
            <v>604377104.37710404</v>
          </cell>
          <cell r="K25">
            <v>669191919.19191897</v>
          </cell>
          <cell r="L25">
            <v>755808080.80808103</v>
          </cell>
          <cell r="M25">
            <v>857912457.91245794</v>
          </cell>
          <cell r="N25">
            <v>929629629.62962997</v>
          </cell>
          <cell r="O25">
            <v>1017003367.00337</v>
          </cell>
          <cell r="P25">
            <v>1095622895.6229</v>
          </cell>
          <cell r="Q25">
            <v>1257615644.97932</v>
          </cell>
          <cell r="R25">
            <v>1262968515.74213</v>
          </cell>
          <cell r="S25">
            <v>2100249875.06247</v>
          </cell>
          <cell r="T25">
            <v>2404697651.1744099</v>
          </cell>
          <cell r="U25">
            <v>2731984007.9959998</v>
          </cell>
          <cell r="V25">
            <v>3227436281.8590698</v>
          </cell>
          <cell r="W25">
            <v>3758220889.5552201</v>
          </cell>
          <cell r="X25">
            <v>4421343606.1813498</v>
          </cell>
          <cell r="Y25">
            <v>4526916802.6101103</v>
          </cell>
          <cell r="Z25">
            <v>5872756933.1158199</v>
          </cell>
          <cell r="AA25">
            <v>5587490264.8127003</v>
          </cell>
          <cell r="AB25">
            <v>5422440961.8788605</v>
          </cell>
          <cell r="AC25">
            <v>6169501037.9762201</v>
          </cell>
          <cell r="AD25">
            <v>5377277406.7163801</v>
          </cell>
          <cell r="AE25">
            <v>3958338883.2233801</v>
          </cell>
          <cell r="AF25">
            <v>4323623622.1622</v>
          </cell>
          <cell r="AG25">
            <v>4597615562.6659403</v>
          </cell>
          <cell r="AH25">
            <v>4715978868.2161303</v>
          </cell>
          <cell r="AI25">
            <v>4867582620.2070799</v>
          </cell>
          <cell r="AJ25">
            <v>5343274311.5678902</v>
          </cell>
          <cell r="AK25">
            <v>5643893347.0067902</v>
          </cell>
          <cell r="AL25">
            <v>5734676560.9247103</v>
          </cell>
          <cell r="AM25">
            <v>5981244886.9169998</v>
          </cell>
          <cell r="AN25">
            <v>6715220507.0516396</v>
          </cell>
          <cell r="AO25">
            <v>7396966657.47054</v>
          </cell>
          <cell r="AP25">
            <v>7925673448.4136801</v>
          </cell>
          <cell r="AQ25">
            <v>8497545598.0835199</v>
          </cell>
          <cell r="AR25">
            <v>8285075872.2730703</v>
          </cell>
          <cell r="AS25">
            <v>8397912509.0967903</v>
          </cell>
          <cell r="AT25">
            <v>8141537937.6106796</v>
          </cell>
          <cell r="AU25">
            <v>7905485216.1785202</v>
          </cell>
          <cell r="AV25">
            <v>8082364868.3935699</v>
          </cell>
          <cell r="AW25">
            <v>8773451738.9112892</v>
          </cell>
          <cell r="AX25">
            <v>9549077869.1065102</v>
          </cell>
          <cell r="AY25">
            <v>11451869164.711201</v>
          </cell>
          <cell r="AZ25">
            <v>13120183156.714899</v>
          </cell>
          <cell r="BA25">
            <v>16674324634.237301</v>
          </cell>
          <cell r="BB25">
            <v>17339992165.242199</v>
          </cell>
          <cell r="BC25">
            <v>19649631314.048199</v>
          </cell>
          <cell r="BD25">
            <v>23963033430.595402</v>
          </cell>
          <cell r="BE25">
            <v>27084497482.861599</v>
          </cell>
          <cell r="BF25">
            <v>30659338880.378601</v>
          </cell>
          <cell r="BG25">
            <v>32996188012.682098</v>
          </cell>
          <cell r="BH25">
            <v>33000198248.336201</v>
          </cell>
          <cell r="BI25">
            <v>33941126200.0606</v>
          </cell>
          <cell r="BJ25">
            <v>37508642165.336601</v>
          </cell>
          <cell r="BK25">
            <v>40287647930.476097</v>
          </cell>
          <cell r="BL25">
            <v>40895322843.785103</v>
          </cell>
          <cell r="BM25">
            <v>36572764862.823402</v>
          </cell>
          <cell r="BN25">
            <v>36572764862.823402</v>
          </cell>
        </row>
        <row r="26">
          <cell r="B26" t="str">
            <v>BIH</v>
          </cell>
          <cell r="C26" t="str">
            <v>GDP (current US$)</v>
          </cell>
          <cell r="D26" t="str">
            <v>NY.GDP.MKTP.CD</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v>1255802469.1357999</v>
          </cell>
          <cell r="AN26">
            <v>1866572953.73665</v>
          </cell>
          <cell r="AO26">
            <v>2786045321.6374302</v>
          </cell>
          <cell r="AP26">
            <v>3671816504.2385101</v>
          </cell>
          <cell r="AQ26">
            <v>4116699437.4040999</v>
          </cell>
          <cell r="AR26">
            <v>4685733115.4684095</v>
          </cell>
          <cell r="AS26">
            <v>5567405599.3120604</v>
          </cell>
          <cell r="AT26">
            <v>5800774717.4053802</v>
          </cell>
          <cell r="AU26">
            <v>6728771313.8680496</v>
          </cell>
          <cell r="AV26">
            <v>8498560902.29181</v>
          </cell>
          <cell r="AW26">
            <v>10157553968.1525</v>
          </cell>
          <cell r="AX26">
            <v>11222953335.338499</v>
          </cell>
          <cell r="AY26">
            <v>12864610862.590099</v>
          </cell>
          <cell r="AZ26">
            <v>15778767410.8109</v>
          </cell>
          <cell r="BA26">
            <v>19112739397.886002</v>
          </cell>
          <cell r="BB26">
            <v>17613836526.639301</v>
          </cell>
          <cell r="BC26">
            <v>17176781045.596701</v>
          </cell>
          <cell r="BD26">
            <v>18644723853.5807</v>
          </cell>
          <cell r="BE26">
            <v>17221192466.191799</v>
          </cell>
          <cell r="BF26">
            <v>18172335776.330101</v>
          </cell>
          <cell r="BG26">
            <v>18560861388.640202</v>
          </cell>
          <cell r="BH26">
            <v>16219819017.360701</v>
          </cell>
          <cell r="BI26">
            <v>16914287348.981899</v>
          </cell>
          <cell r="BJ26">
            <v>18079075770.671299</v>
          </cell>
          <cell r="BK26">
            <v>20177409351.432899</v>
          </cell>
          <cell r="BL26">
            <v>20201323260.073299</v>
          </cell>
          <cell r="BM26">
            <v>19946496562.973301</v>
          </cell>
          <cell r="BN26">
            <v>19946496562.973301</v>
          </cell>
        </row>
        <row r="27">
          <cell r="B27" t="str">
            <v>BWA</v>
          </cell>
          <cell r="C27" t="str">
            <v>GDP (current US$)</v>
          </cell>
          <cell r="D27" t="str">
            <v>NY.GDP.MKTP.CD</v>
          </cell>
          <cell r="E27">
            <v>30412308.9864012</v>
          </cell>
          <cell r="F27">
            <v>32902336.644746002</v>
          </cell>
          <cell r="G27">
            <v>35643207.626524597</v>
          </cell>
          <cell r="H27">
            <v>38091150.566196002</v>
          </cell>
          <cell r="I27">
            <v>41613969.0506064</v>
          </cell>
          <cell r="J27">
            <v>45790869.747312598</v>
          </cell>
          <cell r="K27">
            <v>51464435.146443501</v>
          </cell>
          <cell r="L27">
            <v>58646443.514644399</v>
          </cell>
          <cell r="M27">
            <v>66248256.624825701</v>
          </cell>
          <cell r="N27">
            <v>77356914.078819096</v>
          </cell>
          <cell r="O27">
            <v>96245114.461194903</v>
          </cell>
          <cell r="P27">
            <v>127456485.120719</v>
          </cell>
          <cell r="Q27">
            <v>164466873.70600399</v>
          </cell>
          <cell r="R27">
            <v>244129088.02766201</v>
          </cell>
          <cell r="S27">
            <v>306033848.41795403</v>
          </cell>
          <cell r="T27">
            <v>355172413.79310298</v>
          </cell>
          <cell r="U27">
            <v>372010119.59521598</v>
          </cell>
          <cell r="V27">
            <v>451603325.41567701</v>
          </cell>
          <cell r="W27">
            <v>590376720.59888899</v>
          </cell>
          <cell r="X27">
            <v>819877300.61349702</v>
          </cell>
          <cell r="Y27">
            <v>1060923829.13021</v>
          </cell>
          <cell r="Z27">
            <v>1073861599.1394801</v>
          </cell>
          <cell r="AA27">
            <v>1014907254.5401599</v>
          </cell>
          <cell r="AB27">
            <v>1172258182.1496899</v>
          </cell>
          <cell r="AC27">
            <v>1240796364.7566199</v>
          </cell>
          <cell r="AD27">
            <v>1114764007.1481099</v>
          </cell>
          <cell r="AE27">
            <v>1392634771.9653001</v>
          </cell>
          <cell r="AF27">
            <v>1965274882.3634501</v>
          </cell>
          <cell r="AG27">
            <v>2644536804.1124401</v>
          </cell>
          <cell r="AH27">
            <v>3083800684.8975101</v>
          </cell>
          <cell r="AI27">
            <v>3790567051.8677802</v>
          </cell>
          <cell r="AJ27">
            <v>3942792837.3565502</v>
          </cell>
          <cell r="AK27">
            <v>4146513722.3301902</v>
          </cell>
          <cell r="AL27">
            <v>4160086253.1468</v>
          </cell>
          <cell r="AM27">
            <v>4259330999.0315099</v>
          </cell>
          <cell r="AN27">
            <v>4730611067.0225801</v>
          </cell>
          <cell r="AO27">
            <v>4847752842.7892399</v>
          </cell>
          <cell r="AP27">
            <v>5020214747.45261</v>
          </cell>
          <cell r="AQ27">
            <v>4790458837.1707802</v>
          </cell>
          <cell r="AR27">
            <v>5484257417.1784401</v>
          </cell>
          <cell r="AS27">
            <v>5788329609.1575499</v>
          </cell>
          <cell r="AT27">
            <v>5489608299.6644497</v>
          </cell>
          <cell r="AU27">
            <v>5438857106.7353601</v>
          </cell>
          <cell r="AV27">
            <v>7511582173.3772402</v>
          </cell>
          <cell r="AW27">
            <v>8957467706.5354004</v>
          </cell>
          <cell r="AX27">
            <v>9918907108.0970192</v>
          </cell>
          <cell r="AY27">
            <v>10137883299.315599</v>
          </cell>
          <cell r="AZ27">
            <v>10939053365.4786</v>
          </cell>
          <cell r="BA27">
            <v>10945070441.928301</v>
          </cell>
          <cell r="BB27">
            <v>10267133177.7334</v>
          </cell>
          <cell r="BC27">
            <v>12786654498.3514</v>
          </cell>
          <cell r="BD27">
            <v>15351972361.147699</v>
          </cell>
          <cell r="BE27">
            <v>14380004175.1194</v>
          </cell>
          <cell r="BF27">
            <v>14901750991.2012</v>
          </cell>
          <cell r="BG27">
            <v>15654660710.108</v>
          </cell>
          <cell r="BH27">
            <v>13578754072.4652</v>
          </cell>
          <cell r="BI27">
            <v>15082578064.8002</v>
          </cell>
          <cell r="BJ27">
            <v>16088437675.164801</v>
          </cell>
          <cell r="BK27">
            <v>16914245098.0392</v>
          </cell>
          <cell r="BL27">
            <v>16593720655.6402</v>
          </cell>
          <cell r="BM27">
            <v>15061922801.6271</v>
          </cell>
          <cell r="BN27">
            <v>15061922801.6271</v>
          </cell>
        </row>
        <row r="28">
          <cell r="B28" t="str">
            <v>BRA</v>
          </cell>
          <cell r="C28" t="str">
            <v>GDP (current US$)</v>
          </cell>
          <cell r="D28" t="str">
            <v>NY.GDP.MKTP.CD</v>
          </cell>
          <cell r="E28" t="str">
            <v>..</v>
          </cell>
          <cell r="F28">
            <v>17275940449.383701</v>
          </cell>
          <cell r="G28">
            <v>19231747851.533199</v>
          </cell>
          <cell r="H28">
            <v>23287712878.200199</v>
          </cell>
          <cell r="I28">
            <v>20963733694.974899</v>
          </cell>
          <cell r="J28">
            <v>22465522884.098801</v>
          </cell>
          <cell r="K28">
            <v>28283323733.111401</v>
          </cell>
          <cell r="L28">
            <v>31086389194.960999</v>
          </cell>
          <cell r="M28">
            <v>33930457425.261299</v>
          </cell>
          <cell r="N28">
            <v>37171640818.586304</v>
          </cell>
          <cell r="O28">
            <v>42327664793.693398</v>
          </cell>
          <cell r="P28">
            <v>48869830901.787804</v>
          </cell>
          <cell r="Q28">
            <v>58434858374.869598</v>
          </cell>
          <cell r="R28">
            <v>83592275862.998199</v>
          </cell>
          <cell r="S28">
            <v>109794519727.53799</v>
          </cell>
          <cell r="T28">
            <v>129203555238.827</v>
          </cell>
          <cell r="U28">
            <v>153168949208.207</v>
          </cell>
          <cell r="V28">
            <v>176344101401.94101</v>
          </cell>
          <cell r="W28">
            <v>200278646123.58099</v>
          </cell>
          <cell r="X28">
            <v>221338204480.22198</v>
          </cell>
          <cell r="Y28">
            <v>237393489892.63699</v>
          </cell>
          <cell r="Z28">
            <v>258015174748.64801</v>
          </cell>
          <cell r="AA28">
            <v>271314113768.41699</v>
          </cell>
          <cell r="AB28">
            <v>189656506321.431</v>
          </cell>
          <cell r="AC28">
            <v>188339974086.57999</v>
          </cell>
          <cell r="AD28">
            <v>210879841322.306</v>
          </cell>
          <cell r="AE28">
            <v>256480855343.617</v>
          </cell>
          <cell r="AF28">
            <v>283056833878.21198</v>
          </cell>
          <cell r="AG28">
            <v>308333568571.49298</v>
          </cell>
          <cell r="AH28">
            <v>347028139590.22699</v>
          </cell>
          <cell r="AI28">
            <v>390725626002.86603</v>
          </cell>
          <cell r="AJ28">
            <v>342609227209.64502</v>
          </cell>
          <cell r="AK28">
            <v>328187944300.90802</v>
          </cell>
          <cell r="AL28">
            <v>368295777770.07898</v>
          </cell>
          <cell r="AM28">
            <v>525369851353.742</v>
          </cell>
          <cell r="AN28">
            <v>769333330368.98706</v>
          </cell>
          <cell r="AO28">
            <v>850426433004.07703</v>
          </cell>
          <cell r="AP28">
            <v>883206452795.12402</v>
          </cell>
          <cell r="AQ28">
            <v>863711007325.49304</v>
          </cell>
          <cell r="AR28">
            <v>599642075004.47095</v>
          </cell>
          <cell r="AS28">
            <v>655448188259.35095</v>
          </cell>
          <cell r="AT28">
            <v>559983704094.17004</v>
          </cell>
          <cell r="AU28">
            <v>509795270685.19</v>
          </cell>
          <cell r="AV28">
            <v>558233724164.71106</v>
          </cell>
          <cell r="AW28">
            <v>669289321944.51599</v>
          </cell>
          <cell r="AX28">
            <v>891633826603.37695</v>
          </cell>
          <cell r="AY28">
            <v>1107626711406.6299</v>
          </cell>
          <cell r="AZ28">
            <v>1397114247331.1699</v>
          </cell>
          <cell r="BA28">
            <v>1695855391810.8999</v>
          </cell>
          <cell r="BB28">
            <v>1666996294372.8701</v>
          </cell>
          <cell r="BC28">
            <v>2208838108577.0898</v>
          </cell>
          <cell r="BD28">
            <v>2616156606666.6201</v>
          </cell>
          <cell r="BE28">
            <v>2465228293894.0098</v>
          </cell>
          <cell r="BF28">
            <v>2472819362216.6899</v>
          </cell>
          <cell r="BG28">
            <v>2456043766028.73</v>
          </cell>
          <cell r="BH28">
            <v>1802211999538.6799</v>
          </cell>
          <cell r="BI28">
            <v>1795693265810.23</v>
          </cell>
          <cell r="BJ28">
            <v>2063514688761.98</v>
          </cell>
          <cell r="BK28">
            <v>1916933708381.8899</v>
          </cell>
          <cell r="BL28">
            <v>1877824273720.78</v>
          </cell>
          <cell r="BM28">
            <v>1444733258971.6499</v>
          </cell>
          <cell r="BN28">
            <v>1444733258971.6499</v>
          </cell>
        </row>
        <row r="29">
          <cell r="B29" t="str">
            <v>VGB</v>
          </cell>
          <cell r="C29" t="str">
            <v>GDP (current US$)</v>
          </cell>
          <cell r="D29" t="str">
            <v>NY.GDP.MKTP.CD</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
          </cell>
        </row>
        <row r="30">
          <cell r="B30" t="str">
            <v>BRN</v>
          </cell>
          <cell r="C30" t="str">
            <v>GDP (current US$)</v>
          </cell>
          <cell r="D30" t="str">
            <v>NY.GDP.MKTP.CD</v>
          </cell>
          <cell r="E30" t="str">
            <v>..</v>
          </cell>
          <cell r="F30" t="str">
            <v>..</v>
          </cell>
          <cell r="G30" t="str">
            <v>..</v>
          </cell>
          <cell r="H30" t="str">
            <v>..</v>
          </cell>
          <cell r="I30" t="str">
            <v>..</v>
          </cell>
          <cell r="J30">
            <v>114040245.65529899</v>
          </cell>
          <cell r="K30">
            <v>132758395.400497</v>
          </cell>
          <cell r="L30">
            <v>139030445.57689801</v>
          </cell>
          <cell r="M30">
            <v>160819286.55429199</v>
          </cell>
          <cell r="N30">
            <v>161211289.69031799</v>
          </cell>
          <cell r="O30">
            <v>179080099.30746099</v>
          </cell>
          <cell r="P30">
            <v>197523179.24188301</v>
          </cell>
          <cell r="Q30">
            <v>270818555.82352102</v>
          </cell>
          <cell r="R30">
            <v>433092003.57927299</v>
          </cell>
          <cell r="S30">
            <v>1073577085.64159</v>
          </cell>
          <cell r="T30">
            <v>1168304305.6551299</v>
          </cell>
          <cell r="U30">
            <v>1423061356.6456201</v>
          </cell>
          <cell r="V30">
            <v>1732721160.94122</v>
          </cell>
          <cell r="W30">
            <v>1941600703.6059799</v>
          </cell>
          <cell r="X30">
            <v>2803780005.51826</v>
          </cell>
          <cell r="Y30">
            <v>4928824957.9674902</v>
          </cell>
          <cell r="Z30">
            <v>4366213849.5763702</v>
          </cell>
          <cell r="AA30">
            <v>4264252336.4485998</v>
          </cell>
          <cell r="AB30">
            <v>3844723142.4514899</v>
          </cell>
          <cell r="AC30">
            <v>3782523088.4628</v>
          </cell>
          <cell r="AD30">
            <v>3523612563.06532</v>
          </cell>
          <cell r="AE30">
            <v>2358592817.1213398</v>
          </cell>
          <cell r="AF30">
            <v>2754463437.7967701</v>
          </cell>
          <cell r="AG30">
            <v>2690717551.1826701</v>
          </cell>
          <cell r="AH30">
            <v>2985467979.2852402</v>
          </cell>
          <cell r="AI30">
            <v>3520551724.1379299</v>
          </cell>
          <cell r="AJ30">
            <v>3701667052.5584602</v>
          </cell>
          <cell r="AK30">
            <v>4183548189.07305</v>
          </cell>
          <cell r="AL30">
            <v>4105706151.7514501</v>
          </cell>
          <cell r="AM30">
            <v>4087337959.93191</v>
          </cell>
          <cell r="AN30">
            <v>4734020036.6868896</v>
          </cell>
          <cell r="AO30">
            <v>5115602836.8794298</v>
          </cell>
          <cell r="AP30">
            <v>5197332974.1379299</v>
          </cell>
          <cell r="AQ30">
            <v>4051147227.5334601</v>
          </cell>
          <cell r="AR30">
            <v>4600000000</v>
          </cell>
          <cell r="AS30">
            <v>6001153306.2644997</v>
          </cell>
          <cell r="AT30">
            <v>5601090584.3612204</v>
          </cell>
          <cell r="AU30">
            <v>5843329107.5617104</v>
          </cell>
          <cell r="AV30">
            <v>6557333084.60567</v>
          </cell>
          <cell r="AW30">
            <v>7872333215.0041399</v>
          </cell>
          <cell r="AX30">
            <v>9531402847.8731098</v>
          </cell>
          <cell r="AY30">
            <v>11470703002.0769</v>
          </cell>
          <cell r="AZ30">
            <v>12247694247.229799</v>
          </cell>
          <cell r="BA30">
            <v>14393099068.585899</v>
          </cell>
          <cell r="BB30">
            <v>10732366286.264299</v>
          </cell>
          <cell r="BC30">
            <v>13707370737.0737</v>
          </cell>
          <cell r="BD30">
            <v>18525319977.7407</v>
          </cell>
          <cell r="BE30">
            <v>19047940300.896301</v>
          </cell>
          <cell r="BF30">
            <v>18093829923.273701</v>
          </cell>
          <cell r="BG30">
            <v>17098342541.436501</v>
          </cell>
          <cell r="BH30">
            <v>12930394937.8137</v>
          </cell>
          <cell r="BI30">
            <v>11400854267.7188</v>
          </cell>
          <cell r="BJ30">
            <v>12128104859.149799</v>
          </cell>
          <cell r="BK30">
            <v>13567351175.0315</v>
          </cell>
          <cell r="BL30">
            <v>13469422958.5105</v>
          </cell>
          <cell r="BM30">
            <v>12005825769.508699</v>
          </cell>
          <cell r="BN30">
            <v>12005825769.508699</v>
          </cell>
        </row>
        <row r="31">
          <cell r="B31" t="str">
            <v>BGR</v>
          </cell>
          <cell r="C31" t="str">
            <v>GDP (current US$)</v>
          </cell>
          <cell r="D31" t="str">
            <v>NY.GDP.MKTP.CD</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v>19839230769.230801</v>
          </cell>
          <cell r="Z31">
            <v>19870000000</v>
          </cell>
          <cell r="AA31">
            <v>19342000000</v>
          </cell>
          <cell r="AB31">
            <v>16563666666.6667</v>
          </cell>
          <cell r="AC31">
            <v>17594944444.444401</v>
          </cell>
          <cell r="AD31">
            <v>17155421052.631599</v>
          </cell>
          <cell r="AE31">
            <v>20249294117.647099</v>
          </cell>
          <cell r="AF31">
            <v>28101000000</v>
          </cell>
          <cell r="AG31">
            <v>22555941176.4706</v>
          </cell>
          <cell r="AH31">
            <v>21988444444.444401</v>
          </cell>
          <cell r="AI31">
            <v>20632090909.0909</v>
          </cell>
          <cell r="AJ31">
            <v>10943548387.0968</v>
          </cell>
          <cell r="AK31">
            <v>10350515463.9175</v>
          </cell>
          <cell r="AL31">
            <v>10829710144.9275</v>
          </cell>
          <cell r="AM31">
            <v>9697416974.1697407</v>
          </cell>
          <cell r="AN31">
            <v>18983303571.4286</v>
          </cell>
          <cell r="AO31">
            <v>12294221472.737499</v>
          </cell>
          <cell r="AP31">
            <v>11315986087.1633</v>
          </cell>
          <cell r="AQ31">
            <v>15030695296.5235</v>
          </cell>
          <cell r="AR31">
            <v>13627323284.540501</v>
          </cell>
          <cell r="AS31">
            <v>13245833843.545401</v>
          </cell>
          <cell r="AT31">
            <v>14183497963.1071</v>
          </cell>
          <cell r="AU31">
            <v>16402846413.0958</v>
          </cell>
          <cell r="AV31">
            <v>21144983551.682301</v>
          </cell>
          <cell r="AW31">
            <v>26157894736.842098</v>
          </cell>
          <cell r="AX31">
            <v>29869283400.038101</v>
          </cell>
          <cell r="AY31">
            <v>34379808888.603897</v>
          </cell>
          <cell r="AZ31">
            <v>44405101469.559097</v>
          </cell>
          <cell r="BA31">
            <v>54438966419.863899</v>
          </cell>
          <cell r="BB31">
            <v>52023504656.287804</v>
          </cell>
          <cell r="BC31">
            <v>50682061053.201599</v>
          </cell>
          <cell r="BD31">
            <v>57678241023.818001</v>
          </cell>
          <cell r="BE31">
            <v>54300857424.441498</v>
          </cell>
          <cell r="BF31">
            <v>55810138436.482101</v>
          </cell>
          <cell r="BG31">
            <v>57082011260.344597</v>
          </cell>
          <cell r="BH31">
            <v>50781996712.763496</v>
          </cell>
          <cell r="BI31">
            <v>53953897624.434402</v>
          </cell>
          <cell r="BJ31">
            <v>59199447421.492401</v>
          </cell>
          <cell r="BK31">
            <v>66363422450.211197</v>
          </cell>
          <cell r="BL31">
            <v>68915416141.957596</v>
          </cell>
          <cell r="BM31">
            <v>69889347433.432404</v>
          </cell>
          <cell r="BN31">
            <v>69889347433.432404</v>
          </cell>
        </row>
        <row r="32">
          <cell r="B32" t="str">
            <v>BFA</v>
          </cell>
          <cell r="C32" t="str">
            <v>GDP (current US$)</v>
          </cell>
          <cell r="D32" t="str">
            <v>NY.GDP.MKTP.CD</v>
          </cell>
          <cell r="E32">
            <v>330442817.168859</v>
          </cell>
          <cell r="F32">
            <v>350247237.11684</v>
          </cell>
          <cell r="G32">
            <v>379567023.34030801</v>
          </cell>
          <cell r="H32">
            <v>394040588.30347699</v>
          </cell>
          <cell r="I32">
            <v>410321618.17137003</v>
          </cell>
          <cell r="J32">
            <v>422916848.42420799</v>
          </cell>
          <cell r="K32">
            <v>433889831.58470601</v>
          </cell>
          <cell r="L32">
            <v>450753993.17644799</v>
          </cell>
          <cell r="M32">
            <v>460442678.21704799</v>
          </cell>
          <cell r="N32">
            <v>478298597.55670702</v>
          </cell>
          <cell r="O32">
            <v>458404330.12509602</v>
          </cell>
          <cell r="P32">
            <v>482411103.78727198</v>
          </cell>
          <cell r="Q32">
            <v>578595583.97572303</v>
          </cell>
          <cell r="R32">
            <v>674773518.41183901</v>
          </cell>
          <cell r="S32">
            <v>751133330.59138405</v>
          </cell>
          <cell r="T32">
            <v>939972703.46302104</v>
          </cell>
          <cell r="U32">
            <v>976547163.53386998</v>
          </cell>
          <cell r="V32">
            <v>1131224818.3305299</v>
          </cell>
          <cell r="W32">
            <v>1475583383.3726499</v>
          </cell>
          <cell r="X32">
            <v>1748480982.1851699</v>
          </cell>
          <cell r="Y32">
            <v>1928719477.4128699</v>
          </cell>
          <cell r="Z32">
            <v>1775842026.4121001</v>
          </cell>
          <cell r="AA32">
            <v>1754449845.3011999</v>
          </cell>
          <cell r="AB32">
            <v>1600278756.43589</v>
          </cell>
          <cell r="AC32">
            <v>1459880018.5464599</v>
          </cell>
          <cell r="AD32">
            <v>1552493068.4254</v>
          </cell>
          <cell r="AE32">
            <v>2036303381.2014201</v>
          </cell>
          <cell r="AF32">
            <v>2369834650.08921</v>
          </cell>
          <cell r="AG32">
            <v>2616040645.8726301</v>
          </cell>
          <cell r="AH32">
            <v>2615587725.77391</v>
          </cell>
          <cell r="AI32">
            <v>3101300641.8751202</v>
          </cell>
          <cell r="AJ32">
            <v>3135045684.1005998</v>
          </cell>
          <cell r="AK32">
            <v>3356692517.8641701</v>
          </cell>
          <cell r="AL32">
            <v>3199536227.9481802</v>
          </cell>
          <cell r="AM32">
            <v>1895290623.44033</v>
          </cell>
          <cell r="AN32">
            <v>2379518099.2266002</v>
          </cell>
          <cell r="AO32">
            <v>2586550747.0984402</v>
          </cell>
          <cell r="AP32">
            <v>2447668984.5313101</v>
          </cell>
          <cell r="AQ32">
            <v>2804902248.2853699</v>
          </cell>
          <cell r="AR32">
            <v>3389566982.5157299</v>
          </cell>
          <cell r="AS32">
            <v>2968369991.4672899</v>
          </cell>
          <cell r="AT32">
            <v>3190371050.4552398</v>
          </cell>
          <cell r="AU32">
            <v>3622350203.94595</v>
          </cell>
          <cell r="AV32">
            <v>4740768355.2297401</v>
          </cell>
          <cell r="AW32">
            <v>5451688868.42974</v>
          </cell>
          <cell r="AX32">
            <v>6146352742.0331297</v>
          </cell>
          <cell r="AY32">
            <v>6547420133.69942</v>
          </cell>
          <cell r="AZ32">
            <v>7625723123.5493898</v>
          </cell>
          <cell r="BA32">
            <v>9451436358.9686108</v>
          </cell>
          <cell r="BB32">
            <v>9450697335.5356503</v>
          </cell>
          <cell r="BC32">
            <v>10109618964.2848</v>
          </cell>
          <cell r="BD32">
            <v>12080296644.064301</v>
          </cell>
          <cell r="BE32">
            <v>12561016091.4673</v>
          </cell>
          <cell r="BF32">
            <v>13444301139.138399</v>
          </cell>
          <cell r="BG32">
            <v>13943016923.901699</v>
          </cell>
          <cell r="BH32">
            <v>11832159275.603001</v>
          </cell>
          <cell r="BI32">
            <v>12833363370.174</v>
          </cell>
          <cell r="BJ32">
            <v>14106956830.085699</v>
          </cell>
          <cell r="BK32">
            <v>15890065019.763399</v>
          </cell>
          <cell r="BL32">
            <v>16178162030.069401</v>
          </cell>
          <cell r="BM32">
            <v>17933606353.177502</v>
          </cell>
          <cell r="BN32">
            <v>17933606353.177502</v>
          </cell>
        </row>
        <row r="33">
          <cell r="B33" t="str">
            <v>BDI</v>
          </cell>
          <cell r="C33" t="str">
            <v>GDP (current US$)</v>
          </cell>
          <cell r="D33" t="str">
            <v>NY.GDP.MKTP.CD</v>
          </cell>
          <cell r="E33">
            <v>195999990</v>
          </cell>
          <cell r="F33">
            <v>202999992</v>
          </cell>
          <cell r="G33">
            <v>213500006</v>
          </cell>
          <cell r="H33">
            <v>232749998</v>
          </cell>
          <cell r="I33">
            <v>260750008</v>
          </cell>
          <cell r="J33">
            <v>158994962.96296301</v>
          </cell>
          <cell r="K33">
            <v>165444571.42857099</v>
          </cell>
          <cell r="L33">
            <v>178297142.85714301</v>
          </cell>
          <cell r="M33">
            <v>183200000</v>
          </cell>
          <cell r="N33">
            <v>190205714.285714</v>
          </cell>
          <cell r="O33">
            <v>242732571.42857099</v>
          </cell>
          <cell r="P33">
            <v>252842285.714286</v>
          </cell>
          <cell r="Q33">
            <v>246804571.42857099</v>
          </cell>
          <cell r="R33">
            <v>304339839.55214602</v>
          </cell>
          <cell r="S33">
            <v>345263492.063492</v>
          </cell>
          <cell r="T33">
            <v>420986666.66666698</v>
          </cell>
          <cell r="U33">
            <v>448412753.62318802</v>
          </cell>
          <cell r="V33">
            <v>547535555.55555606</v>
          </cell>
          <cell r="W33">
            <v>610225555.55555606</v>
          </cell>
          <cell r="X33">
            <v>782496666.66666698</v>
          </cell>
          <cell r="Y33">
            <v>919726666.66666698</v>
          </cell>
          <cell r="Z33">
            <v>969046666.66666698</v>
          </cell>
          <cell r="AA33">
            <v>1013222222.2222199</v>
          </cell>
          <cell r="AB33">
            <v>1082926304.4647701</v>
          </cell>
          <cell r="AC33">
            <v>987143931.16698694</v>
          </cell>
          <cell r="AD33">
            <v>1149979285.7734699</v>
          </cell>
          <cell r="AE33">
            <v>1201725497.0657799</v>
          </cell>
          <cell r="AF33">
            <v>1131466494.0110099</v>
          </cell>
          <cell r="AG33">
            <v>1082403219.48787</v>
          </cell>
          <cell r="AH33">
            <v>1113924130.41149</v>
          </cell>
          <cell r="AI33">
            <v>1132101252.5181701</v>
          </cell>
          <cell r="AJ33">
            <v>1167398478.3459001</v>
          </cell>
          <cell r="AK33">
            <v>1083037670.60484</v>
          </cell>
          <cell r="AL33">
            <v>938632612.02635896</v>
          </cell>
          <cell r="AM33">
            <v>925030590.15368295</v>
          </cell>
          <cell r="AN33">
            <v>1000428393.88528</v>
          </cell>
          <cell r="AO33">
            <v>869033856.31709301</v>
          </cell>
          <cell r="AP33">
            <v>972896267.91542494</v>
          </cell>
          <cell r="AQ33">
            <v>893770806.07764101</v>
          </cell>
          <cell r="AR33">
            <v>808077223.36574602</v>
          </cell>
          <cell r="AS33">
            <v>870486065.88313699</v>
          </cell>
          <cell r="AT33">
            <v>876794723.06858599</v>
          </cell>
          <cell r="AU33">
            <v>825394490.15911102</v>
          </cell>
          <cell r="AV33">
            <v>784654423.62047601</v>
          </cell>
          <cell r="AW33">
            <v>915257323.39610004</v>
          </cell>
          <cell r="AX33">
            <v>1117113045.65222</v>
          </cell>
          <cell r="AY33">
            <v>1273375020.26862</v>
          </cell>
          <cell r="AZ33">
            <v>1356199364.85882</v>
          </cell>
          <cell r="BA33">
            <v>1611835901.9063001</v>
          </cell>
          <cell r="BB33">
            <v>1781455092.0711401</v>
          </cell>
          <cell r="BC33">
            <v>2032135246.5000401</v>
          </cell>
          <cell r="BD33">
            <v>2235820867.8274298</v>
          </cell>
          <cell r="BE33">
            <v>2333308099.4624901</v>
          </cell>
          <cell r="BF33">
            <v>2451625332.7458401</v>
          </cell>
          <cell r="BG33">
            <v>2705783272.07443</v>
          </cell>
          <cell r="BH33">
            <v>3104394858.11518</v>
          </cell>
          <cell r="BI33">
            <v>2732808556.8417201</v>
          </cell>
          <cell r="BJ33">
            <v>2748180473.7133298</v>
          </cell>
          <cell r="BK33">
            <v>2668495742.8844299</v>
          </cell>
          <cell r="BL33">
            <v>2631434363.2269301</v>
          </cell>
          <cell r="BM33">
            <v>2841786382.19063</v>
          </cell>
          <cell r="BN33">
            <v>2841786382.19063</v>
          </cell>
        </row>
        <row r="34">
          <cell r="B34" t="str">
            <v>CPV</v>
          </cell>
          <cell r="C34" t="str">
            <v>GDP (current US$)</v>
          </cell>
          <cell r="D34" t="str">
            <v>NY.GDP.MKTP.CD</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v>142246875.53671601</v>
          </cell>
          <cell r="Z34">
            <v>139468114.59974101</v>
          </cell>
          <cell r="AA34">
            <v>140630758.594899</v>
          </cell>
          <cell r="AB34">
            <v>138476239.36679199</v>
          </cell>
          <cell r="AC34">
            <v>132019065.033419</v>
          </cell>
          <cell r="AD34">
            <v>137728155.212661</v>
          </cell>
          <cell r="AE34">
            <v>190651207.999511</v>
          </cell>
          <cell r="AF34">
            <v>235253171.84106201</v>
          </cell>
          <cell r="AG34">
            <v>264308140.28514901</v>
          </cell>
          <cell r="AH34">
            <v>267448513.10816801</v>
          </cell>
          <cell r="AI34">
            <v>306891107.26203901</v>
          </cell>
          <cell r="AJ34">
            <v>319827058.592875</v>
          </cell>
          <cell r="AK34">
            <v>357160985.32741302</v>
          </cell>
          <cell r="AL34">
            <v>490417389.68256903</v>
          </cell>
          <cell r="AM34">
            <v>406580652.33053702</v>
          </cell>
          <cell r="AN34">
            <v>487148993.53310901</v>
          </cell>
          <cell r="AO34">
            <v>501979069.274683</v>
          </cell>
          <cell r="AP34">
            <v>490608657.92497599</v>
          </cell>
          <cell r="AQ34">
            <v>521910560.52486801</v>
          </cell>
          <cell r="AR34">
            <v>592416703.05887794</v>
          </cell>
          <cell r="AS34">
            <v>539227277.62641096</v>
          </cell>
          <cell r="AT34">
            <v>563024383.29662597</v>
          </cell>
          <cell r="AU34">
            <v>620974660.23030305</v>
          </cell>
          <cell r="AV34">
            <v>813963830.17921698</v>
          </cell>
          <cell r="AW34">
            <v>924318490.75979996</v>
          </cell>
          <cell r="AX34">
            <v>971977088.156914</v>
          </cell>
          <cell r="AY34">
            <v>1107891063.4386301</v>
          </cell>
          <cell r="AZ34">
            <v>1513933983.2239799</v>
          </cell>
          <cell r="BA34">
            <v>1789333748.6798999</v>
          </cell>
          <cell r="BB34">
            <v>1711817181.52969</v>
          </cell>
          <cell r="BC34">
            <v>1664310769.55229</v>
          </cell>
          <cell r="BD34">
            <v>1865915544.12445</v>
          </cell>
          <cell r="BE34">
            <v>1741809808.9644201</v>
          </cell>
          <cell r="BF34">
            <v>1850470042.4328101</v>
          </cell>
          <cell r="BG34">
            <v>1859898513.26858</v>
          </cell>
          <cell r="BH34">
            <v>1596800287.1640501</v>
          </cell>
          <cell r="BI34">
            <v>1662998677.8842499</v>
          </cell>
          <cell r="BJ34">
            <v>1768319144.0021801</v>
          </cell>
          <cell r="BK34">
            <v>1966503222.76759</v>
          </cell>
          <cell r="BL34">
            <v>1981845740.7061501</v>
          </cell>
          <cell r="BM34">
            <v>1703698676.6974199</v>
          </cell>
          <cell r="BN34">
            <v>1703698676.6974199</v>
          </cell>
        </row>
        <row r="35">
          <cell r="B35" t="str">
            <v>KHM</v>
          </cell>
          <cell r="C35" t="str">
            <v>GDP (current US$)</v>
          </cell>
          <cell r="D35" t="str">
            <v>NY.GDP.MKTP.CD</v>
          </cell>
          <cell r="E35">
            <v>637142865.71428597</v>
          </cell>
          <cell r="F35">
            <v>642857134.28571403</v>
          </cell>
          <cell r="G35">
            <v>660000008.57142901</v>
          </cell>
          <cell r="H35">
            <v>728571437.14285696</v>
          </cell>
          <cell r="I35">
            <v>782857128.57142901</v>
          </cell>
          <cell r="J35">
            <v>868571428.57142901</v>
          </cell>
          <cell r="K35">
            <v>914285714.28571403</v>
          </cell>
          <cell r="L35">
            <v>962857134.28571403</v>
          </cell>
          <cell r="M35">
            <v>1065714248.57143</v>
          </cell>
          <cell r="N35">
            <v>978873232.39436603</v>
          </cell>
          <cell r="O35">
            <v>718401157.72416306</v>
          </cell>
          <cell r="P35">
            <v>969911421.39418006</v>
          </cell>
          <cell r="Q35">
            <v>505549441.37507701</v>
          </cell>
          <cell r="R35">
            <v>702899155.98203301</v>
          </cell>
          <cell r="S35">
            <v>588443893.68977296</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v>2533727592.0416498</v>
          </cell>
          <cell r="AM35">
            <v>2791435272.26653</v>
          </cell>
          <cell r="AN35">
            <v>3441205692.9166002</v>
          </cell>
          <cell r="AO35">
            <v>3506695719.5725899</v>
          </cell>
          <cell r="AP35">
            <v>3443413388.6908998</v>
          </cell>
          <cell r="AQ35">
            <v>3120425502.58253</v>
          </cell>
          <cell r="AR35">
            <v>3517242477.2284999</v>
          </cell>
          <cell r="AS35">
            <v>3654031716.2688098</v>
          </cell>
          <cell r="AT35">
            <v>3984000517.0234499</v>
          </cell>
          <cell r="AU35">
            <v>4284028482.5376601</v>
          </cell>
          <cell r="AV35">
            <v>4658246918.2709198</v>
          </cell>
          <cell r="AW35">
            <v>5337833248.0392399</v>
          </cell>
          <cell r="AX35">
            <v>6293046161.8326197</v>
          </cell>
          <cell r="AY35">
            <v>7274595706.6715403</v>
          </cell>
          <cell r="AZ35">
            <v>8639235842.1807499</v>
          </cell>
          <cell r="BA35">
            <v>10351914093.1723</v>
          </cell>
          <cell r="BB35">
            <v>10401851850.6108</v>
          </cell>
          <cell r="BC35">
            <v>11242275198.9783</v>
          </cell>
          <cell r="BD35">
            <v>12829541141.012699</v>
          </cell>
          <cell r="BE35">
            <v>14054443213.4639</v>
          </cell>
          <cell r="BF35">
            <v>15227991395.2201</v>
          </cell>
          <cell r="BG35">
            <v>16702610842.4025</v>
          </cell>
          <cell r="BH35">
            <v>18049954289.422901</v>
          </cell>
          <cell r="BI35">
            <v>20016747754.019199</v>
          </cell>
          <cell r="BJ35">
            <v>22177200511.5811</v>
          </cell>
          <cell r="BK35">
            <v>24571753583.492199</v>
          </cell>
          <cell r="BL35">
            <v>27089389786.979</v>
          </cell>
          <cell r="BM35">
            <v>25808561550.951401</v>
          </cell>
          <cell r="BN35">
            <v>25808561550.951401</v>
          </cell>
        </row>
        <row r="36">
          <cell r="B36" t="str">
            <v>CMR</v>
          </cell>
          <cell r="C36" t="str">
            <v>GDP (current US$)</v>
          </cell>
          <cell r="D36" t="str">
            <v>NY.GDP.MKTP.CD</v>
          </cell>
          <cell r="E36">
            <v>614206071.00223505</v>
          </cell>
          <cell r="F36">
            <v>652777613.64363801</v>
          </cell>
          <cell r="G36">
            <v>694247725.53720403</v>
          </cell>
          <cell r="H36">
            <v>718320701.38978398</v>
          </cell>
          <cell r="I36">
            <v>776650126.19007206</v>
          </cell>
          <cell r="J36">
            <v>814083378.45817101</v>
          </cell>
          <cell r="K36">
            <v>851112662.73306894</v>
          </cell>
          <cell r="L36">
            <v>936175404.64282894</v>
          </cell>
          <cell r="M36">
            <v>1046191192.44383</v>
          </cell>
          <cell r="N36">
            <v>1100551378.5550599</v>
          </cell>
          <cell r="O36">
            <v>1151217146.9856901</v>
          </cell>
          <cell r="P36">
            <v>1236941200.95222</v>
          </cell>
          <cell r="Q36">
            <v>1498252050.1722801</v>
          </cell>
          <cell r="R36">
            <v>1901393216.0014901</v>
          </cell>
          <cell r="S36">
            <v>2157415245.7347102</v>
          </cell>
          <cell r="T36">
            <v>2857037371.0588598</v>
          </cell>
          <cell r="U36">
            <v>2898089929.0857301</v>
          </cell>
          <cell r="V36">
            <v>3394663844.42834</v>
          </cell>
          <cell r="W36">
            <v>4662851756.5904598</v>
          </cell>
          <cell r="X36">
            <v>5919004206.9070597</v>
          </cell>
          <cell r="Y36">
            <v>6674567625.0806999</v>
          </cell>
          <cell r="Z36">
            <v>6610937473.2042503</v>
          </cell>
          <cell r="AA36">
            <v>6611255018.23915</v>
          </cell>
          <cell r="AB36">
            <v>6870200658.9409704</v>
          </cell>
          <cell r="AC36">
            <v>7311937457.4185495</v>
          </cell>
          <cell r="AD36">
            <v>8544809794.2630501</v>
          </cell>
          <cell r="AE36">
            <v>11857056336.0312</v>
          </cell>
          <cell r="AF36">
            <v>13049658331.131701</v>
          </cell>
          <cell r="AG36">
            <v>12236058143.0406</v>
          </cell>
          <cell r="AH36">
            <v>11012566160.504299</v>
          </cell>
          <cell r="AI36">
            <v>12314482085.087799</v>
          </cell>
          <cell r="AJ36">
            <v>11840192674.124599</v>
          </cell>
          <cell r="AK36">
            <v>12071775380.650299</v>
          </cell>
          <cell r="AL36">
            <v>16181813512.448299</v>
          </cell>
          <cell r="AM36">
            <v>8902446188.0456009</v>
          </cell>
          <cell r="AN36">
            <v>10864773036.8363</v>
          </cell>
          <cell r="AO36">
            <v>11093539497.028999</v>
          </cell>
          <cell r="AP36">
            <v>10789457915.0457</v>
          </cell>
          <cell r="AQ36">
            <v>11298144511.6364</v>
          </cell>
          <cell r="AR36">
            <v>11565827385.6884</v>
          </cell>
          <cell r="AS36">
            <v>10566578952.7857</v>
          </cell>
          <cell r="AT36">
            <v>10953485244.423901</v>
          </cell>
          <cell r="AU36">
            <v>12417251815.8801</v>
          </cell>
          <cell r="AV36">
            <v>15970315751.0277</v>
          </cell>
          <cell r="AW36">
            <v>18826215278.056999</v>
          </cell>
          <cell r="AX36">
            <v>19509850837.274502</v>
          </cell>
          <cell r="AY36">
            <v>20910513974.621498</v>
          </cell>
          <cell r="AZ36">
            <v>23928251333.7444</v>
          </cell>
          <cell r="BA36">
            <v>27715144580.2691</v>
          </cell>
          <cell r="BB36">
            <v>27932971683.421501</v>
          </cell>
          <cell r="BC36">
            <v>27507499709.070999</v>
          </cell>
          <cell r="BD36">
            <v>30630912184.7789</v>
          </cell>
          <cell r="BE36">
            <v>30155064574.073399</v>
          </cell>
          <cell r="BF36">
            <v>33728622819.091202</v>
          </cell>
          <cell r="BG36">
            <v>36386546917.686096</v>
          </cell>
          <cell r="BH36">
            <v>32210232911.662601</v>
          </cell>
          <cell r="BI36">
            <v>33814337900.2831</v>
          </cell>
          <cell r="BJ36">
            <v>36098550141.589699</v>
          </cell>
          <cell r="BK36">
            <v>39973839064.608398</v>
          </cell>
          <cell r="BL36">
            <v>39670977332.734802</v>
          </cell>
          <cell r="BM36">
            <v>40804449726.018402</v>
          </cell>
          <cell r="BN36">
            <v>40804449726.018402</v>
          </cell>
        </row>
        <row r="37">
          <cell r="B37" t="str">
            <v>CAN</v>
          </cell>
          <cell r="C37" t="str">
            <v>GDP (current US$)</v>
          </cell>
          <cell r="D37" t="str">
            <v>NY.GDP.MKTP.CD</v>
          </cell>
          <cell r="E37">
            <v>40461721692.646797</v>
          </cell>
          <cell r="F37">
            <v>40934952063.9468</v>
          </cell>
          <cell r="G37">
            <v>42227447631.915901</v>
          </cell>
          <cell r="H37">
            <v>45029988561.212402</v>
          </cell>
          <cell r="I37">
            <v>49377522896.703003</v>
          </cell>
          <cell r="J37">
            <v>54515179580.714798</v>
          </cell>
          <cell r="K37">
            <v>61088384036.651497</v>
          </cell>
          <cell r="L37">
            <v>65668655501.125397</v>
          </cell>
          <cell r="M37">
            <v>71829810519.895493</v>
          </cell>
          <cell r="N37">
            <v>79148411661.690201</v>
          </cell>
          <cell r="O37">
            <v>87896095320.126297</v>
          </cell>
          <cell r="P37">
            <v>99271961774.608795</v>
          </cell>
          <cell r="Q37">
            <v>113082820486.918</v>
          </cell>
          <cell r="R37">
            <v>131321858814.119</v>
          </cell>
          <cell r="S37">
            <v>160408697341.513</v>
          </cell>
          <cell r="T37">
            <v>173834029689.34299</v>
          </cell>
          <cell r="U37">
            <v>206575564908.72198</v>
          </cell>
          <cell r="V37">
            <v>211612157028.67899</v>
          </cell>
          <cell r="W37">
            <v>218632867537.47699</v>
          </cell>
          <cell r="X37">
            <v>243072102612.259</v>
          </cell>
          <cell r="Y37">
            <v>273853826548.06699</v>
          </cell>
          <cell r="Z37">
            <v>306214863624.98999</v>
          </cell>
          <cell r="AA37">
            <v>313506525087.13599</v>
          </cell>
          <cell r="AB37">
            <v>340547711781.88898</v>
          </cell>
          <cell r="AC37">
            <v>355372558103.62097</v>
          </cell>
          <cell r="AD37">
            <v>364756499450.75098</v>
          </cell>
          <cell r="AE37">
            <v>377437927311.98297</v>
          </cell>
          <cell r="AF37">
            <v>431316742081.448</v>
          </cell>
          <cell r="AG37">
            <v>507354351182.25403</v>
          </cell>
          <cell r="AH37">
            <v>565055743243.24304</v>
          </cell>
          <cell r="AI37">
            <v>593929550908.46802</v>
          </cell>
          <cell r="AJ37">
            <v>610328183643.18799</v>
          </cell>
          <cell r="AK37">
            <v>592387689252.91602</v>
          </cell>
          <cell r="AL37">
            <v>577170761956.43799</v>
          </cell>
          <cell r="AM37">
            <v>578139279437.60999</v>
          </cell>
          <cell r="AN37">
            <v>604031623433.401</v>
          </cell>
          <cell r="AO37">
            <v>628546387972.13098</v>
          </cell>
          <cell r="AP37">
            <v>654986999855.55396</v>
          </cell>
          <cell r="AQ37">
            <v>634000000000</v>
          </cell>
          <cell r="AR37">
            <v>678412196271.11804</v>
          </cell>
          <cell r="AS37">
            <v>744773415931.58704</v>
          </cell>
          <cell r="AT37">
            <v>738981792355.37195</v>
          </cell>
          <cell r="AU37">
            <v>760649334098.005</v>
          </cell>
          <cell r="AV37">
            <v>895540646634.78699</v>
          </cell>
          <cell r="AW37">
            <v>1026690238278.25</v>
          </cell>
          <cell r="AX37">
            <v>1173108598778.6799</v>
          </cell>
          <cell r="AY37">
            <v>1319264809590.97</v>
          </cell>
          <cell r="AZ37">
            <v>1468820407783.26</v>
          </cell>
          <cell r="BA37">
            <v>1552989690721.6499</v>
          </cell>
          <cell r="BB37">
            <v>1374625142157.29</v>
          </cell>
          <cell r="BC37">
            <v>1617343367486.26</v>
          </cell>
          <cell r="BD37">
            <v>1793326630174.52</v>
          </cell>
          <cell r="BE37">
            <v>1828366481521.6001</v>
          </cell>
          <cell r="BF37">
            <v>1846597421834.98</v>
          </cell>
          <cell r="BG37">
            <v>1805749878439.9399</v>
          </cell>
          <cell r="BH37">
            <v>1556508816217.1399</v>
          </cell>
          <cell r="BI37">
            <v>1527994741907.4299</v>
          </cell>
          <cell r="BJ37">
            <v>1649265644244.0901</v>
          </cell>
          <cell r="BK37">
            <v>1725329192783.02</v>
          </cell>
          <cell r="BL37">
            <v>1742015045482.3101</v>
          </cell>
          <cell r="BM37">
            <v>1645423407568.3601</v>
          </cell>
          <cell r="BN37">
            <v>1645423407568.3601</v>
          </cell>
        </row>
        <row r="38">
          <cell r="B38" t="str">
            <v>CYM</v>
          </cell>
          <cell r="C38" t="str">
            <v>GDP (current US$)</v>
          </cell>
          <cell r="D38" t="str">
            <v>NY.GDP.MKTP.CD</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v>4200439457.5783</v>
          </cell>
          <cell r="AZ38">
            <v>4466438857.5543003</v>
          </cell>
          <cell r="BA38">
            <v>4586114124.5649796</v>
          </cell>
          <cell r="BB38">
            <v>4281868714.74859</v>
          </cell>
          <cell r="BC38">
            <v>4156990759.6303802</v>
          </cell>
          <cell r="BD38">
            <v>4186223808.9523602</v>
          </cell>
          <cell r="BE38">
            <v>4291159006.36025</v>
          </cell>
          <cell r="BF38">
            <v>4405954638.1855297</v>
          </cell>
          <cell r="BG38">
            <v>4563017880.71523</v>
          </cell>
          <cell r="BH38">
            <v>4708336733.4693403</v>
          </cell>
          <cell r="BI38">
            <v>4909498979.9591999</v>
          </cell>
          <cell r="BJ38">
            <v>5166467298.6919498</v>
          </cell>
          <cell r="BK38">
            <v>5522625585.0234003</v>
          </cell>
          <cell r="BL38">
            <v>5935769350.7740297</v>
          </cell>
          <cell r="BM38">
            <v>5591623664.9466</v>
          </cell>
          <cell r="BN38">
            <v>5591623664.9466</v>
          </cell>
        </row>
        <row r="39">
          <cell r="B39" t="str">
            <v>CAF</v>
          </cell>
          <cell r="C39" t="str">
            <v>GDP (current US$)</v>
          </cell>
          <cell r="D39" t="str">
            <v>NY.GDP.MKTP.CD</v>
          </cell>
          <cell r="E39">
            <v>112155598.949571</v>
          </cell>
          <cell r="F39">
            <v>123134584.467673</v>
          </cell>
          <cell r="G39">
            <v>124482748.93791699</v>
          </cell>
          <cell r="H39">
            <v>129379097.88895801</v>
          </cell>
          <cell r="I39">
            <v>142025069.461676</v>
          </cell>
          <cell r="J39">
            <v>150574816.30076399</v>
          </cell>
          <cell r="K39">
            <v>157930041.87588301</v>
          </cell>
          <cell r="L39">
            <v>163820538.86794701</v>
          </cell>
          <cell r="M39">
            <v>191767436.956884</v>
          </cell>
          <cell r="N39">
            <v>188039191.32360801</v>
          </cell>
          <cell r="O39">
            <v>189106554.52127701</v>
          </cell>
          <cell r="P39">
            <v>201450768.367553</v>
          </cell>
          <cell r="Q39">
            <v>230317908.038643</v>
          </cell>
          <cell r="R39">
            <v>271183061.359635</v>
          </cell>
          <cell r="S39">
            <v>281398668.160613</v>
          </cell>
          <cell r="T39">
            <v>378660016.26593602</v>
          </cell>
          <cell r="U39">
            <v>451152449.984411</v>
          </cell>
          <cell r="V39">
            <v>507298120.68314999</v>
          </cell>
          <cell r="W39">
            <v>610578523.76117802</v>
          </cell>
          <cell r="X39">
            <v>700764892.704831</v>
          </cell>
          <cell r="Y39">
            <v>797048028.773247</v>
          </cell>
          <cell r="Z39">
            <v>694803502.72235596</v>
          </cell>
          <cell r="AA39">
            <v>748312283.726758</v>
          </cell>
          <cell r="AB39">
            <v>658679394.907969</v>
          </cell>
          <cell r="AC39">
            <v>637820620.67019498</v>
          </cell>
          <cell r="AD39">
            <v>864849765.05966401</v>
          </cell>
          <cell r="AE39">
            <v>1122265026.38274</v>
          </cell>
          <cell r="AF39">
            <v>1200991825.95398</v>
          </cell>
          <cell r="AG39">
            <v>1264899368.2016499</v>
          </cell>
          <cell r="AH39">
            <v>1233930277.0492201</v>
          </cell>
          <cell r="AI39">
            <v>1440711395.6706901</v>
          </cell>
          <cell r="AJ39">
            <v>1377375030.5292101</v>
          </cell>
          <cell r="AK39">
            <v>1411917558.45855</v>
          </cell>
          <cell r="AL39">
            <v>1278781166.72188</v>
          </cell>
          <cell r="AM39">
            <v>851174350.64940906</v>
          </cell>
          <cell r="AN39">
            <v>1115389731.7911899</v>
          </cell>
          <cell r="AO39">
            <v>1007791186.2010601</v>
          </cell>
          <cell r="AP39">
            <v>937741468.02967596</v>
          </cell>
          <cell r="AQ39">
            <v>967338348.65831399</v>
          </cell>
          <cell r="AR39">
            <v>999477510.68663204</v>
          </cell>
          <cell r="AS39">
            <v>914500299.09703398</v>
          </cell>
          <cell r="AT39">
            <v>931833302.75285697</v>
          </cell>
          <cell r="AU39">
            <v>991387870.12462997</v>
          </cell>
          <cell r="AV39">
            <v>1139754799.1630399</v>
          </cell>
          <cell r="AW39">
            <v>1270080250.6526799</v>
          </cell>
          <cell r="AX39">
            <v>1337362392.1522501</v>
          </cell>
          <cell r="AY39">
            <v>1460561215.4447</v>
          </cell>
          <cell r="AZ39">
            <v>1697565948.65323</v>
          </cell>
          <cell r="BA39">
            <v>1985240986.1850801</v>
          </cell>
          <cell r="BB39">
            <v>2059094048.26019</v>
          </cell>
          <cell r="BC39">
            <v>2142591375.8505299</v>
          </cell>
          <cell r="BD39">
            <v>2437982839.6307201</v>
          </cell>
          <cell r="BE39">
            <v>2510126699.0535598</v>
          </cell>
          <cell r="BF39">
            <v>1691544192.3824201</v>
          </cell>
          <cell r="BG39">
            <v>1894813504.5294499</v>
          </cell>
          <cell r="BH39">
            <v>1695825708.4560399</v>
          </cell>
          <cell r="BI39">
            <v>1825018190.8507099</v>
          </cell>
          <cell r="BJ39">
            <v>2072349794.2330101</v>
          </cell>
          <cell r="BK39">
            <v>2220978978.17342</v>
          </cell>
          <cell r="BL39">
            <v>2220307368.69593</v>
          </cell>
          <cell r="BM39">
            <v>2380087758.0413699</v>
          </cell>
          <cell r="BN39">
            <v>2380087758.0413699</v>
          </cell>
        </row>
        <row r="40">
          <cell r="B40" t="str">
            <v>TCD</v>
          </cell>
          <cell r="C40" t="str">
            <v>GDP (current US$)</v>
          </cell>
          <cell r="D40" t="str">
            <v>NY.GDP.MKTP.CD</v>
          </cell>
          <cell r="E40">
            <v>313582729.426485</v>
          </cell>
          <cell r="F40">
            <v>333975338.83415997</v>
          </cell>
          <cell r="G40">
            <v>357635713.87692201</v>
          </cell>
          <cell r="H40">
            <v>371767002.65599799</v>
          </cell>
          <cell r="I40">
            <v>392247517.60201597</v>
          </cell>
          <cell r="J40">
            <v>416926302.96350902</v>
          </cell>
          <cell r="K40">
            <v>432794922.45983499</v>
          </cell>
          <cell r="L40">
            <v>449826322.99507201</v>
          </cell>
          <cell r="M40">
            <v>453980096.65450299</v>
          </cell>
          <cell r="N40">
            <v>471635620.92443103</v>
          </cell>
          <cell r="O40">
            <v>469266736.60517699</v>
          </cell>
          <cell r="P40">
            <v>501866730.722561</v>
          </cell>
          <cell r="Q40">
            <v>585427545.72371197</v>
          </cell>
          <cell r="R40">
            <v>647199482.82806098</v>
          </cell>
          <cell r="S40">
            <v>652532796.06670296</v>
          </cell>
          <cell r="T40">
            <v>864602103.30315101</v>
          </cell>
          <cell r="U40">
            <v>866044961.04820502</v>
          </cell>
          <cell r="V40">
            <v>935360466.35139704</v>
          </cell>
          <cell r="W40">
            <v>1113920122.6121199</v>
          </cell>
          <cell r="X40">
            <v>1004316495.11165</v>
          </cell>
          <cell r="Y40">
            <v>1033002401.82546</v>
          </cell>
          <cell r="Z40">
            <v>876937559.72503805</v>
          </cell>
          <cell r="AA40">
            <v>834369860.42729199</v>
          </cell>
          <cell r="AB40">
            <v>832415805.95632696</v>
          </cell>
          <cell r="AC40">
            <v>919103735.32292104</v>
          </cell>
          <cell r="AD40">
            <v>1033069709.99507</v>
          </cell>
          <cell r="AE40">
            <v>1067828247.23577</v>
          </cell>
          <cell r="AF40">
            <v>1163426850.6501501</v>
          </cell>
          <cell r="AG40">
            <v>1482597298.8871801</v>
          </cell>
          <cell r="AH40">
            <v>1433686309.8364201</v>
          </cell>
          <cell r="AI40">
            <v>1738605558.0543201</v>
          </cell>
          <cell r="AJ40">
            <v>1877138041.64308</v>
          </cell>
          <cell r="AK40">
            <v>1881847676.8075199</v>
          </cell>
          <cell r="AL40">
            <v>1463251055.4006801</v>
          </cell>
          <cell r="AM40">
            <v>1179837954.72193</v>
          </cell>
          <cell r="AN40">
            <v>1445919969.89272</v>
          </cell>
          <cell r="AO40">
            <v>1607345450.0457799</v>
          </cell>
          <cell r="AP40">
            <v>1544689502.8247199</v>
          </cell>
          <cell r="AQ40">
            <v>1744794457.276</v>
          </cell>
          <cell r="AR40">
            <v>1534673583.2486999</v>
          </cell>
          <cell r="AS40">
            <v>1388506726.62093</v>
          </cell>
          <cell r="AT40">
            <v>1710843360.64955</v>
          </cell>
          <cell r="AU40">
            <v>1997005786.5411799</v>
          </cell>
          <cell r="AV40">
            <v>2742815194.5499301</v>
          </cell>
          <cell r="AW40">
            <v>4422855929.2142801</v>
          </cell>
          <cell r="AX40">
            <v>6649307057.0331402</v>
          </cell>
          <cell r="AY40">
            <v>7428701809.4059696</v>
          </cell>
          <cell r="AZ40">
            <v>8650138068.6316109</v>
          </cell>
          <cell r="BA40">
            <v>10393834720.851999</v>
          </cell>
          <cell r="BB40">
            <v>9290728773.3572292</v>
          </cell>
          <cell r="BC40">
            <v>10668102734.8132</v>
          </cell>
          <cell r="BD40">
            <v>12172309522.6171</v>
          </cell>
          <cell r="BE40">
            <v>12367363677.6199</v>
          </cell>
          <cell r="BF40">
            <v>12953535495.878099</v>
          </cell>
          <cell r="BG40">
            <v>13940768065.6063</v>
          </cell>
          <cell r="BH40">
            <v>10950392219.9104</v>
          </cell>
          <cell r="BI40">
            <v>10097778353.7651</v>
          </cell>
          <cell r="BJ40">
            <v>10000395242.1457</v>
          </cell>
          <cell r="BK40">
            <v>11239167048.4916</v>
          </cell>
          <cell r="BL40">
            <v>11314951342.780701</v>
          </cell>
          <cell r="BM40">
            <v>10829076801.729</v>
          </cell>
          <cell r="BN40">
            <v>10829076801.729</v>
          </cell>
        </row>
        <row r="41">
          <cell r="B41" t="str">
            <v>CHI</v>
          </cell>
          <cell r="C41" t="str">
            <v>GDP (current US$)</v>
          </cell>
          <cell r="D41" t="str">
            <v>NY.GDP.MKTP.CD</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v>5945677376.6147699</v>
          </cell>
          <cell r="AR41">
            <v>6262740656.8516397</v>
          </cell>
          <cell r="AS41">
            <v>6439703434.7102404</v>
          </cell>
          <cell r="AT41">
            <v>6232906290.4850998</v>
          </cell>
          <cell r="AU41">
            <v>6663669064.7482004</v>
          </cell>
          <cell r="AV41">
            <v>7332244897.9591799</v>
          </cell>
          <cell r="AW41">
            <v>8553643354.0827503</v>
          </cell>
          <cell r="AX41">
            <v>8827272727.2727299</v>
          </cell>
          <cell r="AY41">
            <v>9676172953.0818806</v>
          </cell>
          <cell r="AZ41">
            <v>11514605842.336901</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
          </cell>
        </row>
        <row r="42">
          <cell r="B42" t="str">
            <v>CHL</v>
          </cell>
          <cell r="C42" t="str">
            <v>GDP (current US$)</v>
          </cell>
          <cell r="D42" t="str">
            <v>NY.GDP.MKTP.CD</v>
          </cell>
          <cell r="E42">
            <v>4110000000</v>
          </cell>
          <cell r="F42">
            <v>4609727272.7272701</v>
          </cell>
          <cell r="G42">
            <v>5416272727.2727299</v>
          </cell>
          <cell r="H42">
            <v>5668187500</v>
          </cell>
          <cell r="I42">
            <v>5982347826.0869598</v>
          </cell>
          <cell r="J42">
            <v>6026593750</v>
          </cell>
          <cell r="K42">
            <v>7072641025.6410303</v>
          </cell>
          <cell r="L42">
            <v>7013196078.4313698</v>
          </cell>
          <cell r="M42">
            <v>7167086956.52174</v>
          </cell>
          <cell r="N42">
            <v>8377093023.2558098</v>
          </cell>
          <cell r="O42">
            <v>9126309734.5132809</v>
          </cell>
          <cell r="P42">
            <v>10884114754.0984</v>
          </cell>
          <cell r="Q42">
            <v>11853817307.692301</v>
          </cell>
          <cell r="R42">
            <v>16836261173.184401</v>
          </cell>
          <cell r="S42">
            <v>16210404183.535801</v>
          </cell>
          <cell r="T42">
            <v>7622217352.3421602</v>
          </cell>
          <cell r="U42">
            <v>10341925249.042101</v>
          </cell>
          <cell r="V42">
            <v>13962893421.5413</v>
          </cell>
          <cell r="W42">
            <v>15989933708.149099</v>
          </cell>
          <cell r="X42">
            <v>21803696985.234901</v>
          </cell>
          <cell r="Y42">
            <v>29036709871.794899</v>
          </cell>
          <cell r="Z42">
            <v>34509878043.589699</v>
          </cell>
          <cell r="AA42">
            <v>25325893205.657001</v>
          </cell>
          <cell r="AB42">
            <v>20355959237.212799</v>
          </cell>
          <cell r="AC42">
            <v>19622527479.691299</v>
          </cell>
          <cell r="AD42">
            <v>17702885393.509899</v>
          </cell>
          <cell r="AE42">
            <v>18891048818.7425</v>
          </cell>
          <cell r="AF42">
            <v>22255407684.699902</v>
          </cell>
          <cell r="AG42">
            <v>26040229793.069698</v>
          </cell>
          <cell r="AH42">
            <v>29885685142.910702</v>
          </cell>
          <cell r="AI42">
            <v>33113887817.973099</v>
          </cell>
          <cell r="AJ42">
            <v>37834793730.313301</v>
          </cell>
          <cell r="AK42">
            <v>45964327558.883598</v>
          </cell>
          <cell r="AL42">
            <v>49297773130.1185</v>
          </cell>
          <cell r="AM42">
            <v>57008425295.8256</v>
          </cell>
          <cell r="AN42">
            <v>73447063319.303406</v>
          </cell>
          <cell r="AO42">
            <v>78039572221.602402</v>
          </cell>
          <cell r="AP42">
            <v>84952360922.495804</v>
          </cell>
          <cell r="AQ42">
            <v>81577430181.460205</v>
          </cell>
          <cell r="AR42">
            <v>75173794497.049393</v>
          </cell>
          <cell r="AS42">
            <v>77860932151.930206</v>
          </cell>
          <cell r="AT42">
            <v>70979923960.342194</v>
          </cell>
          <cell r="AU42">
            <v>69736811435.131897</v>
          </cell>
          <cell r="AV42">
            <v>75643459839.560501</v>
          </cell>
          <cell r="AW42">
            <v>99210392857.628296</v>
          </cell>
          <cell r="AX42">
            <v>122964812046.13901</v>
          </cell>
          <cell r="AY42">
            <v>154788024805.86499</v>
          </cell>
          <cell r="AZ42">
            <v>173605968179.267</v>
          </cell>
          <cell r="BA42">
            <v>179638496278.49701</v>
          </cell>
          <cell r="BB42">
            <v>172389498444.67999</v>
          </cell>
          <cell r="BC42">
            <v>218537551220.12299</v>
          </cell>
          <cell r="BD42">
            <v>252251992029.51801</v>
          </cell>
          <cell r="BE42">
            <v>267122320056.772</v>
          </cell>
          <cell r="BF42">
            <v>278384332694.29999</v>
          </cell>
          <cell r="BG42">
            <v>260541637327.85501</v>
          </cell>
          <cell r="BH42">
            <v>243919079437.422</v>
          </cell>
          <cell r="BI42">
            <v>250440149690.84601</v>
          </cell>
          <cell r="BJ42">
            <v>277034675515.68402</v>
          </cell>
          <cell r="BK42">
            <v>297571693064.19299</v>
          </cell>
          <cell r="BL42">
            <v>279385487344.492</v>
          </cell>
          <cell r="BM42">
            <v>252940023046.00699</v>
          </cell>
          <cell r="BN42">
            <v>252940023046.00699</v>
          </cell>
        </row>
        <row r="43">
          <cell r="B43" t="str">
            <v>CHN</v>
          </cell>
          <cell r="C43" t="str">
            <v>GDP (current US$)</v>
          </cell>
          <cell r="D43" t="str">
            <v>NY.GDP.MKTP.CD</v>
          </cell>
          <cell r="E43">
            <v>59716467625.314796</v>
          </cell>
          <cell r="F43">
            <v>50056868957.673203</v>
          </cell>
          <cell r="G43">
            <v>47209359005.605698</v>
          </cell>
          <cell r="H43">
            <v>50706799902.510399</v>
          </cell>
          <cell r="I43">
            <v>59708343488.504303</v>
          </cell>
          <cell r="J43">
            <v>70436266146.721893</v>
          </cell>
          <cell r="K43">
            <v>76720285969.615707</v>
          </cell>
          <cell r="L43">
            <v>72881631326.671494</v>
          </cell>
          <cell r="M43">
            <v>70846535055.650299</v>
          </cell>
          <cell r="N43">
            <v>79705906247.461197</v>
          </cell>
          <cell r="O43">
            <v>92602973434.072601</v>
          </cell>
          <cell r="P43">
            <v>99800958648.1436</v>
          </cell>
          <cell r="Q43">
            <v>113687586299.05099</v>
          </cell>
          <cell r="R43">
            <v>138544284708.957</v>
          </cell>
          <cell r="S43">
            <v>144182133387.72198</v>
          </cell>
          <cell r="T43">
            <v>163431551779.76099</v>
          </cell>
          <cell r="U43">
            <v>153940455341.50601</v>
          </cell>
          <cell r="V43">
            <v>174938098826.569</v>
          </cell>
          <cell r="W43">
            <v>149540752829.26801</v>
          </cell>
          <cell r="X43">
            <v>178280594413.043</v>
          </cell>
          <cell r="Y43">
            <v>191149211575</v>
          </cell>
          <cell r="Z43">
            <v>195866382432.54001</v>
          </cell>
          <cell r="AA43">
            <v>205089699858.77899</v>
          </cell>
          <cell r="AB43">
            <v>230686747153.25699</v>
          </cell>
          <cell r="AC43">
            <v>259946510957.14301</v>
          </cell>
          <cell r="AD43">
            <v>309488028132.65302</v>
          </cell>
          <cell r="AE43">
            <v>300758100107.24597</v>
          </cell>
          <cell r="AF43">
            <v>272972974764.57401</v>
          </cell>
          <cell r="AG43">
            <v>312353631207.81897</v>
          </cell>
          <cell r="AH43">
            <v>347768051311.74103</v>
          </cell>
          <cell r="AI43">
            <v>360857912565.966</v>
          </cell>
          <cell r="AJ43">
            <v>383373318083.62402</v>
          </cell>
          <cell r="AK43">
            <v>426915712715.85602</v>
          </cell>
          <cell r="AL43">
            <v>444731282435.51501</v>
          </cell>
          <cell r="AM43">
            <v>564324670008.23804</v>
          </cell>
          <cell r="AN43">
            <v>734547898224.10095</v>
          </cell>
          <cell r="AO43">
            <v>863746717507.39697</v>
          </cell>
          <cell r="AP43">
            <v>961603952954.23303</v>
          </cell>
          <cell r="AQ43">
            <v>1029043097558.91</v>
          </cell>
          <cell r="AR43">
            <v>1093997267277.1</v>
          </cell>
          <cell r="AS43">
            <v>1211346869600.4099</v>
          </cell>
          <cell r="AT43">
            <v>1339395718862.8899</v>
          </cell>
          <cell r="AU43">
            <v>1470550015077.9299</v>
          </cell>
          <cell r="AV43">
            <v>1660287965663.8899</v>
          </cell>
          <cell r="AW43">
            <v>1955347004965.6899</v>
          </cell>
          <cell r="AX43">
            <v>2285965892364.2002</v>
          </cell>
          <cell r="AY43">
            <v>2752131773358.9199</v>
          </cell>
          <cell r="AZ43">
            <v>3550342737009.5298</v>
          </cell>
          <cell r="BA43">
            <v>4594307032667.9805</v>
          </cell>
          <cell r="BB43">
            <v>5101703073088.9697</v>
          </cell>
          <cell r="BC43">
            <v>6087163874510.7305</v>
          </cell>
          <cell r="BD43">
            <v>7551500124197.1699</v>
          </cell>
          <cell r="BE43">
            <v>8532229986993.6504</v>
          </cell>
          <cell r="BF43">
            <v>9570406235659.6406</v>
          </cell>
          <cell r="BG43">
            <v>10475682920597.699</v>
          </cell>
          <cell r="BH43">
            <v>11061553079871.5</v>
          </cell>
          <cell r="BI43">
            <v>11233276536744.699</v>
          </cell>
          <cell r="BJ43">
            <v>12310409370894.199</v>
          </cell>
          <cell r="BK43">
            <v>13894817549380.301</v>
          </cell>
          <cell r="BL43">
            <v>14279937467431</v>
          </cell>
          <cell r="BM43">
            <v>14722730697890.1</v>
          </cell>
          <cell r="BN43">
            <v>14722730697890.1</v>
          </cell>
        </row>
        <row r="44">
          <cell r="B44" t="str">
            <v>COL</v>
          </cell>
          <cell r="C44" t="str">
            <v>GDP (current US$)</v>
          </cell>
          <cell r="D44" t="str">
            <v>NY.GDP.MKTP.CD</v>
          </cell>
          <cell r="E44">
            <v>4031152976.63904</v>
          </cell>
          <cell r="F44">
            <v>4540447761.1940298</v>
          </cell>
          <cell r="G44">
            <v>4955543963.3686895</v>
          </cell>
          <cell r="H44">
            <v>4836166666.6666698</v>
          </cell>
          <cell r="I44">
            <v>5973366666.6666698</v>
          </cell>
          <cell r="J44">
            <v>5760761904.7618999</v>
          </cell>
          <cell r="K44">
            <v>5428518518.5185204</v>
          </cell>
          <cell r="L44">
            <v>5825170438.4870396</v>
          </cell>
          <cell r="M44">
            <v>5960212869.1296797</v>
          </cell>
          <cell r="N44">
            <v>6450175213.7492304</v>
          </cell>
          <cell r="O44">
            <v>7198360460.1988697</v>
          </cell>
          <cell r="P44">
            <v>7820380970.5367403</v>
          </cell>
          <cell r="Q44">
            <v>8671358732.6848602</v>
          </cell>
          <cell r="R44">
            <v>10315760000.339399</v>
          </cell>
          <cell r="S44">
            <v>12370029583.641899</v>
          </cell>
          <cell r="T44">
            <v>13098633901.8673</v>
          </cell>
          <cell r="U44">
            <v>15341403660.469801</v>
          </cell>
          <cell r="V44">
            <v>19470960619.1297</v>
          </cell>
          <cell r="W44">
            <v>23263511958.0509</v>
          </cell>
          <cell r="X44">
            <v>27940411250.273201</v>
          </cell>
          <cell r="Y44">
            <v>33400735644.0481</v>
          </cell>
          <cell r="Z44">
            <v>36388366869.030899</v>
          </cell>
          <cell r="AA44">
            <v>38968039721.748001</v>
          </cell>
          <cell r="AB44">
            <v>38729822781.599701</v>
          </cell>
          <cell r="AC44">
            <v>38253120737.967102</v>
          </cell>
          <cell r="AD44">
            <v>34894411351.983002</v>
          </cell>
          <cell r="AE44">
            <v>34942489683.971199</v>
          </cell>
          <cell r="AF44">
            <v>36373307085.088699</v>
          </cell>
          <cell r="AG44">
            <v>39212550050.422302</v>
          </cell>
          <cell r="AH44">
            <v>39540080200.393799</v>
          </cell>
          <cell r="AI44">
            <v>47844090709.990799</v>
          </cell>
          <cell r="AJ44">
            <v>49175565911.065498</v>
          </cell>
          <cell r="AK44">
            <v>58418985443.3172</v>
          </cell>
          <cell r="AL44">
            <v>66446804802.574699</v>
          </cell>
          <cell r="AM44">
            <v>81703500846.036407</v>
          </cell>
          <cell r="AN44">
            <v>92507279383.038696</v>
          </cell>
          <cell r="AO44">
            <v>97160109277.808701</v>
          </cell>
          <cell r="AP44">
            <v>106659508271.255</v>
          </cell>
          <cell r="AQ44">
            <v>98443739941.166397</v>
          </cell>
          <cell r="AR44">
            <v>86186158684.768494</v>
          </cell>
          <cell r="AS44">
            <v>99886577330.727097</v>
          </cell>
          <cell r="AT44">
            <v>98211749595.544205</v>
          </cell>
          <cell r="AU44">
            <v>97963003804.785095</v>
          </cell>
          <cell r="AV44">
            <v>94641378693.223007</v>
          </cell>
          <cell r="AW44">
            <v>117081522349.677</v>
          </cell>
          <cell r="AX44">
            <v>145619191582.06201</v>
          </cell>
          <cell r="AY44">
            <v>161618581266.31601</v>
          </cell>
          <cell r="AZ44">
            <v>206181826825.28101</v>
          </cell>
          <cell r="BA44">
            <v>242186950900.77499</v>
          </cell>
          <cell r="BB44">
            <v>232397835678.336</v>
          </cell>
          <cell r="BC44">
            <v>286563105192.45697</v>
          </cell>
          <cell r="BD44">
            <v>334943871931.74597</v>
          </cell>
          <cell r="BE44">
            <v>370921320483.84198</v>
          </cell>
          <cell r="BF44">
            <v>382116126448.55499</v>
          </cell>
          <cell r="BG44">
            <v>381112119657.44598</v>
          </cell>
          <cell r="BH44">
            <v>293481748240.77899</v>
          </cell>
          <cell r="BI44">
            <v>282825009887.45801</v>
          </cell>
          <cell r="BJ44">
            <v>311883730690.12903</v>
          </cell>
          <cell r="BK44">
            <v>334198214706.20898</v>
          </cell>
          <cell r="BL44">
            <v>323429888934.25702</v>
          </cell>
          <cell r="BM44">
            <v>271437596293.84299</v>
          </cell>
          <cell r="BN44">
            <v>271437596293.84299</v>
          </cell>
        </row>
        <row r="45">
          <cell r="B45" t="str">
            <v>COM</v>
          </cell>
          <cell r="C45" t="str">
            <v>GDP (current US$)</v>
          </cell>
          <cell r="D45" t="str">
            <v>NY.GDP.MKTP.CD</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v>212218226.429847</v>
          </cell>
          <cell r="Z45">
            <v>196349967.67000699</v>
          </cell>
          <cell r="AA45">
            <v>184008995.643686</v>
          </cell>
          <cell r="AB45">
            <v>191621958.37536499</v>
          </cell>
          <cell r="AC45">
            <v>184697209.99741399</v>
          </cell>
          <cell r="AD45">
            <v>196726077.06197199</v>
          </cell>
          <cell r="AE45">
            <v>279197696.81463897</v>
          </cell>
          <cell r="AF45">
            <v>337525870.61696798</v>
          </cell>
          <cell r="AG45">
            <v>356500026.69167298</v>
          </cell>
          <cell r="AH45">
            <v>341476764.04426801</v>
          </cell>
          <cell r="AI45">
            <v>429622147.74344599</v>
          </cell>
          <cell r="AJ45">
            <v>424108796.562976</v>
          </cell>
          <cell r="AK45">
            <v>457388578.92414403</v>
          </cell>
          <cell r="AL45">
            <v>452881443.084162</v>
          </cell>
          <cell r="AM45">
            <v>319189200.35312301</v>
          </cell>
          <cell r="AN45">
            <v>398461789.55868602</v>
          </cell>
          <cell r="AO45">
            <v>396053797.63332099</v>
          </cell>
          <cell r="AP45">
            <v>364445589.70236498</v>
          </cell>
          <cell r="AQ45">
            <v>370106776.043329</v>
          </cell>
          <cell r="AR45">
            <v>382454989.94531101</v>
          </cell>
          <cell r="AS45">
            <v>351136568.441921</v>
          </cell>
          <cell r="AT45">
            <v>378512003.40507102</v>
          </cell>
          <cell r="AU45">
            <v>425964697.41866398</v>
          </cell>
          <cell r="AV45">
            <v>546885184.99017406</v>
          </cell>
          <cell r="AW45">
            <v>633706149.25026</v>
          </cell>
          <cell r="AX45">
            <v>653845122.87207401</v>
          </cell>
          <cell r="AY45">
            <v>698431827.74095798</v>
          </cell>
          <cell r="AZ45">
            <v>795673128.48544204</v>
          </cell>
          <cell r="BA45">
            <v>915659192.82511199</v>
          </cell>
          <cell r="BB45">
            <v>905341090.57011497</v>
          </cell>
          <cell r="BC45">
            <v>907978723.54759204</v>
          </cell>
          <cell r="BD45">
            <v>1023086183.79822</v>
          </cell>
          <cell r="BE45">
            <v>1015843368.79008</v>
          </cell>
          <cell r="BF45">
            <v>1116224161.07781</v>
          </cell>
          <cell r="BG45">
            <v>1149587651.6939499</v>
          </cell>
          <cell r="BH45">
            <v>966029542.03885901</v>
          </cell>
          <cell r="BI45">
            <v>1012835518.26037</v>
          </cell>
          <cell r="BJ45">
            <v>1077439662.5797999</v>
          </cell>
          <cell r="BK45">
            <v>1188797574.94753</v>
          </cell>
          <cell r="BL45">
            <v>1192559739.37288</v>
          </cell>
          <cell r="BM45">
            <v>1235400352.2931001</v>
          </cell>
          <cell r="BN45">
            <v>1235400352.2931001</v>
          </cell>
        </row>
        <row r="46">
          <cell r="B46" t="str">
            <v>COD</v>
          </cell>
          <cell r="C46" t="str">
            <v>GDP (current US$)</v>
          </cell>
          <cell r="D46" t="str">
            <v>NY.GDP.MKTP.CD</v>
          </cell>
          <cell r="E46">
            <v>3359404117.6470599</v>
          </cell>
          <cell r="F46">
            <v>3086746857.1428599</v>
          </cell>
          <cell r="G46">
            <v>3779841428.5714302</v>
          </cell>
          <cell r="H46">
            <v>6213185742.5742598</v>
          </cell>
          <cell r="I46">
            <v>2881545272.7272701</v>
          </cell>
          <cell r="J46">
            <v>4043901818.1818199</v>
          </cell>
          <cell r="K46">
            <v>4532660181.8181801</v>
          </cell>
          <cell r="L46">
            <v>3384063371.7579198</v>
          </cell>
          <cell r="M46">
            <v>3909780538.9221601</v>
          </cell>
          <cell r="N46">
            <v>5032434970.0598803</v>
          </cell>
          <cell r="O46">
            <v>4877684910.1796398</v>
          </cell>
          <cell r="P46">
            <v>5594770359.2814398</v>
          </cell>
          <cell r="Q46">
            <v>6173712814.3712597</v>
          </cell>
          <cell r="R46">
            <v>7870239461.0778399</v>
          </cell>
          <cell r="S46">
            <v>9596960179.6407204</v>
          </cell>
          <cell r="T46">
            <v>10237343173.6527</v>
          </cell>
          <cell r="U46">
            <v>9648583224.9921207</v>
          </cell>
          <cell r="V46">
            <v>12344424763.572701</v>
          </cell>
          <cell r="W46">
            <v>15372608002.3923</v>
          </cell>
          <cell r="X46">
            <v>15068422236.366301</v>
          </cell>
          <cell r="Y46">
            <v>14394927494.8647</v>
          </cell>
          <cell r="Z46">
            <v>12537821038.2202</v>
          </cell>
          <cell r="AA46">
            <v>13651667371.167601</v>
          </cell>
          <cell r="AB46">
            <v>11006712650.448099</v>
          </cell>
          <cell r="AC46">
            <v>7857729193.2034302</v>
          </cell>
          <cell r="AD46">
            <v>7195042616.0071001</v>
          </cell>
          <cell r="AE46">
            <v>8095367168.2176905</v>
          </cell>
          <cell r="AF46">
            <v>7661625472.5770502</v>
          </cell>
          <cell r="AG46">
            <v>8861299976.7415791</v>
          </cell>
          <cell r="AH46">
            <v>9021862775.2597809</v>
          </cell>
          <cell r="AI46">
            <v>9349764580.3699799</v>
          </cell>
          <cell r="AJ46">
            <v>9633911368.0154095</v>
          </cell>
          <cell r="AK46">
            <v>8227200892.4421301</v>
          </cell>
          <cell r="AL46">
            <v>10706246370.932501</v>
          </cell>
          <cell r="AM46">
            <v>5840529411.7647104</v>
          </cell>
          <cell r="AN46">
            <v>5647034188.0341902</v>
          </cell>
          <cell r="AO46">
            <v>5772020526.10602</v>
          </cell>
          <cell r="AP46">
            <v>6091061291.3050098</v>
          </cell>
          <cell r="AQ46">
            <v>6215716712.2946701</v>
          </cell>
          <cell r="AR46">
            <v>4711259427.2727299</v>
          </cell>
          <cell r="AS46">
            <v>19088046305.7971</v>
          </cell>
          <cell r="AT46">
            <v>7438189100.3333302</v>
          </cell>
          <cell r="AU46">
            <v>8728038525.1403408</v>
          </cell>
          <cell r="AV46">
            <v>8937567059.8775406</v>
          </cell>
          <cell r="AW46">
            <v>10297483481.223</v>
          </cell>
          <cell r="AX46">
            <v>11964484667.9102</v>
          </cell>
          <cell r="AY46">
            <v>14451902467.931499</v>
          </cell>
          <cell r="AZ46">
            <v>16737071816.379999</v>
          </cell>
          <cell r="BA46">
            <v>19788515873.894199</v>
          </cell>
          <cell r="BB46">
            <v>18648373312.424099</v>
          </cell>
          <cell r="BC46">
            <v>21565720044.463402</v>
          </cell>
          <cell r="BD46">
            <v>25839749198.823299</v>
          </cell>
          <cell r="BE46">
            <v>29306235826.3885</v>
          </cell>
          <cell r="BF46">
            <v>32679745297.645302</v>
          </cell>
          <cell r="BG46">
            <v>35909040265.9328</v>
          </cell>
          <cell r="BH46">
            <v>37917704900.079399</v>
          </cell>
          <cell r="BI46">
            <v>37134799974.522499</v>
          </cell>
          <cell r="BJ46">
            <v>38019265625.884499</v>
          </cell>
          <cell r="BK46">
            <v>47146004586.682404</v>
          </cell>
          <cell r="BL46">
            <v>50400747050.496002</v>
          </cell>
          <cell r="BM46">
            <v>48716960860.066399</v>
          </cell>
          <cell r="BN46">
            <v>48716960860.066399</v>
          </cell>
        </row>
        <row r="47">
          <cell r="B47" t="str">
            <v>COG</v>
          </cell>
          <cell r="C47" t="str">
            <v>GDP (current US$)</v>
          </cell>
          <cell r="D47" t="str">
            <v>NY.GDP.MKTP.CD</v>
          </cell>
          <cell r="E47">
            <v>131731862.568975</v>
          </cell>
          <cell r="F47">
            <v>151675739.16060299</v>
          </cell>
          <cell r="G47">
            <v>166521239.86331001</v>
          </cell>
          <cell r="H47">
            <v>172233430.87148401</v>
          </cell>
          <cell r="I47">
            <v>185693724.84536299</v>
          </cell>
          <cell r="J47">
            <v>198318063.86084101</v>
          </cell>
          <cell r="K47">
            <v>220613582.36986601</v>
          </cell>
          <cell r="L47">
            <v>237397428.336411</v>
          </cell>
          <cell r="M47">
            <v>251247458.01213899</v>
          </cell>
          <cell r="N47">
            <v>265040036.05915201</v>
          </cell>
          <cell r="O47">
            <v>274960699.85859501</v>
          </cell>
          <cell r="P47">
            <v>322128019.32359898</v>
          </cell>
          <cell r="Q47">
            <v>410669262.898009</v>
          </cell>
          <cell r="R47">
            <v>541973362.48106301</v>
          </cell>
          <cell r="S47">
            <v>585364635.35480404</v>
          </cell>
          <cell r="T47">
            <v>767102679.01868999</v>
          </cell>
          <cell r="U47">
            <v>754549600.54805195</v>
          </cell>
          <cell r="V47">
            <v>765224030.63647699</v>
          </cell>
          <cell r="W47">
            <v>878771771.29088295</v>
          </cell>
          <cell r="X47">
            <v>1198749665.9505301</v>
          </cell>
          <cell r="Y47">
            <v>1705796849.5465901</v>
          </cell>
          <cell r="Z47">
            <v>1993512325.9230599</v>
          </cell>
          <cell r="AA47">
            <v>2160640566.5395298</v>
          </cell>
          <cell r="AB47">
            <v>2097274289.6152699</v>
          </cell>
          <cell r="AC47">
            <v>2193581366.4072599</v>
          </cell>
          <cell r="AD47">
            <v>2160872541.4189</v>
          </cell>
          <cell r="AE47">
            <v>1849268214.6818099</v>
          </cell>
          <cell r="AF47">
            <v>2297753649.2796202</v>
          </cell>
          <cell r="AG47">
            <v>2212536313.3347602</v>
          </cell>
          <cell r="AH47">
            <v>2389593021.9486799</v>
          </cell>
          <cell r="AI47">
            <v>2798746050.5822802</v>
          </cell>
          <cell r="AJ47">
            <v>2724853592.73382</v>
          </cell>
          <cell r="AK47">
            <v>2933222714.1150599</v>
          </cell>
          <cell r="AL47">
            <v>2684323424.0680099</v>
          </cell>
          <cell r="AM47">
            <v>1769365425.04053</v>
          </cell>
          <cell r="AN47">
            <v>2116003977.9752901</v>
          </cell>
          <cell r="AO47">
            <v>2540697688.0569801</v>
          </cell>
          <cell r="AP47">
            <v>2322718991.2645798</v>
          </cell>
          <cell r="AQ47">
            <v>1949481296.60762</v>
          </cell>
          <cell r="AR47">
            <v>2353909563.9412198</v>
          </cell>
          <cell r="AS47">
            <v>3227927593.04316</v>
          </cell>
          <cell r="AT47">
            <v>2796704577.3081999</v>
          </cell>
          <cell r="AU47">
            <v>3034251042.0732899</v>
          </cell>
          <cell r="AV47">
            <v>3503723244.8360701</v>
          </cell>
          <cell r="AW47">
            <v>4656975222.7224302</v>
          </cell>
          <cell r="AX47">
            <v>6647357442.08986</v>
          </cell>
          <cell r="AY47">
            <v>8065134528.26894</v>
          </cell>
          <cell r="AZ47">
            <v>8771102025.0098705</v>
          </cell>
          <cell r="BA47">
            <v>11602893043.0256</v>
          </cell>
          <cell r="BB47">
            <v>9684321633.2197704</v>
          </cell>
          <cell r="BC47">
            <v>13135580695.247299</v>
          </cell>
          <cell r="BD47">
            <v>15634897272.7645</v>
          </cell>
          <cell r="BE47">
            <v>17693924573.249901</v>
          </cell>
          <cell r="BF47">
            <v>17953617927.237598</v>
          </cell>
          <cell r="BG47">
            <v>17889079957.8792</v>
          </cell>
          <cell r="BH47">
            <v>11885478502.1168</v>
          </cell>
          <cell r="BI47">
            <v>10215989995.007299</v>
          </cell>
          <cell r="BJ47">
            <v>11090177747.1315</v>
          </cell>
          <cell r="BK47">
            <v>13670036995.995899</v>
          </cell>
          <cell r="BL47">
            <v>12750339022.9512</v>
          </cell>
          <cell r="BM47">
            <v>10187122341.4051</v>
          </cell>
          <cell r="BN47">
            <v>10187122341.4051</v>
          </cell>
        </row>
        <row r="48">
          <cell r="B48" t="str">
            <v>CRI</v>
          </cell>
          <cell r="C48" t="str">
            <v>GDP (current US$)</v>
          </cell>
          <cell r="D48" t="str">
            <v>NY.GDP.MKTP.CD</v>
          </cell>
          <cell r="E48">
            <v>507513829.99485499</v>
          </cell>
          <cell r="F48">
            <v>490325181.61427498</v>
          </cell>
          <cell r="G48">
            <v>479180824.34850597</v>
          </cell>
          <cell r="H48">
            <v>511902136.809973</v>
          </cell>
          <cell r="I48">
            <v>542578367.24259806</v>
          </cell>
          <cell r="J48">
            <v>592981162.26415098</v>
          </cell>
          <cell r="K48">
            <v>647305630.18867898</v>
          </cell>
          <cell r="L48">
            <v>699456618.86792505</v>
          </cell>
          <cell r="M48">
            <v>773841494.33962297</v>
          </cell>
          <cell r="N48">
            <v>853630203.77358496</v>
          </cell>
          <cell r="O48">
            <v>984830158.49056602</v>
          </cell>
          <cell r="P48">
            <v>1077152902.2910399</v>
          </cell>
          <cell r="Q48">
            <v>1238251695.55388</v>
          </cell>
          <cell r="R48">
            <v>1528916185.2319901</v>
          </cell>
          <cell r="S48">
            <v>1666544754.0983601</v>
          </cell>
          <cell r="T48">
            <v>1960863465.5776</v>
          </cell>
          <cell r="U48">
            <v>2412555425.9043198</v>
          </cell>
          <cell r="V48">
            <v>3072427012.8354702</v>
          </cell>
          <cell r="W48">
            <v>3523208809.80163</v>
          </cell>
          <cell r="X48">
            <v>4035519323.22054</v>
          </cell>
          <cell r="Y48">
            <v>4831447001.1668596</v>
          </cell>
          <cell r="Z48">
            <v>2623807074.2947998</v>
          </cell>
          <cell r="AA48">
            <v>2606621255.01581</v>
          </cell>
          <cell r="AB48">
            <v>3146770103.8102698</v>
          </cell>
          <cell r="AC48">
            <v>3660476458.8717999</v>
          </cell>
          <cell r="AD48">
            <v>3919203960.39604</v>
          </cell>
          <cell r="AE48">
            <v>4418983870.9677401</v>
          </cell>
          <cell r="AF48">
            <v>4532952047.1562796</v>
          </cell>
          <cell r="AG48">
            <v>4614629898.4034796</v>
          </cell>
          <cell r="AH48">
            <v>5251025767.4762697</v>
          </cell>
          <cell r="AI48">
            <v>5711687786.7598896</v>
          </cell>
          <cell r="AJ48">
            <v>7196276092.4687595</v>
          </cell>
          <cell r="AK48">
            <v>8564044016.9573498</v>
          </cell>
          <cell r="AL48">
            <v>9582866263.4628391</v>
          </cell>
          <cell r="AM48">
            <v>10486784804.7265</v>
          </cell>
          <cell r="AN48">
            <v>11578594260.081301</v>
          </cell>
          <cell r="AO48">
            <v>11678424507.3634</v>
          </cell>
          <cell r="AP48">
            <v>12614602382.3564</v>
          </cell>
          <cell r="AQ48">
            <v>13684255946.6922</v>
          </cell>
          <cell r="AR48">
            <v>14254866281.057199</v>
          </cell>
          <cell r="AS48">
            <v>15013629658.567101</v>
          </cell>
          <cell r="AT48">
            <v>15976174337.0471</v>
          </cell>
          <cell r="AU48">
            <v>16578820687.2209</v>
          </cell>
          <cell r="AV48">
            <v>17271760507.042</v>
          </cell>
          <cell r="AW48">
            <v>18610594846.308201</v>
          </cell>
          <cell r="AX48">
            <v>20040642476.8988</v>
          </cell>
          <cell r="AY48">
            <v>22715540324.314899</v>
          </cell>
          <cell r="AZ48">
            <v>26884700345.104401</v>
          </cell>
          <cell r="BA48">
            <v>30801744881.023602</v>
          </cell>
          <cell r="BB48">
            <v>30745712006.5238</v>
          </cell>
          <cell r="BC48">
            <v>37658614803.291901</v>
          </cell>
          <cell r="BD48">
            <v>42762617081.614197</v>
          </cell>
          <cell r="BE48">
            <v>47231651862.822403</v>
          </cell>
          <cell r="BF48">
            <v>50949672205.822197</v>
          </cell>
          <cell r="BG48">
            <v>52016408950.839798</v>
          </cell>
          <cell r="BH48">
            <v>56441917653.015602</v>
          </cell>
          <cell r="BI48">
            <v>58847016044.824402</v>
          </cell>
          <cell r="BJ48">
            <v>60516043590.192398</v>
          </cell>
          <cell r="BK48">
            <v>62420165099.730103</v>
          </cell>
          <cell r="BL48">
            <v>64072870931.602997</v>
          </cell>
          <cell r="BM48">
            <v>61846895120.7808</v>
          </cell>
          <cell r="BN48">
            <v>61846895120.7808</v>
          </cell>
        </row>
        <row r="49">
          <cell r="B49" t="str">
            <v>CIV</v>
          </cell>
          <cell r="C49" t="str">
            <v>GDP (current US$)</v>
          </cell>
          <cell r="D49" t="str">
            <v>NY.GDP.MKTP.CD</v>
          </cell>
          <cell r="E49">
            <v>546203561.57198906</v>
          </cell>
          <cell r="F49">
            <v>618245639.22138202</v>
          </cell>
          <cell r="G49">
            <v>645284344.68411803</v>
          </cell>
          <cell r="H49">
            <v>761047045.83040202</v>
          </cell>
          <cell r="I49">
            <v>921063266.445521</v>
          </cell>
          <cell r="J49">
            <v>919771356.42609704</v>
          </cell>
          <cell r="K49">
            <v>1024103034.29198</v>
          </cell>
          <cell r="L49">
            <v>1082922892.15202</v>
          </cell>
          <cell r="M49">
            <v>1281281245.67032</v>
          </cell>
          <cell r="N49">
            <v>1361360157.26999</v>
          </cell>
          <cell r="O49">
            <v>1455482990.24143</v>
          </cell>
          <cell r="P49">
            <v>1584128262.08933</v>
          </cell>
          <cell r="Q49">
            <v>1849400599.7755799</v>
          </cell>
          <cell r="R49">
            <v>2508421234.8557</v>
          </cell>
          <cell r="S49">
            <v>3070151901.0638299</v>
          </cell>
          <cell r="T49">
            <v>3893839190.2680602</v>
          </cell>
          <cell r="U49">
            <v>4662053707.7763004</v>
          </cell>
          <cell r="V49">
            <v>6265067857.8653402</v>
          </cell>
          <cell r="W49">
            <v>7900524897.8643999</v>
          </cell>
          <cell r="X49">
            <v>9142935857.9476604</v>
          </cell>
          <cell r="Y49">
            <v>10175615441.8127</v>
          </cell>
          <cell r="Z49">
            <v>8432588483.8526297</v>
          </cell>
          <cell r="AA49">
            <v>7567109766.61129</v>
          </cell>
          <cell r="AB49">
            <v>6838185418.5364199</v>
          </cell>
          <cell r="AC49">
            <v>6841638714.5453997</v>
          </cell>
          <cell r="AD49">
            <v>6977650069.3357801</v>
          </cell>
          <cell r="AE49">
            <v>9158302205.3623695</v>
          </cell>
          <cell r="AF49">
            <v>10087653189.328699</v>
          </cell>
          <cell r="AG49">
            <v>10255170459.986</v>
          </cell>
          <cell r="AH49">
            <v>9757410614.0811996</v>
          </cell>
          <cell r="AI49">
            <v>10795850106.9547</v>
          </cell>
          <cell r="AJ49">
            <v>10492628915.492701</v>
          </cell>
          <cell r="AK49">
            <v>11152971316.073999</v>
          </cell>
          <cell r="AL49">
            <v>11045759468.9412</v>
          </cell>
          <cell r="AM49">
            <v>8313557450.2521296</v>
          </cell>
          <cell r="AN49">
            <v>11000146839.497</v>
          </cell>
          <cell r="AO49">
            <v>18071153890.4491</v>
          </cell>
          <cell r="AP49">
            <v>18047557171.793999</v>
          </cell>
          <cell r="AQ49">
            <v>19619653924.336399</v>
          </cell>
          <cell r="AR49">
            <v>18870992455.706001</v>
          </cell>
          <cell r="AS49">
            <v>16577533355.374201</v>
          </cell>
          <cell r="AT49">
            <v>16810536883.756599</v>
          </cell>
          <cell r="AU49">
            <v>18054384023.119801</v>
          </cell>
          <cell r="AV49">
            <v>21251755294.025799</v>
          </cell>
          <cell r="AW49">
            <v>23510577108.188099</v>
          </cell>
          <cell r="AX49">
            <v>24036917016.532299</v>
          </cell>
          <cell r="AY49">
            <v>25281414472.897598</v>
          </cell>
          <cell r="AZ49">
            <v>28760092034.5396</v>
          </cell>
          <cell r="BA49">
            <v>34078243426.0168</v>
          </cell>
          <cell r="BB49">
            <v>33886814907.0536</v>
          </cell>
          <cell r="BC49">
            <v>34936305296.8834</v>
          </cell>
          <cell r="BD49">
            <v>36693712824.781197</v>
          </cell>
          <cell r="BE49">
            <v>36302305578.306</v>
          </cell>
          <cell r="BF49">
            <v>42760237561.399498</v>
          </cell>
          <cell r="BG49">
            <v>48843008580.361603</v>
          </cell>
          <cell r="BH49">
            <v>45814637971.474503</v>
          </cell>
          <cell r="BI49">
            <v>47964234560.051399</v>
          </cell>
          <cell r="BJ49">
            <v>51588158717.534798</v>
          </cell>
          <cell r="BK49">
            <v>58011466450.864304</v>
          </cell>
          <cell r="BL49">
            <v>58539424929.7248</v>
          </cell>
          <cell r="BM49">
            <v>61348579465.1017</v>
          </cell>
          <cell r="BN49">
            <v>61348579465.1017</v>
          </cell>
        </row>
        <row r="50">
          <cell r="B50" t="str">
            <v>HRV</v>
          </cell>
          <cell r="C50" t="str">
            <v>GDP (current US$)</v>
          </cell>
          <cell r="D50" t="str">
            <v>NY.GDP.MKTP.CD</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v>22717081924.714298</v>
          </cell>
          <cell r="AO50">
            <v>24075166261.377899</v>
          </cell>
          <cell r="AP50">
            <v>24091170702.556198</v>
          </cell>
          <cell r="AQ50">
            <v>25792876643.508701</v>
          </cell>
          <cell r="AR50">
            <v>23677307509.466301</v>
          </cell>
          <cell r="AS50">
            <v>21839780971.026798</v>
          </cell>
          <cell r="AT50">
            <v>23273640257.1968</v>
          </cell>
          <cell r="AU50">
            <v>27074550257.811798</v>
          </cell>
          <cell r="AV50">
            <v>34985749883.417099</v>
          </cell>
          <cell r="AW50">
            <v>41958833541.099503</v>
          </cell>
          <cell r="AX50">
            <v>45780237257.186699</v>
          </cell>
          <cell r="AY50">
            <v>50860788253.217598</v>
          </cell>
          <cell r="AZ50">
            <v>60542673502.532402</v>
          </cell>
          <cell r="BA50">
            <v>70750646248.056305</v>
          </cell>
          <cell r="BB50">
            <v>63084004705.080704</v>
          </cell>
          <cell r="BC50">
            <v>60426018629.299202</v>
          </cell>
          <cell r="BD50">
            <v>63169910822.128502</v>
          </cell>
          <cell r="BE50">
            <v>57192346923.334999</v>
          </cell>
          <cell r="BF50">
            <v>58889082315.335999</v>
          </cell>
          <cell r="BG50">
            <v>58330289756.691399</v>
          </cell>
          <cell r="BH50">
            <v>50163192883.151497</v>
          </cell>
          <cell r="BI50">
            <v>52295158344.254402</v>
          </cell>
          <cell r="BJ50">
            <v>56214427431.199997</v>
          </cell>
          <cell r="BK50">
            <v>62247874948.822502</v>
          </cell>
          <cell r="BL50">
            <v>62246206340.546898</v>
          </cell>
          <cell r="BM50">
            <v>57203783203.025902</v>
          </cell>
          <cell r="BN50">
            <v>57203783203.025902</v>
          </cell>
        </row>
        <row r="51">
          <cell r="B51" t="str">
            <v>CUB</v>
          </cell>
          <cell r="C51" t="str">
            <v>GDP (current US$)</v>
          </cell>
          <cell r="D51" t="str">
            <v>NY.GDP.MKTP.CD</v>
          </cell>
          <cell r="E51" t="str">
            <v>..</v>
          </cell>
          <cell r="F51" t="str">
            <v>..</v>
          </cell>
          <cell r="G51" t="str">
            <v>..</v>
          </cell>
          <cell r="H51" t="str">
            <v>..</v>
          </cell>
          <cell r="I51" t="str">
            <v>..</v>
          </cell>
          <cell r="J51" t="str">
            <v>..</v>
          </cell>
          <cell r="K51" t="str">
            <v>..</v>
          </cell>
          <cell r="L51" t="str">
            <v>..</v>
          </cell>
          <cell r="M51" t="str">
            <v>..</v>
          </cell>
          <cell r="N51" t="str">
            <v>..</v>
          </cell>
          <cell r="O51">
            <v>5693005200</v>
          </cell>
          <cell r="P51">
            <v>6914658400</v>
          </cell>
          <cell r="Q51">
            <v>8135150891.9202499</v>
          </cell>
          <cell r="R51">
            <v>9987709650.1809406</v>
          </cell>
          <cell r="S51">
            <v>11405957317.0732</v>
          </cell>
          <cell r="T51">
            <v>13027415243.902399</v>
          </cell>
          <cell r="U51">
            <v>13789579902.557899</v>
          </cell>
          <cell r="V51">
            <v>14206158674.698799</v>
          </cell>
          <cell r="W51">
            <v>17844705324.675301</v>
          </cell>
          <cell r="X51">
            <v>19584443287.6712</v>
          </cell>
          <cell r="Y51">
            <v>19912889861.111099</v>
          </cell>
          <cell r="Z51">
            <v>20150254096.385502</v>
          </cell>
          <cell r="AA51">
            <v>20953510235.294102</v>
          </cell>
          <cell r="AB51">
            <v>22204940512.223499</v>
          </cell>
          <cell r="AC51">
            <v>24039383608.4235</v>
          </cell>
          <cell r="AD51">
            <v>22920490774.102001</v>
          </cell>
          <cell r="AE51">
            <v>24226574634.029301</v>
          </cell>
          <cell r="AF51">
            <v>25213935012.081902</v>
          </cell>
          <cell r="AG51">
            <v>27458999472.295502</v>
          </cell>
          <cell r="AH51">
            <v>27023468665.897701</v>
          </cell>
          <cell r="AI51">
            <v>28645436569.148899</v>
          </cell>
          <cell r="AJ51">
            <v>24316556025.658501</v>
          </cell>
          <cell r="AK51">
            <v>22085858243.243198</v>
          </cell>
          <cell r="AL51">
            <v>22367254864.864899</v>
          </cell>
          <cell r="AM51">
            <v>28448326756.756802</v>
          </cell>
          <cell r="AN51">
            <v>30429803651.2192</v>
          </cell>
          <cell r="AO51">
            <v>25017368700</v>
          </cell>
          <cell r="AP51">
            <v>25365908100</v>
          </cell>
          <cell r="AQ51">
            <v>25736331200</v>
          </cell>
          <cell r="AR51">
            <v>28364615200</v>
          </cell>
          <cell r="AS51">
            <v>30565400000</v>
          </cell>
          <cell r="AT51">
            <v>31682400000</v>
          </cell>
          <cell r="AU51">
            <v>33590500000</v>
          </cell>
          <cell r="AV51">
            <v>35901200000</v>
          </cell>
          <cell r="AW51">
            <v>38203000000</v>
          </cell>
          <cell r="AX51">
            <v>42643836100</v>
          </cell>
          <cell r="AY51">
            <v>52742800000</v>
          </cell>
          <cell r="AZ51">
            <v>58603900000</v>
          </cell>
          <cell r="BA51">
            <v>60806300000</v>
          </cell>
          <cell r="BB51">
            <v>62080000000</v>
          </cell>
          <cell r="BC51">
            <v>64328000000</v>
          </cell>
          <cell r="BD51">
            <v>68990000000</v>
          </cell>
          <cell r="BE51">
            <v>73141000000</v>
          </cell>
          <cell r="BF51">
            <v>77148000000</v>
          </cell>
          <cell r="BG51">
            <v>80656000000</v>
          </cell>
          <cell r="BH51">
            <v>87133000000</v>
          </cell>
          <cell r="BI51">
            <v>91370000000</v>
          </cell>
          <cell r="BJ51">
            <v>96851000000</v>
          </cell>
          <cell r="BK51">
            <v>100050000000</v>
          </cell>
          <cell r="BL51">
            <v>103428000000</v>
          </cell>
          <cell r="BM51">
            <v>107352000000</v>
          </cell>
          <cell r="BN51">
            <v>107352000000</v>
          </cell>
        </row>
        <row r="52">
          <cell r="B52" t="str">
            <v>CUW</v>
          </cell>
          <cell r="C52" t="str">
            <v>GDP (current US$)</v>
          </cell>
          <cell r="D52" t="str">
            <v>NY.GDP.MKTP.CD</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v>3038699608.93855</v>
          </cell>
          <cell r="BE52">
            <v>3131096089.3854699</v>
          </cell>
          <cell r="BF52">
            <v>3147616201.1173201</v>
          </cell>
          <cell r="BG52">
            <v>3158406033.5195498</v>
          </cell>
          <cell r="BH52">
            <v>3151910782.1229</v>
          </cell>
          <cell r="BI52">
            <v>3122287932.9608898</v>
          </cell>
          <cell r="BJ52">
            <v>3116610111.7318401</v>
          </cell>
          <cell r="BK52">
            <v>3127908044.69274</v>
          </cell>
          <cell r="BL52">
            <v>3101787709.49721</v>
          </cell>
          <cell r="BM52">
            <v>2595821708.8131299</v>
          </cell>
          <cell r="BN52">
            <v>2595821708.8131299</v>
          </cell>
        </row>
        <row r="53">
          <cell r="B53" t="str">
            <v>CYP</v>
          </cell>
          <cell r="C53" t="str">
            <v>GDP (current US$)</v>
          </cell>
          <cell r="D53" t="str">
            <v>NY.GDP.MKTP.CD</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v>489914760.68280703</v>
          </cell>
          <cell r="U53">
            <v>576090073.71503603</v>
          </cell>
          <cell r="V53">
            <v>734887973.975806</v>
          </cell>
          <cell r="W53">
            <v>964026512.19783902</v>
          </cell>
          <cell r="X53">
            <v>1288715209.5808401</v>
          </cell>
          <cell r="Y53">
            <v>2154311276.9485898</v>
          </cell>
          <cell r="Z53">
            <v>2087496373.77964</v>
          </cell>
          <cell r="AA53">
            <v>2159242416.7694201</v>
          </cell>
          <cell r="AB53">
            <v>2160364071.1902099</v>
          </cell>
          <cell r="AC53">
            <v>2278248953.1405802</v>
          </cell>
          <cell r="AD53">
            <v>2430411900.1919398</v>
          </cell>
          <cell r="AE53">
            <v>3090734463.2768402</v>
          </cell>
          <cell r="AF53">
            <v>3704813885.5054798</v>
          </cell>
          <cell r="AG53">
            <v>4278792597.2396498</v>
          </cell>
          <cell r="AH53">
            <v>4563482603.5502996</v>
          </cell>
          <cell r="AI53">
            <v>5591130217.6696501</v>
          </cell>
          <cell r="AJ53">
            <v>5770197348.4848499</v>
          </cell>
          <cell r="AK53">
            <v>6912150456.3233404</v>
          </cell>
          <cell r="AL53">
            <v>6590291048.2921104</v>
          </cell>
          <cell r="AM53">
            <v>7425703928.5714302</v>
          </cell>
          <cell r="AN53">
            <v>9933133247.0892601</v>
          </cell>
          <cell r="AO53">
            <v>10011918444.1656</v>
          </cell>
          <cell r="AP53">
            <v>9547818700.1140308</v>
          </cell>
          <cell r="AQ53">
            <v>10248617647.0588</v>
          </cell>
          <cell r="AR53">
            <v>10497908306.364599</v>
          </cell>
          <cell r="AS53">
            <v>9985844486.3336506</v>
          </cell>
          <cell r="AT53">
            <v>10397897085.610201</v>
          </cell>
          <cell r="AU53">
            <v>11420227884.6154</v>
          </cell>
          <cell r="AV53">
            <v>14547325028.312599</v>
          </cell>
          <cell r="AW53">
            <v>17320552500</v>
          </cell>
          <cell r="AX53">
            <v>18433411267.255299</v>
          </cell>
          <cell r="AY53">
            <v>20072786350.520599</v>
          </cell>
          <cell r="AZ53">
            <v>23968764029.564701</v>
          </cell>
          <cell r="BA53">
            <v>27844698989.307201</v>
          </cell>
          <cell r="BB53">
            <v>25945391775.493198</v>
          </cell>
          <cell r="BC53">
            <v>25732432719.077301</v>
          </cell>
          <cell r="BD53">
            <v>27565469097.995499</v>
          </cell>
          <cell r="BE53">
            <v>24978513426.6992</v>
          </cell>
          <cell r="BF53">
            <v>23900872625.846699</v>
          </cell>
          <cell r="BG53">
            <v>23156850006.6427</v>
          </cell>
          <cell r="BH53">
            <v>19842404304.892899</v>
          </cell>
          <cell r="BI53">
            <v>20953442550.365299</v>
          </cell>
          <cell r="BJ53">
            <v>22870833709.896099</v>
          </cell>
          <cell r="BK53">
            <v>25522671232.876701</v>
          </cell>
          <cell r="BL53">
            <v>25758357774.5438</v>
          </cell>
          <cell r="BM53">
            <v>24612646487.721298</v>
          </cell>
          <cell r="BN53">
            <v>24612646487.721298</v>
          </cell>
        </row>
        <row r="54">
          <cell r="B54" t="str">
            <v>CZE</v>
          </cell>
          <cell r="C54" t="str">
            <v>GDP (current US$)</v>
          </cell>
          <cell r="D54" t="str">
            <v>NY.GDP.MKTP.CD</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v>40728950704.617599</v>
          </cell>
          <cell r="AJ54">
            <v>29859921158.869598</v>
          </cell>
          <cell r="AK54">
            <v>34805013229.571999</v>
          </cell>
          <cell r="AL54">
            <v>40866748705.107498</v>
          </cell>
          <cell r="AM54">
            <v>47850203856.175102</v>
          </cell>
          <cell r="AN54">
            <v>60147174076.865097</v>
          </cell>
          <cell r="AO54">
            <v>67387788632.981201</v>
          </cell>
          <cell r="AP54">
            <v>62180159376.123901</v>
          </cell>
          <cell r="AQ54">
            <v>66807429711.411003</v>
          </cell>
          <cell r="AR54">
            <v>65173130995.221199</v>
          </cell>
          <cell r="AS54">
            <v>61828166496.094101</v>
          </cell>
          <cell r="AT54">
            <v>67808032979.5429</v>
          </cell>
          <cell r="AU54">
            <v>82196001050.747406</v>
          </cell>
          <cell r="AV54">
            <v>100090467581.26801</v>
          </cell>
          <cell r="AW54">
            <v>119814434353.575</v>
          </cell>
          <cell r="AX54">
            <v>137143471328.274</v>
          </cell>
          <cell r="AY54">
            <v>156264095664.64301</v>
          </cell>
          <cell r="AZ54">
            <v>190183800884.01801</v>
          </cell>
          <cell r="BA54">
            <v>236816485762.98801</v>
          </cell>
          <cell r="BB54">
            <v>207434296805.32999</v>
          </cell>
          <cell r="BC54">
            <v>209069940963.177</v>
          </cell>
          <cell r="BD54">
            <v>229562733398.948</v>
          </cell>
          <cell r="BE54">
            <v>208857719320.64899</v>
          </cell>
          <cell r="BF54">
            <v>211685616592.931</v>
          </cell>
          <cell r="BG54">
            <v>209358834156.32901</v>
          </cell>
          <cell r="BH54">
            <v>188033050459.88101</v>
          </cell>
          <cell r="BI54">
            <v>196272068576.33801</v>
          </cell>
          <cell r="BJ54">
            <v>218628940951.67499</v>
          </cell>
          <cell r="BK54">
            <v>248950103352.13699</v>
          </cell>
          <cell r="BL54">
            <v>252498032247.16299</v>
          </cell>
          <cell r="BM54">
            <v>245339322066.759</v>
          </cell>
          <cell r="BN54">
            <v>245339322066.759</v>
          </cell>
        </row>
        <row r="55">
          <cell r="B55" t="str">
            <v>DNK</v>
          </cell>
          <cell r="C55" t="str">
            <v>GDP (current US$)</v>
          </cell>
          <cell r="D55" t="str">
            <v>NY.GDP.MKTP.CD</v>
          </cell>
          <cell r="E55" t="str">
            <v>..</v>
          </cell>
          <cell r="F55" t="str">
            <v>..</v>
          </cell>
          <cell r="G55" t="str">
            <v>..</v>
          </cell>
          <cell r="H55" t="str">
            <v>..</v>
          </cell>
          <cell r="I55" t="str">
            <v>..</v>
          </cell>
          <cell r="J55" t="str">
            <v>..</v>
          </cell>
          <cell r="K55">
            <v>11931739858.704599</v>
          </cell>
          <cell r="L55">
            <v>13059064374.6287</v>
          </cell>
          <cell r="M55">
            <v>13505573866.6667</v>
          </cell>
          <cell r="N55">
            <v>15414902266.6667</v>
          </cell>
          <cell r="O55">
            <v>17075457600</v>
          </cell>
          <cell r="P55">
            <v>19085731252.440701</v>
          </cell>
          <cell r="Q55">
            <v>23232379951.937599</v>
          </cell>
          <cell r="R55">
            <v>30730626663.3606</v>
          </cell>
          <cell r="S55">
            <v>34160444798.109901</v>
          </cell>
          <cell r="T55">
            <v>40474406216.282097</v>
          </cell>
          <cell r="U55">
            <v>44575892473.118301</v>
          </cell>
          <cell r="V55">
            <v>49784338519.456299</v>
          </cell>
          <cell r="W55">
            <v>60362931853.624901</v>
          </cell>
          <cell r="X55">
            <v>70366241969.207397</v>
          </cell>
          <cell r="Y55">
            <v>71127528699.941406</v>
          </cell>
          <cell r="Z55">
            <v>61877813965.241302</v>
          </cell>
          <cell r="AA55">
            <v>60412844678.603996</v>
          </cell>
          <cell r="AB55">
            <v>60644782176.052498</v>
          </cell>
          <cell r="AC55">
            <v>59105236853.793701</v>
          </cell>
          <cell r="AD55">
            <v>62658568287.342903</v>
          </cell>
          <cell r="AE55">
            <v>88078760103.819107</v>
          </cell>
          <cell r="AF55">
            <v>109414423928.77499</v>
          </cell>
          <cell r="AG55">
            <v>115552846616.653</v>
          </cell>
          <cell r="AH55">
            <v>112409222182.70399</v>
          </cell>
          <cell r="AI55">
            <v>138247285815.85501</v>
          </cell>
          <cell r="AJ55">
            <v>139224688814.19501</v>
          </cell>
          <cell r="AK55">
            <v>152915654478.88501</v>
          </cell>
          <cell r="AL55">
            <v>143195627014.60501</v>
          </cell>
          <cell r="AM55">
            <v>156162386724.52301</v>
          </cell>
          <cell r="AN55">
            <v>185006881515.065</v>
          </cell>
          <cell r="AO55">
            <v>187632346387.98401</v>
          </cell>
          <cell r="AP55">
            <v>173537647058.82401</v>
          </cell>
          <cell r="AQ55">
            <v>176991934992.83701</v>
          </cell>
          <cell r="AR55">
            <v>177965188354.69199</v>
          </cell>
          <cell r="AS55">
            <v>164158739097.62299</v>
          </cell>
          <cell r="AT55">
            <v>164791442543.375</v>
          </cell>
          <cell r="AU55">
            <v>178635163717.431</v>
          </cell>
          <cell r="AV55">
            <v>218096033517.009</v>
          </cell>
          <cell r="AW55">
            <v>251373002954.38199</v>
          </cell>
          <cell r="AX55">
            <v>264467336457.17001</v>
          </cell>
          <cell r="AY55">
            <v>282884947702.966</v>
          </cell>
          <cell r="AZ55">
            <v>319423424509.06598</v>
          </cell>
          <cell r="BA55">
            <v>353361038818.383</v>
          </cell>
          <cell r="BB55">
            <v>321241303699.00598</v>
          </cell>
          <cell r="BC55">
            <v>321995279401.50201</v>
          </cell>
          <cell r="BD55">
            <v>344003137611.271</v>
          </cell>
          <cell r="BE55">
            <v>327148943812.13702</v>
          </cell>
          <cell r="BF55">
            <v>343584391647.927</v>
          </cell>
          <cell r="BG55">
            <v>352993631617.70801</v>
          </cell>
          <cell r="BH55">
            <v>302673070846.85699</v>
          </cell>
          <cell r="BI55">
            <v>313115929314.33899</v>
          </cell>
          <cell r="BJ55">
            <v>332121063806.39099</v>
          </cell>
          <cell r="BK55">
            <v>356841216410.06799</v>
          </cell>
          <cell r="BL55">
            <v>347561349210.979</v>
          </cell>
          <cell r="BM55">
            <v>356084867685.63898</v>
          </cell>
          <cell r="BN55">
            <v>356084867685.63898</v>
          </cell>
        </row>
        <row r="56">
          <cell r="B56" t="str">
            <v>DJI</v>
          </cell>
          <cell r="C56" t="str">
            <v>GDP (current US$)</v>
          </cell>
          <cell r="D56" t="str">
            <v>NY.GDP.MKTP.CD</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v>340989527.96799499</v>
          </cell>
          <cell r="AE56" t="str">
            <v>..</v>
          </cell>
          <cell r="AF56">
            <v>373371738.28641498</v>
          </cell>
          <cell r="AG56">
            <v>395794538.63077497</v>
          </cell>
          <cell r="AH56">
            <v>409220087.10281801</v>
          </cell>
          <cell r="AI56">
            <v>452328087.28287601</v>
          </cell>
          <cell r="AJ56">
            <v>462421998.52577901</v>
          </cell>
          <cell r="AK56">
            <v>478058304.87111801</v>
          </cell>
          <cell r="AL56">
            <v>466048469.22986001</v>
          </cell>
          <cell r="AM56">
            <v>491689220.74487501</v>
          </cell>
          <cell r="AN56">
            <v>497723960.58991301</v>
          </cell>
          <cell r="AO56">
            <v>494004647.73436999</v>
          </cell>
          <cell r="AP56">
            <v>502675542.00122702</v>
          </cell>
          <cell r="AQ56">
            <v>514267869.300758</v>
          </cell>
          <cell r="AR56">
            <v>536080148.09729898</v>
          </cell>
          <cell r="AS56">
            <v>551230861.85650504</v>
          </cell>
          <cell r="AT56">
            <v>572417440.82016206</v>
          </cell>
          <cell r="AU56">
            <v>591122039.60139799</v>
          </cell>
          <cell r="AV56">
            <v>622044665.51504898</v>
          </cell>
          <cell r="AW56">
            <v>666072101.77750504</v>
          </cell>
          <cell r="AX56">
            <v>708633194.72656596</v>
          </cell>
          <cell r="AY56">
            <v>768873684.03283799</v>
          </cell>
          <cell r="AZ56">
            <v>847918929.10798395</v>
          </cell>
          <cell r="BA56">
            <v>999105339.26772904</v>
          </cell>
          <cell r="BB56">
            <v>1049110684.72493</v>
          </cell>
          <cell r="BC56">
            <v>1128611700.3618</v>
          </cell>
          <cell r="BD56">
            <v>1239144501.77525</v>
          </cell>
          <cell r="BE56">
            <v>1353632941.5207</v>
          </cell>
          <cell r="BF56">
            <v>2042817162.85639</v>
          </cell>
          <cell r="BG56">
            <v>2214679081.2565799</v>
          </cell>
          <cell r="BH56">
            <v>2430274292.2895999</v>
          </cell>
          <cell r="BI56">
            <v>2603540256.9195499</v>
          </cell>
          <cell r="BJ56">
            <v>2751445573.68009</v>
          </cell>
          <cell r="BK56">
            <v>3012803457.1041098</v>
          </cell>
          <cell r="BL56">
            <v>3324615549.0909901</v>
          </cell>
          <cell r="BM56">
            <v>3384385216.7160902</v>
          </cell>
          <cell r="BN56">
            <v>3384385216.7160902</v>
          </cell>
        </row>
        <row r="57">
          <cell r="B57" t="str">
            <v>DMA</v>
          </cell>
          <cell r="C57" t="str">
            <v>GDP (current US$)</v>
          </cell>
          <cell r="D57" t="str">
            <v>NY.GDP.MKTP.CD</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v>45872947.407407403</v>
          </cell>
          <cell r="W57">
            <v>57130215.555555597</v>
          </cell>
          <cell r="X57">
            <v>55017758.888888903</v>
          </cell>
          <cell r="Y57">
            <v>72804653.333333299</v>
          </cell>
          <cell r="Z57">
            <v>82107391.111111104</v>
          </cell>
          <cell r="AA57">
            <v>89527576.666666701</v>
          </cell>
          <cell r="AB57">
            <v>98665191.481481507</v>
          </cell>
          <cell r="AC57">
            <v>109157070.740741</v>
          </cell>
          <cell r="AD57">
            <v>119491932.962963</v>
          </cell>
          <cell r="AE57">
            <v>135161958.51851901</v>
          </cell>
          <cell r="AF57">
            <v>151868754.444444</v>
          </cell>
          <cell r="AG57">
            <v>171106184.074074</v>
          </cell>
          <cell r="AH57">
            <v>185137242.96296301</v>
          </cell>
          <cell r="AI57">
            <v>201429629.62963</v>
          </cell>
          <cell r="AJ57">
            <v>219762962.96296301</v>
          </cell>
          <cell r="AK57">
            <v>234059259.25925899</v>
          </cell>
          <cell r="AL57">
            <v>245525925.925926</v>
          </cell>
          <cell r="AM57">
            <v>264374074.074074</v>
          </cell>
          <cell r="AN57">
            <v>274522222.22222197</v>
          </cell>
          <cell r="AO57">
            <v>292285185.18518502</v>
          </cell>
          <cell r="AP57">
            <v>302988888.88888901</v>
          </cell>
          <cell r="AQ57">
            <v>322411111.11111099</v>
          </cell>
          <cell r="AR57">
            <v>331759259.25925899</v>
          </cell>
          <cell r="AS57">
            <v>333470370.37036997</v>
          </cell>
          <cell r="AT57">
            <v>340203703.703704</v>
          </cell>
          <cell r="AU57">
            <v>333196296.296296</v>
          </cell>
          <cell r="AV57">
            <v>343311111.11111099</v>
          </cell>
          <cell r="AW57">
            <v>367200000</v>
          </cell>
          <cell r="AX57">
            <v>364255555.555556</v>
          </cell>
          <cell r="AY57">
            <v>390251851.851852</v>
          </cell>
          <cell r="AZ57">
            <v>421374074.07407397</v>
          </cell>
          <cell r="BA57">
            <v>458188888.88888901</v>
          </cell>
          <cell r="BB57">
            <v>489074074.07407397</v>
          </cell>
          <cell r="BC57">
            <v>493825925.92592603</v>
          </cell>
          <cell r="BD57">
            <v>501025925.92592603</v>
          </cell>
          <cell r="BE57">
            <v>485996296.296296</v>
          </cell>
          <cell r="BF57">
            <v>498296296.296296</v>
          </cell>
          <cell r="BG57">
            <v>520207407.40740699</v>
          </cell>
          <cell r="BH57">
            <v>540737037.03703701</v>
          </cell>
          <cell r="BI57">
            <v>576229629.62962997</v>
          </cell>
          <cell r="BJ57">
            <v>519837037.03703701</v>
          </cell>
          <cell r="BK57">
            <v>550622222.22222197</v>
          </cell>
          <cell r="BL57">
            <v>611537037.03703701</v>
          </cell>
          <cell r="BM57">
            <v>504214814.81481498</v>
          </cell>
          <cell r="BN57">
            <v>504214814.81481498</v>
          </cell>
        </row>
        <row r="58">
          <cell r="B58" t="str">
            <v>DOM</v>
          </cell>
          <cell r="C58" t="str">
            <v>GDP (current US$)</v>
          </cell>
          <cell r="D58" t="str">
            <v>NY.GDP.MKTP.CD</v>
          </cell>
          <cell r="E58">
            <v>672399700</v>
          </cell>
          <cell r="F58">
            <v>654100200</v>
          </cell>
          <cell r="G58">
            <v>824100000</v>
          </cell>
          <cell r="H58">
            <v>940799900</v>
          </cell>
          <cell r="I58">
            <v>1025599900</v>
          </cell>
          <cell r="J58">
            <v>888100000</v>
          </cell>
          <cell r="K58">
            <v>983900000</v>
          </cell>
          <cell r="L58">
            <v>1034800000</v>
          </cell>
          <cell r="M58">
            <v>1079100000</v>
          </cell>
          <cell r="N58">
            <v>1230500000</v>
          </cell>
          <cell r="O58">
            <v>1485500000</v>
          </cell>
          <cell r="P58">
            <v>1666500000</v>
          </cell>
          <cell r="Q58">
            <v>1987400000</v>
          </cell>
          <cell r="R58">
            <v>2344800000</v>
          </cell>
          <cell r="S58">
            <v>2925700000</v>
          </cell>
          <cell r="T58">
            <v>3599200000</v>
          </cell>
          <cell r="U58">
            <v>3951500000</v>
          </cell>
          <cell r="V58">
            <v>4587100000</v>
          </cell>
          <cell r="W58">
            <v>4734400000</v>
          </cell>
          <cell r="X58">
            <v>5498800000</v>
          </cell>
          <cell r="Y58">
            <v>6761300000</v>
          </cell>
          <cell r="Z58">
            <v>7561300000</v>
          </cell>
          <cell r="AA58">
            <v>8267400000</v>
          </cell>
          <cell r="AB58">
            <v>9220600000</v>
          </cell>
          <cell r="AC58">
            <v>11594000000</v>
          </cell>
          <cell r="AD58">
            <v>5044592944.8049898</v>
          </cell>
          <cell r="AE58">
            <v>6122198120.0289202</v>
          </cell>
          <cell r="AF58">
            <v>5826987099.4590101</v>
          </cell>
          <cell r="AG58">
            <v>5374314928.4253597</v>
          </cell>
          <cell r="AH58">
            <v>6686593059.9369097</v>
          </cell>
          <cell r="AI58">
            <v>7073675544.8084698</v>
          </cell>
          <cell r="AJ58">
            <v>9824498183.0326309</v>
          </cell>
          <cell r="AK58">
            <v>11605382504</v>
          </cell>
          <cell r="AL58">
            <v>13081042400</v>
          </cell>
          <cell r="AM58">
            <v>14644711384.8202</v>
          </cell>
          <cell r="AN58">
            <v>16637370839.160801</v>
          </cell>
          <cell r="AO58">
            <v>18241691857.354401</v>
          </cell>
          <cell r="AP58">
            <v>20017480054.834</v>
          </cell>
          <cell r="AQ58">
            <v>21672231760.649101</v>
          </cell>
          <cell r="AR58">
            <v>22136621337.088902</v>
          </cell>
          <cell r="AS58">
            <v>24305717541.6371</v>
          </cell>
          <cell r="AT58">
            <v>25601765400.515301</v>
          </cell>
          <cell r="AU58">
            <v>27137508656.8522</v>
          </cell>
          <cell r="AV58">
            <v>21403167848.144402</v>
          </cell>
          <cell r="AW58">
            <v>22322395368.027401</v>
          </cell>
          <cell r="AX58">
            <v>35777570135.522499</v>
          </cell>
          <cell r="AY58">
            <v>37879869897.897903</v>
          </cell>
          <cell r="AZ58">
            <v>43965420072.410698</v>
          </cell>
          <cell r="BA58">
            <v>48122547177.188103</v>
          </cell>
          <cell r="BB58">
            <v>48261033298.213303</v>
          </cell>
          <cell r="BC58">
            <v>53860175555.996101</v>
          </cell>
          <cell r="BD58">
            <v>58029750745.649498</v>
          </cell>
          <cell r="BE58">
            <v>60681537195.799599</v>
          </cell>
          <cell r="BF58">
            <v>62682163837.347</v>
          </cell>
          <cell r="BG58">
            <v>67179914026.962303</v>
          </cell>
          <cell r="BH58">
            <v>71164825256.684906</v>
          </cell>
          <cell r="BI58">
            <v>75704720189.560699</v>
          </cell>
          <cell r="BJ58">
            <v>79997975621.865402</v>
          </cell>
          <cell r="BK58">
            <v>85555378042.819595</v>
          </cell>
          <cell r="BL58">
            <v>88941299733.501801</v>
          </cell>
          <cell r="BM58">
            <v>78844702329.078506</v>
          </cell>
          <cell r="BN58">
            <v>78844702329.078506</v>
          </cell>
        </row>
        <row r="59">
          <cell r="B59" t="str">
            <v>ECU</v>
          </cell>
          <cell r="C59" t="str">
            <v>GDP (current US$)</v>
          </cell>
          <cell r="D59" t="str">
            <v>NY.GDP.MKTP.CD</v>
          </cell>
          <cell r="E59">
            <v>2069465326.4188199</v>
          </cell>
          <cell r="F59">
            <v>1753850416.7082601</v>
          </cell>
          <cell r="G59">
            <v>1518208221.23052</v>
          </cell>
          <cell r="H59">
            <v>1824344492.0716901</v>
          </cell>
          <cell r="I59">
            <v>2244146867.9019499</v>
          </cell>
          <cell r="J59">
            <v>2387048255.4517298</v>
          </cell>
          <cell r="K59">
            <v>2429309513.8085399</v>
          </cell>
          <cell r="L59">
            <v>2553596091.8225799</v>
          </cell>
          <cell r="M59">
            <v>2582180794.1855001</v>
          </cell>
          <cell r="N59">
            <v>3112166848.3003998</v>
          </cell>
          <cell r="O59">
            <v>2862504169.99893</v>
          </cell>
          <cell r="P59">
            <v>2754220263.02528</v>
          </cell>
          <cell r="Q59">
            <v>3185987234.8408899</v>
          </cell>
          <cell r="R59">
            <v>3891755551.94138</v>
          </cell>
          <cell r="S59">
            <v>6599259420.9960499</v>
          </cell>
          <cell r="T59">
            <v>7731677256.8098202</v>
          </cell>
          <cell r="U59">
            <v>9091924304.8347702</v>
          </cell>
          <cell r="V59">
            <v>11026346589.501101</v>
          </cell>
          <cell r="W59">
            <v>11922502170.640499</v>
          </cell>
          <cell r="X59">
            <v>14175166007.5774</v>
          </cell>
          <cell r="Y59">
            <v>17881514682.878399</v>
          </cell>
          <cell r="Z59">
            <v>21810767209.369499</v>
          </cell>
          <cell r="AA59">
            <v>19929853574.609501</v>
          </cell>
          <cell r="AB59">
            <v>17152483214.3536</v>
          </cell>
          <cell r="AC59">
            <v>16912515183.278299</v>
          </cell>
          <cell r="AD59">
            <v>17149094589.9827</v>
          </cell>
          <cell r="AE59">
            <v>15314143988.062099</v>
          </cell>
          <cell r="AF59">
            <v>13945431882.2271</v>
          </cell>
          <cell r="AG59">
            <v>13051886552.3377</v>
          </cell>
          <cell r="AH59">
            <v>13890828707.6493</v>
          </cell>
          <cell r="AI59">
            <v>15239278100.350201</v>
          </cell>
          <cell r="AJ59">
            <v>16988535267.633801</v>
          </cell>
          <cell r="AK59">
            <v>18094238119.059502</v>
          </cell>
          <cell r="AL59">
            <v>18938717358.679298</v>
          </cell>
          <cell r="AM59">
            <v>22708673336.668301</v>
          </cell>
          <cell r="AN59">
            <v>24432884442.2211</v>
          </cell>
          <cell r="AO59">
            <v>25226393196.598301</v>
          </cell>
          <cell r="AP59">
            <v>28162053026.513302</v>
          </cell>
          <cell r="AQ59">
            <v>27981896948.474201</v>
          </cell>
          <cell r="AR59">
            <v>19645272636.318199</v>
          </cell>
          <cell r="AS59">
            <v>18327764882.4412</v>
          </cell>
          <cell r="AT59">
            <v>24468324000</v>
          </cell>
          <cell r="AU59">
            <v>28548945000</v>
          </cell>
          <cell r="AV59">
            <v>32432858000</v>
          </cell>
          <cell r="AW59">
            <v>36591661000</v>
          </cell>
          <cell r="AX59">
            <v>41507085000</v>
          </cell>
          <cell r="AY59">
            <v>46802044000</v>
          </cell>
          <cell r="AZ59">
            <v>51007777000</v>
          </cell>
          <cell r="BA59">
            <v>61762635000</v>
          </cell>
          <cell r="BB59">
            <v>62519686000</v>
          </cell>
          <cell r="BC59">
            <v>69555367000</v>
          </cell>
          <cell r="BD59">
            <v>79276664000</v>
          </cell>
          <cell r="BE59">
            <v>87924544000</v>
          </cell>
          <cell r="BF59">
            <v>95129659000</v>
          </cell>
          <cell r="BG59">
            <v>101726331000</v>
          </cell>
          <cell r="BH59">
            <v>99290381000</v>
          </cell>
          <cell r="BI59">
            <v>99937696000</v>
          </cell>
          <cell r="BJ59">
            <v>104295862000</v>
          </cell>
          <cell r="BK59">
            <v>107562008000</v>
          </cell>
          <cell r="BL59">
            <v>108108009000</v>
          </cell>
          <cell r="BM59">
            <v>98808010000</v>
          </cell>
          <cell r="BN59">
            <v>98808010000</v>
          </cell>
        </row>
        <row r="60">
          <cell r="B60" t="str">
            <v>EGY</v>
          </cell>
          <cell r="C60" t="str">
            <v>GDP (current US$)</v>
          </cell>
          <cell r="D60" t="str">
            <v>NY.GDP.MKTP.CD</v>
          </cell>
          <cell r="E60" t="str">
            <v>..</v>
          </cell>
          <cell r="F60" t="str">
            <v>..</v>
          </cell>
          <cell r="G60" t="str">
            <v>..</v>
          </cell>
          <cell r="H60" t="str">
            <v>..</v>
          </cell>
          <cell r="I60" t="str">
            <v>..</v>
          </cell>
          <cell r="J60">
            <v>4948667540.4106598</v>
          </cell>
          <cell r="K60">
            <v>5278005611.9145298</v>
          </cell>
          <cell r="L60">
            <v>5605484298.9827499</v>
          </cell>
          <cell r="M60">
            <v>5932242990.6542101</v>
          </cell>
          <cell r="N60">
            <v>6524455205.8111401</v>
          </cell>
          <cell r="O60">
            <v>8042200452.1477003</v>
          </cell>
          <cell r="P60">
            <v>8609283346.0851803</v>
          </cell>
          <cell r="Q60">
            <v>9299638055.8428097</v>
          </cell>
          <cell r="R60">
            <v>10098534613.441099</v>
          </cell>
          <cell r="S60">
            <v>9228963224.6000404</v>
          </cell>
          <cell r="T60">
            <v>11632178868.917101</v>
          </cell>
          <cell r="U60">
            <v>13315988083.4161</v>
          </cell>
          <cell r="V60">
            <v>14400806875.9867</v>
          </cell>
          <cell r="W60">
            <v>14811704063.068501</v>
          </cell>
          <cell r="X60">
            <v>18020571428.5714</v>
          </cell>
          <cell r="Y60">
            <v>21669908177.066399</v>
          </cell>
          <cell r="Z60">
            <v>22136081081.0811</v>
          </cell>
          <cell r="AA60">
            <v>27655172413.793098</v>
          </cell>
          <cell r="AB60">
            <v>30966239813.7369</v>
          </cell>
          <cell r="AC60">
            <v>33971188991.6147</v>
          </cell>
          <cell r="AD60">
            <v>39053502251.073196</v>
          </cell>
          <cell r="AE60">
            <v>41253507951.3564</v>
          </cell>
          <cell r="AF60">
            <v>40455616653.574203</v>
          </cell>
          <cell r="AG60">
            <v>34980124929.017601</v>
          </cell>
          <cell r="AH60">
            <v>39756299049.979301</v>
          </cell>
          <cell r="AI60">
            <v>42978914311.350403</v>
          </cell>
          <cell r="AJ60">
            <v>37387836490.528397</v>
          </cell>
          <cell r="AK60">
            <v>41855986519.4235</v>
          </cell>
          <cell r="AL60">
            <v>46578631452.581001</v>
          </cell>
          <cell r="AM60">
            <v>51897983392.645302</v>
          </cell>
          <cell r="AN60">
            <v>60159245060.454102</v>
          </cell>
          <cell r="AO60">
            <v>67629716981.132103</v>
          </cell>
          <cell r="AP60">
            <v>78436578171.0914</v>
          </cell>
          <cell r="AQ60">
            <v>84828807556.080307</v>
          </cell>
          <cell r="AR60">
            <v>90710704806.841599</v>
          </cell>
          <cell r="AS60">
            <v>99838543960.076294</v>
          </cell>
          <cell r="AT60">
            <v>96684636118.598404</v>
          </cell>
          <cell r="AU60">
            <v>85146067415.730301</v>
          </cell>
          <cell r="AV60">
            <v>80288461538.461502</v>
          </cell>
          <cell r="AW60">
            <v>78782467532.467499</v>
          </cell>
          <cell r="AX60">
            <v>89600665557.404297</v>
          </cell>
          <cell r="AY60">
            <v>107426086956.522</v>
          </cell>
          <cell r="AZ60">
            <v>130437828371.278</v>
          </cell>
          <cell r="BA60">
            <v>162818181818.18201</v>
          </cell>
          <cell r="BB60">
            <v>189147005444.646</v>
          </cell>
          <cell r="BC60">
            <v>218983666061.70599</v>
          </cell>
          <cell r="BD60">
            <v>235989672977.625</v>
          </cell>
          <cell r="BE60">
            <v>279116666666.66699</v>
          </cell>
          <cell r="BF60">
            <v>288434108527.13202</v>
          </cell>
          <cell r="BG60">
            <v>305595408895.26501</v>
          </cell>
          <cell r="BH60">
            <v>329366576819.40698</v>
          </cell>
          <cell r="BI60">
            <v>332441717791.41101</v>
          </cell>
          <cell r="BJ60">
            <v>235733695652.17401</v>
          </cell>
          <cell r="BK60">
            <v>249712999437.254</v>
          </cell>
          <cell r="BL60">
            <v>303080865603.64502</v>
          </cell>
          <cell r="BM60">
            <v>365252651278.85199</v>
          </cell>
          <cell r="BN60">
            <v>365252651278.85199</v>
          </cell>
        </row>
        <row r="61">
          <cell r="B61" t="str">
            <v>SLV</v>
          </cell>
          <cell r="C61" t="str">
            <v>GDP (current US$)</v>
          </cell>
          <cell r="D61" t="str">
            <v>NY.GDP.MKTP.CD</v>
          </cell>
          <cell r="E61" t="str">
            <v>..</v>
          </cell>
          <cell r="F61" t="str">
            <v>..</v>
          </cell>
          <cell r="G61" t="str">
            <v>..</v>
          </cell>
          <cell r="H61" t="str">
            <v>..</v>
          </cell>
          <cell r="I61" t="str">
            <v>..</v>
          </cell>
          <cell r="J61">
            <v>877720000</v>
          </cell>
          <cell r="K61">
            <v>929520000</v>
          </cell>
          <cell r="L61">
            <v>976200000</v>
          </cell>
          <cell r="M61">
            <v>1009760100</v>
          </cell>
          <cell r="N61">
            <v>1049400000</v>
          </cell>
          <cell r="O61">
            <v>1132920000</v>
          </cell>
          <cell r="P61">
            <v>1186120000</v>
          </cell>
          <cell r="Q61">
            <v>1263720000</v>
          </cell>
          <cell r="R61">
            <v>1442320000</v>
          </cell>
          <cell r="S61">
            <v>1665880000</v>
          </cell>
          <cell r="T61">
            <v>1884120100</v>
          </cell>
          <cell r="U61">
            <v>2328280100</v>
          </cell>
          <cell r="V61">
            <v>2941640100</v>
          </cell>
          <cell r="W61">
            <v>3127960000</v>
          </cell>
          <cell r="X61">
            <v>3463639900</v>
          </cell>
          <cell r="Y61">
            <v>3573959900</v>
          </cell>
          <cell r="Z61">
            <v>3437200200</v>
          </cell>
          <cell r="AA61">
            <v>3399189100</v>
          </cell>
          <cell r="AB61">
            <v>3506347800</v>
          </cell>
          <cell r="AC61">
            <v>3661683400</v>
          </cell>
          <cell r="AD61">
            <v>3800368600</v>
          </cell>
          <cell r="AE61">
            <v>3771663200</v>
          </cell>
          <cell r="AF61">
            <v>3958045800</v>
          </cell>
          <cell r="AG61">
            <v>4189880000</v>
          </cell>
          <cell r="AH61">
            <v>4372215300</v>
          </cell>
          <cell r="AI61">
            <v>4817542204.0267296</v>
          </cell>
          <cell r="AJ61">
            <v>5252342400</v>
          </cell>
          <cell r="AK61">
            <v>5813399300</v>
          </cell>
          <cell r="AL61">
            <v>6680269200</v>
          </cell>
          <cell r="AM61">
            <v>7679384000</v>
          </cell>
          <cell r="AN61">
            <v>8921947100</v>
          </cell>
          <cell r="AO61">
            <v>9586327800</v>
          </cell>
          <cell r="AP61">
            <v>10221705900</v>
          </cell>
          <cell r="AQ61">
            <v>10936669900</v>
          </cell>
          <cell r="AR61">
            <v>11284197000</v>
          </cell>
          <cell r="AS61">
            <v>11784927700</v>
          </cell>
          <cell r="AT61">
            <v>12282533600</v>
          </cell>
          <cell r="AU61">
            <v>12664190300</v>
          </cell>
          <cell r="AV61">
            <v>13243892200</v>
          </cell>
          <cell r="AW61">
            <v>13724810900</v>
          </cell>
          <cell r="AX61">
            <v>14698000000</v>
          </cell>
          <cell r="AY61">
            <v>15999890000</v>
          </cell>
          <cell r="AZ61">
            <v>17011750000</v>
          </cell>
          <cell r="BA61">
            <v>17986890000</v>
          </cell>
          <cell r="BB61">
            <v>17601620000</v>
          </cell>
          <cell r="BC61">
            <v>18447920000</v>
          </cell>
          <cell r="BD61">
            <v>20283780000</v>
          </cell>
          <cell r="BE61">
            <v>21386150000</v>
          </cell>
          <cell r="BF61">
            <v>21990960000</v>
          </cell>
          <cell r="BG61">
            <v>22593470000</v>
          </cell>
          <cell r="BH61">
            <v>23438240000</v>
          </cell>
          <cell r="BI61">
            <v>24191430000</v>
          </cell>
          <cell r="BJ61">
            <v>24979190000</v>
          </cell>
          <cell r="BK61">
            <v>26020850000</v>
          </cell>
          <cell r="BL61">
            <v>26896660000</v>
          </cell>
          <cell r="BM61">
            <v>24638720000</v>
          </cell>
          <cell r="BN61">
            <v>24638720000</v>
          </cell>
        </row>
        <row r="62">
          <cell r="B62" t="str">
            <v>GNQ</v>
          </cell>
          <cell r="C62" t="str">
            <v>GDP (current US$)</v>
          </cell>
          <cell r="D62" t="str">
            <v>NY.GDP.MKTP.CD</v>
          </cell>
          <cell r="E62" t="str">
            <v>..</v>
          </cell>
          <cell r="F62" t="str">
            <v>..</v>
          </cell>
          <cell r="G62">
            <v>9122751.4531834498</v>
          </cell>
          <cell r="H62">
            <v>10840095.1283649</v>
          </cell>
          <cell r="I62">
            <v>12712471.3960211</v>
          </cell>
          <cell r="J62">
            <v>64748333.333333299</v>
          </cell>
          <cell r="K62">
            <v>69110000</v>
          </cell>
          <cell r="L62">
            <v>72317446.932719305</v>
          </cell>
          <cell r="M62">
            <v>67514285.714285702</v>
          </cell>
          <cell r="N62">
            <v>67225714.285714298</v>
          </cell>
          <cell r="O62">
            <v>66331428.571428597</v>
          </cell>
          <cell r="P62">
            <v>64946954.756797999</v>
          </cell>
          <cell r="Q62">
            <v>65429198.238707997</v>
          </cell>
          <cell r="R62">
            <v>81203226.913834497</v>
          </cell>
          <cell r="S62">
            <v>94159862.707369104</v>
          </cell>
          <cell r="T62">
            <v>104295643.388437</v>
          </cell>
          <cell r="U62">
            <v>103653049.93797</v>
          </cell>
          <cell r="V62">
            <v>103987520.075827</v>
          </cell>
          <cell r="W62" t="str">
            <v>..</v>
          </cell>
          <cell r="X62" t="str">
            <v>..</v>
          </cell>
          <cell r="Y62">
            <v>50642880.773750298</v>
          </cell>
          <cell r="Z62">
            <v>36731422.845691398</v>
          </cell>
          <cell r="AA62">
            <v>44294647.733479001</v>
          </cell>
          <cell r="AB62">
            <v>44442456.947640002</v>
          </cell>
          <cell r="AC62">
            <v>50320914.406568803</v>
          </cell>
          <cell r="AD62">
            <v>62118564.849542499</v>
          </cell>
          <cell r="AE62">
            <v>76407396.755296394</v>
          </cell>
          <cell r="AF62">
            <v>93345847.7270322</v>
          </cell>
          <cell r="AG62">
            <v>100534663.294927</v>
          </cell>
          <cell r="AH62">
            <v>88265974.584360301</v>
          </cell>
          <cell r="AI62">
            <v>112119406.54833101</v>
          </cell>
          <cell r="AJ62">
            <v>110906032.075075</v>
          </cell>
          <cell r="AK62">
            <v>134707184.35554099</v>
          </cell>
          <cell r="AL62">
            <v>136047896.15577799</v>
          </cell>
          <cell r="AM62">
            <v>100807001.813926</v>
          </cell>
          <cell r="AN62">
            <v>141853368.25681499</v>
          </cell>
          <cell r="AO62">
            <v>232463036.43575901</v>
          </cell>
          <cell r="AP62">
            <v>442337849.47437698</v>
          </cell>
          <cell r="AQ62">
            <v>370687618.71732599</v>
          </cell>
          <cell r="AR62">
            <v>621117885.66850305</v>
          </cell>
          <cell r="AS62">
            <v>1045998496.43872</v>
          </cell>
          <cell r="AT62">
            <v>1461139022.0295401</v>
          </cell>
          <cell r="AU62">
            <v>1806742742.2731099</v>
          </cell>
          <cell r="AV62">
            <v>2484745935.0932899</v>
          </cell>
          <cell r="AW62">
            <v>4410764338.6673298</v>
          </cell>
          <cell r="AX62">
            <v>8217369092.6522398</v>
          </cell>
          <cell r="AY62">
            <v>10086528698.860399</v>
          </cell>
          <cell r="AZ62">
            <v>13071718758.737301</v>
          </cell>
          <cell r="BA62">
            <v>19749893536.3204</v>
          </cell>
          <cell r="BB62">
            <v>15027795173.2187</v>
          </cell>
          <cell r="BC62">
            <v>16314443428.9408</v>
          </cell>
          <cell r="BD62">
            <v>21357343681.896599</v>
          </cell>
          <cell r="BE62">
            <v>22388344123.9916</v>
          </cell>
          <cell r="BF62">
            <v>21948834290.353802</v>
          </cell>
          <cell r="BG62">
            <v>21765453087.4795</v>
          </cell>
          <cell r="BH62">
            <v>13185496881.4055</v>
          </cell>
          <cell r="BI62">
            <v>11240808846.692801</v>
          </cell>
          <cell r="BJ62">
            <v>12200913887.641899</v>
          </cell>
          <cell r="BK62">
            <v>13097012189.3995</v>
          </cell>
          <cell r="BL62">
            <v>11417278044.985901</v>
          </cell>
          <cell r="BM62">
            <v>10021856754.4944</v>
          </cell>
          <cell r="BN62">
            <v>10021856754.4944</v>
          </cell>
        </row>
        <row r="63">
          <cell r="B63" t="str">
            <v>ERI</v>
          </cell>
          <cell r="C63" t="str">
            <v>GDP (current US$)</v>
          </cell>
          <cell r="D63" t="str">
            <v>NY.GDP.MKTP.CD</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v>477101651.64837599</v>
          </cell>
          <cell r="AL63">
            <v>467872714.75560302</v>
          </cell>
          <cell r="AM63">
            <v>531688311.68831199</v>
          </cell>
          <cell r="AN63">
            <v>578015625</v>
          </cell>
          <cell r="AO63">
            <v>693535954.19006705</v>
          </cell>
          <cell r="AP63">
            <v>686490090.14014101</v>
          </cell>
          <cell r="AQ63">
            <v>745526154.93282998</v>
          </cell>
          <cell r="AR63">
            <v>688921325.71204305</v>
          </cell>
          <cell r="AS63">
            <v>706370815.58441603</v>
          </cell>
          <cell r="AT63">
            <v>752368495.512622</v>
          </cell>
          <cell r="AU63">
            <v>729321366.65186095</v>
          </cell>
          <cell r="AV63">
            <v>870247703.18275797</v>
          </cell>
          <cell r="AW63">
            <v>1109054005.4397099</v>
          </cell>
          <cell r="AX63">
            <v>1098425900.7411599</v>
          </cell>
          <cell r="AY63">
            <v>1211161879.6747999</v>
          </cell>
          <cell r="AZ63">
            <v>1317974491.05691</v>
          </cell>
          <cell r="BA63">
            <v>1380188800</v>
          </cell>
          <cell r="BB63">
            <v>1856695551.2195101</v>
          </cell>
          <cell r="BC63">
            <v>1589515447.15447</v>
          </cell>
          <cell r="BD63">
            <v>2065001626.0162599</v>
          </cell>
          <cell r="BE63" t="str">
            <v>..</v>
          </cell>
          <cell r="BF63" t="str">
            <v>..</v>
          </cell>
          <cell r="BG63" t="str">
            <v>..</v>
          </cell>
          <cell r="BH63" t="str">
            <v>..</v>
          </cell>
          <cell r="BI63" t="str">
            <v>..</v>
          </cell>
          <cell r="BJ63" t="str">
            <v>..</v>
          </cell>
          <cell r="BK63" t="str">
            <v>..</v>
          </cell>
          <cell r="BL63" t="str">
            <v>..</v>
          </cell>
          <cell r="BM63" t="str">
            <v>..</v>
          </cell>
          <cell r="BN63" t="str">
            <v/>
          </cell>
        </row>
        <row r="64">
          <cell r="B64" t="str">
            <v>EST</v>
          </cell>
          <cell r="C64" t="str">
            <v>GDP (current US$)</v>
          </cell>
          <cell r="D64" t="str">
            <v>NY.GDP.MKTP.CD</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v>4502970889.0637302</v>
          </cell>
          <cell r="AO64">
            <v>4786018988.1649103</v>
          </cell>
          <cell r="AP64">
            <v>5154420649.2335396</v>
          </cell>
          <cell r="AQ64">
            <v>5674080542.8857498</v>
          </cell>
          <cell r="AR64">
            <v>5756912265.75809</v>
          </cell>
          <cell r="AS64">
            <v>5686579747.5352402</v>
          </cell>
          <cell r="AT64">
            <v>6254649538.98487</v>
          </cell>
          <cell r="AU64">
            <v>7367975887.7272301</v>
          </cell>
          <cell r="AV64">
            <v>9874013098.4643192</v>
          </cell>
          <cell r="AW64">
            <v>12145911801.242201</v>
          </cell>
          <cell r="AX64">
            <v>14106790200.2239</v>
          </cell>
          <cell r="AY64">
            <v>17022870405.218901</v>
          </cell>
          <cell r="AZ64">
            <v>22449129482.617001</v>
          </cell>
          <cell r="BA64">
            <v>24341678628.973202</v>
          </cell>
          <cell r="BB64">
            <v>19633031397.610401</v>
          </cell>
          <cell r="BC64">
            <v>19523477325.623501</v>
          </cell>
          <cell r="BD64">
            <v>23183616045.5168</v>
          </cell>
          <cell r="BE64">
            <v>23020466784.611198</v>
          </cell>
          <cell r="BF64">
            <v>25108615091.9884</v>
          </cell>
          <cell r="BG64">
            <v>26598657880.548599</v>
          </cell>
          <cell r="BH64">
            <v>22881558191.852299</v>
          </cell>
          <cell r="BI64">
            <v>24056487770.897999</v>
          </cell>
          <cell r="BJ64">
            <v>26857880621.935001</v>
          </cell>
          <cell r="BK64">
            <v>30474612057.448399</v>
          </cell>
          <cell r="BL64">
            <v>31045591753.490101</v>
          </cell>
          <cell r="BM64">
            <v>30650285471.7215</v>
          </cell>
          <cell r="BN64">
            <v>30650285471.7215</v>
          </cell>
        </row>
        <row r="65">
          <cell r="B65" t="str">
            <v>SWZ</v>
          </cell>
          <cell r="C65" t="str">
            <v>GDP (current US$)</v>
          </cell>
          <cell r="D65" t="str">
            <v>NY.GDP.MKTP.CD</v>
          </cell>
          <cell r="E65">
            <v>35076158.476830497</v>
          </cell>
          <cell r="F65">
            <v>43025199.496010102</v>
          </cell>
          <cell r="G65">
            <v>45927061.458770797</v>
          </cell>
          <cell r="H65">
            <v>54128377.4324513</v>
          </cell>
          <cell r="I65">
            <v>64979280.414391696</v>
          </cell>
          <cell r="J65">
            <v>70278594.428111404</v>
          </cell>
          <cell r="K65">
            <v>76858462.830743402</v>
          </cell>
          <cell r="L65">
            <v>74758504.829903394</v>
          </cell>
          <cell r="M65">
            <v>79798404.031919405</v>
          </cell>
          <cell r="N65">
            <v>105417891.642167</v>
          </cell>
          <cell r="O65">
            <v>112137757.244855</v>
          </cell>
          <cell r="P65">
            <v>136465324.38478699</v>
          </cell>
          <cell r="Q65">
            <v>146741251.46351001</v>
          </cell>
          <cell r="R65">
            <v>221902017.29106599</v>
          </cell>
          <cell r="S65">
            <v>264311994.11331901</v>
          </cell>
          <cell r="T65">
            <v>288302907.36984402</v>
          </cell>
          <cell r="U65">
            <v>272539098.43606299</v>
          </cell>
          <cell r="V65">
            <v>304047838.08647698</v>
          </cell>
          <cell r="W65">
            <v>340616375.34498602</v>
          </cell>
          <cell r="X65">
            <v>412093133.760988</v>
          </cell>
          <cell r="Y65">
            <v>542000513.61068296</v>
          </cell>
          <cell r="Z65">
            <v>570761166.81859601</v>
          </cell>
          <cell r="AA65">
            <v>537575980.84361804</v>
          </cell>
          <cell r="AB65">
            <v>555336145.76788402</v>
          </cell>
          <cell r="AC65">
            <v>494475699.857656</v>
          </cell>
          <cell r="AD65">
            <v>360075380.266523</v>
          </cell>
          <cell r="AE65">
            <v>449146608.31509799</v>
          </cell>
          <cell r="AF65">
            <v>584135559.92141402</v>
          </cell>
          <cell r="AG65">
            <v>692016714.317132</v>
          </cell>
          <cell r="AH65">
            <v>696915430.66305697</v>
          </cell>
          <cell r="AI65">
            <v>1114703088.1614001</v>
          </cell>
          <cell r="AJ65">
            <v>1156141998.33412</v>
          </cell>
          <cell r="AK65">
            <v>1284766234.2216001</v>
          </cell>
          <cell r="AL65">
            <v>1357206995.7462399</v>
          </cell>
          <cell r="AM65">
            <v>1419293454.9960599</v>
          </cell>
          <cell r="AN65">
            <v>1698982437.76019</v>
          </cell>
          <cell r="AO65">
            <v>1602760100.4814701</v>
          </cell>
          <cell r="AP65">
            <v>1716699913.1944399</v>
          </cell>
          <cell r="AQ65">
            <v>1576904292.4588001</v>
          </cell>
          <cell r="AR65">
            <v>1547884442.2620499</v>
          </cell>
          <cell r="AS65">
            <v>1738100853.0505199</v>
          </cell>
          <cell r="AT65">
            <v>1542477308.8940799</v>
          </cell>
          <cell r="AU65">
            <v>1432228125.26682</v>
          </cell>
          <cell r="AV65">
            <v>2197612701.0985198</v>
          </cell>
          <cell r="AW65">
            <v>2770082791.5041199</v>
          </cell>
          <cell r="AX65">
            <v>3178126491.9094901</v>
          </cell>
          <cell r="AY65">
            <v>3291353835.9299998</v>
          </cell>
          <cell r="AZ65">
            <v>3469363996.3664198</v>
          </cell>
          <cell r="BA65">
            <v>3294093485.2079601</v>
          </cell>
          <cell r="BB65">
            <v>3580417066.9247198</v>
          </cell>
          <cell r="BC65">
            <v>4438778424.3020296</v>
          </cell>
          <cell r="BD65">
            <v>4820499924.2538996</v>
          </cell>
          <cell r="BE65">
            <v>4886533032.8867197</v>
          </cell>
          <cell r="BF65">
            <v>4597532029.7045097</v>
          </cell>
          <cell r="BG65">
            <v>4422968339.6758404</v>
          </cell>
          <cell r="BH65">
            <v>4063245671.29285</v>
          </cell>
          <cell r="BI65">
            <v>3816022046.82656</v>
          </cell>
          <cell r="BJ65">
            <v>4402969225.9216499</v>
          </cell>
          <cell r="BK65">
            <v>4665420238.5178404</v>
          </cell>
          <cell r="BL65">
            <v>4495679480.9688597</v>
          </cell>
          <cell r="BM65">
            <v>3972728948.47088</v>
          </cell>
          <cell r="BN65">
            <v>3972728948.47088</v>
          </cell>
        </row>
        <row r="66">
          <cell r="B66" t="str">
            <v>ETH</v>
          </cell>
          <cell r="C66" t="str">
            <v>GDP (current US$)</v>
          </cell>
          <cell r="D66" t="str">
            <v>NY.GDP.MKTP.CD</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v>7324903188.4057999</v>
          </cell>
          <cell r="AA66">
            <v>7707678019.3236704</v>
          </cell>
          <cell r="AB66">
            <v>8567890821.2560396</v>
          </cell>
          <cell r="AC66">
            <v>8096302367.1497602</v>
          </cell>
          <cell r="AD66">
            <v>9480840483.0917892</v>
          </cell>
          <cell r="AE66">
            <v>9848600869.5652199</v>
          </cell>
          <cell r="AF66">
            <v>10527338647.343</v>
          </cell>
          <cell r="AG66">
            <v>10908935748.792299</v>
          </cell>
          <cell r="AH66">
            <v>11476584879.2271</v>
          </cell>
          <cell r="AI66">
            <v>12175166763.285</v>
          </cell>
          <cell r="AJ66">
            <v>13463868357.4879</v>
          </cell>
          <cell r="AK66">
            <v>10492993077.609301</v>
          </cell>
          <cell r="AL66">
            <v>8830712713.9078102</v>
          </cell>
          <cell r="AM66">
            <v>6927950564.5565701</v>
          </cell>
          <cell r="AN66">
            <v>7663984567.9012299</v>
          </cell>
          <cell r="AO66">
            <v>8547939730.6237402</v>
          </cell>
          <cell r="AP66">
            <v>8589211390.4961205</v>
          </cell>
          <cell r="AQ66">
            <v>7818224905.5507097</v>
          </cell>
          <cell r="AR66">
            <v>7700833482.0061502</v>
          </cell>
          <cell r="AS66">
            <v>8242392103.6806097</v>
          </cell>
          <cell r="AT66">
            <v>8231326016.4749403</v>
          </cell>
          <cell r="AU66">
            <v>7850809498.1680298</v>
          </cell>
          <cell r="AV66">
            <v>8623691300.0407906</v>
          </cell>
          <cell r="AW66">
            <v>10131187261.442101</v>
          </cell>
          <cell r="AX66">
            <v>12401139453.973801</v>
          </cell>
          <cell r="AY66">
            <v>15280861834.6024</v>
          </cell>
          <cell r="AZ66">
            <v>19707616772.799599</v>
          </cell>
          <cell r="BA66">
            <v>27066912635.222801</v>
          </cell>
          <cell r="BB66">
            <v>32437389116.037998</v>
          </cell>
          <cell r="BC66">
            <v>29933790334.341801</v>
          </cell>
          <cell r="BD66">
            <v>31952763089.330002</v>
          </cell>
          <cell r="BE66">
            <v>43310721414.082901</v>
          </cell>
          <cell r="BF66">
            <v>47648211133.2183</v>
          </cell>
          <cell r="BG66">
            <v>55612228233.517899</v>
          </cell>
          <cell r="BH66">
            <v>64589334978.8013</v>
          </cell>
          <cell r="BI66">
            <v>74296618481.088196</v>
          </cell>
          <cell r="BJ66">
            <v>81770791970.981995</v>
          </cell>
          <cell r="BK66">
            <v>84269348327.345398</v>
          </cell>
          <cell r="BL66">
            <v>95912590628.141205</v>
          </cell>
          <cell r="BM66">
            <v>107645054311.87601</v>
          </cell>
          <cell r="BN66">
            <v>107645054311.87601</v>
          </cell>
        </row>
        <row r="67">
          <cell r="B67" t="str">
            <v>FRO</v>
          </cell>
          <cell r="C67" t="str">
            <v>GDP (current US$)</v>
          </cell>
          <cell r="D67" t="str">
            <v>NY.GDP.MKTP.CD</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v>1107882640.8787</v>
          </cell>
          <cell r="AR67">
            <v>1120280381.8697901</v>
          </cell>
          <cell r="AS67">
            <v>1058702725.4395</v>
          </cell>
          <cell r="AT67">
            <v>1147654635.4592199</v>
          </cell>
          <cell r="AU67">
            <v>1262669892.4595001</v>
          </cell>
          <cell r="AV67">
            <v>1494011567.01125</v>
          </cell>
          <cell r="AW67">
            <v>1688237552.36935</v>
          </cell>
          <cell r="AX67">
            <v>1727792692.89133</v>
          </cell>
          <cell r="AY67">
            <v>1984445416.0220599</v>
          </cell>
          <cell r="AZ67">
            <v>2290133548.8730102</v>
          </cell>
          <cell r="BA67">
            <v>2432415998.11695</v>
          </cell>
          <cell r="BB67">
            <v>2268387770.7101402</v>
          </cell>
          <cell r="BC67">
            <v>2320424601.2695398</v>
          </cell>
          <cell r="BD67">
            <v>2490807830.5735102</v>
          </cell>
          <cell r="BE67">
            <v>2366301251.6184702</v>
          </cell>
          <cell r="BF67">
            <v>2627049837.0813498</v>
          </cell>
          <cell r="BG67">
            <v>2850743875.2783999</v>
          </cell>
          <cell r="BH67">
            <v>2518096285.6166101</v>
          </cell>
          <cell r="BI67">
            <v>2738832687.1369801</v>
          </cell>
          <cell r="BJ67">
            <v>2899226097.6237702</v>
          </cell>
          <cell r="BK67">
            <v>3051341335.9516001</v>
          </cell>
          <cell r="BL67">
            <v>3126293219.7798901</v>
          </cell>
          <cell r="BM67" t="str">
            <v>..</v>
          </cell>
          <cell r="BN67">
            <v>3126293219.7798901</v>
          </cell>
        </row>
        <row r="68">
          <cell r="B68" t="str">
            <v>FJI</v>
          </cell>
          <cell r="C68" t="str">
            <v>GDP (current US$)</v>
          </cell>
          <cell r="D68" t="str">
            <v>NY.GDP.MKTP.CD</v>
          </cell>
          <cell r="E68">
            <v>112328422.113084</v>
          </cell>
          <cell r="F68">
            <v>116987784.913739</v>
          </cell>
          <cell r="G68">
            <v>122906434.95781399</v>
          </cell>
          <cell r="H68">
            <v>129454728.62359899</v>
          </cell>
          <cell r="I68">
            <v>140032741.46832901</v>
          </cell>
          <cell r="J68">
            <v>147084750.03148201</v>
          </cell>
          <cell r="K68">
            <v>150603925.51585299</v>
          </cell>
          <cell r="L68">
            <v>162625885.863484</v>
          </cell>
          <cell r="M68">
            <v>166952937.135005</v>
          </cell>
          <cell r="N68">
            <v>182182067.70356801</v>
          </cell>
          <cell r="O68">
            <v>219878482.17356399</v>
          </cell>
          <cell r="P68">
            <v>247749327.72126701</v>
          </cell>
          <cell r="Q68">
            <v>316650508.96752298</v>
          </cell>
          <cell r="R68">
            <v>425963359.355326</v>
          </cell>
          <cell r="S68">
            <v>558589870.90367401</v>
          </cell>
          <cell r="T68">
            <v>684268280.81275105</v>
          </cell>
          <cell r="U68">
            <v>694552411.71883702</v>
          </cell>
          <cell r="V68">
            <v>719533137.12666202</v>
          </cell>
          <cell r="W68">
            <v>829239489.84411895</v>
          </cell>
          <cell r="X68">
            <v>1019743927.2466201</v>
          </cell>
          <cell r="Y68">
            <v>1202567359.4131999</v>
          </cell>
          <cell r="Z68">
            <v>1235665808.5654099</v>
          </cell>
          <cell r="AA68">
            <v>1194122694.12269</v>
          </cell>
          <cell r="AB68">
            <v>1123107276.30285</v>
          </cell>
          <cell r="AC68">
            <v>1177997413.6338401</v>
          </cell>
          <cell r="AD68">
            <v>1141123439.66713</v>
          </cell>
          <cell r="AE68">
            <v>1290228616.82408</v>
          </cell>
          <cell r="AF68">
            <v>1177908191.97685</v>
          </cell>
          <cell r="AG68">
            <v>1109976927.9172201</v>
          </cell>
          <cell r="AH68">
            <v>1182686577.22645</v>
          </cell>
          <cell r="AI68">
            <v>1337024782.22702</v>
          </cell>
          <cell r="AJ68">
            <v>1383843860.1247001</v>
          </cell>
          <cell r="AK68">
            <v>1532401862.9407899</v>
          </cell>
          <cell r="AL68">
            <v>1636074717.8622401</v>
          </cell>
          <cell r="AM68">
            <v>1825763267.53637</v>
          </cell>
          <cell r="AN68">
            <v>1970347720.9699199</v>
          </cell>
          <cell r="AO68">
            <v>2128696643.6257401</v>
          </cell>
          <cell r="AP68">
            <v>2090184941.46983</v>
          </cell>
          <cell r="AQ68">
            <v>1653160861.68714</v>
          </cell>
          <cell r="AR68">
            <v>1936484565.39399</v>
          </cell>
          <cell r="AS68">
            <v>1678239218.2655301</v>
          </cell>
          <cell r="AT68">
            <v>1652464201.0014901</v>
          </cell>
          <cell r="AU68">
            <v>1833279985.3674099</v>
          </cell>
          <cell r="AV68">
            <v>2300453634.3496199</v>
          </cell>
          <cell r="AW68">
            <v>2708078476.6301198</v>
          </cell>
          <cell r="AX68">
            <v>2980484920.1655798</v>
          </cell>
          <cell r="AY68">
            <v>3076305452.8650599</v>
          </cell>
          <cell r="AZ68">
            <v>3378314599.76402</v>
          </cell>
          <cell r="BA68">
            <v>3523185919.55826</v>
          </cell>
          <cell r="BB68">
            <v>2870624635.6803198</v>
          </cell>
          <cell r="BC68">
            <v>3140508835.9485002</v>
          </cell>
          <cell r="BD68">
            <v>3774530615.6591601</v>
          </cell>
          <cell r="BE68">
            <v>3972012570.5346699</v>
          </cell>
          <cell r="BF68">
            <v>4190143206.2561102</v>
          </cell>
          <cell r="BG68">
            <v>4856963229.8399897</v>
          </cell>
          <cell r="BH68">
            <v>4682546863.0816202</v>
          </cell>
          <cell r="BI68">
            <v>4930204229.7226295</v>
          </cell>
          <cell r="BJ68">
            <v>5353404422.0813799</v>
          </cell>
          <cell r="BK68">
            <v>5581371847.6164103</v>
          </cell>
          <cell r="BL68">
            <v>5496264766.3728504</v>
          </cell>
          <cell r="BM68">
            <v>4533883782.27458</v>
          </cell>
          <cell r="BN68">
            <v>4533883782.27458</v>
          </cell>
        </row>
        <row r="69">
          <cell r="B69" t="str">
            <v>FIN</v>
          </cell>
          <cell r="C69" t="str">
            <v>GDP (current US$)</v>
          </cell>
          <cell r="D69" t="str">
            <v>NY.GDP.MKTP.CD</v>
          </cell>
          <cell r="E69">
            <v>5224102195.52771</v>
          </cell>
          <cell r="F69">
            <v>5921659485.0328398</v>
          </cell>
          <cell r="G69">
            <v>6340580854.3907299</v>
          </cell>
          <cell r="H69">
            <v>6885920328.66187</v>
          </cell>
          <cell r="I69">
            <v>7766655085.7858801</v>
          </cell>
          <cell r="J69">
            <v>8589340019.02985</v>
          </cell>
          <cell r="K69">
            <v>9208524504.8768406</v>
          </cell>
          <cell r="L69">
            <v>9368954010.3132</v>
          </cell>
          <cell r="M69">
            <v>8823033880.3299294</v>
          </cell>
          <cell r="N69">
            <v>10070766720.501101</v>
          </cell>
          <cell r="O69">
            <v>11357516987.5425</v>
          </cell>
          <cell r="P69">
            <v>12527405512.9298</v>
          </cell>
          <cell r="Q69">
            <v>14743186119.8738</v>
          </cell>
          <cell r="R69">
            <v>19472363466.625198</v>
          </cell>
          <cell r="S69">
            <v>24848821490.467899</v>
          </cell>
          <cell r="T69">
            <v>29472623242.2822</v>
          </cell>
          <cell r="U69">
            <v>31849513771.3494</v>
          </cell>
          <cell r="V69">
            <v>33499799321.233601</v>
          </cell>
          <cell r="W69">
            <v>36256160288.808701</v>
          </cell>
          <cell r="X69">
            <v>44465255686.1548</v>
          </cell>
          <cell r="Y69">
            <v>53645202422.6968</v>
          </cell>
          <cell r="Z69">
            <v>52448332874.07</v>
          </cell>
          <cell r="AA69">
            <v>52797582336.252602</v>
          </cell>
          <cell r="AB69">
            <v>50973526900.085403</v>
          </cell>
          <cell r="AC69">
            <v>52888800949.742798</v>
          </cell>
          <cell r="AD69">
            <v>55875863392.171898</v>
          </cell>
          <cell r="AE69">
            <v>73531550551.255005</v>
          </cell>
          <cell r="AF69">
            <v>91594751792.235901</v>
          </cell>
          <cell r="AG69">
            <v>109058990760.483</v>
          </cell>
          <cell r="AH69">
            <v>119012054870.44501</v>
          </cell>
          <cell r="AI69">
            <v>141438345513.91699</v>
          </cell>
          <cell r="AJ69">
            <v>127773856785.767</v>
          </cell>
          <cell r="AK69">
            <v>112532519246.084</v>
          </cell>
          <cell r="AL69">
            <v>89214114708.025406</v>
          </cell>
          <cell r="AM69">
            <v>103299943084.804</v>
          </cell>
          <cell r="AN69">
            <v>134189814814.815</v>
          </cell>
          <cell r="AO69">
            <v>132129174216.92999</v>
          </cell>
          <cell r="AP69">
            <v>126912152101.707</v>
          </cell>
          <cell r="AQ69">
            <v>134038718291.05499</v>
          </cell>
          <cell r="AR69">
            <v>135218410398.466</v>
          </cell>
          <cell r="AS69">
            <v>125706651925.55701</v>
          </cell>
          <cell r="AT69">
            <v>129421029082.774</v>
          </cell>
          <cell r="AU69">
            <v>139738377564.465</v>
          </cell>
          <cell r="AV69">
            <v>171274266365.68799</v>
          </cell>
          <cell r="AW69">
            <v>197116960516.51401</v>
          </cell>
          <cell r="AX69">
            <v>204809103345.35501</v>
          </cell>
          <cell r="AY69">
            <v>216907539831.89099</v>
          </cell>
          <cell r="AZ69">
            <v>256052559540.104</v>
          </cell>
          <cell r="BA69">
            <v>284553976856.599</v>
          </cell>
          <cell r="BB69">
            <v>252496526813.004</v>
          </cell>
          <cell r="BC69">
            <v>249181190476.36899</v>
          </cell>
          <cell r="BD69">
            <v>275243697751.01099</v>
          </cell>
          <cell r="BE69">
            <v>258304834621.60501</v>
          </cell>
          <cell r="BF69">
            <v>271285280621.37299</v>
          </cell>
          <cell r="BG69">
            <v>274497230802.95801</v>
          </cell>
          <cell r="BH69">
            <v>234440080998.27301</v>
          </cell>
          <cell r="BI69">
            <v>240607907010.383</v>
          </cell>
          <cell r="BJ69">
            <v>255016517537.983</v>
          </cell>
          <cell r="BK69">
            <v>275580448365.23499</v>
          </cell>
          <cell r="BL69">
            <v>268508200125.48999</v>
          </cell>
          <cell r="BM69">
            <v>269594831987.54901</v>
          </cell>
          <cell r="BN69">
            <v>269594831987.54901</v>
          </cell>
        </row>
        <row r="70">
          <cell r="B70" t="str">
            <v>FRA</v>
          </cell>
          <cell r="C70" t="str">
            <v>GDP (current US$)</v>
          </cell>
          <cell r="D70" t="str">
            <v>NY.GDP.MKTP.CD</v>
          </cell>
          <cell r="E70">
            <v>62225478000.882202</v>
          </cell>
          <cell r="F70">
            <v>67461644222.035202</v>
          </cell>
          <cell r="G70">
            <v>75607529809.928802</v>
          </cell>
          <cell r="H70">
            <v>84759195105.869293</v>
          </cell>
          <cell r="I70">
            <v>94007851047.367798</v>
          </cell>
          <cell r="J70">
            <v>101537248148.427</v>
          </cell>
          <cell r="K70">
            <v>110045852177.92799</v>
          </cell>
          <cell r="L70">
            <v>118972977486.207</v>
          </cell>
          <cell r="M70">
            <v>129785441507.45599</v>
          </cell>
          <cell r="N70">
            <v>141903068680.30899</v>
          </cell>
          <cell r="O70">
            <v>148456359985.827</v>
          </cell>
          <cell r="P70">
            <v>165966615366.40201</v>
          </cell>
          <cell r="Q70">
            <v>203494148244.47299</v>
          </cell>
          <cell r="R70">
            <v>264429876252.20999</v>
          </cell>
          <cell r="S70">
            <v>285552373158.75598</v>
          </cell>
          <cell r="T70">
            <v>360832186018.05103</v>
          </cell>
          <cell r="U70">
            <v>372319038514.06702</v>
          </cell>
          <cell r="V70">
            <v>410279486493.71503</v>
          </cell>
          <cell r="W70">
            <v>506707848837.20898</v>
          </cell>
          <cell r="X70">
            <v>613953129818.06995</v>
          </cell>
          <cell r="Y70">
            <v>701288419745.42102</v>
          </cell>
          <cell r="Z70">
            <v>615552202776.10095</v>
          </cell>
          <cell r="AA70">
            <v>584877732308.61401</v>
          </cell>
          <cell r="AB70">
            <v>559869179791.71997</v>
          </cell>
          <cell r="AC70">
            <v>530683779929.44501</v>
          </cell>
          <cell r="AD70">
            <v>553138414367.06104</v>
          </cell>
          <cell r="AE70">
            <v>771470783218.10803</v>
          </cell>
          <cell r="AF70">
            <v>934173305685.91101</v>
          </cell>
          <cell r="AG70">
            <v>1018847043277.17</v>
          </cell>
          <cell r="AH70">
            <v>1025211803413.53</v>
          </cell>
          <cell r="AI70">
            <v>1269179616913.6299</v>
          </cell>
          <cell r="AJ70">
            <v>1269276828275.78</v>
          </cell>
          <cell r="AK70">
            <v>1401465923172.24</v>
          </cell>
          <cell r="AL70">
            <v>1322815612694</v>
          </cell>
          <cell r="AM70">
            <v>1393982750472.5901</v>
          </cell>
          <cell r="AN70">
            <v>1601094756209.75</v>
          </cell>
          <cell r="AO70">
            <v>1605675086549.5601</v>
          </cell>
          <cell r="AP70">
            <v>1452884917959.0901</v>
          </cell>
          <cell r="AQ70">
            <v>1503108739159.4399</v>
          </cell>
          <cell r="AR70">
            <v>1492647560196.04</v>
          </cell>
          <cell r="AS70">
            <v>1362248940482.77</v>
          </cell>
          <cell r="AT70">
            <v>1376465324384.79</v>
          </cell>
          <cell r="AU70">
            <v>1494286655373.6101</v>
          </cell>
          <cell r="AV70">
            <v>1840480812641.0801</v>
          </cell>
          <cell r="AW70">
            <v>2115742488204.6201</v>
          </cell>
          <cell r="AX70">
            <v>2196126103718.4399</v>
          </cell>
          <cell r="AY70">
            <v>2318593651988.46</v>
          </cell>
          <cell r="AZ70">
            <v>2657213249384.0698</v>
          </cell>
          <cell r="BA70">
            <v>2918382891460.3799</v>
          </cell>
          <cell r="BB70">
            <v>2690222283967.77</v>
          </cell>
          <cell r="BC70">
            <v>2642609548930.3599</v>
          </cell>
          <cell r="BD70">
            <v>2861408170264.6001</v>
          </cell>
          <cell r="BE70">
            <v>2683825225092.6299</v>
          </cell>
          <cell r="BF70">
            <v>2811077725703.5898</v>
          </cell>
          <cell r="BG70">
            <v>2852165760630.27</v>
          </cell>
          <cell r="BH70">
            <v>2438207896251.8398</v>
          </cell>
          <cell r="BI70">
            <v>2471285607081.7202</v>
          </cell>
          <cell r="BJ70">
            <v>2588740901639.8101</v>
          </cell>
          <cell r="BK70">
            <v>2789593979064.5801</v>
          </cell>
          <cell r="BL70">
            <v>2728870246705.8799</v>
          </cell>
          <cell r="BM70">
            <v>2630317731455.2598</v>
          </cell>
          <cell r="BN70">
            <v>2630317731455.2598</v>
          </cell>
        </row>
        <row r="71">
          <cell r="B71" t="str">
            <v>PYF</v>
          </cell>
          <cell r="C71" t="str">
            <v>GDP (current US$)</v>
          </cell>
          <cell r="D71" t="str">
            <v>NY.GDP.MKTP.CD</v>
          </cell>
          <cell r="E71" t="str">
            <v>..</v>
          </cell>
          <cell r="F71" t="str">
            <v>..</v>
          </cell>
          <cell r="G71" t="str">
            <v>..</v>
          </cell>
          <cell r="H71" t="str">
            <v>..</v>
          </cell>
          <cell r="I71" t="str">
            <v>..</v>
          </cell>
          <cell r="J71">
            <v>176534589.603484</v>
          </cell>
          <cell r="K71">
            <v>215659455.017418</v>
          </cell>
          <cell r="L71">
            <v>220984369.129269</v>
          </cell>
          <cell r="M71">
            <v>259590076.29314101</v>
          </cell>
          <cell r="N71">
            <v>242943776.862315</v>
          </cell>
          <cell r="O71">
            <v>254035999.217076</v>
          </cell>
          <cell r="P71">
            <v>296613496.87320697</v>
          </cell>
          <cell r="Q71">
            <v>325843254.66698402</v>
          </cell>
          <cell r="R71">
            <v>431254103.04625201</v>
          </cell>
          <cell r="S71">
            <v>555337985.68307602</v>
          </cell>
          <cell r="T71">
            <v>690319754.91157305</v>
          </cell>
          <cell r="U71">
            <v>732286143.34317994</v>
          </cell>
          <cell r="V71">
            <v>793193187.41577804</v>
          </cell>
          <cell r="W71">
            <v>1005573294.20713</v>
          </cell>
          <cell r="X71">
            <v>1215031775.2675099</v>
          </cell>
          <cell r="Y71">
            <v>1362151523.68942</v>
          </cell>
          <cell r="Z71">
            <v>1279972866.3814199</v>
          </cell>
          <cell r="AA71">
            <v>1286462642.6370299</v>
          </cell>
          <cell r="AB71">
            <v>1335895286.3915601</v>
          </cell>
          <cell r="AC71">
            <v>1378991403.3784001</v>
          </cell>
          <cell r="AD71">
            <v>1507230778.8994999</v>
          </cell>
          <cell r="AE71">
            <v>2301514717.2979598</v>
          </cell>
          <cell r="AF71">
            <v>2543199148.3900199</v>
          </cell>
          <cell r="AG71">
            <v>2687472829.6297302</v>
          </cell>
          <cell r="AH71">
            <v>2636461517.1040802</v>
          </cell>
          <cell r="AI71">
            <v>3181206304.8151398</v>
          </cell>
          <cell r="AJ71">
            <v>3267367650.6426902</v>
          </cell>
          <cell r="AK71">
            <v>3558215009.0904398</v>
          </cell>
          <cell r="AL71">
            <v>3694600395.12747</v>
          </cell>
          <cell r="AM71">
            <v>3522272234.12075</v>
          </cell>
          <cell r="AN71">
            <v>3982376722.37398</v>
          </cell>
          <cell r="AO71">
            <v>3954697173.61901</v>
          </cell>
          <cell r="AP71">
            <v>3567062532.2778201</v>
          </cell>
          <cell r="AQ71">
            <v>3775160797.2027998</v>
          </cell>
          <cell r="AR71">
            <v>3797016078.7992501</v>
          </cell>
          <cell r="AS71">
            <v>3447543203.02843</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
          </cell>
        </row>
        <row r="72">
          <cell r="B72" t="str">
            <v>GAB</v>
          </cell>
          <cell r="C72" t="str">
            <v>GDP (current US$)</v>
          </cell>
          <cell r="D72" t="str">
            <v>NY.GDP.MKTP.CD</v>
          </cell>
          <cell r="E72">
            <v>141468978.376811</v>
          </cell>
          <cell r="F72">
            <v>167637908.48980299</v>
          </cell>
          <cell r="G72">
            <v>182796536.499917</v>
          </cell>
          <cell r="H72">
            <v>154480244.24682799</v>
          </cell>
          <cell r="I72">
            <v>215679855.272553</v>
          </cell>
          <cell r="J72">
            <v>226474285.587116</v>
          </cell>
          <cell r="K72">
            <v>245849781.71594301</v>
          </cell>
          <cell r="L72">
            <v>271543680.27926499</v>
          </cell>
          <cell r="M72">
            <v>294468564.534311</v>
          </cell>
          <cell r="N72">
            <v>318124701.04899299</v>
          </cell>
          <cell r="O72">
            <v>323802475.48102897</v>
          </cell>
          <cell r="P72">
            <v>381687073.05860198</v>
          </cell>
          <cell r="Q72">
            <v>430508357.72399998</v>
          </cell>
          <cell r="R72">
            <v>722780701.12333798</v>
          </cell>
          <cell r="S72">
            <v>1544216003.9842501</v>
          </cell>
          <cell r="T72">
            <v>2157592936.6073098</v>
          </cell>
          <cell r="U72">
            <v>3009409970.9046302</v>
          </cell>
          <cell r="V72">
            <v>2809349074.1771102</v>
          </cell>
          <cell r="W72">
            <v>2389479269.1883202</v>
          </cell>
          <cell r="X72">
            <v>3030251116.3596601</v>
          </cell>
          <cell r="Y72">
            <v>4279637933.8513598</v>
          </cell>
          <cell r="Z72">
            <v>3862269126.9268098</v>
          </cell>
          <cell r="AA72">
            <v>3618007844.44908</v>
          </cell>
          <cell r="AB72">
            <v>3391275731.3185902</v>
          </cell>
          <cell r="AC72">
            <v>3561451562.2357602</v>
          </cell>
          <cell r="AD72">
            <v>3339914759.3727498</v>
          </cell>
          <cell r="AE72">
            <v>3403638193.5790501</v>
          </cell>
          <cell r="AF72">
            <v>3281797038.6656599</v>
          </cell>
          <cell r="AG72">
            <v>3834503378.35497</v>
          </cell>
          <cell r="AH72">
            <v>4186411457.4569402</v>
          </cell>
          <cell r="AI72">
            <v>5952293765.8446798</v>
          </cell>
          <cell r="AJ72">
            <v>5402919956.9383097</v>
          </cell>
          <cell r="AK72">
            <v>5592390848.5264702</v>
          </cell>
          <cell r="AL72">
            <v>4378645081.0176897</v>
          </cell>
          <cell r="AM72">
            <v>4190819314.0295801</v>
          </cell>
          <cell r="AN72">
            <v>4958845906.3476896</v>
          </cell>
          <cell r="AO72">
            <v>5694040336.8257103</v>
          </cell>
          <cell r="AP72">
            <v>5326816858.9958601</v>
          </cell>
          <cell r="AQ72">
            <v>4483417119.8392801</v>
          </cell>
          <cell r="AR72">
            <v>4662992036.2073002</v>
          </cell>
          <cell r="AS72">
            <v>5080483463.99928</v>
          </cell>
          <cell r="AT72">
            <v>5023265365.2516899</v>
          </cell>
          <cell r="AU72">
            <v>5335451307.5432301</v>
          </cell>
          <cell r="AV72">
            <v>6511903657.4400902</v>
          </cell>
          <cell r="AW72">
            <v>7770219479.7264795</v>
          </cell>
          <cell r="AX72">
            <v>9582783318.3880997</v>
          </cell>
          <cell r="AY72">
            <v>10327598800.671301</v>
          </cell>
          <cell r="AZ72">
            <v>12455410055.748301</v>
          </cell>
          <cell r="BA72">
            <v>15571349775.7848</v>
          </cell>
          <cell r="BB72">
            <v>12113699660.679899</v>
          </cell>
          <cell r="BC72">
            <v>14372591916.4792</v>
          </cell>
          <cell r="BD72">
            <v>18210308748.291199</v>
          </cell>
          <cell r="BE72">
            <v>17170465294.033199</v>
          </cell>
          <cell r="BF72">
            <v>17595745653.367599</v>
          </cell>
          <cell r="BG72">
            <v>18203968001.8908</v>
          </cell>
          <cell r="BH72">
            <v>14383107714.038799</v>
          </cell>
          <cell r="BI72">
            <v>14023890620.3384</v>
          </cell>
          <cell r="BJ72">
            <v>14929488770.731501</v>
          </cell>
          <cell r="BK72">
            <v>16867325126.542299</v>
          </cell>
          <cell r="BL72">
            <v>16874405839.7948</v>
          </cell>
          <cell r="BM72">
            <v>15316826191.568199</v>
          </cell>
          <cell r="BN72">
            <v>15316826191.568199</v>
          </cell>
        </row>
        <row r="73">
          <cell r="B73" t="str">
            <v>GMB</v>
          </cell>
          <cell r="C73" t="str">
            <v>GDP (current US$)</v>
          </cell>
          <cell r="D73" t="str">
            <v>NY.GDP.MKTP.CD</v>
          </cell>
          <cell r="E73" t="str">
            <v>..</v>
          </cell>
          <cell r="F73" t="str">
            <v>..</v>
          </cell>
          <cell r="G73" t="str">
            <v>..</v>
          </cell>
          <cell r="H73" t="str">
            <v>..</v>
          </cell>
          <cell r="I73" t="str">
            <v>..</v>
          </cell>
          <cell r="J73" t="str">
            <v>..</v>
          </cell>
          <cell r="K73">
            <v>44212353.698829599</v>
          </cell>
          <cell r="L73">
            <v>46695363.155887298</v>
          </cell>
          <cell r="M73">
            <v>41160658.570537098</v>
          </cell>
          <cell r="N73">
            <v>45168722.699563198</v>
          </cell>
          <cell r="O73">
            <v>52296836.749388002</v>
          </cell>
          <cell r="P73">
            <v>55728608.974982999</v>
          </cell>
          <cell r="Q73">
            <v>59161544.995752797</v>
          </cell>
          <cell r="R73">
            <v>75187969.924812004</v>
          </cell>
          <cell r="S73">
            <v>95797533.461920604</v>
          </cell>
          <cell r="T73">
            <v>115182522.12389401</v>
          </cell>
          <cell r="U73">
            <v>112189468.48182601</v>
          </cell>
          <cell r="V73">
            <v>138094243.34932399</v>
          </cell>
          <cell r="W73">
            <v>171836793.402695</v>
          </cell>
          <cell r="X73">
            <v>207114382.54607099</v>
          </cell>
          <cell r="Y73">
            <v>241080708.89017999</v>
          </cell>
          <cell r="Z73">
            <v>218764445.784343</v>
          </cell>
          <cell r="AA73">
            <v>216051495.95981699</v>
          </cell>
          <cell r="AB73">
            <v>213446562.57106</v>
          </cell>
          <cell r="AC73">
            <v>177338801.93075001</v>
          </cell>
          <cell r="AD73">
            <v>225724851.691107</v>
          </cell>
          <cell r="AE73">
            <v>185646209.386282</v>
          </cell>
          <cell r="AF73">
            <v>220626484.22481099</v>
          </cell>
          <cell r="AG73">
            <v>266673126.229801</v>
          </cell>
          <cell r="AH73">
            <v>284119692.49432999</v>
          </cell>
          <cell r="AI73">
            <v>317083373.52455902</v>
          </cell>
          <cell r="AJ73">
            <v>690314321.37499905</v>
          </cell>
          <cell r="AK73">
            <v>714255460.503389</v>
          </cell>
          <cell r="AL73">
            <v>755042548.05582404</v>
          </cell>
          <cell r="AM73">
            <v>746491692.58385706</v>
          </cell>
          <cell r="AN73">
            <v>785996982.49216795</v>
          </cell>
          <cell r="AO73">
            <v>848237108.56163001</v>
          </cell>
          <cell r="AP73">
            <v>803630742.53445995</v>
          </cell>
          <cell r="AQ73">
            <v>840285264.63154495</v>
          </cell>
          <cell r="AR73">
            <v>814723460.08371997</v>
          </cell>
          <cell r="AS73">
            <v>782915402.42109501</v>
          </cell>
          <cell r="AT73">
            <v>687408804.63052702</v>
          </cell>
          <cell r="AU73">
            <v>578236035.10427904</v>
          </cell>
          <cell r="AV73">
            <v>487038821.61195898</v>
          </cell>
          <cell r="AW73">
            <v>961900106.89275098</v>
          </cell>
          <cell r="AX73">
            <v>1027702254.38664</v>
          </cell>
          <cell r="AY73">
            <v>1054113426.70947</v>
          </cell>
          <cell r="AZ73">
            <v>1279704744.82781</v>
          </cell>
          <cell r="BA73">
            <v>1561763437.0325</v>
          </cell>
          <cell r="BB73">
            <v>1450140385.97229</v>
          </cell>
          <cell r="BC73">
            <v>1543292392.5460501</v>
          </cell>
          <cell r="BD73">
            <v>1409694553.9093399</v>
          </cell>
          <cell r="BE73">
            <v>1415006238.0950899</v>
          </cell>
          <cell r="BF73">
            <v>1375608956.1038599</v>
          </cell>
          <cell r="BG73">
            <v>1229460601.9217401</v>
          </cell>
          <cell r="BH73">
            <v>1378176868.31568</v>
          </cell>
          <cell r="BI73">
            <v>1484579844.3714299</v>
          </cell>
          <cell r="BJ73">
            <v>1504909753.2874601</v>
          </cell>
          <cell r="BK73">
            <v>1670670668.5939</v>
          </cell>
          <cell r="BL73">
            <v>1812529104.61923</v>
          </cell>
          <cell r="BM73">
            <v>1868086274.822</v>
          </cell>
          <cell r="BN73">
            <v>1868086274.822</v>
          </cell>
        </row>
        <row r="74">
          <cell r="B74" t="str">
            <v>GEO</v>
          </cell>
          <cell r="C74" t="str">
            <v>GDP (current US$)</v>
          </cell>
          <cell r="D74" t="str">
            <v>NY.GDP.MKTP.CD</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v>7753540783.6245203</v>
          </cell>
          <cell r="AJ74" t="str">
            <v>..</v>
          </cell>
          <cell r="AK74" t="str">
            <v>..</v>
          </cell>
          <cell r="AL74">
            <v>2688016393.4426198</v>
          </cell>
          <cell r="AM74">
            <v>2514070771.8027301</v>
          </cell>
          <cell r="AN74">
            <v>2693768412.8917899</v>
          </cell>
          <cell r="AO74">
            <v>3095047603.8083</v>
          </cell>
          <cell r="AP74">
            <v>3510520231.21387</v>
          </cell>
          <cell r="AQ74">
            <v>3613541516.7649999</v>
          </cell>
          <cell r="AR74">
            <v>2800049394.9123201</v>
          </cell>
          <cell r="AS74">
            <v>3057475335.1884599</v>
          </cell>
          <cell r="AT74">
            <v>3219488663.7723098</v>
          </cell>
          <cell r="AU74">
            <v>3395728013.8452401</v>
          </cell>
          <cell r="AV74">
            <v>3991284895.3721399</v>
          </cell>
          <cell r="AW74">
            <v>5125365191.98664</v>
          </cell>
          <cell r="AX74">
            <v>6410823633.2542601</v>
          </cell>
          <cell r="AY74">
            <v>7745394293.4172096</v>
          </cell>
          <cell r="AZ74">
            <v>10172882370.547701</v>
          </cell>
          <cell r="BA74">
            <v>12795076469.009899</v>
          </cell>
          <cell r="BB74">
            <v>10766836276.5639</v>
          </cell>
          <cell r="BC74">
            <v>12243505582.674101</v>
          </cell>
          <cell r="BD74">
            <v>15107441446.7833</v>
          </cell>
          <cell r="BE74">
            <v>16488403076.3641</v>
          </cell>
          <cell r="BF74">
            <v>17189551520.981098</v>
          </cell>
          <cell r="BG74">
            <v>17627003454.720501</v>
          </cell>
          <cell r="BH74">
            <v>14953950557.440599</v>
          </cell>
          <cell r="BI74">
            <v>15141758566.7808</v>
          </cell>
          <cell r="BJ74">
            <v>16242916915.720301</v>
          </cell>
          <cell r="BK74">
            <v>17599700090.762001</v>
          </cell>
          <cell r="BL74">
            <v>17477255562.258301</v>
          </cell>
          <cell r="BM74">
            <v>15846489610.807301</v>
          </cell>
          <cell r="BN74">
            <v>15846489610.807301</v>
          </cell>
        </row>
        <row r="75">
          <cell r="B75" t="str">
            <v>DEU</v>
          </cell>
          <cell r="C75" t="str">
            <v>GDP (current US$)</v>
          </cell>
          <cell r="D75" t="str">
            <v>NY.GDP.MKTP.CD</v>
          </cell>
          <cell r="E75" t="str">
            <v>..</v>
          </cell>
          <cell r="F75" t="str">
            <v>..</v>
          </cell>
          <cell r="G75" t="str">
            <v>..</v>
          </cell>
          <cell r="H75" t="str">
            <v>..</v>
          </cell>
          <cell r="I75" t="str">
            <v>..</v>
          </cell>
          <cell r="J75" t="str">
            <v>..</v>
          </cell>
          <cell r="K75" t="str">
            <v>..</v>
          </cell>
          <cell r="L75" t="str">
            <v>..</v>
          </cell>
          <cell r="M75" t="str">
            <v>..</v>
          </cell>
          <cell r="N75" t="str">
            <v>..</v>
          </cell>
          <cell r="O75">
            <v>215838448137.65799</v>
          </cell>
          <cell r="P75">
            <v>249985055484.30301</v>
          </cell>
          <cell r="Q75">
            <v>299801542047.47601</v>
          </cell>
          <cell r="R75">
            <v>398374021953.89697</v>
          </cell>
          <cell r="S75">
            <v>445303484241.55402</v>
          </cell>
          <cell r="T75">
            <v>490636517211.22498</v>
          </cell>
          <cell r="U75">
            <v>519754453161.41101</v>
          </cell>
          <cell r="V75">
            <v>600498238019.03503</v>
          </cell>
          <cell r="W75">
            <v>740469983446.93298</v>
          </cell>
          <cell r="X75">
            <v>881345176608.68604</v>
          </cell>
          <cell r="Y75">
            <v>950290856466.53796</v>
          </cell>
          <cell r="Z75">
            <v>800472055387.27795</v>
          </cell>
          <cell r="AA75">
            <v>776576439106.95605</v>
          </cell>
          <cell r="AB75">
            <v>770684323247.79797</v>
          </cell>
          <cell r="AC75">
            <v>725111123634.11499</v>
          </cell>
          <cell r="AD75">
            <v>732534887058.198</v>
          </cell>
          <cell r="AE75">
            <v>1046259374943.71</v>
          </cell>
          <cell r="AF75">
            <v>1298176105549.51</v>
          </cell>
          <cell r="AG75">
            <v>1401233225303.49</v>
          </cell>
          <cell r="AH75">
            <v>1398967436804.3301</v>
          </cell>
          <cell r="AI75">
            <v>1771671206875.6799</v>
          </cell>
          <cell r="AJ75">
            <v>1868945197407.1899</v>
          </cell>
          <cell r="AK75">
            <v>2131571696931.75</v>
          </cell>
          <cell r="AL75">
            <v>2071323790370.28</v>
          </cell>
          <cell r="AM75">
            <v>2205074123177.0498</v>
          </cell>
          <cell r="AN75">
            <v>2585792275146.7202</v>
          </cell>
          <cell r="AO75">
            <v>2497244606186.6401</v>
          </cell>
          <cell r="AP75">
            <v>2211989623279.9502</v>
          </cell>
          <cell r="AQ75">
            <v>2238990774702.6802</v>
          </cell>
          <cell r="AR75">
            <v>2194204133816.3201</v>
          </cell>
          <cell r="AS75">
            <v>1943145384190.1599</v>
          </cell>
          <cell r="AT75">
            <v>1944107382550.3401</v>
          </cell>
          <cell r="AU75">
            <v>2068624129493.6899</v>
          </cell>
          <cell r="AV75">
            <v>2496128668171.5601</v>
          </cell>
          <cell r="AW75">
            <v>2809187981127.3901</v>
          </cell>
          <cell r="AX75">
            <v>2845802760850.6401</v>
          </cell>
          <cell r="AY75">
            <v>2992196713084.9302</v>
          </cell>
          <cell r="AZ75">
            <v>3421229126745.1401</v>
          </cell>
          <cell r="BA75">
            <v>3730027830672.3301</v>
          </cell>
          <cell r="BB75">
            <v>3397791053070.2998</v>
          </cell>
          <cell r="BC75">
            <v>3396354075663.73</v>
          </cell>
          <cell r="BD75">
            <v>3744408602683.9399</v>
          </cell>
          <cell r="BE75">
            <v>3527344944139.8301</v>
          </cell>
          <cell r="BF75">
            <v>3732743446218.9199</v>
          </cell>
          <cell r="BG75">
            <v>3883920155292.2598</v>
          </cell>
          <cell r="BH75">
            <v>3356235704119.75</v>
          </cell>
          <cell r="BI75">
            <v>3467498002104.3301</v>
          </cell>
          <cell r="BJ75">
            <v>3681732583768.5</v>
          </cell>
          <cell r="BK75">
            <v>3975347237442.9902</v>
          </cell>
          <cell r="BL75">
            <v>3888326788627.4399</v>
          </cell>
          <cell r="BM75">
            <v>3846413928653.71</v>
          </cell>
          <cell r="BN75">
            <v>3846413928653.71</v>
          </cell>
        </row>
        <row r="76">
          <cell r="B76" t="str">
            <v>GHA</v>
          </cell>
          <cell r="C76" t="str">
            <v>GDP (current US$)</v>
          </cell>
          <cell r="D76" t="str">
            <v>NY.GDP.MKTP.CD</v>
          </cell>
          <cell r="E76">
            <v>1217230038.2678101</v>
          </cell>
          <cell r="F76">
            <v>1302674264.1991501</v>
          </cell>
          <cell r="G76">
            <v>1382515590.0694201</v>
          </cell>
          <cell r="H76">
            <v>1540797516.7946899</v>
          </cell>
          <cell r="I76">
            <v>1731296118.87113</v>
          </cell>
          <cell r="J76">
            <v>2053462872.38275</v>
          </cell>
          <cell r="K76">
            <v>2126300573.1766801</v>
          </cell>
          <cell r="L76">
            <v>1747187539.20717</v>
          </cell>
          <cell r="M76">
            <v>1666910166.289</v>
          </cell>
          <cell r="N76">
            <v>1962051319.2613399</v>
          </cell>
          <cell r="O76">
            <v>2215029450.3804998</v>
          </cell>
          <cell r="P76">
            <v>2417107708.25317</v>
          </cell>
          <cell r="Q76">
            <v>2112292944.6414199</v>
          </cell>
          <cell r="R76">
            <v>2465492957.74648</v>
          </cell>
          <cell r="S76">
            <v>2894409937.8881998</v>
          </cell>
          <cell r="T76">
            <v>2810106382.9787202</v>
          </cell>
          <cell r="U76">
            <v>2765254237.2881398</v>
          </cell>
          <cell r="V76">
            <v>3189428571.4285698</v>
          </cell>
          <cell r="W76">
            <v>3662478184.9912701</v>
          </cell>
          <cell r="X76">
            <v>4020227920.2279201</v>
          </cell>
          <cell r="Y76">
            <v>4445228215.7676296</v>
          </cell>
          <cell r="Z76">
            <v>4222441614.9743199</v>
          </cell>
          <cell r="AA76">
            <v>4035994397.7591</v>
          </cell>
          <cell r="AB76">
            <v>4057275042.82903</v>
          </cell>
          <cell r="AC76">
            <v>4412279843.4442301</v>
          </cell>
          <cell r="AD76">
            <v>4504342149.4347095</v>
          </cell>
          <cell r="AE76">
            <v>5727602644.7147198</v>
          </cell>
          <cell r="AF76">
            <v>5074829931.9727898</v>
          </cell>
          <cell r="AG76">
            <v>5197840979.13416</v>
          </cell>
          <cell r="AH76">
            <v>5251764264.2680197</v>
          </cell>
          <cell r="AI76">
            <v>5889174825.4870005</v>
          </cell>
          <cell r="AJ76">
            <v>6596546195.6521702</v>
          </cell>
          <cell r="AK76">
            <v>6413901601.8306599</v>
          </cell>
          <cell r="AL76">
            <v>5966255778.1201801</v>
          </cell>
          <cell r="AM76">
            <v>5444560669.4560699</v>
          </cell>
          <cell r="AN76">
            <v>6465137614.6788998</v>
          </cell>
          <cell r="AO76">
            <v>6934984709.4801197</v>
          </cell>
          <cell r="AP76">
            <v>6891308593.75</v>
          </cell>
          <cell r="AQ76">
            <v>7480968858.1314898</v>
          </cell>
          <cell r="AR76">
            <v>7719354838.7096796</v>
          </cell>
          <cell r="AS76">
            <v>4983024408.1482801</v>
          </cell>
          <cell r="AT76">
            <v>5314909953.9299202</v>
          </cell>
          <cell r="AU76">
            <v>6166330136.2947998</v>
          </cell>
          <cell r="AV76">
            <v>7632406552.8380299</v>
          </cell>
          <cell r="AW76">
            <v>8881368538.0767097</v>
          </cell>
          <cell r="AX76">
            <v>10744675209.898399</v>
          </cell>
          <cell r="AY76">
            <v>20440893017.156601</v>
          </cell>
          <cell r="AZ76">
            <v>24827844949.603298</v>
          </cell>
          <cell r="BA76">
            <v>28678701891.095699</v>
          </cell>
          <cell r="BB76">
            <v>26048108185.053398</v>
          </cell>
          <cell r="BC76">
            <v>32197272797.202801</v>
          </cell>
          <cell r="BD76">
            <v>39337314809.943398</v>
          </cell>
          <cell r="BE76">
            <v>41270954737.245903</v>
          </cell>
          <cell r="BF76">
            <v>62823043706.4702</v>
          </cell>
          <cell r="BG76">
            <v>54782847752.537498</v>
          </cell>
          <cell r="BH76">
            <v>49406568432.671097</v>
          </cell>
          <cell r="BI76">
            <v>56165172898.869499</v>
          </cell>
          <cell r="BJ76">
            <v>60406382898.517403</v>
          </cell>
          <cell r="BK76">
            <v>67299280679.563004</v>
          </cell>
          <cell r="BL76">
            <v>68337537815.770302</v>
          </cell>
          <cell r="BM76">
            <v>68532281805.672203</v>
          </cell>
          <cell r="BN76">
            <v>68532281805.672203</v>
          </cell>
        </row>
        <row r="77">
          <cell r="B77" t="str">
            <v>GIB</v>
          </cell>
          <cell r="C77" t="str">
            <v>GDP (current US$)</v>
          </cell>
          <cell r="D77" t="str">
            <v>NY.GDP.MKTP.CD</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
          </cell>
        </row>
        <row r="78">
          <cell r="B78" t="str">
            <v>GRC</v>
          </cell>
          <cell r="C78" t="str">
            <v>GDP (current US$)</v>
          </cell>
          <cell r="D78" t="str">
            <v>NY.GDP.MKTP.CD</v>
          </cell>
          <cell r="E78">
            <v>4335186016.8394203</v>
          </cell>
          <cell r="F78">
            <v>4961400439.3172197</v>
          </cell>
          <cell r="G78">
            <v>5213047711.4270401</v>
          </cell>
          <cell r="H78">
            <v>5895278024.09202</v>
          </cell>
          <cell r="I78">
            <v>6669673257.1183004</v>
          </cell>
          <cell r="J78">
            <v>7689154053.3586597</v>
          </cell>
          <cell r="K78">
            <v>8591517943.6012897</v>
          </cell>
          <cell r="L78">
            <v>9275600800.3564396</v>
          </cell>
          <cell r="M78">
            <v>10090675902.5364</v>
          </cell>
          <cell r="N78">
            <v>11615657031.238701</v>
          </cell>
          <cell r="O78">
            <v>13139863636.3636</v>
          </cell>
          <cell r="P78">
            <v>14591750000</v>
          </cell>
          <cell r="Q78">
            <v>16885511363.6364</v>
          </cell>
          <cell r="R78">
            <v>22347848101.2658</v>
          </cell>
          <cell r="S78">
            <v>25351306818.181801</v>
          </cell>
          <cell r="T78">
            <v>28525876726.886299</v>
          </cell>
          <cell r="U78">
            <v>31152835820.8955</v>
          </cell>
          <cell r="V78">
            <v>36176234967.622597</v>
          </cell>
          <cell r="W78">
            <v>44270204081.632698</v>
          </cell>
          <cell r="X78">
            <v>54481876724.931</v>
          </cell>
          <cell r="Y78">
            <v>56829664268.585098</v>
          </cell>
          <cell r="Z78">
            <v>52346506765.067596</v>
          </cell>
          <cell r="AA78">
            <v>54617989795.918404</v>
          </cell>
          <cell r="AB78">
            <v>49428873839.0093</v>
          </cell>
          <cell r="AC78">
            <v>48020024183.796898</v>
          </cell>
          <cell r="AD78">
            <v>47820851221.317497</v>
          </cell>
          <cell r="AE78">
            <v>56379593476.144096</v>
          </cell>
          <cell r="AF78">
            <v>65652750377.453499</v>
          </cell>
          <cell r="AG78">
            <v>76261277924.573593</v>
          </cell>
          <cell r="AH78">
            <v>79169043222.8284</v>
          </cell>
          <cell r="AI78">
            <v>97891092003.439407</v>
          </cell>
          <cell r="AJ78">
            <v>105143232379.884</v>
          </cell>
          <cell r="AK78">
            <v>116224672863.783</v>
          </cell>
          <cell r="AL78">
            <v>108809059155.767</v>
          </cell>
          <cell r="AM78">
            <v>116601801966.29201</v>
          </cell>
          <cell r="AN78">
            <v>136878365936.16701</v>
          </cell>
          <cell r="AO78">
            <v>145861612400.90601</v>
          </cell>
          <cell r="AP78">
            <v>143157600149.75699</v>
          </cell>
          <cell r="AQ78">
            <v>144428172489.33499</v>
          </cell>
          <cell r="AR78">
            <v>142540728744.939</v>
          </cell>
          <cell r="AS78">
            <v>130133845586.88</v>
          </cell>
          <cell r="AT78">
            <v>136191353914.989</v>
          </cell>
          <cell r="AU78">
            <v>153830946734.42499</v>
          </cell>
          <cell r="AV78">
            <v>201924269751.69299</v>
          </cell>
          <cell r="AW78">
            <v>240521261484.97601</v>
          </cell>
          <cell r="AX78">
            <v>247783002114.16501</v>
          </cell>
          <cell r="AY78">
            <v>273317736795.88501</v>
          </cell>
          <cell r="AZ78">
            <v>318497937311.79901</v>
          </cell>
          <cell r="BA78">
            <v>354460802695.18103</v>
          </cell>
          <cell r="BB78">
            <v>330000251458.73901</v>
          </cell>
          <cell r="BC78">
            <v>296835346570.22302</v>
          </cell>
          <cell r="BD78">
            <v>282625610892.47699</v>
          </cell>
          <cell r="BE78">
            <v>242043151399.45801</v>
          </cell>
          <cell r="BF78">
            <v>238839788899.33801</v>
          </cell>
          <cell r="BG78">
            <v>235144949470.797</v>
          </cell>
          <cell r="BH78">
            <v>195604846736.01901</v>
          </cell>
          <cell r="BI78">
            <v>193017030649.70001</v>
          </cell>
          <cell r="BJ78">
            <v>199350781053.185</v>
          </cell>
          <cell r="BK78">
            <v>211945897765.431</v>
          </cell>
          <cell r="BL78">
            <v>205144152830.84698</v>
          </cell>
          <cell r="BM78">
            <v>188835201625.91</v>
          </cell>
          <cell r="BN78">
            <v>188835201625.91</v>
          </cell>
        </row>
        <row r="79">
          <cell r="B79" t="str">
            <v>GRL</v>
          </cell>
          <cell r="C79" t="str">
            <v>GDP (current US$)</v>
          </cell>
          <cell r="D79" t="str">
            <v>NY.GDP.MKTP.CD</v>
          </cell>
          <cell r="E79" t="str">
            <v>..</v>
          </cell>
          <cell r="F79" t="str">
            <v>..</v>
          </cell>
          <cell r="G79" t="str">
            <v>..</v>
          </cell>
          <cell r="H79" t="str">
            <v>..</v>
          </cell>
          <cell r="I79" t="str">
            <v>..</v>
          </cell>
          <cell r="J79" t="str">
            <v>..</v>
          </cell>
          <cell r="K79" t="str">
            <v>..</v>
          </cell>
          <cell r="L79" t="str">
            <v>..</v>
          </cell>
          <cell r="M79" t="str">
            <v>..</v>
          </cell>
          <cell r="N79" t="str">
            <v>..</v>
          </cell>
          <cell r="O79">
            <v>69520026.666666701</v>
          </cell>
          <cell r="P79">
            <v>88570952.868852496</v>
          </cell>
          <cell r="Q79">
            <v>106101175.65798</v>
          </cell>
          <cell r="R79">
            <v>140153748.24365601</v>
          </cell>
          <cell r="S79">
            <v>169918948.62918201</v>
          </cell>
          <cell r="T79">
            <v>211194305.702999</v>
          </cell>
          <cell r="U79">
            <v>240780413.56492999</v>
          </cell>
          <cell r="V79">
            <v>282269373.00106603</v>
          </cell>
          <cell r="W79">
            <v>355989047.256374</v>
          </cell>
          <cell r="X79">
            <v>420642463.409998</v>
          </cell>
          <cell r="Y79">
            <v>476055288.41888601</v>
          </cell>
          <cell r="Z79">
            <v>435746974.75924402</v>
          </cell>
          <cell r="AA79">
            <v>402405069.367769</v>
          </cell>
          <cell r="AB79">
            <v>416183706.943685</v>
          </cell>
          <cell r="AC79">
            <v>379371608.44292498</v>
          </cell>
          <cell r="AD79">
            <v>412876071.11849302</v>
          </cell>
          <cell r="AE79">
            <v>603015696.45284903</v>
          </cell>
          <cell r="AF79">
            <v>787392365.83190799</v>
          </cell>
          <cell r="AG79">
            <v>898611007.94770896</v>
          </cell>
          <cell r="AH79">
            <v>929796722.38789594</v>
          </cell>
          <cell r="AI79">
            <v>1018970364.86443</v>
          </cell>
          <cell r="AJ79">
            <v>1016493394.8253</v>
          </cell>
          <cell r="AK79">
            <v>1037921836.9477</v>
          </cell>
          <cell r="AL79">
            <v>927219728.86688602</v>
          </cell>
          <cell r="AM79">
            <v>1005879948.4325401</v>
          </cell>
          <cell r="AN79">
            <v>1208946165.92889</v>
          </cell>
          <cell r="AO79">
            <v>1197509786.6763201</v>
          </cell>
          <cell r="AP79">
            <v>1072147778.03013</v>
          </cell>
          <cell r="AQ79">
            <v>1149862702.96084</v>
          </cell>
          <cell r="AR79">
            <v>1131561595.1377499</v>
          </cell>
          <cell r="AS79">
            <v>1068030829.75591</v>
          </cell>
          <cell r="AT79">
            <v>1086172922.5741301</v>
          </cell>
          <cell r="AU79">
            <v>1169138789.3143499</v>
          </cell>
          <cell r="AV79">
            <v>1558753434.43083</v>
          </cell>
          <cell r="AW79">
            <v>1822486688.5880699</v>
          </cell>
          <cell r="AX79">
            <v>1849805732.9620299</v>
          </cell>
          <cell r="AY79">
            <v>2013099482.0743899</v>
          </cell>
          <cell r="AZ79">
            <v>2249811708.9479599</v>
          </cell>
          <cell r="BA79">
            <v>2499107510.6412201</v>
          </cell>
          <cell r="BB79">
            <v>2529948329.5715299</v>
          </cell>
          <cell r="BC79">
            <v>2503156060.5252399</v>
          </cell>
          <cell r="BD79">
            <v>2684467375.7147899</v>
          </cell>
          <cell r="BE79">
            <v>2609667673.7160101</v>
          </cell>
          <cell r="BF79">
            <v>2684952726.8842502</v>
          </cell>
          <cell r="BG79">
            <v>2842048997.77283</v>
          </cell>
          <cell r="BH79">
            <v>2499115623.0027199</v>
          </cell>
          <cell r="BI79">
            <v>2707146783.1305599</v>
          </cell>
          <cell r="BJ79">
            <v>2851610655.9239101</v>
          </cell>
          <cell r="BK79">
            <v>3040414278.0223598</v>
          </cell>
          <cell r="BL79">
            <v>2982247278.6157699</v>
          </cell>
          <cell r="BM79" t="str">
            <v>..</v>
          </cell>
          <cell r="BN79">
            <v>2982247278.6157699</v>
          </cell>
        </row>
        <row r="80">
          <cell r="B80" t="str">
            <v>GRD</v>
          </cell>
          <cell r="C80" t="str">
            <v>GDP (current US$)</v>
          </cell>
          <cell r="D80" t="str">
            <v>NY.GDP.MKTP.CD</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v>71494495.185185194</v>
          </cell>
          <cell r="W80">
            <v>88322386.296296299</v>
          </cell>
          <cell r="X80">
            <v>102244362.222222</v>
          </cell>
          <cell r="Y80">
            <v>110900457.037037</v>
          </cell>
          <cell r="Z80">
            <v>115651918.888889</v>
          </cell>
          <cell r="AA80">
            <v>125435590</v>
          </cell>
          <cell r="AB80">
            <v>131803552.222222</v>
          </cell>
          <cell r="AC80">
            <v>145533310.74074101</v>
          </cell>
          <cell r="AD80">
            <v>167728455.18518499</v>
          </cell>
          <cell r="AE80">
            <v>187589522.59259301</v>
          </cell>
          <cell r="AF80">
            <v>215009569.62963</v>
          </cell>
          <cell r="AG80">
            <v>236357523.703704</v>
          </cell>
          <cell r="AH80">
            <v>267327642.222222</v>
          </cell>
          <cell r="AI80">
            <v>278098762.96296299</v>
          </cell>
          <cell r="AJ80">
            <v>300757888.88888901</v>
          </cell>
          <cell r="AK80">
            <v>310160444.444444</v>
          </cell>
          <cell r="AL80">
            <v>309812185.18518502</v>
          </cell>
          <cell r="AM80">
            <v>325111814.81481498</v>
          </cell>
          <cell r="AN80">
            <v>342172518.51851898</v>
          </cell>
          <cell r="AO80">
            <v>366911444.444444</v>
          </cell>
          <cell r="AP80">
            <v>392190592.59259301</v>
          </cell>
          <cell r="AQ80">
            <v>445903592.59259301</v>
          </cell>
          <cell r="AR80">
            <v>482009370.37036997</v>
          </cell>
          <cell r="AS80">
            <v>520044370.37036997</v>
          </cell>
          <cell r="AT80">
            <v>520444185.18518502</v>
          </cell>
          <cell r="AU80">
            <v>540336925.92592597</v>
          </cell>
          <cell r="AV80">
            <v>591018407.40740705</v>
          </cell>
          <cell r="AW80">
            <v>599118592.59259295</v>
          </cell>
          <cell r="AX80">
            <v>695555555.55555499</v>
          </cell>
          <cell r="AY80">
            <v>698700666.66666698</v>
          </cell>
          <cell r="AZ80">
            <v>758683592.59259295</v>
          </cell>
          <cell r="BA80">
            <v>825976037.03703701</v>
          </cell>
          <cell r="BB80">
            <v>771275555.55555499</v>
          </cell>
          <cell r="BC80">
            <v>771013259.25925899</v>
          </cell>
          <cell r="BD80">
            <v>778655925.92592597</v>
          </cell>
          <cell r="BE80">
            <v>799882259.25925899</v>
          </cell>
          <cell r="BF80">
            <v>842620111.11111104</v>
          </cell>
          <cell r="BG80">
            <v>911497407.40740705</v>
          </cell>
          <cell r="BH80">
            <v>997007925.92592597</v>
          </cell>
          <cell r="BI80">
            <v>1061640740.7407399</v>
          </cell>
          <cell r="BJ80">
            <v>1125685185.18519</v>
          </cell>
          <cell r="BK80">
            <v>1166523555.5555601</v>
          </cell>
          <cell r="BL80">
            <v>1212694407.4074099</v>
          </cell>
          <cell r="BM80">
            <v>1042100555.55556</v>
          </cell>
          <cell r="BN80">
            <v>1042100555.55556</v>
          </cell>
        </row>
        <row r="81">
          <cell r="B81" t="str">
            <v>GUM</v>
          </cell>
          <cell r="C81" t="str">
            <v>GDP (current US$)</v>
          </cell>
          <cell r="D81" t="str">
            <v>NY.GDP.MKTP.CD</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v>3394000000</v>
          </cell>
          <cell r="AV81">
            <v>3569000000</v>
          </cell>
          <cell r="AW81">
            <v>3869000000</v>
          </cell>
          <cell r="AX81">
            <v>4213000000</v>
          </cell>
          <cell r="AY81">
            <v>4238000000</v>
          </cell>
          <cell r="AZ81">
            <v>4397000000</v>
          </cell>
          <cell r="BA81">
            <v>4658000000</v>
          </cell>
          <cell r="BB81">
            <v>4828000000</v>
          </cell>
          <cell r="BC81">
            <v>4949000000</v>
          </cell>
          <cell r="BD81">
            <v>4984000000</v>
          </cell>
          <cell r="BE81">
            <v>5265000000</v>
          </cell>
          <cell r="BF81">
            <v>5399000000</v>
          </cell>
          <cell r="BG81">
            <v>5610000000</v>
          </cell>
          <cell r="BH81">
            <v>5799000000</v>
          </cell>
          <cell r="BI81">
            <v>5901000000</v>
          </cell>
          <cell r="BJ81">
            <v>6013000000</v>
          </cell>
          <cell r="BK81">
            <v>6060000000</v>
          </cell>
          <cell r="BL81">
            <v>6364000000</v>
          </cell>
          <cell r="BM81">
            <v>5844000000</v>
          </cell>
          <cell r="BN81">
            <v>5844000000</v>
          </cell>
        </row>
        <row r="82">
          <cell r="B82" t="str">
            <v>GTM</v>
          </cell>
          <cell r="C82" t="str">
            <v>GDP (current US$)</v>
          </cell>
          <cell r="D82" t="str">
            <v>NY.GDP.MKTP.CD</v>
          </cell>
          <cell r="E82">
            <v>1043599900</v>
          </cell>
          <cell r="F82">
            <v>1076699900</v>
          </cell>
          <cell r="G82">
            <v>1143600000</v>
          </cell>
          <cell r="H82">
            <v>1262800000</v>
          </cell>
          <cell r="I82">
            <v>1299099900</v>
          </cell>
          <cell r="J82">
            <v>1331399900</v>
          </cell>
          <cell r="K82">
            <v>1390700000</v>
          </cell>
          <cell r="L82">
            <v>1453500000</v>
          </cell>
          <cell r="M82">
            <v>1610500000</v>
          </cell>
          <cell r="N82">
            <v>1715399900</v>
          </cell>
          <cell r="O82">
            <v>1904000000</v>
          </cell>
          <cell r="P82">
            <v>1984800000</v>
          </cell>
          <cell r="Q82">
            <v>2101300000</v>
          </cell>
          <cell r="R82">
            <v>2569200100</v>
          </cell>
          <cell r="S82">
            <v>3161499900</v>
          </cell>
          <cell r="T82">
            <v>3645900000</v>
          </cell>
          <cell r="U82">
            <v>4365300200</v>
          </cell>
          <cell r="V82">
            <v>5480500200</v>
          </cell>
          <cell r="W82">
            <v>6070600200</v>
          </cell>
          <cell r="X82">
            <v>6902600200</v>
          </cell>
          <cell r="Y82">
            <v>7878700000</v>
          </cell>
          <cell r="Z82">
            <v>8607500300</v>
          </cell>
          <cell r="AA82">
            <v>8716999700</v>
          </cell>
          <cell r="AB82">
            <v>9050000400</v>
          </cell>
          <cell r="AC82">
            <v>9470000100</v>
          </cell>
          <cell r="AD82">
            <v>9721652086.9565201</v>
          </cell>
          <cell r="AE82">
            <v>7231963515.98174</v>
          </cell>
          <cell r="AF82">
            <v>7084399840</v>
          </cell>
          <cell r="AG82">
            <v>7841602824.4274797</v>
          </cell>
          <cell r="AH82">
            <v>8410724360.7954502</v>
          </cell>
          <cell r="AI82">
            <v>7650125217.3525295</v>
          </cell>
          <cell r="AJ82">
            <v>9406097735.0911694</v>
          </cell>
          <cell r="AK82">
            <v>10440842165.3193</v>
          </cell>
          <cell r="AL82">
            <v>11399942453.0646</v>
          </cell>
          <cell r="AM82">
            <v>12983235568.2292</v>
          </cell>
          <cell r="AN82">
            <v>14655404433.2771</v>
          </cell>
          <cell r="AO82">
            <v>15674835615.3139</v>
          </cell>
          <cell r="AP82">
            <v>17790026221.613899</v>
          </cell>
          <cell r="AQ82">
            <v>19395491992.9939</v>
          </cell>
          <cell r="AR82">
            <v>18318412251.364201</v>
          </cell>
          <cell r="AS82">
            <v>19288827158.9035</v>
          </cell>
          <cell r="AT82">
            <v>18405203853.1036</v>
          </cell>
          <cell r="AU82">
            <v>20444205991.025002</v>
          </cell>
          <cell r="AV82">
            <v>21576351798.914501</v>
          </cell>
          <cell r="AW82">
            <v>23577286226.640701</v>
          </cell>
          <cell r="AX82">
            <v>26783543667.063999</v>
          </cell>
          <cell r="AY82">
            <v>29744368110.909401</v>
          </cell>
          <cell r="AZ82">
            <v>33567868322.625198</v>
          </cell>
          <cell r="BA82">
            <v>38503862830.687798</v>
          </cell>
          <cell r="BB82">
            <v>37125943564.987297</v>
          </cell>
          <cell r="BC82">
            <v>40676432028.593399</v>
          </cell>
          <cell r="BD82">
            <v>46876114650.499603</v>
          </cell>
          <cell r="BE82">
            <v>49593961141.748398</v>
          </cell>
          <cell r="BF82">
            <v>52996540703.594299</v>
          </cell>
          <cell r="BG82">
            <v>57852399963.787804</v>
          </cell>
          <cell r="BH82">
            <v>62186186575.743301</v>
          </cell>
          <cell r="BI82">
            <v>66053725049.013802</v>
          </cell>
          <cell r="BJ82">
            <v>71654134378.529907</v>
          </cell>
          <cell r="BK82">
            <v>73208583758.910507</v>
          </cell>
          <cell r="BL82">
            <v>77020015201.320099</v>
          </cell>
          <cell r="BM82">
            <v>77604632170.585297</v>
          </cell>
          <cell r="BN82">
            <v>77604632170.585297</v>
          </cell>
        </row>
        <row r="83">
          <cell r="B83" t="str">
            <v>GIN</v>
          </cell>
          <cell r="C83" t="str">
            <v>GDP (current US$)</v>
          </cell>
          <cell r="D83" t="str">
            <v>NY.GDP.MKTP.CD</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1995186720.74733</v>
          </cell>
          <cell r="AF83">
            <v>2041538039.57727</v>
          </cell>
          <cell r="AG83">
            <v>2384295982.3843298</v>
          </cell>
          <cell r="AH83">
            <v>2432029433.8267899</v>
          </cell>
          <cell r="AI83">
            <v>2666750685.8495002</v>
          </cell>
          <cell r="AJ83">
            <v>3015058138.9256101</v>
          </cell>
          <cell r="AK83">
            <v>3284620543.2298198</v>
          </cell>
          <cell r="AL83">
            <v>3279096606.2135801</v>
          </cell>
          <cell r="AM83">
            <v>3383092827.5865998</v>
          </cell>
          <cell r="AN83">
            <v>3693710532.9119101</v>
          </cell>
          <cell r="AO83">
            <v>3868968301.91851</v>
          </cell>
          <cell r="AP83">
            <v>3783700461.64359</v>
          </cell>
          <cell r="AQ83">
            <v>3588375476.7624798</v>
          </cell>
          <cell r="AR83">
            <v>3461282543.1257701</v>
          </cell>
          <cell r="AS83">
            <v>2995361140.6321702</v>
          </cell>
          <cell r="AT83">
            <v>2829435956.5156298</v>
          </cell>
          <cell r="AU83">
            <v>2950198648.95191</v>
          </cell>
          <cell r="AV83">
            <v>3446441698.00738</v>
          </cell>
          <cell r="AW83">
            <v>3635458132.6531701</v>
          </cell>
          <cell r="AX83">
            <v>2937071767.2557602</v>
          </cell>
          <cell r="AY83">
            <v>4220019242.74824</v>
          </cell>
          <cell r="AZ83">
            <v>6281917655.9024897</v>
          </cell>
          <cell r="BA83">
            <v>6964179193.8441801</v>
          </cell>
          <cell r="BB83">
            <v>6716904568.7648201</v>
          </cell>
          <cell r="BC83">
            <v>6853467857.61127</v>
          </cell>
          <cell r="BD83">
            <v>6785137172.7705803</v>
          </cell>
          <cell r="BE83">
            <v>7638045254.4286404</v>
          </cell>
          <cell r="BF83">
            <v>8376613843.2726498</v>
          </cell>
          <cell r="BG83">
            <v>8778473614.5472794</v>
          </cell>
          <cell r="BH83">
            <v>8794202443.6736603</v>
          </cell>
          <cell r="BI83">
            <v>8595955581.2178707</v>
          </cell>
          <cell r="BJ83">
            <v>10324668266.5921</v>
          </cell>
          <cell r="BK83">
            <v>11857030336.5252</v>
          </cell>
          <cell r="BL83">
            <v>13513809258.2131</v>
          </cell>
          <cell r="BM83">
            <v>15681050917.1563</v>
          </cell>
          <cell r="BN83">
            <v>15681050917.1563</v>
          </cell>
        </row>
        <row r="84">
          <cell r="B84" t="str">
            <v>GNB</v>
          </cell>
          <cell r="C84" t="str">
            <v>GDP (current US$)</v>
          </cell>
          <cell r="D84" t="str">
            <v>NY.GDP.MKTP.CD</v>
          </cell>
          <cell r="E84" t="str">
            <v>..</v>
          </cell>
          <cell r="F84" t="str">
            <v>..</v>
          </cell>
          <cell r="G84" t="str">
            <v>..</v>
          </cell>
          <cell r="H84" t="str">
            <v>..</v>
          </cell>
          <cell r="I84" t="str">
            <v>..</v>
          </cell>
          <cell r="J84" t="str">
            <v>..</v>
          </cell>
          <cell r="K84" t="str">
            <v>..</v>
          </cell>
          <cell r="L84" t="str">
            <v>..</v>
          </cell>
          <cell r="M84" t="str">
            <v>..</v>
          </cell>
          <cell r="N84" t="str">
            <v>..</v>
          </cell>
          <cell r="O84">
            <v>78733594.841185197</v>
          </cell>
          <cell r="P84">
            <v>78540057.1372471</v>
          </cell>
          <cell r="Q84">
            <v>87702828.565164104</v>
          </cell>
          <cell r="R84">
            <v>89374237.288135603</v>
          </cell>
          <cell r="S84">
            <v>98775328.947368398</v>
          </cell>
          <cell r="T84">
            <v>108985740.155434</v>
          </cell>
          <cell r="U84">
            <v>112386489.005677</v>
          </cell>
          <cell r="V84">
            <v>114971207.205384</v>
          </cell>
          <cell r="W84">
            <v>122666858.789625</v>
          </cell>
          <cell r="X84">
            <v>118537875.133044</v>
          </cell>
          <cell r="Y84">
            <v>110653830.72270399</v>
          </cell>
          <cell r="Z84">
            <v>154731969.69696999</v>
          </cell>
          <cell r="AA84">
            <v>165523634.50371799</v>
          </cell>
          <cell r="AB84">
            <v>163577538.326314</v>
          </cell>
          <cell r="AC84">
            <v>138478900.628609</v>
          </cell>
          <cell r="AD84">
            <v>143856253.12724799</v>
          </cell>
          <cell r="AE84">
            <v>130225018.751151</v>
          </cell>
          <cell r="AF84">
            <v>173836362.01067701</v>
          </cell>
          <cell r="AG84">
            <v>164458120.31417599</v>
          </cell>
          <cell r="AH84">
            <v>213143016.44331601</v>
          </cell>
          <cell r="AI84">
            <v>243961995.509785</v>
          </cell>
          <cell r="AJ84">
            <v>257150374.069711</v>
          </cell>
          <cell r="AK84">
            <v>226313443.74908599</v>
          </cell>
          <cell r="AL84">
            <v>236880821.65638801</v>
          </cell>
          <cell r="AM84">
            <v>235620043.500927</v>
          </cell>
          <cell r="AN84">
            <v>253966922.278198</v>
          </cell>
          <cell r="AO84">
            <v>270419779.41810697</v>
          </cell>
          <cell r="AP84">
            <v>268550998.21919698</v>
          </cell>
          <cell r="AQ84">
            <v>206457544.49770299</v>
          </cell>
          <cell r="AR84">
            <v>224446663.80054799</v>
          </cell>
          <cell r="AS84">
            <v>371095510.04776102</v>
          </cell>
          <cell r="AT84">
            <v>392621385.89457601</v>
          </cell>
          <cell r="AU84">
            <v>417806667.07797998</v>
          </cell>
          <cell r="AV84">
            <v>477458598.71073699</v>
          </cell>
          <cell r="AW84">
            <v>532062927.382438</v>
          </cell>
          <cell r="AX84">
            <v>587029054.44465196</v>
          </cell>
          <cell r="AY84">
            <v>592365688.05203998</v>
          </cell>
          <cell r="AZ84">
            <v>696910810.91866302</v>
          </cell>
          <cell r="BA84">
            <v>868154708.52017903</v>
          </cell>
          <cell r="BB84">
            <v>830126469.98660803</v>
          </cell>
          <cell r="BC84">
            <v>849878424.225986</v>
          </cell>
          <cell r="BD84">
            <v>1099818651.9811399</v>
          </cell>
          <cell r="BE84">
            <v>989271229.63716197</v>
          </cell>
          <cell r="BF84">
            <v>1046087417.96916</v>
          </cell>
          <cell r="BG84">
            <v>1054915645.19654</v>
          </cell>
          <cell r="BH84">
            <v>1048229629.42039</v>
          </cell>
          <cell r="BI84">
            <v>1179004941.2290399</v>
          </cell>
          <cell r="BJ84">
            <v>1350177127.5523</v>
          </cell>
          <cell r="BK84">
            <v>1504630120.9927499</v>
          </cell>
          <cell r="BL84">
            <v>1439638443.38133</v>
          </cell>
          <cell r="BM84">
            <v>1431758242.9037499</v>
          </cell>
          <cell r="BN84">
            <v>1431758242.9037499</v>
          </cell>
        </row>
        <row r="85">
          <cell r="B85" t="str">
            <v>GUY</v>
          </cell>
          <cell r="C85" t="str">
            <v>GDP (current US$)</v>
          </cell>
          <cell r="D85" t="str">
            <v>NY.GDP.MKTP.CD</v>
          </cell>
          <cell r="E85">
            <v>170215248.206265</v>
          </cell>
          <cell r="F85">
            <v>185848451.26290599</v>
          </cell>
          <cell r="G85">
            <v>194948375.43020499</v>
          </cell>
          <cell r="H85">
            <v>175756868.692761</v>
          </cell>
          <cell r="I85">
            <v>194773376.88852599</v>
          </cell>
          <cell r="J85">
            <v>213235294.11764699</v>
          </cell>
          <cell r="K85">
            <v>228705882.35294101</v>
          </cell>
          <cell r="L85">
            <v>250176470.58823499</v>
          </cell>
          <cell r="M85">
            <v>229750000</v>
          </cell>
          <cell r="N85">
            <v>249300000</v>
          </cell>
          <cell r="O85">
            <v>267800000</v>
          </cell>
          <cell r="P85">
            <v>282050000</v>
          </cell>
          <cell r="Q85">
            <v>285380952.380952</v>
          </cell>
          <cell r="R85">
            <v>307047619.04761899</v>
          </cell>
          <cell r="S85">
            <v>433954545.45454502</v>
          </cell>
          <cell r="T85">
            <v>494791666.66666698</v>
          </cell>
          <cell r="U85">
            <v>454440000</v>
          </cell>
          <cell r="V85">
            <v>449880000</v>
          </cell>
          <cell r="W85">
            <v>507080000</v>
          </cell>
          <cell r="X85">
            <v>530440000</v>
          </cell>
          <cell r="Y85">
            <v>603200000</v>
          </cell>
          <cell r="Z85">
            <v>570357107.14285696</v>
          </cell>
          <cell r="AA85">
            <v>482000000</v>
          </cell>
          <cell r="AB85">
            <v>489333333.33333302</v>
          </cell>
          <cell r="AC85">
            <v>437631605.26315802</v>
          </cell>
          <cell r="AD85">
            <v>453488372.093023</v>
          </cell>
          <cell r="AE85">
            <v>504651139.53488398</v>
          </cell>
          <cell r="AF85">
            <v>354591846.938775</v>
          </cell>
          <cell r="AG85">
            <v>413799990</v>
          </cell>
          <cell r="AH85">
            <v>379779389.70588201</v>
          </cell>
          <cell r="AI85">
            <v>396582263.29113901</v>
          </cell>
          <cell r="AJ85">
            <v>348533094.81216502</v>
          </cell>
          <cell r="AK85">
            <v>373573141.48681098</v>
          </cell>
          <cell r="AL85">
            <v>454101382.48847902</v>
          </cell>
          <cell r="AM85">
            <v>540874934.20101202</v>
          </cell>
          <cell r="AN85">
            <v>621626785.91549301</v>
          </cell>
          <cell r="AO85">
            <v>705406001.42450094</v>
          </cell>
          <cell r="AP85">
            <v>749138009.56454003</v>
          </cell>
          <cell r="AQ85">
            <v>717530683.16956699</v>
          </cell>
          <cell r="AR85">
            <v>694754988.25829506</v>
          </cell>
          <cell r="AS85">
            <v>712667896.727512</v>
          </cell>
          <cell r="AT85">
            <v>712167575.624277</v>
          </cell>
          <cell r="AU85">
            <v>726131434.71533799</v>
          </cell>
          <cell r="AV85">
            <v>743064076.79456699</v>
          </cell>
          <cell r="AW85">
            <v>787814379.18384302</v>
          </cell>
          <cell r="AX85">
            <v>824880550.34396505</v>
          </cell>
          <cell r="AY85">
            <v>2379818382.9924102</v>
          </cell>
          <cell r="AZ85">
            <v>2730971150.0113401</v>
          </cell>
          <cell r="BA85">
            <v>3025187923.5861702</v>
          </cell>
          <cell r="BB85">
            <v>3165663152.73351</v>
          </cell>
          <cell r="BC85">
            <v>3432913073.24154</v>
          </cell>
          <cell r="BD85">
            <v>3691384317.52178</v>
          </cell>
          <cell r="BE85">
            <v>4063089191.8752499</v>
          </cell>
          <cell r="BF85">
            <v>4167800259.2088799</v>
          </cell>
          <cell r="BG85">
            <v>4127659492.0203099</v>
          </cell>
          <cell r="BH85">
            <v>4279840193.7045999</v>
          </cell>
          <cell r="BI85">
            <v>4482697336.5617399</v>
          </cell>
          <cell r="BJ85">
            <v>4748174334.14044</v>
          </cell>
          <cell r="BK85">
            <v>4787636237.2404299</v>
          </cell>
          <cell r="BL85">
            <v>5173760191.8465204</v>
          </cell>
          <cell r="BM85">
            <v>5471256594.7242203</v>
          </cell>
          <cell r="BN85">
            <v>5471256594.7242203</v>
          </cell>
        </row>
        <row r="86">
          <cell r="B86" t="str">
            <v>HTI</v>
          </cell>
          <cell r="C86" t="str">
            <v>GDP (current US$)</v>
          </cell>
          <cell r="D86" t="str">
            <v>NY.GDP.MKTP.CD</v>
          </cell>
          <cell r="E86">
            <v>273187200</v>
          </cell>
          <cell r="F86">
            <v>271066000</v>
          </cell>
          <cell r="G86">
            <v>281896800</v>
          </cell>
          <cell r="H86">
            <v>294883400</v>
          </cell>
          <cell r="I86">
            <v>325281200</v>
          </cell>
          <cell r="J86">
            <v>353251800</v>
          </cell>
          <cell r="K86">
            <v>368948600</v>
          </cell>
          <cell r="L86">
            <v>369124200</v>
          </cell>
          <cell r="M86">
            <v>367968800</v>
          </cell>
          <cell r="N86">
            <v>391820400</v>
          </cell>
          <cell r="O86">
            <v>331200000</v>
          </cell>
          <cell r="P86">
            <v>362800000</v>
          </cell>
          <cell r="Q86">
            <v>372000000</v>
          </cell>
          <cell r="R86">
            <v>466800000</v>
          </cell>
          <cell r="S86">
            <v>565400000</v>
          </cell>
          <cell r="T86">
            <v>681400000</v>
          </cell>
          <cell r="U86">
            <v>879000000</v>
          </cell>
          <cell r="V86">
            <v>947000000</v>
          </cell>
          <cell r="W86">
            <v>974200000</v>
          </cell>
          <cell r="X86">
            <v>1080600000</v>
          </cell>
          <cell r="Y86">
            <v>1383800000</v>
          </cell>
          <cell r="Z86">
            <v>1479400000</v>
          </cell>
          <cell r="AA86">
            <v>1474200000</v>
          </cell>
          <cell r="AB86">
            <v>1623600000</v>
          </cell>
          <cell r="AC86">
            <v>1816200000</v>
          </cell>
          <cell r="AD86">
            <v>2009400000</v>
          </cell>
          <cell r="AE86">
            <v>2318000000</v>
          </cell>
          <cell r="AF86">
            <v>2047200000</v>
          </cell>
          <cell r="AG86">
            <v>2613926800</v>
          </cell>
          <cell r="AH86">
            <v>2736243800</v>
          </cell>
          <cell r="AI86">
            <v>3096289800</v>
          </cell>
          <cell r="AJ86">
            <v>3473540601.82161</v>
          </cell>
          <cell r="AK86">
            <v>2257121668.1935201</v>
          </cell>
          <cell r="AL86">
            <v>1878248741.04949</v>
          </cell>
          <cell r="AM86">
            <v>2167564194.7342</v>
          </cell>
          <cell r="AN86">
            <v>2813313278.8108201</v>
          </cell>
          <cell r="AO86">
            <v>2907514522.9250302</v>
          </cell>
          <cell r="AP86">
            <v>3338938830.0174298</v>
          </cell>
          <cell r="AQ86">
            <v>3723909226.8678098</v>
          </cell>
          <cell r="AR86">
            <v>4153736347.4422302</v>
          </cell>
          <cell r="AS86">
            <v>6813577558.17628</v>
          </cell>
          <cell r="AT86">
            <v>6331961555.4091396</v>
          </cell>
          <cell r="AU86">
            <v>6058134466.7525797</v>
          </cell>
          <cell r="AV86">
            <v>4826827577.0864096</v>
          </cell>
          <cell r="AW86">
            <v>6036959914.7239799</v>
          </cell>
          <cell r="AX86">
            <v>7184064657.2952995</v>
          </cell>
          <cell r="AY86">
            <v>7518107786.5114899</v>
          </cell>
          <cell r="AZ86">
            <v>9522763153.8136597</v>
          </cell>
          <cell r="BA86">
            <v>10485225353.180099</v>
          </cell>
          <cell r="BB86">
            <v>11597014807.3496</v>
          </cell>
          <cell r="BC86">
            <v>11859315078.790199</v>
          </cell>
          <cell r="BD86">
            <v>13008754110.8113</v>
          </cell>
          <cell r="BE86">
            <v>13708926466.273199</v>
          </cell>
          <cell r="BF86">
            <v>14902474090.615</v>
          </cell>
          <cell r="BG86">
            <v>15139264670.422501</v>
          </cell>
          <cell r="BH86">
            <v>14833154471.7456</v>
          </cell>
          <cell r="BI86">
            <v>13987693738.923</v>
          </cell>
          <cell r="BJ86">
            <v>15035560372.6443</v>
          </cell>
          <cell r="BK86">
            <v>16455034352.767099</v>
          </cell>
          <cell r="BL86">
            <v>14785839382.9002</v>
          </cell>
          <cell r="BM86">
            <v>14508218017.4032</v>
          </cell>
          <cell r="BN86">
            <v>14508218017.4032</v>
          </cell>
        </row>
        <row r="87">
          <cell r="B87" t="str">
            <v>HND</v>
          </cell>
          <cell r="C87" t="str">
            <v>GDP (current US$)</v>
          </cell>
          <cell r="D87" t="str">
            <v>NY.GDP.MKTP.CD</v>
          </cell>
          <cell r="E87">
            <v>335650000</v>
          </cell>
          <cell r="F87">
            <v>356200000</v>
          </cell>
          <cell r="G87">
            <v>387750000</v>
          </cell>
          <cell r="H87">
            <v>410200000</v>
          </cell>
          <cell r="I87">
            <v>457000000</v>
          </cell>
          <cell r="J87">
            <v>508650000</v>
          </cell>
          <cell r="K87">
            <v>549950000</v>
          </cell>
          <cell r="L87">
            <v>598100000</v>
          </cell>
          <cell r="M87">
            <v>646800000</v>
          </cell>
          <cell r="N87">
            <v>668000050</v>
          </cell>
          <cell r="O87">
            <v>723000000</v>
          </cell>
          <cell r="P87">
            <v>731000000</v>
          </cell>
          <cell r="Q87">
            <v>802999950</v>
          </cell>
          <cell r="R87">
            <v>912499950</v>
          </cell>
          <cell r="S87">
            <v>1034500000</v>
          </cell>
          <cell r="T87">
            <v>1124000000</v>
          </cell>
          <cell r="U87">
            <v>1347999950</v>
          </cell>
          <cell r="V87">
            <v>1669499950</v>
          </cell>
          <cell r="W87">
            <v>3097242093.2244101</v>
          </cell>
          <cell r="X87">
            <v>3544281976.2919798</v>
          </cell>
          <cell r="Y87">
            <v>3968160045.9868398</v>
          </cell>
          <cell r="Z87">
            <v>4043894878.58005</v>
          </cell>
          <cell r="AA87">
            <v>4266503525.6105099</v>
          </cell>
          <cell r="AB87">
            <v>4476697184.8598099</v>
          </cell>
          <cell r="AC87">
            <v>4915311846.4882698</v>
          </cell>
          <cell r="AD87">
            <v>5278120712.5459003</v>
          </cell>
          <cell r="AE87">
            <v>5677828958.9060497</v>
          </cell>
          <cell r="AF87">
            <v>6190521241.4649496</v>
          </cell>
          <cell r="AG87">
            <v>5902717091.5474701</v>
          </cell>
          <cell r="AH87">
            <v>5432344901.7782097</v>
          </cell>
          <cell r="AI87">
            <v>4923009551.5156097</v>
          </cell>
          <cell r="AJ87">
            <v>4648668478.5675297</v>
          </cell>
          <cell r="AK87">
            <v>4943700431.0736799</v>
          </cell>
          <cell r="AL87">
            <v>4926728932.9506903</v>
          </cell>
          <cell r="AM87">
            <v>4642280682.14252</v>
          </cell>
          <cell r="AN87">
            <v>5347445005.2137604</v>
          </cell>
          <cell r="AO87">
            <v>5215028986.4864902</v>
          </cell>
          <cell r="AP87">
            <v>5737099650.1901102</v>
          </cell>
          <cell r="AQ87">
            <v>6366340265.8788795</v>
          </cell>
          <cell r="AR87">
            <v>6414520529.6167202</v>
          </cell>
          <cell r="AS87">
            <v>7103826902.2067003</v>
          </cell>
          <cell r="AT87">
            <v>7565854723.7597303</v>
          </cell>
          <cell r="AU87">
            <v>7775251509.6271601</v>
          </cell>
          <cell r="AV87">
            <v>8140278400.9926996</v>
          </cell>
          <cell r="AW87">
            <v>8772169959.3167191</v>
          </cell>
          <cell r="AX87">
            <v>9672023050.3082905</v>
          </cell>
          <cell r="AY87">
            <v>10841724916.9457</v>
          </cell>
          <cell r="AZ87">
            <v>12275500115.723101</v>
          </cell>
          <cell r="BA87">
            <v>13789443623.162001</v>
          </cell>
          <cell r="BB87">
            <v>14486159608.066999</v>
          </cell>
          <cell r="BC87">
            <v>15729649158.588301</v>
          </cell>
          <cell r="BD87">
            <v>17588098574.7369</v>
          </cell>
          <cell r="BE87">
            <v>18400538859.359798</v>
          </cell>
          <cell r="BF87">
            <v>18372173380.737301</v>
          </cell>
          <cell r="BG87">
            <v>19618567249.500301</v>
          </cell>
          <cell r="BH87">
            <v>20833948799.535198</v>
          </cell>
          <cell r="BI87">
            <v>21566622849.605701</v>
          </cell>
          <cell r="BJ87">
            <v>22975415842.464802</v>
          </cell>
          <cell r="BK87">
            <v>23900438563.7271</v>
          </cell>
          <cell r="BL87">
            <v>24915522849.1544</v>
          </cell>
          <cell r="BM87">
            <v>23662231633.913898</v>
          </cell>
          <cell r="BN87">
            <v>23662231633.913898</v>
          </cell>
        </row>
        <row r="88">
          <cell r="B88" t="str">
            <v>HKG</v>
          </cell>
          <cell r="C88" t="str">
            <v>GDP (current US$)</v>
          </cell>
          <cell r="D88" t="str">
            <v>NY.GDP.MKTP.CD</v>
          </cell>
          <cell r="E88">
            <v>1320796651.6945701</v>
          </cell>
          <cell r="F88">
            <v>1383681651.1377599</v>
          </cell>
          <cell r="G88">
            <v>1612346412.26475</v>
          </cell>
          <cell r="H88">
            <v>1935298266.45384</v>
          </cell>
          <cell r="I88">
            <v>2206466461.2643399</v>
          </cell>
          <cell r="J88">
            <v>2435078534.0314102</v>
          </cell>
          <cell r="K88">
            <v>2489845016.6489401</v>
          </cell>
          <cell r="L88">
            <v>2692474989.12571</v>
          </cell>
          <cell r="M88">
            <v>2716964388.42418</v>
          </cell>
          <cell r="N88">
            <v>3189740055.1398201</v>
          </cell>
          <cell r="O88">
            <v>3800766535.6208801</v>
          </cell>
          <cell r="P88">
            <v>4476001946.0148602</v>
          </cell>
          <cell r="Q88">
            <v>5710107420.14394</v>
          </cell>
          <cell r="R88">
            <v>8030117555.6203299</v>
          </cell>
          <cell r="S88">
            <v>9388663645.7588005</v>
          </cell>
          <cell r="T88">
            <v>10048022369.914101</v>
          </cell>
          <cell r="U88">
            <v>12876366008.807699</v>
          </cell>
          <cell r="V88">
            <v>15719433719.433701</v>
          </cell>
          <cell r="W88">
            <v>18315007365.971298</v>
          </cell>
          <cell r="X88">
            <v>22526035940.592098</v>
          </cell>
          <cell r="Y88">
            <v>28861759209.0191</v>
          </cell>
          <cell r="Z88">
            <v>31055409443.042999</v>
          </cell>
          <cell r="AA88">
            <v>32291306281.816799</v>
          </cell>
          <cell r="AB88">
            <v>29907091339.5364</v>
          </cell>
          <cell r="AC88">
            <v>33511383985.674099</v>
          </cell>
          <cell r="AD88">
            <v>35699543050.777802</v>
          </cell>
          <cell r="AE88">
            <v>41075570591.9291</v>
          </cell>
          <cell r="AF88">
            <v>50622571586.114899</v>
          </cell>
          <cell r="AG88">
            <v>59707404560.594398</v>
          </cell>
          <cell r="AH88">
            <v>68790369107.296204</v>
          </cell>
          <cell r="AI88">
            <v>76928290841.870102</v>
          </cell>
          <cell r="AJ88">
            <v>88959620135.886398</v>
          </cell>
          <cell r="AK88">
            <v>104272278634.731</v>
          </cell>
          <cell r="AL88">
            <v>120353947980.76401</v>
          </cell>
          <cell r="AM88">
            <v>135812069768.646</v>
          </cell>
          <cell r="AN88">
            <v>144652912433.103</v>
          </cell>
          <cell r="AO88">
            <v>159717233621.659</v>
          </cell>
          <cell r="AP88">
            <v>177352785419.97699</v>
          </cell>
          <cell r="AQ88">
            <v>168886163221.56699</v>
          </cell>
          <cell r="AR88">
            <v>165768095391.55701</v>
          </cell>
          <cell r="AS88">
            <v>171668164082.55499</v>
          </cell>
          <cell r="AT88">
            <v>169403241524.33701</v>
          </cell>
          <cell r="AU88">
            <v>166349228737.38599</v>
          </cell>
          <cell r="AV88">
            <v>161384522525.29901</v>
          </cell>
          <cell r="AW88">
            <v>169099768875.19299</v>
          </cell>
          <cell r="AX88">
            <v>181570082162.19</v>
          </cell>
          <cell r="AY88">
            <v>193536265094.36401</v>
          </cell>
          <cell r="AZ88">
            <v>211597405593.86801</v>
          </cell>
          <cell r="BA88">
            <v>219279678430.164</v>
          </cell>
          <cell r="BB88">
            <v>214046415026.18701</v>
          </cell>
          <cell r="BC88">
            <v>228637697575.04001</v>
          </cell>
          <cell r="BD88">
            <v>248513617677.28699</v>
          </cell>
          <cell r="BE88">
            <v>262629441493.47601</v>
          </cell>
          <cell r="BF88">
            <v>275696879834.966</v>
          </cell>
          <cell r="BG88">
            <v>291459356985.33698</v>
          </cell>
          <cell r="BH88">
            <v>309383627028.56097</v>
          </cell>
          <cell r="BI88">
            <v>320837638328.84601</v>
          </cell>
          <cell r="BJ88">
            <v>341244161576.75897</v>
          </cell>
          <cell r="BK88">
            <v>361691522612.745</v>
          </cell>
          <cell r="BL88">
            <v>363016373358.51703</v>
          </cell>
          <cell r="BM88">
            <v>346585881503.63501</v>
          </cell>
          <cell r="BN88">
            <v>346585881503.63501</v>
          </cell>
        </row>
        <row r="89">
          <cell r="B89" t="str">
            <v>HUN</v>
          </cell>
          <cell r="C89" t="str">
            <v>GDP (current US$)</v>
          </cell>
          <cell r="D89" t="str">
            <v>NY.GDP.MKTP.CD</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v>34753569692.915001</v>
          </cell>
          <cell r="AK89">
            <v>38730585922.218903</v>
          </cell>
          <cell r="AL89">
            <v>40124916940.594498</v>
          </cell>
          <cell r="AM89">
            <v>43166678735.2183</v>
          </cell>
          <cell r="AN89">
            <v>46425677734.143501</v>
          </cell>
          <cell r="AO89">
            <v>46658755151.6017</v>
          </cell>
          <cell r="AP89">
            <v>47296952928.756104</v>
          </cell>
          <cell r="AQ89">
            <v>48706787306.257401</v>
          </cell>
          <cell r="AR89">
            <v>49073380173.715897</v>
          </cell>
          <cell r="AS89">
            <v>47218405892.425797</v>
          </cell>
          <cell r="AT89">
            <v>53749989092.019699</v>
          </cell>
          <cell r="AU89">
            <v>67608919144.368401</v>
          </cell>
          <cell r="AV89">
            <v>85302003908.042007</v>
          </cell>
          <cell r="AW89">
            <v>104141042625.791</v>
          </cell>
          <cell r="AX89">
            <v>113236711635.539</v>
          </cell>
          <cell r="AY89">
            <v>115751266695.185</v>
          </cell>
          <cell r="AZ89">
            <v>140227560615.121</v>
          </cell>
          <cell r="BA89">
            <v>158374419641.01599</v>
          </cell>
          <cell r="BB89">
            <v>131114229049.17799</v>
          </cell>
          <cell r="BC89">
            <v>132231134158.608</v>
          </cell>
          <cell r="BD89">
            <v>141999960209.89301</v>
          </cell>
          <cell r="BE89">
            <v>128857370476.631</v>
          </cell>
          <cell r="BF89">
            <v>135732595721.853</v>
          </cell>
          <cell r="BG89">
            <v>141078984816.67499</v>
          </cell>
          <cell r="BH89">
            <v>125210324613.14</v>
          </cell>
          <cell r="BI89">
            <v>128636108315.474</v>
          </cell>
          <cell r="BJ89">
            <v>143136245596.98801</v>
          </cell>
          <cell r="BK89">
            <v>160586833778.457</v>
          </cell>
          <cell r="BL89">
            <v>163526491433.29001</v>
          </cell>
          <cell r="BM89">
            <v>155808436238.487</v>
          </cell>
          <cell r="BN89">
            <v>155808436238.487</v>
          </cell>
        </row>
        <row r="90">
          <cell r="B90" t="str">
            <v>ISL</v>
          </cell>
          <cell r="C90" t="str">
            <v>GDP (current US$)</v>
          </cell>
          <cell r="D90" t="str">
            <v>NY.GDP.MKTP.CD</v>
          </cell>
          <cell r="E90">
            <v>248434096.96872601</v>
          </cell>
          <cell r="F90">
            <v>253885656.32925299</v>
          </cell>
          <cell r="G90">
            <v>284916516.15953702</v>
          </cell>
          <cell r="H90">
            <v>340061650.11989802</v>
          </cell>
          <cell r="I90">
            <v>434267936.91458303</v>
          </cell>
          <cell r="J90">
            <v>523694949.37068897</v>
          </cell>
          <cell r="K90">
            <v>628893310.39992595</v>
          </cell>
          <cell r="L90">
            <v>621225962.15470803</v>
          </cell>
          <cell r="M90">
            <v>474399471.62235898</v>
          </cell>
          <cell r="N90">
            <v>414709311.35295999</v>
          </cell>
          <cell r="O90">
            <v>526704545.45454502</v>
          </cell>
          <cell r="P90">
            <v>670251136.36363602</v>
          </cell>
          <cell r="Q90">
            <v>839652164.06072998</v>
          </cell>
          <cell r="R90">
            <v>1154440252.9679401</v>
          </cell>
          <cell r="S90">
            <v>1515190595.2976501</v>
          </cell>
          <cell r="T90">
            <v>1406875081.32726</v>
          </cell>
          <cell r="U90">
            <v>1669488389.96542</v>
          </cell>
          <cell r="V90">
            <v>2208509076.2809901</v>
          </cell>
          <cell r="W90">
            <v>2511826196.0089998</v>
          </cell>
          <cell r="X90">
            <v>2853435053.8854198</v>
          </cell>
          <cell r="Y90">
            <v>3381419042.8547602</v>
          </cell>
          <cell r="Z90">
            <v>3492997010.0495601</v>
          </cell>
          <cell r="AA90">
            <v>3206626563.5752702</v>
          </cell>
          <cell r="AB90">
            <v>2765950295.45784</v>
          </cell>
          <cell r="AC90">
            <v>2864441355.8530598</v>
          </cell>
          <cell r="AD90">
            <v>2984052332.4587998</v>
          </cell>
          <cell r="AE90">
            <v>3989622714.9537001</v>
          </cell>
          <cell r="AF90">
            <v>5520318352.9314404</v>
          </cell>
          <cell r="AG90">
            <v>6106635769.7493801</v>
          </cell>
          <cell r="AH90">
            <v>5672569396.4776697</v>
          </cell>
          <cell r="AI90">
            <v>6468736286.9270697</v>
          </cell>
          <cell r="AJ90">
            <v>6909730237.3199701</v>
          </cell>
          <cell r="AK90">
            <v>7080981668.5463305</v>
          </cell>
          <cell r="AL90">
            <v>6218581472.4746799</v>
          </cell>
          <cell r="AM90">
            <v>6389460285.59828</v>
          </cell>
          <cell r="AN90">
            <v>7123633356.3656502</v>
          </cell>
          <cell r="AO90">
            <v>7426081278.1954899</v>
          </cell>
          <cell r="AP90">
            <v>7569666973.6532202</v>
          </cell>
          <cell r="AQ90">
            <v>8503693098.6227102</v>
          </cell>
          <cell r="AR90">
            <v>8982047589.4895</v>
          </cell>
          <cell r="AS90">
            <v>9025660361.7584209</v>
          </cell>
          <cell r="AT90">
            <v>8234846804.6058197</v>
          </cell>
          <cell r="AU90">
            <v>9318395054.8593407</v>
          </cell>
          <cell r="AV90">
            <v>11429333037.844299</v>
          </cell>
          <cell r="AW90">
            <v>13825302535.769899</v>
          </cell>
          <cell r="AX90">
            <v>16852963067.049601</v>
          </cell>
          <cell r="AY90">
            <v>17465318552.294102</v>
          </cell>
          <cell r="AZ90">
            <v>21652505596.7528</v>
          </cell>
          <cell r="BA90">
            <v>18074622987.018501</v>
          </cell>
          <cell r="BB90">
            <v>13154414219.207001</v>
          </cell>
          <cell r="BC90">
            <v>13751161917.739799</v>
          </cell>
          <cell r="BD90">
            <v>15221622925.9319</v>
          </cell>
          <cell r="BE90">
            <v>14751508133.5443</v>
          </cell>
          <cell r="BF90">
            <v>16125060515.311701</v>
          </cell>
          <cell r="BG90">
            <v>17867662177.891102</v>
          </cell>
          <cell r="BH90">
            <v>17517210519.091202</v>
          </cell>
          <cell r="BI90">
            <v>20793168030.9524</v>
          </cell>
          <cell r="BJ90">
            <v>24728285177.4603</v>
          </cell>
          <cell r="BK90">
            <v>26267063757.5495</v>
          </cell>
          <cell r="BL90">
            <v>24857740445.0401</v>
          </cell>
          <cell r="BM90">
            <v>21718075725.205399</v>
          </cell>
          <cell r="BN90">
            <v>21718075725.205399</v>
          </cell>
        </row>
        <row r="91">
          <cell r="B91" t="str">
            <v>IND</v>
          </cell>
          <cell r="C91" t="str">
            <v>GDP (current US$)</v>
          </cell>
          <cell r="D91" t="str">
            <v>NY.GDP.MKTP.CD</v>
          </cell>
          <cell r="E91">
            <v>37029883875.457298</v>
          </cell>
          <cell r="F91">
            <v>39232435784.094597</v>
          </cell>
          <cell r="G91">
            <v>42161481858.701401</v>
          </cell>
          <cell r="H91">
            <v>48421923458.741302</v>
          </cell>
          <cell r="I91">
            <v>56480289940.826103</v>
          </cell>
          <cell r="J91">
            <v>59554854574.794197</v>
          </cell>
          <cell r="K91">
            <v>45865462033.910004</v>
          </cell>
          <cell r="L91">
            <v>50134942203.446701</v>
          </cell>
          <cell r="M91">
            <v>53085455870.822701</v>
          </cell>
          <cell r="N91">
            <v>58447995016.849297</v>
          </cell>
          <cell r="O91">
            <v>62422483054.517303</v>
          </cell>
          <cell r="P91">
            <v>67350988020.904099</v>
          </cell>
          <cell r="Q91">
            <v>71463193830.406403</v>
          </cell>
          <cell r="R91">
            <v>85515269585.522003</v>
          </cell>
          <cell r="S91">
            <v>99525899115.775604</v>
          </cell>
          <cell r="T91">
            <v>98472796457.113998</v>
          </cell>
          <cell r="U91">
            <v>102717164465.894</v>
          </cell>
          <cell r="V91">
            <v>121487322474.298</v>
          </cell>
          <cell r="W91">
            <v>137300295308.03799</v>
          </cell>
          <cell r="X91">
            <v>152991653792.86401</v>
          </cell>
          <cell r="Y91">
            <v>186325345089.754</v>
          </cell>
          <cell r="Z91">
            <v>193490610032.10001</v>
          </cell>
          <cell r="AA91">
            <v>200715145360.918</v>
          </cell>
          <cell r="AB91">
            <v>218262273410.099</v>
          </cell>
          <cell r="AC91">
            <v>212158234164.06</v>
          </cell>
          <cell r="AD91">
            <v>232511877842.04099</v>
          </cell>
          <cell r="AE91">
            <v>248985994044.20001</v>
          </cell>
          <cell r="AF91">
            <v>279033584092.159</v>
          </cell>
          <cell r="AG91">
            <v>296588994812.05902</v>
          </cell>
          <cell r="AH91">
            <v>296042354986.12598</v>
          </cell>
          <cell r="AI91">
            <v>320979026419.633</v>
          </cell>
          <cell r="AJ91">
            <v>270105341879.22601</v>
          </cell>
          <cell r="AK91">
            <v>288208430383.96399</v>
          </cell>
          <cell r="AL91">
            <v>279296022987.91901</v>
          </cell>
          <cell r="AM91">
            <v>327275583539.55902</v>
          </cell>
          <cell r="AN91">
            <v>360281952716.797</v>
          </cell>
          <cell r="AO91">
            <v>392897054348.07098</v>
          </cell>
          <cell r="AP91">
            <v>415867753863.87402</v>
          </cell>
          <cell r="AQ91">
            <v>421351477504.74298</v>
          </cell>
          <cell r="AR91">
            <v>458820417337.80701</v>
          </cell>
          <cell r="AS91">
            <v>468394937262.37</v>
          </cell>
          <cell r="AT91">
            <v>485441014538.638</v>
          </cell>
          <cell r="AU91">
            <v>514937948870.08002</v>
          </cell>
          <cell r="AV91">
            <v>607699285433.87195</v>
          </cell>
          <cell r="AW91">
            <v>709148514804.65906</v>
          </cell>
          <cell r="AX91">
            <v>820381595512.90198</v>
          </cell>
          <cell r="AY91">
            <v>940259888792.14099</v>
          </cell>
          <cell r="AZ91">
            <v>1216735441524.8601</v>
          </cell>
          <cell r="BA91">
            <v>1198895582137.51</v>
          </cell>
          <cell r="BB91">
            <v>1341886602798.6899</v>
          </cell>
          <cell r="BC91">
            <v>1675615335600.5601</v>
          </cell>
          <cell r="BD91">
            <v>1823049927771.46</v>
          </cell>
          <cell r="BE91">
            <v>1827637859135.7</v>
          </cell>
          <cell r="BF91">
            <v>1856722121394.53</v>
          </cell>
          <cell r="BG91">
            <v>2039127446298.55</v>
          </cell>
          <cell r="BH91">
            <v>2103587813812.75</v>
          </cell>
          <cell r="BI91">
            <v>2294797980509.0098</v>
          </cell>
          <cell r="BJ91">
            <v>2651472946374.9102</v>
          </cell>
          <cell r="BK91">
            <v>2701111782775.0298</v>
          </cell>
          <cell r="BL91">
            <v>2870504096717.77</v>
          </cell>
          <cell r="BM91">
            <v>2660245248867.6299</v>
          </cell>
          <cell r="BN91">
            <v>2660245248867.6299</v>
          </cell>
        </row>
        <row r="92">
          <cell r="B92" t="str">
            <v>IDN</v>
          </cell>
          <cell r="C92" t="str">
            <v>GDP (current US$)</v>
          </cell>
          <cell r="D92" t="str">
            <v>NY.GDP.MKTP.CD</v>
          </cell>
          <cell r="E92" t="str">
            <v>..</v>
          </cell>
          <cell r="F92" t="str">
            <v>..</v>
          </cell>
          <cell r="G92" t="str">
            <v>..</v>
          </cell>
          <cell r="H92" t="str">
            <v>..</v>
          </cell>
          <cell r="I92" t="str">
            <v>..</v>
          </cell>
          <cell r="J92" t="str">
            <v>..</v>
          </cell>
          <cell r="K92" t="str">
            <v>..</v>
          </cell>
          <cell r="L92">
            <v>5667756644.8314104</v>
          </cell>
          <cell r="M92">
            <v>7076465295.3332701</v>
          </cell>
          <cell r="N92">
            <v>8337423312.88344</v>
          </cell>
          <cell r="O92">
            <v>9150684931.5068493</v>
          </cell>
          <cell r="P92">
            <v>9333536359.7988796</v>
          </cell>
          <cell r="Q92">
            <v>10997590361.445801</v>
          </cell>
          <cell r="R92">
            <v>16273253012.048201</v>
          </cell>
          <cell r="S92">
            <v>25802409638.554199</v>
          </cell>
          <cell r="T92">
            <v>30463855421.686699</v>
          </cell>
          <cell r="U92">
            <v>37269156626.505997</v>
          </cell>
          <cell r="V92">
            <v>45808915662.650597</v>
          </cell>
          <cell r="W92">
            <v>51455719099.9207</v>
          </cell>
          <cell r="X92">
            <v>51400186379.302803</v>
          </cell>
          <cell r="Y92">
            <v>72482337370.346405</v>
          </cell>
          <cell r="Z92">
            <v>85518233450.777405</v>
          </cell>
          <cell r="AA92">
            <v>90158449307.232697</v>
          </cell>
          <cell r="AB92">
            <v>81052283404.610199</v>
          </cell>
          <cell r="AC92">
            <v>84853699994.046707</v>
          </cell>
          <cell r="AD92">
            <v>85289491750.321701</v>
          </cell>
          <cell r="AE92">
            <v>79954072569.850204</v>
          </cell>
          <cell r="AF92">
            <v>75929617576.879395</v>
          </cell>
          <cell r="AG92">
            <v>84300174477.200806</v>
          </cell>
          <cell r="AH92">
            <v>94451427898.337906</v>
          </cell>
          <cell r="AI92">
            <v>106140727357.032</v>
          </cell>
          <cell r="AJ92">
            <v>116621996217.133</v>
          </cell>
          <cell r="AK92">
            <v>128026966579.964</v>
          </cell>
          <cell r="AL92">
            <v>158006700301.53299</v>
          </cell>
          <cell r="AM92">
            <v>176892143931.505</v>
          </cell>
          <cell r="AN92">
            <v>202132028723.11499</v>
          </cell>
          <cell r="AO92">
            <v>227369679374.97299</v>
          </cell>
          <cell r="AP92">
            <v>215748998609.63501</v>
          </cell>
          <cell r="AQ92">
            <v>95445547872.714996</v>
          </cell>
          <cell r="AR92">
            <v>140001351215.46201</v>
          </cell>
          <cell r="AS92">
            <v>165021012077.81</v>
          </cell>
          <cell r="AT92">
            <v>160446947784.909</v>
          </cell>
          <cell r="AU92">
            <v>195660611165.18301</v>
          </cell>
          <cell r="AV92">
            <v>234772463823.80801</v>
          </cell>
          <cell r="AW92">
            <v>256836875295.452</v>
          </cell>
          <cell r="AX92">
            <v>285868618224.01703</v>
          </cell>
          <cell r="AY92">
            <v>364570514304.84998</v>
          </cell>
          <cell r="AZ92">
            <v>432216737774.86102</v>
          </cell>
          <cell r="BA92">
            <v>510228634992.258</v>
          </cell>
          <cell r="BB92">
            <v>539580085612.401</v>
          </cell>
          <cell r="BC92">
            <v>755094160363.07104</v>
          </cell>
          <cell r="BD92">
            <v>892969107923.09399</v>
          </cell>
          <cell r="BE92">
            <v>917869910105.74902</v>
          </cell>
          <cell r="BF92">
            <v>912524136718.01794</v>
          </cell>
          <cell r="BG92">
            <v>890814755233.22498</v>
          </cell>
          <cell r="BH92">
            <v>860854235065.07898</v>
          </cell>
          <cell r="BI92">
            <v>931877364177.74194</v>
          </cell>
          <cell r="BJ92">
            <v>1015618742565.8101</v>
          </cell>
          <cell r="BK92">
            <v>1042271531011.99</v>
          </cell>
          <cell r="BL92">
            <v>1119091259074.6201</v>
          </cell>
          <cell r="BM92">
            <v>1058423838345.14</v>
          </cell>
          <cell r="BN92">
            <v>1058423838345.14</v>
          </cell>
        </row>
        <row r="93">
          <cell r="B93" t="str">
            <v>IRN</v>
          </cell>
          <cell r="C93" t="str">
            <v>GDP (current US$)</v>
          </cell>
          <cell r="D93" t="str">
            <v>NY.GDP.MKTP.CD</v>
          </cell>
          <cell r="E93">
            <v>4199134389.9036999</v>
          </cell>
          <cell r="F93">
            <v>4426949094.8402996</v>
          </cell>
          <cell r="G93">
            <v>4693566416.4834604</v>
          </cell>
          <cell r="H93">
            <v>4928628018.3875904</v>
          </cell>
          <cell r="I93">
            <v>5379845647.7013903</v>
          </cell>
          <cell r="J93">
            <v>6197319929.0403795</v>
          </cell>
          <cell r="K93">
            <v>6789938671.7509403</v>
          </cell>
          <cell r="L93">
            <v>7555383690.1599998</v>
          </cell>
          <cell r="M93">
            <v>8623172959.8980293</v>
          </cell>
          <cell r="N93">
            <v>9743089607.4958706</v>
          </cell>
          <cell r="O93">
            <v>10976245153.589399</v>
          </cell>
          <cell r="P93">
            <v>13731801564.090799</v>
          </cell>
          <cell r="Q93">
            <v>17153463263.108601</v>
          </cell>
          <cell r="R93">
            <v>27081698249.508301</v>
          </cell>
          <cell r="S93">
            <v>46209092072.138298</v>
          </cell>
          <cell r="T93">
            <v>51776222349.886902</v>
          </cell>
          <cell r="U93">
            <v>68055295080.753799</v>
          </cell>
          <cell r="V93">
            <v>80600122701.963196</v>
          </cell>
          <cell r="W93">
            <v>77994316621.4814</v>
          </cell>
          <cell r="X93">
            <v>90391877325.928497</v>
          </cell>
          <cell r="Y93">
            <v>94362275580.022903</v>
          </cell>
          <cell r="Z93">
            <v>100499312749.923</v>
          </cell>
          <cell r="AA93">
            <v>125948756439.485</v>
          </cell>
          <cell r="AB93">
            <v>156365156618.241</v>
          </cell>
          <cell r="AC93">
            <v>162276728619.51901</v>
          </cell>
          <cell r="AD93">
            <v>180183629599.68399</v>
          </cell>
          <cell r="AE93">
            <v>209094561833.48001</v>
          </cell>
          <cell r="AF93">
            <v>134009995923.16901</v>
          </cell>
          <cell r="AG93">
            <v>123057861333.908</v>
          </cell>
          <cell r="AH93">
            <v>120496362916.271</v>
          </cell>
          <cell r="AI93">
            <v>124813263926.22501</v>
          </cell>
          <cell r="AJ93" t="str">
            <v>..</v>
          </cell>
          <cell r="AK93" t="str">
            <v>..</v>
          </cell>
          <cell r="AL93">
            <v>63743623232.012001</v>
          </cell>
          <cell r="AM93">
            <v>71841461172.596405</v>
          </cell>
          <cell r="AN93">
            <v>96419225743.673706</v>
          </cell>
          <cell r="AO93">
            <v>120403931885.44099</v>
          </cell>
          <cell r="AP93">
            <v>113919163421.155</v>
          </cell>
          <cell r="AQ93">
            <v>110276913362.508</v>
          </cell>
          <cell r="AR93">
            <v>113848450088.351</v>
          </cell>
          <cell r="AS93">
            <v>109591707802.216</v>
          </cell>
          <cell r="AT93">
            <v>126878750295.944</v>
          </cell>
          <cell r="AU93">
            <v>128626917503.72</v>
          </cell>
          <cell r="AV93">
            <v>153544751395.42999</v>
          </cell>
          <cell r="AW93">
            <v>190043433964.841</v>
          </cell>
          <cell r="AX93">
            <v>226452138291.54199</v>
          </cell>
          <cell r="AY93">
            <v>266298911661.14401</v>
          </cell>
          <cell r="AZ93">
            <v>349881601458.56</v>
          </cell>
          <cell r="BA93">
            <v>412336172446.849</v>
          </cell>
          <cell r="BB93">
            <v>416397025729.36102</v>
          </cell>
          <cell r="BC93">
            <v>486807615326.14697</v>
          </cell>
          <cell r="BD93">
            <v>580764902917.43896</v>
          </cell>
          <cell r="BE93">
            <v>598868460912.84705</v>
          </cell>
          <cell r="BF93">
            <v>460293149324.32599</v>
          </cell>
          <cell r="BG93">
            <v>432687036177.81799</v>
          </cell>
          <cell r="BH93">
            <v>384951479697.41998</v>
          </cell>
          <cell r="BI93">
            <v>417983583565.53998</v>
          </cell>
          <cell r="BJ93">
            <v>445345256459.10498</v>
          </cell>
          <cell r="BK93">
            <v>294356680624.65802</v>
          </cell>
          <cell r="BL93">
            <v>258245497664.39401</v>
          </cell>
          <cell r="BM93">
            <v>203471303952.34399</v>
          </cell>
          <cell r="BN93">
            <v>203471303952.34399</v>
          </cell>
        </row>
        <row r="94">
          <cell r="B94" t="str">
            <v>IRQ</v>
          </cell>
          <cell r="C94" t="str">
            <v>GDP (current US$)</v>
          </cell>
          <cell r="D94" t="str">
            <v>NY.GDP.MKTP.CD</v>
          </cell>
          <cell r="E94" t="str">
            <v>..</v>
          </cell>
          <cell r="F94" t="str">
            <v>..</v>
          </cell>
          <cell r="G94">
            <v>1954634836.1803401</v>
          </cell>
          <cell r="H94">
            <v>1978437692.5230999</v>
          </cell>
          <cell r="I94">
            <v>2340521142.5370998</v>
          </cell>
          <cell r="J94" t="str">
            <v>..</v>
          </cell>
          <cell r="K94" t="str">
            <v>..</v>
          </cell>
          <cell r="L94" t="str">
            <v>..</v>
          </cell>
          <cell r="M94">
            <v>2896947633.7160501</v>
          </cell>
          <cell r="N94">
            <v>3008120974.5169401</v>
          </cell>
          <cell r="O94">
            <v>3281713805.6566801</v>
          </cell>
          <cell r="P94">
            <v>3865346534.65347</v>
          </cell>
          <cell r="Q94">
            <v>4113848002.40312</v>
          </cell>
          <cell r="R94">
            <v>5134367778.1445999</v>
          </cell>
          <cell r="S94">
            <v>11516762614.2906</v>
          </cell>
          <cell r="T94">
            <v>13458516762.6143</v>
          </cell>
          <cell r="U94">
            <v>17754825601.083599</v>
          </cell>
          <cell r="V94">
            <v>19838130714.527599</v>
          </cell>
          <cell r="W94">
            <v>23762275651.879398</v>
          </cell>
          <cell r="X94">
            <v>37816457839.485298</v>
          </cell>
          <cell r="Y94">
            <v>52569000000</v>
          </cell>
          <cell r="Z94">
            <v>37823000000</v>
          </cell>
          <cell r="AA94">
            <v>42382333333.333298</v>
          </cell>
          <cell r="AB94">
            <v>40712903225.806396</v>
          </cell>
          <cell r="AC94">
            <v>46938387096.7742</v>
          </cell>
          <cell r="AD94">
            <v>48425161290.322601</v>
          </cell>
          <cell r="AE94">
            <v>47264516129.032303</v>
          </cell>
          <cell r="AF94">
            <v>56774193548.3871</v>
          </cell>
          <cell r="AG94">
            <v>62684516129.032303</v>
          </cell>
          <cell r="AH94">
            <v>65831935483.871002</v>
          </cell>
          <cell r="AI94">
            <v>180408064516.129</v>
          </cell>
          <cell r="AJ94">
            <v>407796349.66378498</v>
          </cell>
          <cell r="AK94">
            <v>553671957.67195797</v>
          </cell>
          <cell r="AL94">
            <v>1031944881.1318901</v>
          </cell>
          <cell r="AM94">
            <v>3991349282.7572899</v>
          </cell>
          <cell r="AN94">
            <v>12894029888.1122</v>
          </cell>
          <cell r="AO94">
            <v>10433698621.342699</v>
          </cell>
          <cell r="AP94">
            <v>20764857056.379501</v>
          </cell>
          <cell r="AQ94">
            <v>20617405044.2425</v>
          </cell>
          <cell r="AR94">
            <v>36881601583.819397</v>
          </cell>
          <cell r="AS94">
            <v>48364250943.905098</v>
          </cell>
          <cell r="AT94">
            <v>36176430128.805702</v>
          </cell>
          <cell r="AU94">
            <v>32928454672.424599</v>
          </cell>
          <cell r="AV94">
            <v>21921569478.816299</v>
          </cell>
          <cell r="AW94">
            <v>36627901762.063004</v>
          </cell>
          <cell r="AX94">
            <v>49954890353.260902</v>
          </cell>
          <cell r="AY94">
            <v>65140147197.121498</v>
          </cell>
          <cell r="AZ94">
            <v>88837055195.261902</v>
          </cell>
          <cell r="BA94">
            <v>131614433712.245</v>
          </cell>
          <cell r="BB94">
            <v>111657581662.35001</v>
          </cell>
          <cell r="BC94">
            <v>138516722649.573</v>
          </cell>
          <cell r="BD94">
            <v>185749664444.444</v>
          </cell>
          <cell r="BE94">
            <v>218002481737.69101</v>
          </cell>
          <cell r="BF94">
            <v>234637675128.64499</v>
          </cell>
          <cell r="BG94">
            <v>228415656174.957</v>
          </cell>
          <cell r="BH94">
            <v>166774109673.73199</v>
          </cell>
          <cell r="BI94">
            <v>166602488747.88501</v>
          </cell>
          <cell r="BJ94">
            <v>187217660050.67599</v>
          </cell>
          <cell r="BK94">
            <v>227367469034.03101</v>
          </cell>
          <cell r="BL94">
            <v>235097182233.50299</v>
          </cell>
          <cell r="BM94">
            <v>166756984395.97299</v>
          </cell>
          <cell r="BN94">
            <v>166756984395.97299</v>
          </cell>
        </row>
        <row r="95">
          <cell r="B95" t="str">
            <v>IRL</v>
          </cell>
          <cell r="C95" t="str">
            <v>GDP (current US$)</v>
          </cell>
          <cell r="D95" t="str">
            <v>NY.GDP.MKTP.CD</v>
          </cell>
          <cell r="E95">
            <v>1939329775.4373901</v>
          </cell>
          <cell r="F95">
            <v>2088012282.3566699</v>
          </cell>
          <cell r="G95">
            <v>2260349684.0862498</v>
          </cell>
          <cell r="H95">
            <v>2430843768.4455299</v>
          </cell>
          <cell r="I95">
            <v>2766608945.8740201</v>
          </cell>
          <cell r="J95">
            <v>2945704142.9976501</v>
          </cell>
          <cell r="K95">
            <v>3104034393.2316198</v>
          </cell>
          <cell r="L95">
            <v>3343636773.36759</v>
          </cell>
          <cell r="M95">
            <v>3278584478.3302302</v>
          </cell>
          <cell r="N95">
            <v>3787077343.7278299</v>
          </cell>
          <cell r="O95">
            <v>4395995085.9950895</v>
          </cell>
          <cell r="P95">
            <v>5098250287.4664602</v>
          </cell>
          <cell r="Q95">
            <v>6318060582.21873</v>
          </cell>
          <cell r="R95">
            <v>7481173065.7920103</v>
          </cell>
          <cell r="S95">
            <v>7896860614.9880304</v>
          </cell>
          <cell r="T95">
            <v>9483808362.3693409</v>
          </cell>
          <cell r="U95">
            <v>9453756014.7183704</v>
          </cell>
          <cell r="V95">
            <v>11248340431.377899</v>
          </cell>
          <cell r="W95">
            <v>14647996073.693701</v>
          </cell>
          <cell r="X95">
            <v>18319334300.451302</v>
          </cell>
          <cell r="Y95">
            <v>21747855640.071201</v>
          </cell>
          <cell r="Z95">
            <v>20670190138.167099</v>
          </cell>
          <cell r="AA95">
            <v>21474752962.2178</v>
          </cell>
          <cell r="AB95">
            <v>20766047763.531399</v>
          </cell>
          <cell r="AC95">
            <v>20106648454.840401</v>
          </cell>
          <cell r="AD95">
            <v>21270013325.560101</v>
          </cell>
          <cell r="AE95">
            <v>28714571852.4799</v>
          </cell>
          <cell r="AF95">
            <v>33920518492.509399</v>
          </cell>
          <cell r="AG95">
            <v>37772896220.755898</v>
          </cell>
          <cell r="AH95">
            <v>39238392677.754204</v>
          </cell>
          <cell r="AI95">
            <v>49305632408.492897</v>
          </cell>
          <cell r="AJ95">
            <v>49787501584.484703</v>
          </cell>
          <cell r="AK95">
            <v>55918538121.398903</v>
          </cell>
          <cell r="AL95">
            <v>52417477613.676003</v>
          </cell>
          <cell r="AM95">
            <v>57097656065.959999</v>
          </cell>
          <cell r="AN95">
            <v>69139823232.323196</v>
          </cell>
          <cell r="AO95">
            <v>75790786290.322601</v>
          </cell>
          <cell r="AP95">
            <v>82856648758.357193</v>
          </cell>
          <cell r="AQ95">
            <v>90199410115.509705</v>
          </cell>
          <cell r="AR95">
            <v>98860565736.202896</v>
          </cell>
          <cell r="AS95">
            <v>99958806891.468597</v>
          </cell>
          <cell r="AT95">
            <v>109252057270.694</v>
          </cell>
          <cell r="AU95">
            <v>127985972143.798</v>
          </cell>
          <cell r="AV95">
            <v>164307961625.28201</v>
          </cell>
          <cell r="AW95">
            <v>194015335237.14899</v>
          </cell>
          <cell r="AX95">
            <v>211797991543.34</v>
          </cell>
          <cell r="AY95">
            <v>231986253920.46201</v>
          </cell>
          <cell r="AZ95">
            <v>269736375581.71399</v>
          </cell>
          <cell r="BA95">
            <v>274326912260.14401</v>
          </cell>
          <cell r="BB95">
            <v>235509465129.203</v>
          </cell>
          <cell r="BC95">
            <v>221659742984.75</v>
          </cell>
          <cell r="BD95">
            <v>238662833333.918</v>
          </cell>
          <cell r="BE95">
            <v>225509709550.98199</v>
          </cell>
          <cell r="BF95">
            <v>238211547205.677</v>
          </cell>
          <cell r="BG95">
            <v>258625192663.57999</v>
          </cell>
          <cell r="BH95">
            <v>291462799328.94897</v>
          </cell>
          <cell r="BI95">
            <v>298725229419.21503</v>
          </cell>
          <cell r="BJ95">
            <v>334602299873.02899</v>
          </cell>
          <cell r="BK95">
            <v>384853685231.01801</v>
          </cell>
          <cell r="BL95">
            <v>399122063504.14801</v>
          </cell>
          <cell r="BM95">
            <v>425888950992.00299</v>
          </cell>
          <cell r="BN95">
            <v>425888950992.00299</v>
          </cell>
        </row>
        <row r="96">
          <cell r="B96" t="str">
            <v>IMN</v>
          </cell>
          <cell r="C96" t="str">
            <v>GDP (current US$)</v>
          </cell>
          <cell r="D96" t="str">
            <v>NY.GDP.MKTP.CD</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v>914762873.68915296</v>
          </cell>
          <cell r="AO96">
            <v>1023005862.7792701</v>
          </cell>
          <cell r="AP96">
            <v>1180968165.4086001</v>
          </cell>
          <cell r="AQ96">
            <v>1382605389.32055</v>
          </cell>
          <cell r="AR96">
            <v>1567402513.69642</v>
          </cell>
          <cell r="AS96">
            <v>1563667799.6157801</v>
          </cell>
          <cell r="AT96">
            <v>1659131243.7383699</v>
          </cell>
          <cell r="AU96">
            <v>1947332921.74718</v>
          </cell>
          <cell r="AV96">
            <v>2328658227.8481002</v>
          </cell>
          <cell r="AW96">
            <v>2822358473.1698298</v>
          </cell>
          <cell r="AX96">
            <v>3032400000</v>
          </cell>
          <cell r="AY96">
            <v>3422651333.94664</v>
          </cell>
          <cell r="AZ96">
            <v>4466100440.1760702</v>
          </cell>
          <cell r="BA96">
            <v>5928420955.88235</v>
          </cell>
          <cell r="BB96">
            <v>5487083657.8906403</v>
          </cell>
          <cell r="BC96">
            <v>5920177688.5043297</v>
          </cell>
          <cell r="BD96">
            <v>6566098381.6695995</v>
          </cell>
          <cell r="BE96">
            <v>6690725118.4834099</v>
          </cell>
          <cell r="BF96">
            <v>7000748788.4946098</v>
          </cell>
          <cell r="BG96">
            <v>7708834951.4563103</v>
          </cell>
          <cell r="BH96">
            <v>7085288006.1115398</v>
          </cell>
          <cell r="BI96">
            <v>6846691871.4555798</v>
          </cell>
          <cell r="BJ96">
            <v>6979581724.5817204</v>
          </cell>
          <cell r="BK96">
            <v>7491969312.8752499</v>
          </cell>
          <cell r="BL96">
            <v>7315388052.0806704</v>
          </cell>
          <cell r="BM96" t="str">
            <v>..</v>
          </cell>
          <cell r="BN96">
            <v>7315388052.0806704</v>
          </cell>
        </row>
        <row r="97">
          <cell r="B97" t="str">
            <v>ISR</v>
          </cell>
          <cell r="C97" t="str">
            <v>GDP (current US$)</v>
          </cell>
          <cell r="D97" t="str">
            <v>NY.GDP.MKTP.CD</v>
          </cell>
          <cell r="E97">
            <v>2598500000</v>
          </cell>
          <cell r="F97">
            <v>3138500000</v>
          </cell>
          <cell r="G97">
            <v>2510000000</v>
          </cell>
          <cell r="H97">
            <v>2992333333.3333302</v>
          </cell>
          <cell r="I97">
            <v>3405333333.3333302</v>
          </cell>
          <cell r="J97">
            <v>3663333333.3333302</v>
          </cell>
          <cell r="K97">
            <v>3980000000</v>
          </cell>
          <cell r="L97">
            <v>4030000000</v>
          </cell>
          <cell r="M97">
            <v>4619000000</v>
          </cell>
          <cell r="N97">
            <v>5329333333.3333302</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v>100605702520.506</v>
          </cell>
          <cell r="AO97">
            <v>110180666416.017</v>
          </cell>
          <cell r="AP97">
            <v>114753492201.54201</v>
          </cell>
          <cell r="AQ97">
            <v>115999082655.72</v>
          </cell>
          <cell r="AR97">
            <v>117166318090.683</v>
          </cell>
          <cell r="AS97">
            <v>132455662080.298</v>
          </cell>
          <cell r="AT97">
            <v>130816321183.15601</v>
          </cell>
          <cell r="AU97">
            <v>121148475241.673</v>
          </cell>
          <cell r="AV97">
            <v>127046633802.508</v>
          </cell>
          <cell r="AW97">
            <v>135571348058.90199</v>
          </cell>
          <cell r="AX97">
            <v>142657069099.98401</v>
          </cell>
          <cell r="AY97">
            <v>154145495309.48401</v>
          </cell>
          <cell r="AZ97">
            <v>179161786957.474</v>
          </cell>
          <cell r="BA97">
            <v>216711549609.81</v>
          </cell>
          <cell r="BB97">
            <v>207953439208.60599</v>
          </cell>
          <cell r="BC97">
            <v>234654589559.97299</v>
          </cell>
          <cell r="BD97">
            <v>262293871093.061</v>
          </cell>
          <cell r="BE97">
            <v>258417104163.53</v>
          </cell>
          <cell r="BF97">
            <v>294167366504.26599</v>
          </cell>
          <cell r="BG97">
            <v>310944937638.43597</v>
          </cell>
          <cell r="BH97">
            <v>300078278118.43402</v>
          </cell>
          <cell r="BI97">
            <v>319024417316.88898</v>
          </cell>
          <cell r="BJ97">
            <v>355277223507.48499</v>
          </cell>
          <cell r="BK97">
            <v>373641241440.789</v>
          </cell>
          <cell r="BL97">
            <v>397934596952.56</v>
          </cell>
          <cell r="BM97">
            <v>407100736594.06403</v>
          </cell>
          <cell r="BN97">
            <v>407100736594.06403</v>
          </cell>
        </row>
        <row r="98">
          <cell r="B98" t="str">
            <v>ITA</v>
          </cell>
          <cell r="C98" t="str">
            <v>GDP (current US$)</v>
          </cell>
          <cell r="D98" t="str">
            <v>NY.GDP.MKTP.CD</v>
          </cell>
          <cell r="E98">
            <v>40385288344.191101</v>
          </cell>
          <cell r="F98">
            <v>44842760293.192398</v>
          </cell>
          <cell r="G98">
            <v>50383891898.991096</v>
          </cell>
          <cell r="H98">
            <v>57710743059.834099</v>
          </cell>
          <cell r="I98">
            <v>63175417019.009399</v>
          </cell>
          <cell r="J98">
            <v>67978153850.519096</v>
          </cell>
          <cell r="K98">
            <v>73654870011.275696</v>
          </cell>
          <cell r="L98">
            <v>81133120065.420197</v>
          </cell>
          <cell r="M98">
            <v>87942231678.350494</v>
          </cell>
          <cell r="N98">
            <v>97085082807.375107</v>
          </cell>
          <cell r="O98">
            <v>113395315985.13</v>
          </cell>
          <cell r="P98">
            <v>124672365792.759</v>
          </cell>
          <cell r="Q98">
            <v>145260039840.63699</v>
          </cell>
          <cell r="R98">
            <v>175492055795.41699</v>
          </cell>
          <cell r="S98">
            <v>199564489431.37799</v>
          </cell>
          <cell r="T98">
            <v>227695851126.92801</v>
          </cell>
          <cell r="U98">
            <v>224717278436.84601</v>
          </cell>
          <cell r="V98">
            <v>257596313364.05499</v>
          </cell>
          <cell r="W98">
            <v>315058323066.39301</v>
          </cell>
          <cell r="X98">
            <v>393677161500.81598</v>
          </cell>
          <cell r="Y98">
            <v>477256775943.92902</v>
          </cell>
          <cell r="Z98">
            <v>430702851303.01501</v>
          </cell>
          <cell r="AA98">
            <v>427272645669.29102</v>
          </cell>
          <cell r="AB98">
            <v>443042373788.883</v>
          </cell>
          <cell r="AC98">
            <v>437887689001.54303</v>
          </cell>
          <cell r="AD98">
            <v>452217492140.75702</v>
          </cell>
          <cell r="AE98">
            <v>640386352773.08704</v>
          </cell>
          <cell r="AF98">
            <v>805713128174.48499</v>
          </cell>
          <cell r="AG98">
            <v>891608957155.60803</v>
          </cell>
          <cell r="AH98">
            <v>928661332204.34705</v>
          </cell>
          <cell r="AI98">
            <v>1181222653522.95</v>
          </cell>
          <cell r="AJ98">
            <v>1246220156079.29</v>
          </cell>
          <cell r="AK98">
            <v>1320161644933.23</v>
          </cell>
          <cell r="AL98">
            <v>1064958075550.63</v>
          </cell>
          <cell r="AM98">
            <v>1099216688280.5</v>
          </cell>
          <cell r="AN98">
            <v>1174662070605.02</v>
          </cell>
          <cell r="AO98">
            <v>1312426527795.21</v>
          </cell>
          <cell r="AP98">
            <v>1241879604365.6201</v>
          </cell>
          <cell r="AQ98">
            <v>1270052525928.3999</v>
          </cell>
          <cell r="AR98">
            <v>1252023758789.6899</v>
          </cell>
          <cell r="AS98">
            <v>1143829832319.8799</v>
          </cell>
          <cell r="AT98">
            <v>1167012796420.5801</v>
          </cell>
          <cell r="AU98">
            <v>1270712309429.7</v>
          </cell>
          <cell r="AV98">
            <v>1574145823927.77</v>
          </cell>
          <cell r="AW98">
            <v>1803226967966.23</v>
          </cell>
          <cell r="AX98">
            <v>1857524312896.4099</v>
          </cell>
          <cell r="AY98">
            <v>1947919708944.9299</v>
          </cell>
          <cell r="AZ98">
            <v>2210292636189.4302</v>
          </cell>
          <cell r="BA98">
            <v>2398856598798.8901</v>
          </cell>
          <cell r="BB98">
            <v>2191241872742.4299</v>
          </cell>
          <cell r="BC98">
            <v>2134017843247.1599</v>
          </cell>
          <cell r="BD98">
            <v>2291991045770.29</v>
          </cell>
          <cell r="BE98">
            <v>2087077032435.1499</v>
          </cell>
          <cell r="BF98">
            <v>2141315327318.21</v>
          </cell>
          <cell r="BG98">
            <v>2159133919743.77</v>
          </cell>
          <cell r="BH98">
            <v>1835899237320.04</v>
          </cell>
          <cell r="BI98">
            <v>1875797463583.8701</v>
          </cell>
          <cell r="BJ98">
            <v>1956950469673.29</v>
          </cell>
          <cell r="BK98">
            <v>2090910879119.3301</v>
          </cell>
          <cell r="BL98">
            <v>2009383867307.45</v>
          </cell>
          <cell r="BM98">
            <v>1888709443687.48</v>
          </cell>
          <cell r="BN98">
            <v>1888709443687.48</v>
          </cell>
        </row>
        <row r="99">
          <cell r="B99" t="str">
            <v>JAM</v>
          </cell>
          <cell r="C99" t="str">
            <v>GDP (current US$)</v>
          </cell>
          <cell r="D99" t="str">
            <v>NY.GDP.MKTP.CD</v>
          </cell>
          <cell r="E99">
            <v>699050678.98642004</v>
          </cell>
          <cell r="F99">
            <v>748028839.42321098</v>
          </cell>
          <cell r="G99">
            <v>777712445.75108504</v>
          </cell>
          <cell r="H99">
            <v>826690466.19067597</v>
          </cell>
          <cell r="I99">
            <v>897931401.37197304</v>
          </cell>
          <cell r="J99">
            <v>972140557.18885601</v>
          </cell>
          <cell r="K99">
            <v>1096738065.2386999</v>
          </cell>
          <cell r="L99">
            <v>1148025407.34604</v>
          </cell>
          <cell r="M99">
            <v>1083883355.3342099</v>
          </cell>
          <cell r="N99">
            <v>1191287651.5060599</v>
          </cell>
          <cell r="O99">
            <v>1404776071.04284</v>
          </cell>
          <cell r="P99">
            <v>1539865513.92891</v>
          </cell>
          <cell r="Q99">
            <v>1875048859.93485</v>
          </cell>
          <cell r="R99">
            <v>1905917553.1914899</v>
          </cell>
          <cell r="S99">
            <v>2375096249.0375099</v>
          </cell>
          <cell r="T99">
            <v>2860411285.8871398</v>
          </cell>
          <cell r="U99">
            <v>2966010229.8976998</v>
          </cell>
          <cell r="V99">
            <v>3249697393.0260701</v>
          </cell>
          <cell r="W99">
            <v>2644449232.29321</v>
          </cell>
          <cell r="X99">
            <v>2425033998.1867599</v>
          </cell>
          <cell r="Y99">
            <v>2679409453.2390299</v>
          </cell>
          <cell r="Z99">
            <v>2979061412.3722901</v>
          </cell>
          <cell r="AA99">
            <v>3293533288.42483</v>
          </cell>
          <cell r="AB99">
            <v>3619294120.6914401</v>
          </cell>
          <cell r="AC99">
            <v>2373566957.4921398</v>
          </cell>
          <cell r="AD99">
            <v>2100223149.7139599</v>
          </cell>
          <cell r="AE99">
            <v>2754566176.2021198</v>
          </cell>
          <cell r="AF99">
            <v>3286987551.71597</v>
          </cell>
          <cell r="AG99">
            <v>3828310734.9779501</v>
          </cell>
          <cell r="AH99">
            <v>4404970058.8378601</v>
          </cell>
          <cell r="AI99">
            <v>4592224067.3719397</v>
          </cell>
          <cell r="AJ99">
            <v>4106199176.28901</v>
          </cell>
          <cell r="AK99">
            <v>3535460089.8071899</v>
          </cell>
          <cell r="AL99">
            <v>5440064773.1736498</v>
          </cell>
          <cell r="AM99">
            <v>5452564385.4330702</v>
          </cell>
          <cell r="AN99">
            <v>6577523824.7002897</v>
          </cell>
          <cell r="AO99">
            <v>7393883554.7796898</v>
          </cell>
          <cell r="AP99">
            <v>8400033893.9965296</v>
          </cell>
          <cell r="AQ99">
            <v>8787195622.4350204</v>
          </cell>
          <cell r="AR99">
            <v>8887061866.8920593</v>
          </cell>
          <cell r="AS99">
            <v>9005064474.9300308</v>
          </cell>
          <cell r="AT99">
            <v>9194717835.9998493</v>
          </cell>
          <cell r="AU99">
            <v>9719017925.9292908</v>
          </cell>
          <cell r="AV99">
            <v>9430230564.4699001</v>
          </cell>
          <cell r="AW99">
            <v>10174664853.947599</v>
          </cell>
          <cell r="AX99">
            <v>11243868485.7428</v>
          </cell>
          <cell r="AY99">
            <v>11930171468.379601</v>
          </cell>
          <cell r="AZ99">
            <v>12799593017.7101</v>
          </cell>
          <cell r="BA99">
            <v>13709402085.320601</v>
          </cell>
          <cell r="BB99">
            <v>12120460872.800301</v>
          </cell>
          <cell r="BC99">
            <v>13220556882.704599</v>
          </cell>
          <cell r="BD99">
            <v>14444655299.877199</v>
          </cell>
          <cell r="BE99">
            <v>14807086889.2099</v>
          </cell>
          <cell r="BF99">
            <v>14264202737.308201</v>
          </cell>
          <cell r="BG99">
            <v>13899228824.216101</v>
          </cell>
          <cell r="BH99">
            <v>14188935947.569401</v>
          </cell>
          <cell r="BI99">
            <v>14077109396.8584</v>
          </cell>
          <cell r="BJ99">
            <v>14808989993.318501</v>
          </cell>
          <cell r="BK99">
            <v>15730793852.7913</v>
          </cell>
          <cell r="BL99">
            <v>15830768549.8916</v>
          </cell>
          <cell r="BM99">
            <v>13812425036.586399</v>
          </cell>
          <cell r="BN99">
            <v>13812425036.586399</v>
          </cell>
        </row>
        <row r="100">
          <cell r="B100" t="str">
            <v>JPN</v>
          </cell>
          <cell r="C100" t="str">
            <v>GDP (current US$)</v>
          </cell>
          <cell r="D100" t="str">
            <v>NY.GDP.MKTP.CD</v>
          </cell>
          <cell r="E100">
            <v>44307342950.400002</v>
          </cell>
          <cell r="F100">
            <v>53508617739.3778</v>
          </cell>
          <cell r="G100">
            <v>60723018683.733299</v>
          </cell>
          <cell r="H100">
            <v>69498131797.333298</v>
          </cell>
          <cell r="I100">
            <v>81749006381.511093</v>
          </cell>
          <cell r="J100">
            <v>90950278257.777802</v>
          </cell>
          <cell r="K100">
            <v>105628070343.11099</v>
          </cell>
          <cell r="L100">
            <v>123781880217.60001</v>
          </cell>
          <cell r="M100">
            <v>146601072685.51099</v>
          </cell>
          <cell r="N100">
            <v>172204199480.88901</v>
          </cell>
          <cell r="O100">
            <v>212609187919.444</v>
          </cell>
          <cell r="P100">
            <v>240151807460.241</v>
          </cell>
          <cell r="Q100">
            <v>318031297492.35199</v>
          </cell>
          <cell r="R100">
            <v>432082670450.71899</v>
          </cell>
          <cell r="S100">
            <v>479625998613.40601</v>
          </cell>
          <cell r="T100">
            <v>521541905673.25098</v>
          </cell>
          <cell r="U100">
            <v>586161858999.67102</v>
          </cell>
          <cell r="V100">
            <v>721411786536.81396</v>
          </cell>
          <cell r="W100">
            <v>1013612173518.84</v>
          </cell>
          <cell r="X100">
            <v>1055012119526.33</v>
          </cell>
          <cell r="Y100">
            <v>1105385973763.8701</v>
          </cell>
          <cell r="Z100">
            <v>1218988935129.8101</v>
          </cell>
          <cell r="AA100">
            <v>1134518001884.5601</v>
          </cell>
          <cell r="AB100">
            <v>1243323592058.8301</v>
          </cell>
          <cell r="AC100">
            <v>1318381627003.76</v>
          </cell>
          <cell r="AD100">
            <v>1398892744820.6899</v>
          </cell>
          <cell r="AE100">
            <v>2078953333673.55</v>
          </cell>
          <cell r="AF100">
            <v>2532808573157.0298</v>
          </cell>
          <cell r="AG100">
            <v>3071683013178.9102</v>
          </cell>
          <cell r="AH100">
            <v>3054914166263.1802</v>
          </cell>
          <cell r="AI100">
            <v>3132817652848.04</v>
          </cell>
          <cell r="AJ100">
            <v>3584420077100.8398</v>
          </cell>
          <cell r="AK100">
            <v>3908809463463.8599</v>
          </cell>
          <cell r="AL100">
            <v>4454143876947.21</v>
          </cell>
          <cell r="AM100">
            <v>4998797547740.9697</v>
          </cell>
          <cell r="AN100">
            <v>5545563663889.7002</v>
          </cell>
          <cell r="AO100">
            <v>4923391533851.6299</v>
          </cell>
          <cell r="AP100">
            <v>4492448605638.9404</v>
          </cell>
          <cell r="AQ100">
            <v>4098362709531.2402</v>
          </cell>
          <cell r="AR100">
            <v>4635982224063.8799</v>
          </cell>
          <cell r="AS100">
            <v>4968359075956.5898</v>
          </cell>
          <cell r="AT100">
            <v>4374711694090.8701</v>
          </cell>
          <cell r="AU100">
            <v>4182846045873.6099</v>
          </cell>
          <cell r="AV100">
            <v>4519561645253.5303</v>
          </cell>
          <cell r="AW100">
            <v>4893116005656.5596</v>
          </cell>
          <cell r="AX100">
            <v>4831467035389.7998</v>
          </cell>
          <cell r="AY100">
            <v>4601663122649.9199</v>
          </cell>
          <cell r="AZ100">
            <v>4579750920354.8096</v>
          </cell>
          <cell r="BA100">
            <v>5106679115127.2998</v>
          </cell>
          <cell r="BB100">
            <v>5289493117993.8896</v>
          </cell>
          <cell r="BC100">
            <v>5759071769013.1104</v>
          </cell>
          <cell r="BD100">
            <v>6233147172341.3496</v>
          </cell>
          <cell r="BE100">
            <v>6272362996105.0303</v>
          </cell>
          <cell r="BF100">
            <v>5212328181166.1797</v>
          </cell>
          <cell r="BG100">
            <v>4896994405353.29</v>
          </cell>
          <cell r="BH100">
            <v>4444930651964.1797</v>
          </cell>
          <cell r="BI100">
            <v>5003677627544.2402</v>
          </cell>
          <cell r="BJ100">
            <v>4930837369151.4199</v>
          </cell>
          <cell r="BK100">
            <v>5036891740656.3496</v>
          </cell>
          <cell r="BL100">
            <v>5148781948478.1699</v>
          </cell>
          <cell r="BM100">
            <v>5057758958706.6396</v>
          </cell>
          <cell r="BN100">
            <v>5057758958706.6396</v>
          </cell>
        </row>
        <row r="101">
          <cell r="B101" t="str">
            <v>JOR</v>
          </cell>
          <cell r="C101" t="str">
            <v>GDP (current US$)</v>
          </cell>
          <cell r="D101" t="str">
            <v>NY.GDP.MKTP.CD</v>
          </cell>
          <cell r="E101" t="str">
            <v>..</v>
          </cell>
          <cell r="F101" t="str">
            <v>..</v>
          </cell>
          <cell r="G101" t="str">
            <v>..</v>
          </cell>
          <cell r="H101" t="str">
            <v>..</v>
          </cell>
          <cell r="I101" t="str">
            <v>..</v>
          </cell>
          <cell r="J101">
            <v>599831979.83758104</v>
          </cell>
          <cell r="K101">
            <v>658078969.47633696</v>
          </cell>
          <cell r="L101">
            <v>631755810.69728398</v>
          </cell>
          <cell r="M101">
            <v>561187342.48109806</v>
          </cell>
          <cell r="N101">
            <v>698963875.66507995</v>
          </cell>
          <cell r="O101">
            <v>639596751.61019301</v>
          </cell>
          <cell r="P101">
            <v>678241388.966676</v>
          </cell>
          <cell r="Q101">
            <v>788574628.95547497</v>
          </cell>
          <cell r="R101">
            <v>943700547.77845395</v>
          </cell>
          <cell r="S101">
            <v>1197454206.76808</v>
          </cell>
          <cell r="T101">
            <v>1363039399.6247699</v>
          </cell>
          <cell r="U101">
            <v>1708734939.7590401</v>
          </cell>
          <cell r="V101">
            <v>2096568478.59095</v>
          </cell>
          <cell r="W101">
            <v>2602748691.0994802</v>
          </cell>
          <cell r="X101">
            <v>3271728271.7282701</v>
          </cell>
          <cell r="Y101">
            <v>3910036925.1426702</v>
          </cell>
          <cell r="Z101">
            <v>4384685230.02421</v>
          </cell>
          <cell r="AA101">
            <v>4680567375.8865299</v>
          </cell>
          <cell r="AB101">
            <v>4920407601.2117901</v>
          </cell>
          <cell r="AC101">
            <v>4966710013.0038996</v>
          </cell>
          <cell r="AD101">
            <v>4993829194.1206303</v>
          </cell>
          <cell r="AE101">
            <v>6401380000</v>
          </cell>
          <cell r="AF101">
            <v>6755599113.7370701</v>
          </cell>
          <cell r="AG101">
            <v>6277197435.2124004</v>
          </cell>
          <cell r="AH101">
            <v>4220945005.2210202</v>
          </cell>
          <cell r="AI101">
            <v>4160003917.43258</v>
          </cell>
          <cell r="AJ101">
            <v>4344250257.0127802</v>
          </cell>
          <cell r="AK101">
            <v>5311329067.3727598</v>
          </cell>
          <cell r="AL101">
            <v>5605841535.57512</v>
          </cell>
          <cell r="AM101">
            <v>6237739516.2444496</v>
          </cell>
          <cell r="AN101">
            <v>6727446632.4200897</v>
          </cell>
          <cell r="AO101">
            <v>6928359238.3638897</v>
          </cell>
          <cell r="AP101">
            <v>7246188575.4583902</v>
          </cell>
          <cell r="AQ101">
            <v>7912327362.4823704</v>
          </cell>
          <cell r="AR101">
            <v>8149106064.8801098</v>
          </cell>
          <cell r="AS101">
            <v>8460424400.5641804</v>
          </cell>
          <cell r="AT101">
            <v>8975689844.8519001</v>
          </cell>
          <cell r="AU101">
            <v>9582453032.4400597</v>
          </cell>
          <cell r="AV101">
            <v>10195660789.8449</v>
          </cell>
          <cell r="AW101">
            <v>11411390409.0268</v>
          </cell>
          <cell r="AX101">
            <v>12588665303.243999</v>
          </cell>
          <cell r="AY101">
            <v>15056929760.2257</v>
          </cell>
          <cell r="AZ101">
            <v>17110587447.108601</v>
          </cell>
          <cell r="BA101">
            <v>22657662392.5602</v>
          </cell>
          <cell r="BB101">
            <v>24537876056.338001</v>
          </cell>
          <cell r="BC101">
            <v>27133804225.3521</v>
          </cell>
          <cell r="BD101">
            <v>29524149154.9296</v>
          </cell>
          <cell r="BE101">
            <v>31634561690.1408</v>
          </cell>
          <cell r="BF101">
            <v>34454440140.8451</v>
          </cell>
          <cell r="BG101">
            <v>36847643521.126801</v>
          </cell>
          <cell r="BH101">
            <v>38587017887.323898</v>
          </cell>
          <cell r="BI101">
            <v>39892551126.760597</v>
          </cell>
          <cell r="BJ101">
            <v>41408960845.070396</v>
          </cell>
          <cell r="BK101">
            <v>42932112676.056297</v>
          </cell>
          <cell r="BL101">
            <v>44502895915.492996</v>
          </cell>
          <cell r="BM101">
            <v>43697659295.774696</v>
          </cell>
          <cell r="BN101">
            <v>43697659295.774696</v>
          </cell>
        </row>
        <row r="102">
          <cell r="B102" t="str">
            <v>KAZ</v>
          </cell>
          <cell r="C102" t="str">
            <v>GDP (current US$)</v>
          </cell>
          <cell r="D102" t="str">
            <v>NY.GDP.MKTP.CD</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26932729102.737099</v>
          </cell>
          <cell r="AJ102">
            <v>24923076923.0769</v>
          </cell>
          <cell r="AK102">
            <v>24917355371.900799</v>
          </cell>
          <cell r="AL102">
            <v>23409260879.942699</v>
          </cell>
          <cell r="AM102">
            <v>21250792886.1054</v>
          </cell>
          <cell r="AN102">
            <v>20374302652.381901</v>
          </cell>
          <cell r="AO102">
            <v>21035368250.8881</v>
          </cell>
          <cell r="AP102">
            <v>22165932062.966</v>
          </cell>
          <cell r="AQ102">
            <v>22135254836.003101</v>
          </cell>
          <cell r="AR102">
            <v>16870821839.7584</v>
          </cell>
          <cell r="AS102">
            <v>18291994909.004398</v>
          </cell>
          <cell r="AT102">
            <v>22152694161.888199</v>
          </cell>
          <cell r="AU102">
            <v>24636593223.346699</v>
          </cell>
          <cell r="AV102">
            <v>30833699702.759399</v>
          </cell>
          <cell r="AW102">
            <v>43151647002.609596</v>
          </cell>
          <cell r="AX102">
            <v>57123671733.895203</v>
          </cell>
          <cell r="AY102">
            <v>81003884545.409897</v>
          </cell>
          <cell r="AZ102">
            <v>104849886825.584</v>
          </cell>
          <cell r="BA102">
            <v>133441612246.798</v>
          </cell>
          <cell r="BB102">
            <v>115308661142.927</v>
          </cell>
          <cell r="BC102">
            <v>148047348240.64301</v>
          </cell>
          <cell r="BD102">
            <v>192626507971.58401</v>
          </cell>
          <cell r="BE102">
            <v>207998568865.789</v>
          </cell>
          <cell r="BF102">
            <v>236634552078.10199</v>
          </cell>
          <cell r="BG102">
            <v>221415572819.5</v>
          </cell>
          <cell r="BH102">
            <v>184388432148.715</v>
          </cell>
          <cell r="BI102">
            <v>137278320084.17101</v>
          </cell>
          <cell r="BJ102">
            <v>166805800595.70401</v>
          </cell>
          <cell r="BK102">
            <v>179339994859.384</v>
          </cell>
          <cell r="BL102">
            <v>181667190075.54099</v>
          </cell>
          <cell r="BM102">
            <v>171082379532.98801</v>
          </cell>
          <cell r="BN102">
            <v>171082379532.98801</v>
          </cell>
        </row>
        <row r="103">
          <cell r="B103" t="str">
            <v>KEN</v>
          </cell>
          <cell r="C103" t="str">
            <v>GDP (current US$)</v>
          </cell>
          <cell r="D103" t="str">
            <v>NY.GDP.MKTP.CD</v>
          </cell>
          <cell r="E103">
            <v>791265458.81807601</v>
          </cell>
          <cell r="F103">
            <v>792959472.13902402</v>
          </cell>
          <cell r="G103">
            <v>868111400.01407301</v>
          </cell>
          <cell r="H103">
            <v>926589348.57295299</v>
          </cell>
          <cell r="I103">
            <v>998759333.64332604</v>
          </cell>
          <cell r="J103">
            <v>997919319.98004901</v>
          </cell>
          <cell r="K103">
            <v>1164519673.1976299</v>
          </cell>
          <cell r="L103">
            <v>1232559505.9235899</v>
          </cell>
          <cell r="M103">
            <v>1353295457.5260999</v>
          </cell>
          <cell r="N103">
            <v>1458379415.4027801</v>
          </cell>
          <cell r="O103">
            <v>1603447357.2517099</v>
          </cell>
          <cell r="P103">
            <v>1778391289.1912301</v>
          </cell>
          <cell r="Q103">
            <v>2107279157.3833599</v>
          </cell>
          <cell r="R103">
            <v>2508998457.4073</v>
          </cell>
          <cell r="S103">
            <v>2969942180.34692</v>
          </cell>
          <cell r="T103">
            <v>3259344935.7683601</v>
          </cell>
          <cell r="U103">
            <v>3474542392.0321202</v>
          </cell>
          <cell r="V103">
            <v>4494378855.33109</v>
          </cell>
          <cell r="W103">
            <v>5303734882.5344696</v>
          </cell>
          <cell r="X103">
            <v>6234390975.2709103</v>
          </cell>
          <cell r="Y103">
            <v>7265315331.6227303</v>
          </cell>
          <cell r="Z103">
            <v>6854491453.9020796</v>
          </cell>
          <cell r="AA103">
            <v>6431579357.3125601</v>
          </cell>
          <cell r="AB103">
            <v>5979198463.8302498</v>
          </cell>
          <cell r="AC103">
            <v>6191437070.4418402</v>
          </cell>
          <cell r="AD103">
            <v>6135034338.3043098</v>
          </cell>
          <cell r="AE103">
            <v>7239126716.9321899</v>
          </cell>
          <cell r="AF103">
            <v>7970820530.7507801</v>
          </cell>
          <cell r="AG103">
            <v>8355380879.12955</v>
          </cell>
          <cell r="AH103">
            <v>8283114648.3677502</v>
          </cell>
          <cell r="AI103">
            <v>8572359162.8563099</v>
          </cell>
          <cell r="AJ103">
            <v>8151479004.2133398</v>
          </cell>
          <cell r="AK103">
            <v>8209129171.7364902</v>
          </cell>
          <cell r="AL103">
            <v>5751789915.0536299</v>
          </cell>
          <cell r="AM103">
            <v>7148145375.78545</v>
          </cell>
          <cell r="AN103">
            <v>9046326059.9885693</v>
          </cell>
          <cell r="AO103">
            <v>12045858436.239901</v>
          </cell>
          <cell r="AP103">
            <v>13115773737.566401</v>
          </cell>
          <cell r="AQ103">
            <v>14093998843.7334</v>
          </cell>
          <cell r="AR103">
            <v>12896013576.732401</v>
          </cell>
          <cell r="AS103">
            <v>12705357103.0056</v>
          </cell>
          <cell r="AT103">
            <v>12986007425.878099</v>
          </cell>
          <cell r="AU103">
            <v>13147743910.7241</v>
          </cell>
          <cell r="AV103">
            <v>14904517649.847601</v>
          </cell>
          <cell r="AW103">
            <v>16095337093.836599</v>
          </cell>
          <cell r="AX103">
            <v>18737897744.7948</v>
          </cell>
          <cell r="AY103">
            <v>25825524820.8064</v>
          </cell>
          <cell r="AZ103">
            <v>31958195182.240601</v>
          </cell>
          <cell r="BA103">
            <v>35895153327.849701</v>
          </cell>
          <cell r="BB103">
            <v>42347217912.917603</v>
          </cell>
          <cell r="BC103">
            <v>45405587556.7313</v>
          </cell>
          <cell r="BD103">
            <v>46869457318.254097</v>
          </cell>
          <cell r="BE103">
            <v>56396706005.943497</v>
          </cell>
          <cell r="BF103">
            <v>61671425370.023499</v>
          </cell>
          <cell r="BG103">
            <v>68285768554.472</v>
          </cell>
          <cell r="BH103">
            <v>70120413328.783798</v>
          </cell>
          <cell r="BI103">
            <v>74815121314.938095</v>
          </cell>
          <cell r="BJ103">
            <v>82035800868.186996</v>
          </cell>
          <cell r="BK103">
            <v>92202956320.531998</v>
          </cell>
          <cell r="BL103">
            <v>100555485831.944</v>
          </cell>
          <cell r="BM103">
            <v>101013726529.063</v>
          </cell>
          <cell r="BN103">
            <v>101013726529.063</v>
          </cell>
        </row>
        <row r="104">
          <cell r="B104" t="str">
            <v>KIR</v>
          </cell>
          <cell r="C104" t="str">
            <v>GDP (current US$)</v>
          </cell>
          <cell r="D104" t="str">
            <v>NY.GDP.MKTP.CD</v>
          </cell>
          <cell r="E104" t="str">
            <v>..</v>
          </cell>
          <cell r="F104" t="str">
            <v>..</v>
          </cell>
          <cell r="G104" t="str">
            <v>..</v>
          </cell>
          <cell r="H104" t="str">
            <v>..</v>
          </cell>
          <cell r="I104" t="str">
            <v>..</v>
          </cell>
          <cell r="J104" t="str">
            <v>..</v>
          </cell>
          <cell r="K104" t="str">
            <v>..</v>
          </cell>
          <cell r="L104" t="str">
            <v>..</v>
          </cell>
          <cell r="M104" t="str">
            <v>..</v>
          </cell>
          <cell r="N104" t="str">
            <v>..</v>
          </cell>
          <cell r="O104">
            <v>14295279.544693699</v>
          </cell>
          <cell r="P104">
            <v>15278632.4786325</v>
          </cell>
          <cell r="Q104">
            <v>18936526.946107801</v>
          </cell>
          <cell r="R104">
            <v>31710657.725781102</v>
          </cell>
          <cell r="S104">
            <v>85637174.372213095</v>
          </cell>
          <cell r="T104">
            <v>55081816.991752803</v>
          </cell>
          <cell r="U104">
            <v>41109617.499694496</v>
          </cell>
          <cell r="V104">
            <v>38748059.436682202</v>
          </cell>
          <cell r="W104">
            <v>45210026.324825503</v>
          </cell>
          <cell r="X104">
            <v>42620165.437066801</v>
          </cell>
          <cell r="Y104">
            <v>38715554.543384202</v>
          </cell>
          <cell r="Z104">
            <v>41369800.045966402</v>
          </cell>
          <cell r="AA104">
            <v>40572066.132467799</v>
          </cell>
          <cell r="AB104">
            <v>37837837.8378378</v>
          </cell>
          <cell r="AC104">
            <v>41246160.596753001</v>
          </cell>
          <cell r="AD104">
            <v>32125148.404218201</v>
          </cell>
          <cell r="AE104">
            <v>32085561.497326199</v>
          </cell>
          <cell r="AF104">
            <v>33608738.271950699</v>
          </cell>
          <cell r="AG104">
            <v>42972107.195874698</v>
          </cell>
          <cell r="AH104">
            <v>41119721.651115</v>
          </cell>
          <cell r="AI104">
            <v>39809538.677698903</v>
          </cell>
          <cell r="AJ104">
            <v>47515189.281819597</v>
          </cell>
          <cell r="AK104">
            <v>47737955.346651003</v>
          </cell>
          <cell r="AL104">
            <v>46919624.643002898</v>
          </cell>
          <cell r="AM104">
            <v>54832577.862260602</v>
          </cell>
          <cell r="AN104">
            <v>56338028.169014104</v>
          </cell>
          <cell r="AO104">
            <v>66515376.7900462</v>
          </cell>
          <cell r="AP104">
            <v>67537479.590322107</v>
          </cell>
          <cell r="AQ104">
            <v>65334841.060434699</v>
          </cell>
          <cell r="AR104">
            <v>69032258.064516097</v>
          </cell>
          <cell r="AS104">
            <v>67254174.397031501</v>
          </cell>
          <cell r="AT104">
            <v>63101272.369918302</v>
          </cell>
          <cell r="AU104">
            <v>72196457.676844493</v>
          </cell>
          <cell r="AV104">
            <v>90231856.800051898</v>
          </cell>
          <cell r="AW104">
            <v>102367039.27048101</v>
          </cell>
          <cell r="AX104">
            <v>112133944.25353201</v>
          </cell>
          <cell r="AY104">
            <v>110234939.759036</v>
          </cell>
          <cell r="AZ104">
            <v>132671742.950381</v>
          </cell>
          <cell r="BA104">
            <v>141042610.30028501</v>
          </cell>
          <cell r="BB104">
            <v>132419902.01045699</v>
          </cell>
          <cell r="BC104">
            <v>156120439.25483099</v>
          </cell>
          <cell r="BD104">
            <v>181705153.61005601</v>
          </cell>
          <cell r="BE104">
            <v>190243432.81351399</v>
          </cell>
          <cell r="BF104">
            <v>185114059.61905</v>
          </cell>
          <cell r="BG104">
            <v>179703165.41238299</v>
          </cell>
          <cell r="BH104">
            <v>171117816.66613001</v>
          </cell>
          <cell r="BI104">
            <v>178328984.09688401</v>
          </cell>
          <cell r="BJ104">
            <v>187276124.790591</v>
          </cell>
          <cell r="BK104">
            <v>200157020.64249799</v>
          </cell>
          <cell r="BL104">
            <v>188391770.63676399</v>
          </cell>
          <cell r="BM104">
            <v>197508774.34450501</v>
          </cell>
          <cell r="BN104">
            <v>197508774.34450501</v>
          </cell>
        </row>
        <row r="105">
          <cell r="B105" t="str">
            <v>PRK</v>
          </cell>
          <cell r="C105" t="str">
            <v>GDP (current US$)</v>
          </cell>
          <cell r="D105" t="str">
            <v>NY.GDP.MKTP.CD</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
          </cell>
        </row>
        <row r="106">
          <cell r="B106" t="str">
            <v>KOR</v>
          </cell>
          <cell r="C106" t="str">
            <v>GDP (current US$)</v>
          </cell>
          <cell r="D106" t="str">
            <v>NY.GDP.MKTP.CD</v>
          </cell>
          <cell r="E106">
            <v>3958190758.6241899</v>
          </cell>
          <cell r="F106">
            <v>2417558289.36656</v>
          </cell>
          <cell r="G106">
            <v>2814318516.6096802</v>
          </cell>
          <cell r="H106">
            <v>3988784572.2483501</v>
          </cell>
          <cell r="I106">
            <v>3458939357.7337699</v>
          </cell>
          <cell r="J106">
            <v>3120833333.3333302</v>
          </cell>
          <cell r="K106">
            <v>3928908380.6294699</v>
          </cell>
          <cell r="L106">
            <v>4855907141.8009796</v>
          </cell>
          <cell r="M106">
            <v>6119284294.2345896</v>
          </cell>
          <cell r="N106">
            <v>7678581343.6979399</v>
          </cell>
          <cell r="O106">
            <v>9005023183.9258099</v>
          </cell>
          <cell r="P106">
            <v>9903499927.9850197</v>
          </cell>
          <cell r="Q106">
            <v>10862327878.032</v>
          </cell>
          <cell r="R106">
            <v>13876531432.0145</v>
          </cell>
          <cell r="S106">
            <v>19544094741.2663</v>
          </cell>
          <cell r="T106">
            <v>21784297520.661201</v>
          </cell>
          <cell r="U106">
            <v>29902479338.842999</v>
          </cell>
          <cell r="V106">
            <v>38446487603.305801</v>
          </cell>
          <cell r="W106">
            <v>51972107438.016502</v>
          </cell>
          <cell r="X106">
            <v>66946900826.446297</v>
          </cell>
          <cell r="Y106">
            <v>65398646757.6511</v>
          </cell>
          <cell r="Z106">
            <v>72933350953.702499</v>
          </cell>
          <cell r="AA106">
            <v>78358866334.737595</v>
          </cell>
          <cell r="AB106">
            <v>87760360941.024796</v>
          </cell>
          <cell r="AC106">
            <v>97510235986.004593</v>
          </cell>
          <cell r="AD106">
            <v>101296177099.377</v>
          </cell>
          <cell r="AE106">
            <v>116836802995.065</v>
          </cell>
          <cell r="AF106">
            <v>147948259722.577</v>
          </cell>
          <cell r="AG106">
            <v>199590823957.237</v>
          </cell>
          <cell r="AH106">
            <v>246927292765.01999</v>
          </cell>
          <cell r="AI106">
            <v>283367525714.93201</v>
          </cell>
          <cell r="AJ106">
            <v>330648530715.211</v>
          </cell>
          <cell r="AK106">
            <v>355525267405.367</v>
          </cell>
          <cell r="AL106">
            <v>392666101884.95898</v>
          </cell>
          <cell r="AM106">
            <v>463617399962.66101</v>
          </cell>
          <cell r="AN106">
            <v>566583427334.13696</v>
          </cell>
          <cell r="AO106">
            <v>610169556840.07703</v>
          </cell>
          <cell r="AP106">
            <v>569754543829.95703</v>
          </cell>
          <cell r="AQ106">
            <v>383330931042.35602</v>
          </cell>
          <cell r="AR106">
            <v>497512659612.052</v>
          </cell>
          <cell r="AS106">
            <v>576178114168.49402</v>
          </cell>
          <cell r="AT106">
            <v>547658231279.87</v>
          </cell>
          <cell r="AU106">
            <v>627246081417.00403</v>
          </cell>
          <cell r="AV106">
            <v>702717332012.99097</v>
          </cell>
          <cell r="AW106">
            <v>793175007858.06604</v>
          </cell>
          <cell r="AX106">
            <v>934901071332.98401</v>
          </cell>
          <cell r="AY106">
            <v>1053216909887.5601</v>
          </cell>
          <cell r="AZ106">
            <v>1172614086539.8601</v>
          </cell>
          <cell r="BA106">
            <v>1047339010225.25</v>
          </cell>
          <cell r="BB106">
            <v>943941876218.74304</v>
          </cell>
          <cell r="BC106">
            <v>1144066965324.49</v>
          </cell>
          <cell r="BD106">
            <v>1253223044718.99</v>
          </cell>
          <cell r="BE106">
            <v>1278427634342.5901</v>
          </cell>
          <cell r="BF106">
            <v>1370795199976.1799</v>
          </cell>
          <cell r="BG106">
            <v>1484318219633.6299</v>
          </cell>
          <cell r="BH106">
            <v>1465773245547.1499</v>
          </cell>
          <cell r="BI106">
            <v>1500111596236.3701</v>
          </cell>
          <cell r="BJ106">
            <v>1623901496835.79</v>
          </cell>
          <cell r="BK106">
            <v>1724845615629.26</v>
          </cell>
          <cell r="BL106">
            <v>1651422932447.77</v>
          </cell>
          <cell r="BM106">
            <v>1637895802792.8999</v>
          </cell>
          <cell r="BN106">
            <v>1637895802792.8999</v>
          </cell>
        </row>
        <row r="107">
          <cell r="B107" t="str">
            <v>XKX</v>
          </cell>
          <cell r="C107" t="str">
            <v>GDP (current US$)</v>
          </cell>
          <cell r="D107" t="str">
            <v>NY.GDP.MKTP.CD</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v>5181776768.7124701</v>
          </cell>
          <cell r="BB107">
            <v>5015894692.9702702</v>
          </cell>
          <cell r="BC107">
            <v>5344014317.9106503</v>
          </cell>
          <cell r="BD107">
            <v>6341737193.7639198</v>
          </cell>
          <cell r="BE107">
            <v>6163785172.8125401</v>
          </cell>
          <cell r="BF107">
            <v>6735731172.7985096</v>
          </cell>
          <cell r="BG107">
            <v>7074657898.2330303</v>
          </cell>
          <cell r="BH107">
            <v>6295820481.52668</v>
          </cell>
          <cell r="BI107">
            <v>6682832632.27806</v>
          </cell>
          <cell r="BJ107">
            <v>7180813375.5083599</v>
          </cell>
          <cell r="BK107">
            <v>7878508502.5980196</v>
          </cell>
          <cell r="BL107">
            <v>7899879086.43081</v>
          </cell>
          <cell r="BM107">
            <v>7716925356.1253595</v>
          </cell>
          <cell r="BN107">
            <v>7716925356.1253595</v>
          </cell>
        </row>
        <row r="108">
          <cell r="B108" t="str">
            <v>KWT</v>
          </cell>
          <cell r="C108" t="str">
            <v>GDP (current US$)</v>
          </cell>
          <cell r="D108" t="str">
            <v>NY.GDP.MKTP.CD</v>
          </cell>
          <cell r="E108" t="str">
            <v>..</v>
          </cell>
          <cell r="F108" t="str">
            <v>..</v>
          </cell>
          <cell r="G108" t="str">
            <v>..</v>
          </cell>
          <cell r="H108" t="str">
            <v>..</v>
          </cell>
          <cell r="I108" t="str">
            <v>..</v>
          </cell>
          <cell r="J108">
            <v>2097451694.2033</v>
          </cell>
          <cell r="K108">
            <v>2391486978.4374099</v>
          </cell>
          <cell r="L108">
            <v>2441893027.16326</v>
          </cell>
          <cell r="M108">
            <v>2663119574.3489199</v>
          </cell>
          <cell r="N108">
            <v>2769532343.8812699</v>
          </cell>
          <cell r="O108">
            <v>2873984878.18538</v>
          </cell>
          <cell r="P108">
            <v>3880370401.5725899</v>
          </cell>
          <cell r="Q108">
            <v>4451200972.9400997</v>
          </cell>
          <cell r="R108">
            <v>5408293998.6513796</v>
          </cell>
          <cell r="S108">
            <v>13004774556.6166</v>
          </cell>
          <cell r="T108">
            <v>12024138275.862101</v>
          </cell>
          <cell r="U108">
            <v>13131668946.648399</v>
          </cell>
          <cell r="V108">
            <v>14135729588.2763</v>
          </cell>
          <cell r="W108">
            <v>15500908760.450701</v>
          </cell>
          <cell r="X108">
            <v>24746019536.903</v>
          </cell>
          <cell r="Y108">
            <v>28638550499.445099</v>
          </cell>
          <cell r="Z108">
            <v>25056672166.427502</v>
          </cell>
          <cell r="AA108">
            <v>21577977770.058998</v>
          </cell>
          <cell r="AB108">
            <v>20869434305.317299</v>
          </cell>
          <cell r="AC108">
            <v>21697297872.340401</v>
          </cell>
          <cell r="AD108">
            <v>21442619680.851101</v>
          </cell>
          <cell r="AE108">
            <v>17903681693.048901</v>
          </cell>
          <cell r="AF108">
            <v>22365734481.521301</v>
          </cell>
          <cell r="AG108">
            <v>20692472759.856602</v>
          </cell>
          <cell r="AH108">
            <v>24312117767.188599</v>
          </cell>
          <cell r="AI108">
            <v>18427777777.777802</v>
          </cell>
          <cell r="AJ108">
            <v>11008793176.2223</v>
          </cell>
          <cell r="AK108">
            <v>19858555214.7239</v>
          </cell>
          <cell r="AL108">
            <v>23941391390.7285</v>
          </cell>
          <cell r="AM108">
            <v>24848483838.383801</v>
          </cell>
          <cell r="AN108">
            <v>27191353887.399502</v>
          </cell>
          <cell r="AO108">
            <v>31493319973.2799</v>
          </cell>
          <cell r="AP108">
            <v>30355093966.3699</v>
          </cell>
          <cell r="AQ108">
            <v>25939960629.921299</v>
          </cell>
          <cell r="AR108">
            <v>30123850197.1091</v>
          </cell>
          <cell r="AS108">
            <v>37712842242.503304</v>
          </cell>
          <cell r="AT108">
            <v>34887512226.9319</v>
          </cell>
          <cell r="AU108">
            <v>38137545245.1464</v>
          </cell>
          <cell r="AV108">
            <v>47876510067.114098</v>
          </cell>
          <cell r="AW108">
            <v>59439090600.610802</v>
          </cell>
          <cell r="AX108">
            <v>80798630136.986298</v>
          </cell>
          <cell r="AY108">
            <v>101548931771.192</v>
          </cell>
          <cell r="AZ108">
            <v>114639690358.90199</v>
          </cell>
          <cell r="BA108">
            <v>147395089285.71399</v>
          </cell>
          <cell r="BB108">
            <v>105963168867.269</v>
          </cell>
          <cell r="BC108">
            <v>115419399860.433</v>
          </cell>
          <cell r="BD108">
            <v>154068115942.02899</v>
          </cell>
          <cell r="BE108">
            <v>174070382279.38501</v>
          </cell>
          <cell r="BF108">
            <v>174161142454.16101</v>
          </cell>
          <cell r="BG108">
            <v>162631412508.784</v>
          </cell>
          <cell r="BH108">
            <v>114567298105.683</v>
          </cell>
          <cell r="BI108">
            <v>109419728566.7</v>
          </cell>
          <cell r="BJ108">
            <v>120707435542.367</v>
          </cell>
          <cell r="BK108">
            <v>138182400331.12601</v>
          </cell>
          <cell r="BL108">
            <v>136196760210.804</v>
          </cell>
          <cell r="BM108">
            <v>105960225688.145</v>
          </cell>
          <cell r="BN108">
            <v>105960225688.145</v>
          </cell>
        </row>
        <row r="109">
          <cell r="B109" t="str">
            <v>KGZ</v>
          </cell>
          <cell r="C109" t="str">
            <v>GDP (current US$)</v>
          </cell>
          <cell r="D109" t="str">
            <v>NY.GDP.MKTP.CD</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v>2675000000</v>
          </cell>
          <cell r="AJ109">
            <v>2569444444.4444399</v>
          </cell>
          <cell r="AK109">
            <v>2316562500</v>
          </cell>
          <cell r="AL109">
            <v>2028295454.54545</v>
          </cell>
          <cell r="AM109">
            <v>1681006993.00699</v>
          </cell>
          <cell r="AN109">
            <v>1661018518.5185201</v>
          </cell>
          <cell r="AO109">
            <v>1827570586.16784</v>
          </cell>
          <cell r="AP109">
            <v>1767864035.71943</v>
          </cell>
          <cell r="AQ109">
            <v>1645963749.83146</v>
          </cell>
          <cell r="AR109">
            <v>1249061487.01457</v>
          </cell>
          <cell r="AS109">
            <v>1369688498.06778</v>
          </cell>
          <cell r="AT109">
            <v>1525116370.2793901</v>
          </cell>
          <cell r="AU109">
            <v>1605643104.7302101</v>
          </cell>
          <cell r="AV109">
            <v>1919008090.4964099</v>
          </cell>
          <cell r="AW109">
            <v>2211534585.0033998</v>
          </cell>
          <cell r="AX109">
            <v>2460248026.1778302</v>
          </cell>
          <cell r="AY109">
            <v>2834168889.4201899</v>
          </cell>
          <cell r="AZ109">
            <v>3802566170.8154302</v>
          </cell>
          <cell r="BA109">
            <v>5139957784.91084</v>
          </cell>
          <cell r="BB109">
            <v>4690062255.1224699</v>
          </cell>
          <cell r="BC109">
            <v>4794357795.0713902</v>
          </cell>
          <cell r="BD109">
            <v>6197766118.5985603</v>
          </cell>
          <cell r="BE109">
            <v>6605139933.4106302</v>
          </cell>
          <cell r="BF109">
            <v>7335027591.9162798</v>
          </cell>
          <cell r="BG109">
            <v>7468096566.7115803</v>
          </cell>
          <cell r="BH109">
            <v>6678178340.45121</v>
          </cell>
          <cell r="BI109">
            <v>6813092065.8350697</v>
          </cell>
          <cell r="BJ109">
            <v>7702934800.1283598</v>
          </cell>
          <cell r="BK109">
            <v>8271108638.3993101</v>
          </cell>
          <cell r="BL109">
            <v>8871026074.1976204</v>
          </cell>
          <cell r="BM109">
            <v>7735976272.7598305</v>
          </cell>
          <cell r="BN109">
            <v>7735976272.7598305</v>
          </cell>
        </row>
        <row r="110">
          <cell r="B110" t="str">
            <v>LAO</v>
          </cell>
          <cell r="C110" t="str">
            <v>GDP (current US$)</v>
          </cell>
          <cell r="D110" t="str">
            <v>NY.GDP.MKTP.CD</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v>1757142805.7142899</v>
          </cell>
          <cell r="AD110">
            <v>2366666615.5555601</v>
          </cell>
          <cell r="AE110">
            <v>1776842041.0526299</v>
          </cell>
          <cell r="AF110">
            <v>1087273103.6963899</v>
          </cell>
          <cell r="AG110">
            <v>598961269.29787898</v>
          </cell>
          <cell r="AH110">
            <v>714046821.09379697</v>
          </cell>
          <cell r="AI110">
            <v>865559856.16390002</v>
          </cell>
          <cell r="AJ110">
            <v>1028087972.31085</v>
          </cell>
          <cell r="AK110">
            <v>1127806944.6151299</v>
          </cell>
          <cell r="AL110">
            <v>1327748654.6596899</v>
          </cell>
          <cell r="AM110">
            <v>1543606345.1168399</v>
          </cell>
          <cell r="AN110">
            <v>1763536304.5396399</v>
          </cell>
          <cell r="AO110">
            <v>1873671550.34636</v>
          </cell>
          <cell r="AP110">
            <v>1747011857.3310699</v>
          </cell>
          <cell r="AQ110">
            <v>1280177838.7190499</v>
          </cell>
          <cell r="AR110">
            <v>1454430642.4918301</v>
          </cell>
          <cell r="AS110">
            <v>1731198022.4549401</v>
          </cell>
          <cell r="AT110">
            <v>1768619058.3464701</v>
          </cell>
          <cell r="AU110">
            <v>1758176653.0774601</v>
          </cell>
          <cell r="AV110">
            <v>2023324407.30316</v>
          </cell>
          <cell r="AW110">
            <v>2366398119.8821001</v>
          </cell>
          <cell r="AX110">
            <v>2735558726.2562499</v>
          </cell>
          <cell r="AY110">
            <v>3455031447.6019402</v>
          </cell>
          <cell r="AZ110">
            <v>4223152219.2438998</v>
          </cell>
          <cell r="BA110">
            <v>5446434031.6904202</v>
          </cell>
          <cell r="BB110">
            <v>5836138127.0656204</v>
          </cell>
          <cell r="BC110">
            <v>7131773632.7136898</v>
          </cell>
          <cell r="BD110">
            <v>8750107401.5787201</v>
          </cell>
          <cell r="BE110">
            <v>10192848926.2582</v>
          </cell>
          <cell r="BF110">
            <v>11983252611.272699</v>
          </cell>
          <cell r="BG110">
            <v>13279248478.816099</v>
          </cell>
          <cell r="BH110">
            <v>14426381187.089399</v>
          </cell>
          <cell r="BI110">
            <v>15912495368.8717</v>
          </cell>
          <cell r="BJ110">
            <v>17071162084.4067</v>
          </cell>
          <cell r="BK110">
            <v>18141651381.388401</v>
          </cell>
          <cell r="BL110">
            <v>18897252232.5826</v>
          </cell>
          <cell r="BM110">
            <v>19132635711.695702</v>
          </cell>
          <cell r="BN110">
            <v>19132635711.695702</v>
          </cell>
        </row>
        <row r="111">
          <cell r="B111" t="str">
            <v>LVA</v>
          </cell>
          <cell r="C111" t="str">
            <v>GDP (current US$)</v>
          </cell>
          <cell r="D111" t="str">
            <v>NY.GDP.MKTP.CD</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v>5789128636.6229296</v>
          </cell>
          <cell r="AO111">
            <v>5975248851.4548197</v>
          </cell>
          <cell r="AP111">
            <v>6527926445.6810999</v>
          </cell>
          <cell r="AQ111">
            <v>7166275467.6516104</v>
          </cell>
          <cell r="AR111">
            <v>7533788133.5575304</v>
          </cell>
          <cell r="AS111">
            <v>7958852838.9339504</v>
          </cell>
          <cell r="AT111">
            <v>8362398701.5894299</v>
          </cell>
          <cell r="AU111">
            <v>9557031605.2751198</v>
          </cell>
          <cell r="AV111">
            <v>11771975156.807301</v>
          </cell>
          <cell r="AW111">
            <v>14435700533.368</v>
          </cell>
          <cell r="AX111">
            <v>17003459863.0989</v>
          </cell>
          <cell r="AY111">
            <v>21570076498.620499</v>
          </cell>
          <cell r="AZ111">
            <v>31054350977.978401</v>
          </cell>
          <cell r="BA111">
            <v>35854274228.913902</v>
          </cell>
          <cell r="BB111">
            <v>26410909090.9091</v>
          </cell>
          <cell r="BC111">
            <v>23956163076.557499</v>
          </cell>
          <cell r="BD111">
            <v>27474380566.264999</v>
          </cell>
          <cell r="BE111">
            <v>28169902669.378399</v>
          </cell>
          <cell r="BF111">
            <v>30204783461.848801</v>
          </cell>
          <cell r="BG111">
            <v>31345148670.5896</v>
          </cell>
          <cell r="BH111">
            <v>27252128626.628101</v>
          </cell>
          <cell r="BI111">
            <v>28064533352.284901</v>
          </cell>
          <cell r="BJ111">
            <v>30408509601.800301</v>
          </cell>
          <cell r="BK111">
            <v>34412210812.278297</v>
          </cell>
          <cell r="BL111">
            <v>34308783825.301899</v>
          </cell>
          <cell r="BM111">
            <v>33707320816.3036</v>
          </cell>
          <cell r="BN111">
            <v>33707320816.3036</v>
          </cell>
        </row>
        <row r="112">
          <cell r="B112" t="str">
            <v>LBN</v>
          </cell>
          <cell r="C112" t="str">
            <v>GDP (current US$)</v>
          </cell>
          <cell r="D112" t="str">
            <v>NY.GDP.MKTP.CD</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v>3313540067.9324598</v>
          </cell>
          <cell r="AH112">
            <v>2717998687.7100201</v>
          </cell>
          <cell r="AI112">
            <v>2838485353.9618702</v>
          </cell>
          <cell r="AJ112">
            <v>4690415092.5366297</v>
          </cell>
          <cell r="AK112">
            <v>5843579160.9012203</v>
          </cell>
          <cell r="AL112">
            <v>7941744492.1211004</v>
          </cell>
          <cell r="AM112">
            <v>9599127049.9375</v>
          </cell>
          <cell r="AN112">
            <v>11718795528.4939</v>
          </cell>
          <cell r="AO112">
            <v>13690217333.269699</v>
          </cell>
          <cell r="AP112">
            <v>15751867489.444599</v>
          </cell>
          <cell r="AQ112">
            <v>17247179005.5219</v>
          </cell>
          <cell r="AR112">
            <v>17391056369.226501</v>
          </cell>
          <cell r="AS112">
            <v>17260364842.454399</v>
          </cell>
          <cell r="AT112">
            <v>17649751243.781101</v>
          </cell>
          <cell r="AU112">
            <v>19152238805.9701</v>
          </cell>
          <cell r="AV112">
            <v>20082918739.635201</v>
          </cell>
          <cell r="AW112">
            <v>21159827992.0602</v>
          </cell>
          <cell r="AX112">
            <v>21497336498.946201</v>
          </cell>
          <cell r="AY112">
            <v>22022709851.552601</v>
          </cell>
          <cell r="AZ112">
            <v>24827355014.644901</v>
          </cell>
          <cell r="BA112">
            <v>29118916105.618198</v>
          </cell>
          <cell r="BB112">
            <v>35399582928.6222</v>
          </cell>
          <cell r="BC112">
            <v>38443907042.300201</v>
          </cell>
          <cell r="BD112">
            <v>39927125961.207199</v>
          </cell>
          <cell r="BE112">
            <v>44035991893.021797</v>
          </cell>
          <cell r="BF112">
            <v>46909335550.610901</v>
          </cell>
          <cell r="BG112">
            <v>48133414840.407501</v>
          </cell>
          <cell r="BH112">
            <v>50065946086.169998</v>
          </cell>
          <cell r="BI112">
            <v>51389318290.864197</v>
          </cell>
          <cell r="BJ112">
            <v>53324800958.6119</v>
          </cell>
          <cell r="BK112">
            <v>55276157552.246002</v>
          </cell>
          <cell r="BL112">
            <v>51953744507.409103</v>
          </cell>
          <cell r="BM112">
            <v>31735217784.544498</v>
          </cell>
          <cell r="BN112">
            <v>31735217784.544498</v>
          </cell>
        </row>
        <row r="113">
          <cell r="B113" t="str">
            <v>LSO</v>
          </cell>
          <cell r="C113" t="str">
            <v>GDP (current US$)</v>
          </cell>
          <cell r="D113" t="str">
            <v>NY.GDP.MKTP.CD</v>
          </cell>
          <cell r="E113">
            <v>34579308.413831703</v>
          </cell>
          <cell r="F113">
            <v>35699286.014279701</v>
          </cell>
          <cell r="G113">
            <v>41859162.816743702</v>
          </cell>
          <cell r="H113">
            <v>47039059.218815602</v>
          </cell>
          <cell r="I113">
            <v>51938961.220775597</v>
          </cell>
          <cell r="J113">
            <v>54878902.421951599</v>
          </cell>
          <cell r="K113">
            <v>56698866.0226795</v>
          </cell>
          <cell r="L113">
            <v>59260814.783704303</v>
          </cell>
          <cell r="M113">
            <v>61444771.104577899</v>
          </cell>
          <cell r="N113">
            <v>65966680.666386701</v>
          </cell>
          <cell r="O113">
            <v>68738625.227495402</v>
          </cell>
          <cell r="P113">
            <v>76482102.908277407</v>
          </cell>
          <cell r="Q113">
            <v>80915831.924027607</v>
          </cell>
          <cell r="R113">
            <v>121181556.19596501</v>
          </cell>
          <cell r="S113">
            <v>150846210.44885901</v>
          </cell>
          <cell r="T113">
            <v>149560513.860717</v>
          </cell>
          <cell r="U113">
            <v>147654093.836247</v>
          </cell>
          <cell r="V113">
            <v>193307267.70929199</v>
          </cell>
          <cell r="W113">
            <v>266559337.626495</v>
          </cell>
          <cell r="X113">
            <v>290142517.81472701</v>
          </cell>
          <cell r="Y113">
            <v>431561376.47663099</v>
          </cell>
          <cell r="Z113">
            <v>434188034.188034</v>
          </cell>
          <cell r="AA113">
            <v>348746822.61926699</v>
          </cell>
          <cell r="AB113">
            <v>386699308.85916901</v>
          </cell>
          <cell r="AC113">
            <v>333158476.24212003</v>
          </cell>
          <cell r="AD113">
            <v>268626912.54991698</v>
          </cell>
          <cell r="AE113">
            <v>318862888.40262598</v>
          </cell>
          <cell r="AF113">
            <v>402774852.65225899</v>
          </cell>
          <cell r="AG113">
            <v>470389179.678909</v>
          </cell>
          <cell r="AH113">
            <v>495404888.09242398</v>
          </cell>
          <cell r="AI113">
            <v>596415104.54914403</v>
          </cell>
          <cell r="AJ113">
            <v>704329192.77152097</v>
          </cell>
          <cell r="AK113">
            <v>831033941.09396899</v>
          </cell>
          <cell r="AL113">
            <v>835592802.27683103</v>
          </cell>
          <cell r="AM113">
            <v>878250450.60268104</v>
          </cell>
          <cell r="AN113">
            <v>1001889856.91048</v>
          </cell>
          <cell r="AO113">
            <v>946123275.88212001</v>
          </cell>
          <cell r="AP113">
            <v>997996028.64583302</v>
          </cell>
          <cell r="AQ113">
            <v>928458205.95843196</v>
          </cell>
          <cell r="AR113">
            <v>912771290.61298001</v>
          </cell>
          <cell r="AS113">
            <v>887295267.87515497</v>
          </cell>
          <cell r="AT113">
            <v>825706961.23868895</v>
          </cell>
          <cell r="AU113">
            <v>775780697.67662501</v>
          </cell>
          <cell r="AV113">
            <v>1157832934.55127</v>
          </cell>
          <cell r="AW113">
            <v>1511236655.5204699</v>
          </cell>
          <cell r="AX113">
            <v>1682350934.85132</v>
          </cell>
          <cell r="AY113">
            <v>1800105589.6034901</v>
          </cell>
          <cell r="AZ113">
            <v>1682016947.2279799</v>
          </cell>
          <cell r="BA113">
            <v>1766825412.7729599</v>
          </cell>
          <cell r="BB113">
            <v>1740830510.87482</v>
          </cell>
          <cell r="BC113">
            <v>2234731973.5511899</v>
          </cell>
          <cell r="BD113">
            <v>2579421686.2491202</v>
          </cell>
          <cell r="BE113">
            <v>2477702252.8007798</v>
          </cell>
          <cell r="BF113">
            <v>2367113170.0037298</v>
          </cell>
          <cell r="BG113">
            <v>2441053175.7074299</v>
          </cell>
          <cell r="BH113">
            <v>2359759799.0422401</v>
          </cell>
          <cell r="BI113">
            <v>2114323793.9826601</v>
          </cell>
          <cell r="BJ113">
            <v>2306843528.5285301</v>
          </cell>
          <cell r="BK113">
            <v>2514146887.9166398</v>
          </cell>
          <cell r="BL113">
            <v>2366213068.5750699</v>
          </cell>
          <cell r="BM113">
            <v>1875227642.47384</v>
          </cell>
          <cell r="BN113">
            <v>1875227642.47384</v>
          </cell>
        </row>
        <row r="114">
          <cell r="B114" t="str">
            <v>LBR</v>
          </cell>
          <cell r="C114" t="str">
            <v>GDP (current US$)</v>
          </cell>
          <cell r="D114" t="str">
            <v>NY.GDP.MKTP.CD</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v>874000000</v>
          </cell>
          <cell r="AT114">
            <v>906000000</v>
          </cell>
          <cell r="AU114">
            <v>927000000</v>
          </cell>
          <cell r="AV114">
            <v>748000000</v>
          </cell>
          <cell r="AW114">
            <v>897000000</v>
          </cell>
          <cell r="AX114">
            <v>949000000</v>
          </cell>
          <cell r="AY114">
            <v>1119000000</v>
          </cell>
          <cell r="AZ114">
            <v>1373000000</v>
          </cell>
          <cell r="BA114">
            <v>1726000000</v>
          </cell>
          <cell r="BB114">
            <v>1768000000</v>
          </cell>
          <cell r="BC114">
            <v>1998000000</v>
          </cell>
          <cell r="BD114">
            <v>2398000000</v>
          </cell>
          <cell r="BE114">
            <v>2791614000</v>
          </cell>
          <cell r="BF114">
            <v>3177198100</v>
          </cell>
          <cell r="BG114">
            <v>3225652000</v>
          </cell>
          <cell r="BH114">
            <v>3227075700</v>
          </cell>
          <cell r="BI114">
            <v>3398419600</v>
          </cell>
          <cell r="BJ114">
            <v>3390703400</v>
          </cell>
          <cell r="BK114">
            <v>3422754800</v>
          </cell>
          <cell r="BL114">
            <v>3319596500</v>
          </cell>
          <cell r="BM114">
            <v>3201187800</v>
          </cell>
          <cell r="BN114">
            <v>3201187800</v>
          </cell>
        </row>
        <row r="115">
          <cell r="B115" t="str">
            <v>LBY</v>
          </cell>
          <cell r="C115" t="str">
            <v>GDP (current US$)</v>
          </cell>
          <cell r="D115" t="str">
            <v>NY.GDP.MKTP.CD</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v>28901836158.192101</v>
          </cell>
          <cell r="AJ115">
            <v>31995012468.8279</v>
          </cell>
          <cell r="AK115">
            <v>33881392045.454498</v>
          </cell>
          <cell r="AL115">
            <v>30657030223.390301</v>
          </cell>
          <cell r="AM115">
            <v>28607921928.817501</v>
          </cell>
          <cell r="AN115">
            <v>25544128198.995499</v>
          </cell>
          <cell r="AO115">
            <v>27884615384.615398</v>
          </cell>
          <cell r="AP115">
            <v>30698633109.1343</v>
          </cell>
          <cell r="AQ115">
            <v>27249786142.001701</v>
          </cell>
          <cell r="AR115">
            <v>35976714100.905602</v>
          </cell>
          <cell r="AS115">
            <v>38270206950.410004</v>
          </cell>
          <cell r="AT115">
            <v>34110064452.1567</v>
          </cell>
          <cell r="AU115">
            <v>20481889763.779499</v>
          </cell>
          <cell r="AV115">
            <v>26265625000</v>
          </cell>
          <cell r="AW115">
            <v>33122307692.307701</v>
          </cell>
          <cell r="AX115">
            <v>47334148578.416397</v>
          </cell>
          <cell r="AY115">
            <v>54961936662.606598</v>
          </cell>
          <cell r="AZ115">
            <v>67516236337.715797</v>
          </cell>
          <cell r="BA115">
            <v>87140405361.229202</v>
          </cell>
          <cell r="BB115">
            <v>63028320702.034302</v>
          </cell>
          <cell r="BC115">
            <v>74773444900.536804</v>
          </cell>
          <cell r="BD115">
            <v>34699395523.6073</v>
          </cell>
          <cell r="BE115">
            <v>81873662518.823807</v>
          </cell>
          <cell r="BF115">
            <v>65502870173.783096</v>
          </cell>
          <cell r="BG115">
            <v>41142722414.335098</v>
          </cell>
          <cell r="BH115">
            <v>27842131479.872601</v>
          </cell>
          <cell r="BI115">
            <v>26197143268.124298</v>
          </cell>
          <cell r="BJ115">
            <v>37883243650.452003</v>
          </cell>
          <cell r="BK115">
            <v>52607888717.9487</v>
          </cell>
          <cell r="BL115">
            <v>52091152228.342499</v>
          </cell>
          <cell r="BM115">
            <v>25418916028.8964</v>
          </cell>
          <cell r="BN115">
            <v>25418916028.8964</v>
          </cell>
        </row>
        <row r="116">
          <cell r="B116" t="str">
            <v>LIE</v>
          </cell>
          <cell r="C116" t="str">
            <v>GDP (current US$)</v>
          </cell>
          <cell r="D116" t="str">
            <v>NY.GDP.MKTP.CD</v>
          </cell>
          <cell r="E116" t="str">
            <v>..</v>
          </cell>
          <cell r="F116" t="str">
            <v>..</v>
          </cell>
          <cell r="G116" t="str">
            <v>..</v>
          </cell>
          <cell r="H116" t="str">
            <v>..</v>
          </cell>
          <cell r="I116" t="str">
            <v>..</v>
          </cell>
          <cell r="J116" t="str">
            <v>..</v>
          </cell>
          <cell r="K116" t="str">
            <v>..</v>
          </cell>
          <cell r="L116" t="str">
            <v>..</v>
          </cell>
          <cell r="M116" t="str">
            <v>..</v>
          </cell>
          <cell r="N116" t="str">
            <v>..</v>
          </cell>
          <cell r="O116">
            <v>90098330.665447101</v>
          </cell>
          <cell r="P116">
            <v>104888628.17194401</v>
          </cell>
          <cell r="Q116">
            <v>124941925.010473</v>
          </cell>
          <cell r="R116">
            <v>165930611.72901899</v>
          </cell>
          <cell r="S116">
            <v>193983720.461869</v>
          </cell>
          <cell r="T116">
            <v>246387479.17715901</v>
          </cell>
          <cell r="U116">
            <v>272493879.020643</v>
          </cell>
          <cell r="V116">
            <v>303496276.26378202</v>
          </cell>
          <cell r="W116">
            <v>436918176.73378098</v>
          </cell>
          <cell r="X116">
            <v>503180669.994587</v>
          </cell>
          <cell r="Y116">
            <v>534701915.61735398</v>
          </cell>
          <cell r="Z116">
            <v>511658690.56104302</v>
          </cell>
          <cell r="AA116">
            <v>522090331.47810698</v>
          </cell>
          <cell r="AB116">
            <v>524034109.85660499</v>
          </cell>
          <cell r="AC116">
            <v>502617355.40707302</v>
          </cell>
          <cell r="AD116">
            <v>529078995.56387597</v>
          </cell>
          <cell r="AE116">
            <v>779365167.60242403</v>
          </cell>
          <cell r="AF116">
            <v>1052843347.63948</v>
          </cell>
          <cell r="AG116">
            <v>1161757671.01756</v>
          </cell>
          <cell r="AH116">
            <v>1120000916.92646</v>
          </cell>
          <cell r="AI116">
            <v>1421466239.56234</v>
          </cell>
          <cell r="AJ116">
            <v>1484152022.3152001</v>
          </cell>
          <cell r="AK116">
            <v>1631197909.2590001</v>
          </cell>
          <cell r="AL116">
            <v>1673104493.77369</v>
          </cell>
          <cell r="AM116">
            <v>1948118227.68151</v>
          </cell>
          <cell r="AN116">
            <v>2428461395.3488402</v>
          </cell>
          <cell r="AO116">
            <v>2504033252.4271798</v>
          </cell>
          <cell r="AP116">
            <v>2298410390.6842098</v>
          </cell>
          <cell r="AQ116">
            <v>2479721340.8745999</v>
          </cell>
          <cell r="AR116">
            <v>2664026095.0605798</v>
          </cell>
          <cell r="AS116">
            <v>2483953102.7948799</v>
          </cell>
          <cell r="AT116">
            <v>2491822706.8025599</v>
          </cell>
          <cell r="AU116">
            <v>2688630822.53304</v>
          </cell>
          <cell r="AV116">
            <v>3070691319.52179</v>
          </cell>
          <cell r="AW116">
            <v>3454362685.96703</v>
          </cell>
          <cell r="AX116">
            <v>3659251525.8593001</v>
          </cell>
          <cell r="AY116">
            <v>4000239272.6112599</v>
          </cell>
          <cell r="AZ116">
            <v>4601299566.81106</v>
          </cell>
          <cell r="BA116">
            <v>5081432924.0143995</v>
          </cell>
          <cell r="BB116">
            <v>4504549214.2266302</v>
          </cell>
          <cell r="BC116">
            <v>5082366478.0899401</v>
          </cell>
          <cell r="BD116">
            <v>5739977477.4774799</v>
          </cell>
          <cell r="BE116">
            <v>5456009384.6646099</v>
          </cell>
          <cell r="BF116">
            <v>6391735893.8396797</v>
          </cell>
          <cell r="BG116">
            <v>6657170923.37918</v>
          </cell>
          <cell r="BH116">
            <v>6268391521.19701</v>
          </cell>
          <cell r="BI116">
            <v>6237264055.2060099</v>
          </cell>
          <cell r="BJ116">
            <v>6474256118.61481</v>
          </cell>
          <cell r="BK116">
            <v>6839145106.86164</v>
          </cell>
          <cell r="BL116">
            <v>6684443550.0100603</v>
          </cell>
          <cell r="BM116" t="str">
            <v>..</v>
          </cell>
          <cell r="BN116">
            <v>6684443550.0100603</v>
          </cell>
        </row>
        <row r="117">
          <cell r="B117" t="str">
            <v>LTU</v>
          </cell>
          <cell r="C117" t="str">
            <v>GDP (current US$)</v>
          </cell>
          <cell r="D117" t="str">
            <v>NY.GDP.MKTP.CD</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v>7867140395.3370504</v>
          </cell>
          <cell r="AO117">
            <v>8382519637.4622402</v>
          </cell>
          <cell r="AP117">
            <v>10118631851.5322</v>
          </cell>
          <cell r="AQ117">
            <v>11239547690.9797</v>
          </cell>
          <cell r="AR117">
            <v>10971583944.7561</v>
          </cell>
          <cell r="AS117">
            <v>11524776866.637899</v>
          </cell>
          <cell r="AT117">
            <v>12237388001.7264</v>
          </cell>
          <cell r="AU117">
            <v>14259781159.0119</v>
          </cell>
          <cell r="AV117">
            <v>18781721376.198502</v>
          </cell>
          <cell r="AW117">
            <v>22627507451.5648</v>
          </cell>
          <cell r="AX117">
            <v>26097677571.837299</v>
          </cell>
          <cell r="AY117">
            <v>30183575103.526199</v>
          </cell>
          <cell r="AZ117">
            <v>39697891351.9431</v>
          </cell>
          <cell r="BA117">
            <v>47797551587.882301</v>
          </cell>
          <cell r="BB117">
            <v>37388122046.149597</v>
          </cell>
          <cell r="BC117">
            <v>37128694028.242996</v>
          </cell>
          <cell r="BD117">
            <v>43535051482.386902</v>
          </cell>
          <cell r="BE117">
            <v>42927454291.477997</v>
          </cell>
          <cell r="BF117">
            <v>46523420074.437202</v>
          </cell>
          <cell r="BG117">
            <v>48533659592.172798</v>
          </cell>
          <cell r="BH117">
            <v>41418872976.119598</v>
          </cell>
          <cell r="BI117">
            <v>43018087237.574097</v>
          </cell>
          <cell r="BJ117">
            <v>47640770634.427002</v>
          </cell>
          <cell r="BK117">
            <v>53724663842.562302</v>
          </cell>
          <cell r="BL117">
            <v>54697379017.333199</v>
          </cell>
          <cell r="BM117">
            <v>56546957475.491203</v>
          </cell>
          <cell r="BN117">
            <v>56546957475.491203</v>
          </cell>
        </row>
        <row r="118">
          <cell r="B118" t="str">
            <v>LUX</v>
          </cell>
          <cell r="C118" t="str">
            <v>GDP (current US$)</v>
          </cell>
          <cell r="D118" t="str">
            <v>NY.GDP.MKTP.CD</v>
          </cell>
          <cell r="E118">
            <v>703925705.942958</v>
          </cell>
          <cell r="F118">
            <v>704145671.35021305</v>
          </cell>
          <cell r="G118">
            <v>741509480.79628396</v>
          </cell>
          <cell r="H118">
            <v>791140595.77275503</v>
          </cell>
          <cell r="I118">
            <v>903158753.94362199</v>
          </cell>
          <cell r="J118">
            <v>921600736.30402601</v>
          </cell>
          <cell r="K118">
            <v>968440149.47095096</v>
          </cell>
          <cell r="L118">
            <v>974721762.53532696</v>
          </cell>
          <cell r="M118">
            <v>1066447130.82052</v>
          </cell>
          <cell r="N118">
            <v>1234878980.5020001</v>
          </cell>
          <cell r="O118">
            <v>1457768455.0221901</v>
          </cell>
          <cell r="P118">
            <v>1518773421.3784599</v>
          </cell>
          <cell r="Q118">
            <v>1901697369.6269801</v>
          </cell>
          <cell r="R118">
            <v>2609875802.1113601</v>
          </cell>
          <cell r="S118">
            <v>3183637116.8185601</v>
          </cell>
          <cell r="T118">
            <v>3123333333.3333302</v>
          </cell>
          <cell r="U118">
            <v>3423586206.8965502</v>
          </cell>
          <cell r="V118">
            <v>3789321328.0810399</v>
          </cell>
          <cell r="W118">
            <v>4718539771.9994898</v>
          </cell>
          <cell r="X118">
            <v>5516982663.7314301</v>
          </cell>
          <cell r="Y118">
            <v>6019805490.4124699</v>
          </cell>
          <cell r="Z118">
            <v>5053665797.4793596</v>
          </cell>
          <cell r="AA118">
            <v>4602316793.2191401</v>
          </cell>
          <cell r="AB118">
            <v>4524217751.47929</v>
          </cell>
          <cell r="AC118">
            <v>4438435492.8790798</v>
          </cell>
          <cell r="AD118">
            <v>4577211767.1037397</v>
          </cell>
          <cell r="AE118">
            <v>6685595087.5925598</v>
          </cell>
          <cell r="AF118">
            <v>8320902215.0189104</v>
          </cell>
          <cell r="AG118">
            <v>9418167855.1837597</v>
          </cell>
          <cell r="AH118">
            <v>10037674037.674</v>
          </cell>
          <cell r="AI118">
            <v>12778792853.693899</v>
          </cell>
          <cell r="AJ118">
            <v>13834219728.292999</v>
          </cell>
          <cell r="AK118">
            <v>15518702634.8808</v>
          </cell>
          <cell r="AL118">
            <v>15925521222.0149</v>
          </cell>
          <cell r="AM118">
            <v>17701798890.7644</v>
          </cell>
          <cell r="AN118">
            <v>20853093869.7318</v>
          </cell>
          <cell r="AO118">
            <v>20895314657.980499</v>
          </cell>
          <cell r="AP118">
            <v>19563836265.223301</v>
          </cell>
          <cell r="AQ118">
            <v>20150053345.187801</v>
          </cell>
          <cell r="AR118">
            <v>21891923076.9231</v>
          </cell>
          <cell r="AS118">
            <v>21177470978.441101</v>
          </cell>
          <cell r="AT118">
            <v>21369028187.919498</v>
          </cell>
          <cell r="AU118">
            <v>23537637869.376999</v>
          </cell>
          <cell r="AV118">
            <v>29601904063.205399</v>
          </cell>
          <cell r="AW118">
            <v>35000480506.580597</v>
          </cell>
          <cell r="AX118">
            <v>37658234050.491203</v>
          </cell>
          <cell r="AY118">
            <v>42874225316.7733</v>
          </cell>
          <cell r="AZ118">
            <v>51521903914.590698</v>
          </cell>
          <cell r="BA118">
            <v>58604890874.469002</v>
          </cell>
          <cell r="BB118">
            <v>54252213114.754097</v>
          </cell>
          <cell r="BC118">
            <v>56159192758.328499</v>
          </cell>
          <cell r="BD118">
            <v>61615545000.359703</v>
          </cell>
          <cell r="BE118">
            <v>59779802783.345497</v>
          </cell>
          <cell r="BF118">
            <v>65184744717.028</v>
          </cell>
          <cell r="BG118">
            <v>68713294386.212898</v>
          </cell>
          <cell r="BH118">
            <v>60047430684.263901</v>
          </cell>
          <cell r="BI118">
            <v>62174650367.221603</v>
          </cell>
          <cell r="BJ118">
            <v>65549868206.941803</v>
          </cell>
          <cell r="BK118">
            <v>71250208995.642502</v>
          </cell>
          <cell r="BL118">
            <v>70195715495.513596</v>
          </cell>
          <cell r="BM118">
            <v>73353132793.707596</v>
          </cell>
          <cell r="BN118">
            <v>73353132793.707596</v>
          </cell>
        </row>
        <row r="119">
          <cell r="B119" t="str">
            <v>MAC</v>
          </cell>
          <cell r="C119" t="str">
            <v>GDP (current US$)</v>
          </cell>
          <cell r="D119" t="str">
            <v>NY.GDP.MKTP.CD</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v>1142503774.61531</v>
          </cell>
          <cell r="AB119">
            <v>1133008225.9317801</v>
          </cell>
          <cell r="AC119">
            <v>1304353236.9266</v>
          </cell>
          <cell r="AD119">
            <v>1362079311.89678</v>
          </cell>
          <cell r="AE119">
            <v>1532097039.8841901</v>
          </cell>
          <cell r="AF119">
            <v>1957726784.68876</v>
          </cell>
          <cell r="AG119">
            <v>2288759545.30756</v>
          </cell>
          <cell r="AH119">
            <v>2705659766.7384501</v>
          </cell>
          <cell r="AI119">
            <v>3246477995.2624402</v>
          </cell>
          <cell r="AJ119">
            <v>3765226190.92238</v>
          </cell>
          <cell r="AK119">
            <v>4914391079.1114197</v>
          </cell>
          <cell r="AL119">
            <v>5665570560.7711201</v>
          </cell>
          <cell r="AM119">
            <v>6311194301.7222996</v>
          </cell>
          <cell r="AN119">
            <v>7046110595.1454601</v>
          </cell>
          <cell r="AO119">
            <v>7176892950.3916397</v>
          </cell>
          <cell r="AP119">
            <v>7267563602.6231003</v>
          </cell>
          <cell r="AQ119">
            <v>6797764074.7982197</v>
          </cell>
          <cell r="AR119">
            <v>6547629474.8432798</v>
          </cell>
          <cell r="AS119">
            <v>6774193548.3871002</v>
          </cell>
          <cell r="AT119">
            <v>6860272608.4521103</v>
          </cell>
          <cell r="AU119">
            <v>7371723056.2402</v>
          </cell>
          <cell r="AV119">
            <v>8246521717.44876</v>
          </cell>
          <cell r="AW119">
            <v>10643215078.1581</v>
          </cell>
          <cell r="AX119">
            <v>12160002995.8433</v>
          </cell>
          <cell r="AY119">
            <v>14874147024.2708</v>
          </cell>
          <cell r="AZ119">
            <v>18439876056.1978</v>
          </cell>
          <cell r="BA119">
            <v>21027044550.5667</v>
          </cell>
          <cell r="BB119">
            <v>21587740941.5979</v>
          </cell>
          <cell r="BC119">
            <v>28241858488.915501</v>
          </cell>
          <cell r="BD119">
            <v>36845925519.443298</v>
          </cell>
          <cell r="BE119">
            <v>43189526777.556702</v>
          </cell>
          <cell r="BF119">
            <v>51536304807.680298</v>
          </cell>
          <cell r="BG119">
            <v>54903031137.709602</v>
          </cell>
          <cell r="BH119">
            <v>45047964934.251701</v>
          </cell>
          <cell r="BI119">
            <v>45070605746.019402</v>
          </cell>
          <cell r="BJ119">
            <v>50440941938.699203</v>
          </cell>
          <cell r="BK119">
            <v>55284360483.121696</v>
          </cell>
          <cell r="BL119">
            <v>55204758069.512398</v>
          </cell>
          <cell r="BM119">
            <v>25586111076.341499</v>
          </cell>
          <cell r="BN119">
            <v>25586111076.341499</v>
          </cell>
        </row>
        <row r="120">
          <cell r="B120" t="str">
            <v>MDG</v>
          </cell>
          <cell r="C120" t="str">
            <v>GDP (current US$)</v>
          </cell>
          <cell r="D120" t="str">
            <v>NY.GDP.MKTP.CD</v>
          </cell>
          <cell r="E120">
            <v>673081724.07632196</v>
          </cell>
          <cell r="F120">
            <v>699161943.85710299</v>
          </cell>
          <cell r="G120">
            <v>739286906.85155296</v>
          </cell>
          <cell r="H120">
            <v>759345862.971331</v>
          </cell>
          <cell r="I120">
            <v>802482182.92419195</v>
          </cell>
          <cell r="J120">
            <v>833563472.16235197</v>
          </cell>
          <cell r="K120">
            <v>900264583.688205</v>
          </cell>
          <cell r="L120">
            <v>956436931.14234698</v>
          </cell>
          <cell r="M120">
            <v>1031669636.36116</v>
          </cell>
          <cell r="N120">
            <v>1056391054.5386</v>
          </cell>
          <cell r="O120">
            <v>1111859569.7715001</v>
          </cell>
          <cell r="P120">
            <v>1199507629.9917901</v>
          </cell>
          <cell r="Q120">
            <v>1341590681.5851099</v>
          </cell>
          <cell r="R120">
            <v>1653062347.36254</v>
          </cell>
          <cell r="S120">
            <v>1917508190.04689</v>
          </cell>
          <cell r="T120">
            <v>2283049233.28758</v>
          </cell>
          <cell r="U120">
            <v>2181844193.9253998</v>
          </cell>
          <cell r="V120">
            <v>2358930406.4289598</v>
          </cell>
          <cell r="W120">
            <v>2669755115.5056901</v>
          </cell>
          <cell r="X120">
            <v>3463565881.42486</v>
          </cell>
          <cell r="Y120">
            <v>5201818349.00282</v>
          </cell>
          <cell r="Z120">
            <v>4759333969.8514099</v>
          </cell>
          <cell r="AA120">
            <v>4784977348.9704199</v>
          </cell>
          <cell r="AB120">
            <v>4686457013.0577002</v>
          </cell>
          <cell r="AC120">
            <v>3905938480.8235202</v>
          </cell>
          <cell r="AD120">
            <v>3802557894.9061399</v>
          </cell>
          <cell r="AE120">
            <v>4347989798.8343601</v>
          </cell>
          <cell r="AF120">
            <v>3212900560.8099098</v>
          </cell>
          <cell r="AG120">
            <v>3189456961.2797198</v>
          </cell>
          <cell r="AH120">
            <v>3175638332.5404</v>
          </cell>
          <cell r="AI120">
            <v>3931334870.74964</v>
          </cell>
          <cell r="AJ120">
            <v>3254713056.0217099</v>
          </cell>
          <cell r="AK120">
            <v>3714967007.1860199</v>
          </cell>
          <cell r="AL120">
            <v>4063298919.2867999</v>
          </cell>
          <cell r="AM120">
            <v>3522226902.7586098</v>
          </cell>
          <cell r="AN120">
            <v>3838101052.2123199</v>
          </cell>
          <cell r="AO120">
            <v>4931861239.07864</v>
          </cell>
          <cell r="AP120">
            <v>4262965281.5836</v>
          </cell>
          <cell r="AQ120">
            <v>4401967499.2559404</v>
          </cell>
          <cell r="AR120">
            <v>4277903780.2913098</v>
          </cell>
          <cell r="AS120">
            <v>4629247090.9781599</v>
          </cell>
          <cell r="AT120">
            <v>5438332738.1037302</v>
          </cell>
          <cell r="AU120">
            <v>5351701534.1580095</v>
          </cell>
          <cell r="AV120">
            <v>6372498719.8461304</v>
          </cell>
          <cell r="AW120">
            <v>5064732715.7261496</v>
          </cell>
          <cell r="AX120">
            <v>5859269849.1452303</v>
          </cell>
          <cell r="AY120">
            <v>6395712392.2368202</v>
          </cell>
          <cell r="AZ120">
            <v>8524620739.2407398</v>
          </cell>
          <cell r="BA120">
            <v>10725137930.851801</v>
          </cell>
          <cell r="BB120">
            <v>9616879571.4450893</v>
          </cell>
          <cell r="BC120">
            <v>9982711338.1112499</v>
          </cell>
          <cell r="BD120">
            <v>11551819617.6416</v>
          </cell>
          <cell r="BE120">
            <v>11578974887.966801</v>
          </cell>
          <cell r="BF120">
            <v>12423555269.3948</v>
          </cell>
          <cell r="BG120">
            <v>12522957228.1618</v>
          </cell>
          <cell r="BH120">
            <v>11323020828.5844</v>
          </cell>
          <cell r="BI120">
            <v>11848613735.1908</v>
          </cell>
          <cell r="BJ120">
            <v>13176313593.5418</v>
          </cell>
          <cell r="BK120">
            <v>13760033096.512199</v>
          </cell>
          <cell r="BL120">
            <v>14104664514.870001</v>
          </cell>
          <cell r="BM120">
            <v>13056079982.3887</v>
          </cell>
          <cell r="BN120">
            <v>13056079982.3887</v>
          </cell>
        </row>
        <row r="121">
          <cell r="B121" t="str">
            <v>MWI</v>
          </cell>
          <cell r="C121" t="str">
            <v>GDP (current US$)</v>
          </cell>
          <cell r="D121" t="str">
            <v>NY.GDP.MKTP.CD</v>
          </cell>
          <cell r="E121">
            <v>162956740.865183</v>
          </cell>
          <cell r="F121">
            <v>174576508.46983099</v>
          </cell>
          <cell r="G121">
            <v>183116337.67324701</v>
          </cell>
          <cell r="H121">
            <v>190816183.67632601</v>
          </cell>
          <cell r="I121">
            <v>194736105.27789399</v>
          </cell>
          <cell r="J121">
            <v>229455410.89178199</v>
          </cell>
          <cell r="K121">
            <v>260394792.10415801</v>
          </cell>
          <cell r="L121">
            <v>269814968.24081701</v>
          </cell>
          <cell r="M121">
            <v>245169806.792272</v>
          </cell>
          <cell r="N121">
            <v>265810632.42529699</v>
          </cell>
          <cell r="O121">
            <v>290531621.26485097</v>
          </cell>
          <cell r="P121">
            <v>365386929.83511901</v>
          </cell>
          <cell r="Q121">
            <v>406062874.25149697</v>
          </cell>
          <cell r="R121">
            <v>444281703.89356798</v>
          </cell>
          <cell r="S121">
            <v>548621017.59391296</v>
          </cell>
          <cell r="T121">
            <v>613220652.92891896</v>
          </cell>
          <cell r="U121">
            <v>670317634.17305601</v>
          </cell>
          <cell r="V121">
            <v>806290840.62465405</v>
          </cell>
          <cell r="W121">
            <v>949034016.83062696</v>
          </cell>
          <cell r="X121">
            <v>1058269065.98115</v>
          </cell>
          <cell r="Y121">
            <v>1237655461.1501</v>
          </cell>
          <cell r="Z121">
            <v>1237685691.94683</v>
          </cell>
          <cell r="AA121">
            <v>1180104216.0113699</v>
          </cell>
          <cell r="AB121">
            <v>1223186840.3132401</v>
          </cell>
          <cell r="AC121">
            <v>1208008985.42522</v>
          </cell>
          <cell r="AD121">
            <v>1131347798.26653</v>
          </cell>
          <cell r="AE121">
            <v>1183654827.79002</v>
          </cell>
          <cell r="AF121">
            <v>1183094127.7674699</v>
          </cell>
          <cell r="AG121">
            <v>1379924257.21313</v>
          </cell>
          <cell r="AH121">
            <v>1590215582.5330701</v>
          </cell>
          <cell r="AI121">
            <v>1880771556.30474</v>
          </cell>
          <cell r="AJ121">
            <v>2203545856.6689301</v>
          </cell>
          <cell r="AK121">
            <v>1799517081.5641201</v>
          </cell>
          <cell r="AL121">
            <v>2070636935.5864401</v>
          </cell>
          <cell r="AM121">
            <v>1181802596.0349801</v>
          </cell>
          <cell r="AN121">
            <v>1397457932.3069699</v>
          </cell>
          <cell r="AO121">
            <v>2281034131.3649302</v>
          </cell>
          <cell r="AP121">
            <v>2663234933.8976698</v>
          </cell>
          <cell r="AQ121">
            <v>1750584265.28754</v>
          </cell>
          <cell r="AR121">
            <v>1775921718.10534</v>
          </cell>
          <cell r="AS121">
            <v>1743506531.32652</v>
          </cell>
          <cell r="AT121">
            <v>1716502862.2953999</v>
          </cell>
          <cell r="AU121">
            <v>3495748397.63025</v>
          </cell>
          <cell r="AV121">
            <v>3208837077.25069</v>
          </cell>
          <cell r="AW121">
            <v>3476094498.8751702</v>
          </cell>
          <cell r="AX121">
            <v>3655909664.1423001</v>
          </cell>
          <cell r="AY121">
            <v>3998020176.6736398</v>
          </cell>
          <cell r="AZ121">
            <v>4432937045.7989702</v>
          </cell>
          <cell r="BA121">
            <v>5321012192.3361902</v>
          </cell>
          <cell r="BB121">
            <v>6191127665.1962996</v>
          </cell>
          <cell r="BC121">
            <v>6959655570.8909798</v>
          </cell>
          <cell r="BD121">
            <v>8004000737.3071699</v>
          </cell>
          <cell r="BE121">
            <v>6028487928.8335104</v>
          </cell>
          <cell r="BF121">
            <v>5518880768.5795498</v>
          </cell>
          <cell r="BG121">
            <v>6047813437.3180399</v>
          </cell>
          <cell r="BH121">
            <v>6373212640.8460398</v>
          </cell>
          <cell r="BI121">
            <v>5433040159.8874702</v>
          </cell>
          <cell r="BJ121">
            <v>8943543677.1889896</v>
          </cell>
          <cell r="BK121">
            <v>9880675785.9305706</v>
          </cell>
          <cell r="BL121">
            <v>11025357837.607</v>
          </cell>
          <cell r="BM121">
            <v>12182348212.7073</v>
          </cell>
          <cell r="BN121">
            <v>12182348212.7073</v>
          </cell>
        </row>
        <row r="122">
          <cell r="B122" t="str">
            <v>MYS</v>
          </cell>
          <cell r="C122" t="str">
            <v>GDP (current US$)</v>
          </cell>
          <cell r="D122" t="str">
            <v>NY.GDP.MKTP.CD</v>
          </cell>
          <cell r="E122">
            <v>1916241996.6026399</v>
          </cell>
          <cell r="F122">
            <v>1901868548.2817199</v>
          </cell>
          <cell r="G122">
            <v>2001502678.6881001</v>
          </cell>
          <cell r="H122">
            <v>2510126747.6806502</v>
          </cell>
          <cell r="I122">
            <v>2674441395.5311599</v>
          </cell>
          <cell r="J122">
            <v>2956356984.1892099</v>
          </cell>
          <cell r="K122">
            <v>3143538481.6411901</v>
          </cell>
          <cell r="L122">
            <v>3188945511.5640898</v>
          </cell>
          <cell r="M122">
            <v>3330393309.8131499</v>
          </cell>
          <cell r="N122">
            <v>3664575983.2745299</v>
          </cell>
          <cell r="O122">
            <v>3864170913.36731</v>
          </cell>
          <cell r="P122">
            <v>4244340333.51899</v>
          </cell>
          <cell r="Q122">
            <v>5043268548.73032</v>
          </cell>
          <cell r="R122">
            <v>7662996766.6680298</v>
          </cell>
          <cell r="S122">
            <v>9496074114.0791798</v>
          </cell>
          <cell r="T122">
            <v>9298800799.46702</v>
          </cell>
          <cell r="U122">
            <v>11050125904.941799</v>
          </cell>
          <cell r="V122">
            <v>13139397879.1695</v>
          </cell>
          <cell r="W122">
            <v>16358376511.226299</v>
          </cell>
          <cell r="X122">
            <v>21213672089.197601</v>
          </cell>
          <cell r="Y122">
            <v>24488033442.050598</v>
          </cell>
          <cell r="Z122">
            <v>25004557093.876099</v>
          </cell>
          <cell r="AA122">
            <v>26804401815.534801</v>
          </cell>
          <cell r="AB122">
            <v>30346788437.5135</v>
          </cell>
          <cell r="AC122">
            <v>33943505717.699299</v>
          </cell>
          <cell r="AD122">
            <v>31200161095.4491</v>
          </cell>
          <cell r="AE122">
            <v>27734562640.4277</v>
          </cell>
          <cell r="AF122">
            <v>32181695507.2234</v>
          </cell>
          <cell r="AG122">
            <v>35271880250.496399</v>
          </cell>
          <cell r="AH122">
            <v>38848567631.4235</v>
          </cell>
          <cell r="AI122">
            <v>44024178343.007103</v>
          </cell>
          <cell r="AJ122">
            <v>49143148094.268303</v>
          </cell>
          <cell r="AK122">
            <v>59167550162.956001</v>
          </cell>
          <cell r="AL122">
            <v>66894837030.418404</v>
          </cell>
          <cell r="AM122">
            <v>74478356957.780807</v>
          </cell>
          <cell r="AN122">
            <v>88705342902.711304</v>
          </cell>
          <cell r="AO122">
            <v>100855393910.48599</v>
          </cell>
          <cell r="AP122">
            <v>100005323301.867</v>
          </cell>
          <cell r="AQ122">
            <v>72167498980.839798</v>
          </cell>
          <cell r="AR122">
            <v>79148421052.631607</v>
          </cell>
          <cell r="AS122">
            <v>93789736842.105301</v>
          </cell>
          <cell r="AT122">
            <v>92783947368.421097</v>
          </cell>
          <cell r="AU122">
            <v>100845526315.789</v>
          </cell>
          <cell r="AV122">
            <v>110202368421.05299</v>
          </cell>
          <cell r="AW122">
            <v>124749473684.211</v>
          </cell>
          <cell r="AX122">
            <v>143534102611.49701</v>
          </cell>
          <cell r="AY122">
            <v>162691238209.47601</v>
          </cell>
          <cell r="AZ122">
            <v>193547824063.29999</v>
          </cell>
          <cell r="BA122">
            <v>230813897715.69</v>
          </cell>
          <cell r="BB122">
            <v>202257625195.06299</v>
          </cell>
          <cell r="BC122">
            <v>255016609232.871</v>
          </cell>
          <cell r="BD122">
            <v>297951960784.31403</v>
          </cell>
          <cell r="BE122">
            <v>314443149443.14899</v>
          </cell>
          <cell r="BF122">
            <v>323277158906.979</v>
          </cell>
          <cell r="BG122">
            <v>338061963396.37598</v>
          </cell>
          <cell r="BH122">
            <v>301354803994.367</v>
          </cell>
          <cell r="BI122">
            <v>301255380276.258</v>
          </cell>
          <cell r="BJ122">
            <v>319112136545.43799</v>
          </cell>
          <cell r="BK122">
            <v>358791603677.72803</v>
          </cell>
          <cell r="BL122">
            <v>365276282438.14099</v>
          </cell>
          <cell r="BM122">
            <v>337006066373.26001</v>
          </cell>
          <cell r="BN122">
            <v>337006066373.26001</v>
          </cell>
        </row>
        <row r="123">
          <cell r="B123" t="str">
            <v>MDV</v>
          </cell>
          <cell r="C123" t="str">
            <v>GDP (current US$)</v>
          </cell>
          <cell r="D123" t="str">
            <v>NY.GDP.MKTP.CD</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v>42463576.158940397</v>
          </cell>
          <cell r="Z123">
            <v>44781456.953642398</v>
          </cell>
          <cell r="AA123">
            <v>47911119.784769401</v>
          </cell>
          <cell r="AB123">
            <v>57829787.2340426</v>
          </cell>
          <cell r="AC123">
            <v>109503546.099291</v>
          </cell>
          <cell r="AD123">
            <v>127190757.959989</v>
          </cell>
          <cell r="AE123">
            <v>141882254.230178</v>
          </cell>
          <cell r="AF123">
            <v>141223029.383064</v>
          </cell>
          <cell r="AG123">
            <v>168514513.37507099</v>
          </cell>
          <cell r="AH123">
            <v>189514434.24399999</v>
          </cell>
          <cell r="AI123">
            <v>215043969.849246</v>
          </cell>
          <cell r="AJ123">
            <v>244396761.92333999</v>
          </cell>
          <cell r="AK123">
            <v>284874919.57764101</v>
          </cell>
          <cell r="AL123">
            <v>322417837.16197097</v>
          </cell>
          <cell r="AM123">
            <v>356013395.70854002</v>
          </cell>
          <cell r="AN123">
            <v>398988954.970263</v>
          </cell>
          <cell r="AO123">
            <v>450382327.95242101</v>
          </cell>
          <cell r="AP123">
            <v>508223602.37892902</v>
          </cell>
          <cell r="AQ123">
            <v>540096397.62107098</v>
          </cell>
          <cell r="AR123">
            <v>589239753.61087501</v>
          </cell>
          <cell r="AS123">
            <v>624337145.28462195</v>
          </cell>
          <cell r="AT123">
            <v>870030468.62874806</v>
          </cell>
          <cell r="AU123">
            <v>897031250</v>
          </cell>
          <cell r="AV123">
            <v>1052121054.6875</v>
          </cell>
          <cell r="AW123">
            <v>1226829562.5</v>
          </cell>
          <cell r="AX123">
            <v>1163362437.5</v>
          </cell>
          <cell r="AY123">
            <v>1575200390.625</v>
          </cell>
          <cell r="AZ123">
            <v>1868383460.9375</v>
          </cell>
          <cell r="BA123">
            <v>2271646187.5</v>
          </cell>
          <cell r="BB123">
            <v>2345294875</v>
          </cell>
          <cell r="BC123">
            <v>2588176054.6875</v>
          </cell>
          <cell r="BD123">
            <v>2774351760.0328698</v>
          </cell>
          <cell r="BE123">
            <v>2886170571.6963401</v>
          </cell>
          <cell r="BF123">
            <v>3295011381.7540498</v>
          </cell>
          <cell r="BG123">
            <v>3697351596.8375301</v>
          </cell>
          <cell r="BH123">
            <v>4109424799.7240701</v>
          </cell>
          <cell r="BI123">
            <v>4379136461.8307695</v>
          </cell>
          <cell r="BJ123">
            <v>4754175869.2402697</v>
          </cell>
          <cell r="BK123">
            <v>5300962659.5108805</v>
          </cell>
          <cell r="BL123">
            <v>5607762625.1462698</v>
          </cell>
          <cell r="BM123">
            <v>3742769967.4279799</v>
          </cell>
          <cell r="BN123">
            <v>3742769967.4279799</v>
          </cell>
        </row>
        <row r="124">
          <cell r="B124" t="str">
            <v>MLI</v>
          </cell>
          <cell r="C124" t="str">
            <v>GDP (current US$)</v>
          </cell>
          <cell r="D124" t="str">
            <v>NY.GDP.MKTP.CD</v>
          </cell>
          <cell r="E124" t="str">
            <v>..</v>
          </cell>
          <cell r="F124" t="str">
            <v>..</v>
          </cell>
          <cell r="G124" t="str">
            <v>..</v>
          </cell>
          <cell r="H124" t="str">
            <v>..</v>
          </cell>
          <cell r="I124" t="str">
            <v>..</v>
          </cell>
          <cell r="J124" t="str">
            <v>..</v>
          </cell>
          <cell r="K124" t="str">
            <v>..</v>
          </cell>
          <cell r="L124">
            <v>275494520.14199901</v>
          </cell>
          <cell r="M124">
            <v>343771964.66216701</v>
          </cell>
          <cell r="N124">
            <v>339913833.096246</v>
          </cell>
          <cell r="O124">
            <v>359772363.26220697</v>
          </cell>
          <cell r="P124">
            <v>395218567.20288098</v>
          </cell>
          <cell r="Q124">
            <v>486617332.38740498</v>
          </cell>
          <cell r="R124">
            <v>563683660.31193995</v>
          </cell>
          <cell r="S124">
            <v>538747268.33335602</v>
          </cell>
          <cell r="T124">
            <v>830710615.17995405</v>
          </cell>
          <cell r="U124">
            <v>939227993.66395998</v>
          </cell>
          <cell r="V124">
            <v>1049838492.55759</v>
          </cell>
          <cell r="W124">
            <v>1222702356.1094601</v>
          </cell>
          <cell r="X124">
            <v>1595423285.64659</v>
          </cell>
          <cell r="Y124">
            <v>1759687480.12117</v>
          </cell>
          <cell r="Z124">
            <v>1538980653.5899601</v>
          </cell>
          <cell r="AA124">
            <v>1333739016.7676001</v>
          </cell>
          <cell r="AB124">
            <v>1297751826.1736701</v>
          </cell>
          <cell r="AC124">
            <v>1232922696.8143499</v>
          </cell>
          <cell r="AD124">
            <v>1392205229.93367</v>
          </cell>
          <cell r="AE124">
            <v>1852141546.5912001</v>
          </cell>
          <cell r="AF124">
            <v>2090606071.4047999</v>
          </cell>
          <cell r="AG124">
            <v>2169027633.3724999</v>
          </cell>
          <cell r="AH124">
            <v>2181810275.5399499</v>
          </cell>
          <cell r="AI124">
            <v>2681959313.1565399</v>
          </cell>
          <cell r="AJ124">
            <v>2724101610.7192202</v>
          </cell>
          <cell r="AK124">
            <v>2830692638.55831</v>
          </cell>
          <cell r="AL124">
            <v>2818306753.77878</v>
          </cell>
          <cell r="AM124">
            <v>2081864106.4481299</v>
          </cell>
          <cell r="AN124">
            <v>2706416623.0591998</v>
          </cell>
          <cell r="AO124">
            <v>2780435256.9641299</v>
          </cell>
          <cell r="AP124">
            <v>2697102921.5138698</v>
          </cell>
          <cell r="AQ124">
            <v>2920367497.0760198</v>
          </cell>
          <cell r="AR124">
            <v>3440743431.8488302</v>
          </cell>
          <cell r="AS124">
            <v>2961476518.2129202</v>
          </cell>
          <cell r="AT124">
            <v>3468327017.34025</v>
          </cell>
          <cell r="AU124">
            <v>3908139486.8172598</v>
          </cell>
          <cell r="AV124">
            <v>4714051055.3543701</v>
          </cell>
          <cell r="AW124">
            <v>5454228770.8120003</v>
          </cell>
          <cell r="AX124">
            <v>6247496491.2946196</v>
          </cell>
          <cell r="AY124">
            <v>6905876385.3530598</v>
          </cell>
          <cell r="AZ124">
            <v>8156532185.6131001</v>
          </cell>
          <cell r="BA124">
            <v>9838404004.9327393</v>
          </cell>
          <cell r="BB124">
            <v>10232036863.4247</v>
          </cell>
          <cell r="BC124">
            <v>10689167195.3375</v>
          </cell>
          <cell r="BD124">
            <v>12995113407.2335</v>
          </cell>
          <cell r="BE124">
            <v>12442036265.148399</v>
          </cell>
          <cell r="BF124">
            <v>13242691429.5942</v>
          </cell>
          <cell r="BG124">
            <v>14364937996.8661</v>
          </cell>
          <cell r="BH124">
            <v>13104764333.994101</v>
          </cell>
          <cell r="BI124">
            <v>14026048690.731199</v>
          </cell>
          <cell r="BJ124">
            <v>15365714371.3316</v>
          </cell>
          <cell r="BK124">
            <v>17070866299.0945</v>
          </cell>
          <cell r="BL124">
            <v>17280251193.952702</v>
          </cell>
          <cell r="BM124">
            <v>17465392915.915298</v>
          </cell>
          <cell r="BN124">
            <v>17465392915.915298</v>
          </cell>
        </row>
        <row r="125">
          <cell r="B125" t="str">
            <v>MLT</v>
          </cell>
          <cell r="C125" t="str">
            <v>GDP (current US$)</v>
          </cell>
          <cell r="D125" t="str">
            <v>NY.GDP.MKTP.CD</v>
          </cell>
          <cell r="E125" t="str">
            <v>..</v>
          </cell>
          <cell r="F125" t="str">
            <v>..</v>
          </cell>
          <cell r="G125" t="str">
            <v>..</v>
          </cell>
          <cell r="H125" t="str">
            <v>..</v>
          </cell>
          <cell r="I125" t="str">
            <v>..</v>
          </cell>
          <cell r="J125" t="str">
            <v>..</v>
          </cell>
          <cell r="K125" t="str">
            <v>..</v>
          </cell>
          <cell r="L125" t="str">
            <v>..</v>
          </cell>
          <cell r="M125" t="str">
            <v>..</v>
          </cell>
          <cell r="N125" t="str">
            <v>..</v>
          </cell>
          <cell r="O125">
            <v>250721821.55367801</v>
          </cell>
          <cell r="P125">
            <v>264579879.78487799</v>
          </cell>
          <cell r="Q125">
            <v>295118249.32493198</v>
          </cell>
          <cell r="R125">
            <v>345602025.37539297</v>
          </cell>
          <cell r="S125">
            <v>376094108.47533101</v>
          </cell>
          <cell r="T125">
            <v>474620439.58495998</v>
          </cell>
          <cell r="U125">
            <v>527936988.79127502</v>
          </cell>
          <cell r="V125">
            <v>625573345.53217399</v>
          </cell>
          <cell r="W125">
            <v>793675169.87857902</v>
          </cell>
          <cell r="X125">
            <v>1001300838.32335</v>
          </cell>
          <cell r="Y125">
            <v>1250242107.8796899</v>
          </cell>
          <cell r="Z125">
            <v>1243469360.5683801</v>
          </cell>
          <cell r="AA125">
            <v>1234518125</v>
          </cell>
          <cell r="AB125">
            <v>1165771369.0062499</v>
          </cell>
          <cell r="AC125">
            <v>1101828568.7680399</v>
          </cell>
          <cell r="AD125">
            <v>1117835285.50512</v>
          </cell>
          <cell r="AE125">
            <v>1435079200.34957</v>
          </cell>
          <cell r="AF125">
            <v>1751247763.4194801</v>
          </cell>
          <cell r="AG125">
            <v>2019474244.1935899</v>
          </cell>
          <cell r="AH125">
            <v>2118574772.1113601</v>
          </cell>
          <cell r="AI125">
            <v>2547163582.33149</v>
          </cell>
          <cell r="AJ125">
            <v>2750041434.2629499</v>
          </cell>
          <cell r="AK125">
            <v>3021910216.7182698</v>
          </cell>
          <cell r="AL125">
            <v>2709178326.7827101</v>
          </cell>
          <cell r="AM125">
            <v>2998570146.5409498</v>
          </cell>
          <cell r="AN125">
            <v>3720400535.0194502</v>
          </cell>
          <cell r="AO125">
            <v>3822882801.3339701</v>
          </cell>
          <cell r="AP125">
            <v>3793418418.4184198</v>
          </cell>
          <cell r="AQ125">
            <v>4010571223.3396001</v>
          </cell>
          <cell r="AR125">
            <v>4121350731.8123102</v>
          </cell>
          <cell r="AS125">
            <v>4069515579.0711398</v>
          </cell>
          <cell r="AT125">
            <v>4088368978.34589</v>
          </cell>
          <cell r="AU125">
            <v>4470446391.4463902</v>
          </cell>
          <cell r="AV125">
            <v>5448415500.1707096</v>
          </cell>
          <cell r="AW125">
            <v>6098092551.07125</v>
          </cell>
          <cell r="AX125">
            <v>6416184181.07201</v>
          </cell>
          <cell r="AY125">
            <v>6778324049.68009</v>
          </cell>
          <cell r="AZ125">
            <v>7925371475.4995899</v>
          </cell>
          <cell r="BA125">
            <v>9090406767.2476902</v>
          </cell>
          <cell r="BB125">
            <v>8696366907.4743004</v>
          </cell>
          <cell r="BC125">
            <v>9035932122.4976807</v>
          </cell>
          <cell r="BD125">
            <v>9638916481.0690403</v>
          </cell>
          <cell r="BE125">
            <v>9462238211.4865704</v>
          </cell>
          <cell r="BF125">
            <v>10551661176.7831</v>
          </cell>
          <cell r="BG125">
            <v>11626281387.0068</v>
          </cell>
          <cell r="BH125">
            <v>11091434483.5238</v>
          </cell>
          <cell r="BI125">
            <v>11721521912.7202</v>
          </cell>
          <cell r="BJ125">
            <v>13221298307.8894</v>
          </cell>
          <cell r="BK125">
            <v>14864712990.163099</v>
          </cell>
          <cell r="BL125">
            <v>15215714309.097401</v>
          </cell>
          <cell r="BM125">
            <v>14647384607.604</v>
          </cell>
          <cell r="BN125">
            <v>14647384607.604</v>
          </cell>
        </row>
        <row r="126">
          <cell r="B126" t="str">
            <v>MHL</v>
          </cell>
          <cell r="C126" t="str">
            <v>GDP (current US$)</v>
          </cell>
          <cell r="D126" t="str">
            <v>NY.GDP.MKTP.CD</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v>31020000</v>
          </cell>
          <cell r="AA126">
            <v>34918000</v>
          </cell>
          <cell r="AB126">
            <v>41749000</v>
          </cell>
          <cell r="AC126">
            <v>45144000</v>
          </cell>
          <cell r="AD126">
            <v>43879000</v>
          </cell>
          <cell r="AE126">
            <v>55989000</v>
          </cell>
          <cell r="AF126">
            <v>62983000</v>
          </cell>
          <cell r="AG126">
            <v>70688000</v>
          </cell>
          <cell r="AH126">
            <v>72798000</v>
          </cell>
          <cell r="AI126">
            <v>78476000</v>
          </cell>
          <cell r="AJ126">
            <v>82507000</v>
          </cell>
          <cell r="AK126">
            <v>91063000</v>
          </cell>
          <cell r="AL126">
            <v>99461000</v>
          </cell>
          <cell r="AM126">
            <v>108071000</v>
          </cell>
          <cell r="AN126">
            <v>120230000</v>
          </cell>
          <cell r="AO126">
            <v>110858000</v>
          </cell>
          <cell r="AP126">
            <v>110705600</v>
          </cell>
          <cell r="AQ126">
            <v>112279400</v>
          </cell>
          <cell r="AR126">
            <v>114326300</v>
          </cell>
          <cell r="AS126">
            <v>115347500</v>
          </cell>
          <cell r="AT126">
            <v>122824000</v>
          </cell>
          <cell r="AU126">
            <v>131738200</v>
          </cell>
          <cell r="AV126">
            <v>131398500</v>
          </cell>
          <cell r="AW126">
            <v>132440200</v>
          </cell>
          <cell r="AX126">
            <v>136559500</v>
          </cell>
          <cell r="AY126">
            <v>141515800</v>
          </cell>
          <cell r="AZ126">
            <v>148346700</v>
          </cell>
          <cell r="BA126">
            <v>151898900</v>
          </cell>
          <cell r="BB126">
            <v>149769600</v>
          </cell>
          <cell r="BC126">
            <v>160407100</v>
          </cell>
          <cell r="BD126">
            <v>172188500</v>
          </cell>
          <cell r="BE126">
            <v>180436300</v>
          </cell>
          <cell r="BF126">
            <v>184840400</v>
          </cell>
          <cell r="BG126">
            <v>182142800</v>
          </cell>
          <cell r="BH126">
            <v>183814300</v>
          </cell>
          <cell r="BI126">
            <v>201510900</v>
          </cell>
          <cell r="BJ126">
            <v>213204100</v>
          </cell>
          <cell r="BK126">
            <v>221588900</v>
          </cell>
          <cell r="BL126">
            <v>239462200</v>
          </cell>
          <cell r="BM126">
            <v>244462400</v>
          </cell>
          <cell r="BN126">
            <v>244462400</v>
          </cell>
        </row>
        <row r="127">
          <cell r="B127" t="str">
            <v>MRT</v>
          </cell>
          <cell r="C127" t="str">
            <v>GDP (current US$)</v>
          </cell>
          <cell r="D127" t="str">
            <v>NY.GDP.MKTP.CD</v>
          </cell>
          <cell r="E127" t="str">
            <v>..</v>
          </cell>
          <cell r="F127">
            <v>159213140.003286</v>
          </cell>
          <cell r="G127">
            <v>164271590.83556601</v>
          </cell>
          <cell r="H127">
            <v>168186331.27126199</v>
          </cell>
          <cell r="I127">
            <v>224495789.26547599</v>
          </cell>
          <cell r="J127">
            <v>255340526.74530199</v>
          </cell>
          <cell r="K127">
            <v>266533659.16221601</v>
          </cell>
          <cell r="L127">
            <v>282615367.46487999</v>
          </cell>
          <cell r="M127">
            <v>311396000.32108402</v>
          </cell>
          <cell r="N127">
            <v>295062138.06783801</v>
          </cell>
          <cell r="O127">
            <v>309405316.05895501</v>
          </cell>
          <cell r="P127">
            <v>335569088.71783298</v>
          </cell>
          <cell r="Q127">
            <v>391669449.25347</v>
          </cell>
          <cell r="R127">
            <v>493237544.352934</v>
          </cell>
          <cell r="S127">
            <v>613010958.14599001</v>
          </cell>
          <cell r="T127">
            <v>703378653.35002899</v>
          </cell>
          <cell r="U127">
            <v>775046377.59175205</v>
          </cell>
          <cell r="V127">
            <v>799029666.59134495</v>
          </cell>
          <cell r="W127">
            <v>804629876.77072299</v>
          </cell>
          <cell r="X127">
            <v>951900945.20028305</v>
          </cell>
          <cell r="Y127">
            <v>1047924649.11779</v>
          </cell>
          <cell r="Z127">
            <v>1105495368.38146</v>
          </cell>
          <cell r="AA127">
            <v>1108776010.2557499</v>
          </cell>
          <cell r="AB127">
            <v>1165170625.65959</v>
          </cell>
          <cell r="AC127">
            <v>1074373735.4529099</v>
          </cell>
          <cell r="AD127">
            <v>1009723326.31752</v>
          </cell>
          <cell r="AE127">
            <v>1186628778.5123601</v>
          </cell>
          <cell r="AF127">
            <v>1344665270.6886499</v>
          </cell>
          <cell r="AG127">
            <v>1414951854.0564401</v>
          </cell>
          <cell r="AH127">
            <v>1450647019.20509</v>
          </cell>
          <cell r="AI127">
            <v>1506914407.8233099</v>
          </cell>
          <cell r="AJ127">
            <v>2133688270.3243599</v>
          </cell>
          <cell r="AK127">
            <v>2164292208.1652799</v>
          </cell>
          <cell r="AL127">
            <v>1847350611.72458</v>
          </cell>
          <cell r="AM127">
            <v>1944876755.0070801</v>
          </cell>
          <cell r="AN127">
            <v>2091731420.68923</v>
          </cell>
          <cell r="AO127">
            <v>2132081881.91398</v>
          </cell>
          <cell r="AP127">
            <v>2072001066.8211999</v>
          </cell>
          <cell r="AQ127">
            <v>2032345831.83005</v>
          </cell>
          <cell r="AR127">
            <v>1985924386.91448</v>
          </cell>
          <cell r="AS127">
            <v>1779523344.3410599</v>
          </cell>
          <cell r="AT127">
            <v>1746064718.7916901</v>
          </cell>
          <cell r="AU127">
            <v>1777058592.9881201</v>
          </cell>
          <cell r="AV127">
            <v>2051147606.7368701</v>
          </cell>
          <cell r="AW127">
            <v>2362501023.2424898</v>
          </cell>
          <cell r="AX127">
            <v>2936019525.6024098</v>
          </cell>
          <cell r="AY127">
            <v>3919577285.9270301</v>
          </cell>
          <cell r="AZ127">
            <v>4346206808.5402603</v>
          </cell>
          <cell r="BA127">
            <v>5206444406.66154</v>
          </cell>
          <cell r="BB127">
            <v>4714592492.9297199</v>
          </cell>
          <cell r="BC127">
            <v>5628882266.3776703</v>
          </cell>
          <cell r="BD127">
            <v>6764635686.7934504</v>
          </cell>
          <cell r="BE127">
            <v>6728208836.2214298</v>
          </cell>
          <cell r="BF127">
            <v>7223063169.7274904</v>
          </cell>
          <cell r="BG127">
            <v>6592537781.8151798</v>
          </cell>
          <cell r="BH127">
            <v>6166857628.6221199</v>
          </cell>
          <cell r="BI127">
            <v>6398744505.0812902</v>
          </cell>
          <cell r="BJ127">
            <v>6799075418.9944096</v>
          </cell>
          <cell r="BK127">
            <v>7354430040.1196604</v>
          </cell>
          <cell r="BL127">
            <v>7889662452.1678495</v>
          </cell>
          <cell r="BM127">
            <v>7913680231.1828003</v>
          </cell>
          <cell r="BN127">
            <v>7913680231.1828003</v>
          </cell>
        </row>
        <row r="128">
          <cell r="B128" t="str">
            <v>MUS</v>
          </cell>
          <cell r="C128" t="str">
            <v>GDP (current US$)</v>
          </cell>
          <cell r="D128" t="str">
            <v>NY.GDP.MKTP.CD</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v>704033525.405972</v>
          </cell>
          <cell r="V128">
            <v>823634464.91002405</v>
          </cell>
          <cell r="W128">
            <v>1015365145.29554</v>
          </cell>
          <cell r="X128">
            <v>1211141231.11555</v>
          </cell>
          <cell r="Y128">
            <v>1131788191.50736</v>
          </cell>
          <cell r="Z128">
            <v>1142393554.5235801</v>
          </cell>
          <cell r="AA128">
            <v>1078408829.6159999</v>
          </cell>
          <cell r="AB128">
            <v>1090276947.2587199</v>
          </cell>
          <cell r="AC128">
            <v>1040557089.33864</v>
          </cell>
          <cell r="AD128">
            <v>1076121094.38239</v>
          </cell>
          <cell r="AE128">
            <v>1462900255.4505999</v>
          </cell>
          <cell r="AF128">
            <v>1880852914.2271399</v>
          </cell>
          <cell r="AG128">
            <v>2134517067.65295</v>
          </cell>
          <cell r="AH128">
            <v>2181930254.82301</v>
          </cell>
          <cell r="AI128">
            <v>2653480001.3455801</v>
          </cell>
          <cell r="AJ128">
            <v>2856890680.60285</v>
          </cell>
          <cell r="AK128">
            <v>3224267547.8050799</v>
          </cell>
          <cell r="AL128">
            <v>3263368410.0181298</v>
          </cell>
          <cell r="AM128">
            <v>3558137040.3777199</v>
          </cell>
          <cell r="AN128">
            <v>4040345933.2923002</v>
          </cell>
          <cell r="AO128">
            <v>4421943910.4974899</v>
          </cell>
          <cell r="AP128">
            <v>4187367601.7343102</v>
          </cell>
          <cell r="AQ128">
            <v>4169664285.3868098</v>
          </cell>
          <cell r="AR128">
            <v>4343710332.8065796</v>
          </cell>
          <cell r="AS128">
            <v>4663313620.0170698</v>
          </cell>
          <cell r="AT128">
            <v>4613630622.7750101</v>
          </cell>
          <cell r="AU128">
            <v>4841310239.6368704</v>
          </cell>
          <cell r="AV128">
            <v>5816553826.8551903</v>
          </cell>
          <cell r="AW128">
            <v>6578844486.0628796</v>
          </cell>
          <cell r="AX128">
            <v>6488750452.6006699</v>
          </cell>
          <cell r="AY128">
            <v>7028803365.7015104</v>
          </cell>
          <cell r="AZ128">
            <v>8150138757.1574097</v>
          </cell>
          <cell r="BA128">
            <v>9990370016.3077106</v>
          </cell>
          <cell r="BB128">
            <v>9128843109.15588</v>
          </cell>
          <cell r="BC128">
            <v>10003670690.349701</v>
          </cell>
          <cell r="BD128">
            <v>11518393367.240299</v>
          </cell>
          <cell r="BE128">
            <v>11668685524.126499</v>
          </cell>
          <cell r="BF128">
            <v>12129642296.442499</v>
          </cell>
          <cell r="BG128">
            <v>12803445933.589399</v>
          </cell>
          <cell r="BH128">
            <v>11692287066.381001</v>
          </cell>
          <cell r="BI128">
            <v>12232463655.572701</v>
          </cell>
          <cell r="BJ128">
            <v>13259351418.4459</v>
          </cell>
          <cell r="BK128">
            <v>14181951058.512899</v>
          </cell>
          <cell r="BL128">
            <v>14045808843.221001</v>
          </cell>
          <cell r="BM128">
            <v>10920606197.692801</v>
          </cell>
          <cell r="BN128">
            <v>10920606197.692801</v>
          </cell>
        </row>
        <row r="129">
          <cell r="B129" t="str">
            <v>MEX</v>
          </cell>
          <cell r="C129" t="str">
            <v>GDP (current US$)</v>
          </cell>
          <cell r="D129" t="str">
            <v>NY.GDP.MKTP.CD</v>
          </cell>
          <cell r="E129">
            <v>13040000000</v>
          </cell>
          <cell r="F129">
            <v>14160000000</v>
          </cell>
          <cell r="G129">
            <v>15200000000</v>
          </cell>
          <cell r="H129">
            <v>16960000000</v>
          </cell>
          <cell r="I129">
            <v>20080000000</v>
          </cell>
          <cell r="J129">
            <v>21840000000</v>
          </cell>
          <cell r="K129">
            <v>24320000000</v>
          </cell>
          <cell r="L129">
            <v>26560000000</v>
          </cell>
          <cell r="M129">
            <v>29360000000</v>
          </cell>
          <cell r="N129">
            <v>32480000000</v>
          </cell>
          <cell r="O129">
            <v>35520000000</v>
          </cell>
          <cell r="P129">
            <v>39200000000</v>
          </cell>
          <cell r="Q129">
            <v>45200000000</v>
          </cell>
          <cell r="R129">
            <v>55280000000</v>
          </cell>
          <cell r="S129">
            <v>72000000000</v>
          </cell>
          <cell r="T129">
            <v>88000000000</v>
          </cell>
          <cell r="U129">
            <v>89025974025.973999</v>
          </cell>
          <cell r="V129">
            <v>81814159292.0354</v>
          </cell>
          <cell r="W129">
            <v>102500000000</v>
          </cell>
          <cell r="X129">
            <v>134561403508.772</v>
          </cell>
          <cell r="Y129">
            <v>205139086956.522</v>
          </cell>
          <cell r="Z129">
            <v>263959336734.694</v>
          </cell>
          <cell r="AA129">
            <v>184609157801.418</v>
          </cell>
          <cell r="AB129">
            <v>156159198584.513</v>
          </cell>
          <cell r="AC129">
            <v>184261495828.367</v>
          </cell>
          <cell r="AD129">
            <v>195219789801.479</v>
          </cell>
          <cell r="AE129">
            <v>134550096436.744</v>
          </cell>
          <cell r="AF129">
            <v>147540738281.81699</v>
          </cell>
          <cell r="AG129">
            <v>181611549975.80399</v>
          </cell>
          <cell r="AH129">
            <v>221400669713.58899</v>
          </cell>
          <cell r="AI129">
            <v>261253582805.94501</v>
          </cell>
          <cell r="AJ129">
            <v>313142768453.48499</v>
          </cell>
          <cell r="AK129">
            <v>363157598242.27002</v>
          </cell>
          <cell r="AL129">
            <v>500736065605.341</v>
          </cell>
          <cell r="AM129">
            <v>527813238126.27802</v>
          </cell>
          <cell r="AN129">
            <v>360073909243.85498</v>
          </cell>
          <cell r="AO129">
            <v>410975595310.15601</v>
          </cell>
          <cell r="AP129">
            <v>500413483109.17499</v>
          </cell>
          <cell r="AQ129">
            <v>526502129378.284</v>
          </cell>
          <cell r="AR129">
            <v>600232874042.927</v>
          </cell>
          <cell r="AS129">
            <v>707906744574.64404</v>
          </cell>
          <cell r="AT129">
            <v>756706300589.79102</v>
          </cell>
          <cell r="AU129">
            <v>772106378935.37695</v>
          </cell>
          <cell r="AV129">
            <v>729336319677.44897</v>
          </cell>
          <cell r="AW129">
            <v>782240601984.76001</v>
          </cell>
          <cell r="AX129">
            <v>877476221382.10095</v>
          </cell>
          <cell r="AY129">
            <v>975387131716.08899</v>
          </cell>
          <cell r="AZ129">
            <v>1052696282278.87</v>
          </cell>
          <cell r="BA129">
            <v>1109989063586.6201</v>
          </cell>
          <cell r="BB129">
            <v>900045350649.35095</v>
          </cell>
          <cell r="BC129">
            <v>1057801295584.05</v>
          </cell>
          <cell r="BD129">
            <v>1180489601957.6101</v>
          </cell>
          <cell r="BE129">
            <v>1201089987015.45</v>
          </cell>
          <cell r="BF129">
            <v>1274443084716.5701</v>
          </cell>
          <cell r="BG129">
            <v>1315351183524.54</v>
          </cell>
          <cell r="BH129">
            <v>1171867608197.72</v>
          </cell>
          <cell r="BI129">
            <v>1078490651625.3101</v>
          </cell>
          <cell r="BJ129">
            <v>1158913035796.3701</v>
          </cell>
          <cell r="BK129">
            <v>1222408203104.3</v>
          </cell>
          <cell r="BL129">
            <v>1269433932805.9099</v>
          </cell>
          <cell r="BM129">
            <v>1073915880822.5</v>
          </cell>
          <cell r="BN129">
            <v>1073915880822.5</v>
          </cell>
        </row>
        <row r="130">
          <cell r="B130" t="str">
            <v>FSM</v>
          </cell>
          <cell r="C130" t="str">
            <v>GDP (current US$)</v>
          </cell>
          <cell r="D130" t="str">
            <v>NY.GDP.MKTP.CD</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v>106500000</v>
          </cell>
          <cell r="AC130" t="str">
            <v>..</v>
          </cell>
          <cell r="AD130" t="str">
            <v>..</v>
          </cell>
          <cell r="AE130">
            <v>112210000</v>
          </cell>
          <cell r="AF130">
            <v>116700000</v>
          </cell>
          <cell r="AG130">
            <v>124700000</v>
          </cell>
          <cell r="AH130">
            <v>135200000</v>
          </cell>
          <cell r="AI130">
            <v>147200000</v>
          </cell>
          <cell r="AJ130">
            <v>166200000</v>
          </cell>
          <cell r="AK130">
            <v>178100000</v>
          </cell>
          <cell r="AL130">
            <v>198400000</v>
          </cell>
          <cell r="AM130">
            <v>202500000</v>
          </cell>
          <cell r="AN130">
            <v>221575300</v>
          </cell>
          <cell r="AO130">
            <v>218534700</v>
          </cell>
          <cell r="AP130">
            <v>206626300</v>
          </cell>
          <cell r="AQ130">
            <v>218873100</v>
          </cell>
          <cell r="AR130">
            <v>220140500</v>
          </cell>
          <cell r="AS130">
            <v>233271800</v>
          </cell>
          <cell r="AT130">
            <v>240970900</v>
          </cell>
          <cell r="AU130">
            <v>242517200</v>
          </cell>
          <cell r="AV130">
            <v>245432900</v>
          </cell>
          <cell r="AW130">
            <v>240236000</v>
          </cell>
          <cell r="AX130">
            <v>250281900</v>
          </cell>
          <cell r="AY130">
            <v>253541900</v>
          </cell>
          <cell r="AZ130">
            <v>256787200</v>
          </cell>
          <cell r="BA130">
            <v>263145100</v>
          </cell>
          <cell r="BB130">
            <v>280284600</v>
          </cell>
          <cell r="BC130">
            <v>296944100</v>
          </cell>
          <cell r="BD130">
            <v>311301600</v>
          </cell>
          <cell r="BE130">
            <v>327248700</v>
          </cell>
          <cell r="BF130">
            <v>317214400</v>
          </cell>
          <cell r="BG130">
            <v>319271200</v>
          </cell>
          <cell r="BH130">
            <v>316489900</v>
          </cell>
          <cell r="BI130">
            <v>332265200</v>
          </cell>
          <cell r="BJ130">
            <v>366666800</v>
          </cell>
          <cell r="BK130">
            <v>401932300</v>
          </cell>
          <cell r="BL130">
            <v>408057100</v>
          </cell>
          <cell r="BM130">
            <v>410083600</v>
          </cell>
          <cell r="BN130">
            <v>410083600</v>
          </cell>
        </row>
        <row r="131">
          <cell r="B131" t="str">
            <v>MDA</v>
          </cell>
          <cell r="C131" t="str">
            <v>GDP (current US$)</v>
          </cell>
          <cell r="D131" t="str">
            <v>NY.GDP.MKTP.CD</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v>1752979926.4148901</v>
          </cell>
          <cell r="AO131">
            <v>1695122173.9130399</v>
          </cell>
          <cell r="AP131">
            <v>1930081168.8311701</v>
          </cell>
          <cell r="AQ131">
            <v>1698717504.6554899</v>
          </cell>
          <cell r="AR131">
            <v>1170782957.3744299</v>
          </cell>
          <cell r="AS131">
            <v>1288429391.79951</v>
          </cell>
          <cell r="AT131">
            <v>1480673594.05602</v>
          </cell>
          <cell r="AU131">
            <v>1661818168.4226</v>
          </cell>
          <cell r="AV131">
            <v>1980907434.76826</v>
          </cell>
          <cell r="AW131">
            <v>2598249555.8998399</v>
          </cell>
          <cell r="AX131">
            <v>2988348836.4710002</v>
          </cell>
          <cell r="AY131">
            <v>3408244549.1999898</v>
          </cell>
          <cell r="AZ131">
            <v>4401189466.1405802</v>
          </cell>
          <cell r="BA131">
            <v>6054849884.5265598</v>
          </cell>
          <cell r="BB131">
            <v>5439422031.3962698</v>
          </cell>
          <cell r="BC131">
            <v>6974960345.3711996</v>
          </cell>
          <cell r="BD131">
            <v>8414360656.29632</v>
          </cell>
          <cell r="BE131">
            <v>8709165249.2692795</v>
          </cell>
          <cell r="BF131">
            <v>9496684701.4332504</v>
          </cell>
          <cell r="BG131">
            <v>9510219299.4955692</v>
          </cell>
          <cell r="BH131">
            <v>7745231660.3342505</v>
          </cell>
          <cell r="BI131">
            <v>8071480540.8606796</v>
          </cell>
          <cell r="BJ131">
            <v>9669759987.0263309</v>
          </cell>
          <cell r="BK131">
            <v>11456728401.3069</v>
          </cell>
          <cell r="BL131">
            <v>11970233939.8808</v>
          </cell>
          <cell r="BM131">
            <v>11915547262.656099</v>
          </cell>
          <cell r="BN131">
            <v>11915547262.656099</v>
          </cell>
        </row>
        <row r="132">
          <cell r="B132" t="str">
            <v>MCO</v>
          </cell>
          <cell r="C132" t="str">
            <v>GDP (current US$)</v>
          </cell>
          <cell r="D132" t="str">
            <v>NY.GDP.MKTP.CD</v>
          </cell>
          <cell r="E132" t="str">
            <v>..</v>
          </cell>
          <cell r="F132" t="str">
            <v>..</v>
          </cell>
          <cell r="G132" t="str">
            <v>..</v>
          </cell>
          <cell r="H132" t="str">
            <v>..</v>
          </cell>
          <cell r="I132" t="str">
            <v>..</v>
          </cell>
          <cell r="J132" t="str">
            <v>..</v>
          </cell>
          <cell r="K132" t="str">
            <v>..</v>
          </cell>
          <cell r="L132" t="str">
            <v>..</v>
          </cell>
          <cell r="M132" t="str">
            <v>..</v>
          </cell>
          <cell r="N132" t="str">
            <v>..</v>
          </cell>
          <cell r="O132">
            <v>293073868.03849697</v>
          </cell>
          <cell r="P132">
            <v>327651487.97496498</v>
          </cell>
          <cell r="Q132">
            <v>402460333.247989</v>
          </cell>
          <cell r="R132">
            <v>523552815.09955198</v>
          </cell>
          <cell r="S132">
            <v>563939670.68424201</v>
          </cell>
          <cell r="T132">
            <v>711922994.25844002</v>
          </cell>
          <cell r="U132">
            <v>735339911.91764998</v>
          </cell>
          <cell r="V132">
            <v>811250927.38812304</v>
          </cell>
          <cell r="W132">
            <v>1000535735.37664</v>
          </cell>
          <cell r="X132">
            <v>1209898293.3944399</v>
          </cell>
          <cell r="Y132">
            <v>1378130995.60185</v>
          </cell>
          <cell r="Z132">
            <v>1205166025.4760201</v>
          </cell>
          <cell r="AA132">
            <v>1143229071.83219</v>
          </cell>
          <cell r="AB132">
            <v>1092551781.0367301</v>
          </cell>
          <cell r="AC132">
            <v>1037314956.23209</v>
          </cell>
          <cell r="AD132">
            <v>1082851076.49699</v>
          </cell>
          <cell r="AE132">
            <v>1515209588.2084501</v>
          </cell>
          <cell r="AF132">
            <v>1839095595.29143</v>
          </cell>
          <cell r="AG132">
            <v>2000674667.1352999</v>
          </cell>
          <cell r="AH132">
            <v>2010116851.2416699</v>
          </cell>
          <cell r="AI132">
            <v>2481316053.9650698</v>
          </cell>
          <cell r="AJ132">
            <v>2480598883.8507099</v>
          </cell>
          <cell r="AK132">
            <v>2737192565.0557599</v>
          </cell>
          <cell r="AL132">
            <v>2574302409.08038</v>
          </cell>
          <cell r="AM132">
            <v>2720310018.9035902</v>
          </cell>
          <cell r="AN132">
            <v>3130462610.06703</v>
          </cell>
          <cell r="AO132">
            <v>3137673291.4476199</v>
          </cell>
          <cell r="AP132">
            <v>2840175545.0663099</v>
          </cell>
          <cell r="AQ132">
            <v>2934498443.4067202</v>
          </cell>
          <cell r="AR132">
            <v>2906093756.6588502</v>
          </cell>
          <cell r="AS132">
            <v>2647885848.5351</v>
          </cell>
          <cell r="AT132">
            <v>2718868306.0109301</v>
          </cell>
          <cell r="AU132">
            <v>2968987019.2307701</v>
          </cell>
          <cell r="AV132">
            <v>3601321064.55266</v>
          </cell>
          <cell r="AW132">
            <v>4137913500</v>
          </cell>
          <cell r="AX132">
            <v>4203084193.5082698</v>
          </cell>
          <cell r="AY132">
            <v>4582988332.7060604</v>
          </cell>
          <cell r="AZ132">
            <v>5867916780.7281704</v>
          </cell>
          <cell r="BA132">
            <v>6476490405.74191</v>
          </cell>
          <cell r="BB132">
            <v>5451653237.0102797</v>
          </cell>
          <cell r="BC132">
            <v>5367625613.1512699</v>
          </cell>
          <cell r="BD132">
            <v>6088808463.2516699</v>
          </cell>
          <cell r="BE132">
            <v>5743029680.07195</v>
          </cell>
          <cell r="BF132">
            <v>6555983530.3493204</v>
          </cell>
          <cell r="BG132">
            <v>7069616048.8906603</v>
          </cell>
          <cell r="BH132">
            <v>6261622101.4090796</v>
          </cell>
          <cell r="BI132">
            <v>6472990923.1791</v>
          </cell>
          <cell r="BJ132">
            <v>6431314957.0718498</v>
          </cell>
          <cell r="BK132">
            <v>7194024563.0609398</v>
          </cell>
          <cell r="BL132">
            <v>7383745662.1515703</v>
          </cell>
          <cell r="BM132">
            <v>6816219303.2552795</v>
          </cell>
          <cell r="BN132">
            <v>6816219303.2552795</v>
          </cell>
        </row>
        <row r="133">
          <cell r="B133" t="str">
            <v>MNG</v>
          </cell>
          <cell r="C133" t="str">
            <v>GDP (current US$)</v>
          </cell>
          <cell r="D133" t="str">
            <v>NY.GDP.MKTP.CD</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v>2310099100</v>
          </cell>
          <cell r="AA133">
            <v>2552401933.3333302</v>
          </cell>
          <cell r="AB133">
            <v>2725736633.3333302</v>
          </cell>
          <cell r="AC133">
            <v>2098734600</v>
          </cell>
          <cell r="AD133">
            <v>2186505475</v>
          </cell>
          <cell r="AE133">
            <v>2896178866.6666698</v>
          </cell>
          <cell r="AF133">
            <v>3020611600</v>
          </cell>
          <cell r="AG133">
            <v>3204461566.6666698</v>
          </cell>
          <cell r="AH133">
            <v>3576966800</v>
          </cell>
          <cell r="AI133">
            <v>2560785660</v>
          </cell>
          <cell r="AJ133">
            <v>2379018326.3157902</v>
          </cell>
          <cell r="AK133">
            <v>1317611863.8497701</v>
          </cell>
          <cell r="AL133">
            <v>768401634.15457296</v>
          </cell>
          <cell r="AM133">
            <v>925817092.217484</v>
          </cell>
          <cell r="AN133">
            <v>1452165005.2384</v>
          </cell>
          <cell r="AO133">
            <v>1345719472.35883</v>
          </cell>
          <cell r="AP133">
            <v>1180934202.8380101</v>
          </cell>
          <cell r="AQ133">
            <v>1124440248.9783001</v>
          </cell>
          <cell r="AR133">
            <v>1057408588.68269</v>
          </cell>
          <cell r="AS133">
            <v>1136896123.6129799</v>
          </cell>
          <cell r="AT133">
            <v>1267997934.3125</v>
          </cell>
          <cell r="AU133">
            <v>1396555719.9740901</v>
          </cell>
          <cell r="AV133">
            <v>1595297355.7834899</v>
          </cell>
          <cell r="AW133">
            <v>1992066808.0959799</v>
          </cell>
          <cell r="AX133">
            <v>2523471532.0108299</v>
          </cell>
          <cell r="AY133">
            <v>3414055566.1138</v>
          </cell>
          <cell r="AZ133">
            <v>4234999823.3083901</v>
          </cell>
          <cell r="BA133">
            <v>5623216448.8685198</v>
          </cell>
          <cell r="BB133">
            <v>4583850367.88972</v>
          </cell>
          <cell r="BC133">
            <v>7189481824.0728798</v>
          </cell>
          <cell r="BD133">
            <v>10409797649.306299</v>
          </cell>
          <cell r="BE133">
            <v>12292770631.196699</v>
          </cell>
          <cell r="BF133">
            <v>12582122604.192101</v>
          </cell>
          <cell r="BG133">
            <v>12226514722.0861</v>
          </cell>
          <cell r="BH133">
            <v>11619892396.0767</v>
          </cell>
          <cell r="BI133">
            <v>11181350461.4723</v>
          </cell>
          <cell r="BJ133">
            <v>11480847745.318701</v>
          </cell>
          <cell r="BK133">
            <v>13178094459.4548</v>
          </cell>
          <cell r="BL133">
            <v>14206359006.8095</v>
          </cell>
          <cell r="BM133">
            <v>13312981594.573</v>
          </cell>
          <cell r="BN133">
            <v>13312981594.573</v>
          </cell>
        </row>
        <row r="134">
          <cell r="B134" t="str">
            <v>MNE</v>
          </cell>
          <cell r="C134" t="str">
            <v>GDP (current US$)</v>
          </cell>
          <cell r="D134" t="str">
            <v>NY.GDP.MKTP.CD</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v>984297589.35993397</v>
          </cell>
          <cell r="AT134">
            <v>1159869245.9251299</v>
          </cell>
          <cell r="AU134">
            <v>1284685050.5241301</v>
          </cell>
          <cell r="AV134">
            <v>1707710053.14938</v>
          </cell>
          <cell r="AW134">
            <v>2073234417.68066</v>
          </cell>
          <cell r="AX134">
            <v>2257174480.7859702</v>
          </cell>
          <cell r="AY134">
            <v>2721903148.9148202</v>
          </cell>
          <cell r="AZ134">
            <v>3680711743.7722402</v>
          </cell>
          <cell r="BA134">
            <v>4545674527.61096</v>
          </cell>
          <cell r="BB134">
            <v>4159330369.5471001</v>
          </cell>
          <cell r="BC134">
            <v>4143033275.8849301</v>
          </cell>
          <cell r="BD134">
            <v>4544516982.1826296</v>
          </cell>
          <cell r="BE134">
            <v>4087725812.6686401</v>
          </cell>
          <cell r="BF134">
            <v>4464260488.5820503</v>
          </cell>
          <cell r="BG134">
            <v>4587928884.1714201</v>
          </cell>
          <cell r="BH134">
            <v>4052913385.8267698</v>
          </cell>
          <cell r="BI134">
            <v>4374128318.5840702</v>
          </cell>
          <cell r="BJ134">
            <v>4844592066.7117395</v>
          </cell>
          <cell r="BK134">
            <v>5504166666.6666698</v>
          </cell>
          <cell r="BL134">
            <v>5542674317.0622501</v>
          </cell>
          <cell r="BM134">
            <v>4769860740.7407398</v>
          </cell>
          <cell r="BN134">
            <v>4769860740.7407398</v>
          </cell>
        </row>
        <row r="135">
          <cell r="B135" t="str">
            <v>MAR</v>
          </cell>
          <cell r="C135" t="str">
            <v>GDP (current US$)</v>
          </cell>
          <cell r="D135" t="str">
            <v>NY.GDP.MKTP.CD</v>
          </cell>
          <cell r="E135">
            <v>2037150716.3323801</v>
          </cell>
          <cell r="F135">
            <v>2025689536.6070499</v>
          </cell>
          <cell r="G135">
            <v>2379606422.2902899</v>
          </cell>
          <cell r="H135">
            <v>2657247327.3392</v>
          </cell>
          <cell r="I135">
            <v>2798339768.7975502</v>
          </cell>
          <cell r="J135">
            <v>2948325264.30195</v>
          </cell>
          <cell r="K135">
            <v>2876395613.0817099</v>
          </cell>
          <cell r="L135">
            <v>3046339294.5361099</v>
          </cell>
          <cell r="M135">
            <v>3271415867.9972301</v>
          </cell>
          <cell r="N135">
            <v>3651615453.0184798</v>
          </cell>
          <cell r="O135">
            <v>3956328426.0448599</v>
          </cell>
          <cell r="P135">
            <v>4356633663.3663397</v>
          </cell>
          <cell r="Q135">
            <v>5074117544.7748203</v>
          </cell>
          <cell r="R135">
            <v>6242177798.3393803</v>
          </cell>
          <cell r="S135">
            <v>7675408485.5142097</v>
          </cell>
          <cell r="T135">
            <v>8984824182.6033306</v>
          </cell>
          <cell r="U135">
            <v>9584323309.1213608</v>
          </cell>
          <cell r="V135">
            <v>11049896742.388901</v>
          </cell>
          <cell r="W135">
            <v>13236854105.1672</v>
          </cell>
          <cell r="X135">
            <v>15912133569.2852</v>
          </cell>
          <cell r="Y135">
            <v>21728770055.377701</v>
          </cell>
          <cell r="Z135">
            <v>17788171722.444599</v>
          </cell>
          <cell r="AA135">
            <v>17692341358.127201</v>
          </cell>
          <cell r="AB135">
            <v>16251460689.325399</v>
          </cell>
          <cell r="AC135">
            <v>14824728528.4604</v>
          </cell>
          <cell r="AD135">
            <v>14991283215.740801</v>
          </cell>
          <cell r="AE135">
            <v>19462175321.822399</v>
          </cell>
          <cell r="AF135">
            <v>21765261041.726501</v>
          </cell>
          <cell r="AG135">
            <v>25705296183.5037</v>
          </cell>
          <cell r="AH135">
            <v>26314220188.0257</v>
          </cell>
          <cell r="AI135">
            <v>30180108561.9305</v>
          </cell>
          <cell r="AJ135">
            <v>32285388165.2999</v>
          </cell>
          <cell r="AK135">
            <v>33711069430.779999</v>
          </cell>
          <cell r="AL135">
            <v>31655473663.834801</v>
          </cell>
          <cell r="AM135">
            <v>35604137422.579597</v>
          </cell>
          <cell r="AN135">
            <v>39030285468.384102</v>
          </cell>
          <cell r="AO135">
            <v>43161452678.438301</v>
          </cell>
          <cell r="AP135">
            <v>39147844526.083801</v>
          </cell>
          <cell r="AQ135">
            <v>41806219378.618103</v>
          </cell>
          <cell r="AR135">
            <v>41632027599.853104</v>
          </cell>
          <cell r="AS135">
            <v>38857251336.344803</v>
          </cell>
          <cell r="AT135">
            <v>39459581217.3759</v>
          </cell>
          <cell r="AU135">
            <v>42236836820.615196</v>
          </cell>
          <cell r="AV135">
            <v>52064058833.9739</v>
          </cell>
          <cell r="AW135">
            <v>59626020162.381599</v>
          </cell>
          <cell r="AX135">
            <v>62343022650.874199</v>
          </cell>
          <cell r="AY135">
            <v>68640825480.922302</v>
          </cell>
          <cell r="AZ135">
            <v>79041294874.455307</v>
          </cell>
          <cell r="BA135">
            <v>92507257783.569702</v>
          </cell>
          <cell r="BB135">
            <v>92897320375.817596</v>
          </cell>
          <cell r="BC135">
            <v>93216746661.597702</v>
          </cell>
          <cell r="BD135">
            <v>101370474295.10899</v>
          </cell>
          <cell r="BE135">
            <v>98266306615.363205</v>
          </cell>
          <cell r="BF135">
            <v>106825649872.108</v>
          </cell>
          <cell r="BG135">
            <v>110081248587.369</v>
          </cell>
          <cell r="BH135">
            <v>101179808076.36</v>
          </cell>
          <cell r="BI135">
            <v>103311649248.024</v>
          </cell>
          <cell r="BJ135">
            <v>109682728023.112</v>
          </cell>
          <cell r="BK135">
            <v>118096227400.092</v>
          </cell>
          <cell r="BL135">
            <v>119870439113.662</v>
          </cell>
          <cell r="BM135">
            <v>114725065285.149</v>
          </cell>
          <cell r="BN135">
            <v>114725065285.149</v>
          </cell>
        </row>
        <row r="136">
          <cell r="B136" t="str">
            <v>MOZ</v>
          </cell>
          <cell r="C136" t="str">
            <v>GDP (current US$)</v>
          </cell>
          <cell r="D136" t="str">
            <v>NY.GDP.MKTP.CD</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v>3633406064.8309498</v>
          </cell>
          <cell r="AK136">
            <v>2639953230.54915</v>
          </cell>
          <cell r="AL136">
            <v>2729550591.0897698</v>
          </cell>
          <cell r="AM136">
            <v>2796549978.4718299</v>
          </cell>
          <cell r="AN136">
            <v>2899922841.66085</v>
          </cell>
          <cell r="AO136">
            <v>3856799844.1609001</v>
          </cell>
          <cell r="AP136">
            <v>4648832184.0673599</v>
          </cell>
          <cell r="AQ136">
            <v>5263877520.0848904</v>
          </cell>
          <cell r="AR136">
            <v>5976408043.7726498</v>
          </cell>
          <cell r="AS136">
            <v>5656473652.4114704</v>
          </cell>
          <cell r="AT136">
            <v>5398568543.6349201</v>
          </cell>
          <cell r="AU136">
            <v>5677003239.2938604</v>
          </cell>
          <cell r="AV136">
            <v>6303391143.8338604</v>
          </cell>
          <cell r="AW136">
            <v>7631120533.36168</v>
          </cell>
          <cell r="AX136">
            <v>8542070109.7090302</v>
          </cell>
          <cell r="AY136">
            <v>9176889070.4229794</v>
          </cell>
          <cell r="AZ136">
            <v>10450843291.2931</v>
          </cell>
          <cell r="BA136">
            <v>12556195188.596201</v>
          </cell>
          <cell r="BB136">
            <v>11914471497.1492</v>
          </cell>
          <cell r="BC136">
            <v>11104648673.0016</v>
          </cell>
          <cell r="BD136">
            <v>14381552432.9494</v>
          </cell>
          <cell r="BE136">
            <v>16350804543.0515</v>
          </cell>
          <cell r="BF136">
            <v>16974320551.021299</v>
          </cell>
          <cell r="BG136">
            <v>17716084107.588799</v>
          </cell>
          <cell r="BH136">
            <v>15950969018.945801</v>
          </cell>
          <cell r="BI136">
            <v>11936999283.1791</v>
          </cell>
          <cell r="BJ136">
            <v>13219084261.3664</v>
          </cell>
          <cell r="BK136">
            <v>14845870050.7092</v>
          </cell>
          <cell r="BL136">
            <v>15384701797.9863</v>
          </cell>
          <cell r="BM136">
            <v>14019446610.196301</v>
          </cell>
          <cell r="BN136">
            <v>14019446610.196301</v>
          </cell>
        </row>
        <row r="137">
          <cell r="B137" t="str">
            <v>MMR</v>
          </cell>
          <cell r="C137" t="str">
            <v>GDP (current US$)</v>
          </cell>
          <cell r="D137" t="str">
            <v>NY.GDP.MKTP.CD</v>
          </cell>
          <cell r="E137" t="str">
            <v>..</v>
          </cell>
          <cell r="F137">
            <v>584351384.44567204</v>
          </cell>
          <cell r="G137">
            <v>612517344.73663402</v>
          </cell>
          <cell r="H137">
            <v>659976659.59952903</v>
          </cell>
          <cell r="I137">
            <v>475197381.87882102</v>
          </cell>
          <cell r="J137">
            <v>402619413.65649003</v>
          </cell>
          <cell r="K137">
            <v>317816209.97375298</v>
          </cell>
          <cell r="L137">
            <v>328182434.54039001</v>
          </cell>
          <cell r="M137">
            <v>531186357.39525598</v>
          </cell>
          <cell r="N137">
            <v>551379225.92344999</v>
          </cell>
          <cell r="O137">
            <v>578992638.82910001</v>
          </cell>
          <cell r="P137">
            <v>559378375.67567599</v>
          </cell>
          <cell r="Q137">
            <v>634525053.10396397</v>
          </cell>
          <cell r="R137">
            <v>667038769.07878602</v>
          </cell>
          <cell r="S137">
            <v>1000557949.57082</v>
          </cell>
          <cell r="T137">
            <v>1128484859.0250299</v>
          </cell>
          <cell r="U137">
            <v>1155595925.08513</v>
          </cell>
          <cell r="V137">
            <v>1000350726.87418</v>
          </cell>
          <cell r="W137">
            <v>916914661.35854602</v>
          </cell>
          <cell r="X137">
            <v>919525191.64478898</v>
          </cell>
          <cell r="Y137">
            <v>1010596805.46697</v>
          </cell>
          <cell r="Z137">
            <v>1064867669.3890899</v>
          </cell>
          <cell r="AA137">
            <v>1302701536.6739299</v>
          </cell>
          <cell r="AB137">
            <v>1427209835.8153801</v>
          </cell>
          <cell r="AC137">
            <v>1354699245.06058</v>
          </cell>
          <cell r="AD137">
            <v>1310837294.2583699</v>
          </cell>
          <cell r="AE137">
            <v>1590096758.9861701</v>
          </cell>
          <cell r="AF137">
            <v>1448003803.8734</v>
          </cell>
          <cell r="AG137">
            <v>1392547742.83427</v>
          </cell>
          <cell r="AH137">
            <v>1674823310.87183</v>
          </cell>
          <cell r="AI137">
            <v>2036373522.6993899</v>
          </cell>
          <cell r="AJ137">
            <v>2137184858.0441599</v>
          </cell>
          <cell r="AK137">
            <v>2216073327.6883998</v>
          </cell>
          <cell r="AL137">
            <v>2809748387.0967698</v>
          </cell>
          <cell r="AM137">
            <v>3821535779.8165102</v>
          </cell>
          <cell r="AN137">
            <v>4879259320.7546997</v>
          </cell>
          <cell r="AO137">
            <v>5759624742.2680397</v>
          </cell>
          <cell r="AP137">
            <v>5633071709.2337799</v>
          </cell>
          <cell r="AQ137">
            <v>4613070974.8299303</v>
          </cell>
          <cell r="AR137">
            <v>5643818689.4790001</v>
          </cell>
          <cell r="AS137">
            <v>6849321645.9562302</v>
          </cell>
          <cell r="AT137">
            <v>6220271055.1132898</v>
          </cell>
          <cell r="AU137">
            <v>6110633153.6877804</v>
          </cell>
          <cell r="AV137">
            <v>7754647428.0732298</v>
          </cell>
          <cell r="AW137">
            <v>9390855297.7355309</v>
          </cell>
          <cell r="AX137">
            <v>10588433068.8549</v>
          </cell>
          <cell r="AY137">
            <v>11863016315.2934</v>
          </cell>
          <cell r="AZ137">
            <v>15591182544.7092</v>
          </cell>
          <cell r="BA137">
            <v>23013015832.102299</v>
          </cell>
          <cell r="BB137">
            <v>29455165594.685902</v>
          </cell>
          <cell r="BC137">
            <v>37796052938.727798</v>
          </cell>
          <cell r="BD137">
            <v>54118601974.794701</v>
          </cell>
          <cell r="BE137">
            <v>58318677644.949203</v>
          </cell>
          <cell r="BF137">
            <v>60572254371.473099</v>
          </cell>
          <cell r="BG137">
            <v>63264891867.054001</v>
          </cell>
          <cell r="BH137">
            <v>63045306513.932297</v>
          </cell>
          <cell r="BI137">
            <v>60291738934.778297</v>
          </cell>
          <cell r="BJ137">
            <v>61449391917.129898</v>
          </cell>
          <cell r="BK137">
            <v>67144726167.930298</v>
          </cell>
          <cell r="BL137">
            <v>68697761477.181801</v>
          </cell>
          <cell r="BM137">
            <v>79852046610.967606</v>
          </cell>
          <cell r="BN137">
            <v>79852046610.967606</v>
          </cell>
        </row>
        <row r="138">
          <cell r="B138" t="str">
            <v>NAM</v>
          </cell>
          <cell r="C138" t="str">
            <v>GDP (current US$)</v>
          </cell>
          <cell r="D138" t="str">
            <v>NY.GDP.MKTP.CD</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v>2422096074.5845799</v>
          </cell>
          <cell r="Z138">
            <v>2249854740.0018501</v>
          </cell>
          <cell r="AA138">
            <v>2118741468.84323</v>
          </cell>
          <cell r="AB138">
            <v>2297400687.5745702</v>
          </cell>
          <cell r="AC138">
            <v>1951229617.5838599</v>
          </cell>
          <cell r="AD138">
            <v>1608219310.3152201</v>
          </cell>
          <cell r="AE138">
            <v>1809073861.7512901</v>
          </cell>
          <cell r="AF138">
            <v>2300105497.12572</v>
          </cell>
          <cell r="AG138">
            <v>2495059627.4407401</v>
          </cell>
          <cell r="AH138">
            <v>2535113565.4883199</v>
          </cell>
          <cell r="AI138">
            <v>2789944497.9582701</v>
          </cell>
          <cell r="AJ138">
            <v>2996885561.1487298</v>
          </cell>
          <cell r="AK138">
            <v>3429538534.3618498</v>
          </cell>
          <cell r="AL138">
            <v>3251230620.9260302</v>
          </cell>
          <cell r="AM138">
            <v>3666501464.4587102</v>
          </cell>
          <cell r="AN138">
            <v>3978497753.0258298</v>
          </cell>
          <cell r="AO138">
            <v>3989208661.8751898</v>
          </cell>
          <cell r="AP138">
            <v>4154955685.7638898</v>
          </cell>
          <cell r="AQ138">
            <v>3873098656.0063701</v>
          </cell>
          <cell r="AR138">
            <v>3868541599.14887</v>
          </cell>
          <cell r="AS138">
            <v>3922247989.8556199</v>
          </cell>
          <cell r="AT138">
            <v>3557333364.30795</v>
          </cell>
          <cell r="AU138">
            <v>3349184760.0254302</v>
          </cell>
          <cell r="AV138">
            <v>4926471294.3011599</v>
          </cell>
          <cell r="AW138">
            <v>6609198832.7631302</v>
          </cell>
          <cell r="AX138">
            <v>7248394160.3550196</v>
          </cell>
          <cell r="AY138">
            <v>8001779551.0632296</v>
          </cell>
          <cell r="AZ138">
            <v>8839526451.5763206</v>
          </cell>
          <cell r="BA138">
            <v>8607475308.11833</v>
          </cell>
          <cell r="BB138">
            <v>8938868165.3916492</v>
          </cell>
          <cell r="BC138">
            <v>11431334447.4305</v>
          </cell>
          <cell r="BD138">
            <v>12523402328.767099</v>
          </cell>
          <cell r="BE138">
            <v>13042007432.4489</v>
          </cell>
          <cell r="BF138">
            <v>12043276397.165199</v>
          </cell>
          <cell r="BG138">
            <v>12435416060.2791</v>
          </cell>
          <cell r="BH138">
            <v>11335179562.021099</v>
          </cell>
          <cell r="BI138">
            <v>10721994676.6562</v>
          </cell>
          <cell r="BJ138">
            <v>12895153160.466</v>
          </cell>
          <cell r="BK138">
            <v>13682062249.2236</v>
          </cell>
          <cell r="BL138">
            <v>12496781719.7752</v>
          </cell>
          <cell r="BM138">
            <v>10619194505.3543</v>
          </cell>
          <cell r="BN138">
            <v>10619194505.3543</v>
          </cell>
        </row>
        <row r="139">
          <cell r="B139" t="str">
            <v>NRU</v>
          </cell>
          <cell r="C139" t="str">
            <v>GDP (current US$)</v>
          </cell>
          <cell r="D139" t="str">
            <v>NY.GDP.MKTP.CD</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v>47564520.391086102</v>
          </cell>
          <cell r="BD139">
            <v>66055407.670314498</v>
          </cell>
          <cell r="BE139">
            <v>96927201.484842196</v>
          </cell>
          <cell r="BF139">
            <v>98491843.644198194</v>
          </cell>
          <cell r="BG139">
            <v>104654365.18865301</v>
          </cell>
          <cell r="BH139">
            <v>86529661.369498298</v>
          </cell>
          <cell r="BI139">
            <v>99723394.962876707</v>
          </cell>
          <cell r="BJ139">
            <v>109359680.21721099</v>
          </cell>
          <cell r="BK139">
            <v>124021393.690412</v>
          </cell>
          <cell r="BL139">
            <v>118724073.809183</v>
          </cell>
          <cell r="BM139">
            <v>114626625.553023</v>
          </cell>
          <cell r="BN139">
            <v>114626625.553023</v>
          </cell>
        </row>
        <row r="140">
          <cell r="B140" t="str">
            <v>NPL</v>
          </cell>
          <cell r="C140" t="str">
            <v>GDP (current US$)</v>
          </cell>
          <cell r="D140" t="str">
            <v>NY.GDP.MKTP.CD</v>
          </cell>
          <cell r="E140">
            <v>508334413.965087</v>
          </cell>
          <cell r="F140">
            <v>531959561.62225997</v>
          </cell>
          <cell r="G140">
            <v>574091101.19438195</v>
          </cell>
          <cell r="H140">
            <v>496947904.44303298</v>
          </cell>
          <cell r="I140">
            <v>496098775.30864203</v>
          </cell>
          <cell r="J140">
            <v>735267082.29426396</v>
          </cell>
          <cell r="K140">
            <v>906811943.82464898</v>
          </cell>
          <cell r="L140">
            <v>841974025.462659</v>
          </cell>
          <cell r="M140">
            <v>772228643.40542805</v>
          </cell>
          <cell r="N140">
            <v>788641965.43209898</v>
          </cell>
          <cell r="O140">
            <v>865975308.64197505</v>
          </cell>
          <cell r="P140">
            <v>882765471.60493803</v>
          </cell>
          <cell r="Q140">
            <v>1024098804.93827</v>
          </cell>
          <cell r="R140">
            <v>972101724.995368</v>
          </cell>
          <cell r="S140">
            <v>1217953546.9760399</v>
          </cell>
          <cell r="T140">
            <v>1575789254.4693799</v>
          </cell>
          <cell r="U140">
            <v>1452792989.10865</v>
          </cell>
          <cell r="V140">
            <v>1382400000</v>
          </cell>
          <cell r="W140">
            <v>1604162497.45945</v>
          </cell>
          <cell r="X140">
            <v>1851250008.3333299</v>
          </cell>
          <cell r="Y140">
            <v>1945916583.3333299</v>
          </cell>
          <cell r="Z140">
            <v>2275583316.6666698</v>
          </cell>
          <cell r="AA140">
            <v>2395429852.4307599</v>
          </cell>
          <cell r="AB140">
            <v>2447174803.3779101</v>
          </cell>
          <cell r="AC140">
            <v>2581207387.7970901</v>
          </cell>
          <cell r="AD140">
            <v>2619913955.5155602</v>
          </cell>
          <cell r="AE140">
            <v>2850784523.37711</v>
          </cell>
          <cell r="AF140">
            <v>2957255379.5431499</v>
          </cell>
          <cell r="AG140">
            <v>3487009748.35638</v>
          </cell>
          <cell r="AH140">
            <v>3525228153.1736102</v>
          </cell>
          <cell r="AI140">
            <v>3627562402.6602702</v>
          </cell>
          <cell r="AJ140">
            <v>3921476084.8907199</v>
          </cell>
          <cell r="AK140">
            <v>3401211581.29176</v>
          </cell>
          <cell r="AL140">
            <v>3660041666.6666698</v>
          </cell>
          <cell r="AM140">
            <v>4066775510.2040801</v>
          </cell>
          <cell r="AN140">
            <v>4401104417.67068</v>
          </cell>
          <cell r="AO140">
            <v>4521580381.4713898</v>
          </cell>
          <cell r="AP140">
            <v>4918691916.5351601</v>
          </cell>
          <cell r="AQ140">
            <v>4856255044.3906403</v>
          </cell>
          <cell r="AR140">
            <v>5033642384.1059599</v>
          </cell>
          <cell r="AS140">
            <v>5494252207.9050198</v>
          </cell>
          <cell r="AT140">
            <v>6007055042.1768703</v>
          </cell>
          <cell r="AU140">
            <v>6050875806.6640301</v>
          </cell>
          <cell r="AV140">
            <v>6330473096.5407104</v>
          </cell>
          <cell r="AW140">
            <v>7273938314.7198801</v>
          </cell>
          <cell r="AX140">
            <v>8130258041.4670601</v>
          </cell>
          <cell r="AY140">
            <v>9043715355.8880997</v>
          </cell>
          <cell r="AZ140">
            <v>10325618017.379</v>
          </cell>
          <cell r="BA140">
            <v>12545438605.395901</v>
          </cell>
          <cell r="BB140">
            <v>12854985464.076401</v>
          </cell>
          <cell r="BC140">
            <v>16002656434.4746</v>
          </cell>
          <cell r="BD140">
            <v>21621710002.511101</v>
          </cell>
          <cell r="BE140">
            <v>21703106502.492599</v>
          </cell>
          <cell r="BF140">
            <v>22162208956.089298</v>
          </cell>
          <cell r="BG140">
            <v>22731602969.6861</v>
          </cell>
          <cell r="BH140">
            <v>24360795410.159698</v>
          </cell>
          <cell r="BI140">
            <v>24524098184.423599</v>
          </cell>
          <cell r="BJ140">
            <v>28971589213.133999</v>
          </cell>
          <cell r="BK140">
            <v>33111525182.713299</v>
          </cell>
          <cell r="BL140">
            <v>34186180694.928501</v>
          </cell>
          <cell r="BM140">
            <v>33657175561.328999</v>
          </cell>
          <cell r="BN140">
            <v>33657175561.328999</v>
          </cell>
        </row>
        <row r="141">
          <cell r="B141" t="str">
            <v>NLD</v>
          </cell>
          <cell r="C141" t="str">
            <v>GDP (current US$)</v>
          </cell>
          <cell r="D141" t="str">
            <v>NY.GDP.MKTP.CD</v>
          </cell>
          <cell r="E141">
            <v>12276734172.0828</v>
          </cell>
          <cell r="F141">
            <v>13493833739.9949</v>
          </cell>
          <cell r="G141">
            <v>14647057370.1418</v>
          </cell>
          <cell r="H141">
            <v>15891241386.291</v>
          </cell>
          <cell r="I141">
            <v>18699380731.3465</v>
          </cell>
          <cell r="J141">
            <v>21000586933.204102</v>
          </cell>
          <cell r="K141">
            <v>22867203317.402199</v>
          </cell>
          <cell r="L141">
            <v>25087562181.3218</v>
          </cell>
          <cell r="M141">
            <v>27817605743.250301</v>
          </cell>
          <cell r="N141">
            <v>34035946604.181499</v>
          </cell>
          <cell r="O141">
            <v>38164716625.068497</v>
          </cell>
          <cell r="P141">
            <v>44579122807.017502</v>
          </cell>
          <cell r="Q141">
            <v>54706557264.487801</v>
          </cell>
          <cell r="R141">
            <v>71840909664.196793</v>
          </cell>
          <cell r="S141">
            <v>87243413394.540497</v>
          </cell>
          <cell r="T141">
            <v>100249523353.08501</v>
          </cell>
          <cell r="U141">
            <v>109168720620.103</v>
          </cell>
          <cell r="V141">
            <v>127016990212.804</v>
          </cell>
          <cell r="W141">
            <v>155859695457.323</v>
          </cell>
          <cell r="X141">
            <v>179669405690.43201</v>
          </cell>
          <cell r="Y141">
            <v>195152092662.38101</v>
          </cell>
          <cell r="Z141">
            <v>164134217080.27899</v>
          </cell>
          <cell r="AA141">
            <v>158479527935.95801</v>
          </cell>
          <cell r="AB141">
            <v>153445465987.18201</v>
          </cell>
          <cell r="AC141">
            <v>143912664148.35199</v>
          </cell>
          <cell r="AD141">
            <v>143845822717.62201</v>
          </cell>
          <cell r="AE141">
            <v>200862095700.66599</v>
          </cell>
          <cell r="AF141">
            <v>245046310922.54099</v>
          </cell>
          <cell r="AG141">
            <v>261910508417.884</v>
          </cell>
          <cell r="AH141">
            <v>258336705808.99899</v>
          </cell>
          <cell r="AI141">
            <v>318330511920.60999</v>
          </cell>
          <cell r="AJ141">
            <v>327500327675.625</v>
          </cell>
          <cell r="AK141">
            <v>362962872180.45099</v>
          </cell>
          <cell r="AL141">
            <v>353550169672.52002</v>
          </cell>
          <cell r="AM141">
            <v>379130260322.073</v>
          </cell>
          <cell r="AN141">
            <v>452301674444.13898</v>
          </cell>
          <cell r="AO141">
            <v>450490196078.43103</v>
          </cell>
          <cell r="AP141">
            <v>416812740004.51801</v>
          </cell>
          <cell r="AQ141">
            <v>438008220395.46802</v>
          </cell>
          <cell r="AR141">
            <v>446898572341.78601</v>
          </cell>
          <cell r="AS141">
            <v>416442786069.65198</v>
          </cell>
          <cell r="AT141">
            <v>431213422818.79199</v>
          </cell>
          <cell r="AU141">
            <v>471613965744.401</v>
          </cell>
          <cell r="AV141">
            <v>578792325056.43298</v>
          </cell>
          <cell r="AW141">
            <v>657171591755.64905</v>
          </cell>
          <cell r="AX141">
            <v>685092650167.89001</v>
          </cell>
          <cell r="AY141">
            <v>733340860619.74695</v>
          </cell>
          <cell r="AZ141">
            <v>847481522036.68201</v>
          </cell>
          <cell r="BA141">
            <v>947997656364.43506</v>
          </cell>
          <cell r="BB141">
            <v>868077243678.80005</v>
          </cell>
          <cell r="BC141">
            <v>846554894931.08398</v>
          </cell>
          <cell r="BD141">
            <v>904085980796.01794</v>
          </cell>
          <cell r="BE141">
            <v>838971306990.90601</v>
          </cell>
          <cell r="BF141">
            <v>876923518850.40503</v>
          </cell>
          <cell r="BG141">
            <v>890981311077.65796</v>
          </cell>
          <cell r="BH141">
            <v>765264949780.99902</v>
          </cell>
          <cell r="BI141">
            <v>783528181704.56702</v>
          </cell>
          <cell r="BJ141">
            <v>831809944960.87903</v>
          </cell>
          <cell r="BK141">
            <v>913597086062.599</v>
          </cell>
          <cell r="BL141">
            <v>910194347568.62598</v>
          </cell>
          <cell r="BM141">
            <v>913865395789.88599</v>
          </cell>
          <cell r="BN141">
            <v>913865395789.88599</v>
          </cell>
        </row>
        <row r="142">
          <cell r="B142" t="str">
            <v>NCL</v>
          </cell>
          <cell r="C142" t="str">
            <v>GDP (current US$)</v>
          </cell>
          <cell r="D142" t="str">
            <v>NY.GDP.MKTP.CD</v>
          </cell>
          <cell r="E142" t="str">
            <v>..</v>
          </cell>
          <cell r="F142" t="str">
            <v>..</v>
          </cell>
          <cell r="G142" t="str">
            <v>..</v>
          </cell>
          <cell r="H142" t="str">
            <v>..</v>
          </cell>
          <cell r="I142" t="str">
            <v>..</v>
          </cell>
          <cell r="J142">
            <v>159594492.305776</v>
          </cell>
          <cell r="K142">
            <v>164206536.28272101</v>
          </cell>
          <cell r="L142">
            <v>180036767.47075999</v>
          </cell>
          <cell r="M142">
            <v>215507162.35574001</v>
          </cell>
          <cell r="N142">
            <v>263108841.07820499</v>
          </cell>
          <cell r="O142">
            <v>358815683.71657598</v>
          </cell>
          <cell r="P142">
            <v>413985777.670322</v>
          </cell>
          <cell r="Q142">
            <v>506808996.960657</v>
          </cell>
          <cell r="R142">
            <v>542293400.02654397</v>
          </cell>
          <cell r="S142">
            <v>637403479.72900999</v>
          </cell>
          <cell r="T142">
            <v>816652167.28513396</v>
          </cell>
          <cell r="U142">
            <v>798313524.68311095</v>
          </cell>
          <cell r="V142">
            <v>837620127.341416</v>
          </cell>
          <cell r="W142">
            <v>846004692.259462</v>
          </cell>
          <cell r="X142">
            <v>1047225724.4525</v>
          </cell>
          <cell r="Y142">
            <v>1182463958.6966</v>
          </cell>
          <cell r="Z142">
            <v>972564156.96673906</v>
          </cell>
          <cell r="AA142">
            <v>904599871.53446996</v>
          </cell>
          <cell r="AB142">
            <v>823857894.28843796</v>
          </cell>
          <cell r="AC142">
            <v>796066192.89798999</v>
          </cell>
          <cell r="AD142">
            <v>854820894.09776998</v>
          </cell>
          <cell r="AE142">
            <v>1201321509.29895</v>
          </cell>
          <cell r="AF142">
            <v>1488093104.52988</v>
          </cell>
          <cell r="AG142">
            <v>2072775508.28058</v>
          </cell>
          <cell r="AH142">
            <v>2185082943.5802102</v>
          </cell>
          <cell r="AI142">
            <v>2529440424.33462</v>
          </cell>
          <cell r="AJ142">
            <v>2653780677.0107298</v>
          </cell>
          <cell r="AK142">
            <v>2923883289.6371002</v>
          </cell>
          <cell r="AL142">
            <v>2822243775.1099</v>
          </cell>
          <cell r="AM142">
            <v>3038728391.4587798</v>
          </cell>
          <cell r="AN142">
            <v>3628440524.3927798</v>
          </cell>
          <cell r="AO142">
            <v>3606968436.3675799</v>
          </cell>
          <cell r="AP142">
            <v>3291131295.1518402</v>
          </cell>
          <cell r="AQ142">
            <v>3556304834.4477301</v>
          </cell>
          <cell r="AR142">
            <v>3647802046.4237499</v>
          </cell>
          <cell r="AS142">
            <v>3420032041.9586701</v>
          </cell>
          <cell r="AT142">
            <v>3297734885.8695598</v>
          </cell>
          <cell r="AU142">
            <v>3740056751.2799602</v>
          </cell>
          <cell r="AV142">
            <v>4915353825.4137697</v>
          </cell>
          <cell r="AW142">
            <v>5895008984.9288101</v>
          </cell>
          <cell r="AX142">
            <v>6238629461.54527</v>
          </cell>
          <cell r="AY142">
            <v>6979155408.8734903</v>
          </cell>
          <cell r="AZ142">
            <v>8819917186.6495094</v>
          </cell>
          <cell r="BA142">
            <v>9067619728.7003098</v>
          </cell>
          <cell r="BB142">
            <v>8704438060.5185699</v>
          </cell>
          <cell r="BC142">
            <v>9364350064.9900303</v>
          </cell>
          <cell r="BD142">
            <v>10351448025.3062</v>
          </cell>
          <cell r="BE142">
            <v>9659151908.6588192</v>
          </cell>
          <cell r="BF142">
            <v>10151382876.815701</v>
          </cell>
          <cell r="BG142">
            <v>10635035550.010099</v>
          </cell>
          <cell r="BH142">
            <v>8738203041.5481892</v>
          </cell>
          <cell r="BI142">
            <v>8724568970.6789093</v>
          </cell>
          <cell r="BJ142">
            <v>9173669999.5986004</v>
          </cell>
          <cell r="BK142">
            <v>9846920284.0100594</v>
          </cell>
          <cell r="BL142">
            <v>9438127994.0945606</v>
          </cell>
          <cell r="BM142" t="str">
            <v>..</v>
          </cell>
          <cell r="BN142">
            <v>9438127994.0945606</v>
          </cell>
        </row>
        <row r="143">
          <cell r="B143" t="str">
            <v>NZL</v>
          </cell>
          <cell r="C143" t="str">
            <v>GDP (current US$)</v>
          </cell>
          <cell r="D143" t="str">
            <v>NY.GDP.MKTP.CD</v>
          </cell>
          <cell r="E143">
            <v>5485854791.9709597</v>
          </cell>
          <cell r="F143">
            <v>5670064168.2177296</v>
          </cell>
          <cell r="G143">
            <v>6077496267.7629404</v>
          </cell>
          <cell r="H143">
            <v>6638937283.1396303</v>
          </cell>
          <cell r="I143">
            <v>7274144350.8180904</v>
          </cell>
          <cell r="J143">
            <v>5654463586.0036602</v>
          </cell>
          <cell r="K143">
            <v>5863733230.97616</v>
          </cell>
          <cell r="L143">
            <v>5961418093.5300303</v>
          </cell>
          <cell r="M143">
            <v>5180597620.6413498</v>
          </cell>
          <cell r="N143">
            <v>5761588761.6942101</v>
          </cell>
          <cell r="O143" t="str">
            <v>..</v>
          </cell>
          <cell r="P143">
            <v>7911136757.0686703</v>
          </cell>
          <cell r="Q143">
            <v>9567331064.6572704</v>
          </cell>
          <cell r="R143">
            <v>12802281897.871201</v>
          </cell>
          <cell r="S143">
            <v>13940981798.124701</v>
          </cell>
          <cell r="T143">
            <v>12861983284.391199</v>
          </cell>
          <cell r="U143">
            <v>13604832424.006201</v>
          </cell>
          <cell r="V143">
            <v>15446825318.455601</v>
          </cell>
          <cell r="W143">
            <v>18530518394.6488</v>
          </cell>
          <cell r="X143">
            <v>20731243113.292599</v>
          </cell>
          <cell r="Y143">
            <v>23244547384.674801</v>
          </cell>
          <cell r="Z143">
            <v>24417617184.247799</v>
          </cell>
          <cell r="AA143">
            <v>24164603058.9949</v>
          </cell>
          <cell r="AB143">
            <v>24309279705.573101</v>
          </cell>
          <cell r="AC143">
            <v>21665975318.884201</v>
          </cell>
          <cell r="AD143">
            <v>24679795396.419399</v>
          </cell>
          <cell r="AE143">
            <v>30604668356.5695</v>
          </cell>
          <cell r="AF143">
            <v>40376354069.947403</v>
          </cell>
          <cell r="AG143">
            <v>45176811594.202904</v>
          </cell>
          <cell r="AH143">
            <v>43920222524.708504</v>
          </cell>
          <cell r="AI143">
            <v>45495129385.047501</v>
          </cell>
          <cell r="AJ143">
            <v>42745329732.163002</v>
          </cell>
          <cell r="AK143">
            <v>41649829859.634201</v>
          </cell>
          <cell r="AL143">
            <v>46775620817.432701</v>
          </cell>
          <cell r="AM143">
            <v>55314732279.137901</v>
          </cell>
          <cell r="AN143">
            <v>63918703506.907501</v>
          </cell>
          <cell r="AO143">
            <v>70140835299.014801</v>
          </cell>
          <cell r="AP143">
            <v>66075143415.495201</v>
          </cell>
          <cell r="AQ143">
            <v>56227169851.0448</v>
          </cell>
          <cell r="AR143">
            <v>58762260625.875801</v>
          </cell>
          <cell r="AS143">
            <v>52623281956.703102</v>
          </cell>
          <cell r="AT143">
            <v>53872425916.624802</v>
          </cell>
          <cell r="AU143">
            <v>66627729311.449501</v>
          </cell>
          <cell r="AV143">
            <v>88250885550.262604</v>
          </cell>
          <cell r="AW143">
            <v>103905210084.034</v>
          </cell>
          <cell r="AX143">
            <v>114720129550.095</v>
          </cell>
          <cell r="AY143">
            <v>111538810712.66499</v>
          </cell>
          <cell r="AZ143">
            <v>137188946865.584</v>
          </cell>
          <cell r="BA143">
            <v>133131369930.414</v>
          </cell>
          <cell r="BB143">
            <v>121373602348.679</v>
          </cell>
          <cell r="BC143">
            <v>146517541181.254</v>
          </cell>
          <cell r="BD143">
            <v>168291357111.73901</v>
          </cell>
          <cell r="BE143">
            <v>176206659722.52399</v>
          </cell>
          <cell r="BF143">
            <v>190906575136.00299</v>
          </cell>
          <cell r="BG143">
            <v>201313497220.91699</v>
          </cell>
          <cell r="BH143">
            <v>178064471137.92099</v>
          </cell>
          <cell r="BI143">
            <v>188943457301.474</v>
          </cell>
          <cell r="BJ143">
            <v>206950600690.39499</v>
          </cell>
          <cell r="BK143">
            <v>212225726657.86401</v>
          </cell>
          <cell r="BL143">
            <v>212891048340.608</v>
          </cell>
          <cell r="BM143">
            <v>210700848973.509</v>
          </cell>
          <cell r="BN143">
            <v>210700848973.509</v>
          </cell>
        </row>
        <row r="144">
          <cell r="B144" t="str">
            <v>NIC</v>
          </cell>
          <cell r="C144" t="str">
            <v>GDP (current US$)</v>
          </cell>
          <cell r="D144" t="str">
            <v>NY.GDP.MKTP.CD</v>
          </cell>
          <cell r="E144">
            <v>223854666.66666701</v>
          </cell>
          <cell r="F144">
            <v>240524723.42857099</v>
          </cell>
          <cell r="G144">
            <v>265291588.66666701</v>
          </cell>
          <cell r="H144">
            <v>292916241.14285702</v>
          </cell>
          <cell r="I144">
            <v>341973758.85714298</v>
          </cell>
          <cell r="J144">
            <v>566542872.35714304</v>
          </cell>
          <cell r="K144">
            <v>606671444</v>
          </cell>
          <cell r="L144">
            <v>657171436.71428597</v>
          </cell>
          <cell r="M144">
            <v>695899980.42857099</v>
          </cell>
          <cell r="N144">
            <v>747971449.57142901</v>
          </cell>
          <cell r="O144">
            <v>776585681.07142901</v>
          </cell>
          <cell r="P144">
            <v>826571413.42857099</v>
          </cell>
          <cell r="Q144">
            <v>880842890.07142901</v>
          </cell>
          <cell r="R144">
            <v>1093571441.5</v>
          </cell>
          <cell r="S144">
            <v>1520900045.1428599</v>
          </cell>
          <cell r="T144">
            <v>1590428522.6428599</v>
          </cell>
          <cell r="U144">
            <v>1847871371.7142899</v>
          </cell>
          <cell r="V144">
            <v>2239857060.5714302</v>
          </cell>
          <cell r="W144">
            <v>2142128603.7857101</v>
          </cell>
          <cell r="X144">
            <v>1527852635.6315801</v>
          </cell>
          <cell r="Y144">
            <v>2189347367.52632</v>
          </cell>
          <cell r="Z144">
            <v>2448290109.6500001</v>
          </cell>
          <cell r="AA144">
            <v>2465165179.6956501</v>
          </cell>
          <cell r="AB144">
            <v>2743341724.0833302</v>
          </cell>
          <cell r="AC144">
            <v>3105517091.4137902</v>
          </cell>
          <cell r="AD144">
            <v>2683816288.7907</v>
          </cell>
          <cell r="AE144">
            <v>2885710608.8807902</v>
          </cell>
          <cell r="AF144">
            <v>3851213727.6785698</v>
          </cell>
          <cell r="AG144">
            <v>2630904261.8324699</v>
          </cell>
          <cell r="AH144">
            <v>1013184745.70715</v>
          </cell>
          <cell r="AI144">
            <v>1009455483.87097</v>
          </cell>
          <cell r="AJ144">
            <v>1488804123.71134</v>
          </cell>
          <cell r="AK144">
            <v>1792800000</v>
          </cell>
          <cell r="AL144">
            <v>1756454248.36601</v>
          </cell>
          <cell r="AM144">
            <v>3863185119.0476198</v>
          </cell>
          <cell r="AN144">
            <v>4140470000</v>
          </cell>
          <cell r="AO144">
            <v>4308351902.7860098</v>
          </cell>
          <cell r="AP144">
            <v>4389965590.9653797</v>
          </cell>
          <cell r="AQ144">
            <v>4635267224.8419504</v>
          </cell>
          <cell r="AR144">
            <v>4855717874.6824703</v>
          </cell>
          <cell r="AS144">
            <v>5107329007.0922003</v>
          </cell>
          <cell r="AT144">
            <v>5323146565.7031498</v>
          </cell>
          <cell r="AU144">
            <v>5224213017.5438604</v>
          </cell>
          <cell r="AV144">
            <v>5322454925.8474598</v>
          </cell>
          <cell r="AW144">
            <v>5795568204.6453199</v>
          </cell>
          <cell r="AX144">
            <v>6321335612.2223301</v>
          </cell>
          <cell r="AY144">
            <v>6763418645.8137703</v>
          </cell>
          <cell r="AZ144">
            <v>7423421958.4247999</v>
          </cell>
          <cell r="BA144">
            <v>8496946608.2315102</v>
          </cell>
          <cell r="BB144">
            <v>8298679908.5523195</v>
          </cell>
          <cell r="BC144">
            <v>8758592272.1057892</v>
          </cell>
          <cell r="BD144">
            <v>9774262741.7578297</v>
          </cell>
          <cell r="BE144">
            <v>10532006608.144699</v>
          </cell>
          <cell r="BF144">
            <v>10982979274.1922</v>
          </cell>
          <cell r="BG144">
            <v>11880434070.781099</v>
          </cell>
          <cell r="BH144">
            <v>12756706583.3113</v>
          </cell>
          <cell r="BI144">
            <v>13286083644.876101</v>
          </cell>
          <cell r="BJ144">
            <v>13785876629.318899</v>
          </cell>
          <cell r="BK144">
            <v>13025239912.275101</v>
          </cell>
          <cell r="BL144">
            <v>12611218627.0632</v>
          </cell>
          <cell r="BM144">
            <v>12621505382.606199</v>
          </cell>
          <cell r="BN144">
            <v>12621505382.606199</v>
          </cell>
        </row>
        <row r="145">
          <cell r="B145" t="str">
            <v>NER</v>
          </cell>
          <cell r="C145" t="str">
            <v>GDP (current US$)</v>
          </cell>
          <cell r="D145" t="str">
            <v>NY.GDP.MKTP.CD</v>
          </cell>
          <cell r="E145">
            <v>449526872.56548601</v>
          </cell>
          <cell r="F145">
            <v>485785234.94037598</v>
          </cell>
          <cell r="G145">
            <v>531736492.90917802</v>
          </cell>
          <cell r="H145">
            <v>586294761.49351597</v>
          </cell>
          <cell r="I145">
            <v>582816358.34715497</v>
          </cell>
          <cell r="J145">
            <v>673383604.238783</v>
          </cell>
          <cell r="K145">
            <v>702296184.36134398</v>
          </cell>
          <cell r="L145">
            <v>665586975.08830202</v>
          </cell>
          <cell r="M145">
            <v>641214210.66896904</v>
          </cell>
          <cell r="N145">
            <v>625867922.677513</v>
          </cell>
          <cell r="O145">
            <v>649916708.24241805</v>
          </cell>
          <cell r="P145">
            <v>693573595.32097495</v>
          </cell>
          <cell r="Q145">
            <v>742779740.39351201</v>
          </cell>
          <cell r="R145">
            <v>946385033.01191795</v>
          </cell>
          <cell r="S145">
            <v>1026136974.47536</v>
          </cell>
          <cell r="T145">
            <v>1048690933.21027</v>
          </cell>
          <cell r="U145">
            <v>1064517574.56042</v>
          </cell>
          <cell r="V145">
            <v>1291457973.12517</v>
          </cell>
          <cell r="W145">
            <v>1774365275.18226</v>
          </cell>
          <cell r="X145">
            <v>2109278101.9886999</v>
          </cell>
          <cell r="Y145">
            <v>2508524186.4335198</v>
          </cell>
          <cell r="Z145">
            <v>2170893038.9005299</v>
          </cell>
          <cell r="AA145">
            <v>2017611927.4037001</v>
          </cell>
          <cell r="AB145">
            <v>1803099731.5425701</v>
          </cell>
          <cell r="AC145">
            <v>1461243212.4281399</v>
          </cell>
          <cell r="AD145">
            <v>1440581533.7564001</v>
          </cell>
          <cell r="AE145">
            <v>1904097020.29333</v>
          </cell>
          <cell r="AF145">
            <v>2233005822.58534</v>
          </cell>
          <cell r="AG145">
            <v>2280356338.2286701</v>
          </cell>
          <cell r="AH145">
            <v>2179567107.5015898</v>
          </cell>
          <cell r="AI145">
            <v>3512356353.0798001</v>
          </cell>
          <cell r="AJ145">
            <v>3285796979.79737</v>
          </cell>
          <cell r="AK145">
            <v>3386232592.0183401</v>
          </cell>
          <cell r="AL145">
            <v>3052673622.8583899</v>
          </cell>
          <cell r="AM145">
            <v>1938058161.2511599</v>
          </cell>
          <cell r="AN145">
            <v>2302537682.1802902</v>
          </cell>
          <cell r="AO145">
            <v>2405687081.1279502</v>
          </cell>
          <cell r="AP145">
            <v>2290318800.3345699</v>
          </cell>
          <cell r="AQ145">
            <v>2643363406.9766402</v>
          </cell>
          <cell r="AR145">
            <v>2537790022.7353501</v>
          </cell>
          <cell r="AS145">
            <v>2241753120.2126698</v>
          </cell>
          <cell r="AT145">
            <v>2448714680.5622101</v>
          </cell>
          <cell r="AU145">
            <v>2782192986.9577198</v>
          </cell>
          <cell r="AV145">
            <v>3394084884.67098</v>
          </cell>
          <cell r="AW145">
            <v>3760443965.7297602</v>
          </cell>
          <cell r="AX145">
            <v>4383315656.9909601</v>
          </cell>
          <cell r="AY145">
            <v>4756361479.9887304</v>
          </cell>
          <cell r="AZ145">
            <v>5731485267.3349199</v>
          </cell>
          <cell r="BA145">
            <v>7297600896.8609896</v>
          </cell>
          <cell r="BB145">
            <v>7352131669.2940998</v>
          </cell>
          <cell r="BC145">
            <v>7851191899.3408003</v>
          </cell>
          <cell r="BD145">
            <v>8772951261.8180695</v>
          </cell>
          <cell r="BE145">
            <v>9426913349.2231903</v>
          </cell>
          <cell r="BF145">
            <v>10224897934.722</v>
          </cell>
          <cell r="BG145">
            <v>10862944203.559099</v>
          </cell>
          <cell r="BH145">
            <v>9683867893.6834297</v>
          </cell>
          <cell r="BI145">
            <v>10398862244.9737</v>
          </cell>
          <cell r="BJ145">
            <v>11185102399.5762</v>
          </cell>
          <cell r="BK145">
            <v>12808660528.061701</v>
          </cell>
          <cell r="BL145">
            <v>12916455161.108101</v>
          </cell>
          <cell r="BM145">
            <v>13741378450.136</v>
          </cell>
          <cell r="BN145">
            <v>13741378450.136</v>
          </cell>
        </row>
        <row r="146">
          <cell r="B146" t="str">
            <v>NGA</v>
          </cell>
          <cell r="C146" t="str">
            <v>GDP (current US$)</v>
          </cell>
          <cell r="D146" t="str">
            <v>NY.GDP.MKTP.CD</v>
          </cell>
          <cell r="E146">
            <v>4196092258.15484</v>
          </cell>
          <cell r="F146">
            <v>4467200335.9932804</v>
          </cell>
          <cell r="G146">
            <v>4909302953.9409199</v>
          </cell>
          <cell r="H146">
            <v>5165489010.2198</v>
          </cell>
          <cell r="I146">
            <v>5552822483.5503302</v>
          </cell>
          <cell r="J146">
            <v>5874422511.5497704</v>
          </cell>
          <cell r="K146">
            <v>6366792664.1467199</v>
          </cell>
          <cell r="L146">
            <v>5203135937.28125</v>
          </cell>
          <cell r="M146">
            <v>5200895982.0803604</v>
          </cell>
          <cell r="N146">
            <v>6634187316.2536697</v>
          </cell>
          <cell r="O146">
            <v>12545849083.018299</v>
          </cell>
          <cell r="P146">
            <v>9181769911.5044308</v>
          </cell>
          <cell r="Q146">
            <v>12274416017.7976</v>
          </cell>
          <cell r="R146">
            <v>15162871287.1287</v>
          </cell>
          <cell r="S146">
            <v>24846641318.124199</v>
          </cell>
          <cell r="T146">
            <v>27778934624.6973</v>
          </cell>
          <cell r="U146">
            <v>36308883248.731003</v>
          </cell>
          <cell r="V146">
            <v>36035407725.321899</v>
          </cell>
          <cell r="W146">
            <v>36527862208.713303</v>
          </cell>
          <cell r="X146">
            <v>47259911894.273102</v>
          </cell>
          <cell r="Y146">
            <v>64201788122.6054</v>
          </cell>
          <cell r="Z146">
            <v>164475209515.19</v>
          </cell>
          <cell r="AA146">
            <v>142769363313.375</v>
          </cell>
          <cell r="AB146">
            <v>97094911790.694794</v>
          </cell>
          <cell r="AC146">
            <v>73484359521.099701</v>
          </cell>
          <cell r="AD146">
            <v>73745821156.299606</v>
          </cell>
          <cell r="AE146">
            <v>54805852581.151604</v>
          </cell>
          <cell r="AF146">
            <v>52676041930.579102</v>
          </cell>
          <cell r="AG146">
            <v>49648470439.796303</v>
          </cell>
          <cell r="AH146">
            <v>44003061108.335701</v>
          </cell>
          <cell r="AI146">
            <v>54035795388.091499</v>
          </cell>
          <cell r="AJ146">
            <v>49118433047.531799</v>
          </cell>
          <cell r="AK146">
            <v>47794925814.755798</v>
          </cell>
          <cell r="AL146">
            <v>27752204320.088299</v>
          </cell>
          <cell r="AM146">
            <v>33833042987.758202</v>
          </cell>
          <cell r="AN146">
            <v>44062465800.170601</v>
          </cell>
          <cell r="AO146">
            <v>51075815092.5</v>
          </cell>
          <cell r="AP146">
            <v>54457835193.492699</v>
          </cell>
          <cell r="AQ146">
            <v>54604050168.181801</v>
          </cell>
          <cell r="AR146">
            <v>59372613485.6576</v>
          </cell>
          <cell r="AS146">
            <v>69448756932.583298</v>
          </cell>
          <cell r="AT146">
            <v>74030364472.050598</v>
          </cell>
          <cell r="AU146">
            <v>95385819320.5737</v>
          </cell>
          <cell r="AV146">
            <v>104911947834.12199</v>
          </cell>
          <cell r="AW146">
            <v>136385979322.437</v>
          </cell>
          <cell r="AX146">
            <v>176134087150.341</v>
          </cell>
          <cell r="AY146">
            <v>236103982431.63501</v>
          </cell>
          <cell r="AZ146">
            <v>275625684968.61499</v>
          </cell>
          <cell r="BA146">
            <v>339476215683.59198</v>
          </cell>
          <cell r="BB146">
            <v>295008767295.03802</v>
          </cell>
          <cell r="BC146">
            <v>361456622215.72101</v>
          </cell>
          <cell r="BD146">
            <v>404993594133.58197</v>
          </cell>
          <cell r="BE146">
            <v>455501524575.49799</v>
          </cell>
          <cell r="BF146">
            <v>508692961937.492</v>
          </cell>
          <cell r="BG146">
            <v>546676374567.72101</v>
          </cell>
          <cell r="BH146">
            <v>486803295097.89001</v>
          </cell>
          <cell r="BI146">
            <v>404650006428.61298</v>
          </cell>
          <cell r="BJ146">
            <v>375746469538.66602</v>
          </cell>
          <cell r="BK146">
            <v>397190484464.30798</v>
          </cell>
          <cell r="BL146">
            <v>448120428858.76898</v>
          </cell>
          <cell r="BM146">
            <v>432293776262.39801</v>
          </cell>
          <cell r="BN146">
            <v>432293776262.39801</v>
          </cell>
        </row>
        <row r="147">
          <cell r="B147" t="str">
            <v>MKD</v>
          </cell>
          <cell r="C147" t="str">
            <v>GDP (current US$)</v>
          </cell>
          <cell r="D147" t="str">
            <v>NY.GDP.MKTP.CD</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v>4699646643.10954</v>
          </cell>
          <cell r="AJ147">
            <v>4938775510.2040796</v>
          </cell>
          <cell r="AK147">
            <v>2436849341.9760399</v>
          </cell>
          <cell r="AL147">
            <v>2682456896.5517201</v>
          </cell>
          <cell r="AM147">
            <v>3559607241.2581601</v>
          </cell>
          <cell r="AN147">
            <v>4707036096.4896097</v>
          </cell>
          <cell r="AO147">
            <v>4642018353.6721096</v>
          </cell>
          <cell r="AP147">
            <v>3912986090.97363</v>
          </cell>
          <cell r="AQ147">
            <v>3765747304.9868102</v>
          </cell>
          <cell r="AR147">
            <v>3863621185.9730301</v>
          </cell>
          <cell r="AS147">
            <v>3772857145.0247998</v>
          </cell>
          <cell r="AT147">
            <v>3709637829.9486599</v>
          </cell>
          <cell r="AU147">
            <v>4018365247.4444399</v>
          </cell>
          <cell r="AV147">
            <v>4946292774.7904596</v>
          </cell>
          <cell r="AW147">
            <v>5682788267.1286497</v>
          </cell>
          <cell r="AX147">
            <v>6258600713.8262701</v>
          </cell>
          <cell r="AY147">
            <v>6861222331.9631701</v>
          </cell>
          <cell r="AZ147">
            <v>8336478142.0887203</v>
          </cell>
          <cell r="BA147">
            <v>9909548410.8274403</v>
          </cell>
          <cell r="BB147">
            <v>9401731495.71661</v>
          </cell>
          <cell r="BC147">
            <v>9407168702.4312992</v>
          </cell>
          <cell r="BD147">
            <v>10494632699.3859</v>
          </cell>
          <cell r="BE147">
            <v>9745251126.0109005</v>
          </cell>
          <cell r="BF147">
            <v>10817712138.945101</v>
          </cell>
          <cell r="BG147">
            <v>11362272837.8818</v>
          </cell>
          <cell r="BH147">
            <v>10064515432.026501</v>
          </cell>
          <cell r="BI147">
            <v>10672471860.718399</v>
          </cell>
          <cell r="BJ147">
            <v>11307058382.3435</v>
          </cell>
          <cell r="BK147">
            <v>12683070061.4695</v>
          </cell>
          <cell r="BL147">
            <v>12606338448.547001</v>
          </cell>
          <cell r="BM147">
            <v>12263710122.7645</v>
          </cell>
          <cell r="BN147">
            <v>12263710122.7645</v>
          </cell>
        </row>
        <row r="148">
          <cell r="B148" t="str">
            <v>MNP</v>
          </cell>
          <cell r="C148" t="str">
            <v>GDP (current US$)</v>
          </cell>
          <cell r="D148" t="str">
            <v>NY.GDP.MKTP.CD</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v>1284000000</v>
          </cell>
          <cell r="AV148">
            <v>1239000000</v>
          </cell>
          <cell r="AW148">
            <v>1210000000</v>
          </cell>
          <cell r="AX148">
            <v>1061000000</v>
          </cell>
          <cell r="AY148">
            <v>990000000</v>
          </cell>
          <cell r="AZ148">
            <v>938000000</v>
          </cell>
          <cell r="BA148">
            <v>939000000</v>
          </cell>
          <cell r="BB148">
            <v>795000000</v>
          </cell>
          <cell r="BC148">
            <v>799000000</v>
          </cell>
          <cell r="BD148">
            <v>729000000</v>
          </cell>
          <cell r="BE148">
            <v>746000000</v>
          </cell>
          <cell r="BF148">
            <v>772000000</v>
          </cell>
          <cell r="BG148">
            <v>832000000</v>
          </cell>
          <cell r="BH148">
            <v>910000000</v>
          </cell>
          <cell r="BI148">
            <v>1230000000</v>
          </cell>
          <cell r="BJ148">
            <v>1560000000</v>
          </cell>
          <cell r="BK148">
            <v>1302000000</v>
          </cell>
          <cell r="BL148">
            <v>1182000000</v>
          </cell>
          <cell r="BM148" t="str">
            <v>..</v>
          </cell>
          <cell r="BN148">
            <v>1182000000</v>
          </cell>
        </row>
        <row r="149">
          <cell r="B149" t="str">
            <v>NOR</v>
          </cell>
          <cell r="C149" t="str">
            <v>GDP (current US$)</v>
          </cell>
          <cell r="D149" t="str">
            <v>NY.GDP.MKTP.CD</v>
          </cell>
          <cell r="E149">
            <v>5163271598.1570196</v>
          </cell>
          <cell r="F149">
            <v>5632460936.5457602</v>
          </cell>
          <cell r="G149">
            <v>6066976682.6736403</v>
          </cell>
          <cell r="H149">
            <v>6510239502.7648897</v>
          </cell>
          <cell r="I149">
            <v>7159202706.4802704</v>
          </cell>
          <cell r="J149">
            <v>8058681060.1590004</v>
          </cell>
          <cell r="K149">
            <v>8696460205.3397007</v>
          </cell>
          <cell r="L149">
            <v>9514496703.3976192</v>
          </cell>
          <cell r="M149">
            <v>10159934136.7838</v>
          </cell>
          <cell r="N149">
            <v>11063065083.4888</v>
          </cell>
          <cell r="O149">
            <v>12814123115.261299</v>
          </cell>
          <cell r="P149">
            <v>14583114840.062901</v>
          </cell>
          <cell r="Q149">
            <v>17358610849.701</v>
          </cell>
          <cell r="R149">
            <v>22534253702.868599</v>
          </cell>
          <cell r="S149">
            <v>27145693810.134102</v>
          </cell>
          <cell r="T149">
            <v>32877805200.022999</v>
          </cell>
          <cell r="U149">
            <v>35942270686.337402</v>
          </cell>
          <cell r="V149">
            <v>41508030431.107399</v>
          </cell>
          <cell r="W149">
            <v>46523091009.671303</v>
          </cell>
          <cell r="X149">
            <v>53132244623.921303</v>
          </cell>
          <cell r="Y149">
            <v>64439382896.015602</v>
          </cell>
          <cell r="Z149">
            <v>63596654760.867699</v>
          </cell>
          <cell r="AA149">
            <v>62647195537.6511</v>
          </cell>
          <cell r="AB149">
            <v>61627240831.094803</v>
          </cell>
          <cell r="AC149">
            <v>62057955032.775803</v>
          </cell>
          <cell r="AD149">
            <v>65416879914.390701</v>
          </cell>
          <cell r="AE149">
            <v>78693253275.994995</v>
          </cell>
          <cell r="AF149">
            <v>94230055658.627106</v>
          </cell>
          <cell r="AG149">
            <v>101900260856.222</v>
          </cell>
          <cell r="AH149">
            <v>102633789557.535</v>
          </cell>
          <cell r="AI149">
            <v>119791683307.507</v>
          </cell>
          <cell r="AJ149">
            <v>121872464483.487</v>
          </cell>
          <cell r="AK149">
            <v>130838040067.584</v>
          </cell>
          <cell r="AL149">
            <v>120579072750.59599</v>
          </cell>
          <cell r="AM149">
            <v>127131461119.927</v>
          </cell>
          <cell r="AN149">
            <v>152029612324.78799</v>
          </cell>
          <cell r="AO149">
            <v>163520109150.67099</v>
          </cell>
          <cell r="AP149">
            <v>161356631888.48401</v>
          </cell>
          <cell r="AQ149">
            <v>154163364302.66</v>
          </cell>
          <cell r="AR149">
            <v>162284465073.341</v>
          </cell>
          <cell r="AS149">
            <v>171247131268.604</v>
          </cell>
          <cell r="AT149">
            <v>173972218824.02701</v>
          </cell>
          <cell r="AU149">
            <v>195524186477.617</v>
          </cell>
          <cell r="AV149">
            <v>228858506821.841</v>
          </cell>
          <cell r="AW149">
            <v>264511630666.983</v>
          </cell>
          <cell r="AX149">
            <v>308884284051.22198</v>
          </cell>
          <cell r="AY149">
            <v>345581369965.53998</v>
          </cell>
          <cell r="AZ149">
            <v>400937100158.65698</v>
          </cell>
          <cell r="BA149">
            <v>462250000000</v>
          </cell>
          <cell r="BB149">
            <v>386190385318.76703</v>
          </cell>
          <cell r="BC149">
            <v>428757038466.841</v>
          </cell>
          <cell r="BD149">
            <v>498283438454.28101</v>
          </cell>
          <cell r="BE149">
            <v>509506317146.54102</v>
          </cell>
          <cell r="BF149">
            <v>522761531914.89398</v>
          </cell>
          <cell r="BG149">
            <v>498410050251.25598</v>
          </cell>
          <cell r="BH149">
            <v>385801550067.16901</v>
          </cell>
          <cell r="BI149">
            <v>368827142857.14301</v>
          </cell>
          <cell r="BJ149">
            <v>398393955268.98999</v>
          </cell>
          <cell r="BK149">
            <v>436999692591.45398</v>
          </cell>
          <cell r="BL149">
            <v>404941363636.36401</v>
          </cell>
          <cell r="BM149">
            <v>362198318435.26001</v>
          </cell>
          <cell r="BN149">
            <v>362198318435.26001</v>
          </cell>
        </row>
        <row r="150">
          <cell r="B150" t="str">
            <v>OMN</v>
          </cell>
          <cell r="C150" t="str">
            <v>GDP (current US$)</v>
          </cell>
          <cell r="D150" t="str">
            <v>NY.GDP.MKTP.CD</v>
          </cell>
          <cell r="E150" t="str">
            <v>..</v>
          </cell>
          <cell r="F150" t="str">
            <v>..</v>
          </cell>
          <cell r="G150" t="str">
            <v>..</v>
          </cell>
          <cell r="H150" t="str">
            <v>..</v>
          </cell>
          <cell r="I150" t="str">
            <v>..</v>
          </cell>
          <cell r="J150">
            <v>63287594.5113414</v>
          </cell>
          <cell r="K150">
            <v>67768132.175861105</v>
          </cell>
          <cell r="L150">
            <v>107152720.243027</v>
          </cell>
          <cell r="M150">
            <v>188864890.80873501</v>
          </cell>
          <cell r="N150">
            <v>239980801.53587699</v>
          </cell>
          <cell r="O150">
            <v>256299496.040317</v>
          </cell>
          <cell r="P150">
            <v>301010587.10298401</v>
          </cell>
          <cell r="Q150">
            <v>366857738.40542001</v>
          </cell>
          <cell r="R150">
            <v>483033932.13572901</v>
          </cell>
          <cell r="S150">
            <v>1645917776.49102</v>
          </cell>
          <cell r="T150">
            <v>2096699189.34569</v>
          </cell>
          <cell r="U150">
            <v>2560220034.7423301</v>
          </cell>
          <cell r="V150">
            <v>2741169947.8865099</v>
          </cell>
          <cell r="W150">
            <v>2740301389.69311</v>
          </cell>
          <cell r="X150">
            <v>3733352634.6265202</v>
          </cell>
          <cell r="Y150">
            <v>5981760277.9386196</v>
          </cell>
          <cell r="Z150">
            <v>7259120150.5500898</v>
          </cell>
          <cell r="AA150">
            <v>7554719455.7035303</v>
          </cell>
          <cell r="AB150">
            <v>7932541690.7932796</v>
          </cell>
          <cell r="AC150">
            <v>8821366531.5576191</v>
          </cell>
          <cell r="AD150">
            <v>10005500579.038799</v>
          </cell>
          <cell r="AE150">
            <v>7323822251.3088999</v>
          </cell>
          <cell r="AF150">
            <v>7811183094.9284801</v>
          </cell>
          <cell r="AG150">
            <v>8386215864.7594299</v>
          </cell>
          <cell r="AH150">
            <v>9372171651.4954491</v>
          </cell>
          <cell r="AI150">
            <v>11685045513.6541</v>
          </cell>
          <cell r="AJ150">
            <v>11341482444.7334</v>
          </cell>
          <cell r="AK150">
            <v>12452275682.7048</v>
          </cell>
          <cell r="AL150">
            <v>12493107932.3797</v>
          </cell>
          <cell r="AM150">
            <v>12918855656.697001</v>
          </cell>
          <cell r="AN150">
            <v>13802600780.2341</v>
          </cell>
          <cell r="AO150">
            <v>15277763328.998699</v>
          </cell>
          <cell r="AP150">
            <v>15837451235.3706</v>
          </cell>
          <cell r="AQ150">
            <v>13996914694.4083</v>
          </cell>
          <cell r="AR150">
            <v>15593456176.8531</v>
          </cell>
          <cell r="AS150">
            <v>19507452535.7607</v>
          </cell>
          <cell r="AT150">
            <v>19452000520.155998</v>
          </cell>
          <cell r="AU150">
            <v>20142756046.813999</v>
          </cell>
          <cell r="AV150">
            <v>21633708192.457699</v>
          </cell>
          <cell r="AW150">
            <v>24763712873.862202</v>
          </cell>
          <cell r="AX150">
            <v>31081991677.5033</v>
          </cell>
          <cell r="AY150">
            <v>37215779713.9142</v>
          </cell>
          <cell r="AZ150">
            <v>42085379453.836197</v>
          </cell>
          <cell r="BA150">
            <v>60905452535.760696</v>
          </cell>
          <cell r="BB150">
            <v>48388363589.076698</v>
          </cell>
          <cell r="BC150">
            <v>64993498049.414803</v>
          </cell>
          <cell r="BD150">
            <v>77497529258.777603</v>
          </cell>
          <cell r="BE150">
            <v>87408842652.795807</v>
          </cell>
          <cell r="BF150">
            <v>89936020806.241898</v>
          </cell>
          <cell r="BG150">
            <v>92699089726.918106</v>
          </cell>
          <cell r="BH150">
            <v>78710793237.971405</v>
          </cell>
          <cell r="BI150">
            <v>75128738621.586502</v>
          </cell>
          <cell r="BJ150">
            <v>80856697009.102707</v>
          </cell>
          <cell r="BK150">
            <v>91505851755.526703</v>
          </cell>
          <cell r="BL150">
            <v>88060858257.477203</v>
          </cell>
          <cell r="BM150">
            <v>73971391417.425201</v>
          </cell>
          <cell r="BN150">
            <v>73971391417.425201</v>
          </cell>
        </row>
        <row r="151">
          <cell r="B151" t="str">
            <v>PAK</v>
          </cell>
          <cell r="C151" t="str">
            <v>GDP (current US$)</v>
          </cell>
          <cell r="D151" t="str">
            <v>NY.GDP.MKTP.CD</v>
          </cell>
          <cell r="E151">
            <v>3749265014.6997099</v>
          </cell>
          <cell r="F151">
            <v>4118647627.0474601</v>
          </cell>
          <cell r="G151">
            <v>4310163796.7240696</v>
          </cell>
          <cell r="H151">
            <v>4630827383.4523296</v>
          </cell>
          <cell r="I151">
            <v>5204955900.8819799</v>
          </cell>
          <cell r="J151">
            <v>5929231415.3716898</v>
          </cell>
          <cell r="K151">
            <v>6561108777.82444</v>
          </cell>
          <cell r="L151">
            <v>7464510709.7858</v>
          </cell>
          <cell r="M151">
            <v>8041999160.0167999</v>
          </cell>
          <cell r="N151">
            <v>8683116337.6732502</v>
          </cell>
          <cell r="O151">
            <v>10027509449.811001</v>
          </cell>
          <cell r="P151">
            <v>10665896682.066401</v>
          </cell>
          <cell r="Q151">
            <v>9415016359.56604</v>
          </cell>
          <cell r="R151">
            <v>6383429490.2109098</v>
          </cell>
          <cell r="S151">
            <v>8899191919.1919193</v>
          </cell>
          <cell r="T151">
            <v>11230606060.6061</v>
          </cell>
          <cell r="U151">
            <v>13168080808.080799</v>
          </cell>
          <cell r="V151">
            <v>15126060606.0606</v>
          </cell>
          <cell r="W151">
            <v>17811515151.515202</v>
          </cell>
          <cell r="X151">
            <v>19688383838.383801</v>
          </cell>
          <cell r="Y151">
            <v>23654444444.444401</v>
          </cell>
          <cell r="Z151">
            <v>28100606060.606098</v>
          </cell>
          <cell r="AA151">
            <v>30725971563.980999</v>
          </cell>
          <cell r="AB151">
            <v>28691889763.779499</v>
          </cell>
          <cell r="AC151">
            <v>31151825467.497799</v>
          </cell>
          <cell r="AD151">
            <v>31144920844.327202</v>
          </cell>
          <cell r="AE151">
            <v>31899070055.7967</v>
          </cell>
          <cell r="AF151">
            <v>33351529274.686901</v>
          </cell>
          <cell r="AG151">
            <v>38472742808.316704</v>
          </cell>
          <cell r="AH151">
            <v>40171018229.071503</v>
          </cell>
          <cell r="AI151">
            <v>40010423970.457603</v>
          </cell>
          <cell r="AJ151">
            <v>45625234697.709396</v>
          </cell>
          <cell r="AK151">
            <v>48884606848.126503</v>
          </cell>
          <cell r="AL151">
            <v>51809949334.239601</v>
          </cell>
          <cell r="AM151">
            <v>52293456906.266502</v>
          </cell>
          <cell r="AN151">
            <v>60636022422.617599</v>
          </cell>
          <cell r="AO151">
            <v>63320122807.122299</v>
          </cell>
          <cell r="AP151">
            <v>62433300338.094101</v>
          </cell>
          <cell r="AQ151">
            <v>62191955814.347801</v>
          </cell>
          <cell r="AR151">
            <v>62973855718.887398</v>
          </cell>
          <cell r="AS151">
            <v>82017743416.284103</v>
          </cell>
          <cell r="AT151">
            <v>79484403984.884903</v>
          </cell>
          <cell r="AU151">
            <v>79904985384.865204</v>
          </cell>
          <cell r="AV151">
            <v>91760542940.071701</v>
          </cell>
          <cell r="AW151">
            <v>107759683863.123</v>
          </cell>
          <cell r="AX151">
            <v>120055291992.938</v>
          </cell>
          <cell r="AY151">
            <v>137264061106.043</v>
          </cell>
          <cell r="AZ151">
            <v>152385716311.91599</v>
          </cell>
          <cell r="BA151">
            <v>170077814106.30499</v>
          </cell>
          <cell r="BB151">
            <v>168152775283.03201</v>
          </cell>
          <cell r="BC151">
            <v>177165635077.065</v>
          </cell>
          <cell r="BD151">
            <v>213587413183.996</v>
          </cell>
          <cell r="BE151">
            <v>224383620829.57001</v>
          </cell>
          <cell r="BF151">
            <v>231218567178.979</v>
          </cell>
          <cell r="BG151">
            <v>244360888750.80701</v>
          </cell>
          <cell r="BH151">
            <v>270556131701.17099</v>
          </cell>
          <cell r="BI151">
            <v>278654637737.69</v>
          </cell>
          <cell r="BJ151">
            <v>304567253219.09698</v>
          </cell>
          <cell r="BK151">
            <v>314567541558.33899</v>
          </cell>
          <cell r="BL151">
            <v>279056608888.638</v>
          </cell>
          <cell r="BM151">
            <v>262610002938.509</v>
          </cell>
          <cell r="BN151">
            <v>262610002938.509</v>
          </cell>
        </row>
        <row r="152">
          <cell r="B152" t="str">
            <v>PLW</v>
          </cell>
          <cell r="C152" t="str">
            <v>GDP (current US$)</v>
          </cell>
          <cell r="D152" t="str">
            <v>NY.GDP.MKTP.CD</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v>146297500</v>
          </cell>
          <cell r="AT152">
            <v>156907900</v>
          </cell>
          <cell r="AU152">
            <v>163184900</v>
          </cell>
          <cell r="AV152">
            <v>153963200</v>
          </cell>
          <cell r="AW152">
            <v>165186200</v>
          </cell>
          <cell r="AX152">
            <v>190452900</v>
          </cell>
          <cell r="AY152">
            <v>192382400</v>
          </cell>
          <cell r="AZ152">
            <v>198897700</v>
          </cell>
          <cell r="BA152">
            <v>198283900</v>
          </cell>
          <cell r="BB152">
            <v>187522800</v>
          </cell>
          <cell r="BC152">
            <v>185943000</v>
          </cell>
          <cell r="BD152">
            <v>196911100</v>
          </cell>
          <cell r="BE152">
            <v>212397800</v>
          </cell>
          <cell r="BF152">
            <v>221117200</v>
          </cell>
          <cell r="BG152">
            <v>241669800</v>
          </cell>
          <cell r="BH152">
            <v>280457700</v>
          </cell>
          <cell r="BI152">
            <v>298300000</v>
          </cell>
          <cell r="BJ152">
            <v>285300000</v>
          </cell>
          <cell r="BK152">
            <v>284700000</v>
          </cell>
          <cell r="BL152">
            <v>274200000</v>
          </cell>
          <cell r="BM152">
            <v>257700000</v>
          </cell>
          <cell r="BN152">
            <v>257700000</v>
          </cell>
        </row>
        <row r="153">
          <cell r="B153" t="str">
            <v>PAN</v>
          </cell>
          <cell r="C153" t="str">
            <v>GDP (current US$)</v>
          </cell>
          <cell r="D153" t="str">
            <v>NY.GDP.MKTP.CD</v>
          </cell>
          <cell r="E153">
            <v>537147100</v>
          </cell>
          <cell r="F153">
            <v>599026300</v>
          </cell>
          <cell r="G153">
            <v>652120900</v>
          </cell>
          <cell r="H153">
            <v>722784500</v>
          </cell>
          <cell r="I153">
            <v>776137500</v>
          </cell>
          <cell r="J153">
            <v>852485300</v>
          </cell>
          <cell r="K153">
            <v>928833000</v>
          </cell>
          <cell r="L153">
            <v>1034376400</v>
          </cell>
          <cell r="M153">
            <v>1112791100</v>
          </cell>
          <cell r="N153">
            <v>1221305700</v>
          </cell>
          <cell r="O153">
            <v>1351006400</v>
          </cell>
          <cell r="P153">
            <v>1523917200</v>
          </cell>
          <cell r="Q153">
            <v>1673411700</v>
          </cell>
          <cell r="R153">
            <v>1913793400</v>
          </cell>
          <cell r="S153">
            <v>2188307600</v>
          </cell>
          <cell r="T153">
            <v>2435304100</v>
          </cell>
          <cell r="U153">
            <v>2588106000</v>
          </cell>
          <cell r="V153">
            <v>2738261900</v>
          </cell>
          <cell r="W153">
            <v>3244558600</v>
          </cell>
          <cell r="X153">
            <v>3704551600</v>
          </cell>
          <cell r="Y153">
            <v>4614086400</v>
          </cell>
          <cell r="Z153">
            <v>5222421500</v>
          </cell>
          <cell r="AA153">
            <v>5769767900</v>
          </cell>
          <cell r="AB153">
            <v>5923755900</v>
          </cell>
          <cell r="AC153">
            <v>6183387100</v>
          </cell>
          <cell r="AD153">
            <v>6541517100</v>
          </cell>
          <cell r="AE153">
            <v>6797834200</v>
          </cell>
          <cell r="AF153">
            <v>6827665300</v>
          </cell>
          <cell r="AG153">
            <v>5902783400</v>
          </cell>
          <cell r="AH153">
            <v>5918469800</v>
          </cell>
          <cell r="AI153">
            <v>6433967000</v>
          </cell>
          <cell r="AJ153">
            <v>7074675500</v>
          </cell>
          <cell r="AK153">
            <v>8042337700</v>
          </cell>
          <cell r="AL153">
            <v>8782585400</v>
          </cell>
          <cell r="AM153">
            <v>9365289800</v>
          </cell>
          <cell r="AN153">
            <v>9573813700</v>
          </cell>
          <cell r="AO153">
            <v>9870494000</v>
          </cell>
          <cell r="AP153">
            <v>10677286100</v>
          </cell>
          <cell r="AQ153">
            <v>11575486400</v>
          </cell>
          <cell r="AR153">
            <v>12130252200</v>
          </cell>
          <cell r="AS153">
            <v>12304115000</v>
          </cell>
          <cell r="AT153">
            <v>12502013400</v>
          </cell>
          <cell r="AU153">
            <v>12994310400</v>
          </cell>
          <cell r="AV153">
            <v>13693981200</v>
          </cell>
          <cell r="AW153">
            <v>15013381700</v>
          </cell>
          <cell r="AX153">
            <v>16374393900</v>
          </cell>
          <cell r="AY153">
            <v>18141666300</v>
          </cell>
          <cell r="AZ153">
            <v>21295984230.256401</v>
          </cell>
          <cell r="BA153">
            <v>25155888616.321999</v>
          </cell>
          <cell r="BB153">
            <v>27116635565.174198</v>
          </cell>
          <cell r="BC153">
            <v>29440287581.267502</v>
          </cell>
          <cell r="BD153">
            <v>34686224301.177299</v>
          </cell>
          <cell r="BE153">
            <v>40429734384.218399</v>
          </cell>
          <cell r="BF153">
            <v>45599994004.887299</v>
          </cell>
          <cell r="BG153">
            <v>49921464365.320396</v>
          </cell>
          <cell r="BH153">
            <v>54091713775.5634</v>
          </cell>
          <cell r="BI153">
            <v>57907695408.939201</v>
          </cell>
          <cell r="BJ153">
            <v>62202725204.4646</v>
          </cell>
          <cell r="BK153">
            <v>64929409212.456596</v>
          </cell>
          <cell r="BL153">
            <v>66984427150.320999</v>
          </cell>
          <cell r="BM153">
            <v>53977036995.172897</v>
          </cell>
          <cell r="BN153">
            <v>53977036995.172897</v>
          </cell>
        </row>
        <row r="154">
          <cell r="B154" t="str">
            <v>PNG</v>
          </cell>
          <cell r="C154" t="str">
            <v>GDP (current US$)</v>
          </cell>
          <cell r="D154" t="str">
            <v>NY.GDP.MKTP.CD</v>
          </cell>
          <cell r="E154">
            <v>230496032.98121601</v>
          </cell>
          <cell r="F154">
            <v>244832035.03252599</v>
          </cell>
          <cell r="G154">
            <v>261184037.372302</v>
          </cell>
          <cell r="H154">
            <v>275968039.48771501</v>
          </cell>
          <cell r="I154">
            <v>305312043.68649</v>
          </cell>
          <cell r="J154">
            <v>344159480.34494299</v>
          </cell>
          <cell r="K154">
            <v>390973233.28480202</v>
          </cell>
          <cell r="L154">
            <v>441706910.068317</v>
          </cell>
          <cell r="M154">
            <v>485160824.28043503</v>
          </cell>
          <cell r="N154">
            <v>551237316.60880303</v>
          </cell>
          <cell r="O154">
            <v>645537126.217942</v>
          </cell>
          <cell r="P154">
            <v>717716130.49388301</v>
          </cell>
          <cell r="Q154">
            <v>858802035.92814398</v>
          </cell>
          <cell r="R154">
            <v>1299105240.7328501</v>
          </cell>
          <cell r="S154">
            <v>1467346059.9971299</v>
          </cell>
          <cell r="T154">
            <v>1356591176.8556099</v>
          </cell>
          <cell r="U154">
            <v>1511856584.2583301</v>
          </cell>
          <cell r="V154">
            <v>1640763204.4478099</v>
          </cell>
          <cell r="W154">
            <v>1947947524.3334701</v>
          </cell>
          <cell r="X154">
            <v>2293621944.3663902</v>
          </cell>
          <cell r="Y154">
            <v>2545983007.8998399</v>
          </cell>
          <cell r="Z154">
            <v>2498068350.6686502</v>
          </cell>
          <cell r="AA154">
            <v>2368584969.5328398</v>
          </cell>
          <cell r="AB154">
            <v>2562492524.8176098</v>
          </cell>
          <cell r="AC154">
            <v>2552526263.0759001</v>
          </cell>
          <cell r="AD154">
            <v>2423373088.0735798</v>
          </cell>
          <cell r="AE154">
            <v>2648033765.6989899</v>
          </cell>
          <cell r="AF154">
            <v>3143848331.3140202</v>
          </cell>
          <cell r="AG154">
            <v>3655979702.45646</v>
          </cell>
          <cell r="AH154">
            <v>3546460176.9911499</v>
          </cell>
          <cell r="AI154">
            <v>3219730364.9962301</v>
          </cell>
          <cell r="AJ154">
            <v>3787394957.9831901</v>
          </cell>
          <cell r="AK154">
            <v>4377980510.0559797</v>
          </cell>
          <cell r="AL154">
            <v>4974550286.1815205</v>
          </cell>
          <cell r="AM154">
            <v>5502786069.6517401</v>
          </cell>
          <cell r="AN154">
            <v>4636057476.4256802</v>
          </cell>
          <cell r="AO154">
            <v>5155311077.3899803</v>
          </cell>
          <cell r="AP154">
            <v>4936615298.7936697</v>
          </cell>
          <cell r="AQ154">
            <v>3789443014.6166201</v>
          </cell>
          <cell r="AR154">
            <v>3477038204.0173302</v>
          </cell>
          <cell r="AS154">
            <v>3521339699.07407</v>
          </cell>
          <cell r="AT154">
            <v>3081024212.4292402</v>
          </cell>
          <cell r="AU154">
            <v>2999511040.1976399</v>
          </cell>
          <cell r="AV154">
            <v>3536411824.2958002</v>
          </cell>
          <cell r="AW154">
            <v>3927157866.9646502</v>
          </cell>
          <cell r="AX154">
            <v>4865892972.2759504</v>
          </cell>
          <cell r="AY154">
            <v>8355006706.57899</v>
          </cell>
          <cell r="AZ154">
            <v>9545177014.1301003</v>
          </cell>
          <cell r="BA154">
            <v>11670840931.817301</v>
          </cell>
          <cell r="BB154">
            <v>11619637798.990999</v>
          </cell>
          <cell r="BC154">
            <v>14250755231.1257</v>
          </cell>
          <cell r="BD154">
            <v>17984910501.8979</v>
          </cell>
          <cell r="BE154">
            <v>21295659243.616798</v>
          </cell>
          <cell r="BF154">
            <v>21261432791.267502</v>
          </cell>
          <cell r="BG154">
            <v>23210682538.392799</v>
          </cell>
          <cell r="BH154">
            <v>21723531173.240898</v>
          </cell>
          <cell r="BI154">
            <v>20759069103.0961</v>
          </cell>
          <cell r="BJ154">
            <v>22742613553.687901</v>
          </cell>
          <cell r="BK154">
            <v>24109509852.7402</v>
          </cell>
          <cell r="BL154">
            <v>24751344552.2057</v>
          </cell>
          <cell r="BM154">
            <v>24668899683.429901</v>
          </cell>
          <cell r="BN154">
            <v>24668899683.429901</v>
          </cell>
        </row>
        <row r="155">
          <cell r="B155" t="str">
            <v>PRY</v>
          </cell>
          <cell r="C155" t="str">
            <v>GDP (current US$)</v>
          </cell>
          <cell r="D155" t="str">
            <v>NY.GDP.MKTP.CD</v>
          </cell>
          <cell r="E155" t="str">
            <v>..</v>
          </cell>
          <cell r="F155" t="str">
            <v>..</v>
          </cell>
          <cell r="G155" t="str">
            <v>..</v>
          </cell>
          <cell r="H155" t="str">
            <v>..</v>
          </cell>
          <cell r="I155" t="str">
            <v>..</v>
          </cell>
          <cell r="J155">
            <v>443587301.58730203</v>
          </cell>
          <cell r="K155">
            <v>465888888.88888901</v>
          </cell>
          <cell r="L155">
            <v>492674603.17460299</v>
          </cell>
          <cell r="M155">
            <v>517650793.65079403</v>
          </cell>
          <cell r="N155">
            <v>556293650.79365098</v>
          </cell>
          <cell r="O155">
            <v>594611111.11111104</v>
          </cell>
          <cell r="P155">
            <v>664571428.57142901</v>
          </cell>
          <cell r="Q155">
            <v>769039682.53968298</v>
          </cell>
          <cell r="R155">
            <v>995531746.03174603</v>
          </cell>
          <cell r="S155">
            <v>1333475396.8254001</v>
          </cell>
          <cell r="T155">
            <v>1511420634.92063</v>
          </cell>
          <cell r="U155">
            <v>1698960317.46032</v>
          </cell>
          <cell r="V155">
            <v>2092158730.15873</v>
          </cell>
          <cell r="W155">
            <v>2559857142.8571401</v>
          </cell>
          <cell r="X155">
            <v>3416777777.7777801</v>
          </cell>
          <cell r="Y155">
            <v>4448087301.5873003</v>
          </cell>
          <cell r="Z155">
            <v>5624515873.0158701</v>
          </cell>
          <cell r="AA155">
            <v>5419411764.7058802</v>
          </cell>
          <cell r="AB155">
            <v>5673248726.18009</v>
          </cell>
          <cell r="AC155">
            <v>4502462807.0601997</v>
          </cell>
          <cell r="AD155">
            <v>3282449235.8726101</v>
          </cell>
          <cell r="AE155">
            <v>3723993942.7200398</v>
          </cell>
          <cell r="AF155">
            <v>3971044723.8015399</v>
          </cell>
          <cell r="AG155">
            <v>4255683528.3396802</v>
          </cell>
          <cell r="AH155">
            <v>4757732199.9667797</v>
          </cell>
          <cell r="AI155">
            <v>5812114523.0270205</v>
          </cell>
          <cell r="AJ155">
            <v>6984367762.9037104</v>
          </cell>
          <cell r="AK155">
            <v>7157424031.0604496</v>
          </cell>
          <cell r="AL155">
            <v>7249533620.3061399</v>
          </cell>
          <cell r="AM155">
            <v>7870982004.8195</v>
          </cell>
          <cell r="AN155">
            <v>9062131475.02318</v>
          </cell>
          <cell r="AO155">
            <v>9788391780.52421</v>
          </cell>
          <cell r="AP155">
            <v>9965225678.05093</v>
          </cell>
          <cell r="AQ155">
            <v>9260481572.4246197</v>
          </cell>
          <cell r="AR155">
            <v>8837070235.5189209</v>
          </cell>
          <cell r="AS155">
            <v>8855705139.5585709</v>
          </cell>
          <cell r="AT155">
            <v>8495806432.1846704</v>
          </cell>
          <cell r="AU155">
            <v>7196260656.8455601</v>
          </cell>
          <cell r="AV155">
            <v>7691367471.1799202</v>
          </cell>
          <cell r="AW155">
            <v>9624440836.2930908</v>
          </cell>
          <cell r="AX155">
            <v>10737500188.112301</v>
          </cell>
          <cell r="AY155">
            <v>13429430050.261</v>
          </cell>
          <cell r="AZ155">
            <v>17856270473.153</v>
          </cell>
          <cell r="BA155">
            <v>24616537618.232498</v>
          </cell>
          <cell r="BB155">
            <v>22355601273.3545</v>
          </cell>
          <cell r="BC155">
            <v>27237782849.6908</v>
          </cell>
          <cell r="BD155">
            <v>33756238766.5</v>
          </cell>
          <cell r="BE155">
            <v>33296438306.474701</v>
          </cell>
          <cell r="BF155">
            <v>38651334287.673203</v>
          </cell>
          <cell r="BG155">
            <v>40377987208.689003</v>
          </cell>
          <cell r="BH155">
            <v>36211372702.808502</v>
          </cell>
          <cell r="BI155">
            <v>36089550659.0914</v>
          </cell>
          <cell r="BJ155">
            <v>38997129473.555801</v>
          </cell>
          <cell r="BK155">
            <v>40225448340.632202</v>
          </cell>
          <cell r="BL155">
            <v>37906944074.612801</v>
          </cell>
          <cell r="BM155">
            <v>35670301496.106102</v>
          </cell>
          <cell r="BN155">
            <v>35670301496.106102</v>
          </cell>
        </row>
        <row r="156">
          <cell r="B156" t="str">
            <v>PER</v>
          </cell>
          <cell r="C156" t="str">
            <v>GDP (current US$)</v>
          </cell>
          <cell r="D156" t="str">
            <v>NY.GDP.MKTP.CD</v>
          </cell>
          <cell r="E156">
            <v>2571908062.07692</v>
          </cell>
          <cell r="F156">
            <v>2899654840.3656702</v>
          </cell>
          <cell r="G156">
            <v>3286773187.8768702</v>
          </cell>
          <cell r="H156">
            <v>3600957771.1529899</v>
          </cell>
          <cell r="I156">
            <v>4356913870.2350702</v>
          </cell>
          <cell r="J156">
            <v>5166861068.4216404</v>
          </cell>
          <cell r="K156">
            <v>6113607728.1567202</v>
          </cell>
          <cell r="L156">
            <v>6204253758.5761604</v>
          </cell>
          <cell r="M156">
            <v>5736083835.2248096</v>
          </cell>
          <cell r="N156">
            <v>6420909789.6382399</v>
          </cell>
          <cell r="O156">
            <v>7432223176.7726097</v>
          </cell>
          <cell r="P156">
            <v>8289582883.5012903</v>
          </cell>
          <cell r="Q156">
            <v>9189413409.0129204</v>
          </cell>
          <cell r="R156">
            <v>10994381894.798401</v>
          </cell>
          <cell r="S156">
            <v>13858441211.219601</v>
          </cell>
          <cell r="T156">
            <v>16877163792.128401</v>
          </cell>
          <cell r="U156">
            <v>15947709379.6507</v>
          </cell>
          <cell r="V156">
            <v>14620386673.854401</v>
          </cell>
          <cell r="W156">
            <v>12495779622.070999</v>
          </cell>
          <cell r="X156">
            <v>15962459447.216801</v>
          </cell>
          <cell r="Y156">
            <v>18134029179.639301</v>
          </cell>
          <cell r="Z156">
            <v>21649137620.3055</v>
          </cell>
          <cell r="AA156">
            <v>21793496819.337898</v>
          </cell>
          <cell r="AB156">
            <v>17345624453.691601</v>
          </cell>
          <cell r="AC156">
            <v>17599660054.285999</v>
          </cell>
          <cell r="AD156">
            <v>16548827018.287201</v>
          </cell>
          <cell r="AE156">
            <v>15244232957.8759</v>
          </cell>
          <cell r="AF156">
            <v>20702298396.971699</v>
          </cell>
          <cell r="AG156">
            <v>15439408447.2288</v>
          </cell>
          <cell r="AH156">
            <v>22499559086.034302</v>
          </cell>
          <cell r="AI156">
            <v>26410386669.360901</v>
          </cell>
          <cell r="AJ156">
            <v>34341465998.200298</v>
          </cell>
          <cell r="AK156">
            <v>35966302303.263</v>
          </cell>
          <cell r="AL156">
            <v>34832077220.853699</v>
          </cell>
          <cell r="AM156">
            <v>44882079766.891296</v>
          </cell>
          <cell r="AN156">
            <v>53312793687.383598</v>
          </cell>
          <cell r="AO156">
            <v>55252414130.301903</v>
          </cell>
          <cell r="AP156">
            <v>58147522522.522499</v>
          </cell>
          <cell r="AQ156">
            <v>55501467877.380997</v>
          </cell>
          <cell r="AR156">
            <v>50187324567.883003</v>
          </cell>
          <cell r="AS156">
            <v>51744749133.212997</v>
          </cell>
          <cell r="AT156">
            <v>52030158775.405502</v>
          </cell>
          <cell r="AU156">
            <v>54777553515.080902</v>
          </cell>
          <cell r="AV156">
            <v>58731030121.867104</v>
          </cell>
          <cell r="AW156">
            <v>66768703497.568703</v>
          </cell>
          <cell r="AX156">
            <v>76060606060.606094</v>
          </cell>
          <cell r="AY156">
            <v>88643193061.748001</v>
          </cell>
          <cell r="AZ156">
            <v>102170981144.136</v>
          </cell>
          <cell r="BA156">
            <v>120550599815.44099</v>
          </cell>
          <cell r="BB156">
            <v>120822986521.479</v>
          </cell>
          <cell r="BC156">
            <v>147528937028.77802</v>
          </cell>
          <cell r="BD156">
            <v>171761737046.58499</v>
          </cell>
          <cell r="BE156">
            <v>192648999090.082</v>
          </cell>
          <cell r="BF156">
            <v>201175469114.327</v>
          </cell>
          <cell r="BG156">
            <v>200789362451.56699</v>
          </cell>
          <cell r="BH156">
            <v>189805300841.603</v>
          </cell>
          <cell r="BI156">
            <v>191895943823.88699</v>
          </cell>
          <cell r="BJ156">
            <v>211007207483.51501</v>
          </cell>
          <cell r="BK156">
            <v>222574697255.522</v>
          </cell>
          <cell r="BL156">
            <v>228470919605.66901</v>
          </cell>
          <cell r="BM156">
            <v>202014363787.233</v>
          </cell>
          <cell r="BN156">
            <v>202014363787.233</v>
          </cell>
        </row>
        <row r="157">
          <cell r="B157" t="str">
            <v>PHL</v>
          </cell>
          <cell r="C157" t="str">
            <v>GDP (current US$)</v>
          </cell>
          <cell r="D157" t="str">
            <v>NY.GDP.MKTP.CD</v>
          </cell>
          <cell r="E157">
            <v>7515886650.5015898</v>
          </cell>
          <cell r="F157">
            <v>8171186334.4445105</v>
          </cell>
          <cell r="G157">
            <v>4954529277.1104403</v>
          </cell>
          <cell r="H157">
            <v>5505055617.64991</v>
          </cell>
          <cell r="I157">
            <v>5953766853.8144999</v>
          </cell>
          <cell r="J157">
            <v>6517304757.9980001</v>
          </cell>
          <cell r="K157">
            <v>7189017887.7981005</v>
          </cell>
          <cell r="L157">
            <v>7724873935.1514101</v>
          </cell>
          <cell r="M157">
            <v>8632749269.3596401</v>
          </cell>
          <cell r="N157">
            <v>9571800652.6134892</v>
          </cell>
          <cell r="O157">
            <v>7559179530.3993502</v>
          </cell>
          <cell r="P157">
            <v>8375086047.1019602</v>
          </cell>
          <cell r="Q157">
            <v>9067872578.9369907</v>
          </cell>
          <cell r="R157">
            <v>11412421019.6329</v>
          </cell>
          <cell r="S157">
            <v>15607825070.495001</v>
          </cell>
          <cell r="T157">
            <v>16875240683.068501</v>
          </cell>
          <cell r="U157">
            <v>19380945792.685398</v>
          </cell>
          <cell r="V157">
            <v>22283185056.1012</v>
          </cell>
          <cell r="W157">
            <v>25762077665.031101</v>
          </cell>
          <cell r="X157">
            <v>31218507870.1702</v>
          </cell>
          <cell r="Y157">
            <v>36848242783.898697</v>
          </cell>
          <cell r="Z157">
            <v>40499645207.807198</v>
          </cell>
          <cell r="AA157">
            <v>42206011274.795601</v>
          </cell>
          <cell r="AB157">
            <v>37759237657.924797</v>
          </cell>
          <cell r="AC157">
            <v>35730202751.025803</v>
          </cell>
          <cell r="AD157">
            <v>34961565262.713799</v>
          </cell>
          <cell r="AE157">
            <v>33987178952.488998</v>
          </cell>
          <cell r="AF157">
            <v>37791442730.781097</v>
          </cell>
          <cell r="AG157">
            <v>43152077817.468597</v>
          </cell>
          <cell r="AH157">
            <v>48513735777.314903</v>
          </cell>
          <cell r="AI157">
            <v>50508286643.018402</v>
          </cell>
          <cell r="AJ157">
            <v>51784207132.124603</v>
          </cell>
          <cell r="AK157">
            <v>60422309296.982697</v>
          </cell>
          <cell r="AL157">
            <v>62036625222.9655</v>
          </cell>
          <cell r="AM157">
            <v>73159245524.465103</v>
          </cell>
          <cell r="AN157">
            <v>84644220102.073196</v>
          </cell>
          <cell r="AO157">
            <v>94648084428.823502</v>
          </cell>
          <cell r="AP157">
            <v>94106183450.267502</v>
          </cell>
          <cell r="AQ157">
            <v>74492325247.065704</v>
          </cell>
          <cell r="AR157">
            <v>85640133799.795105</v>
          </cell>
          <cell r="AS157">
            <v>83669693589.154694</v>
          </cell>
          <cell r="AT157">
            <v>78921234457.233002</v>
          </cell>
          <cell r="AU157">
            <v>84307291974.473297</v>
          </cell>
          <cell r="AV157">
            <v>87039145965.009293</v>
          </cell>
          <cell r="AW157">
            <v>95002028504.690796</v>
          </cell>
          <cell r="AX157">
            <v>107419961717.119</v>
          </cell>
          <cell r="AY157">
            <v>127652859201.489</v>
          </cell>
          <cell r="AZ157">
            <v>155980378252.86301</v>
          </cell>
          <cell r="BA157">
            <v>181624577153.97</v>
          </cell>
          <cell r="BB157">
            <v>175974711591.53</v>
          </cell>
          <cell r="BC157">
            <v>208368726860.828</v>
          </cell>
          <cell r="BD157">
            <v>234216930369.37299</v>
          </cell>
          <cell r="BE157">
            <v>261920509949.785</v>
          </cell>
          <cell r="BF157">
            <v>283902728259.78802</v>
          </cell>
          <cell r="BG157">
            <v>297483247100.85498</v>
          </cell>
          <cell r="BH157">
            <v>306446140627.93298</v>
          </cell>
          <cell r="BI157">
            <v>318626761492.30499</v>
          </cell>
          <cell r="BJ157">
            <v>328480867143.20398</v>
          </cell>
          <cell r="BK157">
            <v>346842094174.513</v>
          </cell>
          <cell r="BL157">
            <v>376823278560.849</v>
          </cell>
          <cell r="BM157">
            <v>361489325230.73102</v>
          </cell>
          <cell r="BN157">
            <v>361489325230.73102</v>
          </cell>
        </row>
        <row r="158">
          <cell r="B158" t="str">
            <v>POL</v>
          </cell>
          <cell r="C158" t="str">
            <v>GDP (current US$)</v>
          </cell>
          <cell r="D158" t="str">
            <v>NY.GDP.MKTP.CD</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v>65977749036.984398</v>
          </cell>
          <cell r="AJ158">
            <v>85500935934.990097</v>
          </cell>
          <cell r="AK158">
            <v>94337050693.272705</v>
          </cell>
          <cell r="AL158">
            <v>96045645026.177994</v>
          </cell>
          <cell r="AM158">
            <v>110803391516.698</v>
          </cell>
          <cell r="AN158">
            <v>142292783505.155</v>
          </cell>
          <cell r="AO158">
            <v>160193242090.427</v>
          </cell>
          <cell r="AP158">
            <v>159357789772.207</v>
          </cell>
          <cell r="AQ158">
            <v>174685791563.561</v>
          </cell>
          <cell r="AR158">
            <v>170031005016.259</v>
          </cell>
          <cell r="AS158">
            <v>172219461126.06699</v>
          </cell>
          <cell r="AT158">
            <v>190905493539.168</v>
          </cell>
          <cell r="AU158">
            <v>199072058823.52899</v>
          </cell>
          <cell r="AV158">
            <v>217827260805.84201</v>
          </cell>
          <cell r="AW158">
            <v>255110181539.80801</v>
          </cell>
          <cell r="AX158">
            <v>306144336269.51001</v>
          </cell>
          <cell r="AY158">
            <v>344622003093.58099</v>
          </cell>
          <cell r="AZ158">
            <v>429028505365.078</v>
          </cell>
          <cell r="BA158">
            <v>533609081852.89697</v>
          </cell>
          <cell r="BB158">
            <v>439737508413.19202</v>
          </cell>
          <cell r="BC158">
            <v>479834179020.33002</v>
          </cell>
          <cell r="BD158">
            <v>528301269069.79901</v>
          </cell>
          <cell r="BE158">
            <v>498523568248.11902</v>
          </cell>
          <cell r="BF158">
            <v>521016262734.92401</v>
          </cell>
          <cell r="BG158">
            <v>542477096211.76099</v>
          </cell>
          <cell r="BH158">
            <v>477811911394.08398</v>
          </cell>
          <cell r="BI158">
            <v>472630364208.177</v>
          </cell>
          <cell r="BJ158">
            <v>526508877305.32098</v>
          </cell>
          <cell r="BK158">
            <v>587411745161.55798</v>
          </cell>
          <cell r="BL158">
            <v>597280564671.56299</v>
          </cell>
          <cell r="BM158">
            <v>596624355719.67102</v>
          </cell>
          <cell r="BN158">
            <v>596624355719.67102</v>
          </cell>
        </row>
        <row r="159">
          <cell r="B159" t="str">
            <v>PRT</v>
          </cell>
          <cell r="C159" t="str">
            <v>GDP (current US$)</v>
          </cell>
          <cell r="D159" t="str">
            <v>NY.GDP.MKTP.CD</v>
          </cell>
          <cell r="E159">
            <v>3193200404.3729701</v>
          </cell>
          <cell r="F159">
            <v>3417516639.3759599</v>
          </cell>
          <cell r="G159">
            <v>3668222357.6570201</v>
          </cell>
          <cell r="H159">
            <v>3905734459.7269301</v>
          </cell>
          <cell r="I159">
            <v>4235608177.67102</v>
          </cell>
          <cell r="J159">
            <v>4687464054.8345499</v>
          </cell>
          <cell r="K159">
            <v>5135387845.9710798</v>
          </cell>
          <cell r="L159">
            <v>5740241165.6343298</v>
          </cell>
          <cell r="M159">
            <v>6354262628.3353701</v>
          </cell>
          <cell r="N159">
            <v>6969025825.6286802</v>
          </cell>
          <cell r="O159">
            <v>8108235704.3235703</v>
          </cell>
          <cell r="P159">
            <v>9201604240.28269</v>
          </cell>
          <cell r="Q159">
            <v>11239117865.085199</v>
          </cell>
          <cell r="R159">
            <v>15090564186.4268</v>
          </cell>
          <cell r="S159">
            <v>17512391475.927399</v>
          </cell>
          <cell r="T159">
            <v>19347607843.137299</v>
          </cell>
          <cell r="U159">
            <v>20332831564.986698</v>
          </cell>
          <cell r="V159">
            <v>21439523310.633801</v>
          </cell>
          <cell r="W159">
            <v>23487614051.094898</v>
          </cell>
          <cell r="X159">
            <v>26622819672.1311</v>
          </cell>
          <cell r="Y159">
            <v>32896519823.788502</v>
          </cell>
          <cell r="Z159">
            <v>31977276872.964199</v>
          </cell>
          <cell r="AA159">
            <v>30527754793.138199</v>
          </cell>
          <cell r="AB159">
            <v>27239650741.947201</v>
          </cell>
          <cell r="AC159">
            <v>25217969049.5755</v>
          </cell>
          <cell r="AD159">
            <v>27115807742.087299</v>
          </cell>
          <cell r="AE159">
            <v>38745901353.705902</v>
          </cell>
          <cell r="AF159">
            <v>48182925857.407097</v>
          </cell>
          <cell r="AG159">
            <v>56347250696.378799</v>
          </cell>
          <cell r="AH159">
            <v>60594092182.327499</v>
          </cell>
          <cell r="AI159">
            <v>78713860216.565903</v>
          </cell>
          <cell r="AJ159">
            <v>89233599278.479202</v>
          </cell>
          <cell r="AK159">
            <v>107592098307.09801</v>
          </cell>
          <cell r="AL159">
            <v>95009751901.259201</v>
          </cell>
          <cell r="AM159">
            <v>99688641304.347794</v>
          </cell>
          <cell r="AN159">
            <v>118122007430.01199</v>
          </cell>
          <cell r="AO159">
            <v>122630089680.27</v>
          </cell>
          <cell r="AP159">
            <v>117016535162.95</v>
          </cell>
          <cell r="AQ159">
            <v>123946327916.29601</v>
          </cell>
          <cell r="AR159">
            <v>127427343916.47099</v>
          </cell>
          <cell r="AS159">
            <v>118310710337.203</v>
          </cell>
          <cell r="AT159">
            <v>121498889485.459</v>
          </cell>
          <cell r="AU159">
            <v>134156091661.961</v>
          </cell>
          <cell r="AV159">
            <v>164862142212.19</v>
          </cell>
          <cell r="AW159">
            <v>189034502110.75201</v>
          </cell>
          <cell r="AX159">
            <v>197180330804.62601</v>
          </cell>
          <cell r="AY159">
            <v>208581694893.991</v>
          </cell>
          <cell r="AZ159">
            <v>240190803449.22</v>
          </cell>
          <cell r="BA159">
            <v>262344779551.78</v>
          </cell>
          <cell r="BB159">
            <v>243701635176.43799</v>
          </cell>
          <cell r="BC159">
            <v>237880908317.65201</v>
          </cell>
          <cell r="BD159">
            <v>244797226567.10901</v>
          </cell>
          <cell r="BE159">
            <v>216236608773.97601</v>
          </cell>
          <cell r="BF159">
            <v>226369502104.23599</v>
          </cell>
          <cell r="BG159">
            <v>229596170846.995</v>
          </cell>
          <cell r="BH159">
            <v>199313894327.48599</v>
          </cell>
          <cell r="BI159">
            <v>206286022781.89401</v>
          </cell>
          <cell r="BJ159">
            <v>220811110492.14899</v>
          </cell>
          <cell r="BK159">
            <v>242194788533.53699</v>
          </cell>
          <cell r="BL159">
            <v>239986922638.90201</v>
          </cell>
          <cell r="BM159">
            <v>228539245045.341</v>
          </cell>
          <cell r="BN159">
            <v>228539245045.341</v>
          </cell>
        </row>
        <row r="160">
          <cell r="B160" t="str">
            <v>PRI</v>
          </cell>
          <cell r="C160" t="str">
            <v>GDP (current US$)</v>
          </cell>
          <cell r="D160" t="str">
            <v>NY.GDP.MKTP.CD</v>
          </cell>
          <cell r="E160">
            <v>1691900000</v>
          </cell>
          <cell r="F160">
            <v>1865100000</v>
          </cell>
          <cell r="G160">
            <v>2094400000</v>
          </cell>
          <cell r="H160">
            <v>2333600000</v>
          </cell>
          <cell r="I160">
            <v>2570500000</v>
          </cell>
          <cell r="J160">
            <v>2881500000</v>
          </cell>
          <cell r="K160">
            <v>3170500000</v>
          </cell>
          <cell r="L160">
            <v>3532700000</v>
          </cell>
          <cell r="M160">
            <v>3941700000</v>
          </cell>
          <cell r="N160">
            <v>4460700000</v>
          </cell>
          <cell r="O160">
            <v>5034700000</v>
          </cell>
          <cell r="P160">
            <v>5646800000</v>
          </cell>
          <cell r="Q160">
            <v>6328900000</v>
          </cell>
          <cell r="R160">
            <v>7002400000</v>
          </cell>
          <cell r="S160">
            <v>7684800000</v>
          </cell>
          <cell r="T160">
            <v>8198300000</v>
          </cell>
          <cell r="U160">
            <v>8968600000</v>
          </cell>
          <cell r="V160">
            <v>9910900000</v>
          </cell>
          <cell r="W160">
            <v>11165000000</v>
          </cell>
          <cell r="X160">
            <v>12750000000</v>
          </cell>
          <cell r="Y160">
            <v>14436100000</v>
          </cell>
          <cell r="Z160">
            <v>15955700000</v>
          </cell>
          <cell r="AA160">
            <v>16764200000</v>
          </cell>
          <cell r="AB160">
            <v>17276600000</v>
          </cell>
          <cell r="AC160">
            <v>19162600000</v>
          </cell>
          <cell r="AD160">
            <v>20289200000</v>
          </cell>
          <cell r="AE160">
            <v>22009300000</v>
          </cell>
          <cell r="AF160">
            <v>24025800000</v>
          </cell>
          <cell r="AG160">
            <v>26385800000</v>
          </cell>
          <cell r="AH160">
            <v>28161200000</v>
          </cell>
          <cell r="AI160">
            <v>30603919000</v>
          </cell>
          <cell r="AJ160">
            <v>32287031000</v>
          </cell>
          <cell r="AK160">
            <v>34630430000</v>
          </cell>
          <cell r="AL160">
            <v>36922456000</v>
          </cell>
          <cell r="AM160">
            <v>39690630000</v>
          </cell>
          <cell r="AN160">
            <v>42647331000</v>
          </cell>
          <cell r="AO160">
            <v>45340835000</v>
          </cell>
          <cell r="AP160">
            <v>48187039000</v>
          </cell>
          <cell r="AQ160">
            <v>54086400000</v>
          </cell>
          <cell r="AR160">
            <v>57841000000</v>
          </cell>
          <cell r="AS160">
            <v>61701800000</v>
          </cell>
          <cell r="AT160">
            <v>69208400000</v>
          </cell>
          <cell r="AU160">
            <v>71623500000</v>
          </cell>
          <cell r="AV160">
            <v>74827400000</v>
          </cell>
          <cell r="AW160">
            <v>80322313000</v>
          </cell>
          <cell r="AX160">
            <v>83914521300</v>
          </cell>
          <cell r="AY160">
            <v>87276164400</v>
          </cell>
          <cell r="AZ160">
            <v>89524131600</v>
          </cell>
          <cell r="BA160">
            <v>93639300000</v>
          </cell>
          <cell r="BB160">
            <v>96385600000</v>
          </cell>
          <cell r="BC160">
            <v>98381300000</v>
          </cell>
          <cell r="BD160">
            <v>100351700000</v>
          </cell>
          <cell r="BE160">
            <v>101564800000</v>
          </cell>
          <cell r="BF160">
            <v>102450000000</v>
          </cell>
          <cell r="BG160">
            <v>102445800000</v>
          </cell>
          <cell r="BH160">
            <v>103375500000</v>
          </cell>
          <cell r="BI160">
            <v>104336700000</v>
          </cell>
          <cell r="BJ160">
            <v>103445526000</v>
          </cell>
          <cell r="BK160">
            <v>100925000000</v>
          </cell>
          <cell r="BL160">
            <v>104914600000</v>
          </cell>
          <cell r="BM160">
            <v>103138300000</v>
          </cell>
          <cell r="BN160">
            <v>103138300000</v>
          </cell>
        </row>
        <row r="161">
          <cell r="B161" t="str">
            <v>QAT</v>
          </cell>
          <cell r="C161" t="str">
            <v>GDP (current US$)</v>
          </cell>
          <cell r="D161" t="str">
            <v>NY.GDP.MKTP.CD</v>
          </cell>
          <cell r="E161" t="str">
            <v>..</v>
          </cell>
          <cell r="F161" t="str">
            <v>..</v>
          </cell>
          <cell r="G161" t="str">
            <v>..</v>
          </cell>
          <cell r="H161" t="str">
            <v>..</v>
          </cell>
          <cell r="I161" t="str">
            <v>..</v>
          </cell>
          <cell r="J161" t="str">
            <v>..</v>
          </cell>
          <cell r="K161" t="str">
            <v>..</v>
          </cell>
          <cell r="L161" t="str">
            <v>..</v>
          </cell>
          <cell r="M161" t="str">
            <v>..</v>
          </cell>
          <cell r="N161" t="str">
            <v>..</v>
          </cell>
          <cell r="O161">
            <v>301791301.79130203</v>
          </cell>
          <cell r="P161">
            <v>387700084.24599802</v>
          </cell>
          <cell r="Q161">
            <v>510259940.720474</v>
          </cell>
          <cell r="R161">
            <v>793884368.04043698</v>
          </cell>
          <cell r="S161">
            <v>2401403227.4408498</v>
          </cell>
          <cell r="T161">
            <v>2512784033.3782802</v>
          </cell>
          <cell r="U161">
            <v>3284301332.1895299</v>
          </cell>
          <cell r="V161">
            <v>3617580171.76055</v>
          </cell>
          <cell r="W161">
            <v>4052000412.70087</v>
          </cell>
          <cell r="X161">
            <v>5633000318.0240097</v>
          </cell>
          <cell r="Y161">
            <v>7829094613.0708199</v>
          </cell>
          <cell r="Z161">
            <v>8661263763.7362595</v>
          </cell>
          <cell r="AA161">
            <v>7596703214.2857103</v>
          </cell>
          <cell r="AB161">
            <v>6467582307.6923103</v>
          </cell>
          <cell r="AC161">
            <v>6704395824.1758204</v>
          </cell>
          <cell r="AD161">
            <v>6153296456.0439596</v>
          </cell>
          <cell r="AE161">
            <v>5053021950.5494499</v>
          </cell>
          <cell r="AF161">
            <v>5446428681.3186798</v>
          </cell>
          <cell r="AG161">
            <v>6038187032.9670296</v>
          </cell>
          <cell r="AH161">
            <v>6487912087.9120903</v>
          </cell>
          <cell r="AI161">
            <v>7360439423.0769196</v>
          </cell>
          <cell r="AJ161">
            <v>6883516483.5164804</v>
          </cell>
          <cell r="AK161">
            <v>7646153983.5164804</v>
          </cell>
          <cell r="AL161">
            <v>7156593653.8461504</v>
          </cell>
          <cell r="AM161">
            <v>7374450769.2307701</v>
          </cell>
          <cell r="AN161">
            <v>8137911978.0219803</v>
          </cell>
          <cell r="AO161">
            <v>9059340384.6153908</v>
          </cell>
          <cell r="AP161">
            <v>11297802115.3846</v>
          </cell>
          <cell r="AQ161">
            <v>10255495027.4725</v>
          </cell>
          <cell r="AR161">
            <v>12393131868.131901</v>
          </cell>
          <cell r="AS161">
            <v>17759890109.890099</v>
          </cell>
          <cell r="AT161">
            <v>17538461538.461498</v>
          </cell>
          <cell r="AU161">
            <v>19363736263.736301</v>
          </cell>
          <cell r="AV161">
            <v>23533791208.791199</v>
          </cell>
          <cell r="AW161">
            <v>31734065934.065899</v>
          </cell>
          <cell r="AX161">
            <v>44530494505.494499</v>
          </cell>
          <cell r="AY161">
            <v>60882142857.142899</v>
          </cell>
          <cell r="AZ161">
            <v>79712087912.087906</v>
          </cell>
          <cell r="BA161">
            <v>115270054945.05499</v>
          </cell>
          <cell r="BB161">
            <v>97798351648.351593</v>
          </cell>
          <cell r="BC161">
            <v>125122306346.15401</v>
          </cell>
          <cell r="BD161">
            <v>167775268626.37399</v>
          </cell>
          <cell r="BE161">
            <v>186833502362.63699</v>
          </cell>
          <cell r="BF161">
            <v>198727642967.03299</v>
          </cell>
          <cell r="BG161">
            <v>206224598571.42899</v>
          </cell>
          <cell r="BH161">
            <v>161739955576.923</v>
          </cell>
          <cell r="BI161">
            <v>151732181868.13199</v>
          </cell>
          <cell r="BJ161">
            <v>161099122225.27499</v>
          </cell>
          <cell r="BK161">
            <v>183334953818.681</v>
          </cell>
          <cell r="BL161">
            <v>176371267689.082</v>
          </cell>
          <cell r="BM161">
            <v>144411363345.26999</v>
          </cell>
          <cell r="BN161">
            <v>144411363345.26999</v>
          </cell>
        </row>
        <row r="162">
          <cell r="B162" t="str">
            <v>ROU</v>
          </cell>
          <cell r="C162" t="str">
            <v>GDP (current US$)</v>
          </cell>
          <cell r="D162" t="str">
            <v>NY.GDP.MKTP.CD</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v>38413636363.636398</v>
          </cell>
          <cell r="AG162">
            <v>40809523809.523804</v>
          </cell>
          <cell r="AH162">
            <v>42105263157.894699</v>
          </cell>
          <cell r="AI162">
            <v>38995454545.454498</v>
          </cell>
          <cell r="AJ162">
            <v>28998684210.526299</v>
          </cell>
          <cell r="AK162">
            <v>25121666666.666698</v>
          </cell>
          <cell r="AL162">
            <v>26362894736.842098</v>
          </cell>
          <cell r="AM162">
            <v>30074440483.383701</v>
          </cell>
          <cell r="AN162">
            <v>37435317265.125397</v>
          </cell>
          <cell r="AO162">
            <v>36937074278.3004</v>
          </cell>
          <cell r="AP162">
            <v>35574916294.642899</v>
          </cell>
          <cell r="AQ162">
            <v>41694118972.510101</v>
          </cell>
          <cell r="AR162">
            <v>35952781582.208298</v>
          </cell>
          <cell r="AS162">
            <v>37253259016.997597</v>
          </cell>
          <cell r="AT162">
            <v>40394824679.123199</v>
          </cell>
          <cell r="AU162">
            <v>46066101951.293297</v>
          </cell>
          <cell r="AV162">
            <v>57806506024.096397</v>
          </cell>
          <cell r="AW162">
            <v>74972669056.592194</v>
          </cell>
          <cell r="AX162">
            <v>98452791982.702393</v>
          </cell>
          <cell r="AY162">
            <v>122022997508.00999</v>
          </cell>
          <cell r="AZ162">
            <v>174585202805.233</v>
          </cell>
          <cell r="BA162">
            <v>214313628965.02399</v>
          </cell>
          <cell r="BB162">
            <v>174103695930.21301</v>
          </cell>
          <cell r="BC162">
            <v>166309355234.58899</v>
          </cell>
          <cell r="BD162">
            <v>183326740143.01599</v>
          </cell>
          <cell r="BE162">
            <v>170635805316.879</v>
          </cell>
          <cell r="BF162">
            <v>190801346194.297</v>
          </cell>
          <cell r="BG162">
            <v>199959363430.073</v>
          </cell>
          <cell r="BH162">
            <v>177729210874.504</v>
          </cell>
          <cell r="BI162">
            <v>188128818486.401</v>
          </cell>
          <cell r="BJ162">
            <v>211695422578.655</v>
          </cell>
          <cell r="BK162">
            <v>241457403085.04199</v>
          </cell>
          <cell r="BL162">
            <v>249881592298.07199</v>
          </cell>
          <cell r="BM162">
            <v>248715551366.63501</v>
          </cell>
          <cell r="BN162">
            <v>248715551366.63501</v>
          </cell>
        </row>
        <row r="163">
          <cell r="B163" t="str">
            <v>RUS</v>
          </cell>
          <cell r="C163" t="str">
            <v>GDP (current US$)</v>
          </cell>
          <cell r="D163" t="str">
            <v>NY.GDP.MKTP.CD</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v>554713455149.50195</v>
          </cell>
          <cell r="AH163">
            <v>506500173960.26898</v>
          </cell>
          <cell r="AI163">
            <v>516814274021.95599</v>
          </cell>
          <cell r="AJ163">
            <v>517962962962.96301</v>
          </cell>
          <cell r="AK163">
            <v>460290556900.72601</v>
          </cell>
          <cell r="AL163">
            <v>435083713850.83698</v>
          </cell>
          <cell r="AM163">
            <v>395077301248.46399</v>
          </cell>
          <cell r="AN163">
            <v>395537185734.854</v>
          </cell>
          <cell r="AO163">
            <v>391724890744.49799</v>
          </cell>
          <cell r="AP163">
            <v>404928954191.87598</v>
          </cell>
          <cell r="AQ163">
            <v>270955486862.44199</v>
          </cell>
          <cell r="AR163">
            <v>195907128350.93399</v>
          </cell>
          <cell r="AS163">
            <v>259710142196.94299</v>
          </cell>
          <cell r="AT163">
            <v>306602070620.5</v>
          </cell>
          <cell r="AU163">
            <v>345470494417.86298</v>
          </cell>
          <cell r="AV163">
            <v>430347770731.78699</v>
          </cell>
          <cell r="AW163">
            <v>591016690742.79797</v>
          </cell>
          <cell r="AX163">
            <v>764017107992.39099</v>
          </cell>
          <cell r="AY163">
            <v>989930542278.69495</v>
          </cell>
          <cell r="AZ163">
            <v>1299705764823.6201</v>
          </cell>
          <cell r="BA163">
            <v>1660846387624.78</v>
          </cell>
          <cell r="BB163">
            <v>1222644282201.8601</v>
          </cell>
          <cell r="BC163">
            <v>1524917468442.01</v>
          </cell>
          <cell r="BD163">
            <v>2045925608274.3701</v>
          </cell>
          <cell r="BE163">
            <v>2208295773643.1499</v>
          </cell>
          <cell r="BF163">
            <v>2292473246621.0801</v>
          </cell>
          <cell r="BG163">
            <v>2059241965490.8301</v>
          </cell>
          <cell r="BH163">
            <v>1363481063446.77</v>
          </cell>
          <cell r="BI163">
            <v>1276786979221.8101</v>
          </cell>
          <cell r="BJ163">
            <v>1574199387070.8999</v>
          </cell>
          <cell r="BK163">
            <v>1657328865709.99</v>
          </cell>
          <cell r="BL163">
            <v>1687448525466.6101</v>
          </cell>
          <cell r="BM163">
            <v>1483497784867.6001</v>
          </cell>
          <cell r="BN163">
            <v>1483497784867.6001</v>
          </cell>
        </row>
        <row r="164">
          <cell r="B164" t="str">
            <v>RWA</v>
          </cell>
          <cell r="C164" t="str">
            <v>GDP (current US$)</v>
          </cell>
          <cell r="D164" t="str">
            <v>NY.GDP.MKTP.CD</v>
          </cell>
          <cell r="E164">
            <v>119000024</v>
          </cell>
          <cell r="F164">
            <v>122000016</v>
          </cell>
          <cell r="G164">
            <v>125000008</v>
          </cell>
          <cell r="H164">
            <v>128000000</v>
          </cell>
          <cell r="I164">
            <v>129999994</v>
          </cell>
          <cell r="J164">
            <v>148799980</v>
          </cell>
          <cell r="K164">
            <v>124525702.857143</v>
          </cell>
          <cell r="L164">
            <v>159560018</v>
          </cell>
          <cell r="M164">
            <v>172200018</v>
          </cell>
          <cell r="N164">
            <v>188700037</v>
          </cell>
          <cell r="O164">
            <v>219900006</v>
          </cell>
          <cell r="P164">
            <v>222952578.196381</v>
          </cell>
          <cell r="Q164">
            <v>246457838.33668101</v>
          </cell>
          <cell r="R164">
            <v>290746157.14592099</v>
          </cell>
          <cell r="S164">
            <v>308458423.18385398</v>
          </cell>
          <cell r="T164">
            <v>571863295.74012196</v>
          </cell>
          <cell r="U164">
            <v>637754162.10109401</v>
          </cell>
          <cell r="V164">
            <v>746650558.55469</v>
          </cell>
          <cell r="W164">
            <v>905709147.27019</v>
          </cell>
          <cell r="X164">
            <v>1109346220.5288501</v>
          </cell>
          <cell r="Y164">
            <v>1254765349.93185</v>
          </cell>
          <cell r="Z164">
            <v>1407062607.6321399</v>
          </cell>
          <cell r="AA164">
            <v>1407242640.23211</v>
          </cell>
          <cell r="AB164">
            <v>1479688125.8852</v>
          </cell>
          <cell r="AC164">
            <v>1587412957.22263</v>
          </cell>
          <cell r="AD164">
            <v>1715625839.1797299</v>
          </cell>
          <cell r="AE164">
            <v>1944711061.3088801</v>
          </cell>
          <cell r="AF164">
            <v>2157434025.16467</v>
          </cell>
          <cell r="AG164">
            <v>2395493877.5136499</v>
          </cell>
          <cell r="AH164">
            <v>2405021932.8999701</v>
          </cell>
          <cell r="AI164">
            <v>2550185618.1477399</v>
          </cell>
          <cell r="AJ164">
            <v>1911600969.76612</v>
          </cell>
          <cell r="AK164">
            <v>2029026704.02707</v>
          </cell>
          <cell r="AL164">
            <v>1971525998.8768499</v>
          </cell>
          <cell r="AM164">
            <v>753636370.45454502</v>
          </cell>
          <cell r="AN164">
            <v>1293535010.94467</v>
          </cell>
          <cell r="AO164">
            <v>1382334879.4081199</v>
          </cell>
          <cell r="AP164">
            <v>1851558301.7002001</v>
          </cell>
          <cell r="AQ164">
            <v>1989343495.2184401</v>
          </cell>
          <cell r="AR164">
            <v>2155659412.6104002</v>
          </cell>
          <cell r="AS164">
            <v>2067528500.4062099</v>
          </cell>
          <cell r="AT164">
            <v>1965444514.8997099</v>
          </cell>
          <cell r="AU164">
            <v>1964779920.78511</v>
          </cell>
          <cell r="AV164">
            <v>2137093489.31936</v>
          </cell>
          <cell r="AW164">
            <v>2375281626.60252</v>
          </cell>
          <cell r="AX164">
            <v>2932213574.70995</v>
          </cell>
          <cell r="AY164">
            <v>3317951468.3702698</v>
          </cell>
          <cell r="AZ164">
            <v>4068065928.6413002</v>
          </cell>
          <cell r="BA164">
            <v>5177015141.48246</v>
          </cell>
          <cell r="BB164">
            <v>5671332137.7986603</v>
          </cell>
          <cell r="BC164">
            <v>6121234528.9882603</v>
          </cell>
          <cell r="BD164">
            <v>6881038269.6172705</v>
          </cell>
          <cell r="BE164">
            <v>7650300319.8299999</v>
          </cell>
          <cell r="BF164">
            <v>7815599502.6568298</v>
          </cell>
          <cell r="BG164">
            <v>8241332516.5499096</v>
          </cell>
          <cell r="BH164">
            <v>8539048447.7806501</v>
          </cell>
          <cell r="BI164">
            <v>8690485823.1454601</v>
          </cell>
          <cell r="BJ164">
            <v>9253098954.2776909</v>
          </cell>
          <cell r="BK164">
            <v>9640280084.1957207</v>
          </cell>
          <cell r="BL164">
            <v>10355974217.373501</v>
          </cell>
          <cell r="BM164">
            <v>10333991455.5443</v>
          </cell>
          <cell r="BN164">
            <v>10333991455.5443</v>
          </cell>
        </row>
        <row r="165">
          <cell r="B165" t="str">
            <v>WSM</v>
          </cell>
          <cell r="C165" t="str">
            <v>GDP (current US$)</v>
          </cell>
          <cell r="D165" t="str">
            <v>NY.GDP.MKTP.CD</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v>121221651.619316</v>
          </cell>
          <cell r="AB165">
            <v>111862823.57497901</v>
          </cell>
          <cell r="AC165">
            <v>109200934.328518</v>
          </cell>
          <cell r="AD165">
            <v>95572172.983565703</v>
          </cell>
          <cell r="AE165">
            <v>100947848.64478</v>
          </cell>
          <cell r="AF165">
            <v>111713922.141578</v>
          </cell>
          <cell r="AG165">
            <v>133016065.41606501</v>
          </cell>
          <cell r="AH165">
            <v>122888609.715243</v>
          </cell>
          <cell r="AI165">
            <v>125766269.755358</v>
          </cell>
          <cell r="AJ165">
            <v>125597205.422315</v>
          </cell>
          <cell r="AK165">
            <v>132303041.36252999</v>
          </cell>
          <cell r="AL165">
            <v>133122897.196262</v>
          </cell>
          <cell r="AM165">
            <v>221098106.508876</v>
          </cell>
          <cell r="AN165">
            <v>224865731.38190299</v>
          </cell>
          <cell r="AO165">
            <v>249908970.65897101</v>
          </cell>
          <cell r="AP165">
            <v>285475591.89651</v>
          </cell>
          <cell r="AQ165">
            <v>269481523.20046502</v>
          </cell>
          <cell r="AR165">
            <v>258833766.580017</v>
          </cell>
          <cell r="AS165">
            <v>269019710.327456</v>
          </cell>
          <cell r="AT165">
            <v>273088357.16369998</v>
          </cell>
          <cell r="AU165">
            <v>288078881.433056</v>
          </cell>
          <cell r="AV165">
            <v>338838639.37843502</v>
          </cell>
          <cell r="AW165">
            <v>420320176.35943699</v>
          </cell>
          <cell r="AX165">
            <v>465568018.30055702</v>
          </cell>
          <cell r="AY165">
            <v>505832439.82297701</v>
          </cell>
          <cell r="AZ165">
            <v>570469196.667431</v>
          </cell>
          <cell r="BA165">
            <v>619260721.57930601</v>
          </cell>
          <cell r="BB165">
            <v>584706020.21385705</v>
          </cell>
          <cell r="BC165">
            <v>663155954.96374404</v>
          </cell>
          <cell r="BD165">
            <v>737147951.05299902</v>
          </cell>
          <cell r="BE165">
            <v>760319276.01352894</v>
          </cell>
          <cell r="BF165">
            <v>770059550.96603799</v>
          </cell>
          <cell r="BG165">
            <v>756805940.21467698</v>
          </cell>
          <cell r="BH165">
            <v>787958585.89473605</v>
          </cell>
          <cell r="BI165">
            <v>799493884.32469702</v>
          </cell>
          <cell r="BJ165">
            <v>832025573.98379505</v>
          </cell>
          <cell r="BK165">
            <v>821286927.53572297</v>
          </cell>
          <cell r="BL165">
            <v>852007112.72463703</v>
          </cell>
          <cell r="BM165">
            <v>807100820.64813197</v>
          </cell>
          <cell r="BN165">
            <v>807100820.64813197</v>
          </cell>
        </row>
        <row r="166">
          <cell r="B166" t="str">
            <v>SMR</v>
          </cell>
          <cell r="C166" t="str">
            <v>GDP (current US$)</v>
          </cell>
          <cell r="D166" t="str">
            <v>NY.GDP.MKTP.CD</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v>1109098657.57511</v>
          </cell>
          <cell r="AS166">
            <v>1005159388.24397</v>
          </cell>
          <cell r="AT166">
            <v>1077413479.05282</v>
          </cell>
          <cell r="AU166">
            <v>1168269230.7692299</v>
          </cell>
          <cell r="AV166">
            <v>1464326160.8153999</v>
          </cell>
          <cell r="AW166">
            <v>1723750000</v>
          </cell>
          <cell r="AX166">
            <v>1785847531.4015701</v>
          </cell>
          <cell r="AY166">
            <v>1908167105.7583699</v>
          </cell>
          <cell r="AZ166">
            <v>2185874623.5970402</v>
          </cell>
          <cell r="BA166">
            <v>2393437820.41892</v>
          </cell>
          <cell r="BB166">
            <v>2056126701.86163</v>
          </cell>
          <cell r="BC166">
            <v>1881214370.93994</v>
          </cell>
          <cell r="BD166">
            <v>1813752783.96437</v>
          </cell>
          <cell r="BE166">
            <v>1604779647.95066</v>
          </cell>
          <cell r="BF166">
            <v>1678841811.6615801</v>
          </cell>
          <cell r="BG166">
            <v>1673973694.69908</v>
          </cell>
          <cell r="BH166">
            <v>1419394771.21029</v>
          </cell>
          <cell r="BI166">
            <v>1468377272.1385901</v>
          </cell>
          <cell r="BJ166">
            <v>1528630707.4979401</v>
          </cell>
          <cell r="BK166">
            <v>1655300872.53427</v>
          </cell>
          <cell r="BL166">
            <v>1616369645.99635</v>
          </cell>
          <cell r="BM166" t="str">
            <v>..</v>
          </cell>
          <cell r="BN166">
            <v>1616369645.99635</v>
          </cell>
        </row>
        <row r="167">
          <cell r="B167" t="str">
            <v>STP</v>
          </cell>
          <cell r="C167" t="str">
            <v>GDP (current US$)</v>
          </cell>
          <cell r="D167" t="str">
            <v>NY.GDP.MKTP.CD</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75951210.685244501</v>
          </cell>
          <cell r="AU167">
            <v>85171308.165443495</v>
          </cell>
          <cell r="AV167">
            <v>102085583.465275</v>
          </cell>
          <cell r="AW167">
            <v>114582561.627097</v>
          </cell>
          <cell r="AX167">
            <v>136450274.67323399</v>
          </cell>
          <cell r="AY167">
            <v>142775597.255916</v>
          </cell>
          <cell r="AZ167">
            <v>149146423.08374199</v>
          </cell>
          <cell r="BA167">
            <v>188021190.59284699</v>
          </cell>
          <cell r="BB167">
            <v>187820464.57105801</v>
          </cell>
          <cell r="BC167">
            <v>196652514.26725501</v>
          </cell>
          <cell r="BD167">
            <v>231489270.14452901</v>
          </cell>
          <cell r="BE167">
            <v>250680845.74783701</v>
          </cell>
          <cell r="BF167">
            <v>300554483.61162603</v>
          </cell>
          <cell r="BG167">
            <v>346528329.183227</v>
          </cell>
          <cell r="BH167">
            <v>316066072.34375399</v>
          </cell>
          <cell r="BI167">
            <v>345495614.97998202</v>
          </cell>
          <cell r="BJ167">
            <v>375614126.19387698</v>
          </cell>
          <cell r="BK167">
            <v>412253809.72879899</v>
          </cell>
          <cell r="BL167">
            <v>427425039.68433899</v>
          </cell>
          <cell r="BM167">
            <v>472914469.91933</v>
          </cell>
          <cell r="BN167">
            <v>472914469.91933</v>
          </cell>
        </row>
        <row r="168">
          <cell r="B168" t="str">
            <v>SAU</v>
          </cell>
          <cell r="C168" t="str">
            <v>GDP (current US$)</v>
          </cell>
          <cell r="D168" t="str">
            <v>NY.GDP.MKTP.CD</v>
          </cell>
          <cell r="E168" t="str">
            <v>..</v>
          </cell>
          <cell r="F168" t="str">
            <v>..</v>
          </cell>
          <cell r="G168" t="str">
            <v>..</v>
          </cell>
          <cell r="H168" t="str">
            <v>..</v>
          </cell>
          <cell r="I168" t="str">
            <v>..</v>
          </cell>
          <cell r="J168" t="str">
            <v>..</v>
          </cell>
          <cell r="K168" t="str">
            <v>..</v>
          </cell>
          <cell r="L168" t="str">
            <v>..</v>
          </cell>
          <cell r="M168">
            <v>4187777711.1111102</v>
          </cell>
          <cell r="N168">
            <v>4485777644.4444399</v>
          </cell>
          <cell r="O168">
            <v>5377268848.5294399</v>
          </cell>
          <cell r="P168">
            <v>7184863276.5453596</v>
          </cell>
          <cell r="Q168">
            <v>9664067929.6560993</v>
          </cell>
          <cell r="R168">
            <v>14947491056.460501</v>
          </cell>
          <cell r="S168">
            <v>45412971909.379402</v>
          </cell>
          <cell r="T168">
            <v>46773303720.893204</v>
          </cell>
          <cell r="U168">
            <v>64005623870.322701</v>
          </cell>
          <cell r="V168">
            <v>74188363505.853195</v>
          </cell>
          <cell r="W168">
            <v>80265732292.583298</v>
          </cell>
          <cell r="X168">
            <v>111859726428.73801</v>
          </cell>
          <cell r="Y168">
            <v>164541658298.59601</v>
          </cell>
          <cell r="Z168">
            <v>184291888767.19101</v>
          </cell>
          <cell r="AA168">
            <v>153238991868.875</v>
          </cell>
          <cell r="AB168">
            <v>129171602025.147</v>
          </cell>
          <cell r="AC168">
            <v>119624918956.209</v>
          </cell>
          <cell r="AD168">
            <v>103897892810.979</v>
          </cell>
          <cell r="AE168">
            <v>86962013010.555206</v>
          </cell>
          <cell r="AF168">
            <v>85695941760.045105</v>
          </cell>
          <cell r="AG168">
            <v>88256162068.972504</v>
          </cell>
          <cell r="AH168">
            <v>95344352823.696899</v>
          </cell>
          <cell r="AI168">
            <v>117630271802.48</v>
          </cell>
          <cell r="AJ168">
            <v>132223268491.32201</v>
          </cell>
          <cell r="AK168">
            <v>137087876662.216</v>
          </cell>
          <cell r="AL168">
            <v>132967901415.22</v>
          </cell>
          <cell r="AM168">
            <v>135174886488.65199</v>
          </cell>
          <cell r="AN168">
            <v>143343036341.789</v>
          </cell>
          <cell r="AO168">
            <v>158662398744.99301</v>
          </cell>
          <cell r="AP168">
            <v>165963557409.88</v>
          </cell>
          <cell r="AQ168">
            <v>146775498080</v>
          </cell>
          <cell r="AR168">
            <v>161716960000</v>
          </cell>
          <cell r="AS168">
            <v>189514926213.33301</v>
          </cell>
          <cell r="AT168">
            <v>184137469733.33301</v>
          </cell>
          <cell r="AU168">
            <v>189605920240</v>
          </cell>
          <cell r="AV168">
            <v>215807655253.33301</v>
          </cell>
          <cell r="AW168">
            <v>258742263040</v>
          </cell>
          <cell r="AX168">
            <v>328459700114.755</v>
          </cell>
          <cell r="AY168">
            <v>376900135727.63702</v>
          </cell>
          <cell r="AZ168">
            <v>415964583055.37</v>
          </cell>
          <cell r="BA168">
            <v>519796738640</v>
          </cell>
          <cell r="BB168">
            <v>429097899280</v>
          </cell>
          <cell r="BC168">
            <v>528207332640</v>
          </cell>
          <cell r="BD168">
            <v>671238840106.66699</v>
          </cell>
          <cell r="BE168">
            <v>735974843360</v>
          </cell>
          <cell r="BF168">
            <v>746647127413.33301</v>
          </cell>
          <cell r="BG168">
            <v>756350347333.33301</v>
          </cell>
          <cell r="BH168">
            <v>654269902880</v>
          </cell>
          <cell r="BI168">
            <v>644935541440</v>
          </cell>
          <cell r="BJ168">
            <v>688586244293.33301</v>
          </cell>
          <cell r="BK168">
            <v>786521831573.33301</v>
          </cell>
          <cell r="BL168">
            <v>792966838160</v>
          </cell>
          <cell r="BM168">
            <v>700117873253.33301</v>
          </cell>
          <cell r="BN168">
            <v>700117873253.33301</v>
          </cell>
        </row>
        <row r="169">
          <cell r="B169" t="str">
            <v>SEN</v>
          </cell>
          <cell r="C169" t="str">
            <v>GDP (current US$)</v>
          </cell>
          <cell r="D169" t="str">
            <v>NY.GDP.MKTP.CD</v>
          </cell>
          <cell r="E169">
            <v>1003692374.5578901</v>
          </cell>
          <cell r="F169">
            <v>1058975265.58883</v>
          </cell>
          <cell r="G169">
            <v>1085475573.4895899</v>
          </cell>
          <cell r="H169">
            <v>1122139637.2569301</v>
          </cell>
          <cell r="I169">
            <v>1188930567.71363</v>
          </cell>
          <cell r="J169">
            <v>1210058396.0603001</v>
          </cell>
          <cell r="K169">
            <v>1246908373.7428501</v>
          </cell>
          <cell r="L169">
            <v>1246480958.51385</v>
          </cell>
          <cell r="M169">
            <v>1309384830.1907101</v>
          </cell>
          <cell r="N169">
            <v>1245234806.8954599</v>
          </cell>
          <cell r="O169">
            <v>1297407828.60957</v>
          </cell>
          <cell r="P169">
            <v>1339548823.66855</v>
          </cell>
          <cell r="Q169">
            <v>1620857277.1933801</v>
          </cell>
          <cell r="R169">
            <v>1863398448.3259201</v>
          </cell>
          <cell r="S169">
            <v>2099324949.84605</v>
          </cell>
          <cell r="T169">
            <v>2830388404.8784499</v>
          </cell>
          <cell r="U169">
            <v>2869777812.41008</v>
          </cell>
          <cell r="V169">
            <v>2938046307.22894</v>
          </cell>
          <cell r="W169">
            <v>3280354339.3934102</v>
          </cell>
          <cell r="X169">
            <v>4084878667.8561602</v>
          </cell>
          <cell r="Y169">
            <v>4510107330.1207399</v>
          </cell>
          <cell r="Z169">
            <v>4095892072.2908802</v>
          </cell>
          <cell r="AA169">
            <v>4013950868.4594598</v>
          </cell>
          <cell r="AB169">
            <v>3569356462.0789599</v>
          </cell>
          <cell r="AC169">
            <v>3485165160.5753398</v>
          </cell>
          <cell r="AD169">
            <v>3818944603.0068998</v>
          </cell>
          <cell r="AE169">
            <v>5392093507.6482401</v>
          </cell>
          <cell r="AF169">
            <v>6487352282.6714296</v>
          </cell>
          <cell r="AG169">
            <v>6418419798.1317701</v>
          </cell>
          <cell r="AH169">
            <v>6366039352.6226702</v>
          </cell>
          <cell r="AI169">
            <v>7390967034.6736298</v>
          </cell>
          <cell r="AJ169">
            <v>7255210700.97896</v>
          </cell>
          <cell r="AK169">
            <v>7769817869.3106499</v>
          </cell>
          <cell r="AL169">
            <v>7367985694.7916098</v>
          </cell>
          <cell r="AM169">
            <v>5034588159.2861204</v>
          </cell>
          <cell r="AN169">
            <v>6326342962.9344702</v>
          </cell>
          <cell r="AO169">
            <v>6559712550.6595201</v>
          </cell>
          <cell r="AP169">
            <v>6041478436.08043</v>
          </cell>
          <cell r="AQ169">
            <v>6505607633.3693705</v>
          </cell>
          <cell r="AR169">
            <v>6592835457.6876001</v>
          </cell>
          <cell r="AS169">
            <v>6013184809.2389803</v>
          </cell>
          <cell r="AT169">
            <v>6507824767.0630302</v>
          </cell>
          <cell r="AU169">
            <v>7006402592.4546299</v>
          </cell>
          <cell r="AV169">
            <v>8768721956.3322792</v>
          </cell>
          <cell r="AW169">
            <v>10076817278.102501</v>
          </cell>
          <cell r="AX169">
            <v>11009032665.3876</v>
          </cell>
          <cell r="AY169">
            <v>11697918802.7922</v>
          </cell>
          <cell r="AZ169">
            <v>13994218939.243099</v>
          </cell>
          <cell r="BA169">
            <v>16853991176.9058</v>
          </cell>
          <cell r="BB169">
            <v>16145868284.564501</v>
          </cell>
          <cell r="BC169">
            <v>16121314670.9653</v>
          </cell>
          <cell r="BD169">
            <v>17814284622.171799</v>
          </cell>
          <cell r="BE169">
            <v>17660871725.9977</v>
          </cell>
          <cell r="BF169">
            <v>18918668644.194099</v>
          </cell>
          <cell r="BG169">
            <v>19797254643.121201</v>
          </cell>
          <cell r="BH169">
            <v>17774766636.045898</v>
          </cell>
          <cell r="BI169">
            <v>19040312815.133701</v>
          </cell>
          <cell r="BJ169">
            <v>20996564751.5994</v>
          </cell>
          <cell r="BK169">
            <v>23116699808.172298</v>
          </cell>
          <cell r="BL169">
            <v>23306213742.360199</v>
          </cell>
          <cell r="BM169">
            <v>24644234594.656601</v>
          </cell>
          <cell r="BN169">
            <v>24644234594.656601</v>
          </cell>
        </row>
        <row r="170">
          <cell r="B170" t="str">
            <v>SRB</v>
          </cell>
          <cell r="C170" t="str">
            <v>GDP (current US$)</v>
          </cell>
          <cell r="D170" t="str">
            <v>NY.GDP.MKTP.CD</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v>16832598870.056499</v>
          </cell>
          <cell r="AO170">
            <v>21818007448.7896</v>
          </cell>
          <cell r="AP170">
            <v>25676487999.594101</v>
          </cell>
          <cell r="AQ170">
            <v>19457979423.375999</v>
          </cell>
          <cell r="AR170">
            <v>19388663551.001202</v>
          </cell>
          <cell r="AS170">
            <v>6875845986.5212097</v>
          </cell>
          <cell r="AT170">
            <v>12960538723.7591</v>
          </cell>
          <cell r="AU170">
            <v>17120906918.3503</v>
          </cell>
          <cell r="AV170">
            <v>22482365321.765598</v>
          </cell>
          <cell r="AW170">
            <v>26141968161.0924</v>
          </cell>
          <cell r="AX170">
            <v>27683225959.246799</v>
          </cell>
          <cell r="AY170">
            <v>32482070360.3204</v>
          </cell>
          <cell r="AZ170">
            <v>43170990616.4729</v>
          </cell>
          <cell r="BA170">
            <v>52194221468.500702</v>
          </cell>
          <cell r="BB170">
            <v>45162894380.931801</v>
          </cell>
          <cell r="BC170">
            <v>41819468691.825104</v>
          </cell>
          <cell r="BD170">
            <v>49258136128.967201</v>
          </cell>
          <cell r="BE170">
            <v>43309252921.056702</v>
          </cell>
          <cell r="BF170">
            <v>48394239474.676201</v>
          </cell>
          <cell r="BG170">
            <v>47062206677.6539</v>
          </cell>
          <cell r="BH170">
            <v>39655958842.547798</v>
          </cell>
          <cell r="BI170">
            <v>40692643373.0327</v>
          </cell>
          <cell r="BJ170">
            <v>44179055279.888702</v>
          </cell>
          <cell r="BK170">
            <v>50640650221.462196</v>
          </cell>
          <cell r="BL170">
            <v>51514222381.842796</v>
          </cell>
          <cell r="BM170">
            <v>53335016425.414803</v>
          </cell>
          <cell r="BN170">
            <v>53335016425.414803</v>
          </cell>
        </row>
        <row r="171">
          <cell r="B171" t="str">
            <v>SYC</v>
          </cell>
          <cell r="C171" t="str">
            <v>GDP (current US$)</v>
          </cell>
          <cell r="D171" t="str">
            <v>NY.GDP.MKTP.CD</v>
          </cell>
          <cell r="E171">
            <v>12012012.012011999</v>
          </cell>
          <cell r="F171">
            <v>11592011.592011601</v>
          </cell>
          <cell r="G171">
            <v>12642026.5718964</v>
          </cell>
          <cell r="H171">
            <v>13923029.2643975</v>
          </cell>
          <cell r="I171">
            <v>15393032.354152899</v>
          </cell>
          <cell r="J171">
            <v>15603032.7955465</v>
          </cell>
          <cell r="K171">
            <v>16443034.561121101</v>
          </cell>
          <cell r="L171">
            <v>16632032.8140183</v>
          </cell>
          <cell r="M171">
            <v>16074027.349603901</v>
          </cell>
          <cell r="N171">
            <v>16452027.9927637</v>
          </cell>
          <cell r="O171">
            <v>18432031.361695901</v>
          </cell>
          <cell r="P171">
            <v>21965951.7213048</v>
          </cell>
          <cell r="Q171">
            <v>30645121.012949899</v>
          </cell>
          <cell r="R171">
            <v>36896278.223562904</v>
          </cell>
          <cell r="S171">
            <v>43134498.692965701</v>
          </cell>
          <cell r="T171">
            <v>47803145.956030302</v>
          </cell>
          <cell r="U171">
            <v>49278979.547145702</v>
          </cell>
          <cell r="V171">
            <v>64526398.658536099</v>
          </cell>
          <cell r="W171">
            <v>85552369.914184004</v>
          </cell>
          <cell r="X171">
            <v>127261099.24395999</v>
          </cell>
          <cell r="Y171">
            <v>147357222.77980199</v>
          </cell>
          <cell r="Z171">
            <v>154902869.02138999</v>
          </cell>
          <cell r="AA171">
            <v>147912069.76574999</v>
          </cell>
          <cell r="AB171">
            <v>146712850.50924799</v>
          </cell>
          <cell r="AC171">
            <v>151313241.982492</v>
          </cell>
          <cell r="AD171">
            <v>168887539.13081801</v>
          </cell>
          <cell r="AE171">
            <v>207850623.63709399</v>
          </cell>
          <cell r="AF171">
            <v>249267039.782675</v>
          </cell>
          <cell r="AG171">
            <v>283828769.02992499</v>
          </cell>
          <cell r="AH171">
            <v>304832867.393246</v>
          </cell>
          <cell r="AI171">
            <v>368584758.94245702</v>
          </cell>
          <cell r="AJ171">
            <v>374359556.08492601</v>
          </cell>
          <cell r="AK171">
            <v>433667193.81479502</v>
          </cell>
          <cell r="AL171">
            <v>473916819.45382601</v>
          </cell>
          <cell r="AM171">
            <v>486451204.55714202</v>
          </cell>
          <cell r="AN171">
            <v>508221508.22150803</v>
          </cell>
          <cell r="AO171">
            <v>503068472.20266002</v>
          </cell>
          <cell r="AP171">
            <v>562958836.51990497</v>
          </cell>
          <cell r="AQ171">
            <v>608369282.22572696</v>
          </cell>
          <cell r="AR171">
            <v>622985493.68273306</v>
          </cell>
          <cell r="AS171">
            <v>614879764.78000605</v>
          </cell>
          <cell r="AT171">
            <v>622262057.19163501</v>
          </cell>
          <cell r="AU171">
            <v>697518248.17518198</v>
          </cell>
          <cell r="AV171">
            <v>705704816.04236495</v>
          </cell>
          <cell r="AW171">
            <v>839319927.27272701</v>
          </cell>
          <cell r="AX171">
            <v>919103254.54545498</v>
          </cell>
          <cell r="AY171">
            <v>1016418229.25159</v>
          </cell>
          <cell r="AZ171">
            <v>1033561654.0568</v>
          </cell>
          <cell r="BA171">
            <v>967199593.96015704</v>
          </cell>
          <cell r="BB171">
            <v>847397850.09441698</v>
          </cell>
          <cell r="BC171">
            <v>969936525.29872894</v>
          </cell>
          <cell r="BD171">
            <v>1065826669.89742</v>
          </cell>
          <cell r="BE171">
            <v>1060226125.62616</v>
          </cell>
          <cell r="BF171">
            <v>1328157608.8308699</v>
          </cell>
          <cell r="BG171">
            <v>1343007845.0446801</v>
          </cell>
          <cell r="BH171">
            <v>1377495054.04127</v>
          </cell>
          <cell r="BI171">
            <v>1426651768.8218901</v>
          </cell>
          <cell r="BJ171">
            <v>1528242026.3626399</v>
          </cell>
          <cell r="BK171">
            <v>1547690759.44363</v>
          </cell>
          <cell r="BL171">
            <v>1582841058.8947899</v>
          </cell>
          <cell r="BM171">
            <v>1059886363.63636</v>
          </cell>
          <cell r="BN171">
            <v>1059886363.63636</v>
          </cell>
        </row>
        <row r="172">
          <cell r="B172" t="str">
            <v>SLE</v>
          </cell>
          <cell r="C172" t="str">
            <v>GDP (current US$)</v>
          </cell>
          <cell r="D172" t="str">
            <v>NY.GDP.MKTP.CD</v>
          </cell>
          <cell r="E172">
            <v>322009471.56704003</v>
          </cell>
          <cell r="F172">
            <v>327834680.55710298</v>
          </cell>
          <cell r="G172">
            <v>342721579.81763601</v>
          </cell>
          <cell r="H172">
            <v>348546952.134368</v>
          </cell>
          <cell r="I172">
            <v>371848114.74795598</v>
          </cell>
          <cell r="J172">
            <v>359379856.24805701</v>
          </cell>
          <cell r="K172">
            <v>375479849.80805999</v>
          </cell>
          <cell r="L172">
            <v>348795303.00038499</v>
          </cell>
          <cell r="M172">
            <v>329860091.94403702</v>
          </cell>
          <cell r="N172">
            <v>408690163.47606498</v>
          </cell>
          <cell r="O172">
            <v>434410373.76414901</v>
          </cell>
          <cell r="P172">
            <v>419549425.07708597</v>
          </cell>
          <cell r="Q172">
            <v>465381089.98453999</v>
          </cell>
          <cell r="R172">
            <v>575230234.38705802</v>
          </cell>
          <cell r="S172">
            <v>648590642.939888</v>
          </cell>
          <cell r="T172">
            <v>679335901.11745095</v>
          </cell>
          <cell r="U172">
            <v>594895672.333848</v>
          </cell>
          <cell r="V172">
            <v>691777758.39511502</v>
          </cell>
          <cell r="W172">
            <v>960728338.93642998</v>
          </cell>
          <cell r="X172">
            <v>1109374722.0829401</v>
          </cell>
          <cell r="Y172">
            <v>1100685844.9228401</v>
          </cell>
          <cell r="Z172">
            <v>1114830471.91787</v>
          </cell>
          <cell r="AA172">
            <v>1295361885.92419</v>
          </cell>
          <cell r="AB172">
            <v>995104305.34707499</v>
          </cell>
          <cell r="AC172">
            <v>1087471861.98928</v>
          </cell>
          <cell r="AD172">
            <v>856890498.62583399</v>
          </cell>
          <cell r="AE172">
            <v>490181456.62440997</v>
          </cell>
          <cell r="AF172">
            <v>701307602.28443003</v>
          </cell>
          <cell r="AG172">
            <v>1055083945.37738</v>
          </cell>
          <cell r="AH172">
            <v>932974411.91714203</v>
          </cell>
          <cell r="AI172">
            <v>649644826.80044699</v>
          </cell>
          <cell r="AJ172">
            <v>779981458.921489</v>
          </cell>
          <cell r="AK172">
            <v>679997997.59711695</v>
          </cell>
          <cell r="AL172">
            <v>768812334.80176198</v>
          </cell>
          <cell r="AM172">
            <v>911915970.68348396</v>
          </cell>
          <cell r="AN172">
            <v>870758739.40678</v>
          </cell>
          <cell r="AO172">
            <v>941742152.70989501</v>
          </cell>
          <cell r="AP172">
            <v>850218033.62200701</v>
          </cell>
          <cell r="AQ172">
            <v>672375927.34714794</v>
          </cell>
          <cell r="AR172">
            <v>669384768.87263</v>
          </cell>
          <cell r="AS172">
            <v>635874002.19874799</v>
          </cell>
          <cell r="AT172">
            <v>1090467712.30773</v>
          </cell>
          <cell r="AU172">
            <v>1253340519.5331099</v>
          </cell>
          <cell r="AV172">
            <v>1385810072.1921699</v>
          </cell>
          <cell r="AW172">
            <v>1448536630.8814299</v>
          </cell>
          <cell r="AX172">
            <v>1650494366.99875</v>
          </cell>
          <cell r="AY172">
            <v>1885112201.8527801</v>
          </cell>
          <cell r="AZ172">
            <v>2158496872.8579602</v>
          </cell>
          <cell r="BA172">
            <v>2505458705.03338</v>
          </cell>
          <cell r="BB172">
            <v>2453899846.8831701</v>
          </cell>
          <cell r="BC172">
            <v>2578026297.1591201</v>
          </cell>
          <cell r="BD172">
            <v>2942546781.0454798</v>
          </cell>
          <cell r="BE172">
            <v>3801862611.36414</v>
          </cell>
          <cell r="BF172">
            <v>4920343194.9933901</v>
          </cell>
          <cell r="BG172">
            <v>5015157815.7340603</v>
          </cell>
          <cell r="BH172">
            <v>4218723875.1378999</v>
          </cell>
          <cell r="BI172">
            <v>3674794530.1895599</v>
          </cell>
          <cell r="BJ172">
            <v>3719369107.3499198</v>
          </cell>
          <cell r="BK172">
            <v>4085114794.2232399</v>
          </cell>
          <cell r="BL172">
            <v>4076578542.5620699</v>
          </cell>
          <cell r="BM172">
            <v>4063289449.5879502</v>
          </cell>
          <cell r="BN172">
            <v>4063289449.5879502</v>
          </cell>
        </row>
        <row r="173">
          <cell r="B173" t="str">
            <v>SGP</v>
          </cell>
          <cell r="C173" t="str">
            <v>GDP (current US$)</v>
          </cell>
          <cell r="D173" t="str">
            <v>NY.GDP.MKTP.CD</v>
          </cell>
          <cell r="E173">
            <v>704756304.71710396</v>
          </cell>
          <cell r="F173">
            <v>764634783.74493694</v>
          </cell>
          <cell r="G173">
            <v>826244609.95687997</v>
          </cell>
          <cell r="H173">
            <v>917614007.57872701</v>
          </cell>
          <cell r="I173">
            <v>894159153.27322602</v>
          </cell>
          <cell r="J173">
            <v>974650463.87037802</v>
          </cell>
          <cell r="K173">
            <v>1096432771.4621699</v>
          </cell>
          <cell r="L173">
            <v>1238043904.3512299</v>
          </cell>
          <cell r="M173">
            <v>1425715405.7232499</v>
          </cell>
          <cell r="N173">
            <v>1659904612.57023</v>
          </cell>
          <cell r="O173">
            <v>1920586698.0269201</v>
          </cell>
          <cell r="P173">
            <v>2263785443.6168799</v>
          </cell>
          <cell r="Q173">
            <v>2721440980.7585101</v>
          </cell>
          <cell r="R173">
            <v>3696213333.3333302</v>
          </cell>
          <cell r="S173">
            <v>5221534955.6441803</v>
          </cell>
          <cell r="T173">
            <v>5633673929.9930201</v>
          </cell>
          <cell r="U173">
            <v>6327077974.1070299</v>
          </cell>
          <cell r="V173">
            <v>6618585073.6603498</v>
          </cell>
          <cell r="W173">
            <v>7517176354.8413496</v>
          </cell>
          <cell r="X173">
            <v>9296921723.83465</v>
          </cell>
          <cell r="Y173">
            <v>11896256782.8566</v>
          </cell>
          <cell r="Z173">
            <v>14175228843.639099</v>
          </cell>
          <cell r="AA173">
            <v>16084252378.473</v>
          </cell>
          <cell r="AB173">
            <v>17784112149.5327</v>
          </cell>
          <cell r="AC173">
            <v>19749361097.965</v>
          </cell>
          <cell r="AD173">
            <v>19156532745.7691</v>
          </cell>
          <cell r="AE173">
            <v>18586746056.997398</v>
          </cell>
          <cell r="AF173">
            <v>20919215578.212502</v>
          </cell>
          <cell r="AG173">
            <v>25371462488.1292</v>
          </cell>
          <cell r="AH173">
            <v>30465364738.620602</v>
          </cell>
          <cell r="AI173">
            <v>36144336768.702301</v>
          </cell>
          <cell r="AJ173">
            <v>45466164978.292297</v>
          </cell>
          <cell r="AK173">
            <v>52130263965.6231</v>
          </cell>
          <cell r="AL173">
            <v>60603478153.236801</v>
          </cell>
          <cell r="AM173">
            <v>73690847191.305496</v>
          </cell>
          <cell r="AN173">
            <v>87810991957.104599</v>
          </cell>
          <cell r="AO173">
            <v>96295886524.822693</v>
          </cell>
          <cell r="AP173">
            <v>100124191810.345</v>
          </cell>
          <cell r="AQ173">
            <v>85728310229.445496</v>
          </cell>
          <cell r="AR173">
            <v>86284660766.9617</v>
          </cell>
          <cell r="AS173">
            <v>96074477958.236694</v>
          </cell>
          <cell r="AT173">
            <v>89794943349.891205</v>
          </cell>
          <cell r="AU173">
            <v>92537752708.589294</v>
          </cell>
          <cell r="AV173">
            <v>97645448283.779099</v>
          </cell>
          <cell r="AW173">
            <v>115035498757.543</v>
          </cell>
          <cell r="AX173">
            <v>127807618360.97099</v>
          </cell>
          <cell r="AY173">
            <v>148630373214.173</v>
          </cell>
          <cell r="AZ173">
            <v>180941941477.009</v>
          </cell>
          <cell r="BA173">
            <v>193611986712.84201</v>
          </cell>
          <cell r="BB173">
            <v>194152286008.93799</v>
          </cell>
          <cell r="BC173">
            <v>239809387605.427</v>
          </cell>
          <cell r="BD173">
            <v>279351168707.26703</v>
          </cell>
          <cell r="BE173">
            <v>295087220933.02399</v>
          </cell>
          <cell r="BF173">
            <v>307576360584.992</v>
          </cell>
          <cell r="BG173">
            <v>314851156183.41101</v>
          </cell>
          <cell r="BH173">
            <v>308004146057.60797</v>
          </cell>
          <cell r="BI173">
            <v>318763807455.664</v>
          </cell>
          <cell r="BJ173">
            <v>343337750742.27002</v>
          </cell>
          <cell r="BK173">
            <v>375981539145.90698</v>
          </cell>
          <cell r="BL173">
            <v>374386306993.10901</v>
          </cell>
          <cell r="BM173">
            <v>339998477929.98499</v>
          </cell>
          <cell r="BN173">
            <v>339998477929.98499</v>
          </cell>
        </row>
        <row r="174">
          <cell r="B174" t="str">
            <v>SXM</v>
          </cell>
          <cell r="C174" t="str">
            <v>GDP (current US$)</v>
          </cell>
          <cell r="D174" t="str">
            <v>NY.GDP.MKTP.CD</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t="str">
            <v>..</v>
          </cell>
          <cell r="AU174" t="str">
            <v>..</v>
          </cell>
          <cell r="AV174" t="str">
            <v>..</v>
          </cell>
          <cell r="AW174" t="str">
            <v>..</v>
          </cell>
          <cell r="AX174" t="str">
            <v>..</v>
          </cell>
          <cell r="AY174" t="str">
            <v>..</v>
          </cell>
          <cell r="AZ174" t="str">
            <v>..</v>
          </cell>
          <cell r="BA174" t="str">
            <v>..</v>
          </cell>
          <cell r="BB174" t="str">
            <v>..</v>
          </cell>
          <cell r="BC174" t="str">
            <v>..</v>
          </cell>
          <cell r="BD174">
            <v>936089385.47485995</v>
          </cell>
          <cell r="BE174">
            <v>985865921.787709</v>
          </cell>
          <cell r="BF174">
            <v>1022905027.93296</v>
          </cell>
          <cell r="BG174">
            <v>1245251396.6480401</v>
          </cell>
          <cell r="BH174">
            <v>1253072625.6983199</v>
          </cell>
          <cell r="BI174">
            <v>1263687150.83799</v>
          </cell>
          <cell r="BJ174">
            <v>1191620111.7318399</v>
          </cell>
          <cell r="BK174">
            <v>1185474860.3352001</v>
          </cell>
          <cell r="BL174" t="str">
            <v>..</v>
          </cell>
          <cell r="BM174" t="str">
            <v>..</v>
          </cell>
          <cell r="BN174">
            <v>1185474860.3352001</v>
          </cell>
        </row>
        <row r="175">
          <cell r="B175" t="str">
            <v>SVK</v>
          </cell>
          <cell r="C175" t="str">
            <v>GDP (current US$)</v>
          </cell>
          <cell r="D175" t="str">
            <v>NY.GDP.MKTP.CD</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v>12747380650.0762</v>
          </cell>
          <cell r="AJ175">
            <v>14272201755.4704</v>
          </cell>
          <cell r="AK175">
            <v>15495514296.804199</v>
          </cell>
          <cell r="AL175">
            <v>16520676973.5301</v>
          </cell>
          <cell r="AM175">
            <v>20162936291.375</v>
          </cell>
          <cell r="AN175">
            <v>25840146405.228802</v>
          </cell>
          <cell r="AO175">
            <v>27925036755.3866</v>
          </cell>
          <cell r="AP175">
            <v>27706028095.6157</v>
          </cell>
          <cell r="AQ175">
            <v>29856000671.216</v>
          </cell>
          <cell r="AR175">
            <v>30453383763.051399</v>
          </cell>
          <cell r="AS175">
            <v>29169953012.714199</v>
          </cell>
          <cell r="AT175">
            <v>30752150335.570499</v>
          </cell>
          <cell r="AU175">
            <v>35130340673.818901</v>
          </cell>
          <cell r="AV175">
            <v>46816589164.785599</v>
          </cell>
          <cell r="AW175">
            <v>57332015147.752701</v>
          </cell>
          <cell r="AX175">
            <v>62785305310.284798</v>
          </cell>
          <cell r="AY175">
            <v>70708098105.632904</v>
          </cell>
          <cell r="AZ175">
            <v>86454081576.786194</v>
          </cell>
          <cell r="BA175">
            <v>100469509301.304</v>
          </cell>
          <cell r="BB175">
            <v>89046289247.013107</v>
          </cell>
          <cell r="BC175">
            <v>90712671900.522903</v>
          </cell>
          <cell r="BD175">
            <v>99362720493.642899</v>
          </cell>
          <cell r="BE175">
            <v>94258572686.228699</v>
          </cell>
          <cell r="BF175">
            <v>98541305462.103806</v>
          </cell>
          <cell r="BG175">
            <v>100954719362.24001</v>
          </cell>
          <cell r="BH175">
            <v>88601289843.091705</v>
          </cell>
          <cell r="BI175">
            <v>89614053143.7939</v>
          </cell>
          <cell r="BJ175">
            <v>95157888666.996704</v>
          </cell>
          <cell r="BK175">
            <v>105561218935.334</v>
          </cell>
          <cell r="BL175">
            <v>105284375640.698</v>
          </cell>
          <cell r="BM175">
            <v>105172564491.569</v>
          </cell>
          <cell r="BN175">
            <v>105172564491.569</v>
          </cell>
        </row>
        <row r="176">
          <cell r="B176" t="str">
            <v>SVN</v>
          </cell>
          <cell r="C176" t="str">
            <v>GDP (current US$)</v>
          </cell>
          <cell r="D176" t="str">
            <v>NY.GDP.MKTP.CD</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v>21352224019.409599</v>
          </cell>
          <cell r="AO176">
            <v>21507232648.725201</v>
          </cell>
          <cell r="AP176">
            <v>20763101740.696301</v>
          </cell>
          <cell r="AQ176">
            <v>22146231967.6861</v>
          </cell>
          <cell r="AR176">
            <v>22711384311.1404</v>
          </cell>
          <cell r="AS176">
            <v>20289627636.676701</v>
          </cell>
          <cell r="AT176">
            <v>20876309970.384998</v>
          </cell>
          <cell r="AU176">
            <v>23489890274.314201</v>
          </cell>
          <cell r="AV176">
            <v>29634713641.096802</v>
          </cell>
          <cell r="AW176">
            <v>34414784504.235199</v>
          </cell>
          <cell r="AX176">
            <v>36206395970.650398</v>
          </cell>
          <cell r="AY176">
            <v>39481045038.263702</v>
          </cell>
          <cell r="AZ176">
            <v>48006372844.237602</v>
          </cell>
          <cell r="BA176">
            <v>55552509154.826401</v>
          </cell>
          <cell r="BB176">
            <v>50368056404.556801</v>
          </cell>
          <cell r="BC176">
            <v>48161250405.246803</v>
          </cell>
          <cell r="BD176">
            <v>51516366654.819702</v>
          </cell>
          <cell r="BE176">
            <v>46580457470.276901</v>
          </cell>
          <cell r="BF176">
            <v>48401896808.306396</v>
          </cell>
          <cell r="BG176">
            <v>49930685013.460297</v>
          </cell>
          <cell r="BH176">
            <v>43090173394.691299</v>
          </cell>
          <cell r="BI176">
            <v>44736333522.452202</v>
          </cell>
          <cell r="BJ176">
            <v>48469082710.308899</v>
          </cell>
          <cell r="BK176">
            <v>54137142149.479897</v>
          </cell>
          <cell r="BL176">
            <v>54178877605.999901</v>
          </cell>
          <cell r="BM176">
            <v>53589609580.7099</v>
          </cell>
          <cell r="BN176">
            <v>53589609580.7099</v>
          </cell>
        </row>
        <row r="177">
          <cell r="B177" t="str">
            <v>SLB</v>
          </cell>
          <cell r="C177" t="str">
            <v>GDP (current US$)</v>
          </cell>
          <cell r="D177" t="str">
            <v>NY.GDP.MKTP.CD</v>
          </cell>
          <cell r="E177" t="str">
            <v>..</v>
          </cell>
          <cell r="F177" t="str">
            <v>..</v>
          </cell>
          <cell r="G177" t="str">
            <v>..</v>
          </cell>
          <cell r="H177" t="str">
            <v>..</v>
          </cell>
          <cell r="I177" t="str">
            <v>..</v>
          </cell>
          <cell r="J177" t="str">
            <v>..</v>
          </cell>
          <cell r="K177" t="str">
            <v>..</v>
          </cell>
          <cell r="L177">
            <v>25203524.032563802</v>
          </cell>
          <cell r="M177">
            <v>28084252.758274801</v>
          </cell>
          <cell r="N177">
            <v>28606411.398040999</v>
          </cell>
          <cell r="O177" t="str">
            <v>..</v>
          </cell>
          <cell r="P177">
            <v>50056882.821387902</v>
          </cell>
          <cell r="Q177">
            <v>40606712.050639004</v>
          </cell>
          <cell r="R177">
            <v>55272108.843537398</v>
          </cell>
          <cell r="S177">
            <v>84539332.282562003</v>
          </cell>
          <cell r="T177">
            <v>74617096.478596702</v>
          </cell>
          <cell r="U177">
            <v>83099107.906635702</v>
          </cell>
          <cell r="V177">
            <v>93147039.2548237</v>
          </cell>
          <cell r="W177">
            <v>111022089.96223</v>
          </cell>
          <cell r="X177">
            <v>151270207.85219401</v>
          </cell>
          <cell r="Y177">
            <v>183170656.739582</v>
          </cell>
          <cell r="Z177">
            <v>194215751.96803901</v>
          </cell>
          <cell r="AA177">
            <v>192564263.49467599</v>
          </cell>
          <cell r="AB177">
            <v>181096595.484052</v>
          </cell>
          <cell r="AC177">
            <v>181359232.531304</v>
          </cell>
          <cell r="AD177">
            <v>165454831.97504199</v>
          </cell>
          <cell r="AE177">
            <v>147573930.53661501</v>
          </cell>
          <cell r="AF177">
            <v>155244493.43529999</v>
          </cell>
          <cell r="AG177">
            <v>176709270.03102499</v>
          </cell>
          <cell r="AH177">
            <v>172681320.83516899</v>
          </cell>
          <cell r="AI177">
            <v>214727767.63812301</v>
          </cell>
          <cell r="AJ177">
            <v>227641078.532489</v>
          </cell>
          <cell r="AK177">
            <v>269116491.92308998</v>
          </cell>
          <cell r="AL177">
            <v>300843868.62000799</v>
          </cell>
          <cell r="AM177">
            <v>402868080.45208699</v>
          </cell>
          <cell r="AN177">
            <v>469479432.749053</v>
          </cell>
          <cell r="AO177">
            <v>510598923.28398401</v>
          </cell>
          <cell r="AP177">
            <v>526514030.50929499</v>
          </cell>
          <cell r="AQ177">
            <v>457679209.23664802</v>
          </cell>
          <cell r="AR177">
            <v>488001488.18751198</v>
          </cell>
          <cell r="AS177">
            <v>419933580.93104601</v>
          </cell>
          <cell r="AT177">
            <v>409435392.194013</v>
          </cell>
          <cell r="AU177">
            <v>346431958.274064</v>
          </cell>
          <cell r="AV177">
            <v>352522682.156703</v>
          </cell>
          <cell r="AW177">
            <v>397611126.69846499</v>
          </cell>
          <cell r="AX177">
            <v>476898763.59579802</v>
          </cell>
          <cell r="AY177">
            <v>538668769.30153096</v>
          </cell>
          <cell r="AZ177">
            <v>620230005.227391</v>
          </cell>
          <cell r="BA177">
            <v>699157190.98078203</v>
          </cell>
          <cell r="BB177">
            <v>735940409.68342602</v>
          </cell>
          <cell r="BC177">
            <v>846797693.59538698</v>
          </cell>
          <cell r="BD177">
            <v>1049952233.2587399</v>
          </cell>
          <cell r="BE177">
            <v>1190994126.60431</v>
          </cell>
          <cell r="BF177">
            <v>1284698922.22785</v>
          </cell>
          <cell r="BG177">
            <v>1335538893.3331499</v>
          </cell>
          <cell r="BH177">
            <v>1307061543.70981</v>
          </cell>
          <cell r="BI177">
            <v>1378551118.49224</v>
          </cell>
          <cell r="BJ177">
            <v>1483758906.6105399</v>
          </cell>
          <cell r="BK177">
            <v>1574599182.64697</v>
          </cell>
          <cell r="BL177">
            <v>1570093229.2558801</v>
          </cell>
          <cell r="BM177">
            <v>1545888426.23031</v>
          </cell>
          <cell r="BN177">
            <v>1545888426.23031</v>
          </cell>
        </row>
        <row r="178">
          <cell r="B178" t="str">
            <v>SOM</v>
          </cell>
          <cell r="C178" t="str">
            <v>GDP (current US$)</v>
          </cell>
          <cell r="D178" t="str">
            <v>NY.GDP.MKTP.CD</v>
          </cell>
          <cell r="E178">
            <v>180459936.776025</v>
          </cell>
          <cell r="F178">
            <v>191659914.37603399</v>
          </cell>
          <cell r="G178">
            <v>203531927.54722899</v>
          </cell>
          <cell r="H178">
            <v>216145935.94162601</v>
          </cell>
          <cell r="I178">
            <v>229529912.668035</v>
          </cell>
          <cell r="J178">
            <v>243724533.17280099</v>
          </cell>
          <cell r="K178">
            <v>257374455.75326499</v>
          </cell>
          <cell r="L178">
            <v>271780364.83781099</v>
          </cell>
          <cell r="M178">
            <v>286718279.69032198</v>
          </cell>
          <cell r="N178">
            <v>306357284.57142901</v>
          </cell>
          <cell r="O178">
            <v>322600009.14285702</v>
          </cell>
          <cell r="P178">
            <v>331102742.19341803</v>
          </cell>
          <cell r="Q178">
            <v>416942436.92783803</v>
          </cell>
          <cell r="R178">
            <v>507028428.24166203</v>
          </cell>
          <cell r="S178">
            <v>467577432.24781603</v>
          </cell>
          <cell r="T178">
            <v>710850226.52899098</v>
          </cell>
          <cell r="U178">
            <v>807275808.73709297</v>
          </cell>
          <cell r="V178">
            <v>498550873.04347801</v>
          </cell>
          <cell r="W178">
            <v>564986059.66850805</v>
          </cell>
          <cell r="X178">
            <v>590419855.11810994</v>
          </cell>
          <cell r="Y178">
            <v>603592656.822209</v>
          </cell>
          <cell r="Z178">
            <v>699112266.83576405</v>
          </cell>
          <cell r="AA178">
            <v>774419569.69906604</v>
          </cell>
          <cell r="AB178">
            <v>733901365.93535399</v>
          </cell>
          <cell r="AC178">
            <v>788307213.43823504</v>
          </cell>
          <cell r="AD178">
            <v>876404617.65650105</v>
          </cell>
          <cell r="AE178">
            <v>930318705.332201</v>
          </cell>
          <cell r="AF178">
            <v>1009792724.39772</v>
          </cell>
          <cell r="AG178">
            <v>1038291284.49695</v>
          </cell>
          <cell r="AH178">
            <v>1092392963.1989999</v>
          </cell>
          <cell r="AI178">
            <v>917044228.01267898</v>
          </cell>
          <cell r="AJ178" t="str">
            <v>..</v>
          </cell>
          <cell r="AK178" t="str">
            <v>..</v>
          </cell>
          <cell r="AL178" t="str">
            <v>..</v>
          </cell>
          <cell r="AM178" t="str">
            <v>..</v>
          </cell>
          <cell r="AN178" t="str">
            <v>..</v>
          </cell>
          <cell r="AO178" t="str">
            <v>..</v>
          </cell>
          <cell r="AP178" t="str">
            <v>..</v>
          </cell>
          <cell r="AQ178" t="str">
            <v>..</v>
          </cell>
          <cell r="AR178" t="str">
            <v>..</v>
          </cell>
          <cell r="AS178" t="str">
            <v>..</v>
          </cell>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v>4574495666.9948597</v>
          </cell>
          <cell r="BG178">
            <v>5021956321.1186104</v>
          </cell>
          <cell r="BH178">
            <v>5331761394.2550097</v>
          </cell>
          <cell r="BI178">
            <v>5529873479.8715296</v>
          </cell>
          <cell r="BJ178">
            <v>5609000000</v>
          </cell>
          <cell r="BK178">
            <v>5850677295.6985798</v>
          </cell>
          <cell r="BL178">
            <v>6476674591.8734798</v>
          </cell>
          <cell r="BM178">
            <v>6965285324.5220699</v>
          </cell>
          <cell r="BN178">
            <v>6965285324.5220699</v>
          </cell>
        </row>
        <row r="179">
          <cell r="B179" t="str">
            <v>ZAF</v>
          </cell>
          <cell r="C179" t="str">
            <v>GDP (current US$)</v>
          </cell>
          <cell r="D179" t="str">
            <v>NY.GDP.MKTP.CD</v>
          </cell>
          <cell r="E179">
            <v>7575396973.0228796</v>
          </cell>
          <cell r="F179">
            <v>7972996814.14993</v>
          </cell>
          <cell r="G179">
            <v>8497996604.3705196</v>
          </cell>
          <cell r="H179">
            <v>9423396234.5993309</v>
          </cell>
          <cell r="I179">
            <v>10373995854.758699</v>
          </cell>
          <cell r="J179">
            <v>11334395471.0023</v>
          </cell>
          <cell r="K179">
            <v>12354995063.191099</v>
          </cell>
          <cell r="L179">
            <v>13777394494.828699</v>
          </cell>
          <cell r="M179">
            <v>14894594048.4181</v>
          </cell>
          <cell r="N179">
            <v>16780393294.8904</v>
          </cell>
          <cell r="O179">
            <v>18418392640.3787</v>
          </cell>
          <cell r="P179">
            <v>20333691315.964199</v>
          </cell>
          <cell r="Q179">
            <v>21357435928.343899</v>
          </cell>
          <cell r="R179">
            <v>29295674714.246601</v>
          </cell>
          <cell r="S179">
            <v>36807721037.639503</v>
          </cell>
          <cell r="T179">
            <v>38114542813.098198</v>
          </cell>
          <cell r="U179">
            <v>36603349970.168297</v>
          </cell>
          <cell r="V179">
            <v>40651349966.869102</v>
          </cell>
          <cell r="W179">
            <v>46739449961.907303</v>
          </cell>
          <cell r="X179">
            <v>57645721018.026299</v>
          </cell>
          <cell r="Y179">
            <v>82980483387.953003</v>
          </cell>
          <cell r="Z179">
            <v>85454420500.026596</v>
          </cell>
          <cell r="AA179">
            <v>78423059789.880295</v>
          </cell>
          <cell r="AB179">
            <v>87415851375.534698</v>
          </cell>
          <cell r="AC179">
            <v>77344092906.726501</v>
          </cell>
          <cell r="AD179">
            <v>59082638803.526604</v>
          </cell>
          <cell r="AE179">
            <v>67521602553.139999</v>
          </cell>
          <cell r="AF179">
            <v>88573697223.172104</v>
          </cell>
          <cell r="AG179">
            <v>95176640968.036697</v>
          </cell>
          <cell r="AH179">
            <v>99030856824.752594</v>
          </cell>
          <cell r="AI179">
            <v>115552349036.929</v>
          </cell>
          <cell r="AJ179">
            <v>123943432441.241</v>
          </cell>
          <cell r="AK179">
            <v>134545231416.55</v>
          </cell>
          <cell r="AL179">
            <v>147196639471.18799</v>
          </cell>
          <cell r="AM179">
            <v>153512625915.28699</v>
          </cell>
          <cell r="AN179">
            <v>171735223677.31799</v>
          </cell>
          <cell r="AO179">
            <v>163236785802.34</v>
          </cell>
          <cell r="AP179">
            <v>168976663845.48599</v>
          </cell>
          <cell r="AQ179">
            <v>152982541794.04199</v>
          </cell>
          <cell r="AR179">
            <v>151516560274.98199</v>
          </cell>
          <cell r="AS179">
            <v>151753369491.91599</v>
          </cell>
          <cell r="AT179">
            <v>135429607036.658</v>
          </cell>
          <cell r="AU179">
            <v>129088132201.84599</v>
          </cell>
          <cell r="AV179">
            <v>197020241490.07901</v>
          </cell>
          <cell r="AW179">
            <v>255806631391.55099</v>
          </cell>
          <cell r="AX179">
            <v>288868489078.987</v>
          </cell>
          <cell r="AY179">
            <v>303860874149.00702</v>
          </cell>
          <cell r="AZ179">
            <v>333075462599.71002</v>
          </cell>
          <cell r="BA179">
            <v>316132138757.08099</v>
          </cell>
          <cell r="BB179">
            <v>329753048857.052</v>
          </cell>
          <cell r="BC179">
            <v>417365076968.25702</v>
          </cell>
          <cell r="BD179">
            <v>458201514136.97699</v>
          </cell>
          <cell r="BE179">
            <v>434400545085.81097</v>
          </cell>
          <cell r="BF179">
            <v>400886013595.573</v>
          </cell>
          <cell r="BG179">
            <v>381198869776.10602</v>
          </cell>
          <cell r="BH179">
            <v>346709790458.56299</v>
          </cell>
          <cell r="BI179">
            <v>323585509674.48102</v>
          </cell>
          <cell r="BJ179">
            <v>381448814653.45599</v>
          </cell>
          <cell r="BK179">
            <v>404842116738.07397</v>
          </cell>
          <cell r="BL179">
            <v>387934574098.16998</v>
          </cell>
          <cell r="BM179">
            <v>335442101366.41699</v>
          </cell>
          <cell r="BN179">
            <v>335442101366.41699</v>
          </cell>
        </row>
        <row r="180">
          <cell r="B180" t="str">
            <v>SSD</v>
          </cell>
          <cell r="C180" t="str">
            <v>GDP (current US$)</v>
          </cell>
          <cell r="D180" t="str">
            <v>NY.GDP.MKTP.CD</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t="str">
            <v>..</v>
          </cell>
          <cell r="AU180" t="str">
            <v>..</v>
          </cell>
          <cell r="AV180" t="str">
            <v>..</v>
          </cell>
          <cell r="AW180" t="str">
            <v>..</v>
          </cell>
          <cell r="AX180" t="str">
            <v>..</v>
          </cell>
          <cell r="AY180" t="str">
            <v>..</v>
          </cell>
          <cell r="AZ180" t="str">
            <v>..</v>
          </cell>
          <cell r="BA180">
            <v>14586253383.0632</v>
          </cell>
          <cell r="BB180">
            <v>12231264525.067101</v>
          </cell>
          <cell r="BC180">
            <v>14602072410.9506</v>
          </cell>
          <cell r="BD180">
            <v>14907308932.753401</v>
          </cell>
          <cell r="BE180">
            <v>11931472169.491501</v>
          </cell>
          <cell r="BF180">
            <v>18426469016.9492</v>
          </cell>
          <cell r="BG180">
            <v>13962212847.4576</v>
          </cell>
          <cell r="BH180">
            <v>11997800760.224199</v>
          </cell>
          <cell r="BI180" t="str">
            <v>..</v>
          </cell>
          <cell r="BJ180" t="str">
            <v>..</v>
          </cell>
          <cell r="BK180" t="str">
            <v>..</v>
          </cell>
          <cell r="BL180" t="str">
            <v>..</v>
          </cell>
          <cell r="BM180" t="str">
            <v>..</v>
          </cell>
          <cell r="BN180">
            <v>11997800760.224199</v>
          </cell>
        </row>
        <row r="181">
          <cell r="B181" t="str">
            <v>ESP</v>
          </cell>
          <cell r="C181" t="str">
            <v>GDP (current US$)</v>
          </cell>
          <cell r="D181" t="str">
            <v>NY.GDP.MKTP.CD</v>
          </cell>
          <cell r="E181">
            <v>12072126075.396999</v>
          </cell>
          <cell r="F181">
            <v>13834300571.4849</v>
          </cell>
          <cell r="G181">
            <v>16138545209.246</v>
          </cell>
          <cell r="H181">
            <v>19074913947.719601</v>
          </cell>
          <cell r="I181">
            <v>21343844643.7341</v>
          </cell>
          <cell r="J181">
            <v>24756958694.923801</v>
          </cell>
          <cell r="K181">
            <v>28721062242.163399</v>
          </cell>
          <cell r="L181">
            <v>31647119228.1982</v>
          </cell>
          <cell r="M181">
            <v>31475548481.4095</v>
          </cell>
          <cell r="N181">
            <v>36038711599.541</v>
          </cell>
          <cell r="O181">
            <v>40992995008.319504</v>
          </cell>
          <cell r="P181">
            <v>46619420359.281403</v>
          </cell>
          <cell r="Q181">
            <v>59132415221.330597</v>
          </cell>
          <cell r="R181">
            <v>78639525985.151306</v>
          </cell>
          <cell r="S181">
            <v>97274006345.543701</v>
          </cell>
          <cell r="T181">
            <v>114777046376.812</v>
          </cell>
          <cell r="U181">
            <v>118507184779.905</v>
          </cell>
          <cell r="V181">
            <v>132449277108.43401</v>
          </cell>
          <cell r="W181">
            <v>160599687500</v>
          </cell>
          <cell r="X181">
            <v>214601955875.06201</v>
          </cell>
          <cell r="Y181">
            <v>232766822928.754</v>
          </cell>
          <cell r="Z181">
            <v>202807891511.98401</v>
          </cell>
          <cell r="AA181">
            <v>195996754505.52802</v>
          </cell>
          <cell r="AB181">
            <v>170951185614.849</v>
          </cell>
          <cell r="AC181">
            <v>172102910370.52399</v>
          </cell>
          <cell r="AD181">
            <v>180793463796.47699</v>
          </cell>
          <cell r="AE181">
            <v>251321075204.94199</v>
          </cell>
          <cell r="AF181">
            <v>318747935588.19598</v>
          </cell>
          <cell r="AG181">
            <v>376160409941.43701</v>
          </cell>
          <cell r="AH181">
            <v>414757056921.99597</v>
          </cell>
          <cell r="AI181">
            <v>536558591250.40802</v>
          </cell>
          <cell r="AJ181">
            <v>577166174539.63196</v>
          </cell>
          <cell r="AK181">
            <v>630916018202.50305</v>
          </cell>
          <cell r="AL181">
            <v>525075636030.854</v>
          </cell>
          <cell r="AM181">
            <v>530562634455.34698</v>
          </cell>
          <cell r="AN181">
            <v>614609020549.77295</v>
          </cell>
          <cell r="AO181">
            <v>642588992512.80701</v>
          </cell>
          <cell r="AP181">
            <v>590077272727.27295</v>
          </cell>
          <cell r="AQ181">
            <v>619214834614.099</v>
          </cell>
          <cell r="AR181">
            <v>634693160025.56995</v>
          </cell>
          <cell r="AS181">
            <v>596877648793.07202</v>
          </cell>
          <cell r="AT181">
            <v>627286800894.85498</v>
          </cell>
          <cell r="AU181">
            <v>705394315829.09802</v>
          </cell>
          <cell r="AV181">
            <v>905492099322.79895</v>
          </cell>
          <cell r="AW181">
            <v>1067093369754.16</v>
          </cell>
          <cell r="AX181">
            <v>1153285660987.4399</v>
          </cell>
          <cell r="AY181">
            <v>1259343871534.3101</v>
          </cell>
          <cell r="AZ181">
            <v>1472131125102.6599</v>
          </cell>
          <cell r="BA181">
            <v>1625224842536.99</v>
          </cell>
          <cell r="BB181">
            <v>1485583495415.3899</v>
          </cell>
          <cell r="BC181">
            <v>1420722034063</v>
          </cell>
          <cell r="BD181">
            <v>1478772824224.03</v>
          </cell>
          <cell r="BE181">
            <v>1324820091194.6699</v>
          </cell>
          <cell r="BF181">
            <v>1354757433212.72</v>
          </cell>
          <cell r="BG181">
            <v>1369398844599.5801</v>
          </cell>
          <cell r="BH181">
            <v>1195119269971.52</v>
          </cell>
          <cell r="BI181">
            <v>1232076017361.53</v>
          </cell>
          <cell r="BJ181">
            <v>1309297246509.3101</v>
          </cell>
          <cell r="BK181">
            <v>1420300232663.5901</v>
          </cell>
          <cell r="BL181">
            <v>1393046093137.25</v>
          </cell>
          <cell r="BM181">
            <v>1281484640043.5801</v>
          </cell>
          <cell r="BN181">
            <v>1281484640043.5801</v>
          </cell>
        </row>
        <row r="182">
          <cell r="B182" t="str">
            <v>LKA</v>
          </cell>
          <cell r="C182" t="str">
            <v>GDP (current US$)</v>
          </cell>
          <cell r="D182" t="str">
            <v>NY.GDP.MKTP.CD</v>
          </cell>
          <cell r="E182">
            <v>1409873949.5798299</v>
          </cell>
          <cell r="F182">
            <v>1444327731.0924399</v>
          </cell>
          <cell r="G182">
            <v>1434156378.6008201</v>
          </cell>
          <cell r="H182">
            <v>1240672268.9075601</v>
          </cell>
          <cell r="I182">
            <v>1309747899.1596601</v>
          </cell>
          <cell r="J182">
            <v>1698319327.7310901</v>
          </cell>
          <cell r="K182">
            <v>1751470588.2352901</v>
          </cell>
          <cell r="L182">
            <v>1859465020.5761299</v>
          </cell>
          <cell r="M182">
            <v>1801344537.81513</v>
          </cell>
          <cell r="N182">
            <v>1965546218.48739</v>
          </cell>
          <cell r="O182">
            <v>2296470588.2352901</v>
          </cell>
          <cell r="P182">
            <v>2369308600.3372698</v>
          </cell>
          <cell r="Q182">
            <v>2553936348.40871</v>
          </cell>
          <cell r="R182">
            <v>2875625000</v>
          </cell>
          <cell r="S182">
            <v>3574586466.16541</v>
          </cell>
          <cell r="T182">
            <v>3791298145.5064201</v>
          </cell>
          <cell r="U182">
            <v>3591319857.3127198</v>
          </cell>
          <cell r="V182">
            <v>4104509582.8635898</v>
          </cell>
          <cell r="W182">
            <v>2733183856.5022402</v>
          </cell>
          <cell r="X182">
            <v>3364611432.2414899</v>
          </cell>
          <cell r="Y182">
            <v>4024621899.57653</v>
          </cell>
          <cell r="Z182">
            <v>4415844155.8441601</v>
          </cell>
          <cell r="AA182">
            <v>4768765016.81884</v>
          </cell>
          <cell r="AB182">
            <v>5167913302.16745</v>
          </cell>
          <cell r="AC182">
            <v>6043474842.7672901</v>
          </cell>
          <cell r="AD182">
            <v>5978460972.0176697</v>
          </cell>
          <cell r="AE182">
            <v>6405210563.8829403</v>
          </cell>
          <cell r="AF182">
            <v>6682167119.5652199</v>
          </cell>
          <cell r="AG182">
            <v>6978371581.2637501</v>
          </cell>
          <cell r="AH182">
            <v>6987267683.7725401</v>
          </cell>
          <cell r="AI182">
            <v>8032551173.24014</v>
          </cell>
          <cell r="AJ182">
            <v>9000362581.5808601</v>
          </cell>
          <cell r="AK182">
            <v>9703011635.8658504</v>
          </cell>
          <cell r="AL182">
            <v>10338679635.7616</v>
          </cell>
          <cell r="AM182">
            <v>11717604208.8223</v>
          </cell>
          <cell r="AN182">
            <v>13029697560.975599</v>
          </cell>
          <cell r="AO182">
            <v>13897738375.2488</v>
          </cell>
          <cell r="AP182">
            <v>15091913883.709101</v>
          </cell>
          <cell r="AQ182">
            <v>15794972847.168301</v>
          </cell>
          <cell r="AR182">
            <v>15656327859.569599</v>
          </cell>
          <cell r="AS182">
            <v>16330814179.976601</v>
          </cell>
          <cell r="AT182">
            <v>15749753804.8344</v>
          </cell>
          <cell r="AU182">
            <v>16536535647.083401</v>
          </cell>
          <cell r="AV182">
            <v>18881765437.215099</v>
          </cell>
          <cell r="AW182">
            <v>20662525941.2985</v>
          </cell>
          <cell r="AX182">
            <v>24405791044.7761</v>
          </cell>
          <cell r="AY182">
            <v>28279814924.591801</v>
          </cell>
          <cell r="AZ182">
            <v>32350248410.821602</v>
          </cell>
          <cell r="BA182">
            <v>40713812309.731598</v>
          </cell>
          <cell r="BB182">
            <v>42066217871.534897</v>
          </cell>
          <cell r="BC182">
            <v>56725749221.904297</v>
          </cell>
          <cell r="BD182">
            <v>65292753005.466499</v>
          </cell>
          <cell r="BE182">
            <v>68434409315.112297</v>
          </cell>
          <cell r="BF182">
            <v>74317806538.363205</v>
          </cell>
          <cell r="BG182">
            <v>79356449840.577103</v>
          </cell>
          <cell r="BH182">
            <v>80604080688.577499</v>
          </cell>
          <cell r="BI182">
            <v>82401038709.535599</v>
          </cell>
          <cell r="BJ182">
            <v>87428128123.720901</v>
          </cell>
          <cell r="BK182">
            <v>87963042340.837906</v>
          </cell>
          <cell r="BL182">
            <v>83990946939.465103</v>
          </cell>
          <cell r="BM182">
            <v>80676681933.977997</v>
          </cell>
          <cell r="BN182">
            <v>80676681933.977997</v>
          </cell>
        </row>
        <row r="183">
          <cell r="B183" t="str">
            <v>KNA</v>
          </cell>
          <cell r="C183" t="str">
            <v>GDP (current US$)</v>
          </cell>
          <cell r="D183" t="str">
            <v>NY.GDP.MKTP.CD</v>
          </cell>
          <cell r="E183">
            <v>12366563.611969899</v>
          </cell>
          <cell r="F183">
            <v>12483229.306422399</v>
          </cell>
          <cell r="G183">
            <v>12541562.153648701</v>
          </cell>
          <cell r="H183">
            <v>12833226.3897801</v>
          </cell>
          <cell r="I183">
            <v>13416554.8620428</v>
          </cell>
          <cell r="J183">
            <v>13593932.322053701</v>
          </cell>
          <cell r="K183">
            <v>14469078.179696601</v>
          </cell>
          <cell r="L183">
            <v>16742338.251986399</v>
          </cell>
          <cell r="M183">
            <v>14600000</v>
          </cell>
          <cell r="N183">
            <v>15850000</v>
          </cell>
          <cell r="O183">
            <v>16300000</v>
          </cell>
          <cell r="P183">
            <v>19624746.4503043</v>
          </cell>
          <cell r="Q183">
            <v>22944849.115504701</v>
          </cell>
          <cell r="R183">
            <v>24196018.376722801</v>
          </cell>
          <cell r="S183">
            <v>31514856.307842199</v>
          </cell>
          <cell r="T183">
            <v>33364055.299539201</v>
          </cell>
          <cell r="U183">
            <v>30095602.2944551</v>
          </cell>
          <cell r="V183">
            <v>44496296.296296299</v>
          </cell>
          <cell r="W183">
            <v>49433333.333333299</v>
          </cell>
          <cell r="X183">
            <v>58840740.740740702</v>
          </cell>
          <cell r="Y183">
            <v>68459259.259259298</v>
          </cell>
          <cell r="Z183">
            <v>80888888.888888896</v>
          </cell>
          <cell r="AA183">
            <v>86022222.222222194</v>
          </cell>
          <cell r="AB183">
            <v>86874074.074074104</v>
          </cell>
          <cell r="AC183">
            <v>98603703.703703701</v>
          </cell>
          <cell r="AD183">
            <v>111007407.407407</v>
          </cell>
          <cell r="AE183">
            <v>130685185.185185</v>
          </cell>
          <cell r="AF183">
            <v>147748148.148148</v>
          </cell>
          <cell r="AG183">
            <v>172692592.59259301</v>
          </cell>
          <cell r="AH183">
            <v>192518518.518518</v>
          </cell>
          <cell r="AI183">
            <v>217259259.25925899</v>
          </cell>
          <cell r="AJ183">
            <v>220540740.74074101</v>
          </cell>
          <cell r="AK183">
            <v>242137037.03703699</v>
          </cell>
          <cell r="AL183">
            <v>263755555.555556</v>
          </cell>
          <cell r="AM183">
            <v>295159259.25925899</v>
          </cell>
          <cell r="AN183">
            <v>313485185.18518502</v>
          </cell>
          <cell r="AO183">
            <v>333944444.444444</v>
          </cell>
          <cell r="AP183">
            <v>374641307.97464103</v>
          </cell>
          <cell r="AQ183">
            <v>383257331.40548003</v>
          </cell>
          <cell r="AR183">
            <v>406595484.37326199</v>
          </cell>
          <cell r="AS183">
            <v>421695769.84391803</v>
          </cell>
          <cell r="AT183">
            <v>458643829.01419902</v>
          </cell>
          <cell r="AU183">
            <v>481077373.66996598</v>
          </cell>
          <cell r="AV183">
            <v>469869869.86987001</v>
          </cell>
          <cell r="AW183">
            <v>506900000</v>
          </cell>
          <cell r="AX183">
            <v>547203703.703704</v>
          </cell>
          <cell r="AY183">
            <v>644411111.11111104</v>
          </cell>
          <cell r="AZ183">
            <v>689285185.18518496</v>
          </cell>
          <cell r="BA183">
            <v>751233333.33333302</v>
          </cell>
          <cell r="BB183">
            <v>747862962.96296299</v>
          </cell>
          <cell r="BC183">
            <v>760170370.37037003</v>
          </cell>
          <cell r="BD183">
            <v>817759259.25925899</v>
          </cell>
          <cell r="BE183">
            <v>800414814.81481504</v>
          </cell>
          <cell r="BF183">
            <v>839770370.37037003</v>
          </cell>
          <cell r="BG183">
            <v>916566666.66666698</v>
          </cell>
          <cell r="BH183">
            <v>923155555.55555499</v>
          </cell>
          <cell r="BI183">
            <v>1008888888.88889</v>
          </cell>
          <cell r="BJ183">
            <v>1060740740.7407399</v>
          </cell>
          <cell r="BK183">
            <v>1078518518.5185201</v>
          </cell>
          <cell r="BL183">
            <v>1164814814.81481</v>
          </cell>
          <cell r="BM183">
            <v>980740740.74074101</v>
          </cell>
          <cell r="BN183">
            <v>980740740.74074101</v>
          </cell>
        </row>
        <row r="184">
          <cell r="B184" t="str">
            <v>LCA</v>
          </cell>
          <cell r="C184" t="str">
            <v>GDP (current US$)</v>
          </cell>
          <cell r="D184" t="str">
            <v>NY.GDP.MKTP.CD</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v>170370370.37037</v>
          </cell>
          <cell r="Z184">
            <v>194444444.444444</v>
          </cell>
          <cell r="AA184">
            <v>183333333.33333299</v>
          </cell>
          <cell r="AB184">
            <v>197037037.03703699</v>
          </cell>
          <cell r="AC184">
            <v>251481481.48148099</v>
          </cell>
          <cell r="AD184">
            <v>284444444.444444</v>
          </cell>
          <cell r="AE184">
            <v>340000000</v>
          </cell>
          <cell r="AF184">
            <v>375555555.555556</v>
          </cell>
          <cell r="AG184">
            <v>429629629.62963003</v>
          </cell>
          <cell r="AH184">
            <v>486666666.66666698</v>
          </cell>
          <cell r="AI184">
            <v>579629629.62962997</v>
          </cell>
          <cell r="AJ184">
            <v>613703703.703704</v>
          </cell>
          <cell r="AK184">
            <v>674074074.07407403</v>
          </cell>
          <cell r="AL184">
            <v>684814814.81481504</v>
          </cell>
          <cell r="AM184">
            <v>713703703.703704</v>
          </cell>
          <cell r="AN184">
            <v>762962962.96296299</v>
          </cell>
          <cell r="AO184">
            <v>788888888.88888896</v>
          </cell>
          <cell r="AP184">
            <v>805925925.92592597</v>
          </cell>
          <cell r="AQ184">
            <v>877407407.40740705</v>
          </cell>
          <cell r="AR184">
            <v>921851851.85185206</v>
          </cell>
          <cell r="AS184">
            <v>932592592.592592</v>
          </cell>
          <cell r="AT184">
            <v>892592592.592592</v>
          </cell>
          <cell r="AU184">
            <v>900000000</v>
          </cell>
          <cell r="AV184">
            <v>987407407.40740705</v>
          </cell>
          <cell r="AW184">
            <v>1066666666.66667</v>
          </cell>
          <cell r="AX184">
            <v>1135555555.5555601</v>
          </cell>
          <cell r="AY184">
            <v>1268319185.18519</v>
          </cell>
          <cell r="AZ184">
            <v>1336088814.81481</v>
          </cell>
          <cell r="BA184">
            <v>1437731111.11111</v>
          </cell>
          <cell r="BB184">
            <v>1401507888.88889</v>
          </cell>
          <cell r="BC184">
            <v>1486758037.03704</v>
          </cell>
          <cell r="BD184">
            <v>1576988407.4074099</v>
          </cell>
          <cell r="BE184">
            <v>1605146777.7777801</v>
          </cell>
          <cell r="BF184">
            <v>1664816740.7407401</v>
          </cell>
          <cell r="BG184">
            <v>1755130814.81481</v>
          </cell>
          <cell r="BH184">
            <v>1808079888.88889</v>
          </cell>
          <cell r="BI184">
            <v>1865513444.4444399</v>
          </cell>
          <cell r="BJ184">
            <v>1996771444.4444399</v>
          </cell>
          <cell r="BK184">
            <v>2065127259.2592599</v>
          </cell>
          <cell r="BL184">
            <v>2118791555.5555601</v>
          </cell>
          <cell r="BM184">
            <v>1616772740.7407401</v>
          </cell>
          <cell r="BN184">
            <v>1616772740.7407401</v>
          </cell>
        </row>
        <row r="185">
          <cell r="B185" t="str">
            <v>MAF</v>
          </cell>
          <cell r="C185" t="str">
            <v>GDP (current US$)</v>
          </cell>
          <cell r="D185" t="str">
            <v>NY.GDP.MKTP.CD</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v>
          </cell>
          <cell r="BN185" t="str">
            <v/>
          </cell>
        </row>
        <row r="186">
          <cell r="B186" t="str">
            <v>VCT</v>
          </cell>
          <cell r="C186" t="str">
            <v>GDP (current US$)</v>
          </cell>
          <cell r="D186" t="str">
            <v>NY.GDP.MKTP.CD</v>
          </cell>
          <cell r="E186">
            <v>13066557.778685199</v>
          </cell>
          <cell r="F186">
            <v>13999883.334305501</v>
          </cell>
          <cell r="G186">
            <v>14524878.959341999</v>
          </cell>
          <cell r="H186">
            <v>13708219.098174199</v>
          </cell>
          <cell r="I186">
            <v>14758210.3482471</v>
          </cell>
          <cell r="J186">
            <v>15108207.4316047</v>
          </cell>
          <cell r="K186">
            <v>16099865.8344514</v>
          </cell>
          <cell r="L186">
            <v>15835177.9329133</v>
          </cell>
          <cell r="M186">
            <v>15350000</v>
          </cell>
          <cell r="N186">
            <v>16650000</v>
          </cell>
          <cell r="O186">
            <v>18450000</v>
          </cell>
          <cell r="P186">
            <v>20051648.184718199</v>
          </cell>
          <cell r="Q186">
            <v>27585488.991828401</v>
          </cell>
          <cell r="R186">
            <v>30165373.621886499</v>
          </cell>
          <cell r="S186">
            <v>32924215.858172599</v>
          </cell>
          <cell r="T186">
            <v>33237164.715642001</v>
          </cell>
          <cell r="U186">
            <v>32792480.972960599</v>
          </cell>
          <cell r="V186">
            <v>49353161.851851903</v>
          </cell>
          <cell r="W186">
            <v>60844771.4814815</v>
          </cell>
          <cell r="X186">
            <v>71096359.629629597</v>
          </cell>
          <cell r="Y186">
            <v>82340339.629629597</v>
          </cell>
          <cell r="Z186">
            <v>102086539.259259</v>
          </cell>
          <cell r="AA186">
            <v>113759203.333333</v>
          </cell>
          <cell r="AB186">
            <v>122255349.62963</v>
          </cell>
          <cell r="AC186">
            <v>135024987.777778</v>
          </cell>
          <cell r="AD186">
            <v>145641705.18518499</v>
          </cell>
          <cell r="AE186">
            <v>160846656.66666701</v>
          </cell>
          <cell r="AF186">
            <v>175580647.40740699</v>
          </cell>
          <cell r="AG186">
            <v>200726712.59259301</v>
          </cell>
          <cell r="AH186">
            <v>214745002.222222</v>
          </cell>
          <cell r="AI186">
            <v>240366666.66666701</v>
          </cell>
          <cell r="AJ186">
            <v>254829629.62963</v>
          </cell>
          <cell r="AK186">
            <v>277955555.555556</v>
          </cell>
          <cell r="AL186">
            <v>286307407.40740699</v>
          </cell>
          <cell r="AM186">
            <v>289437037.03703701</v>
          </cell>
          <cell r="AN186">
            <v>316007407.40740699</v>
          </cell>
          <cell r="AO186">
            <v>331488888.88888901</v>
          </cell>
          <cell r="AP186">
            <v>347770370.37036997</v>
          </cell>
          <cell r="AQ186">
            <v>373618518.51851898</v>
          </cell>
          <cell r="AR186">
            <v>390718518.51851898</v>
          </cell>
          <cell r="AS186">
            <v>396262962.96296299</v>
          </cell>
          <cell r="AT186">
            <v>430040740.74074101</v>
          </cell>
          <cell r="AU186">
            <v>461885185.18518502</v>
          </cell>
          <cell r="AV186">
            <v>481807407.40740699</v>
          </cell>
          <cell r="AW186">
            <v>521974074.07407397</v>
          </cell>
          <cell r="AX186">
            <v>550729629.62962997</v>
          </cell>
          <cell r="AY186">
            <v>610929629.62962997</v>
          </cell>
          <cell r="AZ186">
            <v>684444444.44444394</v>
          </cell>
          <cell r="BA186">
            <v>695429629.62962997</v>
          </cell>
          <cell r="BB186">
            <v>674922222.22222197</v>
          </cell>
          <cell r="BC186">
            <v>681225925.92592597</v>
          </cell>
          <cell r="BD186">
            <v>676129629.62962997</v>
          </cell>
          <cell r="BE186">
            <v>692933333.33333302</v>
          </cell>
          <cell r="BF186">
            <v>721207407.40740705</v>
          </cell>
          <cell r="BG186">
            <v>727714814.81481504</v>
          </cell>
          <cell r="BH186">
            <v>755400000</v>
          </cell>
          <cell r="BI186">
            <v>774429629.62962997</v>
          </cell>
          <cell r="BJ186">
            <v>792177777.77777803</v>
          </cell>
          <cell r="BK186">
            <v>811300000</v>
          </cell>
          <cell r="BL186">
            <v>825040740.74074101</v>
          </cell>
          <cell r="BM186">
            <v>807474074.07407403</v>
          </cell>
          <cell r="BN186">
            <v>807474074.07407403</v>
          </cell>
        </row>
        <row r="187">
          <cell r="B187" t="str">
            <v>SDN</v>
          </cell>
          <cell r="C187" t="str">
            <v>GDP (current US$)</v>
          </cell>
          <cell r="D187" t="str">
            <v>NY.GDP.MKTP.CD</v>
          </cell>
          <cell r="E187">
            <v>1307333333.3333299</v>
          </cell>
          <cell r="F187">
            <v>1419333333.3333299</v>
          </cell>
          <cell r="G187">
            <v>1541666666.6666701</v>
          </cell>
          <cell r="H187">
            <v>1568333333.3333299</v>
          </cell>
          <cell r="I187">
            <v>1611333333.3333299</v>
          </cell>
          <cell r="J187">
            <v>1679333333.3333299</v>
          </cell>
          <cell r="K187">
            <v>1723000000</v>
          </cell>
          <cell r="L187">
            <v>1865666666.6666701</v>
          </cell>
          <cell r="M187">
            <v>1947333333.3333299</v>
          </cell>
          <cell r="N187">
            <v>2144333333.3333299</v>
          </cell>
          <cell r="O187">
            <v>2437666666.6666698</v>
          </cell>
          <cell r="P187">
            <v>2656000000</v>
          </cell>
          <cell r="Q187">
            <v>2882000000</v>
          </cell>
          <cell r="R187">
            <v>3571666666.6666698</v>
          </cell>
          <cell r="S187">
            <v>4595000000</v>
          </cell>
          <cell r="T187">
            <v>5598000000</v>
          </cell>
          <cell r="U187">
            <v>6979333333.3333302</v>
          </cell>
          <cell r="V187">
            <v>8704000000</v>
          </cell>
          <cell r="W187">
            <v>7670500000</v>
          </cell>
          <cell r="X187">
            <v>9032250000</v>
          </cell>
          <cell r="Y187">
            <v>7459833333.3333302</v>
          </cell>
          <cell r="Z187">
            <v>10016500000</v>
          </cell>
          <cell r="AA187">
            <v>9240000000</v>
          </cell>
          <cell r="AB187">
            <v>8230153846.1538496</v>
          </cell>
          <cell r="AC187">
            <v>9701357142.8571396</v>
          </cell>
          <cell r="AD187">
            <v>12403733333.3333</v>
          </cell>
          <cell r="AE187">
            <v>15769062500</v>
          </cell>
          <cell r="AF187">
            <v>20155555555.555599</v>
          </cell>
          <cell r="AG187">
            <v>15399166666.6667</v>
          </cell>
          <cell r="AH187">
            <v>15291507936.5079</v>
          </cell>
          <cell r="AI187">
            <v>12408647540.983601</v>
          </cell>
          <cell r="AJ187">
            <v>11379222222.2222</v>
          </cell>
          <cell r="AK187">
            <v>7034219712.5256701</v>
          </cell>
          <cell r="AL187">
            <v>8881785938.4808502</v>
          </cell>
          <cell r="AM187">
            <v>12794192334.254101</v>
          </cell>
          <cell r="AN187">
            <v>13829744878.6366</v>
          </cell>
          <cell r="AO187">
            <v>9018243044.4515495</v>
          </cell>
          <cell r="AP187">
            <v>11681494637.3041</v>
          </cell>
          <cell r="AQ187">
            <v>11250327988.0478</v>
          </cell>
          <cell r="AR187">
            <v>10682045258.3647</v>
          </cell>
          <cell r="AS187">
            <v>12257418326.0734</v>
          </cell>
          <cell r="AT187">
            <v>15716489369.9266</v>
          </cell>
          <cell r="AU187">
            <v>18136839087.007702</v>
          </cell>
          <cell r="AV187">
            <v>21355576672.542</v>
          </cell>
          <cell r="AW187">
            <v>26645490675.041698</v>
          </cell>
          <cell r="AX187">
            <v>35182105414.391899</v>
          </cell>
          <cell r="AY187">
            <v>45264519502.647903</v>
          </cell>
          <cell r="AZ187">
            <v>59440139774.812798</v>
          </cell>
          <cell r="BA187">
            <v>64831935604.248398</v>
          </cell>
          <cell r="BB187">
            <v>51621044076.923103</v>
          </cell>
          <cell r="BC187">
            <v>58962978034.482803</v>
          </cell>
          <cell r="BD187">
            <v>55018567210.526299</v>
          </cell>
          <cell r="BE187">
            <v>37632919966.666702</v>
          </cell>
          <cell r="BF187">
            <v>43024018082.191803</v>
          </cell>
          <cell r="BG187">
            <v>49516748617.977501</v>
          </cell>
          <cell r="BH187">
            <v>51726758676.7677</v>
          </cell>
          <cell r="BI187">
            <v>42630376000</v>
          </cell>
          <cell r="BJ187">
            <v>41283617976.190498</v>
          </cell>
          <cell r="BK187">
            <v>30964349684.705898</v>
          </cell>
          <cell r="BL187">
            <v>26155799324.866299</v>
          </cell>
          <cell r="BM187">
            <v>21329109521.807701</v>
          </cell>
          <cell r="BN187">
            <v>21329109521.807701</v>
          </cell>
        </row>
        <row r="188">
          <cell r="B188" t="str">
            <v>SUR</v>
          </cell>
          <cell r="C188" t="str">
            <v>GDP (current US$)</v>
          </cell>
          <cell r="D188" t="str">
            <v>NY.GDP.MKTP.CD</v>
          </cell>
          <cell r="E188">
            <v>99650000</v>
          </cell>
          <cell r="F188">
            <v>107700000</v>
          </cell>
          <cell r="G188">
            <v>116150000</v>
          </cell>
          <cell r="H188">
            <v>125950000</v>
          </cell>
          <cell r="I188">
            <v>134400000</v>
          </cell>
          <cell r="J188">
            <v>154150000</v>
          </cell>
          <cell r="K188">
            <v>190350000</v>
          </cell>
          <cell r="L188">
            <v>220700000</v>
          </cell>
          <cell r="M188">
            <v>241350000</v>
          </cell>
          <cell r="N188">
            <v>259650000</v>
          </cell>
          <cell r="O188">
            <v>274900000</v>
          </cell>
          <cell r="P188">
            <v>301000000</v>
          </cell>
          <cell r="Q188">
            <v>311950000</v>
          </cell>
          <cell r="R188">
            <v>339450000</v>
          </cell>
          <cell r="S188">
            <v>409850000</v>
          </cell>
          <cell r="T188">
            <v>465500000</v>
          </cell>
          <cell r="U188">
            <v>505500000</v>
          </cell>
          <cell r="V188">
            <v>641500000</v>
          </cell>
          <cell r="W188">
            <v>735500000</v>
          </cell>
          <cell r="X188">
            <v>782500000</v>
          </cell>
          <cell r="Y188">
            <v>795000000</v>
          </cell>
          <cell r="Z188">
            <v>889000000</v>
          </cell>
          <cell r="AA188">
            <v>915000000</v>
          </cell>
          <cell r="AB188">
            <v>883500000</v>
          </cell>
          <cell r="AC188">
            <v>864000000</v>
          </cell>
          <cell r="AD188">
            <v>873000000</v>
          </cell>
          <cell r="AE188">
            <v>891000000</v>
          </cell>
          <cell r="AF188">
            <v>980000000</v>
          </cell>
          <cell r="AG188">
            <v>1161000000</v>
          </cell>
          <cell r="AH188">
            <v>542600000</v>
          </cell>
          <cell r="AI188">
            <v>388400000</v>
          </cell>
          <cell r="AJ188">
            <v>448100000</v>
          </cell>
          <cell r="AK188">
            <v>404600000</v>
          </cell>
          <cell r="AL188">
            <v>428764705.88235301</v>
          </cell>
          <cell r="AM188">
            <v>605492537.31343305</v>
          </cell>
          <cell r="AN188">
            <v>691590497.73755705</v>
          </cell>
          <cell r="AO188">
            <v>861411471.32169604</v>
          </cell>
          <cell r="AP188">
            <v>926422500</v>
          </cell>
          <cell r="AQ188">
            <v>1110850000</v>
          </cell>
          <cell r="AR188">
            <v>886290697.67441905</v>
          </cell>
          <cell r="AS188">
            <v>947671969.69696999</v>
          </cell>
          <cell r="AT188">
            <v>834279357.79816496</v>
          </cell>
          <cell r="AU188">
            <v>1093574468.0851099</v>
          </cell>
          <cell r="AV188">
            <v>1274190311.41869</v>
          </cell>
          <cell r="AW188">
            <v>1484092538.4052701</v>
          </cell>
          <cell r="AX188">
            <v>1793388732.29125</v>
          </cell>
          <cell r="AY188">
            <v>2626380435.1787701</v>
          </cell>
          <cell r="AZ188">
            <v>2936612021.8579202</v>
          </cell>
          <cell r="BA188">
            <v>3532969034.6083798</v>
          </cell>
          <cell r="BB188">
            <v>3875409836.0655699</v>
          </cell>
          <cell r="BC188">
            <v>4368398047.6433296</v>
          </cell>
          <cell r="BD188">
            <v>4422276621.7870302</v>
          </cell>
          <cell r="BE188">
            <v>4980000000</v>
          </cell>
          <cell r="BF188">
            <v>5145757575.7575798</v>
          </cell>
          <cell r="BG188">
            <v>5240606060.60606</v>
          </cell>
          <cell r="BH188">
            <v>5126291450.8151102</v>
          </cell>
          <cell r="BI188">
            <v>3317438910.8306799</v>
          </cell>
          <cell r="BJ188">
            <v>3591623596.0308199</v>
          </cell>
          <cell r="BK188">
            <v>3996247906.19765</v>
          </cell>
          <cell r="BL188">
            <v>3984483762.3712301</v>
          </cell>
          <cell r="BM188">
            <v>2884248048.4906802</v>
          </cell>
          <cell r="BN188">
            <v>2884248048.4906802</v>
          </cell>
        </row>
        <row r="189">
          <cell r="B189" t="str">
            <v>SWE</v>
          </cell>
          <cell r="C189" t="str">
            <v>GDP (current US$)</v>
          </cell>
          <cell r="D189" t="str">
            <v>NY.GDP.MKTP.CD</v>
          </cell>
          <cell r="E189">
            <v>15822585033.576401</v>
          </cell>
          <cell r="F189">
            <v>17212686614.572601</v>
          </cell>
          <cell r="G189">
            <v>18667251380.0746</v>
          </cell>
          <cell r="H189">
            <v>20204870629.744099</v>
          </cell>
          <cell r="I189">
            <v>22532416750.012501</v>
          </cell>
          <cell r="J189">
            <v>24795499685.775002</v>
          </cell>
          <cell r="K189">
            <v>26971486546.284801</v>
          </cell>
          <cell r="L189">
            <v>29275995674.688801</v>
          </cell>
          <cell r="M189">
            <v>31066819929.285301</v>
          </cell>
          <cell r="N189">
            <v>33738102482.1558</v>
          </cell>
          <cell r="O189">
            <v>38092452060.620102</v>
          </cell>
          <cell r="P189">
            <v>41566412922.608704</v>
          </cell>
          <cell r="Q189">
            <v>48954145808.835899</v>
          </cell>
          <cell r="R189">
            <v>59404966684.221397</v>
          </cell>
          <cell r="S189">
            <v>66013338964.724998</v>
          </cell>
          <cell r="T189">
            <v>82885397620.538498</v>
          </cell>
          <cell r="U189">
            <v>89362071672.903397</v>
          </cell>
          <cell r="V189">
            <v>94468740851.481598</v>
          </cell>
          <cell r="W189">
            <v>104442351222.75101</v>
          </cell>
          <cell r="X189">
            <v>123386410160.715</v>
          </cell>
          <cell r="Y189">
            <v>142092068280.689</v>
          </cell>
          <cell r="Z189">
            <v>129686938223.328</v>
          </cell>
          <cell r="AA189">
            <v>114380557730.87601</v>
          </cell>
          <cell r="AB189">
            <v>105014356666.797</v>
          </cell>
          <cell r="AC189">
            <v>109201362581.3</v>
          </cell>
          <cell r="AD189">
            <v>114123537581.79401</v>
          </cell>
          <cell r="AE189">
            <v>150498057723.62299</v>
          </cell>
          <cell r="AF189">
            <v>183009638350.89301</v>
          </cell>
          <cell r="AG189">
            <v>206986674500.58801</v>
          </cell>
          <cell r="AH189">
            <v>217948315624.564</v>
          </cell>
          <cell r="AI189">
            <v>261846194498.88501</v>
          </cell>
          <cell r="AJ189">
            <v>274229034311.69901</v>
          </cell>
          <cell r="AK189">
            <v>284321115594.62903</v>
          </cell>
          <cell r="AL189">
            <v>212953336588.12299</v>
          </cell>
          <cell r="AM189">
            <v>229033566614.82599</v>
          </cell>
          <cell r="AN189">
            <v>267305875261.099</v>
          </cell>
          <cell r="AO189">
            <v>291743811512.07898</v>
          </cell>
          <cell r="AP189">
            <v>268146144677.73001</v>
          </cell>
          <cell r="AQ189">
            <v>270809066780.71399</v>
          </cell>
          <cell r="AR189">
            <v>274072182416.73099</v>
          </cell>
          <cell r="AS189">
            <v>262835454366.85501</v>
          </cell>
          <cell r="AT189">
            <v>242395852494.409</v>
          </cell>
          <cell r="AU189">
            <v>266849061835.659</v>
          </cell>
          <cell r="AV189">
            <v>334337212322.07599</v>
          </cell>
          <cell r="AW189">
            <v>385118044877.46503</v>
          </cell>
          <cell r="AX189">
            <v>392218088878.77899</v>
          </cell>
          <cell r="AY189">
            <v>423093437423.76202</v>
          </cell>
          <cell r="AZ189">
            <v>491252589217.021</v>
          </cell>
          <cell r="BA189">
            <v>517706149201.19598</v>
          </cell>
          <cell r="BB189">
            <v>436537014293.55402</v>
          </cell>
          <cell r="BC189">
            <v>495812558843.31</v>
          </cell>
          <cell r="BD189">
            <v>574094112972.73303</v>
          </cell>
          <cell r="BE189">
            <v>552483727282.802</v>
          </cell>
          <cell r="BF189">
            <v>586841821796.89099</v>
          </cell>
          <cell r="BG189">
            <v>581964017237.09497</v>
          </cell>
          <cell r="BH189">
            <v>505103781349.75702</v>
          </cell>
          <cell r="BI189">
            <v>515654671469.547</v>
          </cell>
          <cell r="BJ189">
            <v>541018749769.09698</v>
          </cell>
          <cell r="BK189">
            <v>555455371487.08899</v>
          </cell>
          <cell r="BL189">
            <v>533879529188.45398</v>
          </cell>
          <cell r="BM189">
            <v>541220059459.25</v>
          </cell>
          <cell r="BN189">
            <v>541220059459.25</v>
          </cell>
        </row>
        <row r="190">
          <cell r="B190" t="str">
            <v>CHE</v>
          </cell>
          <cell r="C190" t="str">
            <v>GDP (current US$)</v>
          </cell>
          <cell r="D190" t="str">
            <v>NY.GDP.MKTP.CD</v>
          </cell>
          <cell r="E190">
            <v>9522746719.2161407</v>
          </cell>
          <cell r="F190">
            <v>10712712465.0522</v>
          </cell>
          <cell r="G190">
            <v>11879982758.561899</v>
          </cell>
          <cell r="H190">
            <v>13063643795.788401</v>
          </cell>
          <cell r="I190">
            <v>14480556571.5476</v>
          </cell>
          <cell r="J190">
            <v>15346741669.7575</v>
          </cell>
          <cell r="K190">
            <v>16480058704.8531</v>
          </cell>
          <cell r="L190">
            <v>17740013179.259998</v>
          </cell>
          <cell r="M190">
            <v>18942729779.099998</v>
          </cell>
          <cell r="N190">
            <v>20524886616.478901</v>
          </cell>
          <cell r="O190" t="str">
            <v>..</v>
          </cell>
          <cell r="P190" t="str">
            <v>..</v>
          </cell>
          <cell r="Q190" t="str">
            <v>..</v>
          </cell>
          <cell r="R190" t="str">
            <v>..</v>
          </cell>
          <cell r="S190" t="str">
            <v>..</v>
          </cell>
          <cell r="T190" t="str">
            <v>..</v>
          </cell>
          <cell r="U190" t="str">
            <v>..</v>
          </cell>
          <cell r="V190" t="str">
            <v>..</v>
          </cell>
          <cell r="W190" t="str">
            <v>..</v>
          </cell>
          <cell r="X190" t="str">
            <v>..</v>
          </cell>
          <cell r="Y190">
            <v>122660905890.076</v>
          </cell>
          <cell r="Z190">
            <v>112339195092.149</v>
          </cell>
          <cell r="AA190">
            <v>115140108850.909</v>
          </cell>
          <cell r="AB190">
            <v>114730757467.48599</v>
          </cell>
          <cell r="AC190">
            <v>109547355832.66</v>
          </cell>
          <cell r="AD190">
            <v>111073640470.47301</v>
          </cell>
          <cell r="AE190">
            <v>159223703930.17999</v>
          </cell>
          <cell r="AF190">
            <v>199403912956.009</v>
          </cell>
          <cell r="AG190">
            <v>215721878630.49301</v>
          </cell>
          <cell r="AH190">
            <v>208280848462.62</v>
          </cell>
          <cell r="AI190">
            <v>265987061618.198</v>
          </cell>
          <cell r="AJ190">
            <v>269127820781.03201</v>
          </cell>
          <cell r="AK190">
            <v>280156819798.03699</v>
          </cell>
          <cell r="AL190">
            <v>272466458446.129</v>
          </cell>
          <cell r="AM190">
            <v>301628489434.81799</v>
          </cell>
          <cell r="AN190">
            <v>353132515010.57098</v>
          </cell>
          <cell r="AO190">
            <v>340471241909.38501</v>
          </cell>
          <cell r="AP190">
            <v>295121356714.66998</v>
          </cell>
          <cell r="AQ190">
            <v>303882354117.80902</v>
          </cell>
          <cell r="AR190">
            <v>298520480628.41199</v>
          </cell>
          <cell r="AS190">
            <v>279841151705.35303</v>
          </cell>
          <cell r="AT190">
            <v>287226531168.52301</v>
          </cell>
          <cell r="AU190">
            <v>310175772488.13</v>
          </cell>
          <cell r="AV190">
            <v>363063293977.87201</v>
          </cell>
          <cell r="AW190">
            <v>405531321270.60699</v>
          </cell>
          <cell r="AX190">
            <v>420544947799.54999</v>
          </cell>
          <cell r="AY190">
            <v>443801905407.56097</v>
          </cell>
          <cell r="AZ190">
            <v>493537376707.76398</v>
          </cell>
          <cell r="BA190">
            <v>570304197211.70703</v>
          </cell>
          <cell r="BB190">
            <v>558199868578.25598</v>
          </cell>
          <cell r="BC190">
            <v>603434493402.67896</v>
          </cell>
          <cell r="BD190">
            <v>722038242134.62</v>
          </cell>
          <cell r="BE190">
            <v>692109693986.88599</v>
          </cell>
          <cell r="BF190">
            <v>712748124222.60999</v>
          </cell>
          <cell r="BG190">
            <v>734396591036.93201</v>
          </cell>
          <cell r="BH190">
            <v>702149580770.901</v>
          </cell>
          <cell r="BI190">
            <v>695600652899.28296</v>
          </cell>
          <cell r="BJ190">
            <v>704478516963.85498</v>
          </cell>
          <cell r="BK190">
            <v>735539301552.67395</v>
          </cell>
          <cell r="BL190">
            <v>731767398052.87903</v>
          </cell>
          <cell r="BM190">
            <v>752248045730.10999</v>
          </cell>
          <cell r="BN190">
            <v>752248045730.10999</v>
          </cell>
        </row>
        <row r="191">
          <cell r="B191" t="str">
            <v>SYR</v>
          </cell>
          <cell r="C191" t="str">
            <v>GDP (current US$)</v>
          </cell>
          <cell r="D191" t="str">
            <v>NY.GDP.MKTP.CD</v>
          </cell>
          <cell r="E191">
            <v>857704413.40782106</v>
          </cell>
          <cell r="F191">
            <v>945244972.06703901</v>
          </cell>
          <cell r="G191">
            <v>1110565880.75881</v>
          </cell>
          <cell r="H191">
            <v>1200447408.37696</v>
          </cell>
          <cell r="I191">
            <v>1339494267.0157101</v>
          </cell>
          <cell r="J191">
            <v>1329842434.55497</v>
          </cell>
          <cell r="K191">
            <v>1321204502.6178</v>
          </cell>
          <cell r="L191">
            <v>1443717801.0471201</v>
          </cell>
          <cell r="M191">
            <v>1562303429.31937</v>
          </cell>
          <cell r="N191">
            <v>1796596910.99476</v>
          </cell>
          <cell r="O191">
            <v>1780104712.0418799</v>
          </cell>
          <cell r="P191">
            <v>2097643979.05759</v>
          </cell>
          <cell r="Q191">
            <v>2415706806.2827201</v>
          </cell>
          <cell r="R191">
            <v>2579219250.6375499</v>
          </cell>
          <cell r="S191">
            <v>4244670160.2905102</v>
          </cell>
          <cell r="T191">
            <v>5566756756.7567596</v>
          </cell>
          <cell r="U191">
            <v>6417632802.89182</v>
          </cell>
          <cell r="V191">
            <v>6882292993.6305704</v>
          </cell>
          <cell r="W191">
            <v>8251974522.2929897</v>
          </cell>
          <cell r="X191">
            <v>9929681528.6624203</v>
          </cell>
          <cell r="Y191">
            <v>13062420382.1656</v>
          </cell>
          <cell r="Z191">
            <v>16758471337.579599</v>
          </cell>
          <cell r="AA191">
            <v>17525605095.541401</v>
          </cell>
          <cell r="AB191">
            <v>18672866242.0382</v>
          </cell>
          <cell r="AC191">
            <v>19195414012.738899</v>
          </cell>
          <cell r="AD191">
            <v>21203821656.050999</v>
          </cell>
          <cell r="AE191">
            <v>25460636942.675201</v>
          </cell>
          <cell r="AF191">
            <v>32538089171.974499</v>
          </cell>
          <cell r="AG191">
            <v>16574342984.4098</v>
          </cell>
          <cell r="AH191">
            <v>18609532293.986599</v>
          </cell>
          <cell r="AI191">
            <v>23904498886.414299</v>
          </cell>
          <cell r="AJ191">
            <v>27756258351.893101</v>
          </cell>
          <cell r="AK191">
            <v>33107349665.924301</v>
          </cell>
          <cell r="AL191">
            <v>36860133630.289497</v>
          </cell>
          <cell r="AM191">
            <v>45086948775.055702</v>
          </cell>
          <cell r="AN191">
            <v>50866369710.467697</v>
          </cell>
          <cell r="AO191">
            <v>61546280623.608002</v>
          </cell>
          <cell r="AP191">
            <v>66420400890.868599</v>
          </cell>
          <cell r="AQ191">
            <v>70418173719.376404</v>
          </cell>
          <cell r="AR191">
            <v>72970334075.723801</v>
          </cell>
          <cell r="AS191">
            <v>80590022271.714905</v>
          </cell>
          <cell r="AT191">
            <v>86771314031.180405</v>
          </cell>
          <cell r="AU191">
            <v>90558485523.3853</v>
          </cell>
          <cell r="AV191">
            <v>95693808463.251694</v>
          </cell>
          <cell r="AW191">
            <v>112863340757.23801</v>
          </cell>
          <cell r="AX191">
            <v>134203830734.967</v>
          </cell>
          <cell r="AY191">
            <v>153799910913.14001</v>
          </cell>
          <cell r="AZ191">
            <v>180030111358.57501</v>
          </cell>
          <cell r="BA191">
            <v>218089977728.285</v>
          </cell>
          <cell r="BB191">
            <v>224561692650.33401</v>
          </cell>
          <cell r="BC191">
            <v>252518218262.806</v>
          </cell>
          <cell r="BD191">
            <v>64315437939.010803</v>
          </cell>
          <cell r="BE191">
            <v>42807315975.534203</v>
          </cell>
          <cell r="BF191">
            <v>20345458470.842701</v>
          </cell>
          <cell r="BG191">
            <v>21239000398.0826</v>
          </cell>
          <cell r="BH191">
            <v>16492072144.2125</v>
          </cell>
          <cell r="BI191">
            <v>12356980638.814301</v>
          </cell>
          <cell r="BJ191">
            <v>16112991411.879</v>
          </cell>
          <cell r="BK191">
            <v>21490335085.836601</v>
          </cell>
          <cell r="BL191">
            <v>22777882165.1115</v>
          </cell>
          <cell r="BM191" t="str">
            <v>..</v>
          </cell>
          <cell r="BN191">
            <v>22777882165.1115</v>
          </cell>
        </row>
        <row r="192">
          <cell r="B192" t="str">
            <v>TJK</v>
          </cell>
          <cell r="C192" t="str">
            <v>GDP (current US$)</v>
          </cell>
          <cell r="D192" t="str">
            <v>NY.GDP.MKTP.CD</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t="str">
            <v>..</v>
          </cell>
          <cell r="AF192" t="str">
            <v>..</v>
          </cell>
          <cell r="AG192" t="str">
            <v>..</v>
          </cell>
          <cell r="AH192" t="str">
            <v>..</v>
          </cell>
          <cell r="AI192">
            <v>2629395852.11903</v>
          </cell>
          <cell r="AJ192">
            <v>1352000000</v>
          </cell>
          <cell r="AK192">
            <v>2156666666.6666698</v>
          </cell>
          <cell r="AL192">
            <v>1644325581.39535</v>
          </cell>
          <cell r="AM192">
            <v>1518796992.4812</v>
          </cell>
          <cell r="AN192">
            <v>1231040564.3738999</v>
          </cell>
          <cell r="AO192">
            <v>1043654822.33503</v>
          </cell>
          <cell r="AP192">
            <v>921572114.52961099</v>
          </cell>
          <cell r="AQ192">
            <v>1320242080.86531</v>
          </cell>
          <cell r="AR192">
            <v>1086605267.40992</v>
          </cell>
          <cell r="AS192">
            <v>860521119.29875302</v>
          </cell>
          <cell r="AT192">
            <v>1080768906.5002999</v>
          </cell>
          <cell r="AU192">
            <v>1221120798.81336</v>
          </cell>
          <cell r="AV192">
            <v>1555301496.04756</v>
          </cell>
          <cell r="AW192">
            <v>2076182460.86517</v>
          </cell>
          <cell r="AX192">
            <v>2312327536.4178901</v>
          </cell>
          <cell r="AY192">
            <v>2830220713.07301</v>
          </cell>
          <cell r="AZ192">
            <v>3719506172.83951</v>
          </cell>
          <cell r="BA192">
            <v>5161337336.4036503</v>
          </cell>
          <cell r="BB192">
            <v>4979481980.3509798</v>
          </cell>
          <cell r="BC192">
            <v>5642178579.5843801</v>
          </cell>
          <cell r="BD192">
            <v>6522732202.5074797</v>
          </cell>
          <cell r="BE192">
            <v>7633049792.0932102</v>
          </cell>
          <cell r="BF192">
            <v>8448469837.5383101</v>
          </cell>
          <cell r="BG192">
            <v>9112544556.0596199</v>
          </cell>
          <cell r="BH192">
            <v>8271454300.59548</v>
          </cell>
          <cell r="BI192">
            <v>6992393787.4089098</v>
          </cell>
          <cell r="BJ192">
            <v>7536439875.0833397</v>
          </cell>
          <cell r="BK192">
            <v>7765014424.3377895</v>
          </cell>
          <cell r="BL192">
            <v>8300784856.8790398</v>
          </cell>
          <cell r="BM192">
            <v>8194150301.7855196</v>
          </cell>
          <cell r="BN192">
            <v>8194150301.7855196</v>
          </cell>
        </row>
        <row r="193">
          <cell r="B193" t="str">
            <v>TZA</v>
          </cell>
          <cell r="C193" t="str">
            <v>GDP (current US$)</v>
          </cell>
          <cell r="D193" t="str">
            <v>NY.GDP.MKTP.CD</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v>5100405772.4632702</v>
          </cell>
          <cell r="AH193">
            <v>4420168102.3930597</v>
          </cell>
          <cell r="AI193">
            <v>4258743262.8287601</v>
          </cell>
          <cell r="AJ193">
            <v>4956588278.5614405</v>
          </cell>
          <cell r="AK193">
            <v>4601413263.5289402</v>
          </cell>
          <cell r="AL193">
            <v>4257702196.53864</v>
          </cell>
          <cell r="AM193">
            <v>4510846967.8741999</v>
          </cell>
          <cell r="AN193">
            <v>5255221424.8096199</v>
          </cell>
          <cell r="AO193">
            <v>6496195450.6103401</v>
          </cell>
          <cell r="AP193">
            <v>7683852496.8449898</v>
          </cell>
          <cell r="AQ193">
            <v>12270448700.1994</v>
          </cell>
          <cell r="AR193">
            <v>12711213451.034</v>
          </cell>
          <cell r="AS193">
            <v>13375976353.6994</v>
          </cell>
          <cell r="AT193">
            <v>13581644245.735201</v>
          </cell>
          <cell r="AU193">
            <v>14142035080.284901</v>
          </cell>
          <cell r="AV193">
            <v>15224257698.482</v>
          </cell>
          <cell r="AW193">
            <v>16675948414.757299</v>
          </cell>
          <cell r="AX193">
            <v>18399046025.268799</v>
          </cell>
          <cell r="AY193">
            <v>18649590248.2626</v>
          </cell>
          <cell r="AZ193">
            <v>21843529024.915401</v>
          </cell>
          <cell r="BA193">
            <v>27941177434.508701</v>
          </cell>
          <cell r="BB193">
            <v>29081425282.294899</v>
          </cell>
          <cell r="BC193">
            <v>32014249841.4151</v>
          </cell>
          <cell r="BD193">
            <v>34657139495.403099</v>
          </cell>
          <cell r="BE193">
            <v>39650530214.328697</v>
          </cell>
          <cell r="BF193">
            <v>45680532613.759102</v>
          </cell>
          <cell r="BG193">
            <v>49964788814.092598</v>
          </cell>
          <cell r="BH193">
            <v>47378599025.304398</v>
          </cell>
          <cell r="BI193">
            <v>49774021003.074799</v>
          </cell>
          <cell r="BJ193">
            <v>53320625958.562798</v>
          </cell>
          <cell r="BK193">
            <v>57003713610.762497</v>
          </cell>
          <cell r="BL193">
            <v>61136873692.398499</v>
          </cell>
          <cell r="BM193">
            <v>62409709110.953796</v>
          </cell>
          <cell r="BN193">
            <v>62409709110.953796</v>
          </cell>
        </row>
        <row r="194">
          <cell r="B194" t="str">
            <v>THA</v>
          </cell>
          <cell r="C194" t="str">
            <v>GDP (current US$)</v>
          </cell>
          <cell r="D194" t="str">
            <v>NY.GDP.MKTP.CD</v>
          </cell>
          <cell r="E194">
            <v>2760747471.88624</v>
          </cell>
          <cell r="F194">
            <v>3034043574.06071</v>
          </cell>
          <cell r="G194">
            <v>3308912796.9348698</v>
          </cell>
          <cell r="H194">
            <v>3540403456.55305</v>
          </cell>
          <cell r="I194">
            <v>3889129942.3076901</v>
          </cell>
          <cell r="J194">
            <v>4388937649.0384598</v>
          </cell>
          <cell r="K194">
            <v>5279230817.3076897</v>
          </cell>
          <cell r="L194">
            <v>5638461442.3076897</v>
          </cell>
          <cell r="M194">
            <v>6081009427.8846102</v>
          </cell>
          <cell r="N194">
            <v>6695336567.3076897</v>
          </cell>
          <cell r="O194">
            <v>7086538437.5</v>
          </cell>
          <cell r="P194">
            <v>7375000024.0384598</v>
          </cell>
          <cell r="Q194">
            <v>8177884552.8846102</v>
          </cell>
          <cell r="R194">
            <v>10838587357.746599</v>
          </cell>
          <cell r="S194">
            <v>13703000530.058701</v>
          </cell>
          <cell r="T194">
            <v>14882747955.032801</v>
          </cell>
          <cell r="U194">
            <v>16985211146.0238</v>
          </cell>
          <cell r="V194">
            <v>19779315170.023701</v>
          </cell>
          <cell r="W194">
            <v>24006570178.156101</v>
          </cell>
          <cell r="X194">
            <v>27371699082.712601</v>
          </cell>
          <cell r="Y194">
            <v>32353440726.885601</v>
          </cell>
          <cell r="Z194">
            <v>34846107862.367302</v>
          </cell>
          <cell r="AA194">
            <v>36589797857.400597</v>
          </cell>
          <cell r="AB194">
            <v>40042826244.233704</v>
          </cell>
          <cell r="AC194">
            <v>41797592963.442398</v>
          </cell>
          <cell r="AD194">
            <v>38900692712.149597</v>
          </cell>
          <cell r="AE194">
            <v>43096746122.461403</v>
          </cell>
          <cell r="AF194">
            <v>50535438696.409401</v>
          </cell>
          <cell r="AG194">
            <v>61667199834.742798</v>
          </cell>
          <cell r="AH194">
            <v>72250877410.318298</v>
          </cell>
          <cell r="AI194">
            <v>85343063965.918198</v>
          </cell>
          <cell r="AJ194">
            <v>98234695722.034103</v>
          </cell>
          <cell r="AK194">
            <v>111452869378.467</v>
          </cell>
          <cell r="AL194">
            <v>128889318946.58701</v>
          </cell>
          <cell r="AM194">
            <v>146683499005.96399</v>
          </cell>
          <cell r="AN194">
            <v>169278753531.98001</v>
          </cell>
          <cell r="AO194">
            <v>183035114648.39999</v>
          </cell>
          <cell r="AP194">
            <v>150180619366.60501</v>
          </cell>
          <cell r="AQ194">
            <v>113675561057.46201</v>
          </cell>
          <cell r="AR194">
            <v>126669064386.717</v>
          </cell>
          <cell r="AS194">
            <v>126392233706.78999</v>
          </cell>
          <cell r="AT194">
            <v>120296476180.40199</v>
          </cell>
          <cell r="AU194">
            <v>134300851255.002</v>
          </cell>
          <cell r="AV194">
            <v>152280677649.05499</v>
          </cell>
          <cell r="AW194">
            <v>172895749632.04599</v>
          </cell>
          <cell r="AX194">
            <v>189318549680.384</v>
          </cell>
          <cell r="AY194">
            <v>221758196504.936</v>
          </cell>
          <cell r="AZ194">
            <v>262942476722.42499</v>
          </cell>
          <cell r="BA194">
            <v>291382991177.698</v>
          </cell>
          <cell r="BB194">
            <v>281710416557.29199</v>
          </cell>
          <cell r="BC194">
            <v>341104820155.46399</v>
          </cell>
          <cell r="BD194">
            <v>370819140946.55298</v>
          </cell>
          <cell r="BE194">
            <v>397558222957.16998</v>
          </cell>
          <cell r="BF194">
            <v>420333203150.42603</v>
          </cell>
          <cell r="BG194">
            <v>407339454060.67798</v>
          </cell>
          <cell r="BH194">
            <v>401296437424.995</v>
          </cell>
          <cell r="BI194">
            <v>413366150655.591</v>
          </cell>
          <cell r="BJ194">
            <v>456356961443.49701</v>
          </cell>
          <cell r="BK194">
            <v>506611070188.362</v>
          </cell>
          <cell r="BL194">
            <v>544263840039.16602</v>
          </cell>
          <cell r="BM194">
            <v>501643653514.92499</v>
          </cell>
          <cell r="BN194">
            <v>501643653514.92499</v>
          </cell>
        </row>
        <row r="195">
          <cell r="B195" t="str">
            <v>TLS</v>
          </cell>
          <cell r="C195" t="str">
            <v>GDP (current US$)</v>
          </cell>
          <cell r="D195" t="str">
            <v>NY.GDP.MKTP.CD</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v>367087900</v>
          </cell>
          <cell r="AT195">
            <v>477443500</v>
          </cell>
          <cell r="AU195">
            <v>469506700</v>
          </cell>
          <cell r="AV195">
            <v>490439100</v>
          </cell>
          <cell r="AW195">
            <v>440764600</v>
          </cell>
          <cell r="AX195">
            <v>462283600</v>
          </cell>
          <cell r="AY195">
            <v>453805100</v>
          </cell>
          <cell r="AZ195">
            <v>542795400</v>
          </cell>
          <cell r="BA195">
            <v>648492700</v>
          </cell>
          <cell r="BB195">
            <v>726882400</v>
          </cell>
          <cell r="BC195">
            <v>881827800</v>
          </cell>
          <cell r="BD195">
            <v>1042411500</v>
          </cell>
          <cell r="BE195">
            <v>1160389500</v>
          </cell>
          <cell r="BF195">
            <v>1395519600</v>
          </cell>
          <cell r="BG195">
            <v>1447307100</v>
          </cell>
          <cell r="BH195">
            <v>1594410900</v>
          </cell>
          <cell r="BI195">
            <v>1650618500</v>
          </cell>
          <cell r="BJ195">
            <v>1615609700</v>
          </cell>
          <cell r="BK195">
            <v>1583876200</v>
          </cell>
          <cell r="BL195">
            <v>2047931700</v>
          </cell>
          <cell r="BM195">
            <v>1902156800</v>
          </cell>
          <cell r="BN195">
            <v>1902156800</v>
          </cell>
        </row>
        <row r="196">
          <cell r="B196" t="str">
            <v>TGO</v>
          </cell>
          <cell r="C196" t="str">
            <v>GDP (current US$)</v>
          </cell>
          <cell r="D196" t="str">
            <v>NY.GDP.MKTP.CD</v>
          </cell>
          <cell r="E196">
            <v>121128073.114022</v>
          </cell>
          <cell r="F196">
            <v>126396469.707058</v>
          </cell>
          <cell r="G196">
            <v>132237441.630863</v>
          </cell>
          <cell r="H196">
            <v>143255784.51075101</v>
          </cell>
          <cell r="I196">
            <v>166104067.630043</v>
          </cell>
          <cell r="J196">
            <v>187300336.36536899</v>
          </cell>
          <cell r="K196">
            <v>216136263.91249701</v>
          </cell>
          <cell r="L196">
            <v>231706475.46411401</v>
          </cell>
          <cell r="M196">
            <v>241956910.65810299</v>
          </cell>
          <cell r="N196">
            <v>267732446.37841299</v>
          </cell>
          <cell r="O196">
            <v>253976626.166639</v>
          </cell>
          <cell r="P196">
            <v>286537524.99033099</v>
          </cell>
          <cell r="Q196">
            <v>335677636.89373702</v>
          </cell>
          <cell r="R196">
            <v>406479906.15965199</v>
          </cell>
          <cell r="S196">
            <v>560437742.59497201</v>
          </cell>
          <cell r="T196">
            <v>617321669.39087701</v>
          </cell>
          <cell r="U196">
            <v>619375134.18051004</v>
          </cell>
          <cell r="V196">
            <v>777435020.47584701</v>
          </cell>
          <cell r="W196">
            <v>824263841.53926396</v>
          </cell>
          <cell r="X196">
            <v>891775906.63101399</v>
          </cell>
          <cell r="Y196">
            <v>1136408814.1969199</v>
          </cell>
          <cell r="Z196">
            <v>962347000.99178803</v>
          </cell>
          <cell r="AA196">
            <v>821651918.72462595</v>
          </cell>
          <cell r="AB196">
            <v>765746590.61684895</v>
          </cell>
          <cell r="AC196">
            <v>718148959.61087203</v>
          </cell>
          <cell r="AD196">
            <v>762359722.70140195</v>
          </cell>
          <cell r="AE196">
            <v>1060911735.26065</v>
          </cell>
          <cell r="AF196">
            <v>1249099130.0227699</v>
          </cell>
          <cell r="AG196">
            <v>1378847487.41137</v>
          </cell>
          <cell r="AH196">
            <v>1352949662.75172</v>
          </cell>
          <cell r="AI196">
            <v>1628427515.4188099</v>
          </cell>
          <cell r="AJ196">
            <v>1602299862.9243</v>
          </cell>
          <cell r="AK196">
            <v>1692959110.1802199</v>
          </cell>
          <cell r="AL196">
            <v>1233496846.3349299</v>
          </cell>
          <cell r="AM196">
            <v>982624324.505898</v>
          </cell>
          <cell r="AN196">
            <v>1309382885.3302901</v>
          </cell>
          <cell r="AO196">
            <v>1465448290.34132</v>
          </cell>
          <cell r="AP196">
            <v>1498950899.0877399</v>
          </cell>
          <cell r="AQ196">
            <v>1587345950.9742999</v>
          </cell>
          <cell r="AR196">
            <v>1576672791.65481</v>
          </cell>
          <cell r="AS196">
            <v>1491891107.9571099</v>
          </cell>
          <cell r="AT196">
            <v>1482437752.05739</v>
          </cell>
          <cell r="AU196">
            <v>1706698099.4451301</v>
          </cell>
          <cell r="AV196">
            <v>2115836353.1204</v>
          </cell>
          <cell r="AW196">
            <v>2259992642.2901402</v>
          </cell>
          <cell r="AX196">
            <v>2281482855.4651799</v>
          </cell>
          <cell r="AY196">
            <v>2351584608.4112301</v>
          </cell>
          <cell r="AZ196">
            <v>2662612348.44099</v>
          </cell>
          <cell r="BA196">
            <v>3323677130.0448399</v>
          </cell>
          <cell r="BB196">
            <v>3379258564.9724202</v>
          </cell>
          <cell r="BC196">
            <v>3429461495.4133501</v>
          </cell>
          <cell r="BD196">
            <v>3872459249.7463102</v>
          </cell>
          <cell r="BE196">
            <v>3873308389.3000598</v>
          </cell>
          <cell r="BF196">
            <v>4321655656.3317699</v>
          </cell>
          <cell r="BG196">
            <v>4574986536.9079103</v>
          </cell>
          <cell r="BH196">
            <v>4180866177.0394602</v>
          </cell>
          <cell r="BI196">
            <v>6031632168.1739101</v>
          </cell>
          <cell r="BJ196">
            <v>6395472574.4144497</v>
          </cell>
          <cell r="BK196">
            <v>7112200725.0023203</v>
          </cell>
          <cell r="BL196">
            <v>7220395247.7424002</v>
          </cell>
          <cell r="BM196">
            <v>7574636978.6617298</v>
          </cell>
          <cell r="BN196">
            <v>7574636978.6617298</v>
          </cell>
        </row>
        <row r="197">
          <cell r="B197" t="str">
            <v>TON</v>
          </cell>
          <cell r="C197" t="str">
            <v>GDP (current US$)</v>
          </cell>
          <cell r="D197" t="str">
            <v>NY.GDP.MKTP.CD</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v>32506741.7201204</v>
          </cell>
          <cell r="U197">
            <v>30036416.961994398</v>
          </cell>
          <cell r="V197">
            <v>34139387.890884899</v>
          </cell>
          <cell r="W197">
            <v>41567471.672198698</v>
          </cell>
          <cell r="X197">
            <v>44667002.012072399</v>
          </cell>
          <cell r="Y197">
            <v>53260077.431109101</v>
          </cell>
          <cell r="Z197">
            <v>62242013.330268897</v>
          </cell>
          <cell r="AA197">
            <v>62068161.0711025</v>
          </cell>
          <cell r="AB197">
            <v>60863963.963964</v>
          </cell>
          <cell r="AC197">
            <v>64248354.541465603</v>
          </cell>
          <cell r="AD197">
            <v>60058663.314477302</v>
          </cell>
          <cell r="AE197">
            <v>68195855.614973307</v>
          </cell>
          <cell r="AF197">
            <v>81667133.454698205</v>
          </cell>
          <cell r="AG197">
            <v>106657267.367342</v>
          </cell>
          <cell r="AH197">
            <v>106344854.986095</v>
          </cell>
          <cell r="AI197">
            <v>113563821.57740401</v>
          </cell>
          <cell r="AJ197">
            <v>132201141.446861</v>
          </cell>
          <cell r="AK197">
            <v>137066290.550071</v>
          </cell>
          <cell r="AL197">
            <v>138489884.39306399</v>
          </cell>
          <cell r="AM197">
            <v>195990986.21421</v>
          </cell>
          <cell r="AN197">
            <v>208871665.74868199</v>
          </cell>
          <cell r="AO197">
            <v>222100576.34548301</v>
          </cell>
          <cell r="AP197">
            <v>214991452.314998</v>
          </cell>
          <cell r="AQ197">
            <v>191504892.76139399</v>
          </cell>
          <cell r="AR197">
            <v>199214633.22171</v>
          </cell>
          <cell r="AS197">
            <v>204849612.59227601</v>
          </cell>
          <cell r="AT197">
            <v>181116952.7897</v>
          </cell>
          <cell r="AU197">
            <v>182763693.91687301</v>
          </cell>
          <cell r="AV197">
            <v>202246959.690276</v>
          </cell>
          <cell r="AW197">
            <v>230657965.48858601</v>
          </cell>
          <cell r="AX197">
            <v>261797606.149719</v>
          </cell>
          <cell r="AY197">
            <v>292232117.07899803</v>
          </cell>
          <cell r="AZ197">
            <v>298513956.15918499</v>
          </cell>
          <cell r="BA197">
            <v>344428609.00673401</v>
          </cell>
          <cell r="BB197">
            <v>312377379.29711801</v>
          </cell>
          <cell r="BC197">
            <v>366840012.442325</v>
          </cell>
          <cell r="BD197">
            <v>414523388.46132898</v>
          </cell>
          <cell r="BE197">
            <v>470714083.42675102</v>
          </cell>
          <cell r="BF197">
            <v>450643615.18052799</v>
          </cell>
          <cell r="BG197">
            <v>439878828.00860798</v>
          </cell>
          <cell r="BH197">
            <v>437006227.162781</v>
          </cell>
          <cell r="BI197">
            <v>420540178.57142901</v>
          </cell>
          <cell r="BJ197">
            <v>460379144.98982102</v>
          </cell>
          <cell r="BK197">
            <v>489235527.39538699</v>
          </cell>
          <cell r="BL197">
            <v>512350059.42162901</v>
          </cell>
          <cell r="BM197">
            <v>488829964.07081902</v>
          </cell>
          <cell r="BN197">
            <v>488829964.07081902</v>
          </cell>
        </row>
        <row r="198">
          <cell r="B198" t="str">
            <v>TTO</v>
          </cell>
          <cell r="C198" t="str">
            <v>GDP (current US$)</v>
          </cell>
          <cell r="D198" t="str">
            <v>NY.GDP.MKTP.CD</v>
          </cell>
          <cell r="E198">
            <v>535670127.74893498</v>
          </cell>
          <cell r="F198">
            <v>584961208.65659499</v>
          </cell>
          <cell r="G198">
            <v>619319197.34002197</v>
          </cell>
          <cell r="H198">
            <v>678235373.03855801</v>
          </cell>
          <cell r="I198">
            <v>711893367.55526996</v>
          </cell>
          <cell r="J198">
            <v>736568861.92615104</v>
          </cell>
          <cell r="K198">
            <v>723735635.53637099</v>
          </cell>
          <cell r="L198">
            <v>761981474.02335894</v>
          </cell>
          <cell r="M198">
            <v>758899950</v>
          </cell>
          <cell r="N198">
            <v>779200000</v>
          </cell>
          <cell r="O198">
            <v>821850000</v>
          </cell>
          <cell r="P198">
            <v>896754316.67426205</v>
          </cell>
          <cell r="Q198">
            <v>1083381044.0847299</v>
          </cell>
          <cell r="R198">
            <v>1308799458.9628401</v>
          </cell>
          <cell r="S198">
            <v>2042031901.4221699</v>
          </cell>
          <cell r="T198">
            <v>2442667573.0482101</v>
          </cell>
          <cell r="U198">
            <v>2500410583.79177</v>
          </cell>
          <cell r="V198">
            <v>3138666666.6666698</v>
          </cell>
          <cell r="W198">
            <v>3562333458.3333302</v>
          </cell>
          <cell r="X198">
            <v>4602416625</v>
          </cell>
          <cell r="Y198">
            <v>6235833333.3333302</v>
          </cell>
          <cell r="Z198">
            <v>6992083333.3333302</v>
          </cell>
          <cell r="AA198">
            <v>8140416666.6666698</v>
          </cell>
          <cell r="AB198">
            <v>7763750000</v>
          </cell>
          <cell r="AC198">
            <v>7757083333.3333302</v>
          </cell>
          <cell r="AD198">
            <v>7375918367.34694</v>
          </cell>
          <cell r="AE198">
            <v>4794444444.4444399</v>
          </cell>
          <cell r="AF198">
            <v>4797777777.7777796</v>
          </cell>
          <cell r="AG198">
            <v>4496852073.4689598</v>
          </cell>
          <cell r="AH198">
            <v>4323058823.5294104</v>
          </cell>
          <cell r="AI198">
            <v>5068000000</v>
          </cell>
          <cell r="AJ198">
            <v>5307905882.3529396</v>
          </cell>
          <cell r="AK198">
            <v>5439552941.1764698</v>
          </cell>
          <cell r="AL198">
            <v>4669488516.3798103</v>
          </cell>
          <cell r="AM198">
            <v>4947205860.0145102</v>
          </cell>
          <cell r="AN198">
            <v>5329214163.2200098</v>
          </cell>
          <cell r="AO198">
            <v>5759537726.2660103</v>
          </cell>
          <cell r="AP198">
            <v>5737751331.6377897</v>
          </cell>
          <cell r="AQ198">
            <v>6043694330.2160902</v>
          </cell>
          <cell r="AR198">
            <v>6808982520.7575903</v>
          </cell>
          <cell r="AS198">
            <v>8154338232.9597797</v>
          </cell>
          <cell r="AT198">
            <v>8824873259.3210506</v>
          </cell>
          <cell r="AU198">
            <v>9008273720.9339504</v>
          </cell>
          <cell r="AV198">
            <v>11305459802.0683</v>
          </cell>
          <cell r="AW198">
            <v>13280275123.0354</v>
          </cell>
          <cell r="AX198">
            <v>15982282462.378599</v>
          </cell>
          <cell r="AY198">
            <v>18369361094.388599</v>
          </cell>
          <cell r="AZ198">
            <v>21641620049.9352</v>
          </cell>
          <cell r="BA198">
            <v>27871587349.541302</v>
          </cell>
          <cell r="BB198">
            <v>19172165225.501499</v>
          </cell>
          <cell r="BC198">
            <v>22157948396.204201</v>
          </cell>
          <cell r="BD198">
            <v>25433011405.301701</v>
          </cell>
          <cell r="BE198">
            <v>25763220107.0051</v>
          </cell>
          <cell r="BF198">
            <v>27268478564.554699</v>
          </cell>
          <cell r="BG198">
            <v>27615843098.094898</v>
          </cell>
          <cell r="BH198">
            <v>24959858249.443298</v>
          </cell>
          <cell r="BI198">
            <v>22386264807.317402</v>
          </cell>
          <cell r="BJ198">
            <v>22385426653.882999</v>
          </cell>
          <cell r="BK198">
            <v>23679919654.989101</v>
          </cell>
          <cell r="BL198">
            <v>23208326547.5327</v>
          </cell>
          <cell r="BM198">
            <v>21588037504.999199</v>
          </cell>
          <cell r="BN198">
            <v>21588037504.999199</v>
          </cell>
        </row>
        <row r="199">
          <cell r="B199" t="str">
            <v>TUN</v>
          </cell>
          <cell r="C199" t="str">
            <v>GDP (current US$)</v>
          </cell>
          <cell r="D199" t="str">
            <v>NY.GDP.MKTP.CD</v>
          </cell>
          <cell r="E199" t="str">
            <v>..</v>
          </cell>
          <cell r="F199" t="str">
            <v>..</v>
          </cell>
          <cell r="G199" t="str">
            <v>..</v>
          </cell>
          <cell r="H199" t="str">
            <v>..</v>
          </cell>
          <cell r="I199" t="str">
            <v>..</v>
          </cell>
          <cell r="J199">
            <v>991047619.04761899</v>
          </cell>
          <cell r="K199">
            <v>1040952380.9523799</v>
          </cell>
          <cell r="L199">
            <v>1085714285.7142899</v>
          </cell>
          <cell r="M199">
            <v>1214666666.6666701</v>
          </cell>
          <cell r="N199">
            <v>1289904761.9047599</v>
          </cell>
          <cell r="O199">
            <v>1439238095.2381001</v>
          </cell>
          <cell r="P199">
            <v>1685217058.71103</v>
          </cell>
          <cell r="Q199">
            <v>2237476420.0377302</v>
          </cell>
          <cell r="R199">
            <v>2730787476.2808399</v>
          </cell>
          <cell r="S199">
            <v>3545933562.4284101</v>
          </cell>
          <cell r="T199">
            <v>4328610489.6843204</v>
          </cell>
          <cell r="U199">
            <v>4507929104.4776096</v>
          </cell>
          <cell r="V199">
            <v>5109324009.3240099</v>
          </cell>
          <cell r="W199">
            <v>5968044209.5146599</v>
          </cell>
          <cell r="X199">
            <v>7188191881.9188204</v>
          </cell>
          <cell r="Y199">
            <v>8744134354.16152</v>
          </cell>
          <cell r="Z199">
            <v>8428513568.2462502</v>
          </cell>
          <cell r="AA199">
            <v>8133401049.60217</v>
          </cell>
          <cell r="AB199">
            <v>8350176782.5574598</v>
          </cell>
          <cell r="AC199">
            <v>8254891864.0576696</v>
          </cell>
          <cell r="AD199">
            <v>8410185739.9640503</v>
          </cell>
          <cell r="AE199">
            <v>9018136020.1511307</v>
          </cell>
          <cell r="AF199">
            <v>9696271268.2514801</v>
          </cell>
          <cell r="AG199">
            <v>10096292842.154301</v>
          </cell>
          <cell r="AH199">
            <v>10102075213.3151</v>
          </cell>
          <cell r="AI199">
            <v>12290568181.818199</v>
          </cell>
          <cell r="AJ199">
            <v>13074782608.6957</v>
          </cell>
          <cell r="AK199">
            <v>15497286295.7938</v>
          </cell>
          <cell r="AL199">
            <v>14608946896.483</v>
          </cell>
          <cell r="AM199">
            <v>15632463424.2784</v>
          </cell>
          <cell r="AN199">
            <v>18030876599.344398</v>
          </cell>
          <cell r="AO199">
            <v>19587322786.1105</v>
          </cell>
          <cell r="AP199">
            <v>20746360430.418701</v>
          </cell>
          <cell r="AQ199">
            <v>21803372266.619801</v>
          </cell>
          <cell r="AR199">
            <v>22943685719.103001</v>
          </cell>
          <cell r="AS199">
            <v>21473261837.017601</v>
          </cell>
          <cell r="AT199">
            <v>22066031834.2948</v>
          </cell>
          <cell r="AU199">
            <v>23142153759.583599</v>
          </cell>
          <cell r="AV199">
            <v>27453007372.9142</v>
          </cell>
          <cell r="AW199">
            <v>31183059012.444801</v>
          </cell>
          <cell r="AX199">
            <v>32273007553.568699</v>
          </cell>
          <cell r="AY199">
            <v>34377310293.012802</v>
          </cell>
          <cell r="AZ199">
            <v>38914078351.802696</v>
          </cell>
          <cell r="BA199">
            <v>44860969077.185303</v>
          </cell>
          <cell r="BB199">
            <v>43454935940.1614</v>
          </cell>
          <cell r="BC199">
            <v>46206331261.101898</v>
          </cell>
          <cell r="BD199">
            <v>48122838144.518303</v>
          </cell>
          <cell r="BE199">
            <v>47311196335.288399</v>
          </cell>
          <cell r="BF199">
            <v>48683848563.851501</v>
          </cell>
          <cell r="BG199">
            <v>50271342086.422203</v>
          </cell>
          <cell r="BH199">
            <v>45780069046.658997</v>
          </cell>
          <cell r="BI199">
            <v>44360775649.166397</v>
          </cell>
          <cell r="BJ199">
            <v>42163974956.483398</v>
          </cell>
          <cell r="BK199">
            <v>42570270107.1147</v>
          </cell>
          <cell r="BL199">
            <v>41804581484.365501</v>
          </cell>
          <cell r="BM199">
            <v>41620349986.308899</v>
          </cell>
          <cell r="BN199">
            <v>41620349986.308899</v>
          </cell>
        </row>
        <row r="200">
          <cell r="B200" t="str">
            <v>TUR</v>
          </cell>
          <cell r="C200" t="str">
            <v>GDP (current US$)</v>
          </cell>
          <cell r="D200" t="str">
            <v>NY.GDP.MKTP.CD</v>
          </cell>
          <cell r="E200">
            <v>13995067817.509199</v>
          </cell>
          <cell r="F200">
            <v>7988888888.8888903</v>
          </cell>
          <cell r="G200">
            <v>8922222222.2222195</v>
          </cell>
          <cell r="H200">
            <v>10355555555.555599</v>
          </cell>
          <cell r="I200">
            <v>11177777777.7778</v>
          </cell>
          <cell r="J200">
            <v>11966666666.6667</v>
          </cell>
          <cell r="K200">
            <v>14100000000</v>
          </cell>
          <cell r="L200">
            <v>15644444444.444401</v>
          </cell>
          <cell r="M200">
            <v>17500000000</v>
          </cell>
          <cell r="N200">
            <v>19466666666.666698</v>
          </cell>
          <cell r="O200">
            <v>17086956521.7391</v>
          </cell>
          <cell r="P200">
            <v>16256619963.7997</v>
          </cell>
          <cell r="Q200">
            <v>20431095406.360401</v>
          </cell>
          <cell r="R200">
            <v>25724381625.4417</v>
          </cell>
          <cell r="S200">
            <v>35599913836.4328</v>
          </cell>
          <cell r="T200">
            <v>44633707242.764198</v>
          </cell>
          <cell r="U200">
            <v>51280134554.288902</v>
          </cell>
          <cell r="V200">
            <v>58676813687.368103</v>
          </cell>
          <cell r="W200">
            <v>65147022485.791901</v>
          </cell>
          <cell r="X200">
            <v>89394085658.203796</v>
          </cell>
          <cell r="Y200">
            <v>68789289565.743393</v>
          </cell>
          <cell r="Z200">
            <v>71040020140.443604</v>
          </cell>
          <cell r="AA200">
            <v>64546332580.758301</v>
          </cell>
          <cell r="AB200">
            <v>61678280115.498703</v>
          </cell>
          <cell r="AC200">
            <v>59989909457.837898</v>
          </cell>
          <cell r="AD200">
            <v>67234948264.598701</v>
          </cell>
          <cell r="AE200">
            <v>75728009962.787796</v>
          </cell>
          <cell r="AF200">
            <v>87172789528.331604</v>
          </cell>
          <cell r="AG200">
            <v>90852814004.991699</v>
          </cell>
          <cell r="AH200">
            <v>107143348667.09399</v>
          </cell>
          <cell r="AI200">
            <v>150676291094.20999</v>
          </cell>
          <cell r="AJ200">
            <v>150027833333.33301</v>
          </cell>
          <cell r="AK200">
            <v>158459130434.78299</v>
          </cell>
          <cell r="AL200">
            <v>180169736363.63599</v>
          </cell>
          <cell r="AM200">
            <v>130690172297.297</v>
          </cell>
          <cell r="AN200">
            <v>169485941048.035</v>
          </cell>
          <cell r="AO200">
            <v>181475555282.55499</v>
          </cell>
          <cell r="AP200">
            <v>189834649111.25699</v>
          </cell>
          <cell r="AQ200">
            <v>275967393939.39398</v>
          </cell>
          <cell r="AR200">
            <v>256385525071.633</v>
          </cell>
          <cell r="AS200">
            <v>274302959053.103</v>
          </cell>
          <cell r="AT200">
            <v>201751148417.10199</v>
          </cell>
          <cell r="AU200">
            <v>240253216295.117</v>
          </cell>
          <cell r="AV200">
            <v>314592428076.487</v>
          </cell>
          <cell r="AW200">
            <v>408876042651.70099</v>
          </cell>
          <cell r="AX200">
            <v>506308311476.63</v>
          </cell>
          <cell r="AY200">
            <v>557057829051.453</v>
          </cell>
          <cell r="AZ200">
            <v>681337335021.87402</v>
          </cell>
          <cell r="BA200">
            <v>770462156204.38</v>
          </cell>
          <cell r="BB200">
            <v>649272568774.19299</v>
          </cell>
          <cell r="BC200">
            <v>776992599946.76599</v>
          </cell>
          <cell r="BD200">
            <v>838762755164.17896</v>
          </cell>
          <cell r="BE200">
            <v>880556375779.51001</v>
          </cell>
          <cell r="BF200">
            <v>957783020853.03101</v>
          </cell>
          <cell r="BG200">
            <v>938952628604.06702</v>
          </cell>
          <cell r="BH200">
            <v>864316670330.88196</v>
          </cell>
          <cell r="BI200">
            <v>869692960365.55103</v>
          </cell>
          <cell r="BJ200">
            <v>858996263095.85803</v>
          </cell>
          <cell r="BK200">
            <v>778471901665.14795</v>
          </cell>
          <cell r="BL200">
            <v>761004425605.41394</v>
          </cell>
          <cell r="BM200">
            <v>719954821683.31006</v>
          </cell>
          <cell r="BN200">
            <v>719954821683.31006</v>
          </cell>
        </row>
        <row r="201">
          <cell r="B201" t="str">
            <v>TKM</v>
          </cell>
          <cell r="C201" t="str">
            <v>GDP (current US$)</v>
          </cell>
          <cell r="D201" t="str">
            <v>NY.GDP.MKTP.CD</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v>2331358819.75985</v>
          </cell>
          <cell r="AG201">
            <v>3010982414.2436399</v>
          </cell>
          <cell r="AH201">
            <v>3006988216.5507698</v>
          </cell>
          <cell r="AI201">
            <v>3189539641.3158498</v>
          </cell>
          <cell r="AJ201" t="str">
            <v>..</v>
          </cell>
          <cell r="AK201">
            <v>1600000000</v>
          </cell>
          <cell r="AL201">
            <v>3340000000</v>
          </cell>
          <cell r="AM201">
            <v>2564705882.3529401</v>
          </cell>
          <cell r="AN201">
            <v>2483809523.8095198</v>
          </cell>
          <cell r="AO201">
            <v>2378759975.4450598</v>
          </cell>
          <cell r="AP201">
            <v>2450374944.8610501</v>
          </cell>
          <cell r="AQ201">
            <v>2605660026.0659099</v>
          </cell>
          <cell r="AR201">
            <v>2450513196.4809399</v>
          </cell>
          <cell r="AS201">
            <v>2904732773.48312</v>
          </cell>
          <cell r="AT201">
            <v>3534803921.5686302</v>
          </cell>
          <cell r="AU201">
            <v>4461978498.8657703</v>
          </cell>
          <cell r="AV201">
            <v>5977560877.4401302</v>
          </cell>
          <cell r="AW201">
            <v>6838351088.4668798</v>
          </cell>
          <cell r="AX201">
            <v>8103901996.3702402</v>
          </cell>
          <cell r="AY201">
            <v>10276674364.896099</v>
          </cell>
          <cell r="AZ201">
            <v>12664165103.189501</v>
          </cell>
          <cell r="BA201">
            <v>19271523178.807899</v>
          </cell>
          <cell r="BB201">
            <v>20214385964.9123</v>
          </cell>
          <cell r="BC201">
            <v>22583157894.736801</v>
          </cell>
          <cell r="BD201">
            <v>29233333333.333302</v>
          </cell>
          <cell r="BE201">
            <v>35164210526.315804</v>
          </cell>
          <cell r="BF201">
            <v>39197543859.649101</v>
          </cell>
          <cell r="BG201">
            <v>43524210526.315804</v>
          </cell>
          <cell r="BH201">
            <v>35799714285.714302</v>
          </cell>
          <cell r="BI201">
            <v>36169428571.428596</v>
          </cell>
          <cell r="BJ201">
            <v>37926285714.285698</v>
          </cell>
          <cell r="BK201">
            <v>40765428571.428596</v>
          </cell>
          <cell r="BL201">
            <v>45231428571.428596</v>
          </cell>
          <cell r="BM201" t="str">
            <v>..</v>
          </cell>
          <cell r="BN201">
            <v>45231428571.428596</v>
          </cell>
        </row>
        <row r="202">
          <cell r="B202" t="str">
            <v>TCA</v>
          </cell>
          <cell r="C202" t="str">
            <v>GDP (current US$)</v>
          </cell>
          <cell r="D202" t="str">
            <v>NY.GDP.MKTP.CD</v>
          </cell>
          <cell r="E202" t="str">
            <v>..</v>
          </cell>
          <cell r="F202" t="str">
            <v>..</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t="str">
            <v>..</v>
          </cell>
          <cell r="AF202" t="str">
            <v>..</v>
          </cell>
          <cell r="AG202" t="str">
            <v>..</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v>358744800</v>
          </cell>
          <cell r="AU202">
            <v>366707910</v>
          </cell>
          <cell r="AV202">
            <v>409753640</v>
          </cell>
          <cell r="AW202">
            <v>485598810</v>
          </cell>
          <cell r="AX202">
            <v>578645760</v>
          </cell>
          <cell r="AY202">
            <v>721891470</v>
          </cell>
          <cell r="AZ202">
            <v>773489740</v>
          </cell>
          <cell r="BA202">
            <v>862683630</v>
          </cell>
          <cell r="BB202">
            <v>703175750</v>
          </cell>
          <cell r="BC202">
            <v>686787810</v>
          </cell>
          <cell r="BD202">
            <v>728789570</v>
          </cell>
          <cell r="BE202">
            <v>727161000</v>
          </cell>
          <cell r="BF202">
            <v>754238000</v>
          </cell>
          <cell r="BG202">
            <v>841070000</v>
          </cell>
          <cell r="BH202">
            <v>942070000</v>
          </cell>
          <cell r="BI202">
            <v>1032452000</v>
          </cell>
          <cell r="BJ202">
            <v>1022365000</v>
          </cell>
          <cell r="BK202">
            <v>1113178000</v>
          </cell>
          <cell r="BL202">
            <v>1197415000</v>
          </cell>
          <cell r="BM202">
            <v>924583000</v>
          </cell>
          <cell r="BN202">
            <v>924583000</v>
          </cell>
        </row>
        <row r="203">
          <cell r="B203" t="str">
            <v>TUV</v>
          </cell>
          <cell r="C203" t="str">
            <v>GDP (current US$)</v>
          </cell>
          <cell r="D203" t="str">
            <v>NY.GDP.MKTP.CD</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v>8824447.7402232494</v>
          </cell>
          <cell r="AJ203">
            <v>9365165.9136937205</v>
          </cell>
          <cell r="AK203">
            <v>9742949.47121034</v>
          </cell>
          <cell r="AL203">
            <v>9630762.9538963698</v>
          </cell>
          <cell r="AM203">
            <v>10886825.5592923</v>
          </cell>
          <cell r="AN203">
            <v>11025945.144551501</v>
          </cell>
          <cell r="AO203">
            <v>12334846.2320995</v>
          </cell>
          <cell r="AP203">
            <v>12700905.447528601</v>
          </cell>
          <cell r="AQ203">
            <v>12757632.8684508</v>
          </cell>
          <cell r="AR203">
            <v>13687141.1058778</v>
          </cell>
          <cell r="AS203">
            <v>13742057.0500928</v>
          </cell>
          <cell r="AT203">
            <v>13196544.946726</v>
          </cell>
          <cell r="AU203">
            <v>15450994.241008401</v>
          </cell>
          <cell r="AV203">
            <v>18231078.539464299</v>
          </cell>
          <cell r="AW203">
            <v>21534931.607589401</v>
          </cell>
          <cell r="AX203">
            <v>21839098.892707098</v>
          </cell>
          <cell r="AY203">
            <v>22902861.445783101</v>
          </cell>
          <cell r="AZ203">
            <v>27030374.027278099</v>
          </cell>
          <cell r="BA203">
            <v>30290219.7617849</v>
          </cell>
          <cell r="BB203">
            <v>27101076.275152098</v>
          </cell>
          <cell r="BC203">
            <v>31823518.620436601</v>
          </cell>
          <cell r="BD203">
            <v>38711810.211449198</v>
          </cell>
          <cell r="BE203">
            <v>37671774.694553703</v>
          </cell>
          <cell r="BF203">
            <v>37509075.111025304</v>
          </cell>
          <cell r="BG203">
            <v>37290607.535604797</v>
          </cell>
          <cell r="BH203">
            <v>35492074.224325702</v>
          </cell>
          <cell r="BI203">
            <v>36547799.583705001</v>
          </cell>
          <cell r="BJ203">
            <v>40619251.992642596</v>
          </cell>
          <cell r="BK203">
            <v>42588164.973102197</v>
          </cell>
          <cell r="BL203">
            <v>47271463.329857498</v>
          </cell>
          <cell r="BM203">
            <v>48855550.203014202</v>
          </cell>
          <cell r="BN203">
            <v>48855550.203014202</v>
          </cell>
        </row>
        <row r="204">
          <cell r="B204" t="str">
            <v>UGA</v>
          </cell>
          <cell r="C204" t="str">
            <v>GDP (current US$)</v>
          </cell>
          <cell r="D204" t="str">
            <v>NY.GDP.MKTP.CD</v>
          </cell>
          <cell r="E204">
            <v>423008385.74423498</v>
          </cell>
          <cell r="F204">
            <v>441524109.01467502</v>
          </cell>
          <cell r="G204">
            <v>449012578.61635202</v>
          </cell>
          <cell r="H204">
            <v>516147798.74213803</v>
          </cell>
          <cell r="I204">
            <v>589056603.77358496</v>
          </cell>
          <cell r="J204">
            <v>884873949.57983196</v>
          </cell>
          <cell r="K204">
            <v>925770308.12324905</v>
          </cell>
          <cell r="L204">
            <v>967647058.82352901</v>
          </cell>
          <cell r="M204">
            <v>1037815126.05042</v>
          </cell>
          <cell r="N204">
            <v>1169047619.0476201</v>
          </cell>
          <cell r="O204">
            <v>1260084033.6134501</v>
          </cell>
          <cell r="P204">
            <v>1417787114.8459401</v>
          </cell>
          <cell r="Q204">
            <v>1491596638.6554599</v>
          </cell>
          <cell r="R204">
            <v>1702521008.4033599</v>
          </cell>
          <cell r="S204">
            <v>2100142653.35235</v>
          </cell>
          <cell r="T204">
            <v>2359555555.5555601</v>
          </cell>
          <cell r="U204">
            <v>2447300000</v>
          </cell>
          <cell r="V204">
            <v>2936470588.2352901</v>
          </cell>
          <cell r="W204">
            <v>2420260869.5652199</v>
          </cell>
          <cell r="X204">
            <v>2139025000</v>
          </cell>
          <cell r="Y204">
            <v>1244610000</v>
          </cell>
          <cell r="Z204">
            <v>1337300000</v>
          </cell>
          <cell r="AA204">
            <v>2177500000</v>
          </cell>
          <cell r="AB204">
            <v>2240333333.3333302</v>
          </cell>
          <cell r="AC204">
            <v>3615647477.0543399</v>
          </cell>
          <cell r="AD204">
            <v>3519666338.5245399</v>
          </cell>
          <cell r="AE204">
            <v>3923232122.12784</v>
          </cell>
          <cell r="AF204">
            <v>6269511614.6623497</v>
          </cell>
          <cell r="AG204">
            <v>6508931651.6666698</v>
          </cell>
          <cell r="AH204">
            <v>5276480985.9993696</v>
          </cell>
          <cell r="AI204">
            <v>4304398865.8826799</v>
          </cell>
          <cell r="AJ204">
            <v>3321729057.1221499</v>
          </cell>
          <cell r="AK204">
            <v>2857457860.05088</v>
          </cell>
          <cell r="AL204">
            <v>3220439044.1894898</v>
          </cell>
          <cell r="AM204">
            <v>3990430446.7121601</v>
          </cell>
          <cell r="AN204">
            <v>5755818947.4212503</v>
          </cell>
          <cell r="AO204">
            <v>6044585326.9379997</v>
          </cell>
          <cell r="AP204">
            <v>6269333313.1710796</v>
          </cell>
          <cell r="AQ204">
            <v>6584815846.5275402</v>
          </cell>
          <cell r="AR204">
            <v>5998563257.9465904</v>
          </cell>
          <cell r="AS204">
            <v>6193246837.0968704</v>
          </cell>
          <cell r="AT204">
            <v>5840503868.5724602</v>
          </cell>
          <cell r="AU204">
            <v>6178563590.89254</v>
          </cell>
          <cell r="AV204">
            <v>6606884390.7801905</v>
          </cell>
          <cell r="AW204">
            <v>7939487473.8631802</v>
          </cell>
          <cell r="AX204">
            <v>9239221858.5583897</v>
          </cell>
          <cell r="AY204">
            <v>9977647644.6995296</v>
          </cell>
          <cell r="AZ204">
            <v>11902564401.323799</v>
          </cell>
          <cell r="BA204">
            <v>14440404021.4881</v>
          </cell>
          <cell r="BB204">
            <v>25127805566.434601</v>
          </cell>
          <cell r="BC204">
            <v>26673441667.277802</v>
          </cell>
          <cell r="BD204">
            <v>27871725205.584999</v>
          </cell>
          <cell r="BE204">
            <v>27305915761.2794</v>
          </cell>
          <cell r="BF204">
            <v>28915786996.540798</v>
          </cell>
          <cell r="BG204">
            <v>32612397758.441799</v>
          </cell>
          <cell r="BH204">
            <v>32387183844.657398</v>
          </cell>
          <cell r="BI204">
            <v>29203988814.897301</v>
          </cell>
          <cell r="BJ204">
            <v>30744473911.5312</v>
          </cell>
          <cell r="BK204">
            <v>32927025573.4296</v>
          </cell>
          <cell r="BL204">
            <v>35353060634.202202</v>
          </cell>
          <cell r="BM204">
            <v>37600368180.939903</v>
          </cell>
          <cell r="BN204">
            <v>37600368180.939903</v>
          </cell>
        </row>
        <row r="205">
          <cell r="B205" t="str">
            <v>UKR</v>
          </cell>
          <cell r="C205" t="str">
            <v>GDP (current US$)</v>
          </cell>
          <cell r="D205" t="str">
            <v>NY.GDP.MKTP.CD</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v>64087795107.1343</v>
          </cell>
          <cell r="AG205">
            <v>74703706816.844604</v>
          </cell>
          <cell r="AH205">
            <v>82709199437.066299</v>
          </cell>
          <cell r="AI205">
            <v>81393535306.273605</v>
          </cell>
          <cell r="AJ205" t="str">
            <v>..</v>
          </cell>
          <cell r="AK205">
            <v>71900000000</v>
          </cell>
          <cell r="AL205">
            <v>65607522123.893799</v>
          </cell>
          <cell r="AM205">
            <v>52543387167.175903</v>
          </cell>
          <cell r="AN205">
            <v>48214751923.587196</v>
          </cell>
          <cell r="AO205">
            <v>44558075977.0429</v>
          </cell>
          <cell r="AP205">
            <v>50150400171.885902</v>
          </cell>
          <cell r="AQ205">
            <v>41883241477.8526</v>
          </cell>
          <cell r="AR205">
            <v>31580960681.7742</v>
          </cell>
          <cell r="AS205">
            <v>32375280320.5765</v>
          </cell>
          <cell r="AT205">
            <v>39309580983.228203</v>
          </cell>
          <cell r="AU205">
            <v>43956369917.020203</v>
          </cell>
          <cell r="AV205">
            <v>52010238715.847504</v>
          </cell>
          <cell r="AW205">
            <v>67220154164.316597</v>
          </cell>
          <cell r="AX205">
            <v>89239370109.469803</v>
          </cell>
          <cell r="AY205">
            <v>111884752475.248</v>
          </cell>
          <cell r="AZ205">
            <v>148733861386.13901</v>
          </cell>
          <cell r="BA205">
            <v>188111140643.98499</v>
          </cell>
          <cell r="BB205">
            <v>121552777492.556</v>
          </cell>
          <cell r="BC205">
            <v>141209864408.48801</v>
          </cell>
          <cell r="BD205">
            <v>169333048847.83401</v>
          </cell>
          <cell r="BE205">
            <v>182592416468.52701</v>
          </cell>
          <cell r="BF205">
            <v>190498811460.02802</v>
          </cell>
          <cell r="BG205">
            <v>133503411375.739</v>
          </cell>
          <cell r="BH205">
            <v>91030959454.696106</v>
          </cell>
          <cell r="BI205">
            <v>93355993628.504196</v>
          </cell>
          <cell r="BJ205">
            <v>112090530368.543</v>
          </cell>
          <cell r="BK205">
            <v>130891049796.879</v>
          </cell>
          <cell r="BL205">
            <v>153882982016.28101</v>
          </cell>
          <cell r="BM205">
            <v>155498989149.58701</v>
          </cell>
          <cell r="BN205">
            <v>155498989149.58701</v>
          </cell>
        </row>
        <row r="206">
          <cell r="B206" t="str">
            <v>ARE</v>
          </cell>
          <cell r="C206" t="str">
            <v>GDP (current US$)</v>
          </cell>
          <cell r="D206" t="str">
            <v>NY.GDP.MKTP.CD</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t="str">
            <v>..</v>
          </cell>
          <cell r="T206">
            <v>14720672506.500401</v>
          </cell>
          <cell r="U206">
            <v>19213022691.052601</v>
          </cell>
          <cell r="V206">
            <v>24871775164.604301</v>
          </cell>
          <cell r="W206">
            <v>23775831783.4263</v>
          </cell>
          <cell r="X206">
            <v>31225463217.758202</v>
          </cell>
          <cell r="Y206">
            <v>43598748449.047897</v>
          </cell>
          <cell r="Z206">
            <v>49333424135.113098</v>
          </cell>
          <cell r="AA206">
            <v>46622718605.284698</v>
          </cell>
          <cell r="AB206">
            <v>42803323345.137604</v>
          </cell>
          <cell r="AC206">
            <v>41807954235.903</v>
          </cell>
          <cell r="AD206">
            <v>40603650231.544502</v>
          </cell>
          <cell r="AE206">
            <v>33943612094.7971</v>
          </cell>
          <cell r="AF206">
            <v>36384908744.211403</v>
          </cell>
          <cell r="AG206">
            <v>36275674203.214401</v>
          </cell>
          <cell r="AH206">
            <v>41464995913.919899</v>
          </cell>
          <cell r="AI206">
            <v>50701443748.297501</v>
          </cell>
          <cell r="AJ206">
            <v>51552165622.446198</v>
          </cell>
          <cell r="AK206">
            <v>54239171887.768997</v>
          </cell>
          <cell r="AL206">
            <v>55625170253.336998</v>
          </cell>
          <cell r="AM206">
            <v>59305093979.842003</v>
          </cell>
          <cell r="AN206">
            <v>65743666575.864899</v>
          </cell>
          <cell r="AO206">
            <v>73571233996.186295</v>
          </cell>
          <cell r="AP206">
            <v>78839008444.565506</v>
          </cell>
          <cell r="AQ206">
            <v>75674336283.185806</v>
          </cell>
          <cell r="AR206">
            <v>84445473110.959793</v>
          </cell>
          <cell r="AS206">
            <v>104337372362.151</v>
          </cell>
          <cell r="AT206">
            <v>103311640571.81799</v>
          </cell>
          <cell r="AU206">
            <v>109816201497.617</v>
          </cell>
          <cell r="AV206">
            <v>124346358066.71201</v>
          </cell>
          <cell r="AW206">
            <v>147824370319.94601</v>
          </cell>
          <cell r="AX206">
            <v>180617467964.60199</v>
          </cell>
          <cell r="AY206">
            <v>222116541865.21399</v>
          </cell>
          <cell r="AZ206">
            <v>257916133424.09799</v>
          </cell>
          <cell r="BA206">
            <v>315474615738.59802</v>
          </cell>
          <cell r="BB206">
            <v>253547358747.44699</v>
          </cell>
          <cell r="BC206">
            <v>289787338325.39099</v>
          </cell>
          <cell r="BD206">
            <v>350666031313.81897</v>
          </cell>
          <cell r="BE206">
            <v>374590605854.323</v>
          </cell>
          <cell r="BF206">
            <v>390107556160.65399</v>
          </cell>
          <cell r="BG206">
            <v>403137100068.07397</v>
          </cell>
          <cell r="BH206">
            <v>358135057862.492</v>
          </cell>
          <cell r="BI206">
            <v>357045064669.84302</v>
          </cell>
          <cell r="BJ206">
            <v>385605506848.19598</v>
          </cell>
          <cell r="BK206">
            <v>422215043594.28198</v>
          </cell>
          <cell r="BL206">
            <v>417215559513.36401</v>
          </cell>
          <cell r="BM206">
            <v>358868765174.92401</v>
          </cell>
          <cell r="BN206">
            <v>358868765174.92401</v>
          </cell>
        </row>
        <row r="207">
          <cell r="B207" t="str">
            <v>GBR</v>
          </cell>
          <cell r="C207" t="str">
            <v>GDP (current US$)</v>
          </cell>
          <cell r="D207" t="str">
            <v>NY.GDP.MKTP.CD</v>
          </cell>
          <cell r="E207">
            <v>73233967692.102798</v>
          </cell>
          <cell r="F207">
            <v>77741965703.354401</v>
          </cell>
          <cell r="G207">
            <v>81247564156.8246</v>
          </cell>
          <cell r="H207">
            <v>86561961812.324905</v>
          </cell>
          <cell r="I207">
            <v>94407558351.161606</v>
          </cell>
          <cell r="J207">
            <v>101824755078.991</v>
          </cell>
          <cell r="K207">
            <v>108572752102.045</v>
          </cell>
          <cell r="L207">
            <v>113116888210.787</v>
          </cell>
          <cell r="M207">
            <v>107759910067.88901</v>
          </cell>
          <cell r="N207">
            <v>116464702803.218</v>
          </cell>
          <cell r="O207">
            <v>130671946244.3</v>
          </cell>
          <cell r="P207">
            <v>148113896325.14001</v>
          </cell>
          <cell r="Q207">
            <v>169965034965.035</v>
          </cell>
          <cell r="R207">
            <v>192537971582.55801</v>
          </cell>
          <cell r="S207">
            <v>206131369798.97101</v>
          </cell>
          <cell r="T207">
            <v>241756637168.142</v>
          </cell>
          <cell r="U207">
            <v>232614555256.065</v>
          </cell>
          <cell r="V207">
            <v>263066457352.172</v>
          </cell>
          <cell r="W207">
            <v>335883029721.95599</v>
          </cell>
          <cell r="X207">
            <v>438994070309.19098</v>
          </cell>
          <cell r="Y207">
            <v>564947710899.37305</v>
          </cell>
          <cell r="Z207">
            <v>540765675241.15802</v>
          </cell>
          <cell r="AA207">
            <v>515048916841.37</v>
          </cell>
          <cell r="AB207">
            <v>489618008185.539</v>
          </cell>
          <cell r="AC207">
            <v>461487097632.349</v>
          </cell>
          <cell r="AD207">
            <v>489285164271.047</v>
          </cell>
          <cell r="AE207">
            <v>601452653180.88501</v>
          </cell>
          <cell r="AF207">
            <v>745162608269.32495</v>
          </cell>
          <cell r="AG207">
            <v>910122732123.79895</v>
          </cell>
          <cell r="AH207">
            <v>926884816753.927</v>
          </cell>
          <cell r="AI207">
            <v>1093169389204.55</v>
          </cell>
          <cell r="AJ207">
            <v>1142797178130.51</v>
          </cell>
          <cell r="AK207">
            <v>1179659529659.53</v>
          </cell>
          <cell r="AL207">
            <v>1061388722255.55</v>
          </cell>
          <cell r="AM207">
            <v>1140489745944.29</v>
          </cell>
          <cell r="AN207">
            <v>1346422597443.5901</v>
          </cell>
          <cell r="AO207">
            <v>1421514820592.8201</v>
          </cell>
          <cell r="AP207">
            <v>1559569417157.8301</v>
          </cell>
          <cell r="AQ207">
            <v>1653391851606.49</v>
          </cell>
          <cell r="AR207">
            <v>1685762821549.9099</v>
          </cell>
          <cell r="AS207">
            <v>1662127402027.54</v>
          </cell>
          <cell r="AT207">
            <v>1643908161796.46</v>
          </cell>
          <cell r="AU207">
            <v>1784076738609.1101</v>
          </cell>
          <cell r="AV207">
            <v>2057093877551.02</v>
          </cell>
          <cell r="AW207">
            <v>2421814353716.5898</v>
          </cell>
          <cell r="AX207">
            <v>2544829090909.0898</v>
          </cell>
          <cell r="AY207">
            <v>2717059797608.1001</v>
          </cell>
          <cell r="AZ207">
            <v>3106182472989.2002</v>
          </cell>
          <cell r="BA207">
            <v>2938882352941.1802</v>
          </cell>
          <cell r="BB207">
            <v>2425798410967.4399</v>
          </cell>
          <cell r="BC207">
            <v>2491110093454.1802</v>
          </cell>
          <cell r="BD207">
            <v>2674891473843.8101</v>
          </cell>
          <cell r="BE207">
            <v>2719158341005.79</v>
          </cell>
          <cell r="BF207">
            <v>2803291406029.9302</v>
          </cell>
          <cell r="BG207">
            <v>3087165602962.8599</v>
          </cell>
          <cell r="BH207">
            <v>2956573778737.7598</v>
          </cell>
          <cell r="BI207">
            <v>2722851958486.23</v>
          </cell>
          <cell r="BJ207">
            <v>2699016715111.3901</v>
          </cell>
          <cell r="BK207">
            <v>2900791442554.0601</v>
          </cell>
          <cell r="BL207">
            <v>2878673912414.4399</v>
          </cell>
          <cell r="BM207">
            <v>2759804061837.0698</v>
          </cell>
          <cell r="BN207">
            <v>2759804061837.0698</v>
          </cell>
        </row>
        <row r="208">
          <cell r="B208" t="str">
            <v>USA</v>
          </cell>
          <cell r="C208" t="str">
            <v>GDP (current US$)</v>
          </cell>
          <cell r="D208" t="str">
            <v>NY.GDP.MKTP.CD</v>
          </cell>
          <cell r="E208">
            <v>543300000000</v>
          </cell>
          <cell r="F208">
            <v>563300000000</v>
          </cell>
          <cell r="G208">
            <v>605100000000</v>
          </cell>
          <cell r="H208">
            <v>638600000000</v>
          </cell>
          <cell r="I208">
            <v>685800000000</v>
          </cell>
          <cell r="J208">
            <v>743700000000</v>
          </cell>
          <cell r="K208">
            <v>815000000000</v>
          </cell>
          <cell r="L208">
            <v>861700000000</v>
          </cell>
          <cell r="M208">
            <v>942500000000</v>
          </cell>
          <cell r="N208">
            <v>1019900000000</v>
          </cell>
          <cell r="O208">
            <v>1073303000000</v>
          </cell>
          <cell r="P208">
            <v>1164850000000</v>
          </cell>
          <cell r="Q208">
            <v>1279110000000</v>
          </cell>
          <cell r="R208">
            <v>1425376000000</v>
          </cell>
          <cell r="S208">
            <v>1545243000000</v>
          </cell>
          <cell r="T208">
            <v>1684904000000</v>
          </cell>
          <cell r="U208">
            <v>1873412000000</v>
          </cell>
          <cell r="V208">
            <v>2081826000000</v>
          </cell>
          <cell r="W208">
            <v>2351599000000</v>
          </cell>
          <cell r="X208">
            <v>2627333000000</v>
          </cell>
          <cell r="Y208">
            <v>2857307000000</v>
          </cell>
          <cell r="Z208">
            <v>3207041000000</v>
          </cell>
          <cell r="AA208">
            <v>3343789000000</v>
          </cell>
          <cell r="AB208">
            <v>3634038000000</v>
          </cell>
          <cell r="AC208">
            <v>4037613000000</v>
          </cell>
          <cell r="AD208">
            <v>4338979000000</v>
          </cell>
          <cell r="AE208">
            <v>4579631000000</v>
          </cell>
          <cell r="AF208">
            <v>4855215000000</v>
          </cell>
          <cell r="AG208">
            <v>5236438000000</v>
          </cell>
          <cell r="AH208">
            <v>5641580000000</v>
          </cell>
          <cell r="AI208">
            <v>5963144000000</v>
          </cell>
          <cell r="AJ208">
            <v>6158129000000</v>
          </cell>
          <cell r="AK208">
            <v>6520327000000</v>
          </cell>
          <cell r="AL208">
            <v>6858559000000</v>
          </cell>
          <cell r="AM208">
            <v>7287236000000</v>
          </cell>
          <cell r="AN208">
            <v>7639749000000</v>
          </cell>
          <cell r="AO208">
            <v>8073122000000</v>
          </cell>
          <cell r="AP208">
            <v>8577554457000</v>
          </cell>
          <cell r="AQ208">
            <v>9062818202000</v>
          </cell>
          <cell r="AR208">
            <v>9630664202000</v>
          </cell>
          <cell r="AS208">
            <v>10252345464000</v>
          </cell>
          <cell r="AT208">
            <v>10581821399000</v>
          </cell>
          <cell r="AU208">
            <v>10936419054000</v>
          </cell>
          <cell r="AV208">
            <v>11458243878000</v>
          </cell>
          <cell r="AW208">
            <v>12213729147000</v>
          </cell>
          <cell r="AX208">
            <v>13036640230000</v>
          </cell>
          <cell r="AY208">
            <v>13814611414000</v>
          </cell>
          <cell r="AZ208">
            <v>14451858656000</v>
          </cell>
          <cell r="BA208">
            <v>14712844084000</v>
          </cell>
          <cell r="BB208">
            <v>14448933025000</v>
          </cell>
          <cell r="BC208">
            <v>14992052727000</v>
          </cell>
          <cell r="BD208">
            <v>15542581104000</v>
          </cell>
          <cell r="BE208">
            <v>16197007349000</v>
          </cell>
          <cell r="BF208">
            <v>16784849196000</v>
          </cell>
          <cell r="BG208">
            <v>17527163695000</v>
          </cell>
          <cell r="BH208">
            <v>18238300569000</v>
          </cell>
          <cell r="BI208">
            <v>18745075687000</v>
          </cell>
          <cell r="BJ208">
            <v>19542979183000</v>
          </cell>
          <cell r="BK208">
            <v>20611860934000</v>
          </cell>
          <cell r="BL208">
            <v>21433224697000</v>
          </cell>
          <cell r="BM208">
            <v>20953030000000</v>
          </cell>
          <cell r="BN208">
            <v>20953030000000</v>
          </cell>
        </row>
        <row r="209">
          <cell r="B209" t="str">
            <v>URY</v>
          </cell>
          <cell r="C209" t="str">
            <v>GDP (current US$)</v>
          </cell>
          <cell r="D209" t="str">
            <v>NY.GDP.MKTP.CD</v>
          </cell>
          <cell r="E209">
            <v>1242289239.2049301</v>
          </cell>
          <cell r="F209">
            <v>1547388781.43133</v>
          </cell>
          <cell r="G209">
            <v>1710004407.22785</v>
          </cell>
          <cell r="H209">
            <v>1539681490.78174</v>
          </cell>
          <cell r="I209">
            <v>1975701816.46615</v>
          </cell>
          <cell r="J209">
            <v>1890769326.14221</v>
          </cell>
          <cell r="K209">
            <v>1809183974.52669</v>
          </cell>
          <cell r="L209">
            <v>1597721080.0099101</v>
          </cell>
          <cell r="M209">
            <v>1593675330.16467</v>
          </cell>
          <cell r="N209">
            <v>2004435483.87097</v>
          </cell>
          <cell r="O209">
            <v>2137096774.1935501</v>
          </cell>
          <cell r="P209">
            <v>2807258064.51613</v>
          </cell>
          <cell r="Q209">
            <v>2189418001.3789802</v>
          </cell>
          <cell r="R209">
            <v>3964295672.5244398</v>
          </cell>
          <cell r="S209">
            <v>4090209681.9717202</v>
          </cell>
          <cell r="T209">
            <v>3538283322.07726</v>
          </cell>
          <cell r="U209">
            <v>3667161241.4837198</v>
          </cell>
          <cell r="V209">
            <v>4114667062.6491699</v>
          </cell>
          <cell r="W209">
            <v>4910257282.93153</v>
          </cell>
          <cell r="X209">
            <v>7181185277.9865103</v>
          </cell>
          <cell r="Y209">
            <v>10163020115.7344</v>
          </cell>
          <cell r="Z209">
            <v>11048335541.493299</v>
          </cell>
          <cell r="AA209">
            <v>9178802162.6616001</v>
          </cell>
          <cell r="AB209">
            <v>5102281255.9998598</v>
          </cell>
          <cell r="AC209">
            <v>4850241442.1764297</v>
          </cell>
          <cell r="AD209">
            <v>4732017873.3836899</v>
          </cell>
          <cell r="AE209">
            <v>5880112788.4094696</v>
          </cell>
          <cell r="AF209">
            <v>7367494080.4001398</v>
          </cell>
          <cell r="AG209">
            <v>8213515458.5113897</v>
          </cell>
          <cell r="AH209">
            <v>8438951476.0664396</v>
          </cell>
          <cell r="AI209">
            <v>9298839655.2313805</v>
          </cell>
          <cell r="AJ209">
            <v>11205971155.275801</v>
          </cell>
          <cell r="AK209">
            <v>12878199880.9839</v>
          </cell>
          <cell r="AL209">
            <v>15002106518.484699</v>
          </cell>
          <cell r="AM209">
            <v>17474647792.3829</v>
          </cell>
          <cell r="AN209">
            <v>19297663096.550598</v>
          </cell>
          <cell r="AO209">
            <v>20515543039.2132</v>
          </cell>
          <cell r="AP209">
            <v>23969823010.442902</v>
          </cell>
          <cell r="AQ209">
            <v>25385928188.7719</v>
          </cell>
          <cell r="AR209">
            <v>23983945190.620201</v>
          </cell>
          <cell r="AS209">
            <v>22823255801.8447</v>
          </cell>
          <cell r="AT209">
            <v>20898788416.6348</v>
          </cell>
          <cell r="AU209">
            <v>13606494599.4261</v>
          </cell>
          <cell r="AV209">
            <v>12045631092.535299</v>
          </cell>
          <cell r="AW209">
            <v>13686329890.119101</v>
          </cell>
          <cell r="AX209">
            <v>17362857683.8545</v>
          </cell>
          <cell r="AY209">
            <v>19579457966.053799</v>
          </cell>
          <cell r="AZ209">
            <v>23410572634.314701</v>
          </cell>
          <cell r="BA209">
            <v>30366213119.292801</v>
          </cell>
          <cell r="BB209">
            <v>31660911277.0294</v>
          </cell>
          <cell r="BC209">
            <v>40284481651.9021</v>
          </cell>
          <cell r="BD209">
            <v>47962439303.724701</v>
          </cell>
          <cell r="BE209">
            <v>51264390116.490898</v>
          </cell>
          <cell r="BF209">
            <v>57531233350.910103</v>
          </cell>
          <cell r="BG209">
            <v>57236013086.122299</v>
          </cell>
          <cell r="BH209">
            <v>53274304222.136002</v>
          </cell>
          <cell r="BI209">
            <v>57236652490.169899</v>
          </cell>
          <cell r="BJ209">
            <v>64233966861.251801</v>
          </cell>
          <cell r="BK209">
            <v>64515038268.137299</v>
          </cell>
          <cell r="BL209">
            <v>61231149880.585701</v>
          </cell>
          <cell r="BM209">
            <v>53628827440.3582</v>
          </cell>
          <cell r="BN209">
            <v>53628827440.3582</v>
          </cell>
        </row>
        <row r="210">
          <cell r="B210" t="str">
            <v>UZB</v>
          </cell>
          <cell r="C210" t="str">
            <v>GDP (current US$)</v>
          </cell>
          <cell r="D210" t="str">
            <v>NY.GDP.MKTP.CD</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t="str">
            <v>..</v>
          </cell>
          <cell r="AF210" t="str">
            <v>..</v>
          </cell>
          <cell r="AG210" t="str">
            <v>..</v>
          </cell>
          <cell r="AH210" t="str">
            <v>..</v>
          </cell>
          <cell r="AI210">
            <v>13360607917.8773</v>
          </cell>
          <cell r="AJ210">
            <v>13677622222.2222</v>
          </cell>
          <cell r="AK210">
            <v>12941297376.0933</v>
          </cell>
          <cell r="AL210">
            <v>13099013835.511101</v>
          </cell>
          <cell r="AM210">
            <v>12899156990.615601</v>
          </cell>
          <cell r="AN210">
            <v>13350468917.411501</v>
          </cell>
          <cell r="AO210">
            <v>13948892215.568899</v>
          </cell>
          <cell r="AP210">
            <v>14744603773.5849</v>
          </cell>
          <cell r="AQ210">
            <v>14988971210.838301</v>
          </cell>
          <cell r="AR210">
            <v>17078465982.0282</v>
          </cell>
          <cell r="AS210">
            <v>13760513969.313999</v>
          </cell>
          <cell r="AT210">
            <v>11401421329.197399</v>
          </cell>
          <cell r="AU210">
            <v>9687788512.8018398</v>
          </cell>
          <cell r="AV210">
            <v>10134453435.4603</v>
          </cell>
          <cell r="AW210">
            <v>12030023547.880699</v>
          </cell>
          <cell r="AX210">
            <v>14307509838.8053</v>
          </cell>
          <cell r="AY210">
            <v>17330833852.918999</v>
          </cell>
          <cell r="AZ210">
            <v>22311393927.881699</v>
          </cell>
          <cell r="BA210">
            <v>29549438883.833801</v>
          </cell>
          <cell r="BB210">
            <v>33689223673.257702</v>
          </cell>
          <cell r="BC210">
            <v>49765676402.449501</v>
          </cell>
          <cell r="BD210">
            <v>60178909297.208</v>
          </cell>
          <cell r="BE210">
            <v>67517349212.060898</v>
          </cell>
          <cell r="BF210">
            <v>73180036692.3255</v>
          </cell>
          <cell r="BG210">
            <v>80845384375.123596</v>
          </cell>
          <cell r="BH210">
            <v>86196265191.664505</v>
          </cell>
          <cell r="BI210">
            <v>86138288615.121796</v>
          </cell>
          <cell r="BJ210">
            <v>62081323299.032402</v>
          </cell>
          <cell r="BK210">
            <v>52633143808.182404</v>
          </cell>
          <cell r="BL210">
            <v>59907674027.467598</v>
          </cell>
          <cell r="BM210">
            <v>59929951114.359802</v>
          </cell>
          <cell r="BN210">
            <v>59929951114.359802</v>
          </cell>
        </row>
        <row r="211">
          <cell r="B211" t="str">
            <v>VUT</v>
          </cell>
          <cell r="C211" t="str">
            <v>GDP (current US$)</v>
          </cell>
          <cell r="D211" t="str">
            <v>NY.GDP.MKTP.CD</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v>119258835.33552501</v>
          </cell>
          <cell r="Y211">
            <v>121185497.569261</v>
          </cell>
          <cell r="Z211">
            <v>113781795.82356</v>
          </cell>
          <cell r="AA211">
            <v>114501912.52286699</v>
          </cell>
          <cell r="AB211">
            <v>117389554.191406</v>
          </cell>
          <cell r="AC211">
            <v>144482515.36833599</v>
          </cell>
          <cell r="AD211">
            <v>131856420.70318399</v>
          </cell>
          <cell r="AE211">
            <v>126498935.335649</v>
          </cell>
          <cell r="AF211">
            <v>139464173.547324</v>
          </cell>
          <cell r="AG211">
            <v>158351368.43314901</v>
          </cell>
          <cell r="AH211">
            <v>154013202.11647499</v>
          </cell>
          <cell r="AI211">
            <v>168879207.24414799</v>
          </cell>
          <cell r="AJ211">
            <v>201334169.054441</v>
          </cell>
          <cell r="AK211">
            <v>209088824.60843799</v>
          </cell>
          <cell r="AL211">
            <v>200491853.16784701</v>
          </cell>
          <cell r="AM211">
            <v>233701301.490486</v>
          </cell>
          <cell r="AN211">
            <v>249333250.08250701</v>
          </cell>
          <cell r="AO211">
            <v>261370044.48661399</v>
          </cell>
          <cell r="AP211">
            <v>272771209.113662</v>
          </cell>
          <cell r="AQ211">
            <v>262293410.708334</v>
          </cell>
          <cell r="AR211">
            <v>268006972.69029599</v>
          </cell>
          <cell r="AS211">
            <v>272014693.05080599</v>
          </cell>
          <cell r="AT211">
            <v>257926881.72042999</v>
          </cell>
          <cell r="AU211">
            <v>262596597.803278</v>
          </cell>
          <cell r="AV211">
            <v>314471328.07154799</v>
          </cell>
          <cell r="AW211">
            <v>364996869.12961799</v>
          </cell>
          <cell r="AX211">
            <v>394962552.33610803</v>
          </cell>
          <cell r="AY211">
            <v>439376794.09404099</v>
          </cell>
          <cell r="AZ211">
            <v>516392922.51372802</v>
          </cell>
          <cell r="BA211">
            <v>590748237.02165699</v>
          </cell>
          <cell r="BB211">
            <v>592622502.36085904</v>
          </cell>
          <cell r="BC211">
            <v>670713208.08455205</v>
          </cell>
          <cell r="BD211">
            <v>770153304.15383196</v>
          </cell>
          <cell r="BE211">
            <v>747839697.746593</v>
          </cell>
          <cell r="BF211">
            <v>758304466.24533904</v>
          </cell>
          <cell r="BG211">
            <v>772315721.26582694</v>
          </cell>
          <cell r="BH211">
            <v>730870581.67231202</v>
          </cell>
          <cell r="BI211">
            <v>780889605.89997697</v>
          </cell>
          <cell r="BJ211">
            <v>880043553.74844205</v>
          </cell>
          <cell r="BK211">
            <v>914727908.13779294</v>
          </cell>
          <cell r="BL211">
            <v>934521604.60200906</v>
          </cell>
          <cell r="BM211">
            <v>881547928.58380997</v>
          </cell>
          <cell r="BN211">
            <v>881547928.58380997</v>
          </cell>
        </row>
        <row r="212">
          <cell r="B212" t="str">
            <v>VEN</v>
          </cell>
          <cell r="C212" t="str">
            <v>GDP (current US$)</v>
          </cell>
          <cell r="D212" t="str">
            <v>NY.GDP.MKTP.CD</v>
          </cell>
          <cell r="E212">
            <v>7779090909.09091</v>
          </cell>
          <cell r="F212">
            <v>8189090909.09091</v>
          </cell>
          <cell r="G212">
            <v>8946969696.9696999</v>
          </cell>
          <cell r="H212">
            <v>9753333333.3333302</v>
          </cell>
          <cell r="I212">
            <v>8099318181.8181801</v>
          </cell>
          <cell r="J212">
            <v>8427777777.7777796</v>
          </cell>
          <cell r="K212">
            <v>8781333333.3333302</v>
          </cell>
          <cell r="L212">
            <v>9250000000</v>
          </cell>
          <cell r="M212">
            <v>10034444444.444401</v>
          </cell>
          <cell r="N212">
            <v>10285111111.111099</v>
          </cell>
          <cell r="O212">
            <v>11561111111.111099</v>
          </cell>
          <cell r="P212">
            <v>12986590909.0909</v>
          </cell>
          <cell r="Q212">
            <v>13977727272.727301</v>
          </cell>
          <cell r="R212">
            <v>17035581395.348801</v>
          </cell>
          <cell r="S212">
            <v>26100930232.558102</v>
          </cell>
          <cell r="T212">
            <v>27464651162.790699</v>
          </cell>
          <cell r="U212">
            <v>31419534883.720901</v>
          </cell>
          <cell r="V212">
            <v>36210697674.418602</v>
          </cell>
          <cell r="W212">
            <v>39316279069.767403</v>
          </cell>
          <cell r="X212">
            <v>48310930232.558098</v>
          </cell>
          <cell r="Y212">
            <v>59116511627.906998</v>
          </cell>
          <cell r="Z212">
            <v>66327441860.465103</v>
          </cell>
          <cell r="AA212">
            <v>67736744186.046501</v>
          </cell>
          <cell r="AB212">
            <v>67556279069.767403</v>
          </cell>
          <cell r="AC212">
            <v>60010285714.285698</v>
          </cell>
          <cell r="AD212">
            <v>61965466666.666702</v>
          </cell>
          <cell r="AE212">
            <v>60391604938.271599</v>
          </cell>
          <cell r="AF212">
            <v>48029034482.758598</v>
          </cell>
          <cell r="AG212">
            <v>60226413793.103401</v>
          </cell>
          <cell r="AH212">
            <v>43526253602.305496</v>
          </cell>
          <cell r="AI212">
            <v>48598315565.031998</v>
          </cell>
          <cell r="AJ212">
            <v>53476971830.985901</v>
          </cell>
          <cell r="AK212">
            <v>60401798245.613998</v>
          </cell>
          <cell r="AL212">
            <v>60065011013.215897</v>
          </cell>
          <cell r="AM212">
            <v>58418666666.666702</v>
          </cell>
          <cell r="AN212">
            <v>77407726244.343903</v>
          </cell>
          <cell r="AO212">
            <v>70543211119.098999</v>
          </cell>
          <cell r="AP212">
            <v>85843534588.620605</v>
          </cell>
          <cell r="AQ212">
            <v>91331203433.162903</v>
          </cell>
          <cell r="AR212">
            <v>97976886247.3172</v>
          </cell>
          <cell r="AS212">
            <v>117140723529.412</v>
          </cell>
          <cell r="AT212">
            <v>122903960204.505</v>
          </cell>
          <cell r="AU212">
            <v>92893587733.654907</v>
          </cell>
          <cell r="AV212">
            <v>83620628582.1082</v>
          </cell>
          <cell r="AW212">
            <v>112453382329.61501</v>
          </cell>
          <cell r="AX212">
            <v>145510008134.75</v>
          </cell>
          <cell r="AY212">
            <v>183477522123.89401</v>
          </cell>
          <cell r="AZ212">
            <v>230364012575.68701</v>
          </cell>
          <cell r="BA212">
            <v>315953388510.67798</v>
          </cell>
          <cell r="BB212">
            <v>329787628928.47101</v>
          </cell>
          <cell r="BC212">
            <v>393192354510.65302</v>
          </cell>
          <cell r="BD212">
            <v>316482190800.36401</v>
          </cell>
          <cell r="BE212">
            <v>381286237847.66699</v>
          </cell>
          <cell r="BF212">
            <v>371005379786.56598</v>
          </cell>
          <cell r="BG212">
            <v>482359318767.703</v>
          </cell>
          <cell r="BH212" t="str">
            <v>..</v>
          </cell>
          <cell r="BI212" t="str">
            <v>..</v>
          </cell>
          <cell r="BJ212" t="str">
            <v>..</v>
          </cell>
          <cell r="BK212" t="str">
            <v>..</v>
          </cell>
          <cell r="BL212" t="str">
            <v>..</v>
          </cell>
          <cell r="BM212" t="str">
            <v>..</v>
          </cell>
          <cell r="BN212" t="str">
            <v/>
          </cell>
        </row>
        <row r="213">
          <cell r="B213" t="str">
            <v>VNM</v>
          </cell>
          <cell r="C213" t="str">
            <v>GDP (current US$)</v>
          </cell>
          <cell r="D213" t="str">
            <v>NY.GDP.MKTP.CD</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v>14094687820.744499</v>
          </cell>
          <cell r="AE213">
            <v>26336616250.439701</v>
          </cell>
          <cell r="AF213">
            <v>36658108850.314796</v>
          </cell>
          <cell r="AG213">
            <v>25423812648.594101</v>
          </cell>
          <cell r="AH213">
            <v>6293304974.5940304</v>
          </cell>
          <cell r="AI213">
            <v>6471740805.5698404</v>
          </cell>
          <cell r="AJ213">
            <v>9613369520.4188499</v>
          </cell>
          <cell r="AK213">
            <v>9866990236.4358692</v>
          </cell>
          <cell r="AL213">
            <v>13180953598.1716</v>
          </cell>
          <cell r="AM213">
            <v>16286433533.3228</v>
          </cell>
          <cell r="AN213">
            <v>20736164458.9505</v>
          </cell>
          <cell r="AO213">
            <v>24657470574.750099</v>
          </cell>
          <cell r="AP213">
            <v>26843700441.548199</v>
          </cell>
          <cell r="AQ213">
            <v>27209602050.0452</v>
          </cell>
          <cell r="AR213">
            <v>28683659006.7752</v>
          </cell>
          <cell r="AS213">
            <v>31172518403.3162</v>
          </cell>
          <cell r="AT213">
            <v>32685198735.305302</v>
          </cell>
          <cell r="AU213">
            <v>35064105500.834396</v>
          </cell>
          <cell r="AV213">
            <v>39552513316.073402</v>
          </cell>
          <cell r="AW213">
            <v>45427854693.255402</v>
          </cell>
          <cell r="AX213">
            <v>57633255618.273102</v>
          </cell>
          <cell r="AY213">
            <v>66371664817.043602</v>
          </cell>
          <cell r="AZ213">
            <v>77414425532.245193</v>
          </cell>
          <cell r="BA213">
            <v>99130304099.127396</v>
          </cell>
          <cell r="BB213">
            <v>106014659770.222</v>
          </cell>
          <cell r="BC213">
            <v>115931749697.241</v>
          </cell>
          <cell r="BD213">
            <v>135539438559.709</v>
          </cell>
          <cell r="BE213">
            <v>155820001920.492</v>
          </cell>
          <cell r="BF213">
            <v>171222025117.38101</v>
          </cell>
          <cell r="BG213">
            <v>186204652922.26199</v>
          </cell>
          <cell r="BH213">
            <v>193241108709.53601</v>
          </cell>
          <cell r="BI213">
            <v>205276172134.901</v>
          </cell>
          <cell r="BJ213">
            <v>223779865815.18301</v>
          </cell>
          <cell r="BK213">
            <v>245213686369.15701</v>
          </cell>
          <cell r="BL213">
            <v>261921244843.172</v>
          </cell>
          <cell r="BM213">
            <v>271158442448.53699</v>
          </cell>
          <cell r="BN213">
            <v>271158442448.53699</v>
          </cell>
        </row>
        <row r="214">
          <cell r="B214" t="str">
            <v>VIR</v>
          </cell>
          <cell r="C214" t="str">
            <v>GDP (current US$)</v>
          </cell>
          <cell r="D214" t="str">
            <v>NY.GDP.MKTP.CD</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t="str">
            <v>..</v>
          </cell>
          <cell r="AF214" t="str">
            <v>..</v>
          </cell>
          <cell r="AG214" t="str">
            <v>..</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t="str">
            <v>..</v>
          </cell>
          <cell r="AU214">
            <v>3262000000</v>
          </cell>
          <cell r="AV214">
            <v>3443000000</v>
          </cell>
          <cell r="AW214">
            <v>3797000000</v>
          </cell>
          <cell r="AX214">
            <v>4428000000</v>
          </cell>
          <cell r="AY214">
            <v>4484000000</v>
          </cell>
          <cell r="AZ214">
            <v>4784000000</v>
          </cell>
          <cell r="BA214">
            <v>4244000000</v>
          </cell>
          <cell r="BB214">
            <v>4201000000</v>
          </cell>
          <cell r="BC214">
            <v>4324000000</v>
          </cell>
          <cell r="BD214">
            <v>4223000000</v>
          </cell>
          <cell r="BE214">
            <v>4089000000</v>
          </cell>
          <cell r="BF214">
            <v>3738000000</v>
          </cell>
          <cell r="BG214">
            <v>3565000000</v>
          </cell>
          <cell r="BH214">
            <v>3663000000</v>
          </cell>
          <cell r="BI214">
            <v>3798000000</v>
          </cell>
          <cell r="BJ214">
            <v>3794000000</v>
          </cell>
          <cell r="BK214">
            <v>3900000000</v>
          </cell>
          <cell r="BL214">
            <v>4068000000</v>
          </cell>
          <cell r="BM214" t="str">
            <v>..</v>
          </cell>
          <cell r="BN214">
            <v>4068000000</v>
          </cell>
        </row>
        <row r="215">
          <cell r="B215" t="str">
            <v>PSE</v>
          </cell>
          <cell r="C215" t="str">
            <v>GDP (current US$)</v>
          </cell>
          <cell r="D215" t="str">
            <v>NY.GDP.MKTP.CD</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cell r="AJ215" t="str">
            <v>..</v>
          </cell>
          <cell r="AK215" t="str">
            <v>..</v>
          </cell>
          <cell r="AL215" t="str">
            <v>..</v>
          </cell>
          <cell r="AM215">
            <v>2843300000</v>
          </cell>
          <cell r="AN215">
            <v>3282800000</v>
          </cell>
          <cell r="AO215">
            <v>3409600000</v>
          </cell>
          <cell r="AP215">
            <v>3759800000</v>
          </cell>
          <cell r="AQ215">
            <v>4067800000</v>
          </cell>
          <cell r="AR215">
            <v>4271200000</v>
          </cell>
          <cell r="AS215">
            <v>4313600000</v>
          </cell>
          <cell r="AT215">
            <v>4003700000</v>
          </cell>
          <cell r="AU215">
            <v>3555800000</v>
          </cell>
          <cell r="AV215">
            <v>3968000000</v>
          </cell>
          <cell r="AW215">
            <v>4603100000</v>
          </cell>
          <cell r="AX215">
            <v>5125700000</v>
          </cell>
          <cell r="AY215">
            <v>5348300000</v>
          </cell>
          <cell r="AZ215">
            <v>5815700000</v>
          </cell>
          <cell r="BA215">
            <v>7310400000</v>
          </cell>
          <cell r="BB215">
            <v>8085700000</v>
          </cell>
          <cell r="BC215">
            <v>9681500000</v>
          </cell>
          <cell r="BD215">
            <v>11186100000</v>
          </cell>
          <cell r="BE215">
            <v>12208400000</v>
          </cell>
          <cell r="BF215">
            <v>13515500000</v>
          </cell>
          <cell r="BG215">
            <v>13989700000</v>
          </cell>
          <cell r="BH215">
            <v>13972400000</v>
          </cell>
          <cell r="BI215">
            <v>15405400000</v>
          </cell>
          <cell r="BJ215">
            <v>16128000000</v>
          </cell>
          <cell r="BK215">
            <v>16276600000</v>
          </cell>
          <cell r="BL215">
            <v>17133500000</v>
          </cell>
          <cell r="BM215">
            <v>15561300000</v>
          </cell>
          <cell r="BN215">
            <v>15561300000</v>
          </cell>
        </row>
        <row r="216">
          <cell r="B216" t="str">
            <v>YEM</v>
          </cell>
          <cell r="C216" t="str">
            <v>GDP (current US$)</v>
          </cell>
          <cell r="D216" t="str">
            <v>NY.GDP.MKTP.CD</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v>5647119229.0076303</v>
          </cell>
          <cell r="AJ216">
            <v>5930370370.3703699</v>
          </cell>
          <cell r="AK216">
            <v>6463649985.0164804</v>
          </cell>
          <cell r="AL216">
            <v>5368270614.8467999</v>
          </cell>
          <cell r="AM216">
            <v>4167356037.1517</v>
          </cell>
          <cell r="AN216">
            <v>4258788725.4499102</v>
          </cell>
          <cell r="AO216">
            <v>5785685310.8666801</v>
          </cell>
          <cell r="AP216">
            <v>6838557384.4035702</v>
          </cell>
          <cell r="AQ216">
            <v>6325141675.8698902</v>
          </cell>
          <cell r="AR216">
            <v>7641102523.1508198</v>
          </cell>
          <cell r="AS216">
            <v>9652436179.6460495</v>
          </cell>
          <cell r="AT216">
            <v>9861560094.7400894</v>
          </cell>
          <cell r="AU216">
            <v>10694628091.6726</v>
          </cell>
          <cell r="AV216">
            <v>11777966673.3897</v>
          </cell>
          <cell r="AW216">
            <v>13872791658.5487</v>
          </cell>
          <cell r="AX216">
            <v>16746344766.204399</v>
          </cell>
          <cell r="AY216">
            <v>19061978586.1278</v>
          </cell>
          <cell r="AZ216">
            <v>21650532264.232201</v>
          </cell>
          <cell r="BA216">
            <v>26910851361.755501</v>
          </cell>
          <cell r="BB216">
            <v>25130274124.252499</v>
          </cell>
          <cell r="BC216">
            <v>30906749533.221001</v>
          </cell>
          <cell r="BD216">
            <v>32726417212.348</v>
          </cell>
          <cell r="BE216">
            <v>35401341663.042503</v>
          </cell>
          <cell r="BF216">
            <v>40415235701.987099</v>
          </cell>
          <cell r="BG216">
            <v>43228585321.327202</v>
          </cell>
          <cell r="BH216">
            <v>42445102386.604897</v>
          </cell>
          <cell r="BI216">
            <v>31317365269.461102</v>
          </cell>
          <cell r="BJ216">
            <v>26840128755.364799</v>
          </cell>
          <cell r="BK216">
            <v>21606140907.4454</v>
          </cell>
          <cell r="BL216" t="str">
            <v>..</v>
          </cell>
          <cell r="BM216" t="str">
            <v>..</v>
          </cell>
          <cell r="BN216">
            <v>21606140907.4454</v>
          </cell>
        </row>
        <row r="217">
          <cell r="B217" t="str">
            <v>ZMB</v>
          </cell>
          <cell r="C217" t="str">
            <v>GDP (current US$)</v>
          </cell>
          <cell r="D217" t="str">
            <v>NY.GDP.MKTP.CD</v>
          </cell>
          <cell r="E217">
            <v>713000000</v>
          </cell>
          <cell r="F217">
            <v>696285714.28571403</v>
          </cell>
          <cell r="G217">
            <v>693142857.14285696</v>
          </cell>
          <cell r="H217">
            <v>718714285.71428597</v>
          </cell>
          <cell r="I217">
            <v>839428571.42857099</v>
          </cell>
          <cell r="J217">
            <v>1082857142.8571401</v>
          </cell>
          <cell r="K217">
            <v>1264285714.2857101</v>
          </cell>
          <cell r="L217">
            <v>1368000000</v>
          </cell>
          <cell r="M217">
            <v>1605857142.8571401</v>
          </cell>
          <cell r="N217">
            <v>1965714285.7142899</v>
          </cell>
          <cell r="O217">
            <v>1825285714.2857101</v>
          </cell>
          <cell r="P217">
            <v>1687000000</v>
          </cell>
          <cell r="Q217">
            <v>1910714285.7142899</v>
          </cell>
          <cell r="R217">
            <v>2268714285.7142901</v>
          </cell>
          <cell r="S217">
            <v>3121833333.3333302</v>
          </cell>
          <cell r="T217">
            <v>2618666666.6666698</v>
          </cell>
          <cell r="U217">
            <v>2746714285.7142901</v>
          </cell>
          <cell r="V217">
            <v>2483000000</v>
          </cell>
          <cell r="W217">
            <v>2813375000</v>
          </cell>
          <cell r="X217">
            <v>3325500000</v>
          </cell>
          <cell r="Y217">
            <v>3829500000</v>
          </cell>
          <cell r="Z217">
            <v>3872666666.6666698</v>
          </cell>
          <cell r="AA217">
            <v>3994777777.7777801</v>
          </cell>
          <cell r="AB217">
            <v>3216307692.3076901</v>
          </cell>
          <cell r="AC217">
            <v>2739444444.4444399</v>
          </cell>
          <cell r="AD217">
            <v>2281258064.51613</v>
          </cell>
          <cell r="AE217">
            <v>1661948717.94872</v>
          </cell>
          <cell r="AF217">
            <v>2269894736.8421102</v>
          </cell>
          <cell r="AG217">
            <v>3713614457.8313298</v>
          </cell>
          <cell r="AH217">
            <v>3998637681.15942</v>
          </cell>
          <cell r="AI217">
            <v>3285217391.3043499</v>
          </cell>
          <cell r="AJ217">
            <v>3378882352.9411802</v>
          </cell>
          <cell r="AK217">
            <v>3181921787.7094998</v>
          </cell>
          <cell r="AL217">
            <v>3273237853.3568902</v>
          </cell>
          <cell r="AM217">
            <v>3656647744.24858</v>
          </cell>
          <cell r="AN217">
            <v>3807067121.8608999</v>
          </cell>
          <cell r="AO217">
            <v>3597220962.0001702</v>
          </cell>
          <cell r="AP217">
            <v>4303281932.2936497</v>
          </cell>
          <cell r="AQ217">
            <v>3537683046.0233102</v>
          </cell>
          <cell r="AR217">
            <v>3404311976.5494099</v>
          </cell>
          <cell r="AS217">
            <v>3600683039.7325401</v>
          </cell>
          <cell r="AT217">
            <v>4094480988.1193099</v>
          </cell>
          <cell r="AU217">
            <v>4193845678.17033</v>
          </cell>
          <cell r="AV217">
            <v>4901839731.2657099</v>
          </cell>
          <cell r="AW217">
            <v>6221077674.7787104</v>
          </cell>
          <cell r="AX217">
            <v>8331870169.1497698</v>
          </cell>
          <cell r="AY217">
            <v>12756858899.2812</v>
          </cell>
          <cell r="AZ217">
            <v>14056957976.264799</v>
          </cell>
          <cell r="BA217">
            <v>17910858637.9048</v>
          </cell>
          <cell r="BB217">
            <v>15328342303.9575</v>
          </cell>
          <cell r="BC217">
            <v>20265559483.854801</v>
          </cell>
          <cell r="BD217">
            <v>23459515275.577599</v>
          </cell>
          <cell r="BE217">
            <v>25503060420.026001</v>
          </cell>
          <cell r="BF217">
            <v>28037239462.714199</v>
          </cell>
          <cell r="BG217">
            <v>27141023558.082901</v>
          </cell>
          <cell r="BH217">
            <v>21251216798.776199</v>
          </cell>
          <cell r="BI217">
            <v>20958412538.309299</v>
          </cell>
          <cell r="BJ217">
            <v>25873601260.8353</v>
          </cell>
          <cell r="BK217">
            <v>26311590296.702099</v>
          </cell>
          <cell r="BL217">
            <v>23308667781.2258</v>
          </cell>
          <cell r="BM217">
            <v>18110631358.311401</v>
          </cell>
          <cell r="BN217">
            <v>18110631358.311401</v>
          </cell>
        </row>
        <row r="218">
          <cell r="B218" t="str">
            <v>ZWE</v>
          </cell>
          <cell r="C218" t="str">
            <v>GDP (current US$)</v>
          </cell>
          <cell r="D218" t="str">
            <v>NY.GDP.MKTP.CD</v>
          </cell>
          <cell r="E218">
            <v>1052990400</v>
          </cell>
          <cell r="F218">
            <v>1096646600</v>
          </cell>
          <cell r="G218">
            <v>1117601600</v>
          </cell>
          <cell r="H218">
            <v>1159511700</v>
          </cell>
          <cell r="I218">
            <v>1217138000</v>
          </cell>
          <cell r="J218">
            <v>1311435800</v>
          </cell>
          <cell r="K218">
            <v>1281749500</v>
          </cell>
          <cell r="L218">
            <v>1397002000</v>
          </cell>
          <cell r="M218">
            <v>1479599900</v>
          </cell>
          <cell r="N218">
            <v>1747998800</v>
          </cell>
          <cell r="O218">
            <v>1884206300</v>
          </cell>
          <cell r="P218">
            <v>2178716300</v>
          </cell>
          <cell r="Q218">
            <v>2677729400</v>
          </cell>
          <cell r="R218">
            <v>3309353600</v>
          </cell>
          <cell r="S218">
            <v>3982161400</v>
          </cell>
          <cell r="T218">
            <v>4371300700</v>
          </cell>
          <cell r="U218">
            <v>4318372000</v>
          </cell>
          <cell r="V218">
            <v>4364382100</v>
          </cell>
          <cell r="W218">
            <v>4351600500</v>
          </cell>
          <cell r="X218">
            <v>5177459400</v>
          </cell>
          <cell r="Y218">
            <v>6678868200</v>
          </cell>
          <cell r="Z218">
            <v>8011373800</v>
          </cell>
          <cell r="AA218">
            <v>8539700700</v>
          </cell>
          <cell r="AB218">
            <v>7764067000</v>
          </cell>
          <cell r="AC218">
            <v>6352125900</v>
          </cell>
          <cell r="AD218">
            <v>5637259300</v>
          </cell>
          <cell r="AE218">
            <v>6217523700</v>
          </cell>
          <cell r="AF218">
            <v>6741215100</v>
          </cell>
          <cell r="AG218">
            <v>7814784100</v>
          </cell>
          <cell r="AH218">
            <v>8286322700</v>
          </cell>
          <cell r="AI218">
            <v>8783816700</v>
          </cell>
          <cell r="AJ218">
            <v>8641481700</v>
          </cell>
          <cell r="AK218">
            <v>6751472200</v>
          </cell>
          <cell r="AL218">
            <v>6563813300</v>
          </cell>
          <cell r="AM218">
            <v>6890675000</v>
          </cell>
          <cell r="AN218">
            <v>7111270700</v>
          </cell>
          <cell r="AO218">
            <v>8553146600</v>
          </cell>
          <cell r="AP218">
            <v>8529571600</v>
          </cell>
          <cell r="AQ218">
            <v>6401968200</v>
          </cell>
          <cell r="AR218">
            <v>6858013100</v>
          </cell>
          <cell r="AS218">
            <v>6689957600</v>
          </cell>
          <cell r="AT218">
            <v>6777384700</v>
          </cell>
          <cell r="AU218">
            <v>6342116400</v>
          </cell>
          <cell r="AV218">
            <v>5727591800</v>
          </cell>
          <cell r="AW218">
            <v>5805598400</v>
          </cell>
          <cell r="AX218">
            <v>5755215200</v>
          </cell>
          <cell r="AY218">
            <v>5443896500</v>
          </cell>
          <cell r="AZ218">
            <v>5291950100</v>
          </cell>
          <cell r="BA218">
            <v>4415702800</v>
          </cell>
          <cell r="BB218">
            <v>9665793300</v>
          </cell>
          <cell r="BC218">
            <v>12041655200</v>
          </cell>
          <cell r="BD218">
            <v>14101920300</v>
          </cell>
          <cell r="BE218">
            <v>17114849900</v>
          </cell>
          <cell r="BF218">
            <v>19091020000</v>
          </cell>
          <cell r="BG218">
            <v>19495519600</v>
          </cell>
          <cell r="BH218">
            <v>19963120600</v>
          </cell>
          <cell r="BI218">
            <v>20548678100</v>
          </cell>
          <cell r="BJ218">
            <v>17584890936.652302</v>
          </cell>
          <cell r="BK218">
            <v>18115543790.7855</v>
          </cell>
          <cell r="BL218">
            <v>19284289739.051701</v>
          </cell>
          <cell r="BM218">
            <v>18051170798.941002</v>
          </cell>
          <cell r="BN218">
            <v>18051170798.941002</v>
          </cell>
        </row>
        <row r="219">
          <cell r="B219" t="str">
            <v>AFE</v>
          </cell>
          <cell r="C219" t="str">
            <v>GDP (current US$)</v>
          </cell>
          <cell r="D219" t="str">
            <v>NY.GDP.MKTP.CD</v>
          </cell>
          <cell r="E219">
            <v>19313106301.7896</v>
          </cell>
          <cell r="F219">
            <v>19723488056.843899</v>
          </cell>
          <cell r="G219">
            <v>21493920015.015099</v>
          </cell>
          <cell r="H219">
            <v>25733212133.783699</v>
          </cell>
          <cell r="I219">
            <v>23527443250.685001</v>
          </cell>
          <cell r="J219">
            <v>26810567153.9916</v>
          </cell>
          <cell r="K219">
            <v>29152157362.402802</v>
          </cell>
          <cell r="L219">
            <v>30173172662.678398</v>
          </cell>
          <cell r="M219">
            <v>32877055828.8475</v>
          </cell>
          <cell r="N219">
            <v>37744346869.0476</v>
          </cell>
          <cell r="O219">
            <v>40315782854.298599</v>
          </cell>
          <cell r="P219">
            <v>44476662702.876801</v>
          </cell>
          <cell r="Q219">
            <v>48301485013.571198</v>
          </cell>
          <cell r="R219">
            <v>62983498804.5895</v>
          </cell>
          <cell r="S219">
            <v>78250886611.151596</v>
          </cell>
          <cell r="T219">
            <v>83435565922.858398</v>
          </cell>
          <cell r="U219">
            <v>83210426601.595993</v>
          </cell>
          <cell r="V219">
            <v>94988948105.485703</v>
          </cell>
          <cell r="W219">
            <v>106346142736.47701</v>
          </cell>
          <cell r="X219">
            <v>124498228018.33299</v>
          </cell>
          <cell r="Y219">
            <v>156512735720.642</v>
          </cell>
          <cell r="Z219">
            <v>160378053768.439</v>
          </cell>
          <cell r="AA219">
            <v>154669356787.55499</v>
          </cell>
          <cell r="AB219">
            <v>159757514563.70001</v>
          </cell>
          <cell r="AC219">
            <v>146021918891.396</v>
          </cell>
          <cell r="AD219">
            <v>130439822969.054</v>
          </cell>
          <cell r="AE219">
            <v>147025178146.93399</v>
          </cell>
          <cell r="AF219">
            <v>179739456625.95901</v>
          </cell>
          <cell r="AG219">
            <v>189003280051.478</v>
          </cell>
          <cell r="AH219">
            <v>194543353913.70499</v>
          </cell>
          <cell r="AI219">
            <v>212336051488.55801</v>
          </cell>
          <cell r="AJ219">
            <v>220763711128.51801</v>
          </cell>
          <cell r="AK219">
            <v>220218785937.89499</v>
          </cell>
          <cell r="AL219">
            <v>234035169208.66501</v>
          </cell>
          <cell r="AM219">
            <v>239088300074.37399</v>
          </cell>
          <cell r="AN219">
            <v>269689336126.77499</v>
          </cell>
          <cell r="AO219">
            <v>268440412907.73001</v>
          </cell>
          <cell r="AP219">
            <v>282213512990.63098</v>
          </cell>
          <cell r="AQ219">
            <v>265837711929.97198</v>
          </cell>
          <cell r="AR219">
            <v>262197179765.27399</v>
          </cell>
          <cell r="AS219">
            <v>283952504751.698</v>
          </cell>
          <cell r="AT219">
            <v>258843211433.203</v>
          </cell>
          <cell r="AU219">
            <v>264895032411.72501</v>
          </cell>
          <cell r="AV219">
            <v>352692089583.59399</v>
          </cell>
          <cell r="AW219">
            <v>438875574172.16302</v>
          </cell>
          <cell r="AX219">
            <v>512259874365.03497</v>
          </cell>
          <cell r="AY219">
            <v>575976209979.20203</v>
          </cell>
          <cell r="AZ219">
            <v>661242216575.30298</v>
          </cell>
          <cell r="BA219">
            <v>708354291357.64502</v>
          </cell>
          <cell r="BB219">
            <v>712557951490.05896</v>
          </cell>
          <cell r="BC219">
            <v>847409491176.19702</v>
          </cell>
          <cell r="BD219">
            <v>943378184761.64001</v>
          </cell>
          <cell r="BE219">
            <v>950521438838.68201</v>
          </cell>
          <cell r="BF219">
            <v>964242449960.24194</v>
          </cell>
          <cell r="BG219">
            <v>984807065632.55298</v>
          </cell>
          <cell r="BH219">
            <v>919930022724.422</v>
          </cell>
          <cell r="BI219">
            <v>873354876607.31702</v>
          </cell>
          <cell r="BJ219">
            <v>985355704660.08301</v>
          </cell>
          <cell r="BK219">
            <v>1012853224905.79</v>
          </cell>
          <cell r="BL219">
            <v>1009909855421.84</v>
          </cell>
          <cell r="BM219">
            <v>920792331527.74597</v>
          </cell>
          <cell r="BN219">
            <v>920792331527.74597</v>
          </cell>
        </row>
        <row r="220">
          <cell r="B220" t="str">
            <v>AFW</v>
          </cell>
          <cell r="C220" t="str">
            <v>GDP (current US$)</v>
          </cell>
          <cell r="D220" t="str">
            <v>NY.GDP.MKTP.CD</v>
          </cell>
          <cell r="E220">
            <v>10404280784.153099</v>
          </cell>
          <cell r="F220">
            <v>11128050589.282101</v>
          </cell>
          <cell r="G220">
            <v>11943353288.4767</v>
          </cell>
          <cell r="H220">
            <v>12676515453.6754</v>
          </cell>
          <cell r="I220">
            <v>13838577015.184799</v>
          </cell>
          <cell r="J220">
            <v>14862472886.1754</v>
          </cell>
          <cell r="K220">
            <v>15832846880.9342</v>
          </cell>
          <cell r="L220">
            <v>14426432397.412001</v>
          </cell>
          <cell r="M220">
            <v>14880350847.4193</v>
          </cell>
          <cell r="N220">
            <v>16882094302.9685</v>
          </cell>
          <cell r="O220">
            <v>23504608014.6703</v>
          </cell>
          <cell r="P220">
            <v>20832819361.258301</v>
          </cell>
          <cell r="Q220">
            <v>25264956496.185699</v>
          </cell>
          <cell r="R220">
            <v>31273822294.475399</v>
          </cell>
          <cell r="S220">
            <v>44214489605.739601</v>
          </cell>
          <cell r="T220">
            <v>51444737234.319801</v>
          </cell>
          <cell r="U220">
            <v>62129396932.544403</v>
          </cell>
          <cell r="V220">
            <v>65315014927.362</v>
          </cell>
          <cell r="W220">
            <v>71199715512.128098</v>
          </cell>
          <cell r="X220">
            <v>88628410997.205307</v>
          </cell>
          <cell r="Y220">
            <v>112031316716.51801</v>
          </cell>
          <cell r="Z220">
            <v>211003522772.267</v>
          </cell>
          <cell r="AA220">
            <v>187163730429.134</v>
          </cell>
          <cell r="AB220">
            <v>138115205724.06601</v>
          </cell>
          <cell r="AC220">
            <v>114262672752.222</v>
          </cell>
          <cell r="AD220">
            <v>116507304373.05901</v>
          </cell>
          <cell r="AE220">
            <v>107497531255.437</v>
          </cell>
          <cell r="AF220">
            <v>110321757308.765</v>
          </cell>
          <cell r="AG220">
            <v>108943462603.12</v>
          </cell>
          <cell r="AH220">
            <v>101768781748.054</v>
          </cell>
          <cell r="AI220">
            <v>121802185300.13901</v>
          </cell>
          <cell r="AJ220">
            <v>117457042740.623</v>
          </cell>
          <cell r="AK220">
            <v>118282284598.653</v>
          </cell>
          <cell r="AL220">
            <v>98826405551.023804</v>
          </cell>
          <cell r="AM220">
            <v>86281770253.473999</v>
          </cell>
          <cell r="AN220">
            <v>108221322522.552</v>
          </cell>
          <cell r="AO220">
            <v>125763049173.424</v>
          </cell>
          <cell r="AP220">
            <v>127063932192.748</v>
          </cell>
          <cell r="AQ220">
            <v>130106844606.853</v>
          </cell>
          <cell r="AR220">
            <v>137520164451.48499</v>
          </cell>
          <cell r="AS220">
            <v>140407973778.931</v>
          </cell>
          <cell r="AT220">
            <v>148012003011.16599</v>
          </cell>
          <cell r="AU220">
            <v>176933365387.396</v>
          </cell>
          <cell r="AV220">
            <v>204641949829.561</v>
          </cell>
          <cell r="AW220">
            <v>254090255061.056</v>
          </cell>
          <cell r="AX220">
            <v>310554338477.88702</v>
          </cell>
          <cell r="AY220">
            <v>393296680919.43103</v>
          </cell>
          <cell r="AZ220">
            <v>461777599573.78802</v>
          </cell>
          <cell r="BA220">
            <v>566425696836.63501</v>
          </cell>
          <cell r="BB220">
            <v>506996402016.43701</v>
          </cell>
          <cell r="BC220">
            <v>591582966686.49695</v>
          </cell>
          <cell r="BD220">
            <v>670962551547.57996</v>
          </cell>
          <cell r="BE220">
            <v>727571396578.05396</v>
          </cell>
          <cell r="BF220">
            <v>820787588844.36206</v>
          </cell>
          <cell r="BG220">
            <v>864966625366.58801</v>
          </cell>
          <cell r="BH220">
            <v>760729687146.57397</v>
          </cell>
          <cell r="BI220">
            <v>690543020916.229</v>
          </cell>
          <cell r="BJ220">
            <v>683741574626.19202</v>
          </cell>
          <cell r="BK220">
            <v>741691624372.78796</v>
          </cell>
          <cell r="BL220">
            <v>794572474605.87195</v>
          </cell>
          <cell r="BM220">
            <v>784587603322.86597</v>
          </cell>
          <cell r="BN220">
            <v>784587603322.86597</v>
          </cell>
        </row>
        <row r="221">
          <cell r="B221" t="str">
            <v>ARB</v>
          </cell>
          <cell r="C221" t="str">
            <v>GDP (current US$)</v>
          </cell>
          <cell r="D221" t="str">
            <v>NY.GDP.MKTP.CD</v>
          </cell>
          <cell r="E221" t="str">
            <v>..</v>
          </cell>
          <cell r="F221" t="str">
            <v>..</v>
          </cell>
          <cell r="G221" t="str">
            <v>..</v>
          </cell>
          <cell r="H221" t="str">
            <v>..</v>
          </cell>
          <cell r="I221" t="str">
            <v>..</v>
          </cell>
          <cell r="J221" t="str">
            <v>..</v>
          </cell>
          <cell r="K221" t="str">
            <v>..</v>
          </cell>
          <cell r="L221" t="str">
            <v>..</v>
          </cell>
          <cell r="M221">
            <v>35087069740.046204</v>
          </cell>
          <cell r="N221">
            <v>38236378393.1371</v>
          </cell>
          <cell r="O221">
            <v>43232801790.452797</v>
          </cell>
          <cell r="P221">
            <v>49937328260.628502</v>
          </cell>
          <cell r="Q221">
            <v>59495475635.708298</v>
          </cell>
          <cell r="R221">
            <v>75474648839.459</v>
          </cell>
          <cell r="S221">
            <v>143090327984.461</v>
          </cell>
          <cell r="T221">
            <v>158212828603.55701</v>
          </cell>
          <cell r="U221">
            <v>196936860212.85101</v>
          </cell>
          <cell r="V221">
            <v>227414223451.33701</v>
          </cell>
          <cell r="W221">
            <v>249589400495.073</v>
          </cell>
          <cell r="X221">
            <v>339275890047.008</v>
          </cell>
          <cell r="Y221">
            <v>459077135977.26398</v>
          </cell>
          <cell r="Z221">
            <v>474922214338.58502</v>
          </cell>
          <cell r="AA221">
            <v>445965287989.763</v>
          </cell>
          <cell r="AB221">
            <v>419255240437.83002</v>
          </cell>
          <cell r="AC221">
            <v>425903525584.96399</v>
          </cell>
          <cell r="AD221">
            <v>424932951543.927</v>
          </cell>
          <cell r="AE221">
            <v>413858855871.77197</v>
          </cell>
          <cell r="AF221">
            <v>450109307279.53101</v>
          </cell>
          <cell r="AG221">
            <v>426815994066.453</v>
          </cell>
          <cell r="AH221">
            <v>450189038183.28003</v>
          </cell>
          <cell r="AI221">
            <v>622694677505.61694</v>
          </cell>
          <cell r="AJ221">
            <v>438786561168.66901</v>
          </cell>
          <cell r="AK221">
            <v>473824842170.52698</v>
          </cell>
          <cell r="AL221">
            <v>482778271757.84998</v>
          </cell>
          <cell r="AM221">
            <v>507780486998.67603</v>
          </cell>
          <cell r="AN221">
            <v>556071398074.56702</v>
          </cell>
          <cell r="AO221">
            <v>614208445818.44604</v>
          </cell>
          <cell r="AP221">
            <v>662333681543.01794</v>
          </cell>
          <cell r="AQ221">
            <v>644510115316.44702</v>
          </cell>
          <cell r="AR221">
            <v>712853371173.45898</v>
          </cell>
          <cell r="AS221">
            <v>816038849805.68298</v>
          </cell>
          <cell r="AT221">
            <v>798525022054.76099</v>
          </cell>
          <cell r="AU221">
            <v>803142348125.71594</v>
          </cell>
          <cell r="AV221">
            <v>887874177404.30005</v>
          </cell>
          <cell r="AW221">
            <v>1056272163163.2</v>
          </cell>
          <cell r="AX221">
            <v>1297924247602.1299</v>
          </cell>
          <cell r="AY221">
            <v>1533188359170</v>
          </cell>
          <cell r="AZ221">
            <v>1789559805222.1699</v>
          </cell>
          <cell r="BA221">
            <v>2254219136401.8599</v>
          </cell>
          <cell r="BB221">
            <v>1974360868641.0601</v>
          </cell>
          <cell r="BC221">
            <v>2311236505303.5601</v>
          </cell>
          <cell r="BD221">
            <v>2501780036770.7002</v>
          </cell>
          <cell r="BE221">
            <v>2740553055277.6201</v>
          </cell>
          <cell r="BF221">
            <v>2799578701509.8501</v>
          </cell>
          <cell r="BG221">
            <v>2831680517612.1099</v>
          </cell>
          <cell r="BH221">
            <v>2463579840358.4302</v>
          </cell>
          <cell r="BI221">
            <v>2411981152232.6201</v>
          </cell>
          <cell r="BJ221">
            <v>2466442560038.4199</v>
          </cell>
          <cell r="BK221">
            <v>2730779681432.5498</v>
          </cell>
          <cell r="BL221">
            <v>2776468692322.96</v>
          </cell>
          <cell r="BM221">
            <v>2447584445275.52</v>
          </cell>
          <cell r="BN221">
            <v>2447584445275.52</v>
          </cell>
        </row>
        <row r="222">
          <cell r="B222" t="str">
            <v>CSS</v>
          </cell>
          <cell r="C222" t="str">
            <v>GDP (current US$)</v>
          </cell>
          <cell r="D222" t="str">
            <v>NY.GDP.MKTP.CD</v>
          </cell>
          <cell r="E222">
            <v>1880306125.08709</v>
          </cell>
          <cell r="F222">
            <v>2038301741.01758</v>
          </cell>
          <cell r="G222">
            <v>2153895647.51123</v>
          </cell>
          <cell r="H222">
            <v>2290313587.93574</v>
          </cell>
          <cell r="I222">
            <v>2470264539.67836</v>
          </cell>
          <cell r="J222">
            <v>2660946063.3745098</v>
          </cell>
          <cell r="K222">
            <v>2888647977.98385</v>
          </cell>
          <cell r="L222">
            <v>3102515476.1880798</v>
          </cell>
          <cell r="M222">
            <v>3083590686.7769198</v>
          </cell>
          <cell r="N222">
            <v>3359706536.4651098</v>
          </cell>
          <cell r="O222">
            <v>3695257613.1230202</v>
          </cell>
          <cell r="P222">
            <v>4017606922.60285</v>
          </cell>
          <cell r="Q222">
            <v>4639299319.3364697</v>
          </cell>
          <cell r="R222">
            <v>5076285827.6719599</v>
          </cell>
          <cell r="S222">
            <v>6595605182.8515797</v>
          </cell>
          <cell r="T222">
            <v>7706760555.1839399</v>
          </cell>
          <cell r="U222">
            <v>7932122920.8744802</v>
          </cell>
          <cell r="V222">
            <v>9210482685.9260902</v>
          </cell>
          <cell r="W222">
            <v>9433651129.1660404</v>
          </cell>
          <cell r="X222">
            <v>10835423670.3095</v>
          </cell>
          <cell r="Y222">
            <v>13495267729.825899</v>
          </cell>
          <cell r="Z222">
            <v>14890317367.7428</v>
          </cell>
          <cell r="AA222">
            <v>16517827316.8801</v>
          </cell>
          <cell r="AB222">
            <v>16735576444.124399</v>
          </cell>
          <cell r="AC222">
            <v>15982827316.9471</v>
          </cell>
          <cell r="AD222">
            <v>15814747522.735399</v>
          </cell>
          <cell r="AE222">
            <v>14441278727.635599</v>
          </cell>
          <cell r="AF222">
            <v>15521747479.816601</v>
          </cell>
          <cell r="AG222">
            <v>16459864446.854401</v>
          </cell>
          <cell r="AH222">
            <v>16872897190.6966</v>
          </cell>
          <cell r="AI222">
            <v>18011678551.940201</v>
          </cell>
          <cell r="AJ222">
            <v>17878504938.870701</v>
          </cell>
          <cell r="AK222">
            <v>17575413724.3223</v>
          </cell>
          <cell r="AL222">
            <v>19033356757.925999</v>
          </cell>
          <cell r="AM222">
            <v>20014967686.7882</v>
          </cell>
          <cell r="AN222">
            <v>22072783645.706699</v>
          </cell>
          <cell r="AO222">
            <v>24081792638.743801</v>
          </cell>
          <cell r="AP222">
            <v>28202808369.137199</v>
          </cell>
          <cell r="AQ222">
            <v>30129171334.462399</v>
          </cell>
          <cell r="AR222">
            <v>31944649112.5</v>
          </cell>
          <cell r="AS222">
            <v>34218221460.824902</v>
          </cell>
          <cell r="AT222">
            <v>35249133311.461304</v>
          </cell>
          <cell r="AU222">
            <v>36990732762.222504</v>
          </cell>
          <cell r="AV222">
            <v>39545920854.2509</v>
          </cell>
          <cell r="AW222">
            <v>43259612457.535004</v>
          </cell>
          <cell r="AX222">
            <v>48918948093.719498</v>
          </cell>
          <cell r="AY222">
            <v>55671360538.346802</v>
          </cell>
          <cell r="AZ222">
            <v>61875369659.884903</v>
          </cell>
          <cell r="BA222">
            <v>70340114413.426697</v>
          </cell>
          <cell r="BB222">
            <v>59411440870.434303</v>
          </cell>
          <cell r="BC222">
            <v>64524447018.312202</v>
          </cell>
          <cell r="BD222">
            <v>69668271732.906906</v>
          </cell>
          <cell r="BE222">
            <v>72051115323.798401</v>
          </cell>
          <cell r="BF222">
            <v>73345409463.9086</v>
          </cell>
          <cell r="BG222">
            <v>74470922980.342499</v>
          </cell>
          <cell r="BH222">
            <v>73243299833.001602</v>
          </cell>
          <cell r="BI222">
            <v>69598702057.872406</v>
          </cell>
          <cell r="BJ222">
            <v>71693634217.054306</v>
          </cell>
          <cell r="BK222">
            <v>75312833438.182602</v>
          </cell>
          <cell r="BL222">
            <v>76173669481.144302</v>
          </cell>
          <cell r="BM222">
            <v>66039332389.288399</v>
          </cell>
          <cell r="BN222">
            <v>66039332389.288399</v>
          </cell>
        </row>
        <row r="223">
          <cell r="B223" t="str">
            <v>CEB</v>
          </cell>
          <cell r="C223" t="str">
            <v>GDP (current US$)</v>
          </cell>
          <cell r="D223" t="str">
            <v>NY.GDP.MKTP.CD</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v>
          </cell>
          <cell r="Q223" t="str">
            <v>..</v>
          </cell>
          <cell r="R223" t="str">
            <v>..</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t="str">
            <v>..</v>
          </cell>
          <cell r="AF223" t="str">
            <v>..</v>
          </cell>
          <cell r="AG223" t="str">
            <v>..</v>
          </cell>
          <cell r="AH223" t="str">
            <v>..</v>
          </cell>
          <cell r="AI223">
            <v>256335875977.44199</v>
          </cell>
          <cell r="AJ223">
            <v>242728591902.05701</v>
          </cell>
          <cell r="AK223">
            <v>259967235199.875</v>
          </cell>
          <cell r="AL223">
            <v>274115786150.97101</v>
          </cell>
          <cell r="AM223">
            <v>310946964074.10699</v>
          </cell>
          <cell r="AN223">
            <v>393352948423.09399</v>
          </cell>
          <cell r="AO223">
            <v>416122304768.61902</v>
          </cell>
          <cell r="AP223">
            <v>410087083944.20898</v>
          </cell>
          <cell r="AQ223">
            <v>448799835834.19098</v>
          </cell>
          <cell r="AR223">
            <v>434961980979.67401</v>
          </cell>
          <cell r="AS223">
            <v>428234697448.65503</v>
          </cell>
          <cell r="AT223">
            <v>468798375058.414</v>
          </cell>
          <cell r="AU223">
            <v>528225497240.99298</v>
          </cell>
          <cell r="AV223">
            <v>634035984191.70105</v>
          </cell>
          <cell r="AW223">
            <v>763110975291.87</v>
          </cell>
          <cell r="AX223">
            <v>886826460789.34595</v>
          </cell>
          <cell r="AY223">
            <v>1002866625254.5</v>
          </cell>
          <cell r="AZ223">
            <v>1266634670875.1001</v>
          </cell>
          <cell r="BA223">
            <v>1532318751791.74</v>
          </cell>
          <cell r="BB223">
            <v>1290343647745.52</v>
          </cell>
          <cell r="BC223">
            <v>1318034945795.3999</v>
          </cell>
          <cell r="BD223">
            <v>1449110989910.23</v>
          </cell>
          <cell r="BE223">
            <v>1353324521612.03</v>
          </cell>
          <cell r="BF223">
            <v>1422715062894.51</v>
          </cell>
          <cell r="BG223">
            <v>1465649450150.8899</v>
          </cell>
          <cell r="BH223">
            <v>1292973709969.9099</v>
          </cell>
          <cell r="BI223">
            <v>1321405910582.0801</v>
          </cell>
          <cell r="BJ223">
            <v>1463917493520.8</v>
          </cell>
          <cell r="BK223">
            <v>1645327230573.3301</v>
          </cell>
          <cell r="BL223">
            <v>1673863310975.4199</v>
          </cell>
          <cell r="BM223">
            <v>1653247533863.8101</v>
          </cell>
          <cell r="BN223">
            <v>1653247533863.8101</v>
          </cell>
        </row>
        <row r="224">
          <cell r="B224" t="str">
            <v>EAR</v>
          </cell>
          <cell r="C224" t="str">
            <v>GDP (current US$)</v>
          </cell>
          <cell r="D224" t="str">
            <v>NY.GDP.MKTP.CD</v>
          </cell>
          <cell r="E224">
            <v>156572218952.23099</v>
          </cell>
          <cell r="F224">
            <v>157421828053.54199</v>
          </cell>
          <cell r="G224">
            <v>162173227498.59698</v>
          </cell>
          <cell r="H224">
            <v>172008884571.633</v>
          </cell>
          <cell r="I224">
            <v>197087133558.34698</v>
          </cell>
          <cell r="J224">
            <v>213454697554.92499</v>
          </cell>
          <cell r="K224">
            <v>210618640119.655</v>
          </cell>
          <cell r="L224">
            <v>221252513058.767</v>
          </cell>
          <cell r="M224">
            <v>239694270033.32199</v>
          </cell>
          <cell r="N224">
            <v>267467703703.16699</v>
          </cell>
          <cell r="O224">
            <v>282765823715.34998</v>
          </cell>
          <cell r="P224">
            <v>306052683061.466</v>
          </cell>
          <cell r="Q224">
            <v>334892589744.19</v>
          </cell>
          <cell r="R224">
            <v>428022760480.32898</v>
          </cell>
          <cell r="S224">
            <v>599556747839.00696</v>
          </cell>
          <cell r="T224">
            <v>644563089363.64294</v>
          </cell>
          <cell r="U224">
            <v>704720268627.625</v>
          </cell>
          <cell r="V224">
            <v>787682531288.97095</v>
          </cell>
          <cell r="W224">
            <v>874826015567.22095</v>
          </cell>
          <cell r="X224">
            <v>1064063872464.67</v>
          </cell>
          <cell r="Y224">
            <v>1324020502789.4099</v>
          </cell>
          <cell r="Z224">
            <v>1478872220883.6799</v>
          </cell>
          <cell r="AA224">
            <v>1407100029959.6001</v>
          </cell>
          <cell r="AB224">
            <v>1416060394325.4299</v>
          </cell>
          <cell r="AC224">
            <v>1406421242998.77</v>
          </cell>
          <cell r="AD224">
            <v>1447474570418.1599</v>
          </cell>
          <cell r="AE224">
            <v>1459414982905.8701</v>
          </cell>
          <cell r="AF224">
            <v>1468133825025.1201</v>
          </cell>
          <cell r="AG224">
            <v>1540917014645.54</v>
          </cell>
          <cell r="AH224">
            <v>1570644290472.99</v>
          </cell>
          <cell r="AI224">
            <v>1843572368449.8899</v>
          </cell>
          <cell r="AJ224">
            <v>1949119652582.7</v>
          </cell>
          <cell r="AK224">
            <v>2143894695077.6599</v>
          </cell>
          <cell r="AL224">
            <v>2371982232237.2202</v>
          </cell>
          <cell r="AM224">
            <v>2493622224079.6499</v>
          </cell>
          <cell r="AN224">
            <v>2556650056265.3799</v>
          </cell>
          <cell r="AO224">
            <v>2787832726263.1299</v>
          </cell>
          <cell r="AP224">
            <v>2980538607607.1099</v>
          </cell>
          <cell r="AQ224">
            <v>2938537104348.8501</v>
          </cell>
          <cell r="AR224">
            <v>3108675259941.9102</v>
          </cell>
          <cell r="AS224">
            <v>3382436657072.2202</v>
          </cell>
          <cell r="AT224">
            <v>3352802437861.73</v>
          </cell>
          <cell r="AU224">
            <v>3259894122882.2002</v>
          </cell>
          <cell r="AV224">
            <v>3628140043820.0601</v>
          </cell>
          <cell r="AW224">
            <v>4224829160907.6401</v>
          </cell>
          <cell r="AX224">
            <v>4927043741929.1201</v>
          </cell>
          <cell r="AY224">
            <v>5629128305842.1201</v>
          </cell>
          <cell r="AZ224">
            <v>6666488515472.5801</v>
          </cell>
          <cell r="BA224">
            <v>7520370165607.46</v>
          </cell>
          <cell r="BB224">
            <v>7259977912770.5703</v>
          </cell>
          <cell r="BC224">
            <v>8800252056399.5098</v>
          </cell>
          <cell r="BD224">
            <v>9651875269406.5195</v>
          </cell>
          <cell r="BE224">
            <v>10096217079186.6</v>
          </cell>
          <cell r="BF224">
            <v>10250908279248.5</v>
          </cell>
          <cell r="BG224">
            <v>10603415111975</v>
          </cell>
          <cell r="BH224">
            <v>10082377974481.9</v>
          </cell>
          <cell r="BI224">
            <v>10307820454608.6</v>
          </cell>
          <cell r="BJ224">
            <v>11137608724945.9</v>
          </cell>
          <cell r="BK224">
            <v>11214753522578.301</v>
          </cell>
          <cell r="BL224">
            <v>11527336323652.6</v>
          </cell>
          <cell r="BM224">
            <v>10668243564848.301</v>
          </cell>
          <cell r="BN224">
            <v>10668243564848.301</v>
          </cell>
        </row>
        <row r="225">
          <cell r="B225" t="str">
            <v>EAS</v>
          </cell>
          <cell r="C225" t="str">
            <v>GDP (current US$)</v>
          </cell>
          <cell r="D225" t="str">
            <v>NY.GDP.MKTP.CD</v>
          </cell>
          <cell r="E225">
            <v>154611689864.71399</v>
          </cell>
          <cell r="F225">
            <v>155148067728.83301</v>
          </cell>
          <cell r="G225">
            <v>158364167379.20099</v>
          </cell>
          <cell r="H225">
            <v>176703755825.37701</v>
          </cell>
          <cell r="I225">
            <v>202683913715.28699</v>
          </cell>
          <cell r="J225">
            <v>225588311251.13901</v>
          </cell>
          <cell r="K225">
            <v>252070316893.776</v>
          </cell>
          <cell r="L225">
            <v>273143444773.19501</v>
          </cell>
          <cell r="M225">
            <v>301161372620.44</v>
          </cell>
          <cell r="N225">
            <v>346811617422.159</v>
          </cell>
          <cell r="O225">
            <v>408839646758.664</v>
          </cell>
          <cell r="P225">
            <v>453663314135.58899</v>
          </cell>
          <cell r="Q225">
            <v>562932105713.43506</v>
          </cell>
          <cell r="R225">
            <v>741790532698.38306</v>
          </cell>
          <cell r="S225">
            <v>854593205437.26099</v>
          </cell>
          <cell r="T225">
            <v>935707011210.15198</v>
          </cell>
          <cell r="U225">
            <v>1028731493697.5699</v>
          </cell>
          <cell r="V225">
            <v>1225841554500.99</v>
          </cell>
          <cell r="W225">
            <v>1546600931250.77</v>
          </cell>
          <cell r="X225">
            <v>1679780956038.6399</v>
          </cell>
          <cell r="Y225">
            <v>1815777516203.9399</v>
          </cell>
          <cell r="Z225">
            <v>2001691421990.54</v>
          </cell>
          <cell r="AA225">
            <v>1962147974514.29</v>
          </cell>
          <cell r="AB225">
            <v>2087707953522.3101</v>
          </cell>
          <cell r="AC225">
            <v>2235771025121.9702</v>
          </cell>
          <cell r="AD225">
            <v>2359175049682.8901</v>
          </cell>
          <cell r="AE225">
            <v>3082126024529.2202</v>
          </cell>
          <cell r="AF225">
            <v>3618985808121.6899</v>
          </cell>
          <cell r="AG225">
            <v>4354130148209.5498</v>
          </cell>
          <cell r="AH225">
            <v>4535313537910.3896</v>
          </cell>
          <cell r="AI225">
            <v>4737213308555.5195</v>
          </cell>
          <cell r="AJ225">
            <v>5348198198121.5596</v>
          </cell>
          <cell r="AK225">
            <v>5843750214048.0898</v>
          </cell>
          <cell r="AL225">
            <v>6535376655975.2402</v>
          </cell>
          <cell r="AM225">
            <v>7402573595398.8398</v>
          </cell>
          <cell r="AN225">
            <v>8405617990769.6504</v>
          </cell>
          <cell r="AO225">
            <v>8099458906470.8701</v>
          </cell>
          <cell r="AP225">
            <v>7743007591378.9199</v>
          </cell>
          <cell r="AQ225">
            <v>6928329072109.0303</v>
          </cell>
          <cell r="AR225">
            <v>7738788543320.3896</v>
          </cell>
          <cell r="AS225">
            <v>8373287271723.1201</v>
          </cell>
          <cell r="AT225">
            <v>7787149556000.5898</v>
          </cell>
          <cell r="AU225">
            <v>7909721655131.0303</v>
          </cell>
          <cell r="AV225">
            <v>8696413712335.9697</v>
          </cell>
          <cell r="AW225">
            <v>9753663765457.0391</v>
          </cell>
          <cell r="AX225">
            <v>10406202861323.801</v>
          </cell>
          <cell r="AY225">
            <v>11028221541743.1</v>
          </cell>
          <cell r="AZ225">
            <v>12321997172424.699</v>
          </cell>
          <cell r="BA225">
            <v>14206712231024.1</v>
          </cell>
          <cell r="BB225">
            <v>14619547692343.5</v>
          </cell>
          <cell r="BC225">
            <v>17032318785636.5</v>
          </cell>
          <cell r="BD225">
            <v>19751941337663.199</v>
          </cell>
          <cell r="BE225">
            <v>21131779106451.398</v>
          </cell>
          <cell r="BF225">
            <v>21367649737241</v>
          </cell>
          <cell r="BG225">
            <v>22038396030947.801</v>
          </cell>
          <cell r="BH225">
            <v>21951401205501.801</v>
          </cell>
          <cell r="BI225">
            <v>22720684963608.301</v>
          </cell>
          <cell r="BJ225">
            <v>24268504216073</v>
          </cell>
          <cell r="BK225">
            <v>26416317598842.301</v>
          </cell>
          <cell r="BL225">
            <v>26981455514224.5</v>
          </cell>
          <cell r="BM225">
            <v>27097404937164.801</v>
          </cell>
          <cell r="BN225">
            <v>27097404937164.801</v>
          </cell>
        </row>
        <row r="226">
          <cell r="B226" t="str">
            <v>EAP</v>
          </cell>
          <cell r="C226" t="str">
            <v>GDP (current US$)</v>
          </cell>
          <cell r="D226" t="str">
            <v>NY.GDP.MKTP.CD</v>
          </cell>
          <cell r="E226">
            <v>81340099379.710495</v>
          </cell>
          <cell r="F226">
            <v>71608358396.308899</v>
          </cell>
          <cell r="G226">
            <v>65391067390.124702</v>
          </cell>
          <cell r="H226">
            <v>70837966442.384003</v>
          </cell>
          <cell r="I226">
            <v>81755910515.779099</v>
          </cell>
          <cell r="J226">
            <v>95172561307.702103</v>
          </cell>
          <cell r="K226">
            <v>104068674431.76601</v>
          </cell>
          <cell r="L226">
            <v>100998263728.95799</v>
          </cell>
          <cell r="M226">
            <v>102270348369.96201</v>
          </cell>
          <cell r="N226">
            <v>114786129692.145</v>
          </cell>
          <cell r="O226">
            <v>127476519502.004</v>
          </cell>
          <cell r="P226">
            <v>137053140340.849</v>
          </cell>
          <cell r="Q226">
            <v>155432761479.29401</v>
          </cell>
          <cell r="R226">
            <v>195567870604.12601</v>
          </cell>
          <cell r="S226">
            <v>221235501881.85501</v>
          </cell>
          <cell r="T226">
            <v>248644284100.01001</v>
          </cell>
          <cell r="U226">
            <v>252670444876.052</v>
          </cell>
          <cell r="V226">
            <v>291627146287.11401</v>
          </cell>
          <cell r="W226">
            <v>282799101749.96002</v>
          </cell>
          <cell r="X226">
            <v>327606867403.47998</v>
          </cell>
          <cell r="Y226">
            <v>378093551183.646</v>
          </cell>
          <cell r="Z226">
            <v>403616130212.323</v>
          </cell>
          <cell r="AA226">
            <v>423755699131.67499</v>
          </cell>
          <cell r="AB226">
            <v>443910723456.59302</v>
          </cell>
          <cell r="AC226">
            <v>480980143651.34802</v>
          </cell>
          <cell r="AD226">
            <v>526413311540.01801</v>
          </cell>
          <cell r="AE226">
            <v>525114962054.005</v>
          </cell>
          <cell r="AF226">
            <v>519023234516.30499</v>
          </cell>
          <cell r="AG226">
            <v>575577506650.02295</v>
          </cell>
          <cell r="AH226">
            <v>622474292335.70105</v>
          </cell>
          <cell r="AI226">
            <v>667307249618.44702</v>
          </cell>
          <cell r="AJ226">
            <v>723780907945.16394</v>
          </cell>
          <cell r="AK226">
            <v>811199625430.63696</v>
          </cell>
          <cell r="AL226">
            <v>890446301551.68298</v>
          </cell>
          <cell r="AM226">
            <v>1071505108056.3101</v>
          </cell>
          <cell r="AN226">
            <v>1322018718613.96</v>
          </cell>
          <cell r="AO226">
            <v>1518341524020.3101</v>
          </cell>
          <cell r="AP226">
            <v>1571916447773.5601</v>
          </cell>
          <cell r="AQ226">
            <v>1431662843403.8301</v>
          </cell>
          <cell r="AR226">
            <v>1575562939988.4299</v>
          </cell>
          <cell r="AS226">
            <v>1734536872706.2</v>
          </cell>
          <cell r="AT226">
            <v>1847324060835.99</v>
          </cell>
          <cell r="AU226">
            <v>2044199309801.8601</v>
          </cell>
          <cell r="AV226">
            <v>2311612372062.79</v>
          </cell>
          <cell r="AW226">
            <v>2682207439966.27</v>
          </cell>
          <cell r="AX226">
            <v>3106708470161.02</v>
          </cell>
          <cell r="AY226">
            <v>3740559720736.2202</v>
          </cell>
          <cell r="AZ226">
            <v>4727620979998.2998</v>
          </cell>
          <cell r="BA226">
            <v>5978667657303.1602</v>
          </cell>
          <cell r="BB226">
            <v>6484362732587.0801</v>
          </cell>
          <cell r="BC226">
            <v>7857940027950.8896</v>
          </cell>
          <cell r="BD226">
            <v>9608210463135.2109</v>
          </cell>
          <cell r="BE226">
            <v>10719126410778.1</v>
          </cell>
          <cell r="BF226">
            <v>11828349008693.6</v>
          </cell>
          <cell r="BG226">
            <v>12751243799677.6</v>
          </cell>
          <cell r="BH226">
            <v>13281198366371.301</v>
          </cell>
          <cell r="BI226">
            <v>13560237634379.5</v>
          </cell>
          <cell r="BJ226">
            <v>14819322198962.199</v>
          </cell>
          <cell r="BK226">
            <v>16574964993617.6</v>
          </cell>
          <cell r="BL226">
            <v>17135404533968.4</v>
          </cell>
          <cell r="BM226">
            <v>17448894596355.699</v>
          </cell>
          <cell r="BN226">
            <v>17448894596355.699</v>
          </cell>
        </row>
        <row r="227">
          <cell r="B227" t="str">
            <v>TEA</v>
          </cell>
          <cell r="C227" t="str">
            <v>GDP (current US$)</v>
          </cell>
          <cell r="D227" t="str">
            <v>NY.GDP.MKTP.CD</v>
          </cell>
          <cell r="E227">
            <v>81224998644.525894</v>
          </cell>
          <cell r="F227">
            <v>71507028612.356995</v>
          </cell>
          <cell r="G227">
            <v>65298535416.491798</v>
          </cell>
          <cell r="H227">
            <v>70737726805.615997</v>
          </cell>
          <cell r="I227">
            <v>81640221384.860794</v>
          </cell>
          <cell r="J227">
            <v>95037886874.557205</v>
          </cell>
          <cell r="K227">
            <v>103921411506.983</v>
          </cell>
          <cell r="L227">
            <v>100855345604.98</v>
          </cell>
          <cell r="M227">
            <v>102125630175.92599</v>
          </cell>
          <cell r="N227">
            <v>114623700975.961</v>
          </cell>
          <cell r="O227">
            <v>127296133183.013</v>
          </cell>
          <cell r="P227">
            <v>136859202574.202</v>
          </cell>
          <cell r="Q227">
            <v>155212815533.14401</v>
          </cell>
          <cell r="R227">
            <v>195291131260.84201</v>
          </cell>
          <cell r="S227">
            <v>220922441422.01099</v>
          </cell>
          <cell r="T227">
            <v>248292438698.81601</v>
          </cell>
          <cell r="U227">
            <v>252312902234.88901</v>
          </cell>
          <cell r="V227">
            <v>291214477760.84698</v>
          </cell>
          <cell r="W227">
            <v>282398925394.51898</v>
          </cell>
          <cell r="X227">
            <v>327143285583.724</v>
          </cell>
          <cell r="Y227">
            <v>377558527916.62701</v>
          </cell>
          <cell r="Z227">
            <v>403044991085.69202</v>
          </cell>
          <cell r="AA227">
            <v>423156061402.18298</v>
          </cell>
          <cell r="AB227">
            <v>443282565253.987</v>
          </cell>
          <cell r="AC227">
            <v>480299530170.84302</v>
          </cell>
          <cell r="AD227">
            <v>525668407616.47699</v>
          </cell>
          <cell r="AE227">
            <v>524371895366.729</v>
          </cell>
          <cell r="AF227">
            <v>518288787960.10101</v>
          </cell>
          <cell r="AG227">
            <v>574763032673.76404</v>
          </cell>
          <cell r="AH227">
            <v>621593456816.34802</v>
          </cell>
          <cell r="AI227">
            <v>666362972987.23096</v>
          </cell>
          <cell r="AJ227">
            <v>722756717966.88403</v>
          </cell>
          <cell r="AK227">
            <v>810051733136.66895</v>
          </cell>
          <cell r="AL227">
            <v>889186270832.11694</v>
          </cell>
          <cell r="AM227">
            <v>1069988869120.88</v>
          </cell>
          <cell r="AN227">
            <v>1320147989077.1101</v>
          </cell>
          <cell r="AO227">
            <v>1516192986865.72</v>
          </cell>
          <cell r="AP227">
            <v>1569692099141.49</v>
          </cell>
          <cell r="AQ227">
            <v>1429636961371.8601</v>
          </cell>
          <cell r="AR227">
            <v>1573333431368.3799</v>
          </cell>
          <cell r="AS227">
            <v>1732082407187.03</v>
          </cell>
          <cell r="AT227">
            <v>1844711092715.53</v>
          </cell>
          <cell r="AU227">
            <v>2041297424048.45</v>
          </cell>
          <cell r="AV227">
            <v>2308355283409.0601</v>
          </cell>
          <cell r="AW227">
            <v>2678513725959.54</v>
          </cell>
          <cell r="AX227">
            <v>3102518849599.98</v>
          </cell>
          <cell r="AY227">
            <v>3735587391810.8999</v>
          </cell>
          <cell r="AZ227">
            <v>4721397392609.54</v>
          </cell>
          <cell r="BA227">
            <v>5970838982031.9502</v>
          </cell>
          <cell r="BB227">
            <v>6475776716046.9902</v>
          </cell>
          <cell r="BC227">
            <v>7847738925829.1299</v>
          </cell>
          <cell r="BD227">
            <v>9595845254012.8809</v>
          </cell>
          <cell r="BE227">
            <v>10705343375492.801</v>
          </cell>
          <cell r="BF227">
            <v>11813186197924.9</v>
          </cell>
          <cell r="BG227">
            <v>12734944483410.699</v>
          </cell>
          <cell r="BH227">
            <v>13264224627407</v>
          </cell>
          <cell r="BI227">
            <v>13542946740899.4</v>
          </cell>
          <cell r="BJ227">
            <v>14800506807477.9</v>
          </cell>
          <cell r="BK227">
            <v>16553933355619.699</v>
          </cell>
          <cell r="BL227">
            <v>17113644754522.801</v>
          </cell>
          <cell r="BM227">
            <v>17426659793626.199</v>
          </cell>
          <cell r="BN227">
            <v>17426659793626.199</v>
          </cell>
        </row>
        <row r="228">
          <cell r="B228" t="str">
            <v>EMU</v>
          </cell>
          <cell r="C228" t="str">
            <v>GDP (current US$)</v>
          </cell>
          <cell r="D228" t="str">
            <v>NY.GDP.MKTP.CD</v>
          </cell>
          <cell r="E228">
            <v>244832935017.629</v>
          </cell>
          <cell r="F228">
            <v>268965157140.85001</v>
          </cell>
          <cell r="G228">
            <v>298819018812.336</v>
          </cell>
          <cell r="H228">
            <v>335341706018.75702</v>
          </cell>
          <cell r="I228">
            <v>373024086802.03003</v>
          </cell>
          <cell r="J228">
            <v>407740494856.14001</v>
          </cell>
          <cell r="K228">
            <v>444882672260.909</v>
          </cell>
          <cell r="L228">
            <v>483418521497.10199</v>
          </cell>
          <cell r="M228">
            <v>518991584973.92902</v>
          </cell>
          <cell r="N228">
            <v>579332792192.93201</v>
          </cell>
          <cell r="O228">
            <v>642618088368.82104</v>
          </cell>
          <cell r="P228">
            <v>728350554974.30896</v>
          </cell>
          <cell r="Q228">
            <v>879866290916.19495</v>
          </cell>
          <cell r="R228">
            <v>1142236590690.3799</v>
          </cell>
          <cell r="S228">
            <v>1295369699850.02</v>
          </cell>
          <cell r="T228">
            <v>1501998418268.04</v>
          </cell>
          <cell r="U228">
            <v>1567495504827.9399</v>
          </cell>
          <cell r="V228">
            <v>1782977995170.6899</v>
          </cell>
          <cell r="W228">
            <v>2183343538754.24</v>
          </cell>
          <cell r="X228">
            <v>2644833360482.9902</v>
          </cell>
          <cell r="Y228">
            <v>2962180543669.0601</v>
          </cell>
          <cell r="Z228">
            <v>2574374750648.2202</v>
          </cell>
          <cell r="AA228">
            <v>2492494872148.4302</v>
          </cell>
          <cell r="AB228">
            <v>2431610581355.9102</v>
          </cell>
          <cell r="AC228">
            <v>2332402739282.4399</v>
          </cell>
          <cell r="AD228">
            <v>2396184424241.6802</v>
          </cell>
          <cell r="AE228">
            <v>3362906739591.3198</v>
          </cell>
          <cell r="AF228">
            <v>4159430693750.9399</v>
          </cell>
          <cell r="AG228">
            <v>4574520626626.7002</v>
          </cell>
          <cell r="AH228">
            <v>4672688524983.1602</v>
          </cell>
          <cell r="AI228">
            <v>5880686952499.8799</v>
          </cell>
          <cell r="AJ228">
            <v>6114121761315.6904</v>
          </cell>
          <cell r="AK228">
            <v>6745616975554.0801</v>
          </cell>
          <cell r="AL228">
            <v>6172470672291.46</v>
          </cell>
          <cell r="AM228">
            <v>6515616661978.1201</v>
          </cell>
          <cell r="AN228">
            <v>7515711917825.1396</v>
          </cell>
          <cell r="AO228">
            <v>7604595626511.7695</v>
          </cell>
          <cell r="AP228">
            <v>6952260676501.1299</v>
          </cell>
          <cell r="AQ228">
            <v>7149267346201.2695</v>
          </cell>
          <cell r="AR228">
            <v>7113796789828.4805</v>
          </cell>
          <cell r="AS228">
            <v>6479521539517.4502</v>
          </cell>
          <cell r="AT228">
            <v>6590666424357.1797</v>
          </cell>
          <cell r="AU228">
            <v>7166111687665.0303</v>
          </cell>
          <cell r="AV228">
            <v>8842962520460.1895</v>
          </cell>
          <cell r="AW228">
            <v>10141926724906.4</v>
          </cell>
          <cell r="AX228">
            <v>10519654742334.801</v>
          </cell>
          <cell r="AY228">
            <v>11174795667785.801</v>
          </cell>
          <cell r="AZ228">
            <v>12862918900419.199</v>
          </cell>
          <cell r="BA228">
            <v>14101249622359.9</v>
          </cell>
          <cell r="BB228">
            <v>12887882434721.4</v>
          </cell>
          <cell r="BC228">
            <v>12629069775558.1</v>
          </cell>
          <cell r="BD228">
            <v>13619653887377.9</v>
          </cell>
          <cell r="BE228">
            <v>12638916806936.301</v>
          </cell>
          <cell r="BF228">
            <v>13191652296932.5</v>
          </cell>
          <cell r="BG228">
            <v>13490997038990.6</v>
          </cell>
          <cell r="BH228">
            <v>11669741216577.301</v>
          </cell>
          <cell r="BI228">
            <v>11964468804660.301</v>
          </cell>
          <cell r="BJ228">
            <v>12646241353753.9</v>
          </cell>
          <cell r="BK228">
            <v>13692226055585.5</v>
          </cell>
          <cell r="BL228">
            <v>13413568065812.5</v>
          </cell>
          <cell r="BM228">
            <v>13021049031268.699</v>
          </cell>
          <cell r="BN228">
            <v>13021049031268.699</v>
          </cell>
        </row>
        <row r="229">
          <cell r="B229" t="str">
            <v>ECS</v>
          </cell>
          <cell r="C229" t="str">
            <v>GDP (current US$)</v>
          </cell>
          <cell r="D229" t="str">
            <v>NY.GDP.MKTP.CD</v>
          </cell>
          <cell r="E229" t="str">
            <v>..</v>
          </cell>
          <cell r="F229" t="str">
            <v>..</v>
          </cell>
          <cell r="G229" t="str">
            <v>..</v>
          </cell>
          <cell r="H229" t="str">
            <v>..</v>
          </cell>
          <cell r="I229" t="str">
            <v>..</v>
          </cell>
          <cell r="J229" t="str">
            <v>..</v>
          </cell>
          <cell r="K229">
            <v>736309210869.69995</v>
          </cell>
          <cell r="L229">
            <v>792958788990.84399</v>
          </cell>
          <cell r="M229">
            <v>829485007219.95398</v>
          </cell>
          <cell r="N229">
            <v>917464854579.58496</v>
          </cell>
          <cell r="O229">
            <v>1014876114230.84</v>
          </cell>
          <cell r="P229">
            <v>1144549716827.7</v>
          </cell>
          <cell r="Q229">
            <v>1371424012169.74</v>
          </cell>
          <cell r="R229">
            <v>1741910567597.48</v>
          </cell>
          <cell r="S229">
            <v>1968282114939.78</v>
          </cell>
          <cell r="T229">
            <v>2299379196192</v>
          </cell>
          <cell r="U229">
            <v>2390192040692.1802</v>
          </cell>
          <cell r="V229">
            <v>2708799525635.46</v>
          </cell>
          <cell r="W229">
            <v>3306074575830.5801</v>
          </cell>
          <cell r="X229">
            <v>4044371554185.1699</v>
          </cell>
          <cell r="Y229">
            <v>4580889964218.5498</v>
          </cell>
          <cell r="Z229">
            <v>4077076602948.79</v>
          </cell>
          <cell r="AA229">
            <v>3928957717450.4302</v>
          </cell>
          <cell r="AB229">
            <v>3811512415767</v>
          </cell>
          <cell r="AC229">
            <v>3663384722716.0698</v>
          </cell>
          <cell r="AD229">
            <v>3791076638293</v>
          </cell>
          <cell r="AE229">
            <v>5174508215163.0898</v>
          </cell>
          <cell r="AF229">
            <v>6394083576116.96</v>
          </cell>
          <cell r="AG229">
            <v>7117409188488.3604</v>
          </cell>
          <cell r="AH229">
            <v>7212323231561.9902</v>
          </cell>
          <cell r="AI229">
            <v>8823564877299.1406</v>
          </cell>
          <cell r="AJ229">
            <v>9116394556571.7305</v>
          </cell>
          <cell r="AK229">
            <v>9798332715913.1699</v>
          </cell>
          <cell r="AL229">
            <v>9003756543767.7402</v>
          </cell>
          <cell r="AM229">
            <v>9416068639460.1504</v>
          </cell>
          <cell r="AN229">
            <v>10871449753001.1</v>
          </cell>
          <cell r="AO229">
            <v>11096327908537.199</v>
          </cell>
          <cell r="AP229">
            <v>10521033613508</v>
          </cell>
          <cell r="AQ229">
            <v>10794713977278.6</v>
          </cell>
          <cell r="AR229">
            <v>10672428351460.4</v>
          </cell>
          <cell r="AS229">
            <v>10046655321168.5</v>
          </cell>
          <cell r="AT229">
            <v>10157339692049.699</v>
          </cell>
          <cell r="AU229">
            <v>11099688958575.4</v>
          </cell>
          <cell r="AV229">
            <v>13518142445938</v>
          </cell>
          <cell r="AW229">
            <v>15758398915716.1</v>
          </cell>
          <cell r="AX229">
            <v>16780582777683.699</v>
          </cell>
          <cell r="AY229">
            <v>18169171281351.102</v>
          </cell>
          <cell r="AZ229">
            <v>21229481021282</v>
          </cell>
          <cell r="BA229">
            <v>23318309419163.898</v>
          </cell>
          <cell r="BB229">
            <v>20510483521808.5</v>
          </cell>
          <cell r="BC229">
            <v>21013558496066.801</v>
          </cell>
          <cell r="BD229">
            <v>23296350638065.898</v>
          </cell>
          <cell r="BE229">
            <v>22463014714476.102</v>
          </cell>
          <cell r="BF229">
            <v>23477452103178.898</v>
          </cell>
          <cell r="BG229">
            <v>23793962374648.398</v>
          </cell>
          <cell r="BH229">
            <v>20508597009691</v>
          </cell>
          <cell r="BI229">
            <v>20445552705800.898</v>
          </cell>
          <cell r="BJ229">
            <v>21648851652556.398</v>
          </cell>
          <cell r="BK229">
            <v>23217309660002.301</v>
          </cell>
          <cell r="BL229">
            <v>22934004820241.602</v>
          </cell>
          <cell r="BM229">
            <v>22121578723066.801</v>
          </cell>
          <cell r="BN229">
            <v>22121578723066.801</v>
          </cell>
        </row>
        <row r="230">
          <cell r="B230" t="str">
            <v>ECA</v>
          </cell>
          <cell r="C230" t="str">
            <v>GDP (current US$)</v>
          </cell>
          <cell r="D230" t="str">
            <v>NY.GDP.MKTP.CD</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t="str">
            <v>..</v>
          </cell>
          <cell r="AF230" t="str">
            <v>..</v>
          </cell>
          <cell r="AG230">
            <v>888880584435.33105</v>
          </cell>
          <cell r="AH230">
            <v>862969022324.51099</v>
          </cell>
          <cell r="AI230">
            <v>917092319711.29004</v>
          </cell>
          <cell r="AJ230">
            <v>889947373223.18005</v>
          </cell>
          <cell r="AK230">
            <v>822314951918.10901</v>
          </cell>
          <cell r="AL230">
            <v>815259443666.995</v>
          </cell>
          <cell r="AM230">
            <v>706923649520.19202</v>
          </cell>
          <cell r="AN230">
            <v>758626690765.46997</v>
          </cell>
          <cell r="AO230">
            <v>766261662946.09998</v>
          </cell>
          <cell r="AP230">
            <v>796888596598.78406</v>
          </cell>
          <cell r="AQ230">
            <v>747245337382.81702</v>
          </cell>
          <cell r="AR230">
            <v>627750895905.23706</v>
          </cell>
          <cell r="AS230">
            <v>700116049358.49097</v>
          </cell>
          <cell r="AT230">
            <v>695453936277.00098</v>
          </cell>
          <cell r="AU230">
            <v>796768760608.08704</v>
          </cell>
          <cell r="AV230">
            <v>1005018571080.96</v>
          </cell>
          <cell r="AW230">
            <v>1330990821497.1399</v>
          </cell>
          <cell r="AX230">
            <v>1688052433767.3301</v>
          </cell>
          <cell r="AY230">
            <v>2072082476656.01</v>
          </cell>
          <cell r="AZ230">
            <v>2684050466039.5098</v>
          </cell>
          <cell r="BA230">
            <v>3324689396543.7402</v>
          </cell>
          <cell r="BB230">
            <v>2611896303152.0801</v>
          </cell>
          <cell r="BC230">
            <v>3119371993286.6602</v>
          </cell>
          <cell r="BD230">
            <v>3853333483348.1602</v>
          </cell>
          <cell r="BE230">
            <v>4085332511672.5698</v>
          </cell>
          <cell r="BF230">
            <v>4341022815353.3101</v>
          </cell>
          <cell r="BG230">
            <v>4045786134160.9302</v>
          </cell>
          <cell r="BH230">
            <v>3099131447149.27</v>
          </cell>
          <cell r="BI230">
            <v>2965857286860.6401</v>
          </cell>
          <cell r="BJ230">
            <v>3329876408661.5498</v>
          </cell>
          <cell r="BK230">
            <v>3423986143967.4399</v>
          </cell>
          <cell r="BL230">
            <v>3493926388854.0298</v>
          </cell>
          <cell r="BM230">
            <v>3222403620453.3301</v>
          </cell>
          <cell r="BN230">
            <v>3222403620453.3301</v>
          </cell>
        </row>
        <row r="231">
          <cell r="B231" t="str">
            <v>TEC</v>
          </cell>
          <cell r="C231" t="str">
            <v>GDP (current US$)</v>
          </cell>
          <cell r="D231" t="str">
            <v>NY.GDP.MKTP.CD</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v>968462100112.02405</v>
          </cell>
          <cell r="AH231">
            <v>940230674768.23706</v>
          </cell>
          <cell r="AI231">
            <v>999199633220.04797</v>
          </cell>
          <cell r="AJ231">
            <v>994939261743.30896</v>
          </cell>
          <cell r="AK231">
            <v>937402617340.08997</v>
          </cell>
          <cell r="AL231">
            <v>932075243417.61401</v>
          </cell>
          <cell r="AM231">
            <v>837804607035.92297</v>
          </cell>
          <cell r="AN231">
            <v>923622341680.65698</v>
          </cell>
          <cell r="AO231">
            <v>950558395291.57104</v>
          </cell>
          <cell r="AP231">
            <v>980347162530.88599</v>
          </cell>
          <cell r="AQ231">
            <v>947802034057.23596</v>
          </cell>
          <cell r="AR231">
            <v>821586094296.61694</v>
          </cell>
          <cell r="AS231">
            <v>894263496403.45996</v>
          </cell>
          <cell r="AT231">
            <v>909748964086.01697</v>
          </cell>
          <cell r="AU231">
            <v>1023022746676.66</v>
          </cell>
          <cell r="AV231">
            <v>1257924182661.53</v>
          </cell>
          <cell r="AW231">
            <v>1628132630098.8301</v>
          </cell>
          <cell r="AX231">
            <v>2040036527869.1399</v>
          </cell>
          <cell r="AY231">
            <v>2467590122723.8301</v>
          </cell>
          <cell r="AZ231">
            <v>3173623845454.3901</v>
          </cell>
          <cell r="BA231">
            <v>3929049124644.6899</v>
          </cell>
          <cell r="BB231">
            <v>3114717816270.3501</v>
          </cell>
          <cell r="BC231">
            <v>3659632190936.29</v>
          </cell>
          <cell r="BD231">
            <v>4444804663240.0898</v>
          </cell>
          <cell r="BE231">
            <v>4641048426844.0303</v>
          </cell>
          <cell r="BF231">
            <v>4920928160403.5703</v>
          </cell>
          <cell r="BG231">
            <v>4646593520129.3799</v>
          </cell>
          <cell r="BH231">
            <v>3627106551426.5098</v>
          </cell>
          <cell r="BI231">
            <v>3490782809413.0698</v>
          </cell>
          <cell r="BJ231">
            <v>3912599713398.0698</v>
          </cell>
          <cell r="BK231">
            <v>4073645764077.8101</v>
          </cell>
          <cell r="BL231">
            <v>4153453159866.1401</v>
          </cell>
          <cell r="BM231">
            <v>3876733319266.9502</v>
          </cell>
          <cell r="BN231">
            <v>3876733319266.9502</v>
          </cell>
        </row>
        <row r="232">
          <cell r="B232" t="str">
            <v>EUU</v>
          </cell>
          <cell r="C232" t="str">
            <v>GDP (current US$)</v>
          </cell>
          <cell r="D232" t="str">
            <v>NY.GDP.MKTP.CD</v>
          </cell>
          <cell r="E232" t="str">
            <v>..</v>
          </cell>
          <cell r="F232" t="str">
            <v>..</v>
          </cell>
          <cell r="G232" t="str">
            <v>..</v>
          </cell>
          <cell r="H232" t="str">
            <v>..</v>
          </cell>
          <cell r="I232" t="str">
            <v>..</v>
          </cell>
          <cell r="J232" t="str">
            <v>..</v>
          </cell>
          <cell r="K232" t="str">
            <v>..</v>
          </cell>
          <cell r="L232" t="str">
            <v>..</v>
          </cell>
          <cell r="M232" t="str">
            <v>..</v>
          </cell>
          <cell r="N232" t="str">
            <v>..</v>
          </cell>
          <cell r="O232">
            <v>725931117202.68103</v>
          </cell>
          <cell r="P232">
            <v>820813003647.73706</v>
          </cell>
          <cell r="Q232">
            <v>990428711523.75696</v>
          </cell>
          <cell r="R232">
            <v>1282020509407.6101</v>
          </cell>
          <cell r="S232">
            <v>1451750057862.3501</v>
          </cell>
          <cell r="T232">
            <v>1690875090425.3701</v>
          </cell>
          <cell r="U232">
            <v>1770054233927.2</v>
          </cell>
          <cell r="V232">
            <v>2004900497340.8601</v>
          </cell>
          <cell r="W232">
            <v>2442696478420.52</v>
          </cell>
          <cell r="X232">
            <v>2952838432090.3398</v>
          </cell>
          <cell r="Y232">
            <v>3303181850263.8901</v>
          </cell>
          <cell r="Z232">
            <v>2879984188262.2002</v>
          </cell>
          <cell r="AA232">
            <v>2777376665977.4399</v>
          </cell>
          <cell r="AB232">
            <v>2702069500746.21</v>
          </cell>
          <cell r="AC232">
            <v>2603395491959.0801</v>
          </cell>
          <cell r="AD232">
            <v>2677660947369.0898</v>
          </cell>
          <cell r="AE232">
            <v>3744041974466.6099</v>
          </cell>
          <cell r="AF232">
            <v>4631250656846.3701</v>
          </cell>
          <cell r="AG232">
            <v>5084288198655.5898</v>
          </cell>
          <cell r="AH232">
            <v>5193668896729.2002</v>
          </cell>
          <cell r="AI232">
            <v>6498471911158.6201</v>
          </cell>
          <cell r="AJ232">
            <v>6736015994578.5098</v>
          </cell>
          <cell r="AK232">
            <v>7406290275006.5195</v>
          </cell>
          <cell r="AL232">
            <v>6761114918561.71</v>
          </cell>
          <cell r="AM232">
            <v>7161872216278.5098</v>
          </cell>
          <cell r="AN232">
            <v>8296026012678.7402</v>
          </cell>
          <cell r="AO232">
            <v>8431518032299.25</v>
          </cell>
          <cell r="AP232">
            <v>7733761443399.1299</v>
          </cell>
          <cell r="AQ232">
            <v>7969786047468.5996</v>
          </cell>
          <cell r="AR232">
            <v>7923369089161.3203</v>
          </cell>
          <cell r="AS232">
            <v>7260120640328.0801</v>
          </cell>
          <cell r="AT232">
            <v>7388169197905.1201</v>
          </cell>
          <cell r="AU232">
            <v>8050016390858.96</v>
          </cell>
          <cell r="AV232">
            <v>9912552738053.6191</v>
          </cell>
          <cell r="AW232">
            <v>11400572828592</v>
          </cell>
          <cell r="AX232">
            <v>11906966999544</v>
          </cell>
          <cell r="AY232">
            <v>12704675013015.801</v>
          </cell>
          <cell r="AZ232">
            <v>14712567758786.801</v>
          </cell>
          <cell r="BA232">
            <v>16240620039269.4</v>
          </cell>
          <cell r="BB232">
            <v>14713157992273.199</v>
          </cell>
          <cell r="BC232">
            <v>14545430302862.199</v>
          </cell>
          <cell r="BD232">
            <v>15741789992629.5</v>
          </cell>
          <cell r="BE232">
            <v>14636917145741.301</v>
          </cell>
          <cell r="BF232">
            <v>15296013552373.199</v>
          </cell>
          <cell r="BG232">
            <v>15634241267477.301</v>
          </cell>
          <cell r="BH232">
            <v>13547247755711.5</v>
          </cell>
          <cell r="BI232">
            <v>13885155820999.301</v>
          </cell>
          <cell r="BJ232">
            <v>14734764528614.801</v>
          </cell>
          <cell r="BK232">
            <v>15971540026258.9</v>
          </cell>
          <cell r="BL232">
            <v>15689357247344.5</v>
          </cell>
          <cell r="BM232">
            <v>15291934754441.6</v>
          </cell>
          <cell r="BN232">
            <v>15291934754441.6</v>
          </cell>
        </row>
        <row r="233">
          <cell r="B233" t="str">
            <v>FCS</v>
          </cell>
          <cell r="C233" t="str">
            <v>GDP (current US$)</v>
          </cell>
          <cell r="D233" t="str">
            <v>NY.GDP.MKTP.CD</v>
          </cell>
          <cell r="E233" t="str">
            <v>..</v>
          </cell>
          <cell r="F233" t="str">
            <v>..</v>
          </cell>
          <cell r="G233" t="str">
            <v>..</v>
          </cell>
          <cell r="H233" t="str">
            <v>..</v>
          </cell>
          <cell r="I233" t="str">
            <v>..</v>
          </cell>
          <cell r="J233" t="str">
            <v>..</v>
          </cell>
          <cell r="K233" t="str">
            <v>..</v>
          </cell>
          <cell r="L233" t="str">
            <v>..</v>
          </cell>
          <cell r="M233">
            <v>39863693120.500298</v>
          </cell>
          <cell r="N233">
            <v>44446079179.359299</v>
          </cell>
          <cell r="O233">
            <v>54246662414.498497</v>
          </cell>
          <cell r="P233">
            <v>55026049504.368202</v>
          </cell>
          <cell r="Q233">
            <v>62969871545.058098</v>
          </cell>
          <cell r="R233">
            <v>77193942702.162201</v>
          </cell>
          <cell r="S233">
            <v>114728813130.11301</v>
          </cell>
          <cell r="T233">
            <v>128805519208.37</v>
          </cell>
          <cell r="U233">
            <v>151628862322.55399</v>
          </cell>
          <cell r="V233">
            <v>166860314941.827</v>
          </cell>
          <cell r="W233">
            <v>183743998690.39801</v>
          </cell>
          <cell r="X233">
            <v>232120928976.98901</v>
          </cell>
          <cell r="Y233">
            <v>288549097155.13202</v>
          </cell>
          <cell r="Z233">
            <v>404004663722.15698</v>
          </cell>
          <cell r="AA233">
            <v>388019452915.336</v>
          </cell>
          <cell r="AB233">
            <v>329970476217.20898</v>
          </cell>
          <cell r="AC233">
            <v>297454017761.65997</v>
          </cell>
          <cell r="AD233">
            <v>309653341809.34302</v>
          </cell>
          <cell r="AE233">
            <v>302042985802.83301</v>
          </cell>
          <cell r="AF233">
            <v>313916527192.54602</v>
          </cell>
          <cell r="AG233">
            <v>311502447651.46301</v>
          </cell>
          <cell r="AH233">
            <v>291389212580.22101</v>
          </cell>
          <cell r="AI233">
            <v>451158347880.237</v>
          </cell>
          <cell r="AJ233">
            <v>271520142992.177</v>
          </cell>
          <cell r="AK233">
            <v>274235506094.15201</v>
          </cell>
          <cell r="AL233">
            <v>262599346083.71899</v>
          </cell>
          <cell r="AM233">
            <v>263751218548.37</v>
          </cell>
          <cell r="AN233">
            <v>317315067349.28302</v>
          </cell>
          <cell r="AO233">
            <v>334174928839.46503</v>
          </cell>
          <cell r="AP233">
            <v>379242420925.63599</v>
          </cell>
          <cell r="AQ233">
            <v>384222360385.65198</v>
          </cell>
          <cell r="AR233">
            <v>427551601792.19501</v>
          </cell>
          <cell r="AS233">
            <v>501197343286.41901</v>
          </cell>
          <cell r="AT233">
            <v>493643444205.06799</v>
          </cell>
          <cell r="AU233">
            <v>480157690082.73999</v>
          </cell>
          <cell r="AV233">
            <v>497905472343.03699</v>
          </cell>
          <cell r="AW233">
            <v>626602911992.39099</v>
          </cell>
          <cell r="AX233">
            <v>785463504942.60303</v>
          </cell>
          <cell r="AY233">
            <v>968116805431.26697</v>
          </cell>
          <cell r="AZ233">
            <v>1181892649734.51</v>
          </cell>
          <cell r="BA233">
            <v>1508649404792.3799</v>
          </cell>
          <cell r="BB233">
            <v>1439293754643.1499</v>
          </cell>
          <cell r="BC233">
            <v>1689111118050.4099</v>
          </cell>
          <cell r="BD233">
            <v>1539477359425.4099</v>
          </cell>
          <cell r="BE233">
            <v>1738127377791.99</v>
          </cell>
          <cell r="BF233">
            <v>1806534337271.99</v>
          </cell>
          <cell r="BG233">
            <v>1958696313708.4099</v>
          </cell>
          <cell r="BH233">
            <v>1560339195776.8</v>
          </cell>
          <cell r="BI233">
            <v>1407794580336.8401</v>
          </cell>
          <cell r="BJ233">
            <v>1440153462302.1699</v>
          </cell>
          <cell r="BK233">
            <v>1572829705560.6101</v>
          </cell>
          <cell r="BL233">
            <v>1661765815317.45</v>
          </cell>
          <cell r="BM233">
            <v>1508644836830.9099</v>
          </cell>
          <cell r="BN233">
            <v>1508644836830.9099</v>
          </cell>
        </row>
        <row r="234">
          <cell r="B234" t="str">
            <v>HPC</v>
          </cell>
          <cell r="C234" t="str">
            <v>GDP (current US$)</v>
          </cell>
          <cell r="D234" t="str">
            <v>NY.GDP.MKTP.CD</v>
          </cell>
          <cell r="E234">
            <v>17418918604.567799</v>
          </cell>
          <cell r="F234">
            <v>17870143016.854301</v>
          </cell>
          <cell r="G234">
            <v>19448655144.038799</v>
          </cell>
          <cell r="H234">
            <v>23465052191.104099</v>
          </cell>
          <cell r="I234">
            <v>20962585728.576199</v>
          </cell>
          <cell r="J234">
            <v>24482824415.167801</v>
          </cell>
          <cell r="K234">
            <v>26660840619.331402</v>
          </cell>
          <cell r="L234">
            <v>26116080028.8256</v>
          </cell>
          <cell r="M234">
            <v>27635788372.751301</v>
          </cell>
          <cell r="N234">
            <v>30708658405.889702</v>
          </cell>
          <cell r="O234">
            <v>32187736280.0257</v>
          </cell>
          <cell r="P234">
            <v>34658542639.303902</v>
          </cell>
          <cell r="Q234">
            <v>37748208796.255096</v>
          </cell>
          <cell r="R234">
            <v>45656986573.3909</v>
          </cell>
          <cell r="S234">
            <v>55656405218.660301</v>
          </cell>
          <cell r="T234">
            <v>63584773949.123299</v>
          </cell>
          <cell r="U234">
            <v>67510535261.377403</v>
          </cell>
          <cell r="V234">
            <v>79369158171.322006</v>
          </cell>
          <cell r="W234">
            <v>91686116921.714996</v>
          </cell>
          <cell r="X234">
            <v>102491673118.608</v>
          </cell>
          <cell r="Y234">
            <v>109154431862.07401</v>
          </cell>
          <cell r="Z234">
            <v>107907098413.38499</v>
          </cell>
          <cell r="AA234">
            <v>108256480805.07201</v>
          </cell>
          <cell r="AB234">
            <v>102743817092.267</v>
          </cell>
          <cell r="AC234">
            <v>102610288653.71001</v>
          </cell>
          <cell r="AD234">
            <v>107746160037.27699</v>
          </cell>
          <cell r="AE234">
            <v>124598247540.94099</v>
          </cell>
          <cell r="AF234">
            <v>139112768211.85699</v>
          </cell>
          <cell r="AG234">
            <v>138426870441.09799</v>
          </cell>
          <cell r="AH234">
            <v>133718273239.045</v>
          </cell>
          <cell r="AI234">
            <v>139531995232.513</v>
          </cell>
          <cell r="AJ234">
            <v>141173059636.98499</v>
          </cell>
          <cell r="AK234">
            <v>131808408855.285</v>
          </cell>
          <cell r="AL234">
            <v>136773764908.826</v>
          </cell>
          <cell r="AM234">
            <v>116155124422.576</v>
          </cell>
          <cell r="AN234">
            <v>135563711307.90199</v>
          </cell>
          <cell r="AO234">
            <v>146951258768.45401</v>
          </cell>
          <cell r="AP234">
            <v>153029173827.96899</v>
          </cell>
          <cell r="AQ234">
            <v>161920043286.13699</v>
          </cell>
          <cell r="AR234">
            <v>162688987080.46799</v>
          </cell>
          <cell r="AS234">
            <v>176405809348.10001</v>
          </cell>
          <cell r="AT234">
            <v>171487691532.60101</v>
          </cell>
          <cell r="AU234">
            <v>184613196782.70801</v>
          </cell>
          <cell r="AV234">
            <v>208996249945.90302</v>
          </cell>
          <cell r="AW234">
            <v>240917669045.703</v>
          </cell>
          <cell r="AX234">
            <v>276870269489.57898</v>
          </cell>
          <cell r="AY234">
            <v>326490264291.19098</v>
          </cell>
          <cell r="AZ234">
            <v>391469864166.73401</v>
          </cell>
          <cell r="BA234">
            <v>465550499711.617</v>
          </cell>
          <cell r="BB234">
            <v>464073393599.31598</v>
          </cell>
          <cell r="BC234">
            <v>504925441382.30103</v>
          </cell>
          <cell r="BD234">
            <v>559476597826.00098</v>
          </cell>
          <cell r="BE234">
            <v>579141767026.55103</v>
          </cell>
          <cell r="BF234">
            <v>650020934455.22498</v>
          </cell>
          <cell r="BG234">
            <v>687772113939.37598</v>
          </cell>
          <cell r="BH234">
            <v>660137574454.02295</v>
          </cell>
          <cell r="BI234">
            <v>668494140790.38196</v>
          </cell>
          <cell r="BJ234">
            <v>720193577997.66199</v>
          </cell>
          <cell r="BK234">
            <v>768422112077.27295</v>
          </cell>
          <cell r="BL234">
            <v>789831743959.28796</v>
          </cell>
          <cell r="BM234">
            <v>797697289590.40601</v>
          </cell>
          <cell r="BN234">
            <v>797697289590.40601</v>
          </cell>
        </row>
        <row r="235">
          <cell r="B235" t="str">
            <v>HIC</v>
          </cell>
          <cell r="C235" t="str">
            <v>GDP (current US$)</v>
          </cell>
          <cell r="D235" t="str">
            <v>NY.GDP.MKTP.CD</v>
          </cell>
          <cell r="E235">
            <v>1065825214102.54</v>
          </cell>
          <cell r="F235">
            <v>1128188034935.9099</v>
          </cell>
          <cell r="G235">
            <v>1217843132009.02</v>
          </cell>
          <cell r="H235">
            <v>1311893341604.1599</v>
          </cell>
          <cell r="I235">
            <v>1431970708991.55</v>
          </cell>
          <cell r="J235">
            <v>1555049282673.73</v>
          </cell>
          <cell r="K235">
            <v>1705902800720.8999</v>
          </cell>
          <cell r="L235">
            <v>1830247333724.9299</v>
          </cell>
          <cell r="M235">
            <v>1984777572186.47</v>
          </cell>
          <cell r="N235">
            <v>2183666788201.6399</v>
          </cell>
          <cell r="O235">
            <v>2385693559028.0801</v>
          </cell>
          <cell r="P235">
            <v>2648518506839.5601</v>
          </cell>
          <cell r="Q235">
            <v>3072327300298.7798</v>
          </cell>
          <cell r="R235">
            <v>3717504296906.27</v>
          </cell>
          <cell r="S235">
            <v>4191463318144.0801</v>
          </cell>
          <cell r="T235">
            <v>4676955763028.2695</v>
          </cell>
          <cell r="U235">
            <v>5096463821884.8701</v>
          </cell>
          <cell r="V235">
            <v>5771656712371.4902</v>
          </cell>
          <cell r="W235">
            <v>6916026759959.4902</v>
          </cell>
          <cell r="X235">
            <v>7996436834083.2598</v>
          </cell>
          <cell r="Y235">
            <v>8931000796741.4004</v>
          </cell>
          <cell r="Z235">
            <v>9065979517111.8594</v>
          </cell>
          <cell r="AA235">
            <v>8981153417377.0801</v>
          </cell>
          <cell r="AB235">
            <v>9273155282580.4102</v>
          </cell>
          <cell r="AC235">
            <v>9672981349910.9004</v>
          </cell>
          <cell r="AD235">
            <v>10156596289699.199</v>
          </cell>
          <cell r="AE235">
            <v>12333409999971</v>
          </cell>
          <cell r="AF235">
            <v>14295374665577</v>
          </cell>
          <cell r="AG235">
            <v>16099222589342.1</v>
          </cell>
          <cell r="AH235">
            <v>16846400863842.699</v>
          </cell>
          <cell r="AI235">
            <v>18934047464171.199</v>
          </cell>
          <cell r="AJ235">
            <v>20034824252848.699</v>
          </cell>
          <cell r="AK235">
            <v>21555707004501.898</v>
          </cell>
          <cell r="AL235">
            <v>21720672285316.602</v>
          </cell>
          <cell r="AM235">
            <v>23379690480191</v>
          </cell>
          <cell r="AN235">
            <v>25962407128942.5</v>
          </cell>
          <cell r="AO235">
            <v>26185585718941.5</v>
          </cell>
          <cell r="AP235">
            <v>25737021313481.199</v>
          </cell>
          <cell r="AQ235">
            <v>25827797059405.301</v>
          </cell>
          <cell r="AR235">
            <v>27134770717541.102</v>
          </cell>
          <cell r="AS235">
            <v>27690169149650.199</v>
          </cell>
          <cell r="AT235">
            <v>27419881593647.102</v>
          </cell>
          <cell r="AU235">
            <v>28567754427145.5</v>
          </cell>
          <cell r="AV235">
            <v>32029418426389.398</v>
          </cell>
          <cell r="AW235">
            <v>35652390613343.297</v>
          </cell>
          <cell r="AX235">
            <v>37705265149435.102</v>
          </cell>
          <cell r="AY235">
            <v>39813234036055.398</v>
          </cell>
          <cell r="AZ235">
            <v>43527882252178.703</v>
          </cell>
          <cell r="BA235">
            <v>46269935116424.797</v>
          </cell>
          <cell r="BB235">
            <v>43390040294277</v>
          </cell>
          <cell r="BC235">
            <v>45489097382327.398</v>
          </cell>
          <cell r="BD235">
            <v>49109480602797.602</v>
          </cell>
          <cell r="BE235">
            <v>49159087672430.203</v>
          </cell>
          <cell r="BF235">
            <v>49750908505726.5</v>
          </cell>
          <cell r="BG235">
            <v>50836230895596.5</v>
          </cell>
          <cell r="BH235">
            <v>48055867599598.703</v>
          </cell>
          <cell r="BI235">
            <v>49096222099382.5</v>
          </cell>
          <cell r="BJ235">
            <v>51317176380343.398</v>
          </cell>
          <cell r="BK235">
            <v>54557477581503.797</v>
          </cell>
          <cell r="BL235">
            <v>55045647599804.797</v>
          </cell>
          <cell r="BM235">
            <v>53461077539109.297</v>
          </cell>
          <cell r="BN235">
            <v>53461077539109.297</v>
          </cell>
        </row>
        <row r="236">
          <cell r="B236" t="str">
            <v>IBD</v>
          </cell>
          <cell r="C236" t="str">
            <v>GDP (current US$)</v>
          </cell>
          <cell r="D236" t="str">
            <v>NY.GDP.MKTP.CD</v>
          </cell>
          <cell r="E236">
            <v>322700472691.90601</v>
          </cell>
          <cell r="F236">
            <v>306433450443.96503</v>
          </cell>
          <cell r="G236">
            <v>313869362234.66803</v>
          </cell>
          <cell r="H236">
            <v>336673720648.35797</v>
          </cell>
          <cell r="I236">
            <v>381010524876.479</v>
          </cell>
          <cell r="J236">
            <v>418195539681.20099</v>
          </cell>
          <cell r="K236">
            <v>431651396036.586</v>
          </cell>
          <cell r="L236">
            <v>443060810011.63202</v>
          </cell>
          <cell r="M236">
            <v>467658616694.40399</v>
          </cell>
          <cell r="N236">
            <v>522036515298.51001</v>
          </cell>
          <cell r="O236">
            <v>567558272473.224</v>
          </cell>
          <cell r="P236">
            <v>619518551406.08704</v>
          </cell>
          <cell r="Q236">
            <v>697510925108.27002</v>
          </cell>
          <cell r="R236">
            <v>903180026474.74194</v>
          </cell>
          <cell r="S236">
            <v>1138413053121.52</v>
          </cell>
          <cell r="T236">
            <v>1229689084329.55</v>
          </cell>
          <cell r="U236">
            <v>1332611959756.0901</v>
          </cell>
          <cell r="V236">
            <v>1510008145375.3799</v>
          </cell>
          <cell r="W236">
            <v>1627591384849.45</v>
          </cell>
          <cell r="X236">
            <v>1946257057630.1201</v>
          </cell>
          <cell r="Y236">
            <v>2303527079233.3901</v>
          </cell>
          <cell r="Z236">
            <v>2484312385899.6299</v>
          </cell>
          <cell r="AA236">
            <v>2459794864490.2402</v>
          </cell>
          <cell r="AB236">
            <v>2420257043798.8799</v>
          </cell>
          <cell r="AC236">
            <v>2465210531975.7798</v>
          </cell>
          <cell r="AD236">
            <v>2616274254368.71</v>
          </cell>
          <cell r="AE236">
            <v>2723018015176.29</v>
          </cell>
          <cell r="AF236">
            <v>2784985791992.8901</v>
          </cell>
          <cell r="AG236">
            <v>2999848983708.77</v>
          </cell>
          <cell r="AH236">
            <v>3057898953291.0698</v>
          </cell>
          <cell r="AI236">
            <v>3517668586759.4102</v>
          </cell>
          <cell r="AJ236">
            <v>3412877929373.5898</v>
          </cell>
          <cell r="AK236">
            <v>3615396437836.77</v>
          </cell>
          <cell r="AL236">
            <v>3908994103031.2598</v>
          </cell>
          <cell r="AM236">
            <v>4326037723365.27</v>
          </cell>
          <cell r="AN236">
            <v>4909654262590.3096</v>
          </cell>
          <cell r="AO236">
            <v>5361806403535.1504</v>
          </cell>
          <cell r="AP236">
            <v>5685409302404.4404</v>
          </cell>
          <cell r="AQ236">
            <v>5520376747904.0898</v>
          </cell>
          <cell r="AR236">
            <v>5376190499594.4902</v>
          </cell>
          <cell r="AS236">
            <v>5850631756845.2305</v>
          </cell>
          <cell r="AT236">
            <v>5922388164176.0996</v>
          </cell>
          <cell r="AU236">
            <v>6012382611535.1699</v>
          </cell>
          <cell r="AV236">
            <v>6759359903080.7598</v>
          </cell>
          <cell r="AW236">
            <v>8057540852190.0195</v>
          </cell>
          <cell r="AX236">
            <v>9634690134854.8008</v>
          </cell>
          <cell r="AY236">
            <v>11421555570703.5</v>
          </cell>
          <cell r="AZ236">
            <v>14191882315355.9</v>
          </cell>
          <cell r="BA236">
            <v>17033135388782.199</v>
          </cell>
          <cell r="BB236">
            <v>16524646886742.6</v>
          </cell>
          <cell r="BC236">
            <v>20069233888439.898</v>
          </cell>
          <cell r="BD236">
            <v>23696138171256.5</v>
          </cell>
          <cell r="BE236">
            <v>25189109238990.898</v>
          </cell>
          <cell r="BF236">
            <v>26606911798876.801</v>
          </cell>
          <cell r="BG236">
            <v>27504267603927.398</v>
          </cell>
          <cell r="BH236">
            <v>25777855012106.699</v>
          </cell>
          <cell r="BI236">
            <v>25985815318089</v>
          </cell>
          <cell r="BJ236">
            <v>28680103566456.801</v>
          </cell>
          <cell r="BK236">
            <v>30478923454219.602</v>
          </cell>
          <cell r="BL236">
            <v>31184076970102</v>
          </cell>
          <cell r="BM236">
            <v>29900583521576.801</v>
          </cell>
          <cell r="BN236">
            <v>29900583521576.801</v>
          </cell>
        </row>
        <row r="237">
          <cell r="B237" t="str">
            <v>IBT</v>
          </cell>
          <cell r="C237" t="str">
            <v>GDP (current US$)</v>
          </cell>
          <cell r="D237" t="str">
            <v>NY.GDP.MKTP.CD</v>
          </cell>
          <cell r="E237">
            <v>358562040053.70099</v>
          </cell>
          <cell r="F237">
            <v>346004350824.61603</v>
          </cell>
          <cell r="G237">
            <v>357147763800.883</v>
          </cell>
          <cell r="H237">
            <v>385642096058.48401</v>
          </cell>
          <cell r="I237">
            <v>427743220231.73401</v>
          </cell>
          <cell r="J237">
            <v>470943270055.86798</v>
          </cell>
          <cell r="K237">
            <v>489294721728.61902</v>
          </cell>
          <cell r="L237">
            <v>501010538427.50897</v>
          </cell>
          <cell r="M237">
            <v>528724283045.73901</v>
          </cell>
          <cell r="N237">
            <v>590648039110.56299</v>
          </cell>
          <cell r="O237">
            <v>647824403445.19897</v>
          </cell>
          <cell r="P237">
            <v>699234383678.14404</v>
          </cell>
          <cell r="Q237">
            <v>779963103591.875</v>
          </cell>
          <cell r="R237">
            <v>996305302274.48303</v>
          </cell>
          <cell r="S237">
            <v>1265423566962.47</v>
          </cell>
          <cell r="T237">
            <v>1383713791578.4199</v>
          </cell>
          <cell r="U237">
            <v>1492082840632.8401</v>
          </cell>
          <cell r="V237">
            <v>1683385068942.51</v>
          </cell>
          <cell r="W237">
            <v>1825572752006.45</v>
          </cell>
          <cell r="X237">
            <v>2176634063623.47</v>
          </cell>
          <cell r="Y237">
            <v>2576181066097.8301</v>
          </cell>
          <cell r="Z237">
            <v>2899531988913.5898</v>
          </cell>
          <cell r="AA237">
            <v>2850013209802.79</v>
          </cell>
          <cell r="AB237">
            <v>2740978369540.3101</v>
          </cell>
          <cell r="AC237">
            <v>2757282768589.0898</v>
          </cell>
          <cell r="AD237">
            <v>2919912797842.1602</v>
          </cell>
          <cell r="AE237">
            <v>3030535726248.3901</v>
          </cell>
          <cell r="AF237">
            <v>3121549171669.3101</v>
          </cell>
          <cell r="AG237">
            <v>3321337077121.6401</v>
          </cell>
          <cell r="AH237">
            <v>3376445088565.0698</v>
          </cell>
          <cell r="AI237">
            <v>3865851524969.9902</v>
          </cell>
          <cell r="AJ237">
            <v>3766476835632.7598</v>
          </cell>
          <cell r="AK237">
            <v>3966641244458.21</v>
          </cell>
          <cell r="AL237">
            <v>4250409968029.5298</v>
          </cell>
          <cell r="AM237">
            <v>4665979443512.3701</v>
          </cell>
          <cell r="AN237">
            <v>5301885756403.7998</v>
          </cell>
          <cell r="AO237">
            <v>5802850374259.5898</v>
          </cell>
          <cell r="AP237">
            <v>6144473525172.6602</v>
          </cell>
          <cell r="AQ237">
            <v>5988262743076.6396</v>
          </cell>
          <cell r="AR237">
            <v>5858251218980.9697</v>
          </cell>
          <cell r="AS237">
            <v>6385858732482.8496</v>
          </cell>
          <cell r="AT237">
            <v>6460810743374.6201</v>
          </cell>
          <cell r="AU237">
            <v>6589847343985.0303</v>
          </cell>
          <cell r="AV237">
            <v>7401880298735.9805</v>
          </cell>
          <cell r="AW237">
            <v>8813946628208.4395</v>
          </cell>
          <cell r="AX237">
            <v>10519385658556.9</v>
          </cell>
          <cell r="AY237">
            <v>12476857273220.301</v>
          </cell>
          <cell r="AZ237">
            <v>15427912763120.199</v>
          </cell>
          <cell r="BA237">
            <v>18509330531279.398</v>
          </cell>
          <cell r="BB237">
            <v>17986947444475.699</v>
          </cell>
          <cell r="BC237">
            <v>21735598818584.301</v>
          </cell>
          <cell r="BD237">
            <v>25368729260308.699</v>
          </cell>
          <cell r="BE237">
            <v>26954652148902.699</v>
          </cell>
          <cell r="BF237">
            <v>28527644003843.398</v>
          </cell>
          <cell r="BG237">
            <v>29559228896028.398</v>
          </cell>
          <cell r="BH237">
            <v>27795215937749.301</v>
          </cell>
          <cell r="BI237">
            <v>27944071146475.398</v>
          </cell>
          <cell r="BJ237">
            <v>30704487501895.699</v>
          </cell>
          <cell r="BK237">
            <v>32623821519669.5</v>
          </cell>
          <cell r="BL237">
            <v>33422564858176.301</v>
          </cell>
          <cell r="BM237">
            <v>32139314724146.102</v>
          </cell>
          <cell r="BN237">
            <v>32139314724146.102</v>
          </cell>
        </row>
        <row r="238">
          <cell r="B238" t="str">
            <v>IDB</v>
          </cell>
          <cell r="C238" t="str">
            <v>GDP (current US$)</v>
          </cell>
          <cell r="D238" t="str">
            <v>NY.GDP.MKTP.CD</v>
          </cell>
          <cell r="E238">
            <v>12063628120.6387</v>
          </cell>
          <cell r="F238">
            <v>12910168928.611</v>
          </cell>
          <cell r="G238">
            <v>13806056582.4186</v>
          </cell>
          <cell r="H238">
            <v>14611896045.760599</v>
          </cell>
          <cell r="I238">
            <v>15945498103.2841</v>
          </cell>
          <cell r="J238">
            <v>17314123645.806999</v>
          </cell>
          <cell r="K238">
            <v>18833575076.4776</v>
          </cell>
          <cell r="L238">
            <v>18930353850.434399</v>
          </cell>
          <cell r="M238">
            <v>19982313523.035801</v>
          </cell>
          <cell r="N238">
            <v>22860641668.796001</v>
          </cell>
          <cell r="O238">
            <v>31424476413.708099</v>
          </cell>
          <cell r="P238">
            <v>29185197343.257702</v>
          </cell>
          <cell r="Q238">
            <v>32770621912.7743</v>
          </cell>
          <cell r="R238">
            <v>34960232851.310898</v>
          </cell>
          <cell r="S238">
            <v>50396446198.204597</v>
          </cell>
          <cell r="T238">
            <v>57971319765.200798</v>
          </cell>
          <cell r="U238">
            <v>69959468131.527695</v>
          </cell>
          <cell r="V238">
            <v>73756457219.118896</v>
          </cell>
          <cell r="W238">
            <v>80183403491.264404</v>
          </cell>
          <cell r="X238">
            <v>98426835474.284897</v>
          </cell>
          <cell r="Y238">
            <v>126263052760.813</v>
          </cell>
          <cell r="Z238">
            <v>243040647652.815</v>
          </cell>
          <cell r="AA238">
            <v>222134579283.686</v>
          </cell>
          <cell r="AB238">
            <v>168564712354.96301</v>
          </cell>
          <cell r="AC238">
            <v>144656489975.617</v>
          </cell>
          <cell r="AD238">
            <v>145317249328.69601</v>
          </cell>
          <cell r="AE238">
            <v>131018168568.06599</v>
          </cell>
          <cell r="AF238">
            <v>134041250452.924</v>
          </cell>
          <cell r="AG238">
            <v>137620491366.388</v>
          </cell>
          <cell r="AH238">
            <v>132645401952.216</v>
          </cell>
          <cell r="AI238">
            <v>146299215216.14899</v>
          </cell>
          <cell r="AJ238">
            <v>146920333042.332</v>
          </cell>
          <cell r="AK238">
            <v>147612367223.59601</v>
          </cell>
          <cell r="AL238">
            <v>132706083302.744</v>
          </cell>
          <cell r="AM238">
            <v>133300774540.004</v>
          </cell>
          <cell r="AN238">
            <v>156254042006.83301</v>
          </cell>
          <cell r="AO238">
            <v>172449887550.63199</v>
          </cell>
          <cell r="AP238">
            <v>176072233170.50299</v>
          </cell>
          <cell r="AQ238">
            <v>173821114291.867</v>
          </cell>
          <cell r="AR238">
            <v>181553398240.241</v>
          </cell>
          <cell r="AS238">
            <v>206705099958.27802</v>
          </cell>
          <cell r="AT238">
            <v>206387009252.69299</v>
          </cell>
          <cell r="AU238">
            <v>228078647180.121</v>
          </cell>
          <cell r="AV238">
            <v>256457905377.52301</v>
          </cell>
          <cell r="AW238">
            <v>312115091495.745</v>
          </cell>
          <cell r="AX238">
            <v>373173945083.138</v>
          </cell>
          <cell r="AY238">
            <v>466905156870.51001</v>
          </cell>
          <cell r="AZ238">
            <v>538453105772.45203</v>
          </cell>
          <cell r="BA238">
            <v>639781541391.59802</v>
          </cell>
          <cell r="BB238">
            <v>606746812537.828</v>
          </cell>
          <cell r="BC238">
            <v>709848482641.06006</v>
          </cell>
          <cell r="BD238">
            <v>814197671741.15405</v>
          </cell>
          <cell r="BE238">
            <v>900516869460.17798</v>
          </cell>
          <cell r="BF238">
            <v>977960758120.66101</v>
          </cell>
          <cell r="BG238">
            <v>1049228964549.63</v>
          </cell>
          <cell r="BH238">
            <v>1011433451408.63</v>
          </cell>
          <cell r="BI238">
            <v>942117764046.80005</v>
          </cell>
          <cell r="BJ238">
            <v>925118884014.57202</v>
          </cell>
          <cell r="BK238">
            <v>966188380162.91199</v>
          </cell>
          <cell r="BL238">
            <v>998391254201.58203</v>
          </cell>
          <cell r="BM238">
            <v>961669400838.28198</v>
          </cell>
          <cell r="BN238">
            <v>961669400838.28198</v>
          </cell>
        </row>
        <row r="239">
          <cell r="B239" t="str">
            <v>IDX</v>
          </cell>
          <cell r="C239" t="str">
            <v>GDP (current US$)</v>
          </cell>
          <cell r="D239" t="str">
            <v>NY.GDP.MKTP.CD</v>
          </cell>
          <cell r="E239">
            <v>25827821262.1152</v>
          </cell>
          <cell r="F239">
            <v>27069024091.700901</v>
          </cell>
          <cell r="G239">
            <v>29292286516.5611</v>
          </cell>
          <cell r="H239">
            <v>33956035133.733398</v>
          </cell>
          <cell r="I239">
            <v>31226319628.856201</v>
          </cell>
          <cell r="J239">
            <v>35798033952.698997</v>
          </cell>
          <cell r="K239">
            <v>38793754890.310699</v>
          </cell>
          <cell r="L239">
            <v>39158109671.021202</v>
          </cell>
          <cell r="M239">
            <v>41237121777.161102</v>
          </cell>
          <cell r="N239">
            <v>45818566359.697403</v>
          </cell>
          <cell r="O239">
            <v>47655485006.652496</v>
          </cell>
          <cell r="P239">
            <v>50449482122.645897</v>
          </cell>
          <cell r="Q239">
            <v>50107543253.185204</v>
          </cell>
          <cell r="R239">
            <v>60636761247.130096</v>
          </cell>
          <cell r="S239">
            <v>78236195876.643906</v>
          </cell>
          <cell r="T239">
            <v>96279276873.9879</v>
          </cell>
          <cell r="U239">
            <v>89209070595.489502</v>
          </cell>
          <cell r="V239">
            <v>100499425171.36</v>
          </cell>
          <cell r="W239">
            <v>117973377478.343</v>
          </cell>
          <cell r="X239">
            <v>132183450681.606</v>
          </cell>
          <cell r="Y239">
            <v>145286155307.16101</v>
          </cell>
          <cell r="Z239">
            <v>149797853094.202</v>
          </cell>
          <cell r="AA239">
            <v>149494729911.93399</v>
          </cell>
          <cell r="AB239">
            <v>144040978680.353</v>
          </cell>
          <cell r="AC239">
            <v>144684426554.237</v>
          </cell>
          <cell r="AD239">
            <v>156716125328.01999</v>
          </cell>
          <cell r="AE239">
            <v>177324575981.944</v>
          </cell>
          <cell r="AF239">
            <v>201224306155.73499</v>
          </cell>
          <cell r="AG239">
            <v>185373222101.84399</v>
          </cell>
          <cell r="AH239">
            <v>186751485457.617</v>
          </cell>
          <cell r="AI239">
            <v>201174765534.27899</v>
          </cell>
          <cell r="AJ239">
            <v>206009895743.58899</v>
          </cell>
          <cell r="AK239">
            <v>203210620001.84799</v>
          </cell>
          <cell r="AL239">
            <v>208796426557.49899</v>
          </cell>
          <cell r="AM239">
            <v>206208667122.07401</v>
          </cell>
          <cell r="AN239">
            <v>235494137322.97299</v>
          </cell>
          <cell r="AO239">
            <v>268527639711.616</v>
          </cell>
          <cell r="AP239">
            <v>282847769882.53302</v>
          </cell>
          <cell r="AQ239">
            <v>294742586847.30402</v>
          </cell>
          <cell r="AR239">
            <v>301761292180.14697</v>
          </cell>
          <cell r="AS239">
            <v>329945683301.96301</v>
          </cell>
          <cell r="AT239">
            <v>333461752840.93201</v>
          </cell>
          <cell r="AU239">
            <v>351287300727.31897</v>
          </cell>
          <cell r="AV239">
            <v>388011232291.63702</v>
          </cell>
          <cell r="AW239">
            <v>446159533398.08301</v>
          </cell>
          <cell r="AX239">
            <v>513203312851.92999</v>
          </cell>
          <cell r="AY239">
            <v>589854920780.72302</v>
          </cell>
          <cell r="AZ239">
            <v>698502501892.26599</v>
          </cell>
          <cell r="BA239">
            <v>837509181720.93298</v>
          </cell>
          <cell r="BB239">
            <v>856826761917.38</v>
          </cell>
          <cell r="BC239">
            <v>957677901673.40906</v>
          </cell>
          <cell r="BD239">
            <v>858491015302.44495</v>
          </cell>
          <cell r="BE239">
            <v>864900430446.95105</v>
          </cell>
          <cell r="BF239">
            <v>942771446845.95203</v>
          </cell>
          <cell r="BG239">
            <v>1005732327551.4399</v>
          </cell>
          <cell r="BH239">
            <v>1005056077436.73</v>
          </cell>
          <cell r="BI239">
            <v>1015969363852.14</v>
          </cell>
          <cell r="BJ239">
            <v>1100367908800.73</v>
          </cell>
          <cell r="BK239">
            <v>1179942494586.4199</v>
          </cell>
          <cell r="BL239">
            <v>1240944011863.71</v>
          </cell>
          <cell r="BM239">
            <v>1278442378837.8799</v>
          </cell>
          <cell r="BN239">
            <v>1278442378837.8799</v>
          </cell>
        </row>
        <row r="240">
          <cell r="B240" t="str">
            <v>IDA</v>
          </cell>
          <cell r="C240" t="str">
            <v>GDP (current US$)</v>
          </cell>
          <cell r="D240" t="str">
            <v>NY.GDP.MKTP.CD</v>
          </cell>
          <cell r="E240">
            <v>37096406469.627403</v>
          </cell>
          <cell r="F240">
            <v>39171910997.7146</v>
          </cell>
          <cell r="G240">
            <v>42212818826.922401</v>
          </cell>
          <cell r="H240">
            <v>47440359754.705299</v>
          </cell>
          <cell r="I240">
            <v>46316953286.723198</v>
          </cell>
          <cell r="J240">
            <v>52062026811.045898</v>
          </cell>
          <cell r="K240">
            <v>56494440043.030502</v>
          </cell>
          <cell r="L240">
            <v>56939198532.922798</v>
          </cell>
          <cell r="M240">
            <v>60012196796.306</v>
          </cell>
          <cell r="N240">
            <v>67380577688.674698</v>
          </cell>
          <cell r="O240">
            <v>78229765508.009201</v>
          </cell>
          <cell r="P240">
            <v>78473597020.841095</v>
          </cell>
          <cell r="Q240">
            <v>81963883270.278503</v>
          </cell>
          <cell r="R240">
            <v>94193980133.756607</v>
          </cell>
          <cell r="S240">
            <v>127156454186.47</v>
          </cell>
          <cell r="T240">
            <v>152154751965.272</v>
          </cell>
          <cell r="U240">
            <v>158342814454.211</v>
          </cell>
          <cell r="V240">
            <v>172978177919.30499</v>
          </cell>
          <cell r="W240">
            <v>196210815623.20801</v>
          </cell>
          <cell r="X240">
            <v>229028613741.99799</v>
          </cell>
          <cell r="Y240">
            <v>271059625801.26999</v>
          </cell>
          <cell r="Z240">
            <v>400093622091.10999</v>
          </cell>
          <cell r="AA240">
            <v>377712434939.09698</v>
          </cell>
          <cell r="AB240">
            <v>315907314660.17902</v>
          </cell>
          <cell r="AC240">
            <v>291268949283.71899</v>
          </cell>
          <cell r="AD240">
            <v>303565516144.64899</v>
          </cell>
          <cell r="AE240">
            <v>308441812030.82501</v>
          </cell>
          <cell r="AF240">
            <v>334782280409.29303</v>
          </cell>
          <cell r="AG240">
            <v>323105151078.66101</v>
          </cell>
          <cell r="AH240">
            <v>319383774588.21899</v>
          </cell>
          <cell r="AI240">
            <v>347531117301.83002</v>
          </cell>
          <cell r="AJ240">
            <v>352859841990.48401</v>
          </cell>
          <cell r="AK240">
            <v>350843316709.15399</v>
          </cell>
          <cell r="AL240">
            <v>340917785955.12799</v>
          </cell>
          <cell r="AM240">
            <v>338985860896.14301</v>
          </cell>
          <cell r="AN240">
            <v>391247040295.40503</v>
          </cell>
          <cell r="AO240">
            <v>440268369950.42499</v>
          </cell>
          <cell r="AP240">
            <v>458038874342.633</v>
          </cell>
          <cell r="AQ240">
            <v>467413134222.79401</v>
          </cell>
          <cell r="AR240">
            <v>482223200338.15198</v>
          </cell>
          <cell r="AS240">
            <v>535654571182.53998</v>
          </cell>
          <cell r="AT240">
            <v>538782804038.31299</v>
          </cell>
          <cell r="AU240">
            <v>578491455574.98804</v>
          </cell>
          <cell r="AV240">
            <v>643575888847.53796</v>
          </cell>
          <cell r="AW240">
            <v>757523444883.40601</v>
          </cell>
          <cell r="AX240">
            <v>885740013010.13196</v>
          </cell>
          <cell r="AY240">
            <v>1056636340693.16</v>
          </cell>
          <cell r="AZ240">
            <v>1236577534288.49</v>
          </cell>
          <cell r="BA240">
            <v>1476744053810.1799</v>
          </cell>
          <cell r="BB240">
            <v>1462900201705.27</v>
          </cell>
          <cell r="BC240">
            <v>1666849397681.6399</v>
          </cell>
          <cell r="BD240">
            <v>1672506445983.6101</v>
          </cell>
          <cell r="BE240">
            <v>1765425258525.3101</v>
          </cell>
          <cell r="BF240">
            <v>1920732204966.6101</v>
          </cell>
          <cell r="BG240">
            <v>2054961292101.0801</v>
          </cell>
          <cell r="BH240">
            <v>2016489528845.3601</v>
          </cell>
          <cell r="BI240">
            <v>1958087127898.9399</v>
          </cell>
          <cell r="BJ240">
            <v>2025486792815.3</v>
          </cell>
          <cell r="BK240">
            <v>2146130874749.3301</v>
          </cell>
          <cell r="BL240">
            <v>2239335266065.2998</v>
          </cell>
          <cell r="BM240">
            <v>2239424393002.2002</v>
          </cell>
          <cell r="BN240">
            <v>2239424393002.2002</v>
          </cell>
        </row>
        <row r="241">
          <cell r="B241" t="str">
            <v>LTE</v>
          </cell>
          <cell r="C241" t="str">
            <v>GDP (current US$)</v>
          </cell>
          <cell r="D241" t="str">
            <v>NY.GDP.MKTP.CD</v>
          </cell>
          <cell r="E241">
            <v>190638219224.19501</v>
          </cell>
          <cell r="F241">
            <v>173217770402.07199</v>
          </cell>
          <cell r="G241">
            <v>176450045325.63599</v>
          </cell>
          <cell r="H241">
            <v>193138719907.01401</v>
          </cell>
          <cell r="I241">
            <v>212049740363.26801</v>
          </cell>
          <cell r="J241">
            <v>238288620134.36899</v>
          </cell>
          <cell r="K241">
            <v>265434726816.10999</v>
          </cell>
          <cell r="L241">
            <v>266801108817.013</v>
          </cell>
          <cell r="M241">
            <v>271537994725.61801</v>
          </cell>
          <cell r="N241">
            <v>302816243090.5</v>
          </cell>
          <cell r="O241">
            <v>344591500150.70398</v>
          </cell>
          <cell r="P241">
            <v>383074582107.87701</v>
          </cell>
          <cell r="Q241">
            <v>440102974125.909</v>
          </cell>
          <cell r="R241">
            <v>567196413525.38403</v>
          </cell>
          <cell r="S241">
            <v>667222609350.46106</v>
          </cell>
          <cell r="T241">
            <v>733894548019.43994</v>
          </cell>
          <cell r="U241">
            <v>791141109355.60095</v>
          </cell>
          <cell r="V241">
            <v>917670063589.41602</v>
          </cell>
          <cell r="W241">
            <v>954875303904.39697</v>
          </cell>
          <cell r="X241">
            <v>1135709671770.8201</v>
          </cell>
          <cell r="Y241">
            <v>1298658013887.0801</v>
          </cell>
          <cell r="Z241">
            <v>1362578006995.22</v>
          </cell>
          <cell r="AA241">
            <v>1385953446551.99</v>
          </cell>
          <cell r="AB241">
            <v>1273580273240.8601</v>
          </cell>
          <cell r="AC241">
            <v>1329994143999.3601</v>
          </cell>
          <cell r="AD241">
            <v>1439148887254</v>
          </cell>
          <cell r="AE241">
            <v>1532588941422.29</v>
          </cell>
          <cell r="AF241">
            <v>1617569638481.1799</v>
          </cell>
          <cell r="AG241">
            <v>1765770911935.1201</v>
          </cell>
          <cell r="AH241">
            <v>1811567198981.55</v>
          </cell>
          <cell r="AI241">
            <v>1946877337292.49</v>
          </cell>
          <cell r="AJ241">
            <v>1962668917976.6699</v>
          </cell>
          <cell r="AK241">
            <v>2010046974384.78</v>
          </cell>
          <cell r="AL241">
            <v>2094205388275.4399</v>
          </cell>
          <cell r="AM241">
            <v>2433553893439.02</v>
          </cell>
          <cell r="AN241">
            <v>3016058496497.0698</v>
          </cell>
          <cell r="AO241">
            <v>3326514565640.5698</v>
          </cell>
          <cell r="AP241">
            <v>3483089448831.1299</v>
          </cell>
          <cell r="AQ241">
            <v>3353405024178.1401</v>
          </cell>
          <cell r="AR241">
            <v>3098743575745.3799</v>
          </cell>
          <cell r="AS241">
            <v>3402666635857.8301</v>
          </cell>
          <cell r="AT241">
            <v>3517386354550.4399</v>
          </cell>
          <cell r="AU241">
            <v>3727667418867.1899</v>
          </cell>
          <cell r="AV241">
            <v>4246849627123.6899</v>
          </cell>
          <cell r="AW241">
            <v>5106248595131.46</v>
          </cell>
          <cell r="AX241">
            <v>6162939672239.4902</v>
          </cell>
          <cell r="AY241">
            <v>7437913382777.6504</v>
          </cell>
          <cell r="AZ241">
            <v>9370862110613.6309</v>
          </cell>
          <cell r="BA241">
            <v>11647616055908.9</v>
          </cell>
          <cell r="BB241">
            <v>11255941488168.4</v>
          </cell>
          <cell r="BC241">
            <v>13510221989909.301</v>
          </cell>
          <cell r="BD241">
            <v>16462146265737.5</v>
          </cell>
          <cell r="BE241">
            <v>17609867998265.301</v>
          </cell>
          <cell r="BF241">
            <v>18979037746812.301</v>
          </cell>
          <cell r="BG241">
            <v>19701784590184.199</v>
          </cell>
          <cell r="BH241">
            <v>18473004305920.898</v>
          </cell>
          <cell r="BI241">
            <v>18520215439507.398</v>
          </cell>
          <cell r="BJ241">
            <v>20551282326381.301</v>
          </cell>
          <cell r="BK241">
            <v>22531965339672.5</v>
          </cell>
          <cell r="BL241">
            <v>22958638272110.5</v>
          </cell>
          <cell r="BM241">
            <v>22433389417760</v>
          </cell>
          <cell r="BN241">
            <v>22433389417760</v>
          </cell>
        </row>
        <row r="242">
          <cell r="B242" t="str">
            <v>LCN</v>
          </cell>
          <cell r="C242" t="str">
            <v>GDP (current US$)</v>
          </cell>
          <cell r="D242" t="str">
            <v>NY.GDP.MKTP.CD</v>
          </cell>
          <cell r="E242" t="str">
            <v>..</v>
          </cell>
          <cell r="F242">
            <v>89564090129.031998</v>
          </cell>
          <cell r="G242">
            <v>98132677715.800507</v>
          </cell>
          <cell r="H242">
            <v>100055413984.54201</v>
          </cell>
          <cell r="I242">
            <v>110926896678.91499</v>
          </cell>
          <cell r="J242">
            <v>119245339327.01401</v>
          </cell>
          <cell r="K242">
            <v>131287210582.767</v>
          </cell>
          <cell r="L242">
            <v>133957623486.63499</v>
          </cell>
          <cell r="M242">
            <v>143782380187.664</v>
          </cell>
          <cell r="N242">
            <v>160652964275.746</v>
          </cell>
          <cell r="O242">
            <v>175224507139.31601</v>
          </cell>
          <cell r="P242">
            <v>195449881829.74399</v>
          </cell>
          <cell r="Q242">
            <v>219827913655.86499</v>
          </cell>
          <cell r="R242">
            <v>292393309317.52197</v>
          </cell>
          <cell r="S242">
            <v>379048165315.71698</v>
          </cell>
          <cell r="T242">
            <v>397541581665.91199</v>
          </cell>
          <cell r="U242">
            <v>436004315855.89697</v>
          </cell>
          <cell r="V242">
            <v>478835476756.34399</v>
          </cell>
          <cell r="W242">
            <v>542905024591.31897</v>
          </cell>
          <cell r="X242">
            <v>644226542790.06201</v>
          </cell>
          <cell r="Y242">
            <v>782809198814.43396</v>
          </cell>
          <cell r="Z242">
            <v>894372414082.52795</v>
          </cell>
          <cell r="AA242">
            <v>829144835859.81201</v>
          </cell>
          <cell r="AB242">
            <v>726346366249.96497</v>
          </cell>
          <cell r="AC242">
            <v>726511107731.95801</v>
          </cell>
          <cell r="AD242">
            <v>757639421051.71497</v>
          </cell>
          <cell r="AE242">
            <v>763687800580.21899</v>
          </cell>
          <cell r="AF242">
            <v>807485159614.97595</v>
          </cell>
          <cell r="AG242">
            <v>900781775254.86597</v>
          </cell>
          <cell r="AH242">
            <v>928627062219.97205</v>
          </cell>
          <cell r="AI242">
            <v>1107710184716.1201</v>
          </cell>
          <cell r="AJ242">
            <v>1189322538003.51</v>
          </cell>
          <cell r="AK242">
            <v>1298588795308.74</v>
          </cell>
          <cell r="AL242">
            <v>1506891388934.1399</v>
          </cell>
          <cell r="AM242">
            <v>1769013904328</v>
          </cell>
          <cell r="AN242">
            <v>1921483902218.8501</v>
          </cell>
          <cell r="AO242">
            <v>2079134079244.1001</v>
          </cell>
          <cell r="AP242">
            <v>2279341246887.1899</v>
          </cell>
          <cell r="AQ242">
            <v>2299992549284.0498</v>
          </cell>
          <cell r="AR242">
            <v>2075437076988.72</v>
          </cell>
          <cell r="AS242">
            <v>2291889370138.0601</v>
          </cell>
          <cell r="AT242">
            <v>2242579744921.52</v>
          </cell>
          <cell r="AU242">
            <v>2013414038665.26</v>
          </cell>
          <cell r="AV242">
            <v>2054273280274.96</v>
          </cell>
          <cell r="AW242">
            <v>2367829423753.79</v>
          </cell>
          <cell r="AX242">
            <v>2863236445711.0298</v>
          </cell>
          <cell r="AY242">
            <v>3355801570060.7598</v>
          </cell>
          <cell r="AZ242">
            <v>3953553371385.3198</v>
          </cell>
          <cell r="BA242">
            <v>4594255691385.6904</v>
          </cell>
          <cell r="BB242">
            <v>4318352267558.8398</v>
          </cell>
          <cell r="BC242">
            <v>5353326525498.7998</v>
          </cell>
          <cell r="BD242">
            <v>6086927015359.8096</v>
          </cell>
          <cell r="BE242">
            <v>6150388245718.4297</v>
          </cell>
          <cell r="BF242">
            <v>6303267059984.8301</v>
          </cell>
          <cell r="BG242">
            <v>6426942883850.9199</v>
          </cell>
          <cell r="BH242">
            <v>5370990480732.6396</v>
          </cell>
          <cell r="BI242">
            <v>5249213832711.21</v>
          </cell>
          <cell r="BJ242">
            <v>5830526163632.2305</v>
          </cell>
          <cell r="BK242">
            <v>5703878670404.75</v>
          </cell>
          <cell r="BL242">
            <v>5627255688192.6797</v>
          </cell>
          <cell r="BM242">
            <v>4725519821856.6904</v>
          </cell>
          <cell r="BN242">
            <v>4725519821856.6904</v>
          </cell>
        </row>
        <row r="243">
          <cell r="B243" t="str">
            <v>LAC</v>
          </cell>
          <cell r="C243" t="str">
            <v>GDP (current US$)</v>
          </cell>
          <cell r="D243" t="str">
            <v>NY.GDP.MKTP.CD</v>
          </cell>
          <cell r="E243" t="str">
            <v>..</v>
          </cell>
          <cell r="F243">
            <v>72140210276.453598</v>
          </cell>
          <cell r="G243">
            <v>78432996950.396896</v>
          </cell>
          <cell r="H243">
            <v>79083194592.667892</v>
          </cell>
          <cell r="I243">
            <v>90634651702.502106</v>
          </cell>
          <cell r="J243">
            <v>98291097178.056793</v>
          </cell>
          <cell r="K243">
            <v>108647051157.78799</v>
          </cell>
          <cell r="L243">
            <v>110643478984.91</v>
          </cell>
          <cell r="M243">
            <v>119031201176.222</v>
          </cell>
          <cell r="N243">
            <v>133326265460.377</v>
          </cell>
          <cell r="O243">
            <v>145017066390.58899</v>
          </cell>
          <cell r="P243">
            <v>160550877185.41501</v>
          </cell>
          <cell r="Q243">
            <v>182562186641.715</v>
          </cell>
          <cell r="R243">
            <v>243930567164.966</v>
          </cell>
          <cell r="S243">
            <v>320157516040.54498</v>
          </cell>
          <cell r="T243">
            <v>345375253450.80701</v>
          </cell>
          <cell r="U243">
            <v>375947779717.65198</v>
          </cell>
          <cell r="V243">
            <v>407990126361.94397</v>
          </cell>
          <cell r="W243">
            <v>463970202883.685</v>
          </cell>
          <cell r="X243">
            <v>544669604997.11298</v>
          </cell>
          <cell r="Y243">
            <v>657711438273.69995</v>
          </cell>
          <cell r="Z243">
            <v>752699765181.38599</v>
          </cell>
          <cell r="AA243">
            <v>695233202766.13306</v>
          </cell>
          <cell r="AB243">
            <v>601748477216.88599</v>
          </cell>
          <cell r="AC243">
            <v>608107468701.26001</v>
          </cell>
          <cell r="AD243">
            <v>638044183896.73206</v>
          </cell>
          <cell r="AE243">
            <v>643804804881.75195</v>
          </cell>
          <cell r="AF243">
            <v>692373065780.59595</v>
          </cell>
          <cell r="AG243">
            <v>765999862696.56494</v>
          </cell>
          <cell r="AH243">
            <v>804164516697.46301</v>
          </cell>
          <cell r="AI243">
            <v>969955036768.96497</v>
          </cell>
          <cell r="AJ243">
            <v>1037723255529.62</v>
          </cell>
          <cell r="AK243">
            <v>1127288931281.99</v>
          </cell>
          <cell r="AL243">
            <v>1327840356952.4099</v>
          </cell>
          <cell r="AM243">
            <v>1576823160668.3899</v>
          </cell>
          <cell r="AN243">
            <v>1687774290094.79</v>
          </cell>
          <cell r="AO243">
            <v>1842258026684.1001</v>
          </cell>
          <cell r="AP243">
            <v>2010070984762.3701</v>
          </cell>
          <cell r="AQ243">
            <v>2019896559494.46</v>
          </cell>
          <cell r="AR243">
            <v>1791778968968.24</v>
          </cell>
          <cell r="AS243">
            <v>1980738589443.26</v>
          </cell>
          <cell r="AT243">
            <v>1926198189601.8899</v>
          </cell>
          <cell r="AU243">
            <v>1733183377280.48</v>
          </cell>
          <cell r="AV243">
            <v>1772950535833.04</v>
          </cell>
          <cell r="AW243">
            <v>2023136718629.04</v>
          </cell>
          <cell r="AX243">
            <v>2448526812261.6299</v>
          </cell>
          <cell r="AY243">
            <v>2860978782835.3398</v>
          </cell>
          <cell r="AZ243">
            <v>3381168750003.7598</v>
          </cell>
          <cell r="BA243">
            <v>3912378612926.6001</v>
          </cell>
          <cell r="BB243">
            <v>3636582653049.46</v>
          </cell>
          <cell r="BC243">
            <v>4547392504368.9697</v>
          </cell>
          <cell r="BD243">
            <v>5310062551611.8799</v>
          </cell>
          <cell r="BE243">
            <v>5288238994746.0498</v>
          </cell>
          <cell r="BF243">
            <v>5431528584794.4697</v>
          </cell>
          <cell r="BG243">
            <v>5460423914795.1504</v>
          </cell>
          <cell r="BH243">
            <v>4652915580734.1602</v>
          </cell>
          <cell r="BI243">
            <v>4527263970326.2305</v>
          </cell>
          <cell r="BJ243">
            <v>5047188672357.1699</v>
          </cell>
          <cell r="BK243">
            <v>4905598920400.6104</v>
          </cell>
          <cell r="BL243">
            <v>4849397095732.1904</v>
          </cell>
          <cell r="BM243">
            <v>4035270946811.0898</v>
          </cell>
          <cell r="BN243">
            <v>4035270946811.0898</v>
          </cell>
        </row>
        <row r="244">
          <cell r="B244" t="str">
            <v>TLA</v>
          </cell>
          <cell r="C244" t="str">
            <v>GDP (current US$)</v>
          </cell>
          <cell r="D244" t="str">
            <v>NY.GDP.MKTP.CD</v>
          </cell>
          <cell r="E244" t="str">
            <v>..</v>
          </cell>
          <cell r="F244">
            <v>84140069282.350998</v>
          </cell>
          <cell r="G244">
            <v>92113796550.655807</v>
          </cell>
          <cell r="H244">
            <v>93696328249.564804</v>
          </cell>
          <cell r="I244">
            <v>103890605689.472</v>
          </cell>
          <cell r="J244">
            <v>111547757885.577</v>
          </cell>
          <cell r="K244">
            <v>122805004113.17999</v>
          </cell>
          <cell r="L244">
            <v>124961669642.664</v>
          </cell>
          <cell r="M244">
            <v>133950534427.911</v>
          </cell>
          <cell r="N244">
            <v>149579912224.48099</v>
          </cell>
          <cell r="O244">
            <v>163015231630.57599</v>
          </cell>
          <cell r="P244">
            <v>181262637025.46799</v>
          </cell>
          <cell r="Q244">
            <v>203589128074.35199</v>
          </cell>
          <cell r="R244">
            <v>273159243891.12299</v>
          </cell>
          <cell r="S244">
            <v>357287853747.953</v>
          </cell>
          <cell r="T244">
            <v>373507163230.68103</v>
          </cell>
          <cell r="U244">
            <v>410183004560.36798</v>
          </cell>
          <cell r="V244">
            <v>451330754859.00702</v>
          </cell>
          <cell r="W244">
            <v>510038452103.77399</v>
          </cell>
          <cell r="X244">
            <v>607149527030.37195</v>
          </cell>
          <cell r="Y244">
            <v>742550513647.28406</v>
          </cell>
          <cell r="Z244">
            <v>851655980487.21497</v>
          </cell>
          <cell r="AA244">
            <v>784911940252.98206</v>
          </cell>
          <cell r="AB244">
            <v>680590824434.68005</v>
          </cell>
          <cell r="AC244">
            <v>676615199612.323</v>
          </cell>
          <cell r="AD244">
            <v>707251912755.76001</v>
          </cell>
          <cell r="AE244">
            <v>709956566563.51697</v>
          </cell>
          <cell r="AF244">
            <v>750093767804.151</v>
          </cell>
          <cell r="AG244">
            <v>838089204662.79297</v>
          </cell>
          <cell r="AH244">
            <v>863946310383.41394</v>
          </cell>
          <cell r="AI244">
            <v>1038065372867.6801</v>
          </cell>
          <cell r="AJ244">
            <v>1121934590251.04</v>
          </cell>
          <cell r="AK244">
            <v>1230628370183.9299</v>
          </cell>
          <cell r="AL244">
            <v>1435306410895.3701</v>
          </cell>
          <cell r="AM244">
            <v>1687108368415.4099</v>
          </cell>
          <cell r="AN244">
            <v>1833716919933.6499</v>
          </cell>
          <cell r="AO244">
            <v>1993066196164.3501</v>
          </cell>
          <cell r="AP244">
            <v>2186263806342.0601</v>
          </cell>
          <cell r="AQ244">
            <v>2199609601018.7402</v>
          </cell>
          <cell r="AR244">
            <v>1968530757708.3501</v>
          </cell>
          <cell r="AS244">
            <v>2177400505299.6201</v>
          </cell>
          <cell r="AT244">
            <v>2119382460753.1899</v>
          </cell>
          <cell r="AU244">
            <v>1886133503624.77</v>
          </cell>
          <cell r="AV244">
            <v>1920990781315.48</v>
          </cell>
          <cell r="AW244">
            <v>2224990728459.0698</v>
          </cell>
          <cell r="AX244">
            <v>2709273103155.4199</v>
          </cell>
          <cell r="AY244">
            <v>3186252422899.6099</v>
          </cell>
          <cell r="AZ244">
            <v>3773589067887.4102</v>
          </cell>
          <cell r="BA244">
            <v>4407523301888.3096</v>
          </cell>
          <cell r="BB244">
            <v>4129489049517.73</v>
          </cell>
          <cell r="BC244">
            <v>5159145710518.2197</v>
          </cell>
          <cell r="BD244">
            <v>5885157581447.0801</v>
          </cell>
          <cell r="BE244">
            <v>5942534525836.9502</v>
          </cell>
          <cell r="BF244">
            <v>6090591227709.3301</v>
          </cell>
          <cell r="BG244">
            <v>6209687027074.9297</v>
          </cell>
          <cell r="BH244">
            <v>5142581183179.6104</v>
          </cell>
          <cell r="BI244">
            <v>5014502216212.0596</v>
          </cell>
          <cell r="BJ244">
            <v>5590908813814.5</v>
          </cell>
          <cell r="BK244">
            <v>5462065046113.9902</v>
          </cell>
          <cell r="BL244">
            <v>5376512716922.0996</v>
          </cell>
          <cell r="BM244">
            <v>4478206456171.96</v>
          </cell>
          <cell r="BN244">
            <v>4478206456171.96</v>
          </cell>
        </row>
        <row r="245">
          <cell r="B245" t="str">
            <v>LDC</v>
          </cell>
          <cell r="C245" t="str">
            <v>GDP (current US$)</v>
          </cell>
          <cell r="D245" t="str">
            <v>NY.GDP.MKTP.CD</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v>107001547780.22301</v>
          </cell>
          <cell r="Z245">
            <v>108433807146.183</v>
          </cell>
          <cell r="AA245">
            <v>108289849296.26801</v>
          </cell>
          <cell r="AB245">
            <v>102167876378.61301</v>
          </cell>
          <cell r="AC245">
            <v>101212391977.55299</v>
          </cell>
          <cell r="AD245">
            <v>111922869960.11099</v>
          </cell>
          <cell r="AE245">
            <v>121574876027.10899</v>
          </cell>
          <cell r="AF245">
            <v>135766441821.423</v>
          </cell>
          <cell r="AG245">
            <v>140611924307.39401</v>
          </cell>
          <cell r="AH245">
            <v>144030688421.543</v>
          </cell>
          <cell r="AI245">
            <v>151769014552.858</v>
          </cell>
          <cell r="AJ245">
            <v>153332174921.849</v>
          </cell>
          <cell r="AK245">
            <v>142551671711.77899</v>
          </cell>
          <cell r="AL245">
            <v>145630979714.73801</v>
          </cell>
          <cell r="AM245">
            <v>135785148506.54601</v>
          </cell>
          <cell r="AN245">
            <v>156765635295.95001</v>
          </cell>
          <cell r="AO245">
            <v>172802740244.302</v>
          </cell>
          <cell r="AP245">
            <v>181760029680.862</v>
          </cell>
          <cell r="AQ245">
            <v>184881888871.138</v>
          </cell>
          <cell r="AR245">
            <v>189800128516.95099</v>
          </cell>
          <cell r="AS245">
            <v>217725657627.92499</v>
          </cell>
          <cell r="AT245">
            <v>212740667389.26001</v>
          </cell>
          <cell r="AU245">
            <v>230759563933.53601</v>
          </cell>
          <cell r="AV245">
            <v>258652477072.33701</v>
          </cell>
          <cell r="AW245">
            <v>299104632165.41901</v>
          </cell>
          <cell r="AX245">
            <v>353578402677.49103</v>
          </cell>
          <cell r="AY245">
            <v>410024521192.974</v>
          </cell>
          <cell r="AZ245">
            <v>492199146321.47101</v>
          </cell>
          <cell r="BA245">
            <v>600413218861.40405</v>
          </cell>
          <cell r="BB245">
            <v>597958409118.43896</v>
          </cell>
          <cell r="BC245">
            <v>673731213767.59399</v>
          </cell>
          <cell r="BD245">
            <v>776258122421.15796</v>
          </cell>
          <cell r="BE245">
            <v>815688252970.83899</v>
          </cell>
          <cell r="BF245">
            <v>893888138674.14099</v>
          </cell>
          <cell r="BG245">
            <v>963349568034.599</v>
          </cell>
          <cell r="BH245">
            <v>946180216400.62097</v>
          </cell>
          <cell r="BI245">
            <v>936300776403.56702</v>
          </cell>
          <cell r="BJ245">
            <v>1025443701461.53</v>
          </cell>
          <cell r="BK245">
            <v>1063215566761.73</v>
          </cell>
          <cell r="BL245">
            <v>1107362458211.5</v>
          </cell>
          <cell r="BM245">
            <v>1114278182953.05</v>
          </cell>
          <cell r="BN245">
            <v>1114278182953.05</v>
          </cell>
        </row>
        <row r="246">
          <cell r="B246" t="str">
            <v>LMY</v>
          </cell>
          <cell r="C246" t="str">
            <v>GDP (current US$)</v>
          </cell>
          <cell r="D246" t="str">
            <v>NY.GDP.MKTP.CD</v>
          </cell>
          <cell r="E246">
            <v>340950935653.64899</v>
          </cell>
          <cell r="F246">
            <v>325997141052.61401</v>
          </cell>
          <cell r="G246">
            <v>334475590876.38501</v>
          </cell>
          <cell r="H246">
            <v>361701628602.60602</v>
          </cell>
          <cell r="I246">
            <v>405112394406.98499</v>
          </cell>
          <cell r="J246">
            <v>447983713793.07202</v>
          </cell>
          <cell r="K246">
            <v>464557110214.22101</v>
          </cell>
          <cell r="L246">
            <v>475960062812.50098</v>
          </cell>
          <cell r="M246">
            <v>502428473882.20203</v>
          </cell>
          <cell r="N246">
            <v>561811344134.45605</v>
          </cell>
          <cell r="O246">
            <v>616029592729.05798</v>
          </cell>
          <cell r="P246">
            <v>663207085111.31494</v>
          </cell>
          <cell r="Q246">
            <v>742525920412.51904</v>
          </cell>
          <cell r="R246">
            <v>945341814409.198</v>
          </cell>
          <cell r="S246">
            <v>1200691880275.22</v>
          </cell>
          <cell r="T246">
            <v>1329500834313.05</v>
          </cell>
          <cell r="U246">
            <v>1428444681428.27</v>
          </cell>
          <cell r="V246">
            <v>1605310265802.3</v>
          </cell>
          <cell r="W246">
            <v>1742121597811.8601</v>
          </cell>
          <cell r="X246">
            <v>2067067298295.7</v>
          </cell>
          <cell r="Y246">
            <v>2432038062353.2002</v>
          </cell>
          <cell r="Z246">
            <v>2732773847593.96</v>
          </cell>
          <cell r="AA246">
            <v>2696004771752.6602</v>
          </cell>
          <cell r="AB246">
            <v>2602514292076.8101</v>
          </cell>
          <cell r="AC246">
            <v>2632080148970.9199</v>
          </cell>
          <cell r="AD246">
            <v>2791663370853.2202</v>
          </cell>
          <cell r="AE246">
            <v>2904728985668.1802</v>
          </cell>
          <cell r="AF246">
            <v>3005379971329.3501</v>
          </cell>
          <cell r="AG246">
            <v>3184513787995.8398</v>
          </cell>
          <cell r="AH246">
            <v>3251034014347.9302</v>
          </cell>
          <cell r="AI246">
            <v>3722584142679.29</v>
          </cell>
          <cell r="AJ246">
            <v>3585732842275.79</v>
          </cell>
          <cell r="AK246">
            <v>3756321723763.2798</v>
          </cell>
          <cell r="AL246">
            <v>4033594122766.73</v>
          </cell>
          <cell r="AM246">
            <v>4430349402142.8896</v>
          </cell>
          <cell r="AN246">
            <v>4996973190102.1797</v>
          </cell>
          <cell r="AO246">
            <v>5474269737795.54</v>
          </cell>
          <cell r="AP246">
            <v>5791815019273.4199</v>
          </cell>
          <cell r="AQ246">
            <v>5615131776385.5303</v>
          </cell>
          <cell r="AR246">
            <v>5494967727851.8701</v>
          </cell>
          <cell r="AS246">
            <v>6002721296961.3701</v>
          </cell>
          <cell r="AT246">
            <v>6060717495507.0303</v>
          </cell>
          <cell r="AU246">
            <v>6217666748204.2695</v>
          </cell>
          <cell r="AV246">
            <v>7008873048987.7402</v>
          </cell>
          <cell r="AW246">
            <v>8324107174033.3096</v>
          </cell>
          <cell r="AX246">
            <v>9917136223927.4707</v>
          </cell>
          <cell r="AY246">
            <v>11767747394523.6</v>
          </cell>
          <cell r="AZ246">
            <v>14559711942865.4</v>
          </cell>
          <cell r="BA246">
            <v>17426878371397.1</v>
          </cell>
          <cell r="BB246">
            <v>17009057347831.5</v>
          </cell>
          <cell r="BC246">
            <v>20604942626457.801</v>
          </cell>
          <cell r="BD246">
            <v>24227089925208.699</v>
          </cell>
          <cell r="BE246">
            <v>25771548477079.801</v>
          </cell>
          <cell r="BF246">
            <v>27317543283463.301</v>
          </cell>
          <cell r="BG246">
            <v>28239015205215</v>
          </cell>
          <cell r="BH246">
            <v>26797210771637.801</v>
          </cell>
          <cell r="BI246">
            <v>26945295092752.199</v>
          </cell>
          <cell r="BJ246">
            <v>29595883137001.699</v>
          </cell>
          <cell r="BK246">
            <v>31412370428414.301</v>
          </cell>
          <cell r="BL246">
            <v>32220208388558.102</v>
          </cell>
          <cell r="BM246">
            <v>30993151083682.102</v>
          </cell>
          <cell r="BN246">
            <v>30993151083682.102</v>
          </cell>
        </row>
        <row r="247">
          <cell r="B247" t="str">
            <v>LIC</v>
          </cell>
          <cell r="C247" t="str">
            <v>GDP (current US$)</v>
          </cell>
          <cell r="D247" t="str">
            <v>NY.GDP.MKTP.CD</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v>83589600429.207703</v>
          </cell>
          <cell r="AA247">
            <v>86219692295.255997</v>
          </cell>
          <cell r="AB247">
            <v>83211373381.8694</v>
          </cell>
          <cell r="AC247">
            <v>81354406547.806305</v>
          </cell>
          <cell r="AD247">
            <v>88859129904.511902</v>
          </cell>
          <cell r="AE247">
            <v>103684064830.429</v>
          </cell>
          <cell r="AF247">
            <v>121760998815.07401</v>
          </cell>
          <cell r="AG247">
            <v>101048052795.94099</v>
          </cell>
          <cell r="AH247">
            <v>102902754838.03999</v>
          </cell>
          <cell r="AI247">
            <v>111023037406.573</v>
          </cell>
          <cell r="AJ247">
            <v>115104424968.217</v>
          </cell>
          <cell r="AK247">
            <v>111186632846.53</v>
          </cell>
          <cell r="AL247">
            <v>116559571823.48399</v>
          </cell>
          <cell r="AM247">
            <v>114914378780.524</v>
          </cell>
          <cell r="AN247">
            <v>129645541685.158</v>
          </cell>
          <cell r="AO247">
            <v>143762211551.383</v>
          </cell>
          <cell r="AP247">
            <v>154486464513.595</v>
          </cell>
          <cell r="AQ247">
            <v>158440359918.841</v>
          </cell>
          <cell r="AR247">
            <v>161128199306.54501</v>
          </cell>
          <cell r="AS247">
            <v>188438378200.67899</v>
          </cell>
          <cell r="AT247">
            <v>188241325805.129</v>
          </cell>
          <cell r="AU247">
            <v>201796162047.17001</v>
          </cell>
          <cell r="AV247">
            <v>220518103971.44101</v>
          </cell>
          <cell r="AW247">
            <v>258685372305.875</v>
          </cell>
          <cell r="AX247">
            <v>308438089682.31097</v>
          </cell>
          <cell r="AY247">
            <v>357590928513.60303</v>
          </cell>
          <cell r="AZ247">
            <v>430717820578.32501</v>
          </cell>
          <cell r="BA247">
            <v>515890687483.76501</v>
          </cell>
          <cell r="BB247">
            <v>521886596260.289</v>
          </cell>
          <cell r="BC247">
            <v>578209113776.61499</v>
          </cell>
          <cell r="BD247">
            <v>403961717711.88501</v>
          </cell>
          <cell r="BE247">
            <v>384447795530.72498</v>
          </cell>
          <cell r="BF247">
            <v>395478031005.28003</v>
          </cell>
          <cell r="BG247">
            <v>423854169973.90997</v>
          </cell>
          <cell r="BH247">
            <v>418166107033.51202</v>
          </cell>
          <cell r="BI247">
            <v>387204228271.26801</v>
          </cell>
          <cell r="BJ247">
            <v>409137806152.78003</v>
          </cell>
          <cell r="BK247">
            <v>425614516516.60999</v>
          </cell>
          <cell r="BL247">
            <v>448440169081.51099</v>
          </cell>
          <cell r="BM247">
            <v>459729949563.42297</v>
          </cell>
          <cell r="BN247">
            <v>459729949563.42297</v>
          </cell>
        </row>
        <row r="248">
          <cell r="B248" t="str">
            <v>LMC</v>
          </cell>
          <cell r="C248" t="str">
            <v>GDP (current US$)</v>
          </cell>
          <cell r="D248" t="str">
            <v>NY.GDP.MKTP.CD</v>
          </cell>
          <cell r="E248">
            <v>89912156963.018295</v>
          </cell>
          <cell r="F248">
            <v>95151131661.565201</v>
          </cell>
          <cell r="G248">
            <v>96667238933.1716</v>
          </cell>
          <cell r="H248">
            <v>107553613537.297</v>
          </cell>
          <cell r="I248">
            <v>120801094158.791</v>
          </cell>
          <cell r="J248">
            <v>130445756052.09</v>
          </cell>
          <cell r="K248">
            <v>119986793406.29201</v>
          </cell>
          <cell r="L248">
            <v>128230247504.30499</v>
          </cell>
          <cell r="M248">
            <v>138270523475.44299</v>
          </cell>
          <cell r="N248">
            <v>153748191376.142</v>
          </cell>
          <cell r="O248">
            <v>170009137126.01001</v>
          </cell>
          <cell r="P248">
            <v>179118490765.28299</v>
          </cell>
          <cell r="Q248">
            <v>195058587442.194</v>
          </cell>
          <cell r="R248">
            <v>239981430511.862</v>
          </cell>
          <cell r="S248">
            <v>320169603718.19299</v>
          </cell>
          <cell r="T248">
            <v>355575434062.065</v>
          </cell>
          <cell r="U248">
            <v>395649843684.01202</v>
          </cell>
          <cell r="V248">
            <v>454916284008.44397</v>
          </cell>
          <cell r="W248">
            <v>501723557001.78699</v>
          </cell>
          <cell r="X248">
            <v>576863324007.17603</v>
          </cell>
          <cell r="Y248">
            <v>700257875562.01196</v>
          </cell>
          <cell r="Z248">
            <v>841906600968.69299</v>
          </cell>
          <cell r="AA248">
            <v>866904924040.34705</v>
          </cell>
          <cell r="AB248">
            <v>856723868210.80505</v>
          </cell>
          <cell r="AC248">
            <v>845899366908.34302</v>
          </cell>
          <cell r="AD248">
            <v>900707620093.25806</v>
          </cell>
          <cell r="AE248">
            <v>957620991813.84595</v>
          </cell>
          <cell r="AF248">
            <v>938030917206.08801</v>
          </cell>
          <cell r="AG248">
            <v>956418120806.23901</v>
          </cell>
          <cell r="AH248">
            <v>956787407057.37097</v>
          </cell>
          <cell r="AI248">
            <v>1030479694466.9399</v>
          </cell>
          <cell r="AJ248">
            <v>970300680864.42896</v>
          </cell>
          <cell r="AK248">
            <v>1029459643713.0601</v>
          </cell>
          <cell r="AL248">
            <v>1040117773304.26</v>
          </cell>
          <cell r="AM248">
            <v>1121619613760.8101</v>
          </cell>
          <cell r="AN248">
            <v>1273522498721.6299</v>
          </cell>
          <cell r="AO248">
            <v>1422915290659.79</v>
          </cell>
          <cell r="AP248">
            <v>1454618043480.6899</v>
          </cell>
          <cell r="AQ248">
            <v>1325605368734.45</v>
          </cell>
          <cell r="AR248">
            <v>1432253288576.8</v>
          </cell>
          <cell r="AS248">
            <v>1507446414530.8799</v>
          </cell>
          <cell r="AT248">
            <v>1541059698398.1201</v>
          </cell>
          <cell r="AU248">
            <v>1647507462192.8201</v>
          </cell>
          <cell r="AV248">
            <v>1893050142110.5</v>
          </cell>
          <cell r="AW248">
            <v>2196006717881.1699</v>
          </cell>
          <cell r="AX248">
            <v>2552254389249.7402</v>
          </cell>
          <cell r="AY248">
            <v>3026903945016.9399</v>
          </cell>
          <cell r="AZ248">
            <v>3716619573759.54</v>
          </cell>
          <cell r="BA248">
            <v>4209776154260.6401</v>
          </cell>
          <cell r="BB248">
            <v>4277002039280.8901</v>
          </cell>
          <cell r="BC248">
            <v>5200810906398.3604</v>
          </cell>
          <cell r="BD248">
            <v>5935836124467.9902</v>
          </cell>
          <cell r="BE248">
            <v>6230149293706.5596</v>
          </cell>
          <cell r="BF248">
            <v>6343694020447.0303</v>
          </cell>
          <cell r="BG248">
            <v>6596912130744.29</v>
          </cell>
          <cell r="BH248">
            <v>6458585149777.8799</v>
          </cell>
          <cell r="BI248">
            <v>6737458245945.1201</v>
          </cell>
          <cell r="BJ248">
            <v>7246520795601.96</v>
          </cell>
          <cell r="BK248">
            <v>7346924046154.4404</v>
          </cell>
          <cell r="BL248">
            <v>7735772656431.2695</v>
          </cell>
          <cell r="BM248">
            <v>7384772400818.0596</v>
          </cell>
          <cell r="BN248">
            <v>7384772400818.0596</v>
          </cell>
        </row>
        <row r="249">
          <cell r="B249" t="str">
            <v>MEA</v>
          </cell>
          <cell r="C249" t="str">
            <v>GDP (current US$)</v>
          </cell>
          <cell r="D249" t="str">
            <v>NY.GDP.MKTP.CD</v>
          </cell>
          <cell r="E249" t="str">
            <v>..</v>
          </cell>
          <cell r="F249" t="str">
            <v>..</v>
          </cell>
          <cell r="G249" t="str">
            <v>..</v>
          </cell>
          <cell r="H249" t="str">
            <v>..</v>
          </cell>
          <cell r="I249" t="str">
            <v>..</v>
          </cell>
          <cell r="J249" t="str">
            <v>..</v>
          </cell>
          <cell r="K249" t="str">
            <v>..</v>
          </cell>
          <cell r="L249" t="str">
            <v>..</v>
          </cell>
          <cell r="M249">
            <v>44425424089.712502</v>
          </cell>
          <cell r="N249">
            <v>49164893255.240501</v>
          </cell>
          <cell r="O249">
            <v>55582823710.5233</v>
          </cell>
          <cell r="P249">
            <v>65781993990.625801</v>
          </cell>
          <cell r="Q249">
            <v>79687086013.795502</v>
          </cell>
          <cell r="R249">
            <v>107907687261.709</v>
          </cell>
          <cell r="S249">
            <v>201523288248.22299</v>
          </cell>
          <cell r="T249">
            <v>222828199360.45099</v>
          </cell>
          <cell r="U249">
            <v>281690014359.63898</v>
          </cell>
          <cell r="V249">
            <v>327513058376.54797</v>
          </cell>
          <cell r="W249">
            <v>349638130768.409</v>
          </cell>
          <cell r="X249">
            <v>458974955046.07098</v>
          </cell>
          <cell r="Y249">
            <v>594416883179.89001</v>
          </cell>
          <cell r="Z249">
            <v>615463717667.995</v>
          </cell>
          <cell r="AA249">
            <v>614555917353.82996</v>
          </cell>
          <cell r="AB249">
            <v>622070642482.34998</v>
          </cell>
          <cell r="AC249">
            <v>634349949212.33997</v>
          </cell>
          <cell r="AD249">
            <v>650889057869.57703</v>
          </cell>
          <cell r="AE249">
            <v>668547476659.49902</v>
          </cell>
          <cell r="AF249">
            <v>615589157377.23999</v>
          </cell>
          <cell r="AG249">
            <v>583498501058.09204</v>
          </cell>
          <cell r="AH249">
            <v>605930556171.62</v>
          </cell>
          <cell r="AI249">
            <v>800911182301.42896</v>
          </cell>
          <cell r="AJ249">
            <v>560573035816.54602</v>
          </cell>
          <cell r="AK249">
            <v>612529655573.13306</v>
          </cell>
          <cell r="AL249">
            <v>621840913800.16797</v>
          </cell>
          <cell r="AM249">
            <v>655962738349.151</v>
          </cell>
          <cell r="AN249">
            <v>739588171284.80603</v>
          </cell>
          <cell r="AO249">
            <v>836065935091.98303</v>
          </cell>
          <cell r="AP249">
            <v>879599564823.73804</v>
          </cell>
          <cell r="AQ249">
            <v>860090776101.31299</v>
          </cell>
          <cell r="AR249">
            <v>933774267097.14404</v>
          </cell>
          <cell r="AS249">
            <v>1046434254191.58</v>
          </cell>
          <cell r="AT249">
            <v>1041162611078.13</v>
          </cell>
          <cell r="AU249">
            <v>1035735994858.66</v>
          </cell>
          <cell r="AV249">
            <v>1148509587284.79</v>
          </cell>
          <cell r="AW249">
            <v>1356617397186.6899</v>
          </cell>
          <cell r="AX249">
            <v>1632556868277.25</v>
          </cell>
          <cell r="AY249">
            <v>1908023340519.8601</v>
          </cell>
          <cell r="AZ249">
            <v>2259022414863.79</v>
          </cell>
          <cell r="BA249">
            <v>2817719844781</v>
          </cell>
          <cell r="BB249">
            <v>2546940628402.0098</v>
          </cell>
          <cell r="BC249">
            <v>2972458255990.4102</v>
          </cell>
          <cell r="BD249">
            <v>3287583543837.6899</v>
          </cell>
          <cell r="BE249">
            <v>3557445838296.8599</v>
          </cell>
          <cell r="BF249">
            <v>3508653077435.23</v>
          </cell>
          <cell r="BG249">
            <v>3524657942442.77</v>
          </cell>
          <cell r="BH249">
            <v>3095509625416.1299</v>
          </cell>
          <cell r="BI249">
            <v>3105138845524.5498</v>
          </cell>
          <cell r="BJ249">
            <v>3225517205255.1401</v>
          </cell>
          <cell r="BK249">
            <v>3368284061892.6899</v>
          </cell>
          <cell r="BL249">
            <v>3406149805140.73</v>
          </cell>
          <cell r="BM249">
            <v>3035580428041.8101</v>
          </cell>
          <cell r="BN249">
            <v>3035580428041.8101</v>
          </cell>
        </row>
        <row r="250">
          <cell r="B250" t="str">
            <v>MNA</v>
          </cell>
          <cell r="C250" t="str">
            <v>GDP (current US$)</v>
          </cell>
          <cell r="D250" t="str">
            <v>NY.GDP.MKTP.CD</v>
          </cell>
          <cell r="E250" t="str">
            <v>..</v>
          </cell>
          <cell r="F250" t="str">
            <v>..</v>
          </cell>
          <cell r="G250" t="str">
            <v>..</v>
          </cell>
          <cell r="H250" t="str">
            <v>..</v>
          </cell>
          <cell r="I250" t="str">
            <v>..</v>
          </cell>
          <cell r="J250">
            <v>23810561532.285801</v>
          </cell>
          <cell r="K250">
            <v>24818595393.2831</v>
          </cell>
          <cell r="L250">
            <v>26868450259.318699</v>
          </cell>
          <cell r="M250">
            <v>29559954296.369301</v>
          </cell>
          <cell r="N250">
            <v>32796053519.917599</v>
          </cell>
          <cell r="O250">
            <v>37041383287.545097</v>
          </cell>
          <cell r="P250">
            <v>42465895767.037804</v>
          </cell>
          <cell r="Q250">
            <v>50670955869.167</v>
          </cell>
          <cell r="R250">
            <v>67263577202.267998</v>
          </cell>
          <cell r="S250">
            <v>102537620193.715</v>
          </cell>
          <cell r="T250">
            <v>119311352648.645</v>
          </cell>
          <cell r="U250">
            <v>147273268494.06</v>
          </cell>
          <cell r="V250">
            <v>170439112811.20599</v>
          </cell>
          <cell r="W250">
            <v>183192593439.02399</v>
          </cell>
          <cell r="X250">
            <v>228496791098.88</v>
          </cell>
          <cell r="Y250">
            <v>273628597468.491</v>
          </cell>
          <cell r="Z250">
            <v>267035473642.84299</v>
          </cell>
          <cell r="AA250">
            <v>306278910030.591</v>
          </cell>
          <cell r="AB250">
            <v>344206010239.05499</v>
          </cell>
          <cell r="AC250">
            <v>364417114036.53003</v>
          </cell>
          <cell r="AD250">
            <v>397322228082.27698</v>
          </cell>
          <cell r="AE250">
            <v>446508813443.302</v>
          </cell>
          <cell r="AF250">
            <v>390483593666.78101</v>
          </cell>
          <cell r="AG250">
            <v>358477809926.19397</v>
          </cell>
          <cell r="AH250">
            <v>360488214016.17999</v>
          </cell>
          <cell r="AI250">
            <v>507139807872.78699</v>
          </cell>
          <cell r="AJ250">
            <v>262770938785.44901</v>
          </cell>
          <cell r="AK250">
            <v>289371637240.76898</v>
          </cell>
          <cell r="AL250">
            <v>297115312194.62097</v>
          </cell>
          <cell r="AM250">
            <v>318544655265.22302</v>
          </cell>
          <cell r="AN250">
            <v>371194030846.82202</v>
          </cell>
          <cell r="AO250">
            <v>427896468010.388</v>
          </cell>
          <cell r="AP250">
            <v>452410538638.58899</v>
          </cell>
          <cell r="AQ250">
            <v>461255140911.521</v>
          </cell>
          <cell r="AR250">
            <v>501592716549.255</v>
          </cell>
          <cell r="AS250">
            <v>532013694132.40002</v>
          </cell>
          <cell r="AT250">
            <v>537954639517.41699</v>
          </cell>
          <cell r="AU250">
            <v>523457403293.92999</v>
          </cell>
          <cell r="AV250">
            <v>571741701363.92102</v>
          </cell>
          <cell r="AW250">
            <v>679294294233.76794</v>
          </cell>
          <cell r="AX250">
            <v>802026607192.59399</v>
          </cell>
          <cell r="AY250">
            <v>929931228587.29797</v>
          </cell>
          <cell r="AZ250">
            <v>1139887382226.52</v>
          </cell>
          <cell r="BA250">
            <v>1407365033003.49</v>
          </cell>
          <cell r="BB250">
            <v>1372557462068.6799</v>
          </cell>
          <cell r="BC250">
            <v>1579524587809.95</v>
          </cell>
          <cell r="BD250">
            <v>1565628375271.21</v>
          </cell>
          <cell r="BE250">
            <v>1699939010902.0701</v>
          </cell>
          <cell r="BF250">
            <v>1571815091867.6499</v>
          </cell>
          <cell r="BG250">
            <v>1547656462442.8301</v>
          </cell>
          <cell r="BH250">
            <v>1385866266853.23</v>
          </cell>
          <cell r="BI250">
            <v>1403896677724.4299</v>
          </cell>
          <cell r="BJ250">
            <v>1384689900925.74</v>
          </cell>
          <cell r="BK250">
            <v>1320216563622.8301</v>
          </cell>
          <cell r="BL250">
            <v>1343535630261.1101</v>
          </cell>
          <cell r="BM250">
            <v>1195745981528.3999</v>
          </cell>
          <cell r="BN250">
            <v>1195745981528.3999</v>
          </cell>
        </row>
        <row r="251">
          <cell r="B251" t="str">
            <v>TMN</v>
          </cell>
          <cell r="C251" t="str">
            <v>GDP (current US$)</v>
          </cell>
          <cell r="D251" t="str">
            <v>NY.GDP.MKTP.CD</v>
          </cell>
          <cell r="E251" t="str">
            <v>..</v>
          </cell>
          <cell r="F251" t="str">
            <v>..</v>
          </cell>
          <cell r="G251" t="str">
            <v>..</v>
          </cell>
          <cell r="H251" t="str">
            <v>..</v>
          </cell>
          <cell r="I251" t="str">
            <v>..</v>
          </cell>
          <cell r="J251">
            <v>23598030672.057201</v>
          </cell>
          <cell r="K251">
            <v>24597066916.457901</v>
          </cell>
          <cell r="L251">
            <v>26628624968.391399</v>
          </cell>
          <cell r="M251">
            <v>29296104890.448799</v>
          </cell>
          <cell r="N251">
            <v>32503318992.962399</v>
          </cell>
          <cell r="O251">
            <v>36710755341.476402</v>
          </cell>
          <cell r="P251">
            <v>42086849126.516098</v>
          </cell>
          <cell r="Q251">
            <v>50218671624.4263</v>
          </cell>
          <cell r="R251">
            <v>66663188760.967697</v>
          </cell>
          <cell r="S251">
            <v>101622378921.642</v>
          </cell>
          <cell r="T251">
            <v>118246390598.965</v>
          </cell>
          <cell r="U251">
            <v>145958720981.21399</v>
          </cell>
          <cell r="V251">
            <v>168917789124.099</v>
          </cell>
          <cell r="W251">
            <v>181557433368.63599</v>
          </cell>
          <cell r="X251">
            <v>226457249968.95401</v>
          </cell>
          <cell r="Y251">
            <v>271186214027.66901</v>
          </cell>
          <cell r="Z251">
            <v>264651939812.785</v>
          </cell>
          <cell r="AA251">
            <v>303545092933.06403</v>
          </cell>
          <cell r="AB251">
            <v>341133659368.50598</v>
          </cell>
          <cell r="AC251">
            <v>361164360731.10199</v>
          </cell>
          <cell r="AD251">
            <v>393775766785.77301</v>
          </cell>
          <cell r="AE251">
            <v>442523317255.315</v>
          </cell>
          <cell r="AF251">
            <v>386998173385.75897</v>
          </cell>
          <cell r="AG251">
            <v>355278070297.492</v>
          </cell>
          <cell r="AH251">
            <v>357270529707.33899</v>
          </cell>
          <cell r="AI251">
            <v>502613125061.15997</v>
          </cell>
          <cell r="AJ251">
            <v>260425469797.35199</v>
          </cell>
          <cell r="AK251">
            <v>286788732889.47198</v>
          </cell>
          <cell r="AL251">
            <v>294463288520.07703</v>
          </cell>
          <cell r="AM251">
            <v>315701355265.22302</v>
          </cell>
          <cell r="AN251">
            <v>367911230846.82202</v>
          </cell>
          <cell r="AO251">
            <v>424486868010.388</v>
          </cell>
          <cell r="AP251">
            <v>448650738638.58899</v>
          </cell>
          <cell r="AQ251">
            <v>457187340911.521</v>
          </cell>
          <cell r="AR251">
            <v>497321516549.255</v>
          </cell>
          <cell r="AS251">
            <v>527700094132.40002</v>
          </cell>
          <cell r="AT251">
            <v>533950939517.41699</v>
          </cell>
          <cell r="AU251">
            <v>519901603293.92999</v>
          </cell>
          <cell r="AV251">
            <v>567773701363.92102</v>
          </cell>
          <cell r="AW251">
            <v>674691194233.76794</v>
          </cell>
          <cell r="AX251">
            <v>796900907192.59399</v>
          </cell>
          <cell r="AY251">
            <v>924582928587.29797</v>
          </cell>
          <cell r="AZ251">
            <v>1134071682226.52</v>
          </cell>
          <cell r="BA251">
            <v>1400054633003.49</v>
          </cell>
          <cell r="BB251">
            <v>1364471762068.6799</v>
          </cell>
          <cell r="BC251">
            <v>1569843087809.95</v>
          </cell>
          <cell r="BD251">
            <v>1554442275271.21</v>
          </cell>
          <cell r="BE251">
            <v>1687730610902.0701</v>
          </cell>
          <cell r="BF251">
            <v>1558299591867.6499</v>
          </cell>
          <cell r="BG251">
            <v>1533666762442.8301</v>
          </cell>
          <cell r="BH251">
            <v>1371893866853.23</v>
          </cell>
          <cell r="BI251">
            <v>1388491277724.4299</v>
          </cell>
          <cell r="BJ251">
            <v>1368561900925.74</v>
          </cell>
          <cell r="BK251">
            <v>1303939963622.8401</v>
          </cell>
          <cell r="BL251">
            <v>1326402130261.1101</v>
          </cell>
          <cell r="BM251">
            <v>1180179221398</v>
          </cell>
          <cell r="BN251">
            <v>1180179221398</v>
          </cell>
        </row>
        <row r="252">
          <cell r="B252" t="str">
            <v>MIC</v>
          </cell>
          <cell r="C252" t="str">
            <v>GDP (current US$)</v>
          </cell>
          <cell r="D252" t="str">
            <v>NY.GDP.MKTP.CD</v>
          </cell>
          <cell r="E252">
            <v>328822652620.78101</v>
          </cell>
          <cell r="F252">
            <v>313474478852.45203</v>
          </cell>
          <cell r="G252">
            <v>320144854583.91199</v>
          </cell>
          <cell r="H252">
            <v>343233075401.125</v>
          </cell>
          <cell r="I252">
            <v>390748540107.15399</v>
          </cell>
          <cell r="J252">
            <v>431090979772.14801</v>
          </cell>
          <cell r="K252">
            <v>446089605061.33698</v>
          </cell>
          <cell r="L252">
            <v>458129733557.92603</v>
          </cell>
          <cell r="M252">
            <v>483765472711.08301</v>
          </cell>
          <cell r="N252">
            <v>540643093940.28198</v>
          </cell>
          <cell r="O252">
            <v>593905167049.62195</v>
          </cell>
          <cell r="P252">
            <v>638688381219.13794</v>
          </cell>
          <cell r="Q252">
            <v>715844386480.81799</v>
          </cell>
          <cell r="R252">
            <v>913448727868.43896</v>
          </cell>
          <cell r="S252">
            <v>1161115634143.9299</v>
          </cell>
          <cell r="T252">
            <v>1282935779865.21</v>
          </cell>
          <cell r="U252">
            <v>1379058387937.0801</v>
          </cell>
          <cell r="V252">
            <v>1546994866594.6799</v>
          </cell>
          <cell r="W252">
            <v>1676567222599.71</v>
          </cell>
          <cell r="X252">
            <v>1994802941075.1001</v>
          </cell>
          <cell r="Y252">
            <v>2355889463388.4702</v>
          </cell>
          <cell r="Z252">
            <v>2652841167852.2402</v>
          </cell>
          <cell r="AA252">
            <v>2613238190270.27</v>
          </cell>
          <cell r="AB252">
            <v>2522637042780.0098</v>
          </cell>
          <cell r="AC252">
            <v>2554212953768.29</v>
          </cell>
          <cell r="AD252">
            <v>2706402077890.7798</v>
          </cell>
          <cell r="AE252">
            <v>2804427287025.3301</v>
          </cell>
          <cell r="AF252">
            <v>2886292001502.4502</v>
          </cell>
          <cell r="AG252">
            <v>3086560231205.6499</v>
          </cell>
          <cell r="AH252">
            <v>3151245180826.54</v>
          </cell>
          <cell r="AI252">
            <v>3613924993280.27</v>
          </cell>
          <cell r="AJ252">
            <v>3473709492827.8301</v>
          </cell>
          <cell r="AK252">
            <v>3647748936978.6499</v>
          </cell>
          <cell r="AL252">
            <v>3919613407646.4502</v>
          </cell>
          <cell r="AM252">
            <v>4316998893644.79</v>
          </cell>
          <cell r="AN252">
            <v>4869095010116.2695</v>
          </cell>
          <cell r="AO252">
            <v>5332626582378.1699</v>
          </cell>
          <cell r="AP252">
            <v>5639822178942.2402</v>
          </cell>
          <cell r="AQ252">
            <v>5460023388336.9902</v>
          </cell>
          <cell r="AR252">
            <v>5337741537782.3604</v>
          </cell>
          <cell r="AS252">
            <v>5819856072472.6602</v>
          </cell>
          <cell r="AT252">
            <v>5877899226030.5195</v>
          </cell>
          <cell r="AU252">
            <v>6022311549424.6504</v>
          </cell>
          <cell r="AV252">
            <v>6795051571693.0801</v>
          </cell>
          <cell r="AW252">
            <v>8073114562894.8301</v>
          </cell>
          <cell r="AX252">
            <v>9617883099837.8691</v>
          </cell>
          <cell r="AY252">
            <v>11420374147125.1</v>
          </cell>
          <cell r="AZ252">
            <v>14140686448815.6</v>
          </cell>
          <cell r="BA252">
            <v>16925011207017.4</v>
          </cell>
          <cell r="BB252">
            <v>16501832706042.1</v>
          </cell>
          <cell r="BC252">
            <v>20041628752133.199</v>
          </cell>
          <cell r="BD252">
            <v>23825999777911.602</v>
          </cell>
          <cell r="BE252">
            <v>25387752941965.898</v>
          </cell>
          <cell r="BF252">
            <v>26922118067747.398</v>
          </cell>
          <cell r="BG252">
            <v>27815839699399.699</v>
          </cell>
          <cell r="BH252">
            <v>26380350797716.602</v>
          </cell>
          <cell r="BI252">
            <v>26558023228732.301</v>
          </cell>
          <cell r="BJ252">
            <v>29186000510333.602</v>
          </cell>
          <cell r="BK252">
            <v>30985606994094.398</v>
          </cell>
          <cell r="BL252">
            <v>31771082836908</v>
          </cell>
          <cell r="BM252">
            <v>30535343464998.602</v>
          </cell>
          <cell r="BN252">
            <v>30535343464998.602</v>
          </cell>
        </row>
        <row r="253">
          <cell r="B253" t="str">
            <v>NAC</v>
          </cell>
          <cell r="C253" t="str">
            <v>GDP (current US$)</v>
          </cell>
          <cell r="D253" t="str">
            <v>NY.GDP.MKTP.CD</v>
          </cell>
          <cell r="E253">
            <v>583846188346.724</v>
          </cell>
          <cell r="F253">
            <v>604324202050.64404</v>
          </cell>
          <cell r="G253">
            <v>647421597617.88306</v>
          </cell>
          <cell r="H253">
            <v>683726355213.51599</v>
          </cell>
          <cell r="I253">
            <v>735285089547.33704</v>
          </cell>
          <cell r="J253">
            <v>798329518629.68005</v>
          </cell>
          <cell r="K253">
            <v>876222557410.43799</v>
          </cell>
          <cell r="L253">
            <v>927523758485.75305</v>
          </cell>
          <cell r="M253">
            <v>1014479810519.9</v>
          </cell>
          <cell r="N253">
            <v>1099213311661.6899</v>
          </cell>
          <cell r="O253">
            <v>1161385395320.1299</v>
          </cell>
          <cell r="P253">
            <v>1264333061774.6101</v>
          </cell>
          <cell r="Q253">
            <v>1392428220486.9199</v>
          </cell>
          <cell r="R253">
            <v>1556967358814.1201</v>
          </cell>
          <cell r="S253">
            <v>1705964297341.51</v>
          </cell>
          <cell r="T253">
            <v>1859083029689.3401</v>
          </cell>
          <cell r="U253">
            <v>2080373864908.72</v>
          </cell>
          <cell r="V253">
            <v>2293885157028.6802</v>
          </cell>
          <cell r="W253">
            <v>2570707667537.48</v>
          </cell>
          <cell r="X253">
            <v>2870922302612.2598</v>
          </cell>
          <cell r="Y253">
            <v>3131774126516.0698</v>
          </cell>
          <cell r="Z253">
            <v>3513994963656.9902</v>
          </cell>
          <cell r="AA253">
            <v>3658081025119.1401</v>
          </cell>
          <cell r="AB253">
            <v>3975475111781.8901</v>
          </cell>
          <cell r="AC253">
            <v>4393971258071.6201</v>
          </cell>
          <cell r="AD253">
            <v>4704774999482.75</v>
          </cell>
          <cell r="AE253">
            <v>4958242427343.9805</v>
          </cell>
          <cell r="AF253">
            <v>5287828242049.4502</v>
          </cell>
          <cell r="AG253">
            <v>5745207451214.25</v>
          </cell>
          <cell r="AH253">
            <v>6208137243275.2402</v>
          </cell>
          <cell r="AI253">
            <v>6558665950908.4697</v>
          </cell>
          <cell r="AJ253">
            <v>6770092083643.1904</v>
          </cell>
          <cell r="AK253">
            <v>7114394589252.9199</v>
          </cell>
          <cell r="AL253">
            <v>7437550121856.4404</v>
          </cell>
          <cell r="AM253">
            <v>7867242439537.6104</v>
          </cell>
          <cell r="AN253">
            <v>8245811373433.4004</v>
          </cell>
          <cell r="AO253">
            <v>8704363777972.1299</v>
          </cell>
          <cell r="AP253">
            <v>9235474283855.5605</v>
          </cell>
          <cell r="AQ253">
            <v>9699948950000</v>
          </cell>
          <cell r="AR253">
            <v>10312400831271.1</v>
          </cell>
          <cell r="AS253">
            <v>11000599098931.6</v>
          </cell>
          <cell r="AT253">
            <v>11324483674355.4</v>
          </cell>
          <cell r="AU253">
            <v>11701005616098</v>
          </cell>
          <cell r="AV253">
            <v>12357971049634.801</v>
          </cell>
          <cell r="AW253">
            <v>13244904088278.199</v>
          </cell>
          <cell r="AX253">
            <v>14214616964778.699</v>
          </cell>
          <cell r="AY253">
            <v>15140020223591</v>
          </cell>
          <cell r="AZ253">
            <v>15927446063783.301</v>
          </cell>
          <cell r="BA253">
            <v>16272813774721.699</v>
          </cell>
          <cell r="BB253">
            <v>15830214167157.301</v>
          </cell>
          <cell r="BC253">
            <v>16616030620486.301</v>
          </cell>
          <cell r="BD253">
            <v>17342220425174.5</v>
          </cell>
          <cell r="BE253">
            <v>18031752018521.602</v>
          </cell>
          <cell r="BF253">
            <v>18637912373835</v>
          </cell>
          <cell r="BG253">
            <v>19339327561439.898</v>
          </cell>
          <cell r="BH253">
            <v>19801463926217.102</v>
          </cell>
          <cell r="BI253">
            <v>20279970339907.398</v>
          </cell>
          <cell r="BJ253">
            <v>21199387143244.102</v>
          </cell>
          <cell r="BK253">
            <v>22344414455783</v>
          </cell>
          <cell r="BL253">
            <v>23182723855482.301</v>
          </cell>
          <cell r="BM253">
            <v>22605296107568.398</v>
          </cell>
          <cell r="BN253">
            <v>22605296107568.398</v>
          </cell>
        </row>
        <row r="254">
          <cell r="B254" t="str">
            <v>INX</v>
          </cell>
          <cell r="C254" t="str">
            <v>GDP (current US$)</v>
          </cell>
          <cell r="D254" t="str">
            <v>NY.GDP.MKTP.CD</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cell r="AJ254" t="str">
            <v>..</v>
          </cell>
          <cell r="AK254" t="str">
            <v>..</v>
          </cell>
          <cell r="AL254" t="str">
            <v>..</v>
          </cell>
          <cell r="AM254" t="str">
            <v>..</v>
          </cell>
          <cell r="AN254" t="str">
            <v>..</v>
          </cell>
          <cell r="AO254" t="str">
            <v>..</v>
          </cell>
          <cell r="AP254" t="str">
            <v>..</v>
          </cell>
          <cell r="AQ254" t="str">
            <v>..</v>
          </cell>
          <cell r="AR254" t="str">
            <v>..</v>
          </cell>
          <cell r="AS254" t="str">
            <v>..</v>
          </cell>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v>
          </cell>
          <cell r="BN254" t="str">
            <v/>
          </cell>
        </row>
        <row r="255">
          <cell r="B255" t="str">
            <v>OED</v>
          </cell>
          <cell r="C255" t="str">
            <v>GDP (current US$)</v>
          </cell>
          <cell r="D255" t="str">
            <v>NY.GDP.MKTP.CD</v>
          </cell>
          <cell r="E255">
            <v>1080922981905.54</v>
          </cell>
          <cell r="F255">
            <v>1136640781343.8601</v>
          </cell>
          <cell r="G255">
            <v>1226904913527.29</v>
          </cell>
          <cell r="H255">
            <v>1322445570819.53</v>
          </cell>
          <cell r="I255">
            <v>1445364795431.8501</v>
          </cell>
          <cell r="J255">
            <v>1568735370320.47</v>
          </cell>
          <cell r="K255">
            <v>1721760041165.1399</v>
          </cell>
          <cell r="L255">
            <v>1848298632184.3</v>
          </cell>
          <cell r="M255">
            <v>2004941971123.1399</v>
          </cell>
          <cell r="N255">
            <v>2205473071981.3398</v>
          </cell>
          <cell r="O255">
            <v>2403724567303.7202</v>
          </cell>
          <cell r="P255">
            <v>2662042987061.4902</v>
          </cell>
          <cell r="Q255">
            <v>3087918975128.46</v>
          </cell>
          <cell r="R255">
            <v>3730743638866.7402</v>
          </cell>
          <cell r="S255">
            <v>4180195577464.0298</v>
          </cell>
          <cell r="T255">
            <v>4685403275723.04</v>
          </cell>
          <cell r="U255">
            <v>5081490005351.3896</v>
          </cell>
          <cell r="V255">
            <v>5732825564743.04</v>
          </cell>
          <cell r="W255">
            <v>6887361578909.3398</v>
          </cell>
          <cell r="X255">
            <v>7955677031652.4502</v>
          </cell>
          <cell r="Y255">
            <v>8841766912790.8203</v>
          </cell>
          <cell r="Z255">
            <v>9000832732019.0195</v>
          </cell>
          <cell r="AA255">
            <v>8866175724501.4805</v>
          </cell>
          <cell r="AB255">
            <v>9156194303891.8906</v>
          </cell>
          <cell r="AC255">
            <v>9575763726481.4492</v>
          </cell>
          <cell r="AD255">
            <v>10085317596960.801</v>
          </cell>
          <cell r="AE255">
            <v>12215381330579.1</v>
          </cell>
          <cell r="AF255">
            <v>14146636176184.5</v>
          </cell>
          <cell r="AG255">
            <v>15945549774753.4</v>
          </cell>
          <cell r="AH255">
            <v>16686842763161.9</v>
          </cell>
          <cell r="AI255">
            <v>18798023223111.898</v>
          </cell>
          <cell r="AJ255">
            <v>19895938493194.602</v>
          </cell>
          <cell r="AK255">
            <v>21398668236916.102</v>
          </cell>
          <cell r="AL255">
            <v>21690689924186.699</v>
          </cell>
          <cell r="AM255">
            <v>23274311299271.801</v>
          </cell>
          <cell r="AN255">
            <v>25657405842625.398</v>
          </cell>
          <cell r="AO255">
            <v>25873278788541.102</v>
          </cell>
          <cell r="AP255">
            <v>25478427046034.199</v>
          </cell>
          <cell r="AQ255">
            <v>25739267938413.699</v>
          </cell>
          <cell r="AR255">
            <v>27030874196401.102</v>
          </cell>
          <cell r="AS255">
            <v>27613249819170.102</v>
          </cell>
          <cell r="AT255">
            <v>27359743820857.398</v>
          </cell>
          <cell r="AU255">
            <v>28530594978307.602</v>
          </cell>
          <cell r="AV255">
            <v>31929301935405.699</v>
          </cell>
          <cell r="AW255">
            <v>35546119817019.5</v>
          </cell>
          <cell r="AX255">
            <v>37600104867063.203</v>
          </cell>
          <cell r="AY255">
            <v>39668032523351.203</v>
          </cell>
          <cell r="AZ255">
            <v>43407506423619.703</v>
          </cell>
          <cell r="BA255">
            <v>46011593222716.398</v>
          </cell>
          <cell r="BB255">
            <v>43071862273948.297</v>
          </cell>
          <cell r="BC255">
            <v>45189146600132.398</v>
          </cell>
          <cell r="BD255">
            <v>48610827426814.297</v>
          </cell>
          <cell r="BE255">
            <v>48580091683230.5</v>
          </cell>
          <cell r="BF255">
            <v>49230642034494.102</v>
          </cell>
          <cell r="BG255">
            <v>50263889809025.297</v>
          </cell>
          <cell r="BH255">
            <v>47463898846648</v>
          </cell>
          <cell r="BI255">
            <v>48397984326277.602</v>
          </cell>
          <cell r="BJ255">
            <v>50501618709816.203</v>
          </cell>
          <cell r="BK255">
            <v>53469075642165.5</v>
          </cell>
          <cell r="BL255">
            <v>53983129759722.602</v>
          </cell>
          <cell r="BM255">
            <v>52392675685741.203</v>
          </cell>
          <cell r="BN255">
            <v>52392675685741.203</v>
          </cell>
        </row>
        <row r="256">
          <cell r="B256" t="str">
            <v>OSS</v>
          </cell>
          <cell r="C256" t="str">
            <v>GDP (current US$)</v>
          </cell>
          <cell r="D256" t="str">
            <v>NY.GDP.MKTP.CD</v>
          </cell>
          <cell r="E256" t="str">
            <v>..</v>
          </cell>
          <cell r="F256" t="str">
            <v>..</v>
          </cell>
          <cell r="G256" t="str">
            <v>..</v>
          </cell>
          <cell r="H256" t="str">
            <v>..</v>
          </cell>
          <cell r="I256" t="str">
            <v>..</v>
          </cell>
          <cell r="J256" t="str">
            <v>..</v>
          </cell>
          <cell r="K256" t="str">
            <v>..</v>
          </cell>
          <cell r="L256" t="str">
            <v>..</v>
          </cell>
          <cell r="M256" t="str">
            <v>..</v>
          </cell>
          <cell r="N256" t="str">
            <v>..</v>
          </cell>
          <cell r="O256">
            <v>3136476963.5545402</v>
          </cell>
          <cell r="P256">
            <v>3723426349.5805802</v>
          </cell>
          <cell r="Q256">
            <v>4506546719.7911396</v>
          </cell>
          <cell r="R256">
            <v>6529375932.9551001</v>
          </cell>
          <cell r="S256">
            <v>12037239771.169201</v>
          </cell>
          <cell r="T256">
            <v>13436837686.3081</v>
          </cell>
          <cell r="U256">
            <v>16704012230.8668</v>
          </cell>
          <cell r="V256">
            <v>18809922853.832199</v>
          </cell>
          <cell r="W256">
            <v>20752026485.782398</v>
          </cell>
          <cell r="X256">
            <v>26946863063.6488</v>
          </cell>
          <cell r="Y256">
            <v>37417416714.0532</v>
          </cell>
          <cell r="Z256">
            <v>37615307071.856003</v>
          </cell>
          <cell r="AA256">
            <v>35579096336.037804</v>
          </cell>
          <cell r="AB256">
            <v>33610515710.745602</v>
          </cell>
          <cell r="AC256">
            <v>33852774905.0555</v>
          </cell>
          <cell r="AD256">
            <v>32170855239.305401</v>
          </cell>
          <cell r="AE256">
            <v>32577247305.6646</v>
          </cell>
          <cell r="AF256">
            <v>38664036893.834</v>
          </cell>
          <cell r="AG256">
            <v>43438789099.150398</v>
          </cell>
          <cell r="AH256">
            <v>45483670006.966301</v>
          </cell>
          <cell r="AI256">
            <v>54434614979.329201</v>
          </cell>
          <cell r="AJ256">
            <v>56052410087.353203</v>
          </cell>
          <cell r="AK256">
            <v>61143960082.334503</v>
          </cell>
          <cell r="AL256">
            <v>58226834949.542</v>
          </cell>
          <cell r="AM256">
            <v>60908208891.895203</v>
          </cell>
          <cell r="AN256">
            <v>70232782348.000702</v>
          </cell>
          <cell r="AO256">
            <v>73995136553.270401</v>
          </cell>
          <cell r="AP256">
            <v>76863051371.563995</v>
          </cell>
          <cell r="AQ256">
            <v>75292616832.643997</v>
          </cell>
          <cell r="AR256">
            <v>80948689717.099304</v>
          </cell>
          <cell r="AS256">
            <v>91409484061.656799</v>
          </cell>
          <cell r="AT256">
            <v>90943070776.240204</v>
          </cell>
          <cell r="AU256">
            <v>98114311646.000793</v>
          </cell>
          <cell r="AV256">
            <v>122145547137.782</v>
          </cell>
          <cell r="AW256">
            <v>151573297104.561</v>
          </cell>
          <cell r="AX256">
            <v>183626997445.75201</v>
          </cell>
          <cell r="AY256">
            <v>215785894153.758</v>
          </cell>
          <cell r="AZ256">
            <v>264055704494.68799</v>
          </cell>
          <cell r="BA256">
            <v>323026840855.02802</v>
          </cell>
          <cell r="BB256">
            <v>277199129949.16803</v>
          </cell>
          <cell r="BC256">
            <v>322471061693.28998</v>
          </cell>
          <cell r="BD256">
            <v>396935260715.64203</v>
          </cell>
          <cell r="BE256">
            <v>414204036938.19598</v>
          </cell>
          <cell r="BF256">
            <v>432280813993.55499</v>
          </cell>
          <cell r="BG256">
            <v>446198800396.37402</v>
          </cell>
          <cell r="BH256">
            <v>369944240893.98199</v>
          </cell>
          <cell r="BI256">
            <v>365871050813.93402</v>
          </cell>
          <cell r="BJ256">
            <v>398011979849.43201</v>
          </cell>
          <cell r="BK256">
            <v>441549513063.08099</v>
          </cell>
          <cell r="BL256">
            <v>432772412402.87903</v>
          </cell>
          <cell r="BM256">
            <v>375853309054.96503</v>
          </cell>
          <cell r="BN256">
            <v>375853309054.96503</v>
          </cell>
        </row>
        <row r="257">
          <cell r="B257" t="str">
            <v>PSS</v>
          </cell>
          <cell r="C257" t="str">
            <v>GDP (current US$)</v>
          </cell>
          <cell r="D257" t="str">
            <v>NY.GDP.MKTP.CD</v>
          </cell>
          <cell r="E257" t="str">
            <v>..</v>
          </cell>
          <cell r="F257" t="str">
            <v>..</v>
          </cell>
          <cell r="G257" t="str">
            <v>..</v>
          </cell>
          <cell r="H257" t="str">
            <v>..</v>
          </cell>
          <cell r="I257" t="str">
            <v>..</v>
          </cell>
          <cell r="J257" t="str">
            <v>..</v>
          </cell>
          <cell r="K257" t="str">
            <v>..</v>
          </cell>
          <cell r="L257" t="str">
            <v>..</v>
          </cell>
          <cell r="M257" t="str">
            <v>..</v>
          </cell>
          <cell r="N257" t="str">
            <v>..</v>
          </cell>
          <cell r="O257" t="str">
            <v>..</v>
          </cell>
          <cell r="P257">
            <v>437436098.412148</v>
          </cell>
          <cell r="Q257">
            <v>525610642.04996997</v>
          </cell>
          <cell r="R257">
            <v>716678424.46415198</v>
          </cell>
          <cell r="S257">
            <v>1018218313.53058</v>
          </cell>
          <cell r="T257">
            <v>1137259249.8145101</v>
          </cell>
          <cell r="U257">
            <v>1140381089.77508</v>
          </cell>
          <cell r="V257">
            <v>1189782612.9823599</v>
          </cell>
          <cell r="W257">
            <v>1379853107.66663</v>
          </cell>
          <cell r="X257">
            <v>1690559785.1401</v>
          </cell>
          <cell r="Y257">
            <v>1962189905.09006</v>
          </cell>
          <cell r="Z257">
            <v>2021557593.3327501</v>
          </cell>
          <cell r="AA257">
            <v>1973920736.9070499</v>
          </cell>
          <cell r="AB257">
            <v>1877396881.2067699</v>
          </cell>
          <cell r="AC257">
            <v>1978081591.24631</v>
          </cell>
          <cell r="AD257">
            <v>1873093013.46749</v>
          </cell>
          <cell r="AE257">
            <v>2042954232.1568</v>
          </cell>
          <cell r="AF257">
            <v>1985439150.8241799</v>
          </cell>
          <cell r="AG257">
            <v>2031693443.37012</v>
          </cell>
          <cell r="AH257">
            <v>2100007041.0098</v>
          </cell>
          <cell r="AI257">
            <v>2351149203.5507202</v>
          </cell>
          <cell r="AJ257">
            <v>2500506858.12324</v>
          </cell>
          <cell r="AK257">
            <v>2742975773.9833298</v>
          </cell>
          <cell r="AL257">
            <v>2907993100.1489701</v>
          </cell>
          <cell r="AM257">
            <v>3426022249.7290702</v>
          </cell>
          <cell r="AN257">
            <v>3716833627.3731699</v>
          </cell>
          <cell r="AO257">
            <v>3978702321.32481</v>
          </cell>
          <cell r="AP257">
            <v>3985636450.9654102</v>
          </cell>
          <cell r="AQ257">
            <v>3413029075.30195</v>
          </cell>
          <cell r="AR257">
            <v>3754359623.4358001</v>
          </cell>
          <cell r="AS257">
            <v>3444921969.8060699</v>
          </cell>
          <cell r="AT257">
            <v>3395627477.4514198</v>
          </cell>
          <cell r="AU257">
            <v>3564053883.49159</v>
          </cell>
          <cell r="AV257">
            <v>4178053088.6359</v>
          </cell>
          <cell r="AW257">
            <v>4818328915.49681</v>
          </cell>
          <cell r="AX257">
            <v>5329582223.8424797</v>
          </cell>
          <cell r="AY257">
            <v>5613654072.5470896</v>
          </cell>
          <cell r="AZ257">
            <v>6192507725.4796495</v>
          </cell>
          <cell r="BA257">
            <v>6609313729.2164698</v>
          </cell>
          <cell r="BB257">
            <v>5916221065.0293198</v>
          </cell>
          <cell r="BC257">
            <v>6566818383.3008604</v>
          </cell>
          <cell r="BD257">
            <v>7713181064.0778799</v>
          </cell>
          <cell r="BE257">
            <v>8186804963.3187599</v>
          </cell>
          <cell r="BF257">
            <v>8498136739.2501402</v>
          </cell>
          <cell r="BG257">
            <v>9226234550.7989006</v>
          </cell>
          <cell r="BH257">
            <v>9019345253.7812099</v>
          </cell>
          <cell r="BI257">
            <v>9456355295.6544399</v>
          </cell>
          <cell r="BJ257">
            <v>10212037558.4144</v>
          </cell>
          <cell r="BK257">
            <v>10656209172.6383</v>
          </cell>
          <cell r="BL257">
            <v>10641343380.1528</v>
          </cell>
          <cell r="BM257">
            <v>9530487871.9081898</v>
          </cell>
          <cell r="BN257">
            <v>9530487871.9081898</v>
          </cell>
        </row>
        <row r="258">
          <cell r="B258" t="str">
            <v>PST</v>
          </cell>
          <cell r="C258" t="str">
            <v>GDP (current US$)</v>
          </cell>
          <cell r="D258" t="str">
            <v>NY.GDP.MKTP.CD</v>
          </cell>
          <cell r="E258">
            <v>1046363632040.01</v>
          </cell>
          <cell r="F258">
            <v>1106329632253.3201</v>
          </cell>
          <cell r="G258">
            <v>1194551168330.78</v>
          </cell>
          <cell r="H258">
            <v>1286748235829.3301</v>
          </cell>
          <cell r="I258">
            <v>1403864556376.8799</v>
          </cell>
          <cell r="J258">
            <v>1525267930468.8701</v>
          </cell>
          <cell r="K258">
            <v>1673010680882.54</v>
          </cell>
          <cell r="L258">
            <v>1795945917271.49</v>
          </cell>
          <cell r="M258">
            <v>1948022446210.8601</v>
          </cell>
          <cell r="N258">
            <v>2141937832030.0701</v>
          </cell>
          <cell r="O258">
            <v>2338917433982.0498</v>
          </cell>
          <cell r="P258">
            <v>2593237303647.5298</v>
          </cell>
          <cell r="Q258">
            <v>3008239458844.1899</v>
          </cell>
          <cell r="R258">
            <v>3632011368064.8701</v>
          </cell>
          <cell r="S258">
            <v>4056192354871.8301</v>
          </cell>
          <cell r="T258">
            <v>4544875820280.2998</v>
          </cell>
          <cell r="U258">
            <v>4931757420682.7695</v>
          </cell>
          <cell r="V258">
            <v>5575660842288.1104</v>
          </cell>
          <cell r="W258">
            <v>6699567679562.1904</v>
          </cell>
          <cell r="X258">
            <v>7702825289718.2305</v>
          </cell>
          <cell r="Y258">
            <v>8529728496186.5898</v>
          </cell>
          <cell r="Z258">
            <v>8626163474008.6699</v>
          </cell>
          <cell r="AA258">
            <v>8588352672604.71</v>
          </cell>
          <cell r="AB258">
            <v>8912803328321.3496</v>
          </cell>
          <cell r="AC258">
            <v>9314451244481.7695</v>
          </cell>
          <cell r="AD258">
            <v>9808051181505.6895</v>
          </cell>
          <cell r="AE258">
            <v>11984100108098.5</v>
          </cell>
          <cell r="AF258">
            <v>13894943873868.6</v>
          </cell>
          <cell r="AG258">
            <v>15652659817231.1</v>
          </cell>
          <cell r="AH258">
            <v>16348050910936.1</v>
          </cell>
          <cell r="AI258">
            <v>18350048061415.102</v>
          </cell>
          <cell r="AJ258">
            <v>19375773963973.801</v>
          </cell>
          <cell r="AK258">
            <v>20806405239953.898</v>
          </cell>
          <cell r="AL258">
            <v>20946807089955.801</v>
          </cell>
          <cell r="AM258">
            <v>22523178749859.102</v>
          </cell>
          <cell r="AN258">
            <v>24976744274171</v>
          </cell>
          <cell r="AO258">
            <v>25095170446089.602</v>
          </cell>
          <cell r="AP258">
            <v>24600447558960.602</v>
          </cell>
          <cell r="AQ258">
            <v>24707800620018.801</v>
          </cell>
          <cell r="AR258">
            <v>25940385523059.602</v>
          </cell>
          <cell r="AS258">
            <v>26380608834749.301</v>
          </cell>
          <cell r="AT258">
            <v>26132147128591.102</v>
          </cell>
          <cell r="AU258">
            <v>27241373817019.199</v>
          </cell>
          <cell r="AV258">
            <v>30555902150617.898</v>
          </cell>
          <cell r="AW258">
            <v>33949747460629.301</v>
          </cell>
          <cell r="AX258">
            <v>35738107370927.602</v>
          </cell>
          <cell r="AY258">
            <v>37607826645481.297</v>
          </cell>
          <cell r="AZ258">
            <v>41025496632875.297</v>
          </cell>
          <cell r="BA258">
            <v>43378274644683.203</v>
          </cell>
          <cell r="BB258">
            <v>40866971091636.203</v>
          </cell>
          <cell r="BC258">
            <v>42629950239297.398</v>
          </cell>
          <cell r="BD258">
            <v>45786834754035.703</v>
          </cell>
          <cell r="BE258">
            <v>45736830487196.797</v>
          </cell>
          <cell r="BF258">
            <v>46190856863374.703</v>
          </cell>
          <cell r="BG258">
            <v>47132834889148.102</v>
          </cell>
          <cell r="BH258">
            <v>44639629214327.102</v>
          </cell>
          <cell r="BI258">
            <v>45663052438816.602</v>
          </cell>
          <cell r="BJ258">
            <v>47592585202958.398</v>
          </cell>
          <cell r="BK258">
            <v>50485659285623</v>
          </cell>
          <cell r="BL258">
            <v>50983772698324.297</v>
          </cell>
          <cell r="BM258">
            <v>49594473170967.898</v>
          </cell>
          <cell r="BN258">
            <v>49594473170967.898</v>
          </cell>
        </row>
        <row r="259">
          <cell r="B259" t="str">
            <v>PRE</v>
          </cell>
          <cell r="C259" t="str">
            <v>GDP (current US$)</v>
          </cell>
          <cell r="D259" t="str">
            <v>NY.GDP.MKTP.CD</v>
          </cell>
          <cell r="E259">
            <v>20970065731.7798</v>
          </cell>
          <cell r="F259">
            <v>21565864934.1726</v>
          </cell>
          <cell r="G259">
            <v>23608069248.730598</v>
          </cell>
          <cell r="H259">
            <v>27512961950.769501</v>
          </cell>
          <cell r="I259">
            <v>25629692919.0513</v>
          </cell>
          <cell r="J259">
            <v>28886918906.997101</v>
          </cell>
          <cell r="K259">
            <v>31727975016.252399</v>
          </cell>
          <cell r="L259">
            <v>29956918233.738201</v>
          </cell>
          <cell r="M259">
            <v>31574550875.312801</v>
          </cell>
          <cell r="N259">
            <v>35760373797.306297</v>
          </cell>
          <cell r="O259">
            <v>43744282748.016296</v>
          </cell>
          <cell r="P259">
            <v>42757455088.758598</v>
          </cell>
          <cell r="Q259">
            <v>49738038517.121902</v>
          </cell>
          <cell r="R259">
            <v>61096711741.523697</v>
          </cell>
          <cell r="S259">
            <v>86648974203.652603</v>
          </cell>
          <cell r="T259">
            <v>98991703006.0327</v>
          </cell>
          <cell r="U259">
            <v>116097244299.436</v>
          </cell>
          <cell r="V259">
            <v>128462641583.616</v>
          </cell>
          <cell r="W259">
            <v>143079084687.702</v>
          </cell>
          <cell r="X259">
            <v>180589709234.979</v>
          </cell>
          <cell r="Y259">
            <v>220909690971.54501</v>
          </cell>
          <cell r="Z259">
            <v>309298836333.08801</v>
          </cell>
          <cell r="AA259">
            <v>290409471740.12299</v>
          </cell>
          <cell r="AB259">
            <v>231582825420.17401</v>
          </cell>
          <cell r="AC259">
            <v>211263518573.45999</v>
          </cell>
          <cell r="AD259">
            <v>218613855409.55701</v>
          </cell>
          <cell r="AE259">
            <v>212252356690.84299</v>
          </cell>
          <cell r="AF259">
            <v>234537821935.189</v>
          </cell>
          <cell r="AG259">
            <v>237999521942.71301</v>
          </cell>
          <cell r="AH259">
            <v>233418549953.88501</v>
          </cell>
          <cell r="AI259">
            <v>370608433032.48297</v>
          </cell>
          <cell r="AJ259">
            <v>166993068549.87799</v>
          </cell>
          <cell r="AK259">
            <v>159753371825.41199</v>
          </cell>
          <cell r="AL259">
            <v>143995650845.267</v>
          </cell>
          <cell r="AM259">
            <v>135145847783.98599</v>
          </cell>
          <cell r="AN259">
            <v>173773917212.30301</v>
          </cell>
          <cell r="AO259">
            <v>192719907733.323</v>
          </cell>
          <cell r="AP259">
            <v>212333081556.05899</v>
          </cell>
          <cell r="AQ259">
            <v>219169125759.53201</v>
          </cell>
          <cell r="AR259">
            <v>239625839900.66901</v>
          </cell>
          <cell r="AS259">
            <v>277551252554.82599</v>
          </cell>
          <cell r="AT259">
            <v>265240009040.23999</v>
          </cell>
          <cell r="AU259">
            <v>304065229431.716</v>
          </cell>
          <cell r="AV259">
            <v>330399721880.71503</v>
          </cell>
          <cell r="AW259">
            <v>412506003368.39697</v>
          </cell>
          <cell r="AX259">
            <v>514919747448.72998</v>
          </cell>
          <cell r="AY259">
            <v>647727664807.64502</v>
          </cell>
          <cell r="AZ259">
            <v>784336467687.69397</v>
          </cell>
          <cell r="BA259">
            <v>982331145284.13599</v>
          </cell>
          <cell r="BB259">
            <v>891722999254.526</v>
          </cell>
          <cell r="BC259">
            <v>1037776079579.75</v>
          </cell>
          <cell r="BD259">
            <v>1199642640459.0801</v>
          </cell>
          <cell r="BE259">
            <v>1306390237930.6201</v>
          </cell>
          <cell r="BF259">
            <v>1435831507918.79</v>
          </cell>
          <cell r="BG259">
            <v>1511292036256.77</v>
          </cell>
          <cell r="BH259">
            <v>1318251883991.98</v>
          </cell>
          <cell r="BI259">
            <v>1205554683338.8899</v>
          </cell>
          <cell r="BJ259">
            <v>1258665620177.51</v>
          </cell>
          <cell r="BK259">
            <v>1344631255020.8401</v>
          </cell>
          <cell r="BL259">
            <v>1407737206758.23</v>
          </cell>
          <cell r="BM259">
            <v>1293147607836.51</v>
          </cell>
          <cell r="BN259">
            <v>1293147607836.51</v>
          </cell>
        </row>
        <row r="260">
          <cell r="B260" t="str">
            <v>SST</v>
          </cell>
          <cell r="C260" t="str">
            <v>GDP (current US$)</v>
          </cell>
          <cell r="D260" t="str">
            <v>NY.GDP.MKTP.CD</v>
          </cell>
          <cell r="E260" t="str">
            <v>..</v>
          </cell>
          <cell r="F260" t="str">
            <v>..</v>
          </cell>
          <cell r="G260" t="str">
            <v>..</v>
          </cell>
          <cell r="H260" t="str">
            <v>..</v>
          </cell>
          <cell r="I260" t="str">
            <v>..</v>
          </cell>
          <cell r="J260" t="str">
            <v>..</v>
          </cell>
          <cell r="K260" t="str">
            <v>..</v>
          </cell>
          <cell r="L260" t="str">
            <v>..</v>
          </cell>
          <cell r="M260" t="str">
            <v>..</v>
          </cell>
          <cell r="N260" t="str">
            <v>..</v>
          </cell>
          <cell r="O260">
            <v>7871345584.3716297</v>
          </cell>
          <cell r="P260">
            <v>8855637583.0929604</v>
          </cell>
          <cell r="Q260">
            <v>10433492402.216801</v>
          </cell>
          <cell r="R260">
            <v>13002648842.5347</v>
          </cell>
          <cell r="S260">
            <v>20198276930.224998</v>
          </cell>
          <cell r="T260">
            <v>22993381875.0154</v>
          </cell>
          <cell r="U260">
            <v>26247009944.5919</v>
          </cell>
          <cell r="V260">
            <v>29805833773.563</v>
          </cell>
          <cell r="W260">
            <v>32045912080.151699</v>
          </cell>
          <cell r="X260">
            <v>39768847418.002296</v>
          </cell>
          <cell r="Y260">
            <v>52919781977.044403</v>
          </cell>
          <cell r="Z260">
            <v>54682806939.549797</v>
          </cell>
          <cell r="AA260">
            <v>54423739873.372902</v>
          </cell>
          <cell r="AB260">
            <v>52651924857.222099</v>
          </cell>
          <cell r="AC260">
            <v>52168625449.697899</v>
          </cell>
          <cell r="AD260">
            <v>50249044986.422897</v>
          </cell>
          <cell r="AE260">
            <v>49319167812.121696</v>
          </cell>
          <cell r="AF260">
            <v>56334387306.715202</v>
          </cell>
          <cell r="AG260">
            <v>62037928015.988602</v>
          </cell>
          <cell r="AH260">
            <v>64541989169.542503</v>
          </cell>
          <cell r="AI260">
            <v>74735513586.883606</v>
          </cell>
          <cell r="AJ260">
            <v>76319898937.686401</v>
          </cell>
          <cell r="AK260">
            <v>81198652882.792999</v>
          </cell>
          <cell r="AL260">
            <v>80092773731.554596</v>
          </cell>
          <cell r="AM260">
            <v>84285950115.486099</v>
          </cell>
          <cell r="AN260">
            <v>95870341561.001694</v>
          </cell>
          <cell r="AO260">
            <v>101912077089.073</v>
          </cell>
          <cell r="AP260">
            <v>108977685154.748</v>
          </cell>
          <cell r="AQ260">
            <v>108832345095.57201</v>
          </cell>
          <cell r="AR260">
            <v>116632628130.3</v>
          </cell>
          <cell r="AS260">
            <v>129062581247.978</v>
          </cell>
          <cell r="AT260">
            <v>129578896927.03</v>
          </cell>
          <cell r="AU260">
            <v>138660041228.35699</v>
          </cell>
          <cell r="AV260">
            <v>165859303927.022</v>
          </cell>
          <cell r="AW260">
            <v>199640466372.48099</v>
          </cell>
          <cell r="AX260">
            <v>237865672328.60001</v>
          </cell>
          <cell r="AY260">
            <v>277063733087.85498</v>
          </cell>
          <cell r="AZ260">
            <v>332118867237.79199</v>
          </cell>
          <cell r="BA260">
            <v>399976736419.38202</v>
          </cell>
          <cell r="BB260">
            <v>342525336119.24902</v>
          </cell>
          <cell r="BC260">
            <v>393562327094.90302</v>
          </cell>
          <cell r="BD260">
            <v>474316713512.62701</v>
          </cell>
          <cell r="BE260">
            <v>494441957225.31403</v>
          </cell>
          <cell r="BF260">
            <v>514124360196.71399</v>
          </cell>
          <cell r="BG260">
            <v>529895957927.51599</v>
          </cell>
          <cell r="BH260">
            <v>452206885980.76501</v>
          </cell>
          <cell r="BI260">
            <v>444926108167.461</v>
          </cell>
          <cell r="BJ260">
            <v>479917651624.90002</v>
          </cell>
          <cell r="BK260">
            <v>527518555673.901</v>
          </cell>
          <cell r="BL260">
            <v>519587425264.17603</v>
          </cell>
          <cell r="BM260">
            <v>451423668844.16602</v>
          </cell>
          <cell r="BN260">
            <v>451423668844.16602</v>
          </cell>
        </row>
        <row r="261">
          <cell r="B261" t="str">
            <v>SAS</v>
          </cell>
          <cell r="C261" t="str">
            <v>GDP (current US$)</v>
          </cell>
          <cell r="D261" t="str">
            <v>NY.GDP.MKTP.CD</v>
          </cell>
          <cell r="E261">
            <v>47170699606.923203</v>
          </cell>
          <cell r="F261">
            <v>50331770780.813904</v>
          </cell>
          <cell r="G261">
            <v>53721519494.226898</v>
          </cell>
          <cell r="H261">
            <v>60426255394.589897</v>
          </cell>
          <cell r="I261">
            <v>69179494304.126694</v>
          </cell>
          <cell r="J261">
            <v>74296512694.087006</v>
          </cell>
          <cell r="K261">
            <v>62475116958.295303</v>
          </cell>
          <cell r="L261">
            <v>68733357253.076797</v>
          </cell>
          <cell r="M261">
            <v>72039818016.714905</v>
          </cell>
          <cell r="N261">
            <v>79195490145.286194</v>
          </cell>
          <cell r="O261">
            <v>85737283039.652206</v>
          </cell>
          <cell r="P261">
            <v>91195879601.418304</v>
          </cell>
          <cell r="Q261">
            <v>91680529302.174393</v>
          </cell>
          <cell r="R261">
            <v>104812500642.22</v>
          </cell>
          <cell r="S261">
            <v>126972253469.314</v>
          </cell>
          <cell r="T261">
            <v>135907831613.683</v>
          </cell>
          <cell r="U261">
            <v>132647805505.075</v>
          </cell>
          <cell r="V261">
            <v>153599832378.00101</v>
          </cell>
          <cell r="W261">
            <v>174773663985.82199</v>
          </cell>
          <cell r="X261">
            <v>195751155053.95001</v>
          </cell>
          <cell r="Y261">
            <v>236032168287.02301</v>
          </cell>
          <cell r="Z261">
            <v>250213642682.99301</v>
          </cell>
          <cell r="AA261">
            <v>258869159759.91101</v>
          </cell>
          <cell r="AB261">
            <v>274032732754.83701</v>
          </cell>
          <cell r="AC261">
            <v>272757831561.659</v>
          </cell>
          <cell r="AD261">
            <v>296599020652.92499</v>
          </cell>
          <cell r="AE261">
            <v>314128066863.64398</v>
          </cell>
          <cell r="AF261">
            <v>348793876693.89899</v>
          </cell>
          <cell r="AG261">
            <v>374789764145.44702</v>
          </cell>
          <cell r="AH261">
            <v>378225266722.401</v>
          </cell>
          <cell r="AI261">
            <v>407187370820.237</v>
          </cell>
          <cell r="AJ261">
            <v>362262532165.60999</v>
          </cell>
          <cell r="AK261">
            <v>384733617428.08301</v>
          </cell>
          <cell r="AL261">
            <v>381100277389.04102</v>
          </cell>
          <cell r="AM261">
            <v>432324272247.72302</v>
          </cell>
          <cell r="AN261">
            <v>479849581301.10699</v>
          </cell>
          <cell r="AO261">
            <v>524970419712.20001</v>
          </cell>
          <cell r="AP261">
            <v>550712123644.93701</v>
          </cell>
          <cell r="AQ261">
            <v>558424594165.81897</v>
          </cell>
          <cell r="AR261">
            <v>598323918709.828</v>
          </cell>
          <cell r="AS261">
            <v>630429061929.22803</v>
          </cell>
          <cell r="AT261">
            <v>645870123668.46399</v>
          </cell>
          <cell r="AU261">
            <v>677627487567.08496</v>
          </cell>
          <cell r="AV261">
            <v>791002717916.67395</v>
          </cell>
          <cell r="AW261">
            <v>917089339402.25195</v>
          </cell>
          <cell r="AX261">
            <v>1050585317863.97</v>
          </cell>
          <cell r="AY261">
            <v>1196088039743.3101</v>
          </cell>
          <cell r="AZ261">
            <v>1504193483987.5601</v>
          </cell>
          <cell r="BA261">
            <v>1527472685559.3999</v>
          </cell>
          <cell r="BB261">
            <v>1683433843105.3799</v>
          </cell>
          <cell r="BC261">
            <v>2060781299767.8799</v>
          </cell>
          <cell r="BD261">
            <v>2274546308870.4199</v>
          </cell>
          <cell r="BE261">
            <v>2300089514184.29</v>
          </cell>
          <cell r="BF261">
            <v>2359608787133.3301</v>
          </cell>
          <cell r="BG261">
            <v>2584563411971.5</v>
          </cell>
          <cell r="BH261">
            <v>2699434735086.46</v>
          </cell>
          <cell r="BI261">
            <v>2926447614196.8701</v>
          </cell>
          <cell r="BJ261">
            <v>3348108849820.7402</v>
          </cell>
          <cell r="BK261">
            <v>3436593922937.52</v>
          </cell>
          <cell r="BL261">
            <v>3597252024123.4502</v>
          </cell>
          <cell r="BM261">
            <v>3386420411905.1001</v>
          </cell>
          <cell r="BN261">
            <v>3386420411905.1001</v>
          </cell>
        </row>
        <row r="262">
          <cell r="B262" t="str">
            <v>TSA</v>
          </cell>
          <cell r="C262" t="str">
            <v>GDP (current US$)</v>
          </cell>
          <cell r="D262" t="str">
            <v>NY.GDP.MKTP.CD</v>
          </cell>
          <cell r="E262">
            <v>47170699606.923302</v>
          </cell>
          <cell r="F262">
            <v>50331770780.813904</v>
          </cell>
          <cell r="G262">
            <v>53721519494.226898</v>
          </cell>
          <cell r="H262">
            <v>60426255394.589897</v>
          </cell>
          <cell r="I262">
            <v>69179494304.126801</v>
          </cell>
          <cell r="J262">
            <v>74296512694.087097</v>
          </cell>
          <cell r="K262">
            <v>62475116958.295403</v>
          </cell>
          <cell r="L262">
            <v>68733357253.076904</v>
          </cell>
          <cell r="M262">
            <v>72039818016.714996</v>
          </cell>
          <cell r="N262">
            <v>79195490145.286301</v>
          </cell>
          <cell r="O262">
            <v>85737283039.652298</v>
          </cell>
          <cell r="P262">
            <v>91195879601.418396</v>
          </cell>
          <cell r="Q262">
            <v>91680529302.1745</v>
          </cell>
          <cell r="R262">
            <v>104812500642.22</v>
          </cell>
          <cell r="S262">
            <v>126972253469.314</v>
          </cell>
          <cell r="T262">
            <v>135907831613.683</v>
          </cell>
          <cell r="U262">
            <v>132647805505.076</v>
          </cell>
          <cell r="V262">
            <v>153599832378.00101</v>
          </cell>
          <cell r="W262">
            <v>174773663985.82199</v>
          </cell>
          <cell r="X262">
            <v>195751155053.95001</v>
          </cell>
          <cell r="Y262">
            <v>236032168287.02399</v>
          </cell>
          <cell r="Z262">
            <v>250213642682.99301</v>
          </cell>
          <cell r="AA262">
            <v>258869159759.91101</v>
          </cell>
          <cell r="AB262">
            <v>274032732754.83801</v>
          </cell>
          <cell r="AC262">
            <v>272757831561.659</v>
          </cell>
          <cell r="AD262">
            <v>296599020652.92499</v>
          </cell>
          <cell r="AE262">
            <v>314128066863.64398</v>
          </cell>
          <cell r="AF262">
            <v>348793876693.90002</v>
          </cell>
          <cell r="AG262">
            <v>374789764145.44702</v>
          </cell>
          <cell r="AH262">
            <v>378225266722.401</v>
          </cell>
          <cell r="AI262">
            <v>407187370820.23798</v>
          </cell>
          <cell r="AJ262">
            <v>362262532165.60999</v>
          </cell>
          <cell r="AK262">
            <v>384733617428.08398</v>
          </cell>
          <cell r="AL262">
            <v>381100277389.04199</v>
          </cell>
          <cell r="AM262">
            <v>432324272247.724</v>
          </cell>
          <cell r="AN262">
            <v>479849581301.10699</v>
          </cell>
          <cell r="AO262">
            <v>524970419712.20001</v>
          </cell>
          <cell r="AP262">
            <v>550712123644.93701</v>
          </cell>
          <cell r="AQ262">
            <v>558424594165.81897</v>
          </cell>
          <cell r="AR262">
            <v>598323918709.828</v>
          </cell>
          <cell r="AS262">
            <v>630429061929.22803</v>
          </cell>
          <cell r="AT262">
            <v>645870123668.46399</v>
          </cell>
          <cell r="AU262">
            <v>677627487567.08496</v>
          </cell>
          <cell r="AV262">
            <v>791002717916.67395</v>
          </cell>
          <cell r="AW262">
            <v>917089339402.25195</v>
          </cell>
          <cell r="AX262">
            <v>1050585317863.97</v>
          </cell>
          <cell r="AY262">
            <v>1196088039743.3101</v>
          </cell>
          <cell r="AZ262">
            <v>1504193483987.5601</v>
          </cell>
          <cell r="BA262">
            <v>1527472685559.3999</v>
          </cell>
          <cell r="BB262">
            <v>1683433843105.3799</v>
          </cell>
          <cell r="BC262">
            <v>2060781299767.8799</v>
          </cell>
          <cell r="BD262">
            <v>2274546308870.4199</v>
          </cell>
          <cell r="BE262">
            <v>2300089514184.29</v>
          </cell>
          <cell r="BF262">
            <v>2359608787133.3301</v>
          </cell>
          <cell r="BG262">
            <v>2584563411971.5</v>
          </cell>
          <cell r="BH262">
            <v>2699434735086.46</v>
          </cell>
          <cell r="BI262">
            <v>2926447614196.8701</v>
          </cell>
          <cell r="BJ262">
            <v>3348108849820.7402</v>
          </cell>
          <cell r="BK262">
            <v>3436593922937.52</v>
          </cell>
          <cell r="BL262">
            <v>3597252024123.4502</v>
          </cell>
          <cell r="BM262">
            <v>3386420411905.1001</v>
          </cell>
          <cell r="BN262">
            <v>3386420411905.1001</v>
          </cell>
        </row>
        <row r="263">
          <cell r="B263" t="str">
            <v>SSF</v>
          </cell>
          <cell r="C263" t="str">
            <v>GDP (current US$)</v>
          </cell>
          <cell r="D263" t="str">
            <v>NY.GDP.MKTP.CD</v>
          </cell>
          <cell r="E263">
            <v>29267715826.104698</v>
          </cell>
          <cell r="F263">
            <v>30410733043.6656</v>
          </cell>
          <cell r="G263">
            <v>32948375263.735901</v>
          </cell>
          <cell r="H263">
            <v>37748216583.624496</v>
          </cell>
          <cell r="I263">
            <v>36866803373.759201</v>
          </cell>
          <cell r="J263">
            <v>41061560163.9776</v>
          </cell>
          <cell r="K263">
            <v>44304731189.6483</v>
          </cell>
          <cell r="L263">
            <v>43799651901.968597</v>
          </cell>
          <cell r="M263">
            <v>46833297633.558601</v>
          </cell>
          <cell r="N263">
            <v>53552935963.330803</v>
          </cell>
          <cell r="O263">
            <v>63016042902.528999</v>
          </cell>
          <cell r="P263">
            <v>64092010575.352501</v>
          </cell>
          <cell r="Q263">
            <v>72415269921.853699</v>
          </cell>
          <cell r="R263">
            <v>92648034304.177307</v>
          </cell>
          <cell r="S263">
            <v>120813079654.974</v>
          </cell>
          <cell r="T263">
            <v>133397033330.63</v>
          </cell>
          <cell r="U263">
            <v>144561455196.957</v>
          </cell>
          <cell r="V263">
            <v>159083792632.48199</v>
          </cell>
          <cell r="W263">
            <v>176067891969.336</v>
          </cell>
          <cell r="X263">
            <v>211703166377.82599</v>
          </cell>
          <cell r="Y263">
            <v>266790137245.77899</v>
          </cell>
          <cell r="Z263">
            <v>371843705966.513</v>
          </cell>
          <cell r="AA263">
            <v>342233798211.22699</v>
          </cell>
          <cell r="AB263">
            <v>298134581972.59601</v>
          </cell>
          <cell r="AC263">
            <v>260490953526.30701</v>
          </cell>
          <cell r="AD263">
            <v>247171228303.38699</v>
          </cell>
          <cell r="AE263">
            <v>254709696543.01401</v>
          </cell>
          <cell r="AF263">
            <v>290001360181.039</v>
          </cell>
          <cell r="AG263">
            <v>297787207900.52698</v>
          </cell>
          <cell r="AH263">
            <v>296186614194.10303</v>
          </cell>
          <cell r="AI263">
            <v>333961210836.51703</v>
          </cell>
          <cell r="AJ263">
            <v>337724679867.20398</v>
          </cell>
          <cell r="AK263">
            <v>338031362451.59198</v>
          </cell>
          <cell r="AL263">
            <v>331796315105.26398</v>
          </cell>
          <cell r="AM263">
            <v>323972651840.297</v>
          </cell>
          <cell r="AN263">
            <v>376445522593.60199</v>
          </cell>
          <cell r="AO263">
            <v>392929142700.18597</v>
          </cell>
          <cell r="AP263">
            <v>407885197057.776</v>
          </cell>
          <cell r="AQ263">
            <v>394739334798.81201</v>
          </cell>
          <cell r="AR263">
            <v>398622414258.54401</v>
          </cell>
          <cell r="AS263">
            <v>423087770312.55603</v>
          </cell>
          <cell r="AT263">
            <v>405983279511.08099</v>
          </cell>
          <cell r="AU263">
            <v>441297738911.32202</v>
          </cell>
          <cell r="AV263">
            <v>556188086098.91101</v>
          </cell>
          <cell r="AW263">
            <v>691531928615.28894</v>
          </cell>
          <cell r="AX263">
            <v>821339098494.41602</v>
          </cell>
          <cell r="AY263">
            <v>968240932235.427</v>
          </cell>
          <cell r="AZ263">
            <v>1121980804861.47</v>
          </cell>
          <cell r="BA263">
            <v>1274686097795.8701</v>
          </cell>
          <cell r="BB263">
            <v>1219298578810.25</v>
          </cell>
          <cell r="BC263">
            <v>1438659084421.26</v>
          </cell>
          <cell r="BD263">
            <v>1614001424232.48</v>
          </cell>
          <cell r="BE263">
            <v>1677883344952.53</v>
          </cell>
          <cell r="BF263">
            <v>1785030038804.6001</v>
          </cell>
          <cell r="BG263">
            <v>1849773690999.1399</v>
          </cell>
          <cell r="BH263">
            <v>1680659709871</v>
          </cell>
          <cell r="BI263">
            <v>1563897897523.55</v>
          </cell>
          <cell r="BJ263">
            <v>1669097279286.27</v>
          </cell>
          <cell r="BK263">
            <v>1754544849278.5801</v>
          </cell>
          <cell r="BL263">
            <v>1804482330027.71</v>
          </cell>
          <cell r="BM263">
            <v>1705379934850.6101</v>
          </cell>
          <cell r="BN263">
            <v>1705379934850.6101</v>
          </cell>
        </row>
        <row r="264">
          <cell r="B264" t="str">
            <v>SSA</v>
          </cell>
          <cell r="C264" t="str">
            <v>GDP (current US$)</v>
          </cell>
          <cell r="D264" t="str">
            <v>NY.GDP.MKTP.CD</v>
          </cell>
          <cell r="E264">
            <v>29256276233.513901</v>
          </cell>
          <cell r="F264">
            <v>30399832762.9534</v>
          </cell>
          <cell r="G264">
            <v>32936474200.063999</v>
          </cell>
          <cell r="H264">
            <v>37735199818.028397</v>
          </cell>
          <cell r="I264">
            <v>36852111792.948997</v>
          </cell>
          <cell r="J264">
            <v>41046896094.5448</v>
          </cell>
          <cell r="K264">
            <v>44289341423.292801</v>
          </cell>
          <cell r="L264">
            <v>43784023072.656601</v>
          </cell>
          <cell r="M264">
            <v>46818456208.0979</v>
          </cell>
          <cell r="N264">
            <v>53538073723.348701</v>
          </cell>
          <cell r="O264">
            <v>62999568291.002998</v>
          </cell>
          <cell r="P264">
            <v>64071739213.424103</v>
          </cell>
          <cell r="Q264">
            <v>72386003257.520004</v>
          </cell>
          <cell r="R264">
            <v>92613114301.370193</v>
          </cell>
          <cell r="S264">
            <v>120772980352.771</v>
          </cell>
          <cell r="T264">
            <v>133352565356.515</v>
          </cell>
          <cell r="U264">
            <v>144516022884.01199</v>
          </cell>
          <cell r="V264">
            <v>159022611239.53299</v>
          </cell>
          <cell r="W264">
            <v>175984811524.76001</v>
          </cell>
          <cell r="X264">
            <v>211576754804.293</v>
          </cell>
          <cell r="Y264">
            <v>266644983452.811</v>
          </cell>
          <cell r="Z264">
            <v>371694374591.37598</v>
          </cell>
          <cell r="AA264">
            <v>342090862918.82098</v>
          </cell>
          <cell r="AB264">
            <v>297991699761.91602</v>
          </cell>
          <cell r="AC264">
            <v>260342333595.57101</v>
          </cell>
          <cell r="AD264">
            <v>247004180896.586</v>
          </cell>
          <cell r="AE264">
            <v>254502786426.814</v>
          </cell>
          <cell r="AF264">
            <v>289752911063.995</v>
          </cell>
          <cell r="AG264">
            <v>297503660407.57098</v>
          </cell>
          <cell r="AH264">
            <v>295882004495.047</v>
          </cell>
          <cell r="AI264">
            <v>333592815221.55298</v>
          </cell>
          <cell r="AJ264">
            <v>337350445905.88397</v>
          </cell>
          <cell r="AK264">
            <v>337596111887.37402</v>
          </cell>
          <cell r="AL264">
            <v>331319517805.35901</v>
          </cell>
          <cell r="AM264">
            <v>323482736330.15997</v>
          </cell>
          <cell r="AN264">
            <v>375934218860.42297</v>
          </cell>
          <cell r="AO264">
            <v>392423310393.66699</v>
          </cell>
          <cell r="AP264">
            <v>407318695246.03497</v>
          </cell>
          <cell r="AQ264">
            <v>394126485437.401</v>
          </cell>
          <cell r="AR264">
            <v>397994761833.28198</v>
          </cell>
          <cell r="AS264">
            <v>422468703746.11902</v>
          </cell>
          <cell r="AT264">
            <v>405356535383.30402</v>
          </cell>
          <cell r="AU264">
            <v>440595048362.95398</v>
          </cell>
          <cell r="AV264">
            <v>555478327511.62</v>
          </cell>
          <cell r="AW264">
            <v>690688110253.91394</v>
          </cell>
          <cell r="AX264">
            <v>820415757880.79395</v>
          </cell>
          <cell r="AY264">
            <v>967220472242.87598</v>
          </cell>
          <cell r="AZ264">
            <v>1120944610222.6899</v>
          </cell>
          <cell r="BA264">
            <v>1273718849953.01</v>
          </cell>
          <cell r="BB264">
            <v>1218451334783.24</v>
          </cell>
          <cell r="BC264">
            <v>1437689406308.46</v>
          </cell>
          <cell r="BD264">
            <v>1612935944871.5901</v>
          </cell>
          <cell r="BE264">
            <v>1676823602749.27</v>
          </cell>
          <cell r="BF264">
            <v>1783701881195.77</v>
          </cell>
          <cell r="BG264">
            <v>1848430683154.1001</v>
          </cell>
          <cell r="BH264">
            <v>1679282214816.95</v>
          </cell>
          <cell r="BI264">
            <v>1562471245754.72</v>
          </cell>
          <cell r="BJ264">
            <v>1667569037259.9099</v>
          </cell>
          <cell r="BK264">
            <v>1752997158519.1299</v>
          </cell>
          <cell r="BL264">
            <v>1802899488968.8101</v>
          </cell>
          <cell r="BM264">
            <v>1704320048486.98</v>
          </cell>
          <cell r="BN264">
            <v>1704320048486.98</v>
          </cell>
        </row>
        <row r="265">
          <cell r="B265" t="str">
            <v>TSS</v>
          </cell>
          <cell r="C265" t="str">
            <v>GDP (current US$)</v>
          </cell>
          <cell r="D265" t="str">
            <v>NY.GDP.MKTP.CD</v>
          </cell>
          <cell r="E265">
            <v>29267715826.104698</v>
          </cell>
          <cell r="F265">
            <v>30410733043.6656</v>
          </cell>
          <cell r="G265">
            <v>32948375263.735802</v>
          </cell>
          <cell r="H265">
            <v>37748216583.624496</v>
          </cell>
          <cell r="I265">
            <v>36866803373.759102</v>
          </cell>
          <cell r="J265">
            <v>41061560163.9776</v>
          </cell>
          <cell r="K265">
            <v>44304731189.6483</v>
          </cell>
          <cell r="L265">
            <v>43799651901.968597</v>
          </cell>
          <cell r="M265">
            <v>46833297633.558502</v>
          </cell>
          <cell r="N265">
            <v>53552935963.330704</v>
          </cell>
          <cell r="O265">
            <v>63016042902.528999</v>
          </cell>
          <cell r="P265">
            <v>64092010575.352501</v>
          </cell>
          <cell r="Q265">
            <v>72415269921.853699</v>
          </cell>
          <cell r="R265">
            <v>92648034304.177307</v>
          </cell>
          <cell r="S265">
            <v>120813079654.974</v>
          </cell>
          <cell r="T265">
            <v>133397033330.63</v>
          </cell>
          <cell r="U265">
            <v>144561455196.957</v>
          </cell>
          <cell r="V265">
            <v>159083792632.48199</v>
          </cell>
          <cell r="W265">
            <v>176067891969.336</v>
          </cell>
          <cell r="X265">
            <v>211703166377.82599</v>
          </cell>
          <cell r="Y265">
            <v>266790137245.77899</v>
          </cell>
          <cell r="Z265">
            <v>371843705966.513</v>
          </cell>
          <cell r="AA265">
            <v>342233798211.22601</v>
          </cell>
          <cell r="AB265">
            <v>298134581972.59601</v>
          </cell>
          <cell r="AC265">
            <v>260490953526.30701</v>
          </cell>
          <cell r="AD265">
            <v>247171228303.38699</v>
          </cell>
          <cell r="AE265">
            <v>254709696543.013</v>
          </cell>
          <cell r="AF265">
            <v>290001360181.03802</v>
          </cell>
          <cell r="AG265">
            <v>297787207900.52698</v>
          </cell>
          <cell r="AH265">
            <v>296186614194.10303</v>
          </cell>
          <cell r="AI265">
            <v>333961210836.51703</v>
          </cell>
          <cell r="AJ265">
            <v>337724679867.20398</v>
          </cell>
          <cell r="AK265">
            <v>338031362451.59198</v>
          </cell>
          <cell r="AL265">
            <v>331796315105.26398</v>
          </cell>
          <cell r="AM265">
            <v>323972651840.29602</v>
          </cell>
          <cell r="AN265">
            <v>376445522593.60199</v>
          </cell>
          <cell r="AO265">
            <v>392929142700.18597</v>
          </cell>
          <cell r="AP265">
            <v>407885197057.776</v>
          </cell>
          <cell r="AQ265">
            <v>394739334798.81201</v>
          </cell>
          <cell r="AR265">
            <v>398622414258.54401</v>
          </cell>
          <cell r="AS265">
            <v>423087770312.55603</v>
          </cell>
          <cell r="AT265">
            <v>405983279511.08002</v>
          </cell>
          <cell r="AU265">
            <v>441297738911.32098</v>
          </cell>
          <cell r="AV265">
            <v>556188086098.91101</v>
          </cell>
          <cell r="AW265">
            <v>691531928615.28894</v>
          </cell>
          <cell r="AX265">
            <v>821339098494.41602</v>
          </cell>
          <cell r="AY265">
            <v>968240932235.42603</v>
          </cell>
          <cell r="AZ265">
            <v>1121980804861.47</v>
          </cell>
          <cell r="BA265">
            <v>1274686097795.8701</v>
          </cell>
          <cell r="BB265">
            <v>1219298578810.25</v>
          </cell>
          <cell r="BC265">
            <v>1438659084421.26</v>
          </cell>
          <cell r="BD265">
            <v>1614001424232.48</v>
          </cell>
          <cell r="BE265">
            <v>1677883344952.53</v>
          </cell>
          <cell r="BF265">
            <v>1785030038804.6001</v>
          </cell>
          <cell r="BG265">
            <v>1849773690999.1399</v>
          </cell>
          <cell r="BH265">
            <v>1680659709871</v>
          </cell>
          <cell r="BI265">
            <v>1563897897523.55</v>
          </cell>
          <cell r="BJ265">
            <v>1669097279286.28</v>
          </cell>
          <cell r="BK265">
            <v>1754544849278.5801</v>
          </cell>
          <cell r="BL265">
            <v>1804482330027.71</v>
          </cell>
          <cell r="BM265">
            <v>1705379934850.6101</v>
          </cell>
          <cell r="BN265">
            <v>1705379934850.6101</v>
          </cell>
        </row>
        <row r="266">
          <cell r="B266" t="str">
            <v>UMC</v>
          </cell>
          <cell r="C266" t="str">
            <v>GDP (current US$)</v>
          </cell>
          <cell r="D266" t="str">
            <v>NY.GDP.MKTP.CD</v>
          </cell>
          <cell r="E266">
            <v>247694503474.29401</v>
          </cell>
          <cell r="F266">
            <v>218421239119.89301</v>
          </cell>
          <cell r="G266">
            <v>223888727096.647</v>
          </cell>
          <cell r="H266">
            <v>234874004304.48099</v>
          </cell>
          <cell r="I266">
            <v>269553079617.50201</v>
          </cell>
          <cell r="J266">
            <v>301160769330.87299</v>
          </cell>
          <cell r="K266">
            <v>332790171188.32898</v>
          </cell>
          <cell r="L266">
            <v>334713663605.49103</v>
          </cell>
          <cell r="M266">
            <v>349205130637.45801</v>
          </cell>
          <cell r="N266">
            <v>391400143169.02301</v>
          </cell>
          <cell r="O266">
            <v>428332259709.14398</v>
          </cell>
          <cell r="P266">
            <v>465940338640.29199</v>
          </cell>
          <cell r="Q266">
            <v>530385086338.35901</v>
          </cell>
          <cell r="R266">
            <v>689567021479.78101</v>
          </cell>
          <cell r="S266">
            <v>854884777867.66101</v>
          </cell>
          <cell r="T266">
            <v>941983275335.33704</v>
          </cell>
          <cell r="U266">
            <v>993367514364.72803</v>
          </cell>
          <cell r="V266">
            <v>1098514162594.86</v>
          </cell>
          <cell r="W266">
            <v>1178099610425.1799</v>
          </cell>
          <cell r="X266">
            <v>1430397973194.7</v>
          </cell>
          <cell r="Y266">
            <v>1662233216555.5701</v>
          </cell>
          <cell r="Z266">
            <v>1796346669457.9299</v>
          </cell>
          <cell r="AA266">
            <v>1716315724256.4199</v>
          </cell>
          <cell r="AB266">
            <v>1628654016171.54</v>
          </cell>
          <cell r="AC266">
            <v>1679567793589.8501</v>
          </cell>
          <cell r="AD266">
            <v>1773396239903.1299</v>
          </cell>
          <cell r="AE266">
            <v>1802638562702.1799</v>
          </cell>
          <cell r="AF266">
            <v>1923755368848.8799</v>
          </cell>
          <cell r="AG266">
            <v>2127060037526.21</v>
          </cell>
          <cell r="AH266">
            <v>2193151438838.5901</v>
          </cell>
          <cell r="AI266">
            <v>2588194433617.7002</v>
          </cell>
          <cell r="AJ266">
            <v>2505397436187.4302</v>
          </cell>
          <cell r="AK266">
            <v>2621722586364.2598</v>
          </cell>
          <cell r="AL266">
            <v>2879386504809.29</v>
          </cell>
          <cell r="AM266">
            <v>3195405298155.77</v>
          </cell>
          <cell r="AN266">
            <v>3595553950406.5498</v>
          </cell>
          <cell r="AO266">
            <v>3909678002435.9199</v>
          </cell>
          <cell r="AP266">
            <v>4185192069044.1099</v>
          </cell>
          <cell r="AQ266">
            <v>4134444381128.21</v>
          </cell>
          <cell r="AR266">
            <v>3905451257513.5801</v>
          </cell>
          <cell r="AS266">
            <v>4312394262751.6099</v>
          </cell>
          <cell r="AT266">
            <v>4336815144090.02</v>
          </cell>
          <cell r="AU266">
            <v>4374743108263.3501</v>
          </cell>
          <cell r="AV266">
            <v>4901918705088.7598</v>
          </cell>
          <cell r="AW266">
            <v>5877031210366.2803</v>
          </cell>
          <cell r="AX266">
            <v>7065563484877.21</v>
          </cell>
          <cell r="AY266">
            <v>8393394248399.71</v>
          </cell>
          <cell r="AZ266">
            <v>10423985584899</v>
          </cell>
          <cell r="BA266">
            <v>12715235052756.801</v>
          </cell>
          <cell r="BB266">
            <v>12224830666761.199</v>
          </cell>
          <cell r="BC266">
            <v>14840817845734.801</v>
          </cell>
          <cell r="BD266">
            <v>17890163653443.699</v>
          </cell>
          <cell r="BE266">
            <v>19157603648259.301</v>
          </cell>
          <cell r="BF266">
            <v>20578424047300.398</v>
          </cell>
          <cell r="BG266">
            <v>21218927568655.398</v>
          </cell>
          <cell r="BH266">
            <v>19921765647938.699</v>
          </cell>
          <cell r="BI266">
            <v>19820564982787.199</v>
          </cell>
          <cell r="BJ266">
            <v>21939479714731.699</v>
          </cell>
          <cell r="BK266">
            <v>23638682947940</v>
          </cell>
          <cell r="BL266">
            <v>24035310180476.699</v>
          </cell>
          <cell r="BM266">
            <v>23150665555175.699</v>
          </cell>
          <cell r="BN266">
            <v>23150665555175.699</v>
          </cell>
        </row>
        <row r="267">
          <cell r="B267" t="str">
            <v>WLD</v>
          </cell>
          <cell r="C267" t="str">
            <v>GDP (current US$)</v>
          </cell>
          <cell r="D267" t="str">
            <v>NY.GDP.MKTP.CD</v>
          </cell>
          <cell r="E267">
            <v>1387318093950.51</v>
          </cell>
          <cell r="F267">
            <v>1443856420080.28</v>
          </cell>
          <cell r="G267">
            <v>1545480664614.9199</v>
          </cell>
          <cell r="H267">
            <v>1666137646532.8501</v>
          </cell>
          <cell r="I267">
            <v>1824276762955.6599</v>
          </cell>
          <cell r="J267">
            <v>1987340349873.47</v>
          </cell>
          <cell r="K267">
            <v>2156806173887.6001</v>
          </cell>
          <cell r="L267">
            <v>2294907791423.8101</v>
          </cell>
          <cell r="M267">
            <v>2476959315981.4102</v>
          </cell>
          <cell r="N267">
            <v>2732048464635.1401</v>
          </cell>
          <cell r="O267">
            <v>2987137961245.1499</v>
          </cell>
          <cell r="P267">
            <v>3299633208751.21</v>
          </cell>
          <cell r="Q267">
            <v>3804813156576.3198</v>
          </cell>
          <cell r="R267">
            <v>4641813800081.1299</v>
          </cell>
          <cell r="S267">
            <v>5349917660545.79</v>
          </cell>
          <cell r="T267">
            <v>5959524027133.6504</v>
          </cell>
          <cell r="U267">
            <v>6479321759689.8301</v>
          </cell>
          <cell r="V267">
            <v>7328421393986.8896</v>
          </cell>
          <cell r="W267">
            <v>8630915897864.4697</v>
          </cell>
          <cell r="X267">
            <v>10024802145583.301</v>
          </cell>
          <cell r="Y267">
            <v>11301342788676.5</v>
          </cell>
          <cell r="Z267">
            <v>11691700654139.301</v>
          </cell>
          <cell r="AA267">
            <v>11575393234480</v>
          </cell>
          <cell r="AB267">
            <v>11802798948082.801</v>
          </cell>
          <cell r="AC267">
            <v>12233861106850.9</v>
          </cell>
          <cell r="AD267">
            <v>12867067704326.6</v>
          </cell>
          <cell r="AE267">
            <v>15214197594918.699</v>
          </cell>
          <cell r="AF267">
            <v>17316905064046</v>
          </cell>
          <cell r="AG267">
            <v>19339159496256.602</v>
          </cell>
          <cell r="AH267">
            <v>20135606171256.5</v>
          </cell>
          <cell r="AI267">
            <v>22699238380982.898</v>
          </cell>
          <cell r="AJ267">
            <v>23680282881569.699</v>
          </cell>
          <cell r="AK267">
            <v>25382861966747.102</v>
          </cell>
          <cell r="AL267">
            <v>25820129586354.199</v>
          </cell>
          <cell r="AM267">
            <v>27874264172130.199</v>
          </cell>
          <cell r="AN267">
            <v>31043365473720</v>
          </cell>
          <cell r="AO267">
            <v>31736303773998.199</v>
          </cell>
          <cell r="AP267">
            <v>31619825931745.301</v>
          </cell>
          <cell r="AQ267">
            <v>31539757442893.602</v>
          </cell>
          <cell r="AR267">
            <v>32734252486333.801</v>
          </cell>
          <cell r="AS267">
            <v>33815965497462.602</v>
          </cell>
          <cell r="AT267">
            <v>33609211427621.5</v>
          </cell>
          <cell r="AU267">
            <v>34884368459978.898</v>
          </cell>
          <cell r="AV267">
            <v>39128640757108.797</v>
          </cell>
          <cell r="AW267">
            <v>44095864270016.398</v>
          </cell>
          <cell r="AX267">
            <v>47773981888484.203</v>
          </cell>
          <cell r="AY267">
            <v>51769424091305.203</v>
          </cell>
          <cell r="AZ267">
            <v>58321351515739.102</v>
          </cell>
          <cell r="BA267">
            <v>64014455631901.5</v>
          </cell>
          <cell r="BB267">
            <v>60730361716385.602</v>
          </cell>
          <cell r="BC267">
            <v>66488281440229.602</v>
          </cell>
          <cell r="BD267">
            <v>73653745496223.094</v>
          </cell>
          <cell r="BE267">
            <v>75312277992941.594</v>
          </cell>
          <cell r="BF267">
            <v>77439507217123.797</v>
          </cell>
          <cell r="BG267">
            <v>79557660119700</v>
          </cell>
          <cell r="BH267">
            <v>75112444159420.094</v>
          </cell>
          <cell r="BI267">
            <v>76305058874647.797</v>
          </cell>
          <cell r="BJ267">
            <v>81193291658568.797</v>
          </cell>
          <cell r="BK267">
            <v>86267600625419.406</v>
          </cell>
          <cell r="BL267">
            <v>87568054407493.094</v>
          </cell>
          <cell r="BM267">
            <v>84746979120044.5</v>
          </cell>
          <cell r="BN267">
            <v>84746979120044.5</v>
          </cell>
        </row>
      </sheetData>
      <sheetData sheetId="12"/>
      <sheetData sheetId="13"/>
      <sheetData sheetId="14">
        <row r="1">
          <cell r="B1"/>
          <cell r="C1"/>
          <cell r="D1"/>
          <cell r="E1"/>
          <cell r="F1"/>
          <cell r="G1"/>
          <cell r="H1"/>
        </row>
        <row r="4">
          <cell r="B4" t="str">
            <v>Country Code</v>
          </cell>
          <cell r="C4" t="str">
            <v>Series Name</v>
          </cell>
          <cell r="D4" t="str">
            <v>Series Code</v>
          </cell>
          <cell r="E4" t="str">
            <v>1960 [YR1960]</v>
          </cell>
          <cell r="F4" t="str">
            <v>1961 [YR1961]</v>
          </cell>
          <cell r="G4" t="str">
            <v>1962 [YR1962]</v>
          </cell>
          <cell r="H4" t="str">
            <v>1963 [YR1963]</v>
          </cell>
          <cell r="I4" t="str">
            <v>1964 [YR1964]</v>
          </cell>
          <cell r="J4" t="str">
            <v>1965 [YR1965]</v>
          </cell>
          <cell r="K4" t="str">
            <v>1966 [YR1966]</v>
          </cell>
          <cell r="L4" t="str">
            <v>1967 [YR1967]</v>
          </cell>
          <cell r="M4" t="str">
            <v>1968 [YR1968]</v>
          </cell>
          <cell r="N4" t="str">
            <v>1969 [YR1969]</v>
          </cell>
          <cell r="O4" t="str">
            <v>1970 [YR1970]</v>
          </cell>
          <cell r="P4" t="str">
            <v>1971 [YR1971]</v>
          </cell>
          <cell r="Q4" t="str">
            <v>1972 [YR1972]</v>
          </cell>
          <cell r="R4" t="str">
            <v>1973 [YR1973]</v>
          </cell>
          <cell r="S4" t="str">
            <v>1974 [YR1974]</v>
          </cell>
          <cell r="T4" t="str">
            <v>1975 [YR1975]</v>
          </cell>
          <cell r="U4" t="str">
            <v>1976 [YR1976]</v>
          </cell>
          <cell r="V4" t="str">
            <v>1977 [YR1977]</v>
          </cell>
          <cell r="W4" t="str">
            <v>1978 [YR1978]</v>
          </cell>
          <cell r="X4" t="str">
            <v>1979 [YR1979]</v>
          </cell>
          <cell r="Y4" t="str">
            <v>1980 [YR1980]</v>
          </cell>
          <cell r="Z4" t="str">
            <v>1981 [YR1981]</v>
          </cell>
          <cell r="AA4" t="str">
            <v>1982 [YR1982]</v>
          </cell>
          <cell r="AB4" t="str">
            <v>1983 [YR1983]</v>
          </cell>
          <cell r="AC4" t="str">
            <v>1984 [YR1984]</v>
          </cell>
          <cell r="AD4" t="str">
            <v>1985 [YR1985]</v>
          </cell>
          <cell r="AE4" t="str">
            <v>1986 [YR1986]</v>
          </cell>
          <cell r="AF4" t="str">
            <v>1987 [YR1987]</v>
          </cell>
          <cell r="AG4" t="str">
            <v>1988 [YR1988]</v>
          </cell>
          <cell r="AH4" t="str">
            <v>1989 [YR1989]</v>
          </cell>
          <cell r="AI4" t="str">
            <v>1990 [YR1990]</v>
          </cell>
          <cell r="AJ4" t="str">
            <v>1991 [YR1991]</v>
          </cell>
          <cell r="AK4" t="str">
            <v>1992 [YR1992]</v>
          </cell>
          <cell r="AL4" t="str">
            <v>1993 [YR1993]</v>
          </cell>
          <cell r="AM4" t="str">
            <v>1994 [YR1994]</v>
          </cell>
          <cell r="AN4" t="str">
            <v>1995 [YR1995]</v>
          </cell>
          <cell r="AO4" t="str">
            <v>1996 [YR1996]</v>
          </cell>
          <cell r="AP4" t="str">
            <v>1997 [YR1997]</v>
          </cell>
          <cell r="AQ4" t="str">
            <v>1998 [YR1998]</v>
          </cell>
          <cell r="AR4" t="str">
            <v>1999 [YR1999]</v>
          </cell>
          <cell r="AS4" t="str">
            <v>2000 [YR2000]</v>
          </cell>
          <cell r="AT4" t="str">
            <v>2001 [YR2001]</v>
          </cell>
          <cell r="AU4" t="str">
            <v>2002 [YR2002]</v>
          </cell>
          <cell r="AV4" t="str">
            <v>2003 [YR2003]</v>
          </cell>
          <cell r="AW4" t="str">
            <v>2004 [YR2004]</v>
          </cell>
          <cell r="AX4" t="str">
            <v>2005 [YR2005]</v>
          </cell>
          <cell r="AY4" t="str">
            <v>2006 [YR2006]</v>
          </cell>
          <cell r="AZ4" t="str">
            <v>2007 [YR2007]</v>
          </cell>
          <cell r="BA4" t="str">
            <v>2008 [YR2008]</v>
          </cell>
          <cell r="BB4" t="str">
            <v>2009 [YR2009]</v>
          </cell>
          <cell r="BC4" t="str">
            <v>2010 [YR2010]</v>
          </cell>
          <cell r="BD4" t="str">
            <v>2011 [YR2011]</v>
          </cell>
          <cell r="BE4" t="str">
            <v>2012 [YR2012]</v>
          </cell>
          <cell r="BF4" t="str">
            <v>2013 [YR2013]</v>
          </cell>
          <cell r="BG4" t="str">
            <v>2014 [YR2014]</v>
          </cell>
          <cell r="BH4" t="str">
            <v>2015 [YR2015]</v>
          </cell>
          <cell r="BI4" t="str">
            <v>2016 [YR2016]</v>
          </cell>
          <cell r="BJ4" t="str">
            <v>2017 [YR2017]</v>
          </cell>
          <cell r="BK4" t="str">
            <v>2018 [YR2018]</v>
          </cell>
          <cell r="BL4" t="str">
            <v>2019 [YR2019]</v>
          </cell>
          <cell r="BM4" t="str">
            <v>2020 [YR2020]</v>
          </cell>
          <cell r="BN4" t="str">
            <v>latest_PPPconversion</v>
          </cell>
        </row>
        <row r="5">
          <cell r="B5" t="str">
            <v>AFG</v>
          </cell>
          <cell r="C5" t="str">
            <v>Price level ratio of PPP conversion factor (GDP) to market exchange rate</v>
          </cell>
          <cell r="D5" t="str">
            <v>PA.NUS.PPPC.RF</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v>0.204587981856204</v>
          </cell>
          <cell r="AV5">
            <v>0.20550979479171699</v>
          </cell>
          <cell r="AW5">
            <v>0.22841215827884201</v>
          </cell>
          <cell r="AX5">
            <v>0.23657778146004499</v>
          </cell>
          <cell r="AY5">
            <v>0.244704966879117</v>
          </cell>
          <cell r="AZ5">
            <v>0.29274194423232502</v>
          </cell>
          <cell r="BA5">
            <v>0.28655609483299599</v>
          </cell>
          <cell r="BB5">
            <v>0.28773493228748998</v>
          </cell>
          <cell r="BC5">
            <v>0.31761623758602098</v>
          </cell>
          <cell r="BD5">
            <v>0.347863587077341</v>
          </cell>
          <cell r="BE5">
            <v>0.33364030188974703</v>
          </cell>
          <cell r="BF5">
            <v>0.30975483898846401</v>
          </cell>
          <cell r="BG5">
            <v>0.29680883952611298</v>
          </cell>
          <cell r="BH5">
            <v>0.26637560625031798</v>
          </cell>
          <cell r="BI5">
            <v>0.25844637241395102</v>
          </cell>
          <cell r="BJ5">
            <v>0.25101039968894501</v>
          </cell>
          <cell r="BK5">
            <v>0.23319893671578601</v>
          </cell>
          <cell r="BL5">
            <v>0.229598143399356</v>
          </cell>
          <cell r="BM5">
            <v>0.24859799159927001</v>
          </cell>
          <cell r="BN5">
            <v>0.24859799159927001</v>
          </cell>
        </row>
        <row r="6">
          <cell r="B6" t="str">
            <v>AFE</v>
          </cell>
          <cell r="C6" t="str">
            <v>Price level ratio of PPP conversion factor (GDP) to market exchange rate</v>
          </cell>
          <cell r="D6" t="str">
            <v>PA.NUS.PPPC.RF</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
          </cell>
        </row>
        <row r="7">
          <cell r="B7" t="str">
            <v>AFW</v>
          </cell>
          <cell r="C7" t="str">
            <v>Price level ratio of PPP conversion factor (GDP) to market exchange rate</v>
          </cell>
          <cell r="D7" t="str">
            <v>PA.NUS.PPPC.RF</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
          </cell>
        </row>
        <row r="8">
          <cell r="B8" t="str">
            <v>ALB</v>
          </cell>
          <cell r="C8" t="str">
            <v>Price level ratio of PPP conversion factor (GDP) to market exchange rate</v>
          </cell>
          <cell r="D8" t="str">
            <v>PA.NUS.PPPC.RF</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v>0.29240259639099903</v>
          </cell>
          <cell r="AJ8">
            <v>0.21293632166544099</v>
          </cell>
          <cell r="AK8">
            <v>0.13304573458768101</v>
          </cell>
          <cell r="AL8">
            <v>0.21559909397115701</v>
          </cell>
          <cell r="AM8">
            <v>0.309295951171637</v>
          </cell>
          <cell r="AN8">
            <v>0.33966275245692801</v>
          </cell>
          <cell r="AO8">
            <v>0.33908826903121497</v>
          </cell>
          <cell r="AP8">
            <v>0.263971276541491</v>
          </cell>
          <cell r="AQ8">
            <v>0.26937378243257298</v>
          </cell>
          <cell r="AR8">
            <v>0.29762191071122501</v>
          </cell>
          <cell r="AS8">
            <v>0.291826043776162</v>
          </cell>
          <cell r="AT8">
            <v>0.29809186334489601</v>
          </cell>
          <cell r="AU8">
            <v>0.30572862113582699</v>
          </cell>
          <cell r="AV8">
            <v>0.36922037899314403</v>
          </cell>
          <cell r="AW8">
            <v>0.43730622698836102</v>
          </cell>
          <cell r="AX8">
            <v>0.45586512478820801</v>
          </cell>
          <cell r="AY8">
            <v>0.45270843739771699</v>
          </cell>
          <cell r="AZ8">
            <v>0.49359727194667002</v>
          </cell>
          <cell r="BA8">
            <v>0.53115642446566802</v>
          </cell>
          <cell r="BB8">
            <v>0.46682414003737999</v>
          </cell>
          <cell r="BC8">
            <v>0.42522241290149199</v>
          </cell>
          <cell r="BD8">
            <v>0.43468295887625502</v>
          </cell>
          <cell r="BE8">
            <v>0.40352702450934702</v>
          </cell>
          <cell r="BF8">
            <v>0.41747016797464298</v>
          </cell>
          <cell r="BG8">
            <v>0.40665462495877103</v>
          </cell>
          <cell r="BH8">
            <v>0.33903718769089802</v>
          </cell>
          <cell r="BI8">
            <v>0.34142801122305799</v>
          </cell>
          <cell r="BJ8">
            <v>0.35479070104049398</v>
          </cell>
          <cell r="BK8">
            <v>0.39217230140847098</v>
          </cell>
          <cell r="BL8">
            <v>0.38504735640683402</v>
          </cell>
          <cell r="BM8">
            <v>0.390358851786752</v>
          </cell>
          <cell r="BN8">
            <v>0.390358851786752</v>
          </cell>
        </row>
        <row r="9">
          <cell r="B9" t="str">
            <v>DZA</v>
          </cell>
          <cell r="C9" t="str">
            <v>Price level ratio of PPP conversion factor (GDP) to market exchange rate</v>
          </cell>
          <cell r="D9" t="str">
            <v>PA.NUS.PPPC.RF</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v>0.34849430223234201</v>
          </cell>
          <cell r="AJ9">
            <v>0.25137822001382798</v>
          </cell>
          <cell r="AK9">
            <v>0.25351186671713799</v>
          </cell>
          <cell r="AL9">
            <v>0.26319013165823901</v>
          </cell>
          <cell r="AM9">
            <v>0.22148903774311801</v>
          </cell>
          <cell r="AN9">
            <v>0.205171853933831</v>
          </cell>
          <cell r="AO9">
            <v>0.217540212573652</v>
          </cell>
          <cell r="AP9">
            <v>0.216959487670593</v>
          </cell>
          <cell r="AQ9">
            <v>0.204176851430693</v>
          </cell>
          <cell r="AR9">
            <v>0.19686297728076901</v>
          </cell>
          <cell r="AS9">
            <v>0.208963335281836</v>
          </cell>
          <cell r="AT9">
            <v>0.198357067407407</v>
          </cell>
          <cell r="AU9">
            <v>0.191721554883484</v>
          </cell>
          <cell r="AV9">
            <v>0.20993174550252899</v>
          </cell>
          <cell r="AW9">
            <v>0.24645227178528101</v>
          </cell>
          <cell r="AX9">
            <v>0.272943402971556</v>
          </cell>
          <cell r="AY9">
            <v>0.29540574620542698</v>
          </cell>
          <cell r="AZ9">
            <v>0.320891939067383</v>
          </cell>
          <cell r="BA9">
            <v>0.389430722554646</v>
          </cell>
          <cell r="BB9">
            <v>0.30523151319781799</v>
          </cell>
          <cell r="BC9">
            <v>0.34216362161638503</v>
          </cell>
          <cell r="BD9">
            <v>0.40412305945995203</v>
          </cell>
          <cell r="BE9">
            <v>0.42036250756390098</v>
          </cell>
          <cell r="BF9">
            <v>0.42120475457016898</v>
          </cell>
          <cell r="BG9">
            <v>0.42243666561224502</v>
          </cell>
          <cell r="BH9">
            <v>0.34770427191932102</v>
          </cell>
          <cell r="BI9">
            <v>0.33949903254388403</v>
          </cell>
          <cell r="BJ9">
            <v>0.35013697960402701</v>
          </cell>
          <cell r="BK9">
            <v>0.34777858638863901</v>
          </cell>
          <cell r="BL9">
            <v>0.33221632256828998</v>
          </cell>
          <cell r="BM9">
            <v>0.29201601440277603</v>
          </cell>
          <cell r="BN9">
            <v>0.29201601440277603</v>
          </cell>
        </row>
        <row r="10">
          <cell r="B10" t="str">
            <v>ASM</v>
          </cell>
          <cell r="C10" t="str">
            <v>Price level ratio of PPP conversion factor (GDP) to market exchange rate</v>
          </cell>
          <cell r="D10" t="str">
            <v>PA.NUS.PPPC.RF</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
          </cell>
        </row>
        <row r="11">
          <cell r="B11" t="str">
            <v>AND</v>
          </cell>
          <cell r="C11" t="str">
            <v>Price level ratio of PPP conversion factor (GDP) to market exchange rate</v>
          </cell>
          <cell r="D11" t="str">
            <v>PA.NUS.PPPC.RF</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
          </cell>
        </row>
        <row r="12">
          <cell r="B12" t="str">
            <v>AGO</v>
          </cell>
          <cell r="C12" t="str">
            <v>Price level ratio of PPP conversion factor (GDP) to market exchange rate</v>
          </cell>
          <cell r="D12" t="str">
            <v>PA.NUS.PPPC.RF</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v>0.35420354737104698</v>
          </cell>
          <cell r="AJ12" t="str">
            <v>..</v>
          </cell>
          <cell r="AK12" t="str">
            <v>..</v>
          </cell>
          <cell r="AL12" t="str">
            <v>..</v>
          </cell>
          <cell r="AM12">
            <v>0.13196798725815001</v>
          </cell>
          <cell r="AN12">
            <v>0.18435914891999999</v>
          </cell>
          <cell r="AO12">
            <v>0.215808629251594</v>
          </cell>
          <cell r="AP12">
            <v>0.20086367429669499</v>
          </cell>
          <cell r="AQ12">
            <v>0.16137666765627101</v>
          </cell>
          <cell r="AR12">
            <v>0.14722109315114101</v>
          </cell>
          <cell r="AS12">
            <v>0.20733466316785701</v>
          </cell>
          <cell r="AT12">
            <v>0.19056760808086501</v>
          </cell>
          <cell r="AU12">
            <v>0.23050456852895501</v>
          </cell>
          <cell r="AV12">
            <v>0.25605977770092497</v>
          </cell>
          <cell r="AW12">
            <v>0.29714212365856801</v>
          </cell>
          <cell r="AX12">
            <v>0.39324850350384</v>
          </cell>
          <cell r="AY12">
            <v>0.484810952606479</v>
          </cell>
          <cell r="AZ12">
            <v>0.515980339032587</v>
          </cell>
          <cell r="BA12">
            <v>0.61764203241145099</v>
          </cell>
          <cell r="BB12">
            <v>0.48260521210748603</v>
          </cell>
          <cell r="BC12">
            <v>0.54461001180771496</v>
          </cell>
          <cell r="BD12">
            <v>0.68777227436048904</v>
          </cell>
          <cell r="BE12">
            <v>0.68799672290796998</v>
          </cell>
          <cell r="BF12">
            <v>0.68400884632981296</v>
          </cell>
          <cell r="BG12">
            <v>0.66123178464329302</v>
          </cell>
          <cell r="BH12">
            <v>0.56789644723802402</v>
          </cell>
          <cell r="BI12">
            <v>0.493588816636778</v>
          </cell>
          <cell r="BJ12">
            <v>0.56023361937008098</v>
          </cell>
          <cell r="BK12">
            <v>0.46333197006702598</v>
          </cell>
          <cell r="BL12">
            <v>0.40412206772206599</v>
          </cell>
          <cell r="BM12">
            <v>0.27556983417153003</v>
          </cell>
          <cell r="BN12">
            <v>0.27556983417153003</v>
          </cell>
        </row>
        <row r="13">
          <cell r="B13" t="str">
            <v>ATG</v>
          </cell>
          <cell r="C13" t="str">
            <v>Price level ratio of PPP conversion factor (GDP) to market exchange rate</v>
          </cell>
          <cell r="D13" t="str">
            <v>PA.NUS.PPPC.RF</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v>0.65177719746121099</v>
          </cell>
          <cell r="AJ13">
            <v>0.64688889023120699</v>
          </cell>
          <cell r="AK13">
            <v>0.64804245600338495</v>
          </cell>
          <cell r="AL13">
            <v>0.64451576900483298</v>
          </cell>
          <cell r="AM13">
            <v>0.65151504359808499</v>
          </cell>
          <cell r="AN13">
            <v>0.65347068693690402</v>
          </cell>
          <cell r="AO13">
            <v>0.66082619901197004</v>
          </cell>
          <cell r="AP13">
            <v>0.66108018811117797</v>
          </cell>
          <cell r="AQ13">
            <v>0.66751534405829605</v>
          </cell>
          <cell r="AR13">
            <v>0.667912861655381</v>
          </cell>
          <cell r="AS13">
            <v>0.64550344073028099</v>
          </cell>
          <cell r="AT13">
            <v>0.64101344796822601</v>
          </cell>
          <cell r="AU13">
            <v>0.63546061436616696</v>
          </cell>
          <cell r="AV13">
            <v>0.61847889159608505</v>
          </cell>
          <cell r="AW13">
            <v>0.61153661708601104</v>
          </cell>
          <cell r="AX13">
            <v>0.61952339844906701</v>
          </cell>
          <cell r="AY13">
            <v>0.60377750139416997</v>
          </cell>
          <cell r="AZ13">
            <v>0.60993868495895198</v>
          </cell>
          <cell r="BA13">
            <v>0.624510517742493</v>
          </cell>
          <cell r="BB13">
            <v>0.63117064881722595</v>
          </cell>
          <cell r="BC13">
            <v>0.63309292916415505</v>
          </cell>
          <cell r="BD13">
            <v>0.62643580966525603</v>
          </cell>
          <cell r="BE13">
            <v>0.67724863688151105</v>
          </cell>
          <cell r="BF13">
            <v>0.68682025980066297</v>
          </cell>
          <cell r="BG13">
            <v>0.70915372283370404</v>
          </cell>
          <cell r="BH13">
            <v>0.755385646113644</v>
          </cell>
          <cell r="BI13">
            <v>0.76297892464531902</v>
          </cell>
          <cell r="BJ13">
            <v>0.77537077444571101</v>
          </cell>
          <cell r="BK13">
            <v>0.775006075111215</v>
          </cell>
          <cell r="BL13">
            <v>0.76299801361824104</v>
          </cell>
          <cell r="BM13">
            <v>0.76706751360589998</v>
          </cell>
          <cell r="BN13">
            <v>0.76706751360589998</v>
          </cell>
        </row>
        <row r="14">
          <cell r="B14" t="str">
            <v>ARB</v>
          </cell>
          <cell r="C14" t="str">
            <v>Price level ratio of PPP conversion factor (GDP) to market exchange rate</v>
          </cell>
          <cell r="D14" t="str">
            <v>PA.NUS.PPPC.RF</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
          </cell>
        </row>
        <row r="15">
          <cell r="B15" t="str">
            <v>ARG</v>
          </cell>
          <cell r="C15" t="str">
            <v>Price level ratio of PPP conversion factor (GDP) to market exchange rate</v>
          </cell>
          <cell r="D15" t="str">
            <v>PA.NUS.PPPC.RF</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v>0.60261716624158701</v>
          </cell>
          <cell r="AJ15">
            <v>0.71688753064606103</v>
          </cell>
          <cell r="AK15">
            <v>0.78309554133951798</v>
          </cell>
          <cell r="AL15">
            <v>0.73151916843056697</v>
          </cell>
          <cell r="AM15">
            <v>0.73589577906093395</v>
          </cell>
          <cell r="AN15">
            <v>0.74359533256587995</v>
          </cell>
          <cell r="AO15">
            <v>0.729842685763884</v>
          </cell>
          <cell r="AP15">
            <v>0.71369480091672399</v>
          </cell>
          <cell r="AQ15">
            <v>0.69371638944281599</v>
          </cell>
          <cell r="AR15">
            <v>0.67128386279887098</v>
          </cell>
          <cell r="AS15">
            <v>0.66341649770656697</v>
          </cell>
          <cell r="AT15">
            <v>0.64206380368548999</v>
          </cell>
          <cell r="AU15">
            <v>0.25798633107555902</v>
          </cell>
          <cell r="AV15">
            <v>0.30383217755081299</v>
          </cell>
          <cell r="AW15">
            <v>0.35020977309267498</v>
          </cell>
          <cell r="AX15">
            <v>0.37658922244739401</v>
          </cell>
          <cell r="AY15">
            <v>0.39587477527523102</v>
          </cell>
          <cell r="AZ15">
            <v>0.43726272970957503</v>
          </cell>
          <cell r="BA15">
            <v>0.51831978197305695</v>
          </cell>
          <cell r="BB15">
            <v>0.50353646113664297</v>
          </cell>
          <cell r="BC15">
            <v>0.57501949822048903</v>
          </cell>
          <cell r="BD15">
            <v>0.66497842690268405</v>
          </cell>
          <cell r="BE15">
            <v>0.66607755668708901</v>
          </cell>
          <cell r="BF15">
            <v>0.64973486844591899</v>
          </cell>
          <cell r="BG15">
            <v>0.62664811171234902</v>
          </cell>
          <cell r="BH15">
            <v>0.68584550843712899</v>
          </cell>
          <cell r="BI15">
            <v>0.62981703351482898</v>
          </cell>
          <cell r="BJ15">
            <v>0.61927231866696297</v>
          </cell>
          <cell r="BK15">
            <v>0.50637348255104098</v>
          </cell>
          <cell r="BL15">
            <v>0.43725890999971401</v>
          </cell>
          <cell r="BM15">
            <v>0.413034074968327</v>
          </cell>
          <cell r="BN15">
            <v>0.413034074968327</v>
          </cell>
        </row>
        <row r="16">
          <cell r="B16" t="str">
            <v>ARM</v>
          </cell>
          <cell r="C16" t="str">
            <v>Price level ratio of PPP conversion factor (GDP) to market exchange rate</v>
          </cell>
          <cell r="D16" t="str">
            <v>PA.NUS.PPPC.RF</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v>0.23009224026271199</v>
          </cell>
          <cell r="AJ16">
            <v>0.231174475047912</v>
          </cell>
          <cell r="AK16">
            <v>0.23881411379019099</v>
          </cell>
          <cell r="AL16">
            <v>0.241420893660828</v>
          </cell>
          <cell r="AM16">
            <v>0.24551603524608001</v>
          </cell>
          <cell r="AN16">
            <v>0.25114898023522098</v>
          </cell>
          <cell r="AO16">
            <v>0.25338098322156799</v>
          </cell>
          <cell r="AP16">
            <v>0.24734363539352999</v>
          </cell>
          <cell r="AQ16">
            <v>0.26329830948182598</v>
          </cell>
          <cell r="AR16">
            <v>0.244858304053263</v>
          </cell>
          <cell r="AS16">
            <v>0.23425893999311401</v>
          </cell>
          <cell r="AT16">
            <v>0.23179058215206999</v>
          </cell>
          <cell r="AU16">
            <v>0.22610980546996401</v>
          </cell>
          <cell r="AV16">
            <v>0.230020973223695</v>
          </cell>
          <cell r="AW16">
            <v>0.25827836023247902</v>
          </cell>
          <cell r="AX16">
            <v>0.30130629189513602</v>
          </cell>
          <cell r="AY16">
            <v>0.33658901768104699</v>
          </cell>
          <cell r="AZ16">
            <v>0.41570826985817</v>
          </cell>
          <cell r="BA16">
            <v>0.48320766847643598</v>
          </cell>
          <cell r="BB16">
            <v>0.41398091268296899</v>
          </cell>
          <cell r="BC16">
            <v>0.42875569932651197</v>
          </cell>
          <cell r="BD16">
            <v>0.43932782217512201</v>
          </cell>
          <cell r="BE16">
            <v>0.39317568689559501</v>
          </cell>
          <cell r="BF16">
            <v>0.39022478290184398</v>
          </cell>
          <cell r="BG16">
            <v>0.397158052651372</v>
          </cell>
          <cell r="BH16">
            <v>0.36182653593557501</v>
          </cell>
          <cell r="BI16">
            <v>0.33555221925520301</v>
          </cell>
          <cell r="BJ16">
            <v>0.32311042907388299</v>
          </cell>
          <cell r="BK16">
            <v>0.32414837594171803</v>
          </cell>
          <cell r="BL16">
            <v>0.32356039784158103</v>
          </cell>
          <cell r="BM16">
            <v>0.32046135715610302</v>
          </cell>
          <cell r="BN16">
            <v>0.32046135715610302</v>
          </cell>
        </row>
        <row r="17">
          <cell r="B17" t="str">
            <v>ABW</v>
          </cell>
          <cell r="C17" t="str">
            <v>Price level ratio of PPP conversion factor (GDP) to market exchange rate</v>
          </cell>
          <cell r="D17" t="str">
            <v>PA.NUS.PPPC.RF</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v>0.52834318949800296</v>
          </cell>
          <cell r="AJ17">
            <v>0.53974170176805802</v>
          </cell>
          <cell r="AK17">
            <v>0.54772954526643602</v>
          </cell>
          <cell r="AL17">
            <v>0.563386008466218</v>
          </cell>
          <cell r="AM17">
            <v>0.58637545989417905</v>
          </cell>
          <cell r="AN17">
            <v>0.59369094044464799</v>
          </cell>
          <cell r="AO17">
            <v>0.60214027027921202</v>
          </cell>
          <cell r="AP17">
            <v>0.61348301392629101</v>
          </cell>
          <cell r="AQ17">
            <v>0.64650704776967005</v>
          </cell>
          <cell r="AR17">
            <v>0.65132555281732396</v>
          </cell>
          <cell r="AS17">
            <v>0.64376207622720705</v>
          </cell>
          <cell r="AT17">
            <v>0.66540465991363096</v>
          </cell>
          <cell r="AU17">
            <v>0.684700354662927</v>
          </cell>
          <cell r="AV17">
            <v>0.68632050614089901</v>
          </cell>
          <cell r="AW17">
            <v>0.68283685723731302</v>
          </cell>
          <cell r="AX17">
            <v>0.68427949683935196</v>
          </cell>
          <cell r="AY17">
            <v>0.68374210863695495</v>
          </cell>
          <cell r="AZ17">
            <v>0.70547248532398898</v>
          </cell>
          <cell r="BA17">
            <v>0.72711686632107297</v>
          </cell>
          <cell r="BB17">
            <v>0.73407846075965399</v>
          </cell>
          <cell r="BC17">
            <v>0.72071027155355905</v>
          </cell>
          <cell r="BD17">
            <v>0.72789978048654702</v>
          </cell>
          <cell r="BE17">
            <v>0.73620187503665402</v>
          </cell>
          <cell r="BF17">
            <v>0.71795586101169795</v>
          </cell>
          <cell r="BG17">
            <v>0.73119708279657503</v>
          </cell>
          <cell r="BH17">
            <v>0.76107146353694999</v>
          </cell>
          <cell r="BI17">
            <v>0.75700815829484902</v>
          </cell>
          <cell r="BJ17">
            <v>0.75457522323011705</v>
          </cell>
          <cell r="BK17" t="str">
            <v>..</v>
          </cell>
          <cell r="BL17" t="str">
            <v>..</v>
          </cell>
          <cell r="BM17" t="str">
            <v>..</v>
          </cell>
          <cell r="BN17">
            <v>0.75457522323011705</v>
          </cell>
        </row>
        <row r="18">
          <cell r="B18" t="str">
            <v>AUS</v>
          </cell>
          <cell r="C18" t="str">
            <v>Price level ratio of PPP conversion factor (GDP) to market exchange rate</v>
          </cell>
          <cell r="D18" t="str">
            <v>PA.NUS.PPPC.RF</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v>1.05046094651789</v>
          </cell>
          <cell r="AJ18">
            <v>1.05797661094106</v>
          </cell>
          <cell r="AK18">
            <v>1.0213889102514799</v>
          </cell>
          <cell r="AL18">
            <v>0.92211003372681299</v>
          </cell>
          <cell r="AM18">
            <v>0.89973780698720196</v>
          </cell>
          <cell r="AN18">
            <v>0.97298633798633805</v>
          </cell>
          <cell r="AO18">
            <v>0.99524658573596403</v>
          </cell>
          <cell r="AP18">
            <v>1.02337298481766</v>
          </cell>
          <cell r="AQ18">
            <v>0.881677406226684</v>
          </cell>
          <cell r="AR18">
            <v>0.812727158791829</v>
          </cell>
          <cell r="AS18">
            <v>0.82365885825535401</v>
          </cell>
          <cell r="AT18">
            <v>0.71164162283997001</v>
          </cell>
          <cell r="AU18">
            <v>0.69929363750523199</v>
          </cell>
          <cell r="AV18">
            <v>0.78813977868375096</v>
          </cell>
          <cell r="AW18">
            <v>0.97155071845212704</v>
          </cell>
          <cell r="AX18">
            <v>1.0437197413922701</v>
          </cell>
          <cell r="AY18">
            <v>1.05085504642108</v>
          </cell>
          <cell r="AZ18">
            <v>1.12025437701186</v>
          </cell>
          <cell r="BA18">
            <v>1.3241477170993701</v>
          </cell>
          <cell r="BB18">
            <v>1.0621005742895</v>
          </cell>
          <cell r="BC18">
            <v>1.3241583722364101</v>
          </cell>
          <cell r="BD18">
            <v>1.4897485950902101</v>
          </cell>
          <cell r="BE18">
            <v>1.58807486079604</v>
          </cell>
          <cell r="BF18">
            <v>1.48468554427003</v>
          </cell>
          <cell r="BG18">
            <v>1.3334150371798399</v>
          </cell>
          <cell r="BH18">
            <v>1.22613445378151</v>
          </cell>
          <cell r="BI18">
            <v>1.05558014266997</v>
          </cell>
          <cell r="BJ18">
            <v>1.1143774040274499</v>
          </cell>
          <cell r="BK18">
            <v>1.1397589334160101</v>
          </cell>
          <cell r="BL18">
            <v>1.06042483192676</v>
          </cell>
          <cell r="BM18">
            <v>0.96930486660410298</v>
          </cell>
          <cell r="BN18">
            <v>0.96930486660410298</v>
          </cell>
        </row>
        <row r="19">
          <cell r="B19" t="str">
            <v>AUT</v>
          </cell>
          <cell r="C19" t="str">
            <v>Price level ratio of PPP conversion factor (GDP) to market exchange rate</v>
          </cell>
          <cell r="D19" t="str">
            <v>PA.NUS.PPPC.RF</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v>1.11401670095607</v>
          </cell>
          <cell r="AJ19">
            <v>1.08759929286977</v>
          </cell>
          <cell r="AK19">
            <v>1.16911720510894</v>
          </cell>
          <cell r="AL19">
            <v>1.1086998698686901</v>
          </cell>
          <cell r="AM19">
            <v>1.1333068305023499</v>
          </cell>
          <cell r="AN19">
            <v>1.2804026204449299</v>
          </cell>
          <cell r="AO19">
            <v>1.2140291135950101</v>
          </cell>
          <cell r="AP19">
            <v>1.0502920284135799</v>
          </cell>
          <cell r="AQ19">
            <v>1.02574811027123</v>
          </cell>
          <cell r="AR19">
            <v>0.98434476880460298</v>
          </cell>
          <cell r="AS19">
            <v>0.83620784964068595</v>
          </cell>
          <cell r="AT19">
            <v>0.82610111856823298</v>
          </cell>
          <cell r="AU19">
            <v>0.84678806700545795</v>
          </cell>
          <cell r="AV19">
            <v>1.0024469525959401</v>
          </cell>
          <cell r="AW19">
            <v>1.09023839086168</v>
          </cell>
          <cell r="AX19">
            <v>1.0968026364879999</v>
          </cell>
          <cell r="AY19">
            <v>1.0789411617111999</v>
          </cell>
          <cell r="AZ19">
            <v>1.1883096085409299</v>
          </cell>
          <cell r="BA19">
            <v>1.25153654606709</v>
          </cell>
          <cell r="BB19">
            <v>1.1721742150597401</v>
          </cell>
          <cell r="BC19">
            <v>1.11541703282765</v>
          </cell>
          <cell r="BD19">
            <v>1.1557210374551701</v>
          </cell>
          <cell r="BE19">
            <v>1.0454255290329599</v>
          </cell>
          <cell r="BF19">
            <v>1.0583167797875099</v>
          </cell>
          <cell r="BG19">
            <v>1.05979093207591</v>
          </cell>
          <cell r="BH19">
            <v>0.88593696062858496</v>
          </cell>
          <cell r="BI19">
            <v>0.85940355189678197</v>
          </cell>
          <cell r="BJ19">
            <v>0.87335052094597199</v>
          </cell>
          <cell r="BK19">
            <v>0.90346472287463697</v>
          </cell>
          <cell r="BL19">
            <v>0.86290550532548904</v>
          </cell>
          <cell r="BM19">
            <v>0.87254759374474899</v>
          </cell>
          <cell r="BN19">
            <v>0.87254759374474899</v>
          </cell>
        </row>
        <row r="20">
          <cell r="B20" t="str">
            <v>AZE</v>
          </cell>
          <cell r="C20" t="str">
            <v>Price level ratio of PPP conversion factor (GDP) to market exchange rate</v>
          </cell>
          <cell r="D20" t="str">
            <v>PA.NUS.PPPC.RF</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v>1.45623772034066E-2</v>
          </cell>
          <cell r="AL20">
            <v>6.5072748115436493E-2</v>
          </cell>
          <cell r="AM20">
            <v>6.0306150102968199E-2</v>
          </cell>
          <cell r="AN20">
            <v>0.13566474358504599</v>
          </cell>
          <cell r="AO20">
            <v>0.17280775991977801</v>
          </cell>
          <cell r="AP20">
            <v>0.200168029025491</v>
          </cell>
          <cell r="AQ20">
            <v>0.20193246279511501</v>
          </cell>
          <cell r="AR20">
            <v>0.19097306885252199</v>
          </cell>
          <cell r="AS20">
            <v>0.19350686230728401</v>
          </cell>
          <cell r="AT20">
            <v>0.18650790575374601</v>
          </cell>
          <cell r="AU20">
            <v>0.183291852510512</v>
          </cell>
          <cell r="AV20">
            <v>0.19053691215142701</v>
          </cell>
          <cell r="AW20">
            <v>0.20258422657564501</v>
          </cell>
          <cell r="AX20">
            <v>0.234283529180009</v>
          </cell>
          <cell r="AY20">
            <v>0.26783271731998398</v>
          </cell>
          <cell r="AZ20">
            <v>0.32866229336861402</v>
          </cell>
          <cell r="BA20">
            <v>0.43024428514262703</v>
          </cell>
          <cell r="BB20">
            <v>0.35419690603853599</v>
          </cell>
          <cell r="BC20">
            <v>0.39813777659759703</v>
          </cell>
          <cell r="BD20">
            <v>0.48563984416475198</v>
          </cell>
          <cell r="BE20">
            <v>0.46975978947948299</v>
          </cell>
          <cell r="BF20">
            <v>0.45818732451906302</v>
          </cell>
          <cell r="BG20">
            <v>0.45238295243465299</v>
          </cell>
          <cell r="BH20">
            <v>0.36819940336556101</v>
          </cell>
          <cell r="BI20">
            <v>0.27003914758421999</v>
          </cell>
          <cell r="BJ20">
            <v>0.29367397559013197</v>
          </cell>
          <cell r="BK20">
            <v>0.32574523892097801</v>
          </cell>
          <cell r="BL20">
            <v>0.31925991673791698</v>
          </cell>
          <cell r="BM20">
            <v>0.29153959691235498</v>
          </cell>
          <cell r="BN20">
            <v>0.29153959691235498</v>
          </cell>
        </row>
        <row r="21">
          <cell r="B21" t="str">
            <v>BHS</v>
          </cell>
          <cell r="C21" t="str">
            <v>Price level ratio of PPP conversion factor (GDP) to market exchange rate</v>
          </cell>
          <cell r="D21" t="str">
            <v>PA.NUS.PPPC.RF</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v>1.02739688689375</v>
          </cell>
          <cell r="AJ21">
            <v>1.01919591968691</v>
          </cell>
          <cell r="AK21">
            <v>1.0354053208693299</v>
          </cell>
          <cell r="AL21">
            <v>1.0028137475446399</v>
          </cell>
          <cell r="AM21">
            <v>1.00328447668132</v>
          </cell>
          <cell r="AN21">
            <v>0.99056404075673898</v>
          </cell>
          <cell r="AO21">
            <v>0.98232750280804604</v>
          </cell>
          <cell r="AP21">
            <v>0.98367385933627205</v>
          </cell>
          <cell r="AQ21">
            <v>1.0023859839551199</v>
          </cell>
          <cell r="AR21">
            <v>0.99033200749222705</v>
          </cell>
          <cell r="AS21">
            <v>0.97760788182341096</v>
          </cell>
          <cell r="AT21">
            <v>0.96001130751869101</v>
          </cell>
          <cell r="AU21">
            <v>0.982494348917067</v>
          </cell>
          <cell r="AV21">
            <v>0.97571704645469204</v>
          </cell>
          <cell r="AW21">
            <v>0.96148795972127199</v>
          </cell>
          <cell r="AX21">
            <v>0.97959510021775797</v>
          </cell>
          <cell r="AY21">
            <v>0.95869350419116095</v>
          </cell>
          <cell r="AZ21">
            <v>0.96113064334241805</v>
          </cell>
          <cell r="BA21">
            <v>0.95682521970267798</v>
          </cell>
          <cell r="BB21">
            <v>0.93974842978758399</v>
          </cell>
          <cell r="BC21">
            <v>0.92528001971884599</v>
          </cell>
          <cell r="BD21">
            <v>0.89856344461440996</v>
          </cell>
          <cell r="BE21">
            <v>0.91523545980453502</v>
          </cell>
          <cell r="BF21">
            <v>0.903084576129913</v>
          </cell>
          <cell r="BG21">
            <v>0.90426665544509899</v>
          </cell>
          <cell r="BH21">
            <v>0.93631327152252197</v>
          </cell>
          <cell r="BI21">
            <v>0.92412018775939897</v>
          </cell>
          <cell r="BJ21">
            <v>0.90140676498413097</v>
          </cell>
          <cell r="BK21">
            <v>0.88970395327950802</v>
          </cell>
          <cell r="BL21">
            <v>0.89008499781973005</v>
          </cell>
          <cell r="BM21">
            <v>0.77428189965550498</v>
          </cell>
          <cell r="BN21">
            <v>0.77428189965550498</v>
          </cell>
        </row>
        <row r="22">
          <cell r="B22" t="str">
            <v>BHR</v>
          </cell>
          <cell r="C22" t="str">
            <v>Price level ratio of PPP conversion factor (GDP) to market exchange rate</v>
          </cell>
          <cell r="D22" t="str">
            <v>PA.NUS.PPPC.RF</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v>0.31755290281864401</v>
          </cell>
          <cell r="AJ22">
            <v>0.301382841412077</v>
          </cell>
          <cell r="AK22">
            <v>0.28425804756101303</v>
          </cell>
          <cell r="AL22">
            <v>0.26927421236143401</v>
          </cell>
          <cell r="AM22">
            <v>0.282972552144657</v>
          </cell>
          <cell r="AN22">
            <v>0.28018367116668402</v>
          </cell>
          <cell r="AO22">
            <v>0.27568711146467001</v>
          </cell>
          <cell r="AP22">
            <v>0.27336746548008001</v>
          </cell>
          <cell r="AQ22">
            <v>0.25124696524977203</v>
          </cell>
          <cell r="AR22">
            <v>0.25425029962345802</v>
          </cell>
          <cell r="AS22">
            <v>0.32327644786905602</v>
          </cell>
          <cell r="AT22">
            <v>0.30569675436779298</v>
          </cell>
          <cell r="AU22">
            <v>0.31121167893466001</v>
          </cell>
          <cell r="AV22">
            <v>0.33182167019193398</v>
          </cell>
          <cell r="AW22">
            <v>0.35863719666052901</v>
          </cell>
          <cell r="AX22">
            <v>0.395573998246803</v>
          </cell>
          <cell r="AY22">
            <v>0.41790569710293102</v>
          </cell>
          <cell r="AZ22">
            <v>0.44130402964751297</v>
          </cell>
          <cell r="BA22">
            <v>0.48208151783731901</v>
          </cell>
          <cell r="BB22">
            <v>0.41626671953523398</v>
          </cell>
          <cell r="BC22">
            <v>0.442090192124314</v>
          </cell>
          <cell r="BD22">
            <v>0.47520877040447101</v>
          </cell>
          <cell r="BE22">
            <v>0.466780063319713</v>
          </cell>
          <cell r="BF22">
            <v>0.48052392741466998</v>
          </cell>
          <cell r="BG22">
            <v>0.48901116911401099</v>
          </cell>
          <cell r="BH22">
            <v>0.49662526617658798</v>
          </cell>
          <cell r="BI22">
            <v>0.50500273070436996</v>
          </cell>
          <cell r="BJ22">
            <v>0.49765348592971298</v>
          </cell>
          <cell r="BK22">
            <v>0.50704007289113795</v>
          </cell>
          <cell r="BL22">
            <v>0.498684682727003</v>
          </cell>
          <cell r="BM22">
            <v>0.46645077594048101</v>
          </cell>
          <cell r="BN22">
            <v>0.46645077594048101</v>
          </cell>
        </row>
        <row r="23">
          <cell r="B23" t="str">
            <v>BGD</v>
          </cell>
          <cell r="C23" t="str">
            <v>Price level ratio of PPP conversion factor (GDP) to market exchange rate</v>
          </cell>
          <cell r="D23" t="str">
            <v>PA.NUS.PPPC.RF</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v>0.41187024446910903</v>
          </cell>
          <cell r="AJ23">
            <v>0.37717204903411999</v>
          </cell>
          <cell r="AK23">
            <v>0.35822189098059698</v>
          </cell>
          <cell r="AL23">
            <v>0.34954444983189398</v>
          </cell>
          <cell r="AM23">
            <v>0.33540202611665598</v>
          </cell>
          <cell r="AN23">
            <v>0.35110992276602998</v>
          </cell>
          <cell r="AO23">
            <v>0.35324618425555998</v>
          </cell>
          <cell r="AP23">
            <v>0.34504357693648002</v>
          </cell>
          <cell r="AQ23">
            <v>0.33611048845014802</v>
          </cell>
          <cell r="AR23">
            <v>0.32468777990908498</v>
          </cell>
          <cell r="AS23">
            <v>0.31397201418224602</v>
          </cell>
          <cell r="AT23">
            <v>0.29579263704337799</v>
          </cell>
          <cell r="AU23">
            <v>0.284243453357928</v>
          </cell>
          <cell r="AV23">
            <v>0.29289369628443501</v>
          </cell>
          <cell r="AW23">
            <v>0.29331312132019199</v>
          </cell>
          <cell r="AX23">
            <v>0.28477631067067599</v>
          </cell>
          <cell r="AY23">
            <v>0.26798954318794499</v>
          </cell>
          <cell r="AZ23">
            <v>0.27022276873055601</v>
          </cell>
          <cell r="BA23">
            <v>0.28777887386571199</v>
          </cell>
          <cell r="BB23">
            <v>0.30406801020090102</v>
          </cell>
          <cell r="BC23">
            <v>0.32026702680892899</v>
          </cell>
          <cell r="BD23">
            <v>0.328812214393297</v>
          </cell>
          <cell r="BE23">
            <v>0.300622437452152</v>
          </cell>
          <cell r="BF23">
            <v>0.31233788630682502</v>
          </cell>
          <cell r="BG23">
            <v>0.33220164787704798</v>
          </cell>
          <cell r="BH23">
            <v>0.351132460425429</v>
          </cell>
          <cell r="BI23">
            <v>0.36414134880024102</v>
          </cell>
          <cell r="BJ23">
            <v>0.375842182577452</v>
          </cell>
          <cell r="BK23">
            <v>0.373422659289873</v>
          </cell>
          <cell r="BL23">
            <v>0.374536688362758</v>
          </cell>
          <cell r="BM23">
            <v>0.38173693933300101</v>
          </cell>
          <cell r="BN23">
            <v>0.38173693933300101</v>
          </cell>
        </row>
        <row r="24">
          <cell r="B24" t="str">
            <v>BRB</v>
          </cell>
          <cell r="C24" t="str">
            <v>Price level ratio of PPP conversion factor (GDP) to market exchange rate</v>
          </cell>
          <cell r="D24" t="str">
            <v>PA.NUS.PPPC.RF</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v>0.80546832238633703</v>
          </cell>
          <cell r="AJ24">
            <v>0.81414399372972202</v>
          </cell>
          <cell r="AK24">
            <v>0.81749098893161998</v>
          </cell>
          <cell r="AL24">
            <v>0.83533096943357499</v>
          </cell>
          <cell r="AM24">
            <v>0.83593961676155704</v>
          </cell>
          <cell r="AN24">
            <v>0.82709073885526796</v>
          </cell>
          <cell r="AO24">
            <v>0.83283677229241804</v>
          </cell>
          <cell r="AP24">
            <v>0.82570800909264197</v>
          </cell>
          <cell r="AQ24">
            <v>0.88758158048130098</v>
          </cell>
          <cell r="AR24">
            <v>0.91373923175263305</v>
          </cell>
          <cell r="AS24">
            <v>0.88691940849482498</v>
          </cell>
          <cell r="AT24">
            <v>0.88745718273470997</v>
          </cell>
          <cell r="AU24">
            <v>0.88156967512376005</v>
          </cell>
          <cell r="AV24">
            <v>0.87515441511281999</v>
          </cell>
          <cell r="AW24">
            <v>0.90187917531566997</v>
          </cell>
          <cell r="AX24">
            <v>0.93295304507798504</v>
          </cell>
          <cell r="AY24">
            <v>0.94417745978545997</v>
          </cell>
          <cell r="AZ24">
            <v>0.99704570700359996</v>
          </cell>
          <cell r="BA24">
            <v>0.99427814638670498</v>
          </cell>
          <cell r="BB24">
            <v>0.970130114346065</v>
          </cell>
          <cell r="BC24">
            <v>0.99557035945868499</v>
          </cell>
          <cell r="BD24">
            <v>1.00944352149963</v>
          </cell>
          <cell r="BE24">
            <v>1.06136858463288</v>
          </cell>
          <cell r="BF24">
            <v>1.07280492782593</v>
          </cell>
          <cell r="BG24">
            <v>1.08655905723572</v>
          </cell>
          <cell r="BH24">
            <v>1.065389752388</v>
          </cell>
          <cell r="BI24">
            <v>1.0594340562820499</v>
          </cell>
          <cell r="BJ24">
            <v>1.10150253772736</v>
          </cell>
          <cell r="BK24">
            <v>1.1055368863666399</v>
          </cell>
          <cell r="BL24">
            <v>1.1133759367142699</v>
          </cell>
          <cell r="BM24">
            <v>1.15163666471834</v>
          </cell>
          <cell r="BN24">
            <v>1.15163666471834</v>
          </cell>
        </row>
        <row r="25">
          <cell r="B25" t="str">
            <v>BLR</v>
          </cell>
          <cell r="C25" t="str">
            <v>Price level ratio of PPP conversion factor (GDP) to market exchange rate</v>
          </cell>
          <cell r="D25" t="str">
            <v>PA.NUS.PPPC.RF</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v>0.40637692609130899</v>
          </cell>
          <cell r="AJ25" t="str">
            <v>..</v>
          </cell>
          <cell r="AK25" t="str">
            <v>..</v>
          </cell>
          <cell r="AL25" t="str">
            <v>..</v>
          </cell>
          <cell r="AM25">
            <v>0.41455458694743302</v>
          </cell>
          <cell r="AN25">
            <v>0.34355706934083202</v>
          </cell>
          <cell r="AO25">
            <v>0.35903147541161501</v>
          </cell>
          <cell r="AP25">
            <v>0.30272477850273</v>
          </cell>
          <cell r="AQ25">
            <v>0.29877573749880398</v>
          </cell>
          <cell r="AR25">
            <v>0.226777079098268</v>
          </cell>
          <cell r="AS25">
            <v>0.21976849753394401</v>
          </cell>
          <cell r="AT25">
            <v>0.19915670407230901</v>
          </cell>
          <cell r="AU25">
            <v>0.22046924658537001</v>
          </cell>
          <cell r="AV25">
            <v>0.24700939242707601</v>
          </cell>
          <cell r="AW25">
            <v>0.28018466865993202</v>
          </cell>
          <cell r="AX25">
            <v>0.324172496175063</v>
          </cell>
          <cell r="AY25">
            <v>0.34993321963068902</v>
          </cell>
          <cell r="AZ25">
            <v>0.38446716717502699</v>
          </cell>
          <cell r="BA25">
            <v>0.45927452518453998</v>
          </cell>
          <cell r="BB25">
            <v>0.38085552397067002</v>
          </cell>
          <cell r="BC25">
            <v>0.39281433222548501</v>
          </cell>
          <cell r="BD25">
            <v>0.39407682778248199</v>
          </cell>
          <cell r="BE25">
            <v>0.38403879613831698</v>
          </cell>
          <cell r="BF25">
            <v>0.42108271841530298</v>
          </cell>
          <cell r="BG25">
            <v>0.43883485390173599</v>
          </cell>
          <cell r="BH25">
            <v>0.32975036535343299</v>
          </cell>
          <cell r="BI25">
            <v>0.28335196117727801</v>
          </cell>
          <cell r="BJ25">
            <v>0.31519061393917502</v>
          </cell>
          <cell r="BK25">
            <v>0.32732739182500897</v>
          </cell>
          <cell r="BL25">
            <v>0.340277640286968</v>
          </cell>
          <cell r="BM25">
            <v>0.317411340306746</v>
          </cell>
          <cell r="BN25">
            <v>0.317411340306746</v>
          </cell>
        </row>
        <row r="26">
          <cell r="B26" t="str">
            <v>BEL</v>
          </cell>
          <cell r="C26" t="str">
            <v>Price level ratio of PPP conversion factor (GDP) to market exchange rate</v>
          </cell>
          <cell r="D26" t="str">
            <v>PA.NUS.PPPC.RF</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v>1.1029212940608399</v>
          </cell>
          <cell r="AJ26">
            <v>1.07406379208506</v>
          </cell>
          <cell r="AK26">
            <v>1.1535495608532</v>
          </cell>
          <cell r="AL26">
            <v>1.08903218283582</v>
          </cell>
          <cell r="AM26">
            <v>1.12560646250301</v>
          </cell>
          <cell r="AN26">
            <v>1.26651204159825</v>
          </cell>
          <cell r="AO26">
            <v>1.20894592833876</v>
          </cell>
          <cell r="AP26">
            <v>1.04587280108254</v>
          </cell>
          <cell r="AQ26">
            <v>1.0397855078906399</v>
          </cell>
          <cell r="AR26">
            <v>0.99227359897720002</v>
          </cell>
          <cell r="AS26">
            <v>0.82929242675511305</v>
          </cell>
          <cell r="AT26">
            <v>0.79877404921700201</v>
          </cell>
          <cell r="AU26">
            <v>0.82185206098249597</v>
          </cell>
          <cell r="AV26">
            <v>0.98884085778780995</v>
          </cell>
          <cell r="AW26">
            <v>1.10296250310405</v>
          </cell>
          <cell r="AX26">
            <v>1.10905111304564</v>
          </cell>
          <cell r="AY26">
            <v>1.0968121942039899</v>
          </cell>
          <cell r="AZ26">
            <v>1.20308376676704</v>
          </cell>
          <cell r="BA26">
            <v>1.26986963527172</v>
          </cell>
          <cell r="BB26">
            <v>1.1810363989997199</v>
          </cell>
          <cell r="BC26">
            <v>1.10797641623232</v>
          </cell>
          <cell r="BD26">
            <v>1.15646753926677</v>
          </cell>
          <cell r="BE26">
            <v>1.0563327239329201</v>
          </cell>
          <cell r="BF26">
            <v>1.0703793028489901</v>
          </cell>
          <cell r="BG26">
            <v>1.0616709137868501</v>
          </cell>
          <cell r="BH26">
            <v>0.88725120476124797</v>
          </cell>
          <cell r="BI26">
            <v>0.86391665086147595</v>
          </cell>
          <cell r="BJ26">
            <v>0.874054827703173</v>
          </cell>
          <cell r="BK26">
            <v>0.90464982220370405</v>
          </cell>
          <cell r="BL26">
            <v>0.85852052367058695</v>
          </cell>
          <cell r="BM26">
            <v>0.85150148824124705</v>
          </cell>
          <cell r="BN26">
            <v>0.85150148824124705</v>
          </cell>
        </row>
        <row r="27">
          <cell r="B27" t="str">
            <v>BLZ</v>
          </cell>
          <cell r="C27" t="str">
            <v>Price level ratio of PPP conversion factor (GDP) to market exchange rate</v>
          </cell>
          <cell r="D27" t="str">
            <v>PA.NUS.PPPC.RF</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v>0.65923182941546998</v>
          </cell>
          <cell r="AJ27">
            <v>0.61738850293219005</v>
          </cell>
          <cell r="AK27">
            <v>0.62811575915864504</v>
          </cell>
          <cell r="AL27">
            <v>0.62370567155140999</v>
          </cell>
          <cell r="AM27">
            <v>0.63262476115902999</v>
          </cell>
          <cell r="AN27">
            <v>0.65713349428149004</v>
          </cell>
          <cell r="AO27">
            <v>0.65800400144029003</v>
          </cell>
          <cell r="AP27">
            <v>0.63688827684538496</v>
          </cell>
          <cell r="AQ27">
            <v>0.63914131514669004</v>
          </cell>
          <cell r="AR27">
            <v>0.61583560214832</v>
          </cell>
          <cell r="AS27">
            <v>0.60523672628674496</v>
          </cell>
          <cell r="AT27">
            <v>0.59043196274711496</v>
          </cell>
          <cell r="AU27">
            <v>0.59130085054576498</v>
          </cell>
          <cell r="AV27">
            <v>0.56446446455153998</v>
          </cell>
          <cell r="AW27">
            <v>0.56070469386632005</v>
          </cell>
          <cell r="AX27">
            <v>0.55937858298720999</v>
          </cell>
          <cell r="AY27">
            <v>0.56870772035177997</v>
          </cell>
          <cell r="AZ27">
            <v>0.57877650081581</v>
          </cell>
          <cell r="BA27">
            <v>0.58299009192804996</v>
          </cell>
          <cell r="BB27">
            <v>0.56278576059724505</v>
          </cell>
          <cell r="BC27">
            <v>0.56462698108725995</v>
          </cell>
          <cell r="BD27">
            <v>0.575614154338835</v>
          </cell>
          <cell r="BE27">
            <v>0.61951076984405495</v>
          </cell>
          <cell r="BF27">
            <v>0.63214421272277999</v>
          </cell>
          <cell r="BG27">
            <v>0.65624201297759999</v>
          </cell>
          <cell r="BH27">
            <v>0.65926253795624001</v>
          </cell>
          <cell r="BI27">
            <v>0.671137154102325</v>
          </cell>
          <cell r="BJ27">
            <v>0.68753254413604503</v>
          </cell>
          <cell r="BK27">
            <v>0.67259160106867999</v>
          </cell>
          <cell r="BL27">
            <v>0.67192753970889496</v>
          </cell>
          <cell r="BM27">
            <v>0.63725745027915504</v>
          </cell>
          <cell r="BN27">
            <v>0.63725745027915504</v>
          </cell>
        </row>
        <row r="28">
          <cell r="B28" t="str">
            <v>BEN</v>
          </cell>
          <cell r="C28" t="str">
            <v>Price level ratio of PPP conversion factor (GDP) to market exchange rate</v>
          </cell>
          <cell r="D28" t="str">
            <v>PA.NUS.PPPC.RF</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v>0.31633002838947499</v>
          </cell>
          <cell r="AJ28">
            <v>0.29754172147080499</v>
          </cell>
          <cell r="AK28">
            <v>0.241145076946992</v>
          </cell>
          <cell r="AL28">
            <v>0.29861845800610098</v>
          </cell>
          <cell r="AM28">
            <v>0.19907522401930899</v>
          </cell>
          <cell r="AN28">
            <v>0.24963263473915001</v>
          </cell>
          <cell r="AO28">
            <v>0.25572217012232201</v>
          </cell>
          <cell r="AP28">
            <v>0.22826375461024501</v>
          </cell>
          <cell r="AQ28">
            <v>0.235002658283575</v>
          </cell>
          <cell r="AR28">
            <v>0.32939748933976798</v>
          </cell>
          <cell r="AS28">
            <v>0.29133827995126199</v>
          </cell>
          <cell r="AT28">
            <v>0.28189464084506399</v>
          </cell>
          <cell r="AU28">
            <v>0.30339321243727402</v>
          </cell>
          <cell r="AV28">
            <v>0.367232145381718</v>
          </cell>
          <cell r="AW28">
            <v>0.396273734269742</v>
          </cell>
          <cell r="AX28">
            <v>0.40086410568254399</v>
          </cell>
          <cell r="AY28">
            <v>0.40091295914164599</v>
          </cell>
          <cell r="AZ28">
            <v>0.42780905447793999</v>
          </cell>
          <cell r="BA28">
            <v>0.479328112182343</v>
          </cell>
          <cell r="BB28">
            <v>0.46258611914948999</v>
          </cell>
          <cell r="BC28">
            <v>0.43844418830581899</v>
          </cell>
          <cell r="BD28">
            <v>0.46776495143160302</v>
          </cell>
          <cell r="BE28">
            <v>0.45833181603476802</v>
          </cell>
          <cell r="BF28">
            <v>0.468672618135204</v>
          </cell>
          <cell r="BG28">
            <v>0.45577905426308002</v>
          </cell>
          <cell r="BH28">
            <v>0.37300326645036302</v>
          </cell>
          <cell r="BI28">
            <v>0.36184921034867501</v>
          </cell>
          <cell r="BJ28">
            <v>0.373324837230323</v>
          </cell>
          <cell r="BK28">
            <v>0.38367369486151898</v>
          </cell>
          <cell r="BL28">
            <v>0.355924744247476</v>
          </cell>
          <cell r="BM28">
            <v>0.36829805518504399</v>
          </cell>
          <cell r="BN28">
            <v>0.36829805518504399</v>
          </cell>
        </row>
        <row r="29">
          <cell r="B29" t="str">
            <v>BMU</v>
          </cell>
          <cell r="C29" t="str">
            <v>Price level ratio of PPP conversion factor (GDP) to market exchange rate</v>
          </cell>
          <cell r="D29" t="str">
            <v>PA.NUS.PPPC.RF</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v>0.87307838742787502</v>
          </cell>
          <cell r="AJ29">
            <v>0.89882632597830703</v>
          </cell>
          <cell r="AK29">
            <v>0.90352764528153195</v>
          </cell>
          <cell r="AL29">
            <v>0.92846980627442699</v>
          </cell>
          <cell r="AM29">
            <v>0.92687117635505001</v>
          </cell>
          <cell r="AN29">
            <v>0.94576832737081895</v>
          </cell>
          <cell r="AO29">
            <v>1.2014914150190901</v>
          </cell>
          <cell r="AP29">
            <v>1.22788170049495</v>
          </cell>
          <cell r="AQ29">
            <v>1.2475037951802599</v>
          </cell>
          <cell r="AR29">
            <v>1.2631012835086499</v>
          </cell>
          <cell r="AS29">
            <v>1.1831429566568401</v>
          </cell>
          <cell r="AT29">
            <v>1.1418967607177399</v>
          </cell>
          <cell r="AU29">
            <v>1.2205700281282601</v>
          </cell>
          <cell r="AV29">
            <v>1.23216546633824</v>
          </cell>
          <cell r="AW29">
            <v>1.2561618844834399</v>
          </cell>
          <cell r="AX29">
            <v>1.3005954596765801</v>
          </cell>
          <cell r="AY29">
            <v>1.3302742574139901</v>
          </cell>
          <cell r="AZ29">
            <v>1.3806502737026101</v>
          </cell>
          <cell r="BA29">
            <v>1.4234976069901899</v>
          </cell>
          <cell r="BB29">
            <v>1.4274706659846199</v>
          </cell>
          <cell r="BC29">
            <v>1.44258238007106</v>
          </cell>
          <cell r="BD29">
            <v>1.3967968225479099</v>
          </cell>
          <cell r="BE29">
            <v>1.4592481851577801</v>
          </cell>
          <cell r="BF29">
            <v>1.4417594671249401</v>
          </cell>
          <cell r="BG29">
            <v>1.4317272901535001</v>
          </cell>
          <cell r="BH29">
            <v>1.41924369335175</v>
          </cell>
          <cell r="BI29">
            <v>1.39972507953644</v>
          </cell>
          <cell r="BJ29">
            <v>1.36641585826874</v>
          </cell>
          <cell r="BK29">
            <v>1.35556685804527</v>
          </cell>
          <cell r="BL29">
            <v>1.37336709290103</v>
          </cell>
          <cell r="BM29">
            <v>1.3247555050717601</v>
          </cell>
          <cell r="BN29">
            <v>1.3247555050717601</v>
          </cell>
        </row>
        <row r="30">
          <cell r="B30" t="str">
            <v>BTN</v>
          </cell>
          <cell r="C30" t="str">
            <v>Price level ratio of PPP conversion factor (GDP) to market exchange rate</v>
          </cell>
          <cell r="D30" t="str">
            <v>PA.NUS.PPPC.RF</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v>0.34772028274528299</v>
          </cell>
          <cell r="AJ30">
            <v>0.282146243904558</v>
          </cell>
          <cell r="AK30">
            <v>0.26361152385125403</v>
          </cell>
          <cell r="AL30">
            <v>0.23754800907066401</v>
          </cell>
          <cell r="AM30">
            <v>0.25395523934701902</v>
          </cell>
          <cell r="AN30">
            <v>0.26054216268831898</v>
          </cell>
          <cell r="AO30">
            <v>0.253192234839964</v>
          </cell>
          <cell r="AP30">
            <v>0.27404279123951503</v>
          </cell>
          <cell r="AQ30">
            <v>0.26399008408947899</v>
          </cell>
          <cell r="AR30">
            <v>0.26474036573270099</v>
          </cell>
          <cell r="AS30">
            <v>0.26635591624273702</v>
          </cell>
          <cell r="AT30">
            <v>0.26151294952908699</v>
          </cell>
          <cell r="AU30">
            <v>0.26180472528195198</v>
          </cell>
          <cell r="AV30">
            <v>0.27645750048720902</v>
          </cell>
          <cell r="AW30">
            <v>0.28694582874706498</v>
          </cell>
          <cell r="AX30">
            <v>0.30285654695553499</v>
          </cell>
          <cell r="AY30">
            <v>0.301637260093855</v>
          </cell>
          <cell r="AZ30">
            <v>0.33137442364117697</v>
          </cell>
          <cell r="BA30">
            <v>0.32596175136371702</v>
          </cell>
          <cell r="BB30">
            <v>0.30457671708779799</v>
          </cell>
          <cell r="BC30">
            <v>0.33736924880020303</v>
          </cell>
          <cell r="BD30">
            <v>0.35133124371005903</v>
          </cell>
          <cell r="BE30">
            <v>0.32089270776434198</v>
          </cell>
          <cell r="BF30">
            <v>0.309489480482943</v>
          </cell>
          <cell r="BG30">
            <v>0.30603348573519001</v>
          </cell>
          <cell r="BH30">
            <v>0.28973069895123599</v>
          </cell>
          <cell r="BI30">
            <v>0.28024351492002397</v>
          </cell>
          <cell r="BJ30">
            <v>0.29496111414894699</v>
          </cell>
          <cell r="BK30">
            <v>0.27910686776889099</v>
          </cell>
          <cell r="BL30">
            <v>0.26869819388074201</v>
          </cell>
          <cell r="BM30">
            <v>0.26960656156839202</v>
          </cell>
          <cell r="BN30">
            <v>0.26960656156839202</v>
          </cell>
        </row>
        <row r="31">
          <cell r="B31" t="str">
            <v>BOL</v>
          </cell>
          <cell r="C31" t="str">
            <v>Price level ratio of PPP conversion factor (GDP) to market exchange rate</v>
          </cell>
          <cell r="D31" t="str">
            <v>PA.NUS.PPPC.RF</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0.29878239744856</v>
          </cell>
          <cell r="AJ31">
            <v>0.30138034227198501</v>
          </cell>
          <cell r="AK31">
            <v>0.30620180123854601</v>
          </cell>
          <cell r="AL31">
            <v>0.29147901658502501</v>
          </cell>
          <cell r="AM31">
            <v>0.28438236232875003</v>
          </cell>
          <cell r="AN31">
            <v>0.298746100908031</v>
          </cell>
          <cell r="AO31">
            <v>0.309653574457463</v>
          </cell>
          <cell r="AP31">
            <v>0.31057140186778298</v>
          </cell>
          <cell r="AQ31">
            <v>0.31350706659267902</v>
          </cell>
          <cell r="AR31">
            <v>0.30003697935565299</v>
          </cell>
          <cell r="AS31">
            <v>0.290195770790316</v>
          </cell>
          <cell r="AT31">
            <v>0.27073939624427601</v>
          </cell>
          <cell r="AU31">
            <v>0.25251959898765602</v>
          </cell>
          <cell r="AV31">
            <v>0.246771685577516</v>
          </cell>
          <cell r="AW31">
            <v>0.25039950111417603</v>
          </cell>
          <cell r="AX31">
            <v>0.253112237619186</v>
          </cell>
          <cell r="AY31">
            <v>0.28114573288606098</v>
          </cell>
          <cell r="AZ31">
            <v>0.29998450439078</v>
          </cell>
          <cell r="BA31">
            <v>0.35231151297216301</v>
          </cell>
          <cell r="BB31">
            <v>0.351794699576712</v>
          </cell>
          <cell r="BC31">
            <v>0.37844366791968298</v>
          </cell>
          <cell r="BD31">
            <v>0.42971197493708402</v>
          </cell>
          <cell r="BE31">
            <v>0.44073544431871298</v>
          </cell>
          <cell r="BF31">
            <v>0.43898650085184199</v>
          </cell>
          <cell r="BG31">
            <v>0.43672293899028197</v>
          </cell>
          <cell r="BH31">
            <v>0.42557129811619498</v>
          </cell>
          <cell r="BI31">
            <v>0.41023328921901903</v>
          </cell>
          <cell r="BJ31">
            <v>0.39782106617597701</v>
          </cell>
          <cell r="BK31">
            <v>0.40036680443533401</v>
          </cell>
          <cell r="BL31">
            <v>0.39061910580345699</v>
          </cell>
          <cell r="BM31">
            <v>0.37859984563791499</v>
          </cell>
          <cell r="BN31">
            <v>0.37859984563791499</v>
          </cell>
        </row>
        <row r="32">
          <cell r="B32" t="str">
            <v>BIH</v>
          </cell>
          <cell r="C32" t="str">
            <v>Price level ratio of PPP conversion factor (GDP) to market exchange rate</v>
          </cell>
          <cell r="D32" t="str">
            <v>PA.NUS.PPPC.RF</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v>0.40747384563720102</v>
          </cell>
          <cell r="AN32">
            <v>0.49107055013773399</v>
          </cell>
          <cell r="AO32">
            <v>0.38092783666081698</v>
          </cell>
          <cell r="AP32">
            <v>0.36700555303771498</v>
          </cell>
          <cell r="AQ32">
            <v>0.35198344272822601</v>
          </cell>
          <cell r="AR32">
            <v>0.36034171930828901</v>
          </cell>
          <cell r="AS32">
            <v>0.32277642217937202</v>
          </cell>
          <cell r="AT32">
            <v>0.32233632407402701</v>
          </cell>
          <cell r="AU32">
            <v>0.34443326132011298</v>
          </cell>
          <cell r="AV32">
            <v>0.41359143744197302</v>
          </cell>
          <cell r="AW32">
            <v>0.45357261186679898</v>
          </cell>
          <cell r="AX32">
            <v>0.45999447837303598</v>
          </cell>
          <cell r="AY32">
            <v>0.460817834667689</v>
          </cell>
          <cell r="AZ32">
            <v>0.51160494073807095</v>
          </cell>
          <cell r="BA32">
            <v>0.56385264874853502</v>
          </cell>
          <cell r="BB32">
            <v>0.52219350161002298</v>
          </cell>
          <cell r="BC32">
            <v>0.495868528381681</v>
          </cell>
          <cell r="BD32">
            <v>0.51045551371585596</v>
          </cell>
          <cell r="BE32">
            <v>0.463611758953969</v>
          </cell>
          <cell r="BF32">
            <v>0.46563246424228999</v>
          </cell>
          <cell r="BG32">
            <v>0.46621764137946298</v>
          </cell>
          <cell r="BH32">
            <v>0.39378775006302502</v>
          </cell>
          <cell r="BI32">
            <v>0.38210691720257201</v>
          </cell>
          <cell r="BJ32">
            <v>0.39220101054657402</v>
          </cell>
          <cell r="BK32">
            <v>0.40735728097114399</v>
          </cell>
          <cell r="BL32">
            <v>0.38909550205693</v>
          </cell>
          <cell r="BM32">
            <v>0.389150634009018</v>
          </cell>
          <cell r="BN32">
            <v>0.389150634009018</v>
          </cell>
        </row>
        <row r="33">
          <cell r="B33" t="str">
            <v>BWA</v>
          </cell>
          <cell r="C33" t="str">
            <v>Price level ratio of PPP conversion factor (GDP) to market exchange rate</v>
          </cell>
          <cell r="D33" t="str">
            <v>PA.NUS.PPPC.RF</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v>0.51877396914790497</v>
          </cell>
          <cell r="AJ33">
            <v>0.48572717826315598</v>
          </cell>
          <cell r="AK33">
            <v>0.48528631596433602</v>
          </cell>
          <cell r="AL33">
            <v>0.46665970569547699</v>
          </cell>
          <cell r="AM33">
            <v>0.451425615982813</v>
          </cell>
          <cell r="AN33">
            <v>0.45881996013056398</v>
          </cell>
          <cell r="AO33">
            <v>0.43629243407134999</v>
          </cell>
          <cell r="AP33">
            <v>0.40976036478571498</v>
          </cell>
          <cell r="AQ33">
            <v>0.38494745390262702</v>
          </cell>
          <cell r="AR33">
            <v>0.39613181984621598</v>
          </cell>
          <cell r="AS33">
            <v>0.40098280967176297</v>
          </cell>
          <cell r="AT33">
            <v>0.37119663869290898</v>
          </cell>
          <cell r="AU33">
            <v>0.34132172549130801</v>
          </cell>
          <cell r="AV33">
            <v>0.44234103959557403</v>
          </cell>
          <cell r="AW33">
            <v>0.50012491653121305</v>
          </cell>
          <cell r="AX33">
            <v>0.51366954622702499</v>
          </cell>
          <cell r="AY33">
            <v>0.47025678567506302</v>
          </cell>
          <cell r="AZ33">
            <v>0.456372893157801</v>
          </cell>
          <cell r="BA33">
            <v>0.42158182652791998</v>
          </cell>
          <cell r="BB33">
            <v>0.42499927820862499</v>
          </cell>
          <cell r="BC33">
            <v>0.48192583301409597</v>
          </cell>
          <cell r="BD33">
            <v>0.53444738076501697</v>
          </cell>
          <cell r="BE33">
            <v>0.51878631508917505</v>
          </cell>
          <cell r="BF33">
            <v>0.491236858038405</v>
          </cell>
          <cell r="BG33">
            <v>0.47731526500048999</v>
          </cell>
          <cell r="BH33">
            <v>0.43737044491176102</v>
          </cell>
          <cell r="BI33">
            <v>0.41968379900599201</v>
          </cell>
          <cell r="BJ33">
            <v>0.457491691193117</v>
          </cell>
          <cell r="BK33">
            <v>0.451716938254623</v>
          </cell>
          <cell r="BL33">
            <v>0.42273334031769799</v>
          </cell>
          <cell r="BM33">
            <v>0.41432914734415099</v>
          </cell>
          <cell r="BN33">
            <v>0.41432914734415099</v>
          </cell>
        </row>
        <row r="34">
          <cell r="B34" t="str">
            <v>BRA</v>
          </cell>
          <cell r="C34" t="str">
            <v>Price level ratio of PPP conversion factor (GDP) to market exchange rate</v>
          </cell>
          <cell r="D34" t="str">
            <v>PA.NUS.PPPC.RF</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v>0.39157547145037302</v>
          </cell>
          <cell r="AJ34">
            <v>0.32872970193199902</v>
          </cell>
          <cell r="AK34">
            <v>0.30956064864314498</v>
          </cell>
          <cell r="AL34">
            <v>0.323420858550376</v>
          </cell>
          <cell r="AM34">
            <v>0.426734149309556</v>
          </cell>
          <cell r="AN34">
            <v>0.58725586659939599</v>
          </cell>
          <cell r="AO34">
            <v>0.62370773958980597</v>
          </cell>
          <cell r="AP34">
            <v>0.61547502622371697</v>
          </cell>
          <cell r="AQ34">
            <v>0.59318481243016596</v>
          </cell>
          <cell r="AR34">
            <v>0.404073766394417</v>
          </cell>
          <cell r="AS34">
            <v>0.41386141817918898</v>
          </cell>
          <cell r="AT34">
            <v>0.34125131035798201</v>
          </cell>
          <cell r="AU34">
            <v>0.29676754873855599</v>
          </cell>
          <cell r="AV34">
            <v>0.31544153778289202</v>
          </cell>
          <cell r="AW34">
            <v>0.348223359941435</v>
          </cell>
          <cell r="AX34">
            <v>0.43593352466607099</v>
          </cell>
          <cell r="AY34">
            <v>0.50559744822546204</v>
          </cell>
          <cell r="AZ34">
            <v>0.58551620429750895</v>
          </cell>
          <cell r="BA34">
            <v>0.66336200458355199</v>
          </cell>
          <cell r="BB34">
            <v>0.64795502413203399</v>
          </cell>
          <cell r="BC34">
            <v>0.78926032529721202</v>
          </cell>
          <cell r="BD34">
            <v>0.88067377475669795</v>
          </cell>
          <cell r="BE34">
            <v>0.82214440273098299</v>
          </cell>
          <cell r="BF34">
            <v>0.78905656628895704</v>
          </cell>
          <cell r="BG34">
            <v>0.77060692206999004</v>
          </cell>
          <cell r="BH34">
            <v>0.59779719724029401</v>
          </cell>
          <cell r="BI34">
            <v>0.610968256639148</v>
          </cell>
          <cell r="BJ34">
            <v>0.68357590848336303</v>
          </cell>
          <cell r="BK34">
            <v>0.60926196660902199</v>
          </cell>
          <cell r="BL34">
            <v>0.578204908778017</v>
          </cell>
          <cell r="BM34">
            <v>0.45814994563816402</v>
          </cell>
          <cell r="BN34">
            <v>0.45814994563816402</v>
          </cell>
        </row>
        <row r="35">
          <cell r="B35" t="str">
            <v>VGB</v>
          </cell>
          <cell r="C35" t="str">
            <v>Price level ratio of PPP conversion factor (GDP) to market exchange rate</v>
          </cell>
          <cell r="D35" t="str">
            <v>PA.NUS.PPPC.RF</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
          </cell>
        </row>
        <row r="36">
          <cell r="B36" t="str">
            <v>BRN</v>
          </cell>
          <cell r="C36" t="str">
            <v>Price level ratio of PPP conversion factor (GDP) to market exchange rate</v>
          </cell>
          <cell r="D36" t="str">
            <v>PA.NUS.PPPC.RF</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v>0.243521961912609</v>
          </cell>
          <cell r="AJ36">
            <v>0.24012019437424101</v>
          </cell>
          <cell r="AK36">
            <v>0.25327971555360301</v>
          </cell>
          <cell r="AL36">
            <v>0.242074264161626</v>
          </cell>
          <cell r="AM36">
            <v>0.22875735022902099</v>
          </cell>
          <cell r="AN36">
            <v>0.24838436275057599</v>
          </cell>
          <cell r="AO36">
            <v>0.25620479473064001</v>
          </cell>
          <cell r="AP36">
            <v>0.25954362504069101</v>
          </cell>
          <cell r="AQ36">
            <v>0.20117752174027101</v>
          </cell>
          <cell r="AR36">
            <v>0.218512681998624</v>
          </cell>
          <cell r="AS36">
            <v>0.27111282723233199</v>
          </cell>
          <cell r="AT36">
            <v>0.240995172960074</v>
          </cell>
          <cell r="AU36">
            <v>0.238276630248489</v>
          </cell>
          <cell r="AV36">
            <v>0.25510853658867899</v>
          </cell>
          <cell r="AW36">
            <v>0.29674197581610401</v>
          </cell>
          <cell r="AX36">
            <v>0.347081182042772</v>
          </cell>
          <cell r="AY36">
            <v>0.38835201569380001</v>
          </cell>
          <cell r="AZ36">
            <v>0.40318709793251001</v>
          </cell>
          <cell r="BA36">
            <v>0.473965751319117</v>
          </cell>
          <cell r="BB36">
            <v>0.35704383778468202</v>
          </cell>
          <cell r="BC36">
            <v>0.43934518432423297</v>
          </cell>
          <cell r="BD36">
            <v>0.56062231610467395</v>
          </cell>
          <cell r="BE36">
            <v>0.54098293662223795</v>
          </cell>
          <cell r="BF36">
            <v>0.53397367906082605</v>
          </cell>
          <cell r="BG36">
            <v>0.51278402792155997</v>
          </cell>
          <cell r="BH36">
            <v>0.49830068284029999</v>
          </cell>
          <cell r="BI36">
            <v>0.48241107493006802</v>
          </cell>
          <cell r="BJ36">
            <v>0.46842901424750799</v>
          </cell>
          <cell r="BK36">
            <v>0.51146390022536603</v>
          </cell>
          <cell r="BL36">
            <v>0.48028394908253902</v>
          </cell>
          <cell r="BM36">
            <v>0.41825672416130799</v>
          </cell>
          <cell r="BN36">
            <v>0.41825672416130799</v>
          </cell>
        </row>
        <row r="37">
          <cell r="B37" t="str">
            <v>BGR</v>
          </cell>
          <cell r="C37" t="str">
            <v>Price level ratio of PPP conversion factor (GDP) to market exchange rate</v>
          </cell>
          <cell r="D37" t="str">
            <v>PA.NUS.PPPC.RF</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v>0.31356717242340199</v>
          </cell>
          <cell r="AJ37">
            <v>0.17572000195264501</v>
          </cell>
          <cell r="AK37">
            <v>0.17523862926309799</v>
          </cell>
          <cell r="AL37">
            <v>0.18179716288654099</v>
          </cell>
          <cell r="AM37">
            <v>0.156540001541698</v>
          </cell>
          <cell r="AN37">
            <v>0.29181181627551001</v>
          </cell>
          <cell r="AO37">
            <v>0.21470820298051599</v>
          </cell>
          <cell r="AP37">
            <v>0.23674580018588601</v>
          </cell>
          <cell r="AQ37">
            <v>0.29467580998811899</v>
          </cell>
          <cell r="AR37">
            <v>0.285773442991543</v>
          </cell>
          <cell r="AS37">
            <v>0.252453017336286</v>
          </cell>
          <cell r="AT37">
            <v>0.25447895190296799</v>
          </cell>
          <cell r="AU37">
            <v>0.268794908836608</v>
          </cell>
          <cell r="AV37">
            <v>0.32309646347465798</v>
          </cell>
          <cell r="AW37">
            <v>0.36838619010059698</v>
          </cell>
          <cell r="AX37">
            <v>0.37894682195038198</v>
          </cell>
          <cell r="AY37">
            <v>0.39647650986664601</v>
          </cell>
          <cell r="AZ37">
            <v>0.45936613381960201</v>
          </cell>
          <cell r="BA37">
            <v>0.50682757710507498</v>
          </cell>
          <cell r="BB37">
            <v>0.492783097017154</v>
          </cell>
          <cell r="BC37">
            <v>0.45819601704969898</v>
          </cell>
          <cell r="BD37">
            <v>0.49845194159130701</v>
          </cell>
          <cell r="BE37">
            <v>0.45520190806154898</v>
          </cell>
          <cell r="BF37">
            <v>0.461460423368172</v>
          </cell>
          <cell r="BG37">
            <v>0.44853407610868701</v>
          </cell>
          <cell r="BH37">
            <v>0.384662294571047</v>
          </cell>
          <cell r="BI37">
            <v>0.37707168099583699</v>
          </cell>
          <cell r="BJ37">
            <v>0.38967463817668901</v>
          </cell>
          <cell r="BK37">
            <v>0.410902889400033</v>
          </cell>
          <cell r="BL37">
            <v>0.40284424271895197</v>
          </cell>
          <cell r="BM37">
            <v>0.40949341504697101</v>
          </cell>
          <cell r="BN37">
            <v>0.40949341504697101</v>
          </cell>
        </row>
        <row r="38">
          <cell r="B38" t="str">
            <v>BFA</v>
          </cell>
          <cell r="C38" t="str">
            <v>Price level ratio of PPP conversion factor (GDP) to market exchange rate</v>
          </cell>
          <cell r="D38" t="str">
            <v>PA.NUS.PPPC.RF</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v>0.59700369939661302</v>
          </cell>
          <cell r="AJ38">
            <v>0.53521447166486502</v>
          </cell>
          <cell r="AK38">
            <v>0.55898475828875704</v>
          </cell>
          <cell r="AL38">
            <v>0.50306372943459299</v>
          </cell>
          <cell r="AM38">
            <v>0.28797952650120801</v>
          </cell>
          <cell r="AN38">
            <v>0.33498086128913201</v>
          </cell>
          <cell r="AO38">
            <v>0.32210054007495598</v>
          </cell>
          <cell r="AP38">
            <v>0.28165911213186301</v>
          </cell>
          <cell r="AQ38">
            <v>0.29743845483513698</v>
          </cell>
          <cell r="AR38">
            <v>0.32992335358569702</v>
          </cell>
          <cell r="AS38">
            <v>0.277370453177611</v>
          </cell>
          <cell r="AT38">
            <v>0.27362047106589199</v>
          </cell>
          <cell r="AU38">
            <v>0.29307399949000801</v>
          </cell>
          <cell r="AV38">
            <v>0.34931360173269099</v>
          </cell>
          <cell r="AW38">
            <v>0.374398055781899</v>
          </cell>
          <cell r="AX38">
            <v>0.37672219903106902</v>
          </cell>
          <cell r="AY38">
            <v>0.366593166930612</v>
          </cell>
          <cell r="AZ38">
            <v>0.39937840069425501</v>
          </cell>
          <cell r="BA38">
            <v>0.45893293965496001</v>
          </cell>
          <cell r="BB38">
            <v>0.442323710623302</v>
          </cell>
          <cell r="BC38">
            <v>0.43128576657015899</v>
          </cell>
          <cell r="BD38">
            <v>0.47345671522203803</v>
          </cell>
          <cell r="BE38">
            <v>0.46807502513258997</v>
          </cell>
          <cell r="BF38">
            <v>0.46786685826510299</v>
          </cell>
          <cell r="BG38">
            <v>0.46850128136713098</v>
          </cell>
          <cell r="BH38">
            <v>0.38127784695780897</v>
          </cell>
          <cell r="BI38">
            <v>0.36313643642755999</v>
          </cell>
          <cell r="BJ38">
            <v>0.35951914814457098</v>
          </cell>
          <cell r="BK38">
            <v>0.37096627262736898</v>
          </cell>
          <cell r="BL38">
            <v>0.351097189138873</v>
          </cell>
          <cell r="BM38">
            <v>0.377276332173062</v>
          </cell>
          <cell r="BN38">
            <v>0.377276332173062</v>
          </cell>
        </row>
        <row r="39">
          <cell r="B39" t="str">
            <v>BDI</v>
          </cell>
          <cell r="C39" t="str">
            <v>Price level ratio of PPP conversion factor (GDP) to market exchange rate</v>
          </cell>
          <cell r="D39" t="str">
            <v>PA.NUS.PPPC.RF</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v>0.415717130452043</v>
          </cell>
          <cell r="AJ39">
            <v>0.39492227566944399</v>
          </cell>
          <cell r="AK39">
            <v>0.35463828177949203</v>
          </cell>
          <cell r="AL39">
            <v>0.32021815294845801</v>
          </cell>
          <cell r="AM39">
            <v>0.32128495764370402</v>
          </cell>
          <cell r="AN39">
            <v>0.36960891485779801</v>
          </cell>
          <cell r="AO39">
            <v>0.34270893375036499</v>
          </cell>
          <cell r="AP39">
            <v>0.38301761275027402</v>
          </cell>
          <cell r="AQ39">
            <v>0.33217242068964198</v>
          </cell>
          <cell r="AR39">
            <v>0.29907039468162</v>
          </cell>
          <cell r="AS39">
            <v>0.25890518393586398</v>
          </cell>
          <cell r="AT39">
            <v>0.25004384702147803</v>
          </cell>
          <cell r="AU39">
            <v>0.221855445015223</v>
          </cell>
          <cell r="AV39">
            <v>0.20962498100864599</v>
          </cell>
          <cell r="AW39">
            <v>0.227127422784864</v>
          </cell>
          <cell r="AX39">
            <v>0.26644692617539101</v>
          </cell>
          <cell r="AY39">
            <v>0.27965637060397103</v>
          </cell>
          <cell r="AZ39">
            <v>0.28037598964528299</v>
          </cell>
          <cell r="BA39">
            <v>0.31171282322350602</v>
          </cell>
          <cell r="BB39">
            <v>0.32935158065097803</v>
          </cell>
          <cell r="BC39">
            <v>0.35326740498025699</v>
          </cell>
          <cell r="BD39">
            <v>0.36596534456471203</v>
          </cell>
          <cell r="BE39">
            <v>0.36537326337979198</v>
          </cell>
          <cell r="BF39">
            <v>0.34680360541738497</v>
          </cell>
          <cell r="BG39">
            <v>0.35372361408099001</v>
          </cell>
          <cell r="BH39">
            <v>0.36303819315304597</v>
          </cell>
          <cell r="BI39">
            <v>0.32695546178525398</v>
          </cell>
          <cell r="BJ39">
            <v>0.328122104102745</v>
          </cell>
          <cell r="BK39">
            <v>0.30620795532908801</v>
          </cell>
          <cell r="BL39">
            <v>0.29129237545928299</v>
          </cell>
          <cell r="BM39">
            <v>0.30990938455107497</v>
          </cell>
          <cell r="BN39">
            <v>0.30990938455107497</v>
          </cell>
        </row>
        <row r="40">
          <cell r="B40" t="str">
            <v>CPV</v>
          </cell>
          <cell r="C40" t="str">
            <v>Price level ratio of PPP conversion factor (GDP) to market exchange rate</v>
          </cell>
          <cell r="D40" t="str">
            <v>PA.NUS.PPPC.RF</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v>0.80345989606152102</v>
          </cell>
          <cell r="AJ40">
            <v>0.79872165745600598</v>
          </cell>
          <cell r="AK40">
            <v>0.78610258687817602</v>
          </cell>
          <cell r="AL40">
            <v>0.96993846097125203</v>
          </cell>
          <cell r="AM40">
            <v>0.66059552131566501</v>
          </cell>
          <cell r="AN40">
            <v>0.67877808767035996</v>
          </cell>
          <cell r="AO40">
            <v>0.65602921635644695</v>
          </cell>
          <cell r="AP40">
            <v>0.56687774726183404</v>
          </cell>
          <cell r="AQ40">
            <v>0.52999316562806398</v>
          </cell>
          <cell r="AR40">
            <v>0.53319089260546904</v>
          </cell>
          <cell r="AS40">
            <v>0.445589930263116</v>
          </cell>
          <cell r="AT40">
            <v>0.44533043023751301</v>
          </cell>
          <cell r="AU40">
            <v>0.45939632768563199</v>
          </cell>
          <cell r="AV40">
            <v>0.56749063865055605</v>
          </cell>
          <cell r="AW40">
            <v>0.56946582910298105</v>
          </cell>
          <cell r="AX40">
            <v>0.54319046542977101</v>
          </cell>
          <cell r="AY40">
            <v>0.55652805379354497</v>
          </cell>
          <cell r="AZ40">
            <v>0.599373115304358</v>
          </cell>
          <cell r="BA40">
            <v>0.651556683121711</v>
          </cell>
          <cell r="BB40">
            <v>0.62657444882322</v>
          </cell>
          <cell r="BC40">
            <v>0.59346408276890095</v>
          </cell>
          <cell r="BD40">
            <v>0.62685929032534604</v>
          </cell>
          <cell r="BE40">
            <v>0.59246271425737596</v>
          </cell>
          <cell r="BF40">
            <v>0.62421640109519405</v>
          </cell>
          <cell r="BG40">
            <v>0.62431550132035196</v>
          </cell>
          <cell r="BH40">
            <v>0.50764509805365299</v>
          </cell>
          <cell r="BI40">
            <v>0.49518293820244402</v>
          </cell>
          <cell r="BJ40">
            <v>0.49523003383654701</v>
          </cell>
          <cell r="BK40">
            <v>0.51450677085860597</v>
          </cell>
          <cell r="BL40">
            <v>0.482102498124233</v>
          </cell>
          <cell r="BM40">
            <v>0.480546378353158</v>
          </cell>
          <cell r="BN40">
            <v>0.480546378353158</v>
          </cell>
        </row>
        <row r="41">
          <cell r="B41" t="str">
            <v>KHM</v>
          </cell>
          <cell r="C41" t="str">
            <v>Price level ratio of PPP conversion factor (GDP) to market exchange rate</v>
          </cell>
          <cell r="D41" t="str">
            <v>PA.NUS.PPPC.RF</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v>0.22501261327115701</v>
          </cell>
          <cell r="AM41">
            <v>0.37231287960015902</v>
          </cell>
          <cell r="AN41">
            <v>0.40904131126597798</v>
          </cell>
          <cell r="AO41">
            <v>0.38653517425549</v>
          </cell>
          <cell r="AP41">
            <v>0.35852696393243699</v>
          </cell>
          <cell r="AQ41">
            <v>0.30691295709051403</v>
          </cell>
          <cell r="AR41">
            <v>0.30257534572464101</v>
          </cell>
          <cell r="AS41">
            <v>0.27953396588322299</v>
          </cell>
          <cell r="AT41">
            <v>0.27576469250861602</v>
          </cell>
          <cell r="AU41">
            <v>0.273895239229132</v>
          </cell>
          <cell r="AV41">
            <v>0.26946974838521698</v>
          </cell>
          <cell r="AW41">
            <v>0.272508431404616</v>
          </cell>
          <cell r="AX41">
            <v>0.27511591327588802</v>
          </cell>
          <cell r="AY41">
            <v>0.27866957190220698</v>
          </cell>
          <cell r="AZ41">
            <v>0.29242362531517002</v>
          </cell>
          <cell r="BA41">
            <v>0.32215224236965601</v>
          </cell>
          <cell r="BB41">
            <v>0.32097892541252199</v>
          </cell>
          <cell r="BC41">
            <v>0.32361909422167201</v>
          </cell>
          <cell r="BD41">
            <v>0.33786752533263498</v>
          </cell>
          <cell r="BE41">
            <v>0.33146300104218401</v>
          </cell>
          <cell r="BF41">
            <v>0.33275004704280298</v>
          </cell>
          <cell r="BG41">
            <v>0.34329059234713599</v>
          </cell>
          <cell r="BH41">
            <v>0.34316760959874898</v>
          </cell>
          <cell r="BI41">
            <v>0.34546344414146901</v>
          </cell>
          <cell r="BJ41">
            <v>0.35262938039120301</v>
          </cell>
          <cell r="BK41">
            <v>0.35502579864959599</v>
          </cell>
          <cell r="BL41">
            <v>0.359199086534222</v>
          </cell>
          <cell r="BM41">
            <v>0.34912948704921598</v>
          </cell>
          <cell r="BN41">
            <v>0.34912948704921598</v>
          </cell>
        </row>
        <row r="42">
          <cell r="B42" t="str">
            <v>CMR</v>
          </cell>
          <cell r="C42" t="str">
            <v>Price level ratio of PPP conversion factor (GDP) to market exchange rate</v>
          </cell>
          <cell r="D42" t="str">
            <v>PA.NUS.PPPC.RF</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v>0.60388274695724498</v>
          </cell>
          <cell r="AJ42">
            <v>0.58386852472492201</v>
          </cell>
          <cell r="AK42">
            <v>0.60064461115446299</v>
          </cell>
          <cell r="AL42">
            <v>0.76675379137272404</v>
          </cell>
          <cell r="AM42">
            <v>0.41970784002682998</v>
          </cell>
          <cell r="AN42">
            <v>0.480084249572652</v>
          </cell>
          <cell r="AO42">
            <v>0.46190911078117702</v>
          </cell>
          <cell r="AP42">
            <v>0.422239579312227</v>
          </cell>
          <cell r="AQ42">
            <v>0.41749673515448699</v>
          </cell>
          <cell r="AR42">
            <v>0.39007162185000999</v>
          </cell>
          <cell r="AS42">
            <v>0.33571246628205498</v>
          </cell>
          <cell r="AT42">
            <v>0.326420270026544</v>
          </cell>
          <cell r="AU42">
            <v>0.348669315851526</v>
          </cell>
          <cell r="AV42">
            <v>0.41749462142115801</v>
          </cell>
          <cell r="AW42">
            <v>0.44769354774444697</v>
          </cell>
          <cell r="AX42">
            <v>0.44012815193207899</v>
          </cell>
          <cell r="AY42">
            <v>0.44106719543817902</v>
          </cell>
          <cell r="AZ42">
            <v>0.47112855183727598</v>
          </cell>
          <cell r="BA42">
            <v>0.52045673095559197</v>
          </cell>
          <cell r="BB42">
            <v>0.50748920380180496</v>
          </cell>
          <cell r="BC42">
            <v>0.48008502950022502</v>
          </cell>
          <cell r="BD42">
            <v>0.50654172134700703</v>
          </cell>
          <cell r="BE42">
            <v>0.47437266853385801</v>
          </cell>
          <cell r="BF42">
            <v>0.48812148827919699</v>
          </cell>
          <cell r="BG42">
            <v>0.484285172065827</v>
          </cell>
          <cell r="BH42">
            <v>0.40714395065577003</v>
          </cell>
          <cell r="BI42">
            <v>0.40067754355260199</v>
          </cell>
          <cell r="BJ42">
            <v>0.40092776265487501</v>
          </cell>
          <cell r="BK42">
            <v>0.417061962075014</v>
          </cell>
          <cell r="BL42">
            <v>0.39298638805578001</v>
          </cell>
          <cell r="BM42">
            <v>0.39744604308373199</v>
          </cell>
          <cell r="BN42">
            <v>0.39744604308373199</v>
          </cell>
        </row>
        <row r="43">
          <cell r="B43" t="str">
            <v>CAN</v>
          </cell>
          <cell r="C43" t="str">
            <v>Price level ratio of PPP conversion factor (GDP) to market exchange rate</v>
          </cell>
          <cell r="D43" t="str">
            <v>PA.NUS.PPPC.RF</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v>1.0640692492286601</v>
          </cell>
          <cell r="AJ43">
            <v>1.0802042419481499</v>
          </cell>
          <cell r="AK43">
            <v>1.0157144039050201</v>
          </cell>
          <cell r="AL43">
            <v>0.94154639175257704</v>
          </cell>
          <cell r="AM43">
            <v>0.88356693028705302</v>
          </cell>
          <cell r="AN43">
            <v>0.88052244243660704</v>
          </cell>
          <cell r="AO43">
            <v>0.88552255225522603</v>
          </cell>
          <cell r="AP43">
            <v>0.86708435649284998</v>
          </cell>
          <cell r="AQ43">
            <v>0.79881631277384602</v>
          </cell>
          <cell r="AR43">
            <v>0.80151443763882302</v>
          </cell>
          <cell r="AS43">
            <v>0.82661032927075595</v>
          </cell>
          <cell r="AT43">
            <v>0.78800619834710794</v>
          </cell>
          <cell r="AU43">
            <v>0.78336392021920598</v>
          </cell>
          <cell r="AV43">
            <v>0.87482263935479299</v>
          </cell>
          <cell r="AW43">
            <v>0.94747271329746396</v>
          </cell>
          <cell r="AX43">
            <v>1.0015217032513599</v>
          </cell>
          <cell r="AY43">
            <v>1.0625572990126899</v>
          </cell>
          <cell r="AZ43">
            <v>1.12847872637557</v>
          </cell>
          <cell r="BA43">
            <v>1.15687910028116</v>
          </cell>
          <cell r="BB43">
            <v>1.0517400052488799</v>
          </cell>
          <cell r="BC43">
            <v>1.18610318878474</v>
          </cell>
          <cell r="BD43">
            <v>1.2533674745823</v>
          </cell>
          <cell r="BE43">
            <v>1.24539814715215</v>
          </cell>
          <cell r="BF43">
            <v>1.18819105402396</v>
          </cell>
          <cell r="BG43">
            <v>1.11370101260246</v>
          </cell>
          <cell r="BH43">
            <v>0.97595829268538004</v>
          </cell>
          <cell r="BI43">
            <v>0.910554611179205</v>
          </cell>
          <cell r="BJ43">
            <v>0.93402459243735603</v>
          </cell>
          <cell r="BK43">
            <v>0.93110755021011304</v>
          </cell>
          <cell r="BL43">
            <v>0.93974467697077302</v>
          </cell>
          <cell r="BM43">
            <v>0.92884428879702396</v>
          </cell>
          <cell r="BN43">
            <v>0.92884428879702396</v>
          </cell>
        </row>
        <row r="44">
          <cell r="B44" t="str">
            <v>CSS</v>
          </cell>
          <cell r="C44" t="str">
            <v>Price level ratio of PPP conversion factor (GDP) to market exchange rate</v>
          </cell>
          <cell r="D44" t="str">
            <v>PA.NUS.PPPC.RF</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
          </cell>
        </row>
        <row r="45">
          <cell r="B45" t="str">
            <v>CYM</v>
          </cell>
          <cell r="C45" t="str">
            <v>Price level ratio of PPP conversion factor (GDP) to market exchange rate</v>
          </cell>
          <cell r="D45" t="str">
            <v>PA.NUS.PPPC.RF</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v>1.15957738484026</v>
          </cell>
          <cell r="AZ45">
            <v>1.1639426944014899</v>
          </cell>
          <cell r="BA45">
            <v>1.1765314104598701</v>
          </cell>
          <cell r="BB45">
            <v>1.1747569140477401</v>
          </cell>
          <cell r="BC45">
            <v>1.15882888728705</v>
          </cell>
          <cell r="BD45">
            <v>1.1298906956201999</v>
          </cell>
          <cell r="BE45">
            <v>1.1589474056028299</v>
          </cell>
          <cell r="BF45">
            <v>1.17736483312634</v>
          </cell>
          <cell r="BG45">
            <v>1.1890518640993999</v>
          </cell>
          <cell r="BH45">
            <v>1.1876069897150701</v>
          </cell>
          <cell r="BI45">
            <v>1.1775533820806601</v>
          </cell>
          <cell r="BJ45">
            <v>1.1685957331252801</v>
          </cell>
          <cell r="BK45">
            <v>1.17076023304031</v>
          </cell>
          <cell r="BL45">
            <v>1.19081982535829</v>
          </cell>
          <cell r="BM45">
            <v>1.1884023460767501</v>
          </cell>
          <cell r="BN45">
            <v>1.1884023460767501</v>
          </cell>
        </row>
        <row r="46">
          <cell r="B46" t="str">
            <v>CAF</v>
          </cell>
          <cell r="C46" t="str">
            <v>Price level ratio of PPP conversion factor (GDP) to market exchange rate</v>
          </cell>
          <cell r="D46" t="str">
            <v>PA.NUS.PPPC.RF</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v>0.80831180564615801</v>
          </cell>
          <cell r="AJ46">
            <v>0.75165149592099001</v>
          </cell>
          <cell r="AK46">
            <v>0.80505110995854001</v>
          </cell>
          <cell r="AL46">
            <v>0.70987609775560001</v>
          </cell>
          <cell r="AM46">
            <v>0.44101481216053801</v>
          </cell>
          <cell r="AN46">
            <v>0.52802412004942401</v>
          </cell>
          <cell r="AO46">
            <v>0.48803052989225898</v>
          </cell>
          <cell r="AP46">
            <v>0.423676289016234</v>
          </cell>
          <cell r="AQ46">
            <v>0.41278261811689698</v>
          </cell>
          <cell r="AR46">
            <v>0.40581757207431202</v>
          </cell>
          <cell r="AS46">
            <v>0.37246749039788002</v>
          </cell>
          <cell r="AT46">
            <v>0.355508565312666</v>
          </cell>
          <cell r="AU46">
            <v>0.35934416792374402</v>
          </cell>
          <cell r="AV46">
            <v>0.428730580053648</v>
          </cell>
          <cell r="AW46">
            <v>0.43891637207962803</v>
          </cell>
          <cell r="AX46">
            <v>0.44417244855361299</v>
          </cell>
          <cell r="AY46">
            <v>0.449400063575568</v>
          </cell>
          <cell r="AZ46">
            <v>0.486255623049834</v>
          </cell>
          <cell r="BA46">
            <v>0.54658050061214103</v>
          </cell>
          <cell r="BB46">
            <v>0.51813140981930395</v>
          </cell>
          <cell r="BC46">
            <v>0.50934506884677899</v>
          </cell>
          <cell r="BD46">
            <v>0.54485329513777403</v>
          </cell>
          <cell r="BE46">
            <v>0.51341839832890901</v>
          </cell>
          <cell r="BF46">
            <v>0.51497744219667496</v>
          </cell>
          <cell r="BG46">
            <v>0.58924743177926897</v>
          </cell>
          <cell r="BH46">
            <v>0.47956382235970801</v>
          </cell>
          <cell r="BI46">
            <v>0.47257027359738801</v>
          </cell>
          <cell r="BJ46">
            <v>0.49397365637956198</v>
          </cell>
          <cell r="BK46">
            <v>0.498112995975179</v>
          </cell>
          <cell r="BL46">
            <v>0.474979507544668</v>
          </cell>
          <cell r="BM46">
            <v>0.49896077475539202</v>
          </cell>
          <cell r="BN46">
            <v>0.49896077475539202</v>
          </cell>
        </row>
        <row r="47">
          <cell r="B47" t="str">
            <v>CEB</v>
          </cell>
          <cell r="C47" t="str">
            <v>Price level ratio of PPP conversion factor (GDP) to market exchange rate</v>
          </cell>
          <cell r="D47" t="str">
            <v>PA.NUS.PPPC.RF</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
          </cell>
        </row>
        <row r="48">
          <cell r="B48" t="str">
            <v>TCD</v>
          </cell>
          <cell r="C48" t="str">
            <v>Price level ratio of PPP conversion factor (GDP) to market exchange rate</v>
          </cell>
          <cell r="D48" t="str">
            <v>PA.NUS.PPPC.RF</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v>0.43509434557423299</v>
          </cell>
          <cell r="AJ48">
            <v>0.41866272832578399</v>
          </cell>
          <cell r="AK48">
            <v>0.37995914655880197</v>
          </cell>
          <cell r="AL48">
            <v>0.34238934791405601</v>
          </cell>
          <cell r="AM48">
            <v>0.245422608331338</v>
          </cell>
          <cell r="AN48">
            <v>0.29099569753834298</v>
          </cell>
          <cell r="AO48">
            <v>0.31078444333508898</v>
          </cell>
          <cell r="AP48">
            <v>0.277722141642471</v>
          </cell>
          <cell r="AQ48">
            <v>0.29004515104659201</v>
          </cell>
          <cell r="AR48">
            <v>0.25321392321759401</v>
          </cell>
          <cell r="AS48">
            <v>0.2260764083855</v>
          </cell>
          <cell r="AT48">
            <v>0.244120460913511</v>
          </cell>
          <cell r="AU48">
            <v>0.25856096361975101</v>
          </cell>
          <cell r="AV48">
            <v>0.30390891869485698</v>
          </cell>
          <cell r="AW48">
            <v>0.35711677855479002</v>
          </cell>
          <cell r="AX48">
            <v>0.42605303830601499</v>
          </cell>
          <cell r="AY48">
            <v>0.45903544657329598</v>
          </cell>
          <cell r="AZ48">
            <v>0.50403818225603403</v>
          </cell>
          <cell r="BA48">
            <v>0.57648813500089002</v>
          </cell>
          <cell r="BB48">
            <v>0.49070964595788502</v>
          </cell>
          <cell r="BC48">
            <v>0.49050463644768499</v>
          </cell>
          <cell r="BD48">
            <v>0.54776039045775804</v>
          </cell>
          <cell r="BE48">
            <v>0.558907050260667</v>
          </cell>
          <cell r="BF48">
            <v>0.62445830742108899</v>
          </cell>
          <cell r="BG48">
            <v>0.60836793379751197</v>
          </cell>
          <cell r="BH48">
            <v>0.426370444482915</v>
          </cell>
          <cell r="BI48">
            <v>0.41660830520813802</v>
          </cell>
          <cell r="BJ48">
            <v>0.41961897887891902</v>
          </cell>
          <cell r="BK48">
            <v>0.449860781538584</v>
          </cell>
          <cell r="BL48">
            <v>0.430957123462756</v>
          </cell>
          <cell r="BM48">
            <v>0.41143731332596201</v>
          </cell>
          <cell r="BN48">
            <v>0.41143731332596201</v>
          </cell>
        </row>
        <row r="49">
          <cell r="B49" t="str">
            <v>CHI</v>
          </cell>
          <cell r="C49" t="str">
            <v>Price level ratio of PPP conversion factor (GDP) to market exchange rate</v>
          </cell>
          <cell r="D49" t="str">
            <v>PA.NUS.PPPC.RF</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
          </cell>
        </row>
        <row r="50">
          <cell r="B50" t="str">
            <v>CHL</v>
          </cell>
          <cell r="C50" t="str">
            <v>Price level ratio of PPP conversion factor (GDP) to market exchange rate</v>
          </cell>
          <cell r="D50" t="str">
            <v>PA.NUS.PPPC.RF</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v>0.55384527386028204</v>
          </cell>
          <cell r="AJ50">
            <v>0.56698552202050301</v>
          </cell>
          <cell r="AK50">
            <v>0.596775908764962</v>
          </cell>
          <cell r="AL50">
            <v>0.57861336813717001</v>
          </cell>
          <cell r="AM50">
            <v>0.61359465943167202</v>
          </cell>
          <cell r="AN50">
            <v>0.69579078307331699</v>
          </cell>
          <cell r="AO50">
            <v>0.66881363669439897</v>
          </cell>
          <cell r="AP50">
            <v>0.66622894755670004</v>
          </cell>
          <cell r="AQ50">
            <v>0.60641583566881696</v>
          </cell>
          <cell r="AR50">
            <v>0.55332838554974695</v>
          </cell>
          <cell r="AS50">
            <v>0.53206778809616495</v>
          </cell>
          <cell r="AT50">
            <v>0.459191807099883</v>
          </cell>
          <cell r="AU50">
            <v>0.43084039829303</v>
          </cell>
          <cell r="AV50">
            <v>0.44027504194388201</v>
          </cell>
          <cell r="AW50">
            <v>0.52453218381375799</v>
          </cell>
          <cell r="AX50">
            <v>0.59612249728681999</v>
          </cell>
          <cell r="AY50">
            <v>0.60077265946914304</v>
          </cell>
          <cell r="AZ50">
            <v>0.61990651608282399</v>
          </cell>
          <cell r="BA50">
            <v>0.65153347905393899</v>
          </cell>
          <cell r="BB50">
            <v>0.63175471271880901</v>
          </cell>
          <cell r="BC50">
            <v>0.70521819534454899</v>
          </cell>
          <cell r="BD50">
            <v>0.71953738260271805</v>
          </cell>
          <cell r="BE50">
            <v>0.71376976812403903</v>
          </cell>
          <cell r="BF50">
            <v>0.70603607829138204</v>
          </cell>
          <cell r="BG50">
            <v>0.64384161640205095</v>
          </cell>
          <cell r="BH50">
            <v>0.59801933761498804</v>
          </cell>
          <cell r="BI50">
            <v>0.58681761504448504</v>
          </cell>
          <cell r="BJ50">
            <v>0.61292953757957702</v>
          </cell>
          <cell r="BK50">
            <v>0.61787579560027694</v>
          </cell>
          <cell r="BL50">
            <v>0.58048534963993303</v>
          </cell>
          <cell r="BM50">
            <v>0.52694624203635199</v>
          </cell>
          <cell r="BN50">
            <v>0.52694624203635199</v>
          </cell>
        </row>
        <row r="51">
          <cell r="B51" t="str">
            <v>CHN</v>
          </cell>
          <cell r="C51" t="str">
            <v>Price level ratio of PPP conversion factor (GDP) to market exchange rate</v>
          </cell>
          <cell r="D51" t="str">
            <v>PA.NUS.PPPC.RF</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v>0.32375283611901001</v>
          </cell>
          <cell r="AJ51">
            <v>0.30449701135143697</v>
          </cell>
          <cell r="AK51">
            <v>0.29024037029430599</v>
          </cell>
          <cell r="AL51">
            <v>0.25934479399721599</v>
          </cell>
          <cell r="AM51">
            <v>0.285044468227309</v>
          </cell>
          <cell r="AN51">
            <v>0.32752794300598798</v>
          </cell>
          <cell r="AO51">
            <v>0.344070908560486</v>
          </cell>
          <cell r="AP51">
            <v>0.34450188682009503</v>
          </cell>
          <cell r="AQ51">
            <v>0.33803705671963302</v>
          </cell>
          <cell r="AR51">
            <v>0.32904888474535698</v>
          </cell>
          <cell r="AS51">
            <v>0.32848913354874398</v>
          </cell>
          <cell r="AT51">
            <v>0.32807014347178098</v>
          </cell>
          <cell r="AU51">
            <v>0.32491013004227598</v>
          </cell>
          <cell r="AV51">
            <v>0.327290030698556</v>
          </cell>
          <cell r="AW51">
            <v>0.34087460075833298</v>
          </cell>
          <cell r="AX51">
            <v>0.34694037081275603</v>
          </cell>
          <cell r="AY51">
            <v>0.35966812674970899</v>
          </cell>
          <cell r="AZ51">
            <v>0.39555524046327301</v>
          </cell>
          <cell r="BA51">
            <v>0.45790887537936198</v>
          </cell>
          <cell r="BB51">
            <v>0.46127898967372899</v>
          </cell>
          <cell r="BC51">
            <v>0.49174071477396403</v>
          </cell>
          <cell r="BD51">
            <v>0.54545658232303695</v>
          </cell>
          <cell r="BE51">
            <v>0.56413160372775195</v>
          </cell>
          <cell r="BF51">
            <v>0.59131101563146204</v>
          </cell>
          <cell r="BG51">
            <v>0.61185172042153702</v>
          </cell>
          <cell r="BH51">
            <v>0.62154913848301097</v>
          </cell>
          <cell r="BI51">
            <v>0.60032165582458596</v>
          </cell>
          <cell r="BJ51">
            <v>0.61901686508613096</v>
          </cell>
          <cell r="BK51">
            <v>0.63916318696811403</v>
          </cell>
          <cell r="BL51">
            <v>0.60911738284484396</v>
          </cell>
          <cell r="BM51">
            <v>0.60629351770237805</v>
          </cell>
          <cell r="BN51">
            <v>0.60629351770237805</v>
          </cell>
        </row>
        <row r="52">
          <cell r="B52" t="str">
            <v>COL</v>
          </cell>
          <cell r="C52" t="str">
            <v>Price level ratio of PPP conversion factor (GDP) to market exchange rate</v>
          </cell>
          <cell r="D52" t="str">
            <v>PA.NUS.PPPC.RF</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v>0.34701035769393701</v>
          </cell>
          <cell r="AJ52">
            <v>0.33823033428809701</v>
          </cell>
          <cell r="AK52">
            <v>0.37758104690729699</v>
          </cell>
          <cell r="AL52">
            <v>0.39808484532092397</v>
          </cell>
          <cell r="AM52">
            <v>0.45291840038448999</v>
          </cell>
          <cell r="AN52">
            <v>0.47743785059660698</v>
          </cell>
          <cell r="AO52">
            <v>0.48251535278233199</v>
          </cell>
          <cell r="AP52">
            <v>0.50312705445716099</v>
          </cell>
          <cell r="AQ52">
            <v>0.45660210693298298</v>
          </cell>
          <cell r="AR52">
            <v>0.411352840791119</v>
          </cell>
          <cell r="AS52">
            <v>0.37673247902548901</v>
          </cell>
          <cell r="AT52">
            <v>0.35648385227750701</v>
          </cell>
          <cell r="AU52">
            <v>0.341493177339594</v>
          </cell>
          <cell r="AV52">
            <v>0.31168635750814599</v>
          </cell>
          <cell r="AW52">
            <v>0.35647004611316202</v>
          </cell>
          <cell r="AX52">
            <v>0.41015805103580399</v>
          </cell>
          <cell r="AY52">
            <v>0.41404080119092901</v>
          </cell>
          <cell r="AZ52">
            <v>0.48191446699790202</v>
          </cell>
          <cell r="BA52">
            <v>0.53761714303059105</v>
          </cell>
          <cell r="BB52">
            <v>0.50621466220269296</v>
          </cell>
          <cell r="BC52">
            <v>0.59046948848282399</v>
          </cell>
          <cell r="BD52">
            <v>0.63211843153192204</v>
          </cell>
          <cell r="BE52">
            <v>0.66981354071659405</v>
          </cell>
          <cell r="BF52">
            <v>0.64570235925359598</v>
          </cell>
          <cell r="BG52">
            <v>0.60976065803636403</v>
          </cell>
          <cell r="BH52">
            <v>0.46554880269131699</v>
          </cell>
          <cell r="BI52">
            <v>0.425046128646412</v>
          </cell>
          <cell r="BJ52">
            <v>0.44997265535501102</v>
          </cell>
          <cell r="BK52">
            <v>0.447325084988213</v>
          </cell>
          <cell r="BL52">
            <v>0.40953085827385999</v>
          </cell>
          <cell r="BM52">
            <v>0.35727943899056802</v>
          </cell>
          <cell r="BN52">
            <v>0.35727943899056802</v>
          </cell>
        </row>
        <row r="53">
          <cell r="B53" t="str">
            <v>COM</v>
          </cell>
          <cell r="C53" t="str">
            <v>Price level ratio of PPP conversion factor (GDP) to market exchange rate</v>
          </cell>
          <cell r="D53" t="str">
            <v>PA.NUS.PPPC.RF</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v>0.607790733555025</v>
          </cell>
          <cell r="AJ53">
            <v>0.61346473147854397</v>
          </cell>
          <cell r="AK53">
            <v>0.59601585294600201</v>
          </cell>
          <cell r="AL53">
            <v>0.55965462343410199</v>
          </cell>
          <cell r="AM53">
            <v>0.40770958805378898</v>
          </cell>
          <cell r="AN53">
            <v>0.48114316362899801</v>
          </cell>
          <cell r="AO53">
            <v>0.47578224105685801</v>
          </cell>
          <cell r="AP53">
            <v>0.41345687201978998</v>
          </cell>
          <cell r="AQ53">
            <v>0.40994850041187098</v>
          </cell>
          <cell r="AR53">
            <v>0.40971217760478201</v>
          </cell>
          <cell r="AS53">
            <v>0.35932883751337602</v>
          </cell>
          <cell r="AT53">
            <v>0.370388419974014</v>
          </cell>
          <cell r="AU53">
            <v>0.40100896897214</v>
          </cell>
          <cell r="AV53">
            <v>0.49504324657059401</v>
          </cell>
          <cell r="AW53">
            <v>0.54807428804210101</v>
          </cell>
          <cell r="AX53">
            <v>0.53327727835212202</v>
          </cell>
          <cell r="AY53">
            <v>0.53865220178147499</v>
          </cell>
          <cell r="AZ53">
            <v>0.59285157454135196</v>
          </cell>
          <cell r="BA53">
            <v>0.64349537912656196</v>
          </cell>
          <cell r="BB53">
            <v>0.61185053470778095</v>
          </cell>
          <cell r="BC53">
            <v>0.58435982081825</v>
          </cell>
          <cell r="BD53">
            <v>0.61956697975129005</v>
          </cell>
          <cell r="BE53">
            <v>0.558772411293183</v>
          </cell>
          <cell r="BF53">
            <v>0.570966327346902</v>
          </cell>
          <cell r="BG53">
            <v>0.55720518346626102</v>
          </cell>
          <cell r="BH53">
            <v>0.45859270252866402</v>
          </cell>
          <cell r="BI53">
            <v>0.44452399513971302</v>
          </cell>
          <cell r="BJ53">
            <v>0.43657664968028198</v>
          </cell>
          <cell r="BK53">
            <v>0.45387195971678501</v>
          </cell>
          <cell r="BL53">
            <v>0.43960639199446999</v>
          </cell>
          <cell r="BM53">
            <v>0.45055584414279898</v>
          </cell>
          <cell r="BN53">
            <v>0.45055584414279898</v>
          </cell>
        </row>
        <row r="54">
          <cell r="B54" t="str">
            <v>COD</v>
          </cell>
          <cell r="C54" t="str">
            <v>Price level ratio of PPP conversion factor (GDP) to market exchange rate</v>
          </cell>
          <cell r="D54" t="str">
            <v>PA.NUS.PPPC.RF</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v>0.30619743152437101</v>
          </cell>
          <cell r="AJ54">
            <v>0.33324522359125203</v>
          </cell>
          <cell r="AK54">
            <v>0.31088824610161597</v>
          </cell>
          <cell r="AL54">
            <v>0.45671347017540798</v>
          </cell>
          <cell r="AM54">
            <v>0.25383938444144399</v>
          </cell>
          <cell r="AN54">
            <v>0.23871800888052</v>
          </cell>
          <cell r="AO54">
            <v>0.242091328102509</v>
          </cell>
          <cell r="AP54">
            <v>0.26592151888347798</v>
          </cell>
          <cell r="AQ54">
            <v>0.27277368853674</v>
          </cell>
          <cell r="AR54">
            <v>0.21289984184797101</v>
          </cell>
          <cell r="AS54">
            <v>0.90635738675459099</v>
          </cell>
          <cell r="AT54">
            <v>0.35302083141748702</v>
          </cell>
          <cell r="AU54">
            <v>0.39611118297510201</v>
          </cell>
          <cell r="AV54">
            <v>0.37718618346878102</v>
          </cell>
          <cell r="AW54">
            <v>0.39646921856877698</v>
          </cell>
          <cell r="AX54">
            <v>0.42091220824139303</v>
          </cell>
          <cell r="AY54">
            <v>0.46855433019569498</v>
          </cell>
          <cell r="AZ54">
            <v>0.49731816202132201</v>
          </cell>
          <cell r="BA54">
            <v>0.54296417640480799</v>
          </cell>
          <cell r="BB54">
            <v>0.49371343019702901</v>
          </cell>
          <cell r="BC54">
            <v>0.52692010956990998</v>
          </cell>
          <cell r="BD54">
            <v>0.57864975506276595</v>
          </cell>
          <cell r="BE54">
            <v>0.63414130792643197</v>
          </cell>
          <cell r="BF54">
            <v>0.60779397780076205</v>
          </cell>
          <cell r="BG54">
            <v>0.57285189489334198</v>
          </cell>
          <cell r="BH54">
            <v>0.54924811959106401</v>
          </cell>
          <cell r="BI54">
            <v>0.48908773585936299</v>
          </cell>
          <cell r="BJ54">
            <v>0.44071474677060701</v>
          </cell>
          <cell r="BK54">
            <v>0.50433867952266298</v>
          </cell>
          <cell r="BL54">
            <v>0.50745062717036904</v>
          </cell>
          <cell r="BM54">
            <v>0.47638927832203698</v>
          </cell>
          <cell r="BN54">
            <v>0.47638927832203698</v>
          </cell>
        </row>
        <row r="55">
          <cell r="B55" t="str">
            <v>COG</v>
          </cell>
          <cell r="C55" t="str">
            <v>Price level ratio of PPP conversion factor (GDP) to market exchange rate</v>
          </cell>
          <cell r="D55" t="str">
            <v>PA.NUS.PPPC.RF</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v>0.37343942551852399</v>
          </cell>
          <cell r="AJ55">
            <v>0.34345955917896498</v>
          </cell>
          <cell r="AK55">
            <v>0.35228443087050898</v>
          </cell>
          <cell r="AL55">
            <v>0.31804223474776899</v>
          </cell>
          <cell r="AM55">
            <v>0.21718382004153999</v>
          </cell>
          <cell r="AN55">
            <v>0.244648074090279</v>
          </cell>
          <cell r="AO55">
            <v>0.27660101500358902</v>
          </cell>
          <cell r="AP55">
            <v>0.24998974601535401</v>
          </cell>
          <cell r="AQ55">
            <v>0.20000821286364101</v>
          </cell>
          <cell r="AR55">
            <v>0.24437382418898301</v>
          </cell>
          <cell r="AS55">
            <v>0.30469951762592201</v>
          </cell>
          <cell r="AT55">
            <v>0.24886474637919101</v>
          </cell>
          <cell r="AU55">
            <v>0.25415353055281598</v>
          </cell>
          <cell r="AV55">
            <v>0.28580213500002599</v>
          </cell>
          <cell r="AW55">
            <v>0.35748663448970902</v>
          </cell>
          <cell r="AX55">
            <v>0.42053048293207301</v>
          </cell>
          <cell r="AY55">
            <v>0.45861045506086101</v>
          </cell>
          <cell r="AZ55">
            <v>0.52010650290069305</v>
          </cell>
          <cell r="BA55">
            <v>0.634860936793745</v>
          </cell>
          <cell r="BB55">
            <v>0.47105753250628601</v>
          </cell>
          <cell r="BC55">
            <v>0.57451508478192004</v>
          </cell>
          <cell r="BD55">
            <v>0.655379121715985</v>
          </cell>
          <cell r="BE55">
            <v>0.61919604958363805</v>
          </cell>
          <cell r="BF55">
            <v>0.63993182030585805</v>
          </cell>
          <cell r="BG55">
            <v>0.63672235718680903</v>
          </cell>
          <cell r="BH55">
            <v>0.52751596536150303</v>
          </cell>
          <cell r="BI55">
            <v>0.53411820961235301</v>
          </cell>
          <cell r="BJ55">
            <v>0.51243584216369598</v>
          </cell>
          <cell r="BK55">
            <v>0.64796870288334896</v>
          </cell>
          <cell r="BL55">
            <v>0.59429099517426398</v>
          </cell>
          <cell r="BM55">
            <v>0.50965478595662805</v>
          </cell>
          <cell r="BN55">
            <v>0.50965478595662805</v>
          </cell>
        </row>
        <row r="56">
          <cell r="B56" t="str">
            <v>CRI</v>
          </cell>
          <cell r="C56" t="str">
            <v>Price level ratio of PPP conversion factor (GDP) to market exchange rate</v>
          </cell>
          <cell r="D56" t="str">
            <v>PA.NUS.PPPC.RF</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v>0.36429406771144202</v>
          </cell>
          <cell r="AJ56">
            <v>0.43413192510715798</v>
          </cell>
          <cell r="AK56">
            <v>0.46257235834189903</v>
          </cell>
          <cell r="AL56">
            <v>0.47211085792837898</v>
          </cell>
          <cell r="AM56">
            <v>0.483970799173502</v>
          </cell>
          <cell r="AN56">
            <v>0.50250955236694805</v>
          </cell>
          <cell r="AO56">
            <v>0.49109685189255697</v>
          </cell>
          <cell r="AP56">
            <v>0.49408860074412703</v>
          </cell>
          <cell r="AQ56">
            <v>0.49462720129858101</v>
          </cell>
          <cell r="AR56">
            <v>0.48737694918305802</v>
          </cell>
          <cell r="AS56">
            <v>0.483393880228564</v>
          </cell>
          <cell r="AT56">
            <v>0.48636463390199203</v>
          </cell>
          <cell r="AU56">
            <v>0.48043613969156501</v>
          </cell>
          <cell r="AV56">
            <v>0.47105489093102398</v>
          </cell>
          <cell r="AW56">
            <v>0.47331997915032098</v>
          </cell>
          <cell r="AX56">
            <v>0.47538856378594202</v>
          </cell>
          <cell r="AY56">
            <v>0.48730930282447499</v>
          </cell>
          <cell r="AZ56">
            <v>0.51902278168154103</v>
          </cell>
          <cell r="BA56">
            <v>0.55691003953391005</v>
          </cell>
          <cell r="BB56">
            <v>0.55655236127270902</v>
          </cell>
          <cell r="BC56">
            <v>0.63955408426813298</v>
          </cell>
          <cell r="BD56">
            <v>0.68137317316079105</v>
          </cell>
          <cell r="BE56">
            <v>0.70348718292047996</v>
          </cell>
          <cell r="BF56">
            <v>0.71599018782360102</v>
          </cell>
          <cell r="BG56">
            <v>0.67510713654935395</v>
          </cell>
          <cell r="BH56">
            <v>0.68123086012341805</v>
          </cell>
          <cell r="BI56">
            <v>0.62968387636363399</v>
          </cell>
          <cell r="BJ56">
            <v>0.60085288251495905</v>
          </cell>
          <cell r="BK56">
            <v>0.58564651868156603</v>
          </cell>
          <cell r="BL56">
            <v>0.56388691808165803</v>
          </cell>
          <cell r="BM56">
            <v>0.54855397726349897</v>
          </cell>
          <cell r="BN56">
            <v>0.54855397726349897</v>
          </cell>
        </row>
        <row r="57">
          <cell r="B57" t="str">
            <v>CIV</v>
          </cell>
          <cell r="C57" t="str">
            <v>Price level ratio of PPP conversion factor (GDP) to market exchange rate</v>
          </cell>
          <cell r="D57" t="str">
            <v>PA.NUS.PPPC.RF</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v>0.48891094633474103</v>
          </cell>
          <cell r="AJ57">
            <v>0.45944719165505699</v>
          </cell>
          <cell r="AK57">
            <v>0.47865124671030601</v>
          </cell>
          <cell r="AL57">
            <v>0.46396669298828003</v>
          </cell>
          <cell r="AM57">
            <v>0.33915085567979703</v>
          </cell>
          <cell r="AN57">
            <v>0.41029675720404402</v>
          </cell>
          <cell r="AO57">
            <v>0.41274051204632201</v>
          </cell>
          <cell r="AP57">
            <v>0.36932466184643598</v>
          </cell>
          <cell r="AQ57">
            <v>0.38079081571907197</v>
          </cell>
          <cell r="AR57">
            <v>0.35688317078281701</v>
          </cell>
          <cell r="AS57">
            <v>0.30747192533741802</v>
          </cell>
          <cell r="AT57">
            <v>0.31181798724534898</v>
          </cell>
          <cell r="AU57">
            <v>0.33892994771103402</v>
          </cell>
          <cell r="AV57">
            <v>0.411107861197265</v>
          </cell>
          <cell r="AW57">
            <v>0.42921019188746701</v>
          </cell>
          <cell r="AX57">
            <v>0.421724686802602</v>
          </cell>
          <cell r="AY57">
            <v>0.41874053522087001</v>
          </cell>
          <cell r="AZ57">
            <v>0.458843086881707</v>
          </cell>
          <cell r="BA57">
            <v>0.50897351848325101</v>
          </cell>
          <cell r="BB57">
            <v>0.48481580533037</v>
          </cell>
          <cell r="BC57">
            <v>0.462407674810975</v>
          </cell>
          <cell r="BD57">
            <v>0.50272952215899203</v>
          </cell>
          <cell r="BE57">
            <v>0.47343530538672601</v>
          </cell>
          <cell r="BF57">
            <v>0.50059082385573095</v>
          </cell>
          <cell r="BG57">
            <v>0.49927227989488399</v>
          </cell>
          <cell r="BH57">
            <v>0.42393992647457102</v>
          </cell>
          <cell r="BI57">
            <v>0.42593392238736699</v>
          </cell>
          <cell r="BJ57">
            <v>0.43699763641537198</v>
          </cell>
          <cell r="BK57">
            <v>0.44895266585919102</v>
          </cell>
          <cell r="BL57">
            <v>0.41898315682448201</v>
          </cell>
          <cell r="BM57">
            <v>0.42552694469493701</v>
          </cell>
          <cell r="BN57">
            <v>0.42552694469493701</v>
          </cell>
        </row>
        <row r="58">
          <cell r="B58" t="str">
            <v>HRV</v>
          </cell>
          <cell r="C58" t="str">
            <v>Price level ratio of PPP conversion factor (GDP) to market exchange rate</v>
          </cell>
          <cell r="D58" t="str">
            <v>PA.NUS.PPPC.RF</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v>0.60886819096936495</v>
          </cell>
          <cell r="AO58">
            <v>0.59846845919456704</v>
          </cell>
          <cell r="AP58">
            <v>0.55577213294231398</v>
          </cell>
          <cell r="AQ58">
            <v>0.574257859341611</v>
          </cell>
          <cell r="AR58">
            <v>0.52678289518506904</v>
          </cell>
          <cell r="AS58">
            <v>0.45749673382949702</v>
          </cell>
          <cell r="AT58">
            <v>0.46440377722680398</v>
          </cell>
          <cell r="AU58">
            <v>0.49282192964465599</v>
          </cell>
          <cell r="AV58">
            <v>0.59419105572267705</v>
          </cell>
          <cell r="AW58">
            <v>0.66420900268711403</v>
          </cell>
          <cell r="AX58">
            <v>0.688071006448434</v>
          </cell>
          <cell r="AY58">
            <v>0.67047267904105001</v>
          </cell>
          <cell r="AZ58">
            <v>0.72057391984130403</v>
          </cell>
          <cell r="BA58">
            <v>0.78467389933784004</v>
          </cell>
          <cell r="BB58">
            <v>0.72721589111653795</v>
          </cell>
          <cell r="BC58">
            <v>0.704531103216129</v>
          </cell>
          <cell r="BD58">
            <v>0.70223001473875901</v>
          </cell>
          <cell r="BE58">
            <v>0.62631919154621996</v>
          </cell>
          <cell r="BF58">
            <v>0.62667770288996705</v>
          </cell>
          <cell r="BG58">
            <v>0.61645355655453404</v>
          </cell>
          <cell r="BH58">
            <v>0.51213414170591798</v>
          </cell>
          <cell r="BI58">
            <v>0.496915962154235</v>
          </cell>
          <cell r="BJ58">
            <v>0.50192410276112898</v>
          </cell>
          <cell r="BK58">
            <v>0.527911265750303</v>
          </cell>
          <cell r="BL58">
            <v>0.50076716355431405</v>
          </cell>
          <cell r="BM58">
            <v>0.490059732405346</v>
          </cell>
          <cell r="BN58">
            <v>0.490059732405346</v>
          </cell>
        </row>
        <row r="59">
          <cell r="B59" t="str">
            <v>CUB</v>
          </cell>
          <cell r="C59" t="str">
            <v>Price level ratio of PPP conversion factor (GDP) to market exchange rate</v>
          </cell>
          <cell r="D59" t="str">
            <v>PA.NUS.PPPC.RF</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
          </cell>
        </row>
        <row r="60">
          <cell r="B60" t="str">
            <v>CUW</v>
          </cell>
          <cell r="C60" t="str">
            <v>Price level ratio of PPP conversion factor (GDP) to market exchange rate</v>
          </cell>
          <cell r="D60" t="str">
            <v>PA.NUS.PPPC.RF</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v>0.74001211027859204</v>
          </cell>
          <cell r="BE60">
            <v>0.78651418899024605</v>
          </cell>
          <cell r="BF60">
            <v>0.78942143051317903</v>
          </cell>
          <cell r="BG60">
            <v>0.79821001883991605</v>
          </cell>
          <cell r="BH60">
            <v>0.79518383441690499</v>
          </cell>
          <cell r="BI60">
            <v>0.78825571017558105</v>
          </cell>
          <cell r="BJ60">
            <v>0.763774584125542</v>
          </cell>
          <cell r="BK60">
            <v>0.76514431881984402</v>
          </cell>
          <cell r="BL60">
            <v>0.77168471376748604</v>
          </cell>
          <cell r="BM60">
            <v>0.782005294198726</v>
          </cell>
          <cell r="BN60">
            <v>0.782005294198726</v>
          </cell>
        </row>
        <row r="61">
          <cell r="B61" t="str">
            <v>CYP</v>
          </cell>
          <cell r="C61" t="str">
            <v>Price level ratio of PPP conversion factor (GDP) to market exchange rate</v>
          </cell>
          <cell r="D61" t="str">
            <v>PA.NUS.PPPC.RF</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v>0.72269591039273895</v>
          </cell>
          <cell r="AJ61">
            <v>0.71614824624389595</v>
          </cell>
          <cell r="AK61">
            <v>0.76669395341085</v>
          </cell>
          <cell r="AL61">
            <v>0.70910383397907895</v>
          </cell>
          <cell r="AM61">
            <v>0.73870411518699197</v>
          </cell>
          <cell r="AN61">
            <v>0.89315677852757802</v>
          </cell>
          <cell r="AO61">
            <v>0.87434812111249305</v>
          </cell>
          <cell r="AP61">
            <v>0.80054535744119604</v>
          </cell>
          <cell r="AQ61">
            <v>0.80457754194145603</v>
          </cell>
          <cell r="AR61">
            <v>0.77750807709470005</v>
          </cell>
          <cell r="AS61">
            <v>0.67587389526612895</v>
          </cell>
          <cell r="AT61">
            <v>0.64830378174718095</v>
          </cell>
          <cell r="AU61">
            <v>0.68317776600909097</v>
          </cell>
          <cell r="AV61">
            <v>0.834123060597036</v>
          </cell>
          <cell r="AW61">
            <v>0.91704587230913703</v>
          </cell>
          <cell r="AX61">
            <v>0.89900662955906097</v>
          </cell>
          <cell r="AY61">
            <v>0.89051989401045895</v>
          </cell>
          <cell r="AZ61">
            <v>0.95022680500953005</v>
          </cell>
          <cell r="BA61">
            <v>1.01628262011179</v>
          </cell>
          <cell r="BB61">
            <v>0.94759794255163798</v>
          </cell>
          <cell r="BC61">
            <v>0.92819834623265296</v>
          </cell>
          <cell r="BD61">
            <v>0.972467953146672</v>
          </cell>
          <cell r="BE61">
            <v>0.90820149202491496</v>
          </cell>
          <cell r="BF61">
            <v>0.91289249564349695</v>
          </cell>
          <cell r="BG61">
            <v>0.90302942575744105</v>
          </cell>
          <cell r="BH61">
            <v>0.73575782033799497</v>
          </cell>
          <cell r="BI61">
            <v>0.68887117649530805</v>
          </cell>
          <cell r="BJ61">
            <v>0.69496700003460998</v>
          </cell>
          <cell r="BK61">
            <v>0.72405425830177605</v>
          </cell>
          <cell r="BL61">
            <v>0.68907868016915597</v>
          </cell>
          <cell r="BM61">
            <v>0.69774004154654101</v>
          </cell>
          <cell r="BN61">
            <v>0.69774004154654101</v>
          </cell>
        </row>
        <row r="62">
          <cell r="B62" t="str">
            <v>CZE</v>
          </cell>
          <cell r="C62" t="str">
            <v>Price level ratio of PPP conversion factor (GDP) to market exchange rate</v>
          </cell>
          <cell r="D62" t="str">
            <v>PA.NUS.PPPC.RF</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v>0.30991605859744897</v>
          </cell>
          <cell r="AJ62">
            <v>0.24866044712826901</v>
          </cell>
          <cell r="AK62">
            <v>0.284825751680226</v>
          </cell>
          <cell r="AL62">
            <v>0.326486056323535</v>
          </cell>
          <cell r="AM62">
            <v>0.363703352440507</v>
          </cell>
          <cell r="AN62">
            <v>0.42044890730972101</v>
          </cell>
          <cell r="AO62">
            <v>0.444843618761328</v>
          </cell>
          <cell r="AP62">
            <v>0.40705747256976599</v>
          </cell>
          <cell r="AQ62">
            <v>0.43329042910424598</v>
          </cell>
          <cell r="AR62">
            <v>0.411619302731912</v>
          </cell>
          <cell r="AS62">
            <v>0.37134953556761802</v>
          </cell>
          <cell r="AT62">
            <v>0.37665406447101002</v>
          </cell>
          <cell r="AU62">
            <v>0.441629177790132</v>
          </cell>
          <cell r="AV62">
            <v>0.50253521925626599</v>
          </cell>
          <cell r="AW62">
            <v>0.56133234499879403</v>
          </cell>
          <cell r="AX62">
            <v>0.60784947448387505</v>
          </cell>
          <cell r="AY62">
            <v>0.63793623537325805</v>
          </cell>
          <cell r="AZ62">
            <v>0.70262096118499795</v>
          </cell>
          <cell r="BA62">
            <v>0.815191984395227</v>
          </cell>
          <cell r="BB62">
            <v>0.71544011960342002</v>
          </cell>
          <cell r="BC62">
            <v>0.71587731860249004</v>
          </cell>
          <cell r="BD62">
            <v>0.75414601296909201</v>
          </cell>
          <cell r="BE62">
            <v>0.67923376324862705</v>
          </cell>
          <cell r="BF62">
            <v>0.65329023577052403</v>
          </cell>
          <cell r="BG62">
            <v>0.611981693363844</v>
          </cell>
          <cell r="BH62">
            <v>0.52596087199552799</v>
          </cell>
          <cell r="BI62">
            <v>0.51458207372501896</v>
          </cell>
          <cell r="BJ62">
            <v>0.531519884783756</v>
          </cell>
          <cell r="BK62">
            <v>0.56933158970543596</v>
          </cell>
          <cell r="BL62">
            <v>0.55220076529777895</v>
          </cell>
          <cell r="BM62">
            <v>0.55117971585829495</v>
          </cell>
          <cell r="BN62">
            <v>0.55117971585829495</v>
          </cell>
        </row>
        <row r="63">
          <cell r="B63" t="str">
            <v>DNK</v>
          </cell>
          <cell r="C63" t="str">
            <v>Price level ratio of PPP conversion factor (GDP) to market exchange rate</v>
          </cell>
          <cell r="D63" t="str">
            <v>PA.NUS.PPPC.RF</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v>1.4748012474550001</v>
          </cell>
          <cell r="AJ63">
            <v>1.41689783475338</v>
          </cell>
          <cell r="AK63">
            <v>1.4923511870247299</v>
          </cell>
          <cell r="AL63">
            <v>1.3649863508073801</v>
          </cell>
          <cell r="AM63">
            <v>1.38368219979247</v>
          </cell>
          <cell r="AN63">
            <v>1.55840996715693</v>
          </cell>
          <cell r="AO63">
            <v>1.5020420094158999</v>
          </cell>
          <cell r="AP63">
            <v>1.3172099326216999</v>
          </cell>
          <cell r="AQ63">
            <v>1.2926344615568299</v>
          </cell>
          <cell r="AR63">
            <v>1.2546340414552299</v>
          </cell>
          <cell r="AS63">
            <v>1.07276898714602</v>
          </cell>
          <cell r="AT63">
            <v>1.04464891623011</v>
          </cell>
          <cell r="AU63">
            <v>1.08447515421739</v>
          </cell>
          <cell r="AV63">
            <v>1.3127276591223001</v>
          </cell>
          <cell r="AW63">
            <v>1.4120657308340701</v>
          </cell>
          <cell r="AX63">
            <v>1.42897797195218</v>
          </cell>
          <cell r="AY63">
            <v>1.3935408959440401</v>
          </cell>
          <cell r="AZ63">
            <v>1.4994296158862499</v>
          </cell>
          <cell r="BA63">
            <v>1.5582526823718601</v>
          </cell>
          <cell r="BB63">
            <v>1.4421335969706599</v>
          </cell>
          <cell r="BC63">
            <v>1.3497040846717001</v>
          </cell>
          <cell r="BD63">
            <v>1.3907418849386901</v>
          </cell>
          <cell r="BE63">
            <v>1.3058554933261599</v>
          </cell>
          <cell r="BF63">
            <v>1.30955089584913</v>
          </cell>
          <cell r="BG63">
            <v>1.30578485989523</v>
          </cell>
          <cell r="BH63">
            <v>1.0858290971000899</v>
          </cell>
          <cell r="BI63">
            <v>1.0517160299124</v>
          </cell>
          <cell r="BJ63">
            <v>1.0407072347578701</v>
          </cell>
          <cell r="BK63">
            <v>1.07148146682844</v>
          </cell>
          <cell r="BL63">
            <v>1.0183090730084501</v>
          </cell>
          <cell r="BM63">
            <v>1.0138370054698</v>
          </cell>
          <cell r="BN63">
            <v>1.0138370054698</v>
          </cell>
        </row>
        <row r="64">
          <cell r="B64" t="str">
            <v>DJI</v>
          </cell>
          <cell r="C64" t="str">
            <v>Price level ratio of PPP conversion factor (GDP) to market exchange rate</v>
          </cell>
          <cell r="D64" t="str">
            <v>PA.NUS.PPPC.RF</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v>0.52650965907302605</v>
          </cell>
          <cell r="BE64">
            <v>0.55294305279148903</v>
          </cell>
          <cell r="BF64">
            <v>0.56353656976296596</v>
          </cell>
          <cell r="BG64">
            <v>0.57455705911253596</v>
          </cell>
          <cell r="BH64">
            <v>0.58126098908245505</v>
          </cell>
          <cell r="BI64">
            <v>0.59715203726264798</v>
          </cell>
          <cell r="BJ64">
            <v>0.596568245047715</v>
          </cell>
          <cell r="BK64">
            <v>0.58844504255791896</v>
          </cell>
          <cell r="BL64">
            <v>0.59195981375503703</v>
          </cell>
          <cell r="BM64">
            <v>0.59246361752244803</v>
          </cell>
          <cell r="BN64">
            <v>0.59246361752244803</v>
          </cell>
        </row>
        <row r="65">
          <cell r="B65" t="str">
            <v>DMA</v>
          </cell>
          <cell r="C65" t="str">
            <v>Price level ratio of PPP conversion factor (GDP) to market exchange rate</v>
          </cell>
          <cell r="D65" t="str">
            <v>PA.NUS.PPPC.RF</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v>0.65003072570774101</v>
          </cell>
          <cell r="AJ65">
            <v>0.67687259261111499</v>
          </cell>
          <cell r="AK65">
            <v>0.69082292299224102</v>
          </cell>
          <cell r="AL65">
            <v>0.69291064204296304</v>
          </cell>
          <cell r="AM65">
            <v>0.73025176841856698</v>
          </cell>
          <cell r="AN65">
            <v>0.72086072591706296</v>
          </cell>
          <cell r="AO65">
            <v>0.73101186206803004</v>
          </cell>
          <cell r="AP65">
            <v>0.72854639997104098</v>
          </cell>
          <cell r="AQ65">
            <v>0.73873765827302595</v>
          </cell>
          <cell r="AR65">
            <v>0.74669412954422598</v>
          </cell>
          <cell r="AS65">
            <v>0.73474329568782604</v>
          </cell>
          <cell r="AT65">
            <v>0.73395903995668899</v>
          </cell>
          <cell r="AU65">
            <v>0.72824256509357399</v>
          </cell>
          <cell r="AV65">
            <v>0.69266327508153003</v>
          </cell>
          <cell r="AW65">
            <v>0.70008143432208103</v>
          </cell>
          <cell r="AX65">
            <v>0.669100563262359</v>
          </cell>
          <cell r="AY65">
            <v>0.66481990149864401</v>
          </cell>
          <cell r="AZ65">
            <v>0.65730176952032204</v>
          </cell>
          <cell r="BA65">
            <v>0.65448575563953304</v>
          </cell>
          <cell r="BB65">
            <v>0.70152217760314395</v>
          </cell>
          <cell r="BC65">
            <v>0.69550115523215905</v>
          </cell>
          <cell r="BD65">
            <v>0.69275167253282199</v>
          </cell>
          <cell r="BE65">
            <v>0.68860689798990704</v>
          </cell>
          <cell r="BF65">
            <v>0.69154699643452999</v>
          </cell>
          <cell r="BG65">
            <v>0.670751995510526</v>
          </cell>
          <cell r="BH65">
            <v>0.68190932273864802</v>
          </cell>
          <cell r="BI65">
            <v>0.67625805183693299</v>
          </cell>
          <cell r="BJ65">
            <v>0.643532364456741</v>
          </cell>
          <cell r="BK65">
            <v>0.65124006468931095</v>
          </cell>
          <cell r="BL65">
            <v>0.66058533205473002</v>
          </cell>
          <cell r="BM65">
            <v>0.64532494785431804</v>
          </cell>
          <cell r="BN65">
            <v>0.64532494785431804</v>
          </cell>
        </row>
        <row r="66">
          <cell r="B66" t="str">
            <v>DOM</v>
          </cell>
          <cell r="C66" t="str">
            <v>Price level ratio of PPP conversion factor (GDP) to market exchange rate</v>
          </cell>
          <cell r="D66" t="str">
            <v>PA.NUS.PPPC.RF</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v>0.35326563254395998</v>
          </cell>
          <cell r="AJ66">
            <v>0.36657873052443002</v>
          </cell>
          <cell r="AK66">
            <v>0.38066567684478197</v>
          </cell>
          <cell r="AL66">
            <v>0.39038373203899901</v>
          </cell>
          <cell r="AM66">
            <v>0.417066127996923</v>
          </cell>
          <cell r="AN66">
            <v>0.439117878289084</v>
          </cell>
          <cell r="AO66">
            <v>0.44613537780338602</v>
          </cell>
          <cell r="AP66">
            <v>0.44171742725865298</v>
          </cell>
          <cell r="AQ66">
            <v>0.44315397908742199</v>
          </cell>
          <cell r="AR66">
            <v>0.421188649298742</v>
          </cell>
          <cell r="AS66">
            <v>0.43219935015424299</v>
          </cell>
          <cell r="AT66">
            <v>0.43478076144218297</v>
          </cell>
          <cell r="AU66">
            <v>0.434168882890069</v>
          </cell>
          <cell r="AV66">
            <v>0.34076854319453198</v>
          </cell>
          <cell r="AW66">
            <v>0.33741454739691801</v>
          </cell>
          <cell r="AX66">
            <v>0.47927286729429902</v>
          </cell>
          <cell r="AY66">
            <v>0.45114083871784699</v>
          </cell>
          <cell r="AZ66">
            <v>0.46617837293486702</v>
          </cell>
          <cell r="BA66">
            <v>0.48495709593666603</v>
          </cell>
          <cell r="BB66">
            <v>0.47814900655635401</v>
          </cell>
          <cell r="BC66">
            <v>0.48687291181902598</v>
          </cell>
          <cell r="BD66">
            <v>0.49821933782434202</v>
          </cell>
          <cell r="BE66">
            <v>0.51345525609979803</v>
          </cell>
          <cell r="BF66">
            <v>0.499763767607659</v>
          </cell>
          <cell r="BG66">
            <v>0.49045046560802502</v>
          </cell>
          <cell r="BH66">
            <v>0.46954764862099402</v>
          </cell>
          <cell r="BI66">
            <v>0.45195190716946698</v>
          </cell>
          <cell r="BJ66">
            <v>0.45468703776536801</v>
          </cell>
          <cell r="BK66">
            <v>0.443878304969691</v>
          </cell>
          <cell r="BL66">
            <v>0.431549510958606</v>
          </cell>
          <cell r="BM66">
            <v>0.40523730394821</v>
          </cell>
          <cell r="BN66">
            <v>0.40523730394821</v>
          </cell>
        </row>
        <row r="67">
          <cell r="B67" t="str">
            <v>EAR</v>
          </cell>
          <cell r="C67" t="str">
            <v>Price level ratio of PPP conversion factor (GDP) to market exchange rate</v>
          </cell>
          <cell r="D67" t="str">
            <v>PA.NUS.PPPC.RF</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
          </cell>
        </row>
        <row r="68">
          <cell r="B68" t="str">
            <v>EAS</v>
          </cell>
          <cell r="C68" t="str">
            <v>Price level ratio of PPP conversion factor (GDP) to market exchange rate</v>
          </cell>
          <cell r="D68" t="str">
            <v>PA.NUS.PPPC.RF</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
          </cell>
        </row>
        <row r="69">
          <cell r="B69" t="str">
            <v>EAP</v>
          </cell>
          <cell r="C69" t="str">
            <v>Price level ratio of PPP conversion factor (GDP) to market exchange rate</v>
          </cell>
          <cell r="D69" t="str">
            <v>PA.NUS.PPPC.RF</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
          </cell>
        </row>
        <row r="70">
          <cell r="B70" t="str">
            <v>TEA</v>
          </cell>
          <cell r="C70" t="str">
            <v>Price level ratio of PPP conversion factor (GDP) to market exchange rate</v>
          </cell>
          <cell r="D70" t="str">
            <v>PA.NUS.PPPC.RF</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
          </cell>
        </row>
        <row r="71">
          <cell r="B71" t="str">
            <v>ECU</v>
          </cell>
          <cell r="C71" t="str">
            <v>Price level ratio of PPP conversion factor (GDP) to market exchange rate</v>
          </cell>
          <cell r="D71" t="str">
            <v>PA.NUS.PPPC.RF</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v>0.30859219011051398</v>
          </cell>
          <cell r="AJ71">
            <v>0.31906876160790798</v>
          </cell>
          <cell r="AK71">
            <v>0.32538381704561697</v>
          </cell>
          <cell r="AL71">
            <v>0.32624656058145901</v>
          </cell>
          <cell r="AM71">
            <v>0.36736714611103799</v>
          </cell>
          <cell r="AN71">
            <v>0.37861393256058401</v>
          </cell>
          <cell r="AO71">
            <v>0.37734676823260299</v>
          </cell>
          <cell r="AP71">
            <v>0.39669084441312302</v>
          </cell>
          <cell r="AQ71">
            <v>0.37743716988209802</v>
          </cell>
          <cell r="AR71">
            <v>0.27421213676027401</v>
          </cell>
          <cell r="AS71">
            <v>0.24752585237868999</v>
          </cell>
          <cell r="AT71">
            <v>0.31088067259201302</v>
          </cell>
          <cell r="AU71">
            <v>0.34302560290938799</v>
          </cell>
          <cell r="AV71">
            <v>0.37244592813528299</v>
          </cell>
          <cell r="AW71">
            <v>0.37813870289743101</v>
          </cell>
          <cell r="AX71">
            <v>0.39507278648267502</v>
          </cell>
          <cell r="AY71">
            <v>0.41414920533610899</v>
          </cell>
          <cell r="AZ71">
            <v>0.43013751432323699</v>
          </cell>
          <cell r="BA71">
            <v>0.48035646180990998</v>
          </cell>
          <cell r="BB71">
            <v>0.47984726327902499</v>
          </cell>
          <cell r="BC71">
            <v>0.50972862958764398</v>
          </cell>
          <cell r="BD71">
            <v>0.52757233381271396</v>
          </cell>
          <cell r="BE71">
            <v>0.551044821739197</v>
          </cell>
          <cell r="BF71">
            <v>0.54298925399780296</v>
          </cell>
          <cell r="BG71">
            <v>0.54443764686584495</v>
          </cell>
          <cell r="BH71">
            <v>0.55373710393905595</v>
          </cell>
          <cell r="BI71">
            <v>0.54920655488967896</v>
          </cell>
          <cell r="BJ71">
            <v>0.53482097387313798</v>
          </cell>
          <cell r="BK71">
            <v>0.53178073617551402</v>
          </cell>
          <cell r="BL71">
            <v>0.525042637268051</v>
          </cell>
          <cell r="BM71">
            <v>0.51399657785294495</v>
          </cell>
          <cell r="BN71">
            <v>0.51399657785294495</v>
          </cell>
        </row>
        <row r="72">
          <cell r="B72" t="str">
            <v>EGY</v>
          </cell>
          <cell r="C72" t="str">
            <v>Price level ratio of PPP conversion factor (GDP) to market exchange rate</v>
          </cell>
          <cell r="D72" t="str">
            <v>PA.NUS.PPPC.RF</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v>0.20631013583062599</v>
          </cell>
          <cell r="AJ72">
            <v>0.17166875556372699</v>
          </cell>
          <cell r="AK72">
            <v>0.17985765787360899</v>
          </cell>
          <cell r="AL72">
            <v>0.19000508290276999</v>
          </cell>
          <cell r="AM72">
            <v>0.199356907638851</v>
          </cell>
          <cell r="AN72">
            <v>0.21630307271205601</v>
          </cell>
          <cell r="AO72">
            <v>0.227444440123519</v>
          </cell>
          <cell r="AP72">
            <v>0.24566207600684301</v>
          </cell>
          <cell r="AQ72">
            <v>0.24885073891401699</v>
          </cell>
          <cell r="AR72">
            <v>0.24734539802422201</v>
          </cell>
          <cell r="AS72">
            <v>0.25033567246300298</v>
          </cell>
          <cell r="AT72">
            <v>0.22912409774779199</v>
          </cell>
          <cell r="AU72">
            <v>0.19400089819837499</v>
          </cell>
          <cell r="AV72">
            <v>0.17403990749163101</v>
          </cell>
          <cell r="AW72">
            <v>0.159760762876235</v>
          </cell>
          <cell r="AX72">
            <v>0.168667470642265</v>
          </cell>
          <cell r="AY72">
            <v>0.18370994664682999</v>
          </cell>
          <cell r="AZ72">
            <v>0.202849503905662</v>
          </cell>
          <cell r="BA72">
            <v>0.231787043926207</v>
          </cell>
          <cell r="BB72">
            <v>0.25529968464556402</v>
          </cell>
          <cell r="BC72">
            <v>0.27786465872288801</v>
          </cell>
          <cell r="BD72">
            <v>0.288230170481382</v>
          </cell>
          <cell r="BE72">
            <v>0.291153013706207</v>
          </cell>
          <cell r="BF72">
            <v>0.29075367506160299</v>
          </cell>
          <cell r="BG72">
            <v>0.31016663123066401</v>
          </cell>
          <cell r="BH72">
            <v>0.30948646627667797</v>
          </cell>
          <cell r="BI72">
            <v>0.314488557218774</v>
          </cell>
          <cell r="BJ72">
            <v>0.221915964199149</v>
          </cell>
          <cell r="BK72">
            <v>0.21798033062588201</v>
          </cell>
          <cell r="BL72">
            <v>0.24624101611813301</v>
          </cell>
          <cell r="BM72">
            <v>0.28311301039624798</v>
          </cell>
          <cell r="BN72">
            <v>0.28311301039624798</v>
          </cell>
        </row>
        <row r="73">
          <cell r="B73" t="str">
            <v>SLV</v>
          </cell>
          <cell r="C73" t="str">
            <v>Price level ratio of PPP conversion factor (GDP) to market exchange rate</v>
          </cell>
          <cell r="D73" t="str">
            <v>PA.NUS.PPPC.RF</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v>0.31235547869883801</v>
          </cell>
          <cell r="AJ73">
            <v>0.32455773080504402</v>
          </cell>
          <cell r="AK73">
            <v>0.328178462488246</v>
          </cell>
          <cell r="AL73">
            <v>0.34812795417141601</v>
          </cell>
          <cell r="AM73">
            <v>0.37426668551386799</v>
          </cell>
          <cell r="AN73">
            <v>0.40664350841047903</v>
          </cell>
          <cell r="AO73">
            <v>0.42561477020396199</v>
          </cell>
          <cell r="AP73">
            <v>0.43228675308236097</v>
          </cell>
          <cell r="AQ73">
            <v>0.44555804749896399</v>
          </cell>
          <cell r="AR73">
            <v>0.44358289756376001</v>
          </cell>
          <cell r="AS73">
            <v>0.44808295224004102</v>
          </cell>
          <cell r="AT73">
            <v>0.452994670864524</v>
          </cell>
          <cell r="AU73">
            <v>0.45267747309900203</v>
          </cell>
          <cell r="AV73">
            <v>0.45760425289043799</v>
          </cell>
          <cell r="AW73">
            <v>0.45771771016921098</v>
          </cell>
          <cell r="AX73">
            <v>0.462821552159915</v>
          </cell>
          <cell r="AY73">
            <v>0.46865554786418401</v>
          </cell>
          <cell r="AZ73">
            <v>0.47639909551721199</v>
          </cell>
          <cell r="BA73">
            <v>0.48380709039973802</v>
          </cell>
          <cell r="BB73">
            <v>0.479878820003248</v>
          </cell>
          <cell r="BC73">
            <v>0.48690089117829299</v>
          </cell>
          <cell r="BD73">
            <v>0.50512027740478505</v>
          </cell>
          <cell r="BE73">
            <v>0.52412414550781306</v>
          </cell>
          <cell r="BF73">
            <v>0.51031726598739602</v>
          </cell>
          <cell r="BG73">
            <v>0.49619051814079301</v>
          </cell>
          <cell r="BH73">
            <v>0.48772457242012002</v>
          </cell>
          <cell r="BI73">
            <v>0.47346323728561401</v>
          </cell>
          <cell r="BJ73">
            <v>0.46253019571304299</v>
          </cell>
          <cell r="BK73">
            <v>0.45934842189720498</v>
          </cell>
          <cell r="BL73">
            <v>0.45562610584537</v>
          </cell>
          <cell r="BM73">
            <v>0.45111843049052702</v>
          </cell>
          <cell r="BN73">
            <v>0.45111843049052702</v>
          </cell>
        </row>
        <row r="74">
          <cell r="B74" t="str">
            <v>GNQ</v>
          </cell>
          <cell r="C74" t="str">
            <v>Price level ratio of PPP conversion factor (GDP) to market exchange rate</v>
          </cell>
          <cell r="D74" t="str">
            <v>PA.NUS.PPPC.RF</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v>0.514074178838969</v>
          </cell>
          <cell r="AJ74">
            <v>0.49695677299770802</v>
          </cell>
          <cell r="AK74">
            <v>0.43798014422947401</v>
          </cell>
          <cell r="AL74">
            <v>0.38916022196455002</v>
          </cell>
          <cell r="AM74">
            <v>0.241989238139351</v>
          </cell>
          <cell r="AN74">
            <v>0.28388690169631497</v>
          </cell>
          <cell r="AO74">
            <v>0.27425647310238799</v>
          </cell>
          <cell r="AP74">
            <v>0.205100516366333</v>
          </cell>
          <cell r="AQ74">
            <v>0.13731843458864801</v>
          </cell>
          <cell r="AR74">
            <v>0.180492159695783</v>
          </cell>
          <cell r="AS74">
            <v>0.22375890533859899</v>
          </cell>
          <cell r="AT74">
            <v>0.187205796224477</v>
          </cell>
          <cell r="AU74">
            <v>0.19075481589547899</v>
          </cell>
          <cell r="AV74">
            <v>0.22601411114061501</v>
          </cell>
          <cell r="AW74">
            <v>0.28310975369967301</v>
          </cell>
          <cell r="AX74">
            <v>0.3920632198499</v>
          </cell>
          <cell r="AY74">
            <v>0.43369239083577399</v>
          </cell>
          <cell r="AZ74">
            <v>0.47478656511725198</v>
          </cell>
          <cell r="BA74">
            <v>0.59734053632300699</v>
          </cell>
          <cell r="BB74">
            <v>0.44510136382036702</v>
          </cell>
          <cell r="BC74">
            <v>0.52444681121436898</v>
          </cell>
          <cell r="BD74">
            <v>0.63132171582026297</v>
          </cell>
          <cell r="BE74">
            <v>0.57787555002365898</v>
          </cell>
          <cell r="BF74">
            <v>0.58651301673454104</v>
          </cell>
          <cell r="BG74">
            <v>0.57555662577433897</v>
          </cell>
          <cell r="BH74">
            <v>0.469313382936285</v>
          </cell>
          <cell r="BI74">
            <v>0.45214412239996699</v>
          </cell>
          <cell r="BJ74">
            <v>0.42871161978392403</v>
          </cell>
          <cell r="BK74">
            <v>0.47930000409031098</v>
          </cell>
          <cell r="BL74">
            <v>0.43660448588693901</v>
          </cell>
          <cell r="BM74">
            <v>0.39816228238040302</v>
          </cell>
          <cell r="BN74">
            <v>0.39816228238040302</v>
          </cell>
        </row>
        <row r="75">
          <cell r="B75" t="str">
            <v>ERI</v>
          </cell>
          <cell r="C75" t="str">
            <v>Price level ratio of PPP conversion factor (GDP) to market exchange rate</v>
          </cell>
          <cell r="D75" t="str">
            <v>PA.NUS.PPPC.RF</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v>0.231731763308518</v>
          </cell>
          <cell r="AL75">
            <v>0.195661550240157</v>
          </cell>
          <cell r="AM75">
            <v>0.19864475702828899</v>
          </cell>
          <cell r="AN75">
            <v>0.20843010660783901</v>
          </cell>
          <cell r="AO75">
            <v>0.2247777924104</v>
          </cell>
          <cell r="AP75">
            <v>0.20256527822283801</v>
          </cell>
          <cell r="AQ75">
            <v>0.21374799502383099</v>
          </cell>
          <cell r="AR75">
            <v>0.194681520957842</v>
          </cell>
          <cell r="AS75">
            <v>0.201581500013057</v>
          </cell>
          <cell r="AT75">
            <v>0.19318553213431899</v>
          </cell>
          <cell r="AU75">
            <v>0.178972816199584</v>
          </cell>
          <cell r="AV75">
            <v>0.21538149453040401</v>
          </cell>
          <cell r="AW75">
            <v>0.263463953710042</v>
          </cell>
          <cell r="AX75">
            <v>0.24670529839795</v>
          </cell>
          <cell r="AY75">
            <v>0.26661955024909101</v>
          </cell>
          <cell r="AZ75">
            <v>0.27856821902013401</v>
          </cell>
          <cell r="BA75">
            <v>0.31718185422320799</v>
          </cell>
          <cell r="BB75">
            <v>0.40765702378257401</v>
          </cell>
          <cell r="BC75">
            <v>0.33756811359690903</v>
          </cell>
          <cell r="BD75">
            <v>0.39526621096492998</v>
          </cell>
          <cell r="BE75">
            <v>0.41564717113437799</v>
          </cell>
          <cell r="BF75">
            <v>0.39611073473437303</v>
          </cell>
          <cell r="BG75">
            <v>0.39491296803521903</v>
          </cell>
          <cell r="BH75">
            <v>0.37896904058040198</v>
          </cell>
          <cell r="BI75">
            <v>0.378461535325887</v>
          </cell>
          <cell r="BJ75">
            <v>0.36284605961445998</v>
          </cell>
          <cell r="BK75" t="str">
            <v>..</v>
          </cell>
          <cell r="BL75" t="str">
            <v>..</v>
          </cell>
          <cell r="BM75" t="str">
            <v>..</v>
          </cell>
          <cell r="BN75">
            <v>0.36284605961445998</v>
          </cell>
        </row>
        <row r="76">
          <cell r="B76" t="str">
            <v>EST</v>
          </cell>
          <cell r="C76" t="str">
            <v>Price level ratio of PPP conversion factor (GDP) to market exchange rate</v>
          </cell>
          <cell r="D76" t="str">
            <v>PA.NUS.PPPC.RF</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v>0.46223604128076201</v>
          </cell>
          <cell r="AM76">
            <v>0.47273105086087502</v>
          </cell>
          <cell r="AN76">
            <v>0.48397639653815899</v>
          </cell>
          <cell r="AO76">
            <v>0.49071400702301998</v>
          </cell>
          <cell r="AP76">
            <v>0.46155883678990101</v>
          </cell>
          <cell r="AQ76">
            <v>0.48439203470908898</v>
          </cell>
          <cell r="AR76">
            <v>0.49226149914821099</v>
          </cell>
          <cell r="AS76">
            <v>0.43206486685709</v>
          </cell>
          <cell r="AT76">
            <v>0.43685704055142799</v>
          </cell>
          <cell r="AU76">
            <v>0.457987190355091</v>
          </cell>
          <cell r="AV76">
            <v>0.54852303523035195</v>
          </cell>
          <cell r="AW76">
            <v>0.61322857142857101</v>
          </cell>
          <cell r="AX76">
            <v>0.62595199602039497</v>
          </cell>
          <cell r="AY76">
            <v>0.653357169740309</v>
          </cell>
          <cell r="AZ76">
            <v>0.75442376129208899</v>
          </cell>
          <cell r="BA76">
            <v>0.79838142668815004</v>
          </cell>
          <cell r="BB76">
            <v>0.71842178382884103</v>
          </cell>
          <cell r="BC76">
            <v>0.678233790783485</v>
          </cell>
          <cell r="BD76">
            <v>0.71119241492044005</v>
          </cell>
          <cell r="BE76">
            <v>0.66949413313189798</v>
          </cell>
          <cell r="BF76">
            <v>0.69364353856598204</v>
          </cell>
          <cell r="BG76">
            <v>0.69904274077328499</v>
          </cell>
          <cell r="BH76">
            <v>0.59621211884973702</v>
          </cell>
          <cell r="BI76">
            <v>0.58388107240561204</v>
          </cell>
          <cell r="BJ76">
            <v>0.60278291020900199</v>
          </cell>
          <cell r="BK76">
            <v>0.63593681198240803</v>
          </cell>
          <cell r="BL76">
            <v>0.61815255429803795</v>
          </cell>
          <cell r="BM76">
            <v>0.61241128773540998</v>
          </cell>
          <cell r="BN76">
            <v>0.61241128773540998</v>
          </cell>
        </row>
        <row r="77">
          <cell r="B77" t="str">
            <v>SWZ</v>
          </cell>
          <cell r="C77" t="str">
            <v>Price level ratio of PPP conversion factor (GDP) to market exchange rate</v>
          </cell>
          <cell r="D77" t="str">
            <v>PA.NUS.PPPC.RF</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v>0.38546162776351001</v>
          </cell>
          <cell r="AJ77">
            <v>0.38002353376928999</v>
          </cell>
          <cell r="AK77">
            <v>0.39998837253457897</v>
          </cell>
          <cell r="AL77">
            <v>0.40032321759460499</v>
          </cell>
          <cell r="AM77">
            <v>0.40027420794061103</v>
          </cell>
          <cell r="AN77">
            <v>0.44770729117146801</v>
          </cell>
          <cell r="AO77">
            <v>0.39941158731609999</v>
          </cell>
          <cell r="AP77">
            <v>0.40764183740758703</v>
          </cell>
          <cell r="AQ77">
            <v>0.36088137793471098</v>
          </cell>
          <cell r="AR77">
            <v>0.33918926975136299</v>
          </cell>
          <cell r="AS77">
            <v>0.366099458030126</v>
          </cell>
          <cell r="AT77">
            <v>0.31460320663128299</v>
          </cell>
          <cell r="AU77">
            <v>0.275500954671278</v>
          </cell>
          <cell r="AV77">
            <v>0.39951946744148997</v>
          </cell>
          <cell r="AW77">
            <v>0.473240644052559</v>
          </cell>
          <cell r="AX77">
            <v>0.49675015347660301</v>
          </cell>
          <cell r="AY77">
            <v>0.471107407589615</v>
          </cell>
          <cell r="AZ77">
            <v>0.46305777161492501</v>
          </cell>
          <cell r="BA77">
            <v>0.42776069679568901</v>
          </cell>
          <cell r="BB77">
            <v>0.45431388239682302</v>
          </cell>
          <cell r="BC77">
            <v>0.53639320822580405</v>
          </cell>
          <cell r="BD77">
            <v>0.55806115488219299</v>
          </cell>
          <cell r="BE77">
            <v>0.54770090983642905</v>
          </cell>
          <cell r="BF77">
            <v>0.48575532823936002</v>
          </cell>
          <cell r="BG77">
            <v>0.45908437991432899</v>
          </cell>
          <cell r="BH77">
            <v>0.41760419898239198</v>
          </cell>
          <cell r="BI77">
            <v>0.39347503627047398</v>
          </cell>
          <cell r="BJ77">
            <v>0.46555682244743701</v>
          </cell>
          <cell r="BK77">
            <v>0.47058075365912599</v>
          </cell>
          <cell r="BL77">
            <v>0.43416196168536803</v>
          </cell>
          <cell r="BM77">
            <v>0.386237598617098</v>
          </cell>
          <cell r="BN77">
            <v>0.386237598617098</v>
          </cell>
        </row>
        <row r="78">
          <cell r="B78" t="str">
            <v>ETH</v>
          </cell>
          <cell r="C78" t="str">
            <v>Price level ratio of PPP conversion factor (GDP) to market exchange rate</v>
          </cell>
          <cell r="D78" t="str">
            <v>PA.NUS.PPPC.RF</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v>0.62828475147991802</v>
          </cell>
          <cell r="AJ78">
            <v>0.72371414908251197</v>
          </cell>
          <cell r="AK78">
            <v>0.60382186726989495</v>
          </cell>
          <cell r="AL78">
            <v>0.43873674623095699</v>
          </cell>
          <cell r="AM78">
            <v>0.32658721221895998</v>
          </cell>
          <cell r="AN78">
            <v>0.33343292159596699</v>
          </cell>
          <cell r="AO78">
            <v>0.32483888082504497</v>
          </cell>
          <cell r="AP78">
            <v>0.31092889667594498</v>
          </cell>
          <cell r="AQ78">
            <v>0.28989419490310397</v>
          </cell>
          <cell r="AR78">
            <v>0.26766040347124698</v>
          </cell>
          <cell r="AS78">
            <v>0.25774449238890101</v>
          </cell>
          <cell r="AT78">
            <v>0.23256763410959999</v>
          </cell>
          <cell r="AU78">
            <v>0.215104313582129</v>
          </cell>
          <cell r="AV78">
            <v>0.23709706999904601</v>
          </cell>
          <cell r="AW78">
            <v>0.23882634854967599</v>
          </cell>
          <cell r="AX78">
            <v>0.253540410360932</v>
          </cell>
          <cell r="AY78">
            <v>0.273596091683388</v>
          </cell>
          <cell r="AZ78">
            <v>0.30830433328407902</v>
          </cell>
          <cell r="BA78">
            <v>0.37490651096455802</v>
          </cell>
          <cell r="BB78">
            <v>0.40981964982730801</v>
          </cell>
          <cell r="BC78">
            <v>0.33214648563209598</v>
          </cell>
          <cell r="BD78">
            <v>0.31237611108027402</v>
          </cell>
          <cell r="BE78">
            <v>0.38487098072619103</v>
          </cell>
          <cell r="BF78">
            <v>0.38917344229573902</v>
          </cell>
          <cell r="BG78">
            <v>0.37452942511915799</v>
          </cell>
          <cell r="BH78">
            <v>0.38648684333897398</v>
          </cell>
          <cell r="BI78">
            <v>0.38169045626536202</v>
          </cell>
          <cell r="BJ78">
            <v>0.38016279998176</v>
          </cell>
          <cell r="BK78">
            <v>0.35817891768744298</v>
          </cell>
          <cell r="BL78">
            <v>0.36960361247315898</v>
          </cell>
          <cell r="BM78">
            <v>0.386468462271429</v>
          </cell>
          <cell r="BN78">
            <v>0.386468462271429</v>
          </cell>
        </row>
        <row r="79">
          <cell r="B79" t="str">
            <v>EMU</v>
          </cell>
          <cell r="C79" t="str">
            <v>Price level ratio of PPP conversion factor (GDP) to market exchange rate</v>
          </cell>
          <cell r="D79" t="str">
            <v>PA.NUS.PPPC.RF</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
          </cell>
        </row>
        <row r="80">
          <cell r="B80" t="str">
            <v>ECS</v>
          </cell>
          <cell r="C80" t="str">
            <v>Price level ratio of PPP conversion factor (GDP) to market exchange rate</v>
          </cell>
          <cell r="D80" t="str">
            <v>PA.NUS.PPPC.RF</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
          </cell>
        </row>
        <row r="81">
          <cell r="B81" t="str">
            <v>ECA</v>
          </cell>
          <cell r="C81" t="str">
            <v>Price level ratio of PPP conversion factor (GDP) to market exchange rate</v>
          </cell>
          <cell r="D81" t="str">
            <v>PA.NUS.PPPC.RF</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
          </cell>
        </row>
        <row r="82">
          <cell r="B82" t="str">
            <v>TEC</v>
          </cell>
          <cell r="C82" t="str">
            <v>Price level ratio of PPP conversion factor (GDP) to market exchange rate</v>
          </cell>
          <cell r="D82" t="str">
            <v>PA.NUS.PPPC.RF</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
          </cell>
        </row>
        <row r="83">
          <cell r="B83" t="str">
            <v>EUU</v>
          </cell>
          <cell r="C83" t="str">
            <v>Price level ratio of PPP conversion factor (GDP) to market exchange rate</v>
          </cell>
          <cell r="D83" t="str">
            <v>PA.NUS.PPPC.RF</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
          </cell>
        </row>
        <row r="84">
          <cell r="B84" t="str">
            <v>FRO</v>
          </cell>
          <cell r="C84" t="str">
            <v>Price level ratio of PPP conversion factor (GDP) to market exchange rate</v>
          </cell>
          <cell r="D84" t="str">
            <v>PA.NUS.PPPC.RF</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
          </cell>
        </row>
        <row r="85">
          <cell r="B85" t="str">
            <v>FJI</v>
          </cell>
          <cell r="C85" t="str">
            <v>Price level ratio of PPP conversion factor (GDP) to market exchange rate</v>
          </cell>
          <cell r="D85" t="str">
            <v>PA.NUS.PPPC.RF</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v>0.43712289449351899</v>
          </cell>
          <cell r="AJ85">
            <v>0.44977409243785799</v>
          </cell>
          <cell r="AK85">
            <v>0.45896390483451099</v>
          </cell>
          <cell r="AL85">
            <v>0.46868535176571302</v>
          </cell>
          <cell r="AM85">
            <v>0.487240749677048</v>
          </cell>
          <cell r="AN85">
            <v>0.50246474515217698</v>
          </cell>
          <cell r="AO85">
            <v>0.50866907941030504</v>
          </cell>
          <cell r="AP85">
            <v>0.50173007028231498</v>
          </cell>
          <cell r="AQ85">
            <v>0.38737386247100403</v>
          </cell>
          <cell r="AR85">
            <v>0.41112588786151799</v>
          </cell>
          <cell r="AS85">
            <v>0.35453532110840302</v>
          </cell>
          <cell r="AT85">
            <v>0.33489955792617498</v>
          </cell>
          <cell r="AU85">
            <v>0.35441808293977201</v>
          </cell>
          <cell r="AV85">
            <v>0.43230265413060698</v>
          </cell>
          <cell r="AW85">
            <v>0.47061935437025598</v>
          </cell>
          <cell r="AX85">
            <v>0.49882061270689698</v>
          </cell>
          <cell r="AY85">
            <v>0.49064524248225</v>
          </cell>
          <cell r="AZ85">
            <v>0.529219645941716</v>
          </cell>
          <cell r="BA85">
            <v>0.53584918432552098</v>
          </cell>
          <cell r="BB85">
            <v>0.439386514268858</v>
          </cell>
          <cell r="BC85">
            <v>0.46152253648793701</v>
          </cell>
          <cell r="BD85">
            <v>0.52903586271057601</v>
          </cell>
          <cell r="BE85">
            <v>0.51943761249169096</v>
          </cell>
          <cell r="BF85">
            <v>0.507609229451918</v>
          </cell>
          <cell r="BG85">
            <v>0.494019206049989</v>
          </cell>
          <cell r="BH85">
            <v>0.43430244145186098</v>
          </cell>
          <cell r="BI85">
            <v>0.44738062072176998</v>
          </cell>
          <cell r="BJ85">
            <v>0.45430689662258</v>
          </cell>
          <cell r="BK85">
            <v>0.44556091774564299</v>
          </cell>
          <cell r="BL85">
            <v>0.43300083087353902</v>
          </cell>
          <cell r="BM85">
            <v>0.41871823459595198</v>
          </cell>
          <cell r="BN85">
            <v>0.41871823459595198</v>
          </cell>
        </row>
        <row r="86">
          <cell r="B86" t="str">
            <v>FIN</v>
          </cell>
          <cell r="C86" t="str">
            <v>Price level ratio of PPP conversion factor (GDP) to market exchange rate</v>
          </cell>
          <cell r="D86" t="str">
            <v>PA.NUS.PPPC.RF</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v>1.5639620587778</v>
          </cell>
          <cell r="AJ86">
            <v>1.4521261579179501</v>
          </cell>
          <cell r="AK86">
            <v>1.2930169896469299</v>
          </cell>
          <cell r="AL86">
            <v>1.0080222754241699</v>
          </cell>
          <cell r="AM86">
            <v>1.09921115537849</v>
          </cell>
          <cell r="AN86">
            <v>1.34199210239651</v>
          </cell>
          <cell r="AO86">
            <v>1.2838868754853701</v>
          </cell>
          <cell r="AP86">
            <v>1.13294124384378</v>
          </cell>
          <cell r="AQ86">
            <v>1.10316533155318</v>
          </cell>
          <cell r="AR86">
            <v>1.0569326656722799</v>
          </cell>
          <cell r="AS86">
            <v>0.90669154228855697</v>
          </cell>
          <cell r="AT86">
            <v>0.89748456375838903</v>
          </cell>
          <cell r="AU86">
            <v>0.93933088650480001</v>
          </cell>
          <cell r="AV86">
            <v>1.13092776523702</v>
          </cell>
          <cell r="AW86">
            <v>1.20835733796871</v>
          </cell>
          <cell r="AX86">
            <v>1.21803755751772</v>
          </cell>
          <cell r="AY86">
            <v>1.1954133734788599</v>
          </cell>
          <cell r="AZ86">
            <v>1.2795182042157101</v>
          </cell>
          <cell r="BA86">
            <v>1.3360553683902201</v>
          </cell>
          <cell r="BB86">
            <v>1.2454876354542901</v>
          </cell>
          <cell r="BC86">
            <v>1.1926124366859201</v>
          </cell>
          <cell r="BD86">
            <v>1.2484346162681199</v>
          </cell>
          <cell r="BE86">
            <v>1.1672908505874799</v>
          </cell>
          <cell r="BF86">
            <v>1.20207921754261</v>
          </cell>
          <cell r="BG86">
            <v>1.2036261171343801</v>
          </cell>
          <cell r="BH86">
            <v>1.0067531501573901</v>
          </cell>
          <cell r="BI86">
            <v>0.97440350796675101</v>
          </cell>
          <cell r="BJ86">
            <v>0.97324713760567405</v>
          </cell>
          <cell r="BK86">
            <v>1.0077428404322</v>
          </cell>
          <cell r="BL86">
            <v>0.96635838372548899</v>
          </cell>
          <cell r="BM86">
            <v>0.96512715715953601</v>
          </cell>
          <cell r="BN86">
            <v>0.96512715715953601</v>
          </cell>
        </row>
        <row r="87">
          <cell r="B87" t="str">
            <v>FCS</v>
          </cell>
          <cell r="C87" t="str">
            <v>Price level ratio of PPP conversion factor (GDP) to market exchange rate</v>
          </cell>
          <cell r="D87" t="str">
            <v>PA.NUS.PPPC.RF</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
          </cell>
        </row>
        <row r="88">
          <cell r="B88" t="str">
            <v>FRA</v>
          </cell>
          <cell r="C88" t="str">
            <v>Price level ratio of PPP conversion factor (GDP) to market exchange rate</v>
          </cell>
          <cell r="D88" t="str">
            <v>PA.NUS.PPPC.RF</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v>1.23533309239851</v>
          </cell>
          <cell r="AJ88">
            <v>1.1826194628531601</v>
          </cell>
          <cell r="AK88">
            <v>1.2565910780669101</v>
          </cell>
          <cell r="AL88">
            <v>1.1659381514940901</v>
          </cell>
          <cell r="AM88">
            <v>1.1752599243856301</v>
          </cell>
          <cell r="AN88">
            <v>1.2948718622683699</v>
          </cell>
          <cell r="AO88">
            <v>1.25846390562893</v>
          </cell>
          <cell r="AP88">
            <v>1.0892481456507099</v>
          </cell>
          <cell r="AQ88">
            <v>1.0691294196130801</v>
          </cell>
          <cell r="AR88">
            <v>1.0150447474962701</v>
          </cell>
          <cell r="AS88">
            <v>0.85716694306246599</v>
          </cell>
          <cell r="AT88">
            <v>0.81606085011185703</v>
          </cell>
          <cell r="AU88">
            <v>0.84761716544325205</v>
          </cell>
          <cell r="AV88">
            <v>1.04954063205418</v>
          </cell>
          <cell r="AW88">
            <v>1.16107151725851</v>
          </cell>
          <cell r="AX88">
            <v>1.1397313766944399</v>
          </cell>
          <cell r="AY88">
            <v>1.12242880441601</v>
          </cell>
          <cell r="AZ88">
            <v>1.2164946619217101</v>
          </cell>
          <cell r="BA88">
            <v>1.29174454372345</v>
          </cell>
          <cell r="BB88">
            <v>1.1988969158099501</v>
          </cell>
          <cell r="BC88">
            <v>1.1318955219125899</v>
          </cell>
          <cell r="BD88">
            <v>1.16960430299038</v>
          </cell>
          <cell r="BE88">
            <v>1.08481040890908</v>
          </cell>
          <cell r="BF88">
            <v>1.07765133794066</v>
          </cell>
          <cell r="BG88">
            <v>1.0714237335166299</v>
          </cell>
          <cell r="BH88">
            <v>0.89689564946811495</v>
          </cell>
          <cell r="BI88">
            <v>0.86284700216077503</v>
          </cell>
          <cell r="BJ88">
            <v>0.86782875596952003</v>
          </cell>
          <cell r="BK88">
            <v>0.89256157297165395</v>
          </cell>
          <cell r="BL88">
            <v>0.82691439983529302</v>
          </cell>
          <cell r="BM88">
            <v>0.83073293639222001</v>
          </cell>
          <cell r="BN88">
            <v>0.83073293639222001</v>
          </cell>
        </row>
        <row r="89">
          <cell r="B89" t="str">
            <v>PYF</v>
          </cell>
          <cell r="C89" t="str">
            <v>Price level ratio of PPP conversion factor (GDP) to market exchange rate</v>
          </cell>
          <cell r="D89" t="str">
            <v>PA.NUS.PPPC.RF</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
          </cell>
        </row>
        <row r="90">
          <cell r="B90" t="str">
            <v>GAB</v>
          </cell>
          <cell r="C90" t="str">
            <v>Price level ratio of PPP conversion factor (GDP) to market exchange rate</v>
          </cell>
          <cell r="D90" t="str">
            <v>PA.NUS.PPPC.RF</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v>0.53890376434916398</v>
          </cell>
          <cell r="AJ90">
            <v>0.44590763140204698</v>
          </cell>
          <cell r="AK90">
            <v>0.46565026509172203</v>
          </cell>
          <cell r="AL90">
            <v>0.342624044756973</v>
          </cell>
          <cell r="AM90">
            <v>0.30957684168975003</v>
          </cell>
          <cell r="AN90">
            <v>0.34178772897040199</v>
          </cell>
          <cell r="AO90">
            <v>0.37192191743351599</v>
          </cell>
          <cell r="AP90">
            <v>0.32327275752097301</v>
          </cell>
          <cell r="AQ90">
            <v>0.26001738768250898</v>
          </cell>
          <cell r="AR90">
            <v>0.292731572456153</v>
          </cell>
          <cell r="AS90">
            <v>0.31795371805732497</v>
          </cell>
          <cell r="AT90">
            <v>0.28283868022944803</v>
          </cell>
          <cell r="AU90">
            <v>0.296476982500538</v>
          </cell>
          <cell r="AV90">
            <v>0.34744376690698903</v>
          </cell>
          <cell r="AW90">
            <v>0.400947920389568</v>
          </cell>
          <cell r="AX90">
            <v>0.46704093018917098</v>
          </cell>
          <cell r="AY90">
            <v>0.50266432087705704</v>
          </cell>
          <cell r="AZ90">
            <v>0.55691027620910505</v>
          </cell>
          <cell r="BA90">
            <v>0.706314889706673</v>
          </cell>
          <cell r="BB90">
            <v>0.54460918713345297</v>
          </cell>
          <cell r="BC90">
            <v>0.59643542900527102</v>
          </cell>
          <cell r="BD90">
            <v>0.69121169579137898</v>
          </cell>
          <cell r="BE90">
            <v>0.639056739834721</v>
          </cell>
          <cell r="BF90">
            <v>0.64068676411853298</v>
          </cell>
          <cell r="BG90">
            <v>0.62868025709917397</v>
          </cell>
          <cell r="BH90">
            <v>0.50237644779396995</v>
          </cell>
          <cell r="BI90">
            <v>0.48889310981491602</v>
          </cell>
          <cell r="BJ90">
            <v>0.48180915944435698</v>
          </cell>
          <cell r="BK90">
            <v>0.52716716238028105</v>
          </cell>
          <cell r="BL90">
            <v>0.49859013103449801</v>
          </cell>
          <cell r="BM90">
            <v>0.45555066130455202</v>
          </cell>
          <cell r="BN90">
            <v>0.45555066130455202</v>
          </cell>
        </row>
        <row r="91">
          <cell r="B91" t="str">
            <v>GMB</v>
          </cell>
          <cell r="C91" t="str">
            <v>Price level ratio of PPP conversion factor (GDP) to market exchange rate</v>
          </cell>
          <cell r="D91" t="str">
            <v>PA.NUS.PPPC.RF</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v>0.29970167768127798</v>
          </cell>
          <cell r="AJ91">
            <v>0.28314001998122401</v>
          </cell>
          <cell r="AK91">
            <v>0.291121335469608</v>
          </cell>
          <cell r="AL91">
            <v>0.29182970802151398</v>
          </cell>
          <cell r="AM91">
            <v>0.28205698538921498</v>
          </cell>
          <cell r="AN91">
            <v>0.28834151142157599</v>
          </cell>
          <cell r="AO91">
            <v>0.28387961715409599</v>
          </cell>
          <cell r="AP91">
            <v>0.27817296957967402</v>
          </cell>
          <cell r="AQ91">
            <v>0.27026697847119302</v>
          </cell>
          <cell r="AR91">
            <v>0.259639895439775</v>
          </cell>
          <cell r="AS91">
            <v>0.23132467648865199</v>
          </cell>
          <cell r="AT91">
            <v>0.21243004910194799</v>
          </cell>
          <cell r="AU91">
            <v>0.19122778483278299</v>
          </cell>
          <cell r="AV91">
            <v>0.166967104668962</v>
          </cell>
          <cell r="AW91">
            <v>0.29996675735359402</v>
          </cell>
          <cell r="AX91">
            <v>0.31829096067309898</v>
          </cell>
          <cell r="AY91">
            <v>0.318651689073149</v>
          </cell>
          <cell r="AZ91">
            <v>0.36560042981544399</v>
          </cell>
          <cell r="BA91">
            <v>0.411900766914227</v>
          </cell>
          <cell r="BB91">
            <v>0.35584774880067699</v>
          </cell>
          <cell r="BC91">
            <v>0.35346049813103297</v>
          </cell>
          <cell r="BD91">
            <v>0.344244915843891</v>
          </cell>
          <cell r="BE91">
            <v>0.337660306149</v>
          </cell>
          <cell r="BF91">
            <v>0.33020007797833001</v>
          </cell>
          <cell r="BG91">
            <v>0.299664040499379</v>
          </cell>
          <cell r="BH91">
            <v>0.31967514794596102</v>
          </cell>
          <cell r="BI91">
            <v>0.33391237574988503</v>
          </cell>
          <cell r="BJ91">
            <v>0.32796473617787603</v>
          </cell>
          <cell r="BK91">
            <v>0.33156395460910898</v>
          </cell>
          <cell r="BL91">
            <v>0.33292174832086302</v>
          </cell>
          <cell r="BM91">
            <v>0.33977272870959602</v>
          </cell>
          <cell r="BN91">
            <v>0.33977272870959602</v>
          </cell>
        </row>
        <row r="92">
          <cell r="B92" t="str">
            <v>GEO</v>
          </cell>
          <cell r="C92" t="str">
            <v>Price level ratio of PPP conversion factor (GDP) to market exchange rate</v>
          </cell>
          <cell r="D92" t="str">
            <v>PA.NUS.PPPC.RF</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v>0.28192349680560602</v>
          </cell>
          <cell r="AJ92" t="str">
            <v>..</v>
          </cell>
          <cell r="AK92" t="str">
            <v>..</v>
          </cell>
          <cell r="AL92">
            <v>0.29377236698025599</v>
          </cell>
          <cell r="AM92">
            <v>0.30024244958404001</v>
          </cell>
          <cell r="AN92">
            <v>0.30711069870562901</v>
          </cell>
          <cell r="AO92">
            <v>0.311614283626171</v>
          </cell>
          <cell r="AP92">
            <v>0.314186199466577</v>
          </cell>
          <cell r="AQ92">
            <v>0.31017628285024401</v>
          </cell>
          <cell r="AR92">
            <v>0.23031917886015499</v>
          </cell>
          <cell r="AS92">
            <v>0.24155411503666099</v>
          </cell>
          <cell r="AT92">
            <v>0.23748246141982199</v>
          </cell>
          <cell r="AU92">
            <v>0.233785218329671</v>
          </cell>
          <cell r="AV92">
            <v>0.24291420754677001</v>
          </cell>
          <cell r="AW92">
            <v>0.2871206433895</v>
          </cell>
          <cell r="AX92">
            <v>0.31780636455896699</v>
          </cell>
          <cell r="AY92">
            <v>0.34060325258843699</v>
          </cell>
          <cell r="AZ92">
            <v>0.38697210426540002</v>
          </cell>
          <cell r="BA92">
            <v>0.46615818697247302</v>
          </cell>
          <cell r="BB92">
            <v>0.40404603372062797</v>
          </cell>
          <cell r="BC92">
            <v>0.42745491589302398</v>
          </cell>
          <cell r="BD92">
            <v>0.48105267152353698</v>
          </cell>
          <cell r="BE92">
            <v>0.450009617620383</v>
          </cell>
          <cell r="BF92">
            <v>0.43571844573374702</v>
          </cell>
          <cell r="BG92">
            <v>0.40941376266699803</v>
          </cell>
          <cell r="BH92">
            <v>0.33204811759178499</v>
          </cell>
          <cell r="BI92">
            <v>0.31591360824977599</v>
          </cell>
          <cell r="BJ92">
            <v>0.32061035679593503</v>
          </cell>
          <cell r="BK92">
            <v>0.32357545203107402</v>
          </cell>
          <cell r="BL92">
            <v>0.30070650045816399</v>
          </cell>
          <cell r="BM92">
            <v>0.28893463133236202</v>
          </cell>
          <cell r="BN92">
            <v>0.28893463133236202</v>
          </cell>
        </row>
        <row r="93">
          <cell r="B93" t="str">
            <v>DEU</v>
          </cell>
          <cell r="C93" t="str">
            <v>Price level ratio of PPP conversion factor (GDP) to market exchange rate</v>
          </cell>
          <cell r="D93" t="str">
            <v>PA.NUS.PPPC.RF</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v>1.1465815276600899</v>
          </cell>
          <cell r="AJ93">
            <v>1.11310901591043</v>
          </cell>
          <cell r="AK93">
            <v>1.2178184095178499</v>
          </cell>
          <cell r="AL93">
            <v>1.1673997397373701</v>
          </cell>
          <cell r="AM93">
            <v>1.1883741111245001</v>
          </cell>
          <cell r="AN93">
            <v>1.34417496929166</v>
          </cell>
          <cell r="AO93">
            <v>1.2664504808942001</v>
          </cell>
          <cell r="AP93">
            <v>1.09731784344688</v>
          </cell>
          <cell r="AQ93">
            <v>1.07670112259642</v>
          </cell>
          <cell r="AR93">
            <v>1.01653419987215</v>
          </cell>
          <cell r="AS93">
            <v>0.868998525889073</v>
          </cell>
          <cell r="AT93">
            <v>0.83218523489932905</v>
          </cell>
          <cell r="AU93">
            <v>0.85945511010728404</v>
          </cell>
          <cell r="AV93">
            <v>1.0112155756207699</v>
          </cell>
          <cell r="AW93">
            <v>1.0864949093618099</v>
          </cell>
          <cell r="AX93">
            <v>1.08533888819799</v>
          </cell>
          <cell r="AY93">
            <v>1.06332204240371</v>
          </cell>
          <cell r="AZ93">
            <v>1.14604845332603</v>
          </cell>
          <cell r="BA93">
            <v>1.20170060055661</v>
          </cell>
          <cell r="BB93">
            <v>1.1268491247568799</v>
          </cell>
          <cell r="BC93">
            <v>1.0662146642771499</v>
          </cell>
          <cell r="BD93">
            <v>1.0964526859889201</v>
          </cell>
          <cell r="BE93">
            <v>1.0115025982108801</v>
          </cell>
          <cell r="BF93">
            <v>1.02871214833986</v>
          </cell>
          <cell r="BG93">
            <v>1.0201746625709101</v>
          </cell>
          <cell r="BH93">
            <v>0.86298925991219</v>
          </cell>
          <cell r="BI93">
            <v>0.83249862392662</v>
          </cell>
          <cell r="BJ93">
            <v>0.83928911927694305</v>
          </cell>
          <cell r="BK93">
            <v>0.86810650534255296</v>
          </cell>
          <cell r="BL93">
            <v>0.84083506536470498</v>
          </cell>
          <cell r="BM93">
            <v>0.84334163923891303</v>
          </cell>
          <cell r="BN93">
            <v>0.84334163923891303</v>
          </cell>
        </row>
        <row r="94">
          <cell r="B94" t="str">
            <v>GHA</v>
          </cell>
          <cell r="C94" t="str">
            <v>Price level ratio of PPP conversion factor (GDP) to market exchange rate</v>
          </cell>
          <cell r="D94" t="str">
            <v>PA.NUS.PPPC.RF</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v>0.51663219536946103</v>
          </cell>
          <cell r="AJ94">
            <v>0.53167506133982601</v>
          </cell>
          <cell r="AK94">
            <v>0.48655996319204597</v>
          </cell>
          <cell r="AL94">
            <v>0.421670640735408</v>
          </cell>
          <cell r="AM94">
            <v>0.36471835646025202</v>
          </cell>
          <cell r="AN94">
            <v>0.40743417881712701</v>
          </cell>
          <cell r="AO94">
            <v>0.41030179596035699</v>
          </cell>
          <cell r="AP94">
            <v>0.38442336975326002</v>
          </cell>
          <cell r="AQ94">
            <v>0.39414575895644099</v>
          </cell>
          <cell r="AR94">
            <v>0.38402014396202899</v>
          </cell>
          <cell r="AS94">
            <v>0.23382214618094899</v>
          </cell>
          <cell r="AT94">
            <v>0.23465631321152</v>
          </cell>
          <cell r="AU94">
            <v>0.25646675089572102</v>
          </cell>
          <cell r="AV94">
            <v>0.29625027768439999</v>
          </cell>
          <cell r="AW94">
            <v>0.31788917169543102</v>
          </cell>
          <cell r="AX94">
            <v>0.35218556862577199</v>
          </cell>
          <cell r="AY94">
            <v>0.38138647362280598</v>
          </cell>
          <cell r="AZ94">
            <v>0.43232745310987702</v>
          </cell>
          <cell r="BA94">
            <v>0.44879069940258898</v>
          </cell>
          <cell r="BB94">
            <v>0.38584835998641298</v>
          </cell>
          <cell r="BC94">
            <v>0.43692602352431797</v>
          </cell>
          <cell r="BD94">
            <v>0.458490835997865</v>
          </cell>
          <cell r="BE94">
            <v>0.41978249086589797</v>
          </cell>
          <cell r="BF94">
            <v>0.44592456619325799</v>
          </cell>
          <cell r="BG94">
            <v>0.36138271845927</v>
          </cell>
          <cell r="BH94">
            <v>0.34077313337458098</v>
          </cell>
          <cell r="BI94">
            <v>0.39496564018713498</v>
          </cell>
          <cell r="BJ94">
            <v>0.40545905818748401</v>
          </cell>
          <cell r="BK94">
            <v>0.41538006151344697</v>
          </cell>
          <cell r="BL94">
            <v>0.38907095620656601</v>
          </cell>
          <cell r="BM94">
            <v>0.38394203006674399</v>
          </cell>
          <cell r="BN94">
            <v>0.38394203006674399</v>
          </cell>
        </row>
        <row r="95">
          <cell r="B95" t="str">
            <v>GIB</v>
          </cell>
          <cell r="C95" t="str">
            <v>Price level ratio of PPP conversion factor (GDP) to market exchange rate</v>
          </cell>
          <cell r="D95" t="str">
            <v>PA.NUS.PPPC.RF</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
          </cell>
        </row>
        <row r="96">
          <cell r="B96" t="str">
            <v>GRC</v>
          </cell>
          <cell r="C96" t="str">
            <v>Price level ratio of PPP conversion factor (GDP) to market exchange rate</v>
          </cell>
          <cell r="D96" t="str">
            <v>PA.NUS.PPPC.RF</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v>0.72157566638005199</v>
          </cell>
          <cell r="AJ96">
            <v>0.72713778276313301</v>
          </cell>
          <cell r="AK96">
            <v>0.78040221666070797</v>
          </cell>
          <cell r="AL96">
            <v>0.72529726516052295</v>
          </cell>
          <cell r="AM96">
            <v>0.74607022471910101</v>
          </cell>
          <cell r="AN96">
            <v>0.84017943815267004</v>
          </cell>
          <cell r="AO96">
            <v>0.85157842582106402</v>
          </cell>
          <cell r="AP96">
            <v>0.78269312367402999</v>
          </cell>
          <cell r="AQ96">
            <v>0.74704946385333804</v>
          </cell>
          <cell r="AR96">
            <v>0.71732367355636095</v>
          </cell>
          <cell r="AS96">
            <v>0.61707481112953799</v>
          </cell>
          <cell r="AT96">
            <v>0.59834451901565999</v>
          </cell>
          <cell r="AU96">
            <v>0.62391022021456799</v>
          </cell>
          <cell r="AV96">
            <v>0.77323024830699805</v>
          </cell>
          <cell r="AW96">
            <v>0.86232182766327303</v>
          </cell>
          <cell r="AX96">
            <v>0.88170128093520705</v>
          </cell>
          <cell r="AY96">
            <v>0.868717852214277</v>
          </cell>
          <cell r="AZ96">
            <v>0.98318779085682995</v>
          </cell>
          <cell r="BA96">
            <v>1.03698696352717</v>
          </cell>
          <cell r="BB96">
            <v>0.97864962489580398</v>
          </cell>
          <cell r="BC96">
            <v>0.95620399566583703</v>
          </cell>
          <cell r="BD96">
            <v>0.99139193940951098</v>
          </cell>
          <cell r="BE96">
            <v>0.87969758296498601</v>
          </cell>
          <cell r="BF96">
            <v>0.83818403229400695</v>
          </cell>
          <cell r="BG96">
            <v>0.81081342478027996</v>
          </cell>
          <cell r="BH96">
            <v>0.67549930285317406</v>
          </cell>
          <cell r="BI96">
            <v>0.65105877172542703</v>
          </cell>
          <cell r="BJ96">
            <v>0.64800841914776797</v>
          </cell>
          <cell r="BK96">
            <v>0.666744673026888</v>
          </cell>
          <cell r="BL96">
            <v>0.63030668905097897</v>
          </cell>
          <cell r="BM96">
            <v>0.63141628879222</v>
          </cell>
          <cell r="BN96">
            <v>0.63141628879222</v>
          </cell>
        </row>
        <row r="97">
          <cell r="B97" t="str">
            <v>GRL</v>
          </cell>
          <cell r="C97" t="str">
            <v>Price level ratio of PPP conversion factor (GDP) to market exchange rate</v>
          </cell>
          <cell r="D97" t="str">
            <v>PA.NUS.PPPC.RF</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
          </cell>
        </row>
        <row r="98">
          <cell r="B98" t="str">
            <v>GRD</v>
          </cell>
          <cell r="C98" t="str">
            <v>Price level ratio of PPP conversion factor (GDP) to market exchange rate</v>
          </cell>
          <cell r="D98" t="str">
            <v>PA.NUS.PPPC.RF</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v>0.61185988554834103</v>
          </cell>
          <cell r="AJ98">
            <v>0.6313206286427</v>
          </cell>
          <cell r="AK98">
            <v>0.64201560416911496</v>
          </cell>
          <cell r="AL98">
            <v>0.63896191801154101</v>
          </cell>
          <cell r="AM98">
            <v>0.64556414809166696</v>
          </cell>
          <cell r="AN98">
            <v>0.65161056724441802</v>
          </cell>
          <cell r="AO98">
            <v>0.65699922371735198</v>
          </cell>
          <cell r="AP98">
            <v>0.65697689785706304</v>
          </cell>
          <cell r="AQ98">
            <v>0.66095513754428503</v>
          </cell>
          <cell r="AR98">
            <v>0.65885510565996697</v>
          </cell>
          <cell r="AS98">
            <v>0.66179978917161497</v>
          </cell>
          <cell r="AT98">
            <v>0.66148085884997398</v>
          </cell>
          <cell r="AU98">
            <v>0.65360407042191804</v>
          </cell>
          <cell r="AV98">
            <v>0.64119276400242997</v>
          </cell>
          <cell r="AW98">
            <v>0.63706519174209597</v>
          </cell>
          <cell r="AX98">
            <v>0.63320257570774396</v>
          </cell>
          <cell r="AY98">
            <v>0.64307546188083697</v>
          </cell>
          <cell r="AZ98">
            <v>0.64077814712219605</v>
          </cell>
          <cell r="BA98">
            <v>0.67787903965827001</v>
          </cell>
          <cell r="BB98">
            <v>0.67268372668709597</v>
          </cell>
          <cell r="BC98">
            <v>0.66812530521279601</v>
          </cell>
          <cell r="BD98">
            <v>0.65592399349918895</v>
          </cell>
          <cell r="BE98">
            <v>0.66680510838826701</v>
          </cell>
          <cell r="BF98">
            <v>0.65528710683186697</v>
          </cell>
          <cell r="BG98">
            <v>0.641773100252504</v>
          </cell>
          <cell r="BH98">
            <v>0.64277856438248104</v>
          </cell>
          <cell r="BI98">
            <v>0.64078675376044403</v>
          </cell>
          <cell r="BJ98">
            <v>0.62604180088749595</v>
          </cell>
          <cell r="BK98">
            <v>0.60742679293754398</v>
          </cell>
          <cell r="BL98">
            <v>0.61586351391681504</v>
          </cell>
          <cell r="BM98">
            <v>0.60599355225989604</v>
          </cell>
          <cell r="BN98">
            <v>0.60599355225989604</v>
          </cell>
        </row>
        <row r="99">
          <cell r="B99" t="str">
            <v>GUM</v>
          </cell>
          <cell r="C99" t="str">
            <v>Price level ratio of PPP conversion factor (GDP) to market exchange rate</v>
          </cell>
          <cell r="D99" t="str">
            <v>PA.NUS.PPPC.RF</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
          </cell>
        </row>
        <row r="100">
          <cell r="B100" t="str">
            <v>GTM</v>
          </cell>
          <cell r="C100" t="str">
            <v>Price level ratio of PPP conversion factor (GDP) to market exchange rate</v>
          </cell>
          <cell r="D100" t="str">
            <v>PA.NUS.PPPC.RF</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v>0.22326609148279</v>
          </cell>
          <cell r="AJ100">
            <v>0.25616271499147503</v>
          </cell>
          <cell r="AK100">
            <v>0.26517692956809802</v>
          </cell>
          <cell r="AL100">
            <v>0.27214463667564198</v>
          </cell>
          <cell r="AM100">
            <v>0.29169530910296798</v>
          </cell>
          <cell r="AN100">
            <v>0.30729488036545999</v>
          </cell>
          <cell r="AO100">
            <v>0.31348839709695298</v>
          </cell>
          <cell r="AP100">
            <v>0.33492431980338699</v>
          </cell>
          <cell r="AQ100">
            <v>0.34391221280269302</v>
          </cell>
          <cell r="AR100">
            <v>0.30832936411298401</v>
          </cell>
          <cell r="AS100">
            <v>0.30650271929543699</v>
          </cell>
          <cell r="AT100">
            <v>0.31877811531302003</v>
          </cell>
          <cell r="AU100">
            <v>0.33569175228236597</v>
          </cell>
          <cell r="AV100">
            <v>0.33913884708979702</v>
          </cell>
          <cell r="AW100">
            <v>0.34989479022625097</v>
          </cell>
          <cell r="AX100">
            <v>0.37324205493313001</v>
          </cell>
          <cell r="AY100">
            <v>0.38189087267250699</v>
          </cell>
          <cell r="AZ100">
            <v>0.39469219560793101</v>
          </cell>
          <cell r="BA100">
            <v>0.429931723901263</v>
          </cell>
          <cell r="BB100">
            <v>0.409456890507094</v>
          </cell>
          <cell r="BC100">
            <v>0.43101619885146802</v>
          </cell>
          <cell r="BD100">
            <v>0.46709642986740801</v>
          </cell>
          <cell r="BE100">
            <v>0.46567123967642798</v>
          </cell>
          <cell r="BF100">
            <v>0.47307219115430998</v>
          </cell>
          <cell r="BG100">
            <v>0.48716190804155202</v>
          </cell>
          <cell r="BH100">
            <v>0.48748133866124299</v>
          </cell>
          <cell r="BI100">
            <v>0.50759308902754297</v>
          </cell>
          <cell r="BJ100">
            <v>0.53519972521371095</v>
          </cell>
          <cell r="BK100">
            <v>0.516819985470101</v>
          </cell>
          <cell r="BL100">
            <v>0.51430349810527598</v>
          </cell>
          <cell r="BM100">
            <v>0.51993575612040299</v>
          </cell>
          <cell r="BN100">
            <v>0.51993575612040299</v>
          </cell>
        </row>
        <row r="101">
          <cell r="B101" t="str">
            <v>GIN</v>
          </cell>
          <cell r="C101" t="str">
            <v>Price level ratio of PPP conversion factor (GDP) to market exchange rate</v>
          </cell>
          <cell r="D101" t="str">
            <v>PA.NUS.PPPC.RF</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v>0.69375079873786605</v>
          </cell>
          <cell r="AJ101">
            <v>0.739381650888979</v>
          </cell>
          <cell r="AK101">
            <v>0.76259495724092596</v>
          </cell>
          <cell r="AL101">
            <v>0.70797340446864099</v>
          </cell>
          <cell r="AM101">
            <v>0.68784691415600496</v>
          </cell>
          <cell r="AN101">
            <v>0.70317696550004205</v>
          </cell>
          <cell r="AO101">
            <v>0.69240549855496403</v>
          </cell>
          <cell r="AP101">
            <v>0.63247739346558995</v>
          </cell>
          <cell r="AQ101">
            <v>0.57229598099502499</v>
          </cell>
          <cell r="AR101">
            <v>0.52418763097218202</v>
          </cell>
          <cell r="AS101">
            <v>0.43287296083565002</v>
          </cell>
          <cell r="AT101">
            <v>0.38599697629422403</v>
          </cell>
          <cell r="AU101">
            <v>0.37674711455919402</v>
          </cell>
          <cell r="AV101">
            <v>0.42676548897572802</v>
          </cell>
          <cell r="AW101">
            <v>0.42834537693316599</v>
          </cell>
          <cell r="AX101">
            <v>0.32583832711202299</v>
          </cell>
          <cell r="AY101">
            <v>0.30799155904411202</v>
          </cell>
          <cell r="AZ101">
            <v>0.41798616315950099</v>
          </cell>
          <cell r="BA101">
            <v>0.43650044729845999</v>
          </cell>
          <cell r="BB101">
            <v>0.42256039552867802</v>
          </cell>
          <cell r="BC101">
            <v>0.40661367073525501</v>
          </cell>
          <cell r="BD101">
            <v>0.37336875825534899</v>
          </cell>
          <cell r="BE101">
            <v>0.39937141743485299</v>
          </cell>
          <cell r="BF101">
            <v>0.424551074564055</v>
          </cell>
          <cell r="BG101">
            <v>0.43625363380687698</v>
          </cell>
          <cell r="BH101">
            <v>0.42281598192814102</v>
          </cell>
          <cell r="BI101">
            <v>0.35229340264534298</v>
          </cell>
          <cell r="BJ101">
            <v>0.35386464044418597</v>
          </cell>
          <cell r="BK101">
            <v>0.37313046070613598</v>
          </cell>
          <cell r="BL101">
            <v>0.39547984063359998</v>
          </cell>
          <cell r="BM101">
            <v>0.42382010416430099</v>
          </cell>
          <cell r="BN101">
            <v>0.42382010416430099</v>
          </cell>
        </row>
        <row r="102">
          <cell r="B102" t="str">
            <v>GNB</v>
          </cell>
          <cell r="C102" t="str">
            <v>Price level ratio of PPP conversion factor (GDP) to market exchange rate</v>
          </cell>
          <cell r="D102" t="str">
            <v>PA.NUS.PPPC.RF</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0.43302599108148498</v>
          </cell>
          <cell r="AJ102">
            <v>0.42008028857936103</v>
          </cell>
          <cell r="AK102">
            <v>0.357534741603169</v>
          </cell>
          <cell r="AL102">
            <v>0.35804524461874998</v>
          </cell>
          <cell r="AM102">
            <v>0.33788129401613998</v>
          </cell>
          <cell r="AN102">
            <v>0.34167721258478001</v>
          </cell>
          <cell r="AO102">
            <v>0.32013506621535698</v>
          </cell>
          <cell r="AP102">
            <v>0.29327474545806398</v>
          </cell>
          <cell r="AQ102">
            <v>0.31009079247277799</v>
          </cell>
          <cell r="AR102">
            <v>0.328938398726974</v>
          </cell>
          <cell r="AS102">
            <v>0.288025632041847</v>
          </cell>
          <cell r="AT102">
            <v>0.29180496754575402</v>
          </cell>
          <cell r="AU102">
            <v>0.30872950448629499</v>
          </cell>
          <cell r="AV102">
            <v>0.34441748088061303</v>
          </cell>
          <cell r="AW102">
            <v>0.363701369509978</v>
          </cell>
          <cell r="AX102">
            <v>0.37323022392133498</v>
          </cell>
          <cell r="AY102">
            <v>0.35730907167901999</v>
          </cell>
          <cell r="AZ102">
            <v>0.39643718387853599</v>
          </cell>
          <cell r="BA102">
            <v>0.46938921345411699</v>
          </cell>
          <cell r="BB102">
            <v>0.43091513226880301</v>
          </cell>
          <cell r="BC102">
            <v>0.41686524904835198</v>
          </cell>
          <cell r="BD102">
            <v>0.48889645382326902</v>
          </cell>
          <cell r="BE102">
            <v>0.45478454625743497</v>
          </cell>
          <cell r="BF102">
            <v>0.46516392796046402</v>
          </cell>
          <cell r="BG102">
            <v>0.45225374666296198</v>
          </cell>
          <cell r="BH102">
            <v>0.377784732244271</v>
          </cell>
          <cell r="BI102">
            <v>0.37867857383904402</v>
          </cell>
          <cell r="BJ102">
            <v>0.38361493276942599</v>
          </cell>
          <cell r="BK102">
            <v>0.41218356973527998</v>
          </cell>
          <cell r="BL102">
            <v>0.37077773050802398</v>
          </cell>
          <cell r="BM102">
            <v>0.373316552222483</v>
          </cell>
          <cell r="BN102">
            <v>0.373316552222483</v>
          </cell>
        </row>
        <row r="103">
          <cell r="B103" t="str">
            <v>GUY</v>
          </cell>
          <cell r="C103" t="str">
            <v>Price level ratio of PPP conversion factor (GDP) to market exchange rate</v>
          </cell>
          <cell r="D103" t="str">
            <v>PA.NUS.PPPC.RF</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v>0.43671575100816501</v>
          </cell>
          <cell r="AJ103">
            <v>0.35004411325356</v>
          </cell>
          <cell r="AK103">
            <v>0.34042327543172801</v>
          </cell>
          <cell r="AL103">
            <v>0.373675783830618</v>
          </cell>
          <cell r="AM103">
            <v>0.40151621721686698</v>
          </cell>
          <cell r="AN103">
            <v>0.43033240436634201</v>
          </cell>
          <cell r="AO103">
            <v>0.44421044372381202</v>
          </cell>
          <cell r="AP103">
            <v>0.436484387337436</v>
          </cell>
          <cell r="AQ103">
            <v>0.42047556560517102</v>
          </cell>
          <cell r="AR103">
            <v>0.38979589523346198</v>
          </cell>
          <cell r="AS103">
            <v>0.39651064537729902</v>
          </cell>
          <cell r="AT103">
            <v>0.37908640355372802</v>
          </cell>
          <cell r="AU103">
            <v>0.37623934973617301</v>
          </cell>
          <cell r="AV103">
            <v>0.38039814698097602</v>
          </cell>
          <cell r="AW103">
            <v>0.38668871184203002</v>
          </cell>
          <cell r="AX103">
            <v>0.400464197301517</v>
          </cell>
          <cell r="AY103">
            <v>0.40993211343230801</v>
          </cell>
          <cell r="AZ103">
            <v>0.44507939556130799</v>
          </cell>
          <cell r="BA103">
            <v>0.475978002842531</v>
          </cell>
          <cell r="BB103">
            <v>0.47586473727557499</v>
          </cell>
          <cell r="BC103">
            <v>0.491523326411751</v>
          </cell>
          <cell r="BD103">
            <v>0.49147485002435598</v>
          </cell>
          <cell r="BE103">
            <v>0.51325618144976703</v>
          </cell>
          <cell r="BF103">
            <v>0.49796120436060998</v>
          </cell>
          <cell r="BG103">
            <v>0.49372255748222799</v>
          </cell>
          <cell r="BH103">
            <v>0.49800641888856201</v>
          </cell>
          <cell r="BI103">
            <v>0.51443004839068296</v>
          </cell>
          <cell r="BJ103">
            <v>0.51018300645288095</v>
          </cell>
          <cell r="BK103">
            <v>0.48100022817971899</v>
          </cell>
          <cell r="BL103">
            <v>0.48473081937674301</v>
          </cell>
          <cell r="BM103">
            <v>0.353011263617726</v>
          </cell>
          <cell r="BN103">
            <v>0.353011263617726</v>
          </cell>
        </row>
        <row r="104">
          <cell r="B104" t="str">
            <v>HTI</v>
          </cell>
          <cell r="C104" t="str">
            <v>Price level ratio of PPP conversion factor (GDP) to market exchange rate</v>
          </cell>
          <cell r="D104" t="str">
            <v>PA.NUS.PPPC.RF</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v>0.35334662336060801</v>
          </cell>
          <cell r="AJ104">
            <v>0.37635400046622303</v>
          </cell>
          <cell r="AK104">
            <v>0.25251583089220803</v>
          </cell>
          <cell r="AL104">
            <v>0.217041211129614</v>
          </cell>
          <cell r="AM104">
            <v>0.278521300835465</v>
          </cell>
          <cell r="AN104">
            <v>0.32218354136791599</v>
          </cell>
          <cell r="AO104">
            <v>0.31398324787159199</v>
          </cell>
          <cell r="AP104">
            <v>0.34490967779256898</v>
          </cell>
          <cell r="AQ104">
            <v>0.37227297851125002</v>
          </cell>
          <cell r="AR104">
            <v>0.39853094825036101</v>
          </cell>
          <cell r="AS104">
            <v>0.36785713961663302</v>
          </cell>
          <cell r="AT104">
            <v>0.33566834775411197</v>
          </cell>
          <cell r="AU104">
            <v>0.31286079451388099</v>
          </cell>
          <cell r="AV104">
            <v>0.23649558705147999</v>
          </cell>
          <cell r="AW104">
            <v>0.29187941404503698</v>
          </cell>
          <cell r="AX104">
            <v>0.326807766577981</v>
          </cell>
          <cell r="AY104">
            <v>0.32618842099820999</v>
          </cell>
          <cell r="AZ104">
            <v>0.38427027580384099</v>
          </cell>
          <cell r="BA104">
            <v>0.40428921047715</v>
          </cell>
          <cell r="BB104">
            <v>0.419088557971103</v>
          </cell>
          <cell r="BC104">
            <v>0.449006772294123</v>
          </cell>
          <cell r="BD104">
            <v>0.45904484457126399</v>
          </cell>
          <cell r="BE104">
            <v>0.48411397614082102</v>
          </cell>
          <cell r="BF104">
            <v>0.48532863735943399</v>
          </cell>
          <cell r="BG104">
            <v>0.48394760317784502</v>
          </cell>
          <cell r="BH104">
            <v>0.47845249144640201</v>
          </cell>
          <cell r="BI104">
            <v>0.41840672878017499</v>
          </cell>
          <cell r="BJ104">
            <v>0.43416864851383802</v>
          </cell>
          <cell r="BK104">
            <v>0.45640463241389001</v>
          </cell>
          <cell r="BL104">
            <v>0.40981819377096201</v>
          </cell>
          <cell r="BM104">
            <v>0.41107858389236102</v>
          </cell>
          <cell r="BN104">
            <v>0.41107858389236102</v>
          </cell>
        </row>
        <row r="105">
          <cell r="B105" t="str">
            <v>HPC</v>
          </cell>
          <cell r="C105" t="str">
            <v>Price level ratio of PPP conversion factor (GDP) to market exchange rate</v>
          </cell>
          <cell r="D105" t="str">
            <v>PA.NUS.PPPC.RF</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
          </cell>
        </row>
        <row r="106">
          <cell r="B106" t="str">
            <v>HIC</v>
          </cell>
          <cell r="C106" t="str">
            <v>Price level ratio of PPP conversion factor (GDP) to market exchange rate</v>
          </cell>
          <cell r="D106" t="str">
            <v>PA.NUS.PPPC.RF</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
          </cell>
        </row>
        <row r="107">
          <cell r="B107" t="str">
            <v>HND</v>
          </cell>
          <cell r="C107" t="str">
            <v>Price level ratio of PPP conversion factor (GDP) to market exchange rate</v>
          </cell>
          <cell r="D107" t="str">
            <v>PA.NUS.PPPC.RF</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v>0.478885751708514</v>
          </cell>
          <cell r="AJ107">
            <v>0.45242452218065499</v>
          </cell>
          <cell r="AK107">
            <v>0.44348194807953001</v>
          </cell>
          <cell r="AL107">
            <v>0.40539293678607602</v>
          </cell>
          <cell r="AM107">
            <v>0.37320993672014702</v>
          </cell>
          <cell r="AN107">
            <v>0.39652885370999102</v>
          </cell>
          <cell r="AO107">
            <v>0.37278266361733198</v>
          </cell>
          <cell r="AP107">
            <v>0.383733836769246</v>
          </cell>
          <cell r="AQ107">
            <v>0.40648822527951001</v>
          </cell>
          <cell r="AR107">
            <v>0.40672746494407702</v>
          </cell>
          <cell r="AS107">
            <v>0.41697109705253299</v>
          </cell>
          <cell r="AT107">
            <v>0.42303871275435001</v>
          </cell>
          <cell r="AU107">
            <v>0.412491070207125</v>
          </cell>
          <cell r="AV107">
            <v>0.40554247122791498</v>
          </cell>
          <cell r="AW107">
            <v>0.40059914390218898</v>
          </cell>
          <cell r="AX107">
            <v>0.40391089898983201</v>
          </cell>
          <cell r="AY107">
            <v>0.41237772597714201</v>
          </cell>
          <cell r="AZ107">
            <v>0.42820014954640501</v>
          </cell>
          <cell r="BA107">
            <v>0.45267703991916702</v>
          </cell>
          <cell r="BB107">
            <v>0.48371287037409799</v>
          </cell>
          <cell r="BC107">
            <v>0.500510161922468</v>
          </cell>
          <cell r="BD107">
            <v>0.52794363470081895</v>
          </cell>
          <cell r="BE107">
            <v>0.52807904285771401</v>
          </cell>
          <cell r="BF107">
            <v>0.50409874472889304</v>
          </cell>
          <cell r="BG107">
            <v>0.49199547400775601</v>
          </cell>
          <cell r="BH107">
            <v>0.47398209132810698</v>
          </cell>
          <cell r="BI107">
            <v>0.45194996897272399</v>
          </cell>
          <cell r="BJ107">
            <v>0.438093136824031</v>
          </cell>
          <cell r="BK107">
            <v>0.42856751872233501</v>
          </cell>
          <cell r="BL107">
            <v>0.42758950178243199</v>
          </cell>
          <cell r="BM107">
            <v>0.44075815320961098</v>
          </cell>
          <cell r="BN107">
            <v>0.44075815320961098</v>
          </cell>
        </row>
        <row r="108">
          <cell r="B108" t="str">
            <v>HKG</v>
          </cell>
          <cell r="C108" t="str">
            <v>Price level ratio of PPP conversion factor (GDP) to market exchange rate</v>
          </cell>
          <cell r="D108" t="str">
            <v>PA.NUS.PPPC.RF</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v>0.73858640437579504</v>
          </cell>
          <cell r="AJ108">
            <v>0.78159389627823195</v>
          </cell>
          <cell r="AK108">
            <v>0.84314730501098001</v>
          </cell>
          <cell r="AL108">
            <v>0.89514176049324001</v>
          </cell>
          <cell r="AM108">
            <v>0.932695382195324</v>
          </cell>
          <cell r="AN108">
            <v>0.95044606662227704</v>
          </cell>
          <cell r="AO108">
            <v>0.98846423219824697</v>
          </cell>
          <cell r="AP108">
            <v>1.02600290423283</v>
          </cell>
          <cell r="AQ108">
            <v>1.02653570743681</v>
          </cell>
          <cell r="AR108">
            <v>0.96895410165352702</v>
          </cell>
          <cell r="AS108">
            <v>0.91163725049043198</v>
          </cell>
          <cell r="AT108">
            <v>0.87539082961329295</v>
          </cell>
          <cell r="AU108">
            <v>0.83243343839244299</v>
          </cell>
          <cell r="AV108">
            <v>0.76935178752385103</v>
          </cell>
          <cell r="AW108">
            <v>0.72216890424639202</v>
          </cell>
          <cell r="AX108">
            <v>0.70026430237651005</v>
          </cell>
          <cell r="AY108">
            <v>0.67688708779418705</v>
          </cell>
          <cell r="AZ108">
            <v>0.67693307618101495</v>
          </cell>
          <cell r="BA108">
            <v>0.67378729349811695</v>
          </cell>
          <cell r="BB108">
            <v>0.66918704202703505</v>
          </cell>
          <cell r="BC108">
            <v>0.66178402831113003</v>
          </cell>
          <cell r="BD108">
            <v>0.67223012753650302</v>
          </cell>
          <cell r="BE108">
            <v>0.70319064570508505</v>
          </cell>
          <cell r="BF108">
            <v>0.71526286895893598</v>
          </cell>
          <cell r="BG108">
            <v>0.73592685964087501</v>
          </cell>
          <cell r="BH108">
            <v>0.752219259654342</v>
          </cell>
          <cell r="BI108">
            <v>0.76424373233901799</v>
          </cell>
          <cell r="BJ108">
            <v>0.77136902999310197</v>
          </cell>
          <cell r="BK108">
            <v>0.77632198237540095</v>
          </cell>
          <cell r="BL108">
            <v>0.77857847588667295</v>
          </cell>
          <cell r="BM108">
            <v>0.78204711006400995</v>
          </cell>
          <cell r="BN108">
            <v>0.78204711006400995</v>
          </cell>
        </row>
        <row r="109">
          <cell r="B109" t="str">
            <v>HUN</v>
          </cell>
          <cell r="C109" t="str">
            <v>Price level ratio of PPP conversion factor (GDP) to market exchange rate</v>
          </cell>
          <cell r="D109" t="str">
            <v>PA.NUS.PPPC.RF</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v>0.402634936776611</v>
          </cell>
          <cell r="AK109">
            <v>0.45258039481796702</v>
          </cell>
          <cell r="AL109">
            <v>0.46067103428321599</v>
          </cell>
          <cell r="AM109">
            <v>0.47134038928213701</v>
          </cell>
          <cell r="AN109">
            <v>0.48922708757070499</v>
          </cell>
          <cell r="AO109">
            <v>0.48397654191017597</v>
          </cell>
          <cell r="AP109">
            <v>0.46781242705681098</v>
          </cell>
          <cell r="AQ109">
            <v>0.456257515682012</v>
          </cell>
          <cell r="AR109">
            <v>0.44085066233515402</v>
          </cell>
          <cell r="AS109">
            <v>0.39013009463489901</v>
          </cell>
          <cell r="AT109">
            <v>0.399459742571665</v>
          </cell>
          <cell r="AU109">
            <v>0.45815469669394598</v>
          </cell>
          <cell r="AV109">
            <v>0.543952534632269</v>
          </cell>
          <cell r="AW109">
            <v>0.63321659930809904</v>
          </cell>
          <cell r="AX109">
            <v>0.65601916500695201</v>
          </cell>
          <cell r="AY109">
            <v>0.62498471885545903</v>
          </cell>
          <cell r="AZ109">
            <v>0.73010886269794295</v>
          </cell>
          <cell r="BA109">
            <v>0.761157650222266</v>
          </cell>
          <cell r="BB109">
            <v>0.63106266281246004</v>
          </cell>
          <cell r="BC109">
            <v>0.60790658389872199</v>
          </cell>
          <cell r="BD109">
            <v>0.61809870930839805</v>
          </cell>
          <cell r="BE109">
            <v>0.55806878149005001</v>
          </cell>
          <cell r="BF109">
            <v>0.55870462907083296</v>
          </cell>
          <cell r="BG109">
            <v>0.556380252362765</v>
          </cell>
          <cell r="BH109">
            <v>0.47453665434562797</v>
          </cell>
          <cell r="BI109">
            <v>0.46899770415714598</v>
          </cell>
          <cell r="BJ109">
            <v>0.495699703631727</v>
          </cell>
          <cell r="BK109">
            <v>0.51475368445724601</v>
          </cell>
          <cell r="BL109">
            <v>0.49934921213789302</v>
          </cell>
          <cell r="BM109">
            <v>0.48313413781534398</v>
          </cell>
          <cell r="BN109">
            <v>0.48313413781534398</v>
          </cell>
        </row>
        <row r="110">
          <cell r="B110" t="str">
            <v>IBD</v>
          </cell>
          <cell r="C110" t="str">
            <v>Price level ratio of PPP conversion factor (GDP) to market exchange rate</v>
          </cell>
          <cell r="D110" t="str">
            <v>PA.NUS.PPPC.RF</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
          </cell>
        </row>
        <row r="111">
          <cell r="B111" t="str">
            <v>ISL</v>
          </cell>
          <cell r="C111" t="str">
            <v>Price level ratio of PPP conversion factor (GDP) to market exchange rate</v>
          </cell>
          <cell r="D111" t="str">
            <v>PA.NUS.PPPC.RF</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v>1.1552452310933701</v>
          </cell>
          <cell r="AJ111">
            <v>1.19631003978216</v>
          </cell>
          <cell r="AK111">
            <v>1.2404965253823499</v>
          </cell>
          <cell r="AL111">
            <v>1.0503938423033199</v>
          </cell>
          <cell r="AM111">
            <v>1.0198862382120699</v>
          </cell>
          <cell r="AN111">
            <v>1.11242446867218</v>
          </cell>
          <cell r="AO111">
            <v>1.1149006616541399</v>
          </cell>
          <cell r="AP111">
            <v>1.03892779422405</v>
          </cell>
          <cell r="AQ111">
            <v>1.08039170893327</v>
          </cell>
          <cell r="AR111">
            <v>1.09554527319303</v>
          </cell>
          <cell r="AS111">
            <v>1.07781563549405</v>
          </cell>
          <cell r="AT111">
            <v>0.90655726582403195</v>
          </cell>
          <cell r="AU111">
            <v>0.99393108572064404</v>
          </cell>
          <cell r="AV111">
            <v>1.2072664615625299</v>
          </cell>
          <cell r="AW111">
            <v>1.3290280759691</v>
          </cell>
          <cell r="AX111">
            <v>1.5217224209572</v>
          </cell>
          <cell r="AY111">
            <v>1.4481727272727301</v>
          </cell>
          <cell r="AZ111">
            <v>1.6760729685426601</v>
          </cell>
          <cell r="BA111">
            <v>1.3022141858987</v>
          </cell>
          <cell r="BB111">
            <v>0.98655378102596003</v>
          </cell>
          <cell r="BC111">
            <v>1.0870333128243601</v>
          </cell>
          <cell r="BD111">
            <v>1.1655652901535301</v>
          </cell>
          <cell r="BE111">
            <v>1.09501613507319</v>
          </cell>
          <cell r="BF111">
            <v>1.1214896253886899</v>
          </cell>
          <cell r="BG111">
            <v>1.18652916269395</v>
          </cell>
          <cell r="BH111">
            <v>1.0762304125634701</v>
          </cell>
          <cell r="BI111">
            <v>1.1590775239829101</v>
          </cell>
          <cell r="BJ111">
            <v>1.2942505514892999</v>
          </cell>
          <cell r="BK111">
            <v>1.30166249776802</v>
          </cell>
          <cell r="BL111">
            <v>1.1827302745184101</v>
          </cell>
          <cell r="BM111">
            <v>1.10532820918591</v>
          </cell>
          <cell r="BN111">
            <v>1.10532820918591</v>
          </cell>
        </row>
        <row r="112">
          <cell r="B112" t="str">
            <v>IBT</v>
          </cell>
          <cell r="C112" t="str">
            <v>Price level ratio of PPP conversion factor (GDP) to market exchange rate</v>
          </cell>
          <cell r="D112" t="str">
            <v>PA.NUS.PPPC.RF</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
          </cell>
        </row>
        <row r="113">
          <cell r="B113" t="str">
            <v>IDB</v>
          </cell>
          <cell r="C113" t="str">
            <v>Price level ratio of PPP conversion factor (GDP) to market exchange rate</v>
          </cell>
          <cell r="D113" t="str">
            <v>PA.NUS.PPPC.RF</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
          </cell>
        </row>
        <row r="114">
          <cell r="B114" t="str">
            <v>IDX</v>
          </cell>
          <cell r="C114" t="str">
            <v>Price level ratio of PPP conversion factor (GDP) to market exchange rate</v>
          </cell>
          <cell r="D114" t="str">
            <v>PA.NUS.PPPC.RF</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
          </cell>
        </row>
        <row r="115">
          <cell r="B115" t="str">
            <v>IDA</v>
          </cell>
          <cell r="C115" t="str">
            <v>Price level ratio of PPP conversion factor (GDP) to market exchange rate</v>
          </cell>
          <cell r="D115" t="str">
            <v>PA.NUS.PPPC.RF</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
          </cell>
        </row>
        <row r="116">
          <cell r="B116" t="str">
            <v>IND</v>
          </cell>
          <cell r="C116" t="str">
            <v>Price level ratio of PPP conversion factor (GDP) to market exchange rate</v>
          </cell>
          <cell r="D116" t="str">
            <v>PA.NUS.PPPC.RF</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v>0.30606699587178998</v>
          </cell>
          <cell r="AJ116">
            <v>0.24652638855985001</v>
          </cell>
          <cell r="AK116">
            <v>0.243820850535057</v>
          </cell>
          <cell r="AL116">
            <v>0.220342117899163</v>
          </cell>
          <cell r="AM116">
            <v>0.23701333456458701</v>
          </cell>
          <cell r="AN116">
            <v>0.237563557678758</v>
          </cell>
          <cell r="AO116">
            <v>0.23655260131720099</v>
          </cell>
          <cell r="AP116">
            <v>0.236409854329099</v>
          </cell>
          <cell r="AQ116">
            <v>0.22306595817130301</v>
          </cell>
          <cell r="AR116">
            <v>0.21998571986940299</v>
          </cell>
          <cell r="AS116">
            <v>0.211540489646312</v>
          </cell>
          <cell r="AT116">
            <v>0.20466059637834499</v>
          </cell>
          <cell r="AU116">
            <v>0.20588416037642401</v>
          </cell>
          <cell r="AV116">
            <v>0.221158443086104</v>
          </cell>
          <cell r="AW116">
            <v>0.232863131023162</v>
          </cell>
          <cell r="AX116">
            <v>0.242070628848853</v>
          </cell>
          <cell r="AY116">
            <v>0.249205997794407</v>
          </cell>
          <cell r="AZ116">
            <v>0.29170015483170902</v>
          </cell>
          <cell r="BA116">
            <v>0.27349710938884497</v>
          </cell>
          <cell r="BB116">
            <v>0.28165722033351498</v>
          </cell>
          <cell r="BC116">
            <v>0.32042616106612498</v>
          </cell>
          <cell r="BD116">
            <v>0.324479598985491</v>
          </cell>
          <cell r="BE116">
            <v>0.297024491603671</v>
          </cell>
          <cell r="BF116">
            <v>0.28664100153170902</v>
          </cell>
          <cell r="BG116">
            <v>0.30071093288539902</v>
          </cell>
          <cell r="BH116">
            <v>0.29380545632938299</v>
          </cell>
          <cell r="BI116">
            <v>0.29667711439933497</v>
          </cell>
          <cell r="BJ116">
            <v>0.32034481189424102</v>
          </cell>
          <cell r="BK116">
            <v>0.299147117199561</v>
          </cell>
          <cell r="BL116">
            <v>0.30019895558675402</v>
          </cell>
          <cell r="BM116">
            <v>0.296390408868283</v>
          </cell>
          <cell r="BN116">
            <v>0.296390408868283</v>
          </cell>
        </row>
        <row r="117">
          <cell r="B117" t="str">
            <v>IDN</v>
          </cell>
          <cell r="C117" t="str">
            <v>Price level ratio of PPP conversion factor (GDP) to market exchange rate</v>
          </cell>
          <cell r="D117" t="str">
            <v>PA.NUS.PPPC.RF</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v>0.18995266521698301</v>
          </cell>
          <cell r="AJ117">
            <v>0.188831085995148</v>
          </cell>
          <cell r="AK117">
            <v>0.19031321394112999</v>
          </cell>
          <cell r="AL117">
            <v>0.21544374382401499</v>
          </cell>
          <cell r="AM117">
            <v>0.219594075489455</v>
          </cell>
          <cell r="AN117">
            <v>0.22710520618833299</v>
          </cell>
          <cell r="AO117">
            <v>0.23267654587818301</v>
          </cell>
          <cell r="AP117">
            <v>0.20716929020833</v>
          </cell>
          <cell r="AQ117">
            <v>0.104324257760842</v>
          </cell>
          <cell r="AR117">
            <v>0.149662857859825</v>
          </cell>
          <cell r="AS117">
            <v>0.16446022272368399</v>
          </cell>
          <cell r="AT117">
            <v>0.150969147089941</v>
          </cell>
          <cell r="AU117">
            <v>0.17343242284716201</v>
          </cell>
          <cell r="AV117">
            <v>0.19498573166532801</v>
          </cell>
          <cell r="AW117">
            <v>0.197769157729001</v>
          </cell>
          <cell r="AX117">
            <v>0.20197685333635201</v>
          </cell>
          <cell r="AY117">
            <v>0.23698048362089999</v>
          </cell>
          <cell r="AZ117">
            <v>0.25727822976318798</v>
          </cell>
          <cell r="BA117">
            <v>0.281020361399686</v>
          </cell>
          <cell r="BB117">
            <v>0.28188959447221301</v>
          </cell>
          <cell r="BC117">
            <v>0.36708854046200301</v>
          </cell>
          <cell r="BD117">
            <v>0.40052227593475898</v>
          </cell>
          <cell r="BE117">
            <v>0.38031677847943501</v>
          </cell>
          <cell r="BF117">
            <v>0.35996419879478903</v>
          </cell>
          <cell r="BG117">
            <v>0.33971368535199498</v>
          </cell>
          <cell r="BH117">
            <v>0.32513204133375401</v>
          </cell>
          <cell r="BI117">
            <v>0.33949451886816101</v>
          </cell>
          <cell r="BJ117">
            <v>0.35092421940954299</v>
          </cell>
          <cell r="BK117">
            <v>0.33438731813080103</v>
          </cell>
          <cell r="BL117">
            <v>0.33588112186897101</v>
          </cell>
          <cell r="BM117">
            <v>0.320522919943803</v>
          </cell>
          <cell r="BN117">
            <v>0.320522919943803</v>
          </cell>
        </row>
        <row r="118">
          <cell r="B118" t="str">
            <v>IRN</v>
          </cell>
          <cell r="C118" t="str">
            <v>Price level ratio of PPP conversion factor (GDP) to market exchange rate</v>
          </cell>
          <cell r="D118" t="str">
            <v>PA.NUS.PPPC.RF</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v>0.30766576013109198</v>
          </cell>
          <cell r="AJ118" t="str">
            <v>..</v>
          </cell>
          <cell r="AK118" t="str">
            <v>..</v>
          </cell>
          <cell r="AL118">
            <v>0.124278786158183</v>
          </cell>
          <cell r="AM118">
            <v>0.13919008481069001</v>
          </cell>
          <cell r="AN118">
            <v>0.17888593444433201</v>
          </cell>
          <cell r="AO118">
            <v>0.208530457904262</v>
          </cell>
          <cell r="AP118">
            <v>0.192872139817449</v>
          </cell>
          <cell r="AQ118">
            <v>0.18069880730273899</v>
          </cell>
          <cell r="AR118">
            <v>0.18219337311177899</v>
          </cell>
          <cell r="AS118">
            <v>0.162128489756376</v>
          </cell>
          <cell r="AT118">
            <v>0.18211920657828001</v>
          </cell>
          <cell r="AU118">
            <v>0.169408523064568</v>
          </cell>
          <cell r="AV118">
            <v>0.18262897540231801</v>
          </cell>
          <cell r="AW118">
            <v>0.21087076069608901</v>
          </cell>
          <cell r="AX118">
            <v>0.23614650924710201</v>
          </cell>
          <cell r="AY118">
            <v>0.25670737293196499</v>
          </cell>
          <cell r="AZ118">
            <v>0.30368821040517702</v>
          </cell>
          <cell r="BA118">
            <v>0.35018995032477002</v>
          </cell>
          <cell r="BB118">
            <v>0.347462903855219</v>
          </cell>
          <cell r="BC118">
            <v>0.37953307008301301</v>
          </cell>
          <cell r="BD118">
            <v>0.43208903556122502</v>
          </cell>
          <cell r="BE118">
            <v>0.49704043536429199</v>
          </cell>
          <cell r="BF118">
            <v>0.39402808896774899</v>
          </cell>
          <cell r="BG118">
            <v>0.36660770323871</v>
          </cell>
          <cell r="BH118">
            <v>0.36091831848859102</v>
          </cell>
          <cell r="BI118">
            <v>0.37493544033319798</v>
          </cell>
          <cell r="BJ118">
            <v>0.379771793733304</v>
          </cell>
          <cell r="BK118">
            <v>0.26084818000645699</v>
          </cell>
          <cell r="BL118">
            <v>0.24119751232747599</v>
          </cell>
          <cell r="BM118">
            <v>0.18162229779797701</v>
          </cell>
          <cell r="BN118">
            <v>0.18162229779797701</v>
          </cell>
        </row>
        <row r="119">
          <cell r="B119" t="str">
            <v>IRQ</v>
          </cell>
          <cell r="C119" t="str">
            <v>Price level ratio of PPP conversion factor (GDP) to market exchange rate</v>
          </cell>
          <cell r="D119" t="str">
            <v>PA.NUS.PPPC.RF</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v>8.5164319547226808E-3</v>
          </cell>
          <cell r="AK119">
            <v>8.5263424026585793E-3</v>
          </cell>
          <cell r="AL119">
            <v>1.19146717653677E-2</v>
          </cell>
          <cell r="AM119">
            <v>4.3445366596959897E-2</v>
          </cell>
          <cell r="AN119">
            <v>0.13461360281451701</v>
          </cell>
          <cell r="AO119">
            <v>9.6350593765040696E-2</v>
          </cell>
          <cell r="AP119">
            <v>0.15538504883385801</v>
          </cell>
          <cell r="AQ119">
            <v>0.113130502386579</v>
          </cell>
          <cell r="AR119">
            <v>0.16966338791782501</v>
          </cell>
          <cell r="AS119">
            <v>0.186125646150439</v>
          </cell>
          <cell r="AT119">
            <v>0.13387549512227701</v>
          </cell>
          <cell r="AU119">
            <v>0.130671556722851</v>
          </cell>
          <cell r="AV119">
            <v>0.13483397800799299</v>
          </cell>
          <cell r="AW119">
            <v>0.14303042241146299</v>
          </cell>
          <cell r="AX119">
            <v>0.186068086785074</v>
          </cell>
          <cell r="AY119">
            <v>0.22291568811382201</v>
          </cell>
          <cell r="AZ119">
            <v>0.29057680699330002</v>
          </cell>
          <cell r="BA119">
            <v>0.39017888086765801</v>
          </cell>
          <cell r="BB119">
            <v>0.31777270122967999</v>
          </cell>
          <cell r="BC119">
            <v>0.36622426620949</v>
          </cell>
          <cell r="BD119">
            <v>0.44729932475293799</v>
          </cell>
          <cell r="BE119">
            <v>0.45082873712120503</v>
          </cell>
          <cell r="BF119">
            <v>0.45551301357472102</v>
          </cell>
          <cell r="BG119">
            <v>0.477941234974673</v>
          </cell>
          <cell r="BH119">
            <v>0.480168380810643</v>
          </cell>
          <cell r="BI119">
            <v>0.48264381163414799</v>
          </cell>
          <cell r="BJ119">
            <v>0.47361554326237798</v>
          </cell>
          <cell r="BK119">
            <v>0.547283958849487</v>
          </cell>
          <cell r="BL119">
            <v>0.52470643699334996</v>
          </cell>
          <cell r="BM119">
            <v>0.436097898513987</v>
          </cell>
          <cell r="BN119">
            <v>0.436097898513987</v>
          </cell>
        </row>
        <row r="120">
          <cell r="B120" t="str">
            <v>IRL</v>
          </cell>
          <cell r="C120" t="str">
            <v>Price level ratio of PPP conversion factor (GDP) to market exchange rate</v>
          </cell>
          <cell r="D120" t="str">
            <v>PA.NUS.PPPC.RF</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v>1.02151882245669</v>
          </cell>
          <cell r="AJ120">
            <v>0.97887184687539597</v>
          </cell>
          <cell r="AK120">
            <v>1.04014203403457</v>
          </cell>
          <cell r="AL120">
            <v>0.92746947319455797</v>
          </cell>
          <cell r="AM120">
            <v>0.93532155477031798</v>
          </cell>
          <cell r="AN120">
            <v>1.01183964646465</v>
          </cell>
          <cell r="AO120">
            <v>1.0176033266129001</v>
          </cell>
          <cell r="AP120">
            <v>0.99623806112702995</v>
          </cell>
          <cell r="AQ120">
            <v>0.96821128182124006</v>
          </cell>
          <cell r="AR120">
            <v>0.97366503302791396</v>
          </cell>
          <cell r="AS120">
            <v>0.86967753823475202</v>
          </cell>
          <cell r="AT120">
            <v>0.86767874720357996</v>
          </cell>
          <cell r="AU120">
            <v>0.92414549218897002</v>
          </cell>
          <cell r="AV120">
            <v>1.1331094808126401</v>
          </cell>
          <cell r="AW120">
            <v>1.2306332257263499</v>
          </cell>
          <cell r="AX120">
            <v>1.2581855490610601</v>
          </cell>
          <cell r="AY120">
            <v>1.2272387404340701</v>
          </cell>
          <cell r="AZ120">
            <v>1.3109663290446201</v>
          </cell>
          <cell r="BA120">
            <v>1.383399736341</v>
          </cell>
          <cell r="BB120">
            <v>1.25213114754098</v>
          </cell>
          <cell r="BC120">
            <v>1.12510254887637</v>
          </cell>
          <cell r="BD120">
            <v>1.15591426604328</v>
          </cell>
          <cell r="BE120">
            <v>1.0575340700551299</v>
          </cell>
          <cell r="BF120">
            <v>1.0771003256048799</v>
          </cell>
          <cell r="BG120">
            <v>1.0866493299278599</v>
          </cell>
          <cell r="BH120">
            <v>0.89799584371250396</v>
          </cell>
          <cell r="BI120">
            <v>0.87860413322745901</v>
          </cell>
          <cell r="BJ120">
            <v>0.895207695126231</v>
          </cell>
          <cell r="BK120">
            <v>0.93511183254757002</v>
          </cell>
          <cell r="BL120">
            <v>0.92569123320784197</v>
          </cell>
          <cell r="BM120">
            <v>0.91507726586148097</v>
          </cell>
          <cell r="BN120">
            <v>0.91507726586148097</v>
          </cell>
        </row>
        <row r="121">
          <cell r="B121" t="str">
            <v>IMN</v>
          </cell>
          <cell r="C121" t="str">
            <v>Price level ratio of PPP conversion factor (GDP) to market exchange rate</v>
          </cell>
          <cell r="D121" t="str">
            <v>PA.NUS.PPPC.RF</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
          </cell>
        </row>
        <row r="122">
          <cell r="B122" t="str">
            <v>ISR</v>
          </cell>
          <cell r="C122" t="str">
            <v>Price level ratio of PPP conversion factor (GDP) to market exchange rate</v>
          </cell>
          <cell r="D122" t="str">
            <v>PA.NUS.PPPC.RF</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v>0.84333796250371995</v>
          </cell>
          <cell r="AJ122">
            <v>0.86691895923829598</v>
          </cell>
          <cell r="AK122">
            <v>0.88028425033548896</v>
          </cell>
          <cell r="AL122">
            <v>0.83004028126214602</v>
          </cell>
          <cell r="AM122">
            <v>0.85960379927601205</v>
          </cell>
          <cell r="AN122">
            <v>0.91824627237405798</v>
          </cell>
          <cell r="AO122">
            <v>0.93142870570542302</v>
          </cell>
          <cell r="AP122">
            <v>0.91763379138400902</v>
          </cell>
          <cell r="AQ122">
            <v>0.88031604431462296</v>
          </cell>
          <cell r="AR122">
            <v>0.84659298983018105</v>
          </cell>
          <cell r="AS122">
            <v>0.84410639393716402</v>
          </cell>
          <cell r="AT122">
            <v>0.81445371757376905</v>
          </cell>
          <cell r="AU122">
            <v>0.73086158132466505</v>
          </cell>
          <cell r="AV122">
            <v>0.79644078961814602</v>
          </cell>
          <cell r="AW122">
            <v>0.78888643462739805</v>
          </cell>
          <cell r="AX122">
            <v>0.82824988301357005</v>
          </cell>
          <cell r="AY122">
            <v>0.85028569504914897</v>
          </cell>
          <cell r="AZ122">
            <v>0.90693191499720005</v>
          </cell>
          <cell r="BA122">
            <v>1.0778163322185099</v>
          </cell>
          <cell r="BB122">
            <v>1.0116016072018901</v>
          </cell>
          <cell r="BC122">
            <v>1.06726683115025</v>
          </cell>
          <cell r="BD122">
            <v>1.10246518848342</v>
          </cell>
          <cell r="BE122">
            <v>1.0257879124904099</v>
          </cell>
          <cell r="BF122">
            <v>1.06336831367372</v>
          </cell>
          <cell r="BG122">
            <v>1.1013050860484801</v>
          </cell>
          <cell r="BH122">
            <v>1.0095429012478001</v>
          </cell>
          <cell r="BI122">
            <v>0.98644583698586097</v>
          </cell>
          <cell r="BJ122">
            <v>1.0422489526382599</v>
          </cell>
          <cell r="BK122">
            <v>1.05406008376426</v>
          </cell>
          <cell r="BL122">
            <v>1.0986704881710301</v>
          </cell>
          <cell r="BM122">
            <v>1.1187231156303299</v>
          </cell>
          <cell r="BN122">
            <v>1.1187231156303299</v>
          </cell>
        </row>
        <row r="123">
          <cell r="B123" t="str">
            <v>ITA</v>
          </cell>
          <cell r="C123" t="str">
            <v>Price level ratio of PPP conversion factor (GDP) to market exchange rate</v>
          </cell>
          <cell r="D123" t="str">
            <v>PA.NUS.PPPC.RF</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v>1.1180042016806699</v>
          </cell>
          <cell r="AJ123">
            <v>1.12365225534572</v>
          </cell>
          <cell r="AK123">
            <v>1.15417124901807</v>
          </cell>
          <cell r="AL123">
            <v>0.91732004429678804</v>
          </cell>
          <cell r="AM123">
            <v>0.90751200768491802</v>
          </cell>
          <cell r="AN123">
            <v>0.92322952573398298</v>
          </cell>
          <cell r="AO123">
            <v>1.00125737231773</v>
          </cell>
          <cell r="AP123">
            <v>0.914286039108686</v>
          </cell>
          <cell r="AQ123">
            <v>0.89197390431582502</v>
          </cell>
          <cell r="AR123">
            <v>0.85920200298316596</v>
          </cell>
          <cell r="AS123">
            <v>0.74199465634788997</v>
          </cell>
          <cell r="AT123">
            <v>0.73066308724832196</v>
          </cell>
          <cell r="AU123">
            <v>0.77497553171466205</v>
          </cell>
          <cell r="AV123">
            <v>0.940704288939052</v>
          </cell>
          <cell r="AW123">
            <v>1.0576905885274399</v>
          </cell>
          <cell r="AX123">
            <v>1.06347344857605</v>
          </cell>
          <cell r="AY123">
            <v>1.03229456780831</v>
          </cell>
          <cell r="AZ123">
            <v>1.1078305502326899</v>
          </cell>
          <cell r="BA123">
            <v>1.1479332063864101</v>
          </cell>
          <cell r="BB123">
            <v>1.0715796054459601</v>
          </cell>
          <cell r="BC123">
            <v>1.0239509554530599</v>
          </cell>
          <cell r="BD123">
            <v>1.05467638721412</v>
          </cell>
          <cell r="BE123">
            <v>0.960731269848074</v>
          </cell>
          <cell r="BF123">
            <v>0.978941793143423</v>
          </cell>
          <cell r="BG123">
            <v>0.98131065109703297</v>
          </cell>
          <cell r="BH123">
            <v>0.81926097496481898</v>
          </cell>
          <cell r="BI123">
            <v>0.77490794145165898</v>
          </cell>
          <cell r="BJ123">
            <v>0.77743633641418597</v>
          </cell>
          <cell r="BK123">
            <v>0.80409579666128495</v>
          </cell>
          <cell r="BL123">
            <v>0.75881900435294003</v>
          </cell>
          <cell r="BM123">
            <v>0.75819548810116899</v>
          </cell>
          <cell r="BN123">
            <v>0.75819548810116899</v>
          </cell>
        </row>
        <row r="124">
          <cell r="B124" t="str">
            <v>JAM</v>
          </cell>
          <cell r="C124" t="str">
            <v>Price level ratio of PPP conversion factor (GDP) to market exchange rate</v>
          </cell>
          <cell r="D124" t="str">
            <v>PA.NUS.PPPC.RF</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v>0.38200826491501</v>
          </cell>
          <cell r="AJ124">
            <v>0.33550854624884302</v>
          </cell>
          <cell r="AK124">
            <v>0.277020929697958</v>
          </cell>
          <cell r="AL124">
            <v>0.38054967898330599</v>
          </cell>
          <cell r="AM124">
            <v>0.36835357472048502</v>
          </cell>
          <cell r="AN124">
            <v>0.42523234623231998</v>
          </cell>
          <cell r="AO124">
            <v>0.46994908388269002</v>
          </cell>
          <cell r="AP124">
            <v>0.53057082240471698</v>
          </cell>
          <cell r="AQ124">
            <v>0.55057270113227397</v>
          </cell>
          <cell r="AR124">
            <v>0.54321372952670499</v>
          </cell>
          <cell r="AS124">
            <v>0.53370128980665699</v>
          </cell>
          <cell r="AT124">
            <v>0.526168507198855</v>
          </cell>
          <cell r="AU124">
            <v>0.53679003443196105</v>
          </cell>
          <cell r="AV124">
            <v>0.49325944956277301</v>
          </cell>
          <cell r="AW124">
            <v>0.51147517356548</v>
          </cell>
          <cell r="AX124">
            <v>0.54329302456127304</v>
          </cell>
          <cell r="AY124">
            <v>0.54375801692581405</v>
          </cell>
          <cell r="AZ124">
            <v>0.56010305277584604</v>
          </cell>
          <cell r="BA124">
            <v>0.59328520127787698</v>
          </cell>
          <cell r="BB124">
            <v>0.54420125906785299</v>
          </cell>
          <cell r="BC124">
            <v>0.59543404852301096</v>
          </cell>
          <cell r="BD124">
            <v>0.62641465185857004</v>
          </cell>
          <cell r="BE124">
            <v>0.63634249674508603</v>
          </cell>
          <cell r="BF124">
            <v>0.590991796911573</v>
          </cell>
          <cell r="BG124">
            <v>0.56573737050133999</v>
          </cell>
          <cell r="BH124">
            <v>0.55822288677407905</v>
          </cell>
          <cell r="BI124">
            <v>0.52682916305873095</v>
          </cell>
          <cell r="BJ124">
            <v>0.52812960246894003</v>
          </cell>
          <cell r="BK124">
            <v>0.53768801542249001</v>
          </cell>
          <cell r="BL124">
            <v>0.52691347119683096</v>
          </cell>
          <cell r="BM124">
            <v>0.50473322322889402</v>
          </cell>
          <cell r="BN124">
            <v>0.50473322322889402</v>
          </cell>
        </row>
        <row r="125">
          <cell r="B125" t="str">
            <v>JPN</v>
          </cell>
          <cell r="C125" t="str">
            <v>Price level ratio of PPP conversion factor (GDP) to market exchange rate</v>
          </cell>
          <cell r="D125" t="str">
            <v>PA.NUS.PPPC.RF</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v>1.2702949185904</v>
          </cell>
          <cell r="AJ125">
            <v>1.35940979921563</v>
          </cell>
          <cell r="AK125">
            <v>1.4372168860485399</v>
          </cell>
          <cell r="AL125">
            <v>1.60813702249505</v>
          </cell>
          <cell r="AM125">
            <v>1.74967104271885</v>
          </cell>
          <cell r="AN125">
            <v>1.8524454813756399</v>
          </cell>
          <cell r="AO125">
            <v>1.56596814093884</v>
          </cell>
          <cell r="AP125">
            <v>1.39102799466737</v>
          </cell>
          <cell r="AQ125">
            <v>1.2710263908336801</v>
          </cell>
          <cell r="AR125">
            <v>1.4225291202983501</v>
          </cell>
          <cell r="AS125">
            <v>1.43544441402861</v>
          </cell>
          <cell r="AT125">
            <v>1.23132759368348</v>
          </cell>
          <cell r="AU125">
            <v>1.1466344865537399</v>
          </cell>
          <cell r="AV125">
            <v>1.20395813979566</v>
          </cell>
          <cell r="AW125">
            <v>1.24223685451</v>
          </cell>
          <cell r="AX125">
            <v>1.17541345258769</v>
          </cell>
          <cell r="AY125">
            <v>1.07007403311972</v>
          </cell>
          <cell r="AZ125">
            <v>1.0217911314738</v>
          </cell>
          <cell r="BA125">
            <v>1.13047967530803</v>
          </cell>
          <cell r="BB125">
            <v>1.2313663766523699</v>
          </cell>
          <cell r="BC125">
            <v>1.2726101854212</v>
          </cell>
          <cell r="BD125">
            <v>1.34642643248608</v>
          </cell>
          <cell r="BE125">
            <v>1.30684768566661</v>
          </cell>
          <cell r="BF125">
            <v>1.0379833979070701</v>
          </cell>
          <cell r="BG125">
            <v>0.97269610635094905</v>
          </cell>
          <cell r="BH125">
            <v>0.85480829322473095</v>
          </cell>
          <cell r="BI125">
            <v>0.96991165742043095</v>
          </cell>
          <cell r="BJ125">
            <v>0.93701985274937105</v>
          </cell>
          <cell r="BK125">
            <v>0.94326785935305402</v>
          </cell>
          <cell r="BL125">
            <v>0.95684865317227097</v>
          </cell>
          <cell r="BM125">
            <v>0.94816919771379005</v>
          </cell>
          <cell r="BN125">
            <v>0.94816919771379005</v>
          </cell>
        </row>
        <row r="126">
          <cell r="B126" t="str">
            <v>JOR</v>
          </cell>
          <cell r="C126" t="str">
            <v>Price level ratio of PPP conversion factor (GDP) to market exchange rate</v>
          </cell>
          <cell r="D126" t="str">
            <v>PA.NUS.PPPC.RF</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v>0.26597739529380898</v>
          </cell>
          <cell r="AJ126">
            <v>0.26441843326318298</v>
          </cell>
          <cell r="AK126">
            <v>0.27641313966210201</v>
          </cell>
          <cell r="AL126">
            <v>0.27274696927025399</v>
          </cell>
          <cell r="AM126">
            <v>0.28307313006436802</v>
          </cell>
          <cell r="AN126">
            <v>0.281566525680087</v>
          </cell>
          <cell r="AO126">
            <v>0.27893997623025502</v>
          </cell>
          <cell r="AP126">
            <v>0.277432125414731</v>
          </cell>
          <cell r="AQ126">
            <v>0.290805120919924</v>
          </cell>
          <cell r="AR126">
            <v>0.28556546493672402</v>
          </cell>
          <cell r="AS126">
            <v>0.27818137236456397</v>
          </cell>
          <cell r="AT126">
            <v>0.27433191178029798</v>
          </cell>
          <cell r="AU126">
            <v>0.27255254965502401</v>
          </cell>
          <cell r="AV126">
            <v>0.27333152189707999</v>
          </cell>
          <cell r="AW126">
            <v>0.27439531975450898</v>
          </cell>
          <cell r="AX126">
            <v>0.27144595210498002</v>
          </cell>
          <cell r="AY126">
            <v>0.29153784293554902</v>
          </cell>
          <cell r="AZ126">
            <v>0.29824928620499402</v>
          </cell>
          <cell r="BA126">
            <v>0.36127458007916202</v>
          </cell>
          <cell r="BB126">
            <v>0.36972058222593202</v>
          </cell>
          <cell r="BC126">
            <v>0.39498206922828999</v>
          </cell>
          <cell r="BD126">
            <v>0.40976787117165597</v>
          </cell>
          <cell r="BE126">
            <v>0.42553774907555397</v>
          </cell>
          <cell r="BF126">
            <v>0.43384420200133</v>
          </cell>
          <cell r="BG126">
            <v>0.44999743851137902</v>
          </cell>
          <cell r="BH126">
            <v>0.439962870638135</v>
          </cell>
          <cell r="BI126">
            <v>0.44202766787837899</v>
          </cell>
          <cell r="BJ126">
            <v>0.42300060601301598</v>
          </cell>
          <cell r="BK126">
            <v>0.42015094328118902</v>
          </cell>
          <cell r="BL126">
            <v>0.419678201287149</v>
          </cell>
          <cell r="BM126">
            <v>0.413593653256979</v>
          </cell>
          <cell r="BN126">
            <v>0.413593653256979</v>
          </cell>
        </row>
        <row r="127">
          <cell r="B127" t="str">
            <v>KAZ</v>
          </cell>
          <cell r="C127" t="str">
            <v>Price level ratio of PPP conversion factor (GDP) to market exchange rate</v>
          </cell>
          <cell r="D127" t="str">
            <v>PA.NUS.PPPC.RF</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v>0.19931785936761701</v>
          </cell>
          <cell r="AJ127">
            <v>0.20046269964402499</v>
          </cell>
          <cell r="AK127">
            <v>0.20691777108653001</v>
          </cell>
          <cell r="AL127">
            <v>0.20913347529503101</v>
          </cell>
          <cell r="AM127">
            <v>0.21267829202806801</v>
          </cell>
          <cell r="AN127">
            <v>0.21755824086054701</v>
          </cell>
          <cell r="AO127">
            <v>0.219481020744308</v>
          </cell>
          <cell r="AP127">
            <v>0.22341617227799701</v>
          </cell>
          <cell r="AQ127">
            <v>0.22489684267040499</v>
          </cell>
          <cell r="AR127">
            <v>0.164527729156943</v>
          </cell>
          <cell r="AS127">
            <v>0.15891320235252801</v>
          </cell>
          <cell r="AT127">
            <v>0.16592301916872801</v>
          </cell>
          <cell r="AU127">
            <v>0.165440813429899</v>
          </cell>
          <cell r="AV127">
            <v>0.185984261089958</v>
          </cell>
          <cell r="AW127">
            <v>0.23125965226062001</v>
          </cell>
          <cell r="AX127">
            <v>0.27063899730461299</v>
          </cell>
          <cell r="AY127">
            <v>0.33649978017291698</v>
          </cell>
          <cell r="AZ127">
            <v>0.38949923471889702</v>
          </cell>
          <cell r="BA127">
            <v>0.47072049786248599</v>
          </cell>
          <cell r="BB127">
            <v>0.39889166287892802</v>
          </cell>
          <cell r="BC127">
            <v>0.47180504372591198</v>
          </cell>
          <cell r="BD127">
            <v>0.55988028656247601</v>
          </cell>
          <cell r="BE127">
            <v>0.56220956495855701</v>
          </cell>
          <cell r="BF127">
            <v>0.56685425634060704</v>
          </cell>
          <cell r="BG127">
            <v>0.51795744404879096</v>
          </cell>
          <cell r="BH127">
            <v>0.45258002749248999</v>
          </cell>
          <cell r="BI127">
            <v>0.32389682950832899</v>
          </cell>
          <cell r="BJ127">
            <v>0.37194199939606598</v>
          </cell>
          <cell r="BK127">
            <v>0.37513395702103403</v>
          </cell>
          <cell r="BL127">
            <v>0.35726050352947197</v>
          </cell>
          <cell r="BM127">
            <v>0.34096228184250899</v>
          </cell>
          <cell r="BN127">
            <v>0.34096228184250899</v>
          </cell>
        </row>
        <row r="128">
          <cell r="B128" t="str">
            <v>KEN</v>
          </cell>
          <cell r="C128" t="str">
            <v>Price level ratio of PPP conversion factor (GDP) to market exchange rate</v>
          </cell>
          <cell r="D128" t="str">
            <v>PA.NUS.PPPC.RF</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v>0.36925116088596799</v>
          </cell>
          <cell r="AJ128">
            <v>0.33482034096561197</v>
          </cell>
          <cell r="AK128">
            <v>0.33233228180538699</v>
          </cell>
          <cell r="AL128">
            <v>0.22665906731975</v>
          </cell>
          <cell r="AM128">
            <v>0.26872059472853599</v>
          </cell>
          <cell r="AN128">
            <v>0.31903688469571301</v>
          </cell>
          <cell r="AO128">
            <v>0.30783347711519599</v>
          </cell>
          <cell r="AP128">
            <v>0.32773070177277602</v>
          </cell>
          <cell r="AQ128">
            <v>0.33716112784082902</v>
          </cell>
          <cell r="AR128">
            <v>0.29725879605822703</v>
          </cell>
          <cell r="AS128">
            <v>0.284752684169641</v>
          </cell>
          <cell r="AT128">
            <v>0.27442291052546403</v>
          </cell>
          <cell r="AU128">
            <v>0.27202680409203001</v>
          </cell>
          <cell r="AV128">
            <v>0.29412685831739699</v>
          </cell>
          <cell r="AW128">
            <v>0.29427870944806001</v>
          </cell>
          <cell r="AX128">
            <v>0.31371459978849298</v>
          </cell>
          <cell r="AY128">
            <v>0.34393020746450897</v>
          </cell>
          <cell r="AZ128">
            <v>0.38789439263708198</v>
          </cell>
          <cell r="BA128">
            <v>0.42637620211774402</v>
          </cell>
          <cell r="BB128">
            <v>0.42245797408517299</v>
          </cell>
          <cell r="BC128">
            <v>0.41435991776850001</v>
          </cell>
          <cell r="BD128">
            <v>0.39855650414994298</v>
          </cell>
          <cell r="BE128">
            <v>0.44929448940583799</v>
          </cell>
          <cell r="BF128">
            <v>0.43737326900373802</v>
          </cell>
          <cell r="BG128">
            <v>0.43549020667772798</v>
          </cell>
          <cell r="BH128">
            <v>0.39764793465662501</v>
          </cell>
          <cell r="BI128">
            <v>0.38801230646024498</v>
          </cell>
          <cell r="BJ128">
            <v>0.388594785689299</v>
          </cell>
          <cell r="BK128">
            <v>0.403785472426401</v>
          </cell>
          <cell r="BL128">
            <v>0.41211263573787499</v>
          </cell>
          <cell r="BM128">
            <v>0.41035814684285199</v>
          </cell>
          <cell r="BN128">
            <v>0.41035814684285199</v>
          </cell>
        </row>
        <row r="129">
          <cell r="B129" t="str">
            <v>KIR</v>
          </cell>
          <cell r="C129" t="str">
            <v>Price level ratio of PPP conversion factor (GDP) to market exchange rate</v>
          </cell>
          <cell r="D129" t="str">
            <v>PA.NUS.PPPC.RF</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v>0.43616557176779602</v>
          </cell>
          <cell r="AJ129">
            <v>0.50356179485631103</v>
          </cell>
          <cell r="AK129">
            <v>0.49034871511127398</v>
          </cell>
          <cell r="AL129">
            <v>0.46672542941039802</v>
          </cell>
          <cell r="AM129">
            <v>0.52498293418313202</v>
          </cell>
          <cell r="AN129">
            <v>0.52831824110917902</v>
          </cell>
          <cell r="AO129">
            <v>0.60233334790194404</v>
          </cell>
          <cell r="AP129">
            <v>0.59099502831685202</v>
          </cell>
          <cell r="AQ129">
            <v>0.53056613444946199</v>
          </cell>
          <cell r="AR129">
            <v>0.56124776544202104</v>
          </cell>
          <cell r="AS129">
            <v>0.50337452847153996</v>
          </cell>
          <cell r="AT129">
            <v>0.46905228967858198</v>
          </cell>
          <cell r="AU129">
            <v>0.50902415605485696</v>
          </cell>
          <cell r="AV129">
            <v>0.61229964974303597</v>
          </cell>
          <cell r="AW129">
            <v>0.68764019347017102</v>
          </cell>
          <cell r="AX129">
            <v>0.69602912339201894</v>
          </cell>
          <cell r="AY129">
            <v>0.66447098374403502</v>
          </cell>
          <cell r="AZ129">
            <v>0.76326232443163899</v>
          </cell>
          <cell r="BA129">
            <v>0.81294012334645904</v>
          </cell>
          <cell r="BB129">
            <v>0.75143350981614099</v>
          </cell>
          <cell r="BC129">
            <v>0.88388709526699205</v>
          </cell>
          <cell r="BD129">
            <v>0.991873524179398</v>
          </cell>
          <cell r="BE129">
            <v>0.97307249845310495</v>
          </cell>
          <cell r="BF129">
            <v>0.89287346851199201</v>
          </cell>
          <cell r="BG129">
            <v>0.85701179677321004</v>
          </cell>
          <cell r="BH129">
            <v>0.73218509387499997</v>
          </cell>
          <cell r="BI129">
            <v>0.718217451332959</v>
          </cell>
          <cell r="BJ129">
            <v>0.73380409020424697</v>
          </cell>
          <cell r="BK129">
            <v>0.73801924783292405</v>
          </cell>
          <cell r="BL129">
            <v>0.65667168073162996</v>
          </cell>
          <cell r="BM129">
            <v>0.69376358209028299</v>
          </cell>
          <cell r="BN129">
            <v>0.69376358209028299</v>
          </cell>
        </row>
        <row r="130">
          <cell r="B130" t="str">
            <v>PRK</v>
          </cell>
          <cell r="C130" t="str">
            <v>Price level ratio of PPP conversion factor (GDP) to market exchange rate</v>
          </cell>
          <cell r="D130" t="str">
            <v>PA.NUS.PPPC.RF</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
          </cell>
        </row>
        <row r="131">
          <cell r="B131" t="str">
            <v>KOR</v>
          </cell>
          <cell r="C131" t="str">
            <v>Price level ratio of PPP conversion factor (GDP) to market exchange rate</v>
          </cell>
          <cell r="D131" t="str">
            <v>PA.NUS.PPPC.RF</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v>0.79111588815417699</v>
          </cell>
          <cell r="AJ131">
            <v>0.80604438126406197</v>
          </cell>
          <cell r="AK131">
            <v>0.797917089604816</v>
          </cell>
          <cell r="AL131">
            <v>0.80547188259184999</v>
          </cell>
          <cell r="AM131">
            <v>0.852147279855623</v>
          </cell>
          <cell r="AN131">
            <v>0.93054627951301105</v>
          </cell>
          <cell r="AO131">
            <v>0.91213841009385299</v>
          </cell>
          <cell r="AP131">
            <v>0.78862181353740701</v>
          </cell>
          <cell r="AQ131">
            <v>0.55304762958100195</v>
          </cell>
          <cell r="AR131">
            <v>0.63499349775407599</v>
          </cell>
          <cell r="AS131">
            <v>0.661152290089835</v>
          </cell>
          <cell r="AT131">
            <v>0.58613864863399401</v>
          </cell>
          <cell r="AU131">
            <v>0.61528090704905303</v>
          </cell>
          <cell r="AV131">
            <v>0.66405427446899601</v>
          </cell>
          <cell r="AW131">
            <v>0.69387730241329904</v>
          </cell>
          <cell r="AX131">
            <v>0.77034202742714797</v>
          </cell>
          <cell r="AY131">
            <v>0.80878073357453795</v>
          </cell>
          <cell r="AZ131">
            <v>0.82871076288558598</v>
          </cell>
          <cell r="BA131">
            <v>0.712962423461728</v>
          </cell>
          <cell r="BB131">
            <v>0.64875979732639999</v>
          </cell>
          <cell r="BC131">
            <v>0.72746308542542304</v>
          </cell>
          <cell r="BD131">
            <v>0.77108347429346502</v>
          </cell>
          <cell r="BE131">
            <v>0.75890761482676705</v>
          </cell>
          <cell r="BF131">
            <v>0.79378829977981502</v>
          </cell>
          <cell r="BG131">
            <v>0.82802522752983798</v>
          </cell>
          <cell r="BH131">
            <v>0.75805834908047698</v>
          </cell>
          <cell r="BI131">
            <v>0.74007667049224901</v>
          </cell>
          <cell r="BJ131">
            <v>0.77194425085936702</v>
          </cell>
          <cell r="BK131">
            <v>0.77680272330758704</v>
          </cell>
          <cell r="BL131">
            <v>0.74194448227260701</v>
          </cell>
          <cell r="BM131">
            <v>0.69866035599777598</v>
          </cell>
          <cell r="BN131">
            <v>0.69866035599777598</v>
          </cell>
        </row>
        <row r="132">
          <cell r="B132" t="str">
            <v>XKX</v>
          </cell>
          <cell r="C132" t="str">
            <v>Price level ratio of PPP conversion factor (GDP) to market exchange rate</v>
          </cell>
          <cell r="D132" t="str">
            <v>PA.NUS.PPPC.RF</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v>0.453489599824353</v>
          </cell>
          <cell r="BB132">
            <v>0.41476795457433902</v>
          </cell>
          <cell r="BC132">
            <v>0.416248125725661</v>
          </cell>
          <cell r="BD132">
            <v>0.45509270601336299</v>
          </cell>
          <cell r="BE132">
            <v>0.42427808682187101</v>
          </cell>
          <cell r="BF132">
            <v>0.44191919852528999</v>
          </cell>
          <cell r="BG132">
            <v>0.451205133124783</v>
          </cell>
          <cell r="BH132">
            <v>0.37626542720477801</v>
          </cell>
          <cell r="BI132">
            <v>0.37566716532299499</v>
          </cell>
          <cell r="BJ132">
            <v>0.38418130695216002</v>
          </cell>
          <cell r="BK132">
            <v>0.39806508923495698</v>
          </cell>
          <cell r="BL132">
            <v>0.37433785644726802</v>
          </cell>
          <cell r="BM132">
            <v>0.38169769088876498</v>
          </cell>
          <cell r="BN132">
            <v>0.38169769088876498</v>
          </cell>
        </row>
        <row r="133">
          <cell r="B133" t="str">
            <v>KWT</v>
          </cell>
          <cell r="C133" t="str">
            <v>Price level ratio of PPP conversion factor (GDP) to market exchange rate</v>
          </cell>
          <cell r="D133" t="str">
            <v>PA.NUS.PPPC.RF</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v>0.33578863075909798</v>
          </cell>
          <cell r="AL133">
            <v>0.29513429547865899</v>
          </cell>
          <cell r="AM133">
            <v>0.27657927882465999</v>
          </cell>
          <cell r="AN133">
            <v>0.28270614080666001</v>
          </cell>
          <cell r="AO133">
            <v>0.31961184764072498</v>
          </cell>
          <cell r="AP133">
            <v>0.29534381905646701</v>
          </cell>
          <cell r="AQ133">
            <v>0.24076038822542001</v>
          </cell>
          <cell r="AR133">
            <v>0.28063419260591699</v>
          </cell>
          <cell r="AS133">
            <v>0.32824154367320102</v>
          </cell>
          <cell r="AT133">
            <v>0.29650076808493703</v>
          </cell>
          <cell r="AU133">
            <v>0.309738625084724</v>
          </cell>
          <cell r="AV133">
            <v>0.325371484529765</v>
          </cell>
          <cell r="AW133">
            <v>0.35682171136027102</v>
          </cell>
          <cell r="AX133">
            <v>0.42527599319206499</v>
          </cell>
          <cell r="AY133">
            <v>0.48253229526413899</v>
          </cell>
          <cell r="AZ133">
            <v>0.50049790777091796</v>
          </cell>
          <cell r="BA133">
            <v>0.615950338917578</v>
          </cell>
          <cell r="BB133">
            <v>0.47292437825728301</v>
          </cell>
          <cell r="BC133">
            <v>0.52155738595118595</v>
          </cell>
          <cell r="BD133">
            <v>0.62206306535264799</v>
          </cell>
          <cell r="BE133">
            <v>0.62867519939827399</v>
          </cell>
          <cell r="BF133">
            <v>0.63270661449230603</v>
          </cell>
          <cell r="BG133">
            <v>0.62872135379493699</v>
          </cell>
          <cell r="BH133">
            <v>0.63241870152114299</v>
          </cell>
          <cell r="BI133">
            <v>0.61883965062605795</v>
          </cell>
          <cell r="BJ133">
            <v>0.58517636263916895</v>
          </cell>
          <cell r="BK133">
            <v>0.64613450984331799</v>
          </cell>
          <cell r="BL133">
            <v>0.62301723114568197</v>
          </cell>
          <cell r="BM133">
            <v>0.52448423945600597</v>
          </cell>
          <cell r="BN133">
            <v>0.52448423945600597</v>
          </cell>
        </row>
        <row r="134">
          <cell r="B134" t="str">
            <v>KGZ</v>
          </cell>
          <cell r="C134" t="str">
            <v>Price level ratio of PPP conversion factor (GDP) to market exchange rate</v>
          </cell>
          <cell r="D134" t="str">
            <v>PA.NUS.PPPC.RF</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v>0.239388031757474</v>
          </cell>
          <cell r="AJ134">
            <v>0.24161366814975399</v>
          </cell>
          <cell r="AK134">
            <v>0.24718585069975901</v>
          </cell>
          <cell r="AL134">
            <v>0.25007539561314701</v>
          </cell>
          <cell r="AM134">
            <v>0.25392498281754999</v>
          </cell>
          <cell r="AN134">
            <v>0.25984601894154302</v>
          </cell>
          <cell r="AO134">
            <v>0.26218585530847299</v>
          </cell>
          <cell r="AP134">
            <v>0.22668808932626999</v>
          </cell>
          <cell r="AQ134">
            <v>0.20437168552340901</v>
          </cell>
          <cell r="AR134">
            <v>0.147490888082391</v>
          </cell>
          <cell r="AS134">
            <v>0.15003149086862</v>
          </cell>
          <cell r="AT134">
            <v>0.15521121771565399</v>
          </cell>
          <cell r="AU134">
            <v>0.16088984838252099</v>
          </cell>
          <cell r="AV134">
            <v>0.176383691544716</v>
          </cell>
          <cell r="AW134">
            <v>0.184946133877988</v>
          </cell>
          <cell r="AX134">
            <v>0.19988110146729701</v>
          </cell>
          <cell r="AY134">
            <v>0.216770406250829</v>
          </cell>
          <cell r="AZ134">
            <v>0.26093798785620198</v>
          </cell>
          <cell r="BA134">
            <v>0.31916689086493599</v>
          </cell>
          <cell r="BB134">
            <v>0.28091897447435299</v>
          </cell>
          <cell r="BC134">
            <v>0.28520318996338501</v>
          </cell>
          <cell r="BD134">
            <v>0.34084262488990302</v>
          </cell>
          <cell r="BE134">
            <v>0.32557379438721601</v>
          </cell>
          <cell r="BF134">
            <v>0.31720778789133303</v>
          </cell>
          <cell r="BG134">
            <v>0.29888425132530799</v>
          </cell>
          <cell r="BH134">
            <v>0.26598533410432501</v>
          </cell>
          <cell r="BI134">
            <v>0.239398564882879</v>
          </cell>
          <cell r="BJ134">
            <v>0.24625433000618999</v>
          </cell>
          <cell r="BK134">
            <v>0.248866273975965</v>
          </cell>
          <cell r="BL134">
            <v>0.25070180819992599</v>
          </cell>
          <cell r="BM134">
            <v>0.236389596774745</v>
          </cell>
          <cell r="BN134">
            <v>0.236389596774745</v>
          </cell>
        </row>
        <row r="135">
          <cell r="B135" t="str">
            <v>LAO</v>
          </cell>
          <cell r="C135" t="str">
            <v>Price level ratio of PPP conversion factor (GDP) to market exchange rate</v>
          </cell>
          <cell r="D135" t="str">
            <v>PA.NUS.PPPC.RF</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v>0.19827797714384299</v>
          </cell>
          <cell r="AJ135">
            <v>0.218420664627824</v>
          </cell>
          <cell r="AK135">
            <v>0.221928624596227</v>
          </cell>
          <cell r="AL135">
            <v>0.24097546769884701</v>
          </cell>
          <cell r="AM135">
            <v>0.25360299859164798</v>
          </cell>
          <cell r="AN135">
            <v>0.265142324835271</v>
          </cell>
          <cell r="AO135">
            <v>0.25871135330304201</v>
          </cell>
          <cell r="AP135">
            <v>0.22174624793358499</v>
          </cell>
          <cell r="AQ135">
            <v>0.154551032271533</v>
          </cell>
          <cell r="AR135">
            <v>0.16130341747171401</v>
          </cell>
          <cell r="AS135">
            <v>0.177506807960118</v>
          </cell>
          <cell r="AT135">
            <v>0.16780057046136401</v>
          </cell>
          <cell r="AU135">
            <v>0.155036185405767</v>
          </cell>
          <cell r="AV135">
            <v>0.165144648285273</v>
          </cell>
          <cell r="AW135">
            <v>0.176839943594397</v>
          </cell>
          <cell r="AX135">
            <v>0.18509591561491001</v>
          </cell>
          <cell r="AY135">
            <v>0.20890471007886699</v>
          </cell>
          <cell r="AZ135">
            <v>0.23111124371229699</v>
          </cell>
          <cell r="BA135">
            <v>0.27115088146301097</v>
          </cell>
          <cell r="BB135">
            <v>0.26823189174111001</v>
          </cell>
          <cell r="BC135">
            <v>0.298547623919873</v>
          </cell>
          <cell r="BD135">
            <v>0.33210220021638098</v>
          </cell>
          <cell r="BE135">
            <v>0.32667174217955702</v>
          </cell>
          <cell r="BF135">
            <v>0.34633604932328399</v>
          </cell>
          <cell r="BG135">
            <v>0.34049090318702302</v>
          </cell>
          <cell r="BH135">
            <v>0.34693212443833399</v>
          </cell>
          <cell r="BI135">
            <v>0.33964794034606699</v>
          </cell>
          <cell r="BJ135">
            <v>0.33828535697213402</v>
          </cell>
          <cell r="BK135">
            <v>0.330424478065797</v>
          </cell>
          <cell r="BL135">
            <v>0.320649958567713</v>
          </cell>
          <cell r="BM135">
            <v>0.31917240269562902</v>
          </cell>
          <cell r="BN135">
            <v>0.31917240269562902</v>
          </cell>
        </row>
        <row r="136">
          <cell r="B136" t="str">
            <v>LTE</v>
          </cell>
          <cell r="C136" t="str">
            <v>Price level ratio of PPP conversion factor (GDP) to market exchange rate</v>
          </cell>
          <cell r="D136" t="str">
            <v>PA.NUS.PPPC.RF</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
          </cell>
        </row>
        <row r="137">
          <cell r="B137" t="str">
            <v>LCN</v>
          </cell>
          <cell r="C137" t="str">
            <v>Price level ratio of PPP conversion factor (GDP) to market exchange rate</v>
          </cell>
          <cell r="D137" t="str">
            <v>PA.NUS.PPPC.RF</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
          </cell>
        </row>
        <row r="138">
          <cell r="B138" t="str">
            <v>LAC</v>
          </cell>
          <cell r="C138" t="str">
            <v>Price level ratio of PPP conversion factor (GDP) to market exchange rate</v>
          </cell>
          <cell r="D138" t="str">
            <v>PA.NUS.PPPC.RF</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
          </cell>
        </row>
        <row r="139">
          <cell r="B139" t="str">
            <v>TLA</v>
          </cell>
          <cell r="C139" t="str">
            <v>Price level ratio of PPP conversion factor (GDP) to market exchange rate</v>
          </cell>
          <cell r="D139" t="str">
            <v>PA.NUS.PPPC.RF</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
          </cell>
        </row>
        <row r="140">
          <cell r="B140" t="str">
            <v>LVA</v>
          </cell>
          <cell r="C140" t="str">
            <v>Price level ratio of PPP conversion factor (GDP) to market exchange rate</v>
          </cell>
          <cell r="D140" t="str">
            <v>PA.NUS.PPPC.RF</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v>0.42243297204791802</v>
          </cell>
          <cell r="AO140">
            <v>0.41873021949974498</v>
          </cell>
          <cell r="AP140">
            <v>0.41360391967094101</v>
          </cell>
          <cell r="AQ140">
            <v>0.42069224353627999</v>
          </cell>
          <cell r="AR140">
            <v>0.42555248618784502</v>
          </cell>
          <cell r="AS140">
            <v>0.41814020857473899</v>
          </cell>
          <cell r="AT140">
            <v>0.395597716588314</v>
          </cell>
          <cell r="AU140">
            <v>0.410361527967258</v>
          </cell>
          <cell r="AV140">
            <v>0.46516787603000898</v>
          </cell>
          <cell r="AW140">
            <v>0.51949525172368904</v>
          </cell>
          <cell r="AX140">
            <v>0.54585438705662703</v>
          </cell>
          <cell r="AY140">
            <v>0.61310634562327604</v>
          </cell>
          <cell r="AZ140">
            <v>0.77391191355491695</v>
          </cell>
          <cell r="BA140">
            <v>0.84131267358573303</v>
          </cell>
          <cell r="BB140">
            <v>0.724395329441201</v>
          </cell>
          <cell r="BC140">
            <v>0.64500265675116597</v>
          </cell>
          <cell r="BD140">
            <v>0.69299000389430998</v>
          </cell>
          <cell r="BE140">
            <v>0.65040108139277997</v>
          </cell>
          <cell r="BF140">
            <v>0.66290236119201296</v>
          </cell>
          <cell r="BG140">
            <v>0.660126986683509</v>
          </cell>
          <cell r="BH140">
            <v>0.55183724797043199</v>
          </cell>
          <cell r="BI140">
            <v>0.53596921736718794</v>
          </cell>
          <cell r="BJ140">
            <v>0.54602029314188405</v>
          </cell>
          <cell r="BK140">
            <v>0.57830368465069204</v>
          </cell>
          <cell r="BL140">
            <v>0.56226502834509695</v>
          </cell>
          <cell r="BM140">
            <v>0.56337338218988497</v>
          </cell>
          <cell r="BN140">
            <v>0.56337338218988497</v>
          </cell>
        </row>
        <row r="141">
          <cell r="B141" t="str">
            <v>LDC</v>
          </cell>
          <cell r="C141" t="str">
            <v>Price level ratio of PPP conversion factor (GDP) to market exchange rate</v>
          </cell>
          <cell r="D141" t="str">
            <v>PA.NUS.PPPC.RF</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
          </cell>
        </row>
        <row r="142">
          <cell r="B142" t="str">
            <v>LBN</v>
          </cell>
          <cell r="C142" t="str">
            <v>Price level ratio of PPP conversion factor (GDP) to market exchange rate</v>
          </cell>
          <cell r="D142" t="str">
            <v>PA.NUS.PPPC.RF</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v>0.26392771012771499</v>
          </cell>
          <cell r="AJ142">
            <v>0.28227822599284802</v>
          </cell>
          <cell r="AK142">
            <v>0.295299637202106</v>
          </cell>
          <cell r="AL142">
            <v>0.35393260308930302</v>
          </cell>
          <cell r="AM142">
            <v>0.38744784659846498</v>
          </cell>
          <cell r="AN142">
            <v>0.43522206406318598</v>
          </cell>
          <cell r="AO142">
            <v>0.448660790146863</v>
          </cell>
          <cell r="AP142">
            <v>0.50186264450096496</v>
          </cell>
          <cell r="AQ142">
            <v>0.52417335162085399</v>
          </cell>
          <cell r="AR142">
            <v>0.52377638078325905</v>
          </cell>
          <cell r="AS142">
            <v>0.50174075817167396</v>
          </cell>
          <cell r="AT142">
            <v>0.48348359942932301</v>
          </cell>
          <cell r="AU142">
            <v>0.49937776320670202</v>
          </cell>
          <cell r="AV142">
            <v>0.49802538106331701</v>
          </cell>
          <cell r="AW142">
            <v>0.47898126116754802</v>
          </cell>
          <cell r="AX142">
            <v>0.45957790173327601</v>
          </cell>
          <cell r="AY142">
            <v>0.450007431275877</v>
          </cell>
          <cell r="AZ142">
            <v>0.45196478611873198</v>
          </cell>
          <cell r="BA142">
            <v>0.47673936802434003</v>
          </cell>
          <cell r="BB142">
            <v>0.52179194298521103</v>
          </cell>
          <cell r="BC142">
            <v>0.51876614097041995</v>
          </cell>
          <cell r="BD142">
            <v>0.52321844541207496</v>
          </cell>
          <cell r="BE142">
            <v>0.53659721529339199</v>
          </cell>
          <cell r="BF142">
            <v>0.52970217424758903</v>
          </cell>
          <cell r="BG142">
            <v>0.51151897306297101</v>
          </cell>
          <cell r="BH142">
            <v>0.50734424022216096</v>
          </cell>
          <cell r="BI142">
            <v>0.49266076663203801</v>
          </cell>
          <cell r="BJ142">
            <v>0.487413519027452</v>
          </cell>
          <cell r="BK142">
            <v>0.50194732796550101</v>
          </cell>
          <cell r="BL142">
            <v>0.49923464709581999</v>
          </cell>
          <cell r="BM142">
            <v>0.38367120529410798</v>
          </cell>
          <cell r="BN142">
            <v>0.38367120529410798</v>
          </cell>
        </row>
        <row r="143">
          <cell r="B143" t="str">
            <v>LSO</v>
          </cell>
          <cell r="C143" t="str">
            <v>Price level ratio of PPP conversion factor (GDP) to market exchange rate</v>
          </cell>
          <cell r="D143" t="str">
            <v>PA.NUS.PPPC.RF</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v>0.43113868459820298</v>
          </cell>
          <cell r="AJ143">
            <v>0.46041758164137903</v>
          </cell>
          <cell r="AK143">
            <v>0.496594888297823</v>
          </cell>
          <cell r="AL143">
            <v>0.47121889959813001</v>
          </cell>
          <cell r="AM143">
            <v>0.457558472548803</v>
          </cell>
          <cell r="AN143">
            <v>0.49496377773411498</v>
          </cell>
          <cell r="AO143">
            <v>0.43467990744167401</v>
          </cell>
          <cell r="AP143">
            <v>0.434369691329694</v>
          </cell>
          <cell r="AQ143">
            <v>0.39355475015810598</v>
          </cell>
          <cell r="AR143">
            <v>0.37959178187620302</v>
          </cell>
          <cell r="AS143">
            <v>0.347462592281577</v>
          </cell>
          <cell r="AT143">
            <v>0.30552320626249102</v>
          </cell>
          <cell r="AU143">
            <v>0.28054932209977501</v>
          </cell>
          <cell r="AV143">
            <v>0.393151755041099</v>
          </cell>
          <cell r="AW143">
            <v>0.49138387710077702</v>
          </cell>
          <cell r="AX143">
            <v>0.51272588161163002</v>
          </cell>
          <cell r="AY143">
            <v>0.51088810708785903</v>
          </cell>
          <cell r="AZ143">
            <v>0.44619882124777199</v>
          </cell>
          <cell r="BA143">
            <v>0.43569448964016499</v>
          </cell>
          <cell r="BB143">
            <v>0.43145328657473098</v>
          </cell>
          <cell r="BC143">
            <v>0.52009430064807105</v>
          </cell>
          <cell r="BD143">
            <v>0.56209484603668103</v>
          </cell>
          <cell r="BE143">
            <v>0.532556962107544</v>
          </cell>
          <cell r="BF143">
            <v>0.45527921843547497</v>
          </cell>
          <cell r="BG143">
            <v>0.42599840053550703</v>
          </cell>
          <cell r="BH143">
            <v>0.372413561584436</v>
          </cell>
          <cell r="BI143">
            <v>0.34074729829950601</v>
          </cell>
          <cell r="BJ143">
            <v>0.41335230475073498</v>
          </cell>
          <cell r="BK143">
            <v>0.44538288852388902</v>
          </cell>
          <cell r="BL143">
            <v>0.41340146037276199</v>
          </cell>
          <cell r="BM143">
            <v>0.35815278283850299</v>
          </cell>
          <cell r="BN143">
            <v>0.35815278283850299</v>
          </cell>
        </row>
        <row r="144">
          <cell r="B144" t="str">
            <v>LBR</v>
          </cell>
          <cell r="C144" t="str">
            <v>Price level ratio of PPP conversion factor (GDP) to market exchange rate</v>
          </cell>
          <cell r="D144" t="str">
            <v>PA.NUS.PPPC.RF</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v>0.30887128448302598</v>
          </cell>
          <cell r="AT144">
            <v>0.304418059774758</v>
          </cell>
          <cell r="AU144">
            <v>0.29550416606452601</v>
          </cell>
          <cell r="AV144">
            <v>0.335117812450898</v>
          </cell>
          <cell r="AW144">
            <v>0.38134625225600699</v>
          </cell>
          <cell r="AX144">
            <v>0.37163856333488299</v>
          </cell>
          <cell r="AY144">
            <v>0.393673941090188</v>
          </cell>
          <cell r="AZ144">
            <v>0.42944809447827897</v>
          </cell>
          <cell r="BA144">
            <v>0.49424210542393399</v>
          </cell>
          <cell r="BB144">
            <v>0.47714714211382098</v>
          </cell>
          <cell r="BC144">
            <v>0.50236515756678701</v>
          </cell>
          <cell r="BD144">
            <v>0.545838707946248</v>
          </cell>
          <cell r="BE144">
            <v>0.56039926454289701</v>
          </cell>
          <cell r="BF144">
            <v>0.53903488182800097</v>
          </cell>
          <cell r="BG144">
            <v>0.52186249940632701</v>
          </cell>
          <cell r="BH144">
            <v>0.54979163534734199</v>
          </cell>
          <cell r="BI144">
            <v>0.51819765629242898</v>
          </cell>
          <cell r="BJ144">
            <v>0.46099355118409702</v>
          </cell>
          <cell r="BK144">
            <v>0.449239886295421</v>
          </cell>
          <cell r="BL144">
            <v>0.43888742078216197</v>
          </cell>
          <cell r="BM144">
            <v>0.43105028636916298</v>
          </cell>
          <cell r="BN144">
            <v>0.43105028636916298</v>
          </cell>
        </row>
        <row r="145">
          <cell r="B145" t="str">
            <v>LBY</v>
          </cell>
          <cell r="C145" t="str">
            <v>Price level ratio of PPP conversion factor (GDP) to market exchange rate</v>
          </cell>
          <cell r="D145" t="str">
            <v>PA.NUS.PPPC.RF</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v>0.39445577259557602</v>
          </cell>
          <cell r="AS145">
            <v>0.395862462660166</v>
          </cell>
          <cell r="AT145">
            <v>0.35145317029668299</v>
          </cell>
          <cell r="AU145">
            <v>0.20976041156624101</v>
          </cell>
          <cell r="AV145">
            <v>0.2336737986553</v>
          </cell>
          <cell r="AW145">
            <v>0.27469361138663301</v>
          </cell>
          <cell r="AX145">
            <v>0.34030197552945102</v>
          </cell>
          <cell r="AY145">
            <v>0.36012426705004202</v>
          </cell>
          <cell r="AZ145">
            <v>0.40507851808401601</v>
          </cell>
          <cell r="BA145">
            <v>0.49951863601725799</v>
          </cell>
          <cell r="BB145">
            <v>0.36142212864837697</v>
          </cell>
          <cell r="BC145">
            <v>0.403568893409606</v>
          </cell>
          <cell r="BD145">
            <v>0.48372507929444097</v>
          </cell>
          <cell r="BE145">
            <v>0.53634426285773695</v>
          </cell>
          <cell r="BF145">
            <v>0.52160308038540504</v>
          </cell>
          <cell r="BG145">
            <v>0.452136080694586</v>
          </cell>
          <cell r="BH145">
            <v>0.35498451980264401</v>
          </cell>
          <cell r="BI145">
            <v>0.36324576222282701</v>
          </cell>
          <cell r="BJ145">
            <v>0.43486169288253401</v>
          </cell>
          <cell r="BK145">
            <v>0.51221428221100296</v>
          </cell>
          <cell r="BL145">
            <v>0.48596408389434498</v>
          </cell>
          <cell r="BM145">
            <v>0.34106540022853798</v>
          </cell>
          <cell r="BN145">
            <v>0.34106540022853798</v>
          </cell>
        </row>
        <row r="146">
          <cell r="B146" t="str">
            <v>LIE</v>
          </cell>
          <cell r="C146" t="str">
            <v>Price level ratio of PPP conversion factor (GDP) to market exchange rate</v>
          </cell>
          <cell r="D146" t="str">
            <v>PA.NUS.PPPC.RF</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
          </cell>
        </row>
        <row r="147">
          <cell r="B147" t="str">
            <v>LTU</v>
          </cell>
          <cell r="C147" t="str">
            <v>Price level ratio of PPP conversion factor (GDP) to market exchange rate</v>
          </cell>
          <cell r="D147" t="str">
            <v>PA.NUS.PPPC.RF</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v>0.36572833248859599</v>
          </cell>
          <cell r="AO147">
            <v>0.36458437634872698</v>
          </cell>
          <cell r="AP147">
            <v>0.40034700043159299</v>
          </cell>
          <cell r="AQ147">
            <v>0.40794216659473498</v>
          </cell>
          <cell r="AR147">
            <v>0.398068191627104</v>
          </cell>
          <cell r="AS147">
            <v>0.38992058696590398</v>
          </cell>
          <cell r="AT147">
            <v>0.37365127319810099</v>
          </cell>
          <cell r="AU147">
            <v>0.39516295670141799</v>
          </cell>
          <cell r="AV147">
            <v>0.455715736040609</v>
          </cell>
          <cell r="AW147">
            <v>0.51420889220069499</v>
          </cell>
          <cell r="AX147">
            <v>0.54131484015424802</v>
          </cell>
          <cell r="AY147">
            <v>0.55998494164888901</v>
          </cell>
          <cell r="AZ147">
            <v>0.64339764641488795</v>
          </cell>
          <cell r="BA147">
            <v>0.72124835357822303</v>
          </cell>
          <cell r="BB147">
            <v>0.652478454267445</v>
          </cell>
          <cell r="BC147">
            <v>0.59649031334238101</v>
          </cell>
          <cell r="BD147">
            <v>0.628230624204965</v>
          </cell>
          <cell r="BE147">
            <v>0.58160185202381598</v>
          </cell>
          <cell r="BF147">
            <v>0.58864979765977898</v>
          </cell>
          <cell r="BG147">
            <v>0.58723888842276695</v>
          </cell>
          <cell r="BH147">
            <v>0.49448629578129</v>
          </cell>
          <cell r="BI147">
            <v>0.48498115443150702</v>
          </cell>
          <cell r="BJ147">
            <v>0.498897100076516</v>
          </cell>
          <cell r="BK147">
            <v>0.52718034098412303</v>
          </cell>
          <cell r="BL147">
            <v>0.50792349669019499</v>
          </cell>
          <cell r="BM147">
            <v>0.52037084088404795</v>
          </cell>
          <cell r="BN147">
            <v>0.52037084088404795</v>
          </cell>
        </row>
        <row r="148">
          <cell r="B148" t="str">
            <v>LMY</v>
          </cell>
          <cell r="C148" t="str">
            <v>Price level ratio of PPP conversion factor (GDP) to market exchange rate</v>
          </cell>
          <cell r="D148" t="str">
            <v>PA.NUS.PPPC.RF</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
          </cell>
        </row>
        <row r="149">
          <cell r="B149" t="str">
            <v>LIC</v>
          </cell>
          <cell r="C149" t="str">
            <v>Price level ratio of PPP conversion factor (GDP) to market exchange rate</v>
          </cell>
          <cell r="D149" t="str">
            <v>PA.NUS.PPPC.RF</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
          </cell>
        </row>
        <row r="150">
          <cell r="B150" t="str">
            <v>LMC</v>
          </cell>
          <cell r="C150" t="str">
            <v>Price level ratio of PPP conversion factor (GDP) to market exchange rate</v>
          </cell>
          <cell r="D150" t="str">
            <v>PA.NUS.PPPC.RF</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
          </cell>
        </row>
        <row r="151">
          <cell r="B151" t="str">
            <v>LUX</v>
          </cell>
          <cell r="C151" t="str">
            <v>Price level ratio of PPP conversion factor (GDP) to market exchange rate</v>
          </cell>
          <cell r="D151" t="str">
            <v>PA.NUS.PPPC.RF</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v>1.11799975857074</v>
          </cell>
          <cell r="AJ151">
            <v>1.07759598346131</v>
          </cell>
          <cell r="AK151">
            <v>1.16075031367629</v>
          </cell>
          <cell r="AL151">
            <v>1.1166895988806</v>
          </cell>
          <cell r="AM151">
            <v>1.1705642633228801</v>
          </cell>
          <cell r="AN151">
            <v>1.33155719759168</v>
          </cell>
          <cell r="AO151">
            <v>1.27030618892508</v>
          </cell>
          <cell r="AP151">
            <v>1.09782250789355</v>
          </cell>
          <cell r="AQ151">
            <v>1.07178928650811</v>
          </cell>
          <cell r="AR151">
            <v>1.02027487747709</v>
          </cell>
          <cell r="AS151">
            <v>0.880645844849825</v>
          </cell>
          <cell r="AT151">
            <v>0.86232572706935096</v>
          </cell>
          <cell r="AU151">
            <v>0.90061735366083195</v>
          </cell>
          <cell r="AV151">
            <v>1.08884311512415</v>
          </cell>
          <cell r="AW151">
            <v>1.18103799354358</v>
          </cell>
          <cell r="AX151">
            <v>1.1769220246237999</v>
          </cell>
          <cell r="AY151">
            <v>1.15003261824112</v>
          </cell>
          <cell r="AZ151">
            <v>1.26117985217629</v>
          </cell>
          <cell r="BA151">
            <v>1.3183609198769599</v>
          </cell>
          <cell r="BB151">
            <v>1.2545220894693001</v>
          </cell>
          <cell r="BC151">
            <v>1.22593760485463</v>
          </cell>
          <cell r="BD151">
            <v>1.25820864650523</v>
          </cell>
          <cell r="BE151">
            <v>1.1651001605999101</v>
          </cell>
          <cell r="BF151">
            <v>1.1886650545827699</v>
          </cell>
          <cell r="BG151">
            <v>1.1730157162629999</v>
          </cell>
          <cell r="BH151">
            <v>0.97737729839212395</v>
          </cell>
          <cell r="BI151">
            <v>0.94232400231108904</v>
          </cell>
          <cell r="BJ151">
            <v>0.95595274432126298</v>
          </cell>
          <cell r="BK151">
            <v>1.00198259668136</v>
          </cell>
          <cell r="BL151">
            <v>0.964861646305881</v>
          </cell>
          <cell r="BM151">
            <v>0.987356577831909</v>
          </cell>
          <cell r="BN151">
            <v>0.987356577831909</v>
          </cell>
        </row>
        <row r="152">
          <cell r="B152" t="str">
            <v>MAC</v>
          </cell>
          <cell r="C152" t="str">
            <v>Price level ratio of PPP conversion factor (GDP) to market exchange rate</v>
          </cell>
          <cell r="D152" t="str">
            <v>PA.NUS.PPPC.RF</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v>0.34676065395873101</v>
          </cell>
          <cell r="AJ152">
            <v>0.37528071038439198</v>
          </cell>
          <cell r="AK152">
            <v>0.422688809914051</v>
          </cell>
          <cell r="AL152">
            <v>0.45254416456963098</v>
          </cell>
          <cell r="AM152">
            <v>0.47344156481341698</v>
          </cell>
          <cell r="AN152">
            <v>0.50119575194743504</v>
          </cell>
          <cell r="AO152">
            <v>0.503429145219222</v>
          </cell>
          <cell r="AP152">
            <v>0.502235742586012</v>
          </cell>
          <cell r="AQ152">
            <v>0.486792993127806</v>
          </cell>
          <cell r="AR152">
            <v>0.47337064025537401</v>
          </cell>
          <cell r="AS152">
            <v>0.45300766796647601</v>
          </cell>
          <cell r="AT152">
            <v>0.43631534492623503</v>
          </cell>
          <cell r="AU152">
            <v>0.42378266707462198</v>
          </cell>
          <cell r="AV152">
            <v>0.41689905249289499</v>
          </cell>
          <cell r="AW152">
            <v>0.413767947668571</v>
          </cell>
          <cell r="AX152">
            <v>0.42419841550144799</v>
          </cell>
          <cell r="AY152">
            <v>0.44416466746899902</v>
          </cell>
          <cell r="AZ152">
            <v>0.46842526088987402</v>
          </cell>
          <cell r="BA152">
            <v>0.50676914145465801</v>
          </cell>
          <cell r="BB152">
            <v>0.50984976007433802</v>
          </cell>
          <cell r="BC152">
            <v>0.52693906854561701</v>
          </cell>
          <cell r="BD152">
            <v>0.55371366528781296</v>
          </cell>
          <cell r="BE152">
            <v>0.57138273669094197</v>
          </cell>
          <cell r="BF152">
            <v>0.58126129079342204</v>
          </cell>
          <cell r="BG152">
            <v>0.60856405747893405</v>
          </cell>
          <cell r="BH152">
            <v>0.64333418271059395</v>
          </cell>
          <cell r="BI152">
            <v>0.64012384064579197</v>
          </cell>
          <cell r="BJ152">
            <v>0.64227713511942597</v>
          </cell>
          <cell r="BK152">
            <v>0.64570204827881805</v>
          </cell>
          <cell r="BL152">
            <v>0.64978653512628304</v>
          </cell>
          <cell r="BM152">
            <v>0.64706137215835002</v>
          </cell>
          <cell r="BN152">
            <v>0.64706137215835002</v>
          </cell>
        </row>
        <row r="153">
          <cell r="B153" t="str">
            <v>MDG</v>
          </cell>
          <cell r="C153" t="str">
            <v>Price level ratio of PPP conversion factor (GDP) to market exchange rate</v>
          </cell>
          <cell r="D153" t="str">
            <v>PA.NUS.PPPC.RF</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v>0.27961233534663699</v>
          </cell>
          <cell r="AJ153">
            <v>0.23898735115455799</v>
          </cell>
          <cell r="AK153">
            <v>0.26359223036459201</v>
          </cell>
          <cell r="AL153">
            <v>0.27583975413350298</v>
          </cell>
          <cell r="AM153">
            <v>0.23420809492441599</v>
          </cell>
          <cell r="AN153">
            <v>0.24584359202629</v>
          </cell>
          <cell r="AO153">
            <v>0.30368071906897198</v>
          </cell>
          <cell r="AP153">
            <v>0.248696328097254</v>
          </cell>
          <cell r="AQ153">
            <v>0.24437497334813399</v>
          </cell>
          <cell r="AR153">
            <v>0.223600056024191</v>
          </cell>
          <cell r="AS153">
            <v>0.22657536036435499</v>
          </cell>
          <cell r="AT153">
            <v>0.245765125310071</v>
          </cell>
          <cell r="AU153">
            <v>0.27181037659303398</v>
          </cell>
          <cell r="AV153">
            <v>0.289434327703123</v>
          </cell>
          <cell r="AW153">
            <v>0.21281797208730499</v>
          </cell>
          <cell r="AX153">
            <v>0.22792680428261</v>
          </cell>
          <cell r="AY153">
            <v>0.22911771056710101</v>
          </cell>
          <cell r="AZ153">
            <v>0.281328670856348</v>
          </cell>
          <cell r="BA153">
            <v>0.32535650117057302</v>
          </cell>
          <cell r="BB153">
            <v>0.30152612773457199</v>
          </cell>
          <cell r="BC153">
            <v>0.307487094663765</v>
          </cell>
          <cell r="BD153">
            <v>0.343122150146072</v>
          </cell>
          <cell r="BE153">
            <v>0.33845533663876298</v>
          </cell>
          <cell r="BF153">
            <v>0.35237383196708</v>
          </cell>
          <cell r="BG153">
            <v>0.34120926104617399</v>
          </cell>
          <cell r="BH153">
            <v>0.30205856536821502</v>
          </cell>
          <cell r="BI153">
            <v>0.29623776223438802</v>
          </cell>
          <cell r="BJ153">
            <v>0.325224280063175</v>
          </cell>
          <cell r="BK153">
            <v>0.32140190910529698</v>
          </cell>
          <cell r="BL153">
            <v>0.30999885234485403</v>
          </cell>
          <cell r="BM153">
            <v>0.30533843372552899</v>
          </cell>
          <cell r="BN153">
            <v>0.30533843372552899</v>
          </cell>
        </row>
        <row r="154">
          <cell r="B154" t="str">
            <v>MWI</v>
          </cell>
          <cell r="C154" t="str">
            <v>Price level ratio of PPP conversion factor (GDP) to market exchange rate</v>
          </cell>
          <cell r="D154" t="str">
            <v>PA.NUS.PPPC.RF</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v>0.536129354392612</v>
          </cell>
          <cell r="AJ154">
            <v>0.58307669993439903</v>
          </cell>
          <cell r="AK154">
            <v>0.50239842530505396</v>
          </cell>
          <cell r="AL154">
            <v>0.51481096219700695</v>
          </cell>
          <cell r="AM154">
            <v>0.32050175324486901</v>
          </cell>
          <cell r="AN154">
            <v>0.31800472143099101</v>
          </cell>
          <cell r="AO154">
            <v>0.47498457054141002</v>
          </cell>
          <cell r="AP154">
            <v>0.52492139354202805</v>
          </cell>
          <cell r="AQ154">
            <v>0.32840619250742298</v>
          </cell>
          <cell r="AR154">
            <v>0.31872135240042598</v>
          </cell>
          <cell r="AS154">
            <v>0.30131299608353201</v>
          </cell>
          <cell r="AT154">
            <v>0.30547650806864002</v>
          </cell>
          <cell r="AU154">
            <v>0.45913292447298298</v>
          </cell>
          <cell r="AV154">
            <v>0.39143214953650501</v>
          </cell>
          <cell r="AW154">
            <v>0.39168580127560898</v>
          </cell>
          <cell r="AX154">
            <v>0.38685773814098401</v>
          </cell>
          <cell r="AY154">
            <v>0.39219895388618797</v>
          </cell>
          <cell r="AZ154">
            <v>0.38639370512816601</v>
          </cell>
          <cell r="BA154">
            <v>0.42266239980222597</v>
          </cell>
          <cell r="BB154">
            <v>0.45053617256362399</v>
          </cell>
          <cell r="BC154">
            <v>0.46842920128558901</v>
          </cell>
          <cell r="BD154">
            <v>0.50326828403177304</v>
          </cell>
          <cell r="BE154">
            <v>0.37867913828797101</v>
          </cell>
          <cell r="BF154">
            <v>0.31432203610310799</v>
          </cell>
          <cell r="BG154">
            <v>0.34409308078353301</v>
          </cell>
          <cell r="BH154">
            <v>0.37352425336705902</v>
          </cell>
          <cell r="BI154">
            <v>0.30807214701700503</v>
          </cell>
          <cell r="BJ154">
            <v>0.34380896721263499</v>
          </cell>
          <cell r="BK154">
            <v>0.35532370138930303</v>
          </cell>
          <cell r="BL154">
            <v>0.36940834396952199</v>
          </cell>
          <cell r="BM154">
            <v>0.40011207328917803</v>
          </cell>
          <cell r="BN154">
            <v>0.40011207328917803</v>
          </cell>
        </row>
        <row r="155">
          <cell r="B155" t="str">
            <v>MYS</v>
          </cell>
          <cell r="C155" t="str">
            <v>Price level ratio of PPP conversion factor (GDP) to market exchange rate</v>
          </cell>
          <cell r="D155" t="str">
            <v>PA.NUS.PPPC.RF</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v>0.35833902420525598</v>
          </cell>
          <cell r="AJ155">
            <v>0.35320551869799199</v>
          </cell>
          <cell r="AK155">
            <v>0.38185059885090999</v>
          </cell>
          <cell r="AL155">
            <v>0.38375198506986302</v>
          </cell>
          <cell r="AM155">
            <v>0.38303741754530202</v>
          </cell>
          <cell r="AN155">
            <v>0.40684685907394702</v>
          </cell>
          <cell r="AO155">
            <v>0.41294964691566899</v>
          </cell>
          <cell r="AP155">
            <v>0.37482801066113602</v>
          </cell>
          <cell r="AQ155">
            <v>0.28872774372777998</v>
          </cell>
          <cell r="AR155">
            <v>0.29409949671221097</v>
          </cell>
          <cell r="AS155">
            <v>0.31314242611542897</v>
          </cell>
          <cell r="AT155">
            <v>0.301574104918645</v>
          </cell>
          <cell r="AU155">
            <v>0.30616716742824501</v>
          </cell>
          <cell r="AV155">
            <v>0.3105011154565</v>
          </cell>
          <cell r="AW155">
            <v>0.32053064024126798</v>
          </cell>
          <cell r="AX155">
            <v>0.339549753766135</v>
          </cell>
          <cell r="AY155">
            <v>0.35380436733116</v>
          </cell>
          <cell r="AZ155">
            <v>0.38560849904128203</v>
          </cell>
          <cell r="BA155">
            <v>0.43028960037785802</v>
          </cell>
          <cell r="BB155">
            <v>0.37995217397300302</v>
          </cell>
          <cell r="BC155">
            <v>0.440815026425873</v>
          </cell>
          <cell r="BD155">
            <v>0.479128898358814</v>
          </cell>
          <cell r="BE155">
            <v>0.47061363670746198</v>
          </cell>
          <cell r="BF155">
            <v>0.46725055060552501</v>
          </cell>
          <cell r="BG155">
            <v>0.45998107611544797</v>
          </cell>
          <cell r="BH155">
            <v>0.40139051302342299</v>
          </cell>
          <cell r="BI155">
            <v>0.384316030470639</v>
          </cell>
          <cell r="BJ155">
            <v>0.38479837791585397</v>
          </cell>
          <cell r="BK155">
            <v>0.402984544921484</v>
          </cell>
          <cell r="BL155">
            <v>0.38593885260785299</v>
          </cell>
          <cell r="BM155">
            <v>0.3728858846909</v>
          </cell>
          <cell r="BN155">
            <v>0.3728858846909</v>
          </cell>
        </row>
        <row r="156">
          <cell r="B156" t="str">
            <v>MDV</v>
          </cell>
          <cell r="C156" t="str">
            <v>Price level ratio of PPP conversion factor (GDP) to market exchange rate</v>
          </cell>
          <cell r="D156" t="str">
            <v>PA.NUS.PPPC.RF</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v>0.260958510717127</v>
          </cell>
          <cell r="AO156">
            <v>0.26819896261690401</v>
          </cell>
          <cell r="AP156">
            <v>0.27429144364776498</v>
          </cell>
          <cell r="AQ156">
            <v>0.268151948891999</v>
          </cell>
          <cell r="AR156">
            <v>0.27161342995426402</v>
          </cell>
          <cell r="AS156">
            <v>0.27107394643139998</v>
          </cell>
          <cell r="AT156">
            <v>0.384816742708049</v>
          </cell>
          <cell r="AU156">
            <v>0.36411584372619299</v>
          </cell>
          <cell r="AV156">
            <v>0.35914295364465798</v>
          </cell>
          <cell r="AW156">
            <v>0.38459552283069498</v>
          </cell>
          <cell r="AX156">
            <v>0.40713540363315398</v>
          </cell>
          <cell r="AY156">
            <v>0.42428460392598399</v>
          </cell>
          <cell r="AZ156">
            <v>0.45499166513730199</v>
          </cell>
          <cell r="BA156">
            <v>0.49562782889795598</v>
          </cell>
          <cell r="BB156">
            <v>0.54739544601438395</v>
          </cell>
          <cell r="BC156">
            <v>0.55668256453336395</v>
          </cell>
          <cell r="BD156">
            <v>0.53839375916906695</v>
          </cell>
          <cell r="BE156">
            <v>0.53070366885355902</v>
          </cell>
          <cell r="BF156">
            <v>0.536643889437729</v>
          </cell>
          <cell r="BG156">
            <v>0.53143725122749097</v>
          </cell>
          <cell r="BH156">
            <v>0.53870555606868697</v>
          </cell>
          <cell r="BI156">
            <v>0.52893342661778797</v>
          </cell>
          <cell r="BJ156">
            <v>0.53036848982926699</v>
          </cell>
          <cell r="BK156">
            <v>0.53411465333765396</v>
          </cell>
          <cell r="BL156">
            <v>0.51936599125883198</v>
          </cell>
          <cell r="BM156">
            <v>0.51505297832244201</v>
          </cell>
          <cell r="BN156">
            <v>0.51505297832244201</v>
          </cell>
        </row>
        <row r="157">
          <cell r="B157" t="str">
            <v>MLI</v>
          </cell>
          <cell r="C157" t="str">
            <v>Price level ratio of PPP conversion factor (GDP) to market exchange rate</v>
          </cell>
          <cell r="D157" t="str">
            <v>PA.NUS.PPPC.RF</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v>0.47448061615611897</v>
          </cell>
          <cell r="AJ157">
            <v>0.41717355764479802</v>
          </cell>
          <cell r="AK157">
            <v>0.43793380786119601</v>
          </cell>
          <cell r="AL157">
            <v>0.41282626265475703</v>
          </cell>
          <cell r="AM157">
            <v>0.28770118373398601</v>
          </cell>
          <cell r="AN157">
            <v>0.36298587304832602</v>
          </cell>
          <cell r="AO157">
            <v>0.34207224997211799</v>
          </cell>
          <cell r="AP157">
            <v>0.31097375874815902</v>
          </cell>
          <cell r="AQ157">
            <v>0.30953164721133702</v>
          </cell>
          <cell r="AR157">
            <v>0.283071579800871</v>
          </cell>
          <cell r="AS157">
            <v>0.23845967039524099</v>
          </cell>
          <cell r="AT157">
            <v>0.23685761346162801</v>
          </cell>
          <cell r="AU157">
            <v>0.25482168487725099</v>
          </cell>
          <cell r="AV157">
            <v>0.27654688931992399</v>
          </cell>
          <cell r="AW157">
            <v>0.30679455689437402</v>
          </cell>
          <cell r="AX157">
            <v>0.31989489495249201</v>
          </cell>
          <cell r="AY157">
            <v>0.32793108250201403</v>
          </cell>
          <cell r="AZ157">
            <v>0.36445453248458698</v>
          </cell>
          <cell r="BA157">
            <v>0.41157215219593701</v>
          </cell>
          <cell r="BB157">
            <v>0.40531964756460698</v>
          </cell>
          <cell r="BC157">
            <v>0.39743144664790198</v>
          </cell>
          <cell r="BD157">
            <v>0.45854812976541498</v>
          </cell>
          <cell r="BE157">
            <v>0.441437521945654</v>
          </cell>
          <cell r="BF157">
            <v>0.444042459618264</v>
          </cell>
          <cell r="BG157">
            <v>0.44289514046725798</v>
          </cell>
          <cell r="BH157">
            <v>0.36970000530762498</v>
          </cell>
          <cell r="BI157">
            <v>0.35665655909146998</v>
          </cell>
          <cell r="BJ157">
            <v>0.36942427815088802</v>
          </cell>
          <cell r="BK157">
            <v>0.38263497571377297</v>
          </cell>
          <cell r="BL157">
            <v>0.36325797236561402</v>
          </cell>
          <cell r="BM157">
            <v>0.36731574215486501</v>
          </cell>
          <cell r="BN157">
            <v>0.36731574215486501</v>
          </cell>
        </row>
        <row r="158">
          <cell r="B158" t="str">
            <v>MLT</v>
          </cell>
          <cell r="C158" t="str">
            <v>Price level ratio of PPP conversion factor (GDP) to market exchange rate</v>
          </cell>
          <cell r="D158" t="str">
            <v>PA.NUS.PPPC.RF</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v>0.76936218332654105</v>
          </cell>
          <cell r="AJ158">
            <v>0.75616023309507996</v>
          </cell>
          <cell r="AK158">
            <v>0.77599869910209596</v>
          </cell>
          <cell r="AL158">
            <v>0.65043904882596704</v>
          </cell>
          <cell r="AM158">
            <v>0.66716428415036899</v>
          </cell>
          <cell r="AN158">
            <v>0.704935008678932</v>
          </cell>
          <cell r="AO158">
            <v>0.68653228156532198</v>
          </cell>
          <cell r="AP158">
            <v>0.63970475833285001</v>
          </cell>
          <cell r="AQ158">
            <v>0.64174242097885703</v>
          </cell>
          <cell r="AR158">
            <v>0.62780624646128702</v>
          </cell>
          <cell r="AS158">
            <v>0.56834899316431198</v>
          </cell>
          <cell r="AT158">
            <v>0.56196094364611104</v>
          </cell>
          <cell r="AU158">
            <v>0.57601650913674496</v>
          </cell>
          <cell r="AV158">
            <v>0.653124316137215</v>
          </cell>
          <cell r="AW158">
            <v>0.70534958452979601</v>
          </cell>
          <cell r="AX158">
            <v>0.71226256042999003</v>
          </cell>
          <cell r="AY158">
            <v>0.71711817582010695</v>
          </cell>
          <cell r="AZ158">
            <v>0.77759543907040796</v>
          </cell>
          <cell r="BA158">
            <v>0.83719454235896396</v>
          </cell>
          <cell r="BB158">
            <v>0.79112909303887502</v>
          </cell>
          <cell r="BC158">
            <v>0.75895276548493995</v>
          </cell>
          <cell r="BD158">
            <v>0.79920402853524797</v>
          </cell>
          <cell r="BE158">
            <v>0.74486691430590501</v>
          </cell>
          <cell r="BF158">
            <v>0.76700500585707798</v>
          </cell>
          <cell r="BG158">
            <v>0.77900802096974597</v>
          </cell>
          <cell r="BH158">
            <v>0.66537090814509903</v>
          </cell>
          <cell r="BI158">
            <v>0.64535768188643505</v>
          </cell>
          <cell r="BJ158">
            <v>0.662476420650293</v>
          </cell>
          <cell r="BK158">
            <v>0.69364515810039695</v>
          </cell>
          <cell r="BL158">
            <v>0.65711160662158696</v>
          </cell>
          <cell r="BM158">
            <v>0.66804331985948795</v>
          </cell>
          <cell r="BN158">
            <v>0.66804331985948795</v>
          </cell>
        </row>
        <row r="159">
          <cell r="B159" t="str">
            <v>MHL</v>
          </cell>
          <cell r="C159" t="str">
            <v>Price level ratio of PPP conversion factor (GDP) to market exchange rate</v>
          </cell>
          <cell r="D159" t="str">
            <v>PA.NUS.PPPC.RF</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v>0.85112515092581598</v>
          </cell>
          <cell r="AJ159">
            <v>0.86481294377056706</v>
          </cell>
          <cell r="AK159">
            <v>0.87102801536515695</v>
          </cell>
          <cell r="AL159">
            <v>0.87667256169564201</v>
          </cell>
          <cell r="AM159">
            <v>0.88087190554804495</v>
          </cell>
          <cell r="AN159">
            <v>0.88699959444878296</v>
          </cell>
          <cell r="AO159">
            <v>0.89540510499350301</v>
          </cell>
          <cell r="AP159">
            <v>0.93898985621933895</v>
          </cell>
          <cell r="AQ159">
            <v>0.94951945052196596</v>
          </cell>
          <cell r="AR159">
            <v>0.96518357013405198</v>
          </cell>
          <cell r="AS159">
            <v>0.93978629993656004</v>
          </cell>
          <cell r="AT159">
            <v>0.91665073488263105</v>
          </cell>
          <cell r="AU159">
            <v>0.93296276344368501</v>
          </cell>
          <cell r="AV159">
            <v>0.92859573077127699</v>
          </cell>
          <cell r="AW159">
            <v>0.90284939031601597</v>
          </cell>
          <cell r="AX159">
            <v>0.88205027703061401</v>
          </cell>
          <cell r="AY159">
            <v>0.89033838181344005</v>
          </cell>
          <cell r="AZ159">
            <v>0.88045669188046205</v>
          </cell>
          <cell r="BA159">
            <v>0.94258586668598898</v>
          </cell>
          <cell r="BB159">
            <v>0.89387564563729105</v>
          </cell>
          <cell r="BC159">
            <v>0.88717418948768201</v>
          </cell>
          <cell r="BD159">
            <v>0.93859516440826896</v>
          </cell>
          <cell r="BE159">
            <v>0.98771575128731404</v>
          </cell>
          <cell r="BF159">
            <v>0.95596315248349695</v>
          </cell>
          <cell r="BG159">
            <v>0.93377652455397997</v>
          </cell>
          <cell r="BH159">
            <v>0.91862828146250897</v>
          </cell>
          <cell r="BI159">
            <v>0.98369325735042001</v>
          </cell>
          <cell r="BJ159">
            <v>0.98940724082460496</v>
          </cell>
          <cell r="BK159">
            <v>0.96954845436487103</v>
          </cell>
          <cell r="BL159">
            <v>0.96523914920145804</v>
          </cell>
          <cell r="BM159">
            <v>0.99563949478298297</v>
          </cell>
          <cell r="BN159">
            <v>0.99563949478298297</v>
          </cell>
        </row>
        <row r="160">
          <cell r="B160" t="str">
            <v>MRT</v>
          </cell>
          <cell r="C160" t="str">
            <v>Price level ratio of PPP conversion factor (GDP) to market exchange rate</v>
          </cell>
          <cell r="D160" t="str">
            <v>PA.NUS.PPPC.RF</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v>0.34820407423537297</v>
          </cell>
          <cell r="AJ160">
            <v>0.36680489154766399</v>
          </cell>
          <cell r="AK160">
            <v>0.35708372586562898</v>
          </cell>
          <cell r="AL160">
            <v>0.28121696206066998</v>
          </cell>
          <cell r="AM160">
            <v>0.29902544090482602</v>
          </cell>
          <cell r="AN160">
            <v>0.28683276867756002</v>
          </cell>
          <cell r="AO160">
            <v>0.27132131375583601</v>
          </cell>
          <cell r="AP160">
            <v>0.26996268134956097</v>
          </cell>
          <cell r="AQ160">
            <v>0.25477174549880699</v>
          </cell>
          <cell r="AR160">
            <v>0.236714261035574</v>
          </cell>
          <cell r="AS160">
            <v>0.215934417562574</v>
          </cell>
          <cell r="AT160">
            <v>0.208997779820318</v>
          </cell>
          <cell r="AU160">
            <v>0.20654214991574699</v>
          </cell>
          <cell r="AV160">
            <v>0.21888703335679299</v>
          </cell>
          <cell r="AW160">
            <v>0.23440942882135499</v>
          </cell>
          <cell r="AX160">
            <v>0.26022284547136099</v>
          </cell>
          <cell r="AY160">
            <v>0.28495180253483199</v>
          </cell>
          <cell r="AZ160">
            <v>0.31388357307918702</v>
          </cell>
          <cell r="BA160">
            <v>0.370060889399146</v>
          </cell>
          <cell r="BB160">
            <v>0.33224080007345103</v>
          </cell>
          <cell r="BC160">
            <v>0.38209083933671301</v>
          </cell>
          <cell r="BD160">
            <v>0.42573477788526898</v>
          </cell>
          <cell r="BE160">
            <v>0.40975275786227799</v>
          </cell>
          <cell r="BF160">
            <v>0.400479778809676</v>
          </cell>
          <cell r="BG160">
            <v>0.39047471812836698</v>
          </cell>
          <cell r="BH160">
            <v>0.36286104601937702</v>
          </cell>
          <cell r="BI160">
            <v>0.32698300891385501</v>
          </cell>
          <cell r="BJ160">
            <v>0.31077537323509502</v>
          </cell>
          <cell r="BK160">
            <v>0.31406114509463601</v>
          </cell>
          <cell r="BL160">
            <v>0.31298103836987201</v>
          </cell>
          <cell r="BM160">
            <v>0.315763260884038</v>
          </cell>
          <cell r="BN160">
            <v>0.315763260884038</v>
          </cell>
        </row>
        <row r="161">
          <cell r="B161" t="str">
            <v>MUS</v>
          </cell>
          <cell r="C161" t="str">
            <v>Price level ratio of PPP conversion factor (GDP) to market exchange rate</v>
          </cell>
          <cell r="D161" t="str">
            <v>PA.NUS.PPPC.RF</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v>0.50697733639272602</v>
          </cell>
          <cell r="AJ161">
            <v>0.505562082425971</v>
          </cell>
          <cell r="AK161">
            <v>0.52375051538361905</v>
          </cell>
          <cell r="AL161">
            <v>0.49278418588443001</v>
          </cell>
          <cell r="AM161">
            <v>0.50516754975795997</v>
          </cell>
          <cell r="AN161">
            <v>0.53874781867548405</v>
          </cell>
          <cell r="AO161">
            <v>0.54838606462588002</v>
          </cell>
          <cell r="AP161">
            <v>0.48271794820443298</v>
          </cell>
          <cell r="AQ161">
            <v>0.44811776988992102</v>
          </cell>
          <cell r="AR161">
            <v>0.448469357369149</v>
          </cell>
          <cell r="AS161">
            <v>0.43523765259619202</v>
          </cell>
          <cell r="AT161">
            <v>0.407710178527387</v>
          </cell>
          <cell r="AU161">
            <v>0.41447508272030198</v>
          </cell>
          <cell r="AV161">
            <v>0.461540353790868</v>
          </cell>
          <cell r="AW161">
            <v>0.48724427873746201</v>
          </cell>
          <cell r="AX161">
            <v>0.457914751313583</v>
          </cell>
          <cell r="AY161">
            <v>0.45911812488272702</v>
          </cell>
          <cell r="AZ161">
            <v>0.49035392375412001</v>
          </cell>
          <cell r="BA161">
            <v>0.559464902806033</v>
          </cell>
          <cell r="BB161">
            <v>0.49107183386586001</v>
          </cell>
          <cell r="BC161">
            <v>0.50962608794161302</v>
          </cell>
          <cell r="BD161">
            <v>0.55226639804960997</v>
          </cell>
          <cell r="BE161">
            <v>0.54771842258345405</v>
          </cell>
          <cell r="BF161">
            <v>0.53939534054324201</v>
          </cell>
          <cell r="BG161">
            <v>0.54921638468239398</v>
          </cell>
          <cell r="BH161">
            <v>0.481566641999504</v>
          </cell>
          <cell r="BI161">
            <v>0.46768350114912799</v>
          </cell>
          <cell r="BJ161">
            <v>0.48960315266890297</v>
          </cell>
          <cell r="BK161">
            <v>0.492861820811967</v>
          </cell>
          <cell r="BL161">
            <v>0.465545482665705</v>
          </cell>
          <cell r="BM161">
            <v>0.42024504810652202</v>
          </cell>
          <cell r="BN161">
            <v>0.42024504810652202</v>
          </cell>
        </row>
        <row r="162">
          <cell r="B162" t="str">
            <v>MEX</v>
          </cell>
          <cell r="C162" t="str">
            <v>Price level ratio of PPP conversion factor (GDP) to market exchange rate</v>
          </cell>
          <cell r="D162" t="str">
            <v>PA.NUS.PPPC.RF</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v>0.47873248951148401</v>
          </cell>
          <cell r="AJ162">
            <v>0.53182580174927097</v>
          </cell>
          <cell r="AK162">
            <v>0.58020485314549697</v>
          </cell>
          <cell r="AL162">
            <v>0.66016176659391401</v>
          </cell>
          <cell r="AM162">
            <v>0.64923202275488101</v>
          </cell>
          <cell r="AN162">
            <v>0.46293329594666199</v>
          </cell>
          <cell r="AO162">
            <v>0.48595994420612199</v>
          </cell>
          <cell r="AP162">
            <v>0.54441055755509205</v>
          </cell>
          <cell r="AQ162">
            <v>0.53860453152364296</v>
          </cell>
          <cell r="AR162">
            <v>0.58927136939877001</v>
          </cell>
          <cell r="AS162">
            <v>0.64545930453910905</v>
          </cell>
          <cell r="AT162">
            <v>0.67749226635839099</v>
          </cell>
          <cell r="AU162">
            <v>0.67871758492129197</v>
          </cell>
          <cell r="AV162">
            <v>0.61587635554731701</v>
          </cell>
          <cell r="AW162">
            <v>0.61901346801346802</v>
          </cell>
          <cell r="AX162">
            <v>0.65396654401306697</v>
          </cell>
          <cell r="AY162">
            <v>0.65650900983558402</v>
          </cell>
          <cell r="AZ162">
            <v>0.67444437327281703</v>
          </cell>
          <cell r="BA162">
            <v>0.67113507102617298</v>
          </cell>
          <cell r="BB162">
            <v>0.55012150812150795</v>
          </cell>
          <cell r="BC162">
            <v>0.60776052548274795</v>
          </cell>
          <cell r="BD162">
            <v>0.61763082272826098</v>
          </cell>
          <cell r="BE162">
            <v>0.59673548730020098</v>
          </cell>
          <cell r="BF162">
            <v>0.61731592546194802</v>
          </cell>
          <cell r="BG162">
            <v>0.60525243558397601</v>
          </cell>
          <cell r="BH162">
            <v>0.52545667358644099</v>
          </cell>
          <cell r="BI162">
            <v>0.452528811997364</v>
          </cell>
          <cell r="BJ162">
            <v>0.47095617256228001</v>
          </cell>
          <cell r="BK162">
            <v>0.48203171848287502</v>
          </cell>
          <cell r="BL162">
            <v>0.50095335243672001</v>
          </cell>
          <cell r="BM162">
            <v>0.45159609226644798</v>
          </cell>
          <cell r="BN162">
            <v>0.45159609226644798</v>
          </cell>
        </row>
        <row r="163">
          <cell r="B163" t="str">
            <v>FSM</v>
          </cell>
          <cell r="C163" t="str">
            <v>Price level ratio of PPP conversion factor (GDP) to market exchange rate</v>
          </cell>
          <cell r="D163" t="str">
            <v>PA.NUS.PPPC.RF</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v>0.86373601080532603</v>
          </cell>
          <cell r="AJ163">
            <v>0.87810304007515205</v>
          </cell>
          <cell r="AK163">
            <v>0.88455629205417996</v>
          </cell>
          <cell r="AL163">
            <v>0.89010263002205603</v>
          </cell>
          <cell r="AM163">
            <v>0.89428237466881899</v>
          </cell>
          <cell r="AN163">
            <v>0.89560384005646199</v>
          </cell>
          <cell r="AO163">
            <v>0.89594364862096898</v>
          </cell>
          <cell r="AP163">
            <v>0.88593605371206796</v>
          </cell>
          <cell r="AQ163">
            <v>0.90228122853129999</v>
          </cell>
          <cell r="AR163">
            <v>0.88246094952860099</v>
          </cell>
          <cell r="AS163">
            <v>0.87247785634290198</v>
          </cell>
          <cell r="AT163">
            <v>0.86321825156174004</v>
          </cell>
          <cell r="AU163">
            <v>0.85057714090062797</v>
          </cell>
          <cell r="AV163">
            <v>0.832028414099789</v>
          </cell>
          <cell r="AW163">
            <v>0.81826361104049805</v>
          </cell>
          <cell r="AX163">
            <v>0.81018573675716599</v>
          </cell>
          <cell r="AY163">
            <v>0.79727721111009198</v>
          </cell>
          <cell r="AZ163">
            <v>0.80106754815819603</v>
          </cell>
          <cell r="BA163">
            <v>0.82511130344885597</v>
          </cell>
          <cell r="BB163">
            <v>0.86277328092126504</v>
          </cell>
          <cell r="BC163">
            <v>0.883563144787604</v>
          </cell>
          <cell r="BD163">
            <v>0.87929396015344896</v>
          </cell>
          <cell r="BE163">
            <v>0.92419697881844998</v>
          </cell>
          <cell r="BF163">
            <v>0.91404291856148601</v>
          </cell>
          <cell r="BG163">
            <v>0.92457948441036197</v>
          </cell>
          <cell r="BH163">
            <v>0.86776996172482201</v>
          </cell>
          <cell r="BI163">
            <v>0.89352064043552204</v>
          </cell>
          <cell r="BJ163">
            <v>0.942555623445824</v>
          </cell>
          <cell r="BK163">
            <v>1.0068527545828001</v>
          </cell>
          <cell r="BL163">
            <v>0.99260672729453003</v>
          </cell>
          <cell r="BM163">
            <v>1.00337073060386</v>
          </cell>
          <cell r="BN163">
            <v>1.00337073060386</v>
          </cell>
        </row>
        <row r="164">
          <cell r="B164" t="str">
            <v>MEA</v>
          </cell>
          <cell r="C164" t="str">
            <v>Price level ratio of PPP conversion factor (GDP) to market exchange rate</v>
          </cell>
          <cell r="D164" t="str">
            <v>PA.NUS.PPPC.RF</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
          </cell>
        </row>
        <row r="165">
          <cell r="B165" t="str">
            <v>MNA</v>
          </cell>
          <cell r="C165" t="str">
            <v>Price level ratio of PPP conversion factor (GDP) to market exchange rate</v>
          </cell>
          <cell r="D165" t="str">
            <v>PA.NUS.PPPC.RF</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
          </cell>
        </row>
        <row r="166">
          <cell r="B166" t="str">
            <v>TMN</v>
          </cell>
          <cell r="C166" t="str">
            <v>Price level ratio of PPP conversion factor (GDP) to market exchange rate</v>
          </cell>
          <cell r="D166" t="str">
            <v>PA.NUS.PPPC.RF</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
          </cell>
        </row>
        <row r="167">
          <cell r="B167" t="str">
            <v>MIC</v>
          </cell>
          <cell r="C167" t="str">
            <v>Price level ratio of PPP conversion factor (GDP) to market exchange rate</v>
          </cell>
          <cell r="D167" t="str">
            <v>PA.NUS.PPPC.RF</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
          </cell>
        </row>
        <row r="168">
          <cell r="B168" t="str">
            <v>MDA</v>
          </cell>
          <cell r="C168" t="str">
            <v>Price level ratio of PPP conversion factor (GDP) to market exchange rate</v>
          </cell>
          <cell r="D168" t="str">
            <v>PA.NUS.PPPC.RF</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v>0.186467895312558</v>
          </cell>
          <cell r="AO168">
            <v>0.18812771301131501</v>
          </cell>
          <cell r="AP168">
            <v>0.207030920701893</v>
          </cell>
          <cell r="AQ168">
            <v>0.19279885127858501</v>
          </cell>
          <cell r="AR168">
            <v>0.13555461982621</v>
          </cell>
          <cell r="AS168">
            <v>0.14290202276679401</v>
          </cell>
          <cell r="AT168">
            <v>0.15146027547600599</v>
          </cell>
          <cell r="AU168">
            <v>0.15523455762428401</v>
          </cell>
          <cell r="AV168">
            <v>0.170420013804918</v>
          </cell>
          <cell r="AW168">
            <v>0.20267280889429701</v>
          </cell>
          <cell r="AX168">
            <v>0.21028865774223099</v>
          </cell>
          <cell r="AY168">
            <v>0.222129542559174</v>
          </cell>
          <cell r="AZ168">
            <v>0.27120394097230499</v>
          </cell>
          <cell r="BA168">
            <v>0.33950334604821297</v>
          </cell>
          <cell r="BB168">
            <v>0.32200846949734802</v>
          </cell>
          <cell r="BC168">
            <v>0.38109692890968899</v>
          </cell>
          <cell r="BD168">
            <v>0.42557494983559702</v>
          </cell>
          <cell r="BE168">
            <v>0.41364562427387203</v>
          </cell>
          <cell r="BF168">
            <v>0.39634556236464702</v>
          </cell>
          <cell r="BG168">
            <v>0.37711352036016899</v>
          </cell>
          <cell r="BH168">
            <v>0.29524600882426</v>
          </cell>
          <cell r="BI168">
            <v>0.27147121213280101</v>
          </cell>
          <cell r="BJ168">
            <v>0.30122717571707103</v>
          </cell>
          <cell r="BK168">
            <v>0.33415232996267502</v>
          </cell>
          <cell r="BL168">
            <v>0.33082082365281601</v>
          </cell>
          <cell r="BM168">
            <v>0.34976302005829002</v>
          </cell>
          <cell r="BN168">
            <v>0.34976302005829002</v>
          </cell>
        </row>
        <row r="169">
          <cell r="B169" t="str">
            <v>MCO</v>
          </cell>
          <cell r="C169" t="str">
            <v>Price level ratio of PPP conversion factor (GDP) to market exchange rate</v>
          </cell>
          <cell r="D169" t="str">
            <v>PA.NUS.PPPC.RF</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
          </cell>
        </row>
        <row r="170">
          <cell r="B170" t="str">
            <v>MNG</v>
          </cell>
          <cell r="C170" t="str">
            <v>Price level ratio of PPP conversion factor (GDP) to market exchange rate</v>
          </cell>
          <cell r="D170" t="str">
            <v>PA.NUS.PPPC.RF</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v>0.35056525359174001</v>
          </cell>
          <cell r="AJ170">
            <v>0.34502297553357802</v>
          </cell>
          <cell r="AK170">
            <v>0.205890326655884</v>
          </cell>
          <cell r="AL170">
            <v>0.121128748458649</v>
          </cell>
          <cell r="AM170">
            <v>0.139905820010264</v>
          </cell>
          <cell r="AN170">
            <v>0.2020545322067</v>
          </cell>
          <cell r="AO170">
            <v>0.179856979096058</v>
          </cell>
          <cell r="AP170">
            <v>0.14924485167857199</v>
          </cell>
          <cell r="AQ170">
            <v>0.135981892168656</v>
          </cell>
          <cell r="AR170">
            <v>0.12230048402341399</v>
          </cell>
          <cell r="AS170">
            <v>0.12716146774345999</v>
          </cell>
          <cell r="AT170">
            <v>0.13480082525481901</v>
          </cell>
          <cell r="AU170">
            <v>0.13955103839961799</v>
          </cell>
          <cell r="AV170">
            <v>0.14625899166213899</v>
          </cell>
          <cell r="AW170">
            <v>0.16076534700935999</v>
          </cell>
          <cell r="AX170">
            <v>0.18414214851556501</v>
          </cell>
          <cell r="AY170">
            <v>0.222752665022658</v>
          </cell>
          <cell r="AZ170">
            <v>0.24407456241390499</v>
          </cell>
          <cell r="BA170">
            <v>0.29191612479763801</v>
          </cell>
          <cell r="BB170">
            <v>0.239193916131443</v>
          </cell>
          <cell r="BC170">
            <v>0.348647472310185</v>
          </cell>
          <cell r="BD170">
            <v>0.42158855506905801</v>
          </cell>
          <cell r="BE170">
            <v>0.425507267527512</v>
          </cell>
          <cell r="BF170">
            <v>0.41385158386492299</v>
          </cell>
          <cell r="BG170">
            <v>0.37612239403599701</v>
          </cell>
          <cell r="BH170">
            <v>0.363938952132488</v>
          </cell>
          <cell r="BI170">
            <v>0.34071199308482503</v>
          </cell>
          <cell r="BJ170">
            <v>0.32438865120809002</v>
          </cell>
          <cell r="BK170">
            <v>0.33747650954908698</v>
          </cell>
          <cell r="BL170">
            <v>0.33846685233824397</v>
          </cell>
          <cell r="BM170">
            <v>0.32837130121153102</v>
          </cell>
          <cell r="BN170">
            <v>0.32837130121153102</v>
          </cell>
        </row>
        <row r="171">
          <cell r="B171" t="str">
            <v>MNE</v>
          </cell>
          <cell r="C171" t="str">
            <v>Price level ratio of PPP conversion factor (GDP) to market exchange rate</v>
          </cell>
          <cell r="D171" t="str">
            <v>PA.NUS.PPPC.RF</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v>0.27109783535743598</v>
          </cell>
          <cell r="AT171">
            <v>0.28205575962831297</v>
          </cell>
          <cell r="AU171">
            <v>0.296695598822038</v>
          </cell>
          <cell r="AV171">
            <v>0.37994985414641302</v>
          </cell>
          <cell r="AW171">
            <v>0.43101694581549199</v>
          </cell>
          <cell r="AX171">
            <v>0.44199803176040398</v>
          </cell>
          <cell r="AY171">
            <v>0.42315658999678502</v>
          </cell>
          <cell r="AZ171">
            <v>0.479672656660668</v>
          </cell>
          <cell r="BA171">
            <v>0.533254646017158</v>
          </cell>
          <cell r="BB171">
            <v>0.51658982246774499</v>
          </cell>
          <cell r="BC171">
            <v>0.49050124692306901</v>
          </cell>
          <cell r="BD171">
            <v>0.50640455616469604</v>
          </cell>
          <cell r="BE171">
            <v>0.47509904836003197</v>
          </cell>
          <cell r="BF171">
            <v>0.48327880801824502</v>
          </cell>
          <cell r="BG171">
            <v>0.48001280731287999</v>
          </cell>
          <cell r="BH171">
            <v>0.39884486596683699</v>
          </cell>
          <cell r="BI171">
            <v>0.386218399034985</v>
          </cell>
          <cell r="BJ171">
            <v>0.39548625184050401</v>
          </cell>
          <cell r="BK171">
            <v>0.41164416102903001</v>
          </cell>
          <cell r="BL171">
            <v>0.38578727140964397</v>
          </cell>
          <cell r="BM171">
            <v>0.38328438827261802</v>
          </cell>
          <cell r="BN171">
            <v>0.38328438827261802</v>
          </cell>
        </row>
        <row r="172">
          <cell r="B172" t="str">
            <v>MAR</v>
          </cell>
          <cell r="C172" t="str">
            <v>Price level ratio of PPP conversion factor (GDP) to market exchange rate</v>
          </cell>
          <cell r="D172" t="str">
            <v>PA.NUS.PPPC.RF</v>
          </cell>
          <cell r="E172" t="str">
            <v>..</v>
          </cell>
          <cell r="F172" t="str">
            <v>..</v>
          </cell>
          <cell r="G172" t="str">
            <v>..</v>
          </cell>
          <cell r="H172" t="str">
            <v>..</v>
          </cell>
          <cell r="I172" t="str">
            <v>..</v>
          </cell>
          <cell r="J172" t="str">
            <v>..</v>
          </cell>
          <cell r="K172" t="str">
            <v>..</v>
          </cell>
          <cell r="L172" t="str">
            <v>..</v>
          </cell>
          <cell r="M172" t="str">
            <v>..</v>
          </cell>
          <cell r="N172" t="str">
            <v>..</v>
          </cell>
          <cell r="O172" t="str">
            <v>..</v>
          </cell>
          <cell r="P172" t="str">
            <v>..</v>
          </cell>
          <cell r="Q172" t="str">
            <v>..</v>
          </cell>
          <cell r="R172" t="str">
            <v>..</v>
          </cell>
          <cell r="S172" t="str">
            <v>..</v>
          </cell>
          <cell r="T172" t="str">
            <v>..</v>
          </cell>
          <cell r="U172" t="str">
            <v>..</v>
          </cell>
          <cell r="V172" t="str">
            <v>..</v>
          </cell>
          <cell r="W172" t="str">
            <v>..</v>
          </cell>
          <cell r="X172" t="str">
            <v>..</v>
          </cell>
          <cell r="Y172" t="str">
            <v>..</v>
          </cell>
          <cell r="Z172" t="str">
            <v>..</v>
          </cell>
          <cell r="AA172" t="str">
            <v>..</v>
          </cell>
          <cell r="AB172" t="str">
            <v>..</v>
          </cell>
          <cell r="AC172" t="str">
            <v>..</v>
          </cell>
          <cell r="AD172" t="str">
            <v>..</v>
          </cell>
          <cell r="AE172" t="str">
            <v>..</v>
          </cell>
          <cell r="AF172" t="str">
            <v>..</v>
          </cell>
          <cell r="AG172" t="str">
            <v>..</v>
          </cell>
          <cell r="AH172" t="str">
            <v>..</v>
          </cell>
          <cell r="AI172">
            <v>0.47341832803783701</v>
          </cell>
          <cell r="AJ172">
            <v>0.45690551087509901</v>
          </cell>
          <cell r="AK172">
            <v>0.476446453782228</v>
          </cell>
          <cell r="AL172">
            <v>0.440295816543537</v>
          </cell>
          <cell r="AM172">
            <v>0.438441657649979</v>
          </cell>
          <cell r="AN172">
            <v>0.49766189170606101</v>
          </cell>
          <cell r="AO172">
            <v>0.48093606185311599</v>
          </cell>
          <cell r="AP172">
            <v>0.43534478666938398</v>
          </cell>
          <cell r="AQ172">
            <v>0.428701175982175</v>
          </cell>
          <cell r="AR172">
            <v>0.41633685724771002</v>
          </cell>
          <cell r="AS172">
            <v>0.372956956268504</v>
          </cell>
          <cell r="AT172">
            <v>0.34533104172551699</v>
          </cell>
          <cell r="AU172">
            <v>0.35286596971877299</v>
          </cell>
          <cell r="AV172">
            <v>0.40301240466397897</v>
          </cell>
          <cell r="AW172">
            <v>0.42887405956547098</v>
          </cell>
          <cell r="AX172">
            <v>0.42101254432934798</v>
          </cell>
          <cell r="AY172">
            <v>0.41824630230349502</v>
          </cell>
          <cell r="AZ172">
            <v>0.45302100695921799</v>
          </cell>
          <cell r="BA172">
            <v>0.49100079984093098</v>
          </cell>
          <cell r="BB172">
            <v>0.46941961743399002</v>
          </cell>
          <cell r="BC172">
            <v>0.44849490822273702</v>
          </cell>
          <cell r="BD172">
            <v>0.45393342563567501</v>
          </cell>
          <cell r="BE172">
            <v>0.43456826089105099</v>
          </cell>
          <cell r="BF172">
            <v>0.45136989570587199</v>
          </cell>
          <cell r="BG172">
            <v>0.47986184061832099</v>
          </cell>
          <cell r="BH172">
            <v>0.40929154341879798</v>
          </cell>
          <cell r="BI172">
            <v>0.40724312137834201</v>
          </cell>
          <cell r="BJ172">
            <v>0.41513004137669701</v>
          </cell>
          <cell r="BK172">
            <v>0.42317002554213601</v>
          </cell>
          <cell r="BL172">
            <v>0.41126863771123801</v>
          </cell>
          <cell r="BM172">
            <v>0.41504779800945102</v>
          </cell>
          <cell r="BN172">
            <v>0.41504779800945102</v>
          </cell>
        </row>
        <row r="173">
          <cell r="B173" t="str">
            <v>MOZ</v>
          </cell>
          <cell r="C173" t="str">
            <v>Price level ratio of PPP conversion factor (GDP) to market exchange rate</v>
          </cell>
          <cell r="D173" t="str">
            <v>PA.NUS.PPPC.RF</v>
          </cell>
          <cell r="E173" t="str">
            <v>..</v>
          </cell>
          <cell r="F173" t="str">
            <v>..</v>
          </cell>
          <cell r="G173" t="str">
            <v>..</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v>0.88536432112268404</v>
          </cell>
          <cell r="AK173">
            <v>0.66998789152889604</v>
          </cell>
          <cell r="AL173">
            <v>0.61184071212451097</v>
          </cell>
          <cell r="AM173">
            <v>0.57611295411826902</v>
          </cell>
          <cell r="AN173">
            <v>0.57220833850999597</v>
          </cell>
          <cell r="AO173">
            <v>0.67204807480991802</v>
          </cell>
          <cell r="AP173">
            <v>0.71502377938165496</v>
          </cell>
          <cell r="AQ173">
            <v>0.72828346242289299</v>
          </cell>
          <cell r="AR173">
            <v>0.72972958987436398</v>
          </cell>
          <cell r="AS173">
            <v>0.667682357880516</v>
          </cell>
          <cell r="AT173">
            <v>0.55632046626316201</v>
          </cell>
          <cell r="AU173">
            <v>0.52694490253653603</v>
          </cell>
          <cell r="AV173">
            <v>0.53745060067613304</v>
          </cell>
          <cell r="AW173">
            <v>0.58712100582326998</v>
          </cell>
          <cell r="AX173">
            <v>0.59763584314894003</v>
          </cell>
          <cell r="AY173">
            <v>0.56811588289756598</v>
          </cell>
          <cell r="AZ173">
            <v>0.58485031937352905</v>
          </cell>
          <cell r="BA173">
            <v>0.64226370826203905</v>
          </cell>
          <cell r="BB173">
            <v>0.56888464970396102</v>
          </cell>
          <cell r="BC173">
            <v>0.49211170027302598</v>
          </cell>
          <cell r="BD173">
            <v>0.581181154827354</v>
          </cell>
          <cell r="BE173">
            <v>0.635084912458725</v>
          </cell>
          <cell r="BF173">
            <v>0.61206192342568</v>
          </cell>
          <cell r="BG173">
            <v>0.59169321576337297</v>
          </cell>
          <cell r="BH173">
            <v>0.456806050004054</v>
          </cell>
          <cell r="BI173">
            <v>0.31453732572969501</v>
          </cell>
          <cell r="BJ173">
            <v>0.35945276858186398</v>
          </cell>
          <cell r="BK173">
            <v>0.38109870686621</v>
          </cell>
          <cell r="BL173">
            <v>0.37922664102926601</v>
          </cell>
          <cell r="BM173">
            <v>0.34572430561636203</v>
          </cell>
          <cell r="BN173">
            <v>0.34572430561636203</v>
          </cell>
        </row>
        <row r="174">
          <cell r="B174" t="str">
            <v>MMR</v>
          </cell>
          <cell r="C174" t="str">
            <v>Price level ratio of PPP conversion factor (GDP) to market exchange rate</v>
          </cell>
          <cell r="D174" t="str">
            <v>PA.NUS.PPPC.RF</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v>0.123077918923353</v>
          </cell>
          <cell r="AJ174">
            <v>0.12363616710245499</v>
          </cell>
          <cell r="AK174">
            <v>0.119959229105762</v>
          </cell>
          <cell r="AL174">
            <v>0.137866289643502</v>
          </cell>
          <cell r="AM174">
            <v>0.17193457562293399</v>
          </cell>
          <cell r="AN174">
            <v>0.20056624733249101</v>
          </cell>
          <cell r="AO174">
            <v>0.217925056885657</v>
          </cell>
          <cell r="AP174">
            <v>0.197475185431365</v>
          </cell>
          <cell r="AQ174">
            <v>0.15120550045310399</v>
          </cell>
          <cell r="AR174">
            <v>0.16810598526481099</v>
          </cell>
          <cell r="AS174">
            <v>0.17750863023212901</v>
          </cell>
          <cell r="AT174">
            <v>0.140258869932679</v>
          </cell>
          <cell r="AU174">
            <v>0.121430134790402</v>
          </cell>
          <cell r="AV174">
            <v>0.13390141081631199</v>
          </cell>
          <cell r="AW174">
            <v>0.13888273858452099</v>
          </cell>
          <cell r="AX174">
            <v>0.13372151356650799</v>
          </cell>
          <cell r="AY174">
            <v>0.128339627459163</v>
          </cell>
          <cell r="AZ174">
            <v>0.14600841512103599</v>
          </cell>
          <cell r="BA174">
            <v>0.19032350056657099</v>
          </cell>
          <cell r="BB174">
            <v>0.21896477937992601</v>
          </cell>
          <cell r="BC174">
            <v>0.25232584295253702</v>
          </cell>
          <cell r="BD174">
            <v>0.32914997466706702</v>
          </cell>
          <cell r="BE174">
            <v>0.31978022090275698</v>
          </cell>
          <cell r="BF174">
            <v>0.30882828312504002</v>
          </cell>
          <cell r="BG174">
            <v>0.30177280152769198</v>
          </cell>
          <cell r="BH174">
            <v>0.29150161080838199</v>
          </cell>
          <cell r="BI174">
            <v>0.28195484693196099</v>
          </cell>
          <cell r="BJ174">
            <v>0.27248246928575998</v>
          </cell>
          <cell r="BK174">
            <v>0.273254185274801</v>
          </cell>
          <cell r="BL174">
            <v>0.25730209242914198</v>
          </cell>
          <cell r="BM174">
            <v>0.28642744597931102</v>
          </cell>
          <cell r="BN174">
            <v>0.28642744597931102</v>
          </cell>
        </row>
        <row r="175">
          <cell r="B175" t="str">
            <v>NAM</v>
          </cell>
          <cell r="C175" t="str">
            <v>Price level ratio of PPP conversion factor (GDP) to market exchange rate</v>
          </cell>
          <cell r="D175" t="str">
            <v>PA.NUS.PPPC.RF</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v>0.55009015688717999</v>
          </cell>
          <cell r="AJ175">
            <v>0.52841523163341497</v>
          </cell>
          <cell r="AK175">
            <v>0.54877122835866399</v>
          </cell>
          <cell r="AL175">
            <v>0.51634964760542601</v>
          </cell>
          <cell r="AM175">
            <v>0.53815941137729795</v>
          </cell>
          <cell r="AN175">
            <v>0.55049605134764101</v>
          </cell>
          <cell r="AO175">
            <v>0.525289581088621</v>
          </cell>
          <cell r="AP175">
            <v>0.51573861883968797</v>
          </cell>
          <cell r="AQ175">
            <v>0.46025244295628098</v>
          </cell>
          <cell r="AR175">
            <v>0.43839723382010298</v>
          </cell>
          <cell r="AS175">
            <v>0.42009394037484699</v>
          </cell>
          <cell r="AT175">
            <v>0.36849118848866302</v>
          </cell>
          <cell r="AU175">
            <v>0.32592044917752</v>
          </cell>
          <cell r="AV175">
            <v>0.45152689927860701</v>
          </cell>
          <cell r="AW175">
            <v>0.52540839199864897</v>
          </cell>
          <cell r="AX175">
            <v>0.54503018114629798</v>
          </cell>
          <cell r="AY175">
            <v>0.545427397489883</v>
          </cell>
          <cell r="AZ175">
            <v>0.55684368917017502</v>
          </cell>
          <cell r="BA175">
            <v>0.51814992320215203</v>
          </cell>
          <cell r="BB175">
            <v>0.53245193569377003</v>
          </cell>
          <cell r="BC175">
            <v>0.63474136656845304</v>
          </cell>
          <cell r="BD175">
            <v>0.64815181575409297</v>
          </cell>
          <cell r="BE175">
            <v>0.63614440355946</v>
          </cell>
          <cell r="BF175">
            <v>0.55385720902098801</v>
          </cell>
          <cell r="BG175">
            <v>0.52257401654124602</v>
          </cell>
          <cell r="BH175">
            <v>0.46049841824378501</v>
          </cell>
          <cell r="BI175">
            <v>0.43607304045130402</v>
          </cell>
          <cell r="BJ175">
            <v>0.52766613564245801</v>
          </cell>
          <cell r="BK175">
            <v>0.54100479165889104</v>
          </cell>
          <cell r="BL175">
            <v>0.48982111296640901</v>
          </cell>
          <cell r="BM175">
            <v>0.449477204200182</v>
          </cell>
          <cell r="BN175">
            <v>0.449477204200182</v>
          </cell>
        </row>
        <row r="176">
          <cell r="B176" t="str">
            <v>NRU</v>
          </cell>
          <cell r="C176" t="str">
            <v>Price level ratio of PPP conversion factor (GDP) to market exchange rate</v>
          </cell>
          <cell r="D176" t="str">
            <v>PA.NUS.PPPC.RF</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t="str">
            <v>..</v>
          </cell>
          <cell r="AU176" t="str">
            <v>..</v>
          </cell>
          <cell r="AV176" t="str">
            <v>..</v>
          </cell>
          <cell r="AW176" t="str">
            <v>..</v>
          </cell>
          <cell r="AX176" t="str">
            <v>..</v>
          </cell>
          <cell r="AY176" t="str">
            <v>..</v>
          </cell>
          <cell r="AZ176" t="str">
            <v>..</v>
          </cell>
          <cell r="BA176" t="str">
            <v>..</v>
          </cell>
          <cell r="BB176" t="str">
            <v>..</v>
          </cell>
          <cell r="BC176">
            <v>0.79622899390791602</v>
          </cell>
          <cell r="BD176">
            <v>0.98467297280410804</v>
          </cell>
          <cell r="BE176">
            <v>1.2730212741581199</v>
          </cell>
          <cell r="BF176">
            <v>0.97330949803334499</v>
          </cell>
          <cell r="BG176">
            <v>0.80231091324118398</v>
          </cell>
          <cell r="BH176">
            <v>0.63363458648471804</v>
          </cell>
          <cell r="BI176">
            <v>0.69774683652345104</v>
          </cell>
          <cell r="BJ176">
            <v>0.79684568872987405</v>
          </cell>
          <cell r="BK176">
            <v>0.83177159504708897</v>
          </cell>
          <cell r="BL176">
            <v>0.78227930351362496</v>
          </cell>
          <cell r="BM176">
            <v>0.73780620522602902</v>
          </cell>
          <cell r="BN176">
            <v>0.73780620522602902</v>
          </cell>
        </row>
        <row r="177">
          <cell r="B177" t="str">
            <v>NPL</v>
          </cell>
          <cell r="C177" t="str">
            <v>Price level ratio of PPP conversion factor (GDP) to market exchange rate</v>
          </cell>
          <cell r="D177" t="str">
            <v>PA.NUS.PPPC.RF</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v>0.239818096348278</v>
          </cell>
          <cell r="AJ177">
            <v>0.23575509896173699</v>
          </cell>
          <cell r="AK177">
            <v>0.19203554578607601</v>
          </cell>
          <cell r="AL177">
            <v>0.19438107817867101</v>
          </cell>
          <cell r="AM177">
            <v>0.19541156999635101</v>
          </cell>
          <cell r="AN177">
            <v>0.20018947331702</v>
          </cell>
          <cell r="AO177">
            <v>0.19175422391834501</v>
          </cell>
          <cell r="AP177">
            <v>0.19508177299479701</v>
          </cell>
          <cell r="AQ177">
            <v>0.18488490983426001</v>
          </cell>
          <cell r="AR177">
            <v>0.18092726280398999</v>
          </cell>
          <cell r="AS177">
            <v>0.18188802749298499</v>
          </cell>
          <cell r="AT177">
            <v>0.17296421293375899</v>
          </cell>
          <cell r="AU177">
            <v>0.17130722294791001</v>
          </cell>
          <cell r="AV177">
            <v>0.169277234403544</v>
          </cell>
          <cell r="AW177">
            <v>0.180933913989584</v>
          </cell>
          <cell r="AX177">
            <v>0.18953093609643001</v>
          </cell>
          <cell r="AY177">
            <v>0.197971681138984</v>
          </cell>
          <cell r="AZ177">
            <v>0.21285837084929801</v>
          </cell>
          <cell r="BA177">
            <v>0.23908903794689601</v>
          </cell>
          <cell r="BB177">
            <v>0.23259125170653799</v>
          </cell>
          <cell r="BC177">
            <v>0.27305693166529599</v>
          </cell>
          <cell r="BD177">
            <v>0.34943017956731298</v>
          </cell>
          <cell r="BE177">
            <v>0.32096441121871799</v>
          </cell>
          <cell r="BF177">
            <v>0.30469701301509999</v>
          </cell>
          <cell r="BG177">
            <v>0.28665164684460898</v>
          </cell>
          <cell r="BH177">
            <v>0.30096236882147698</v>
          </cell>
          <cell r="BI177">
            <v>0.30087671037802899</v>
          </cell>
          <cell r="BJ177">
            <v>0.29408010774827698</v>
          </cell>
          <cell r="BK177">
            <v>0.30497611084320603</v>
          </cell>
          <cell r="BL177">
            <v>0.29004354385786602</v>
          </cell>
          <cell r="BM177">
            <v>0.288172948670328</v>
          </cell>
          <cell r="BN177">
            <v>0.288172948670328</v>
          </cell>
        </row>
        <row r="178">
          <cell r="B178" t="str">
            <v>NLD</v>
          </cell>
          <cell r="C178" t="str">
            <v>Price level ratio of PPP conversion factor (GDP) to market exchange rate</v>
          </cell>
          <cell r="D178" t="str">
            <v>PA.NUS.PPPC.RF</v>
          </cell>
          <cell r="E178" t="str">
            <v>..</v>
          </cell>
          <cell r="F178" t="str">
            <v>..</v>
          </cell>
          <cell r="G178" t="str">
            <v>..</v>
          </cell>
          <cell r="H178" t="str">
            <v>..</v>
          </cell>
          <cell r="I178" t="str">
            <v>..</v>
          </cell>
          <cell r="J178" t="str">
            <v>..</v>
          </cell>
          <cell r="K178" t="str">
            <v>..</v>
          </cell>
          <cell r="L178" t="str">
            <v>..</v>
          </cell>
          <cell r="M178" t="str">
            <v>..</v>
          </cell>
          <cell r="N178" t="str">
            <v>..</v>
          </cell>
          <cell r="O178" t="str">
            <v>..</v>
          </cell>
          <cell r="P178" t="str">
            <v>..</v>
          </cell>
          <cell r="Q178" t="str">
            <v>..</v>
          </cell>
          <cell r="R178" t="str">
            <v>..</v>
          </cell>
          <cell r="S178" t="str">
            <v>..</v>
          </cell>
          <cell r="T178" t="str">
            <v>..</v>
          </cell>
          <cell r="U178" t="str">
            <v>..</v>
          </cell>
          <cell r="V178" t="str">
            <v>..</v>
          </cell>
          <cell r="W178" t="str">
            <v>..</v>
          </cell>
          <cell r="X178" t="str">
            <v>..</v>
          </cell>
          <cell r="Y178" t="str">
            <v>..</v>
          </cell>
          <cell r="Z178" t="str">
            <v>..</v>
          </cell>
          <cell r="AA178" t="str">
            <v>..</v>
          </cell>
          <cell r="AB178" t="str">
            <v>..</v>
          </cell>
          <cell r="AC178" t="str">
            <v>..</v>
          </cell>
          <cell r="AD178" t="str">
            <v>..</v>
          </cell>
          <cell r="AE178" t="str">
            <v>..</v>
          </cell>
          <cell r="AF178" t="str">
            <v>..</v>
          </cell>
          <cell r="AG178" t="str">
            <v>..</v>
          </cell>
          <cell r="AH178" t="str">
            <v>..</v>
          </cell>
          <cell r="AI178">
            <v>1.11093549558272</v>
          </cell>
          <cell r="AJ178">
            <v>1.0792279585101401</v>
          </cell>
          <cell r="AK178">
            <v>1.14982205513784</v>
          </cell>
          <cell r="AL178">
            <v>1.08048172757475</v>
          </cell>
          <cell r="AM178">
            <v>1.10180651410582</v>
          </cell>
          <cell r="AN178">
            <v>1.2485520175679401</v>
          </cell>
          <cell r="AO178">
            <v>1.1835267973856201</v>
          </cell>
          <cell r="AP178">
            <v>1.0262706121527001</v>
          </cell>
          <cell r="AQ178">
            <v>1.00638191512997</v>
          </cell>
          <cell r="AR178">
            <v>0.96564777327935203</v>
          </cell>
          <cell r="AS178">
            <v>0.82048092868988398</v>
          </cell>
          <cell r="AT178">
            <v>0.80991946308724805</v>
          </cell>
          <cell r="AU178">
            <v>0.84779126670431004</v>
          </cell>
          <cell r="AV178">
            <v>1.04458577878104</v>
          </cell>
          <cell r="AW178">
            <v>1.1271331015644399</v>
          </cell>
          <cell r="AX178">
            <v>1.1157057579903</v>
          </cell>
          <cell r="AY178">
            <v>1.09386024338226</v>
          </cell>
          <cell r="AZ178">
            <v>1.1773884478510801</v>
          </cell>
          <cell r="BA178">
            <v>1.2417972755236599</v>
          </cell>
          <cell r="BB178">
            <v>1.1785829397054699</v>
          </cell>
          <cell r="BC178">
            <v>1.13111940918121</v>
          </cell>
          <cell r="BD178">
            <v>1.1622421547702499</v>
          </cell>
          <cell r="BE178">
            <v>1.05925064590462</v>
          </cell>
          <cell r="BF178">
            <v>1.05975737830394</v>
          </cell>
          <cell r="BG178">
            <v>1.07305959621923</v>
          </cell>
          <cell r="BH178">
            <v>0.89831969121186095</v>
          </cell>
          <cell r="BI178">
            <v>0.87988616305591005</v>
          </cell>
          <cell r="BJ178">
            <v>0.88139764823104305</v>
          </cell>
          <cell r="BK178">
            <v>0.91685492883971698</v>
          </cell>
          <cell r="BL178">
            <v>0.88936316589019504</v>
          </cell>
          <cell r="BM178">
            <v>0.88406892589572195</v>
          </cell>
          <cell r="BN178">
            <v>0.88406892589572195</v>
          </cell>
        </row>
        <row r="179">
          <cell r="B179" t="str">
            <v>NCL</v>
          </cell>
          <cell r="C179" t="str">
            <v>Price level ratio of PPP conversion factor (GDP) to market exchange rate</v>
          </cell>
          <cell r="D179" t="str">
            <v>PA.NUS.PPPC.RF</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t="str">
            <v>..</v>
          </cell>
          <cell r="BN179" t="str">
            <v/>
          </cell>
        </row>
        <row r="180">
          <cell r="B180" t="str">
            <v>NZL</v>
          </cell>
          <cell r="C180" t="str">
            <v>Price level ratio of PPP conversion factor (GDP) to market exchange rate</v>
          </cell>
          <cell r="D180" t="str">
            <v>PA.NUS.PPPC.RF</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v>0.91920217534213799</v>
          </cell>
          <cell r="AJ180">
            <v>0.83945926176007202</v>
          </cell>
          <cell r="AK180">
            <v>0.79034134410889001</v>
          </cell>
          <cell r="AL180">
            <v>0.82013826668878897</v>
          </cell>
          <cell r="AM180">
            <v>0.89362171072715102</v>
          </cell>
          <cell r="AN180">
            <v>0.97125398512220995</v>
          </cell>
          <cell r="AO180">
            <v>1.01755723602054</v>
          </cell>
          <cell r="AP180">
            <v>0.91278509739645697</v>
          </cell>
          <cell r="AQ180">
            <v>0.76177851465866597</v>
          </cell>
          <cell r="AR180">
            <v>0.74454304841974195</v>
          </cell>
          <cell r="AS180">
            <v>0.63406577965134203</v>
          </cell>
          <cell r="AT180">
            <v>0.61677088565210103</v>
          </cell>
          <cell r="AU180">
            <v>0.72401892651190303</v>
          </cell>
          <cell r="AV180">
            <v>0.91407536338096995</v>
          </cell>
          <cell r="AW180">
            <v>1.01311529411765</v>
          </cell>
          <cell r="AX180">
            <v>1.0807575864254</v>
          </cell>
          <cell r="AY180">
            <v>0.96033460865054099</v>
          </cell>
          <cell r="AZ180">
            <v>1.1058969647975301</v>
          </cell>
          <cell r="BA180">
            <v>1.0478027693821601</v>
          </cell>
          <cell r="BB180">
            <v>0.91943344368792601</v>
          </cell>
          <cell r="BC180">
            <v>1.0786075178043499</v>
          </cell>
          <cell r="BD180">
            <v>1.17388406009947</v>
          </cell>
          <cell r="BE180">
            <v>1.21173280868237</v>
          </cell>
          <cell r="BF180">
            <v>1.18580412043567</v>
          </cell>
          <cell r="BG180">
            <v>1.1951967480574099</v>
          </cell>
          <cell r="BH180">
            <v>1.03071113513137</v>
          </cell>
          <cell r="BI180">
            <v>1.0031207253615499</v>
          </cell>
          <cell r="BJ180">
            <v>1.0167333574122699</v>
          </cell>
          <cell r="BK180">
            <v>1.01716071521239</v>
          </cell>
          <cell r="BL180">
            <v>0.94095956518158597</v>
          </cell>
          <cell r="BM180">
            <v>0.931450496360404</v>
          </cell>
          <cell r="BN180">
            <v>0.931450496360404</v>
          </cell>
        </row>
        <row r="181">
          <cell r="B181" t="str">
            <v>NIC</v>
          </cell>
          <cell r="C181" t="str">
            <v>Price level ratio of PPP conversion factor (GDP) to market exchange rate</v>
          </cell>
          <cell r="D181" t="str">
            <v>PA.NUS.PPPC.RF</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cell r="S181" t="str">
            <v>..</v>
          </cell>
          <cell r="T181" t="str">
            <v>..</v>
          </cell>
          <cell r="U181" t="str">
            <v>..</v>
          </cell>
          <cell r="V181" t="str">
            <v>..</v>
          </cell>
          <cell r="W181" t="str">
            <v>..</v>
          </cell>
          <cell r="X181" t="str">
            <v>..</v>
          </cell>
          <cell r="Y181" t="str">
            <v>..</v>
          </cell>
          <cell r="Z181" t="str">
            <v>..</v>
          </cell>
          <cell r="AA181" t="str">
            <v>..</v>
          </cell>
          <cell r="AB181" t="str">
            <v>..</v>
          </cell>
          <cell r="AC181" t="str">
            <v>..</v>
          </cell>
          <cell r="AD181" t="str">
            <v>..</v>
          </cell>
          <cell r="AE181" t="str">
            <v>..</v>
          </cell>
          <cell r="AF181" t="str">
            <v>..</v>
          </cell>
          <cell r="AG181" t="str">
            <v>..</v>
          </cell>
          <cell r="AH181" t="str">
            <v>..</v>
          </cell>
          <cell r="AI181">
            <v>0.40517899852058997</v>
          </cell>
          <cell r="AJ181">
            <v>0.37973261846900203</v>
          </cell>
          <cell r="AK181">
            <v>0.44536024075674802</v>
          </cell>
          <cell r="AL181">
            <v>0.42790972680633699</v>
          </cell>
          <cell r="AM181">
            <v>0.41123786594601203</v>
          </cell>
          <cell r="AN181">
            <v>0.40760534388457498</v>
          </cell>
          <cell r="AO181">
            <v>0.39165839196219598</v>
          </cell>
          <cell r="AP181">
            <v>0.37710825514288498</v>
          </cell>
          <cell r="AQ181">
            <v>0.37965686279119698</v>
          </cell>
          <cell r="AR181">
            <v>0.36628121706251299</v>
          </cell>
          <cell r="AS181">
            <v>0.361989570502118</v>
          </cell>
          <cell r="AT181">
            <v>0.35857136019663899</v>
          </cell>
          <cell r="AU181">
            <v>0.34383514997352499</v>
          </cell>
          <cell r="AV181">
            <v>0.33545818937638</v>
          </cell>
          <cell r="AW181">
            <v>0.337758552091111</v>
          </cell>
          <cell r="AX181">
            <v>0.34259937594046402</v>
          </cell>
          <cell r="AY181">
            <v>0.34160457013669399</v>
          </cell>
          <cell r="AZ181">
            <v>0.34749045288142699</v>
          </cell>
          <cell r="BA181">
            <v>0.37719739195153201</v>
          </cell>
          <cell r="BB181">
            <v>0.37805742903021999</v>
          </cell>
          <cell r="BC181">
            <v>0.377752731259965</v>
          </cell>
          <cell r="BD181">
            <v>0.38839823258422701</v>
          </cell>
          <cell r="BE181">
            <v>0.39757936093683599</v>
          </cell>
          <cell r="BF181">
            <v>0.39295429863780801</v>
          </cell>
          <cell r="BG181">
            <v>0.39137605255260799</v>
          </cell>
          <cell r="BH181">
            <v>0.387212282714684</v>
          </cell>
          <cell r="BI181">
            <v>0.370135926578886</v>
          </cell>
          <cell r="BJ181">
            <v>0.35961886201445897</v>
          </cell>
          <cell r="BK181">
            <v>0.34335971477025501</v>
          </cell>
          <cell r="BL181">
            <v>0.33907540677385201</v>
          </cell>
          <cell r="BM181">
            <v>0.34207475791716602</v>
          </cell>
          <cell r="BN181">
            <v>0.34207475791716602</v>
          </cell>
        </row>
        <row r="182">
          <cell r="B182" t="str">
            <v>NER</v>
          </cell>
          <cell r="C182" t="str">
            <v>Price level ratio of PPP conversion factor (GDP) to market exchange rate</v>
          </cell>
          <cell r="D182" t="str">
            <v>PA.NUS.PPPC.RF</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t="str">
            <v>..</v>
          </cell>
          <cell r="S182" t="str">
            <v>..</v>
          </cell>
          <cell r="T182" t="str">
            <v>..</v>
          </cell>
          <cell r="U182" t="str">
            <v>..</v>
          </cell>
          <cell r="V182" t="str">
            <v>..</v>
          </cell>
          <cell r="W182" t="str">
            <v>..</v>
          </cell>
          <cell r="X182" t="str">
            <v>..</v>
          </cell>
          <cell r="Y182" t="str">
            <v>..</v>
          </cell>
          <cell r="Z182" t="str">
            <v>..</v>
          </cell>
          <cell r="AA182" t="str">
            <v>..</v>
          </cell>
          <cell r="AB182" t="str">
            <v>..</v>
          </cell>
          <cell r="AC182" t="str">
            <v>..</v>
          </cell>
          <cell r="AD182" t="str">
            <v>..</v>
          </cell>
          <cell r="AE182" t="str">
            <v>..</v>
          </cell>
          <cell r="AF182" t="str">
            <v>..</v>
          </cell>
          <cell r="AG182" t="str">
            <v>..</v>
          </cell>
          <cell r="AH182" t="str">
            <v>..</v>
          </cell>
          <cell r="AI182">
            <v>0.57329811798986496</v>
          </cell>
          <cell r="AJ182">
            <v>0.52106466819406805</v>
          </cell>
          <cell r="AK182">
            <v>0.51472850281217997</v>
          </cell>
          <cell r="AL182">
            <v>0.45182782462218901</v>
          </cell>
          <cell r="AM182">
            <v>0.27574116076969801</v>
          </cell>
          <cell r="AN182">
            <v>0.31317444097451003</v>
          </cell>
          <cell r="AO182">
            <v>0.32099809109005301</v>
          </cell>
          <cell r="AP182">
            <v>0.29571841746717098</v>
          </cell>
          <cell r="AQ182">
            <v>0.30689795002248099</v>
          </cell>
          <cell r="AR182">
            <v>0.29108637085622902</v>
          </cell>
          <cell r="AS182">
            <v>0.25458491974169001</v>
          </cell>
          <cell r="AT182">
            <v>0.253681847045096</v>
          </cell>
          <cell r="AU182">
            <v>0.27043989622779702</v>
          </cell>
          <cell r="AV182">
            <v>0.317021658848545</v>
          </cell>
          <cell r="AW182">
            <v>0.34079306129148301</v>
          </cell>
          <cell r="AX182">
            <v>0.35892530183875299</v>
          </cell>
          <cell r="AY182">
            <v>0.35686602428103098</v>
          </cell>
          <cell r="AZ182">
            <v>0.406019148434063</v>
          </cell>
          <cell r="BA182">
            <v>0.470706929243285</v>
          </cell>
          <cell r="BB182">
            <v>0.46157743221689901</v>
          </cell>
          <cell r="BC182">
            <v>0.44873817468680399</v>
          </cell>
          <cell r="BD182">
            <v>0.47984816739956099</v>
          </cell>
          <cell r="BE182">
            <v>0.457200847529036</v>
          </cell>
          <cell r="BF182">
            <v>0.490149157149044</v>
          </cell>
          <cell r="BG182">
            <v>0.49416929091320599</v>
          </cell>
          <cell r="BH182">
            <v>0.42272693869310601</v>
          </cell>
          <cell r="BI182">
            <v>0.43370996058089201</v>
          </cell>
          <cell r="BJ182">
            <v>0.44511685305243698</v>
          </cell>
          <cell r="BK182">
            <v>0.46429619277376299</v>
          </cell>
          <cell r="BL182">
            <v>0.43419480713815101</v>
          </cell>
          <cell r="BM182">
            <v>0.44064902835188102</v>
          </cell>
          <cell r="BN182">
            <v>0.44064902835188102</v>
          </cell>
        </row>
        <row r="183">
          <cell r="B183" t="str">
            <v>NGA</v>
          </cell>
          <cell r="C183" t="str">
            <v>Price level ratio of PPP conversion factor (GDP) to market exchange rate</v>
          </cell>
          <cell r="D183" t="str">
            <v>PA.NUS.PPPC.RF</v>
          </cell>
          <cell r="E183" t="str">
            <v>..</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t="str">
            <v>..</v>
          </cell>
          <cell r="W183" t="str">
            <v>..</v>
          </cell>
          <cell r="X183" t="str">
            <v>..</v>
          </cell>
          <cell r="Y183" t="str">
            <v>..</v>
          </cell>
          <cell r="Z183" t="str">
            <v>..</v>
          </cell>
          <cell r="AA183" t="str">
            <v>..</v>
          </cell>
          <cell r="AB183" t="str">
            <v>..</v>
          </cell>
          <cell r="AC183" t="str">
            <v>..</v>
          </cell>
          <cell r="AD183" t="str">
            <v>..</v>
          </cell>
          <cell r="AE183" t="str">
            <v>..</v>
          </cell>
          <cell r="AF183" t="str">
            <v>..</v>
          </cell>
          <cell r="AG183" t="str">
            <v>..</v>
          </cell>
          <cell r="AH183" t="str">
            <v>..</v>
          </cell>
          <cell r="AI183">
            <v>0.25658485155095601</v>
          </cell>
          <cell r="AJ183">
            <v>0.22480010829227901</v>
          </cell>
          <cell r="AK183">
            <v>0.204402656087874</v>
          </cell>
          <cell r="AL183">
            <v>0.1183471127153</v>
          </cell>
          <cell r="AM183">
            <v>0.14387302333820301</v>
          </cell>
          <cell r="AN183">
            <v>0.18365816536561499</v>
          </cell>
          <cell r="AO183">
            <v>0.20064398665651001</v>
          </cell>
          <cell r="AP183">
            <v>0.20417473432153899</v>
          </cell>
          <cell r="AQ183">
            <v>0.197350262829951</v>
          </cell>
          <cell r="AR183">
            <v>0.21030231030843399</v>
          </cell>
          <cell r="AS183">
            <v>0.22912133711165</v>
          </cell>
          <cell r="AT183">
            <v>0.22564177696255699</v>
          </cell>
          <cell r="AU183">
            <v>0.24816388496328501</v>
          </cell>
          <cell r="AV183">
            <v>0.249630546784705</v>
          </cell>
          <cell r="AW183">
            <v>0.28537708324684002</v>
          </cell>
          <cell r="AX183">
            <v>0.33579356168944602</v>
          </cell>
          <cell r="AY183">
            <v>0.41194125014092697</v>
          </cell>
          <cell r="AZ183">
            <v>0.439357629162765</v>
          </cell>
          <cell r="BA183">
            <v>0.497181072814464</v>
          </cell>
          <cell r="BB183">
            <v>0.39688954175047803</v>
          </cell>
          <cell r="BC183">
            <v>0.48486881169011897</v>
          </cell>
          <cell r="BD183">
            <v>0.505331795962076</v>
          </cell>
          <cell r="BE183">
            <v>0.54662894592507405</v>
          </cell>
          <cell r="BF183">
            <v>0.56678495793050698</v>
          </cell>
          <cell r="BG183">
            <v>0.56271843343681505</v>
          </cell>
          <cell r="BH183">
            <v>0.49526635423294402</v>
          </cell>
          <cell r="BI183">
            <v>0.41568981006469602</v>
          </cell>
          <cell r="BJ183">
            <v>0.37927366647391503</v>
          </cell>
          <cell r="BK183">
            <v>0.38413274961147098</v>
          </cell>
          <cell r="BL183">
            <v>0.41658737160063097</v>
          </cell>
          <cell r="BM183">
            <v>0.40434362746635699</v>
          </cell>
          <cell r="BN183">
            <v>0.40434362746635699</v>
          </cell>
        </row>
        <row r="184">
          <cell r="B184" t="str">
            <v>NAC</v>
          </cell>
          <cell r="C184" t="str">
            <v>Price level ratio of PPP conversion factor (GDP) to market exchange rate</v>
          </cell>
          <cell r="D184" t="str">
            <v>PA.NUS.PPPC.RF</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cell r="AJ184" t="str">
            <v>..</v>
          </cell>
          <cell r="AK184" t="str">
            <v>..</v>
          </cell>
          <cell r="AL184" t="str">
            <v>..</v>
          </cell>
          <cell r="AM184" t="str">
            <v>..</v>
          </cell>
          <cell r="AN184" t="str">
            <v>..</v>
          </cell>
          <cell r="AO184" t="str">
            <v>..</v>
          </cell>
          <cell r="AP184" t="str">
            <v>..</v>
          </cell>
          <cell r="AQ184" t="str">
            <v>..</v>
          </cell>
          <cell r="AR184" t="str">
            <v>..</v>
          </cell>
          <cell r="AS184" t="str">
            <v>..</v>
          </cell>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BM184" t="str">
            <v>..</v>
          </cell>
          <cell r="BN184" t="str">
            <v/>
          </cell>
        </row>
        <row r="185">
          <cell r="B185" t="str">
            <v>MKD</v>
          </cell>
          <cell r="C185" t="str">
            <v>Price level ratio of PPP conversion factor (GDP) to market exchange rate</v>
          </cell>
          <cell r="D185" t="str">
            <v>PA.NUS.PPPC.RF</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v>0.42613131841465202</v>
          </cell>
          <cell r="AJ185">
            <v>0.46165276711742997</v>
          </cell>
          <cell r="AK185">
            <v>0.238358189497238</v>
          </cell>
          <cell r="AL185">
            <v>0.27699633579108002</v>
          </cell>
          <cell r="AM185">
            <v>0.36632832316997999</v>
          </cell>
          <cell r="AN185">
            <v>0.47981273718926198</v>
          </cell>
          <cell r="AO185">
            <v>0.45923464444957002</v>
          </cell>
          <cell r="AP185">
            <v>0.37491226118681298</v>
          </cell>
          <cell r="AQ185">
            <v>0.34430843066134398</v>
          </cell>
          <cell r="AR185">
            <v>0.33459756792068601</v>
          </cell>
          <cell r="AS185">
            <v>0.30265922398448802</v>
          </cell>
          <cell r="AT185">
            <v>0.30133041125679699</v>
          </cell>
          <cell r="AU185">
            <v>0.31103435862415402</v>
          </cell>
          <cell r="AV185">
            <v>0.37002421576325001</v>
          </cell>
          <cell r="AW185">
            <v>0.38983509712247699</v>
          </cell>
          <cell r="AX185">
            <v>0.39147972844069101</v>
          </cell>
          <cell r="AY185">
            <v>0.38698236283519299</v>
          </cell>
          <cell r="AZ185">
            <v>0.436256249163681</v>
          </cell>
          <cell r="BA185">
            <v>0.46011207077133698</v>
          </cell>
          <cell r="BB185">
            <v>0.41641356366303001</v>
          </cell>
          <cell r="BC185">
            <v>0.402929757291489</v>
          </cell>
          <cell r="BD185">
            <v>0.43611109311276802</v>
          </cell>
          <cell r="BE185">
            <v>0.39681362935590297</v>
          </cell>
          <cell r="BF185">
            <v>0.41179538081294198</v>
          </cell>
          <cell r="BG185">
            <v>0.40906581138103798</v>
          </cell>
          <cell r="BH185">
            <v>0.350046844112401</v>
          </cell>
          <cell r="BI185">
            <v>0.34017640997666099</v>
          </cell>
          <cell r="BJ185">
            <v>0.34702271381257999</v>
          </cell>
          <cell r="BK185">
            <v>0.36410367289733098</v>
          </cell>
          <cell r="BL185">
            <v>0.34559133849361801</v>
          </cell>
          <cell r="BM185">
            <v>0.34890196252962402</v>
          </cell>
          <cell r="BN185">
            <v>0.34890196252962402</v>
          </cell>
        </row>
        <row r="186">
          <cell r="B186" t="str">
            <v>MNP</v>
          </cell>
          <cell r="C186" t="str">
            <v>Price level ratio of PPP conversion factor (GDP) to market exchange rate</v>
          </cell>
          <cell r="D186" t="str">
            <v>PA.NUS.PPPC.RF</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v>
          </cell>
          <cell r="AD186" t="str">
            <v>..</v>
          </cell>
          <cell r="AE186" t="str">
            <v>..</v>
          </cell>
          <cell r="AF186" t="str">
            <v>..</v>
          </cell>
          <cell r="AG186" t="str">
            <v>..</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t="str">
            <v>..</v>
          </cell>
          <cell r="BN186" t="str">
            <v/>
          </cell>
        </row>
        <row r="187">
          <cell r="B187" t="str">
            <v>NOR</v>
          </cell>
          <cell r="C187" t="str">
            <v>Price level ratio of PPP conversion factor (GDP) to market exchange rate</v>
          </cell>
          <cell r="D187" t="str">
            <v>PA.NUS.PPPC.RF</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v>1.53068725338275</v>
          </cell>
          <cell r="AJ187">
            <v>1.4612590044578799</v>
          </cell>
          <cell r="AK187">
            <v>1.4808705446938599</v>
          </cell>
          <cell r="AL187">
            <v>1.2962725363330101</v>
          </cell>
          <cell r="AM187">
            <v>1.2737451824982999</v>
          </cell>
          <cell r="AN187">
            <v>1.43239550448289</v>
          </cell>
          <cell r="AO187">
            <v>1.3916605166051701</v>
          </cell>
          <cell r="AP187">
            <v>1.2803479232052499</v>
          </cell>
          <cell r="AQ187">
            <v>1.2342253913135699</v>
          </cell>
          <cell r="AR187">
            <v>1.1903450353882401</v>
          </cell>
          <cell r="AS187">
            <v>1.03235213251835</v>
          </cell>
          <cell r="AT187">
            <v>1.0206122312799599</v>
          </cell>
          <cell r="AU187">
            <v>1.1343883864826301</v>
          </cell>
          <cell r="AV187">
            <v>1.2990431061269501</v>
          </cell>
          <cell r="AW187">
            <v>1.35379346665084</v>
          </cell>
          <cell r="AX187">
            <v>1.3977809856422201</v>
          </cell>
          <cell r="AY187">
            <v>1.3690483838273599</v>
          </cell>
          <cell r="AZ187">
            <v>1.52224474128666</v>
          </cell>
          <cell r="BA187">
            <v>1.5707945035461</v>
          </cell>
          <cell r="BB187">
            <v>1.44457373216927</v>
          </cell>
          <cell r="BC187">
            <v>1.5140593409623599</v>
          </cell>
          <cell r="BD187">
            <v>1.6205838344890899</v>
          </cell>
          <cell r="BE187">
            <v>1.5534310270734899</v>
          </cell>
          <cell r="BF187">
            <v>1.53691046808511</v>
          </cell>
          <cell r="BG187">
            <v>1.4723815921713801</v>
          </cell>
          <cell r="BH187">
            <v>1.23168535703214</v>
          </cell>
          <cell r="BI187">
            <v>1.1954642857142901</v>
          </cell>
          <cell r="BJ187">
            <v>1.1787019947612301</v>
          </cell>
          <cell r="BK187">
            <v>1.17848127881955</v>
          </cell>
          <cell r="BL187">
            <v>1.13354340909091</v>
          </cell>
          <cell r="BM187">
            <v>1.07478399858395</v>
          </cell>
          <cell r="BN187">
            <v>1.07478399858395</v>
          </cell>
        </row>
        <row r="188">
          <cell r="B188" t="str">
            <v>INX</v>
          </cell>
          <cell r="C188" t="str">
            <v>Price level ratio of PPP conversion factor (GDP) to market exchange rate</v>
          </cell>
          <cell r="D188" t="str">
            <v>PA.NUS.PPPC.RF</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
          </cell>
        </row>
        <row r="189">
          <cell r="B189" t="str">
            <v>OED</v>
          </cell>
          <cell r="C189" t="str">
            <v>Price level ratio of PPP conversion factor (GDP) to market exchange rate</v>
          </cell>
          <cell r="D189" t="str">
            <v>PA.NUS.PPPC.RF</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cell r="AJ189" t="str">
            <v>..</v>
          </cell>
          <cell r="AK189" t="str">
            <v>..</v>
          </cell>
          <cell r="AL189" t="str">
            <v>..</v>
          </cell>
          <cell r="AM189" t="str">
            <v>..</v>
          </cell>
          <cell r="AN189" t="str">
            <v>..</v>
          </cell>
          <cell r="AO189" t="str">
            <v>..</v>
          </cell>
          <cell r="AP189" t="str">
            <v>..</v>
          </cell>
          <cell r="AQ189" t="str">
            <v>..</v>
          </cell>
          <cell r="AR189" t="str">
            <v>..</v>
          </cell>
          <cell r="AS189" t="str">
            <v>..</v>
          </cell>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BM189" t="str">
            <v>..</v>
          </cell>
          <cell r="BN189" t="str">
            <v/>
          </cell>
        </row>
        <row r="190">
          <cell r="B190" t="str">
            <v>OMN</v>
          </cell>
          <cell r="C190" t="str">
            <v>Price level ratio of PPP conversion factor (GDP) to market exchange rate</v>
          </cell>
          <cell r="D190" t="str">
            <v>PA.NUS.PPPC.RF</v>
          </cell>
          <cell r="E190" t="str">
            <v>..</v>
          </cell>
          <cell r="F190" t="str">
            <v>..</v>
          </cell>
          <cell r="G190" t="str">
            <v>..</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t="str">
            <v>..</v>
          </cell>
          <cell r="AF190" t="str">
            <v>..</v>
          </cell>
          <cell r="AG190" t="str">
            <v>..</v>
          </cell>
          <cell r="AH190" t="str">
            <v>..</v>
          </cell>
          <cell r="AI190">
            <v>0.27931001892694401</v>
          </cell>
          <cell r="AJ190">
            <v>0.247213815278229</v>
          </cell>
          <cell r="AK190">
            <v>0.24478265593050999</v>
          </cell>
          <cell r="AL190">
            <v>0.22622803351788801</v>
          </cell>
          <cell r="AM190">
            <v>0.220500361555556</v>
          </cell>
          <cell r="AN190">
            <v>0.219764471832745</v>
          </cell>
          <cell r="AO190">
            <v>0.231817157900021</v>
          </cell>
          <cell r="AP190">
            <v>0.22265407698360301</v>
          </cell>
          <cell r="AQ190">
            <v>0.19077717795884799</v>
          </cell>
          <cell r="AR190">
            <v>0.20882076206280101</v>
          </cell>
          <cell r="AS190">
            <v>0.23981284033047201</v>
          </cell>
          <cell r="AT190">
            <v>0.22395892701015699</v>
          </cell>
          <cell r="AU190">
            <v>0.23084205637848601</v>
          </cell>
          <cell r="AV190">
            <v>0.25008216105334502</v>
          </cell>
          <cell r="AW190">
            <v>0.275203510445163</v>
          </cell>
          <cell r="AX190">
            <v>0.32684588022539401</v>
          </cell>
          <cell r="AY190">
            <v>0.36048635533877799</v>
          </cell>
          <cell r="AZ190">
            <v>0.38006767707197903</v>
          </cell>
          <cell r="BA190">
            <v>0.498645377936557</v>
          </cell>
          <cell r="BB190">
            <v>0.37052042396670698</v>
          </cell>
          <cell r="BC190">
            <v>0.42351731090518602</v>
          </cell>
          <cell r="BD190">
            <v>0.48074850955462201</v>
          </cell>
          <cell r="BE190">
            <v>0.49142107386892803</v>
          </cell>
          <cell r="BF190">
            <v>0.49587340131692598</v>
          </cell>
          <cell r="BG190">
            <v>0.51871538937324302</v>
          </cell>
          <cell r="BH190">
            <v>0.51516879674517002</v>
          </cell>
          <cell r="BI190">
            <v>0.50538634912865299</v>
          </cell>
          <cell r="BJ190">
            <v>0.52026340493300105</v>
          </cell>
          <cell r="BK190">
            <v>0.56767253010193197</v>
          </cell>
          <cell r="BL190">
            <v>0.542849544358049</v>
          </cell>
          <cell r="BM190">
            <v>0.46546428048402899</v>
          </cell>
          <cell r="BN190">
            <v>0.46546428048402899</v>
          </cell>
        </row>
        <row r="191">
          <cell r="B191" t="str">
            <v>OSS</v>
          </cell>
          <cell r="C191" t="str">
            <v>Price level ratio of PPP conversion factor (GDP) to market exchange rate</v>
          </cell>
          <cell r="D191" t="str">
            <v>PA.NUS.PPPC.RF</v>
          </cell>
          <cell r="E191" t="str">
            <v>..</v>
          </cell>
          <cell r="F191" t="str">
            <v>..</v>
          </cell>
          <cell r="G191" t="str">
            <v>..</v>
          </cell>
          <cell r="H191" t="str">
            <v>..</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t="str">
            <v>..</v>
          </cell>
          <cell r="AF191" t="str">
            <v>..</v>
          </cell>
          <cell r="AG191" t="str">
            <v>..</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BM191" t="str">
            <v>..</v>
          </cell>
          <cell r="BN191" t="str">
            <v/>
          </cell>
        </row>
        <row r="192">
          <cell r="B192" t="str">
            <v>PSS</v>
          </cell>
          <cell r="C192" t="str">
            <v>Price level ratio of PPP conversion factor (GDP) to market exchange rate</v>
          </cell>
          <cell r="D192" t="str">
            <v>PA.NUS.PPPC.RF</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t="str">
            <v>..</v>
          </cell>
          <cell r="AF192" t="str">
            <v>..</v>
          </cell>
          <cell r="AG192" t="str">
            <v>..</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v>
          </cell>
          <cell r="BN192" t="str">
            <v/>
          </cell>
        </row>
        <row r="193">
          <cell r="B193" t="str">
            <v>PAK</v>
          </cell>
          <cell r="C193" t="str">
            <v>Price level ratio of PPP conversion factor (GDP) to market exchange rate</v>
          </cell>
          <cell r="D193" t="str">
            <v>PA.NUS.PPPC.RF</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v>0.25449516578821801</v>
          </cell>
          <cell r="AJ193">
            <v>0.26719214726962898</v>
          </cell>
          <cell r="AK193">
            <v>0.25987537418743401</v>
          </cell>
          <cell r="AL193">
            <v>0.26440187995028203</v>
          </cell>
          <cell r="AM193">
            <v>0.251876067669903</v>
          </cell>
          <cell r="AN193">
            <v>0.27253549986022702</v>
          </cell>
          <cell r="AO193">
            <v>0.26656306812727998</v>
          </cell>
          <cell r="AP193">
            <v>0.25561948860551498</v>
          </cell>
          <cell r="AQ193">
            <v>0.24553559309157399</v>
          </cell>
          <cell r="AR193">
            <v>0.236430359163985</v>
          </cell>
          <cell r="AS193">
            <v>0.216326944137222</v>
          </cell>
          <cell r="AT193">
            <v>0.19810394859726899</v>
          </cell>
          <cell r="AU193">
            <v>0.19125383367249599</v>
          </cell>
          <cell r="AV193">
            <v>0.203849464865653</v>
          </cell>
          <cell r="AW193">
            <v>0.21675776555207399</v>
          </cell>
          <cell r="AX193">
            <v>0.219862866610288</v>
          </cell>
          <cell r="AY193">
            <v>0.23376237662447399</v>
          </cell>
          <cell r="AZ193">
            <v>0.24107510103957999</v>
          </cell>
          <cell r="BA193">
            <v>0.25951491094117302</v>
          </cell>
          <cell r="BB193">
            <v>0.247624471810833</v>
          </cell>
          <cell r="BC193">
            <v>0.25381386863864702</v>
          </cell>
          <cell r="BD193">
            <v>0.29171441219843702</v>
          </cell>
          <cell r="BE193">
            <v>0.29813319654579601</v>
          </cell>
          <cell r="BF193">
            <v>0.294597183174584</v>
          </cell>
          <cell r="BG193">
            <v>0.29518372141133298</v>
          </cell>
          <cell r="BH193">
            <v>0.310236300028293</v>
          </cell>
          <cell r="BI193">
            <v>0.31030043634882998</v>
          </cell>
          <cell r="BJ193">
            <v>0.32046827265257499</v>
          </cell>
          <cell r="BK193">
            <v>0.305405245928068</v>
          </cell>
          <cell r="BL193">
            <v>0.26316439189608798</v>
          </cell>
          <cell r="BM193">
            <v>0.247015785074399</v>
          </cell>
          <cell r="BN193">
            <v>0.247015785074399</v>
          </cell>
        </row>
        <row r="194">
          <cell r="B194" t="str">
            <v>PLW</v>
          </cell>
          <cell r="C194" t="str">
            <v>Price level ratio of PPP conversion factor (GDP) to market exchange rate</v>
          </cell>
          <cell r="D194" t="str">
            <v>PA.NUS.PPPC.RF</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v>0.77754336564380999</v>
          </cell>
          <cell r="AT194">
            <v>0.76666246329806098</v>
          </cell>
          <cell r="AU194">
            <v>0.75779242372978295</v>
          </cell>
          <cell r="AV194">
            <v>0.72561287009313902</v>
          </cell>
          <cell r="AW194">
            <v>0.722987813934443</v>
          </cell>
          <cell r="AX194">
            <v>0.77760219563759803</v>
          </cell>
          <cell r="AY194">
            <v>0.76551347064240205</v>
          </cell>
          <cell r="AZ194">
            <v>0.755465458788524</v>
          </cell>
          <cell r="BA194">
            <v>0.78410017877238702</v>
          </cell>
          <cell r="BB194">
            <v>0.78785930688460803</v>
          </cell>
          <cell r="BC194">
            <v>0.77055862045384904</v>
          </cell>
          <cell r="BD194">
            <v>0.749237503264511</v>
          </cell>
          <cell r="BE194">
            <v>0.77991115815568601</v>
          </cell>
          <cell r="BF194">
            <v>0.82590120776115505</v>
          </cell>
          <cell r="BG194">
            <v>0.83379547334625803</v>
          </cell>
          <cell r="BH194">
            <v>0.89129409438368701</v>
          </cell>
          <cell r="BI194">
            <v>0.92875477350882396</v>
          </cell>
          <cell r="BJ194">
            <v>0.90149033526445999</v>
          </cell>
          <cell r="BK194">
            <v>0.87944473010269597</v>
          </cell>
          <cell r="BL194">
            <v>0.84823945302115</v>
          </cell>
          <cell r="BM194">
            <v>0.87267965023040805</v>
          </cell>
          <cell r="BN194">
            <v>0.87267965023040805</v>
          </cell>
        </row>
        <row r="195">
          <cell r="B195" t="str">
            <v>PAN</v>
          </cell>
          <cell r="C195" t="str">
            <v>Price level ratio of PPP conversion factor (GDP) to market exchange rate</v>
          </cell>
          <cell r="D195" t="str">
            <v>PA.NUS.PPPC.RF</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v>0.51645149406287005</v>
          </cell>
          <cell r="AJ195">
            <v>0.50201944840048496</v>
          </cell>
          <cell r="AK195">
            <v>0.51567517575559996</v>
          </cell>
          <cell r="AL195">
            <v>0.52164123642189097</v>
          </cell>
          <cell r="AM195">
            <v>0.52952862753618402</v>
          </cell>
          <cell r="AN195">
            <v>0.521073579760159</v>
          </cell>
          <cell r="AO195">
            <v>0.50688221510487697</v>
          </cell>
          <cell r="AP195">
            <v>0.50598920588408303</v>
          </cell>
          <cell r="AQ195">
            <v>0.50534874232794902</v>
          </cell>
          <cell r="AR195">
            <v>0.50235274808455599</v>
          </cell>
          <cell r="AS195">
            <v>0.48523516262441702</v>
          </cell>
          <cell r="AT195">
            <v>0.479702504337228</v>
          </cell>
          <cell r="AU195">
            <v>0.48012549631402601</v>
          </cell>
          <cell r="AV195">
            <v>0.47670460601609799</v>
          </cell>
          <cell r="AW195">
            <v>0.47332885656891599</v>
          </cell>
          <cell r="AX195">
            <v>0.46705565149082401</v>
          </cell>
          <cell r="AY195">
            <v>0.46226741885077699</v>
          </cell>
          <cell r="AZ195">
            <v>0.471895124881346</v>
          </cell>
          <cell r="BA195">
            <v>0.49773539969889402</v>
          </cell>
          <cell r="BB195">
            <v>0.52593419628110505</v>
          </cell>
          <cell r="BC195">
            <v>0.533341933825493</v>
          </cell>
          <cell r="BD195">
            <v>0.55296015739440896</v>
          </cell>
          <cell r="BE195">
            <v>0.57401180267333995</v>
          </cell>
          <cell r="BF195">
            <v>0.57132041454315197</v>
          </cell>
          <cell r="BG195">
            <v>0.55884391069412198</v>
          </cell>
          <cell r="BH195">
            <v>0.53833818435668901</v>
          </cell>
          <cell r="BI195">
            <v>0.51544106006622303</v>
          </cell>
          <cell r="BJ195">
            <v>0.49747046828269997</v>
          </cell>
          <cell r="BK195">
            <v>0.48907768909292498</v>
          </cell>
          <cell r="BL195">
            <v>0.48136458236850999</v>
          </cell>
          <cell r="BM195">
            <v>0.46709016355151001</v>
          </cell>
          <cell r="BN195">
            <v>0.46709016355151001</v>
          </cell>
        </row>
        <row r="196">
          <cell r="B196" t="str">
            <v>PNG</v>
          </cell>
          <cell r="C196" t="str">
            <v>Price level ratio of PPP conversion factor (GDP) to market exchange rate</v>
          </cell>
          <cell r="D196" t="str">
            <v>PA.NUS.PPPC.RF</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v>0.76074855431660604</v>
          </cell>
          <cell r="AJ196">
            <v>0.79016578048755504</v>
          </cell>
          <cell r="AK196">
            <v>0.78439678870542995</v>
          </cell>
          <cell r="AL196">
            <v>0.73657298938449201</v>
          </cell>
          <cell r="AM196">
            <v>0.75300798820138204</v>
          </cell>
          <cell r="AN196">
            <v>0.64266203648913101</v>
          </cell>
          <cell r="AO196">
            <v>0.65141428852613403</v>
          </cell>
          <cell r="AP196">
            <v>0.63772119237374802</v>
          </cell>
          <cell r="AQ196">
            <v>0.50303903604053801</v>
          </cell>
          <cell r="AR196">
            <v>0.44670985149348602</v>
          </cell>
          <cell r="AS196">
            <v>0.45383165371406198</v>
          </cell>
          <cell r="AT196">
            <v>0.38903268020777598</v>
          </cell>
          <cell r="AU196">
            <v>0.37343613358993499</v>
          </cell>
          <cell r="AV196">
            <v>0.423096172284886</v>
          </cell>
          <cell r="AW196">
            <v>0.44540709542564799</v>
          </cell>
          <cell r="AX196">
            <v>0.50327282211240498</v>
          </cell>
          <cell r="AY196">
            <v>0.54247712673653903</v>
          </cell>
          <cell r="AZ196">
            <v>0.56552045699699205</v>
          </cell>
          <cell r="BA196">
            <v>0.65650581681213305</v>
          </cell>
          <cell r="BB196">
            <v>0.607376192842078</v>
          </cell>
          <cell r="BC196">
            <v>0.66860889617361796</v>
          </cell>
          <cell r="BD196">
            <v>0.784071448405677</v>
          </cell>
          <cell r="BE196">
            <v>0.87040107844636705</v>
          </cell>
          <cell r="BF196">
            <v>0.82255272409146396</v>
          </cell>
          <cell r="BG196">
            <v>0.77648937693719799</v>
          </cell>
          <cell r="BH196">
            <v>0.67544780750659605</v>
          </cell>
          <cell r="BI196">
            <v>0.60551740525558295</v>
          </cell>
          <cell r="BJ196">
            <v>0.628903986254851</v>
          </cell>
          <cell r="BK196">
            <v>0.65289405334016104</v>
          </cell>
          <cell r="BL196">
            <v>0.63028031904954696</v>
          </cell>
          <cell r="BM196">
            <v>0.64321265613723699</v>
          </cell>
          <cell r="BN196">
            <v>0.64321265613723699</v>
          </cell>
        </row>
        <row r="197">
          <cell r="B197" t="str">
            <v>PRY</v>
          </cell>
          <cell r="C197" t="str">
            <v>Price level ratio of PPP conversion factor (GDP) to market exchange rate</v>
          </cell>
          <cell r="D197" t="str">
            <v>PA.NUS.PPPC.RF</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v>0.25539764752413702</v>
          </cell>
          <cell r="AJ197">
            <v>0.28684824437704598</v>
          </cell>
          <cell r="AK197">
            <v>0.28261164482790202</v>
          </cell>
          <cell r="AL197">
            <v>0.266466879954045</v>
          </cell>
          <cell r="AM197">
            <v>0.26895735767135098</v>
          </cell>
          <cell r="AN197">
            <v>0.28392805715904901</v>
          </cell>
          <cell r="AO197">
            <v>0.29650210938254401</v>
          </cell>
          <cell r="AP197">
            <v>0.28448633261991402</v>
          </cell>
          <cell r="AQ197">
            <v>0.26124722553137403</v>
          </cell>
          <cell r="AR197">
            <v>0.249157866045566</v>
          </cell>
          <cell r="AS197">
            <v>0.25000927769861597</v>
          </cell>
          <cell r="AT197">
            <v>0.23667483021608601</v>
          </cell>
          <cell r="AU197">
            <v>0.197392920670933</v>
          </cell>
          <cell r="AV197">
            <v>0.19854834896809601</v>
          </cell>
          <cell r="AW197">
            <v>0.23250252289050399</v>
          </cell>
          <cell r="AX197">
            <v>0.246300656005428</v>
          </cell>
          <cell r="AY197">
            <v>0.28528667594069301</v>
          </cell>
          <cell r="AZ197">
            <v>0.350406819036297</v>
          </cell>
          <cell r="BA197">
            <v>0.44494648795764202</v>
          </cell>
          <cell r="BB197">
            <v>0.40207259307455401</v>
          </cell>
          <cell r="BC197">
            <v>0.435876133838907</v>
          </cell>
          <cell r="BD197">
            <v>0.50738694743230395</v>
          </cell>
          <cell r="BE197">
            <v>0.51754512228588001</v>
          </cell>
          <cell r="BF197">
            <v>0.53667294357657402</v>
          </cell>
          <cell r="BG197">
            <v>0.53414431886868996</v>
          </cell>
          <cell r="BH197">
            <v>0.47131546515919098</v>
          </cell>
          <cell r="BI197">
            <v>0.44217997937430098</v>
          </cell>
          <cell r="BJ197">
            <v>0.451042303487731</v>
          </cell>
          <cell r="BK197">
            <v>0.44023425079827599</v>
          </cell>
          <cell r="BL197">
            <v>0.409228651439632</v>
          </cell>
          <cell r="BM197">
            <v>0.38266167020727698</v>
          </cell>
          <cell r="BN197">
            <v>0.38266167020727698</v>
          </cell>
        </row>
        <row r="198">
          <cell r="B198" t="str">
            <v>PER</v>
          </cell>
          <cell r="C198" t="str">
            <v>Price level ratio of PPP conversion factor (GDP) to market exchange rate</v>
          </cell>
          <cell r="D198" t="str">
            <v>PA.NUS.PPPC.RF</v>
          </cell>
          <cell r="E198" t="str">
            <v>..</v>
          </cell>
          <cell r="F198" t="str">
            <v>..</v>
          </cell>
          <cell r="G198" t="str">
            <v>..</v>
          </cell>
          <cell r="H198" t="str">
            <v>..</v>
          </cell>
          <cell r="I198" t="str">
            <v>..</v>
          </cell>
          <cell r="J198" t="str">
            <v>..</v>
          </cell>
          <cell r="K198" t="str">
            <v>..</v>
          </cell>
          <cell r="L198" t="str">
            <v>..</v>
          </cell>
          <cell r="M198" t="str">
            <v>..</v>
          </cell>
          <cell r="N198" t="str">
            <v>..</v>
          </cell>
          <cell r="O198" t="str">
            <v>..</v>
          </cell>
          <cell r="P198" t="str">
            <v>..</v>
          </cell>
          <cell r="Q198" t="str">
            <v>..</v>
          </cell>
          <cell r="R198" t="str">
            <v>..</v>
          </cell>
          <cell r="S198" t="str">
            <v>..</v>
          </cell>
          <cell r="T198" t="str">
            <v>..</v>
          </cell>
          <cell r="U198" t="str">
            <v>..</v>
          </cell>
          <cell r="V198" t="str">
            <v>..</v>
          </cell>
          <cell r="W198" t="str">
            <v>..</v>
          </cell>
          <cell r="X198" t="str">
            <v>..</v>
          </cell>
          <cell r="Y198" t="str">
            <v>..</v>
          </cell>
          <cell r="Z198" t="str">
            <v>..</v>
          </cell>
          <cell r="AA198" t="str">
            <v>..</v>
          </cell>
          <cell r="AB198" t="str">
            <v>..</v>
          </cell>
          <cell r="AC198" t="str">
            <v>..</v>
          </cell>
          <cell r="AD198" t="str">
            <v>..</v>
          </cell>
          <cell r="AE198" t="str">
            <v>..</v>
          </cell>
          <cell r="AF198" t="str">
            <v>..</v>
          </cell>
          <cell r="AG198" t="str">
            <v>..</v>
          </cell>
          <cell r="AH198" t="str">
            <v>..</v>
          </cell>
          <cell r="AI198">
            <v>0.356205063839313</v>
          </cell>
          <cell r="AJ198">
            <v>0.43829599621033399</v>
          </cell>
          <cell r="AK198">
            <v>0.451244725678217</v>
          </cell>
          <cell r="AL198">
            <v>0.40562618092640201</v>
          </cell>
          <cell r="AM198">
            <v>0.45564968359083902</v>
          </cell>
          <cell r="AN198">
            <v>0.49354485027595102</v>
          </cell>
          <cell r="AO198">
            <v>0.48862737490406999</v>
          </cell>
          <cell r="AP198">
            <v>0.47446630021460601</v>
          </cell>
          <cell r="AQ198">
            <v>0.44959515156780899</v>
          </cell>
          <cell r="AR198">
            <v>0.39485842110090402</v>
          </cell>
          <cell r="AS198">
            <v>0.38776212643892699</v>
          </cell>
          <cell r="AT198">
            <v>0.37918930691977698</v>
          </cell>
          <cell r="AU198">
            <v>0.372671943913082</v>
          </cell>
          <cell r="AV198">
            <v>0.37659841156764201</v>
          </cell>
          <cell r="AW198">
            <v>0.39721890721933001</v>
          </cell>
          <cell r="AX198">
            <v>0.41287912337195998</v>
          </cell>
          <cell r="AY198">
            <v>0.434345807145328</v>
          </cell>
          <cell r="AZ198">
            <v>0.44926445202555398</v>
          </cell>
          <cell r="BA198">
            <v>0.47648241660683199</v>
          </cell>
          <cell r="BB198">
            <v>0.468808596876154</v>
          </cell>
          <cell r="BC198">
            <v>0.52231590512456205</v>
          </cell>
          <cell r="BD198">
            <v>0.56022124492863701</v>
          </cell>
          <cell r="BE198">
            <v>0.60634912958570297</v>
          </cell>
          <cell r="BF198">
            <v>0.59815642438301597</v>
          </cell>
          <cell r="BG198">
            <v>0.57973203292905995</v>
          </cell>
          <cell r="BH198">
            <v>0.53827583812286794</v>
          </cell>
          <cell r="BI198">
            <v>0.51650724489845301</v>
          </cell>
          <cell r="BJ198">
            <v>0.53656033587737195</v>
          </cell>
          <cell r="BK198">
            <v>0.53160422849323896</v>
          </cell>
          <cell r="BL198">
            <v>0.524555387238819</v>
          </cell>
          <cell r="BM198">
            <v>0.51579437028905595</v>
          </cell>
          <cell r="BN198">
            <v>0.51579437028905595</v>
          </cell>
        </row>
        <row r="199">
          <cell r="B199" t="str">
            <v>PHL</v>
          </cell>
          <cell r="C199" t="str">
            <v>Price level ratio of PPP conversion factor (GDP) to market exchange rate</v>
          </cell>
          <cell r="D199" t="str">
            <v>PA.NUS.PPPC.RF</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v>0.30786325028712802</v>
          </cell>
          <cell r="AJ199">
            <v>0.30665353977819199</v>
          </cell>
          <cell r="AK199">
            <v>0.34837895745162201</v>
          </cell>
          <cell r="AL199">
            <v>0.34194376128231502</v>
          </cell>
          <cell r="AM199">
            <v>0.37827566716114802</v>
          </cell>
          <cell r="AN199">
            <v>0.40972034663713103</v>
          </cell>
          <cell r="AO199">
            <v>0.42499993535575098</v>
          </cell>
          <cell r="AP199">
            <v>0.39467377167247802</v>
          </cell>
          <cell r="AQ199">
            <v>0.31067981788570698</v>
          </cell>
          <cell r="AR199">
            <v>0.34068872114019799</v>
          </cell>
          <cell r="AS199">
            <v>0.31190279501114199</v>
          </cell>
          <cell r="AT199">
            <v>0.27936837662171998</v>
          </cell>
          <cell r="AU199">
            <v>0.28326045032985497</v>
          </cell>
          <cell r="AV199">
            <v>0.27320931929317399</v>
          </cell>
          <cell r="AW199">
            <v>0.27248615186333502</v>
          </cell>
          <cell r="AX199">
            <v>0.28472363525550498</v>
          </cell>
          <cell r="AY199">
            <v>0.31183531531561398</v>
          </cell>
          <cell r="AZ199">
            <v>0.34835659282361497</v>
          </cell>
          <cell r="BA199">
            <v>0.38132271846056098</v>
          </cell>
          <cell r="BB199">
            <v>0.36143080597312699</v>
          </cell>
          <cell r="BC199">
            <v>0.394127504460145</v>
          </cell>
          <cell r="BD199">
            <v>0.417833273135643</v>
          </cell>
          <cell r="BE199">
            <v>0.42788293955790602</v>
          </cell>
          <cell r="BF199">
            <v>0.43409933234750098</v>
          </cell>
          <cell r="BG199">
            <v>0.425181389026832</v>
          </cell>
          <cell r="BH199">
            <v>0.41757889596743097</v>
          </cell>
          <cell r="BI199">
            <v>0.39898098823477801</v>
          </cell>
          <cell r="BJ199">
            <v>0.38459501332191098</v>
          </cell>
          <cell r="BK199">
            <v>0.37292245054619499</v>
          </cell>
          <cell r="BL199">
            <v>0.37510151511194301</v>
          </cell>
          <cell r="BM199">
            <v>0.39319298182215701</v>
          </cell>
          <cell r="BN199">
            <v>0.39319298182215701</v>
          </cell>
        </row>
        <row r="200">
          <cell r="B200" t="str">
            <v>POL</v>
          </cell>
          <cell r="C200" t="str">
            <v>Price level ratio of PPP conversion factor (GDP) to market exchange rate</v>
          </cell>
          <cell r="D200" t="str">
            <v>PA.NUS.PPPC.RF</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v>0.28004526666583002</v>
          </cell>
          <cell r="AJ200">
            <v>0.37752716620995902</v>
          </cell>
          <cell r="AK200">
            <v>0.397270192942557</v>
          </cell>
          <cell r="AL200">
            <v>0.38086249655552501</v>
          </cell>
          <cell r="AM200">
            <v>0.40857218286619401</v>
          </cell>
          <cell r="AN200">
            <v>0.47997979381443301</v>
          </cell>
          <cell r="AO200">
            <v>0.50115574348132497</v>
          </cell>
          <cell r="AP200">
            <v>0.46137498856463299</v>
          </cell>
          <cell r="AQ200">
            <v>0.476204177936353</v>
          </cell>
          <cell r="AR200">
            <v>0.43801668725265303</v>
          </cell>
          <cell r="AS200">
            <v>0.42179563286624799</v>
          </cell>
          <cell r="AT200">
            <v>0.44886440802169097</v>
          </cell>
          <cell r="AU200">
            <v>0.44112622549019598</v>
          </cell>
          <cell r="AV200">
            <v>0.46398009822323899</v>
          </cell>
          <cell r="AW200">
            <v>0.500340387139108</v>
          </cell>
          <cell r="AX200">
            <v>0.57721990418791502</v>
          </cell>
          <cell r="AY200">
            <v>0.59630478216035099</v>
          </cell>
          <cell r="AZ200">
            <v>0.66979876440622899</v>
          </cell>
          <cell r="BA200">
            <v>0.76467001494272002</v>
          </cell>
          <cell r="BB200">
            <v>0.59906958110316999</v>
          </cell>
          <cell r="BC200">
            <v>0.59855238284747803</v>
          </cell>
          <cell r="BD200">
            <v>0.60801404077224197</v>
          </cell>
          <cell r="BE200">
            <v>0.55156394902502703</v>
          </cell>
          <cell r="BF200">
            <v>0.55750332215402099</v>
          </cell>
          <cell r="BG200">
            <v>0.560197178633698</v>
          </cell>
          <cell r="BH200">
            <v>0.46826263430163201</v>
          </cell>
          <cell r="BI200">
            <v>0.439495536167191</v>
          </cell>
          <cell r="BJ200">
            <v>0.461164501362686</v>
          </cell>
          <cell r="BK200">
            <v>0.48410056206218699</v>
          </cell>
          <cell r="BL200">
            <v>0.465480543834974</v>
          </cell>
          <cell r="BM200">
            <v>0.45913788240121001</v>
          </cell>
          <cell r="BN200">
            <v>0.45913788240121001</v>
          </cell>
        </row>
        <row r="201">
          <cell r="B201" t="str">
            <v>PRT</v>
          </cell>
          <cell r="C201" t="str">
            <v>Price level ratio of PPP conversion factor (GDP) to market exchange rate</v>
          </cell>
          <cell r="D201" t="str">
            <v>PA.NUS.PPPC.RF</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v>0.66968499507804802</v>
          </cell>
          <cell r="AJ201">
            <v>0.70361592895795799</v>
          </cell>
          <cell r="AK201">
            <v>0.82053163053163003</v>
          </cell>
          <cell r="AL201">
            <v>0.72256202468520103</v>
          </cell>
          <cell r="AM201">
            <v>0.73520048309178798</v>
          </cell>
          <cell r="AN201">
            <v>0.81821148998275195</v>
          </cell>
          <cell r="AO201">
            <v>0.81682869768650901</v>
          </cell>
          <cell r="AP201">
            <v>0.733151515151515</v>
          </cell>
          <cell r="AQ201">
            <v>0.73105743544078405</v>
          </cell>
          <cell r="AR201">
            <v>0.70385893884508799</v>
          </cell>
          <cell r="AS201">
            <v>0.60909894969596501</v>
          </cell>
          <cell r="AT201">
            <v>0.60049574944071604</v>
          </cell>
          <cell r="AU201">
            <v>0.63248729531338199</v>
          </cell>
          <cell r="AV201">
            <v>0.75597855530474001</v>
          </cell>
          <cell r="AW201">
            <v>0.839517010181276</v>
          </cell>
          <cell r="AX201">
            <v>0.82609003855241903</v>
          </cell>
          <cell r="AY201">
            <v>0.80310626019319997</v>
          </cell>
          <cell r="AZ201">
            <v>0.88532165343553204</v>
          </cell>
          <cell r="BA201">
            <v>0.93181192324593498</v>
          </cell>
          <cell r="BB201">
            <v>0.87153237010280604</v>
          </cell>
          <cell r="BC201">
            <v>0.82527801604107498</v>
          </cell>
          <cell r="BD201">
            <v>0.86616869324838297</v>
          </cell>
          <cell r="BE201">
            <v>0.77785298363112398</v>
          </cell>
          <cell r="BF201">
            <v>0.77487868974602403</v>
          </cell>
          <cell r="BG201">
            <v>0.76800370716079303</v>
          </cell>
          <cell r="BH201">
            <v>0.64874528495256001</v>
          </cell>
          <cell r="BI201">
            <v>0.63207278382591403</v>
          </cell>
          <cell r="BJ201">
            <v>0.64873751750282205</v>
          </cell>
          <cell r="BK201">
            <v>0.67426367972624901</v>
          </cell>
          <cell r="BL201">
            <v>0.64499531409411703</v>
          </cell>
          <cell r="BM201">
            <v>0.64939902433151897</v>
          </cell>
          <cell r="BN201">
            <v>0.64939902433151897</v>
          </cell>
        </row>
        <row r="202">
          <cell r="B202" t="str">
            <v>PST</v>
          </cell>
          <cell r="C202" t="str">
            <v>Price level ratio of PPP conversion factor (GDP) to market exchange rate</v>
          </cell>
          <cell r="D202" t="str">
            <v>PA.NUS.PPPC.RF</v>
          </cell>
          <cell r="E202" t="str">
            <v>..</v>
          </cell>
          <cell r="F202" t="str">
            <v>..</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t="str">
            <v>..</v>
          </cell>
          <cell r="AF202" t="str">
            <v>..</v>
          </cell>
          <cell r="AG202" t="str">
            <v>..</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t="str">
            <v>..</v>
          </cell>
          <cell r="BN202" t="str">
            <v/>
          </cell>
        </row>
        <row r="203">
          <cell r="B203" t="str">
            <v>PRE</v>
          </cell>
          <cell r="C203" t="str">
            <v>Price level ratio of PPP conversion factor (GDP) to market exchange rate</v>
          </cell>
          <cell r="D203" t="str">
            <v>PA.NUS.PPPC.RF</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BM203" t="str">
            <v>..</v>
          </cell>
          <cell r="BN203" t="str">
            <v/>
          </cell>
        </row>
        <row r="204">
          <cell r="B204" t="str">
            <v>PRI</v>
          </cell>
          <cell r="C204" t="str">
            <v>Price level ratio of PPP conversion factor (GDP) to market exchange rate</v>
          </cell>
          <cell r="D204" t="str">
            <v>PA.NUS.PPPC.RF</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v>0.64499094502528798</v>
          </cell>
          <cell r="AJ204">
            <v>0.64337840734583396</v>
          </cell>
          <cell r="AK204">
            <v>0.64524962183774504</v>
          </cell>
          <cell r="AL204">
            <v>0.64219924827262098</v>
          </cell>
          <cell r="AM204">
            <v>0.64875634254541104</v>
          </cell>
          <cell r="AN204">
            <v>0.65306000703549205</v>
          </cell>
          <cell r="AO204">
            <v>0.666403166037561</v>
          </cell>
          <cell r="AP204">
            <v>0.66341830228960297</v>
          </cell>
          <cell r="AQ204">
            <v>0.69775922974465598</v>
          </cell>
          <cell r="AR204">
            <v>0.69795852276691805</v>
          </cell>
          <cell r="AS204">
            <v>0.70519236318396294</v>
          </cell>
          <cell r="AT204">
            <v>0.72804348500601102</v>
          </cell>
          <cell r="AU204">
            <v>0.73498131681307499</v>
          </cell>
          <cell r="AV204">
            <v>0.753456512445564</v>
          </cell>
          <cell r="AW204">
            <v>0.72422289614524404</v>
          </cell>
          <cell r="AX204">
            <v>0.74863065899054704</v>
          </cell>
          <cell r="AY204">
            <v>0.76655441644190103</v>
          </cell>
          <cell r="AZ204">
            <v>0.77473760162249805</v>
          </cell>
          <cell r="BA204">
            <v>0.80982266428838601</v>
          </cell>
          <cell r="BB204">
            <v>0.84374027479214098</v>
          </cell>
          <cell r="BC204">
            <v>0.85482315760877703</v>
          </cell>
          <cell r="BD204">
            <v>0.85717541246428897</v>
          </cell>
          <cell r="BE204">
            <v>0.85765760483111197</v>
          </cell>
          <cell r="BF204">
            <v>0.85953782591803896</v>
          </cell>
          <cell r="BG204">
            <v>0.86042176680707705</v>
          </cell>
          <cell r="BH204">
            <v>0.87498438215726304</v>
          </cell>
          <cell r="BI204">
            <v>0.89170179934851501</v>
          </cell>
          <cell r="BJ204">
            <v>0.90527827664661698</v>
          </cell>
          <cell r="BK204">
            <v>0.89983207184085401</v>
          </cell>
          <cell r="BL204">
            <v>0.90555148889328596</v>
          </cell>
          <cell r="BM204">
            <v>0.91534729662158998</v>
          </cell>
          <cell r="BN204">
            <v>0.91534729662158998</v>
          </cell>
        </row>
        <row r="205">
          <cell r="B205" t="str">
            <v>QAT</v>
          </cell>
          <cell r="C205" t="str">
            <v>Price level ratio of PPP conversion factor (GDP) to market exchange rate</v>
          </cell>
          <cell r="D205" t="str">
            <v>PA.NUS.PPPC.RF</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cell r="AJ205" t="str">
            <v>..</v>
          </cell>
          <cell r="AK205" t="str">
            <v>..</v>
          </cell>
          <cell r="AL205" t="str">
            <v>..</v>
          </cell>
          <cell r="AM205" t="str">
            <v>..</v>
          </cell>
          <cell r="AN205" t="str">
            <v>..</v>
          </cell>
          <cell r="AO205" t="str">
            <v>..</v>
          </cell>
          <cell r="AP205" t="str">
            <v>..</v>
          </cell>
          <cell r="AQ205" t="str">
            <v>..</v>
          </cell>
          <cell r="AR205" t="str">
            <v>..</v>
          </cell>
          <cell r="AS205">
            <v>0.30959722959284303</v>
          </cell>
          <cell r="AT205">
            <v>0.28795018519203602</v>
          </cell>
          <cell r="AU205">
            <v>0.291995937447176</v>
          </cell>
          <cell r="AV205">
            <v>0.33591231397562599</v>
          </cell>
          <cell r="AW205">
            <v>0.36997899876710999</v>
          </cell>
          <cell r="AX205">
            <v>0.468390480307596</v>
          </cell>
          <cell r="AY205">
            <v>0.49264697644148098</v>
          </cell>
          <cell r="AZ205">
            <v>0.532388230241019</v>
          </cell>
          <cell r="BA205">
            <v>0.64181860034401605</v>
          </cell>
          <cell r="BB205">
            <v>0.48270244225522302</v>
          </cell>
          <cell r="BC205">
            <v>0.51044388792708795</v>
          </cell>
          <cell r="BD205">
            <v>0.59135012574248302</v>
          </cell>
          <cell r="BE205">
            <v>0.60067189918769504</v>
          </cell>
          <cell r="BF205">
            <v>0.61528486209911304</v>
          </cell>
          <cell r="BG205">
            <v>0.64971925138117304</v>
          </cell>
          <cell r="BH205">
            <v>0.67807154341058495</v>
          </cell>
          <cell r="BI205">
            <v>0.68786222856123402</v>
          </cell>
          <cell r="BJ205">
            <v>0.64449172753554096</v>
          </cell>
          <cell r="BK205">
            <v>0.70751424781380501</v>
          </cell>
          <cell r="BL205">
            <v>0.66413225277405197</v>
          </cell>
          <cell r="BM205">
            <v>0.55713093966079896</v>
          </cell>
          <cell r="BN205">
            <v>0.55713093966079896</v>
          </cell>
        </row>
        <row r="206">
          <cell r="B206" t="str">
            <v>ROU</v>
          </cell>
          <cell r="C206" t="str">
            <v>Price level ratio of PPP conversion factor (GDP) to market exchange rate</v>
          </cell>
          <cell r="D206" t="str">
            <v>PA.NUS.PPPC.RF</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t="str">
            <v>..</v>
          </cell>
          <cell r="AF206" t="str">
            <v>..</v>
          </cell>
          <cell r="AG206" t="str">
            <v>..</v>
          </cell>
          <cell r="AH206" t="str">
            <v>..</v>
          </cell>
          <cell r="AI206">
            <v>0.31846732656271798</v>
          </cell>
          <cell r="AJ206">
            <v>0.26306187778554901</v>
          </cell>
          <cell r="AK206">
            <v>0.24422555833779799</v>
          </cell>
          <cell r="AL206">
            <v>0.246588156160612</v>
          </cell>
          <cell r="AM206">
            <v>0.26500327047966898</v>
          </cell>
          <cell r="AN206">
            <v>0.30413128698468</v>
          </cell>
          <cell r="AO206">
            <v>0.28430039243631799</v>
          </cell>
          <cell r="AP206">
            <v>0.28348248835540202</v>
          </cell>
          <cell r="AQ206">
            <v>0.33412052828216798</v>
          </cell>
          <cell r="AR206">
            <v>0.28587463554654102</v>
          </cell>
          <cell r="AS206">
            <v>0.28383781227223498</v>
          </cell>
          <cell r="AT206">
            <v>0.279992440620838</v>
          </cell>
          <cell r="AU206">
            <v>0.29597520411740003</v>
          </cell>
          <cell r="AV206">
            <v>0.35442072039904199</v>
          </cell>
          <cell r="AW206">
            <v>0.38874504142528099</v>
          </cell>
          <cell r="AX206">
            <v>0.48092883094813499</v>
          </cell>
          <cell r="AY206">
            <v>0.49819880837472802</v>
          </cell>
          <cell r="AZ206">
            <v>0.61022695069753097</v>
          </cell>
          <cell r="BA206">
            <v>0.62179129714678605</v>
          </cell>
          <cell r="BB206">
            <v>0.51396053129866903</v>
          </cell>
          <cell r="BC206">
            <v>0.48385671136018699</v>
          </cell>
          <cell r="BD206">
            <v>0.50844195786622104</v>
          </cell>
          <cell r="BE206">
            <v>0.45083726018751802</v>
          </cell>
          <cell r="BF206">
            <v>0.48265534366582202</v>
          </cell>
          <cell r="BG206">
            <v>0.48619596742662102</v>
          </cell>
          <cell r="BH206">
            <v>0.41512622243157499</v>
          </cell>
          <cell r="BI206">
            <v>0.393407873363882</v>
          </cell>
          <cell r="BJ206">
            <v>0.39816699624848401</v>
          </cell>
          <cell r="BK206">
            <v>0.42304052396661002</v>
          </cell>
          <cell r="BL206">
            <v>0.40435014179494599</v>
          </cell>
          <cell r="BM206">
            <v>0.40154114767458998</v>
          </cell>
          <cell r="BN206">
            <v>0.40154114767458998</v>
          </cell>
        </row>
        <row r="207">
          <cell r="B207" t="str">
            <v>RUS</v>
          </cell>
          <cell r="C207" t="str">
            <v>Price level ratio of PPP conversion factor (GDP) to market exchange rate</v>
          </cell>
          <cell r="D207" t="str">
            <v>PA.NUS.PPPC.RF</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v>0.435079448950554</v>
          </cell>
          <cell r="AJ207">
            <v>0.44420135681198902</v>
          </cell>
          <cell r="AK207">
            <v>0.45156357138143799</v>
          </cell>
          <cell r="AL207">
            <v>0.45652558153594403</v>
          </cell>
          <cell r="AM207">
            <v>0.46423329436400501</v>
          </cell>
          <cell r="AN207">
            <v>0.47490585889910297</v>
          </cell>
          <cell r="AO207">
            <v>0.479158537537069</v>
          </cell>
          <cell r="AP207">
            <v>0.48028020743301603</v>
          </cell>
          <cell r="AQ207">
            <v>0.33574435857805301</v>
          </cell>
          <cell r="AR207">
            <v>0.22500572705117799</v>
          </cell>
          <cell r="AS207">
            <v>0.25955933167436901</v>
          </cell>
          <cell r="AT207">
            <v>0.28532111758656198</v>
          </cell>
          <cell r="AU207">
            <v>0.29580555023923399</v>
          </cell>
          <cell r="AV207">
            <v>0.321477485989834</v>
          </cell>
          <cell r="AW207">
            <v>0.40113998611593199</v>
          </cell>
          <cell r="AX207">
            <v>0.45028818005685101</v>
          </cell>
          <cell r="AY207">
            <v>0.46406119671950302</v>
          </cell>
          <cell r="AZ207">
            <v>0.54667965818113595</v>
          </cell>
          <cell r="BA207">
            <v>0.57704316196500205</v>
          </cell>
          <cell r="BB207">
            <v>0.44161110130937198</v>
          </cell>
          <cell r="BC207">
            <v>0.52098241893578401</v>
          </cell>
          <cell r="BD207">
            <v>0.62771563151965604</v>
          </cell>
          <cell r="BE207">
            <v>0.63451319398958494</v>
          </cell>
          <cell r="BF207">
            <v>0.61266861617421198</v>
          </cell>
          <cell r="BG207">
            <v>0.54715632833223005</v>
          </cell>
          <cell r="BH207">
            <v>0.38666756375773897</v>
          </cell>
          <cell r="BI207">
            <v>0.36077864885863897</v>
          </cell>
          <cell r="BJ207">
            <v>0.41349028500517598</v>
          </cell>
          <cell r="BK207">
            <v>0.39163312754016799</v>
          </cell>
          <cell r="BL207">
            <v>0.38367536999306401</v>
          </cell>
          <cell r="BM207">
            <v>0.339683696947087</v>
          </cell>
          <cell r="BN207">
            <v>0.339683696947087</v>
          </cell>
        </row>
        <row r="208">
          <cell r="B208" t="str">
            <v>RWA</v>
          </cell>
          <cell r="C208" t="str">
            <v>Price level ratio of PPP conversion factor (GDP) to market exchange rate</v>
          </cell>
          <cell r="D208" t="str">
            <v>PA.NUS.PPPC.RF</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v>0.71417106062896596</v>
          </cell>
          <cell r="AJ208">
            <v>0.53118182930782898</v>
          </cell>
          <cell r="AK208">
            <v>0.52067118811832103</v>
          </cell>
          <cell r="AL208">
            <v>0.53781104114628597</v>
          </cell>
          <cell r="AM208">
            <v>0.404578408591524</v>
          </cell>
          <cell r="AN208">
            <v>0.50298200947945404</v>
          </cell>
          <cell r="AO208">
            <v>0.46817442686835897</v>
          </cell>
          <cell r="AP208">
            <v>0.54113102205960095</v>
          </cell>
          <cell r="AQ208">
            <v>0.52814239081412595</v>
          </cell>
          <cell r="AR208">
            <v>0.46978703879796802</v>
          </cell>
          <cell r="AS208">
            <v>0.40668487507401702</v>
          </cell>
          <cell r="AT208">
            <v>0.354092158884043</v>
          </cell>
          <cell r="AU208">
            <v>0.30784894847146799</v>
          </cell>
          <cell r="AV208">
            <v>0.32165851307023802</v>
          </cell>
          <cell r="AW208">
            <v>0.32400528000006801</v>
          </cell>
          <cell r="AX208">
            <v>0.35463483752744701</v>
          </cell>
          <cell r="AY208">
            <v>0.35659710173501202</v>
          </cell>
          <cell r="AZ208">
            <v>0.39558222242554503</v>
          </cell>
          <cell r="BA208">
            <v>0.44423045799244698</v>
          </cell>
          <cell r="BB208">
            <v>0.45456277246319399</v>
          </cell>
          <cell r="BC208">
            <v>0.45183146543137598</v>
          </cell>
          <cell r="BD208">
            <v>0.46084663577194501</v>
          </cell>
          <cell r="BE208">
            <v>0.48712603395694998</v>
          </cell>
          <cell r="BF208">
            <v>0.46841624330876003</v>
          </cell>
          <cell r="BG208">
            <v>0.43567751035338698</v>
          </cell>
          <cell r="BH208">
            <v>0.41621313482789302</v>
          </cell>
          <cell r="BI208">
            <v>0.39565006193869201</v>
          </cell>
          <cell r="BJ208">
            <v>0.390997348507511</v>
          </cell>
          <cell r="BK208">
            <v>0.36637396474455303</v>
          </cell>
          <cell r="BL208">
            <v>0.35325094615913999</v>
          </cell>
          <cell r="BM208">
            <v>0.36039633662550402</v>
          </cell>
          <cell r="BN208">
            <v>0.36039633662550402</v>
          </cell>
        </row>
        <row r="209">
          <cell r="B209" t="str">
            <v>WSM</v>
          </cell>
          <cell r="C209" t="str">
            <v>Price level ratio of PPP conversion factor (GDP) to market exchange rate</v>
          </cell>
          <cell r="D209" t="str">
            <v>PA.NUS.PPPC.RF</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v>0.322249744096475</v>
          </cell>
          <cell r="AJ209">
            <v>0.318617721598563</v>
          </cell>
          <cell r="AK209">
            <v>0.32880855735908798</v>
          </cell>
          <cell r="AL209">
            <v>0.31045682569106597</v>
          </cell>
          <cell r="AM209">
            <v>0.51801224360420495</v>
          </cell>
          <cell r="AN209">
            <v>0.48373620292756497</v>
          </cell>
          <cell r="AO209">
            <v>0.49258105169885402</v>
          </cell>
          <cell r="AP209">
            <v>0.54926528676994901</v>
          </cell>
          <cell r="AQ209">
            <v>0.50170937615264299</v>
          </cell>
          <cell r="AR209">
            <v>0.46486798972254201</v>
          </cell>
          <cell r="AS209">
            <v>0.442015135501587</v>
          </cell>
          <cell r="AT209">
            <v>0.410576469823353</v>
          </cell>
          <cell r="AU209">
            <v>0.40861949475367298</v>
          </cell>
          <cell r="AV209">
            <v>0.45146976749086598</v>
          </cell>
          <cell r="AW209">
            <v>0.52124631579895697</v>
          </cell>
          <cell r="AX209">
            <v>0.53757363710054595</v>
          </cell>
          <cell r="AY209">
            <v>0.55596372485618994</v>
          </cell>
          <cell r="AZ209">
            <v>0.574293352634487</v>
          </cell>
          <cell r="BA209">
            <v>0.60540804072554999</v>
          </cell>
          <cell r="BB209">
            <v>0.59595672644745501</v>
          </cell>
          <cell r="BC209">
            <v>0.66502347523879002</v>
          </cell>
          <cell r="BD209">
            <v>0.69555504693585102</v>
          </cell>
          <cell r="BE209">
            <v>0.73389473682733997</v>
          </cell>
          <cell r="BF209">
            <v>0.73298644580768102</v>
          </cell>
          <cell r="BG209">
            <v>0.70691850714516102</v>
          </cell>
          <cell r="BH209">
            <v>0.69903621769690605</v>
          </cell>
          <cell r="BI209">
            <v>0.64915321095725198</v>
          </cell>
          <cell r="BJ209">
            <v>0.65625966922864398</v>
          </cell>
          <cell r="BK209">
            <v>0.640499336279442</v>
          </cell>
          <cell r="BL209">
            <v>0.62541169764467497</v>
          </cell>
          <cell r="BM209">
            <v>0.60097418820292103</v>
          </cell>
          <cell r="BN209">
            <v>0.60097418820292103</v>
          </cell>
        </row>
        <row r="210">
          <cell r="B210" t="str">
            <v>SMR</v>
          </cell>
          <cell r="C210" t="str">
            <v>Price level ratio of PPP conversion factor (GDP) to market exchange rate</v>
          </cell>
          <cell r="D210" t="str">
            <v>PA.NUS.PPPC.RF</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t="str">
            <v>..</v>
          </cell>
          <cell r="AF210" t="str">
            <v>..</v>
          </cell>
          <cell r="AG210" t="str">
            <v>..</v>
          </cell>
          <cell r="AH210" t="str">
            <v>..</v>
          </cell>
          <cell r="AI210" t="str">
            <v>..</v>
          </cell>
          <cell r="AJ210" t="str">
            <v>..</v>
          </cell>
          <cell r="AK210" t="str">
            <v>..</v>
          </cell>
          <cell r="AL210" t="str">
            <v>..</v>
          </cell>
          <cell r="AM210" t="str">
            <v>..</v>
          </cell>
          <cell r="AN210" t="str">
            <v>..</v>
          </cell>
          <cell r="AO210" t="str">
            <v>..</v>
          </cell>
          <cell r="AP210" t="str">
            <v>..</v>
          </cell>
          <cell r="AQ210" t="str">
            <v>..</v>
          </cell>
          <cell r="AR210">
            <v>0.80406888329347903</v>
          </cell>
          <cell r="AS210">
            <v>0.69757857073748397</v>
          </cell>
          <cell r="AT210">
            <v>0.69301527078395997</v>
          </cell>
          <cell r="AU210">
            <v>0.73746242526212202</v>
          </cell>
          <cell r="AV210">
            <v>0.87365699352863002</v>
          </cell>
          <cell r="AW210">
            <v>0.95790109697253201</v>
          </cell>
          <cell r="AX210">
            <v>0.93964269032515202</v>
          </cell>
          <cell r="AY210">
            <v>0.93856393470931299</v>
          </cell>
          <cell r="AZ210">
            <v>0.97753657616699596</v>
          </cell>
          <cell r="BA210">
            <v>1.0552234769462201</v>
          </cell>
          <cell r="BB210">
            <v>1.0031893522759501</v>
          </cell>
          <cell r="BC210">
            <v>0.959814343640084</v>
          </cell>
          <cell r="BD210">
            <v>0.98866494988864095</v>
          </cell>
          <cell r="BE210">
            <v>0.91805361371689098</v>
          </cell>
          <cell r="BF210">
            <v>0.964572959254965</v>
          </cell>
          <cell r="BG210">
            <v>0.91674965200803904</v>
          </cell>
          <cell r="BH210">
            <v>0.76711665000336604</v>
          </cell>
          <cell r="BI210">
            <v>0.76281964513565004</v>
          </cell>
          <cell r="BJ210">
            <v>0.77121339213215101</v>
          </cell>
          <cell r="BK210">
            <v>0.80313265953883906</v>
          </cell>
          <cell r="BL210">
            <v>0.75261687689134504</v>
          </cell>
          <cell r="BM210" t="str">
            <v>..</v>
          </cell>
          <cell r="BN210">
            <v>0.75261687689134504</v>
          </cell>
        </row>
        <row r="211">
          <cell r="B211" t="str">
            <v>STP</v>
          </cell>
          <cell r="C211" t="str">
            <v>Price level ratio of PPP conversion factor (GDP) to market exchange rate</v>
          </cell>
          <cell r="D211" t="str">
            <v>PA.NUS.PPPC.RF</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cell r="AJ211" t="str">
            <v>..</v>
          </cell>
          <cell r="AK211" t="str">
            <v>..</v>
          </cell>
          <cell r="AL211" t="str">
            <v>..</v>
          </cell>
          <cell r="AM211" t="str">
            <v>..</v>
          </cell>
          <cell r="AN211" t="str">
            <v>..</v>
          </cell>
          <cell r="AO211" t="str">
            <v>..</v>
          </cell>
          <cell r="AP211" t="str">
            <v>..</v>
          </cell>
          <cell r="AQ211" t="str">
            <v>..</v>
          </cell>
          <cell r="AR211" t="str">
            <v>..</v>
          </cell>
          <cell r="AS211" t="str">
            <v>..</v>
          </cell>
          <cell r="AT211">
            <v>0.28486568148809299</v>
          </cell>
          <cell r="AU211">
            <v>0.307171642493343</v>
          </cell>
          <cell r="AV211">
            <v>0.339165599107907</v>
          </cell>
          <cell r="AW211">
            <v>0.35702303939847702</v>
          </cell>
          <cell r="AX211">
            <v>0.38500494200527902</v>
          </cell>
          <cell r="AY211">
            <v>0.35835309661136</v>
          </cell>
          <cell r="AZ211">
            <v>0.353063138761884</v>
          </cell>
          <cell r="BA211">
            <v>0.40355996912919501</v>
          </cell>
          <cell r="BB211">
            <v>0.39060202872120398</v>
          </cell>
          <cell r="BC211">
            <v>0.37897394696912901</v>
          </cell>
          <cell r="BD211">
            <v>0.41857102113032701</v>
          </cell>
          <cell r="BE211">
            <v>0.45033468824301798</v>
          </cell>
          <cell r="BF211">
            <v>0.47144713282171702</v>
          </cell>
          <cell r="BG211">
            <v>0.46381436122907599</v>
          </cell>
          <cell r="BH211">
            <v>0.41297165943354602</v>
          </cell>
          <cell r="BI211">
            <v>0.4370962768112</v>
          </cell>
          <cell r="BJ211">
            <v>0.45884960524228002</v>
          </cell>
          <cell r="BK211">
            <v>0.477730108464679</v>
          </cell>
          <cell r="BL211">
            <v>0.47609809502804701</v>
          </cell>
          <cell r="BM211">
            <v>0.50489476457009796</v>
          </cell>
          <cell r="BN211">
            <v>0.50489476457009796</v>
          </cell>
        </row>
        <row r="212">
          <cell r="B212" t="str">
            <v>SAU</v>
          </cell>
          <cell r="C212" t="str">
            <v>Price level ratio of PPP conversion factor (GDP) to market exchange rate</v>
          </cell>
          <cell r="D212" t="str">
            <v>PA.NUS.PPPC.RF</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v>0.225963122672553</v>
          </cell>
          <cell r="AJ212">
            <v>0.21362635426485099</v>
          </cell>
          <cell r="AK212">
            <v>0.208246922785217</v>
          </cell>
          <cell r="AL212">
            <v>0.20003943672344299</v>
          </cell>
          <cell r="AM212">
            <v>0.19800159544488699</v>
          </cell>
          <cell r="AN212">
            <v>0.20521853897866599</v>
          </cell>
          <cell r="AO212">
            <v>0.217334359515372</v>
          </cell>
          <cell r="AP212">
            <v>0.22090340961999899</v>
          </cell>
          <cell r="AQ212">
            <v>0.18775655890065401</v>
          </cell>
          <cell r="AR212">
            <v>0.21189992826412399</v>
          </cell>
          <cell r="AS212">
            <v>0.229958047254918</v>
          </cell>
          <cell r="AT212">
            <v>0.22131695738392901</v>
          </cell>
          <cell r="AU212">
            <v>0.23084904550549801</v>
          </cell>
          <cell r="AV212">
            <v>0.23189037405467</v>
          </cell>
          <cell r="AW212">
            <v>0.25077782473381899</v>
          </cell>
          <cell r="AX212">
            <v>0.29243266862419998</v>
          </cell>
          <cell r="AY212">
            <v>0.31686791976847001</v>
          </cell>
          <cell r="AZ212">
            <v>0.33438525657846302</v>
          </cell>
          <cell r="BA212">
            <v>0.38577121176906898</v>
          </cell>
          <cell r="BB212">
            <v>0.32269403440949601</v>
          </cell>
          <cell r="BC212">
            <v>0.37381354431137098</v>
          </cell>
          <cell r="BD212">
            <v>0.42302780151367197</v>
          </cell>
          <cell r="BE212">
            <v>0.44005244572957303</v>
          </cell>
          <cell r="BF212">
            <v>0.44439102808634401</v>
          </cell>
          <cell r="BG212">
            <v>0.43900814056396498</v>
          </cell>
          <cell r="BH212">
            <v>0.42434574762980298</v>
          </cell>
          <cell r="BI212">
            <v>0.43704538345336802</v>
          </cell>
          <cell r="BJ212">
            <v>0.43974059422810902</v>
          </cell>
          <cell r="BK212">
            <v>0.47885086774313601</v>
          </cell>
          <cell r="BL212">
            <v>0.472740780465227</v>
          </cell>
          <cell r="BM212">
            <v>0.43007834922287702</v>
          </cell>
          <cell r="BN212">
            <v>0.43007834922287702</v>
          </cell>
        </row>
        <row r="213">
          <cell r="B213" t="str">
            <v>SEN</v>
          </cell>
          <cell r="C213" t="str">
            <v>Price level ratio of PPP conversion factor (GDP) to market exchange rate</v>
          </cell>
          <cell r="D213" t="str">
            <v>PA.NUS.PPPC.RF</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v>0.63245815924023596</v>
          </cell>
          <cell r="AJ213">
            <v>0.58497261308077197</v>
          </cell>
          <cell r="AK213">
            <v>0.60452472872950003</v>
          </cell>
          <cell r="AL213">
            <v>0.55247209574746803</v>
          </cell>
          <cell r="AM213">
            <v>0.36979033721163201</v>
          </cell>
          <cell r="AN213">
            <v>0.43152768468992803</v>
          </cell>
          <cell r="AO213">
            <v>0.43070076788536599</v>
          </cell>
          <cell r="AP213">
            <v>0.378187630568253</v>
          </cell>
          <cell r="AQ213">
            <v>0.38027822995516097</v>
          </cell>
          <cell r="AR213">
            <v>0.35743349339538899</v>
          </cell>
          <cell r="AS213">
            <v>0.30694732784544798</v>
          </cell>
          <cell r="AT213">
            <v>0.31163247510573</v>
          </cell>
          <cell r="AU213">
            <v>0.330056247844844</v>
          </cell>
          <cell r="AV213">
            <v>0.38405979214337399</v>
          </cell>
          <cell r="AW213">
            <v>0.410711644040122</v>
          </cell>
          <cell r="AX213">
            <v>0.41717113461038102</v>
          </cell>
          <cell r="AY213">
            <v>0.42045521675626202</v>
          </cell>
          <cell r="AZ213">
            <v>0.47636486475180301</v>
          </cell>
          <cell r="BA213">
            <v>0.54266935880623501</v>
          </cell>
          <cell r="BB213">
            <v>0.50211700564475703</v>
          </cell>
          <cell r="BC213">
            <v>0.47932529469037899</v>
          </cell>
          <cell r="BD213">
            <v>0.51199316456689503</v>
          </cell>
          <cell r="BE213">
            <v>0.481043535726144</v>
          </cell>
          <cell r="BF213">
            <v>0.50053070312772097</v>
          </cell>
          <cell r="BG213">
            <v>0.49339692174511701</v>
          </cell>
          <cell r="BH213">
            <v>0.41033561217369302</v>
          </cell>
          <cell r="BI213">
            <v>0.41285083172307202</v>
          </cell>
          <cell r="BJ213">
            <v>0.42501303587837203</v>
          </cell>
          <cell r="BK213">
            <v>0.43024260600376502</v>
          </cell>
          <cell r="BL213">
            <v>0.40819188718405403</v>
          </cell>
          <cell r="BM213">
            <v>0.42018458269876802</v>
          </cell>
          <cell r="BN213">
            <v>0.42018458269876802</v>
          </cell>
        </row>
        <row r="214">
          <cell r="B214" t="str">
            <v>SRB</v>
          </cell>
          <cell r="C214" t="str">
            <v>Price level ratio of PPP conversion factor (GDP) to market exchange rate</v>
          </cell>
          <cell r="D214" t="str">
            <v>PA.NUS.PPPC.RF</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t="str">
            <v>..</v>
          </cell>
          <cell r="AF214" t="str">
            <v>..</v>
          </cell>
          <cell r="AG214" t="str">
            <v>..</v>
          </cell>
          <cell r="AH214" t="str">
            <v>..</v>
          </cell>
          <cell r="AI214" t="str">
            <v>..</v>
          </cell>
          <cell r="AJ214" t="str">
            <v>..</v>
          </cell>
          <cell r="AK214" t="str">
            <v>..</v>
          </cell>
          <cell r="AL214" t="str">
            <v>..</v>
          </cell>
          <cell r="AM214" t="str">
            <v>..</v>
          </cell>
          <cell r="AN214">
            <v>0.457739210813494</v>
          </cell>
          <cell r="AO214">
            <v>0.54829673422028302</v>
          </cell>
          <cell r="AP214">
            <v>0.59130863708153703</v>
          </cell>
          <cell r="AQ214">
            <v>0.42878879446135998</v>
          </cell>
          <cell r="AR214">
            <v>0.46500291474717398</v>
          </cell>
          <cell r="AS214">
            <v>0.151980105229507</v>
          </cell>
          <cell r="AT214">
            <v>0.26647379886780598</v>
          </cell>
          <cell r="AU214">
            <v>0.31612004726624099</v>
          </cell>
          <cell r="AV214">
            <v>0.39308273081093797</v>
          </cell>
          <cell r="AW214">
            <v>0.41269628714803203</v>
          </cell>
          <cell r="AX214">
            <v>0.40520643181955002</v>
          </cell>
          <cell r="AY214">
            <v>0.42928185880288</v>
          </cell>
          <cell r="AZ214">
            <v>0.52050189145479897</v>
          </cell>
          <cell r="BA214">
            <v>0.56214347569088097</v>
          </cell>
          <cell r="BB214">
            <v>0.49219173383241499</v>
          </cell>
          <cell r="BC214">
            <v>0.44814040507651798</v>
          </cell>
          <cell r="BD214">
            <v>0.49532239343419199</v>
          </cell>
          <cell r="BE214">
            <v>0.43175056056163402</v>
          </cell>
          <cell r="BF214">
            <v>0.46175887182535902</v>
          </cell>
          <cell r="BG214">
            <v>0.45022142716270602</v>
          </cell>
          <cell r="BH214">
            <v>0.374384102077637</v>
          </cell>
          <cell r="BI214">
            <v>0.36354936073093402</v>
          </cell>
          <cell r="BJ214">
            <v>0.37881732802267098</v>
          </cell>
          <cell r="BK214">
            <v>0.40978537517303598</v>
          </cell>
          <cell r="BL214">
            <v>0.39364168180321002</v>
          </cell>
          <cell r="BM214">
            <v>0.404062889914867</v>
          </cell>
          <cell r="BN214">
            <v>0.404062889914867</v>
          </cell>
        </row>
        <row r="215">
          <cell r="B215" t="str">
            <v>SYC</v>
          </cell>
          <cell r="C215" t="str">
            <v>Price level ratio of PPP conversion factor (GDP) to market exchange rate</v>
          </cell>
          <cell r="D215" t="str">
            <v>PA.NUS.PPPC.RF</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v>0.591801136072722</v>
          </cell>
          <cell r="AJ215">
            <v>0.56579293567736599</v>
          </cell>
          <cell r="AK215">
            <v>0.59799895511699397</v>
          </cell>
          <cell r="AL215">
            <v>0.60111977826220797</v>
          </cell>
          <cell r="AM215">
            <v>0.60898193096812603</v>
          </cell>
          <cell r="AN215">
            <v>0.62835664115776901</v>
          </cell>
          <cell r="AO215">
            <v>0.58217340134014794</v>
          </cell>
          <cell r="AP215">
            <v>0.57165720787127705</v>
          </cell>
          <cell r="AQ215">
            <v>0.56353728260117797</v>
          </cell>
          <cell r="AR215">
            <v>0.55840966339590803</v>
          </cell>
          <cell r="AS215">
            <v>0.53105094396448904</v>
          </cell>
          <cell r="AT215">
            <v>0.53811316441116896</v>
          </cell>
          <cell r="AU215">
            <v>0.58668441369620805</v>
          </cell>
          <cell r="AV215">
            <v>0.61920113294485302</v>
          </cell>
          <cell r="AW215">
            <v>0.73817258044260003</v>
          </cell>
          <cell r="AX215">
            <v>0.719156851906118</v>
          </cell>
          <cell r="AY215">
            <v>0.70557375025854796</v>
          </cell>
          <cell r="AZ215">
            <v>0.63276223371434404</v>
          </cell>
          <cell r="BA215">
            <v>0.59357985741475905</v>
          </cell>
          <cell r="BB215">
            <v>0.52188986669917203</v>
          </cell>
          <cell r="BC215">
            <v>0.55729116397503697</v>
          </cell>
          <cell r="BD215">
            <v>0.55600237108838602</v>
          </cell>
          <cell r="BE215">
            <v>0.55676613986607904</v>
          </cell>
          <cell r="BF215">
            <v>0.66008385462170005</v>
          </cell>
          <cell r="BG215">
            <v>0.61533978141579504</v>
          </cell>
          <cell r="BH215">
            <v>0.61267387790061201</v>
          </cell>
          <cell r="BI215">
            <v>0.586754287870486</v>
          </cell>
          <cell r="BJ215">
            <v>0.58386685540240302</v>
          </cell>
          <cell r="BK215">
            <v>0.56738379890282797</v>
          </cell>
          <cell r="BL215">
            <v>0.56338296170017599</v>
          </cell>
          <cell r="BM215">
            <v>0.417750004352891</v>
          </cell>
          <cell r="BN215">
            <v>0.417750004352891</v>
          </cell>
        </row>
        <row r="216">
          <cell r="B216" t="str">
            <v>SLE</v>
          </cell>
          <cell r="C216" t="str">
            <v>Price level ratio of PPP conversion factor (GDP) to market exchange rate</v>
          </cell>
          <cell r="D216" t="str">
            <v>PA.NUS.PPPC.RF</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v>0.19382227098979199</v>
          </cell>
          <cell r="AJ216">
            <v>0.219923621340707</v>
          </cell>
          <cell r="AK216">
            <v>0.23146927114344601</v>
          </cell>
          <cell r="AL216">
            <v>0.25217554731127101</v>
          </cell>
          <cell r="AM216">
            <v>0.29867706355502599</v>
          </cell>
          <cell r="AN216">
            <v>0.30362906515033</v>
          </cell>
          <cell r="AO216">
            <v>0.316918002975563</v>
          </cell>
          <cell r="AP216">
            <v>0.29864313799110398</v>
          </cell>
          <cell r="AQ216">
            <v>0.229450903827499</v>
          </cell>
          <cell r="AR216">
            <v>0.22972594937517599</v>
          </cell>
          <cell r="AS216">
            <v>0.20013899439147101</v>
          </cell>
          <cell r="AT216">
            <v>0.358609377058767</v>
          </cell>
          <cell r="AU216">
            <v>0.32096346305541801</v>
          </cell>
          <cell r="AV216">
            <v>0.31873272068207897</v>
          </cell>
          <cell r="AW216">
            <v>0.30434493428960901</v>
          </cell>
          <cell r="AX216">
            <v>0.32180409870951898</v>
          </cell>
          <cell r="AY216">
            <v>0.34229428518041</v>
          </cell>
          <cell r="AZ216">
            <v>0.353218907373199</v>
          </cell>
          <cell r="BA216">
            <v>0.38157484077471798</v>
          </cell>
          <cell r="BB216">
            <v>0.35943603757218601</v>
          </cell>
          <cell r="BC216">
            <v>0.35432418323401399</v>
          </cell>
          <cell r="BD216">
            <v>0.37261776774017902</v>
          </cell>
          <cell r="BE216">
            <v>0.40295173780263799</v>
          </cell>
          <cell r="BF216">
            <v>0.41042825691780099</v>
          </cell>
          <cell r="BG216">
            <v>0.39979921141615998</v>
          </cell>
          <cell r="BH216">
            <v>0.37072708214052602</v>
          </cell>
          <cell r="BI216">
            <v>0.31404814079877003</v>
          </cell>
          <cell r="BJ216">
            <v>0.30401723085848797</v>
          </cell>
          <cell r="BK216">
            <v>0.31516448678167103</v>
          </cell>
          <cell r="BL216">
            <v>0.29356534851817601</v>
          </cell>
          <cell r="BM216">
            <v>0.29493087492204501</v>
          </cell>
          <cell r="BN216">
            <v>0.29493087492204501</v>
          </cell>
        </row>
        <row r="217">
          <cell r="B217" t="str">
            <v>SGP</v>
          </cell>
          <cell r="C217" t="str">
            <v>Price level ratio of PPP conversion factor (GDP) to market exchange rate</v>
          </cell>
          <cell r="D217" t="str">
            <v>PA.NUS.PPPC.RF</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v>0.49797098713530602</v>
          </cell>
          <cell r="AJ217">
            <v>0.56792443759259603</v>
          </cell>
          <cell r="AK217">
            <v>0.59701768002787203</v>
          </cell>
          <cell r="AL217">
            <v>0.60826219416437699</v>
          </cell>
          <cell r="AM217">
            <v>0.65181682177713895</v>
          </cell>
          <cell r="AN217">
            <v>0.70965926567698601</v>
          </cell>
          <cell r="AO217">
            <v>0.71110876973034098</v>
          </cell>
          <cell r="AP217">
            <v>0.67059716906223299</v>
          </cell>
          <cell r="AQ217">
            <v>0.58053285901922003</v>
          </cell>
          <cell r="AR217">
            <v>0.54479986848427697</v>
          </cell>
          <cell r="AS217">
            <v>0.54416094697824602</v>
          </cell>
          <cell r="AT217">
            <v>0.50305553573457196</v>
          </cell>
          <cell r="AU217">
            <v>0.491123418269168</v>
          </cell>
          <cell r="AV217">
            <v>0.48670683920024599</v>
          </cell>
          <cell r="AW217">
            <v>0.50842862219497398</v>
          </cell>
          <cell r="AX217">
            <v>0.51026367958094399</v>
          </cell>
          <cell r="AY217">
            <v>0.52838537646442096</v>
          </cell>
          <cell r="AZ217">
            <v>0.57458644459189601</v>
          </cell>
          <cell r="BA217">
            <v>0.59202909968722095</v>
          </cell>
          <cell r="BB217">
            <v>0.58847759071211503</v>
          </cell>
          <cell r="BC217">
            <v>0.62736388750167904</v>
          </cell>
          <cell r="BD217">
            <v>0.673189491512173</v>
          </cell>
          <cell r="BE217">
            <v>0.67685998668000602</v>
          </cell>
          <cell r="BF217">
            <v>0.68633974403497799</v>
          </cell>
          <cell r="BG217">
            <v>0.68183315363804098</v>
          </cell>
          <cell r="BH217">
            <v>0.63980201458147101</v>
          </cell>
          <cell r="BI217">
            <v>0.63576225435392997</v>
          </cell>
          <cell r="BJ217">
            <v>0.641595981478285</v>
          </cell>
          <cell r="BK217">
            <v>0.66293774897090696</v>
          </cell>
          <cell r="BL217">
            <v>0.63993888100545804</v>
          </cell>
          <cell r="BM217">
            <v>0.60696035574941898</v>
          </cell>
          <cell r="BN217">
            <v>0.60696035574941898</v>
          </cell>
        </row>
        <row r="218">
          <cell r="B218" t="str">
            <v>SXM</v>
          </cell>
          <cell r="C218" t="str">
            <v>Price level ratio of PPP conversion factor (GDP) to market exchange rate</v>
          </cell>
          <cell r="D218" t="str">
            <v>PA.NUS.PPPC.RF</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t="str">
            <v>..</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t="str">
            <v>..</v>
          </cell>
          <cell r="AU218" t="str">
            <v>..</v>
          </cell>
          <cell r="AV218" t="str">
            <v>..</v>
          </cell>
          <cell r="AW218" t="str">
            <v>..</v>
          </cell>
          <cell r="AX218" t="str">
            <v>..</v>
          </cell>
          <cell r="AY218" t="str">
            <v>..</v>
          </cell>
          <cell r="AZ218" t="str">
            <v>..</v>
          </cell>
          <cell r="BA218" t="str">
            <v>..</v>
          </cell>
          <cell r="BB218" t="str">
            <v>..</v>
          </cell>
          <cell r="BC218" t="str">
            <v>..</v>
          </cell>
          <cell r="BD218">
            <v>0.75192871040472098</v>
          </cell>
          <cell r="BE218">
            <v>0.86562293867825102</v>
          </cell>
          <cell r="BF218">
            <v>0.86035541981958097</v>
          </cell>
          <cell r="BG218">
            <v>0.85035755647627398</v>
          </cell>
          <cell r="BH218">
            <v>0.84463078216467602</v>
          </cell>
          <cell r="BI218">
            <v>0.827011649169067</v>
          </cell>
          <cell r="BJ218">
            <v>0.77462049835887103</v>
          </cell>
          <cell r="BK218">
            <v>0.80573553118094998</v>
          </cell>
          <cell r="BL218" t="str">
            <v>..</v>
          </cell>
          <cell r="BM218" t="str">
            <v>..</v>
          </cell>
          <cell r="BN218">
            <v>0.80573553118094998</v>
          </cell>
        </row>
        <row r="219">
          <cell r="B219" t="str">
            <v>SVK</v>
          </cell>
          <cell r="C219" t="str">
            <v>Price level ratio of PPP conversion factor (GDP) to market exchange rate</v>
          </cell>
          <cell r="D219" t="str">
            <v>PA.NUS.PPPC.RF</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cell r="AJ219" t="str">
            <v>..</v>
          </cell>
          <cell r="AK219">
            <v>0.40725061456850797</v>
          </cell>
          <cell r="AL219">
            <v>0.415464980089014</v>
          </cell>
          <cell r="AM219">
            <v>0.46745165500059299</v>
          </cell>
          <cell r="AN219">
            <v>0.55437124183006503</v>
          </cell>
          <cell r="AO219">
            <v>0.55257921419518397</v>
          </cell>
          <cell r="AP219">
            <v>0.510271893055398</v>
          </cell>
          <cell r="AQ219">
            <v>0.52137934892046101</v>
          </cell>
          <cell r="AR219">
            <v>0.52674834860430397</v>
          </cell>
          <cell r="AS219">
            <v>0.47581628892574201</v>
          </cell>
          <cell r="AT219">
            <v>0.46158747203579398</v>
          </cell>
          <cell r="AU219">
            <v>0.49079427818558302</v>
          </cell>
          <cell r="AV219">
            <v>0.61438713318284399</v>
          </cell>
          <cell r="AW219">
            <v>0.700879066302458</v>
          </cell>
          <cell r="AX219">
            <v>0.70229449073498296</v>
          </cell>
          <cell r="AY219">
            <v>0.69576715594028304</v>
          </cell>
          <cell r="AZ219">
            <v>0.75795510539282795</v>
          </cell>
          <cell r="BA219">
            <v>0.78721253845027095</v>
          </cell>
          <cell r="BB219">
            <v>0.71625868296749096</v>
          </cell>
          <cell r="BC219">
            <v>0.66497497755174695</v>
          </cell>
          <cell r="BD219">
            <v>0.70397345047422899</v>
          </cell>
          <cell r="BE219">
            <v>0.648266925340379</v>
          </cell>
          <cell r="BF219">
            <v>0.65208525878343904</v>
          </cell>
          <cell r="BG219">
            <v>0.644012478665835</v>
          </cell>
          <cell r="BH219">
            <v>0.54515955689636997</v>
          </cell>
          <cell r="BI219">
            <v>0.55660890206871505</v>
          </cell>
          <cell r="BJ219">
            <v>0.58196360246615397</v>
          </cell>
          <cell r="BK219">
            <v>0.62087991253859998</v>
          </cell>
          <cell r="BL219">
            <v>0.60386694007843</v>
          </cell>
          <cell r="BM219">
            <v>0.61443525924046904</v>
          </cell>
          <cell r="BN219">
            <v>0.61443525924046904</v>
          </cell>
        </row>
        <row r="220">
          <cell r="B220" t="str">
            <v>SVN</v>
          </cell>
          <cell r="C220" t="str">
            <v>Price level ratio of PPP conversion factor (GDP) to market exchange rate</v>
          </cell>
          <cell r="D220" t="str">
            <v>PA.NUS.PPPC.RF</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v>0.73608050847457596</v>
          </cell>
          <cell r="AJ220">
            <v>0.56963478260869604</v>
          </cell>
          <cell r="AK220">
            <v>0.58190448113207505</v>
          </cell>
          <cell r="AL220">
            <v>0.55937354497354497</v>
          </cell>
          <cell r="AM220">
            <v>0.59020279069767401</v>
          </cell>
          <cell r="AN220">
            <v>0.78781641730691498</v>
          </cell>
          <cell r="AO220">
            <v>0.75607117563739401</v>
          </cell>
          <cell r="AP220">
            <v>0.68410114045618198</v>
          </cell>
          <cell r="AQ220">
            <v>0.69604731679169096</v>
          </cell>
          <cell r="AR220">
            <v>0.670410019775873</v>
          </cell>
          <cell r="AS220">
            <v>0.56670038743004703</v>
          </cell>
          <cell r="AT220">
            <v>0.55307403751233997</v>
          </cell>
          <cell r="AU220">
            <v>0.581831421446384</v>
          </cell>
          <cell r="AV220">
            <v>0.70333333333333303</v>
          </cell>
          <cell r="AW220">
            <v>0.75713627304434505</v>
          </cell>
          <cell r="AX220">
            <v>0.75878000248725297</v>
          </cell>
          <cell r="AY220">
            <v>0.76487642704804903</v>
          </cell>
          <cell r="AZ220">
            <v>0.862804544210238</v>
          </cell>
          <cell r="BA220">
            <v>0.92835652556027504</v>
          </cell>
          <cell r="BB220">
            <v>0.89674076132258995</v>
          </cell>
          <cell r="BC220">
            <v>0.84485036065586205</v>
          </cell>
          <cell r="BD220">
            <v>0.86740174186455699</v>
          </cell>
          <cell r="BE220">
            <v>0.77964536634822201</v>
          </cell>
          <cell r="BF220">
            <v>0.78390732560932397</v>
          </cell>
          <cell r="BG220">
            <v>0.78441540353644101</v>
          </cell>
          <cell r="BH220">
            <v>0.66022523517803999</v>
          </cell>
          <cell r="BI220">
            <v>0.63836678703893102</v>
          </cell>
          <cell r="BJ220">
            <v>0.64249566929780799</v>
          </cell>
          <cell r="BK220">
            <v>0.66999661391491605</v>
          </cell>
          <cell r="BL220">
            <v>0.637875456211764</v>
          </cell>
          <cell r="BM220">
            <v>0.64164465494786205</v>
          </cell>
          <cell r="BN220">
            <v>0.64164465494786205</v>
          </cell>
        </row>
        <row r="221">
          <cell r="B221" t="str">
            <v>SST</v>
          </cell>
          <cell r="C221" t="str">
            <v>Price level ratio of PPP conversion factor (GDP) to market exchange rate</v>
          </cell>
          <cell r="D221" t="str">
            <v>PA.NUS.PPPC.RF</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cell r="AJ221" t="str">
            <v>..</v>
          </cell>
          <cell r="AK221" t="str">
            <v>..</v>
          </cell>
          <cell r="AL221" t="str">
            <v>..</v>
          </cell>
          <cell r="AM221" t="str">
            <v>..</v>
          </cell>
          <cell r="AN221" t="str">
            <v>..</v>
          </cell>
          <cell r="AO221" t="str">
            <v>..</v>
          </cell>
          <cell r="AP221" t="str">
            <v>..</v>
          </cell>
          <cell r="AQ221" t="str">
            <v>..</v>
          </cell>
          <cell r="AR221" t="str">
            <v>..</v>
          </cell>
          <cell r="AS221" t="str">
            <v>..</v>
          </cell>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v>
          </cell>
          <cell r="BN221" t="str">
            <v/>
          </cell>
        </row>
        <row r="222">
          <cell r="B222" t="str">
            <v>SLB</v>
          </cell>
          <cell r="C222" t="str">
            <v>Price level ratio of PPP conversion factor (GDP) to market exchange rate</v>
          </cell>
          <cell r="D222" t="str">
            <v>PA.NUS.PPPC.RF</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v>0.61949765626865605</v>
          </cell>
          <cell r="AJ222">
            <v>0.59931107025220998</v>
          </cell>
          <cell r="AK222">
            <v>0.61463176975330802</v>
          </cell>
          <cell r="AL222">
            <v>0.62644331012700705</v>
          </cell>
          <cell r="AM222">
            <v>0.63529054139968399</v>
          </cell>
          <cell r="AN222">
            <v>0.65865076658394595</v>
          </cell>
          <cell r="AO222">
            <v>0.69232579666559302</v>
          </cell>
          <cell r="AP222">
            <v>0.70785488952631803</v>
          </cell>
          <cell r="AQ222">
            <v>0.60066292268764399</v>
          </cell>
          <cell r="AR222">
            <v>0.63442803842954099</v>
          </cell>
          <cell r="AS222">
            <v>0.62292162922203997</v>
          </cell>
          <cell r="AT222">
            <v>0.64573535249644798</v>
          </cell>
          <cell r="AU222">
            <v>0.55333697379882496</v>
          </cell>
          <cell r="AV222">
            <v>0.51893199484750796</v>
          </cell>
          <cell r="AW222">
            <v>0.53441017952265801</v>
          </cell>
          <cell r="AX222">
            <v>0.58898176613755004</v>
          </cell>
          <cell r="AY222">
            <v>0.61578195413756798</v>
          </cell>
          <cell r="AZ222">
            <v>0.661033213292605</v>
          </cell>
          <cell r="BA222">
            <v>0.69081851829187901</v>
          </cell>
          <cell r="BB222">
            <v>0.70367124138161896</v>
          </cell>
          <cell r="BC222">
            <v>0.73684947528526701</v>
          </cell>
          <cell r="BD222">
            <v>0.83426408124769103</v>
          </cell>
          <cell r="BE222">
            <v>0.91156516327610704</v>
          </cell>
          <cell r="BF222">
            <v>0.91741882212520598</v>
          </cell>
          <cell r="BG222">
            <v>0.92666078433203103</v>
          </cell>
          <cell r="BH222">
            <v>0.88580447250579097</v>
          </cell>
          <cell r="BI222">
            <v>0.87320908609367698</v>
          </cell>
          <cell r="BJ222">
            <v>0.875712158097676</v>
          </cell>
          <cell r="BK222">
            <v>0.873098970879986</v>
          </cell>
          <cell r="BL222">
            <v>0.84515540923837096</v>
          </cell>
          <cell r="BM222">
            <v>0.85931588945390902</v>
          </cell>
          <cell r="BN222">
            <v>0.85931588945390902</v>
          </cell>
        </row>
        <row r="223">
          <cell r="B223" t="str">
            <v>SOM</v>
          </cell>
          <cell r="C223" t="str">
            <v>Price level ratio of PPP conversion factor (GDP) to market exchange rate</v>
          </cell>
          <cell r="D223" t="str">
            <v>PA.NUS.PPPC.RF</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v>
          </cell>
          <cell r="Q223" t="str">
            <v>..</v>
          </cell>
          <cell r="R223" t="str">
            <v>..</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t="str">
            <v>..</v>
          </cell>
          <cell r="AF223" t="str">
            <v>..</v>
          </cell>
          <cell r="AG223" t="str">
            <v>..</v>
          </cell>
          <cell r="AH223" t="str">
            <v>..</v>
          </cell>
          <cell r="AI223" t="str">
            <v>..</v>
          </cell>
          <cell r="AJ223" t="str">
            <v>..</v>
          </cell>
          <cell r="AK223" t="str">
            <v>..</v>
          </cell>
          <cell r="AL223" t="str">
            <v>..</v>
          </cell>
          <cell r="AM223" t="str">
            <v>..</v>
          </cell>
          <cell r="AN223" t="str">
            <v>..</v>
          </cell>
          <cell r="AO223" t="str">
            <v>..</v>
          </cell>
          <cell r="AP223" t="str">
            <v>..</v>
          </cell>
          <cell r="AQ223" t="str">
            <v>..</v>
          </cell>
          <cell r="AR223" t="str">
            <v>..</v>
          </cell>
          <cell r="AS223" t="str">
            <v>..</v>
          </cell>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v>0.431754288434336</v>
          </cell>
          <cell r="BG223">
            <v>0.401823431109325</v>
          </cell>
          <cell r="BH223">
            <v>0.356859226349236</v>
          </cell>
          <cell r="BI223">
            <v>0.34329132596511902</v>
          </cell>
          <cell r="BJ223">
            <v>0.35627742413895203</v>
          </cell>
          <cell r="BK223">
            <v>0.33703450206491897</v>
          </cell>
          <cell r="BL223">
            <v>0.33914447358038202</v>
          </cell>
          <cell r="BM223">
            <v>0.35180198029281601</v>
          </cell>
          <cell r="BN223">
            <v>0.35180198029281601</v>
          </cell>
        </row>
        <row r="224">
          <cell r="B224" t="str">
            <v>ZAF</v>
          </cell>
          <cell r="C224" t="str">
            <v>Price level ratio of PPP conversion factor (GDP) to market exchange rate</v>
          </cell>
          <cell r="D224" t="str">
            <v>PA.NUS.PPPC.RF</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v>0.48683848617201902</v>
          </cell>
          <cell r="AJ224">
            <v>0.51030574292361597</v>
          </cell>
          <cell r="AK224">
            <v>0.55344042957253903</v>
          </cell>
          <cell r="AL224">
            <v>0.53310365544011695</v>
          </cell>
          <cell r="AM224">
            <v>0.52747486998222604</v>
          </cell>
          <cell r="AN224">
            <v>0.56059062319969999</v>
          </cell>
          <cell r="AO224">
            <v>0.501695613502531</v>
          </cell>
          <cell r="AP224">
            <v>0.497283843868841</v>
          </cell>
          <cell r="AQ224">
            <v>0.44298871153629998</v>
          </cell>
          <cell r="AR224">
            <v>0.422362555189986</v>
          </cell>
          <cell r="AS224">
            <v>0.39709490372898099</v>
          </cell>
          <cell r="AT224">
            <v>0.337657335544916</v>
          </cell>
          <cell r="AU224">
            <v>0.30552926649529299</v>
          </cell>
          <cell r="AV224">
            <v>0.44469639630876601</v>
          </cell>
          <cell r="AW224">
            <v>0.53775452581064798</v>
          </cell>
          <cell r="AX224">
            <v>0.55939312808109498</v>
          </cell>
          <cell r="AY224">
            <v>0.54083459790322197</v>
          </cell>
          <cell r="AZ224">
            <v>0.54795158898157104</v>
          </cell>
          <cell r="BA224">
            <v>0.49437864553574401</v>
          </cell>
          <cell r="BB224">
            <v>0.51977253319281103</v>
          </cell>
          <cell r="BC224">
            <v>0.63110922353509302</v>
          </cell>
          <cell r="BD224">
            <v>0.65783813668214197</v>
          </cell>
          <cell r="BE224">
            <v>0.62215333879425905</v>
          </cell>
          <cell r="BF224">
            <v>0.54876978924942899</v>
          </cell>
          <cell r="BG224">
            <v>0.51380355831865399</v>
          </cell>
          <cell r="BH224">
            <v>0.456857731012344</v>
          </cell>
          <cell r="BI224">
            <v>0.418735272760141</v>
          </cell>
          <cell r="BJ224">
            <v>0.48274238286760701</v>
          </cell>
          <cell r="BK224">
            <v>0.49300085528520798</v>
          </cell>
          <cell r="BL224">
            <v>0.46360203834852798</v>
          </cell>
          <cell r="BM224">
            <v>0.42332519923587603</v>
          </cell>
          <cell r="BN224">
            <v>0.42332519923587603</v>
          </cell>
        </row>
        <row r="225">
          <cell r="B225" t="str">
            <v>SAS</v>
          </cell>
          <cell r="C225" t="str">
            <v>Price level ratio of PPP conversion factor (GDP) to market exchange rate</v>
          </cell>
          <cell r="D225" t="str">
            <v>PA.NUS.PPPC.RF</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v>
          </cell>
          <cell r="BN225" t="str">
            <v/>
          </cell>
        </row>
        <row r="226">
          <cell r="B226" t="str">
            <v>TSA</v>
          </cell>
          <cell r="C226" t="str">
            <v>Price level ratio of PPP conversion factor (GDP) to market exchange rate</v>
          </cell>
          <cell r="D226" t="str">
            <v>PA.NUS.PPPC.RF</v>
          </cell>
          <cell r="E226" t="str">
            <v>..</v>
          </cell>
          <cell r="F226" t="str">
            <v>..</v>
          </cell>
          <cell r="G226" t="str">
            <v>..</v>
          </cell>
          <cell r="H226" t="str">
            <v>..</v>
          </cell>
          <cell r="I226" t="str">
            <v>..</v>
          </cell>
          <cell r="J226" t="str">
            <v>..</v>
          </cell>
          <cell r="K226" t="str">
            <v>..</v>
          </cell>
          <cell r="L226" t="str">
            <v>..</v>
          </cell>
          <cell r="M226" t="str">
            <v>..</v>
          </cell>
          <cell r="N226" t="str">
            <v>..</v>
          </cell>
          <cell r="O226" t="str">
            <v>..</v>
          </cell>
          <cell r="P226" t="str">
            <v>..</v>
          </cell>
          <cell r="Q226" t="str">
            <v>..</v>
          </cell>
          <cell r="R226" t="str">
            <v>..</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t="str">
            <v>..</v>
          </cell>
          <cell r="AF226" t="str">
            <v>..</v>
          </cell>
          <cell r="AG226" t="str">
            <v>..</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v>
          </cell>
          <cell r="BN226" t="str">
            <v/>
          </cell>
        </row>
        <row r="227">
          <cell r="B227" t="str">
            <v>SSD</v>
          </cell>
          <cell r="C227" t="str">
            <v>Price level ratio of PPP conversion factor (GDP) to market exchange rate</v>
          </cell>
          <cell r="D227" t="str">
            <v>PA.NUS.PPPC.RF</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t="str">
            <v>..</v>
          </cell>
          <cell r="AU227" t="str">
            <v>..</v>
          </cell>
          <cell r="AV227" t="str">
            <v>..</v>
          </cell>
          <cell r="AW227" t="str">
            <v>..</v>
          </cell>
          <cell r="AX227" t="str">
            <v>..</v>
          </cell>
          <cell r="AY227" t="str">
            <v>..</v>
          </cell>
          <cell r="AZ227" t="str">
            <v>..</v>
          </cell>
          <cell r="BA227">
            <v>0.57360225005510901</v>
          </cell>
          <cell r="BB227">
            <v>0.45444220910862798</v>
          </cell>
          <cell r="BC227">
            <v>0.50835263939251996</v>
          </cell>
          <cell r="BD227">
            <v>0.53309731652016701</v>
          </cell>
          <cell r="BE227">
            <v>0.77658274707122399</v>
          </cell>
          <cell r="BF227">
            <v>0.84767488614543696</v>
          </cell>
          <cell r="BG227">
            <v>0.88452807490390495</v>
          </cell>
          <cell r="BH227">
            <v>0.90680185074904796</v>
          </cell>
          <cell r="BI227" t="str">
            <v>..</v>
          </cell>
          <cell r="BJ227" t="str">
            <v>..</v>
          </cell>
          <cell r="BK227" t="str">
            <v>..</v>
          </cell>
          <cell r="BL227" t="str">
            <v>..</v>
          </cell>
          <cell r="BM227" t="str">
            <v>..</v>
          </cell>
          <cell r="BN227">
            <v>0.90680185074904796</v>
          </cell>
        </row>
        <row r="228">
          <cell r="B228" t="str">
            <v>ESP</v>
          </cell>
          <cell r="C228" t="str">
            <v>Price level ratio of PPP conversion factor (GDP) to market exchange rate</v>
          </cell>
          <cell r="D228" t="str">
            <v>PA.NUS.PPPC.RF</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v>1.0092556317335899</v>
          </cell>
          <cell r="AJ228">
            <v>1.02405284227382</v>
          </cell>
          <cell r="AK228">
            <v>1.08440110515196</v>
          </cell>
          <cell r="AL228">
            <v>0.89077787946136699</v>
          </cell>
          <cell r="AM228">
            <v>0.86075394360948898</v>
          </cell>
          <cell r="AN228">
            <v>0.95041900186816097</v>
          </cell>
          <cell r="AO228">
            <v>0.94898200446604497</v>
          </cell>
          <cell r="AP228">
            <v>0.82236363636363596</v>
          </cell>
          <cell r="AQ228">
            <v>0.80612985855885999</v>
          </cell>
          <cell r="AR228">
            <v>0.78756658853611805</v>
          </cell>
          <cell r="AS228">
            <v>0.68165745347337403</v>
          </cell>
          <cell r="AT228">
            <v>0.66911767337807604</v>
          </cell>
          <cell r="AU228">
            <v>0.69858083945040494</v>
          </cell>
          <cell r="AV228">
            <v>0.85695711060948099</v>
          </cell>
          <cell r="AW228">
            <v>0.95094983858952098</v>
          </cell>
          <cell r="AX228">
            <v>0.95698047506529005</v>
          </cell>
          <cell r="AY228">
            <v>0.92334336971521802</v>
          </cell>
          <cell r="AZ228">
            <v>1.00247741582261</v>
          </cell>
          <cell r="BA228">
            <v>1.0632224989014201</v>
          </cell>
          <cell r="BB228">
            <v>0.99844540150041705</v>
          </cell>
          <cell r="BC228">
            <v>0.96275592345101402</v>
          </cell>
          <cell r="BD228">
            <v>0.99273480859014696</v>
          </cell>
          <cell r="BE228">
            <v>0.89294836644987996</v>
          </cell>
          <cell r="BF228">
            <v>0.89595933537571804</v>
          </cell>
          <cell r="BG228">
            <v>0.87877403392710496</v>
          </cell>
          <cell r="BH228">
            <v>0.73724105041886601</v>
          </cell>
          <cell r="BI228">
            <v>0.71086175761445403</v>
          </cell>
          <cell r="BJ228">
            <v>0.71088667264900995</v>
          </cell>
          <cell r="BK228">
            <v>0.74576034452798101</v>
          </cell>
          <cell r="BL228">
            <v>0.70882327274509704</v>
          </cell>
          <cell r="BM228">
            <v>0.71660584338210298</v>
          </cell>
          <cell r="BN228">
            <v>0.71660584338210298</v>
          </cell>
        </row>
        <row r="229">
          <cell r="B229" t="str">
            <v>LKA</v>
          </cell>
          <cell r="C229" t="str">
            <v>Price level ratio of PPP conversion factor (GDP) to market exchange rate</v>
          </cell>
          <cell r="D229" t="str">
            <v>PA.NUS.PPPC.RF</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v>0.24880211820152701</v>
          </cell>
          <cell r="AJ229">
            <v>0.25780124973330698</v>
          </cell>
          <cell r="AK229">
            <v>0.260282524522783</v>
          </cell>
          <cell r="AL229">
            <v>0.25342615242413302</v>
          </cell>
          <cell r="AM229">
            <v>0.26630860380166699</v>
          </cell>
          <cell r="AN229">
            <v>0.27492569974210701</v>
          </cell>
          <cell r="AO229">
            <v>0.27742656704684598</v>
          </cell>
          <cell r="AP229">
            <v>0.27815525998003598</v>
          </cell>
          <cell r="AQ229">
            <v>0.27495456354031</v>
          </cell>
          <cell r="AR229">
            <v>0.25758458696254</v>
          </cell>
          <cell r="AS229">
            <v>0.24793063050979999</v>
          </cell>
          <cell r="AT229">
            <v>0.21984516080844699</v>
          </cell>
          <cell r="AU229">
            <v>0.21856777102552599</v>
          </cell>
          <cell r="AV229">
            <v>0.23127667331804</v>
          </cell>
          <cell r="AW229">
            <v>0.23372700427093199</v>
          </cell>
          <cell r="AX229">
            <v>0.25200059050806201</v>
          </cell>
          <cell r="AY229">
            <v>0.26323868233037101</v>
          </cell>
          <cell r="AZ229">
            <v>0.27458701922184903</v>
          </cell>
          <cell r="BA229">
            <v>0.31994574539029802</v>
          </cell>
          <cell r="BB229">
            <v>0.316859075748325</v>
          </cell>
          <cell r="BC229">
            <v>0.34165935378679502</v>
          </cell>
          <cell r="BD229">
            <v>0.35534586853662598</v>
          </cell>
          <cell r="BE229">
            <v>0.324814670767889</v>
          </cell>
          <cell r="BF229">
            <v>0.33268227582492499</v>
          </cell>
          <cell r="BG229">
            <v>0.33928243488609</v>
          </cell>
          <cell r="BH229">
            <v>0.33257927563553902</v>
          </cell>
          <cell r="BI229">
            <v>0.31791744978299002</v>
          </cell>
          <cell r="BJ229">
            <v>0.32398362125146901</v>
          </cell>
          <cell r="BK229">
            <v>0.30823745450012502</v>
          </cell>
          <cell r="BL229">
            <v>0.282779495353085</v>
          </cell>
          <cell r="BM229">
            <v>0.27831992801571098</v>
          </cell>
          <cell r="BN229">
            <v>0.27831992801571098</v>
          </cell>
        </row>
        <row r="230">
          <cell r="B230" t="str">
            <v>KNA</v>
          </cell>
          <cell r="C230" t="str">
            <v>Price level ratio of PPP conversion factor (GDP) to market exchange rate</v>
          </cell>
          <cell r="D230" t="str">
            <v>PA.NUS.PPPC.RF</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t="str">
            <v>..</v>
          </cell>
          <cell r="AF230" t="str">
            <v>..</v>
          </cell>
          <cell r="AG230" t="str">
            <v>..</v>
          </cell>
          <cell r="AH230" t="str">
            <v>..</v>
          </cell>
          <cell r="AI230">
            <v>0.53096688627387401</v>
          </cell>
          <cell r="AJ230">
            <v>0.531261985548793</v>
          </cell>
          <cell r="AK230">
            <v>0.54694032464773301</v>
          </cell>
          <cell r="AL230">
            <v>0.54491280375683004</v>
          </cell>
          <cell r="AM230">
            <v>0.56698288871329205</v>
          </cell>
          <cell r="AN230">
            <v>0.55968911115204401</v>
          </cell>
          <cell r="AO230">
            <v>0.55317521213624399</v>
          </cell>
          <cell r="AP230">
            <v>0.57073979944199005</v>
          </cell>
          <cell r="AQ230">
            <v>0.58019137790952802</v>
          </cell>
          <cell r="AR230">
            <v>0.58783365811104804</v>
          </cell>
          <cell r="AS230">
            <v>0.58537404668645698</v>
          </cell>
          <cell r="AT230">
            <v>0.59535568664038496</v>
          </cell>
          <cell r="AU230">
            <v>0.60645765168936705</v>
          </cell>
          <cell r="AV230">
            <v>0.605340059817291</v>
          </cell>
          <cell r="AW230">
            <v>0.61148881454831105</v>
          </cell>
          <cell r="AX230">
            <v>0.58338748461439605</v>
          </cell>
          <cell r="AY230">
            <v>0.64647994581061097</v>
          </cell>
          <cell r="AZ230">
            <v>0.66938807206167406</v>
          </cell>
          <cell r="BA230">
            <v>0.674347269464596</v>
          </cell>
          <cell r="BB230">
            <v>0.69434925134536996</v>
          </cell>
          <cell r="BC230">
            <v>0.70192361272263304</v>
          </cell>
          <cell r="BD230">
            <v>0.72636811821548897</v>
          </cell>
          <cell r="BE230">
            <v>0.74672125003955903</v>
          </cell>
          <cell r="BF230">
            <v>0.75320261496084795</v>
          </cell>
          <cell r="BG230">
            <v>0.75369834899902199</v>
          </cell>
          <cell r="BH230">
            <v>0.75367159313625898</v>
          </cell>
          <cell r="BI230">
            <v>0.75467277456213</v>
          </cell>
          <cell r="BJ230">
            <v>0.75546829788773295</v>
          </cell>
          <cell r="BK230">
            <v>0.73039878572266703</v>
          </cell>
          <cell r="BL230">
            <v>0.73950925474722196</v>
          </cell>
          <cell r="BM230">
            <v>0.71872760811311098</v>
          </cell>
          <cell r="BN230">
            <v>0.71872760811311098</v>
          </cell>
        </row>
        <row r="231">
          <cell r="B231" t="str">
            <v>LCA</v>
          </cell>
          <cell r="C231" t="str">
            <v>Price level ratio of PPP conversion factor (GDP) to market exchange rate</v>
          </cell>
          <cell r="D231" t="str">
            <v>PA.NUS.PPPC.RF</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v>0.60385801935061501</v>
          </cell>
          <cell r="AJ231">
            <v>0.61612748791160699</v>
          </cell>
          <cell r="AK231">
            <v>0.61291232266136997</v>
          </cell>
          <cell r="AL231">
            <v>0.60473385821221504</v>
          </cell>
          <cell r="AM231">
            <v>0.60735853685991104</v>
          </cell>
          <cell r="AN231">
            <v>0.62501615345131101</v>
          </cell>
          <cell r="AO231">
            <v>0.61130413127880001</v>
          </cell>
          <cell r="AP231">
            <v>0.61782347874653298</v>
          </cell>
          <cell r="AQ231">
            <v>0.625794612917</v>
          </cell>
          <cell r="AR231">
            <v>0.63127707344989603</v>
          </cell>
          <cell r="AS231">
            <v>0.642196823541474</v>
          </cell>
          <cell r="AT231">
            <v>0.62268104100519595</v>
          </cell>
          <cell r="AU231">
            <v>0.61550879356018195</v>
          </cell>
          <cell r="AV231">
            <v>0.63585767462193299</v>
          </cell>
          <cell r="AW231">
            <v>0.62357250955630705</v>
          </cell>
          <cell r="AX231">
            <v>0.64644356530206304</v>
          </cell>
          <cell r="AY231">
            <v>0.65993014899011804</v>
          </cell>
          <cell r="AZ231">
            <v>0.66574384477322601</v>
          </cell>
          <cell r="BA231">
            <v>0.66958138874124795</v>
          </cell>
          <cell r="BB231">
            <v>0.66663151521703701</v>
          </cell>
          <cell r="BC231">
            <v>0.68800090636273303</v>
          </cell>
          <cell r="BD231">
            <v>0.67766414748297799</v>
          </cell>
          <cell r="BE231">
            <v>0.69469005973250697</v>
          </cell>
          <cell r="BF231">
            <v>0.69527029991150002</v>
          </cell>
          <cell r="BG231">
            <v>0.71534368726942199</v>
          </cell>
          <cell r="BH231">
            <v>0.74484251163624104</v>
          </cell>
          <cell r="BI231">
            <v>0.72504145127755504</v>
          </cell>
          <cell r="BJ231">
            <v>0.73917048948782604</v>
          </cell>
          <cell r="BK231">
            <v>0.72532407556485901</v>
          </cell>
          <cell r="BL231">
            <v>0.7315885039001</v>
          </cell>
          <cell r="BM231">
            <v>0.69273627379698099</v>
          </cell>
          <cell r="BN231">
            <v>0.69273627379698099</v>
          </cell>
        </row>
        <row r="232">
          <cell r="B232" t="str">
            <v>MAF</v>
          </cell>
          <cell r="C232" t="str">
            <v>Price level ratio of PPP conversion factor (GDP) to market exchange rate</v>
          </cell>
          <cell r="D232" t="str">
            <v>PA.NUS.PPPC.RF</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v>
          </cell>
          <cell r="BN232" t="str">
            <v/>
          </cell>
        </row>
        <row r="233">
          <cell r="B233" t="str">
            <v>VCT</v>
          </cell>
          <cell r="C233" t="str">
            <v>Price level ratio of PPP conversion factor (GDP) to market exchange rate</v>
          </cell>
          <cell r="D233" t="str">
            <v>PA.NUS.PPPC.RF</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v>0.58243183875274795</v>
          </cell>
          <cell r="AJ233">
            <v>0.60862748308654102</v>
          </cell>
          <cell r="AK233">
            <v>0.62249490810751895</v>
          </cell>
          <cell r="AL233">
            <v>0.58646176769589298</v>
          </cell>
          <cell r="AM233">
            <v>0.58810539380911797</v>
          </cell>
          <cell r="AN233">
            <v>0.58358130834402999</v>
          </cell>
          <cell r="AO233">
            <v>0.59352035608672604</v>
          </cell>
          <cell r="AP233">
            <v>0.59101698201861097</v>
          </cell>
          <cell r="AQ233">
            <v>0.60320532300787</v>
          </cell>
          <cell r="AR233">
            <v>0.60542621788861495</v>
          </cell>
          <cell r="AS233">
            <v>0.59090623016049604</v>
          </cell>
          <cell r="AT233">
            <v>0.61696157167905197</v>
          </cell>
          <cell r="AU233">
            <v>0.61354562978790705</v>
          </cell>
          <cell r="AV233">
            <v>0.583474005000019</v>
          </cell>
          <cell r="AW233">
            <v>0.59098137872485901</v>
          </cell>
          <cell r="AX233">
            <v>0.59002059227982595</v>
          </cell>
          <cell r="AY233">
            <v>0.58993634118409299</v>
          </cell>
          <cell r="AZ233">
            <v>0.62281559421100396</v>
          </cell>
          <cell r="BA233">
            <v>0.61105537977764401</v>
          </cell>
          <cell r="BB233">
            <v>0.60116864794255898</v>
          </cell>
          <cell r="BC233">
            <v>0.62059043831875504</v>
          </cell>
          <cell r="BD233">
            <v>0.60589600492406703</v>
          </cell>
          <cell r="BE233">
            <v>0.61109436882866697</v>
          </cell>
          <cell r="BF233">
            <v>0.60860978232489604</v>
          </cell>
          <cell r="BG233">
            <v>0.59104597126995895</v>
          </cell>
          <cell r="BH233">
            <v>0.59448317245200699</v>
          </cell>
          <cell r="BI233">
            <v>0.56796113650004099</v>
          </cell>
          <cell r="BJ233">
            <v>0.58905279194867</v>
          </cell>
          <cell r="BK233">
            <v>0.57667242504415595</v>
          </cell>
          <cell r="BL233">
            <v>0.57309367186416704</v>
          </cell>
          <cell r="BM233">
            <v>0.57284578006087405</v>
          </cell>
          <cell r="BN233">
            <v>0.57284578006087405</v>
          </cell>
        </row>
        <row r="234">
          <cell r="B234" t="str">
            <v>SSF</v>
          </cell>
          <cell r="C234" t="str">
            <v>Price level ratio of PPP conversion factor (GDP) to market exchange rate</v>
          </cell>
          <cell r="D234" t="str">
            <v>PA.NUS.PPPC.RF</v>
          </cell>
          <cell r="E234" t="str">
            <v>..</v>
          </cell>
          <cell r="F234" t="str">
            <v>..</v>
          </cell>
          <cell r="G234" t="str">
            <v>..</v>
          </cell>
          <cell r="H234" t="str">
            <v>..</v>
          </cell>
          <cell r="I234" t="str">
            <v>..</v>
          </cell>
          <cell r="J234" t="str">
            <v>..</v>
          </cell>
          <cell r="K234" t="str">
            <v>..</v>
          </cell>
          <cell r="L234" t="str">
            <v>..</v>
          </cell>
          <cell r="M234" t="str">
            <v>..</v>
          </cell>
          <cell r="N234" t="str">
            <v>..</v>
          </cell>
          <cell r="O234" t="str">
            <v>..</v>
          </cell>
          <cell r="P234" t="str">
            <v>..</v>
          </cell>
          <cell r="Q234" t="str">
            <v>..</v>
          </cell>
          <cell r="R234" t="str">
            <v>..</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t="str">
            <v>..</v>
          </cell>
          <cell r="AF234" t="str">
            <v>..</v>
          </cell>
          <cell r="AG234" t="str">
            <v>..</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
          </cell>
        </row>
        <row r="235">
          <cell r="B235" t="str">
            <v>SSA</v>
          </cell>
          <cell r="C235" t="str">
            <v>Price level ratio of PPP conversion factor (GDP) to market exchange rate</v>
          </cell>
          <cell r="D235" t="str">
            <v>PA.NUS.PPPC.RF</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v>
          </cell>
          <cell r="BN235" t="str">
            <v/>
          </cell>
        </row>
        <row r="236">
          <cell r="B236" t="str">
            <v>TSS</v>
          </cell>
          <cell r="C236" t="str">
            <v>Price level ratio of PPP conversion factor (GDP) to market exchange rate</v>
          </cell>
          <cell r="D236" t="str">
            <v>PA.NUS.PPPC.RF</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
          </cell>
        </row>
        <row r="237">
          <cell r="B237" t="str">
            <v>SDN</v>
          </cell>
          <cell r="C237" t="str">
            <v>Price level ratio of PPP conversion factor (GDP) to market exchange rate</v>
          </cell>
          <cell r="D237" t="str">
            <v>PA.NUS.PPPC.RF</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v>0.29509394577799603</v>
          </cell>
          <cell r="AJ237">
            <v>0.24347364692832801</v>
          </cell>
          <cell r="AK237">
            <v>0.13807091971101099</v>
          </cell>
          <cell r="AL237">
            <v>0.162858538546169</v>
          </cell>
          <cell r="AM237">
            <v>0.227404239746471</v>
          </cell>
          <cell r="AN237">
            <v>0.227139852893737</v>
          </cell>
          <cell r="AO237">
            <v>0.13732412866166499</v>
          </cell>
          <cell r="AP237">
            <v>0.158052565667334</v>
          </cell>
          <cell r="AQ237">
            <v>0.14430714458872501</v>
          </cell>
          <cell r="AR237">
            <v>0.13100130484445799</v>
          </cell>
          <cell r="AS237">
            <v>0.138260454420402</v>
          </cell>
          <cell r="AT237">
            <v>0.16288477086042699</v>
          </cell>
          <cell r="AU237">
            <v>0.17455745963074401</v>
          </cell>
          <cell r="AV237">
            <v>0.189849427776732</v>
          </cell>
          <cell r="AW237">
            <v>0.21938784352035601</v>
          </cell>
          <cell r="AX237">
            <v>0.265917068536975</v>
          </cell>
          <cell r="AY237">
            <v>0.31171443911456798</v>
          </cell>
          <cell r="AZ237">
            <v>0.377004483440815</v>
          </cell>
          <cell r="BA237">
            <v>0.38841527635958001</v>
          </cell>
          <cell r="BB237">
            <v>0.31566415707017198</v>
          </cell>
          <cell r="BC237">
            <v>0.34316704045643298</v>
          </cell>
          <cell r="BD237">
            <v>0.32407255549179997</v>
          </cell>
          <cell r="BE237">
            <v>0.27319773038228301</v>
          </cell>
          <cell r="BF237">
            <v>0.30235192547105699</v>
          </cell>
          <cell r="BG237">
            <v>0.29448991411187603</v>
          </cell>
          <cell r="BH237">
            <v>0.29984067184756502</v>
          </cell>
          <cell r="BI237">
            <v>0.224895334243775</v>
          </cell>
          <cell r="BJ237">
            <v>0.21995090302966899</v>
          </cell>
          <cell r="BK237">
            <v>0.16554188526144301</v>
          </cell>
          <cell r="BL237">
            <v>0.14044105371437399</v>
          </cell>
          <cell r="BM237">
            <v>0.11742301768013</v>
          </cell>
          <cell r="BN237">
            <v>0.11742301768013</v>
          </cell>
        </row>
        <row r="238">
          <cell r="B238" t="str">
            <v>SUR</v>
          </cell>
          <cell r="C238" t="str">
            <v>Price level ratio of PPP conversion factor (GDP) to market exchange rate</v>
          </cell>
          <cell r="D238" t="str">
            <v>PA.NUS.PPPC.RF</v>
          </cell>
          <cell r="E238" t="str">
            <v>..</v>
          </cell>
          <cell r="F238" t="str">
            <v>..</v>
          </cell>
          <cell r="G238" t="str">
            <v>..</v>
          </cell>
          <cell r="H238" t="str">
            <v>..</v>
          </cell>
          <cell r="I238" t="str">
            <v>..</v>
          </cell>
          <cell r="J238" t="str">
            <v>..</v>
          </cell>
          <cell r="K238" t="str">
            <v>..</v>
          </cell>
          <cell r="L238" t="str">
            <v>..</v>
          </cell>
          <cell r="M238" t="str">
            <v>..</v>
          </cell>
          <cell r="N238" t="str">
            <v>..</v>
          </cell>
          <cell r="O238" t="str">
            <v>..</v>
          </cell>
          <cell r="P238" t="str">
            <v>..</v>
          </cell>
          <cell r="Q238" t="str">
            <v>..</v>
          </cell>
          <cell r="R238" t="str">
            <v>..</v>
          </cell>
          <cell r="S238" t="str">
            <v>..</v>
          </cell>
          <cell r="T238" t="str">
            <v>..</v>
          </cell>
          <cell r="U238" t="str">
            <v>..</v>
          </cell>
          <cell r="V238" t="str">
            <v>..</v>
          </cell>
          <cell r="W238" t="str">
            <v>..</v>
          </cell>
          <cell r="X238" t="str">
            <v>..</v>
          </cell>
          <cell r="Y238" t="str">
            <v>..</v>
          </cell>
          <cell r="Z238" t="str">
            <v>..</v>
          </cell>
          <cell r="AA238" t="str">
            <v>..</v>
          </cell>
          <cell r="AB238" t="str">
            <v>..</v>
          </cell>
          <cell r="AC238" t="str">
            <v>..</v>
          </cell>
          <cell r="AD238" t="str">
            <v>..</v>
          </cell>
          <cell r="AE238" t="str">
            <v>..</v>
          </cell>
          <cell r="AF238" t="str">
            <v>..</v>
          </cell>
          <cell r="AG238" t="str">
            <v>..</v>
          </cell>
          <cell r="AH238" t="str">
            <v>..</v>
          </cell>
          <cell r="AI238">
            <v>0.20532524533926599</v>
          </cell>
          <cell r="AJ238">
            <v>0.26481169373802499</v>
          </cell>
          <cell r="AK238">
            <v>0.232845735469253</v>
          </cell>
          <cell r="AL238">
            <v>0.245794959885101</v>
          </cell>
          <cell r="AM238">
            <v>0.32867434811531099</v>
          </cell>
          <cell r="AN238">
            <v>0.33156752052317201</v>
          </cell>
          <cell r="AO238">
            <v>0.363430414863401</v>
          </cell>
          <cell r="AP238">
            <v>0.363284982506135</v>
          </cell>
          <cell r="AQ238">
            <v>0.42220769084921</v>
          </cell>
          <cell r="AR238">
            <v>0.33417879972796599</v>
          </cell>
          <cell r="AS238">
            <v>0.34232087622691898</v>
          </cell>
          <cell r="AT238">
            <v>0.28300634411775699</v>
          </cell>
          <cell r="AU238">
            <v>0.33670649643755601</v>
          </cell>
          <cell r="AV238">
            <v>0.36233716610092298</v>
          </cell>
          <cell r="AW238">
            <v>0.37876716053544301</v>
          </cell>
          <cell r="AX238">
            <v>0.424764173046627</v>
          </cell>
          <cell r="AY238">
            <v>0.46363773576955603</v>
          </cell>
          <cell r="AZ238">
            <v>0.48029173629722799</v>
          </cell>
          <cell r="BA238">
            <v>0.54425208471637199</v>
          </cell>
          <cell r="BB238">
            <v>0.57515465341660099</v>
          </cell>
          <cell r="BC238">
            <v>0.60935562037612701</v>
          </cell>
          <cell r="BD238">
            <v>0.57085750298517401</v>
          </cell>
          <cell r="BE238">
            <v>0.58288899334994204</v>
          </cell>
          <cell r="BF238">
            <v>0.559149727676855</v>
          </cell>
          <cell r="BG238">
            <v>0.54874459902445505</v>
          </cell>
          <cell r="BH238">
            <v>0.532718950631618</v>
          </cell>
          <cell r="BI238">
            <v>0.38989625355145802</v>
          </cell>
          <cell r="BJ238">
            <v>0.34432661658014602</v>
          </cell>
          <cell r="BK238">
            <v>0.35649446884783098</v>
          </cell>
          <cell r="BL238">
            <v>0.34541678246833901</v>
          </cell>
          <cell r="BM238">
            <v>0.29379622560599</v>
          </cell>
          <cell r="BN238">
            <v>0.29379622560599</v>
          </cell>
        </row>
        <row r="239">
          <cell r="B239" t="str">
            <v>SWE</v>
          </cell>
          <cell r="C239" t="str">
            <v>Price level ratio of PPP conversion factor (GDP) to market exchange rate</v>
          </cell>
          <cell r="D239" t="str">
            <v>PA.NUS.PPPC.RF</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v>1.49865276745286</v>
          </cell>
          <cell r="AJ239">
            <v>1.53578321620504</v>
          </cell>
          <cell r="AK239">
            <v>1.5750726329887701</v>
          </cell>
          <cell r="AL239">
            <v>1.17670221240075</v>
          </cell>
          <cell r="AM239">
            <v>1.19224105754277</v>
          </cell>
          <cell r="AN239">
            <v>1.3112884639647799</v>
          </cell>
          <cell r="AO239">
            <v>1.37912227855652</v>
          </cell>
          <cell r="AP239">
            <v>1.22199072679406</v>
          </cell>
          <cell r="AQ239">
            <v>1.18188807406382</v>
          </cell>
          <cell r="AR239">
            <v>1.1262950232378</v>
          </cell>
          <cell r="AS239">
            <v>1.00022396367685</v>
          </cell>
          <cell r="AT239">
            <v>0.91045918811900395</v>
          </cell>
          <cell r="AU239">
            <v>0.96678220414702498</v>
          </cell>
          <cell r="AV239">
            <v>1.1730931328295999</v>
          </cell>
          <cell r="AW239">
            <v>1.26472029827593</v>
          </cell>
          <cell r="AX239">
            <v>1.26844040625711</v>
          </cell>
          <cell r="AY239">
            <v>1.2349165108020901</v>
          </cell>
          <cell r="AZ239">
            <v>1.3127933952772699</v>
          </cell>
          <cell r="BA239">
            <v>1.3319455022682101</v>
          </cell>
          <cell r="BB239">
            <v>1.1655309780762499</v>
          </cell>
          <cell r="BC239">
            <v>1.2521112369955001</v>
          </cell>
          <cell r="BD239">
            <v>1.3619747410633001</v>
          </cell>
          <cell r="BE239">
            <v>1.2774535459265199</v>
          </cell>
          <cell r="BF239">
            <v>1.31988308208279</v>
          </cell>
          <cell r="BG239">
            <v>1.2720309702169601</v>
          </cell>
          <cell r="BH239">
            <v>1.04973919187766</v>
          </cell>
          <cell r="BI239">
            <v>1.0304361816127301</v>
          </cell>
          <cell r="BJ239">
            <v>1.0354884905230599</v>
          </cell>
          <cell r="BK239">
            <v>1.0199438942799699</v>
          </cell>
          <cell r="BL239">
            <v>0.95129285686658405</v>
          </cell>
          <cell r="BM239">
            <v>0.94979234388402101</v>
          </cell>
          <cell r="BN239">
            <v>0.94979234388402101</v>
          </cell>
        </row>
        <row r="240">
          <cell r="B240" t="str">
            <v>CHE</v>
          </cell>
          <cell r="C240" t="str">
            <v>Price level ratio of PPP conversion factor (GDP) to market exchange rate</v>
          </cell>
          <cell r="D240" t="str">
            <v>PA.NUS.PPPC.RF</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v>1.39119493233516</v>
          </cell>
          <cell r="AJ240">
            <v>1.37416178521618</v>
          </cell>
          <cell r="AK240">
            <v>1.3992149054188601</v>
          </cell>
          <cell r="AL240">
            <v>1.3309738765565799</v>
          </cell>
          <cell r="AM240">
            <v>1.4245331578562599</v>
          </cell>
          <cell r="AN240">
            <v>1.6257065539111999</v>
          </cell>
          <cell r="AO240">
            <v>1.5267467637540499</v>
          </cell>
          <cell r="AP240">
            <v>1.27037208020396</v>
          </cell>
          <cell r="AQ240">
            <v>1.26058008001104</v>
          </cell>
          <cell r="AR240">
            <v>1.2001304753028901</v>
          </cell>
          <cell r="AS240">
            <v>1.0592651586925601</v>
          </cell>
          <cell r="AT240">
            <v>1.04831950699218</v>
          </cell>
          <cell r="AU240">
            <v>1.0969844732452201</v>
          </cell>
          <cell r="AV240">
            <v>1.27366822603401</v>
          </cell>
          <cell r="AW240">
            <v>1.3605195014073199</v>
          </cell>
          <cell r="AX240">
            <v>1.3544394474783199</v>
          </cell>
          <cell r="AY240">
            <v>1.2752017865688301</v>
          </cell>
          <cell r="AZ240">
            <v>1.27635121626125</v>
          </cell>
          <cell r="BA240">
            <v>1.3784959837503501</v>
          </cell>
          <cell r="BB240">
            <v>1.3510357503905901</v>
          </cell>
          <cell r="BC240">
            <v>1.40574749594807</v>
          </cell>
          <cell r="BD240">
            <v>1.5736845279676599</v>
          </cell>
          <cell r="BE240">
            <v>1.4440593055093101</v>
          </cell>
          <cell r="BF240">
            <v>1.4159801234704801</v>
          </cell>
          <cell r="BG240">
            <v>1.3990716965290999</v>
          </cell>
          <cell r="BH240">
            <v>1.28409390751855</v>
          </cell>
          <cell r="BI240">
            <v>1.2197796202414299</v>
          </cell>
          <cell r="BJ240">
            <v>1.20619077037651</v>
          </cell>
          <cell r="BK240">
            <v>1.2055282668348299</v>
          </cell>
          <cell r="BL240">
            <v>1.18464340519735</v>
          </cell>
          <cell r="BM240">
            <v>1.2140225987697599</v>
          </cell>
          <cell r="BN240">
            <v>1.2140225987697599</v>
          </cell>
        </row>
        <row r="241">
          <cell r="B241" t="str">
            <v>SYR</v>
          </cell>
          <cell r="C241" t="str">
            <v>Price level ratio of PPP conversion factor (GDP) to market exchange rate</v>
          </cell>
          <cell r="D241" t="str">
            <v>PA.NUS.PPPC.RF</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cell r="AJ241" t="str">
            <v>..</v>
          </cell>
          <cell r="AK241" t="str">
            <v>..</v>
          </cell>
          <cell r="AL241" t="str">
            <v>..</v>
          </cell>
          <cell r="AM241" t="str">
            <v>..</v>
          </cell>
          <cell r="AN241" t="str">
            <v>..</v>
          </cell>
          <cell r="AO241" t="str">
            <v>..</v>
          </cell>
          <cell r="AP241" t="str">
            <v>..</v>
          </cell>
          <cell r="AQ241" t="str">
            <v>..</v>
          </cell>
          <cell r="AR241" t="str">
            <v>..</v>
          </cell>
          <cell r="AS241" t="str">
            <v>..</v>
          </cell>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v>
          </cell>
          <cell r="BN241" t="str">
            <v/>
          </cell>
        </row>
        <row r="242">
          <cell r="B242" t="str">
            <v>TJK</v>
          </cell>
          <cell r="C242" t="str">
            <v>Price level ratio of PPP conversion factor (GDP) to market exchange rate</v>
          </cell>
          <cell r="D242" t="str">
            <v>PA.NUS.PPPC.RF</v>
          </cell>
          <cell r="E242" t="str">
            <v>..</v>
          </cell>
          <cell r="F242" t="str">
            <v>..</v>
          </cell>
          <cell r="G242" t="str">
            <v>..</v>
          </cell>
          <cell r="H242" t="str">
            <v>..</v>
          </cell>
          <cell r="I242" t="str">
            <v>..</v>
          </cell>
          <cell r="J242" t="str">
            <v>..</v>
          </cell>
          <cell r="K242" t="str">
            <v>..</v>
          </cell>
          <cell r="L242" t="str">
            <v>..</v>
          </cell>
          <cell r="M242" t="str">
            <v>..</v>
          </cell>
          <cell r="N242" t="str">
            <v>..</v>
          </cell>
          <cell r="O242" t="str">
            <v>..</v>
          </cell>
          <cell r="P242" t="str">
            <v>..</v>
          </cell>
          <cell r="Q242" t="str">
            <v>..</v>
          </cell>
          <cell r="R242" t="str">
            <v>..</v>
          </cell>
          <cell r="S242" t="str">
            <v>..</v>
          </cell>
          <cell r="T242" t="str">
            <v>..</v>
          </cell>
          <cell r="U242" t="str">
            <v>..</v>
          </cell>
          <cell r="V242" t="str">
            <v>..</v>
          </cell>
          <cell r="W242" t="str">
            <v>..</v>
          </cell>
          <cell r="X242" t="str">
            <v>..</v>
          </cell>
          <cell r="Y242" t="str">
            <v>..</v>
          </cell>
          <cell r="Z242" t="str">
            <v>..</v>
          </cell>
          <cell r="AA242" t="str">
            <v>..</v>
          </cell>
          <cell r="AB242" t="str">
            <v>..</v>
          </cell>
          <cell r="AC242" t="str">
            <v>..</v>
          </cell>
          <cell r="AD242" t="str">
            <v>..</v>
          </cell>
          <cell r="AE242" t="str">
            <v>..</v>
          </cell>
          <cell r="AF242" t="str">
            <v>..</v>
          </cell>
          <cell r="AG242" t="str">
            <v>..</v>
          </cell>
          <cell r="AH242" t="str">
            <v>..</v>
          </cell>
          <cell r="AI242">
            <v>0.18850323237831301</v>
          </cell>
          <cell r="AJ242">
            <v>0.100920611568591</v>
          </cell>
          <cell r="AK242">
            <v>0.221687789665414</v>
          </cell>
          <cell r="AL242">
            <v>0.19749956272322899</v>
          </cell>
          <cell r="AM242">
            <v>0.22694829028570199</v>
          </cell>
          <cell r="AN242">
            <v>0.20571398343560501</v>
          </cell>
          <cell r="AO242">
            <v>0.205600162317501</v>
          </cell>
          <cell r="AP242">
            <v>0.17541235824899101</v>
          </cell>
          <cell r="AQ242">
            <v>0.23596208501345101</v>
          </cell>
          <cell r="AR242">
            <v>0.18461120660383101</v>
          </cell>
          <cell r="AS242">
            <v>0.132014058336754</v>
          </cell>
          <cell r="AT242">
            <v>0.14805869737541699</v>
          </cell>
          <cell r="AU242">
            <v>0.14862921699246201</v>
          </cell>
          <cell r="AV242">
            <v>0.16743486230440499</v>
          </cell>
          <cell r="AW242">
            <v>0.19732576717799999</v>
          </cell>
          <cell r="AX242">
            <v>0.19974762139070301</v>
          </cell>
          <cell r="AY242">
            <v>0.22177933578761899</v>
          </cell>
          <cell r="AZ242">
            <v>0.263302437443446</v>
          </cell>
          <cell r="BA242">
            <v>0.3321573840059</v>
          </cell>
          <cell r="BB242">
            <v>0.30609200899828098</v>
          </cell>
          <cell r="BC242">
            <v>0.3219094225809</v>
          </cell>
          <cell r="BD242">
            <v>0.33941699607186898</v>
          </cell>
          <cell r="BE242">
            <v>0.352425807449885</v>
          </cell>
          <cell r="BF242">
            <v>0.34619879499399903</v>
          </cell>
          <cell r="BG242">
            <v>0.33428384279633</v>
          </cell>
          <cell r="BH242">
            <v>0.31056264616212098</v>
          </cell>
          <cell r="BI242">
            <v>0.25911064147462398</v>
          </cell>
          <cell r="BJ242">
            <v>0.26089454342212198</v>
          </cell>
          <cell r="BK242">
            <v>0.243963377661084</v>
          </cell>
          <cell r="BL242">
            <v>0.23856834678925201</v>
          </cell>
          <cell r="BM242">
            <v>0.22267859161461401</v>
          </cell>
          <cell r="BN242">
            <v>0.22267859161461401</v>
          </cell>
        </row>
        <row r="243">
          <cell r="B243" t="str">
            <v>TZA</v>
          </cell>
          <cell r="C243" t="str">
            <v>Price level ratio of PPP conversion factor (GDP) to market exchange rate</v>
          </cell>
          <cell r="D243" t="str">
            <v>PA.NUS.PPPC.RF</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v>0.26316418968101901</v>
          </cell>
          <cell r="AJ243">
            <v>0.290253640562469</v>
          </cell>
          <cell r="AK243">
            <v>0.26192061649557002</v>
          </cell>
          <cell r="AL243">
            <v>0.23392367392632901</v>
          </cell>
          <cell r="AM243">
            <v>0.238904944920632</v>
          </cell>
          <cell r="AN243">
            <v>0.26321576617432602</v>
          </cell>
          <cell r="AO243">
            <v>0.30563244425789499</v>
          </cell>
          <cell r="AP243">
            <v>0.34306443267832498</v>
          </cell>
          <cell r="AQ243">
            <v>0.35685895510823501</v>
          </cell>
          <cell r="AR243">
            <v>0.35018114493222402</v>
          </cell>
          <cell r="AS243">
            <v>0.34484740414772702</v>
          </cell>
          <cell r="AT243">
            <v>0.32302414438275201</v>
          </cell>
          <cell r="AU243">
            <v>0.30918393716343701</v>
          </cell>
          <cell r="AV243">
            <v>0.306334703744853</v>
          </cell>
          <cell r="AW243">
            <v>0.30394096059942699</v>
          </cell>
          <cell r="AX243">
            <v>0.30269757557376697</v>
          </cell>
          <cell r="AY243">
            <v>0.27954662083905901</v>
          </cell>
          <cell r="AZ243">
            <v>0.29864280471392601</v>
          </cell>
          <cell r="BA243">
            <v>0.35455881688577401</v>
          </cell>
          <cell r="BB243">
            <v>0.34790450674190798</v>
          </cell>
          <cell r="BC243">
            <v>0.35601957564856901</v>
          </cell>
          <cell r="BD243">
            <v>0.350623737822232</v>
          </cell>
          <cell r="BE243">
            <v>0.41337773290714103</v>
          </cell>
          <cell r="BF243">
            <v>0.44211868226244</v>
          </cell>
          <cell r="BG243">
            <v>0.45911976911929198</v>
          </cell>
          <cell r="BH243">
            <v>0.40364324406281799</v>
          </cell>
          <cell r="BI243">
            <v>0.38982362912153601</v>
          </cell>
          <cell r="BJ243">
            <v>0.39710158501924397</v>
          </cell>
          <cell r="BK243">
            <v>0.39316926033128402</v>
          </cell>
          <cell r="BL243">
            <v>0.39157011407147602</v>
          </cell>
          <cell r="BM243">
            <v>0.38723181478420998</v>
          </cell>
          <cell r="BN243">
            <v>0.38723181478420998</v>
          </cell>
        </row>
        <row r="244">
          <cell r="B244" t="str">
            <v>THA</v>
          </cell>
          <cell r="C244" t="str">
            <v>Price level ratio of PPP conversion factor (GDP) to market exchange rate</v>
          </cell>
          <cell r="D244" t="str">
            <v>PA.NUS.PPPC.RF</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v>0.35019036162830902</v>
          </cell>
          <cell r="AJ244">
            <v>0.35916504173276498</v>
          </cell>
          <cell r="AK244">
            <v>0.36861700549172399</v>
          </cell>
          <cell r="AL244">
            <v>0.38467264716683403</v>
          </cell>
          <cell r="AM244">
            <v>0.39688752897430601</v>
          </cell>
          <cell r="AN244">
            <v>0.41492421554598402</v>
          </cell>
          <cell r="AO244">
            <v>0.41700703214511498</v>
          </cell>
          <cell r="AP244">
            <v>0.34566222427603699</v>
          </cell>
          <cell r="AQ244">
            <v>0.28011243925220097</v>
          </cell>
          <cell r="AR244">
            <v>0.29423452798802002</v>
          </cell>
          <cell r="AS244">
            <v>0.27492332290737598</v>
          </cell>
          <cell r="AT244">
            <v>0.24752256333763101</v>
          </cell>
          <cell r="AU244">
            <v>0.25627654056094401</v>
          </cell>
          <cell r="AV244">
            <v>0.26615363168092698</v>
          </cell>
          <cell r="AW244">
            <v>0.276850099804131</v>
          </cell>
          <cell r="AX244">
            <v>0.28217318402485098</v>
          </cell>
          <cell r="AY244">
            <v>0.30563170879726997</v>
          </cell>
          <cell r="AZ244">
            <v>0.33471997805706</v>
          </cell>
          <cell r="BA244">
            <v>0.35767444247350799</v>
          </cell>
          <cell r="BB244">
            <v>0.34557160619919602</v>
          </cell>
          <cell r="BC244">
            <v>0.384706109053156</v>
          </cell>
          <cell r="BD244">
            <v>0.40624817555291398</v>
          </cell>
          <cell r="BE244">
            <v>0.39409529317499198</v>
          </cell>
          <cell r="BF244">
            <v>0.40033718248925998</v>
          </cell>
          <cell r="BG244">
            <v>0.38448336183159099</v>
          </cell>
          <cell r="BH244">
            <v>0.36910100700357101</v>
          </cell>
          <cell r="BI244">
            <v>0.36069061023891402</v>
          </cell>
          <cell r="BJ244">
            <v>0.378455856312721</v>
          </cell>
          <cell r="BK244">
            <v>0.39378284993305801</v>
          </cell>
          <cell r="BL244">
            <v>0.40641905818245899</v>
          </cell>
          <cell r="BM244">
            <v>0.39417291494790002</v>
          </cell>
          <cell r="BN244">
            <v>0.39417291494790002</v>
          </cell>
        </row>
        <row r="245">
          <cell r="B245" t="str">
            <v>TLS</v>
          </cell>
          <cell r="C245" t="str">
            <v>Price level ratio of PPP conversion factor (GDP) to market exchange rate</v>
          </cell>
          <cell r="D245" t="str">
            <v>PA.NUS.PPPC.RF</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v>0.33183588088170102</v>
          </cell>
          <cell r="AT245">
            <v>0.36298989495391498</v>
          </cell>
          <cell r="AU245">
            <v>0.37663455621599601</v>
          </cell>
          <cell r="AV245">
            <v>0.39487041845484999</v>
          </cell>
          <cell r="AW245">
            <v>0.34419534038366401</v>
          </cell>
          <cell r="AX245">
            <v>0.339938232882046</v>
          </cell>
          <cell r="AY245">
            <v>0.337817760358057</v>
          </cell>
          <cell r="AZ245">
            <v>0.35686941486580598</v>
          </cell>
          <cell r="BA245">
            <v>0.37545980698485298</v>
          </cell>
          <cell r="BB245">
            <v>0.37919462948925498</v>
          </cell>
          <cell r="BC245">
            <v>0.415923415551885</v>
          </cell>
          <cell r="BD245">
            <v>0.45453202700875001</v>
          </cell>
          <cell r="BE245">
            <v>0.43664579446148899</v>
          </cell>
          <cell r="BF245">
            <v>0.48729369600391798</v>
          </cell>
          <cell r="BG245">
            <v>0.452933233030273</v>
          </cell>
          <cell r="BH245">
            <v>0.45757380041426898</v>
          </cell>
          <cell r="BI245">
            <v>0.43242795316652799</v>
          </cell>
          <cell r="BJ245">
            <v>0.408969540137466</v>
          </cell>
          <cell r="BK245">
            <v>0.39424654646314899</v>
          </cell>
          <cell r="BL245">
            <v>0.41896686395135102</v>
          </cell>
          <cell r="BM245">
            <v>0.34837689516473402</v>
          </cell>
          <cell r="BN245">
            <v>0.34837689516473402</v>
          </cell>
        </row>
        <row r="246">
          <cell r="B246" t="str">
            <v>TGO</v>
          </cell>
          <cell r="C246" t="str">
            <v>Price level ratio of PPP conversion factor (GDP) to market exchange rate</v>
          </cell>
          <cell r="D246" t="str">
            <v>PA.NUS.PPPC.RF</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t="str">
            <v>..</v>
          </cell>
          <cell r="Q246" t="str">
            <v>..</v>
          </cell>
          <cell r="R246" t="str">
            <v>..</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t="str">
            <v>..</v>
          </cell>
          <cell r="AF246" t="str">
            <v>..</v>
          </cell>
          <cell r="AG246" t="str">
            <v>..</v>
          </cell>
          <cell r="AH246" t="str">
            <v>..</v>
          </cell>
          <cell r="AI246">
            <v>0.51798166012811397</v>
          </cell>
          <cell r="AJ246">
            <v>0.49647390668233599</v>
          </cell>
          <cell r="AK246">
            <v>0.53413915337360296</v>
          </cell>
          <cell r="AL246">
            <v>0.44775743986480598</v>
          </cell>
          <cell r="AM246">
            <v>0.30372774066609498</v>
          </cell>
          <cell r="AN246">
            <v>0.367576453814495</v>
          </cell>
          <cell r="AO246">
            <v>0.371191680696844</v>
          </cell>
          <cell r="AP246">
            <v>0.32612021319809098</v>
          </cell>
          <cell r="AQ246">
            <v>0.349547352590037</v>
          </cell>
          <cell r="AR246">
            <v>0.33396729471129299</v>
          </cell>
          <cell r="AS246">
            <v>0.311540047954808</v>
          </cell>
          <cell r="AT246">
            <v>0.300447615351987</v>
          </cell>
          <cell r="AU246">
            <v>0.32796275583986001</v>
          </cell>
          <cell r="AV246">
            <v>0.37403487360512699</v>
          </cell>
          <cell r="AW246">
            <v>0.39288980695456199</v>
          </cell>
          <cell r="AX246">
            <v>0.40347152624250998</v>
          </cell>
          <cell r="AY246">
            <v>0.39323220336394898</v>
          </cell>
          <cell r="AZ246">
            <v>0.438750575577601</v>
          </cell>
          <cell r="BA246">
            <v>0.516260468571895</v>
          </cell>
          <cell r="BB246">
            <v>0.49358810451788998</v>
          </cell>
          <cell r="BC246">
            <v>0.46668675962620998</v>
          </cell>
          <cell r="BD246">
            <v>0.48514726512168299</v>
          </cell>
          <cell r="BE246">
            <v>0.46596084744389599</v>
          </cell>
          <cell r="BF246">
            <v>0.48724732795081599</v>
          </cell>
          <cell r="BG246">
            <v>0.48249302095168001</v>
          </cell>
          <cell r="BH246">
            <v>0.40857133669887802</v>
          </cell>
          <cell r="BI246">
            <v>0.41098681032907602</v>
          </cell>
          <cell r="BJ246">
            <v>0.41284587857828398</v>
          </cell>
          <cell r="BK246">
            <v>0.42709481384294401</v>
          </cell>
          <cell r="BL246">
            <v>0.403933054310252</v>
          </cell>
          <cell r="BM246">
            <v>0.41149156321719599</v>
          </cell>
          <cell r="BN246">
            <v>0.41149156321719599</v>
          </cell>
        </row>
        <row r="247">
          <cell r="B247" t="str">
            <v>TON</v>
          </cell>
          <cell r="C247" t="str">
            <v>Price level ratio of PPP conversion factor (GDP) to market exchange rate</v>
          </cell>
          <cell r="D247" t="str">
            <v>PA.NUS.PPPC.RF</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v>0.54314393500861102</v>
          </cell>
          <cell r="AJ247">
            <v>0.57472961623997798</v>
          </cell>
          <cell r="AK247">
            <v>0.58113897008769499</v>
          </cell>
          <cell r="AL247">
            <v>0.55291089267072002</v>
          </cell>
          <cell r="AM247">
            <v>0.72171816886350404</v>
          </cell>
          <cell r="AN247">
            <v>0.70158619355968399</v>
          </cell>
          <cell r="AO247">
            <v>0.71961456239520505</v>
          </cell>
          <cell r="AP247">
            <v>0.67607212126218696</v>
          </cell>
          <cell r="AQ247">
            <v>0.58122173574842595</v>
          </cell>
          <cell r="AR247">
            <v>0.57468963110067905</v>
          </cell>
          <cell r="AS247">
            <v>0.57300425294750701</v>
          </cell>
          <cell r="AT247">
            <v>0.47783200654692798</v>
          </cell>
          <cell r="AU247">
            <v>0.45272044876841699</v>
          </cell>
          <cell r="AV247">
            <v>0.480752013016365</v>
          </cell>
          <cell r="AW247">
            <v>0.54710143931121402</v>
          </cell>
          <cell r="AX247">
            <v>0.60171617327677296</v>
          </cell>
          <cell r="AY247">
            <v>0.652908394006815</v>
          </cell>
          <cell r="AZ247">
            <v>0.64774008296070296</v>
          </cell>
          <cell r="BA247">
            <v>0.69986475624156697</v>
          </cell>
          <cell r="BB247">
            <v>0.66448285022133602</v>
          </cell>
          <cell r="BC247">
            <v>0.765198250519457</v>
          </cell>
          <cell r="BD247">
            <v>0.79290691086586396</v>
          </cell>
          <cell r="BE247">
            <v>0.87623389410260799</v>
          </cell>
          <cell r="BF247">
            <v>0.82183845130256095</v>
          </cell>
          <cell r="BG247">
            <v>0.77205138958354602</v>
          </cell>
          <cell r="BH247">
            <v>0.750971932475194</v>
          </cell>
          <cell r="BI247">
            <v>0.67107560044963499</v>
          </cell>
          <cell r="BJ247">
            <v>0.69790409719096602</v>
          </cell>
          <cell r="BK247">
            <v>0.72209277845201902</v>
          </cell>
          <cell r="BL247">
            <v>0.73753251076153403</v>
          </cell>
          <cell r="BM247">
            <v>0.69077292957856395</v>
          </cell>
          <cell r="BN247">
            <v>0.69077292957856395</v>
          </cell>
        </row>
        <row r="248">
          <cell r="B248" t="str">
            <v>TTO</v>
          </cell>
          <cell r="C248" t="str">
            <v>Price level ratio of PPP conversion factor (GDP) to market exchange rate</v>
          </cell>
          <cell r="D248" t="str">
            <v>PA.NUS.PPPC.RF</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v>0.58824770187522601</v>
          </cell>
          <cell r="AJ248">
            <v>0.57795229146931104</v>
          </cell>
          <cell r="AK248">
            <v>0.52600063263505603</v>
          </cell>
          <cell r="AL248">
            <v>0.44405209188449102</v>
          </cell>
          <cell r="AM248">
            <v>0.44476032856375303</v>
          </cell>
          <cell r="AN248">
            <v>0.452041020887266</v>
          </cell>
          <cell r="AO248">
            <v>0.44780936700412</v>
          </cell>
          <cell r="AP248">
            <v>0.40761409461029802</v>
          </cell>
          <cell r="AQ248">
            <v>0.39266737816314401</v>
          </cell>
          <cell r="AR248">
            <v>0.403696965384988</v>
          </cell>
          <cell r="AS248">
            <v>0.44236131638044901</v>
          </cell>
          <cell r="AT248">
            <v>0.449715059002122</v>
          </cell>
          <cell r="AU248">
            <v>0.41868326914361098</v>
          </cell>
          <cell r="AV248">
            <v>0.45077453256776701</v>
          </cell>
          <cell r="AW248">
            <v>0.47765887417210701</v>
          </cell>
          <cell r="AX248">
            <v>0.52488832293457399</v>
          </cell>
          <cell r="AY248">
            <v>0.51724597121202598</v>
          </cell>
          <cell r="AZ248">
            <v>0.56651176340557996</v>
          </cell>
          <cell r="BA248">
            <v>0.69219513789812404</v>
          </cell>
          <cell r="BB248">
            <v>0.49424724042484203</v>
          </cell>
          <cell r="BC248">
            <v>0.54647880574921703</v>
          </cell>
          <cell r="BD248">
            <v>0.61623061729779804</v>
          </cell>
          <cell r="BE248">
            <v>0.63723683935708597</v>
          </cell>
          <cell r="BF248">
            <v>0.67011762996840896</v>
          </cell>
          <cell r="BG248">
            <v>0.68255588759872399</v>
          </cell>
          <cell r="BH248">
            <v>0.66482856662678502</v>
          </cell>
          <cell r="BI248">
            <v>0.615793397748715</v>
          </cell>
          <cell r="BJ248">
            <v>0.61397621418682602</v>
          </cell>
          <cell r="BK248">
            <v>0.63383398481856901</v>
          </cell>
          <cell r="BL248">
            <v>0.61801907478641305</v>
          </cell>
          <cell r="BM248">
            <v>0.61644113538114997</v>
          </cell>
          <cell r="BN248">
            <v>0.61644113538114997</v>
          </cell>
        </row>
        <row r="249">
          <cell r="B249" t="str">
            <v>TUN</v>
          </cell>
          <cell r="C249" t="str">
            <v>Price level ratio of PPP conversion factor (GDP) to market exchange rate</v>
          </cell>
          <cell r="D249" t="str">
            <v>PA.NUS.PPPC.RF</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v>0.45378970579873501</v>
          </cell>
          <cell r="AJ249">
            <v>0.449405809073809</v>
          </cell>
          <cell r="AK249">
            <v>0.483094317309337</v>
          </cell>
          <cell r="AL249">
            <v>0.435324757823294</v>
          </cell>
          <cell r="AM249">
            <v>0.442034988080383</v>
          </cell>
          <cell r="AN249">
            <v>0.48790871398119501</v>
          </cell>
          <cell r="AO249">
            <v>0.48578114253830501</v>
          </cell>
          <cell r="AP249">
            <v>0.43666865828617202</v>
          </cell>
          <cell r="AQ249">
            <v>0.43309085597716002</v>
          </cell>
          <cell r="AR249">
            <v>0.42360722003537599</v>
          </cell>
          <cell r="AS249">
            <v>0.370346738682649</v>
          </cell>
          <cell r="AT249">
            <v>0.358781495211555</v>
          </cell>
          <cell r="AU249">
            <v>0.36558442231194899</v>
          </cell>
          <cell r="AV249">
            <v>0.406654808519614</v>
          </cell>
          <cell r="AW249">
            <v>0.42339559797690401</v>
          </cell>
          <cell r="AX249">
            <v>0.41064029916586198</v>
          </cell>
          <cell r="AY249">
            <v>0.40341176836398601</v>
          </cell>
          <cell r="AZ249">
            <v>0.416742537007596</v>
          </cell>
          <cell r="BA249">
            <v>0.452103721545422</v>
          </cell>
          <cell r="BB249">
            <v>0.421783771899638</v>
          </cell>
          <cell r="BC249">
            <v>0.40830741936152198</v>
          </cell>
          <cell r="BD249">
            <v>0.42359104785141499</v>
          </cell>
          <cell r="BE249">
            <v>0.406442962220051</v>
          </cell>
          <cell r="BF249">
            <v>0.41270700683518602</v>
          </cell>
          <cell r="BG249">
            <v>0.41216283592506803</v>
          </cell>
          <cell r="BH249">
            <v>0.378272813694706</v>
          </cell>
          <cell r="BI249">
            <v>0.356967167259372</v>
          </cell>
          <cell r="BJ249">
            <v>0.328255003224111</v>
          </cell>
          <cell r="BK249">
            <v>0.31571994556453498</v>
          </cell>
          <cell r="BL249">
            <v>0.30039219539616402</v>
          </cell>
          <cell r="BM249">
            <v>0.32538498338406702</v>
          </cell>
          <cell r="BN249">
            <v>0.32538498338406702</v>
          </cell>
        </row>
        <row r="250">
          <cell r="B250" t="str">
            <v>TUR</v>
          </cell>
          <cell r="C250" t="str">
            <v>Price level ratio of PPP conversion factor (GDP) to market exchange rate</v>
          </cell>
          <cell r="D250" t="str">
            <v>PA.NUS.PPPC.RF</v>
          </cell>
          <cell r="E250" t="str">
            <v>..</v>
          </cell>
          <cell r="F250" t="str">
            <v>..</v>
          </cell>
          <cell r="G250" t="str">
            <v>..</v>
          </cell>
          <cell r="H250" t="str">
            <v>..</v>
          </cell>
          <cell r="I250" t="str">
            <v>..</v>
          </cell>
          <cell r="J250" t="str">
            <v>..</v>
          </cell>
          <cell r="K250" t="str">
            <v>..</v>
          </cell>
          <cell r="L250" t="str">
            <v>..</v>
          </cell>
          <cell r="M250" t="str">
            <v>..</v>
          </cell>
          <cell r="N250" t="str">
            <v>..</v>
          </cell>
          <cell r="O250" t="str">
            <v>..</v>
          </cell>
          <cell r="P250" t="str">
            <v>..</v>
          </cell>
          <cell r="Q250" t="str">
            <v>..</v>
          </cell>
          <cell r="R250" t="str">
            <v>..</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t="str">
            <v>..</v>
          </cell>
          <cell r="AF250" t="str">
            <v>..</v>
          </cell>
          <cell r="AG250" t="str">
            <v>..</v>
          </cell>
          <cell r="AH250" t="str">
            <v>..</v>
          </cell>
          <cell r="AI250">
            <v>0.45425969087340501</v>
          </cell>
          <cell r="AJ250">
            <v>0.433571428571429</v>
          </cell>
          <cell r="AK250">
            <v>0.422463768115942</v>
          </cell>
          <cell r="AL250">
            <v>0.43436363636363601</v>
          </cell>
          <cell r="AM250">
            <v>0.32628378378378398</v>
          </cell>
          <cell r="AN250">
            <v>0.38663755458515298</v>
          </cell>
          <cell r="AO250">
            <v>0.38051597051597102</v>
          </cell>
          <cell r="AP250">
            <v>0.364489795918367</v>
          </cell>
          <cell r="AQ250">
            <v>0.49433064825469902</v>
          </cell>
          <cell r="AR250">
            <v>0.46911413562559701</v>
          </cell>
          <cell r="AS250">
            <v>0.45046385156749802</v>
          </cell>
          <cell r="AT250">
            <v>0.33866759138381197</v>
          </cell>
          <cell r="AU250">
            <v>0.39228436836517999</v>
          </cell>
          <cell r="AV250">
            <v>0.49073622493170799</v>
          </cell>
          <cell r="AW250">
            <v>0.55571588916169801</v>
          </cell>
          <cell r="AX250">
            <v>0.62115882703185499</v>
          </cell>
          <cell r="AY250">
            <v>0.589292964648232</v>
          </cell>
          <cell r="AZ250">
            <v>0.65339550234093202</v>
          </cell>
          <cell r="BA250">
            <v>0.67611217825585901</v>
          </cell>
          <cell r="BB250">
            <v>0.58363096774193501</v>
          </cell>
          <cell r="BC250">
            <v>0.61239619377162602</v>
          </cell>
          <cell r="BD250">
            <v>0.57682149253731296</v>
          </cell>
          <cell r="BE250">
            <v>0.56784855233853004</v>
          </cell>
          <cell r="BF250">
            <v>0.56218825506880998</v>
          </cell>
          <cell r="BG250">
            <v>0.50468540095956105</v>
          </cell>
          <cell r="BH250">
            <v>0.42737205882352902</v>
          </cell>
          <cell r="BI250">
            <v>0.41093076388199101</v>
          </cell>
          <cell r="BJ250">
            <v>0.37937008305693398</v>
          </cell>
          <cell r="BK250">
            <v>0.33812650153259899</v>
          </cell>
          <cell r="BL250">
            <v>0.33950033487257197</v>
          </cell>
          <cell r="BM250">
            <v>0.31343124108416498</v>
          </cell>
          <cell r="BN250">
            <v>0.31343124108416498</v>
          </cell>
        </row>
        <row r="251">
          <cell r="B251" t="str">
            <v>TKM</v>
          </cell>
          <cell r="C251" t="str">
            <v>Price level ratio of PPP conversion factor (GDP) to market exchange rate</v>
          </cell>
          <cell r="D251" t="str">
            <v>PA.NUS.PPPC.RF</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v>0.26783085655581002</v>
          </cell>
          <cell r="AJ251" t="str">
            <v>..</v>
          </cell>
          <cell r="AK251">
            <v>0.15457994444565501</v>
          </cell>
          <cell r="AL251">
            <v>0.310555656562303</v>
          </cell>
          <cell r="AM251">
            <v>0.28232407112298702</v>
          </cell>
          <cell r="AN251">
            <v>0.28858136587914102</v>
          </cell>
          <cell r="AO251">
            <v>0.29096071681324898</v>
          </cell>
          <cell r="AP251">
            <v>0.332342029645535</v>
          </cell>
          <cell r="AQ251">
            <v>0.32630237388832201</v>
          </cell>
          <cell r="AR251">
            <v>0.25966181043907399</v>
          </cell>
          <cell r="AS251">
            <v>0.25384879954115602</v>
          </cell>
          <cell r="AT251">
            <v>0.25100887545</v>
          </cell>
          <cell r="AU251">
            <v>0.26935616352994501</v>
          </cell>
          <cell r="AV251">
            <v>0.30253475310643502</v>
          </cell>
          <cell r="AW251">
            <v>0.28756599972289298</v>
          </cell>
          <cell r="AX251">
            <v>0.29238122974748498</v>
          </cell>
          <cell r="AY251">
            <v>0.32429605741141798</v>
          </cell>
          <cell r="AZ251">
            <v>0.35042758940163299</v>
          </cell>
          <cell r="BA251">
            <v>0.45604516937526302</v>
          </cell>
          <cell r="BB251">
            <v>0.44744401142136098</v>
          </cell>
          <cell r="BC251">
            <v>0.45248982462013299</v>
          </cell>
          <cell r="BD251">
            <v>0.500219395487561</v>
          </cell>
          <cell r="BE251">
            <v>0.55362670338743902</v>
          </cell>
          <cell r="BF251">
            <v>0.57337175661859296</v>
          </cell>
          <cell r="BG251">
            <v>0.59018950960132599</v>
          </cell>
          <cell r="BH251">
            <v>0.46986097713803698</v>
          </cell>
          <cell r="BI251">
            <v>0.46079610410419403</v>
          </cell>
          <cell r="BJ251">
            <v>0.46371561495156299</v>
          </cell>
          <cell r="BK251">
            <v>0.45832630767536903</v>
          </cell>
          <cell r="BL251">
            <v>0.47000814729694301</v>
          </cell>
          <cell r="BM251" t="str">
            <v>..</v>
          </cell>
          <cell r="BN251">
            <v>0.47000814729694301</v>
          </cell>
        </row>
        <row r="252">
          <cell r="B252" t="str">
            <v>TCA</v>
          </cell>
          <cell r="C252" t="str">
            <v>Price level ratio of PPP conversion factor (GDP) to market exchange rate</v>
          </cell>
          <cell r="D252" t="str">
            <v>PA.NUS.PPPC.RF</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t="str">
            <v>..</v>
          </cell>
          <cell r="AU252" t="str">
            <v>..</v>
          </cell>
          <cell r="AV252" t="str">
            <v>..</v>
          </cell>
          <cell r="AW252" t="str">
            <v>..</v>
          </cell>
          <cell r="AX252" t="str">
            <v>..</v>
          </cell>
          <cell r="AY252" t="str">
            <v>..</v>
          </cell>
          <cell r="AZ252" t="str">
            <v>..</v>
          </cell>
          <cell r="BA252" t="str">
            <v>..</v>
          </cell>
          <cell r="BB252" t="str">
            <v>..</v>
          </cell>
          <cell r="BC252" t="str">
            <v>..</v>
          </cell>
          <cell r="BD252">
            <v>1.02840805053711</v>
          </cell>
          <cell r="BE252">
            <v>1.1017311811447099</v>
          </cell>
          <cell r="BF252">
            <v>1.0793150663375899</v>
          </cell>
          <cell r="BG252">
            <v>1.0793718099594101</v>
          </cell>
          <cell r="BH252">
            <v>1.08652007579803</v>
          </cell>
          <cell r="BI252">
            <v>1.0716539621353101</v>
          </cell>
          <cell r="BJ252">
            <v>1.01790571212769</v>
          </cell>
          <cell r="BK252">
            <v>1.0248330131491801</v>
          </cell>
          <cell r="BL252">
            <v>1.0282982971610799</v>
          </cell>
          <cell r="BM252">
            <v>1.0715312035204301</v>
          </cell>
          <cell r="BN252">
            <v>1.0715312035204301</v>
          </cell>
        </row>
        <row r="253">
          <cell r="B253" t="str">
            <v>TUV</v>
          </cell>
          <cell r="C253" t="str">
            <v>Price level ratio of PPP conversion factor (GDP) to market exchange rate</v>
          </cell>
          <cell r="D253" t="str">
            <v>PA.NUS.PPPC.RF</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v>0.64213885722728603</v>
          </cell>
          <cell r="AJ253">
            <v>0.63623094646934497</v>
          </cell>
          <cell r="AK253">
            <v>0.62958967078265604</v>
          </cell>
          <cell r="AL253">
            <v>0.58392674131295197</v>
          </cell>
          <cell r="AM253">
            <v>0.58601947750901595</v>
          </cell>
          <cell r="AN253">
            <v>0.61194266829191402</v>
          </cell>
          <cell r="AO253">
            <v>0.71489530087231201</v>
          </cell>
          <cell r="AP253">
            <v>0.65741662185121397</v>
          </cell>
          <cell r="AQ253">
            <v>0.56536478842362303</v>
          </cell>
          <cell r="AR253">
            <v>0.60742267325493904</v>
          </cell>
          <cell r="AS253">
            <v>0.60237125077348697</v>
          </cell>
          <cell r="AT253">
            <v>0.55694241768444697</v>
          </cell>
          <cell r="AU253">
            <v>0.59501093318133802</v>
          </cell>
          <cell r="AV253">
            <v>0.71303978128939605</v>
          </cell>
          <cell r="AW253">
            <v>0.83141891097114995</v>
          </cell>
          <cell r="AX253">
            <v>0.84981216141399796</v>
          </cell>
          <cell r="AY253">
            <v>0.84691325914563198</v>
          </cell>
          <cell r="AZ253">
            <v>0.91526957130666897</v>
          </cell>
          <cell r="BA253">
            <v>0.93170078997538996</v>
          </cell>
          <cell r="BB253">
            <v>0.86567258098886302</v>
          </cell>
          <cell r="BC253">
            <v>1.0330051541168499</v>
          </cell>
          <cell r="BD253">
            <v>1.1448440143122001</v>
          </cell>
          <cell r="BE253">
            <v>1.1367239609079001</v>
          </cell>
          <cell r="BF253">
            <v>1.0636149766279901</v>
          </cell>
          <cell r="BG253">
            <v>1.02440576187326</v>
          </cell>
          <cell r="BH253">
            <v>0.88489401096145304</v>
          </cell>
          <cell r="BI253">
            <v>0.87519417345269901</v>
          </cell>
          <cell r="BJ253">
            <v>0.91719168233374504</v>
          </cell>
          <cell r="BK253">
            <v>0.91619755971443495</v>
          </cell>
          <cell r="BL253">
            <v>0.91030340004934296</v>
          </cell>
          <cell r="BM253">
            <v>0.89042571475975496</v>
          </cell>
          <cell r="BN253">
            <v>0.89042571475975496</v>
          </cell>
        </row>
        <row r="254">
          <cell r="B254" t="str">
            <v>UGA</v>
          </cell>
          <cell r="C254" t="str">
            <v>Price level ratio of PPP conversion factor (GDP) to market exchange rate</v>
          </cell>
          <cell r="D254" t="str">
            <v>PA.NUS.PPPC.RF</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v>0.59501736021823803</v>
          </cell>
          <cell r="AJ254">
            <v>0.42078700341548197</v>
          </cell>
          <cell r="AK254">
            <v>0.34221120111870701</v>
          </cell>
          <cell r="AL254">
            <v>0.34779348780059999</v>
          </cell>
          <cell r="AM254">
            <v>0.39654570037181602</v>
          </cell>
          <cell r="AN254">
            <v>0.50234568090518505</v>
          </cell>
          <cell r="AO254">
            <v>0.47497248979395801</v>
          </cell>
          <cell r="AP254">
            <v>0.46049327256790801</v>
          </cell>
          <cell r="AQ254">
            <v>0.45591880643265298</v>
          </cell>
          <cell r="AR254">
            <v>0.37890030166826999</v>
          </cell>
          <cell r="AS254">
            <v>0.37098753914238097</v>
          </cell>
          <cell r="AT254">
            <v>0.32547677912043899</v>
          </cell>
          <cell r="AU254">
            <v>0.31173197645760697</v>
          </cell>
          <cell r="AV254">
            <v>0.30736803942445901</v>
          </cell>
          <cell r="AW254">
            <v>0.33675673681148799</v>
          </cell>
          <cell r="AX254">
            <v>0.35741380787018001</v>
          </cell>
          <cell r="AY254">
            <v>0.338171055034648</v>
          </cell>
          <cell r="AZ254">
            <v>0.36237425056970402</v>
          </cell>
          <cell r="BA254">
            <v>0.39670267929932301</v>
          </cell>
          <cell r="BB254">
            <v>0.396480918297755</v>
          </cell>
          <cell r="BC254">
            <v>0.39381916656664501</v>
          </cell>
          <cell r="BD254">
            <v>0.36848423229219501</v>
          </cell>
          <cell r="BE254">
            <v>0.39234272733089698</v>
          </cell>
          <cell r="BF254">
            <v>0.40217468349265201</v>
          </cell>
          <cell r="BG254">
            <v>0.42306341849984003</v>
          </cell>
          <cell r="BH254">
            <v>0.398012747722503</v>
          </cell>
          <cell r="BI254">
            <v>0.35200403742617298</v>
          </cell>
          <cell r="BJ254">
            <v>0.35997873188470603</v>
          </cell>
          <cell r="BK254">
            <v>0.35416762977581201</v>
          </cell>
          <cell r="BL254">
            <v>0.35099360937244201</v>
          </cell>
          <cell r="BM254">
            <v>0.358285796559078</v>
          </cell>
          <cell r="BN254">
            <v>0.358285796559078</v>
          </cell>
        </row>
        <row r="255">
          <cell r="B255" t="str">
            <v>UKR</v>
          </cell>
          <cell r="C255" t="str">
            <v>Price level ratio of PPP conversion factor (GDP) to market exchange rate</v>
          </cell>
          <cell r="D255" t="str">
            <v>PA.NUS.PPPC.RF</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v>0.205920917072345</v>
          </cell>
          <cell r="AJ255" t="str">
            <v>..</v>
          </cell>
          <cell r="AK255">
            <v>0.20912880354976701</v>
          </cell>
          <cell r="AL255">
            <v>0.21725869479273499</v>
          </cell>
          <cell r="AM255">
            <v>0.22095855618345001</v>
          </cell>
          <cell r="AN255">
            <v>0.226185947485806</v>
          </cell>
          <cell r="AO255">
            <v>0.22808132727723501</v>
          </cell>
          <cell r="AP255">
            <v>0.25999720569635698</v>
          </cell>
          <cell r="AQ255">
            <v>0.21887934806407799</v>
          </cell>
          <cell r="AR255">
            <v>0.16301732867124699</v>
          </cell>
          <cell r="AS255">
            <v>0.154356312859632</v>
          </cell>
          <cell r="AT255">
            <v>0.16856112512920299</v>
          </cell>
          <cell r="AU255">
            <v>0.17614617664009799</v>
          </cell>
          <cell r="AV255">
            <v>0.186839617852714</v>
          </cell>
          <cell r="AW255">
            <v>0.210338304297471</v>
          </cell>
          <cell r="AX255">
            <v>0.26273401146505898</v>
          </cell>
          <cell r="AY255">
            <v>0.297225523110562</v>
          </cell>
          <cell r="AZ255">
            <v>0.35556727107611702</v>
          </cell>
          <cell r="BA255">
            <v>0.43144384620971898</v>
          </cell>
          <cell r="BB255">
            <v>0.326028268834825</v>
          </cell>
          <cell r="BC255">
            <v>0.35967203678481802</v>
          </cell>
          <cell r="BD255">
            <v>0.40066156038301198</v>
          </cell>
          <cell r="BE255">
            <v>0.41263847293789302</v>
          </cell>
          <cell r="BF255">
            <v>0.37689861033685601</v>
          </cell>
          <cell r="BG255">
            <v>0.28897642751323999</v>
          </cell>
          <cell r="BH255">
            <v>0.20903127663538701</v>
          </cell>
          <cell r="BI255">
            <v>0.19624075524354301</v>
          </cell>
          <cell r="BJ255">
            <v>0.222445301740375</v>
          </cell>
          <cell r="BK255">
            <v>0.24511429061055601</v>
          </cell>
          <cell r="BL255">
            <v>0.27433880209249201</v>
          </cell>
          <cell r="BM255">
            <v>0.28533179876922699</v>
          </cell>
          <cell r="BN255">
            <v>0.28533179876922699</v>
          </cell>
        </row>
        <row r="256">
          <cell r="B256" t="str">
            <v>ARE</v>
          </cell>
          <cell r="C256" t="str">
            <v>Price level ratio of PPP conversion factor (GDP) to market exchange rate</v>
          </cell>
          <cell r="D256" t="str">
            <v>PA.NUS.PPPC.RF</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v>0.31809937672522198</v>
          </cell>
          <cell r="AJ256">
            <v>0.31018883470966502</v>
          </cell>
          <cell r="AK256">
            <v>0.30875710993322297</v>
          </cell>
          <cell r="AL256">
            <v>0.30546263606421697</v>
          </cell>
          <cell r="AM256">
            <v>0.29829109449983898</v>
          </cell>
          <cell r="AN256">
            <v>0.30358096712302102</v>
          </cell>
          <cell r="AO256">
            <v>0.31533318043997799</v>
          </cell>
          <cell r="AP256">
            <v>0.30684339071364503</v>
          </cell>
          <cell r="AQ256">
            <v>0.29040039528599598</v>
          </cell>
          <cell r="AR256">
            <v>0.310437883682252</v>
          </cell>
          <cell r="AS256">
            <v>0.33844673397417302</v>
          </cell>
          <cell r="AT256">
            <v>0.323401997508664</v>
          </cell>
          <cell r="AU256">
            <v>0.33037127728606402</v>
          </cell>
          <cell r="AV256">
            <v>0.33755659235503299</v>
          </cell>
          <cell r="AW256">
            <v>0.35665187785589397</v>
          </cell>
          <cell r="AX256">
            <v>0.40303883453380002</v>
          </cell>
          <cell r="AY256">
            <v>0.43799627789565698</v>
          </cell>
          <cell r="AZ256">
            <v>0.48000040934809801</v>
          </cell>
          <cell r="BA256">
            <v>0.55810470838563098</v>
          </cell>
          <cell r="BB256">
            <v>0.469786366469362</v>
          </cell>
          <cell r="BC256">
            <v>0.52237630890925002</v>
          </cell>
          <cell r="BD256">
            <v>0.579062865006023</v>
          </cell>
          <cell r="BE256">
            <v>0.59298151118808995</v>
          </cell>
          <cell r="BF256">
            <v>0.60267282879377004</v>
          </cell>
          <cell r="BG256">
            <v>0.59430010063945304</v>
          </cell>
          <cell r="BH256">
            <v>0.59572080919903303</v>
          </cell>
          <cell r="BI256">
            <v>0.596256528767376</v>
          </cell>
          <cell r="BJ256">
            <v>0.60498079854343401</v>
          </cell>
          <cell r="BK256">
            <v>0.63927978644674499</v>
          </cell>
          <cell r="BL256">
            <v>0.60015625686449003</v>
          </cell>
          <cell r="BM256">
            <v>0.54341381243331</v>
          </cell>
          <cell r="BN256">
            <v>0.54341381243331</v>
          </cell>
        </row>
        <row r="257">
          <cell r="B257" t="str">
            <v>GBR</v>
          </cell>
          <cell r="C257" t="str">
            <v>Price level ratio of PPP conversion factor (GDP) to market exchange rate</v>
          </cell>
          <cell r="D257" t="str">
            <v>PA.NUS.PPPC.RF</v>
          </cell>
          <cell r="E257" t="str">
            <v>..</v>
          </cell>
          <cell r="F257" t="str">
            <v>..</v>
          </cell>
          <cell r="G257" t="str">
            <v>..</v>
          </cell>
          <cell r="H257" t="str">
            <v>..</v>
          </cell>
          <cell r="I257" t="str">
            <v>..</v>
          </cell>
          <cell r="J257" t="str">
            <v>..</v>
          </cell>
          <cell r="K257" t="str">
            <v>..</v>
          </cell>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t="str">
            <v>..</v>
          </cell>
          <cell r="AF257" t="str">
            <v>..</v>
          </cell>
          <cell r="AG257" t="str">
            <v>..</v>
          </cell>
          <cell r="AH257" t="str">
            <v>..</v>
          </cell>
          <cell r="AI257">
            <v>1.1177006392045501</v>
          </cell>
          <cell r="AJ257">
            <v>1.14282716049383</v>
          </cell>
          <cell r="AK257">
            <v>1.14879782379782</v>
          </cell>
          <cell r="AL257">
            <v>0.98515896820635895</v>
          </cell>
          <cell r="AM257">
            <v>0.99806091215182102</v>
          </cell>
          <cell r="AN257">
            <v>1.1255799274104501</v>
          </cell>
          <cell r="AO257">
            <v>1.1124134165366599</v>
          </cell>
          <cell r="AP257">
            <v>1.16023575638507</v>
          </cell>
          <cell r="AQ257">
            <v>1.1936286849950299</v>
          </cell>
          <cell r="AR257">
            <v>1.1742743892573999</v>
          </cell>
          <cell r="AS257">
            <v>1.0661401119685301</v>
          </cell>
          <cell r="AT257">
            <v>0.99997408953505096</v>
          </cell>
          <cell r="AU257">
            <v>1.03398830935252</v>
          </cell>
          <cell r="AV257">
            <v>1.13612734693878</v>
          </cell>
          <cell r="AW257">
            <v>1.25931709996338</v>
          </cell>
          <cell r="AX257">
            <v>1.2865800000000001</v>
          </cell>
          <cell r="AY257">
            <v>1.2814848206071801</v>
          </cell>
          <cell r="AZ257">
            <v>1.4190456182472999</v>
          </cell>
          <cell r="BA257">
            <v>1.2898731617647099</v>
          </cell>
          <cell r="BB257">
            <v>1.10620657423275</v>
          </cell>
          <cell r="BC257">
            <v>1.08508252745949</v>
          </cell>
          <cell r="BD257">
            <v>1.1312382711865401</v>
          </cell>
          <cell r="BE257">
            <v>1.10834426567051</v>
          </cell>
          <cell r="BF257">
            <v>1.0869014354361399</v>
          </cell>
          <cell r="BG257">
            <v>1.14926764980625</v>
          </cell>
          <cell r="BH257">
            <v>1.0580639883581799</v>
          </cell>
          <cell r="BI257">
            <v>0.92974744459317404</v>
          </cell>
          <cell r="BJ257">
            <v>0.88107942194784805</v>
          </cell>
          <cell r="BK257">
            <v>0.91746377639815802</v>
          </cell>
          <cell r="BL257">
            <v>0.87824659469700905</v>
          </cell>
          <cell r="BM257">
            <v>0.88331842809128902</v>
          </cell>
          <cell r="BN257">
            <v>0.88331842809128902</v>
          </cell>
        </row>
        <row r="258">
          <cell r="B258" t="str">
            <v>USA</v>
          </cell>
          <cell r="C258" t="str">
            <v>Price level ratio of PPP conversion factor (GDP) to market exchange rate</v>
          </cell>
          <cell r="D258" t="str">
            <v>PA.NUS.PPPC.RF</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v>1</v>
          </cell>
          <cell r="AJ258">
            <v>1</v>
          </cell>
          <cell r="AK258">
            <v>1</v>
          </cell>
          <cell r="AL258">
            <v>1</v>
          </cell>
          <cell r="AM258">
            <v>1</v>
          </cell>
          <cell r="AN258">
            <v>1</v>
          </cell>
          <cell r="AO258">
            <v>1</v>
          </cell>
          <cell r="AP258">
            <v>1</v>
          </cell>
          <cell r="AQ258">
            <v>1</v>
          </cell>
          <cell r="AR258">
            <v>1</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1</v>
          </cell>
          <cell r="BL258">
            <v>1</v>
          </cell>
          <cell r="BM258">
            <v>1</v>
          </cell>
          <cell r="BN258">
            <v>1</v>
          </cell>
        </row>
        <row r="259">
          <cell r="B259" t="str">
            <v>UMC</v>
          </cell>
          <cell r="C259" t="str">
            <v>Price level ratio of PPP conversion factor (GDP) to market exchange rate</v>
          </cell>
          <cell r="D259" t="str">
            <v>PA.NUS.PPPC.RF</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v>
          </cell>
          <cell r="BN259" t="str">
            <v/>
          </cell>
        </row>
        <row r="260">
          <cell r="B260" t="str">
            <v>URY</v>
          </cell>
          <cell r="C260" t="str">
            <v>Price level ratio of PPP conversion factor (GDP) to market exchange rate</v>
          </cell>
          <cell r="D260" t="str">
            <v>PA.NUS.PPPC.RF</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v>0.50048116613743299</v>
          </cell>
          <cell r="AJ260">
            <v>0.56345779226739401</v>
          </cell>
          <cell r="AK260">
            <v>0.58658694006609002</v>
          </cell>
          <cell r="AL260">
            <v>0.65022617774738301</v>
          </cell>
          <cell r="AM260">
            <v>0.69122596159162197</v>
          </cell>
          <cell r="AN260">
            <v>0.75864144033275205</v>
          </cell>
          <cell r="AO260">
            <v>0.75017352051627395</v>
          </cell>
          <cell r="AP260">
            <v>0.74222600097600899</v>
          </cell>
          <cell r="AQ260">
            <v>0.74371891191221895</v>
          </cell>
          <cell r="AR260">
            <v>0.70634276107224303</v>
          </cell>
          <cell r="AS260">
            <v>0.670400569283093</v>
          </cell>
          <cell r="AT260">
            <v>0.62471096333000697</v>
          </cell>
          <cell r="AU260">
            <v>0.433947762220593</v>
          </cell>
          <cell r="AV260">
            <v>0.37415036578351402</v>
          </cell>
          <cell r="AW260">
            <v>0.39423901757413998</v>
          </cell>
          <cell r="AX260">
            <v>0.45136183250156497</v>
          </cell>
          <cell r="AY260">
            <v>0.47458258283219201</v>
          </cell>
          <cell r="AZ260">
            <v>0.51867092103025403</v>
          </cell>
          <cell r="BA260">
            <v>0.61575206531191495</v>
          </cell>
          <cell r="BB260">
            <v>0.61121134162717095</v>
          </cell>
          <cell r="BC260">
            <v>0.71308600802037503</v>
          </cell>
          <cell r="BD260">
            <v>0.790801475240414</v>
          </cell>
          <cell r="BE260">
            <v>0.83395477217090097</v>
          </cell>
          <cell r="BF260">
            <v>0.88727834606327105</v>
          </cell>
          <cell r="BG260">
            <v>0.83767607773497799</v>
          </cell>
          <cell r="BH260">
            <v>0.77228635062935003</v>
          </cell>
          <cell r="BI260">
            <v>0.74442591760163201</v>
          </cell>
          <cell r="BJ260">
            <v>0.81229882677218201</v>
          </cell>
          <cell r="BK260">
            <v>0.79293455359648202</v>
          </cell>
          <cell r="BL260">
            <v>0.73679226848310297</v>
          </cell>
          <cell r="BM260">
            <v>0.67731082741045301</v>
          </cell>
          <cell r="BN260">
            <v>0.67731082741045301</v>
          </cell>
        </row>
        <row r="261">
          <cell r="B261" t="str">
            <v>UZB</v>
          </cell>
          <cell r="C261" t="str">
            <v>Price level ratio of PPP conversion factor (GDP) to market exchange rate</v>
          </cell>
          <cell r="D261" t="str">
            <v>PA.NUS.PPPC.RF</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t="str">
            <v>..</v>
          </cell>
          <cell r="AF261" t="str">
            <v>..</v>
          </cell>
          <cell r="AG261" t="str">
            <v>..</v>
          </cell>
          <cell r="AH261" t="str">
            <v>..</v>
          </cell>
          <cell r="AI261">
            <v>0.26110271939831498</v>
          </cell>
          <cell r="AJ261">
            <v>0.259832728922953</v>
          </cell>
          <cell r="AK261">
            <v>0.270683640603402</v>
          </cell>
          <cell r="AL261">
            <v>0.27393913823244398</v>
          </cell>
          <cell r="AM261">
            <v>0.27860703632546302</v>
          </cell>
          <cell r="AN261">
            <v>0.284997505550665</v>
          </cell>
          <cell r="AO261">
            <v>0.28753017771886202</v>
          </cell>
          <cell r="AP261">
            <v>0.28383359040183398</v>
          </cell>
          <cell r="AQ261">
            <v>0.27356304679403598</v>
          </cell>
          <cell r="AR261">
            <v>0.29459449896054701</v>
          </cell>
          <cell r="AS261">
            <v>0.22359652287269399</v>
          </cell>
          <cell r="AT261">
            <v>0.17404015215399299</v>
          </cell>
          <cell r="AU261">
            <v>0.14001570405993699</v>
          </cell>
          <cell r="AV261">
            <v>0.13796135745662699</v>
          </cell>
          <cell r="AW261">
            <v>0.14841702265707499</v>
          </cell>
          <cell r="AX261">
            <v>0.16005854677502099</v>
          </cell>
          <cell r="AY261">
            <v>0.17513559443548599</v>
          </cell>
          <cell r="AZ261">
            <v>0.200568260983399</v>
          </cell>
          <cell r="BA261">
            <v>0.23898771771348401</v>
          </cell>
          <cell r="BB261">
            <v>0.250259479230517</v>
          </cell>
          <cell r="BC261">
            <v>0.318564239982008</v>
          </cell>
          <cell r="BD261">
            <v>0.350931915777348</v>
          </cell>
          <cell r="BE261">
            <v>0.37407506495703502</v>
          </cell>
          <cell r="BF261">
            <v>0.38392101127199502</v>
          </cell>
          <cell r="BG261">
            <v>0.40469848949735499</v>
          </cell>
          <cell r="BH261">
            <v>0.41225971969314701</v>
          </cell>
          <cell r="BI261">
            <v>0.39792776725879597</v>
          </cell>
          <cell r="BJ261">
            <v>0.280199669579761</v>
          </cell>
          <cell r="BK261">
            <v>0.220194622391547</v>
          </cell>
          <cell r="BL261">
            <v>0.23293291710529199</v>
          </cell>
          <cell r="BM261">
            <v>0.22636301634033401</v>
          </cell>
          <cell r="BN261">
            <v>0.22636301634033401</v>
          </cell>
        </row>
        <row r="262">
          <cell r="B262" t="str">
            <v>VUT</v>
          </cell>
          <cell r="C262" t="str">
            <v>Price level ratio of PPP conversion factor (GDP) to market exchange rate</v>
          </cell>
          <cell r="D262" t="str">
            <v>PA.NUS.PPPC.RF</v>
          </cell>
          <cell r="E262" t="str">
            <v>..</v>
          </cell>
          <cell r="F262" t="str">
            <v>..</v>
          </cell>
          <cell r="G262" t="str">
            <v>..</v>
          </cell>
          <cell r="H262" t="str">
            <v>..</v>
          </cell>
          <cell r="I262" t="str">
            <v>..</v>
          </cell>
          <cell r="J262" t="str">
            <v>..</v>
          </cell>
          <cell r="K262" t="str">
            <v>..</v>
          </cell>
          <cell r="L262" t="str">
            <v>..</v>
          </cell>
          <cell r="M262" t="str">
            <v>..</v>
          </cell>
          <cell r="N262" t="str">
            <v>..</v>
          </cell>
          <cell r="O262" t="str">
            <v>..</v>
          </cell>
          <cell r="P262" t="str">
            <v>..</v>
          </cell>
          <cell r="Q262" t="str">
            <v>..</v>
          </cell>
          <cell r="R262" t="str">
            <v>..</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t="str">
            <v>..</v>
          </cell>
          <cell r="AF262" t="str">
            <v>..</v>
          </cell>
          <cell r="AG262" t="str">
            <v>..</v>
          </cell>
          <cell r="AH262" t="str">
            <v>..</v>
          </cell>
          <cell r="AI262">
            <v>0.66040775414099095</v>
          </cell>
          <cell r="AJ262">
            <v>0.73832955170614201</v>
          </cell>
          <cell r="AK262">
            <v>0.73078879419493104</v>
          </cell>
          <cell r="AL262">
            <v>0.67951855791050497</v>
          </cell>
          <cell r="AM262">
            <v>0.71094885908366801</v>
          </cell>
          <cell r="AN262">
            <v>0.73554040248746899</v>
          </cell>
          <cell r="AO262">
            <v>0.73996403137131594</v>
          </cell>
          <cell r="AP262">
            <v>0.72318988716492405</v>
          </cell>
          <cell r="AQ262">
            <v>0.70282601146618495</v>
          </cell>
          <cell r="AR262">
            <v>0.70553511494084897</v>
          </cell>
          <cell r="AS262">
            <v>0.66124986682702402</v>
          </cell>
          <cell r="AT262">
            <v>0.63512453614952702</v>
          </cell>
          <cell r="AU262">
            <v>0.67145914465021606</v>
          </cell>
          <cell r="AV262">
            <v>0.75698022023983402</v>
          </cell>
          <cell r="AW262">
            <v>0.82276236367305899</v>
          </cell>
          <cell r="AX262">
            <v>0.819915802017946</v>
          </cell>
          <cell r="AY262">
            <v>0.81622988091591298</v>
          </cell>
          <cell r="AZ262">
            <v>0.90812888913123302</v>
          </cell>
          <cell r="BA262">
            <v>0.96499915338758002</v>
          </cell>
          <cell r="BB262">
            <v>0.93241683474730297</v>
          </cell>
          <cell r="BC262">
            <v>1.030140871183</v>
          </cell>
          <cell r="BD262">
            <v>1.12341502167061</v>
          </cell>
          <cell r="BE262">
            <v>1.0596362571459399</v>
          </cell>
          <cell r="BF262">
            <v>1.0510082434376899</v>
          </cell>
          <cell r="BG262">
            <v>1.0191259879394201</v>
          </cell>
          <cell r="BH262">
            <v>0.95179959217960097</v>
          </cell>
          <cell r="BI262">
            <v>0.96130649604318097</v>
          </cell>
          <cell r="BJ262">
            <v>1.0002076312782</v>
          </cell>
          <cell r="BK262">
            <v>0.98663714739324604</v>
          </cell>
          <cell r="BL262">
            <v>0.95302109345177699</v>
          </cell>
          <cell r="BM262">
            <v>0.95324722621911995</v>
          </cell>
          <cell r="BN262">
            <v>0.95324722621911995</v>
          </cell>
        </row>
        <row r="263">
          <cell r="B263" t="str">
            <v>VEN</v>
          </cell>
          <cell r="C263" t="str">
            <v>Price level ratio of PPP conversion factor (GDP) to market exchange rate</v>
          </cell>
          <cell r="D263" t="str">
            <v>PA.NUS.PPPC.RF</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v>0.25799083840981002</v>
          </cell>
          <cell r="AJ263">
            <v>0.250253989950463</v>
          </cell>
          <cell r="AK263">
            <v>0.26057000337221498</v>
          </cell>
          <cell r="AL263">
            <v>0.252422239493588</v>
          </cell>
          <cell r="AM263">
            <v>0.24615398102879499</v>
          </cell>
          <cell r="AN263">
            <v>0.30732333340587897</v>
          </cell>
          <cell r="AO263">
            <v>0.27557932046419797</v>
          </cell>
          <cell r="AP263">
            <v>0.30972676705973001</v>
          </cell>
          <cell r="AQ263">
            <v>0.32490348323891699</v>
          </cell>
          <cell r="AR263">
            <v>0.36540036438689399</v>
          </cell>
          <cell r="AS263">
            <v>0.412123664830637</v>
          </cell>
          <cell r="AT263">
            <v>0.40922884962386102</v>
          </cell>
          <cell r="AU263">
            <v>0.33407239586832199</v>
          </cell>
          <cell r="AV263">
            <v>0.32006307534366701</v>
          </cell>
          <cell r="AW263">
            <v>0.35434114647869502</v>
          </cell>
          <cell r="AX263">
            <v>0.40306425455755701</v>
          </cell>
          <cell r="AY263">
            <v>0.44898203644561502</v>
          </cell>
          <cell r="AZ263">
            <v>0.50478304598259405</v>
          </cell>
          <cell r="BA263">
            <v>0.64507413290900395</v>
          </cell>
          <cell r="BB263">
            <v>0.69033144508160504</v>
          </cell>
          <cell r="BC263">
            <v>0.82586935463946498</v>
          </cell>
          <cell r="BD263">
            <v>0.62503965442419096</v>
          </cell>
          <cell r="BE263" t="str">
            <v>..</v>
          </cell>
          <cell r="BF263" t="str">
            <v>..</v>
          </cell>
          <cell r="BG263" t="str">
            <v>..</v>
          </cell>
          <cell r="BH263" t="str">
            <v>..</v>
          </cell>
          <cell r="BI263" t="str">
            <v>..</v>
          </cell>
          <cell r="BJ263" t="str">
            <v>..</v>
          </cell>
          <cell r="BK263" t="str">
            <v>..</v>
          </cell>
          <cell r="BL263" t="str">
            <v>..</v>
          </cell>
          <cell r="BM263" t="str">
            <v>..</v>
          </cell>
          <cell r="BN263" t="str">
            <v/>
          </cell>
        </row>
        <row r="264">
          <cell r="B264" t="str">
            <v>VNM</v>
          </cell>
          <cell r="C264" t="str">
            <v>Price level ratio of PPP conversion factor (GDP) to market exchange rate</v>
          </cell>
          <cell r="D264" t="str">
            <v>PA.NUS.PPPC.RF</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v>0.103793877693078</v>
          </cell>
          <cell r="AJ264">
            <v>0.140746278844497</v>
          </cell>
          <cell r="AK264">
            <v>0.13000078059589501</v>
          </cell>
          <cell r="AL264">
            <v>0.15697042129606401</v>
          </cell>
          <cell r="AM264">
            <v>0.17447617115810199</v>
          </cell>
          <cell r="AN264">
            <v>0.198632981045643</v>
          </cell>
          <cell r="AO264">
            <v>0.21213505684304601</v>
          </cell>
          <cell r="AP264">
            <v>0.209784850187685</v>
          </cell>
          <cell r="AQ264">
            <v>0.198816956416697</v>
          </cell>
          <cell r="AR264">
            <v>0.19719161579977701</v>
          </cell>
          <cell r="AS264">
            <v>0.196292856671235</v>
          </cell>
          <cell r="AT264">
            <v>0.18965544923019201</v>
          </cell>
          <cell r="AU264">
            <v>0.188383513442895</v>
          </cell>
          <cell r="AV264">
            <v>0.19515919872971199</v>
          </cell>
          <cell r="AW264">
            <v>0.20297573527867999</v>
          </cell>
          <cell r="AX264">
            <v>0.232206377979364</v>
          </cell>
          <cell r="AY264">
            <v>0.24262844258736699</v>
          </cell>
          <cell r="AZ264">
            <v>0.25725236855730499</v>
          </cell>
          <cell r="BA264">
            <v>0.305815537948808</v>
          </cell>
          <cell r="BB264">
            <v>0.30795609041045902</v>
          </cell>
          <cell r="BC264">
            <v>0.312793293748583</v>
          </cell>
          <cell r="BD264">
            <v>0.33717307374388999</v>
          </cell>
          <cell r="BE264">
            <v>0.34410681009338401</v>
          </cell>
          <cell r="BF264">
            <v>0.35206362329041102</v>
          </cell>
          <cell r="BG264">
            <v>0.353386581879788</v>
          </cell>
          <cell r="BH264">
            <v>0.34167219742057497</v>
          </cell>
          <cell r="BI264">
            <v>0.33351322207240403</v>
          </cell>
          <cell r="BJ264">
            <v>0.330590510358024</v>
          </cell>
          <cell r="BK264">
            <v>0.33038375185902902</v>
          </cell>
          <cell r="BL264">
            <v>0.32397070129581301</v>
          </cell>
          <cell r="BM264">
            <v>0.32204406679558001</v>
          </cell>
          <cell r="BN264">
            <v>0.32204406679558001</v>
          </cell>
        </row>
        <row r="265">
          <cell r="B265" t="str">
            <v>VIR</v>
          </cell>
          <cell r="C265" t="str">
            <v>Price level ratio of PPP conversion factor (GDP) to market exchange rate</v>
          </cell>
          <cell r="D265" t="str">
            <v>PA.NUS.PPPC.RF</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cell r="AJ265" t="str">
            <v>..</v>
          </cell>
          <cell r="AK265" t="str">
            <v>..</v>
          </cell>
          <cell r="AL265" t="str">
            <v>..</v>
          </cell>
          <cell r="AM265" t="str">
            <v>..</v>
          </cell>
          <cell r="AN265" t="str">
            <v>..</v>
          </cell>
          <cell r="AO265" t="str">
            <v>..</v>
          </cell>
          <cell r="AP265" t="str">
            <v>..</v>
          </cell>
          <cell r="AQ265" t="str">
            <v>..</v>
          </cell>
          <cell r="AR265" t="str">
            <v>..</v>
          </cell>
          <cell r="AS265" t="str">
            <v>..</v>
          </cell>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v>
          </cell>
          <cell r="BN265" t="str">
            <v/>
          </cell>
        </row>
        <row r="266">
          <cell r="B266" t="str">
            <v>PSE</v>
          </cell>
          <cell r="C266" t="str">
            <v>Price level ratio of PPP conversion factor (GDP) to market exchange rate</v>
          </cell>
          <cell r="D266" t="str">
            <v>PA.NUS.PPPC.RF</v>
          </cell>
          <cell r="E266" t="str">
            <v>..</v>
          </cell>
          <cell r="F266" t="str">
            <v>..</v>
          </cell>
          <cell r="G266" t="str">
            <v>..</v>
          </cell>
          <cell r="H266" t="str">
            <v>..</v>
          </cell>
          <cell r="I266" t="str">
            <v>..</v>
          </cell>
          <cell r="J266" t="str">
            <v>..</v>
          </cell>
          <cell r="K266" t="str">
            <v>..</v>
          </cell>
          <cell r="L266" t="str">
            <v>..</v>
          </cell>
          <cell r="M266" t="str">
            <v>..</v>
          </cell>
          <cell r="N266" t="str">
            <v>..</v>
          </cell>
          <cell r="O266" t="str">
            <v>..</v>
          </cell>
          <cell r="P266" t="str">
            <v>..</v>
          </cell>
          <cell r="Q266" t="str">
            <v>..</v>
          </cell>
          <cell r="R266" t="str">
            <v>..</v>
          </cell>
          <cell r="S266" t="str">
            <v>..</v>
          </cell>
          <cell r="T266" t="str">
            <v>..</v>
          </cell>
          <cell r="U266" t="str">
            <v>..</v>
          </cell>
          <cell r="V266" t="str">
            <v>..</v>
          </cell>
          <cell r="W266" t="str">
            <v>..</v>
          </cell>
          <cell r="X266" t="str">
            <v>..</v>
          </cell>
          <cell r="Y266" t="str">
            <v>..</v>
          </cell>
          <cell r="Z266" t="str">
            <v>..</v>
          </cell>
          <cell r="AA266" t="str">
            <v>..</v>
          </cell>
          <cell r="AB266" t="str">
            <v>..</v>
          </cell>
          <cell r="AC266" t="str">
            <v>..</v>
          </cell>
          <cell r="AD266" t="str">
            <v>..</v>
          </cell>
          <cell r="AE266" t="str">
            <v>..</v>
          </cell>
          <cell r="AF266" t="str">
            <v>..</v>
          </cell>
          <cell r="AG266" t="str">
            <v>..</v>
          </cell>
          <cell r="AH266" t="str">
            <v>..</v>
          </cell>
          <cell r="AI266" t="str">
            <v>..</v>
          </cell>
          <cell r="AJ266" t="str">
            <v>..</v>
          </cell>
          <cell r="AK266" t="str">
            <v>..</v>
          </cell>
          <cell r="AL266" t="str">
            <v>..</v>
          </cell>
          <cell r="AM266">
            <v>0.57216706190289701</v>
          </cell>
          <cell r="AN266">
            <v>0.60404250882916799</v>
          </cell>
          <cell r="AO266">
            <v>0.60869692688532295</v>
          </cell>
          <cell r="AP266">
            <v>0.57507677131193502</v>
          </cell>
          <cell r="AQ266">
            <v>0.53812569968409996</v>
          </cell>
          <cell r="AR266">
            <v>0.51439715276687303</v>
          </cell>
          <cell r="AS266">
            <v>0.55568997124252595</v>
          </cell>
          <cell r="AT266">
            <v>0.55651249390521296</v>
          </cell>
          <cell r="AU266">
            <v>0.55599805929216894</v>
          </cell>
          <cell r="AV266">
            <v>0.53425799846607802</v>
          </cell>
          <cell r="AW266">
            <v>0.49499254129180698</v>
          </cell>
          <cell r="AX266">
            <v>0.48030946191736201</v>
          </cell>
          <cell r="AY266">
            <v>0.491344065398028</v>
          </cell>
          <cell r="AZ266">
            <v>0.50131559266507797</v>
          </cell>
          <cell r="BA266">
            <v>0.57538905543860697</v>
          </cell>
          <cell r="BB266">
            <v>0.58161553506695396</v>
          </cell>
          <cell r="BC266">
            <v>0.65078409521543501</v>
          </cell>
          <cell r="BD266">
            <v>0.67201765050687001</v>
          </cell>
          <cell r="BE266">
            <v>0.61193669032312403</v>
          </cell>
          <cell r="BF266">
            <v>0.64711780264122598</v>
          </cell>
          <cell r="BG266">
            <v>0.608354215297364</v>
          </cell>
          <cell r="BH266">
            <v>0.54953545159436201</v>
          </cell>
          <cell r="BI266">
            <v>0.55945989311000699</v>
          </cell>
          <cell r="BJ266">
            <v>0.56552749456804596</v>
          </cell>
          <cell r="BK266">
            <v>0.550599844397338</v>
          </cell>
          <cell r="BL266">
            <v>0.56176663073597899</v>
          </cell>
          <cell r="BM266">
            <v>0.56937824842331297</v>
          </cell>
          <cell r="BN266">
            <v>0.56937824842331297</v>
          </cell>
        </row>
        <row r="267">
          <cell r="B267" t="str">
            <v>WLD</v>
          </cell>
          <cell r="C267" t="str">
            <v>Price level ratio of PPP conversion factor (GDP) to market exchange rate</v>
          </cell>
          <cell r="D267" t="str">
            <v>PA.NUS.PPPC.RF</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t="str">
            <v>..</v>
          </cell>
          <cell r="Q267" t="str">
            <v>..</v>
          </cell>
          <cell r="R267" t="str">
            <v>..</v>
          </cell>
          <cell r="S267" t="str">
            <v>..</v>
          </cell>
          <cell r="T267" t="str">
            <v>..</v>
          </cell>
          <cell r="U267" t="str">
            <v>..</v>
          </cell>
          <cell r="V267" t="str">
            <v>..</v>
          </cell>
          <cell r="W267" t="str">
            <v>..</v>
          </cell>
          <cell r="X267" t="str">
            <v>..</v>
          </cell>
          <cell r="Y267" t="str">
            <v>..</v>
          </cell>
          <cell r="Z267" t="str">
            <v>..</v>
          </cell>
          <cell r="AA267" t="str">
            <v>..</v>
          </cell>
          <cell r="AB267" t="str">
            <v>..</v>
          </cell>
          <cell r="AC267" t="str">
            <v>..</v>
          </cell>
          <cell r="AD267" t="str">
            <v>..</v>
          </cell>
          <cell r="AE267" t="str">
            <v>..</v>
          </cell>
          <cell r="AF267" t="str">
            <v>..</v>
          </cell>
          <cell r="AG267" t="str">
            <v>..</v>
          </cell>
          <cell r="AH267" t="str">
            <v>..</v>
          </cell>
          <cell r="AI267" t="str">
            <v>..</v>
          </cell>
          <cell r="AJ267" t="str">
            <v>..</v>
          </cell>
          <cell r="AK267" t="str">
            <v>..</v>
          </cell>
          <cell r="AL267" t="str">
            <v>..</v>
          </cell>
          <cell r="AM267" t="str">
            <v>..</v>
          </cell>
          <cell r="AN267" t="str">
            <v>..</v>
          </cell>
          <cell r="AO267" t="str">
            <v>..</v>
          </cell>
          <cell r="AP267" t="str">
            <v>..</v>
          </cell>
          <cell r="AQ267" t="str">
            <v>..</v>
          </cell>
          <cell r="AR267" t="str">
            <v>..</v>
          </cell>
          <cell r="AS267" t="str">
            <v>..</v>
          </cell>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v>
          </cell>
          <cell r="BN267" t="str">
            <v/>
          </cell>
        </row>
        <row r="268">
          <cell r="B268" t="str">
            <v>YEM</v>
          </cell>
          <cell r="C268" t="str">
            <v>Price level ratio of PPP conversion factor (GDP) to market exchange rate</v>
          </cell>
          <cell r="D268" t="str">
            <v>PA.NUS.PPPC.RF</v>
          </cell>
          <cell r="E268" t="str">
            <v>..</v>
          </cell>
          <cell r="F268" t="str">
            <v>..</v>
          </cell>
          <cell r="G268" t="str">
            <v>..</v>
          </cell>
          <cell r="H268" t="str">
            <v>..</v>
          </cell>
          <cell r="I268" t="str">
            <v>..</v>
          </cell>
          <cell r="J268" t="str">
            <v>..</v>
          </cell>
          <cell r="K268" t="str">
            <v>..</v>
          </cell>
          <cell r="L268" t="str">
            <v>..</v>
          </cell>
          <cell r="M268" t="str">
            <v>..</v>
          </cell>
          <cell r="N268" t="str">
            <v>..</v>
          </cell>
          <cell r="O268" t="str">
            <v>..</v>
          </cell>
          <cell r="P268" t="str">
            <v>..</v>
          </cell>
          <cell r="Q268" t="str">
            <v>..</v>
          </cell>
          <cell r="R268" t="str">
            <v>..</v>
          </cell>
          <cell r="S268" t="str">
            <v>..</v>
          </cell>
          <cell r="T268" t="str">
            <v>..</v>
          </cell>
          <cell r="U268" t="str">
            <v>..</v>
          </cell>
          <cell r="V268" t="str">
            <v>..</v>
          </cell>
          <cell r="W268" t="str">
            <v>..</v>
          </cell>
          <cell r="X268" t="str">
            <v>..</v>
          </cell>
          <cell r="Y268" t="str">
            <v>..</v>
          </cell>
          <cell r="Z268" t="str">
            <v>..</v>
          </cell>
          <cell r="AA268" t="str">
            <v>..</v>
          </cell>
          <cell r="AB268" t="str">
            <v>..</v>
          </cell>
          <cell r="AC268" t="str">
            <v>..</v>
          </cell>
          <cell r="AD268" t="str">
            <v>..</v>
          </cell>
          <cell r="AE268" t="str">
            <v>..</v>
          </cell>
          <cell r="AF268" t="str">
            <v>..</v>
          </cell>
          <cell r="AG268" t="str">
            <v>..</v>
          </cell>
          <cell r="AH268" t="str">
            <v>..</v>
          </cell>
          <cell r="AI268">
            <v>0.23327231912541399</v>
          </cell>
          <cell r="AJ268">
            <v>0.22292945618151899</v>
          </cell>
          <cell r="AK268">
            <v>0.219543013173055</v>
          </cell>
          <cell r="AL268">
            <v>0.17126179657774801</v>
          </cell>
          <cell r="AM268">
            <v>0.121970992462135</v>
          </cell>
          <cell r="AN268">
            <v>0.115536808042603</v>
          </cell>
          <cell r="AO268">
            <v>0.147310045287914</v>
          </cell>
          <cell r="AP268">
            <v>0.162555100328758</v>
          </cell>
          <cell r="AQ268">
            <v>0.140253045379788</v>
          </cell>
          <cell r="AR268">
            <v>0.160945034687099</v>
          </cell>
          <cell r="AS268">
            <v>0.18728643468971701</v>
          </cell>
          <cell r="AT268">
            <v>0.18037628805386399</v>
          </cell>
          <cell r="AU268">
            <v>0.18527677070977</v>
          </cell>
          <cell r="AV268">
            <v>0.193088810186752</v>
          </cell>
          <cell r="AW268">
            <v>0.213006979095715</v>
          </cell>
          <cell r="AX268">
            <v>0.236155690029906</v>
          </cell>
          <cell r="AY268">
            <v>0.25289690152413302</v>
          </cell>
          <cell r="AZ268">
            <v>0.270688522656928</v>
          </cell>
          <cell r="BA268">
            <v>0.31842201627468403</v>
          </cell>
          <cell r="BB268">
            <v>0.284118964029972</v>
          </cell>
          <cell r="BC268">
            <v>0.32070073961092299</v>
          </cell>
          <cell r="BD268">
            <v>0.38108868505265597</v>
          </cell>
          <cell r="BE268">
            <v>0.41433735153225298</v>
          </cell>
          <cell r="BF268">
            <v>0.43571742351282899</v>
          </cell>
          <cell r="BG268" t="str">
            <v>..</v>
          </cell>
          <cell r="BH268" t="str">
            <v>..</v>
          </cell>
          <cell r="BI268" t="str">
            <v>..</v>
          </cell>
          <cell r="BJ268" t="str">
            <v>..</v>
          </cell>
          <cell r="BK268" t="str">
            <v>..</v>
          </cell>
          <cell r="BL268" t="str">
            <v>..</v>
          </cell>
          <cell r="BM268" t="str">
            <v>..</v>
          </cell>
          <cell r="BN268" t="str">
            <v/>
          </cell>
        </row>
        <row r="269">
          <cell r="B269" t="str">
            <v>ZMB</v>
          </cell>
          <cell r="C269" t="str">
            <v>Price level ratio of PPP conversion factor (GDP) to market exchange rate</v>
          </cell>
          <cell r="D269" t="str">
            <v>PA.NUS.PPPC.RF</v>
          </cell>
          <cell r="E269" t="str">
            <v>..</v>
          </cell>
          <cell r="F269" t="str">
            <v>..</v>
          </cell>
          <cell r="G269" t="str">
            <v>..</v>
          </cell>
          <cell r="H269" t="str">
            <v>..</v>
          </cell>
          <cell r="I269" t="str">
            <v>..</v>
          </cell>
          <cell r="J269" t="str">
            <v>..</v>
          </cell>
          <cell r="K269" t="str">
            <v>..</v>
          </cell>
          <cell r="L269" t="str">
            <v>..</v>
          </cell>
          <cell r="M269" t="str">
            <v>..</v>
          </cell>
          <cell r="N269" t="str">
            <v>..</v>
          </cell>
          <cell r="O269" t="str">
            <v>..</v>
          </cell>
          <cell r="P269" t="str">
            <v>..</v>
          </cell>
          <cell r="Q269" t="str">
            <v>..</v>
          </cell>
          <cell r="R269" t="str">
            <v>..</v>
          </cell>
          <cell r="S269" t="str">
            <v>..</v>
          </cell>
          <cell r="T269" t="str">
            <v>..</v>
          </cell>
          <cell r="U269" t="str">
            <v>..</v>
          </cell>
          <cell r="V269" t="str">
            <v>..</v>
          </cell>
          <cell r="W269" t="str">
            <v>..</v>
          </cell>
          <cell r="X269" t="str">
            <v>..</v>
          </cell>
          <cell r="Y269" t="str">
            <v>..</v>
          </cell>
          <cell r="Z269" t="str">
            <v>..</v>
          </cell>
          <cell r="AA269" t="str">
            <v>..</v>
          </cell>
          <cell r="AB269" t="str">
            <v>..</v>
          </cell>
          <cell r="AC269" t="str">
            <v>..</v>
          </cell>
          <cell r="AD269" t="str">
            <v>..</v>
          </cell>
          <cell r="AE269" t="str">
            <v>..</v>
          </cell>
          <cell r="AF269" t="str">
            <v>..</v>
          </cell>
          <cell r="AG269" t="str">
            <v>..</v>
          </cell>
          <cell r="AH269" t="str">
            <v>..</v>
          </cell>
          <cell r="AI269">
            <v>0.27717377003009702</v>
          </cell>
          <cell r="AJ269">
            <v>0.27585071379410098</v>
          </cell>
          <cell r="AK269">
            <v>0.25845656545857398</v>
          </cell>
          <cell r="AL269">
            <v>0.24318754118407701</v>
          </cell>
          <cell r="AM269">
            <v>0.29110200581746198</v>
          </cell>
          <cell r="AN269">
            <v>0.288492489547713</v>
          </cell>
          <cell r="AO269">
            <v>0.25201759763479298</v>
          </cell>
          <cell r="AP269">
            <v>0.28530560625200502</v>
          </cell>
          <cell r="AQ269">
            <v>0.232834413220743</v>
          </cell>
          <cell r="AR269">
            <v>0.211053256706457</v>
          </cell>
          <cell r="AS269">
            <v>0.21015591801915801</v>
          </cell>
          <cell r="AT269">
            <v>0.22204177867455499</v>
          </cell>
          <cell r="AU269">
            <v>0.21423540935676399</v>
          </cell>
          <cell r="AV269">
            <v>0.229872092888177</v>
          </cell>
          <cell r="AW269">
            <v>0.26542389192763599</v>
          </cell>
          <cell r="AX269">
            <v>0.32148173072289699</v>
          </cell>
          <cell r="AY269">
            <v>0.44276526183189202</v>
          </cell>
          <cell r="AZ269">
            <v>0.43850044405732702</v>
          </cell>
          <cell r="BA269">
            <v>0.50852817956791796</v>
          </cell>
          <cell r="BB269">
            <v>0.39545034866061701</v>
          </cell>
          <cell r="BC269">
            <v>0.46854951455516702</v>
          </cell>
          <cell r="BD269">
            <v>0.50329089319242304</v>
          </cell>
          <cell r="BE269">
            <v>0.51512276408596902</v>
          </cell>
          <cell r="BF269">
            <v>0.52484690784137999</v>
          </cell>
          <cell r="BG269">
            <v>0.49794024321047098</v>
          </cell>
          <cell r="BH269">
            <v>0.390126753465658</v>
          </cell>
          <cell r="BI269">
            <v>0.37619065622401598</v>
          </cell>
          <cell r="BJ269">
            <v>0.44051276312934101</v>
          </cell>
          <cell r="BK269">
            <v>0.42050119714279199</v>
          </cell>
          <cell r="BL269">
            <v>0.360776574642726</v>
          </cell>
          <cell r="BM269">
            <v>0.28491715580334198</v>
          </cell>
          <cell r="BN269">
            <v>0.28491715580334198</v>
          </cell>
        </row>
        <row r="270">
          <cell r="B270" t="str">
            <v>ZWE</v>
          </cell>
          <cell r="C270" t="str">
            <v>Price level ratio of PPP conversion factor (GDP) to market exchange rate</v>
          </cell>
          <cell r="D270" t="str">
            <v>PA.NUS.PPPC.RF</v>
          </cell>
          <cell r="E270" t="str">
            <v>..</v>
          </cell>
          <cell r="F270" t="str">
            <v>..</v>
          </cell>
          <cell r="G270" t="str">
            <v>..</v>
          </cell>
          <cell r="H270" t="str">
            <v>..</v>
          </cell>
          <cell r="I270" t="str">
            <v>..</v>
          </cell>
          <cell r="J270" t="str">
            <v>..</v>
          </cell>
          <cell r="K270" t="str">
            <v>..</v>
          </cell>
          <cell r="L270" t="str">
            <v>..</v>
          </cell>
          <cell r="M270" t="str">
            <v>..</v>
          </cell>
          <cell r="N270" t="str">
            <v>..</v>
          </cell>
          <cell r="O270" t="str">
            <v>..</v>
          </cell>
          <cell r="P270" t="str">
            <v>..</v>
          </cell>
          <cell r="Q270" t="str">
            <v>..</v>
          </cell>
          <cell r="R270" t="str">
            <v>..</v>
          </cell>
          <cell r="S270" t="str">
            <v>..</v>
          </cell>
          <cell r="T270" t="str">
            <v>..</v>
          </cell>
          <cell r="U270" t="str">
            <v>..</v>
          </cell>
          <cell r="V270" t="str">
            <v>..</v>
          </cell>
          <cell r="W270" t="str">
            <v>..</v>
          </cell>
          <cell r="X270" t="str">
            <v>..</v>
          </cell>
          <cell r="Y270" t="str">
            <v>..</v>
          </cell>
          <cell r="Z270" t="str">
            <v>..</v>
          </cell>
          <cell r="AA270" t="str">
            <v>..</v>
          </cell>
          <cell r="AB270" t="str">
            <v>..</v>
          </cell>
          <cell r="AC270" t="str">
            <v>..</v>
          </cell>
          <cell r="AD270" t="str">
            <v>..</v>
          </cell>
          <cell r="AE270" t="str">
            <v>..</v>
          </cell>
          <cell r="AF270" t="str">
            <v>..</v>
          </cell>
          <cell r="AG270" t="str">
            <v>..</v>
          </cell>
          <cell r="AH270" t="str">
            <v>..</v>
          </cell>
          <cell r="AI270">
            <v>0.74447267475517598</v>
          </cell>
          <cell r="AJ270">
            <v>0.67131524678440202</v>
          </cell>
          <cell r="AK270">
            <v>0.56361638410857595</v>
          </cell>
          <cell r="AL270">
            <v>0.52969346445483201</v>
          </cell>
          <cell r="AM270">
            <v>0.49841506781344602</v>
          </cell>
          <cell r="AN270">
            <v>0.50301193949357903</v>
          </cell>
          <cell r="AO270">
            <v>0.53834749074097099</v>
          </cell>
          <cell r="AP270">
            <v>0.51366305846028004</v>
          </cell>
          <cell r="AQ270">
            <v>0.37055348426428297</v>
          </cell>
          <cell r="AR270">
            <v>0.394526817742962</v>
          </cell>
          <cell r="AS270">
            <v>0.38832318632398399</v>
          </cell>
          <cell r="AT270">
            <v>0.379491056315376</v>
          </cell>
          <cell r="AU270">
            <v>0.38371696702144298</v>
          </cell>
          <cell r="AV270">
            <v>0.409877145862373</v>
          </cell>
          <cell r="AW270">
            <v>0.42951167912894</v>
          </cell>
          <cell r="AX270">
            <v>0.43793263166531798</v>
          </cell>
          <cell r="AY270">
            <v>0.41649263866195402</v>
          </cell>
          <cell r="AZ270">
            <v>0.40922680320320798</v>
          </cell>
          <cell r="BA270">
            <v>0.406834712234659</v>
          </cell>
          <cell r="BB270">
            <v>0.50338476408203003</v>
          </cell>
          <cell r="BC270">
            <v>0.51797974827051296</v>
          </cell>
          <cell r="BD270">
            <v>0.52033537626266502</v>
          </cell>
          <cell r="BE270">
            <v>0.54924583435058605</v>
          </cell>
          <cell r="BF270">
            <v>0.558424472808838</v>
          </cell>
          <cell r="BG270">
            <v>0.54925185441970803</v>
          </cell>
          <cell r="BH270">
            <v>0.53930419683456399</v>
          </cell>
          <cell r="BI270">
            <v>0.521861791610718</v>
          </cell>
          <cell r="BJ270">
            <v>0.32542291702763598</v>
          </cell>
          <cell r="BK270">
            <v>0.31231591226373101</v>
          </cell>
          <cell r="BL270">
            <v>0.34801744092349601</v>
          </cell>
          <cell r="BM270">
            <v>0.343338754064827</v>
          </cell>
          <cell r="BN270">
            <v>0.343338754064827</v>
          </cell>
        </row>
      </sheetData>
      <sheetData sheetId="15">
        <row r="1">
          <cell r="B1" t="str">
            <v>Country Code</v>
          </cell>
          <cell r="C1" t="str">
            <v>Series Name</v>
          </cell>
          <cell r="D1" t="str">
            <v>Series Code</v>
          </cell>
          <cell r="E1" t="str">
            <v>1960 [YR1960]</v>
          </cell>
          <cell r="F1" t="str">
            <v>1961 [YR1961]</v>
          </cell>
          <cell r="G1" t="str">
            <v>1962 [YR1962]</v>
          </cell>
          <cell r="H1" t="str">
            <v>1963 [YR1963]</v>
          </cell>
          <cell r="I1" t="str">
            <v>1964 [YR1964]</v>
          </cell>
          <cell r="J1" t="str">
            <v>1965 [YR1965]</v>
          </cell>
          <cell r="K1" t="str">
            <v>1966 [YR1966]</v>
          </cell>
          <cell r="L1" t="str">
            <v>1967 [YR1967]</v>
          </cell>
          <cell r="M1" t="str">
            <v>1968 [YR1968]</v>
          </cell>
          <cell r="N1" t="str">
            <v>1969 [YR1969]</v>
          </cell>
          <cell r="O1" t="str">
            <v>1970 [YR1970]</v>
          </cell>
          <cell r="P1" t="str">
            <v>1971 [YR1971]</v>
          </cell>
          <cell r="Q1" t="str">
            <v>1972 [YR1972]</v>
          </cell>
          <cell r="R1" t="str">
            <v>1973 [YR1973]</v>
          </cell>
          <cell r="S1" t="str">
            <v>1974 [YR1974]</v>
          </cell>
          <cell r="T1" t="str">
            <v>1975 [YR1975]</v>
          </cell>
          <cell r="U1" t="str">
            <v>1976 [YR1976]</v>
          </cell>
          <cell r="V1" t="str">
            <v>1977 [YR1977]</v>
          </cell>
          <cell r="W1" t="str">
            <v>1978 [YR1978]</v>
          </cell>
          <cell r="X1" t="str">
            <v>1979 [YR1979]</v>
          </cell>
          <cell r="Y1" t="str">
            <v>1980 [YR1980]</v>
          </cell>
          <cell r="Z1" t="str">
            <v>1981 [YR1981]</v>
          </cell>
          <cell r="AA1" t="str">
            <v>1982 [YR1982]</v>
          </cell>
          <cell r="AB1" t="str">
            <v>1983 [YR1983]</v>
          </cell>
          <cell r="AC1" t="str">
            <v>1984 [YR1984]</v>
          </cell>
          <cell r="AD1" t="str">
            <v>1985 [YR1985]</v>
          </cell>
          <cell r="AE1" t="str">
            <v>1986 [YR1986]</v>
          </cell>
          <cell r="AF1" t="str">
            <v>1987 [YR1987]</v>
          </cell>
          <cell r="AG1" t="str">
            <v>1988 [YR1988]</v>
          </cell>
          <cell r="AH1" t="str">
            <v>1989 [YR1989]</v>
          </cell>
          <cell r="AI1" t="str">
            <v>1990 [YR1990]</v>
          </cell>
          <cell r="AJ1" t="str">
            <v>1991 [YR1991]</v>
          </cell>
          <cell r="AK1" t="str">
            <v>1992 [YR1992]</v>
          </cell>
          <cell r="AL1" t="str">
            <v>1993 [YR1993]</v>
          </cell>
          <cell r="AM1" t="str">
            <v>1994 [YR1994]</v>
          </cell>
          <cell r="AN1" t="str">
            <v>1995 [YR1995]</v>
          </cell>
          <cell r="AO1" t="str">
            <v>1996 [YR1996]</v>
          </cell>
          <cell r="AP1" t="str">
            <v>1997 [YR1997]</v>
          </cell>
          <cell r="AQ1" t="str">
            <v>1998 [YR1998]</v>
          </cell>
          <cell r="AR1" t="str">
            <v>1999 [YR1999]</v>
          </cell>
          <cell r="AS1" t="str">
            <v>2000 [YR2000]</v>
          </cell>
          <cell r="AT1" t="str">
            <v>2001 [YR2001]</v>
          </cell>
          <cell r="AU1" t="str">
            <v>2002 [YR2002]</v>
          </cell>
          <cell r="AV1" t="str">
            <v>2003 [YR2003]</v>
          </cell>
          <cell r="AW1" t="str">
            <v>2004 [YR2004]</v>
          </cell>
          <cell r="AX1" t="str">
            <v>2005 [YR2005]</v>
          </cell>
          <cell r="AY1" t="str">
            <v>2006 [YR2006]</v>
          </cell>
          <cell r="AZ1" t="str">
            <v>2007 [YR2007]</v>
          </cell>
          <cell r="BA1" t="str">
            <v>2008 [YR2008]</v>
          </cell>
          <cell r="BB1" t="str">
            <v>2009 [YR2009]</v>
          </cell>
          <cell r="BC1" t="str">
            <v>2010 [YR2010]</v>
          </cell>
          <cell r="BD1" t="str">
            <v>2011 [YR2011]</v>
          </cell>
          <cell r="BE1" t="str">
            <v>2012 [YR2012]</v>
          </cell>
          <cell r="BF1" t="str">
            <v>2013 [YR2013]</v>
          </cell>
          <cell r="BG1" t="str">
            <v>2014 [YR2014]</v>
          </cell>
          <cell r="BH1" t="str">
            <v>2015 [YR2015]</v>
          </cell>
          <cell r="BI1" t="str">
            <v>2016 [YR2016]</v>
          </cell>
          <cell r="BJ1" t="str">
            <v>2017 [YR2017]</v>
          </cell>
          <cell r="BK1" t="str">
            <v>2018 [YR2018]</v>
          </cell>
          <cell r="BL1" t="str">
            <v>2019 [YR2019]</v>
          </cell>
          <cell r="BM1" t="str">
            <v>2020 [YR2020]</v>
          </cell>
        </row>
        <row r="2">
          <cell r="B2" t="str">
            <v>AFG</v>
          </cell>
          <cell r="C2" t="str">
            <v>GNI (current LCU)</v>
          </cell>
          <cell r="D2" t="str">
            <v>NY.GNP.MKTP.CN</v>
          </cell>
          <cell r="E2">
            <v>24699998200</v>
          </cell>
          <cell r="F2">
            <v>25200001000</v>
          </cell>
          <cell r="G2">
            <v>25100001300</v>
          </cell>
          <cell r="H2">
            <v>34500001800</v>
          </cell>
          <cell r="I2">
            <v>36700000300</v>
          </cell>
          <cell r="J2">
            <v>46200000500</v>
          </cell>
          <cell r="K2">
            <v>64299999200</v>
          </cell>
          <cell r="L2">
            <v>76899999700</v>
          </cell>
          <cell r="M2">
            <v>63099998200</v>
          </cell>
          <cell r="N2">
            <v>64699998200</v>
          </cell>
          <cell r="O2">
            <v>80299999200</v>
          </cell>
          <cell r="P2">
            <v>84099899400</v>
          </cell>
          <cell r="Q2">
            <v>73399902200</v>
          </cell>
          <cell r="R2">
            <v>79699902500</v>
          </cell>
          <cell r="S2">
            <v>99100000300</v>
          </cell>
          <cell r="T2">
            <v>108800000000</v>
          </cell>
          <cell r="U2">
            <v>117500002300</v>
          </cell>
          <cell r="V2">
            <v>135799996400</v>
          </cell>
          <cell r="W2">
            <v>151699996700</v>
          </cell>
          <cell r="X2">
            <v>165000003600</v>
          </cell>
          <cell r="Y2">
            <v>163899998200</v>
          </cell>
          <cell r="Z2">
            <v>175799992300</v>
          </cell>
          <cell r="AA2" t="str">
            <v>..</v>
          </cell>
          <cell r="AB2" t="str">
            <v>..</v>
          </cell>
          <cell r="AC2" t="str">
            <v>..</v>
          </cell>
          <cell r="AD2" t="str">
            <v>..</v>
          </cell>
          <cell r="AE2" t="str">
            <v>..</v>
          </cell>
          <cell r="AF2" t="str">
            <v>..</v>
          </cell>
          <cell r="AG2" t="str">
            <v>..</v>
          </cell>
          <cell r="AH2" t="str">
            <v>..</v>
          </cell>
          <cell r="AI2" t="str">
            <v>..</v>
          </cell>
          <cell r="AJ2" t="str">
            <v>..</v>
          </cell>
          <cell r="AK2" t="str">
            <v>..</v>
          </cell>
          <cell r="AL2" t="str">
            <v>..</v>
          </cell>
          <cell r="AM2" t="str">
            <v>..</v>
          </cell>
          <cell r="AN2" t="str">
            <v>..</v>
          </cell>
          <cell r="AO2" t="str">
            <v>..</v>
          </cell>
          <cell r="AP2" t="str">
            <v>..</v>
          </cell>
          <cell r="AQ2" t="str">
            <v>..</v>
          </cell>
          <cell r="AR2" t="str">
            <v>..</v>
          </cell>
          <cell r="AS2" t="str">
            <v>..</v>
          </cell>
          <cell r="AT2" t="str">
            <v>..</v>
          </cell>
          <cell r="AU2" t="str">
            <v>..</v>
          </cell>
          <cell r="AV2" t="str">
            <v>..</v>
          </cell>
          <cell r="AW2" t="str">
            <v>..</v>
          </cell>
          <cell r="AX2" t="str">
            <v>..</v>
          </cell>
          <cell r="AY2" t="str">
            <v>..</v>
          </cell>
          <cell r="AZ2" t="str">
            <v>..</v>
          </cell>
          <cell r="BA2" t="str">
            <v>..</v>
          </cell>
          <cell r="BB2">
            <v>609947867500</v>
          </cell>
          <cell r="BC2">
            <v>727510372000</v>
          </cell>
          <cell r="BD2">
            <v>849420078100</v>
          </cell>
          <cell r="BE2">
            <v>1030414200400</v>
          </cell>
          <cell r="BF2">
            <v>1142783046500</v>
          </cell>
          <cell r="BG2">
            <v>1176333342300</v>
          </cell>
          <cell r="BH2">
            <v>1233810567500</v>
          </cell>
          <cell r="BI2">
            <v>1235103461500</v>
          </cell>
          <cell r="BJ2">
            <v>1302376236700</v>
          </cell>
          <cell r="BK2">
            <v>1341487780600</v>
          </cell>
          <cell r="BL2">
            <v>1492958477300</v>
          </cell>
          <cell r="BM2">
            <v>1561802328800</v>
          </cell>
        </row>
        <row r="3">
          <cell r="B3" t="str">
            <v>ALB</v>
          </cell>
          <cell r="C3" t="str">
            <v>GNI (current LCU)</v>
          </cell>
          <cell r="D3" t="str">
            <v>NY.GNP.MKTP.CN</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15963416000</v>
          </cell>
          <cell r="AD3">
            <v>16288702000</v>
          </cell>
          <cell r="AE3">
            <v>16779410000</v>
          </cell>
          <cell r="AF3">
            <v>16649570000</v>
          </cell>
          <cell r="AG3">
            <v>16411490000</v>
          </cell>
          <cell r="AH3">
            <v>18023920000</v>
          </cell>
          <cell r="AI3">
            <v>16213230000</v>
          </cell>
          <cell r="AJ3">
            <v>15521170000</v>
          </cell>
          <cell r="AK3">
            <v>46300679200</v>
          </cell>
          <cell r="AL3">
            <v>124436178800</v>
          </cell>
          <cell r="AM3">
            <v>179287642000</v>
          </cell>
          <cell r="AN3">
            <v>225844931000</v>
          </cell>
          <cell r="AO3">
            <v>341849720000</v>
          </cell>
          <cell r="AP3">
            <v>338707870000</v>
          </cell>
          <cell r="AQ3">
            <v>396415160000</v>
          </cell>
          <cell r="AR3">
            <v>453988540000</v>
          </cell>
          <cell r="AS3">
            <v>516269720000</v>
          </cell>
          <cell r="AT3">
            <v>581549200000</v>
          </cell>
          <cell r="AU3">
            <v>625814820000</v>
          </cell>
          <cell r="AV3">
            <v>695923340000</v>
          </cell>
          <cell r="AW3">
            <v>755036990000</v>
          </cell>
          <cell r="AX3">
            <v>820345110000</v>
          </cell>
          <cell r="AY3">
            <v>898459590000</v>
          </cell>
          <cell r="AZ3">
            <v>992472990000</v>
          </cell>
          <cell r="BA3">
            <v>1086130870000</v>
          </cell>
          <cell r="BB3">
            <v>1125750670000</v>
          </cell>
          <cell r="BC3">
            <v>1227260200000</v>
          </cell>
          <cell r="BD3">
            <v>1300960940000</v>
          </cell>
          <cell r="BE3">
            <v>1322883480000</v>
          </cell>
          <cell r="BF3">
            <v>1373333910000</v>
          </cell>
          <cell r="BG3">
            <v>1408096790000</v>
          </cell>
          <cell r="BH3">
            <v>1451306570000</v>
          </cell>
          <cell r="BI3">
            <v>1496392960000</v>
          </cell>
          <cell r="BJ3">
            <v>1554431350000</v>
          </cell>
          <cell r="BK3">
            <v>1634739770000</v>
          </cell>
          <cell r="BL3">
            <v>1669585100000</v>
          </cell>
          <cell r="BM3">
            <v>1590353473600</v>
          </cell>
        </row>
        <row r="4">
          <cell r="B4" t="str">
            <v>DZA</v>
          </cell>
          <cell r="C4" t="str">
            <v>GNI (current LCU)</v>
          </cell>
          <cell r="D4" t="str">
            <v>NY.GNP.MKTP.CN</v>
          </cell>
          <cell r="E4">
            <v>15904923600</v>
          </cell>
          <cell r="F4">
            <v>14673574900</v>
          </cell>
          <cell r="G4">
            <v>10876915700</v>
          </cell>
          <cell r="H4">
            <v>13647450100</v>
          </cell>
          <cell r="I4">
            <v>14365736900</v>
          </cell>
          <cell r="J4">
            <v>15084023800</v>
          </cell>
          <cell r="K4">
            <v>14407967200</v>
          </cell>
          <cell r="L4">
            <v>16242189300</v>
          </cell>
          <cell r="M4">
            <v>18718281000</v>
          </cell>
          <cell r="N4">
            <v>21018314800</v>
          </cell>
          <cell r="O4">
            <v>23411524100</v>
          </cell>
          <cell r="P4">
            <v>24742362600</v>
          </cell>
          <cell r="Q4">
            <v>30218497800</v>
          </cell>
          <cell r="R4">
            <v>34204847400</v>
          </cell>
          <cell r="S4">
            <v>54927170800</v>
          </cell>
          <cell r="T4">
            <v>60744505600</v>
          </cell>
          <cell r="U4">
            <v>72517292800</v>
          </cell>
          <cell r="V4">
            <v>82111280200</v>
          </cell>
          <cell r="W4">
            <v>99538936100</v>
          </cell>
          <cell r="X4">
            <v>121522878600</v>
          </cell>
          <cell r="Y4">
            <v>155329001800</v>
          </cell>
          <cell r="Z4">
            <v>182767001500</v>
          </cell>
          <cell r="AA4">
            <v>198464992800</v>
          </cell>
          <cell r="AB4">
            <v>225118999700</v>
          </cell>
          <cell r="AC4">
            <v>259233003100</v>
          </cell>
          <cell r="AD4">
            <v>283536016100</v>
          </cell>
          <cell r="AE4">
            <v>291539011500</v>
          </cell>
          <cell r="AF4">
            <v>314490998700</v>
          </cell>
          <cell r="AG4">
            <v>334720014600</v>
          </cell>
          <cell r="AH4">
            <v>407729005900</v>
          </cell>
          <cell r="AI4">
            <v>535485002600</v>
          </cell>
          <cell r="AJ4">
            <v>797437976200</v>
          </cell>
          <cell r="AK4">
            <v>1001034260500</v>
          </cell>
          <cell r="AL4">
            <v>1125146247100</v>
          </cell>
          <cell r="AM4">
            <v>1430678704100</v>
          </cell>
          <cell r="AN4">
            <v>1886218068000</v>
          </cell>
          <cell r="AO4">
            <v>2429842571300</v>
          </cell>
          <cell r="AP4">
            <v>2652090368000</v>
          </cell>
          <cell r="AQ4">
            <v>2713022103500</v>
          </cell>
          <cell r="AR4">
            <v>3085743540000</v>
          </cell>
          <cell r="AS4">
            <v>3919558400000</v>
          </cell>
          <cell r="AT4">
            <v>4103107000000</v>
          </cell>
          <cell r="AU4">
            <v>4345370000000</v>
          </cell>
          <cell r="AV4">
            <v>5057382000000</v>
          </cell>
          <cell r="AW4">
            <v>5889659000000</v>
          </cell>
          <cell r="AX4">
            <v>7188855000000</v>
          </cell>
          <cell r="AY4">
            <v>8172901000000</v>
          </cell>
          <cell r="AZ4">
            <v>9225732000000</v>
          </cell>
          <cell r="BA4">
            <v>10957475000000</v>
          </cell>
          <cell r="BB4">
            <v>9865935000000</v>
          </cell>
          <cell r="BC4">
            <v>11958414000000</v>
          </cell>
          <cell r="BD4">
            <v>14439477000000</v>
          </cell>
          <cell r="BE4">
            <v>16004319000000</v>
          </cell>
          <cell r="BF4">
            <v>16318168000000</v>
          </cell>
          <cell r="BG4">
            <v>16830890000000</v>
          </cell>
          <cell r="BH4">
            <v>16278502000000</v>
          </cell>
          <cell r="BI4">
            <v>17343886000000</v>
          </cell>
          <cell r="BJ4">
            <v>18594522000000</v>
          </cell>
          <cell r="BK4">
            <v>19880067000000</v>
          </cell>
          <cell r="BL4">
            <v>19999860000000</v>
          </cell>
          <cell r="BM4">
            <v>18010536000000</v>
          </cell>
        </row>
        <row r="5">
          <cell r="B5" t="str">
            <v>ASM</v>
          </cell>
          <cell r="C5" t="str">
            <v>GNI (current LCU)</v>
          </cell>
          <cell r="D5" t="str">
            <v>NY.GNP.MKTP.CN</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75600000</v>
          </cell>
          <cell r="S5">
            <v>77000000</v>
          </cell>
          <cell r="T5">
            <v>67700000</v>
          </cell>
          <cell r="U5">
            <v>68500000</v>
          </cell>
          <cell r="V5">
            <v>79200000</v>
          </cell>
          <cell r="W5">
            <v>84700000</v>
          </cell>
          <cell r="X5">
            <v>105600000</v>
          </cell>
          <cell r="Y5">
            <v>127200000</v>
          </cell>
          <cell r="Z5">
            <v>139300000</v>
          </cell>
          <cell r="AA5">
            <v>151100000</v>
          </cell>
          <cell r="AB5">
            <v>166000000</v>
          </cell>
          <cell r="AC5">
            <v>178200000</v>
          </cell>
          <cell r="AD5">
            <v>189700000</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cell r="AV5" t="str">
            <v>..</v>
          </cell>
          <cell r="AW5" t="str">
            <v>..</v>
          </cell>
          <cell r="AX5" t="str">
            <v>..</v>
          </cell>
          <cell r="AY5" t="str">
            <v>..</v>
          </cell>
          <cell r="AZ5" t="str">
            <v>..</v>
          </cell>
          <cell r="BA5" t="str">
            <v>..</v>
          </cell>
          <cell r="BB5" t="str">
            <v>..</v>
          </cell>
          <cell r="BC5" t="str">
            <v>..</v>
          </cell>
          <cell r="BD5" t="str">
            <v>..</v>
          </cell>
          <cell r="BE5" t="str">
            <v>..</v>
          </cell>
          <cell r="BF5" t="str">
            <v>..</v>
          </cell>
          <cell r="BG5" t="str">
            <v>..</v>
          </cell>
          <cell r="BH5" t="str">
            <v>..</v>
          </cell>
          <cell r="BI5" t="str">
            <v>..</v>
          </cell>
          <cell r="BJ5" t="str">
            <v>..</v>
          </cell>
          <cell r="BK5" t="str">
            <v>..</v>
          </cell>
          <cell r="BL5" t="str">
            <v>..</v>
          </cell>
          <cell r="BM5" t="str">
            <v>..</v>
          </cell>
        </row>
        <row r="6">
          <cell r="B6" t="str">
            <v>AND</v>
          </cell>
          <cell r="C6" t="str">
            <v>GNI (current LCU)</v>
          </cell>
          <cell r="D6" t="str">
            <v>NY.GNP.MKTP.CN</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row>
        <row r="7">
          <cell r="B7" t="str">
            <v>AGO</v>
          </cell>
          <cell r="C7" t="str">
            <v>GNI (current LCU)</v>
          </cell>
          <cell r="D7" t="str">
            <v>NY.GNP.MKTP.CN</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v>200</v>
          </cell>
          <cell r="AE7">
            <v>200</v>
          </cell>
          <cell r="AF7">
            <v>200</v>
          </cell>
          <cell r="AG7">
            <v>200</v>
          </cell>
          <cell r="AH7">
            <v>300</v>
          </cell>
          <cell r="AI7">
            <v>300</v>
          </cell>
          <cell r="AJ7">
            <v>700</v>
          </cell>
          <cell r="AK7">
            <v>1600</v>
          </cell>
          <cell r="AL7">
            <v>16500</v>
          </cell>
          <cell r="AM7">
            <v>296900</v>
          </cell>
          <cell r="AN7">
            <v>12935300</v>
          </cell>
          <cell r="AO7">
            <v>647138700</v>
          </cell>
          <cell r="AP7">
            <v>1541582100</v>
          </cell>
          <cell r="AQ7">
            <v>2175245400</v>
          </cell>
          <cell r="AR7">
            <v>13342067400</v>
          </cell>
          <cell r="AS7">
            <v>74789350900</v>
          </cell>
          <cell r="AT7">
            <v>162678698500</v>
          </cell>
          <cell r="AU7">
            <v>594228080700</v>
          </cell>
          <cell r="AV7">
            <v>1200133641400</v>
          </cell>
          <cell r="AW7">
            <v>1759672995800</v>
          </cell>
          <cell r="AX7">
            <v>2871023202800</v>
          </cell>
          <cell r="AY7">
            <v>3713258699200</v>
          </cell>
          <cell r="AZ7">
            <v>4423442923800</v>
          </cell>
          <cell r="BA7">
            <v>5614079386200</v>
          </cell>
          <cell r="BB7">
            <v>5036073453700</v>
          </cell>
          <cell r="BC7">
            <v>6958422609800</v>
          </cell>
          <cell r="BD7">
            <v>9590025881900</v>
          </cell>
          <cell r="BE7">
            <v>11230006316400</v>
          </cell>
          <cell r="BF7">
            <v>12239466901900</v>
          </cell>
          <cell r="BG7">
            <v>13453892400600</v>
          </cell>
          <cell r="BH7">
            <v>13241027555600</v>
          </cell>
          <cell r="BI7">
            <v>15686493400300</v>
          </cell>
          <cell r="BJ7">
            <v>19016994383000</v>
          </cell>
          <cell r="BK7">
            <v>23647996403200</v>
          </cell>
          <cell r="BL7">
            <v>29879558000000</v>
          </cell>
          <cell r="BM7">
            <v>30909075668800</v>
          </cell>
        </row>
        <row r="8">
          <cell r="B8" t="str">
            <v>ATG</v>
          </cell>
          <cell r="C8" t="str">
            <v>GNI (current LCU)</v>
          </cell>
          <cell r="D8" t="str">
            <v>NY.GNP.MKTP.CN</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v>208701235</v>
          </cell>
          <cell r="W8">
            <v>236194222</v>
          </cell>
          <cell r="X8">
            <v>289655943</v>
          </cell>
          <cell r="Y8">
            <v>351623772</v>
          </cell>
          <cell r="Z8">
            <v>393772683</v>
          </cell>
          <cell r="AA8">
            <v>433807053</v>
          </cell>
          <cell r="AB8">
            <v>489089051</v>
          </cell>
          <cell r="AC8">
            <v>561526685</v>
          </cell>
          <cell r="AD8">
            <v>643204597</v>
          </cell>
          <cell r="AE8">
            <v>686898380</v>
          </cell>
          <cell r="AF8">
            <v>802482127</v>
          </cell>
          <cell r="AG8">
            <v>990931865</v>
          </cell>
          <cell r="AH8">
            <v>1061945929</v>
          </cell>
          <cell r="AI8">
            <v>1118190000</v>
          </cell>
          <cell r="AJ8">
            <v>1213670000</v>
          </cell>
          <cell r="AK8">
            <v>1267960000</v>
          </cell>
          <cell r="AL8">
            <v>1383040000</v>
          </cell>
          <cell r="AM8">
            <v>1519750000</v>
          </cell>
          <cell r="AN8">
            <v>1486140000</v>
          </cell>
          <cell r="AO8">
            <v>1640280000</v>
          </cell>
          <cell r="AP8">
            <v>1777850000</v>
          </cell>
          <cell r="AQ8">
            <v>1908420000</v>
          </cell>
          <cell r="AR8">
            <v>2005438000</v>
          </cell>
          <cell r="AS8">
            <v>2110999000</v>
          </cell>
          <cell r="AT8">
            <v>2094372000</v>
          </cell>
          <cell r="AU8">
            <v>2086923900</v>
          </cell>
          <cell r="AV8">
            <v>2207790000</v>
          </cell>
          <cell r="AW8">
            <v>2361539600</v>
          </cell>
          <cell r="AX8">
            <v>2648491400</v>
          </cell>
          <cell r="AY8">
            <v>2999483000</v>
          </cell>
          <cell r="AZ8">
            <v>3402248000</v>
          </cell>
          <cell r="BA8">
            <v>3534263100</v>
          </cell>
          <cell r="BB8">
            <v>3179275200</v>
          </cell>
          <cell r="BC8">
            <v>3026645100</v>
          </cell>
          <cell r="BD8">
            <v>2976944200</v>
          </cell>
          <cell r="BE8">
            <v>3132868900</v>
          </cell>
          <cell r="BF8">
            <v>3085527900</v>
          </cell>
          <cell r="BG8">
            <v>3210241900</v>
          </cell>
          <cell r="BH8">
            <v>3381692100</v>
          </cell>
          <cell r="BI8">
            <v>3616604100</v>
          </cell>
          <cell r="BJ8">
            <v>3750915700</v>
          </cell>
          <cell r="BK8">
            <v>4125581800</v>
          </cell>
          <cell r="BL8">
            <v>4269990200</v>
          </cell>
          <cell r="BM8">
            <v>3633101900</v>
          </cell>
        </row>
        <row r="9">
          <cell r="B9" t="str">
            <v>ARG</v>
          </cell>
          <cell r="C9" t="str">
            <v>GNI (current LCU)</v>
          </cell>
          <cell r="D9" t="str">
            <v>NY.GNP.MKTP.CN</v>
          </cell>
          <cell r="E9">
            <v>0.1349124759</v>
          </cell>
          <cell r="F9">
            <v>0.1711232811</v>
          </cell>
          <cell r="G9">
            <v>0.2186520696</v>
          </cell>
          <cell r="H9">
            <v>0.26002997160000002</v>
          </cell>
          <cell r="I9">
            <v>0.36877450350000002</v>
          </cell>
          <cell r="J9">
            <v>0.49432998900000003</v>
          </cell>
          <cell r="K9">
            <v>0.62572002410000005</v>
          </cell>
          <cell r="L9">
            <v>0.80335998539999998</v>
          </cell>
          <cell r="M9">
            <v>0.91155999899999995</v>
          </cell>
          <cell r="N9">
            <v>1.0862799883000001</v>
          </cell>
          <cell r="O9">
            <v>1.1550600528999999</v>
          </cell>
          <cell r="P9">
            <v>1.6817300319999999</v>
          </cell>
          <cell r="Q9">
            <v>2.7359600067000001</v>
          </cell>
          <cell r="R9">
            <v>4.7449998856000004</v>
          </cell>
          <cell r="S9">
            <v>6.5411901474</v>
          </cell>
          <cell r="T9">
            <v>19.664800643900001</v>
          </cell>
          <cell r="U9">
            <v>102.37000274659999</v>
          </cell>
          <cell r="V9">
            <v>281.6960144043</v>
          </cell>
          <cell r="W9">
            <v>704.14099121089998</v>
          </cell>
          <cell r="X9">
            <v>1914.6700439453</v>
          </cell>
          <cell r="Y9">
            <v>3806.6999511719</v>
          </cell>
          <cell r="Z9">
            <v>7300</v>
          </cell>
          <cell r="AA9">
            <v>20540</v>
          </cell>
          <cell r="AB9">
            <v>103270</v>
          </cell>
          <cell r="AC9">
            <v>749968</v>
          </cell>
          <cell r="AD9">
            <v>5020350</v>
          </cell>
          <cell r="AE9">
            <v>9533000</v>
          </cell>
          <cell r="AF9">
            <v>22248000</v>
          </cell>
          <cell r="AG9">
            <v>106230000</v>
          </cell>
          <cell r="AH9">
            <v>2972389888</v>
          </cell>
          <cell r="AI9">
            <v>65897799680</v>
          </cell>
          <cell r="AJ9">
            <v>175307997200</v>
          </cell>
          <cell r="AK9">
            <v>222419992600</v>
          </cell>
          <cell r="AL9">
            <v>233509919200</v>
          </cell>
          <cell r="AM9">
            <v>253743263100</v>
          </cell>
          <cell r="AN9">
            <v>253362890700</v>
          </cell>
          <cell r="AO9">
            <v>266647700700</v>
          </cell>
          <cell r="AP9">
            <v>286641204400</v>
          </cell>
          <cell r="AQ9">
            <v>291542201400</v>
          </cell>
          <cell r="AR9">
            <v>276059280100</v>
          </cell>
          <cell r="AS9">
            <v>276655968900</v>
          </cell>
          <cell r="AT9">
            <v>260969968100</v>
          </cell>
          <cell r="AU9">
            <v>296714255600</v>
          </cell>
          <cell r="AV9">
            <v>360780185800</v>
          </cell>
          <cell r="AW9">
            <v>431210511500</v>
          </cell>
          <cell r="AX9">
            <v>516340752300</v>
          </cell>
          <cell r="AY9">
            <v>692130989100</v>
          </cell>
          <cell r="AZ9">
            <v>873287886000</v>
          </cell>
          <cell r="BA9">
            <v>1120920074400</v>
          </cell>
          <cell r="BB9">
            <v>1209256189200</v>
          </cell>
          <cell r="BC9">
            <v>1604656772200</v>
          </cell>
          <cell r="BD9">
            <v>2117072290500</v>
          </cell>
          <cell r="BE9">
            <v>2571462167200</v>
          </cell>
          <cell r="BF9">
            <v>3268457226500</v>
          </cell>
          <cell r="BG9">
            <v>4478043629500</v>
          </cell>
          <cell r="BH9">
            <v>5841938128900</v>
          </cell>
          <cell r="BI9">
            <v>8048080603900</v>
          </cell>
          <cell r="BJ9">
            <v>10388970996600</v>
          </cell>
          <cell r="BK9">
            <v>14220366200500</v>
          </cell>
          <cell r="BL9">
            <v>20938962692500</v>
          </cell>
          <cell r="BM9">
            <v>26761508389400</v>
          </cell>
        </row>
        <row r="10">
          <cell r="B10" t="str">
            <v>ARM</v>
          </cell>
          <cell r="C10" t="str">
            <v>GNI (current LCU)</v>
          </cell>
          <cell r="D10" t="str">
            <v>NY.GNP.MKTP.CN</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v>48460000</v>
          </cell>
          <cell r="AJ10">
            <v>79600000</v>
          </cell>
          <cell r="AK10">
            <v>259180000</v>
          </cell>
          <cell r="AL10">
            <v>4213845100</v>
          </cell>
          <cell r="AM10">
            <v>186493212900</v>
          </cell>
          <cell r="AN10">
            <v>536313057200</v>
          </cell>
          <cell r="AO10">
            <v>679729031700</v>
          </cell>
          <cell r="AP10">
            <v>852023637800</v>
          </cell>
          <cell r="AQ10">
            <v>985057348600</v>
          </cell>
          <cell r="AR10">
            <v>1016848605600</v>
          </cell>
          <cell r="AS10">
            <v>1063155371300</v>
          </cell>
          <cell r="AT10">
            <v>1211180074400</v>
          </cell>
          <cell r="AU10">
            <v>1409699284600</v>
          </cell>
          <cell r="AV10">
            <v>1678396229300</v>
          </cell>
          <cell r="AW10">
            <v>1987083906100</v>
          </cell>
          <cell r="AX10">
            <v>2337167329600</v>
          </cell>
          <cell r="AY10">
            <v>2781845184100</v>
          </cell>
          <cell r="AZ10">
            <v>3319440668600</v>
          </cell>
          <cell r="BA10">
            <v>3779738214900</v>
          </cell>
          <cell r="BB10">
            <v>3271990327800</v>
          </cell>
          <cell r="BC10">
            <v>3631444282300</v>
          </cell>
          <cell r="BD10">
            <v>3912073330600</v>
          </cell>
          <cell r="BE10">
            <v>4436421190500</v>
          </cell>
          <cell r="BF10">
            <v>4835227015900</v>
          </cell>
          <cell r="BG10">
            <v>5045826278100</v>
          </cell>
          <cell r="BH10">
            <v>5248376995500</v>
          </cell>
          <cell r="BI10">
            <v>5185085269900</v>
          </cell>
          <cell r="BJ10">
            <v>5760166166140.8496</v>
          </cell>
          <cell r="BK10">
            <v>6113811776174.75</v>
          </cell>
          <cell r="BL10">
            <v>6629327860522.7998</v>
          </cell>
          <cell r="BM10">
            <v>6085760793589.2598</v>
          </cell>
        </row>
        <row r="11">
          <cell r="B11" t="str">
            <v>ABW</v>
          </cell>
          <cell r="C11" t="str">
            <v>GNI (current LCU)</v>
          </cell>
          <cell r="D11" t="str">
            <v>NY.GNP.MKTP.CN</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712679516.64025295</v>
          </cell>
          <cell r="AF11">
            <v>847008399.36608505</v>
          </cell>
          <cell r="AG11">
            <v>1037098256.73534</v>
          </cell>
          <cell r="AH11">
            <v>1224394809.82567</v>
          </cell>
          <cell r="AI11">
            <v>1355247939.7781301</v>
          </cell>
          <cell r="AJ11">
            <v>1547228300</v>
          </cell>
          <cell r="AK11">
            <v>1698349100</v>
          </cell>
          <cell r="AL11">
            <v>1906533700</v>
          </cell>
          <cell r="AM11">
            <v>2193982000</v>
          </cell>
          <cell r="AN11">
            <v>2336450000</v>
          </cell>
          <cell r="AO11">
            <v>2438230000</v>
          </cell>
          <cell r="AP11">
            <v>2700680000</v>
          </cell>
          <cell r="AQ11">
            <v>2970530000</v>
          </cell>
          <cell r="AR11">
            <v>3007410000</v>
          </cell>
          <cell r="AS11">
            <v>3310480000</v>
          </cell>
          <cell r="AT11">
            <v>3334500000</v>
          </cell>
          <cell r="AU11">
            <v>3232100000</v>
          </cell>
          <cell r="AV11">
            <v>3522400000</v>
          </cell>
          <cell r="AW11">
            <v>3856000000</v>
          </cell>
          <cell r="AX11">
            <v>3315200000</v>
          </cell>
          <cell r="AY11">
            <v>4150500000</v>
          </cell>
          <cell r="AZ11">
            <v>3992300000</v>
          </cell>
          <cell r="BA11">
            <v>4705100000</v>
          </cell>
          <cell r="BB11">
            <v>4314000000</v>
          </cell>
          <cell r="BC11">
            <v>4027900000</v>
          </cell>
          <cell r="BD11">
            <v>4122000000</v>
          </cell>
          <cell r="BE11">
            <v>4329200000</v>
          </cell>
          <cell r="BF11">
            <v>4588251000</v>
          </cell>
          <cell r="BG11">
            <v>4811520000</v>
          </cell>
          <cell r="BH11">
            <v>5080300000</v>
          </cell>
          <cell r="BI11">
            <v>5098710000</v>
          </cell>
          <cell r="BJ11">
            <v>5229949600</v>
          </cell>
          <cell r="BK11">
            <v>5354936706.4027901</v>
          </cell>
          <cell r="BL11" t="str">
            <v>..</v>
          </cell>
          <cell r="BM11" t="str">
            <v>..</v>
          </cell>
        </row>
        <row r="12">
          <cell r="B12" t="str">
            <v>AUS</v>
          </cell>
          <cell r="C12" t="str">
            <v>GNI (current LCU)</v>
          </cell>
          <cell r="D12" t="str">
            <v>NY.GNP.MKTP.CN</v>
          </cell>
          <cell r="E12">
            <v>16642000000</v>
          </cell>
          <cell r="F12">
            <v>17555000000</v>
          </cell>
          <cell r="G12">
            <v>17840000000</v>
          </cell>
          <cell r="H12">
            <v>19177000000</v>
          </cell>
          <cell r="I12">
            <v>21248000000</v>
          </cell>
          <cell r="J12">
            <v>23261000000</v>
          </cell>
          <cell r="K12">
            <v>24330000000</v>
          </cell>
          <cell r="L12">
            <v>26990000000</v>
          </cell>
          <cell r="M12">
            <v>28938000000</v>
          </cell>
          <cell r="N12">
            <v>32276000000</v>
          </cell>
          <cell r="O12">
            <v>36489000000</v>
          </cell>
          <cell r="P12">
            <v>39928000000</v>
          </cell>
          <cell r="Q12">
            <v>44357000000</v>
          </cell>
          <cell r="R12">
            <v>49851000000</v>
          </cell>
          <cell r="S12">
            <v>60154000000</v>
          </cell>
          <cell r="T12">
            <v>71408000000</v>
          </cell>
          <cell r="U12">
            <v>83347000000</v>
          </cell>
          <cell r="V12">
            <v>95527000000</v>
          </cell>
          <cell r="W12">
            <v>103792000000</v>
          </cell>
          <cell r="X12">
            <v>117306000000</v>
          </cell>
          <cell r="Y12">
            <v>133206000000</v>
          </cell>
          <cell r="Z12">
            <v>151851000000</v>
          </cell>
          <cell r="AA12">
            <v>172508000000</v>
          </cell>
          <cell r="AB12">
            <v>187961000000</v>
          </cell>
          <cell r="AC12">
            <v>211122000000</v>
          </cell>
          <cell r="AD12">
            <v>232035000000</v>
          </cell>
          <cell r="AE12">
            <v>256009000000</v>
          </cell>
          <cell r="AF12">
            <v>280943000000</v>
          </cell>
          <cell r="AG12">
            <v>318333000000</v>
          </cell>
          <cell r="AH12">
            <v>358004000000</v>
          </cell>
          <cell r="AI12">
            <v>390357000000</v>
          </cell>
          <cell r="AJ12">
            <v>398389000000</v>
          </cell>
          <cell r="AK12">
            <v>406687000000</v>
          </cell>
          <cell r="AL12">
            <v>432146000000</v>
          </cell>
          <cell r="AM12">
            <v>456115000000</v>
          </cell>
          <cell r="AN12">
            <v>478433000000</v>
          </cell>
          <cell r="AO12">
            <v>509942000000</v>
          </cell>
          <cell r="AP12">
            <v>537571000000</v>
          </cell>
          <cell r="AQ12">
            <v>570278000000</v>
          </cell>
          <cell r="AR12">
            <v>601533000000</v>
          </cell>
          <cell r="AS12">
            <v>642630000000</v>
          </cell>
          <cell r="AT12">
            <v>686594000000</v>
          </cell>
          <cell r="AU12">
            <v>735076000000</v>
          </cell>
          <cell r="AV12">
            <v>779931000000</v>
          </cell>
          <cell r="AW12">
            <v>838818000000</v>
          </cell>
          <cell r="AX12">
            <v>890321000000</v>
          </cell>
          <cell r="AY12">
            <v>959624000000</v>
          </cell>
          <cell r="AZ12">
            <v>1039217000000</v>
          </cell>
          <cell r="BA12">
            <v>1130444000000</v>
          </cell>
          <cell r="BB12">
            <v>1216273000000</v>
          </cell>
          <cell r="BC12">
            <v>1252309000000</v>
          </cell>
          <cell r="BD12">
            <v>1361034000000</v>
          </cell>
          <cell r="BE12">
            <v>1454200000000</v>
          </cell>
          <cell r="BF12">
            <v>1498245000000</v>
          </cell>
          <cell r="BG12">
            <v>1556822000000</v>
          </cell>
          <cell r="BH12">
            <v>1590229000000</v>
          </cell>
          <cell r="BI12">
            <v>1618746000000</v>
          </cell>
          <cell r="BJ12">
            <v>1711574000000</v>
          </cell>
          <cell r="BK12">
            <v>1785279000000</v>
          </cell>
          <cell r="BL12">
            <v>1883941000000</v>
          </cell>
          <cell r="BM12">
            <v>1940365000000</v>
          </cell>
        </row>
        <row r="13">
          <cell r="B13" t="str">
            <v>AUT</v>
          </cell>
          <cell r="C13" t="str">
            <v>GNI (current LCU)</v>
          </cell>
          <cell r="D13" t="str">
            <v>NY.GNP.MKTP.CN</v>
          </cell>
          <cell r="E13">
            <v>12371337216</v>
          </cell>
          <cell r="F13">
            <v>13720662016</v>
          </cell>
          <cell r="G13">
            <v>14554514432</v>
          </cell>
          <cell r="H13">
            <v>15714327552</v>
          </cell>
          <cell r="I13">
            <v>17207681024</v>
          </cell>
          <cell r="J13">
            <v>18754099200</v>
          </cell>
          <cell r="K13">
            <v>20433893376</v>
          </cell>
          <cell r="L13">
            <v>21709682688</v>
          </cell>
          <cell r="M13">
            <v>23288920064</v>
          </cell>
          <cell r="N13">
            <v>25454002176</v>
          </cell>
          <cell r="O13">
            <v>29180746000</v>
          </cell>
          <cell r="P13">
            <v>32599774000</v>
          </cell>
          <cell r="Q13">
            <v>37213627000</v>
          </cell>
          <cell r="R13">
            <v>42149013000</v>
          </cell>
          <cell r="S13">
            <v>48041977000</v>
          </cell>
          <cell r="T13">
            <v>50922514000</v>
          </cell>
          <cell r="U13">
            <v>56167103000</v>
          </cell>
          <cell r="V13">
            <v>62037505000</v>
          </cell>
          <cell r="W13">
            <v>65578233000</v>
          </cell>
          <cell r="X13">
            <v>71960713000</v>
          </cell>
          <cell r="Y13">
            <v>77234799000</v>
          </cell>
          <cell r="Z13">
            <v>82121643000</v>
          </cell>
          <cell r="AA13">
            <v>88388734000</v>
          </cell>
          <cell r="AB13">
            <v>94382785000</v>
          </cell>
          <cell r="AC13">
            <v>99009287000</v>
          </cell>
          <cell r="AD13">
            <v>104514451000</v>
          </cell>
          <cell r="AE13">
            <v>109747302000</v>
          </cell>
          <cell r="AF13">
            <v>113966727000</v>
          </cell>
          <cell r="AG13">
            <v>119975402000</v>
          </cell>
          <cell r="AH13">
            <v>128463262000</v>
          </cell>
          <cell r="AI13">
            <v>138173632000</v>
          </cell>
          <cell r="AJ13">
            <v>147353588000</v>
          </cell>
          <cell r="AK13">
            <v>156174635000</v>
          </cell>
          <cell r="AL13">
            <v>161373779000</v>
          </cell>
          <cell r="AM13">
            <v>169215880000</v>
          </cell>
          <cell r="AN13">
            <v>175929400000</v>
          </cell>
          <cell r="AO13">
            <v>182438200000</v>
          </cell>
          <cell r="AP13">
            <v>187850300000</v>
          </cell>
          <cell r="AQ13">
            <v>195153100000</v>
          </cell>
          <cell r="AR13">
            <v>200620700000</v>
          </cell>
          <cell r="AS13">
            <v>211746300000</v>
          </cell>
          <cell r="AT13">
            <v>217509500000</v>
          </cell>
          <cell r="AU13">
            <v>225419300000</v>
          </cell>
          <cell r="AV13">
            <v>231279500000</v>
          </cell>
          <cell r="AW13">
            <v>242014300000</v>
          </cell>
          <cell r="AX13">
            <v>253537000000</v>
          </cell>
          <cell r="AY13">
            <v>268450000000</v>
          </cell>
          <cell r="AZ13">
            <v>283691700000</v>
          </cell>
          <cell r="BA13">
            <v>296212200000</v>
          </cell>
          <cell r="BB13">
            <v>287919200000</v>
          </cell>
          <cell r="BC13">
            <v>298371800000</v>
          </cell>
          <cell r="BD13">
            <v>311174300000</v>
          </cell>
          <cell r="BE13">
            <v>318974800000</v>
          </cell>
          <cell r="BF13">
            <v>324783900000</v>
          </cell>
          <cell r="BG13">
            <v>333585200000</v>
          </cell>
          <cell r="BH13">
            <v>340879500000</v>
          </cell>
          <cell r="BI13">
            <v>357581000000</v>
          </cell>
          <cell r="BJ13">
            <v>365898500000</v>
          </cell>
          <cell r="BK13">
            <v>381651200000</v>
          </cell>
          <cell r="BL13">
            <v>396081400000</v>
          </cell>
          <cell r="BM13">
            <v>378893700000</v>
          </cell>
        </row>
        <row r="14">
          <cell r="B14" t="str">
            <v>AZE</v>
          </cell>
          <cell r="C14" t="str">
            <v>GNI (current LCU)</v>
          </cell>
          <cell r="D14" t="str">
            <v>NY.GNP.MKTP.CN</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v>31500000</v>
          </cell>
          <cell r="AM14">
            <v>375000000</v>
          </cell>
          <cell r="AN14">
            <v>2130400000</v>
          </cell>
          <cell r="AO14">
            <v>2724700000</v>
          </cell>
          <cell r="AP14">
            <v>3151000000</v>
          </cell>
          <cell r="AQ14">
            <v>3452300000</v>
          </cell>
          <cell r="AR14">
            <v>3929000000</v>
          </cell>
          <cell r="AS14">
            <v>4633500000</v>
          </cell>
          <cell r="AT14">
            <v>5180800000</v>
          </cell>
          <cell r="AU14">
            <v>5873900000</v>
          </cell>
          <cell r="AV14">
            <v>6899200000</v>
          </cell>
          <cell r="AW14">
            <v>8025500000</v>
          </cell>
          <cell r="AX14">
            <v>11094200000</v>
          </cell>
          <cell r="AY14">
            <v>16502000000</v>
          </cell>
          <cell r="AZ14">
            <v>24215700000</v>
          </cell>
          <cell r="BA14">
            <v>36012500000</v>
          </cell>
          <cell r="BB14">
            <v>32973500000</v>
          </cell>
          <cell r="BC14">
            <v>39922200000</v>
          </cell>
          <cell r="BD14">
            <v>48519100000</v>
          </cell>
          <cell r="BE14">
            <v>51644700000</v>
          </cell>
          <cell r="BF14">
            <v>55288400000</v>
          </cell>
          <cell r="BG14">
            <v>57322400000</v>
          </cell>
          <cell r="BH14">
            <v>52641200000</v>
          </cell>
          <cell r="BI14">
            <v>56794000000</v>
          </cell>
          <cell r="BJ14">
            <v>67678600000</v>
          </cell>
          <cell r="BK14">
            <v>76251000000</v>
          </cell>
          <cell r="BL14">
            <v>78741500000</v>
          </cell>
          <cell r="BM14">
            <v>72005600000</v>
          </cell>
        </row>
        <row r="15">
          <cell r="B15" t="str">
            <v>BHS</v>
          </cell>
          <cell r="C15" t="str">
            <v>GNI (current LCU)</v>
          </cell>
          <cell r="D15" t="str">
            <v>NY.GNP.MKTP.CN</v>
          </cell>
          <cell r="E15">
            <v>152599800</v>
          </cell>
          <cell r="F15">
            <v>170799800</v>
          </cell>
          <cell r="G15">
            <v>190799700</v>
          </cell>
          <cell r="H15">
            <v>213699700</v>
          </cell>
          <cell r="I15">
            <v>239699600</v>
          </cell>
          <cell r="J15">
            <v>270000000</v>
          </cell>
          <cell r="K15">
            <v>305500000</v>
          </cell>
          <cell r="L15">
            <v>350700000</v>
          </cell>
          <cell r="M15">
            <v>399800000</v>
          </cell>
          <cell r="N15">
            <v>474700000</v>
          </cell>
          <cell r="O15">
            <v>510477700</v>
          </cell>
          <cell r="P15">
            <v>542590600</v>
          </cell>
          <cell r="Q15">
            <v>559130400</v>
          </cell>
          <cell r="R15">
            <v>634848200</v>
          </cell>
          <cell r="S15">
            <v>662174500</v>
          </cell>
          <cell r="T15">
            <v>819788700</v>
          </cell>
          <cell r="U15">
            <v>566500000</v>
          </cell>
          <cell r="V15">
            <v>629400000</v>
          </cell>
          <cell r="W15">
            <v>704600000</v>
          </cell>
          <cell r="X15">
            <v>1006200100</v>
          </cell>
          <cell r="Y15">
            <v>1200800000</v>
          </cell>
          <cell r="Z15">
            <v>1274600000</v>
          </cell>
          <cell r="AA15">
            <v>1446700000</v>
          </cell>
          <cell r="AB15">
            <v>1594300000</v>
          </cell>
          <cell r="AC15">
            <v>1876000000</v>
          </cell>
          <cell r="AD15">
            <v>2140099900</v>
          </cell>
          <cell r="AE15">
            <v>2288900000</v>
          </cell>
          <cell r="AF15">
            <v>2530699900</v>
          </cell>
          <cell r="AG15">
            <v>2651000000</v>
          </cell>
          <cell r="AH15">
            <v>2930400000</v>
          </cell>
          <cell r="AI15">
            <v>2993200000</v>
          </cell>
          <cell r="AJ15">
            <v>2932160000</v>
          </cell>
          <cell r="AK15">
            <v>3026400000</v>
          </cell>
          <cell r="AL15">
            <v>2963600000</v>
          </cell>
          <cell r="AM15">
            <v>3121400000</v>
          </cell>
          <cell r="AN15">
            <v>3882158500</v>
          </cell>
          <cell r="AO15">
            <v>4421275600</v>
          </cell>
          <cell r="AP15">
            <v>6179760000</v>
          </cell>
          <cell r="AQ15">
            <v>6635720000</v>
          </cell>
          <cell r="AR15">
            <v>7557070000</v>
          </cell>
          <cell r="AS15">
            <v>7936270000</v>
          </cell>
          <cell r="AT15">
            <v>8118930000</v>
          </cell>
          <cell r="AU15">
            <v>8696814900</v>
          </cell>
          <cell r="AV15">
            <v>8717670000</v>
          </cell>
          <cell r="AW15">
            <v>8913970000</v>
          </cell>
          <cell r="AX15">
            <v>9654135300</v>
          </cell>
          <cell r="AY15">
            <v>9949250000</v>
          </cell>
          <cell r="AZ15">
            <v>10386740000</v>
          </cell>
          <cell r="BA15">
            <v>10466660000</v>
          </cell>
          <cell r="BB15">
            <v>9841640000</v>
          </cell>
          <cell r="BC15">
            <v>9888260000</v>
          </cell>
          <cell r="BD15">
            <v>9882330000</v>
          </cell>
          <cell r="BE15">
            <v>10441120000</v>
          </cell>
          <cell r="BF15">
            <v>10197010000</v>
          </cell>
          <cell r="BG15">
            <v>10706740000</v>
          </cell>
          <cell r="BH15">
            <v>11395780000</v>
          </cell>
          <cell r="BI15">
            <v>11436580000</v>
          </cell>
          <cell r="BJ15">
            <v>11814220000</v>
          </cell>
          <cell r="BK15">
            <v>12002740000</v>
          </cell>
          <cell r="BL15">
            <v>12542250000</v>
          </cell>
          <cell r="BM15">
            <v>9374920000</v>
          </cell>
        </row>
        <row r="16">
          <cell r="B16" t="str">
            <v>BHR</v>
          </cell>
          <cell r="C16" t="str">
            <v>GNI (current LCU)</v>
          </cell>
          <cell r="D16" t="str">
            <v>NY.GNP.MKTP.CN</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v>1079600000</v>
          </cell>
          <cell r="Z16">
            <v>1293800000</v>
          </cell>
          <cell r="AA16">
            <v>1366500000</v>
          </cell>
          <cell r="AB16">
            <v>1408600000</v>
          </cell>
          <cell r="AC16">
            <v>1426500000</v>
          </cell>
          <cell r="AD16">
            <v>1233900000</v>
          </cell>
          <cell r="AE16">
            <v>998400000</v>
          </cell>
          <cell r="AF16">
            <v>1126399900</v>
          </cell>
          <cell r="AG16">
            <v>1230000000</v>
          </cell>
          <cell r="AH16">
            <v>1317200000</v>
          </cell>
          <cell r="AI16">
            <v>1673700000</v>
          </cell>
          <cell r="AJ16">
            <v>1807600000</v>
          </cell>
          <cell r="AK16">
            <v>1798500000</v>
          </cell>
          <cell r="AL16">
            <v>1882400000</v>
          </cell>
          <cell r="AM16">
            <v>2002200100</v>
          </cell>
          <cell r="AN16">
            <v>2177255600</v>
          </cell>
          <cell r="AO16">
            <v>2284819500</v>
          </cell>
          <cell r="AP16">
            <v>2298520100</v>
          </cell>
          <cell r="AQ16">
            <v>2264192700</v>
          </cell>
          <cell r="AR16">
            <v>2387834200</v>
          </cell>
          <cell r="AS16">
            <v>3323567500</v>
          </cell>
          <cell r="AT16">
            <v>3254139300</v>
          </cell>
          <cell r="AU16">
            <v>3409780900</v>
          </cell>
          <cell r="AV16">
            <v>3978770500</v>
          </cell>
          <cell r="AW16">
            <v>4728345600</v>
          </cell>
          <cell r="AX16">
            <v>5849195900</v>
          </cell>
          <cell r="AY16">
            <v>6813057300</v>
          </cell>
          <cell r="AZ16">
            <v>8058174000</v>
          </cell>
          <cell r="BA16">
            <v>9319997300</v>
          </cell>
          <cell r="BB16">
            <v>7722420800</v>
          </cell>
          <cell r="BC16">
            <v>8775937000</v>
          </cell>
          <cell r="BD16">
            <v>9404600000</v>
          </cell>
          <cell r="BE16">
            <v>11182959100</v>
          </cell>
          <cell r="BF16">
            <v>11785195100</v>
          </cell>
          <cell r="BG16">
            <v>11939922400</v>
          </cell>
          <cell r="BH16">
            <v>11022341600</v>
          </cell>
          <cell r="BI16">
            <v>11445250000</v>
          </cell>
          <cell r="BJ16">
            <v>12590030000</v>
          </cell>
          <cell r="BK16">
            <v>13433000000</v>
          </cell>
          <cell r="BL16">
            <v>13683370000</v>
          </cell>
          <cell r="BM16">
            <v>12133590000</v>
          </cell>
        </row>
        <row r="17">
          <cell r="B17" t="str">
            <v>BGD</v>
          </cell>
          <cell r="C17" t="str">
            <v>GNI (current LCU)</v>
          </cell>
          <cell r="D17" t="str">
            <v>NY.GNP.MKTP.CN</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v>63088764400</v>
          </cell>
          <cell r="S17">
            <v>99757100200</v>
          </cell>
          <cell r="T17">
            <v>172548723300</v>
          </cell>
          <cell r="U17">
            <v>150063659700</v>
          </cell>
          <cell r="V17">
            <v>148648995600</v>
          </cell>
          <cell r="W17">
            <v>200161954400</v>
          </cell>
          <cell r="X17">
            <v>236453644600</v>
          </cell>
          <cell r="Y17">
            <v>281069455500</v>
          </cell>
          <cell r="Z17">
            <v>336453000000</v>
          </cell>
          <cell r="AA17">
            <v>377697000000</v>
          </cell>
          <cell r="AB17">
            <v>430602000000</v>
          </cell>
          <cell r="AC17">
            <v>486323000000</v>
          </cell>
          <cell r="AD17">
            <v>589039000000</v>
          </cell>
          <cell r="AE17">
            <v>666065000000</v>
          </cell>
          <cell r="AF17">
            <v>770875000000</v>
          </cell>
          <cell r="AG17">
            <v>848150000000</v>
          </cell>
          <cell r="AH17">
            <v>944336000000</v>
          </cell>
          <cell r="AI17">
            <v>1060500474800</v>
          </cell>
          <cell r="AJ17">
            <v>1128782177000</v>
          </cell>
          <cell r="AK17">
            <v>1224444572200</v>
          </cell>
          <cell r="AL17">
            <v>1287816434000</v>
          </cell>
          <cell r="AM17">
            <v>1396461301400</v>
          </cell>
          <cell r="AN17">
            <v>1571689900500</v>
          </cell>
          <cell r="AO17">
            <v>1948870000000</v>
          </cell>
          <cell r="AP17">
            <v>2118490000000</v>
          </cell>
          <cell r="AQ17">
            <v>2334271000000</v>
          </cell>
          <cell r="AR17">
            <v>2540615000000</v>
          </cell>
          <cell r="AS17">
            <v>2772169000000</v>
          </cell>
          <cell r="AT17">
            <v>3001783000000</v>
          </cell>
          <cell r="AU17">
            <v>3268229000000</v>
          </cell>
          <cell r="AV17">
            <v>3623620000000</v>
          </cell>
          <cell r="AW17">
            <v>3998771000000</v>
          </cell>
          <cell r="AX17">
            <v>4460021000000</v>
          </cell>
          <cell r="AY17">
            <v>5095444660200</v>
          </cell>
          <cell r="AZ17">
            <v>5850752000000</v>
          </cell>
          <cell r="BA17">
            <v>6770717000000</v>
          </cell>
          <cell r="BB17">
            <v>7609730000000</v>
          </cell>
          <cell r="BC17">
            <v>8621422000000</v>
          </cell>
          <cell r="BD17">
            <v>9883423000000</v>
          </cell>
          <cell r="BE17">
            <v>11445060389300</v>
          </cell>
          <cell r="BF17">
            <v>12953522718700</v>
          </cell>
          <cell r="BG17">
            <v>14332238000000</v>
          </cell>
          <cell r="BH17">
            <v>16142043000000</v>
          </cell>
          <cell r="BI17">
            <v>18326749000000</v>
          </cell>
          <cell r="BJ17">
            <v>20607165000000</v>
          </cell>
          <cell r="BK17">
            <v>23531076000000</v>
          </cell>
          <cell r="BL17">
            <v>26560922000000</v>
          </cell>
          <cell r="BM17">
            <v>28732298000000</v>
          </cell>
        </row>
        <row r="18">
          <cell r="B18" t="str">
            <v>BRB</v>
          </cell>
          <cell r="C18" t="str">
            <v>GNI (current LCU)</v>
          </cell>
          <cell r="D18" t="str">
            <v>NY.GNP.MKTP.CN</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v>3057800000</v>
          </cell>
          <cell r="AF18">
            <v>3360800000</v>
          </cell>
          <cell r="AG18">
            <v>3575200000</v>
          </cell>
          <cell r="AH18">
            <v>3983400000</v>
          </cell>
          <cell r="AI18">
            <v>3955700000</v>
          </cell>
          <cell r="AJ18">
            <v>3984900000</v>
          </cell>
          <cell r="AK18">
            <v>3857400000</v>
          </cell>
          <cell r="AL18">
            <v>4070200000</v>
          </cell>
          <cell r="AM18">
            <v>4235600000</v>
          </cell>
          <cell r="AN18">
            <v>4341400000</v>
          </cell>
          <cell r="AO18">
            <v>4613300000</v>
          </cell>
          <cell r="AP18">
            <v>4902700000</v>
          </cell>
          <cell r="AQ18">
            <v>5529700000</v>
          </cell>
          <cell r="AR18">
            <v>5764500000</v>
          </cell>
          <cell r="AS18">
            <v>5928700000</v>
          </cell>
          <cell r="AT18">
            <v>5889800000</v>
          </cell>
          <cell r="AU18">
            <v>5975100000</v>
          </cell>
          <cell r="AV18">
            <v>6151100000</v>
          </cell>
          <cell r="AW18">
            <v>6655300000</v>
          </cell>
          <cell r="AX18">
            <v>7289000000</v>
          </cell>
          <cell r="AY18">
            <v>7922199000</v>
          </cell>
          <cell r="AZ18">
            <v>8972366000</v>
          </cell>
          <cell r="BA18">
            <v>9078095900</v>
          </cell>
          <cell r="BB18">
            <v>8550896700</v>
          </cell>
          <cell r="BC18">
            <v>8836100700</v>
          </cell>
          <cell r="BD18">
            <v>8714707200</v>
          </cell>
          <cell r="BE18">
            <v>8875193200</v>
          </cell>
          <cell r="BF18">
            <v>8964801100</v>
          </cell>
          <cell r="BG18">
            <v>8998117300</v>
          </cell>
          <cell r="BH18">
            <v>9004115300</v>
          </cell>
          <cell r="BI18">
            <v>9217128300</v>
          </cell>
          <cell r="BJ18">
            <v>9508506400</v>
          </cell>
          <cell r="BK18">
            <v>9712206200</v>
          </cell>
          <cell r="BL18">
            <v>10060149300</v>
          </cell>
          <cell r="BM18">
            <v>8468797529.7820997</v>
          </cell>
        </row>
        <row r="19">
          <cell r="B19" t="str">
            <v>BLR</v>
          </cell>
          <cell r="C19" t="str">
            <v>GNI (current LCU)</v>
          </cell>
          <cell r="D19" t="str">
            <v>NY.GNP.MKTP.CN</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v>433</v>
          </cell>
          <cell r="AJ19">
            <v>871</v>
          </cell>
          <cell r="AK19">
            <v>9245</v>
          </cell>
          <cell r="AL19">
            <v>98578</v>
          </cell>
          <cell r="AM19">
            <v>1776821</v>
          </cell>
          <cell r="AN19">
            <v>12135053</v>
          </cell>
          <cell r="AO19">
            <v>19204592</v>
          </cell>
          <cell r="AP19">
            <v>36630040</v>
          </cell>
          <cell r="AQ19">
            <v>70181021</v>
          </cell>
          <cell r="AR19">
            <v>302890951</v>
          </cell>
          <cell r="AS19">
            <v>909604800</v>
          </cell>
          <cell r="AT19">
            <v>1711306800</v>
          </cell>
          <cell r="AU19">
            <v>2608431200</v>
          </cell>
          <cell r="AV19">
            <v>3661637900</v>
          </cell>
          <cell r="AW19">
            <v>4995158700</v>
          </cell>
          <cell r="AX19">
            <v>6518657800</v>
          </cell>
          <cell r="AY19">
            <v>7902086800</v>
          </cell>
          <cell r="AZ19">
            <v>9628332200</v>
          </cell>
          <cell r="BA19">
            <v>12810759000</v>
          </cell>
          <cell r="BB19">
            <v>13898071300</v>
          </cell>
          <cell r="BC19">
            <v>16700286900</v>
          </cell>
          <cell r="BD19">
            <v>30384976000</v>
          </cell>
          <cell r="BE19">
            <v>53535833900</v>
          </cell>
          <cell r="BF19">
            <v>64713665800</v>
          </cell>
          <cell r="BG19">
            <v>78161937400</v>
          </cell>
          <cell r="BH19">
            <v>86099267200</v>
          </cell>
          <cell r="BI19">
            <v>90471670000</v>
          </cell>
          <cell r="BJ19">
            <v>101776044000</v>
          </cell>
          <cell r="BK19">
            <v>117898419000</v>
          </cell>
          <cell r="BL19">
            <v>130736084000</v>
          </cell>
          <cell r="BM19">
            <v>140887837000</v>
          </cell>
        </row>
        <row r="20">
          <cell r="B20" t="str">
            <v>BEL</v>
          </cell>
          <cell r="C20" t="str">
            <v>GNI (current LCU)</v>
          </cell>
          <cell r="D20" t="str">
            <v>NY.GNP.MKTP.CN</v>
          </cell>
          <cell r="E20">
            <v>14635200512</v>
          </cell>
          <cell r="F20">
            <v>15525971968</v>
          </cell>
          <cell r="G20">
            <v>16578953216</v>
          </cell>
          <cell r="H20">
            <v>17795770368</v>
          </cell>
          <cell r="I20">
            <v>19901181952</v>
          </cell>
          <cell r="J20">
            <v>21692700672</v>
          </cell>
          <cell r="K20">
            <v>23296983040</v>
          </cell>
          <cell r="L20">
            <v>24977586176</v>
          </cell>
          <cell r="M20">
            <v>26715252736</v>
          </cell>
          <cell r="N20">
            <v>29621094400</v>
          </cell>
          <cell r="O20">
            <v>33577810000</v>
          </cell>
          <cell r="P20">
            <v>36738691000</v>
          </cell>
          <cell r="Q20">
            <v>41140522000</v>
          </cell>
          <cell r="R20">
            <v>46667599000</v>
          </cell>
          <cell r="S20">
            <v>54730257000</v>
          </cell>
          <cell r="T20">
            <v>60562851000</v>
          </cell>
          <cell r="U20">
            <v>68853585000</v>
          </cell>
          <cell r="V20">
            <v>74263334000</v>
          </cell>
          <cell r="W20">
            <v>79660048000</v>
          </cell>
          <cell r="X20">
            <v>84804980000</v>
          </cell>
          <cell r="Y20">
            <v>91988419000</v>
          </cell>
          <cell r="Z20">
            <v>96523192000</v>
          </cell>
          <cell r="AA20">
            <v>103955672000</v>
          </cell>
          <cell r="AB20">
            <v>110076416000</v>
          </cell>
          <cell r="AC20">
            <v>119181414000</v>
          </cell>
          <cell r="AD20">
            <v>127131082000</v>
          </cell>
          <cell r="AE20">
            <v>133180921000</v>
          </cell>
          <cell r="AF20">
            <v>138975295000</v>
          </cell>
          <cell r="AG20">
            <v>148670469000</v>
          </cell>
          <cell r="AH20">
            <v>160722183000</v>
          </cell>
          <cell r="AI20">
            <v>170634242000</v>
          </cell>
          <cell r="AJ20">
            <v>179438938000</v>
          </cell>
          <cell r="AK20">
            <v>188378143000</v>
          </cell>
          <cell r="AL20">
            <v>195925323000</v>
          </cell>
          <cell r="AM20">
            <v>208082350000</v>
          </cell>
          <cell r="AN20">
            <v>215111300000</v>
          </cell>
          <cell r="AO20">
            <v>219271000000</v>
          </cell>
          <cell r="AP20">
            <v>229554700000</v>
          </cell>
          <cell r="AQ20">
            <v>238273400000</v>
          </cell>
          <cell r="AR20">
            <v>247952100000</v>
          </cell>
          <cell r="AS20">
            <v>262983700000</v>
          </cell>
          <cell r="AT20">
            <v>269279500000</v>
          </cell>
          <cell r="AU20">
            <v>277978200000</v>
          </cell>
          <cell r="AV20">
            <v>286569500000</v>
          </cell>
          <cell r="AW20">
            <v>300941200000</v>
          </cell>
          <cell r="AX20">
            <v>313910900000</v>
          </cell>
          <cell r="AY20">
            <v>329827600000</v>
          </cell>
          <cell r="AZ20">
            <v>348398700000</v>
          </cell>
          <cell r="BA20">
            <v>360298400000</v>
          </cell>
          <cell r="BB20">
            <v>352915900000</v>
          </cell>
          <cell r="BC20">
            <v>368713800000</v>
          </cell>
          <cell r="BD20">
            <v>376569300000</v>
          </cell>
          <cell r="BE20">
            <v>395135800000</v>
          </cell>
          <cell r="BF20">
            <v>402558600000</v>
          </cell>
          <cell r="BG20">
            <v>411459400000</v>
          </cell>
          <cell r="BH20">
            <v>422598800000</v>
          </cell>
          <cell r="BI20">
            <v>434210600000</v>
          </cell>
          <cell r="BJ20">
            <v>449130000000</v>
          </cell>
          <cell r="BK20">
            <v>464101100000</v>
          </cell>
          <cell r="BL20">
            <v>482755000000</v>
          </cell>
          <cell r="BM20">
            <v>461728900000</v>
          </cell>
        </row>
        <row r="21">
          <cell r="B21" t="str">
            <v>BLZ</v>
          </cell>
          <cell r="C21" t="str">
            <v>GNI (current LCU)</v>
          </cell>
          <cell r="D21" t="str">
            <v>NY.GNP.MKTP.CN</v>
          </cell>
          <cell r="E21">
            <v>39901700</v>
          </cell>
          <cell r="F21">
            <v>42508600</v>
          </cell>
          <cell r="G21">
            <v>45288700</v>
          </cell>
          <cell r="H21">
            <v>47983500</v>
          </cell>
          <cell r="I21">
            <v>51463800</v>
          </cell>
          <cell r="J21">
            <v>57000000</v>
          </cell>
          <cell r="K21">
            <v>63200000</v>
          </cell>
          <cell r="L21">
            <v>68400000</v>
          </cell>
          <cell r="M21">
            <v>72400000</v>
          </cell>
          <cell r="N21">
            <v>76200000</v>
          </cell>
          <cell r="O21">
            <v>86000000</v>
          </cell>
          <cell r="P21">
            <v>93400000</v>
          </cell>
          <cell r="Q21">
            <v>101000000</v>
          </cell>
          <cell r="R21">
            <v>121000000</v>
          </cell>
          <cell r="S21">
            <v>158000000</v>
          </cell>
          <cell r="T21">
            <v>191500000</v>
          </cell>
          <cell r="U21">
            <v>197400000</v>
          </cell>
          <cell r="V21">
            <v>224100000</v>
          </cell>
          <cell r="W21">
            <v>259000000</v>
          </cell>
          <cell r="X21">
            <v>293000000</v>
          </cell>
          <cell r="Y21">
            <v>391976444.85856599</v>
          </cell>
          <cell r="Z21">
            <v>388379709.31269401</v>
          </cell>
          <cell r="AA21">
            <v>354612653.97141802</v>
          </cell>
          <cell r="AB21">
            <v>373206371.91064298</v>
          </cell>
          <cell r="AC21">
            <v>413363898.03876102</v>
          </cell>
          <cell r="AD21">
            <v>405487485.32941103</v>
          </cell>
          <cell r="AE21">
            <v>450876641.07113302</v>
          </cell>
          <cell r="AF21">
            <v>549965117.17180002</v>
          </cell>
          <cell r="AG21">
            <v>627786720.54489994</v>
          </cell>
          <cell r="AH21">
            <v>718867781.40948999</v>
          </cell>
          <cell r="AI21">
            <v>807972890.98435295</v>
          </cell>
          <cell r="AJ21">
            <v>870641500</v>
          </cell>
          <cell r="AK21">
            <v>1007219400</v>
          </cell>
          <cell r="AL21">
            <v>1083310600</v>
          </cell>
          <cell r="AM21">
            <v>1111305900</v>
          </cell>
          <cell r="AN21">
            <v>1195702400</v>
          </cell>
          <cell r="AO21">
            <v>1230512500</v>
          </cell>
          <cell r="AP21">
            <v>1262482900</v>
          </cell>
          <cell r="AQ21">
            <v>1313975900</v>
          </cell>
          <cell r="AR21">
            <v>1385183200</v>
          </cell>
          <cell r="AS21">
            <v>1558346700</v>
          </cell>
          <cell r="AT21">
            <v>1602618500</v>
          </cell>
          <cell r="AU21">
            <v>1715433600</v>
          </cell>
          <cell r="AV21">
            <v>1788195500</v>
          </cell>
          <cell r="AW21">
            <v>1869284900</v>
          </cell>
          <cell r="AX21">
            <v>1976277300</v>
          </cell>
          <cell r="AY21">
            <v>2170642400</v>
          </cell>
          <cell r="AZ21">
            <v>2225290500</v>
          </cell>
          <cell r="BA21">
            <v>2372322800</v>
          </cell>
          <cell r="BB21">
            <v>2453329300</v>
          </cell>
          <cell r="BC21">
            <v>2477355700</v>
          </cell>
          <cell r="BD21">
            <v>2727195806.4681201</v>
          </cell>
          <cell r="BE21">
            <v>2805395012.15698</v>
          </cell>
          <cell r="BF21">
            <v>2920422506.0102701</v>
          </cell>
          <cell r="BG21">
            <v>3059070121.9212799</v>
          </cell>
          <cell r="BH21">
            <v>3252501982.9382401</v>
          </cell>
          <cell r="BI21">
            <v>3357008175.5712299</v>
          </cell>
          <cell r="BJ21">
            <v>3466659353.43714</v>
          </cell>
          <cell r="BK21">
            <v>3519299573.9281402</v>
          </cell>
          <cell r="BL21">
            <v>3638137081.2268</v>
          </cell>
          <cell r="BM21">
            <v>3155261594.1611199</v>
          </cell>
        </row>
        <row r="22">
          <cell r="B22" t="str">
            <v>BEN</v>
          </cell>
          <cell r="C22" t="str">
            <v>GNI (current LCU)</v>
          </cell>
          <cell r="D22" t="str">
            <v>NY.GNP.MKTP.CN</v>
          </cell>
          <cell r="E22">
            <v>55287144400</v>
          </cell>
          <cell r="F22">
            <v>57621942300</v>
          </cell>
          <cell r="G22">
            <v>57751588900</v>
          </cell>
          <cell r="H22">
            <v>62032384000</v>
          </cell>
          <cell r="I22">
            <v>65923657700</v>
          </cell>
          <cell r="J22">
            <v>70849241100</v>
          </cell>
          <cell r="K22">
            <v>74397630500</v>
          </cell>
          <cell r="L22">
            <v>75232485400</v>
          </cell>
          <cell r="M22">
            <v>80439492600</v>
          </cell>
          <cell r="N22">
            <v>85331599400</v>
          </cell>
          <cell r="O22">
            <v>91524743200</v>
          </cell>
          <cell r="P22">
            <v>91410186200</v>
          </cell>
          <cell r="Q22">
            <v>102885703700</v>
          </cell>
          <cell r="R22">
            <v>112419971100</v>
          </cell>
          <cell r="S22">
            <v>134061629500</v>
          </cell>
          <cell r="T22">
            <v>144783409200</v>
          </cell>
          <cell r="U22">
            <v>166884999200</v>
          </cell>
          <cell r="V22">
            <v>184222859300</v>
          </cell>
          <cell r="W22">
            <v>209666670600</v>
          </cell>
          <cell r="X22">
            <v>252592275400</v>
          </cell>
          <cell r="Y22">
            <v>296288288700</v>
          </cell>
          <cell r="Z22">
            <v>349968433200</v>
          </cell>
          <cell r="AA22">
            <v>414628347900</v>
          </cell>
          <cell r="AB22">
            <v>412331835400</v>
          </cell>
          <cell r="AC22">
            <v>446366089200</v>
          </cell>
          <cell r="AD22">
            <v>460230725000</v>
          </cell>
          <cell r="AE22">
            <v>453696066200</v>
          </cell>
          <cell r="AF22">
            <v>460966653700</v>
          </cell>
          <cell r="AG22">
            <v>475200774600</v>
          </cell>
          <cell r="AH22">
            <v>467072164000</v>
          </cell>
          <cell r="AI22">
            <v>523029553800</v>
          </cell>
          <cell r="AJ22">
            <v>551687767600</v>
          </cell>
          <cell r="AK22">
            <v>573221889100</v>
          </cell>
          <cell r="AL22">
            <v>632790629900</v>
          </cell>
          <cell r="AM22">
            <v>867753103200</v>
          </cell>
          <cell r="AN22">
            <v>1060875827900</v>
          </cell>
          <cell r="AO22">
            <v>1184292585900</v>
          </cell>
          <cell r="AP22">
            <v>1306533142400</v>
          </cell>
          <cell r="AQ22">
            <v>1440486934100</v>
          </cell>
          <cell r="AR22">
            <v>2255741000000</v>
          </cell>
          <cell r="AS22">
            <v>2491192000000</v>
          </cell>
          <cell r="AT22">
            <v>2674448000000</v>
          </cell>
          <cell r="AU22">
            <v>2890058000000</v>
          </cell>
          <cell r="AV22">
            <v>3079881000000</v>
          </cell>
          <cell r="AW22">
            <v>3244818000000</v>
          </cell>
          <cell r="AX22">
            <v>3453484000000</v>
          </cell>
          <cell r="AY22">
            <v>3659002000000</v>
          </cell>
          <cell r="AZ22">
            <v>3886757000000</v>
          </cell>
          <cell r="BA22">
            <v>4360266000000</v>
          </cell>
          <cell r="BB22">
            <v>4564432000000</v>
          </cell>
          <cell r="BC22">
            <v>4691545000000</v>
          </cell>
          <cell r="BD22">
            <v>5031898440000</v>
          </cell>
          <cell r="BE22">
            <v>5654219200000</v>
          </cell>
          <cell r="BF22">
            <v>6148471710000</v>
          </cell>
          <cell r="BG22">
            <v>6529098000000</v>
          </cell>
          <cell r="BH22">
            <v>6678116000000</v>
          </cell>
          <cell r="BI22">
            <v>6944334500000</v>
          </cell>
          <cell r="BJ22">
            <v>7293872000000</v>
          </cell>
          <cell r="BK22">
            <v>7835110000000</v>
          </cell>
          <cell r="BL22">
            <v>8348178399500</v>
          </cell>
          <cell r="BM22">
            <v>8915157938500</v>
          </cell>
        </row>
        <row r="23">
          <cell r="B23" t="str">
            <v>BMU</v>
          </cell>
          <cell r="C23" t="str">
            <v>GNI (current LCU)</v>
          </cell>
          <cell r="D23" t="str">
            <v>NY.GNP.MKTP.CN</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v>6780700000</v>
          </cell>
          <cell r="BD23">
            <v>6474269000</v>
          </cell>
          <cell r="BE23">
            <v>6661617000</v>
          </cell>
          <cell r="BF23">
            <v>6764352000</v>
          </cell>
          <cell r="BG23">
            <v>6657829000</v>
          </cell>
          <cell r="BH23">
            <v>6893729000</v>
          </cell>
          <cell r="BI23">
            <v>7095783000</v>
          </cell>
          <cell r="BJ23">
            <v>7435279000</v>
          </cell>
          <cell r="BK23">
            <v>7459240000</v>
          </cell>
          <cell r="BL23">
            <v>7587978000</v>
          </cell>
          <cell r="BM23">
            <v>7042079501.3627195</v>
          </cell>
        </row>
        <row r="24">
          <cell r="B24" t="str">
            <v>BTN</v>
          </cell>
          <cell r="C24" t="str">
            <v>GNI (current LCU)</v>
          </cell>
          <cell r="D24" t="str">
            <v>NY.GNP.MKTP.CN</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v>811718849.77224803</v>
          </cell>
          <cell r="Z24">
            <v>935342821.74241805</v>
          </cell>
          <cell r="AA24">
            <v>1015727416.14001</v>
          </cell>
          <cell r="AB24">
            <v>1126440639.85288</v>
          </cell>
          <cell r="AC24">
            <v>1435025265.2739999</v>
          </cell>
          <cell r="AD24">
            <v>1591978534.49406</v>
          </cell>
          <cell r="AE24">
            <v>1959019721.0193501</v>
          </cell>
          <cell r="AF24">
            <v>2740110366.0812402</v>
          </cell>
          <cell r="AG24">
            <v>3424194792.8219099</v>
          </cell>
          <cell r="AH24">
            <v>4084290108.8126702</v>
          </cell>
          <cell r="AI24">
            <v>4710794801.9098501</v>
          </cell>
          <cell r="AJ24">
            <v>4973676700</v>
          </cell>
          <cell r="AK24">
            <v>5492392600</v>
          </cell>
          <cell r="AL24">
            <v>6156381800</v>
          </cell>
          <cell r="AM24">
            <v>7490378200</v>
          </cell>
          <cell r="AN24">
            <v>8212073500</v>
          </cell>
          <cell r="AO24">
            <v>9504120400</v>
          </cell>
          <cell r="AP24">
            <v>11649695200</v>
          </cell>
          <cell r="AQ24">
            <v>12672862000</v>
          </cell>
          <cell r="AR24">
            <v>14109514600</v>
          </cell>
          <cell r="AS24">
            <v>19053136300</v>
          </cell>
          <cell r="AT24">
            <v>21764375700</v>
          </cell>
          <cell r="AU24">
            <v>24927532000</v>
          </cell>
          <cell r="AV24">
            <v>27493694300</v>
          </cell>
          <cell r="AW24">
            <v>30207927200</v>
          </cell>
          <cell r="AX24">
            <v>34634784500</v>
          </cell>
          <cell r="AY24">
            <v>39482070900</v>
          </cell>
          <cell r="AZ24">
            <v>47648004700</v>
          </cell>
          <cell r="BA24">
            <v>51936067000</v>
          </cell>
          <cell r="BB24">
            <v>57284832000</v>
          </cell>
          <cell r="BC24">
            <v>66760141400</v>
          </cell>
          <cell r="BD24">
            <v>77622207000</v>
          </cell>
          <cell r="BE24">
            <v>87592684100</v>
          </cell>
          <cell r="BF24">
            <v>95677334300</v>
          </cell>
          <cell r="BG24">
            <v>108150408800</v>
          </cell>
          <cell r="BH24">
            <v>119375302200</v>
          </cell>
          <cell r="BI24">
            <v>132608949900</v>
          </cell>
          <cell r="BJ24">
            <v>145712294700</v>
          </cell>
          <cell r="BK24">
            <v>152281390000</v>
          </cell>
          <cell r="BL24">
            <v>162396900000</v>
          </cell>
          <cell r="BM24">
            <v>160987440000</v>
          </cell>
        </row>
        <row r="25">
          <cell r="B25" t="str">
            <v>BOL</v>
          </cell>
          <cell r="C25" t="str">
            <v>GNI (current LCU)</v>
          </cell>
          <cell r="D25" t="str">
            <v>NY.GNP.MKTP.CN</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v>54036.684999999998</v>
          </cell>
          <cell r="V25">
            <v>63238.328999999998</v>
          </cell>
          <cell r="W25">
            <v>72922.861000000004</v>
          </cell>
          <cell r="X25">
            <v>86490.472333333295</v>
          </cell>
          <cell r="Y25">
            <v>104548.788</v>
          </cell>
          <cell r="Z25">
            <v>135118.856</v>
          </cell>
          <cell r="AA25">
            <v>331685.76650000003</v>
          </cell>
          <cell r="AB25">
            <v>1172196.2660000001</v>
          </cell>
          <cell r="AC25">
            <v>18045911.28675</v>
          </cell>
          <cell r="AD25">
            <v>2202071182.7925</v>
          </cell>
          <cell r="AE25">
            <v>7014844854.1666698</v>
          </cell>
          <cell r="AF25">
            <v>8313766155</v>
          </cell>
          <cell r="AG25">
            <v>10183156006.6667</v>
          </cell>
          <cell r="AH25">
            <v>11996490848.3333</v>
          </cell>
          <cell r="AI25">
            <v>14654415210</v>
          </cell>
          <cell r="AJ25">
            <v>18247717700</v>
          </cell>
          <cell r="AK25">
            <v>21242873900</v>
          </cell>
          <cell r="AL25">
            <v>23580788300</v>
          </cell>
          <cell r="AM25">
            <v>26793097700</v>
          </cell>
          <cell r="AN25">
            <v>31243322400</v>
          </cell>
          <cell r="AO25">
            <v>36480112700</v>
          </cell>
          <cell r="AP25">
            <v>40611404200</v>
          </cell>
          <cell r="AQ25">
            <v>45928582400</v>
          </cell>
          <cell r="AR25">
            <v>47015780500</v>
          </cell>
          <cell r="AS25">
            <v>50533917800</v>
          </cell>
          <cell r="AT25">
            <v>52395210500</v>
          </cell>
          <cell r="AU25">
            <v>55214630000</v>
          </cell>
          <cell r="AV25">
            <v>59592549300</v>
          </cell>
          <cell r="AW25">
            <v>66572975600</v>
          </cell>
          <cell r="AX25">
            <v>73988127700</v>
          </cell>
          <cell r="AY25">
            <v>88565230700</v>
          </cell>
          <cell r="AZ25">
            <v>99166487300</v>
          </cell>
          <cell r="BA25">
            <v>116811303900</v>
          </cell>
          <cell r="BB25">
            <v>116996612200</v>
          </cell>
          <cell r="BC25">
            <v>131638184241.282</v>
          </cell>
          <cell r="BD25">
            <v>159393374208.04001</v>
          </cell>
          <cell r="BE25">
            <v>175895567006.57401</v>
          </cell>
          <cell r="BF25">
            <v>198673333366.45499</v>
          </cell>
          <cell r="BG25">
            <v>216270757626.01801</v>
          </cell>
          <cell r="BH25">
            <v>220243124537.09299</v>
          </cell>
          <cell r="BI25">
            <v>230242791030.26901</v>
          </cell>
          <cell r="BJ25">
            <v>251517060898.88699</v>
          </cell>
          <cell r="BK25">
            <v>271645870586.63</v>
          </cell>
          <cell r="BL25">
            <v>276734583754.17902</v>
          </cell>
          <cell r="BM25">
            <v>249704465246.54999</v>
          </cell>
        </row>
        <row r="26">
          <cell r="B26" t="str">
            <v>BIH</v>
          </cell>
          <cell r="C26" t="str">
            <v>GNI (current LCU)</v>
          </cell>
          <cell r="D26" t="str">
            <v>NY.GNP.MKTP.CN</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v>1767100000</v>
          </cell>
          <cell r="AN26">
            <v>2328175500</v>
          </cell>
          <cell r="AO26">
            <v>3858375400</v>
          </cell>
          <cell r="AP26">
            <v>5971922200</v>
          </cell>
          <cell r="AQ26">
            <v>8667865200</v>
          </cell>
          <cell r="AR26">
            <v>9939565400</v>
          </cell>
          <cell r="AS26">
            <v>12942246800</v>
          </cell>
          <cell r="AT26">
            <v>13728637700</v>
          </cell>
          <cell r="AU26">
            <v>14876797100</v>
          </cell>
          <cell r="AV26">
            <v>15429164400</v>
          </cell>
          <cell r="AW26">
            <v>17483665700</v>
          </cell>
          <cell r="AX26">
            <v>18386339000</v>
          </cell>
          <cell r="AY26">
            <v>20668215000</v>
          </cell>
          <cell r="AZ26">
            <v>23217859000</v>
          </cell>
          <cell r="BA26">
            <v>26462330000</v>
          </cell>
          <cell r="BB26">
            <v>25753520000</v>
          </cell>
          <cell r="BC26">
            <v>25777953000</v>
          </cell>
          <cell r="BD26">
            <v>26442262000</v>
          </cell>
          <cell r="BE26">
            <v>26427731000</v>
          </cell>
          <cell r="BF26">
            <v>27135384000</v>
          </cell>
          <cell r="BG26">
            <v>27582490000</v>
          </cell>
          <cell r="BH26">
            <v>28783952000</v>
          </cell>
          <cell r="BI26">
            <v>29945060000</v>
          </cell>
          <cell r="BJ26">
            <v>31112936000</v>
          </cell>
          <cell r="BK26">
            <v>33245078000</v>
          </cell>
          <cell r="BL26">
            <v>35274355000</v>
          </cell>
          <cell r="BM26">
            <v>33944455000</v>
          </cell>
        </row>
        <row r="27">
          <cell r="B27" t="str">
            <v>BWA</v>
          </cell>
          <cell r="C27" t="str">
            <v>GNI (current LCU)</v>
          </cell>
          <cell r="D27" t="str">
            <v>NY.GNP.MKTP.CN</v>
          </cell>
          <cell r="E27">
            <v>24399300</v>
          </cell>
          <cell r="F27">
            <v>26407500</v>
          </cell>
          <cell r="G27">
            <v>28516100</v>
          </cell>
          <cell r="H27">
            <v>30624700</v>
          </cell>
          <cell r="I27">
            <v>33536500</v>
          </cell>
          <cell r="J27">
            <v>36850000</v>
          </cell>
          <cell r="K27">
            <v>40850000</v>
          </cell>
          <cell r="L27">
            <v>44650000</v>
          </cell>
          <cell r="M27">
            <v>50450000</v>
          </cell>
          <cell r="N27">
            <v>59250000</v>
          </cell>
          <cell r="O27">
            <v>72121400</v>
          </cell>
          <cell r="P27">
            <v>93273900</v>
          </cell>
          <cell r="Q27">
            <v>127094000</v>
          </cell>
          <cell r="R27">
            <v>169646700</v>
          </cell>
          <cell r="S27">
            <v>210246300</v>
          </cell>
          <cell r="T27">
            <v>262650000</v>
          </cell>
          <cell r="U27">
            <v>323500000</v>
          </cell>
          <cell r="V27">
            <v>380250000</v>
          </cell>
          <cell r="W27">
            <v>488950000</v>
          </cell>
          <cell r="X27">
            <v>668200000</v>
          </cell>
          <cell r="Y27">
            <v>788150000</v>
          </cell>
          <cell r="Z27">
            <v>929900000</v>
          </cell>
          <cell r="AA27">
            <v>1074650000</v>
          </cell>
          <cell r="AB27">
            <v>1242350000</v>
          </cell>
          <cell r="AC27">
            <v>1462950000</v>
          </cell>
          <cell r="AD27">
            <v>1937450000</v>
          </cell>
          <cell r="AE27">
            <v>2409200000</v>
          </cell>
          <cell r="AF27">
            <v>2903100000</v>
          </cell>
          <cell r="AG27">
            <v>4513000000</v>
          </cell>
          <cell r="AH27">
            <v>5676450000</v>
          </cell>
          <cell r="AI27">
            <v>6855450000</v>
          </cell>
          <cell r="AJ27">
            <v>8097850000</v>
          </cell>
          <cell r="AK27">
            <v>8985000000</v>
          </cell>
          <cell r="AL27">
            <v>10791797700</v>
          </cell>
          <cell r="AM27">
            <v>10832289800</v>
          </cell>
          <cell r="AN27">
            <v>13024299800</v>
          </cell>
          <cell r="AO27">
            <v>15273600800</v>
          </cell>
          <cell r="AP27">
            <v>17799105300</v>
          </cell>
          <cell r="AQ27">
            <v>20749297600</v>
          </cell>
          <cell r="AR27">
            <v>24148601200</v>
          </cell>
          <cell r="AS27">
            <v>27734207300</v>
          </cell>
          <cell r="AT27">
            <v>31264900000</v>
          </cell>
          <cell r="AU27">
            <v>29998000000</v>
          </cell>
          <cell r="AV27">
            <v>33638852700</v>
          </cell>
          <cell r="AW27">
            <v>37533246800</v>
          </cell>
          <cell r="AX27">
            <v>46481949400</v>
          </cell>
          <cell r="AY27">
            <v>54595402500</v>
          </cell>
          <cell r="AZ27">
            <v>62621222700</v>
          </cell>
          <cell r="BA27">
            <v>69608827000</v>
          </cell>
          <cell r="BB27">
            <v>71759333700</v>
          </cell>
          <cell r="BC27">
            <v>82523936500</v>
          </cell>
          <cell r="BD27">
            <v>102683250700</v>
          </cell>
          <cell r="BE27">
            <v>108224699200</v>
          </cell>
          <cell r="BF27">
            <v>119694172400</v>
          </cell>
          <cell r="BG27">
            <v>141430590000</v>
          </cell>
          <cell r="BH27">
            <v>140279800000</v>
          </cell>
          <cell r="BI27">
            <v>166402700000</v>
          </cell>
          <cell r="BJ27">
            <v>168528300000</v>
          </cell>
          <cell r="BK27">
            <v>173112400000</v>
          </cell>
          <cell r="BL27">
            <v>177830300000</v>
          </cell>
          <cell r="BM27">
            <v>172921600000</v>
          </cell>
        </row>
        <row r="28">
          <cell r="B28" t="str">
            <v>BRA</v>
          </cell>
          <cell r="C28" t="str">
            <v>GNI (current LCU)</v>
          </cell>
          <cell r="D28" t="str">
            <v>NY.GNP.MKTP.CN</v>
          </cell>
          <cell r="E28" t="str">
            <v>..</v>
          </cell>
          <cell r="F28" t="str">
            <v>..</v>
          </cell>
          <cell r="G28" t="str">
            <v>..</v>
          </cell>
          <cell r="H28" t="str">
            <v>..</v>
          </cell>
          <cell r="I28" t="str">
            <v>..</v>
          </cell>
          <cell r="J28" t="str">
            <v>..</v>
          </cell>
          <cell r="K28">
            <v>2.08470002E-2</v>
          </cell>
          <cell r="L28">
            <v>2.8624E-2</v>
          </cell>
          <cell r="M28">
            <v>4.0812999000000003E-2</v>
          </cell>
          <cell r="N28">
            <v>5.4480001299999997E-2</v>
          </cell>
          <cell r="O28">
            <v>6.9660000499999999E-2</v>
          </cell>
          <cell r="P28">
            <v>9.3569002999999998E-2</v>
          </cell>
          <cell r="Q28">
            <v>0.12525400519999999</v>
          </cell>
          <cell r="R28">
            <v>0.17451800410000001</v>
          </cell>
          <cell r="S28">
            <v>0.25746199489999999</v>
          </cell>
          <cell r="T28">
            <v>0.36041399839999999</v>
          </cell>
          <cell r="U28">
            <v>0.58326399330000001</v>
          </cell>
          <cell r="V28">
            <v>0.89064902069999996</v>
          </cell>
          <cell r="W28">
            <v>1.2877919674</v>
          </cell>
          <cell r="X28">
            <v>2.1442859173</v>
          </cell>
          <cell r="Y28">
            <v>4.3549070358000002</v>
          </cell>
          <cell r="Z28">
            <v>8.5517263413000002</v>
          </cell>
          <cell r="AA28">
            <v>17.4355602264</v>
          </cell>
          <cell r="AB28">
            <v>40.152259826700003</v>
          </cell>
          <cell r="AC28">
            <v>132.41796875</v>
          </cell>
          <cell r="AD28">
            <v>475.94900512700002</v>
          </cell>
          <cell r="AE28">
            <v>1272.1594238281</v>
          </cell>
          <cell r="AF28">
            <v>4036.3601074219</v>
          </cell>
          <cell r="AG28">
            <v>30218.19921875</v>
          </cell>
          <cell r="AH28">
            <v>448509</v>
          </cell>
          <cell r="AI28">
            <v>11241795</v>
          </cell>
          <cell r="AJ28">
            <v>58935000</v>
          </cell>
          <cell r="AK28">
            <v>628867800</v>
          </cell>
          <cell r="AL28">
            <v>13753924200</v>
          </cell>
          <cell r="AM28">
            <v>343380663000</v>
          </cell>
          <cell r="AN28">
            <v>695487258000</v>
          </cell>
          <cell r="AO28">
            <v>831737239000</v>
          </cell>
          <cell r="AP28">
            <v>921710778000</v>
          </cell>
          <cell r="AQ28">
            <v>958034717000</v>
          </cell>
          <cell r="AR28">
            <v>1030892185000</v>
          </cell>
          <cell r="AS28">
            <v>1164560429833.4299</v>
          </cell>
          <cell r="AT28">
            <v>1273035219522.72</v>
          </cell>
          <cell r="AU28">
            <v>1438841275780.49</v>
          </cell>
          <cell r="AV28">
            <v>1663432274815.6399</v>
          </cell>
          <cell r="AW28">
            <v>1899911998736.78</v>
          </cell>
          <cell r="AX28">
            <v>2107840111931.6399</v>
          </cell>
          <cell r="AY28">
            <v>2349156339543.4399</v>
          </cell>
          <cell r="AZ28">
            <v>2662482272069.27</v>
          </cell>
          <cell r="BA28">
            <v>3033549541334.7998</v>
          </cell>
          <cell r="BB28">
            <v>3259287600568.7798</v>
          </cell>
          <cell r="BC28">
            <v>3765812330164.7998</v>
          </cell>
          <cell r="BD28">
            <v>4263922255799.98</v>
          </cell>
          <cell r="BE28">
            <v>4694629862805.2803</v>
          </cell>
          <cell r="BF28">
            <v>5257535238624.8701</v>
          </cell>
          <cell r="BG28">
            <v>5671266004551.79</v>
          </cell>
          <cell r="BH28">
            <v>5882964716688.8799</v>
          </cell>
          <cell r="BI28">
            <v>6136321667710.75</v>
          </cell>
          <cell r="BJ28">
            <v>6462363074694.96</v>
          </cell>
          <cell r="BK28">
            <v>6809381494728.6396</v>
          </cell>
          <cell r="BL28">
            <v>7208624304553.4805</v>
          </cell>
          <cell r="BM28">
            <v>7305242466904.7305</v>
          </cell>
        </row>
        <row r="29">
          <cell r="B29" t="str">
            <v>VGB</v>
          </cell>
          <cell r="C29" t="str">
            <v>GNI (current LCU)</v>
          </cell>
          <cell r="D29" t="str">
            <v>NY.GNP.MKTP.CN</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row>
        <row r="30">
          <cell r="B30" t="str">
            <v>BRN</v>
          </cell>
          <cell r="C30" t="str">
            <v>GNI (current LCU)</v>
          </cell>
          <cell r="D30" t="str">
            <v>NY.GNP.MKTP.CN</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v>5822558200</v>
          </cell>
          <cell r="AI30">
            <v>6381000000</v>
          </cell>
          <cell r="AJ30">
            <v>6395000000</v>
          </cell>
          <cell r="AK30">
            <v>6815000000</v>
          </cell>
          <cell r="AL30">
            <v>6634000000</v>
          </cell>
          <cell r="AM30">
            <v>6243000000</v>
          </cell>
          <cell r="AN30">
            <v>6710000000</v>
          </cell>
          <cell r="AO30">
            <v>7213000000</v>
          </cell>
          <cell r="AP30">
            <v>7717000000</v>
          </cell>
          <cell r="AQ30">
            <v>6780000000</v>
          </cell>
          <cell r="AR30">
            <v>7797000000</v>
          </cell>
          <cell r="AS30">
            <v>10345988300</v>
          </cell>
          <cell r="AT30">
            <v>10035474000</v>
          </cell>
          <cell r="AU30">
            <v>10463065100</v>
          </cell>
          <cell r="AV30">
            <v>11424185700</v>
          </cell>
          <cell r="AW30">
            <v>13305817600</v>
          </cell>
          <cell r="AX30">
            <v>15864066900</v>
          </cell>
          <cell r="AY30">
            <v>18225800000</v>
          </cell>
          <cell r="AZ30">
            <v>18552543000</v>
          </cell>
          <cell r="BA30">
            <v>20475137400</v>
          </cell>
          <cell r="BB30">
            <v>15687084700</v>
          </cell>
          <cell r="BC30">
            <v>18553000000</v>
          </cell>
          <cell r="BD30">
            <v>22676000000</v>
          </cell>
          <cell r="BE30">
            <v>23231000000</v>
          </cell>
          <cell r="BF30">
            <v>22388000000</v>
          </cell>
          <cell r="BG30">
            <v>21644000000</v>
          </cell>
          <cell r="BH30">
            <v>18672500000</v>
          </cell>
          <cell r="BI30">
            <v>16901527000</v>
          </cell>
          <cell r="BJ30">
            <v>17742522000</v>
          </cell>
          <cell r="BK30">
            <v>18414100000</v>
          </cell>
          <cell r="BL30">
            <v>18867586800</v>
          </cell>
          <cell r="BM30">
            <v>17063600000</v>
          </cell>
        </row>
        <row r="31">
          <cell r="B31" t="str">
            <v>BGR</v>
          </cell>
          <cell r="C31" t="str">
            <v>GNI (current LCU)</v>
          </cell>
          <cell r="D31" t="str">
            <v>NY.GNP.MKTP.CN</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v>25382900</v>
          </cell>
          <cell r="Z31">
            <v>27541200</v>
          </cell>
          <cell r="AA31">
            <v>28781300</v>
          </cell>
          <cell r="AB31">
            <v>29672100</v>
          </cell>
          <cell r="AC31">
            <v>31601400</v>
          </cell>
          <cell r="AD31">
            <v>32475900</v>
          </cell>
          <cell r="AE31">
            <v>34200300</v>
          </cell>
          <cell r="AF31">
            <v>36122900</v>
          </cell>
          <cell r="AG31">
            <v>37629400</v>
          </cell>
          <cell r="AH31">
            <v>38433000</v>
          </cell>
          <cell r="AI31">
            <v>41791000</v>
          </cell>
          <cell r="AJ31">
            <v>121924000</v>
          </cell>
          <cell r="AK31">
            <v>197507000</v>
          </cell>
          <cell r="AL31">
            <v>293582000</v>
          </cell>
          <cell r="AM31">
            <v>515169100</v>
          </cell>
          <cell r="AN31">
            <v>1246660200</v>
          </cell>
          <cell r="AO31">
            <v>2116681700</v>
          </cell>
          <cell r="AP31">
            <v>18432097500</v>
          </cell>
          <cell r="AQ31">
            <v>25960973900</v>
          </cell>
          <cell r="AR31">
            <v>24703513700</v>
          </cell>
          <cell r="AS31">
            <v>27438189800</v>
          </cell>
          <cell r="AT31">
            <v>31041087400</v>
          </cell>
          <cell r="AU31">
            <v>34782161500</v>
          </cell>
          <cell r="AV31">
            <v>37233615300</v>
          </cell>
          <cell r="AW31">
            <v>41682502600</v>
          </cell>
          <cell r="AX31">
            <v>47148683800</v>
          </cell>
          <cell r="AY31">
            <v>52281367000</v>
          </cell>
          <cell r="AZ31">
            <v>58816209600</v>
          </cell>
          <cell r="BA31">
            <v>69324357200</v>
          </cell>
          <cell r="BB31">
            <v>70837543000</v>
          </cell>
          <cell r="BC31">
            <v>73320015000</v>
          </cell>
          <cell r="BD31">
            <v>78586566000</v>
          </cell>
          <cell r="BE31">
            <v>81546790000</v>
          </cell>
          <cell r="BF31">
            <v>80432839000</v>
          </cell>
          <cell r="BG31">
            <v>83425519000</v>
          </cell>
          <cell r="BH31">
            <v>86811117000</v>
          </cell>
          <cell r="BI31">
            <v>92425150000</v>
          </cell>
          <cell r="BJ31">
            <v>100427938000</v>
          </cell>
          <cell r="BK31">
            <v>106402614000</v>
          </cell>
          <cell r="BL31">
            <v>116994813000</v>
          </cell>
          <cell r="BM31">
            <v>117668855000</v>
          </cell>
        </row>
        <row r="32">
          <cell r="B32" t="str">
            <v>BFA</v>
          </cell>
          <cell r="C32" t="str">
            <v>GNI (current LCU)</v>
          </cell>
          <cell r="D32" t="str">
            <v>NY.GNP.MKTP.CN</v>
          </cell>
          <cell r="E32">
            <v>82114535400</v>
          </cell>
          <cell r="F32">
            <v>86684090400</v>
          </cell>
          <cell r="G32">
            <v>95080292400</v>
          </cell>
          <cell r="H32">
            <v>97385513000</v>
          </cell>
          <cell r="I32">
            <v>101382004700</v>
          </cell>
          <cell r="J32">
            <v>102751355900</v>
          </cell>
          <cell r="K32">
            <v>106178699100</v>
          </cell>
          <cell r="L32">
            <v>110462882800</v>
          </cell>
          <cell r="M32">
            <v>113594388700</v>
          </cell>
          <cell r="N32">
            <v>123923254400</v>
          </cell>
          <cell r="O32">
            <v>126704377900</v>
          </cell>
          <cell r="P32">
            <v>132696052900</v>
          </cell>
          <cell r="Q32">
            <v>145493463400</v>
          </cell>
          <cell r="R32">
            <v>150346633100</v>
          </cell>
          <cell r="S32">
            <v>180258781200</v>
          </cell>
          <cell r="T32">
            <v>198861176300</v>
          </cell>
          <cell r="U32">
            <v>231071140600</v>
          </cell>
          <cell r="V32">
            <v>272959152100</v>
          </cell>
          <cell r="W32">
            <v>330469262300</v>
          </cell>
          <cell r="X32">
            <v>369980681200</v>
          </cell>
          <cell r="Y32">
            <v>406636995300</v>
          </cell>
          <cell r="Z32">
            <v>479887213800</v>
          </cell>
          <cell r="AA32">
            <v>573151134700</v>
          </cell>
          <cell r="AB32">
            <v>605968764200</v>
          </cell>
          <cell r="AC32">
            <v>635741355300</v>
          </cell>
          <cell r="AD32">
            <v>694916911400</v>
          </cell>
          <cell r="AE32">
            <v>703313855100</v>
          </cell>
          <cell r="AF32">
            <v>709577296400</v>
          </cell>
          <cell r="AG32">
            <v>775281162500</v>
          </cell>
          <cell r="AH32">
            <v>830597975000</v>
          </cell>
          <cell r="AI32">
            <v>842374999000</v>
          </cell>
          <cell r="AJ32">
            <v>881818019300</v>
          </cell>
          <cell r="AK32">
            <v>885318984700</v>
          </cell>
          <cell r="AL32">
            <v>900700515300</v>
          </cell>
          <cell r="AM32">
            <v>1044354930200</v>
          </cell>
          <cell r="AN32">
            <v>1182722149900</v>
          </cell>
          <cell r="AO32">
            <v>1326685896700</v>
          </cell>
          <cell r="AP32">
            <v>1427349553400</v>
          </cell>
          <cell r="AQ32">
            <v>1653107270000</v>
          </cell>
          <cell r="AR32">
            <v>2088598025100</v>
          </cell>
          <cell r="AS32">
            <v>2105496417800</v>
          </cell>
          <cell r="AT32">
            <v>2327773673900</v>
          </cell>
          <cell r="AU32">
            <v>2489084805400</v>
          </cell>
          <cell r="AV32">
            <v>2717471122800</v>
          </cell>
          <cell r="AW32">
            <v>2850937022000</v>
          </cell>
          <cell r="AX32">
            <v>3206948044700</v>
          </cell>
          <cell r="AY32">
            <v>3410828933000</v>
          </cell>
          <cell r="AZ32">
            <v>3639174927500</v>
          </cell>
          <cell r="BA32">
            <v>4198955479200</v>
          </cell>
          <cell r="BB32">
            <v>4389344386200</v>
          </cell>
          <cell r="BC32">
            <v>4852715892900</v>
          </cell>
          <cell r="BD32">
            <v>5463017921900</v>
          </cell>
          <cell r="BE32">
            <v>6250994016200</v>
          </cell>
          <cell r="BF32">
            <v>6460556573400</v>
          </cell>
          <cell r="BG32">
            <v>6585488829700</v>
          </cell>
          <cell r="BH32">
            <v>6676628000000</v>
          </cell>
          <cell r="BI32">
            <v>7266369000000</v>
          </cell>
          <cell r="BJ32">
            <v>7883771000000</v>
          </cell>
          <cell r="BK32">
            <v>8547175000000</v>
          </cell>
          <cell r="BL32">
            <v>8979948821900</v>
          </cell>
          <cell r="BM32">
            <v>9592041904500</v>
          </cell>
        </row>
        <row r="33">
          <cell r="B33" t="str">
            <v>BDI</v>
          </cell>
          <cell r="C33" t="str">
            <v>GNI (current LCU)</v>
          </cell>
          <cell r="D33" t="str">
            <v>NY.GNP.MKTP.CN</v>
          </cell>
          <cell r="E33">
            <v>9694600200</v>
          </cell>
          <cell r="F33">
            <v>10040999900</v>
          </cell>
          <cell r="G33">
            <v>10560600100</v>
          </cell>
          <cell r="H33">
            <v>11513900000</v>
          </cell>
          <cell r="I33">
            <v>12899300400</v>
          </cell>
          <cell r="J33">
            <v>13287300000</v>
          </cell>
          <cell r="K33">
            <v>13654200000</v>
          </cell>
          <cell r="L33">
            <v>14610000000</v>
          </cell>
          <cell r="M33">
            <v>14847000000</v>
          </cell>
          <cell r="N33">
            <v>15590000000</v>
          </cell>
          <cell r="O33">
            <v>20587300000</v>
          </cell>
          <cell r="P33">
            <v>21329600000</v>
          </cell>
          <cell r="Q33">
            <v>20598100000</v>
          </cell>
          <cell r="R33">
            <v>23686300000</v>
          </cell>
          <cell r="S33">
            <v>26481500000</v>
          </cell>
          <cell r="T33">
            <v>32471900000</v>
          </cell>
          <cell r="U33">
            <v>37704200000</v>
          </cell>
          <cell r="V33">
            <v>48346800000</v>
          </cell>
          <cell r="W33">
            <v>53618900000</v>
          </cell>
          <cell r="X33">
            <v>69510300000</v>
          </cell>
          <cell r="Y33">
            <v>82963200000</v>
          </cell>
          <cell r="Z33">
            <v>86953200000</v>
          </cell>
          <cell r="AA33">
            <v>90500000000</v>
          </cell>
          <cell r="AB33">
            <v>99790700000</v>
          </cell>
          <cell r="AC33">
            <v>116611700000</v>
          </cell>
          <cell r="AD33">
            <v>136573300000</v>
          </cell>
          <cell r="AE33">
            <v>134844000000</v>
          </cell>
          <cell r="AF33">
            <v>136293000000</v>
          </cell>
          <cell r="AG33">
            <v>148744000000</v>
          </cell>
          <cell r="AH33">
            <v>173946700000</v>
          </cell>
          <cell r="AI33">
            <v>191328100000</v>
          </cell>
          <cell r="AJ33">
            <v>209856900000</v>
          </cell>
          <cell r="AK33">
            <v>222754996100</v>
          </cell>
          <cell r="AL33">
            <v>225517151000</v>
          </cell>
          <cell r="AM33">
            <v>230846810700</v>
          </cell>
          <cell r="AN33">
            <v>246765466800</v>
          </cell>
          <cell r="AO33">
            <v>258889242800</v>
          </cell>
          <cell r="AP33">
            <v>338395625000</v>
          </cell>
          <cell r="AQ33">
            <v>396483543900</v>
          </cell>
          <cell r="AR33">
            <v>449029230300</v>
          </cell>
          <cell r="AS33">
            <v>637638774100</v>
          </cell>
          <cell r="AT33">
            <v>717818608000</v>
          </cell>
          <cell r="AU33">
            <v>755497575100</v>
          </cell>
          <cell r="AV33">
            <v>830107579300</v>
          </cell>
          <cell r="AW33">
            <v>977559857000</v>
          </cell>
          <cell r="AX33">
            <v>1189100034000</v>
          </cell>
          <cell r="AY33">
            <v>1300847584700</v>
          </cell>
          <cell r="AZ33">
            <v>1460847968900</v>
          </cell>
          <cell r="BA33">
            <v>1906040529400</v>
          </cell>
          <cell r="BB33">
            <v>2170595954200</v>
          </cell>
          <cell r="BC33">
            <v>2487747000000</v>
          </cell>
          <cell r="BD33">
            <v>2797534000000</v>
          </cell>
          <cell r="BE33">
            <v>3356410000000</v>
          </cell>
          <cell r="BF33">
            <v>3815300000000</v>
          </cell>
          <cell r="BG33">
            <v>4174499000000</v>
          </cell>
          <cell r="BH33">
            <v>4877193000000</v>
          </cell>
          <cell r="BI33">
            <v>4895701000000</v>
          </cell>
          <cell r="BJ33">
            <v>5476768000000</v>
          </cell>
          <cell r="BK33">
            <v>5425363500000</v>
          </cell>
          <cell r="BL33">
            <v>5572883163100</v>
          </cell>
          <cell r="BM33">
            <v>6271513822400</v>
          </cell>
        </row>
        <row r="34">
          <cell r="B34" t="str">
            <v>CPV</v>
          </cell>
          <cell r="C34" t="str">
            <v>GNI (current LCU)</v>
          </cell>
          <cell r="D34" t="str">
            <v>NY.GNP.MKTP.CN</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v>5578554100</v>
          </cell>
          <cell r="Z34">
            <v>6816858000</v>
          </cell>
          <cell r="AA34">
            <v>7937131000</v>
          </cell>
          <cell r="AB34">
            <v>9433980000</v>
          </cell>
          <cell r="AC34">
            <v>10823901100</v>
          </cell>
          <cell r="AD34">
            <v>12246764900</v>
          </cell>
          <cell r="AE34">
            <v>15064022000</v>
          </cell>
          <cell r="AF34">
            <v>17031649300</v>
          </cell>
          <cell r="AG34">
            <v>19101966900</v>
          </cell>
          <cell r="AH34">
            <v>21106227000</v>
          </cell>
          <cell r="AI34">
            <v>21652023100</v>
          </cell>
          <cell r="AJ34">
            <v>22923700600</v>
          </cell>
          <cell r="AK34">
            <v>24380525900</v>
          </cell>
          <cell r="AL34">
            <v>39520259400</v>
          </cell>
          <cell r="AM34">
            <v>33267324100</v>
          </cell>
          <cell r="AN34">
            <v>37241160200</v>
          </cell>
          <cell r="AO34">
            <v>41095724200</v>
          </cell>
          <cell r="AP34">
            <v>45350040400</v>
          </cell>
          <cell r="AQ34">
            <v>50686694000</v>
          </cell>
          <cell r="AR34">
            <v>60397824800</v>
          </cell>
          <cell r="AS34">
            <v>62856592600</v>
          </cell>
          <cell r="AT34">
            <v>68633438200</v>
          </cell>
          <cell r="AU34">
            <v>71032389500</v>
          </cell>
          <cell r="AV34">
            <v>78107382100</v>
          </cell>
          <cell r="AW34">
            <v>80470816700</v>
          </cell>
          <cell r="AX34">
            <v>83201117000</v>
          </cell>
          <cell r="AY34">
            <v>93432258400</v>
          </cell>
          <cell r="AZ34">
            <v>119444000000</v>
          </cell>
          <cell r="BA34">
            <v>131153000000</v>
          </cell>
          <cell r="BB34">
            <v>132437000000</v>
          </cell>
          <cell r="BC34">
            <v>132477000000</v>
          </cell>
          <cell r="BD34">
            <v>142126000000</v>
          </cell>
          <cell r="BE34">
            <v>143913622900</v>
          </cell>
          <cell r="BF34">
            <v>148356421900</v>
          </cell>
          <cell r="BG34">
            <v>146743762500</v>
          </cell>
          <cell r="BH34">
            <v>152829568100</v>
          </cell>
          <cell r="BI34">
            <v>159856555500</v>
          </cell>
          <cell r="BJ34">
            <v>167125774200</v>
          </cell>
          <cell r="BK34">
            <v>179329765900</v>
          </cell>
          <cell r="BL34">
            <v>190971759800</v>
          </cell>
          <cell r="BM34">
            <v>160849065000</v>
          </cell>
        </row>
        <row r="35">
          <cell r="B35" t="str">
            <v>KHM</v>
          </cell>
          <cell r="C35" t="str">
            <v>GNI (current LCU)</v>
          </cell>
          <cell r="D35" t="str">
            <v>NY.GNP.MKTP.CN</v>
          </cell>
          <cell r="E35">
            <v>22316138500</v>
          </cell>
          <cell r="F35">
            <v>22516283400</v>
          </cell>
          <cell r="G35">
            <v>23116716000</v>
          </cell>
          <cell r="H35">
            <v>25518452700</v>
          </cell>
          <cell r="I35">
            <v>27419828200</v>
          </cell>
          <cell r="J35">
            <v>30421999600</v>
          </cell>
          <cell r="K35">
            <v>32135000100</v>
          </cell>
          <cell r="L35">
            <v>33627000800</v>
          </cell>
          <cell r="M35">
            <v>37245001700</v>
          </cell>
          <cell r="N35">
            <v>41640001500</v>
          </cell>
          <cell r="O35">
            <v>39876001800</v>
          </cell>
          <cell r="P35">
            <v>69453996000</v>
          </cell>
          <cell r="Q35">
            <v>82304999400</v>
          </cell>
          <cell r="R35">
            <v>172033998800</v>
          </cell>
          <cell r="S35">
            <v>472956010500</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v>8284774324700</v>
          </cell>
          <cell r="AO35">
            <v>8978206450500</v>
          </cell>
          <cell r="AP35">
            <v>10028404968300</v>
          </cell>
          <cell r="AQ35">
            <v>11516079624900</v>
          </cell>
          <cell r="AR35">
            <v>13010640570500</v>
          </cell>
          <cell r="AS35">
            <v>13619654318600</v>
          </cell>
          <cell r="AT35">
            <v>15078497229500</v>
          </cell>
          <cell r="AU35">
            <v>16045763157100</v>
          </cell>
          <cell r="AV35">
            <v>17831410460500</v>
          </cell>
          <cell r="AW35">
            <v>20578514011000</v>
          </cell>
          <cell r="AX35">
            <v>24578405305700</v>
          </cell>
          <cell r="AY35">
            <v>28541834747000</v>
          </cell>
          <cell r="AZ35">
            <v>33722283736500</v>
          </cell>
          <cell r="BA35">
            <v>40242473397800</v>
          </cell>
          <cell r="BB35">
            <v>41191238746900</v>
          </cell>
          <cell r="BC35">
            <v>44894140226200</v>
          </cell>
          <cell r="BD35">
            <v>49633320720800</v>
          </cell>
          <cell r="BE35">
            <v>53738777454600</v>
          </cell>
          <cell r="BF35">
            <v>58698621103100</v>
          </cell>
          <cell r="BG35">
            <v>63895868593300</v>
          </cell>
          <cell r="BH35">
            <v>68927052860800</v>
          </cell>
          <cell r="BI35">
            <v>76255944356000</v>
          </cell>
          <cell r="BJ35">
            <v>84252912607200</v>
          </cell>
          <cell r="BK35">
            <v>92833274792400</v>
          </cell>
          <cell r="BL35">
            <v>103663089594600</v>
          </cell>
          <cell r="BM35">
            <v>101493807373800</v>
          </cell>
        </row>
        <row r="36">
          <cell r="B36" t="str">
            <v>CMR</v>
          </cell>
          <cell r="C36" t="str">
            <v>GNI (current LCU)</v>
          </cell>
          <cell r="D36" t="str">
            <v>NY.GNP.MKTP.CN</v>
          </cell>
          <cell r="E36" t="str">
            <v>..</v>
          </cell>
          <cell r="F36" t="str">
            <v>..</v>
          </cell>
          <cell r="G36" t="str">
            <v>..</v>
          </cell>
          <cell r="H36" t="str">
            <v>..</v>
          </cell>
          <cell r="I36" t="str">
            <v>..</v>
          </cell>
          <cell r="J36" t="str">
            <v>..</v>
          </cell>
          <cell r="K36" t="str">
            <v>..</v>
          </cell>
          <cell r="L36">
            <v>191399993300</v>
          </cell>
          <cell r="M36">
            <v>219100008400</v>
          </cell>
          <cell r="N36">
            <v>248999997400</v>
          </cell>
          <cell r="O36">
            <v>281099989000</v>
          </cell>
          <cell r="P36">
            <v>308199800800</v>
          </cell>
          <cell r="Q36">
            <v>347000868900</v>
          </cell>
          <cell r="R36">
            <v>364100014100</v>
          </cell>
          <cell r="S36">
            <v>451599990800</v>
          </cell>
          <cell r="T36">
            <v>544499966000</v>
          </cell>
          <cell r="U36">
            <v>612000038900</v>
          </cell>
          <cell r="V36">
            <v>645600002000</v>
          </cell>
          <cell r="W36">
            <v>962200010800</v>
          </cell>
          <cell r="X36">
            <v>1186239553500</v>
          </cell>
          <cell r="Y36">
            <v>1175299981300</v>
          </cell>
          <cell r="Z36">
            <v>1616399958000</v>
          </cell>
          <cell r="AA36">
            <v>2039800053800</v>
          </cell>
          <cell r="AB36">
            <v>2465299890200</v>
          </cell>
          <cell r="AC36">
            <v>3083300061200</v>
          </cell>
          <cell r="AD36">
            <v>3719066886100</v>
          </cell>
          <cell r="AE36">
            <v>4052968566800</v>
          </cell>
          <cell r="AF36">
            <v>3871201216600</v>
          </cell>
          <cell r="AG36">
            <v>3631756426900</v>
          </cell>
          <cell r="AH36">
            <v>3444494525500</v>
          </cell>
          <cell r="AI36">
            <v>3209120003600</v>
          </cell>
          <cell r="AJ36">
            <v>3132100060400</v>
          </cell>
          <cell r="AK36">
            <v>3014265259200</v>
          </cell>
          <cell r="AL36">
            <v>4388345592600</v>
          </cell>
          <cell r="AM36">
            <v>4705039469900</v>
          </cell>
          <cell r="AN36">
            <v>5149334091100</v>
          </cell>
          <cell r="AO36">
            <v>5378526749800</v>
          </cell>
          <cell r="AP36">
            <v>5967839579000</v>
          </cell>
          <cell r="AQ36">
            <v>6382803448200</v>
          </cell>
          <cell r="AR36">
            <v>6843246357600</v>
          </cell>
          <cell r="AS36">
            <v>7081946879700</v>
          </cell>
          <cell r="AT36">
            <v>7512231288600</v>
          </cell>
          <cell r="AU36">
            <v>8145058028200</v>
          </cell>
          <cell r="AV36">
            <v>8955672925500</v>
          </cell>
          <cell r="AW36">
            <v>9715044773600</v>
          </cell>
          <cell r="AX36">
            <v>10028941863800</v>
          </cell>
          <cell r="AY36">
            <v>10792382316600</v>
          </cell>
          <cell r="AZ36">
            <v>11213065667600</v>
          </cell>
          <cell r="BA36">
            <v>12176192496000</v>
          </cell>
          <cell r="BB36">
            <v>13083009740700</v>
          </cell>
          <cell r="BC36">
            <v>13479803550400</v>
          </cell>
          <cell r="BD36">
            <v>14291719268600</v>
          </cell>
          <cell r="BE36">
            <v>15168464011800</v>
          </cell>
          <cell r="BF36">
            <v>16352553318900</v>
          </cell>
          <cell r="BG36">
            <v>17822997132600</v>
          </cell>
          <cell r="BH36">
            <v>18784766557100</v>
          </cell>
          <cell r="BI36">
            <v>19707566000000</v>
          </cell>
          <cell r="BJ36">
            <v>20576865000000</v>
          </cell>
          <cell r="BK36">
            <v>21792329000000</v>
          </cell>
          <cell r="BL36">
            <v>22749662000000</v>
          </cell>
          <cell r="BM36">
            <v>22977470000000</v>
          </cell>
        </row>
        <row r="37">
          <cell r="B37" t="str">
            <v>CAN</v>
          </cell>
          <cell r="C37" t="str">
            <v>GNI (current LCU)</v>
          </cell>
          <cell r="D37" t="str">
            <v>NY.GNP.MKTP.CN</v>
          </cell>
          <cell r="E37" t="str">
            <v>..</v>
          </cell>
          <cell r="F37" t="str">
            <v>..</v>
          </cell>
          <cell r="G37" t="str">
            <v>..</v>
          </cell>
          <cell r="H37" t="str">
            <v>..</v>
          </cell>
          <cell r="I37" t="str">
            <v>..</v>
          </cell>
          <cell r="J37" t="str">
            <v>..</v>
          </cell>
          <cell r="K37" t="str">
            <v>..</v>
          </cell>
          <cell r="L37" t="str">
            <v>..</v>
          </cell>
          <cell r="M37" t="str">
            <v>..</v>
          </cell>
          <cell r="N37" t="str">
            <v>..</v>
          </cell>
          <cell r="O37">
            <v>90807644000</v>
          </cell>
          <cell r="P37">
            <v>99120962000</v>
          </cell>
          <cell r="Q37">
            <v>110842199000</v>
          </cell>
          <cell r="R37">
            <v>129960889000</v>
          </cell>
          <cell r="S37">
            <v>155091990000</v>
          </cell>
          <cell r="T37">
            <v>174757541000</v>
          </cell>
          <cell r="U37">
            <v>200735000000</v>
          </cell>
          <cell r="V37">
            <v>221085406000</v>
          </cell>
          <cell r="W37">
            <v>244081191000</v>
          </cell>
          <cell r="X37">
            <v>277970254000</v>
          </cell>
          <cell r="Y37">
            <v>312621858000</v>
          </cell>
          <cell r="Z37">
            <v>356058000000</v>
          </cell>
          <cell r="AA37">
            <v>374774000000</v>
          </cell>
          <cell r="AB37">
            <v>408970000000</v>
          </cell>
          <cell r="AC37">
            <v>447689000000</v>
          </cell>
          <cell r="AD37">
            <v>484745000000</v>
          </cell>
          <cell r="AE37">
            <v>508907000000</v>
          </cell>
          <cell r="AF37">
            <v>556631000000</v>
          </cell>
          <cell r="AG37">
            <v>606599000000</v>
          </cell>
          <cell r="AH37">
            <v>648488000000</v>
          </cell>
          <cell r="AI37">
            <v>670475000000</v>
          </cell>
          <cell r="AJ37">
            <v>678516000000</v>
          </cell>
          <cell r="AK37">
            <v>692682000000</v>
          </cell>
          <cell r="AL37">
            <v>721646000000</v>
          </cell>
          <cell r="AM37">
            <v>763606000000</v>
          </cell>
          <cell r="AN37">
            <v>802973000000</v>
          </cell>
          <cell r="AO37">
            <v>831266000000</v>
          </cell>
          <cell r="AP37">
            <v>878793000000</v>
          </cell>
          <cell r="AQ37">
            <v>908903000000</v>
          </cell>
          <cell r="AR37">
            <v>974002000000</v>
          </cell>
          <cell r="AS37">
            <v>1077050000000</v>
          </cell>
          <cell r="AT37">
            <v>1112316000000</v>
          </cell>
          <cell r="AU37">
            <v>1163490000000</v>
          </cell>
          <cell r="AV37">
            <v>1223883000000</v>
          </cell>
          <cell r="AW37">
            <v>1306941000000</v>
          </cell>
          <cell r="AX37">
            <v>1392523000000</v>
          </cell>
          <cell r="AY37">
            <v>1472788000000</v>
          </cell>
          <cell r="AZ37">
            <v>1554438000000</v>
          </cell>
          <cell r="BA37">
            <v>1632695000000</v>
          </cell>
          <cell r="BB37">
            <v>1544278000000</v>
          </cell>
          <cell r="BC37">
            <v>1633120000000</v>
          </cell>
          <cell r="BD37">
            <v>1740554000000</v>
          </cell>
          <cell r="BE37">
            <v>1794779000000</v>
          </cell>
          <cell r="BF37">
            <v>1873275000000</v>
          </cell>
          <cell r="BG37">
            <v>1962663000000</v>
          </cell>
          <cell r="BH37">
            <v>1959949000000</v>
          </cell>
          <cell r="BI37">
            <v>2000788000000</v>
          </cell>
          <cell r="BJ37">
            <v>2113418000000</v>
          </cell>
          <cell r="BK37">
            <v>2197663000000</v>
          </cell>
          <cell r="BL37">
            <v>2281605000000</v>
          </cell>
          <cell r="BM37">
            <v>2182121000000</v>
          </cell>
        </row>
        <row r="38">
          <cell r="B38" t="str">
            <v>CYM</v>
          </cell>
          <cell r="C38" t="str">
            <v>GNI (current LCU)</v>
          </cell>
          <cell r="D38" t="str">
            <v>NY.GNP.MKTP.CN</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v>3278430400</v>
          </cell>
          <cell r="BD38">
            <v>3370165300</v>
          </cell>
          <cell r="BE38">
            <v>2420815800</v>
          </cell>
          <cell r="BF38">
            <v>2205045200</v>
          </cell>
          <cell r="BG38">
            <v>2193643300</v>
          </cell>
          <cell r="BH38">
            <v>2327495600</v>
          </cell>
          <cell r="BI38">
            <v>2458929600</v>
          </cell>
          <cell r="BJ38">
            <v>2883704000</v>
          </cell>
          <cell r="BK38">
            <v>3210661100</v>
          </cell>
          <cell r="BL38">
            <v>3744168400</v>
          </cell>
          <cell r="BM38">
            <v>3524100000</v>
          </cell>
        </row>
        <row r="39">
          <cell r="B39" t="str">
            <v>CAF</v>
          </cell>
          <cell r="C39" t="str">
            <v>GNI (current LCU)</v>
          </cell>
          <cell r="D39" t="str">
            <v>NY.GNP.MKTP.CN</v>
          </cell>
          <cell r="E39">
            <v>27399997400</v>
          </cell>
          <cell r="F39">
            <v>30100008900</v>
          </cell>
          <cell r="G39">
            <v>30400000000</v>
          </cell>
          <cell r="H39">
            <v>31600009200</v>
          </cell>
          <cell r="I39">
            <v>34700001300</v>
          </cell>
          <cell r="J39">
            <v>36800008000</v>
          </cell>
          <cell r="K39">
            <v>38699992000</v>
          </cell>
          <cell r="L39">
            <v>40199992000</v>
          </cell>
          <cell r="M39">
            <v>46657886800</v>
          </cell>
          <cell r="N39">
            <v>48596825000</v>
          </cell>
          <cell r="O39">
            <v>51772130500</v>
          </cell>
          <cell r="P39">
            <v>54779730300</v>
          </cell>
          <cell r="Q39">
            <v>57525632500</v>
          </cell>
          <cell r="R39">
            <v>59752925800</v>
          </cell>
          <cell r="S39">
            <v>67155021000</v>
          </cell>
          <cell r="T39">
            <v>80735395100</v>
          </cell>
          <cell r="U39">
            <v>107637580000</v>
          </cell>
          <cell r="V39">
            <v>124483849500</v>
          </cell>
          <cell r="W39">
            <v>138051432300</v>
          </cell>
          <cell r="X39">
            <v>147919135800</v>
          </cell>
          <cell r="Y39">
            <v>168941988800</v>
          </cell>
          <cell r="Z39">
            <v>189697060000</v>
          </cell>
          <cell r="AA39">
            <v>243513466100</v>
          </cell>
          <cell r="AB39">
            <v>246927309000</v>
          </cell>
          <cell r="AC39">
            <v>274477391600</v>
          </cell>
          <cell r="AD39">
            <v>385265394700</v>
          </cell>
          <cell r="AE39">
            <v>384352818000</v>
          </cell>
          <cell r="AF39">
            <v>353695967900</v>
          </cell>
          <cell r="AG39">
            <v>368557948100</v>
          </cell>
          <cell r="AH39">
            <v>385456699400</v>
          </cell>
          <cell r="AI39">
            <v>386145933900</v>
          </cell>
          <cell r="AJ39">
            <v>384019875800</v>
          </cell>
          <cell r="AK39">
            <v>369622984500</v>
          </cell>
          <cell r="AL39">
            <v>356802981300</v>
          </cell>
          <cell r="AM39">
            <v>461029780000</v>
          </cell>
          <cell r="AN39">
            <v>546264381800</v>
          </cell>
          <cell r="AO39">
            <v>504755316900</v>
          </cell>
          <cell r="AP39">
            <v>538144979800</v>
          </cell>
          <cell r="AQ39">
            <v>559632906600</v>
          </cell>
          <cell r="AR39">
            <v>610363587600</v>
          </cell>
          <cell r="AS39">
            <v>641801127700</v>
          </cell>
          <cell r="AT39">
            <v>677334987300</v>
          </cell>
          <cell r="AU39">
            <v>684658050200</v>
          </cell>
          <cell r="AV39">
            <v>660805571500</v>
          </cell>
          <cell r="AW39">
            <v>663665979200</v>
          </cell>
          <cell r="AX39">
            <v>700024471900</v>
          </cell>
          <cell r="AY39">
            <v>757714338600</v>
          </cell>
          <cell r="AZ39">
            <v>808461643000</v>
          </cell>
          <cell r="BA39">
            <v>878813068800</v>
          </cell>
          <cell r="BB39">
            <v>969523912700</v>
          </cell>
          <cell r="BC39">
            <v>1064913462400</v>
          </cell>
          <cell r="BD39">
            <v>1153480453300</v>
          </cell>
          <cell r="BE39">
            <v>1287290235800</v>
          </cell>
          <cell r="BF39">
            <v>842942967400</v>
          </cell>
          <cell r="BG39">
            <v>945306753000</v>
          </cell>
          <cell r="BH39">
            <v>1015039667800</v>
          </cell>
          <cell r="BI39">
            <v>1095005850100</v>
          </cell>
          <cell r="BJ39">
            <v>1264633000000</v>
          </cell>
          <cell r="BK39">
            <v>1325709299800</v>
          </cell>
          <cell r="BL39">
            <v>1397997427600</v>
          </cell>
          <cell r="BM39">
            <v>1414092781100</v>
          </cell>
        </row>
        <row r="40">
          <cell r="B40" t="str">
            <v>TCD</v>
          </cell>
          <cell r="C40" t="str">
            <v>GNI (current LCU)</v>
          </cell>
          <cell r="D40" t="str">
            <v>NY.GNP.MKTP.CN</v>
          </cell>
          <cell r="E40">
            <v>76368846800</v>
          </cell>
          <cell r="F40">
            <v>81154272100</v>
          </cell>
          <cell r="G40">
            <v>86782824300</v>
          </cell>
          <cell r="H40">
            <v>90281028200</v>
          </cell>
          <cell r="I40">
            <v>95353432900</v>
          </cell>
          <cell r="J40">
            <v>101331848400</v>
          </cell>
          <cell r="K40">
            <v>105529714900</v>
          </cell>
          <cell r="L40">
            <v>111193988400</v>
          </cell>
          <cell r="M40">
            <v>112557812200</v>
          </cell>
          <cell r="N40">
            <v>123202517100</v>
          </cell>
          <cell r="O40">
            <v>130571729200</v>
          </cell>
          <cell r="P40">
            <v>138943980100</v>
          </cell>
          <cell r="Q40">
            <v>148513637900</v>
          </cell>
          <cell r="R40">
            <v>145090872100</v>
          </cell>
          <cell r="S40">
            <v>158020311800</v>
          </cell>
          <cell r="T40">
            <v>186930211700</v>
          </cell>
          <cell r="U40">
            <v>208899117900</v>
          </cell>
          <cell r="V40">
            <v>231295096400</v>
          </cell>
          <cell r="W40">
            <v>252700455500</v>
          </cell>
          <cell r="X40">
            <v>213158097300</v>
          </cell>
          <cell r="Y40">
            <v>219320066800</v>
          </cell>
          <cell r="Z40">
            <v>237346035100</v>
          </cell>
          <cell r="AA40">
            <v>273495167400</v>
          </cell>
          <cell r="AB40">
            <v>315022390900</v>
          </cell>
          <cell r="AC40">
            <v>398337706200</v>
          </cell>
          <cell r="AD40">
            <v>461660161300</v>
          </cell>
          <cell r="AE40">
            <v>366745173900</v>
          </cell>
          <cell r="AF40">
            <v>346441915600</v>
          </cell>
          <cell r="AG40">
            <v>437612655900</v>
          </cell>
          <cell r="AH40">
            <v>454347753400</v>
          </cell>
          <cell r="AI40">
            <v>468504809800</v>
          </cell>
          <cell r="AJ40">
            <v>528845576400</v>
          </cell>
          <cell r="AK40">
            <v>498858625600</v>
          </cell>
          <cell r="AL40">
            <v>402995469400</v>
          </cell>
          <cell r="AM40">
            <v>650683140700</v>
          </cell>
          <cell r="AN40">
            <v>719159647500</v>
          </cell>
          <cell r="AO40">
            <v>817019397700</v>
          </cell>
          <cell r="AP40">
            <v>891908005600</v>
          </cell>
          <cell r="AQ40">
            <v>1028944596800</v>
          </cell>
          <cell r="AR40">
            <v>943897264400</v>
          </cell>
          <cell r="AS40">
            <v>973692140000</v>
          </cell>
          <cell r="AT40">
            <v>1236503386300</v>
          </cell>
          <cell r="AU40">
            <v>1343709537100</v>
          </cell>
          <cell r="AV40">
            <v>1324733730600</v>
          </cell>
          <cell r="AW40">
            <v>1965462014900</v>
          </cell>
          <cell r="AX40">
            <v>2965510216100</v>
          </cell>
          <cell r="AY40">
            <v>3247790873600</v>
          </cell>
          <cell r="AZ40">
            <v>3566047589300</v>
          </cell>
          <cell r="BA40">
            <v>3891350285500</v>
          </cell>
          <cell r="BB40">
            <v>4187368423300</v>
          </cell>
          <cell r="BC40">
            <v>5102516425000</v>
          </cell>
          <cell r="BD40">
            <v>5587183821300</v>
          </cell>
          <cell r="BE40">
            <v>6161235440000</v>
          </cell>
          <cell r="BF40">
            <v>6105746000000</v>
          </cell>
          <cell r="BG40">
            <v>6585044600000</v>
          </cell>
          <cell r="BH40">
            <v>6277768000000</v>
          </cell>
          <cell r="BI40">
            <v>5873727500000</v>
          </cell>
          <cell r="BJ40">
            <v>5730796500000</v>
          </cell>
          <cell r="BK40">
            <v>6151579807800</v>
          </cell>
          <cell r="BL40">
            <v>6527633628000</v>
          </cell>
          <cell r="BM40">
            <v>5726059228100</v>
          </cell>
        </row>
        <row r="41">
          <cell r="B41" t="str">
            <v>CHI</v>
          </cell>
          <cell r="C41" t="str">
            <v>GNI (current LCU)</v>
          </cell>
          <cell r="D41" t="str">
            <v>NY.GNP.MKTP.CN</v>
          </cell>
          <cell r="E41" t="str">
            <v>..</v>
          </cell>
          <cell r="F41" t="str">
            <v>..</v>
          </cell>
          <cell r="G41" t="str">
            <v>..</v>
          </cell>
          <cell r="H41" t="str">
            <v>..</v>
          </cell>
          <cell r="I41" t="str">
            <v>..</v>
          </cell>
          <cell r="J41" t="str">
            <v>..</v>
          </cell>
          <cell r="K41" t="str">
            <v>..</v>
          </cell>
          <cell r="L41" t="str">
            <v>..</v>
          </cell>
          <cell r="M41" t="str">
            <v>..</v>
          </cell>
          <cell r="N41" t="str">
            <v>..</v>
          </cell>
          <cell r="O41">
            <v>122999952</v>
          </cell>
          <cell r="P41">
            <v>142099984</v>
          </cell>
          <cell r="Q41">
            <v>166999984</v>
          </cell>
          <cell r="R41">
            <v>221200048</v>
          </cell>
          <cell r="S41">
            <v>267999984</v>
          </cell>
          <cell r="T41">
            <v>307800064</v>
          </cell>
          <cell r="U41">
            <v>365299968</v>
          </cell>
          <cell r="V41">
            <v>415800064</v>
          </cell>
          <cell r="W41">
            <v>496300032</v>
          </cell>
          <cell r="X41">
            <v>550500096</v>
          </cell>
          <cell r="Y41">
            <v>662300160</v>
          </cell>
          <cell r="Z41">
            <v>716600064</v>
          </cell>
          <cell r="AA41">
            <v>791000064</v>
          </cell>
          <cell r="AB41">
            <v>878600192</v>
          </cell>
          <cell r="AC41">
            <v>928600064</v>
          </cell>
          <cell r="AD41">
            <v>1004300032</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v>3644000000</v>
          </cell>
          <cell r="AR41">
            <v>3836000000</v>
          </cell>
          <cell r="AS41">
            <v>4126000000</v>
          </cell>
          <cell r="AT41">
            <v>4224000000</v>
          </cell>
          <cell r="AU41">
            <v>4325000000</v>
          </cell>
          <cell r="AV41">
            <v>4394000000</v>
          </cell>
          <cell r="AW41">
            <v>4527000000</v>
          </cell>
          <cell r="AX41">
            <v>4682000000</v>
          </cell>
          <cell r="AY41">
            <v>5003000000</v>
          </cell>
          <cell r="AZ41">
            <v>5442000000</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row>
        <row r="42">
          <cell r="B42" t="str">
            <v>CHL</v>
          </cell>
          <cell r="C42" t="str">
            <v>GNI (current LCU)</v>
          </cell>
          <cell r="D42" t="str">
            <v>NY.GNP.MKTP.CN</v>
          </cell>
          <cell r="E42">
            <v>4442000</v>
          </cell>
          <cell r="F42">
            <v>4989500</v>
          </cell>
          <cell r="G42">
            <v>5862500</v>
          </cell>
          <cell r="H42">
            <v>8923200</v>
          </cell>
          <cell r="I42">
            <v>13520800</v>
          </cell>
          <cell r="J42">
            <v>18886700</v>
          </cell>
          <cell r="K42">
            <v>26871600</v>
          </cell>
          <cell r="L42">
            <v>34689300</v>
          </cell>
          <cell r="M42">
            <v>47973100</v>
          </cell>
          <cell r="N42">
            <v>70076500</v>
          </cell>
          <cell r="O42">
            <v>100878600</v>
          </cell>
          <cell r="P42">
            <v>131339500</v>
          </cell>
          <cell r="Q42">
            <v>245323900</v>
          </cell>
          <cell r="R42">
            <v>1197624400</v>
          </cell>
          <cell r="S42">
            <v>9500151200</v>
          </cell>
          <cell r="T42">
            <v>36029546800</v>
          </cell>
          <cell r="U42">
            <v>130707771500</v>
          </cell>
          <cell r="V42">
            <v>292897991600</v>
          </cell>
          <cell r="W42">
            <v>490761598700</v>
          </cell>
          <cell r="X42">
            <v>787031876900</v>
          </cell>
          <cell r="Y42">
            <v>1096165585000</v>
          </cell>
          <cell r="Z42">
            <v>1288808743700</v>
          </cell>
          <cell r="AA42">
            <v>1191536133100</v>
          </cell>
          <cell r="AB42">
            <v>1466163415800</v>
          </cell>
          <cell r="AC42">
            <v>1733029264200</v>
          </cell>
          <cell r="AD42">
            <v>2512583144400</v>
          </cell>
          <cell r="AE42">
            <v>3270809048600</v>
          </cell>
          <cell r="AF42">
            <v>4498660000100</v>
          </cell>
          <cell r="AG42">
            <v>5895555701600</v>
          </cell>
          <cell r="AH42">
            <v>7446335648900</v>
          </cell>
          <cell r="AI42">
            <v>9559996395700</v>
          </cell>
          <cell r="AJ42">
            <v>12528260666500</v>
          </cell>
          <cell r="AK42">
            <v>15969389886300</v>
          </cell>
          <cell r="AL42">
            <v>19234992966000</v>
          </cell>
          <cell r="AM42">
            <v>22881524140800</v>
          </cell>
          <cell r="AN42">
            <v>28035197313200</v>
          </cell>
          <cell r="AO42">
            <v>31140346439800.102</v>
          </cell>
          <cell r="AP42">
            <v>34526270824416.301</v>
          </cell>
          <cell r="AQ42">
            <v>36704368583387</v>
          </cell>
          <cell r="AR42">
            <v>37154653163864.203</v>
          </cell>
          <cell r="AS42">
            <v>40528977747447.398</v>
          </cell>
          <cell r="AT42">
            <v>43577049112340.203</v>
          </cell>
          <cell r="AU42">
            <v>46181735524623.703</v>
          </cell>
          <cell r="AV42">
            <v>49118517513494.602</v>
          </cell>
          <cell r="AW42">
            <v>55513457101251.398</v>
          </cell>
          <cell r="AX42">
            <v>62874928603562.203</v>
          </cell>
          <cell r="AY42">
            <v>72123146067135.406</v>
          </cell>
          <cell r="AZ42">
            <v>80585926125906.406</v>
          </cell>
          <cell r="BA42">
            <v>86550405189493</v>
          </cell>
          <cell r="BB42">
            <v>90089408254893.906</v>
          </cell>
          <cell r="BC42">
            <v>103639271033168</v>
          </cell>
          <cell r="BD42">
            <v>113307322019488</v>
          </cell>
          <cell r="BE42">
            <v>123149059043547</v>
          </cell>
          <cell r="BF42">
            <v>130902279729109</v>
          </cell>
          <cell r="BG42">
            <v>142905861822963</v>
          </cell>
          <cell r="BH42">
            <v>154746895330059</v>
          </cell>
          <cell r="BI42">
            <v>164247057866789</v>
          </cell>
          <cell r="BJ42">
            <v>172315384750248</v>
          </cell>
          <cell r="BK42">
            <v>182190140025405</v>
          </cell>
          <cell r="BL42">
            <v>189280359600732</v>
          </cell>
          <cell r="BM42">
            <v>191843945422898</v>
          </cell>
        </row>
        <row r="43">
          <cell r="B43" t="str">
            <v>CHN</v>
          </cell>
          <cell r="C43" t="str">
            <v>GNI (current LCU)</v>
          </cell>
          <cell r="D43" t="str">
            <v>NY.GNP.MKTP.CN</v>
          </cell>
          <cell r="E43">
            <v>147010000000</v>
          </cell>
          <cell r="F43">
            <v>123230000000</v>
          </cell>
          <cell r="G43">
            <v>116220000000</v>
          </cell>
          <cell r="H43">
            <v>124830000000</v>
          </cell>
          <cell r="I43">
            <v>146990000000</v>
          </cell>
          <cell r="J43">
            <v>173400000000</v>
          </cell>
          <cell r="K43">
            <v>188870000000</v>
          </cell>
          <cell r="L43">
            <v>179420000000</v>
          </cell>
          <cell r="M43">
            <v>174410000000</v>
          </cell>
          <cell r="N43">
            <v>196220000000</v>
          </cell>
          <cell r="O43">
            <v>227970000000</v>
          </cell>
          <cell r="P43">
            <v>245690000000</v>
          </cell>
          <cell r="Q43">
            <v>255240000000</v>
          </cell>
          <cell r="R43">
            <v>275620000000</v>
          </cell>
          <cell r="S43">
            <v>282770000000</v>
          </cell>
          <cell r="T43">
            <v>303950000000</v>
          </cell>
          <cell r="U43">
            <v>298860000000</v>
          </cell>
          <cell r="V43">
            <v>325000000000</v>
          </cell>
          <cell r="W43">
            <v>367870251960</v>
          </cell>
          <cell r="X43">
            <v>410045367150</v>
          </cell>
          <cell r="Y43">
            <v>458758107780</v>
          </cell>
          <cell r="Z43">
            <v>493373283730</v>
          </cell>
          <cell r="AA43">
            <v>538046593630</v>
          </cell>
          <cell r="AB43">
            <v>604380270670</v>
          </cell>
          <cell r="AC43">
            <v>731419848680</v>
          </cell>
          <cell r="AD43">
            <v>912364567410</v>
          </cell>
          <cell r="AE43">
            <v>1037536030970</v>
          </cell>
          <cell r="AF43">
            <v>1216659215950</v>
          </cell>
          <cell r="AG43">
            <v>1517439389570</v>
          </cell>
          <cell r="AH43">
            <v>1718836381380</v>
          </cell>
          <cell r="AI43">
            <v>1892333158720</v>
          </cell>
          <cell r="AJ43">
            <v>2205034417800</v>
          </cell>
          <cell r="AK43">
            <v>2720820710800</v>
          </cell>
          <cell r="AL43">
            <v>3559924627800</v>
          </cell>
          <cell r="AM43">
            <v>4854816060200</v>
          </cell>
          <cell r="AN43">
            <v>6035664459700</v>
          </cell>
          <cell r="AO43">
            <v>7077959253300</v>
          </cell>
          <cell r="AP43">
            <v>7880286225600</v>
          </cell>
          <cell r="AQ43">
            <v>8381755802600</v>
          </cell>
          <cell r="AR43">
            <v>8936648242200</v>
          </cell>
          <cell r="AS43">
            <v>9906606709100</v>
          </cell>
          <cell r="AT43">
            <v>10927615244900</v>
          </cell>
          <cell r="AU43">
            <v>12048041483800</v>
          </cell>
          <cell r="AV43">
            <v>13657625062500</v>
          </cell>
          <cell r="AW43">
            <v>16141542777200</v>
          </cell>
          <cell r="AX43">
            <v>18599890870900</v>
          </cell>
          <cell r="AY43">
            <v>21902845445600</v>
          </cell>
          <cell r="AZ43">
            <v>27070401701700</v>
          </cell>
          <cell r="BA43">
            <v>32122952447600</v>
          </cell>
          <cell r="BB43">
            <v>34793488315900</v>
          </cell>
          <cell r="BC43">
            <v>41035411014100</v>
          </cell>
          <cell r="BD43">
            <v>48339279474500</v>
          </cell>
          <cell r="BE43">
            <v>53732900779800</v>
          </cell>
          <cell r="BF43">
            <v>58814121119000</v>
          </cell>
          <cell r="BG43">
            <v>64438015191400</v>
          </cell>
          <cell r="BH43">
            <v>68557120000000</v>
          </cell>
          <cell r="BI43">
            <v>74269410000000</v>
          </cell>
          <cell r="BJ43">
            <v>83094570000000</v>
          </cell>
          <cell r="BK43">
            <v>91524350000000</v>
          </cell>
          <cell r="BL43">
            <v>98375120000000</v>
          </cell>
          <cell r="BM43">
            <v>100878250000000</v>
          </cell>
        </row>
        <row r="44">
          <cell r="B44" t="str">
            <v>COL</v>
          </cell>
          <cell r="C44" t="str">
            <v>GNI (current LCU)</v>
          </cell>
          <cell r="D44" t="str">
            <v>NY.GNP.MKTP.CN</v>
          </cell>
          <cell r="E44">
            <v>26666073500</v>
          </cell>
          <cell r="F44">
            <v>30315933800</v>
          </cell>
          <cell r="G44">
            <v>34051664400</v>
          </cell>
          <cell r="H44">
            <v>43167949800</v>
          </cell>
          <cell r="I44">
            <v>53550789200</v>
          </cell>
          <cell r="J44">
            <v>59797600000</v>
          </cell>
          <cell r="K44">
            <v>72612300000</v>
          </cell>
          <cell r="L44">
            <v>81082700000</v>
          </cell>
          <cell r="M44">
            <v>95472933333.424896</v>
          </cell>
          <cell r="N44">
            <v>109441741300.12199</v>
          </cell>
          <cell r="O44">
            <v>129577343700.17101</v>
          </cell>
          <cell r="P44">
            <v>152390665213.138</v>
          </cell>
          <cell r="Q44">
            <v>185292736094.272</v>
          </cell>
          <cell r="R44">
            <v>238177574701.95001</v>
          </cell>
          <cell r="S44">
            <v>317546412909.87402</v>
          </cell>
          <cell r="T44">
            <v>395146692561.03198</v>
          </cell>
          <cell r="U44">
            <v>519902576065.70001</v>
          </cell>
          <cell r="V44">
            <v>704348608037.47998</v>
          </cell>
          <cell r="W44">
            <v>896169644884.422</v>
          </cell>
          <cell r="X44">
            <v>1176425654524.79</v>
          </cell>
          <cell r="Y44">
            <v>1567535002243.03</v>
          </cell>
          <cell r="Z44">
            <v>1956387117260.75</v>
          </cell>
          <cell r="AA44">
            <v>2435237814379.1299</v>
          </cell>
          <cell r="AB44">
            <v>2958329025500.5098</v>
          </cell>
          <cell r="AC44">
            <v>3697796844375.6602</v>
          </cell>
          <cell r="AD44">
            <v>4727510958333.75</v>
          </cell>
          <cell r="AE44">
            <v>6448387043666.6699</v>
          </cell>
          <cell r="AF44">
            <v>8341619075000</v>
          </cell>
          <cell r="AG44">
            <v>11209289660833.301</v>
          </cell>
          <cell r="AH44">
            <v>14247193976416.699</v>
          </cell>
          <cell r="AI44">
            <v>22872465428750</v>
          </cell>
          <cell r="AJ44">
            <v>29808034037800</v>
          </cell>
          <cell r="AK44">
            <v>38195635652400</v>
          </cell>
          <cell r="AL44">
            <v>50733361508400</v>
          </cell>
          <cell r="AM44">
            <v>66300906959300</v>
          </cell>
          <cell r="AN44">
            <v>82982054503900</v>
          </cell>
          <cell r="AO44">
            <v>98573299331000</v>
          </cell>
          <cell r="AP44">
            <v>119053900700700</v>
          </cell>
          <cell r="AQ44">
            <v>138063754793600</v>
          </cell>
          <cell r="AR44">
            <v>149184921068000</v>
          </cell>
          <cell r="AS44">
            <v>204028556833000</v>
          </cell>
          <cell r="AT44">
            <v>220277195216400</v>
          </cell>
          <cell r="AU44">
            <v>238733413817000</v>
          </cell>
          <cell r="AV44">
            <v>263043220516300</v>
          </cell>
          <cell r="AW44">
            <v>297078585469900</v>
          </cell>
          <cell r="AX44">
            <v>329466000000000</v>
          </cell>
          <cell r="AY44">
            <v>371576000000000</v>
          </cell>
          <cell r="AZ44">
            <v>415511000000000</v>
          </cell>
          <cell r="BA44">
            <v>460086000000000</v>
          </cell>
          <cell r="BB44">
            <v>486165000000000</v>
          </cell>
          <cell r="BC44">
            <v>524148000000000</v>
          </cell>
          <cell r="BD44">
            <v>592552000000000</v>
          </cell>
          <cell r="BE44">
            <v>641127000000000</v>
          </cell>
          <cell r="BF44">
            <v>689033000000000</v>
          </cell>
          <cell r="BG44">
            <v>740397000000000</v>
          </cell>
          <cell r="BH44">
            <v>793476000000000</v>
          </cell>
          <cell r="BI44">
            <v>854483000000001</v>
          </cell>
          <cell r="BJ44">
            <v>903642000000000</v>
          </cell>
          <cell r="BK44">
            <v>962367000000001</v>
          </cell>
          <cell r="BL44">
            <v>1036310000000000</v>
          </cell>
          <cell r="BM44">
            <v>983179214810163</v>
          </cell>
        </row>
        <row r="45">
          <cell r="B45" t="str">
            <v>COM</v>
          </cell>
          <cell r="C45" t="str">
            <v>GNI (current LCU)</v>
          </cell>
          <cell r="D45" t="str">
            <v>NY.GNP.MKTP.CN</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v>44970590300</v>
          </cell>
          <cell r="Z45">
            <v>53424863100</v>
          </cell>
          <cell r="AA45">
            <v>60652233700</v>
          </cell>
          <cell r="AB45">
            <v>72828331200</v>
          </cell>
          <cell r="AC45">
            <v>80429607400</v>
          </cell>
          <cell r="AD45">
            <v>87854230800</v>
          </cell>
          <cell r="AE45">
            <v>96160436600</v>
          </cell>
          <cell r="AF45">
            <v>101144300000</v>
          </cell>
          <cell r="AG45">
            <v>105515510000</v>
          </cell>
          <cell r="AH45">
            <v>109338160000</v>
          </cell>
          <cell r="AI45">
            <v>116778000000</v>
          </cell>
          <cell r="AJ45">
            <v>119499000000</v>
          </cell>
          <cell r="AK45">
            <v>122090000000</v>
          </cell>
          <cell r="AL45">
            <v>128754000000</v>
          </cell>
          <cell r="AM45">
            <v>133098000000</v>
          </cell>
          <cell r="AN45">
            <v>149548000000</v>
          </cell>
          <cell r="AO45">
            <v>152090986800</v>
          </cell>
          <cell r="AP45">
            <v>159636988400</v>
          </cell>
          <cell r="AQ45">
            <v>163594014700</v>
          </cell>
          <cell r="AR45">
            <v>176701000800</v>
          </cell>
          <cell r="AS45">
            <v>187217165300</v>
          </cell>
          <cell r="AT45">
            <v>208307931500</v>
          </cell>
          <cell r="AU45">
            <v>221229211900</v>
          </cell>
          <cell r="AV45">
            <v>237264703500</v>
          </cell>
          <cell r="AW45">
            <v>249776575700</v>
          </cell>
          <cell r="AX45">
            <v>257897690200</v>
          </cell>
          <cell r="AY45">
            <v>273095104100</v>
          </cell>
          <cell r="AZ45">
            <v>286184161000</v>
          </cell>
          <cell r="BA45">
            <v>305690156600</v>
          </cell>
          <cell r="BB45">
            <v>318892600300</v>
          </cell>
          <cell r="BC45">
            <v>336631062400</v>
          </cell>
          <cell r="BD45">
            <v>361318605000</v>
          </cell>
          <cell r="BE45">
            <v>388335848400</v>
          </cell>
          <cell r="BF45">
            <v>413557515700</v>
          </cell>
          <cell r="BG45">
            <v>426273142700</v>
          </cell>
          <cell r="BH45">
            <v>430054000000</v>
          </cell>
          <cell r="BI45">
            <v>452539000000</v>
          </cell>
          <cell r="BJ45">
            <v>471808000000</v>
          </cell>
          <cell r="BK45">
            <v>493799000000</v>
          </cell>
          <cell r="BL45">
            <v>514605628500</v>
          </cell>
          <cell r="BM45">
            <v>528618000000</v>
          </cell>
        </row>
        <row r="46">
          <cell r="B46" t="str">
            <v>COD</v>
          </cell>
          <cell r="C46" t="str">
            <v>GNI (current LCU)</v>
          </cell>
          <cell r="D46" t="str">
            <v>NY.GNP.MKTP.CN</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v>61265300</v>
          </cell>
          <cell r="AN46">
            <v>342628400</v>
          </cell>
          <cell r="AO46">
            <v>2709210100</v>
          </cell>
          <cell r="AP46">
            <v>7466740100</v>
          </cell>
          <cell r="AQ46">
            <v>9361695900</v>
          </cell>
          <cell r="AR46">
            <v>47096192600</v>
          </cell>
          <cell r="AS46">
            <v>1290285399400</v>
          </cell>
          <cell r="AT46">
            <v>2118545268900</v>
          </cell>
          <cell r="AU46">
            <v>2922696023100</v>
          </cell>
          <cell r="AV46">
            <v>3531387692700</v>
          </cell>
          <cell r="AW46">
            <v>3990497612700</v>
          </cell>
          <cell r="AX46">
            <v>5429574626900</v>
          </cell>
          <cell r="AY46">
            <v>6547576764700</v>
          </cell>
          <cell r="AZ46">
            <v>8321161968900</v>
          </cell>
          <cell r="BA46">
            <v>10323778562900</v>
          </cell>
          <cell r="BB46">
            <v>14464861346300</v>
          </cell>
          <cell r="BC46">
            <v>18711588515200</v>
          </cell>
          <cell r="BD46">
            <v>22567355082100</v>
          </cell>
          <cell r="BE46">
            <v>25486458820200</v>
          </cell>
          <cell r="BF46">
            <v>27466170950900</v>
          </cell>
          <cell r="BG46">
            <v>30411327278600</v>
          </cell>
          <cell r="BH46">
            <v>32526868028900</v>
          </cell>
          <cell r="BI46">
            <v>36719824391700</v>
          </cell>
          <cell r="BJ46">
            <v>54103884393100</v>
          </cell>
          <cell r="BK46">
            <v>74416033408900</v>
          </cell>
          <cell r="BL46">
            <v>80677172141700</v>
          </cell>
          <cell r="BM46">
            <v>87824807360700</v>
          </cell>
        </row>
        <row r="47">
          <cell r="B47" t="str">
            <v>COG</v>
          </cell>
          <cell r="C47" t="str">
            <v>GNI (current LCU)</v>
          </cell>
          <cell r="D47" t="str">
            <v>NY.GNP.MKTP.CN</v>
          </cell>
          <cell r="E47">
            <v>31766390800</v>
          </cell>
          <cell r="F47">
            <v>36506140700</v>
          </cell>
          <cell r="G47">
            <v>40035737600</v>
          </cell>
          <cell r="H47">
            <v>41447575600</v>
          </cell>
          <cell r="I47">
            <v>44674637800</v>
          </cell>
          <cell r="J47">
            <v>47700010000</v>
          </cell>
          <cell r="K47">
            <v>53260828800</v>
          </cell>
          <cell r="L47">
            <v>57787835700</v>
          </cell>
          <cell r="M47">
            <v>61300000000</v>
          </cell>
          <cell r="N47">
            <v>67599960000</v>
          </cell>
          <cell r="O47">
            <v>74120527600</v>
          </cell>
          <cell r="P47">
            <v>86765098300</v>
          </cell>
          <cell r="Q47">
            <v>101910079500</v>
          </cell>
          <cell r="R47">
            <v>116282901400</v>
          </cell>
          <cell r="S47">
            <v>137078867300</v>
          </cell>
          <cell r="T47">
            <v>158129012300</v>
          </cell>
          <cell r="U47">
            <v>171416909500</v>
          </cell>
          <cell r="V47">
            <v>178735231700</v>
          </cell>
          <cell r="W47">
            <v>185977004800</v>
          </cell>
          <cell r="X47">
            <v>235216947000</v>
          </cell>
          <cell r="Y47">
            <v>326255027600</v>
          </cell>
          <cell r="Z47">
            <v>511219159000</v>
          </cell>
          <cell r="AA47">
            <v>664526263200</v>
          </cell>
          <cell r="AB47">
            <v>732948027700</v>
          </cell>
          <cell r="AC47">
            <v>903036923400</v>
          </cell>
          <cell r="AD47">
            <v>909341095200</v>
          </cell>
          <cell r="AE47">
            <v>651390368500</v>
          </cell>
          <cell r="AF47">
            <v>702099557100</v>
          </cell>
          <cell r="AG47">
            <v>567948210800</v>
          </cell>
          <cell r="AH47">
            <v>646692012000</v>
          </cell>
          <cell r="AI47">
            <v>632700000000</v>
          </cell>
          <cell r="AJ47">
            <v>642900000000</v>
          </cell>
          <cell r="AK47">
            <v>676400000000</v>
          </cell>
          <cell r="AL47">
            <v>612243087100</v>
          </cell>
          <cell r="AM47">
            <v>840860000000</v>
          </cell>
          <cell r="AN47">
            <v>613100000000</v>
          </cell>
          <cell r="AO47">
            <v>744353000000</v>
          </cell>
          <cell r="AP47">
            <v>969558000000</v>
          </cell>
          <cell r="AQ47">
            <v>872308000000</v>
          </cell>
          <cell r="AR47">
            <v>1012794000000</v>
          </cell>
          <cell r="AS47">
            <v>1619903519500</v>
          </cell>
          <cell r="AT47">
            <v>1442405234000</v>
          </cell>
          <cell r="AU47">
            <v>1514733417600</v>
          </cell>
          <cell r="AV47">
            <v>1498451775500</v>
          </cell>
          <cell r="AW47">
            <v>1670268463300</v>
          </cell>
          <cell r="AX47">
            <v>2659381940000</v>
          </cell>
          <cell r="AY47">
            <v>3572444000000</v>
          </cell>
          <cell r="AZ47">
            <v>3527462000000</v>
          </cell>
          <cell r="BA47">
            <v>4555801000000</v>
          </cell>
          <cell r="BB47">
            <v>4214486000000</v>
          </cell>
          <cell r="BC47">
            <v>6047146000000</v>
          </cell>
          <cell r="BD47">
            <v>6639733000000</v>
          </cell>
          <cell r="BE47">
            <v>8544912000000</v>
          </cell>
          <cell r="BF47">
            <v>8666636400772.46</v>
          </cell>
          <cell r="BG47">
            <v>8974420467374.8496</v>
          </cell>
          <cell r="BH47">
            <v>6990735317337.7197</v>
          </cell>
          <cell r="BI47">
            <v>5824444869040.3096</v>
          </cell>
          <cell r="BJ47">
            <v>5537297253308.6797</v>
          </cell>
          <cell r="BK47">
            <v>6470966475913.1602</v>
          </cell>
          <cell r="BL47">
            <v>5869192425723.0195</v>
          </cell>
          <cell r="BM47">
            <v>4949618804733.6797</v>
          </cell>
        </row>
        <row r="48">
          <cell r="B48" t="str">
            <v>CRI</v>
          </cell>
          <cell r="C48" t="str">
            <v>GNI (current LCU)</v>
          </cell>
          <cell r="D48" t="str">
            <v>NY.GNP.MKTP.CN</v>
          </cell>
          <cell r="E48">
            <v>2833696000</v>
          </cell>
          <cell r="F48">
            <v>2897612500</v>
          </cell>
          <cell r="G48">
            <v>3123117500</v>
          </cell>
          <cell r="H48">
            <v>3345726900</v>
          </cell>
          <cell r="I48">
            <v>3532282300</v>
          </cell>
          <cell r="J48">
            <v>3835087700</v>
          </cell>
          <cell r="K48">
            <v>4185712300</v>
          </cell>
          <cell r="L48">
            <v>4517300100</v>
          </cell>
          <cell r="M48">
            <v>4999499900</v>
          </cell>
          <cell r="N48">
            <v>5549962600</v>
          </cell>
          <cell r="O48">
            <v>6419824800</v>
          </cell>
          <cell r="P48">
            <v>7024025200</v>
          </cell>
          <cell r="Q48">
            <v>7966552000</v>
          </cell>
          <cell r="R48">
            <v>9891404700</v>
          </cell>
          <cell r="S48">
            <v>12884768000</v>
          </cell>
          <cell r="T48">
            <v>16239593500</v>
          </cell>
          <cell r="U48">
            <v>20027527800</v>
          </cell>
          <cell r="V48">
            <v>25647670500</v>
          </cell>
          <cell r="W48">
            <v>29222918500</v>
          </cell>
          <cell r="X48">
            <v>33301471600</v>
          </cell>
          <cell r="Y48">
            <v>39553523900</v>
          </cell>
          <cell r="Z48">
            <v>50919749100</v>
          </cell>
          <cell r="AA48">
            <v>82396529500</v>
          </cell>
          <cell r="AB48">
            <v>115604978800</v>
          </cell>
          <cell r="AC48">
            <v>149566469400</v>
          </cell>
          <cell r="AD48">
            <v>183668704800</v>
          </cell>
          <cell r="AE48">
            <v>231295669300</v>
          </cell>
          <cell r="AF48">
            <v>265884459100</v>
          </cell>
          <cell r="AG48">
            <v>324216728000</v>
          </cell>
          <cell r="AH48">
            <v>393312591000</v>
          </cell>
          <cell r="AI48">
            <v>499734050000</v>
          </cell>
          <cell r="AJ48">
            <v>858503976070.94995</v>
          </cell>
          <cell r="AK48">
            <v>1125358179237.74</v>
          </cell>
          <cell r="AL48">
            <v>1333159235237.8201</v>
          </cell>
          <cell r="AM48">
            <v>1632663357486.9099</v>
          </cell>
          <cell r="AN48">
            <v>2053031164322.1201</v>
          </cell>
          <cell r="AO48">
            <v>2404901099068.3198</v>
          </cell>
          <cell r="AP48">
            <v>2907019640955.2402</v>
          </cell>
          <cell r="AQ48">
            <v>3451264010376.5498</v>
          </cell>
          <cell r="AR48">
            <v>3924008631585.2002</v>
          </cell>
          <cell r="AS48">
            <v>4414953325234.6504</v>
          </cell>
          <cell r="AT48">
            <v>5012963960218.3799</v>
          </cell>
          <cell r="AU48">
            <v>5691494479822.9004</v>
          </cell>
          <cell r="AV48">
            <v>6568255348106.5898</v>
          </cell>
          <cell r="AW48">
            <v>7805483996349.4297</v>
          </cell>
          <cell r="AX48">
            <v>9217067534241.1504</v>
          </cell>
          <cell r="AY48">
            <v>11274515105328.699</v>
          </cell>
          <cell r="AZ48">
            <v>13529518234366.5</v>
          </cell>
          <cell r="BA48">
            <v>15896277819595.801</v>
          </cell>
          <cell r="BB48">
            <v>17044806834596.9</v>
          </cell>
          <cell r="BC48">
            <v>19166481374536.102</v>
          </cell>
          <cell r="BD48">
            <v>20895282773909.699</v>
          </cell>
          <cell r="BE48">
            <v>23008283119039.301</v>
          </cell>
          <cell r="BF48">
            <v>24535480779643</v>
          </cell>
          <cell r="BG48">
            <v>26845562754025.102</v>
          </cell>
          <cell r="BH48">
            <v>28880934357363</v>
          </cell>
          <cell r="BI48">
            <v>30704340945077.801</v>
          </cell>
          <cell r="BJ48">
            <v>32548530514885.398</v>
          </cell>
          <cell r="BK48">
            <v>34066048197620.699</v>
          </cell>
          <cell r="BL48">
            <v>35361111501041.102</v>
          </cell>
          <cell r="BM48">
            <v>34090500683451.801</v>
          </cell>
        </row>
        <row r="49">
          <cell r="B49" t="str">
            <v>CIV</v>
          </cell>
          <cell r="C49" t="str">
            <v>GNI (current LCU)</v>
          </cell>
          <cell r="D49" t="str">
            <v>NY.GNP.MKTP.CN</v>
          </cell>
          <cell r="E49">
            <v>136441749500</v>
          </cell>
          <cell r="F49">
            <v>149801058300</v>
          </cell>
          <cell r="G49">
            <v>154024951800</v>
          </cell>
          <cell r="H49">
            <v>179270107100</v>
          </cell>
          <cell r="I49">
            <v>219740946400</v>
          </cell>
          <cell r="J49">
            <v>218856882200</v>
          </cell>
          <cell r="K49">
            <v>243222364200</v>
          </cell>
          <cell r="L49">
            <v>257488715800</v>
          </cell>
          <cell r="M49">
            <v>307893764100</v>
          </cell>
          <cell r="N49">
            <v>342992191500</v>
          </cell>
          <cell r="O49">
            <v>392385757200</v>
          </cell>
          <cell r="P49">
            <v>417786134500</v>
          </cell>
          <cell r="Q49">
            <v>451003416600</v>
          </cell>
          <cell r="R49">
            <v>536075468800</v>
          </cell>
          <cell r="S49">
            <v>715724292100</v>
          </cell>
          <cell r="T49">
            <v>804303732700</v>
          </cell>
          <cell r="U49">
            <v>1076198113300</v>
          </cell>
          <cell r="V49">
            <v>1491488997400</v>
          </cell>
          <cell r="W49">
            <v>1713116282900</v>
          </cell>
          <cell r="X49">
            <v>1846984966100</v>
          </cell>
          <cell r="Y49">
            <v>2045295329300</v>
          </cell>
          <cell r="Z49">
            <v>2149475418100</v>
          </cell>
          <cell r="AA49">
            <v>2308986372100</v>
          </cell>
          <cell r="AB49">
            <v>2343599865900</v>
          </cell>
          <cell r="AC49">
            <v>2774500114400</v>
          </cell>
          <cell r="AD49">
            <v>2828400066600</v>
          </cell>
          <cell r="AE49">
            <v>2932573995000</v>
          </cell>
          <cell r="AF49">
            <v>2763908972500</v>
          </cell>
          <cell r="AG49">
            <v>2770722357200</v>
          </cell>
          <cell r="AH49">
            <v>2670895038500</v>
          </cell>
          <cell r="AI49">
            <v>2507330027500</v>
          </cell>
          <cell r="AJ49">
            <v>2573242990600</v>
          </cell>
          <cell r="AK49">
            <v>2595900096500</v>
          </cell>
          <cell r="AL49">
            <v>2740746190800</v>
          </cell>
          <cell r="AM49">
            <v>4185926139900</v>
          </cell>
          <cell r="AN49">
            <v>4997805768700</v>
          </cell>
          <cell r="AO49">
            <v>5741297532900</v>
          </cell>
          <cell r="AP49">
            <v>6421997000000</v>
          </cell>
          <cell r="AQ49">
            <v>7091700000000</v>
          </cell>
          <cell r="AR49">
            <v>7229900000000</v>
          </cell>
          <cell r="AS49">
            <v>6916900000000</v>
          </cell>
          <cell r="AT49">
            <v>7265700000000</v>
          </cell>
          <cell r="AU49">
            <v>7532123491800</v>
          </cell>
          <cell r="AV49">
            <v>7565929049700</v>
          </cell>
          <cell r="AW49">
            <v>7799126050200</v>
          </cell>
          <cell r="AX49">
            <v>8667806270600</v>
          </cell>
          <cell r="AY49">
            <v>8936858566300</v>
          </cell>
          <cell r="AZ49">
            <v>9362656960000</v>
          </cell>
          <cell r="BA49">
            <v>10445985336400</v>
          </cell>
          <cell r="BB49">
            <v>11022146570500</v>
          </cell>
          <cell r="BC49">
            <v>11872880916700</v>
          </cell>
          <cell r="BD49">
            <v>11510377231200</v>
          </cell>
          <cell r="BE49">
            <v>13237020447100</v>
          </cell>
          <cell r="BF49">
            <v>14748723307300</v>
          </cell>
          <cell r="BG49">
            <v>17012003000000</v>
          </cell>
          <cell r="BH49">
            <v>26490650000000</v>
          </cell>
          <cell r="BI49">
            <v>27785874000000</v>
          </cell>
          <cell r="BJ49">
            <v>29063010000000</v>
          </cell>
          <cell r="BK49">
            <v>30999000000000</v>
          </cell>
          <cell r="BL49">
            <v>33382632927800</v>
          </cell>
          <cell r="BM49">
            <v>34230935499000</v>
          </cell>
        </row>
        <row r="50">
          <cell r="B50" t="str">
            <v>HRV</v>
          </cell>
          <cell r="C50" t="str">
            <v>GNI (current LCU)</v>
          </cell>
          <cell r="D50" t="str">
            <v>NY.GNP.MKTP.CN</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v>118551361293.283</v>
          </cell>
          <cell r="AO50">
            <v>130266972825.298</v>
          </cell>
          <cell r="AP50">
            <v>148143289345.65799</v>
          </cell>
          <cell r="AQ50">
            <v>162929133769.048</v>
          </cell>
          <cell r="AR50">
            <v>164828163734.33301</v>
          </cell>
          <cell r="AS50">
            <v>177443737871.448</v>
          </cell>
          <cell r="AT50">
            <v>190118679037.29901</v>
          </cell>
          <cell r="AU50">
            <v>209515033524.991</v>
          </cell>
          <cell r="AV50">
            <v>226765814094.866</v>
          </cell>
          <cell r="AW50">
            <v>248820826201.263</v>
          </cell>
          <cell r="AX50">
            <v>265849803687.935</v>
          </cell>
          <cell r="AY50">
            <v>289292818968.90302</v>
          </cell>
          <cell r="AZ50">
            <v>317312645065.15399</v>
          </cell>
          <cell r="BA50">
            <v>337828918310.55298</v>
          </cell>
          <cell r="BB50">
            <v>320961684789.96002</v>
          </cell>
          <cell r="BC50">
            <v>321018586018.23499</v>
          </cell>
          <cell r="BD50">
            <v>326667121198.05701</v>
          </cell>
          <cell r="BE50">
            <v>323370227022.89301</v>
          </cell>
          <cell r="BF50">
            <v>329269188950.349</v>
          </cell>
          <cell r="BG50">
            <v>328358411727.55701</v>
          </cell>
          <cell r="BH50">
            <v>341911054413.73901</v>
          </cell>
          <cell r="BI50">
            <v>345417821798.745</v>
          </cell>
          <cell r="BJ50">
            <v>366963606579.38098</v>
          </cell>
          <cell r="BK50">
            <v>385219497537.10303</v>
          </cell>
          <cell r="BL50">
            <v>406118649384.20898</v>
          </cell>
          <cell r="BM50">
            <v>379759418496.23901</v>
          </cell>
        </row>
        <row r="51">
          <cell r="B51" t="str">
            <v>CUB</v>
          </cell>
          <cell r="C51" t="str">
            <v>GNI (current LCU)</v>
          </cell>
          <cell r="D51" t="str">
            <v>NY.GNP.MKTP.CN</v>
          </cell>
          <cell r="E51" t="str">
            <v>..</v>
          </cell>
          <cell r="F51" t="str">
            <v>..</v>
          </cell>
          <cell r="G51" t="str">
            <v>..</v>
          </cell>
          <cell r="H51" t="str">
            <v>..</v>
          </cell>
          <cell r="I51" t="str">
            <v>..</v>
          </cell>
          <cell r="J51" t="str">
            <v>..</v>
          </cell>
          <cell r="K51" t="str">
            <v>..</v>
          </cell>
          <cell r="L51" t="str">
            <v>..</v>
          </cell>
          <cell r="M51" t="str">
            <v>..</v>
          </cell>
          <cell r="N51" t="str">
            <v>..</v>
          </cell>
          <cell r="O51">
            <v>5584007500</v>
          </cell>
          <cell r="P51">
            <v>6782256200</v>
          </cell>
          <cell r="Q51">
            <v>7604292000</v>
          </cell>
          <cell r="R51">
            <v>8121213400</v>
          </cell>
          <cell r="S51">
            <v>9173929100</v>
          </cell>
          <cell r="T51">
            <v>10478042500</v>
          </cell>
          <cell r="U51">
            <v>11104343900</v>
          </cell>
          <cell r="V51">
            <v>11564825900</v>
          </cell>
          <cell r="W51">
            <v>13477260800</v>
          </cell>
          <cell r="X51">
            <v>14024596200</v>
          </cell>
          <cell r="Y51">
            <v>14062617000</v>
          </cell>
          <cell r="Z51">
            <v>16402522800</v>
          </cell>
          <cell r="AA51">
            <v>17465790200</v>
          </cell>
          <cell r="AB51">
            <v>18712430400</v>
          </cell>
          <cell r="AC51">
            <v>20729795000</v>
          </cell>
          <cell r="AD51">
            <v>20577218000</v>
          </cell>
          <cell r="AE51">
            <v>19790684000</v>
          </cell>
          <cell r="AF51">
            <v>19433178600</v>
          </cell>
          <cell r="AG51">
            <v>20460430000</v>
          </cell>
          <cell r="AH51">
            <v>20755970700</v>
          </cell>
          <cell r="AI51">
            <v>21082274100</v>
          </cell>
          <cell r="AJ51">
            <v>17484147700</v>
          </cell>
          <cell r="AK51">
            <v>16103126300</v>
          </cell>
          <cell r="AL51">
            <v>16296491300</v>
          </cell>
          <cell r="AM51">
            <v>20718616100</v>
          </cell>
          <cell r="AN51">
            <v>23305202100</v>
          </cell>
          <cell r="AO51">
            <v>24524500000</v>
          </cell>
          <cell r="AP51">
            <v>24882700000</v>
          </cell>
          <cell r="AQ51">
            <v>25288000000</v>
          </cell>
          <cell r="AR51">
            <v>27850400000</v>
          </cell>
          <cell r="AS51">
            <v>29943300000</v>
          </cell>
          <cell r="AT51">
            <v>31179700000</v>
          </cell>
          <cell r="AU51">
            <v>32979826200</v>
          </cell>
          <cell r="AV51">
            <v>35340723500</v>
          </cell>
          <cell r="AW51">
            <v>37552770500</v>
          </cell>
          <cell r="AX51">
            <v>42010636100</v>
          </cell>
          <cell r="AY51">
            <v>52124800000</v>
          </cell>
          <cell r="AZ51">
            <v>57644200000</v>
          </cell>
          <cell r="BA51">
            <v>59751100000</v>
          </cell>
          <cell r="BB51">
            <v>60437000000</v>
          </cell>
          <cell r="BC51">
            <v>62896000000</v>
          </cell>
          <cell r="BD51">
            <v>67926000000</v>
          </cell>
          <cell r="BE51">
            <v>72146000000</v>
          </cell>
          <cell r="BF51">
            <v>76226000000</v>
          </cell>
          <cell r="BG51">
            <v>79602100000</v>
          </cell>
          <cell r="BH51">
            <v>86014000000</v>
          </cell>
          <cell r="BI51">
            <v>90086000000</v>
          </cell>
          <cell r="BJ51">
            <v>95497000000</v>
          </cell>
          <cell r="BK51">
            <v>98575000000</v>
          </cell>
          <cell r="BL51" t="str">
            <v>..</v>
          </cell>
          <cell r="BM51" t="str">
            <v>..</v>
          </cell>
        </row>
        <row r="52">
          <cell r="B52" t="str">
            <v>CUW</v>
          </cell>
          <cell r="C52" t="str">
            <v>GNI (current LCU)</v>
          </cell>
          <cell r="D52" t="str">
            <v>NY.GNP.MKTP.CN</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v>4266600000</v>
          </cell>
          <cell r="AY52">
            <v>4482400000</v>
          </cell>
          <cell r="AZ52">
            <v>4731900000</v>
          </cell>
          <cell r="BA52">
            <v>5059300000</v>
          </cell>
          <cell r="BB52">
            <v>5049300000</v>
          </cell>
          <cell r="BC52">
            <v>5263800000</v>
          </cell>
          <cell r="BD52">
            <v>5415372330.0711803</v>
          </cell>
          <cell r="BE52">
            <v>5671122035.2017097</v>
          </cell>
          <cell r="BF52">
            <v>5717162968.1805</v>
          </cell>
          <cell r="BG52">
            <v>5776546798.0271101</v>
          </cell>
          <cell r="BH52">
            <v>5806390251.1557598</v>
          </cell>
          <cell r="BI52">
            <v>5728365438.9059401</v>
          </cell>
          <cell r="BJ52">
            <v>5774780786.4797401</v>
          </cell>
          <cell r="BK52">
            <v>5786675387.7679396</v>
          </cell>
          <cell r="BL52">
            <v>5789019573.2573004</v>
          </cell>
          <cell r="BM52">
            <v>4818942598.8729296</v>
          </cell>
        </row>
        <row r="53">
          <cell r="B53" t="str">
            <v>CYP</v>
          </cell>
          <cell r="C53" t="str">
            <v>GNI (current LCU)</v>
          </cell>
          <cell r="D53" t="str">
            <v>NY.GNP.MKTP.CN</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v>572702000</v>
          </cell>
          <cell r="V53">
            <v>731409300</v>
          </cell>
          <cell r="W53">
            <v>875006600</v>
          </cell>
          <cell r="X53">
            <v>1084577200</v>
          </cell>
          <cell r="Y53">
            <v>1311149700</v>
          </cell>
          <cell r="Z53">
            <v>1508434900</v>
          </cell>
          <cell r="AA53">
            <v>1763445600</v>
          </cell>
          <cell r="AB53">
            <v>1941967300</v>
          </cell>
          <cell r="AC53">
            <v>2287683700</v>
          </cell>
          <cell r="AD53">
            <v>2537589200</v>
          </cell>
          <cell r="AE53">
            <v>2704300000</v>
          </cell>
          <cell r="AF53">
            <v>3011252200</v>
          </cell>
          <cell r="AG53">
            <v>3376197700</v>
          </cell>
          <cell r="AH53">
            <v>3829842800</v>
          </cell>
          <cell r="AI53">
            <v>4340172700</v>
          </cell>
          <cell r="AJ53">
            <v>4544196300</v>
          </cell>
          <cell r="AK53">
            <v>5266519400</v>
          </cell>
          <cell r="AL53">
            <v>5562057100</v>
          </cell>
          <cell r="AM53">
            <v>6193491300</v>
          </cell>
          <cell r="AN53">
            <v>7290352000</v>
          </cell>
          <cell r="AO53">
            <v>7593679000</v>
          </cell>
          <cell r="AP53">
            <v>7914597000</v>
          </cell>
          <cell r="AQ53">
            <v>9333178000</v>
          </cell>
          <cell r="AR53">
            <v>9172941000</v>
          </cell>
          <cell r="AS53">
            <v>9685411000</v>
          </cell>
          <cell r="AT53">
            <v>10602071000</v>
          </cell>
          <cell r="AU53">
            <v>11264447000</v>
          </cell>
          <cell r="AV53">
            <v>12321708000</v>
          </cell>
          <cell r="AW53">
            <v>13076712000</v>
          </cell>
          <cell r="AX53">
            <v>14051656000</v>
          </cell>
          <cell r="AY53">
            <v>15113258000</v>
          </cell>
          <cell r="AZ53">
            <v>16389649000</v>
          </cell>
          <cell r="BA53">
            <v>18697901000</v>
          </cell>
          <cell r="BB53">
            <v>18623505000</v>
          </cell>
          <cell r="BC53">
            <v>19132821000</v>
          </cell>
          <cell r="BD53">
            <v>20324656000</v>
          </cell>
          <cell r="BE53">
            <v>19305989000</v>
          </cell>
          <cell r="BF53">
            <v>17782367000</v>
          </cell>
          <cell r="BG53">
            <v>16964863000</v>
          </cell>
          <cell r="BH53">
            <v>17767183000</v>
          </cell>
          <cell r="BI53">
            <v>18174736000</v>
          </cell>
          <cell r="BJ53">
            <v>19650619000</v>
          </cell>
          <cell r="BK53">
            <v>20837499000</v>
          </cell>
          <cell r="BL53">
            <v>21925930000</v>
          </cell>
          <cell r="BM53">
            <v>20267077000</v>
          </cell>
        </row>
        <row r="54">
          <cell r="B54" t="str">
            <v>CZE</v>
          </cell>
          <cell r="C54" t="str">
            <v>GNI (current LCU)</v>
          </cell>
          <cell r="D54" t="str">
            <v>NY.GNP.MKTP.CN</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v>977862179000</v>
          </cell>
          <cell r="AL54">
            <v>1192407919000</v>
          </cell>
          <cell r="AM54">
            <v>1378569199000</v>
          </cell>
          <cell r="AN54">
            <v>1583861000000</v>
          </cell>
          <cell r="AO54">
            <v>1802008000000</v>
          </cell>
          <cell r="AP54">
            <v>1941417000000</v>
          </cell>
          <cell r="AQ54">
            <v>2124817000000</v>
          </cell>
          <cell r="AR54">
            <v>2211185000000</v>
          </cell>
          <cell r="AS54">
            <v>2339878000000</v>
          </cell>
          <cell r="AT54">
            <v>2506491000000</v>
          </cell>
          <cell r="AU54">
            <v>2594203000000</v>
          </cell>
          <cell r="AV54">
            <v>2728527000000</v>
          </cell>
          <cell r="AW54">
            <v>2933359000000</v>
          </cell>
          <cell r="AX54">
            <v>3133797000000</v>
          </cell>
          <cell r="AY54">
            <v>3311134000000</v>
          </cell>
          <cell r="AZ54">
            <v>3610981000000</v>
          </cell>
          <cell r="BA54">
            <v>3796564000000</v>
          </cell>
          <cell r="BB54">
            <v>3681334000000</v>
          </cell>
          <cell r="BC54">
            <v>3693948000000</v>
          </cell>
          <cell r="BD54">
            <v>3734479000000</v>
          </cell>
          <cell r="BE54">
            <v>3825992000000</v>
          </cell>
          <cell r="BF54">
            <v>3879664000000</v>
          </cell>
          <cell r="BG54">
            <v>4047450000000</v>
          </cell>
          <cell r="BH54">
            <v>4308149000000</v>
          </cell>
          <cell r="BI54">
            <v>4473262000000</v>
          </cell>
          <cell r="BJ54">
            <v>4821381000000</v>
          </cell>
          <cell r="BK54">
            <v>5112634000000</v>
          </cell>
          <cell r="BL54">
            <v>5440320000000</v>
          </cell>
          <cell r="BM54">
            <v>5496111000000</v>
          </cell>
        </row>
        <row r="55">
          <cell r="B55" t="str">
            <v>DNK</v>
          </cell>
          <cell r="C55" t="str">
            <v>GNI (current LCU)</v>
          </cell>
          <cell r="D55" t="str">
            <v>NY.GNP.MKTP.CN</v>
          </cell>
          <cell r="E55" t="str">
            <v>..</v>
          </cell>
          <cell r="F55" t="str">
            <v>..</v>
          </cell>
          <cell r="G55" t="str">
            <v>..</v>
          </cell>
          <cell r="H55" t="str">
            <v>..</v>
          </cell>
          <cell r="I55" t="str">
            <v>..</v>
          </cell>
          <cell r="J55" t="str">
            <v>..</v>
          </cell>
          <cell r="K55">
            <v>81813028100</v>
          </cell>
          <cell r="L55">
            <v>90018750300</v>
          </cell>
          <cell r="M55">
            <v>100092253000</v>
          </cell>
          <cell r="N55">
            <v>114157619700</v>
          </cell>
          <cell r="O55">
            <v>126075695000</v>
          </cell>
          <cell r="P55">
            <v>139146122000</v>
          </cell>
          <cell r="Q55">
            <v>158772450000</v>
          </cell>
          <cell r="R55">
            <v>185113101000</v>
          </cell>
          <cell r="S55">
            <v>206036078000</v>
          </cell>
          <cell r="T55">
            <v>231450407000</v>
          </cell>
          <cell r="U55">
            <v>268624387000</v>
          </cell>
          <cell r="V55">
            <v>299317138000</v>
          </cell>
          <cell r="W55">
            <v>334014870000</v>
          </cell>
          <cell r="X55">
            <v>368315031000</v>
          </cell>
          <cell r="Y55">
            <v>394310582000</v>
          </cell>
          <cell r="Z55">
            <v>427948796000</v>
          </cell>
          <cell r="AA55">
            <v>485192083000</v>
          </cell>
          <cell r="AB55">
            <v>536085320000</v>
          </cell>
          <cell r="AC55">
            <v>588929082000</v>
          </cell>
          <cell r="AD55">
            <v>638264321000</v>
          </cell>
          <cell r="AE55">
            <v>689630810000</v>
          </cell>
          <cell r="AF55">
            <v>727396103000</v>
          </cell>
          <cell r="AG55">
            <v>753445134000</v>
          </cell>
          <cell r="AH55">
            <v>792736133000</v>
          </cell>
          <cell r="AI55">
            <v>826398565000</v>
          </cell>
          <cell r="AJ55">
            <v>858833972000</v>
          </cell>
          <cell r="AK55">
            <v>894184571000</v>
          </cell>
          <cell r="AL55">
            <v>905488125000</v>
          </cell>
          <cell r="AM55">
            <v>971273153000</v>
          </cell>
          <cell r="AN55">
            <v>1017782000000</v>
          </cell>
          <cell r="AO55">
            <v>1066712000000</v>
          </cell>
          <cell r="AP55">
            <v>1125398000000</v>
          </cell>
          <cell r="AQ55">
            <v>1169118000000</v>
          </cell>
          <cell r="AR55">
            <v>1228443000000</v>
          </cell>
          <cell r="AS55">
            <v>1296707000000</v>
          </cell>
          <cell r="AT55">
            <v>1351297000000</v>
          </cell>
          <cell r="AU55">
            <v>1392723000000</v>
          </cell>
          <cell r="AV55">
            <v>1423890000000</v>
          </cell>
          <cell r="AW55">
            <v>1507852000000</v>
          </cell>
          <cell r="AX55">
            <v>1598768000000</v>
          </cell>
          <cell r="AY55">
            <v>1702638000000</v>
          </cell>
          <cell r="AZ55">
            <v>1747575000000</v>
          </cell>
          <cell r="BA55">
            <v>1821561000000</v>
          </cell>
          <cell r="BB55">
            <v>1739327000000</v>
          </cell>
          <cell r="BC55">
            <v>1840547000000</v>
          </cell>
          <cell r="BD55">
            <v>1885798000000</v>
          </cell>
          <cell r="BE55">
            <v>1937794000000</v>
          </cell>
          <cell r="BF55">
            <v>1990778000000</v>
          </cell>
          <cell r="BG55">
            <v>2053229000000</v>
          </cell>
          <cell r="BH55">
            <v>2098866000000</v>
          </cell>
          <cell r="BI55">
            <v>2159620000000</v>
          </cell>
          <cell r="BJ55">
            <v>2240963000000</v>
          </cell>
          <cell r="BK55">
            <v>2315916000000</v>
          </cell>
          <cell r="BL55">
            <v>2385019000000</v>
          </cell>
          <cell r="BM55">
            <v>2408204000000</v>
          </cell>
        </row>
        <row r="56">
          <cell r="B56" t="str">
            <v>DJI</v>
          </cell>
          <cell r="C56" t="str">
            <v>GNI (current LCU)</v>
          </cell>
          <cell r="D56" t="str">
            <v>NY.GNP.MKTP.CN</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v>85824100000</v>
          </cell>
          <cell r="AK56">
            <v>88513000000</v>
          </cell>
          <cell r="AL56">
            <v>86917600000</v>
          </cell>
          <cell r="AM56">
            <v>90340500000</v>
          </cell>
          <cell r="AN56">
            <v>91532000000</v>
          </cell>
          <cell r="AO56">
            <v>90592000000</v>
          </cell>
          <cell r="AP56">
            <v>91502000000</v>
          </cell>
          <cell r="AQ56">
            <v>93278200000</v>
          </cell>
          <cell r="AR56">
            <v>97473700000</v>
          </cell>
          <cell r="AS56">
            <v>100771300000</v>
          </cell>
          <cell r="AT56">
            <v>103937600000</v>
          </cell>
          <cell r="AU56">
            <v>107772800000</v>
          </cell>
          <cell r="AV56">
            <v>114267400000</v>
          </cell>
          <cell r="AW56">
            <v>122379000000</v>
          </cell>
          <cell r="AX56">
            <v>129634000000</v>
          </cell>
          <cell r="AY56">
            <v>140740000000</v>
          </cell>
          <cell r="AZ56">
            <v>154938000000</v>
          </cell>
          <cell r="BA56">
            <v>183375170000</v>
          </cell>
          <cell r="BB56">
            <v>190302000000</v>
          </cell>
          <cell r="BC56">
            <v>203663000000</v>
          </cell>
          <cell r="BD56">
            <v>221776000000</v>
          </cell>
          <cell r="BE56">
            <v>245480000000</v>
          </cell>
          <cell r="BF56">
            <v>358105109000</v>
          </cell>
          <cell r="BG56">
            <v>389391581000</v>
          </cell>
          <cell r="BH56">
            <v>427111577500</v>
          </cell>
          <cell r="BI56">
            <v>448488778000</v>
          </cell>
          <cell r="BJ56">
            <v>466478458800</v>
          </cell>
          <cell r="BK56">
            <v>510171005200</v>
          </cell>
          <cell r="BL56">
            <v>574176000000</v>
          </cell>
          <cell r="BM56">
            <v>583959325100</v>
          </cell>
        </row>
        <row r="57">
          <cell r="B57" t="str">
            <v>DMA</v>
          </cell>
          <cell r="C57" t="str">
            <v>GNI (current LCU)</v>
          </cell>
          <cell r="D57" t="str">
            <v>NY.GNP.MKTP.CN</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v>123856958</v>
          </cell>
          <cell r="W57">
            <v>153711582</v>
          </cell>
          <cell r="X57">
            <v>148277949</v>
          </cell>
          <cell r="Y57">
            <v>197382564</v>
          </cell>
          <cell r="Z57">
            <v>223039956</v>
          </cell>
          <cell r="AA57">
            <v>242264457</v>
          </cell>
          <cell r="AB57">
            <v>265196017</v>
          </cell>
          <cell r="AC57">
            <v>288594091</v>
          </cell>
          <cell r="AD57">
            <v>316498219</v>
          </cell>
          <cell r="AE57">
            <v>358427288</v>
          </cell>
          <cell r="AF57">
            <v>403715637</v>
          </cell>
          <cell r="AG57">
            <v>457766697</v>
          </cell>
          <cell r="AH57">
            <v>489100556</v>
          </cell>
          <cell r="AI57">
            <v>530650000</v>
          </cell>
          <cell r="AJ57">
            <v>572670000</v>
          </cell>
          <cell r="AK57">
            <v>612310000</v>
          </cell>
          <cell r="AL57">
            <v>645710000</v>
          </cell>
          <cell r="AM57">
            <v>684050000</v>
          </cell>
          <cell r="AN57">
            <v>705300000</v>
          </cell>
          <cell r="AO57">
            <v>738390000</v>
          </cell>
          <cell r="AP57">
            <v>772410000</v>
          </cell>
          <cell r="AQ57">
            <v>829400000</v>
          </cell>
          <cell r="AR57">
            <v>826780000</v>
          </cell>
          <cell r="AS57">
            <v>794210000</v>
          </cell>
          <cell r="AT57">
            <v>850761000</v>
          </cell>
          <cell r="AU57">
            <v>824218000</v>
          </cell>
          <cell r="AV57">
            <v>853996300</v>
          </cell>
          <cell r="AW57">
            <v>901440800</v>
          </cell>
          <cell r="AX57">
            <v>905245300</v>
          </cell>
          <cell r="AY57">
            <v>1013168300</v>
          </cell>
          <cell r="AZ57">
            <v>1084749900</v>
          </cell>
          <cell r="BA57">
            <v>1187602600</v>
          </cell>
          <cell r="BB57">
            <v>1283630000</v>
          </cell>
          <cell r="BC57">
            <v>1307840000</v>
          </cell>
          <cell r="BD57">
            <v>1324290000</v>
          </cell>
          <cell r="BE57">
            <v>1286460000</v>
          </cell>
          <cell r="BF57">
            <v>1292730000</v>
          </cell>
          <cell r="BG57">
            <v>1499560000</v>
          </cell>
          <cell r="BH57">
            <v>1401990000</v>
          </cell>
          <cell r="BI57">
            <v>1510460000</v>
          </cell>
          <cell r="BJ57">
            <v>1373380000</v>
          </cell>
          <cell r="BK57">
            <v>1490240000</v>
          </cell>
          <cell r="BL57">
            <v>1624452300</v>
          </cell>
          <cell r="BM57">
            <v>1398662200</v>
          </cell>
        </row>
        <row r="58">
          <cell r="B58" t="str">
            <v>DOM</v>
          </cell>
          <cell r="C58" t="str">
            <v>GNI (current LCU)</v>
          </cell>
          <cell r="D58" t="str">
            <v>NY.GNP.MKTP.CN</v>
          </cell>
          <cell r="E58">
            <v>662300300</v>
          </cell>
          <cell r="F58">
            <v>635500100</v>
          </cell>
          <cell r="G58">
            <v>802500200</v>
          </cell>
          <cell r="H58">
            <v>920500100</v>
          </cell>
          <cell r="I58">
            <v>1006500200</v>
          </cell>
          <cell r="J58">
            <v>876400000</v>
          </cell>
          <cell r="K58">
            <v>965400000</v>
          </cell>
          <cell r="L58">
            <v>1015300000</v>
          </cell>
          <cell r="M58">
            <v>1060200000</v>
          </cell>
          <cell r="N58">
            <v>1207300000</v>
          </cell>
          <cell r="O58">
            <v>1476200100</v>
          </cell>
          <cell r="P58">
            <v>1664300000</v>
          </cell>
          <cell r="Q58">
            <v>2027000000</v>
          </cell>
          <cell r="R58">
            <v>2350899900</v>
          </cell>
          <cell r="S58">
            <v>2920400000</v>
          </cell>
          <cell r="T58">
            <v>3597500100</v>
          </cell>
          <cell r="U58">
            <v>3945299900</v>
          </cell>
          <cell r="V58">
            <v>4507500200</v>
          </cell>
          <cell r="W58">
            <v>4771400000</v>
          </cell>
          <cell r="X58">
            <v>5551200100</v>
          </cell>
          <cell r="Y58">
            <v>6420500100</v>
          </cell>
          <cell r="Z58">
            <v>6973899800</v>
          </cell>
          <cell r="AA58">
            <v>7709900300</v>
          </cell>
          <cell r="AB58">
            <v>8324900100</v>
          </cell>
          <cell r="AC58">
            <v>9972699700</v>
          </cell>
          <cell r="AD58">
            <v>14708566700</v>
          </cell>
          <cell r="AE58">
            <v>17069718400</v>
          </cell>
          <cell r="AF58">
            <v>21254017800</v>
          </cell>
          <cell r="AG58">
            <v>30885938700</v>
          </cell>
          <cell r="AH58">
            <v>40408387600</v>
          </cell>
          <cell r="AI58">
            <v>57621861100</v>
          </cell>
          <cell r="AJ58">
            <v>118982259900</v>
          </cell>
          <cell r="AK58">
            <v>139553112500</v>
          </cell>
          <cell r="AL58">
            <v>154800530000</v>
          </cell>
          <cell r="AM58">
            <v>176163547100</v>
          </cell>
          <cell r="AN58">
            <v>204225932700</v>
          </cell>
          <cell r="AO58">
            <v>225902904000</v>
          </cell>
          <cell r="AP58">
            <v>269221836800</v>
          </cell>
          <cell r="AQ58">
            <v>305543336400</v>
          </cell>
          <cell r="AR58">
            <v>335075866000</v>
          </cell>
          <cell r="AS58">
            <v>376451624900</v>
          </cell>
          <cell r="AT58">
            <v>409099891700</v>
          </cell>
          <cell r="AU58">
            <v>457161676100</v>
          </cell>
          <cell r="AV58">
            <v>587455720000</v>
          </cell>
          <cell r="AW58">
            <v>859910751500</v>
          </cell>
          <cell r="AX58">
            <v>1025790530000</v>
          </cell>
          <cell r="AY58">
            <v>1199716388400</v>
          </cell>
          <cell r="AZ58">
            <v>1386003158500</v>
          </cell>
          <cell r="BA58">
            <v>1601277853200</v>
          </cell>
          <cell r="BB58">
            <v>1674125621000</v>
          </cell>
          <cell r="BC58">
            <v>1912210282700</v>
          </cell>
          <cell r="BD58">
            <v>2124319968900</v>
          </cell>
          <cell r="BE58">
            <v>2291662833700</v>
          </cell>
          <cell r="BF58">
            <v>2495506901400</v>
          </cell>
          <cell r="BG58">
            <v>2784215826900</v>
          </cell>
          <cell r="BH58">
            <v>3073360626000</v>
          </cell>
          <cell r="BI58">
            <v>3337401050600</v>
          </cell>
          <cell r="BJ58">
            <v>3622310660600</v>
          </cell>
          <cell r="BK58">
            <v>4053051872300</v>
          </cell>
          <cell r="BL58">
            <v>4353472837200</v>
          </cell>
          <cell r="BM58">
            <v>4238440531500</v>
          </cell>
        </row>
        <row r="59">
          <cell r="B59" t="str">
            <v>ECU</v>
          </cell>
          <cell r="C59" t="str">
            <v>GNI (current LCU)</v>
          </cell>
          <cell r="D59" t="str">
            <v>NY.GNP.MKTP.CN</v>
          </cell>
          <cell r="E59">
            <v>1702108407.4962201</v>
          </cell>
          <cell r="F59">
            <v>1581445598.7567101</v>
          </cell>
          <cell r="G59">
            <v>1493637582.39083</v>
          </cell>
          <cell r="H59">
            <v>1805659809.6882501</v>
          </cell>
          <cell r="I59">
            <v>2224136957.1957998</v>
          </cell>
          <cell r="J59">
            <v>2360904000</v>
          </cell>
          <cell r="K59">
            <v>2402945000</v>
          </cell>
          <cell r="L59">
            <v>2527472000</v>
          </cell>
          <cell r="M59">
            <v>2553843000</v>
          </cell>
          <cell r="N59">
            <v>3082675000</v>
          </cell>
          <cell r="O59">
            <v>2831932000</v>
          </cell>
          <cell r="P59">
            <v>2717200000</v>
          </cell>
          <cell r="Q59">
            <v>3139260000</v>
          </cell>
          <cell r="R59">
            <v>3773890000</v>
          </cell>
          <cell r="S59">
            <v>6428996000</v>
          </cell>
          <cell r="T59">
            <v>7672671000</v>
          </cell>
          <cell r="U59">
            <v>8947766000</v>
          </cell>
          <cell r="V59">
            <v>10824761000</v>
          </cell>
          <cell r="W59">
            <v>11647987000</v>
          </cell>
          <cell r="X59">
            <v>13763771000</v>
          </cell>
          <cell r="Y59">
            <v>17259853000</v>
          </cell>
          <cell r="Z59">
            <v>21039012000</v>
          </cell>
          <cell r="AA59">
            <v>18920300000</v>
          </cell>
          <cell r="AB59">
            <v>16254261000</v>
          </cell>
          <cell r="AC59">
            <v>15801408000</v>
          </cell>
          <cell r="AD59">
            <v>16081874000</v>
          </cell>
          <cell r="AE59">
            <v>14264803000</v>
          </cell>
          <cell r="AF59">
            <v>12879747000</v>
          </cell>
          <cell r="AG59">
            <v>11812630000</v>
          </cell>
          <cell r="AH59">
            <v>12520170000</v>
          </cell>
          <cell r="AI59">
            <v>14021973000</v>
          </cell>
          <cell r="AJ59">
            <v>15863041000</v>
          </cell>
          <cell r="AK59">
            <v>17141191000</v>
          </cell>
          <cell r="AL59">
            <v>18068948000</v>
          </cell>
          <cell r="AM59">
            <v>21757419000</v>
          </cell>
          <cell r="AN59">
            <v>23496668000</v>
          </cell>
          <cell r="AO59">
            <v>24190880000</v>
          </cell>
          <cell r="AP59">
            <v>27121072000</v>
          </cell>
          <cell r="AQ59">
            <v>26797406000</v>
          </cell>
          <cell r="AR59">
            <v>18328750000</v>
          </cell>
          <cell r="AS59">
            <v>17095001000</v>
          </cell>
          <cell r="AT59">
            <v>23235924000</v>
          </cell>
          <cell r="AU59">
            <v>27296182800</v>
          </cell>
          <cell r="AV59">
            <v>30940439900</v>
          </cell>
          <cell r="AW59">
            <v>34751628400</v>
          </cell>
          <cell r="AX59">
            <v>39691563800</v>
          </cell>
          <cell r="AY59">
            <v>44974439600</v>
          </cell>
          <cell r="AZ59">
            <v>48973356000</v>
          </cell>
          <cell r="BA59">
            <v>60290373000</v>
          </cell>
          <cell r="BB59">
            <v>61241510000</v>
          </cell>
          <cell r="BC59">
            <v>68569173000</v>
          </cell>
          <cell r="BD59">
            <v>78067843000</v>
          </cell>
          <cell r="BE59">
            <v>86587424000</v>
          </cell>
          <cell r="BF59">
            <v>93662124000</v>
          </cell>
          <cell r="BG59">
            <v>100144291000</v>
          </cell>
          <cell r="BH59">
            <v>97501257000</v>
          </cell>
          <cell r="BI59">
            <v>98028639000</v>
          </cell>
          <cell r="BJ59">
            <v>101858207000</v>
          </cell>
          <cell r="BK59">
            <v>104605438000</v>
          </cell>
          <cell r="BL59">
            <v>104934502000</v>
          </cell>
          <cell r="BM59">
            <v>95983572000</v>
          </cell>
        </row>
        <row r="60">
          <cell r="B60" t="str">
            <v>EGY</v>
          </cell>
          <cell r="C60" t="str">
            <v>GNI (current LCU)</v>
          </cell>
          <cell r="D60" t="str">
            <v>NY.GNP.MKTP.CN</v>
          </cell>
          <cell r="E60" t="str">
            <v>..</v>
          </cell>
          <cell r="F60" t="str">
            <v>..</v>
          </cell>
          <cell r="G60" t="str">
            <v>..</v>
          </cell>
          <cell r="H60" t="str">
            <v>..</v>
          </cell>
          <cell r="I60" t="str">
            <v>..</v>
          </cell>
          <cell r="J60">
            <v>2247300000</v>
          </cell>
          <cell r="K60">
            <v>2427000000</v>
          </cell>
          <cell r="L60">
            <v>2523500000</v>
          </cell>
          <cell r="M60">
            <v>2529200000</v>
          </cell>
          <cell r="N60">
            <v>2670200000</v>
          </cell>
          <cell r="O60">
            <v>3176100000</v>
          </cell>
          <cell r="P60">
            <v>3347000000</v>
          </cell>
          <cell r="Q60">
            <v>3570600000</v>
          </cell>
          <cell r="R60">
            <v>3947900000</v>
          </cell>
          <cell r="S60">
            <v>4384600000</v>
          </cell>
          <cell r="T60">
            <v>5195300000</v>
          </cell>
          <cell r="U60">
            <v>6532400000</v>
          </cell>
          <cell r="V60">
            <v>7967600000</v>
          </cell>
          <cell r="W60">
            <v>9332500000</v>
          </cell>
          <cell r="X60">
            <v>11866100000</v>
          </cell>
          <cell r="Y60">
            <v>14551333887.487801</v>
          </cell>
          <cell r="Z60">
            <v>15148600000</v>
          </cell>
          <cell r="AA60">
            <v>21007399900</v>
          </cell>
          <cell r="AB60">
            <v>24986599900</v>
          </cell>
          <cell r="AC60">
            <v>29680999900</v>
          </cell>
          <cell r="AD60">
            <v>34163500000</v>
          </cell>
          <cell r="AE60">
            <v>40024199900</v>
          </cell>
          <cell r="AF60">
            <v>50835680000</v>
          </cell>
          <cell r="AG60">
            <v>61232984400</v>
          </cell>
          <cell r="AH60">
            <v>76012949900</v>
          </cell>
          <cell r="AI60">
            <v>93336697300</v>
          </cell>
          <cell r="AJ60">
            <v>113231788800</v>
          </cell>
          <cell r="AK60">
            <v>139808859900</v>
          </cell>
          <cell r="AL60">
            <v>155941703200</v>
          </cell>
          <cell r="AM60">
            <v>175727003200</v>
          </cell>
          <cell r="AN60">
            <v>205107500600</v>
          </cell>
          <cell r="AO60">
            <v>230881625600</v>
          </cell>
          <cell r="AP60">
            <v>267632629000</v>
          </cell>
          <cell r="AQ60">
            <v>290300128000</v>
          </cell>
          <cell r="AR60">
            <v>309333479200</v>
          </cell>
          <cell r="AS60">
            <v>341690835500</v>
          </cell>
          <cell r="AT60">
            <v>362675265000</v>
          </cell>
          <cell r="AU60">
            <v>379326310000</v>
          </cell>
          <cell r="AV60">
            <v>416942560000</v>
          </cell>
          <cell r="AW60">
            <v>484026728000</v>
          </cell>
          <cell r="AX60">
            <v>536974662000</v>
          </cell>
          <cell r="AY60">
            <v>620751525000</v>
          </cell>
          <cell r="AZ60">
            <v>751520670000</v>
          </cell>
          <cell r="BA60">
            <v>902978350000</v>
          </cell>
          <cell r="BB60">
            <v>1043046336000</v>
          </cell>
          <cell r="BC60">
            <v>1182550503000</v>
          </cell>
          <cell r="BD60">
            <v>1335952405000</v>
          </cell>
          <cell r="BE60">
            <v>1635823600000</v>
          </cell>
          <cell r="BF60">
            <v>1812628720000</v>
          </cell>
          <cell r="BG60">
            <v>2079378981000</v>
          </cell>
          <cell r="BH60">
            <v>2401599322000</v>
          </cell>
          <cell r="BI60">
            <v>2672955645000</v>
          </cell>
          <cell r="BJ60">
            <v>3402751680000</v>
          </cell>
          <cell r="BK60">
            <v>4325811508000</v>
          </cell>
          <cell r="BL60">
            <v>5128771424000</v>
          </cell>
          <cell r="BM60">
            <v>5672995380000</v>
          </cell>
        </row>
        <row r="61">
          <cell r="B61" t="str">
            <v>SLV</v>
          </cell>
          <cell r="C61" t="str">
            <v>GNI (current LCU)</v>
          </cell>
          <cell r="D61" t="str">
            <v>NY.GNP.MKTP.CN</v>
          </cell>
          <cell r="E61" t="str">
            <v>..</v>
          </cell>
          <cell r="F61" t="str">
            <v>..</v>
          </cell>
          <cell r="G61" t="str">
            <v>..</v>
          </cell>
          <cell r="H61" t="str">
            <v>..</v>
          </cell>
          <cell r="I61" t="str">
            <v>..</v>
          </cell>
          <cell r="J61">
            <v>869920000</v>
          </cell>
          <cell r="K61">
            <v>922120000</v>
          </cell>
          <cell r="L61">
            <v>967120000</v>
          </cell>
          <cell r="M61">
            <v>1000760100</v>
          </cell>
          <cell r="N61">
            <v>1040000000</v>
          </cell>
          <cell r="O61">
            <v>1123320000</v>
          </cell>
          <cell r="P61">
            <v>1175480000</v>
          </cell>
          <cell r="Q61">
            <v>1251040000</v>
          </cell>
          <cell r="R61">
            <v>1426240000</v>
          </cell>
          <cell r="S61">
            <v>1631120000</v>
          </cell>
          <cell r="T61">
            <v>1843800100</v>
          </cell>
          <cell r="U61">
            <v>2313040100</v>
          </cell>
          <cell r="V61">
            <v>2913960100</v>
          </cell>
          <cell r="W61">
            <v>3075680000</v>
          </cell>
          <cell r="X61">
            <v>3423199900</v>
          </cell>
          <cell r="Y61">
            <v>3490159900</v>
          </cell>
          <cell r="Z61">
            <v>3337200200</v>
          </cell>
          <cell r="AA61">
            <v>3280000000</v>
          </cell>
          <cell r="AB61">
            <v>3375638500</v>
          </cell>
          <cell r="AC61">
            <v>3527888000</v>
          </cell>
          <cell r="AD61">
            <v>3683654700</v>
          </cell>
          <cell r="AE61">
            <v>3654968500</v>
          </cell>
          <cell r="AF61">
            <v>3835248900</v>
          </cell>
          <cell r="AG61">
            <v>4069280700</v>
          </cell>
          <cell r="AH61">
            <v>4250907600</v>
          </cell>
          <cell r="AI61">
            <v>4689782204.0267296</v>
          </cell>
          <cell r="AJ61">
            <v>5109572400</v>
          </cell>
          <cell r="AK61">
            <v>5705749300</v>
          </cell>
          <cell r="AL61">
            <v>6567739200</v>
          </cell>
          <cell r="AM61">
            <v>7587384000</v>
          </cell>
          <cell r="AN61">
            <v>8826057100</v>
          </cell>
          <cell r="AO61">
            <v>9464957800</v>
          </cell>
          <cell r="AP61">
            <v>10058405900</v>
          </cell>
          <cell r="AQ61">
            <v>10773659900</v>
          </cell>
          <cell r="AR61">
            <v>11002097000</v>
          </cell>
          <cell r="AS61">
            <v>11531827700</v>
          </cell>
          <cell r="AT61">
            <v>12016833600</v>
          </cell>
          <cell r="AU61">
            <v>12340790300</v>
          </cell>
          <cell r="AV61">
            <v>12820792200</v>
          </cell>
          <cell r="AW61">
            <v>13266960900</v>
          </cell>
          <cell r="AX61">
            <v>14207700000</v>
          </cell>
          <cell r="AY61">
            <v>15562390000</v>
          </cell>
          <cell r="AZ61">
            <v>16555500000</v>
          </cell>
          <cell r="BA61">
            <v>17597840000</v>
          </cell>
          <cell r="BB61">
            <v>17045650000</v>
          </cell>
          <cell r="BC61">
            <v>17909710000</v>
          </cell>
          <cell r="BD61">
            <v>19665540000</v>
          </cell>
          <cell r="BE61">
            <v>20515590000</v>
          </cell>
          <cell r="BF61">
            <v>21000760000</v>
          </cell>
          <cell r="BG61">
            <v>21558030000</v>
          </cell>
          <cell r="BH61">
            <v>22346390000</v>
          </cell>
          <cell r="BI61">
            <v>22945050000</v>
          </cell>
          <cell r="BJ61">
            <v>23591570000</v>
          </cell>
          <cell r="BK61">
            <v>24550760000</v>
          </cell>
          <cell r="BL61">
            <v>25559270000</v>
          </cell>
          <cell r="BM61">
            <v>23324950000</v>
          </cell>
        </row>
        <row r="62">
          <cell r="B62" t="str">
            <v>GNQ</v>
          </cell>
          <cell r="C62" t="str">
            <v>GNI (current LCU)</v>
          </cell>
          <cell r="D62" t="str">
            <v>NY.GNP.MKTP.CN</v>
          </cell>
          <cell r="E62" t="str">
            <v>..</v>
          </cell>
          <cell r="F62" t="str">
            <v>..</v>
          </cell>
          <cell r="G62">
            <v>2235200000</v>
          </cell>
          <cell r="H62">
            <v>2656000000</v>
          </cell>
          <cell r="I62">
            <v>3114900000</v>
          </cell>
          <cell r="J62">
            <v>3884900000</v>
          </cell>
          <cell r="K62">
            <v>4146600000</v>
          </cell>
          <cell r="L62">
            <v>4459600000</v>
          </cell>
          <cell r="M62">
            <v>4726000000</v>
          </cell>
          <cell r="N62">
            <v>4705800000</v>
          </cell>
          <cell r="O62">
            <v>4680300000</v>
          </cell>
          <cell r="P62">
            <v>4541200000</v>
          </cell>
          <cell r="Q62">
            <v>4194000000</v>
          </cell>
          <cell r="R62">
            <v>4742800000</v>
          </cell>
          <cell r="S62">
            <v>5452800000</v>
          </cell>
          <cell r="T62">
            <v>6010400000</v>
          </cell>
          <cell r="U62">
            <v>6961400000</v>
          </cell>
          <cell r="V62">
            <v>7929400000</v>
          </cell>
          <cell r="W62" t="str">
            <v>..</v>
          </cell>
          <cell r="X62" t="str">
            <v>..</v>
          </cell>
          <cell r="Y62">
            <v>5398736700</v>
          </cell>
          <cell r="Z62">
            <v>5566002500</v>
          </cell>
          <cell r="AA62">
            <v>7590188100</v>
          </cell>
          <cell r="AB62">
            <v>11628446700</v>
          </cell>
          <cell r="AC62">
            <v>15195930300</v>
          </cell>
          <cell r="AD62">
            <v>26020498700</v>
          </cell>
          <cell r="AE62">
            <v>24527222200</v>
          </cell>
          <cell r="AF62">
            <v>26459491600</v>
          </cell>
          <cell r="AG62">
            <v>27850133500</v>
          </cell>
          <cell r="AH62">
            <v>25841984500</v>
          </cell>
          <cell r="AI62">
            <v>32564139200</v>
          </cell>
          <cell r="AJ62">
            <v>34199328500</v>
          </cell>
          <cell r="AK62">
            <v>39647231700</v>
          </cell>
          <cell r="AL62">
            <v>42063821600</v>
          </cell>
          <cell r="AM62">
            <v>51275059800</v>
          </cell>
          <cell r="AN62">
            <v>58903262600</v>
          </cell>
          <cell r="AO62">
            <v>95887024100</v>
          </cell>
          <cell r="AP62">
            <v>226098067000</v>
          </cell>
          <cell r="AQ62">
            <v>171307827800</v>
          </cell>
          <cell r="AR62">
            <v>320307723000</v>
          </cell>
          <cell r="AS62">
            <v>481158507800</v>
          </cell>
          <cell r="AT62">
            <v>430745469100</v>
          </cell>
          <cell r="AU62">
            <v>572492467800</v>
          </cell>
          <cell r="AV62">
            <v>537148434700</v>
          </cell>
          <cell r="AW62">
            <v>782632958600</v>
          </cell>
          <cell r="AX62">
            <v>2201131604900</v>
          </cell>
          <cell r="AY62">
            <v>4151503000000</v>
          </cell>
          <cell r="AZ62">
            <v>5008695820000</v>
          </cell>
          <cell r="BA62">
            <v>6554451000000</v>
          </cell>
          <cell r="BB62">
            <v>4692989000000</v>
          </cell>
          <cell r="BC62">
            <v>4739365000000</v>
          </cell>
          <cell r="BD62">
            <v>6512288224400</v>
          </cell>
          <cell r="BE62">
            <v>7578816767200</v>
          </cell>
          <cell r="BF62">
            <v>7410401785600</v>
          </cell>
          <cell r="BG62">
            <v>7305824408300</v>
          </cell>
          <cell r="BH62">
            <v>5879610799700</v>
          </cell>
          <cell r="BI62">
            <v>5161558359300</v>
          </cell>
          <cell r="BJ62">
            <v>5216347978000</v>
          </cell>
          <cell r="BK62">
            <v>5569450740000</v>
          </cell>
          <cell r="BL62">
            <v>4880590005800</v>
          </cell>
          <cell r="BM62">
            <v>4290722740700</v>
          </cell>
        </row>
        <row r="63">
          <cell r="B63" t="str">
            <v>ERI</v>
          </cell>
          <cell r="C63" t="str">
            <v>GNI (current LCU)</v>
          </cell>
          <cell r="D63" t="str">
            <v>NY.GNP.MKTP.CN</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v>2186700000</v>
          </cell>
          <cell r="AL63">
            <v>2446600000</v>
          </cell>
          <cell r="AM63">
            <v>3276432000</v>
          </cell>
          <cell r="AN63">
            <v>3747620000</v>
          </cell>
          <cell r="AO63">
            <v>4359653400</v>
          </cell>
          <cell r="AP63">
            <v>4919800500</v>
          </cell>
          <cell r="AQ63">
            <v>5520201900</v>
          </cell>
          <cell r="AR63">
            <v>5666215000</v>
          </cell>
          <cell r="AS63">
            <v>6803397300</v>
          </cell>
          <cell r="AT63">
            <v>8482247500</v>
          </cell>
          <cell r="AU63">
            <v>10094830600</v>
          </cell>
          <cell r="AV63">
            <v>11943086700</v>
          </cell>
          <cell r="AW63">
            <v>15080211200</v>
          </cell>
          <cell r="AX63">
            <v>16735699500</v>
          </cell>
          <cell r="AY63">
            <v>18487813900</v>
          </cell>
          <cell r="AZ63">
            <v>20152731400</v>
          </cell>
          <cell r="BA63">
            <v>21039683300</v>
          </cell>
          <cell r="BB63">
            <v>28298204100</v>
          </cell>
          <cell r="BC63">
            <v>24137019900</v>
          </cell>
          <cell r="BD63">
            <v>31387373100</v>
          </cell>
          <cell r="BE63" t="str">
            <v>..</v>
          </cell>
          <cell r="BF63" t="str">
            <v>..</v>
          </cell>
          <cell r="BG63" t="str">
            <v>..</v>
          </cell>
          <cell r="BH63" t="str">
            <v>..</v>
          </cell>
          <cell r="BI63" t="str">
            <v>..</v>
          </cell>
          <cell r="BJ63" t="str">
            <v>..</v>
          </cell>
          <cell r="BK63" t="str">
            <v>..</v>
          </cell>
          <cell r="BL63" t="str">
            <v>..</v>
          </cell>
          <cell r="BM63" t="str">
            <v>..</v>
          </cell>
        </row>
        <row r="64">
          <cell r="B64" t="str">
            <v>EST</v>
          </cell>
          <cell r="C64" t="str">
            <v>GNI (current LCU)</v>
          </cell>
          <cell r="D64" t="str">
            <v>NY.GNP.MKTP.CN</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v>5938888000</v>
          </cell>
          <cell r="AT64">
            <v>6644402000</v>
          </cell>
          <cell r="AU64">
            <v>7409374000</v>
          </cell>
          <cell r="AV64">
            <v>8237243000</v>
          </cell>
          <cell r="AW64">
            <v>9229401000</v>
          </cell>
          <cell r="AX64">
            <v>10821301000</v>
          </cell>
          <cell r="AY64">
            <v>12819107000</v>
          </cell>
          <cell r="AZ64">
            <v>15128310000</v>
          </cell>
          <cell r="BA64">
            <v>15769600000</v>
          </cell>
          <cell r="BB64">
            <v>13781300000</v>
          </cell>
          <cell r="BC64">
            <v>14070500000</v>
          </cell>
          <cell r="BD64">
            <v>15977500000</v>
          </cell>
          <cell r="BE64">
            <v>17307400000</v>
          </cell>
          <cell r="BF64">
            <v>18575500000</v>
          </cell>
          <cell r="BG64">
            <v>19609500000</v>
          </cell>
          <cell r="BH64">
            <v>20326900000</v>
          </cell>
          <cell r="BI64">
            <v>21443300000</v>
          </cell>
          <cell r="BJ64">
            <v>23283100000</v>
          </cell>
          <cell r="BK64">
            <v>25432100000</v>
          </cell>
          <cell r="BL64">
            <v>27476300000</v>
          </cell>
          <cell r="BM64" t="str">
            <v>..</v>
          </cell>
        </row>
        <row r="65">
          <cell r="B65" t="str">
            <v>SWZ</v>
          </cell>
          <cell r="C65" t="str">
            <v>GNI (current LCU)</v>
          </cell>
          <cell r="D65" t="str">
            <v>NY.GNP.MKTP.CN</v>
          </cell>
          <cell r="E65">
            <v>21255700</v>
          </cell>
          <cell r="F65">
            <v>26126800</v>
          </cell>
          <cell r="G65">
            <v>27809600</v>
          </cell>
          <cell r="H65">
            <v>32857800</v>
          </cell>
          <cell r="I65">
            <v>39411600</v>
          </cell>
          <cell r="J65">
            <v>42600000</v>
          </cell>
          <cell r="K65">
            <v>48500000</v>
          </cell>
          <cell r="L65">
            <v>47000000</v>
          </cell>
          <cell r="M65">
            <v>50200000</v>
          </cell>
          <cell r="N65">
            <v>65600000</v>
          </cell>
          <cell r="O65">
            <v>69600000</v>
          </cell>
          <cell r="P65">
            <v>88600000</v>
          </cell>
          <cell r="Q65">
            <v>101200000</v>
          </cell>
          <cell r="R65">
            <v>133100000</v>
          </cell>
          <cell r="S65">
            <v>156565700</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v>3036771300</v>
          </cell>
          <cell r="AJ65">
            <v>3385054900</v>
          </cell>
          <cell r="AK65">
            <v>3901653300</v>
          </cell>
          <cell r="AL65">
            <v>4591534300</v>
          </cell>
          <cell r="AM65">
            <v>4980960200</v>
          </cell>
          <cell r="AN65">
            <v>6454518200</v>
          </cell>
          <cell r="AO65">
            <v>7458586000</v>
          </cell>
          <cell r="AP65">
            <v>8546952300</v>
          </cell>
          <cell r="AQ65">
            <v>9032126100</v>
          </cell>
          <cell r="AR65">
            <v>9992718800</v>
          </cell>
          <cell r="AS65">
            <v>12299433100</v>
          </cell>
          <cell r="AT65">
            <v>14160345200</v>
          </cell>
          <cell r="AU65">
            <v>15131085000</v>
          </cell>
          <cell r="AV65">
            <v>16306886200</v>
          </cell>
          <cell r="AW65">
            <v>17910437300</v>
          </cell>
          <cell r="AX65">
            <v>21344450600</v>
          </cell>
          <cell r="AY65">
            <v>22382204200</v>
          </cell>
          <cell r="AZ65">
            <v>24732621600</v>
          </cell>
          <cell r="BA65">
            <v>27170206700</v>
          </cell>
          <cell r="BB65">
            <v>29699180100</v>
          </cell>
          <cell r="BC65">
            <v>30841484600</v>
          </cell>
          <cell r="BD65">
            <v>32879466200</v>
          </cell>
          <cell r="BE65">
            <v>37529601200</v>
          </cell>
          <cell r="BF65">
            <v>42483975100</v>
          </cell>
          <cell r="BG65">
            <v>45970277500</v>
          </cell>
          <cell r="BH65">
            <v>49758055600</v>
          </cell>
          <cell r="BI65">
            <v>53114425000</v>
          </cell>
          <cell r="BJ65">
            <v>54755395900</v>
          </cell>
          <cell r="BK65">
            <v>57530132500</v>
          </cell>
          <cell r="BL65">
            <v>58418214900</v>
          </cell>
          <cell r="BM65">
            <v>58869460400</v>
          </cell>
        </row>
        <row r="66">
          <cell r="B66" t="str">
            <v>ETH</v>
          </cell>
          <cell r="C66" t="str">
            <v>GNI (current LCU)</v>
          </cell>
          <cell r="D66" t="str">
            <v>NY.GNP.MKTP.CN</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v>15147949600</v>
          </cell>
          <cell r="AA66">
            <v>15936693500</v>
          </cell>
          <cell r="AB66">
            <v>17707534000</v>
          </cell>
          <cell r="AC66">
            <v>16718945900</v>
          </cell>
          <cell r="AD66">
            <v>19556739800</v>
          </cell>
          <cell r="AE66">
            <v>20321857500</v>
          </cell>
          <cell r="AF66">
            <v>21693613800</v>
          </cell>
          <cell r="AG66">
            <v>22447797000</v>
          </cell>
          <cell r="AH66">
            <v>23590230700</v>
          </cell>
          <cell r="AI66">
            <v>25063807700</v>
          </cell>
          <cell r="AJ66">
            <v>27718153100</v>
          </cell>
          <cell r="AK66">
            <v>29227882100</v>
          </cell>
          <cell r="AL66">
            <v>37310867500</v>
          </cell>
          <cell r="AM66">
            <v>39606699900</v>
          </cell>
          <cell r="AN66">
            <v>47546597900</v>
          </cell>
          <cell r="AO66">
            <v>53733092600</v>
          </cell>
          <cell r="AP66">
            <v>55186140800</v>
          </cell>
          <cell r="AQ66">
            <v>53347964800</v>
          </cell>
          <cell r="AR66">
            <v>57445940400</v>
          </cell>
          <cell r="AS66">
            <v>66669899900</v>
          </cell>
          <cell r="AT66">
            <v>68121982400</v>
          </cell>
          <cell r="AU66">
            <v>66609205500</v>
          </cell>
          <cell r="AV66">
            <v>73428324900</v>
          </cell>
          <cell r="AW66">
            <v>86778167000</v>
          </cell>
          <cell r="AX66">
            <v>106980100200</v>
          </cell>
          <cell r="AY66">
            <v>132318287600</v>
          </cell>
          <cell r="AZ66">
            <v>173433565500</v>
          </cell>
          <cell r="BA66">
            <v>250390842500</v>
          </cell>
          <cell r="BB66">
            <v>337531196400</v>
          </cell>
          <cell r="BC66">
            <v>384481486400</v>
          </cell>
          <cell r="BD66">
            <v>513958341000</v>
          </cell>
          <cell r="BE66">
            <v>745666698000</v>
          </cell>
          <cell r="BF66">
            <v>864978283000</v>
          </cell>
          <cell r="BG66">
            <v>1057899776000</v>
          </cell>
          <cell r="BH66">
            <v>1292686340000</v>
          </cell>
          <cell r="BI66">
            <v>1562975000000</v>
          </cell>
          <cell r="BJ66">
            <v>1821901900000</v>
          </cell>
          <cell r="BK66">
            <v>2190270000000</v>
          </cell>
          <cell r="BL66">
            <v>2674210500000</v>
          </cell>
          <cell r="BM66">
            <v>3356079500000</v>
          </cell>
        </row>
        <row r="67">
          <cell r="B67" t="str">
            <v>FRO</v>
          </cell>
          <cell r="C67" t="str">
            <v>GNI (current LCU)</v>
          </cell>
          <cell r="D67" t="str">
            <v>NY.GNP.MKTP.CN</v>
          </cell>
          <cell r="E67">
            <v>194500000</v>
          </cell>
          <cell r="F67">
            <v>216100000</v>
          </cell>
          <cell r="G67">
            <v>234800000</v>
          </cell>
          <cell r="H67">
            <v>280500000</v>
          </cell>
          <cell r="I67">
            <v>318800100</v>
          </cell>
          <cell r="J67">
            <v>360199900</v>
          </cell>
          <cell r="K67">
            <v>401200100</v>
          </cell>
          <cell r="L67">
            <v>415899900</v>
          </cell>
          <cell r="M67">
            <v>441400100</v>
          </cell>
          <cell r="N67">
            <v>469099800</v>
          </cell>
          <cell r="O67">
            <v>570599900</v>
          </cell>
          <cell r="P67">
            <v>658699800</v>
          </cell>
          <cell r="Q67">
            <v>745499900</v>
          </cell>
          <cell r="R67">
            <v>872199900</v>
          </cell>
          <cell r="S67">
            <v>1088600100</v>
          </cell>
          <cell r="T67">
            <v>1191200000</v>
          </cell>
          <cell r="U67">
            <v>1464199900</v>
          </cell>
          <cell r="V67">
            <v>1864200400</v>
          </cell>
          <cell r="W67">
            <v>1952700200</v>
          </cell>
          <cell r="X67">
            <v>2082899700</v>
          </cell>
          <cell r="Y67">
            <v>2474000100</v>
          </cell>
          <cell r="Z67">
            <v>2826999600</v>
          </cell>
          <cell r="AA67">
            <v>3294999800</v>
          </cell>
          <cell r="AB67">
            <v>3984999900</v>
          </cell>
          <cell r="AC67">
            <v>4266999600</v>
          </cell>
          <cell r="AD67">
            <v>4666998800</v>
          </cell>
          <cell r="AE67">
            <v>5211000800</v>
          </cell>
          <cell r="AF67">
            <v>5624999900</v>
          </cell>
          <cell r="AG67" t="str">
            <v>..</v>
          </cell>
          <cell r="AH67" t="str">
            <v>..</v>
          </cell>
          <cell r="AI67" t="str">
            <v>..</v>
          </cell>
          <cell r="AJ67" t="str">
            <v>..</v>
          </cell>
          <cell r="AK67" t="str">
            <v>..</v>
          </cell>
          <cell r="AL67" t="str">
            <v>..</v>
          </cell>
          <cell r="AM67" t="str">
            <v>..</v>
          </cell>
          <cell r="AN67" t="str">
            <v>..</v>
          </cell>
          <cell r="AO67" t="str">
            <v>..</v>
          </cell>
          <cell r="AP67" t="str">
            <v>..</v>
          </cell>
          <cell r="AQ67">
            <v>7653300000</v>
          </cell>
          <cell r="AR67">
            <v>8114000000</v>
          </cell>
          <cell r="AS67">
            <v>8888700000</v>
          </cell>
          <cell r="AT67">
            <v>9806700000</v>
          </cell>
          <cell r="AU67">
            <v>10284400000</v>
          </cell>
          <cell r="AV67">
            <v>10203800000</v>
          </cell>
          <cell r="AW67">
            <v>10508700000</v>
          </cell>
          <cell r="AX67">
            <v>10726400000</v>
          </cell>
          <cell r="AY67">
            <v>12201800000</v>
          </cell>
          <cell r="AZ67">
            <v>12841300000</v>
          </cell>
          <cell r="BA67">
            <v>12479400000</v>
          </cell>
          <cell r="BB67">
            <v>11882500000</v>
          </cell>
          <cell r="BC67">
            <v>13220400000</v>
          </cell>
          <cell r="BD67">
            <v>14098400000</v>
          </cell>
          <cell r="BE67">
            <v>14438000000</v>
          </cell>
          <cell r="BF67">
            <v>15579300000</v>
          </cell>
          <cell r="BG67">
            <v>16588500000</v>
          </cell>
          <cell r="BH67">
            <v>17410200000</v>
          </cell>
          <cell r="BI67">
            <v>19128100000</v>
          </cell>
          <cell r="BJ67">
            <v>19804600000</v>
          </cell>
          <cell r="BK67">
            <v>19842700000</v>
          </cell>
          <cell r="BL67">
            <v>21474700000</v>
          </cell>
          <cell r="BM67" t="str">
            <v>..</v>
          </cell>
        </row>
        <row r="68">
          <cell r="B68" t="str">
            <v>FJI</v>
          </cell>
          <cell r="C68" t="str">
            <v>GNI (current LCU)</v>
          </cell>
          <cell r="D68" t="str">
            <v>NY.GNP.MKTP.CN</v>
          </cell>
          <cell r="E68">
            <v>85800000</v>
          </cell>
          <cell r="F68">
            <v>89400000</v>
          </cell>
          <cell r="G68">
            <v>93800000</v>
          </cell>
          <cell r="H68">
            <v>97500000</v>
          </cell>
          <cell r="I68">
            <v>107900000</v>
          </cell>
          <cell r="J68">
            <v>111900000</v>
          </cell>
          <cell r="K68">
            <v>116700000</v>
          </cell>
          <cell r="L68">
            <v>126600000</v>
          </cell>
          <cell r="M68">
            <v>139000000</v>
          </cell>
          <cell r="N68">
            <v>151400000</v>
          </cell>
          <cell r="O68">
            <v>183600000</v>
          </cell>
          <cell r="P68">
            <v>201800000</v>
          </cell>
          <cell r="Q68">
            <v>252100000</v>
          </cell>
          <cell r="R68">
            <v>333699800</v>
          </cell>
          <cell r="S68">
            <v>448199900</v>
          </cell>
          <cell r="T68">
            <v>549327500</v>
          </cell>
          <cell r="U68">
            <v>613259900</v>
          </cell>
          <cell r="V68">
            <v>651500000</v>
          </cell>
          <cell r="W68">
            <v>697699800</v>
          </cell>
          <cell r="X68">
            <v>841056400</v>
          </cell>
          <cell r="Y68">
            <v>969100000</v>
          </cell>
          <cell r="Z68">
            <v>1046700000</v>
          </cell>
          <cell r="AA68">
            <v>1079600000</v>
          </cell>
          <cell r="AB68">
            <v>1113369400</v>
          </cell>
          <cell r="AC68">
            <v>1244767300</v>
          </cell>
          <cell r="AD68">
            <v>1304375900</v>
          </cell>
          <cell r="AE68">
            <v>1452275800</v>
          </cell>
          <cell r="AF68">
            <v>1451378900</v>
          </cell>
          <cell r="AG68">
            <v>1565759200</v>
          </cell>
          <cell r="AH68">
            <v>1725554200</v>
          </cell>
          <cell r="AI68">
            <v>1909700000</v>
          </cell>
          <cell r="AJ68">
            <v>1983500000</v>
          </cell>
          <cell r="AK68">
            <v>2228000000</v>
          </cell>
          <cell r="AL68">
            <v>2438900000</v>
          </cell>
          <cell r="AM68">
            <v>2547000000</v>
          </cell>
          <cell r="AN68">
            <v>2715700000</v>
          </cell>
          <cell r="AO68">
            <v>2948000000</v>
          </cell>
          <cell r="AP68">
            <v>2963500000</v>
          </cell>
          <cell r="AQ68">
            <v>3174000000</v>
          </cell>
          <cell r="AR68">
            <v>3686400000</v>
          </cell>
          <cell r="AS68">
            <v>3643100000</v>
          </cell>
          <cell r="AT68">
            <v>3730300000</v>
          </cell>
          <cell r="AU68">
            <v>4041600000</v>
          </cell>
          <cell r="AV68">
            <v>4363100000</v>
          </cell>
          <cell r="AW68">
            <v>4693600000</v>
          </cell>
          <cell r="AX68">
            <v>5113300000</v>
          </cell>
          <cell r="AY68">
            <v>5116400000</v>
          </cell>
          <cell r="AZ68">
            <v>5318427500</v>
          </cell>
          <cell r="BA68">
            <v>5476101400</v>
          </cell>
          <cell r="BB68">
            <v>5591656600</v>
          </cell>
          <cell r="BC68">
            <v>5837638100</v>
          </cell>
          <cell r="BD68">
            <v>6560555000</v>
          </cell>
          <cell r="BE68">
            <v>6847005300</v>
          </cell>
          <cell r="BF68">
            <v>7564829700</v>
          </cell>
          <cell r="BG68">
            <v>8741632400</v>
          </cell>
          <cell r="BH68">
            <v>9225710300</v>
          </cell>
          <cell r="BI68">
            <v>9757598800</v>
          </cell>
          <cell r="BJ68">
            <v>10190451600</v>
          </cell>
          <cell r="BK68">
            <v>10899455594.7145</v>
          </cell>
          <cell r="BL68">
            <v>10900430401.2719</v>
          </cell>
          <cell r="BM68">
            <v>9228387146.9971104</v>
          </cell>
        </row>
        <row r="69">
          <cell r="B69" t="str">
            <v>FIN</v>
          </cell>
          <cell r="C69" t="str">
            <v>GNI (current LCU)</v>
          </cell>
          <cell r="D69" t="str">
            <v>NY.GNP.MKTP.CN</v>
          </cell>
          <cell r="E69">
            <v>2810801408</v>
          </cell>
          <cell r="F69">
            <v>3184137984</v>
          </cell>
          <cell r="G69">
            <v>3406088960</v>
          </cell>
          <cell r="H69">
            <v>3695129088</v>
          </cell>
          <cell r="I69">
            <v>4164406784</v>
          </cell>
          <cell r="J69">
            <v>4602921984</v>
          </cell>
          <cell r="K69">
            <v>4932798976</v>
          </cell>
          <cell r="L69">
            <v>5402779136</v>
          </cell>
          <cell r="M69">
            <v>6187687936</v>
          </cell>
          <cell r="N69">
            <v>7059502080</v>
          </cell>
          <cell r="O69">
            <v>8101111000</v>
          </cell>
          <cell r="P69">
            <v>8898377000</v>
          </cell>
          <cell r="Q69">
            <v>10365866000</v>
          </cell>
          <cell r="R69">
            <v>12612947000</v>
          </cell>
          <cell r="S69">
            <v>15894059000</v>
          </cell>
          <cell r="T69">
            <v>18324357000</v>
          </cell>
          <cell r="U69">
            <v>20781134000</v>
          </cell>
          <cell r="V69">
            <v>22718742000</v>
          </cell>
          <cell r="W69">
            <v>25135345000</v>
          </cell>
          <cell r="X69">
            <v>29223791000</v>
          </cell>
          <cell r="Y69">
            <v>33761359000</v>
          </cell>
          <cell r="Z69">
            <v>37961056000</v>
          </cell>
          <cell r="AA69">
            <v>42594422000</v>
          </cell>
          <cell r="AB69">
            <v>47432778000</v>
          </cell>
          <cell r="AC69">
            <v>53130233000</v>
          </cell>
          <cell r="AD69">
            <v>57951077000</v>
          </cell>
          <cell r="AE69">
            <v>62541179000</v>
          </cell>
          <cell r="AF69">
            <v>67485635000</v>
          </cell>
          <cell r="AG69">
            <v>76595794000</v>
          </cell>
          <cell r="AH69">
            <v>84774747000</v>
          </cell>
          <cell r="AI69">
            <v>89393692000</v>
          </cell>
          <cell r="AJ69">
            <v>84513103000</v>
          </cell>
          <cell r="AK69">
            <v>81359982000</v>
          </cell>
          <cell r="AL69">
            <v>81700944000</v>
          </cell>
          <cell r="AM69">
            <v>87151176000</v>
          </cell>
          <cell r="AN69">
            <v>95668000000</v>
          </cell>
          <cell r="AO69">
            <v>99780000000</v>
          </cell>
          <cell r="AP69">
            <v>109150000000</v>
          </cell>
          <cell r="AQ69">
            <v>118153000000</v>
          </cell>
          <cell r="AR69">
            <v>125646000000</v>
          </cell>
          <cell r="AS69">
            <v>135592000000</v>
          </cell>
          <cell r="AT69">
            <v>144575000000</v>
          </cell>
          <cell r="AU69">
            <v>148936000000</v>
          </cell>
          <cell r="AV69">
            <v>150855000000</v>
          </cell>
          <cell r="AW69">
            <v>159875000000</v>
          </cell>
          <cell r="AX69">
            <v>165374000000</v>
          </cell>
          <cell r="AY69">
            <v>174470000000</v>
          </cell>
          <cell r="AZ69">
            <v>187619000000</v>
          </cell>
          <cell r="BA69">
            <v>194591000000</v>
          </cell>
          <cell r="BB69">
            <v>184004000000</v>
          </cell>
          <cell r="BC69">
            <v>190577000000</v>
          </cell>
          <cell r="BD69">
            <v>198756000000</v>
          </cell>
          <cell r="BE69">
            <v>201977000000</v>
          </cell>
          <cell r="BF69">
            <v>205160000000</v>
          </cell>
          <cell r="BG69">
            <v>208968000000</v>
          </cell>
          <cell r="BH69">
            <v>213464000000</v>
          </cell>
          <cell r="BI69">
            <v>218508000000</v>
          </cell>
          <cell r="BJ69">
            <v>226414000000</v>
          </cell>
          <cell r="BK69">
            <v>234406000000</v>
          </cell>
          <cell r="BL69">
            <v>241311000000</v>
          </cell>
          <cell r="BM69">
            <v>240205000000</v>
          </cell>
        </row>
        <row r="70">
          <cell r="B70" t="str">
            <v>FRA</v>
          </cell>
          <cell r="C70" t="str">
            <v>GNI (current LCU)</v>
          </cell>
          <cell r="D70" t="str">
            <v>NY.GNP.MKTP.CN</v>
          </cell>
          <cell r="E70">
            <v>47107000000</v>
          </cell>
          <cell r="F70">
            <v>51047000000</v>
          </cell>
          <cell r="G70">
            <v>57316000000</v>
          </cell>
          <cell r="H70">
            <v>64291000000</v>
          </cell>
          <cell r="I70">
            <v>71278000000</v>
          </cell>
          <cell r="J70">
            <v>76961000000</v>
          </cell>
          <cell r="K70">
            <v>83347000000</v>
          </cell>
          <cell r="L70">
            <v>90114000000</v>
          </cell>
          <cell r="M70">
            <v>98164000000</v>
          </cell>
          <cell r="N70">
            <v>112745000000</v>
          </cell>
          <cell r="O70">
            <v>126203000000</v>
          </cell>
          <cell r="P70">
            <v>140880000000</v>
          </cell>
          <cell r="Q70">
            <v>157109000000</v>
          </cell>
          <cell r="R70">
            <v>180042000000</v>
          </cell>
          <cell r="S70">
            <v>209773000000</v>
          </cell>
          <cell r="T70">
            <v>236482000000</v>
          </cell>
          <cell r="U70">
            <v>273393000000</v>
          </cell>
          <cell r="V70">
            <v>307503000000</v>
          </cell>
          <cell r="W70">
            <v>349725000000</v>
          </cell>
          <cell r="X70">
            <v>399960000000</v>
          </cell>
          <cell r="Y70">
            <v>455102000000</v>
          </cell>
          <cell r="Z70">
            <v>513223000000</v>
          </cell>
          <cell r="AA70">
            <v>587414000000</v>
          </cell>
          <cell r="AB70">
            <v>647823000000</v>
          </cell>
          <cell r="AC70">
            <v>702526000000</v>
          </cell>
          <cell r="AD70">
            <v>756689000000</v>
          </cell>
          <cell r="AE70">
            <v>818091000000</v>
          </cell>
          <cell r="AF70">
            <v>862780000000</v>
          </cell>
          <cell r="AG70">
            <v>931324000000</v>
          </cell>
          <cell r="AH70">
            <v>1000933000000</v>
          </cell>
          <cell r="AI70">
            <v>1057214000000</v>
          </cell>
          <cell r="AJ70">
            <v>1094565000000</v>
          </cell>
          <cell r="AK70">
            <v>1135394000000</v>
          </cell>
          <cell r="AL70">
            <v>1147630000000</v>
          </cell>
          <cell r="AM70">
            <v>1183704000000</v>
          </cell>
          <cell r="AN70">
            <v>1222352000000</v>
          </cell>
          <cell r="AO70">
            <v>1262933000000</v>
          </cell>
          <cell r="AP70">
            <v>1308498000000</v>
          </cell>
          <cell r="AQ70">
            <v>1369514000000</v>
          </cell>
          <cell r="AR70">
            <v>1428941000000</v>
          </cell>
          <cell r="AS70">
            <v>1501943000000</v>
          </cell>
          <cell r="AT70">
            <v>1565933000000</v>
          </cell>
          <cell r="AU70">
            <v>1604367000000</v>
          </cell>
          <cell r="AV70">
            <v>1652309000000</v>
          </cell>
          <cell r="AW70">
            <v>1727610000000</v>
          </cell>
          <cell r="AX70">
            <v>1796143000000</v>
          </cell>
          <cell r="AY70">
            <v>1885128000000</v>
          </cell>
          <cell r="AZ70">
            <v>1979923000000</v>
          </cell>
          <cell r="BA70">
            <v>2035781000000</v>
          </cell>
          <cell r="BB70">
            <v>1980957000000</v>
          </cell>
          <cell r="BC70">
            <v>2041476000000</v>
          </cell>
          <cell r="BD70">
            <v>2113091000000</v>
          </cell>
          <cell r="BE70">
            <v>2134475000000</v>
          </cell>
          <cell r="BF70">
            <v>2164612000000</v>
          </cell>
          <cell r="BG70">
            <v>2196359000000</v>
          </cell>
          <cell r="BH70">
            <v>2245909000000</v>
          </cell>
          <cell r="BI70">
            <v>2281389000000</v>
          </cell>
          <cell r="BJ70">
            <v>2349163000000</v>
          </cell>
          <cell r="BK70">
            <v>2418096000000</v>
          </cell>
          <cell r="BL70">
            <v>2489933000000</v>
          </cell>
          <cell r="BM70">
            <v>2339190000000</v>
          </cell>
        </row>
        <row r="71">
          <cell r="B71" t="str">
            <v>PYF</v>
          </cell>
          <cell r="C71" t="str">
            <v>GNI (current LCU)</v>
          </cell>
          <cell r="D71" t="str">
            <v>NY.GNP.MKTP.CN</v>
          </cell>
          <cell r="E71">
            <v>5138414592</v>
          </cell>
          <cell r="F71">
            <v>5735902720</v>
          </cell>
          <cell r="G71">
            <v>6021505024</v>
          </cell>
          <cell r="H71">
            <v>7169879552</v>
          </cell>
          <cell r="I71">
            <v>11029663744</v>
          </cell>
          <cell r="J71">
            <v>15846627328</v>
          </cell>
          <cell r="K71">
            <v>19358670848</v>
          </cell>
          <cell r="L71">
            <v>19836661760</v>
          </cell>
          <cell r="M71">
            <v>23302103040</v>
          </cell>
          <cell r="N71">
            <v>22943610880</v>
          </cell>
          <cell r="O71">
            <v>25653825536</v>
          </cell>
          <cell r="P71">
            <v>29891225600</v>
          </cell>
          <cell r="Q71">
            <v>29916319744</v>
          </cell>
          <cell r="R71">
            <v>34953146368</v>
          </cell>
          <cell r="S71">
            <v>48608178176</v>
          </cell>
          <cell r="T71">
            <v>53797998592</v>
          </cell>
          <cell r="U71">
            <v>63629074432</v>
          </cell>
          <cell r="V71">
            <v>70862290944</v>
          </cell>
          <cell r="W71">
            <v>82513321984</v>
          </cell>
          <cell r="X71">
            <v>93986349056</v>
          </cell>
          <cell r="Y71">
            <v>104652742656</v>
          </cell>
          <cell r="Z71">
            <v>126475395072</v>
          </cell>
          <cell r="AA71">
            <v>153722765312</v>
          </cell>
          <cell r="AB71">
            <v>185119014912</v>
          </cell>
          <cell r="AC71">
            <v>219124482048</v>
          </cell>
          <cell r="AD71">
            <v>246231777280</v>
          </cell>
          <cell r="AE71">
            <v>289841250304</v>
          </cell>
          <cell r="AF71">
            <v>277930967040</v>
          </cell>
          <cell r="AG71">
            <v>291080175616</v>
          </cell>
          <cell r="AH71">
            <v>305837441024</v>
          </cell>
          <cell r="AI71">
            <v>314955005952</v>
          </cell>
          <cell r="AJ71">
            <v>335178989600</v>
          </cell>
          <cell r="AK71">
            <v>342495985700</v>
          </cell>
          <cell r="AL71">
            <v>349705011200</v>
          </cell>
          <cell r="AM71">
            <v>355559997400</v>
          </cell>
          <cell r="AN71">
            <v>361417015300</v>
          </cell>
          <cell r="AO71">
            <v>367824011300</v>
          </cell>
          <cell r="AP71">
            <v>378501005300</v>
          </cell>
          <cell r="AQ71">
            <v>404885995500</v>
          </cell>
          <cell r="AR71">
            <v>425000009700</v>
          </cell>
          <cell r="AS71">
            <v>446249992200</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row>
        <row r="72">
          <cell r="B72" t="str">
            <v>GAB</v>
          </cell>
          <cell r="C72" t="str">
            <v>GNI (current LCU)</v>
          </cell>
          <cell r="D72" t="str">
            <v>NY.GNP.MKTP.CN</v>
          </cell>
          <cell r="E72">
            <v>33050812400</v>
          </cell>
          <cell r="F72">
            <v>39004065800</v>
          </cell>
          <cell r="G72">
            <v>41980690400</v>
          </cell>
          <cell r="H72">
            <v>44444106800</v>
          </cell>
          <cell r="I72">
            <v>48241868800</v>
          </cell>
          <cell r="J72">
            <v>50500000000</v>
          </cell>
          <cell r="K72">
            <v>55399990000</v>
          </cell>
          <cell r="L72">
            <v>60600000000</v>
          </cell>
          <cell r="M72">
            <v>66000000000</v>
          </cell>
          <cell r="N72">
            <v>76800000000</v>
          </cell>
          <cell r="O72">
            <v>84899990000</v>
          </cell>
          <cell r="P72">
            <v>98500020000</v>
          </cell>
          <cell r="Q72">
            <v>101300000000</v>
          </cell>
          <cell r="R72">
            <v>148300000000</v>
          </cell>
          <cell r="S72">
            <v>341300000000</v>
          </cell>
          <cell r="T72">
            <v>429600000000</v>
          </cell>
          <cell r="U72">
            <v>676400000000</v>
          </cell>
          <cell r="V72">
            <v>653000000000</v>
          </cell>
          <cell r="W72">
            <v>488000000000</v>
          </cell>
          <cell r="X72">
            <v>567700000000</v>
          </cell>
          <cell r="Y72">
            <v>814700000000</v>
          </cell>
          <cell r="Z72">
            <v>960400000000</v>
          </cell>
          <cell r="AA72">
            <v>1086000000000</v>
          </cell>
          <cell r="AB72">
            <v>1179900000000</v>
          </cell>
          <cell r="AC72">
            <v>1458300000000</v>
          </cell>
          <cell r="AD72">
            <v>1391100000000</v>
          </cell>
          <cell r="AE72">
            <v>1093300000000</v>
          </cell>
          <cell r="AF72">
            <v>913300000500</v>
          </cell>
          <cell r="AG72">
            <v>1059400001300</v>
          </cell>
          <cell r="AH72">
            <v>1260700000000</v>
          </cell>
          <cell r="AI72">
            <v>1452900000000</v>
          </cell>
          <cell r="AJ72">
            <v>1368001000000</v>
          </cell>
          <cell r="AK72">
            <v>1287560000000</v>
          </cell>
          <cell r="AL72">
            <v>1309491236600</v>
          </cell>
          <cell r="AM72">
            <v>2050262586700</v>
          </cell>
          <cell r="AN72">
            <v>2143057952600</v>
          </cell>
          <cell r="AO72">
            <v>2522464854400</v>
          </cell>
          <cell r="AP72">
            <v>2690905550300</v>
          </cell>
          <cell r="AQ72">
            <v>2341107763000</v>
          </cell>
          <cell r="AR72">
            <v>2520719506200</v>
          </cell>
          <cell r="AS72">
            <v>3053761000000</v>
          </cell>
          <cell r="AT72">
            <v>3217827000000</v>
          </cell>
          <cell r="AU72">
            <v>3367586000000</v>
          </cell>
          <cell r="AV72">
            <v>3361763000000</v>
          </cell>
          <cell r="AW72">
            <v>3468244000000</v>
          </cell>
          <cell r="AX72">
            <v>4547504000000</v>
          </cell>
          <cell r="AY72">
            <v>4684579000000</v>
          </cell>
          <cell r="AZ72">
            <v>5085281000000</v>
          </cell>
          <cell r="BA72">
            <v>5979385000000</v>
          </cell>
          <cell r="BB72">
            <v>5049193000000</v>
          </cell>
          <cell r="BC72">
            <v>6177241556500</v>
          </cell>
          <cell r="BD72">
            <v>7403892503200</v>
          </cell>
          <cell r="BE72">
            <v>7891654229800</v>
          </cell>
          <cell r="BF72">
            <v>7848544739900</v>
          </cell>
          <cell r="BG72">
            <v>8520399566800</v>
          </cell>
          <cell r="BH72">
            <v>7797324892900</v>
          </cell>
          <cell r="BI72">
            <v>7665279545400</v>
          </cell>
          <cell r="BJ72">
            <v>8120907682300</v>
          </cell>
          <cell r="BK72">
            <v>8751044250600</v>
          </cell>
          <cell r="BL72">
            <v>9088144141300</v>
          </cell>
          <cell r="BM72">
            <v>8347926911900</v>
          </cell>
        </row>
        <row r="73">
          <cell r="B73" t="str">
            <v>GMB</v>
          </cell>
          <cell r="C73" t="str">
            <v>GNI (current LCU)</v>
          </cell>
          <cell r="D73" t="str">
            <v>NY.GNP.MKTP.CN</v>
          </cell>
          <cell r="E73" t="str">
            <v>..</v>
          </cell>
          <cell r="F73" t="str">
            <v>..</v>
          </cell>
          <cell r="G73" t="str">
            <v>..</v>
          </cell>
          <cell r="H73" t="str">
            <v>..</v>
          </cell>
          <cell r="I73" t="str">
            <v>..</v>
          </cell>
          <cell r="J73" t="str">
            <v>..</v>
          </cell>
          <cell r="K73">
            <v>78950000</v>
          </cell>
          <cell r="L73">
            <v>85700000</v>
          </cell>
          <cell r="M73">
            <v>85750000</v>
          </cell>
          <cell r="N73">
            <v>94100000</v>
          </cell>
          <cell r="O73">
            <v>108950000</v>
          </cell>
          <cell r="P73">
            <v>111886300</v>
          </cell>
          <cell r="Q73">
            <v>115159600</v>
          </cell>
          <cell r="R73">
            <v>125787800</v>
          </cell>
          <cell r="S73">
            <v>162019900</v>
          </cell>
          <cell r="T73">
            <v>207517600</v>
          </cell>
          <cell r="U73">
            <v>252086700</v>
          </cell>
          <cell r="V73">
            <v>320395000</v>
          </cell>
          <cell r="W73">
            <v>357135700</v>
          </cell>
          <cell r="X73">
            <v>386069600</v>
          </cell>
          <cell r="Y73">
            <v>407844500</v>
          </cell>
          <cell r="Z73">
            <v>427998800</v>
          </cell>
          <cell r="AA73">
            <v>479916600</v>
          </cell>
          <cell r="AB73">
            <v>526853200</v>
          </cell>
          <cell r="AC73">
            <v>639363300</v>
          </cell>
          <cell r="AD73">
            <v>977270300</v>
          </cell>
          <cell r="AE73">
            <v>1483334200</v>
          </cell>
          <cell r="AF73">
            <v>1771971600</v>
          </cell>
          <cell r="AG73">
            <v>1824170100</v>
          </cell>
          <cell r="AH73">
            <v>2026849500</v>
          </cell>
          <cell r="AI73">
            <v>2297319900</v>
          </cell>
          <cell r="AJ73">
            <v>5852697600</v>
          </cell>
          <cell r="AK73">
            <v>6188365800</v>
          </cell>
          <cell r="AL73">
            <v>6709243100</v>
          </cell>
          <cell r="AM73">
            <v>6979953800</v>
          </cell>
          <cell r="AN73">
            <v>7355153200</v>
          </cell>
          <cell r="AO73">
            <v>8152578700</v>
          </cell>
          <cell r="AP73">
            <v>7954902800</v>
          </cell>
          <cell r="AQ73">
            <v>8673957900</v>
          </cell>
          <cell r="AR73">
            <v>8954770900</v>
          </cell>
          <cell r="AS73">
            <v>9624984600</v>
          </cell>
          <cell r="AT73">
            <v>10293690600</v>
          </cell>
          <cell r="AU73">
            <v>10860939300</v>
          </cell>
          <cell r="AV73">
            <v>13247311300</v>
          </cell>
          <cell r="AW73">
            <v>28266481500</v>
          </cell>
          <cell r="AX73">
            <v>28725617100</v>
          </cell>
          <cell r="AY73">
            <v>28880500500</v>
          </cell>
          <cell r="AZ73">
            <v>31187555400</v>
          </cell>
          <cell r="BA73">
            <v>34091391700</v>
          </cell>
          <cell r="BB73">
            <v>37892255200</v>
          </cell>
          <cell r="BC73">
            <v>42392974500</v>
          </cell>
          <cell r="BD73">
            <v>40592853200</v>
          </cell>
          <cell r="BE73">
            <v>44450739300</v>
          </cell>
          <cell r="BF73">
            <v>48396734600</v>
          </cell>
          <cell r="BG73">
            <v>50100074300</v>
          </cell>
          <cell r="BH73">
            <v>57176231700</v>
          </cell>
          <cell r="BI73">
            <v>63183112800</v>
          </cell>
          <cell r="BJ73">
            <v>68823196000</v>
          </cell>
          <cell r="BK73">
            <v>79039805300</v>
          </cell>
          <cell r="BL73">
            <v>89226536100</v>
          </cell>
          <cell r="BM73">
            <v>94614901400</v>
          </cell>
        </row>
        <row r="74">
          <cell r="B74" t="str">
            <v>GEO</v>
          </cell>
          <cell r="C74" t="str">
            <v>GNI (current LCU)</v>
          </cell>
          <cell r="D74" t="str">
            <v>NY.GNP.MKTP.CN</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v>148200</v>
          </cell>
          <cell r="AL74">
            <v>16120000</v>
          </cell>
          <cell r="AM74">
            <v>886261000</v>
          </cell>
          <cell r="AN74">
            <v>2324238700</v>
          </cell>
          <cell r="AO74">
            <v>3779448000</v>
          </cell>
          <cell r="AP74">
            <v>4720201500</v>
          </cell>
          <cell r="AQ74">
            <v>5287138000</v>
          </cell>
          <cell r="AR74">
            <v>5966101500</v>
          </cell>
          <cell r="AS74">
            <v>6117021100</v>
          </cell>
          <cell r="AT74">
            <v>6715460000</v>
          </cell>
          <cell r="AU74">
            <v>7478835300</v>
          </cell>
          <cell r="AV74">
            <v>8584483200</v>
          </cell>
          <cell r="AW74">
            <v>9965759800</v>
          </cell>
          <cell r="AX74">
            <v>11731112200</v>
          </cell>
          <cell r="AY74">
            <v>14076722400</v>
          </cell>
          <cell r="AZ74">
            <v>17053938000</v>
          </cell>
          <cell r="BA74">
            <v>18986495600</v>
          </cell>
          <cell r="BB74">
            <v>17913166200</v>
          </cell>
          <cell r="BC74">
            <v>21434128000</v>
          </cell>
          <cell r="BD74">
            <v>24760419700</v>
          </cell>
          <cell r="BE74">
            <v>26942615900</v>
          </cell>
          <cell r="BF74">
            <v>28065635900</v>
          </cell>
          <cell r="BG74">
            <v>30718242100</v>
          </cell>
          <cell r="BH74">
            <v>33166388100</v>
          </cell>
          <cell r="BI74">
            <v>34175996600</v>
          </cell>
          <cell r="BJ74">
            <v>38765500800</v>
          </cell>
          <cell r="BK74">
            <v>42864318400</v>
          </cell>
          <cell r="BL74">
            <v>47060392200</v>
          </cell>
          <cell r="BM74">
            <v>46969939270.965599</v>
          </cell>
        </row>
        <row r="75">
          <cell r="B75" t="str">
            <v>DEU</v>
          </cell>
          <cell r="C75" t="str">
            <v>GNI (current LCU)</v>
          </cell>
          <cell r="D75" t="str">
            <v>NY.GNP.MKTP.CN</v>
          </cell>
          <cell r="E75" t="str">
            <v>..</v>
          </cell>
          <cell r="F75" t="str">
            <v>..</v>
          </cell>
          <cell r="G75" t="str">
            <v>..</v>
          </cell>
          <cell r="H75" t="str">
            <v>..</v>
          </cell>
          <cell r="I75" t="str">
            <v>..</v>
          </cell>
          <cell r="J75" t="str">
            <v>..</v>
          </cell>
          <cell r="K75" t="str">
            <v>..</v>
          </cell>
          <cell r="L75" t="str">
            <v>..</v>
          </cell>
          <cell r="M75" t="str">
            <v>..</v>
          </cell>
          <cell r="N75" t="str">
            <v>..</v>
          </cell>
          <cell r="O75">
            <v>405955008000</v>
          </cell>
          <cell r="P75">
            <v>449958537000</v>
          </cell>
          <cell r="Q75">
            <v>490122983000</v>
          </cell>
          <cell r="R75">
            <v>545812143000</v>
          </cell>
          <cell r="S75">
            <v>590736154000</v>
          </cell>
          <cell r="T75">
            <v>619663985000</v>
          </cell>
          <cell r="U75">
            <v>672389642000</v>
          </cell>
          <cell r="V75">
            <v>715304308000</v>
          </cell>
          <cell r="W75">
            <v>765683859000</v>
          </cell>
          <cell r="X75">
            <v>829118539000</v>
          </cell>
          <cell r="Y75">
            <v>886783368000</v>
          </cell>
          <cell r="Z75">
            <v>927104969000</v>
          </cell>
          <cell r="AA75">
            <v>964889632000</v>
          </cell>
          <cell r="AB75">
            <v>1010734125000</v>
          </cell>
          <cell r="AC75">
            <v>1064088404000</v>
          </cell>
          <cell r="AD75">
            <v>1112076947000</v>
          </cell>
          <cell r="AE75">
            <v>1168776392000</v>
          </cell>
          <cell r="AF75">
            <v>1198591029000</v>
          </cell>
          <cell r="AG75">
            <v>1270332497000</v>
          </cell>
          <cell r="AH75">
            <v>1359518221000</v>
          </cell>
          <cell r="AI75">
            <v>1479439064000</v>
          </cell>
          <cell r="AJ75">
            <v>1591639954000</v>
          </cell>
          <cell r="AK75">
            <v>1707148554000</v>
          </cell>
          <cell r="AL75">
            <v>1753917767000</v>
          </cell>
          <cell r="AM75">
            <v>1829089211000</v>
          </cell>
          <cell r="AN75">
            <v>1892016000000</v>
          </cell>
          <cell r="AO75">
            <v>1921656000000</v>
          </cell>
          <cell r="AP75">
            <v>1957405000000</v>
          </cell>
          <cell r="AQ75">
            <v>2002895000000</v>
          </cell>
          <cell r="AR75">
            <v>2045234000000</v>
          </cell>
          <cell r="AS75">
            <v>2097226000000</v>
          </cell>
          <cell r="AT75">
            <v>2157280000000</v>
          </cell>
          <cell r="AU75">
            <v>2174801000000</v>
          </cell>
          <cell r="AV75">
            <v>2189106000000</v>
          </cell>
          <cell r="AW75">
            <v>2276187000000</v>
          </cell>
          <cell r="AX75">
            <v>2307203000000</v>
          </cell>
          <cell r="AY75">
            <v>2425419000000</v>
          </cell>
          <cell r="AZ75">
            <v>2535845000000</v>
          </cell>
          <cell r="BA75">
            <v>2570665000000</v>
          </cell>
          <cell r="BB75">
            <v>2500874000000</v>
          </cell>
          <cell r="BC75">
            <v>2615840000000</v>
          </cell>
          <cell r="BD75">
            <v>2762535000000</v>
          </cell>
          <cell r="BE75">
            <v>2811180000000</v>
          </cell>
          <cell r="BF75">
            <v>2876449000000</v>
          </cell>
          <cell r="BG75">
            <v>2986082000000</v>
          </cell>
          <cell r="BH75">
            <v>3095143000000</v>
          </cell>
          <cell r="BI75">
            <v>3212504000000</v>
          </cell>
          <cell r="BJ75">
            <v>3345005000000</v>
          </cell>
          <cell r="BK75">
            <v>3476173000000</v>
          </cell>
          <cell r="BL75">
            <v>3585963000000</v>
          </cell>
          <cell r="BM75">
            <v>3461285000000</v>
          </cell>
        </row>
        <row r="76">
          <cell r="B76" t="str">
            <v>GHA</v>
          </cell>
          <cell r="C76" t="str">
            <v>GNI (current LCU)</v>
          </cell>
          <cell r="D76" t="str">
            <v>NY.GNP.MKTP.CN</v>
          </cell>
          <cell r="E76">
            <v>85900</v>
          </cell>
          <cell r="F76">
            <v>91600</v>
          </cell>
          <cell r="G76">
            <v>97700</v>
          </cell>
          <cell r="H76">
            <v>108200</v>
          </cell>
          <cell r="I76">
            <v>122400</v>
          </cell>
          <cell r="J76">
            <v>144700</v>
          </cell>
          <cell r="K76">
            <v>150400</v>
          </cell>
          <cell r="L76">
            <v>147200</v>
          </cell>
          <cell r="M76">
            <v>164800</v>
          </cell>
          <cell r="N76">
            <v>195200</v>
          </cell>
          <cell r="O76">
            <v>221400</v>
          </cell>
          <cell r="P76">
            <v>245400</v>
          </cell>
          <cell r="Q76">
            <v>277900</v>
          </cell>
          <cell r="R76">
            <v>347500</v>
          </cell>
          <cell r="S76">
            <v>462900</v>
          </cell>
          <cell r="T76">
            <v>524100</v>
          </cell>
          <cell r="U76">
            <v>647800</v>
          </cell>
          <cell r="V76">
            <v>1112300</v>
          </cell>
          <cell r="W76">
            <v>2093800</v>
          </cell>
          <cell r="X76">
            <v>2812300</v>
          </cell>
          <cell r="Y76">
            <v>4267000</v>
          </cell>
          <cell r="Z76">
            <v>7240400</v>
          </cell>
          <cell r="AA76">
            <v>8622600</v>
          </cell>
          <cell r="AB76">
            <v>18239800</v>
          </cell>
          <cell r="AC76">
            <v>26763100</v>
          </cell>
          <cell r="AD76">
            <v>33700300</v>
          </cell>
          <cell r="AE76">
            <v>50011400</v>
          </cell>
          <cell r="AF76">
            <v>72570400</v>
          </cell>
          <cell r="AG76">
            <v>102466800</v>
          </cell>
          <cell r="AH76">
            <v>138540800</v>
          </cell>
          <cell r="AI76">
            <v>188412800</v>
          </cell>
          <cell r="AJ76">
            <v>238275400</v>
          </cell>
          <cell r="AK76">
            <v>275646600</v>
          </cell>
          <cell r="AL76">
            <v>379921000</v>
          </cell>
          <cell r="AM76">
            <v>509885900</v>
          </cell>
          <cell r="AN76">
            <v>759207900</v>
          </cell>
          <cell r="AO76">
            <v>1110375700</v>
          </cell>
          <cell r="AP76">
            <v>1383937900</v>
          </cell>
          <cell r="AQ76">
            <v>1694494300</v>
          </cell>
          <cell r="AR76">
            <v>2014283600</v>
          </cell>
          <cell r="AS76">
            <v>2635169700</v>
          </cell>
          <cell r="AT76">
            <v>3729650700</v>
          </cell>
          <cell r="AU76">
            <v>4783631500</v>
          </cell>
          <cell r="AV76">
            <v>6472772000</v>
          </cell>
          <cell r="AW76">
            <v>7810528400</v>
          </cell>
          <cell r="AX76">
            <v>9607369600</v>
          </cell>
          <cell r="AY76">
            <v>18588392800</v>
          </cell>
          <cell r="AZ76">
            <v>23023354500</v>
          </cell>
          <cell r="BA76">
            <v>30055844200</v>
          </cell>
          <cell r="BB76">
            <v>36465124500</v>
          </cell>
          <cell r="BC76">
            <v>45278268100</v>
          </cell>
          <cell r="BD76">
            <v>57956609300</v>
          </cell>
          <cell r="BE76">
            <v>71490377300</v>
          </cell>
          <cell r="BF76">
            <v>121009250800</v>
          </cell>
          <cell r="BG76">
            <v>150391818600</v>
          </cell>
          <cell r="BH76">
            <v>178007679800</v>
          </cell>
          <cell r="BI76">
            <v>210978989900</v>
          </cell>
          <cell r="BJ76">
            <v>249856599800</v>
          </cell>
          <cell r="BK76">
            <v>294698315700</v>
          </cell>
          <cell r="BL76">
            <v>341882170400</v>
          </cell>
          <cell r="BM76">
            <v>396044777300</v>
          </cell>
        </row>
        <row r="77">
          <cell r="B77" t="str">
            <v>GIB</v>
          </cell>
          <cell r="C77" t="str">
            <v>GNI (current LCU)</v>
          </cell>
          <cell r="D77" t="str">
            <v>NY.GNP.MKTP.CN</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row>
        <row r="78">
          <cell r="B78" t="str">
            <v>GRC</v>
          </cell>
          <cell r="C78" t="str">
            <v>GNI (current LCU)</v>
          </cell>
          <cell r="D78" t="str">
            <v>NY.GNP.MKTP.CN</v>
          </cell>
          <cell r="E78">
            <v>387132100</v>
          </cell>
          <cell r="F78">
            <v>443699300</v>
          </cell>
          <cell r="G78">
            <v>466045100</v>
          </cell>
          <cell r="H78">
            <v>527695900</v>
          </cell>
          <cell r="I78">
            <v>598157800</v>
          </cell>
          <cell r="J78">
            <v>687517900</v>
          </cell>
          <cell r="K78">
            <v>766921600</v>
          </cell>
          <cell r="L78">
            <v>828571500</v>
          </cell>
          <cell r="M78">
            <v>903422900</v>
          </cell>
          <cell r="N78">
            <v>1037912700</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v>213818494000</v>
          </cell>
          <cell r="AZ78">
            <v>226699453000</v>
          </cell>
          <cell r="BA78">
            <v>234782799000</v>
          </cell>
          <cell r="BB78">
            <v>232261354000</v>
          </cell>
          <cell r="BC78">
            <v>219166150000</v>
          </cell>
          <cell r="BD78">
            <v>197672490000</v>
          </cell>
          <cell r="BE78">
            <v>189956878000</v>
          </cell>
          <cell r="BF78">
            <v>179877759000</v>
          </cell>
          <cell r="BG78">
            <v>178386494000</v>
          </cell>
          <cell r="BH78">
            <v>176225296000</v>
          </cell>
          <cell r="BI78">
            <v>173644201000</v>
          </cell>
          <cell r="BJ78">
            <v>176016497000</v>
          </cell>
          <cell r="BK78">
            <v>177578084000</v>
          </cell>
          <cell r="BL78">
            <v>181584671000</v>
          </cell>
          <cell r="BM78">
            <v>164620506000</v>
          </cell>
        </row>
        <row r="79">
          <cell r="B79" t="str">
            <v>GRL</v>
          </cell>
          <cell r="C79" t="str">
            <v>GNI (current LCU)</v>
          </cell>
          <cell r="D79" t="str">
            <v>NY.GNP.MKTP.CN</v>
          </cell>
          <cell r="E79" t="str">
            <v>..</v>
          </cell>
          <cell r="F79" t="str">
            <v>..</v>
          </cell>
          <cell r="G79" t="str">
            <v>..</v>
          </cell>
          <cell r="H79" t="str">
            <v>..</v>
          </cell>
          <cell r="I79" t="str">
            <v>..</v>
          </cell>
          <cell r="J79" t="str">
            <v>..</v>
          </cell>
          <cell r="K79" t="str">
            <v>..</v>
          </cell>
          <cell r="L79" t="str">
            <v>..</v>
          </cell>
          <cell r="M79" t="str">
            <v>..</v>
          </cell>
          <cell r="N79" t="str">
            <v>..</v>
          </cell>
          <cell r="O79">
            <v>470037700</v>
          </cell>
          <cell r="P79">
            <v>592265200</v>
          </cell>
          <cell r="Q79">
            <v>664695500</v>
          </cell>
          <cell r="R79">
            <v>764338400</v>
          </cell>
          <cell r="S79">
            <v>933619400</v>
          </cell>
          <cell r="T79">
            <v>1093998800</v>
          </cell>
          <cell r="U79">
            <v>1312136300</v>
          </cell>
          <cell r="V79">
            <v>1527594400</v>
          </cell>
          <cell r="W79">
            <v>1769750900</v>
          </cell>
          <cell r="X79">
            <v>1995000000</v>
          </cell>
          <cell r="Y79">
            <v>2415000000</v>
          </cell>
          <cell r="Z79">
            <v>2817000000</v>
          </cell>
          <cell r="AA79">
            <v>3128000000</v>
          </cell>
          <cell r="AB79">
            <v>3469000000</v>
          </cell>
          <cell r="AC79">
            <v>3641000000</v>
          </cell>
          <cell r="AD79">
            <v>4075000000</v>
          </cell>
          <cell r="AE79">
            <v>4479000000</v>
          </cell>
          <cell r="AF79">
            <v>4986000000</v>
          </cell>
          <cell r="AG79">
            <v>5599000000</v>
          </cell>
          <cell r="AH79">
            <v>6347000000</v>
          </cell>
          <cell r="AI79">
            <v>5856000000</v>
          </cell>
          <cell r="AJ79">
            <v>6052000000</v>
          </cell>
          <cell r="AK79">
            <v>5815000000</v>
          </cell>
          <cell r="AL79">
            <v>5612000000</v>
          </cell>
          <cell r="AM79">
            <v>6048000000</v>
          </cell>
          <cell r="AN79">
            <v>6498000000</v>
          </cell>
          <cell r="AO79">
            <v>6744000000</v>
          </cell>
          <cell r="AP79">
            <v>6881000000</v>
          </cell>
          <cell r="AQ79">
            <v>7505000000</v>
          </cell>
          <cell r="AR79">
            <v>7694000000</v>
          </cell>
          <cell r="AS79">
            <v>8433000000</v>
          </cell>
          <cell r="AT79">
            <v>8798000000</v>
          </cell>
          <cell r="AU79">
            <v>8988000000</v>
          </cell>
          <cell r="AV79">
            <v>9155000000</v>
          </cell>
          <cell r="AW79">
            <v>9585000000</v>
          </cell>
          <cell r="AX79">
            <v>9968000000</v>
          </cell>
          <cell r="AY79">
            <v>9856576400</v>
          </cell>
          <cell r="AZ79">
            <v>11117015700</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row>
        <row r="80">
          <cell r="B80" t="str">
            <v>GRD</v>
          </cell>
          <cell r="C80" t="str">
            <v>GNI (current LCU)</v>
          </cell>
          <cell r="D80" t="str">
            <v>NY.GNP.MKTP.CN</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v>189535137</v>
          </cell>
          <cell r="W80">
            <v>234470443</v>
          </cell>
          <cell r="X80">
            <v>271559778</v>
          </cell>
          <cell r="Y80">
            <v>293531234</v>
          </cell>
          <cell r="Z80">
            <v>299060181</v>
          </cell>
          <cell r="AA80">
            <v>324376093</v>
          </cell>
          <cell r="AB80">
            <v>343669591</v>
          </cell>
          <cell r="AC80">
            <v>379739939</v>
          </cell>
          <cell r="AD80">
            <v>438716829</v>
          </cell>
          <cell r="AE80">
            <v>491501711</v>
          </cell>
          <cell r="AF80">
            <v>562595838</v>
          </cell>
          <cell r="AG80">
            <v>621225314</v>
          </cell>
          <cell r="AH80">
            <v>696044634</v>
          </cell>
          <cell r="AI80">
            <v>718806660</v>
          </cell>
          <cell r="AJ80">
            <v>793456300</v>
          </cell>
          <cell r="AK80">
            <v>823023200</v>
          </cell>
          <cell r="AL80">
            <v>813612900</v>
          </cell>
          <cell r="AM80">
            <v>854001900</v>
          </cell>
          <cell r="AN80">
            <v>887565800</v>
          </cell>
          <cell r="AO80">
            <v>949080900</v>
          </cell>
          <cell r="AP80">
            <v>1013164600</v>
          </cell>
          <cell r="AQ80">
            <v>1141179700</v>
          </cell>
          <cell r="AR80">
            <v>1230415300</v>
          </cell>
          <cell r="AS80">
            <v>1312999800</v>
          </cell>
          <cell r="AT80">
            <v>1293299300</v>
          </cell>
          <cell r="AU80">
            <v>1330398800</v>
          </cell>
          <cell r="AV80">
            <v>1459419700</v>
          </cell>
          <cell r="AW80">
            <v>1441598100</v>
          </cell>
          <cell r="AX80">
            <v>1801138000</v>
          </cell>
          <cell r="AY80">
            <v>1808502700</v>
          </cell>
          <cell r="AZ80">
            <v>1937497000</v>
          </cell>
          <cell r="BA80">
            <v>2114813700</v>
          </cell>
          <cell r="BB80">
            <v>1912224600</v>
          </cell>
          <cell r="BC80">
            <v>1974066200</v>
          </cell>
          <cell r="BD80">
            <v>2016584700</v>
          </cell>
          <cell r="BE80">
            <v>2067119900</v>
          </cell>
          <cell r="BF80">
            <v>2195158100</v>
          </cell>
          <cell r="BG80">
            <v>2237373100</v>
          </cell>
          <cell r="BH80">
            <v>2376193700</v>
          </cell>
          <cell r="BI80">
            <v>2604466100</v>
          </cell>
          <cell r="BJ80">
            <v>2710948000</v>
          </cell>
          <cell r="BK80">
            <v>2842835200</v>
          </cell>
          <cell r="BL80">
            <v>2957962400</v>
          </cell>
          <cell r="BM80">
            <v>2843636800</v>
          </cell>
        </row>
        <row r="81">
          <cell r="B81" t="str">
            <v>GUM</v>
          </cell>
          <cell r="C81" t="str">
            <v>GNI (current LCU)</v>
          </cell>
          <cell r="D81" t="str">
            <v>NY.GNP.MKTP.CN</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row>
        <row r="82">
          <cell r="B82" t="str">
            <v>GTM</v>
          </cell>
          <cell r="C82" t="str">
            <v>GNI (current LCU)</v>
          </cell>
          <cell r="D82" t="str">
            <v>NY.GNP.MKTP.CN</v>
          </cell>
          <cell r="E82">
            <v>1033200000</v>
          </cell>
          <cell r="F82">
            <v>1064300000</v>
          </cell>
          <cell r="G82">
            <v>1131700000</v>
          </cell>
          <cell r="H82">
            <v>1248599900</v>
          </cell>
          <cell r="I82">
            <v>1282100000</v>
          </cell>
          <cell r="J82">
            <v>1319699900</v>
          </cell>
          <cell r="K82">
            <v>1374500000</v>
          </cell>
          <cell r="L82">
            <v>1434100000</v>
          </cell>
          <cell r="M82">
            <v>1579100000</v>
          </cell>
          <cell r="N82">
            <v>1679699900</v>
          </cell>
          <cell r="O82">
            <v>1865800000</v>
          </cell>
          <cell r="P82">
            <v>1942900000</v>
          </cell>
          <cell r="Q82">
            <v>2055700000</v>
          </cell>
          <cell r="R82">
            <v>2523300100</v>
          </cell>
          <cell r="S82">
            <v>3113499900</v>
          </cell>
          <cell r="T82">
            <v>3579900000</v>
          </cell>
          <cell r="U82">
            <v>4321300200</v>
          </cell>
          <cell r="V82">
            <v>5454200200</v>
          </cell>
          <cell r="W82">
            <v>6053100200</v>
          </cell>
          <cell r="X82">
            <v>6905300200</v>
          </cell>
          <cell r="Y82">
            <v>7834600000</v>
          </cell>
          <cell r="Z82">
            <v>8521800300</v>
          </cell>
          <cell r="AA82">
            <v>8603399700</v>
          </cell>
          <cell r="AB82">
            <v>8937300400</v>
          </cell>
          <cell r="AC82">
            <v>9263400100</v>
          </cell>
          <cell r="AD82">
            <v>10984284900</v>
          </cell>
          <cell r="AE82">
            <v>15368464100</v>
          </cell>
          <cell r="AF82">
            <v>17262749600</v>
          </cell>
          <cell r="AG82">
            <v>20083093400</v>
          </cell>
          <cell r="AH82">
            <v>23179409400</v>
          </cell>
          <cell r="AI82">
            <v>33439060640</v>
          </cell>
          <cell r="AJ82">
            <v>46785354000</v>
          </cell>
          <cell r="AK82">
            <v>53256363900</v>
          </cell>
          <cell r="AL82">
            <v>63576004300</v>
          </cell>
          <cell r="AM82">
            <v>73921528400</v>
          </cell>
          <cell r="AN82">
            <v>84232226500</v>
          </cell>
          <cell r="AO82">
            <v>94078191800</v>
          </cell>
          <cell r="AP82">
            <v>106425976800</v>
          </cell>
          <cell r="AQ82">
            <v>122847882700</v>
          </cell>
          <cell r="AR82">
            <v>133776676100</v>
          </cell>
          <cell r="AS82">
            <v>148115856300</v>
          </cell>
          <cell r="AT82">
            <v>143975628000</v>
          </cell>
          <cell r="AU82">
            <v>157418235600</v>
          </cell>
          <cell r="AV82">
            <v>168811548300</v>
          </cell>
          <cell r="AW82">
            <v>184098045300</v>
          </cell>
          <cell r="AX82">
            <v>200760452500</v>
          </cell>
          <cell r="AY82">
            <v>220961724000</v>
          </cell>
          <cell r="AZ82">
            <v>251110034100</v>
          </cell>
          <cell r="BA82">
            <v>286296145000</v>
          </cell>
          <cell r="BB82">
            <v>297054878300</v>
          </cell>
          <cell r="BC82">
            <v>319433235400</v>
          </cell>
          <cell r="BD82">
            <v>354802567300</v>
          </cell>
          <cell r="BE82">
            <v>380469807200</v>
          </cell>
          <cell r="BF82">
            <v>406672198700</v>
          </cell>
          <cell r="BG82">
            <v>435595754500</v>
          </cell>
          <cell r="BH82">
            <v>464644702700</v>
          </cell>
          <cell r="BI82">
            <v>491169511700</v>
          </cell>
          <cell r="BJ82">
            <v>515477420000</v>
          </cell>
          <cell r="BK82">
            <v>539142355900</v>
          </cell>
          <cell r="BL82">
            <v>581936057800</v>
          </cell>
          <cell r="BM82">
            <v>588584032900</v>
          </cell>
        </row>
        <row r="83">
          <cell r="B83" t="str">
            <v>GIN</v>
          </cell>
          <cell r="C83" t="str">
            <v>GNI (current LCU)</v>
          </cell>
          <cell r="D83" t="str">
            <v>NY.GNP.MKTP.CN</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612805480700</v>
          </cell>
          <cell r="AF83">
            <v>821392410000</v>
          </cell>
          <cell r="AG83">
            <v>1068859265300</v>
          </cell>
          <cell r="AH83">
            <v>1338379376400</v>
          </cell>
          <cell r="AI83">
            <v>1662196220000</v>
          </cell>
          <cell r="AJ83">
            <v>2147853990000</v>
          </cell>
          <cell r="AK83">
            <v>2835550000000</v>
          </cell>
          <cell r="AL83">
            <v>3053551850000</v>
          </cell>
          <cell r="AM83">
            <v>3232564480000</v>
          </cell>
          <cell r="AN83">
            <v>3582056962100</v>
          </cell>
          <cell r="AO83">
            <v>3795246580400</v>
          </cell>
          <cell r="AP83">
            <v>4022895114600</v>
          </cell>
          <cell r="AQ83">
            <v>4290279469300</v>
          </cell>
          <cell r="AR83">
            <v>4692638682200</v>
          </cell>
          <cell r="AS83">
            <v>5104768319700</v>
          </cell>
          <cell r="AT83">
            <v>5349151107300</v>
          </cell>
          <cell r="AU83">
            <v>5764658322300</v>
          </cell>
          <cell r="AV83">
            <v>6353745663200</v>
          </cell>
          <cell r="AW83">
            <v>7554368809700</v>
          </cell>
          <cell r="AX83">
            <v>9686407268800</v>
          </cell>
          <cell r="AY83">
            <v>21517652101100</v>
          </cell>
          <cell r="AZ83">
            <v>26104844364800</v>
          </cell>
          <cell r="BA83">
            <v>31627326499100</v>
          </cell>
          <cell r="BB83">
            <v>31440875480600</v>
          </cell>
          <cell r="BC83">
            <v>38801906212500</v>
          </cell>
          <cell r="BD83">
            <v>44287540881600</v>
          </cell>
          <cell r="BE83">
            <v>52505946617100</v>
          </cell>
          <cell r="BF83">
            <v>55065831441500</v>
          </cell>
          <cell r="BG83">
            <v>59580265105700</v>
          </cell>
          <cell r="BH83">
            <v>64756898972700</v>
          </cell>
          <cell r="BI83">
            <v>75751686713600</v>
          </cell>
          <cell r="BJ83">
            <v>93373770439600</v>
          </cell>
          <cell r="BK83">
            <v>103159737688100</v>
          </cell>
          <cell r="BL83">
            <v>118047789069700</v>
          </cell>
          <cell r="BM83">
            <v>137163995215600</v>
          </cell>
        </row>
        <row r="84">
          <cell r="B84" t="str">
            <v>GNB</v>
          </cell>
          <cell r="C84" t="str">
            <v>GNI (current LCU)</v>
          </cell>
          <cell r="D84" t="str">
            <v>NY.GNP.MKTP.CN</v>
          </cell>
          <cell r="E84" t="str">
            <v>..</v>
          </cell>
          <cell r="F84" t="str">
            <v>..</v>
          </cell>
          <cell r="G84" t="str">
            <v>..</v>
          </cell>
          <cell r="H84" t="str">
            <v>..</v>
          </cell>
          <cell r="I84" t="str">
            <v>..</v>
          </cell>
          <cell r="J84" t="str">
            <v>..</v>
          </cell>
          <cell r="K84" t="str">
            <v>..</v>
          </cell>
          <cell r="L84" t="str">
            <v>..</v>
          </cell>
          <cell r="M84" t="str">
            <v>..</v>
          </cell>
          <cell r="N84" t="str">
            <v>..</v>
          </cell>
          <cell r="O84">
            <v>43230800</v>
          </cell>
          <cell r="P84">
            <v>42290800</v>
          </cell>
          <cell r="Q84">
            <v>47224600</v>
          </cell>
          <cell r="R84">
            <v>52730800</v>
          </cell>
          <cell r="S84">
            <v>60055400</v>
          </cell>
          <cell r="T84">
            <v>70993900</v>
          </cell>
          <cell r="U84">
            <v>69112300</v>
          </cell>
          <cell r="V84">
            <v>67206200</v>
          </cell>
          <cell r="W84">
            <v>80527700</v>
          </cell>
          <cell r="X84">
            <v>89246200</v>
          </cell>
          <cell r="Y84">
            <v>80358500</v>
          </cell>
          <cell r="Z84">
            <v>101032300</v>
          </cell>
          <cell r="AA84">
            <v>122217000</v>
          </cell>
          <cell r="AB84">
            <v>147347700</v>
          </cell>
          <cell r="AC84">
            <v>256769200</v>
          </cell>
          <cell r="AD84">
            <v>392692300</v>
          </cell>
          <cell r="AE84">
            <v>743200000</v>
          </cell>
          <cell r="AF84">
            <v>1423634000</v>
          </cell>
          <cell r="AG84">
            <v>2636971800</v>
          </cell>
          <cell r="AH84">
            <v>5593154500</v>
          </cell>
          <cell r="AI84">
            <v>7844847300</v>
          </cell>
          <cell r="AJ84">
            <v>13517175800</v>
          </cell>
          <cell r="AK84">
            <v>22702002600</v>
          </cell>
          <cell r="AL84">
            <v>34368560000</v>
          </cell>
          <cell r="AM84">
            <v>43938410200</v>
          </cell>
          <cell r="AN84">
            <v>65602342800</v>
          </cell>
          <cell r="AO84">
            <v>102174597800</v>
          </cell>
          <cell r="AP84">
            <v>148164949200</v>
          </cell>
          <cell r="AQ84">
            <v>113481650800</v>
          </cell>
          <cell r="AR84">
            <v>129387098900</v>
          </cell>
          <cell r="AS84">
            <v>254726000000</v>
          </cell>
          <cell r="AT84">
            <v>275907000000</v>
          </cell>
          <cell r="AU84">
            <v>283746000000</v>
          </cell>
          <cell r="AV84">
            <v>270480000000</v>
          </cell>
          <cell r="AW84">
            <v>275145000000</v>
          </cell>
          <cell r="AX84">
            <v>303486127300</v>
          </cell>
          <cell r="AY84">
            <v>306545814100</v>
          </cell>
          <cell r="AZ84">
            <v>331881678600</v>
          </cell>
          <cell r="BA84">
            <v>381127279100</v>
          </cell>
          <cell r="BB84">
            <v>385584989800</v>
          </cell>
          <cell r="BC84">
            <v>418714253700</v>
          </cell>
          <cell r="BD84">
            <v>521324507300</v>
          </cell>
          <cell r="BE84">
            <v>507828123600</v>
          </cell>
          <cell r="BF84">
            <v>506767147400</v>
          </cell>
          <cell r="BG84">
            <v>539331440700</v>
          </cell>
          <cell r="BH84">
            <v>634849921200</v>
          </cell>
          <cell r="BI84">
            <v>716307230600</v>
          </cell>
          <cell r="BJ84">
            <v>785589395300</v>
          </cell>
          <cell r="BK84">
            <v>807341534500</v>
          </cell>
          <cell r="BL84">
            <v>861300000000</v>
          </cell>
          <cell r="BM84">
            <v>838200000000</v>
          </cell>
        </row>
        <row r="85">
          <cell r="B85" t="str">
            <v>GUY</v>
          </cell>
          <cell r="C85" t="str">
            <v>GNI (current LCU)</v>
          </cell>
          <cell r="D85" t="str">
            <v>NY.GNP.MKTP.CN</v>
          </cell>
          <cell r="E85">
            <v>267900600</v>
          </cell>
          <cell r="F85">
            <v>296700500</v>
          </cell>
          <cell r="G85">
            <v>298301200</v>
          </cell>
          <cell r="H85">
            <v>273800700</v>
          </cell>
          <cell r="I85">
            <v>305200700</v>
          </cell>
          <cell r="J85">
            <v>337500000</v>
          </cell>
          <cell r="K85">
            <v>356100000</v>
          </cell>
          <cell r="L85">
            <v>393300000</v>
          </cell>
          <cell r="M85">
            <v>417500000</v>
          </cell>
          <cell r="N85">
            <v>457600000</v>
          </cell>
          <cell r="O85">
            <v>493100000</v>
          </cell>
          <cell r="P85">
            <v>528100000</v>
          </cell>
          <cell r="Q85">
            <v>577100000</v>
          </cell>
          <cell r="R85">
            <v>613100000</v>
          </cell>
          <cell r="S85">
            <v>905400000</v>
          </cell>
          <cell r="T85">
            <v>1154500000</v>
          </cell>
          <cell r="U85">
            <v>1075300000</v>
          </cell>
          <cell r="V85">
            <v>1057500000</v>
          </cell>
          <cell r="W85">
            <v>1203100000</v>
          </cell>
          <cell r="X85">
            <v>1248999900</v>
          </cell>
          <cell r="Y85">
            <v>1403000100</v>
          </cell>
          <cell r="Z85">
            <v>1422000000</v>
          </cell>
          <cell r="AA85">
            <v>1260999900</v>
          </cell>
          <cell r="AB85">
            <v>1259000100</v>
          </cell>
          <cell r="AC85">
            <v>1384999900</v>
          </cell>
          <cell r="AD85">
            <v>1655000100</v>
          </cell>
          <cell r="AE85">
            <v>1792000000</v>
          </cell>
          <cell r="AF85">
            <v>2572000000</v>
          </cell>
          <cell r="AG85">
            <v>3191000100</v>
          </cell>
          <cell r="AH85">
            <v>6970999800</v>
          </cell>
          <cell r="AI85">
            <v>11425999400</v>
          </cell>
          <cell r="AJ85">
            <v>23873000000</v>
          </cell>
          <cell r="AK85">
            <v>32934000000</v>
          </cell>
          <cell r="AL85">
            <v>47212000000</v>
          </cell>
          <cell r="AM85">
            <v>63332003400</v>
          </cell>
          <cell r="AN85">
            <v>76068003600</v>
          </cell>
          <cell r="AO85">
            <v>91720002600</v>
          </cell>
          <cell r="AP85">
            <v>96218001700</v>
          </cell>
          <cell r="AQ85">
            <v>99547000900</v>
          </cell>
          <cell r="AR85">
            <v>111448998400</v>
          </cell>
          <cell r="AS85">
            <v>121990504400</v>
          </cell>
          <cell r="AT85">
            <v>123792300000</v>
          </cell>
          <cell r="AU85">
            <v>127962850000</v>
          </cell>
          <cell r="AV85">
            <v>135739000000</v>
          </cell>
          <cell r="AW85">
            <v>149909100000</v>
          </cell>
          <cell r="AX85">
            <v>160785000000</v>
          </cell>
          <cell r="AY85">
            <v>462599031400</v>
          </cell>
          <cell r="AZ85">
            <v>550344060348.84094</v>
          </cell>
          <cell r="BA85">
            <v>613016749910.34094</v>
          </cell>
          <cell r="BB85">
            <v>642193154921.39197</v>
          </cell>
          <cell r="BC85">
            <v>701666441048.11499</v>
          </cell>
          <cell r="BD85">
            <v>751203720742.5</v>
          </cell>
          <cell r="BE85">
            <v>835223865500</v>
          </cell>
          <cell r="BF85">
            <v>861904393800</v>
          </cell>
          <cell r="BG85">
            <v>857654948300</v>
          </cell>
          <cell r="BH85">
            <v>888886946100</v>
          </cell>
          <cell r="BI85">
            <v>924723981500</v>
          </cell>
          <cell r="BJ85">
            <v>978127942900</v>
          </cell>
          <cell r="BK85">
            <v>988711017800</v>
          </cell>
          <cell r="BL85">
            <v>1069005867800</v>
          </cell>
          <cell r="BM85">
            <v>961313611100</v>
          </cell>
        </row>
        <row r="86">
          <cell r="B86" t="str">
            <v>HTI</v>
          </cell>
          <cell r="C86" t="str">
            <v>GNI (current LCU)</v>
          </cell>
          <cell r="D86" t="str">
            <v>NY.GNP.MKTP.CN</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v>6847499999.9856997</v>
          </cell>
          <cell r="Z86">
            <v>7331699999.9869404</v>
          </cell>
          <cell r="AA86">
            <v>7300899999.98598</v>
          </cell>
          <cell r="AB86">
            <v>8047000057.4357996</v>
          </cell>
          <cell r="AC86">
            <v>8990699999.9924793</v>
          </cell>
          <cell r="AD86">
            <v>9948001794.94981</v>
          </cell>
          <cell r="AE86">
            <v>11513315087.619499</v>
          </cell>
          <cell r="AF86">
            <v>10131496888.025</v>
          </cell>
          <cell r="AG86">
            <v>12934009316.164</v>
          </cell>
          <cell r="AH86">
            <v>13553328147.722601</v>
          </cell>
          <cell r="AI86">
            <v>15390449000</v>
          </cell>
          <cell r="AJ86">
            <v>17983324400</v>
          </cell>
          <cell r="AK86">
            <v>20586886500</v>
          </cell>
          <cell r="AL86">
            <v>23031284000</v>
          </cell>
          <cell r="AM86">
            <v>31932423900</v>
          </cell>
          <cell r="AN86">
            <v>40840291500</v>
          </cell>
          <cell r="AO86">
            <v>46854020700</v>
          </cell>
          <cell r="AP86">
            <v>54183385100</v>
          </cell>
          <cell r="AQ86">
            <v>63134074900</v>
          </cell>
          <cell r="AR86">
            <v>69328143100</v>
          </cell>
          <cell r="AS86">
            <v>133511622900</v>
          </cell>
          <cell r="AT86">
            <v>150659275000</v>
          </cell>
          <cell r="AU86">
            <v>163685915200</v>
          </cell>
          <cell r="AV86">
            <v>194689752900</v>
          </cell>
          <cell r="AW86">
            <v>239074544400</v>
          </cell>
          <cell r="AX86">
            <v>278697717400</v>
          </cell>
          <cell r="AY86">
            <v>311889282400</v>
          </cell>
          <cell r="AZ86">
            <v>356231888400</v>
          </cell>
          <cell r="BA86">
            <v>401446154900</v>
          </cell>
          <cell r="BB86">
            <v>472316131700</v>
          </cell>
          <cell r="BC86">
            <v>478942450300</v>
          </cell>
          <cell r="BD86">
            <v>525646878600</v>
          </cell>
          <cell r="BE86">
            <v>572260289400</v>
          </cell>
          <cell r="BF86">
            <v>644033268400</v>
          </cell>
          <cell r="BG86">
            <v>677762342500</v>
          </cell>
          <cell r="BH86">
            <v>722227982000</v>
          </cell>
          <cell r="BI86">
            <v>847370691000</v>
          </cell>
          <cell r="BJ86">
            <v>990759519800</v>
          </cell>
          <cell r="BK86">
            <v>1079701646600</v>
          </cell>
          <cell r="BL86">
            <v>1248191829900</v>
          </cell>
          <cell r="BM86">
            <v>1452746020400</v>
          </cell>
        </row>
        <row r="87">
          <cell r="B87" t="str">
            <v>HND</v>
          </cell>
          <cell r="C87" t="str">
            <v>GNI (current LCU)</v>
          </cell>
          <cell r="D87" t="str">
            <v>NY.GNP.MKTP.CN</v>
          </cell>
          <cell r="E87">
            <v>688300000</v>
          </cell>
          <cell r="F87">
            <v>710400000</v>
          </cell>
          <cell r="G87">
            <v>766900000</v>
          </cell>
          <cell r="H87">
            <v>808400000</v>
          </cell>
          <cell r="I87">
            <v>900000000</v>
          </cell>
          <cell r="J87">
            <v>991100000</v>
          </cell>
          <cell r="K87">
            <v>1068900000</v>
          </cell>
          <cell r="L87">
            <v>1153800000</v>
          </cell>
          <cell r="M87">
            <v>1247400000</v>
          </cell>
          <cell r="N87">
            <v>1298800100</v>
          </cell>
          <cell r="O87">
            <v>1400800000</v>
          </cell>
          <cell r="P87">
            <v>1413000000</v>
          </cell>
          <cell r="Q87">
            <v>1550999900</v>
          </cell>
          <cell r="R87">
            <v>1758999900</v>
          </cell>
          <cell r="S87">
            <v>2042000000</v>
          </cell>
          <cell r="T87">
            <v>2190000000</v>
          </cell>
          <cell r="U87">
            <v>2579999900</v>
          </cell>
          <cell r="V87">
            <v>3200999900</v>
          </cell>
          <cell r="W87">
            <v>6007484186.4488201</v>
          </cell>
          <cell r="X87">
            <v>6830563952.5839596</v>
          </cell>
          <cell r="Y87">
            <v>7610320091.97367</v>
          </cell>
          <cell r="Z87">
            <v>7768789757.1601</v>
          </cell>
          <cell r="AA87">
            <v>8104007051.2210197</v>
          </cell>
          <cell r="AB87">
            <v>8615394369.7196102</v>
          </cell>
          <cell r="AC87">
            <v>9457623692.9765396</v>
          </cell>
          <cell r="AD87">
            <v>10172241425.091801</v>
          </cell>
          <cell r="AE87">
            <v>10935657917.812099</v>
          </cell>
          <cell r="AF87">
            <v>11906042482.929899</v>
          </cell>
          <cell r="AG87">
            <v>13183330823.305599</v>
          </cell>
          <cell r="AH87">
            <v>15013800215.156799</v>
          </cell>
          <cell r="AI87">
            <v>19107415275.832199</v>
          </cell>
          <cell r="AJ87">
            <v>23216575700</v>
          </cell>
          <cell r="AK87">
            <v>25320970600</v>
          </cell>
          <cell r="AL87">
            <v>30604808400</v>
          </cell>
          <cell r="AM87">
            <v>37192871800</v>
          </cell>
          <cell r="AN87">
            <v>48749719600</v>
          </cell>
          <cell r="AO87">
            <v>58676752200</v>
          </cell>
          <cell r="AP87">
            <v>72630960400</v>
          </cell>
          <cell r="AQ87">
            <v>83355659200</v>
          </cell>
          <cell r="AR87">
            <v>89712923600</v>
          </cell>
          <cell r="AS87">
            <v>103348800000</v>
          </cell>
          <cell r="AT87">
            <v>114416300000</v>
          </cell>
          <cell r="AU87">
            <v>124261500000</v>
          </cell>
          <cell r="AV87">
            <v>136455900000</v>
          </cell>
          <cell r="AW87">
            <v>153218700000</v>
          </cell>
          <cell r="AX87">
            <v>175141100000</v>
          </cell>
          <cell r="AY87">
            <v>196227500000</v>
          </cell>
          <cell r="AZ87">
            <v>226009100000</v>
          </cell>
          <cell r="BA87">
            <v>254721400000</v>
          </cell>
          <cell r="BB87">
            <v>270174400000</v>
          </cell>
          <cell r="BC87">
            <v>285514000000</v>
          </cell>
          <cell r="BD87">
            <v>317216200000</v>
          </cell>
          <cell r="BE87">
            <v>336354800000</v>
          </cell>
          <cell r="BF87">
            <v>350004100000</v>
          </cell>
          <cell r="BG87">
            <v>381311900000</v>
          </cell>
          <cell r="BH87">
            <v>429017700000</v>
          </cell>
          <cell r="BI87">
            <v>461207600000</v>
          </cell>
          <cell r="BJ87">
            <v>510167300000</v>
          </cell>
          <cell r="BK87">
            <v>530001300000</v>
          </cell>
          <cell r="BL87">
            <v>567989600000</v>
          </cell>
          <cell r="BM87">
            <v>545752800000</v>
          </cell>
        </row>
        <row r="88">
          <cell r="B88" t="str">
            <v>HKG</v>
          </cell>
          <cell r="C88" t="str">
            <v>GNI (current LCU)</v>
          </cell>
          <cell r="D88" t="str">
            <v>NY.GNP.MKTP.CN</v>
          </cell>
          <cell r="E88">
            <v>7148409900</v>
          </cell>
          <cell r="F88">
            <v>8214789100</v>
          </cell>
          <cell r="G88">
            <v>9278638100</v>
          </cell>
          <cell r="H88">
            <v>10630903800</v>
          </cell>
          <cell r="I88">
            <v>12203275300</v>
          </cell>
          <cell r="J88">
            <v>13916000100</v>
          </cell>
          <cell r="K88">
            <v>14240000400</v>
          </cell>
          <cell r="L88">
            <v>15432000300</v>
          </cell>
          <cell r="M88">
            <v>16478999800</v>
          </cell>
          <cell r="N88">
            <v>19373000600</v>
          </cell>
          <cell r="O88">
            <v>23021000100</v>
          </cell>
          <cell r="P88">
            <v>26565999700</v>
          </cell>
          <cell r="Q88">
            <v>32017999200</v>
          </cell>
          <cell r="R88">
            <v>41086001300</v>
          </cell>
          <cell r="S88">
            <v>46974998700</v>
          </cell>
          <cell r="T88">
            <v>49276998000</v>
          </cell>
          <cell r="U88">
            <v>62765998500</v>
          </cell>
          <cell r="V88">
            <v>72785996700</v>
          </cell>
          <cell r="W88">
            <v>85289999600</v>
          </cell>
          <cell r="X88">
            <v>111912002400</v>
          </cell>
          <cell r="Y88">
            <v>141795999700</v>
          </cell>
          <cell r="Z88">
            <v>170750001200</v>
          </cell>
          <cell r="AA88">
            <v>192487997400</v>
          </cell>
          <cell r="AB88">
            <v>212673003500</v>
          </cell>
          <cell r="AC88">
            <v>256492994600</v>
          </cell>
          <cell r="AD88">
            <v>271654993900</v>
          </cell>
          <cell r="AE88">
            <v>312561008600</v>
          </cell>
          <cell r="AF88">
            <v>384488013800</v>
          </cell>
          <cell r="AG88">
            <v>455021985800</v>
          </cell>
          <cell r="AH88">
            <v>523861000200</v>
          </cell>
          <cell r="AI88">
            <v>582548979700</v>
          </cell>
          <cell r="AJ88">
            <v>668512026600</v>
          </cell>
          <cell r="AK88">
            <v>779334975500</v>
          </cell>
          <cell r="AL88">
            <v>936211000000</v>
          </cell>
          <cell r="AM88">
            <v>1051860000000</v>
          </cell>
          <cell r="AN88">
            <v>1128818000000</v>
          </cell>
          <cell r="AO88">
            <v>1224628000000</v>
          </cell>
          <cell r="AP88">
            <v>1371972000000</v>
          </cell>
          <cell r="AQ88">
            <v>1333641000000</v>
          </cell>
          <cell r="AR88">
            <v>1312098000000</v>
          </cell>
          <cell r="AS88">
            <v>1348246000000</v>
          </cell>
          <cell r="AT88">
            <v>1351595000000</v>
          </cell>
          <cell r="AU88">
            <v>1305731000000</v>
          </cell>
          <cell r="AV88">
            <v>1288895000000</v>
          </cell>
          <cell r="AW88">
            <v>1344927000000</v>
          </cell>
          <cell r="AX88">
            <v>1419589000000</v>
          </cell>
          <cell r="AY88">
            <v>1538864000000</v>
          </cell>
          <cell r="AZ88">
            <v>1703567000000</v>
          </cell>
          <cell r="BA88">
            <v>1807994000000</v>
          </cell>
          <cell r="BB88">
            <v>1709007000000</v>
          </cell>
          <cell r="BC88">
            <v>1813928000000</v>
          </cell>
          <cell r="BD88">
            <v>1987256000000</v>
          </cell>
          <cell r="BE88">
            <v>2066514000000</v>
          </cell>
          <cell r="BF88">
            <v>2178824000000</v>
          </cell>
          <cell r="BG88">
            <v>2306612000000</v>
          </cell>
          <cell r="BH88">
            <v>2442656000000</v>
          </cell>
          <cell r="BI88">
            <v>2553031000000</v>
          </cell>
          <cell r="BJ88">
            <v>2774936000000</v>
          </cell>
          <cell r="BK88">
            <v>2969934000000</v>
          </cell>
          <cell r="BL88">
            <v>2988277000000</v>
          </cell>
          <cell r="BM88">
            <v>2836957000000</v>
          </cell>
        </row>
        <row r="89">
          <cell r="B89" t="str">
            <v>HUN</v>
          </cell>
          <cell r="C89" t="str">
            <v>GNI (current LCU)</v>
          </cell>
          <cell r="D89" t="str">
            <v>NY.GNP.MKTP.CN</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v>3601534097000</v>
          </cell>
          <cell r="AM89">
            <v>4412306355000</v>
          </cell>
          <cell r="AN89">
            <v>5585357481000</v>
          </cell>
          <cell r="AO89">
            <v>6800442889000</v>
          </cell>
          <cell r="AP89">
            <v>8296160375000</v>
          </cell>
          <cell r="AQ89">
            <v>9794892060000</v>
          </cell>
          <cell r="AR89">
            <v>10882873000000</v>
          </cell>
          <cell r="AS89">
            <v>12550147000000</v>
          </cell>
          <cell r="AT89">
            <v>14504986000000</v>
          </cell>
          <cell r="AU89">
            <v>16442587000000</v>
          </cell>
          <cell r="AV89">
            <v>18063097000000</v>
          </cell>
          <cell r="AW89">
            <v>19824375000000</v>
          </cell>
          <cell r="AX89">
            <v>21182957000000</v>
          </cell>
          <cell r="AY89">
            <v>22846953000000</v>
          </cell>
          <cell r="AZ89">
            <v>23797937000000</v>
          </cell>
          <cell r="BA89">
            <v>25465519000000</v>
          </cell>
          <cell r="BB89">
            <v>25375486000000</v>
          </cell>
          <cell r="BC89">
            <v>26203046000000</v>
          </cell>
          <cell r="BD89">
            <v>27167812000000</v>
          </cell>
          <cell r="BE89">
            <v>27778685000000</v>
          </cell>
          <cell r="BF89">
            <v>29479849000000</v>
          </cell>
          <cell r="BG89">
            <v>31334612000000</v>
          </cell>
          <cell r="BH89">
            <v>33301654000000</v>
          </cell>
          <cell r="BI89">
            <v>35237543000000</v>
          </cell>
          <cell r="BJ89">
            <v>37692333000000</v>
          </cell>
          <cell r="BK89">
            <v>41693069000000</v>
          </cell>
          <cell r="BL89">
            <v>46280135000000</v>
          </cell>
          <cell r="BM89">
            <v>46698665000000</v>
          </cell>
        </row>
        <row r="90">
          <cell r="B90" t="str">
            <v>ISL</v>
          </cell>
          <cell r="C90" t="str">
            <v>GNI (current LCU)</v>
          </cell>
          <cell r="D90" t="str">
            <v>NY.GNP.MKTP.CN</v>
          </cell>
          <cell r="E90">
            <v>89524144</v>
          </cell>
          <cell r="F90">
            <v>101427856</v>
          </cell>
          <cell r="G90">
            <v>122259360</v>
          </cell>
          <cell r="H90">
            <v>146066800</v>
          </cell>
          <cell r="I90">
            <v>186737840</v>
          </cell>
          <cell r="J90">
            <v>224772176</v>
          </cell>
          <cell r="K90">
            <v>270103552</v>
          </cell>
          <cell r="L90">
            <v>273674528</v>
          </cell>
          <cell r="M90">
            <v>293116416</v>
          </cell>
          <cell r="N90">
            <v>361956608</v>
          </cell>
          <cell r="O90">
            <v>467409200</v>
          </cell>
          <cell r="P90">
            <v>595882100</v>
          </cell>
          <cell r="Q90">
            <v>746051800</v>
          </cell>
          <cell r="R90">
            <v>1048236300</v>
          </cell>
          <cell r="S90">
            <v>1523584100</v>
          </cell>
          <cell r="T90">
            <v>2152991900</v>
          </cell>
          <cell r="U90">
            <v>3023447200</v>
          </cell>
          <cell r="V90">
            <v>4384062700</v>
          </cell>
          <cell r="W90">
            <v>6772008500</v>
          </cell>
          <cell r="X90">
            <v>9998560200</v>
          </cell>
          <cell r="Y90">
            <v>16104008600</v>
          </cell>
          <cell r="Z90">
            <v>24877101600</v>
          </cell>
          <cell r="AA90">
            <v>38812961300</v>
          </cell>
          <cell r="AB90">
            <v>66816859900</v>
          </cell>
          <cell r="AC90">
            <v>87755289600</v>
          </cell>
          <cell r="AD90">
            <v>120420391600</v>
          </cell>
          <cell r="AE90">
            <v>160537401400</v>
          </cell>
          <cell r="AF90">
            <v>211213483200</v>
          </cell>
          <cell r="AG90">
            <v>259232263200</v>
          </cell>
          <cell r="AH90">
            <v>316065118800</v>
          </cell>
          <cell r="AI90">
            <v>368883722800</v>
          </cell>
          <cell r="AJ90">
            <v>401775775500</v>
          </cell>
          <cell r="AK90">
            <v>403220098300</v>
          </cell>
          <cell r="AL90">
            <v>415243973500</v>
          </cell>
          <cell r="AM90">
            <v>438422429300</v>
          </cell>
          <cell r="AN90">
            <v>453385026600</v>
          </cell>
          <cell r="AO90">
            <v>489350941200</v>
          </cell>
          <cell r="AP90">
            <v>528420637600</v>
          </cell>
          <cell r="AQ90">
            <v>591443484200</v>
          </cell>
          <cell r="AR90">
            <v>636986330400</v>
          </cell>
          <cell r="AS90">
            <v>683040241600</v>
          </cell>
          <cell r="AT90">
            <v>775279864000</v>
          </cell>
          <cell r="AU90">
            <v>855519172800</v>
          </cell>
          <cell r="AV90">
            <v>869750893700</v>
          </cell>
          <cell r="AW90">
            <v>936070645700</v>
          </cell>
          <cell r="AX90">
            <v>1008847277900</v>
          </cell>
          <cell r="AY90">
            <v>1121974504900</v>
          </cell>
          <cell r="AZ90">
            <v>1297522565600</v>
          </cell>
          <cell r="BA90">
            <v>1237723148100</v>
          </cell>
          <cell r="BB90">
            <v>1304878870900</v>
          </cell>
          <cell r="BC90">
            <v>1359397669000</v>
          </cell>
          <cell r="BD90">
            <v>1489727267600</v>
          </cell>
          <cell r="BE90">
            <v>1611600311400</v>
          </cell>
          <cell r="BF90">
            <v>1867813833000</v>
          </cell>
          <cell r="BG90">
            <v>1973026857200</v>
          </cell>
          <cell r="BH90">
            <v>2182437000000</v>
          </cell>
          <cell r="BI90">
            <v>2395281000000</v>
          </cell>
          <cell r="BJ90">
            <v>2560510853242</v>
          </cell>
          <cell r="BK90">
            <v>2699450806462.6499</v>
          </cell>
          <cell r="BL90">
            <v>3020324021700</v>
          </cell>
          <cell r="BM90">
            <v>2853888941449.7202</v>
          </cell>
        </row>
        <row r="91">
          <cell r="B91" t="str">
            <v>IND</v>
          </cell>
          <cell r="C91" t="str">
            <v>GNI (current LCU)</v>
          </cell>
          <cell r="D91" t="str">
            <v>NY.GNP.MKTP.CN</v>
          </cell>
          <cell r="E91">
            <v>175612604026.54001</v>
          </cell>
          <cell r="F91">
            <v>185840935960.28</v>
          </cell>
          <cell r="G91">
            <v>199688760462.95001</v>
          </cell>
          <cell r="H91">
            <v>229460357318.17999</v>
          </cell>
          <cell r="I91">
            <v>267503492669.22</v>
          </cell>
          <cell r="J91">
            <v>281960217485.16998</v>
          </cell>
          <cell r="K91">
            <v>318758234237.37</v>
          </cell>
          <cell r="L91">
            <v>373432066525.84998</v>
          </cell>
          <cell r="M91">
            <v>395590919031.16998</v>
          </cell>
          <cell r="N91">
            <v>435649962626.37</v>
          </cell>
          <cell r="O91">
            <v>465328622908.88</v>
          </cell>
          <cell r="P91">
            <v>498289112456.35999</v>
          </cell>
          <cell r="Q91">
            <v>549433366225.34003</v>
          </cell>
          <cell r="R91">
            <v>669156564750.95996</v>
          </cell>
          <cell r="S91">
            <v>790868760987.78003</v>
          </cell>
          <cell r="T91">
            <v>849574496861.98999</v>
          </cell>
          <cell r="U91">
            <v>915786831145.5</v>
          </cell>
          <cell r="V91">
            <v>1037905198686.1801</v>
          </cell>
          <cell r="W91">
            <v>1125153683356.8201</v>
          </cell>
          <cell r="X91">
            <v>1237151792692.6899</v>
          </cell>
          <cell r="Y91">
            <v>1474078683724.4099</v>
          </cell>
          <cell r="Z91">
            <v>1728155053220.6299</v>
          </cell>
          <cell r="AA91">
            <v>1926205634078.53</v>
          </cell>
          <cell r="AB91">
            <v>2241302389632.2798</v>
          </cell>
          <cell r="AC91">
            <v>2507642497861.3501</v>
          </cell>
          <cell r="AD91">
            <v>2831050853904.1899</v>
          </cell>
          <cell r="AE91">
            <v>3165609412846.1602</v>
          </cell>
          <cell r="AF91">
            <v>3592457035299.1602</v>
          </cell>
          <cell r="AG91">
            <v>4248669901195.7402</v>
          </cell>
          <cell r="AH91">
            <v>4875466135720.8203</v>
          </cell>
          <cell r="AI91">
            <v>5685642055692.79</v>
          </cell>
          <cell r="AJ91">
            <v>6521834835400</v>
          </cell>
          <cell r="AK91">
            <v>7495509317400</v>
          </cell>
          <cell r="AL91">
            <v>8639124253800</v>
          </cell>
          <cell r="AM91">
            <v>10144870589300</v>
          </cell>
          <cell r="AN91">
            <v>11920986758200</v>
          </cell>
          <cell r="AO91">
            <v>13817339747000</v>
          </cell>
          <cell r="AP91">
            <v>15320888758400</v>
          </cell>
          <cell r="AQ91">
            <v>17573290117100</v>
          </cell>
          <cell r="AR91">
            <v>19728305729000</v>
          </cell>
          <cell r="AS91">
            <v>21171526906300</v>
          </cell>
          <cell r="AT91">
            <v>22951749571000</v>
          </cell>
          <cell r="AU91">
            <v>24759237846800</v>
          </cell>
          <cell r="AV91">
            <v>27718221413900</v>
          </cell>
          <cell r="AW91">
            <v>31639569237500</v>
          </cell>
          <cell r="AX91">
            <v>36060086607100</v>
          </cell>
          <cell r="AY91">
            <v>42213949837900</v>
          </cell>
          <cell r="AZ91">
            <v>48781500590600</v>
          </cell>
          <cell r="BA91">
            <v>54812293846600</v>
          </cell>
          <cell r="BB91">
            <v>63284065417200</v>
          </cell>
          <cell r="BC91">
            <v>75526651043700</v>
          </cell>
          <cell r="BD91">
            <v>86595047113700</v>
          </cell>
          <cell r="BE91">
            <v>98272501041500</v>
          </cell>
          <cell r="BF91">
            <v>110936378038600</v>
          </cell>
          <cell r="BG91">
            <v>123205294184400</v>
          </cell>
          <cell r="BH91">
            <v>136120948092900</v>
          </cell>
          <cell r="BI91">
            <v>150773840000000</v>
          </cell>
          <cell r="BJ91">
            <v>169052297185800</v>
          </cell>
          <cell r="BK91">
            <v>186846324403800</v>
          </cell>
          <cell r="BL91">
            <v>201578992022600</v>
          </cell>
          <cell r="BM91">
            <v>195613481240300</v>
          </cell>
        </row>
        <row r="92">
          <cell r="B92" t="str">
            <v>IDN</v>
          </cell>
          <cell r="C92" t="str">
            <v>GNI (current LCU)</v>
          </cell>
          <cell r="D92" t="str">
            <v>NY.GNP.MKTP.CN</v>
          </cell>
          <cell r="E92">
            <v>387000000000</v>
          </cell>
          <cell r="F92">
            <v>465100000000</v>
          </cell>
          <cell r="G92">
            <v>1326100000000</v>
          </cell>
          <cell r="H92">
            <v>3168100000000</v>
          </cell>
          <cell r="I92">
            <v>7013500000000</v>
          </cell>
          <cell r="J92">
            <v>23537000000000</v>
          </cell>
          <cell r="K92">
            <v>311000000000</v>
          </cell>
          <cell r="L92">
            <v>838200000000</v>
          </cell>
          <cell r="M92">
            <v>2067900000000</v>
          </cell>
          <cell r="N92">
            <v>2683000000000</v>
          </cell>
          <cell r="O92">
            <v>3290000000000</v>
          </cell>
          <cell r="P92">
            <v>3605300000000</v>
          </cell>
          <cell r="Q92">
            <v>4404000000000</v>
          </cell>
          <cell r="R92">
            <v>6507700000000</v>
          </cell>
          <cell r="S92">
            <v>10200900000000</v>
          </cell>
          <cell r="T92">
            <v>12086800000000</v>
          </cell>
          <cell r="U92">
            <v>15034500000000</v>
          </cell>
          <cell r="V92">
            <v>18332200000000</v>
          </cell>
          <cell r="W92">
            <v>21879300000000</v>
          </cell>
          <cell r="X92">
            <v>30541000000000</v>
          </cell>
          <cell r="Y92">
            <v>43435000000000</v>
          </cell>
          <cell r="Z92">
            <v>52102100000000</v>
          </cell>
          <cell r="AA92">
            <v>57675100000000</v>
          </cell>
          <cell r="AB92">
            <v>70337900000000</v>
          </cell>
          <cell r="AC92">
            <v>82886600000000</v>
          </cell>
          <cell r="AD92">
            <v>90788800000000</v>
          </cell>
          <cell r="AE92">
            <v>98353400000000</v>
          </cell>
          <cell r="AF92">
            <v>118794900000000</v>
          </cell>
          <cell r="AG92">
            <v>135183100000000</v>
          </cell>
          <cell r="AH92">
            <v>159110900000000</v>
          </cell>
          <cell r="AI92">
            <v>185981700000000</v>
          </cell>
          <cell r="AJ92">
            <v>216550900000000</v>
          </cell>
          <cell r="AK92">
            <v>247437700000000</v>
          </cell>
          <cell r="AL92">
            <v>317223200000000</v>
          </cell>
          <cell r="AM92">
            <v>371971300000000</v>
          </cell>
          <cell r="AN92">
            <v>441148000000000</v>
          </cell>
          <cell r="AO92">
            <v>518295800000000</v>
          </cell>
          <cell r="AP92">
            <v>609340400000000</v>
          </cell>
          <cell r="AQ92">
            <v>901859800000000</v>
          </cell>
          <cell r="AR92">
            <v>1015967400000000</v>
          </cell>
          <cell r="AS92">
            <v>1297608100000000</v>
          </cell>
          <cell r="AT92">
            <v>1585270800000000</v>
          </cell>
          <cell r="AU92">
            <v>1767320300000000</v>
          </cell>
          <cell r="AV92">
            <v>1936260700000000</v>
          </cell>
          <cell r="AW92">
            <v>2190476087360000</v>
          </cell>
          <cell r="AX92">
            <v>2639280613400000</v>
          </cell>
          <cell r="AY92">
            <v>3196947891340000</v>
          </cell>
          <cell r="AZ92">
            <v>3788408515000000</v>
          </cell>
          <cell r="BA92">
            <v>4772823220216100</v>
          </cell>
          <cell r="BB92">
            <v>5409983820707500</v>
          </cell>
          <cell r="BC92">
            <v>6681362244357700</v>
          </cell>
          <cell r="BD92">
            <v>7614833306968000</v>
          </cell>
          <cell r="BE92">
            <v>8372511546825500</v>
          </cell>
          <cell r="BF92">
            <v>9260807782474100</v>
          </cell>
          <cell r="BG92">
            <v>1.0215312164734E+16</v>
          </cell>
          <cell r="BH92">
            <v>1.11439930341586E+16</v>
          </cell>
          <cell r="BI92">
            <v>1.2004715451389E+16</v>
          </cell>
          <cell r="BJ92">
            <v>1.31592199221719E+16</v>
          </cell>
          <cell r="BK92">
            <v>1.43965722535691E+16</v>
          </cell>
          <cell r="BL92">
            <v>1.53512143433903E+16</v>
          </cell>
          <cell r="BM92">
            <v>1.50184937873098E+16</v>
          </cell>
        </row>
        <row r="93">
          <cell r="B93" t="str">
            <v>IRN</v>
          </cell>
          <cell r="C93" t="str">
            <v>GNI (current LCU)</v>
          </cell>
          <cell r="D93" t="str">
            <v>NY.GNP.MKTP.CN</v>
          </cell>
          <cell r="E93">
            <v>310050440661.85999</v>
          </cell>
          <cell r="F93">
            <v>326758520487.651</v>
          </cell>
          <cell r="G93">
            <v>345821650754.67297</v>
          </cell>
          <cell r="H93">
            <v>362469974390.19397</v>
          </cell>
          <cell r="I93">
            <v>395184873391.58197</v>
          </cell>
          <cell r="J93">
            <v>453998667482.396</v>
          </cell>
          <cell r="K93">
            <v>498744578395.021</v>
          </cell>
          <cell r="L93">
            <v>553721098940.09998</v>
          </cell>
          <cell r="M93">
            <v>628269680050.05298</v>
          </cell>
          <cell r="N93">
            <v>708240308819.82202</v>
          </cell>
          <cell r="O93">
            <v>797125057336.85095</v>
          </cell>
          <cell r="P93">
            <v>1000127309470.04</v>
          </cell>
          <cell r="Q93">
            <v>1259108556697.52</v>
          </cell>
          <cell r="R93">
            <v>1821486481680.8999</v>
          </cell>
          <cell r="S93">
            <v>3113835266005.2998</v>
          </cell>
          <cell r="T93">
            <v>3530910842948.8501</v>
          </cell>
          <cell r="U93">
            <v>4767169154705.2305</v>
          </cell>
          <cell r="V93">
            <v>5627241684401.4404</v>
          </cell>
          <cell r="W93">
            <v>5415692487893.9004</v>
          </cell>
          <cell r="X93">
            <v>6427853447879.1104</v>
          </cell>
          <cell r="Y93">
            <v>6816779076684.46</v>
          </cell>
          <cell r="Z93">
            <v>8114060139624.3398</v>
          </cell>
          <cell r="AA93">
            <v>10673273925236.5</v>
          </cell>
          <cell r="AB93">
            <v>13694909645747.801</v>
          </cell>
          <cell r="AC93">
            <v>14952116953950.801</v>
          </cell>
          <cell r="AD93">
            <v>15815509806461.801</v>
          </cell>
          <cell r="AE93">
            <v>16017828118378.1</v>
          </cell>
          <cell r="AF93">
            <v>19409778945942</v>
          </cell>
          <cell r="AG93">
            <v>21885689385024.898</v>
          </cell>
          <cell r="AH93">
            <v>27216170356535.301</v>
          </cell>
          <cell r="AI93">
            <v>37970533272214</v>
          </cell>
          <cell r="AJ93">
            <v>53880694774500</v>
          </cell>
          <cell r="AK93">
            <v>71900295456000</v>
          </cell>
          <cell r="AL93">
            <v>106164033406200</v>
          </cell>
          <cell r="AM93">
            <v>139097653432300</v>
          </cell>
          <cell r="AN93">
            <v>196365433151100</v>
          </cell>
          <cell r="AO93">
            <v>269191999847200</v>
          </cell>
          <cell r="AP93">
            <v>315951576789100</v>
          </cell>
          <cell r="AQ93">
            <v>353298941560200</v>
          </cell>
          <cell r="AR93">
            <v>476115304756600</v>
          </cell>
          <cell r="AS93">
            <v>629203926544500</v>
          </cell>
          <cell r="AT93">
            <v>740041674222100</v>
          </cell>
          <cell r="AU93">
            <v>1026491436179600</v>
          </cell>
          <cell r="AV93">
            <v>1260486493184600</v>
          </cell>
          <cell r="AW93">
            <v>1634376299308400</v>
          </cell>
          <cell r="AX93">
            <v>2026234078462500</v>
          </cell>
          <cell r="AY93">
            <v>2443236658976500</v>
          </cell>
          <cell r="AZ93">
            <v>3256159359664000</v>
          </cell>
          <cell r="BA93">
            <v>3900507433228800</v>
          </cell>
          <cell r="BB93">
            <v>4106258957894700</v>
          </cell>
          <cell r="BC93">
            <v>5036630103924900</v>
          </cell>
          <cell r="BD93">
            <v>6396821303177500</v>
          </cell>
          <cell r="BE93">
            <v>7393544289122800</v>
          </cell>
          <cell r="BF93">
            <v>1.00018007095564E+16</v>
          </cell>
          <cell r="BG93">
            <v>1.15518525065E+16</v>
          </cell>
          <cell r="BH93">
            <v>1.14430303307934E+16</v>
          </cell>
          <cell r="BI93">
            <v>1.31915618E+16</v>
          </cell>
          <cell r="BJ93">
            <v>1.5345033E+16</v>
          </cell>
          <cell r="BK93">
            <v>1.92339711541458E+16</v>
          </cell>
          <cell r="BL93">
            <v>2.44313141258129E+16</v>
          </cell>
          <cell r="BM93">
            <v>3.49986603455034E+16</v>
          </cell>
        </row>
        <row r="94">
          <cell r="B94" t="str">
            <v>IRQ</v>
          </cell>
          <cell r="C94" t="str">
            <v>GNI (current LCU)</v>
          </cell>
          <cell r="D94" t="str">
            <v>NY.GNP.MKTP.CN</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v>16244700000</v>
          </cell>
          <cell r="Z94">
            <v>10945900000</v>
          </cell>
          <cell r="AA94">
            <v>11989800000</v>
          </cell>
          <cell r="AB94">
            <v>12030900000</v>
          </cell>
          <cell r="AC94">
            <v>14080400000</v>
          </cell>
          <cell r="AD94">
            <v>14300000000</v>
          </cell>
          <cell r="AE94">
            <v>13959600000</v>
          </cell>
          <cell r="AF94">
            <v>16895300000</v>
          </cell>
          <cell r="AG94">
            <v>18731800000</v>
          </cell>
          <cell r="AH94">
            <v>19703600000</v>
          </cell>
          <cell r="AI94">
            <v>55089200000</v>
          </cell>
          <cell r="AJ94">
            <v>41801100000</v>
          </cell>
          <cell r="AK94">
            <v>113829100000</v>
          </cell>
          <cell r="AL94">
            <v>321632900000</v>
          </cell>
          <cell r="AM94">
            <v>1658326200000</v>
          </cell>
          <cell r="AN94">
            <v>6693624900000</v>
          </cell>
          <cell r="AO94">
            <v>6498496200000</v>
          </cell>
          <cell r="AP94">
            <v>14895735800000</v>
          </cell>
          <cell r="AQ94">
            <v>16897265500000</v>
          </cell>
          <cell r="AR94">
            <v>33860186200000</v>
          </cell>
          <cell r="AS94">
            <v>49897180000000</v>
          </cell>
          <cell r="AT94">
            <v>41020010200000</v>
          </cell>
          <cell r="AU94">
            <v>40319581600000</v>
          </cell>
          <cell r="AV94">
            <v>29618507000000</v>
          </cell>
          <cell r="AW94">
            <v>53311558700000</v>
          </cell>
          <cell r="AX94">
            <v>66869560200000</v>
          </cell>
          <cell r="AY94">
            <v>90385229008300</v>
          </cell>
          <cell r="AZ94">
            <v>107608093377600</v>
          </cell>
          <cell r="BA94">
            <v>161184195633300</v>
          </cell>
          <cell r="BB94">
            <v>134264467400000</v>
          </cell>
          <cell r="BC94">
            <v>163928609500000</v>
          </cell>
          <cell r="BD94">
            <v>217049817400000</v>
          </cell>
          <cell r="BE94">
            <v>255460461200000</v>
          </cell>
          <cell r="BF94">
            <v>272351067820000</v>
          </cell>
          <cell r="BG94">
            <v>264812657500000</v>
          </cell>
          <cell r="BH94">
            <v>192911053196400</v>
          </cell>
          <cell r="BI94">
            <v>195078803300000</v>
          </cell>
          <cell r="BJ94">
            <v>219959920700000</v>
          </cell>
          <cell r="BK94">
            <v>266844330500000</v>
          </cell>
          <cell r="BL94">
            <v>276506657400000</v>
          </cell>
          <cell r="BM94">
            <v>196616503733300</v>
          </cell>
        </row>
        <row r="95">
          <cell r="B95" t="str">
            <v>IRL</v>
          </cell>
          <cell r="C95" t="str">
            <v>GNI (current LCU)</v>
          </cell>
          <cell r="D95" t="str">
            <v>NY.GNP.MKTP.CN</v>
          </cell>
          <cell r="E95">
            <v>932624512</v>
          </cell>
          <cell r="F95">
            <v>1005118976</v>
          </cell>
          <cell r="G95">
            <v>1086260608</v>
          </cell>
          <cell r="H95">
            <v>1166105088</v>
          </cell>
          <cell r="I95">
            <v>1324641024</v>
          </cell>
          <cell r="J95">
            <v>1418754176</v>
          </cell>
          <cell r="K95">
            <v>1489748992</v>
          </cell>
          <cell r="L95">
            <v>1626056448</v>
          </cell>
          <cell r="M95">
            <v>1840387584</v>
          </cell>
          <cell r="N95">
            <v>2113977344</v>
          </cell>
          <cell r="O95">
            <v>2481306000</v>
          </cell>
          <cell r="P95">
            <v>2829306000</v>
          </cell>
          <cell r="Q95">
            <v>3412416000</v>
          </cell>
          <cell r="R95">
            <v>4084333000</v>
          </cell>
          <cell r="S95">
            <v>4525655000</v>
          </cell>
          <cell r="T95">
            <v>5714153000</v>
          </cell>
          <cell r="U95">
            <v>6949764000</v>
          </cell>
          <cell r="V95">
            <v>8421538000</v>
          </cell>
          <cell r="W95">
            <v>9826784000</v>
          </cell>
          <cell r="X95">
            <v>11490470000</v>
          </cell>
          <cell r="Y95">
            <v>13550624000</v>
          </cell>
          <cell r="Z95">
            <v>16337935000</v>
          </cell>
          <cell r="AA95">
            <v>18746540000</v>
          </cell>
          <cell r="AB95">
            <v>20463510000</v>
          </cell>
          <cell r="AC95">
            <v>22228346000</v>
          </cell>
          <cell r="AD95">
            <v>23818428000</v>
          </cell>
          <cell r="AE95">
            <v>25463300000</v>
          </cell>
          <cell r="AF95">
            <v>27300834000</v>
          </cell>
          <cell r="AG95">
            <v>29299762000</v>
          </cell>
          <cell r="AH95">
            <v>32327670000</v>
          </cell>
          <cell r="AI95">
            <v>35194902000</v>
          </cell>
          <cell r="AJ95">
            <v>36670349000</v>
          </cell>
          <cell r="AK95">
            <v>38467316000</v>
          </cell>
          <cell r="AL95">
            <v>41731279000</v>
          </cell>
          <cell r="AM95">
            <v>45087396000</v>
          </cell>
          <cell r="AN95">
            <v>50077000000</v>
          </cell>
          <cell r="AO95">
            <v>55299000000</v>
          </cell>
          <cell r="AP95">
            <v>62698000000</v>
          </cell>
          <cell r="AQ95">
            <v>72044000000</v>
          </cell>
          <cell r="AR95">
            <v>80931755000</v>
          </cell>
          <cell r="AS95">
            <v>94581071000</v>
          </cell>
          <cell r="AT95">
            <v>104292512000</v>
          </cell>
          <cell r="AU95">
            <v>114020943000</v>
          </cell>
          <cell r="AV95">
            <v>125504556000</v>
          </cell>
          <cell r="AW95">
            <v>134877539000</v>
          </cell>
          <cell r="AX95">
            <v>147493184000</v>
          </cell>
          <cell r="AY95">
            <v>162161020000</v>
          </cell>
          <cell r="AZ95">
            <v>170375846000</v>
          </cell>
          <cell r="BA95">
            <v>162116437000</v>
          </cell>
          <cell r="BB95">
            <v>141616408000</v>
          </cell>
          <cell r="BC95">
            <v>140170420000</v>
          </cell>
          <cell r="BD95">
            <v>139354093000</v>
          </cell>
          <cell r="BE95">
            <v>141557871000</v>
          </cell>
          <cell r="BF95">
            <v>151328755000</v>
          </cell>
          <cell r="BG95">
            <v>164569922000</v>
          </cell>
          <cell r="BH95">
            <v>202000536000</v>
          </cell>
          <cell r="BI95">
            <v>219969914000</v>
          </cell>
          <cell r="BJ95">
            <v>235745415000</v>
          </cell>
          <cell r="BK95">
            <v>252522015000</v>
          </cell>
          <cell r="BL95">
            <v>276706429000</v>
          </cell>
          <cell r="BM95">
            <v>283736409000</v>
          </cell>
        </row>
        <row r="96">
          <cell r="B96" t="str">
            <v>IMN</v>
          </cell>
          <cell r="C96" t="str">
            <v>GNI (current LCU)</v>
          </cell>
          <cell r="D96" t="str">
            <v>NY.GNP.MKTP.CN</v>
          </cell>
          <cell r="E96" t="str">
            <v>..</v>
          </cell>
          <cell r="F96" t="str">
            <v>..</v>
          </cell>
          <cell r="G96" t="str">
            <v>..</v>
          </cell>
          <cell r="H96" t="str">
            <v>..</v>
          </cell>
          <cell r="I96" t="str">
            <v>..</v>
          </cell>
          <cell r="J96" t="str">
            <v>..</v>
          </cell>
          <cell r="K96" t="str">
            <v>..</v>
          </cell>
          <cell r="L96" t="str">
            <v>..</v>
          </cell>
          <cell r="M96" t="str">
            <v>..</v>
          </cell>
          <cell r="N96" t="str">
            <v>..</v>
          </cell>
          <cell r="O96">
            <v>39200000</v>
          </cell>
          <cell r="P96">
            <v>39400000</v>
          </cell>
          <cell r="Q96">
            <v>47400000</v>
          </cell>
          <cell r="R96">
            <v>59900000</v>
          </cell>
          <cell r="S96">
            <v>67700000</v>
          </cell>
          <cell r="T96">
            <v>83000000</v>
          </cell>
          <cell r="U96">
            <v>107100000</v>
          </cell>
          <cell r="V96">
            <v>121300000</v>
          </cell>
          <cell r="W96">
            <v>134300000</v>
          </cell>
          <cell r="X96">
            <v>162600000</v>
          </cell>
          <cell r="Y96">
            <v>191300000</v>
          </cell>
          <cell r="Z96">
            <v>204200000</v>
          </cell>
          <cell r="AA96">
            <v>200000000</v>
          </cell>
          <cell r="AB96">
            <v>224800000</v>
          </cell>
          <cell r="AC96">
            <v>231561000</v>
          </cell>
          <cell r="AD96">
            <v>242327000</v>
          </cell>
          <cell r="AE96">
            <v>289556000</v>
          </cell>
          <cell r="AF96">
            <v>339655000</v>
          </cell>
          <cell r="AG96">
            <v>394861000</v>
          </cell>
          <cell r="AH96">
            <v>450791000</v>
          </cell>
          <cell r="AI96">
            <v>508948000</v>
          </cell>
          <cell r="AJ96">
            <v>549307000</v>
          </cell>
          <cell r="AK96">
            <v>573414000</v>
          </cell>
          <cell r="AL96">
            <v>583835000</v>
          </cell>
          <cell r="AM96">
            <v>608529000</v>
          </cell>
          <cell r="AN96">
            <v>650775000</v>
          </cell>
          <cell r="AO96">
            <v>712892000</v>
          </cell>
          <cell r="AP96">
            <v>801396000</v>
          </cell>
          <cell r="AQ96">
            <v>906929000</v>
          </cell>
          <cell r="AR96">
            <v>1031778000</v>
          </cell>
          <cell r="AS96">
            <v>1101580000</v>
          </cell>
          <cell r="AT96">
            <v>1209926000</v>
          </cell>
          <cell r="AU96">
            <v>1310063000</v>
          </cell>
          <cell r="AV96">
            <v>1433659000</v>
          </cell>
          <cell r="AW96">
            <v>1593817000</v>
          </cell>
          <cell r="AX96">
            <v>1733885000</v>
          </cell>
          <cell r="AY96">
            <v>1944910000</v>
          </cell>
          <cell r="AZ96">
            <v>2183723000</v>
          </cell>
          <cell r="BA96">
            <v>2370020000</v>
          </cell>
          <cell r="BB96">
            <v>2460622000</v>
          </cell>
          <cell r="BC96">
            <v>3871381000</v>
          </cell>
          <cell r="BD96">
            <v>4176651000</v>
          </cell>
          <cell r="BE96">
            <v>4316004000</v>
          </cell>
          <cell r="BF96">
            <v>4606851000</v>
          </cell>
          <cell r="BG96">
            <v>4652281000</v>
          </cell>
          <cell r="BH96">
            <v>4468249000</v>
          </cell>
          <cell r="BI96">
            <v>4521903000</v>
          </cell>
          <cell r="BJ96">
            <v>4945720000</v>
          </cell>
          <cell r="BK96">
            <v>5330380000</v>
          </cell>
          <cell r="BL96">
            <v>5459048000</v>
          </cell>
          <cell r="BM96" t="str">
            <v>..</v>
          </cell>
        </row>
        <row r="97">
          <cell r="B97" t="str">
            <v>ISR</v>
          </cell>
          <cell r="C97" t="str">
            <v>GNI (current LCU)</v>
          </cell>
          <cell r="D97" t="str">
            <v>NY.GNP.MKTP.CN</v>
          </cell>
          <cell r="E97">
            <v>517000</v>
          </cell>
          <cell r="F97">
            <v>624500</v>
          </cell>
          <cell r="G97">
            <v>749200</v>
          </cell>
          <cell r="H97">
            <v>893100</v>
          </cell>
          <cell r="I97">
            <v>1016400</v>
          </cell>
          <cell r="J97">
            <v>1093400</v>
          </cell>
          <cell r="K97">
            <v>1186200</v>
          </cell>
          <cell r="L97">
            <v>1197200</v>
          </cell>
          <cell r="M97">
            <v>1373100</v>
          </cell>
          <cell r="N97">
            <v>1580100</v>
          </cell>
          <cell r="O97">
            <v>2053000</v>
          </cell>
          <cell r="P97">
            <v>2628000</v>
          </cell>
          <cell r="Q97">
            <v>3419000</v>
          </cell>
          <cell r="R97">
            <v>4414000</v>
          </cell>
          <cell r="S97">
            <v>6353000</v>
          </cell>
          <cell r="T97">
            <v>8839000</v>
          </cell>
          <cell r="U97">
            <v>11667000</v>
          </cell>
          <cell r="V97">
            <v>16785000</v>
          </cell>
          <cell r="W97">
            <v>27456000</v>
          </cell>
          <cell r="X97">
            <v>51758000</v>
          </cell>
          <cell r="Y97">
            <v>117515000</v>
          </cell>
          <cell r="Z97">
            <v>280460000</v>
          </cell>
          <cell r="AA97">
            <v>646061000</v>
          </cell>
          <cell r="AB97">
            <v>1665477000</v>
          </cell>
          <cell r="AC97">
            <v>7925519000</v>
          </cell>
          <cell r="AD97">
            <v>29909054000</v>
          </cell>
          <cell r="AE97">
            <v>47484418000</v>
          </cell>
          <cell r="AF97">
            <v>61671683000</v>
          </cell>
          <cell r="AG97">
            <v>76403133000</v>
          </cell>
          <cell r="AH97">
            <v>91656411000</v>
          </cell>
          <cell r="AI97">
            <v>114966819000</v>
          </cell>
          <cell r="AJ97">
            <v>150233523000</v>
          </cell>
          <cell r="AK97">
            <v>180922557000</v>
          </cell>
          <cell r="AL97">
            <v>209186808000</v>
          </cell>
          <cell r="AM97">
            <v>252524787000</v>
          </cell>
          <cell r="AN97">
            <v>294940063000</v>
          </cell>
          <cell r="AO97">
            <v>341052443000</v>
          </cell>
          <cell r="AP97">
            <v>382412695000</v>
          </cell>
          <cell r="AQ97">
            <v>425986148000</v>
          </cell>
          <cell r="AR97">
            <v>464164707000</v>
          </cell>
          <cell r="AS97">
            <v>506395224000</v>
          </cell>
          <cell r="AT97">
            <v>527300556000</v>
          </cell>
          <cell r="AU97">
            <v>553052622000</v>
          </cell>
          <cell r="AV97">
            <v>557675497000</v>
          </cell>
          <cell r="AW97">
            <v>589896129000</v>
          </cell>
          <cell r="AX97">
            <v>634651338000</v>
          </cell>
          <cell r="AY97">
            <v>684098506000</v>
          </cell>
          <cell r="AZ97">
            <v>735033745000</v>
          </cell>
          <cell r="BA97">
            <v>762449555000</v>
          </cell>
          <cell r="BB97">
            <v>798263059000</v>
          </cell>
          <cell r="BC97">
            <v>861136950000</v>
          </cell>
          <cell r="BD97">
            <v>925912106000</v>
          </cell>
          <cell r="BE97">
            <v>970894505000</v>
          </cell>
          <cell r="BF97">
            <v>1040689115000</v>
          </cell>
          <cell r="BG97">
            <v>1105818152000</v>
          </cell>
          <cell r="BH97">
            <v>1156348178000</v>
          </cell>
          <cell r="BI97">
            <v>1214141373000</v>
          </cell>
          <cell r="BJ97">
            <v>1272400909000</v>
          </cell>
          <cell r="BK97">
            <v>1340594772000</v>
          </cell>
          <cell r="BL97">
            <v>1410432777000</v>
          </cell>
          <cell r="BM97">
            <v>1387111364000</v>
          </cell>
        </row>
        <row r="98">
          <cell r="B98" t="str">
            <v>ITA</v>
          </cell>
          <cell r="C98" t="str">
            <v>GNI (current LCU)</v>
          </cell>
          <cell r="D98" t="str">
            <v>NY.GNP.MKTP.CN</v>
          </cell>
          <cell r="E98">
            <v>13050289152</v>
          </cell>
          <cell r="F98">
            <v>14506570752</v>
          </cell>
          <cell r="G98">
            <v>16291352576</v>
          </cell>
          <cell r="H98">
            <v>18657593344</v>
          </cell>
          <cell r="I98">
            <v>20435560448</v>
          </cell>
          <cell r="J98">
            <v>22026698752</v>
          </cell>
          <cell r="K98">
            <v>23887888384</v>
          </cell>
          <cell r="L98">
            <v>26288648192</v>
          </cell>
          <cell r="M98">
            <v>28510566400</v>
          </cell>
          <cell r="N98">
            <v>31496042496</v>
          </cell>
          <cell r="O98">
            <v>36917061000</v>
          </cell>
          <cell r="P98">
            <v>40292974000</v>
          </cell>
          <cell r="Q98">
            <v>44152925000</v>
          </cell>
          <cell r="R98">
            <v>53195025000</v>
          </cell>
          <cell r="S98">
            <v>67086563000</v>
          </cell>
          <cell r="T98">
            <v>76956847000</v>
          </cell>
          <cell r="U98">
            <v>96757334000</v>
          </cell>
          <cell r="V98">
            <v>117705846000</v>
          </cell>
          <cell r="W98">
            <v>138504319000</v>
          </cell>
          <cell r="X98">
            <v>169880844000</v>
          </cell>
          <cell r="Y98">
            <v>212417107000</v>
          </cell>
          <cell r="Z98">
            <v>252536133000</v>
          </cell>
          <cell r="AA98">
            <v>297751445000</v>
          </cell>
          <cell r="AB98">
            <v>347185343000</v>
          </cell>
          <cell r="AC98">
            <v>396881377000</v>
          </cell>
          <cell r="AD98">
            <v>444855631000</v>
          </cell>
          <cell r="AE98">
            <v>490496942000</v>
          </cell>
          <cell r="AF98">
            <v>537682150000</v>
          </cell>
          <cell r="AG98">
            <v>597726804000</v>
          </cell>
          <cell r="AH98">
            <v>654805477000</v>
          </cell>
          <cell r="AI98">
            <v>721988007000</v>
          </cell>
          <cell r="AJ98">
            <v>787065543000</v>
          </cell>
          <cell r="AK98">
            <v>826681371000</v>
          </cell>
          <cell r="AL98">
            <v>853258984000</v>
          </cell>
          <cell r="AM98">
            <v>901218103000</v>
          </cell>
          <cell r="AN98">
            <v>976250200000</v>
          </cell>
          <cell r="AO98">
            <v>1035751500000</v>
          </cell>
          <cell r="AP98">
            <v>1087357200000</v>
          </cell>
          <cell r="AQ98">
            <v>1132595800000</v>
          </cell>
          <cell r="AR98">
            <v>1172860700000</v>
          </cell>
          <cell r="AS98">
            <v>1236773300000</v>
          </cell>
          <cell r="AT98">
            <v>1300145100000</v>
          </cell>
          <cell r="AU98">
            <v>1344235800000</v>
          </cell>
          <cell r="AV98">
            <v>1387969200000</v>
          </cell>
          <cell r="AW98">
            <v>1449916300000</v>
          </cell>
          <cell r="AX98">
            <v>1495981700000</v>
          </cell>
          <cell r="AY98">
            <v>1558846700000</v>
          </cell>
          <cell r="AZ98">
            <v>1616086100000</v>
          </cell>
          <cell r="BA98">
            <v>1622731700000</v>
          </cell>
          <cell r="BB98">
            <v>1576263000000</v>
          </cell>
          <cell r="BC98">
            <v>1607865500000</v>
          </cell>
          <cell r="BD98">
            <v>1644585700000</v>
          </cell>
          <cell r="BE98">
            <v>1622373100000</v>
          </cell>
          <cell r="BF98">
            <v>1609956300000</v>
          </cell>
          <cell r="BG98">
            <v>1627547700000</v>
          </cell>
          <cell r="BH98">
            <v>1643911100000</v>
          </cell>
          <cell r="BI98">
            <v>1700655700000</v>
          </cell>
          <cell r="BJ98">
            <v>1746275800000</v>
          </cell>
          <cell r="BK98">
            <v>1790955200000</v>
          </cell>
          <cell r="BL98">
            <v>1810448900000</v>
          </cell>
          <cell r="BM98">
            <v>1673895200000</v>
          </cell>
        </row>
        <row r="99">
          <cell r="B99" t="str">
            <v>JAM</v>
          </cell>
          <cell r="C99" t="str">
            <v>GNI (current LCU)</v>
          </cell>
          <cell r="D99" t="str">
            <v>NY.GNP.MKTP.CN</v>
          </cell>
          <cell r="E99">
            <v>488071600</v>
          </cell>
          <cell r="F99">
            <v>520682200</v>
          </cell>
          <cell r="G99">
            <v>531552400</v>
          </cell>
          <cell r="H99">
            <v>577207200</v>
          </cell>
          <cell r="I99">
            <v>626123100</v>
          </cell>
          <cell r="J99">
            <v>678300000</v>
          </cell>
          <cell r="K99">
            <v>730500000</v>
          </cell>
          <cell r="L99">
            <v>776200000</v>
          </cell>
          <cell r="M99">
            <v>854400000</v>
          </cell>
          <cell r="N99">
            <v>941500000</v>
          </cell>
          <cell r="O99">
            <v>1119700000</v>
          </cell>
          <cell r="P99">
            <v>1208100000</v>
          </cell>
          <cell r="Q99">
            <v>1413900000</v>
          </cell>
          <cell r="R99">
            <v>1692500000</v>
          </cell>
          <cell r="S99">
            <v>2210900000</v>
          </cell>
          <cell r="T99">
            <v>2620100100</v>
          </cell>
          <cell r="U99">
            <v>2629854512</v>
          </cell>
          <cell r="V99">
            <v>2869299985</v>
          </cell>
          <cell r="W99">
            <v>3536010787.5356202</v>
          </cell>
          <cell r="X99">
            <v>3984982018.4446702</v>
          </cell>
          <cell r="Y99">
            <v>4395438960.2119999</v>
          </cell>
          <cell r="Z99">
            <v>5017953676.1622</v>
          </cell>
          <cell r="AA99">
            <v>5554995416.1752005</v>
          </cell>
          <cell r="AB99">
            <v>6693926884.9659595</v>
          </cell>
          <cell r="AC99">
            <v>8308384331.6431599</v>
          </cell>
          <cell r="AD99">
            <v>10108062186.8078</v>
          </cell>
          <cell r="AE99">
            <v>13551466235.845301</v>
          </cell>
          <cell r="AF99">
            <v>16151364229.5319</v>
          </cell>
          <cell r="AG99">
            <v>19172302943.333302</v>
          </cell>
          <cell r="AH99">
            <v>23293592559.589699</v>
          </cell>
          <cell r="AI99">
            <v>29901402364.228901</v>
          </cell>
          <cell r="AJ99">
            <v>44433852600</v>
          </cell>
          <cell r="AK99">
            <v>74427177400</v>
          </cell>
          <cell r="AL99">
            <v>130834579100</v>
          </cell>
          <cell r="AM99">
            <v>168756751500</v>
          </cell>
          <cell r="AN99">
            <v>218120817400</v>
          </cell>
          <cell r="AO99">
            <v>266117235200</v>
          </cell>
          <cell r="AP99">
            <v>287064436200</v>
          </cell>
          <cell r="AQ99">
            <v>309910945000</v>
          </cell>
          <cell r="AR99">
            <v>334000030700</v>
          </cell>
          <cell r="AS99">
            <v>372048303600</v>
          </cell>
          <cell r="AT99">
            <v>402785841700</v>
          </cell>
          <cell r="AU99">
            <v>441248830500</v>
          </cell>
          <cell r="AV99">
            <v>511516864700</v>
          </cell>
          <cell r="AW99">
            <v>587010998100</v>
          </cell>
          <cell r="AX99">
            <v>658160805500</v>
          </cell>
          <cell r="AY99">
            <v>743861967400</v>
          </cell>
          <cell r="AZ99">
            <v>839854822200</v>
          </cell>
          <cell r="BA99">
            <v>956099445700</v>
          </cell>
          <cell r="BB99">
            <v>1006611261300</v>
          </cell>
          <cell r="BC99">
            <v>1109652280400</v>
          </cell>
          <cell r="BD99">
            <v>1196174828700</v>
          </cell>
          <cell r="BE99">
            <v>1296410421500</v>
          </cell>
          <cell r="BF99">
            <v>1398606361300</v>
          </cell>
          <cell r="BG99">
            <v>1508799635000</v>
          </cell>
          <cell r="BH99">
            <v>1608212823700</v>
          </cell>
          <cell r="BI99">
            <v>1686545958900</v>
          </cell>
          <cell r="BJ99">
            <v>1841132907700</v>
          </cell>
          <cell r="BK99">
            <v>1950440588500</v>
          </cell>
          <cell r="BL99">
            <v>2051575755000</v>
          </cell>
          <cell r="BM99">
            <v>1902200097700</v>
          </cell>
        </row>
        <row r="100">
          <cell r="B100" t="str">
            <v>JPN</v>
          </cell>
          <cell r="C100" t="str">
            <v>GNI (current LCU)</v>
          </cell>
          <cell r="D100" t="str">
            <v>NY.GNP.MKTP.CN</v>
          </cell>
          <cell r="E100">
            <v>15874600730624</v>
          </cell>
          <cell r="F100">
            <v>19158079111168</v>
          </cell>
          <cell r="G100">
            <v>21732079435776</v>
          </cell>
          <cell r="H100">
            <v>24861749542912</v>
          </cell>
          <cell r="I100">
            <v>29218863841280</v>
          </cell>
          <cell r="J100">
            <v>32520223588352</v>
          </cell>
          <cell r="K100">
            <v>37779346030592</v>
          </cell>
          <cell r="L100">
            <v>44281804881920</v>
          </cell>
          <cell r="M100">
            <v>52417563459584</v>
          </cell>
          <cell r="N100">
            <v>61587289276416</v>
          </cell>
          <cell r="O100">
            <v>76455397492000</v>
          </cell>
          <cell r="P100">
            <v>84189386878000</v>
          </cell>
          <cell r="Q100">
            <v>96525640549000</v>
          </cell>
          <cell r="R100">
            <v>117542222631000</v>
          </cell>
          <cell r="S100">
            <v>139978365486000</v>
          </cell>
          <cell r="T100">
            <v>154784042741000</v>
          </cell>
          <cell r="U100">
            <v>173845686250000</v>
          </cell>
          <cell r="V100">
            <v>193812092128000</v>
          </cell>
          <cell r="W100">
            <v>213602162840000</v>
          </cell>
          <cell r="X100">
            <v>231726660150000</v>
          </cell>
          <cell r="Y100">
            <v>250816300000000</v>
          </cell>
          <cell r="Z100">
            <v>268656600000000</v>
          </cell>
          <cell r="AA100">
            <v>283000400000000</v>
          </cell>
          <cell r="AB100">
            <v>296010000000000</v>
          </cell>
          <cell r="AC100">
            <v>314134100000000</v>
          </cell>
          <cell r="AD100">
            <v>335302900000000</v>
          </cell>
          <cell r="AE100">
            <v>351939300000000</v>
          </cell>
          <cell r="AF100">
            <v>368764700000000</v>
          </cell>
          <cell r="AG100">
            <v>396390100000000</v>
          </cell>
          <cell r="AH100">
            <v>424772700000000</v>
          </cell>
          <cell r="AI100">
            <v>457087100000000</v>
          </cell>
          <cell r="AJ100">
            <v>486284700000000</v>
          </cell>
          <cell r="AK100">
            <v>499342200000000</v>
          </cell>
          <cell r="AL100">
            <v>499699500000000</v>
          </cell>
          <cell r="AM100">
            <v>515164100000000</v>
          </cell>
          <cell r="AN100">
            <v>526045500000000</v>
          </cell>
          <cell r="AO100">
            <v>542019500000000</v>
          </cell>
          <cell r="AP100">
            <v>550679300000000</v>
          </cell>
          <cell r="AQ100">
            <v>543122900000000</v>
          </cell>
          <cell r="AR100">
            <v>534553600000000</v>
          </cell>
          <cell r="AS100">
            <v>543163500000000</v>
          </cell>
          <cell r="AT100">
            <v>539919400000000</v>
          </cell>
          <cell r="AU100">
            <v>532133300000000</v>
          </cell>
          <cell r="AV100">
            <v>532434300000000</v>
          </cell>
          <cell r="AW100">
            <v>539620700000000</v>
          </cell>
          <cell r="AX100">
            <v>544323900000000</v>
          </cell>
          <cell r="AY100">
            <v>549471000000000</v>
          </cell>
          <cell r="AZ100">
            <v>555807400000000</v>
          </cell>
          <cell r="BA100">
            <v>542003000000000</v>
          </cell>
          <cell r="BB100">
            <v>507377900000000</v>
          </cell>
          <cell r="BC100">
            <v>518996500000000</v>
          </cell>
          <cell r="BD100">
            <v>511913900000000</v>
          </cell>
          <cell r="BE100">
            <v>514292300000000</v>
          </cell>
          <cell r="BF100">
            <v>526197300000000</v>
          </cell>
          <cell r="BG100">
            <v>538095800000000</v>
          </cell>
          <cell r="BH100">
            <v>559195700000000</v>
          </cell>
          <cell r="BI100">
            <v>563307300000000</v>
          </cell>
          <cell r="BJ100">
            <v>573533700000000</v>
          </cell>
          <cell r="BK100">
            <v>577374200000000</v>
          </cell>
          <cell r="BL100">
            <v>582963300000000</v>
          </cell>
          <cell r="BM100">
            <v>549499708441146</v>
          </cell>
        </row>
        <row r="101">
          <cell r="B101" t="str">
            <v>JOR</v>
          </cell>
          <cell r="C101" t="str">
            <v>GNI (current LCU)</v>
          </cell>
          <cell r="D101" t="str">
            <v>NY.GNP.MKTP.CN</v>
          </cell>
          <cell r="E101" t="str">
            <v>..</v>
          </cell>
          <cell r="F101" t="str">
            <v>..</v>
          </cell>
          <cell r="G101" t="str">
            <v>..</v>
          </cell>
          <cell r="H101" t="str">
            <v>..</v>
          </cell>
          <cell r="I101" t="str">
            <v>..</v>
          </cell>
          <cell r="J101">
            <v>217200000</v>
          </cell>
          <cell r="K101">
            <v>239200000</v>
          </cell>
          <cell r="L101">
            <v>229900000</v>
          </cell>
          <cell r="M101">
            <v>205700000</v>
          </cell>
          <cell r="N101">
            <v>256300000</v>
          </cell>
          <cell r="O101">
            <v>235100000</v>
          </cell>
          <cell r="P101">
            <v>247500000</v>
          </cell>
          <cell r="Q101">
            <v>285700000</v>
          </cell>
          <cell r="R101">
            <v>316700000</v>
          </cell>
          <cell r="S101">
            <v>394800000</v>
          </cell>
          <cell r="T101">
            <v>449500000</v>
          </cell>
          <cell r="U101">
            <v>569400000</v>
          </cell>
          <cell r="V101">
            <v>698300000</v>
          </cell>
          <cell r="W101">
            <v>803940700</v>
          </cell>
          <cell r="X101">
            <v>993541200</v>
          </cell>
          <cell r="Y101">
            <v>1175424700</v>
          </cell>
          <cell r="Z101">
            <v>1477318500</v>
          </cell>
          <cell r="AA101">
            <v>1682549300</v>
          </cell>
          <cell r="AB101">
            <v>1803169000</v>
          </cell>
          <cell r="AC101">
            <v>1886412100</v>
          </cell>
          <cell r="AD101">
            <v>1935562800</v>
          </cell>
          <cell r="AE101">
            <v>2187988100</v>
          </cell>
          <cell r="AF101">
            <v>2212079300</v>
          </cell>
          <cell r="AG101">
            <v>2234470300</v>
          </cell>
          <cell r="AH101">
            <v>2313479700</v>
          </cell>
          <cell r="AI101">
            <v>2618282000</v>
          </cell>
          <cell r="AJ101">
            <v>2711194200</v>
          </cell>
          <cell r="AK101">
            <v>3374041600</v>
          </cell>
          <cell r="AL101">
            <v>3669518600</v>
          </cell>
          <cell r="AM101">
            <v>4138237000</v>
          </cell>
          <cell r="AN101">
            <v>4519494600</v>
          </cell>
          <cell r="AO101">
            <v>4698806700</v>
          </cell>
          <cell r="AP101">
            <v>4989711500</v>
          </cell>
          <cell r="AQ101">
            <v>5512048400</v>
          </cell>
          <cell r="AR101">
            <v>5668237500</v>
          </cell>
          <cell r="AS101">
            <v>6069640900</v>
          </cell>
          <cell r="AT101">
            <v>6478364100</v>
          </cell>
          <cell r="AU101">
            <v>6842859200</v>
          </cell>
          <cell r="AV101">
            <v>7320823500</v>
          </cell>
          <cell r="AW101">
            <v>8284675800</v>
          </cell>
          <cell r="AX101">
            <v>9164363700</v>
          </cell>
          <cell r="AY101">
            <v>10997363200</v>
          </cell>
          <cell r="AZ101">
            <v>12539606500</v>
          </cell>
          <cell r="BA101">
            <v>16372243000</v>
          </cell>
          <cell r="BB101">
            <v>17688492000</v>
          </cell>
          <cell r="BC101">
            <v>19112601000</v>
          </cell>
          <cell r="BD101">
            <v>20774345900</v>
          </cell>
          <cell r="BE101">
            <v>22185038800</v>
          </cell>
          <cell r="BF101">
            <v>24222252500</v>
          </cell>
          <cell r="BG101">
            <v>25865926900</v>
          </cell>
          <cell r="BH101">
            <v>27089682700</v>
          </cell>
          <cell r="BI101">
            <v>28107111300</v>
          </cell>
          <cell r="BJ101">
            <v>29253862200</v>
          </cell>
          <cell r="BK101">
            <v>30340040000</v>
          </cell>
          <cell r="BL101">
            <v>31602366100</v>
          </cell>
          <cell r="BM101">
            <v>30937208100</v>
          </cell>
        </row>
        <row r="102">
          <cell r="B102" t="str">
            <v>KAZ</v>
          </cell>
          <cell r="C102" t="str">
            <v>GNI (current LCU)</v>
          </cell>
          <cell r="D102" t="str">
            <v>NY.GNP.MKTP.CN</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v>29366287600</v>
          </cell>
          <cell r="AM102">
            <v>421543836700</v>
          </cell>
          <cell r="AN102">
            <v>1007166338300</v>
          </cell>
          <cell r="AO102">
            <v>1401387175800</v>
          </cell>
          <cell r="AP102">
            <v>1649096343800</v>
          </cell>
          <cell r="AQ102">
            <v>1709968268300</v>
          </cell>
          <cell r="AR102">
            <v>1950515295400</v>
          </cell>
          <cell r="AS102">
            <v>2438011771300</v>
          </cell>
          <cell r="AT102">
            <v>3090005640500</v>
          </cell>
          <cell r="AU102">
            <v>3625327943800</v>
          </cell>
          <cell r="AV102">
            <v>4372025801600</v>
          </cell>
          <cell r="AW102">
            <v>5500023875500</v>
          </cell>
          <cell r="AX102">
            <v>6852378660000</v>
          </cell>
          <cell r="AY102">
            <v>9034782701100</v>
          </cell>
          <cell r="AZ102">
            <v>11263244093100</v>
          </cell>
          <cell r="BA102">
            <v>13722086110200</v>
          </cell>
          <cell r="BB102">
            <v>15176106727800</v>
          </cell>
          <cell r="BC102">
            <v>18960425462000</v>
          </cell>
          <cell r="BD102">
            <v>24175043941900</v>
          </cell>
          <cell r="BE102">
            <v>26822575526300</v>
          </cell>
          <cell r="BF102">
            <v>32173325617200</v>
          </cell>
          <cell r="BG102">
            <v>35607984199100</v>
          </cell>
          <cell r="BH102">
            <v>38308116383400</v>
          </cell>
          <cell r="BI102">
            <v>42368995352000</v>
          </cell>
          <cell r="BJ102">
            <v>48462428651500</v>
          </cell>
          <cell r="BK102">
            <v>54214878334500</v>
          </cell>
          <cell r="BL102">
            <v>60847086330300</v>
          </cell>
          <cell r="BM102">
            <v>64461599486756.898</v>
          </cell>
        </row>
        <row r="103">
          <cell r="B103" t="str">
            <v>KEN</v>
          </cell>
          <cell r="C103" t="str">
            <v>GNI (current LCU)</v>
          </cell>
          <cell r="D103" t="str">
            <v>NY.GNP.MKTP.CN</v>
          </cell>
          <cell r="E103">
            <v>5463999000</v>
          </cell>
          <cell r="F103">
            <v>5502199300</v>
          </cell>
          <cell r="G103">
            <v>6035898900</v>
          </cell>
          <cell r="H103">
            <v>6420799000</v>
          </cell>
          <cell r="I103">
            <v>6921599000</v>
          </cell>
          <cell r="J103">
            <v>6941998000</v>
          </cell>
          <cell r="K103">
            <v>8072001000</v>
          </cell>
          <cell r="L103">
            <v>8528999900</v>
          </cell>
          <cell r="M103">
            <v>9383542700</v>
          </cell>
          <cell r="N103">
            <v>10227714200</v>
          </cell>
          <cell r="O103">
            <v>11289628500</v>
          </cell>
          <cell r="P103">
            <v>12527103600</v>
          </cell>
          <cell r="Q103">
            <v>14808814900</v>
          </cell>
          <cell r="R103">
            <v>16849380000</v>
          </cell>
          <cell r="S103">
            <v>20492315500</v>
          </cell>
          <cell r="T103">
            <v>23251661400</v>
          </cell>
          <cell r="U103">
            <v>27883669500</v>
          </cell>
          <cell r="V103">
            <v>35888136600</v>
          </cell>
          <cell r="W103">
            <v>39544968200</v>
          </cell>
          <cell r="X103">
            <v>44925568600</v>
          </cell>
          <cell r="Y103">
            <v>52263461800</v>
          </cell>
          <cell r="Z103">
            <v>60074406500</v>
          </cell>
          <cell r="AA103">
            <v>67469166900</v>
          </cell>
          <cell r="AB103">
            <v>77057690400</v>
          </cell>
          <cell r="AC103">
            <v>86305047200</v>
          </cell>
          <cell r="AD103">
            <v>97372361500</v>
          </cell>
          <cell r="AE103">
            <v>113572522300</v>
          </cell>
          <cell r="AF103">
            <v>126550185500</v>
          </cell>
          <cell r="AG103">
            <v>142539043700</v>
          </cell>
          <cell r="AH103">
            <v>165381629500</v>
          </cell>
          <cell r="AI103">
            <v>188052428200</v>
          </cell>
          <cell r="AJ103">
            <v>213954396600</v>
          </cell>
          <cell r="AK103">
            <v>253051281200</v>
          </cell>
          <cell r="AL103">
            <v>312720700300</v>
          </cell>
          <cell r="AM103">
            <v>380349386400</v>
          </cell>
          <cell r="AN103">
            <v>448785222500</v>
          </cell>
          <cell r="AO103">
            <v>675095721100</v>
          </cell>
          <cell r="AP103">
            <v>760199690500</v>
          </cell>
          <cell r="AQ103">
            <v>842966137000</v>
          </cell>
          <cell r="AR103">
            <v>894770855100</v>
          </cell>
          <cell r="AS103">
            <v>957950861000</v>
          </cell>
          <cell r="AT103">
            <v>1008632957500</v>
          </cell>
          <cell r="AU103">
            <v>1025798216000</v>
          </cell>
          <cell r="AV103">
            <v>1119170974400</v>
          </cell>
          <cell r="AW103">
            <v>1263118984800</v>
          </cell>
          <cell r="AX103">
            <v>1415257000000</v>
          </cell>
          <cell r="AY103">
            <v>1856988000000</v>
          </cell>
          <cell r="AZ103">
            <v>2141643000000</v>
          </cell>
          <cell r="BA103">
            <v>2480868000000</v>
          </cell>
          <cell r="BB103">
            <v>2860234000000</v>
          </cell>
          <cell r="BC103">
            <v>3157638000000</v>
          </cell>
          <cell r="BD103">
            <v>3726671000000</v>
          </cell>
          <cell r="BE103">
            <v>4242316000000</v>
          </cell>
          <cell r="BF103">
            <v>4693419000000</v>
          </cell>
          <cell r="BG103">
            <v>5326309860500</v>
          </cell>
          <cell r="BH103">
            <v>6204400700000</v>
          </cell>
          <cell r="BI103">
            <v>7491511500000</v>
          </cell>
          <cell r="BJ103">
            <v>8327391100000</v>
          </cell>
          <cell r="BK103">
            <v>9199306900000</v>
          </cell>
          <cell r="BL103">
            <v>10091516900000</v>
          </cell>
          <cell r="BM103">
            <v>10573297000000</v>
          </cell>
        </row>
        <row r="104">
          <cell r="B104" t="str">
            <v>KIR</v>
          </cell>
          <cell r="C104" t="str">
            <v>GNI (current LCU)</v>
          </cell>
          <cell r="D104" t="str">
            <v>NY.GNP.MKTP.CN</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v>44000000</v>
          </cell>
          <cell r="X104">
            <v>43394000</v>
          </cell>
          <cell r="Y104">
            <v>33613000</v>
          </cell>
          <cell r="Z104">
            <v>33564000</v>
          </cell>
          <cell r="AA104">
            <v>44145000</v>
          </cell>
          <cell r="AB104">
            <v>50490000</v>
          </cell>
          <cell r="AC104">
            <v>43389000</v>
          </cell>
          <cell r="AD104">
            <v>44432000</v>
          </cell>
          <cell r="AE104">
            <v>46779000</v>
          </cell>
          <cell r="AF104">
            <v>52874000</v>
          </cell>
          <cell r="AG104">
            <v>58691000</v>
          </cell>
          <cell r="AH104">
            <v>57433000</v>
          </cell>
          <cell r="AI104">
            <v>61865000</v>
          </cell>
          <cell r="AJ104">
            <v>97685200</v>
          </cell>
          <cell r="AK104">
            <v>105267600</v>
          </cell>
          <cell r="AL104">
            <v>106890700</v>
          </cell>
          <cell r="AM104">
            <v>115347700</v>
          </cell>
          <cell r="AN104">
            <v>123294700</v>
          </cell>
          <cell r="AO104">
            <v>118616500</v>
          </cell>
          <cell r="AP104">
            <v>150848000</v>
          </cell>
          <cell r="AQ104">
            <v>182243600</v>
          </cell>
          <cell r="AR104">
            <v>173345000</v>
          </cell>
          <cell r="AS104">
            <v>188539900</v>
          </cell>
          <cell r="AT104">
            <v>210986000</v>
          </cell>
          <cell r="AU104">
            <v>212887000</v>
          </cell>
          <cell r="AV104">
            <v>210071000</v>
          </cell>
          <cell r="AW104">
            <v>203180500</v>
          </cell>
          <cell r="AX104">
            <v>208246900</v>
          </cell>
          <cell r="AY104">
            <v>205276000</v>
          </cell>
          <cell r="AZ104">
            <v>226225000</v>
          </cell>
          <cell r="BA104">
            <v>244800000</v>
          </cell>
          <cell r="BB104">
            <v>234312798.35780799</v>
          </cell>
          <cell r="BC104">
            <v>249227502.875617</v>
          </cell>
          <cell r="BD104">
            <v>245143146.42494899</v>
          </cell>
          <cell r="BE104">
            <v>278145107.41129202</v>
          </cell>
          <cell r="BF104">
            <v>315393142.953412</v>
          </cell>
          <cell r="BG104">
            <v>375106691.708498</v>
          </cell>
          <cell r="BH104">
            <v>468849925.76428503</v>
          </cell>
          <cell r="BI104">
            <v>427737149.40712798</v>
          </cell>
          <cell r="BJ104">
            <v>467558887.62676197</v>
          </cell>
          <cell r="BK104">
            <v>491164156.42791998</v>
          </cell>
          <cell r="BL104">
            <v>540001562.06098497</v>
          </cell>
          <cell r="BM104">
            <v>513000000</v>
          </cell>
        </row>
        <row r="105">
          <cell r="B105" t="str">
            <v>PRK</v>
          </cell>
          <cell r="C105" t="str">
            <v>GNI (current LCU)</v>
          </cell>
          <cell r="D105" t="str">
            <v>NY.GNP.MKTP.CN</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row>
        <row r="106">
          <cell r="B106" t="str">
            <v>KOR</v>
          </cell>
          <cell r="C106" t="str">
            <v>GNI (current LCU)</v>
          </cell>
          <cell r="D106" t="str">
            <v>NY.GNP.MKTP.CN</v>
          </cell>
          <cell r="E106">
            <v>252130000000</v>
          </cell>
          <cell r="F106">
            <v>305440000000</v>
          </cell>
          <cell r="G106">
            <v>370050000000</v>
          </cell>
          <cell r="H106">
            <v>523210000000</v>
          </cell>
          <cell r="I106">
            <v>747610000000</v>
          </cell>
          <cell r="J106">
            <v>843100000000</v>
          </cell>
          <cell r="K106">
            <v>1089020000000</v>
          </cell>
          <cell r="L106">
            <v>1353840000000</v>
          </cell>
          <cell r="M106">
            <v>1739670000000</v>
          </cell>
          <cell r="N106">
            <v>2269820000000</v>
          </cell>
          <cell r="O106">
            <v>2847400000000</v>
          </cell>
          <cell r="P106">
            <v>3464300000000</v>
          </cell>
          <cell r="Q106">
            <v>4277000000000</v>
          </cell>
          <cell r="R106">
            <v>5532700000000</v>
          </cell>
          <cell r="S106">
            <v>7933400000000</v>
          </cell>
          <cell r="T106">
            <v>10458300000000</v>
          </cell>
          <cell r="U106">
            <v>14408700000000</v>
          </cell>
          <cell r="V106">
            <v>18554900000000</v>
          </cell>
          <cell r="W106">
            <v>25227500000000</v>
          </cell>
          <cell r="X106">
            <v>32345900000000</v>
          </cell>
          <cell r="Y106">
            <v>39363600000000</v>
          </cell>
          <cell r="Z106">
            <v>48993000000000</v>
          </cell>
          <cell r="AA106">
            <v>56756900000000</v>
          </cell>
          <cell r="AB106">
            <v>67370100000000</v>
          </cell>
          <cell r="AC106">
            <v>77479600000000</v>
          </cell>
          <cell r="AD106">
            <v>86197200000000</v>
          </cell>
          <cell r="AE106">
            <v>100772100000000</v>
          </cell>
          <cell r="AF106">
            <v>120223800000000</v>
          </cell>
          <cell r="AG106">
            <v>144864000000000</v>
          </cell>
          <cell r="AH106">
            <v>165314100000000</v>
          </cell>
          <cell r="AI106">
            <v>200355300000000</v>
          </cell>
          <cell r="AJ106">
            <v>242234500000000</v>
          </cell>
          <cell r="AK106">
            <v>277172600000000</v>
          </cell>
          <cell r="AL106">
            <v>314760400000000</v>
          </cell>
          <cell r="AM106">
            <v>371554700000000</v>
          </cell>
          <cell r="AN106">
            <v>435384800000000</v>
          </cell>
          <cell r="AO106">
            <v>489129400000000</v>
          </cell>
          <cell r="AP106">
            <v>539090800000000</v>
          </cell>
          <cell r="AQ106">
            <v>530262200000000</v>
          </cell>
          <cell r="AR106">
            <v>584929400000000</v>
          </cell>
          <cell r="AS106">
            <v>647274200000000</v>
          </cell>
          <cell r="AT106">
            <v>702236400000000</v>
          </cell>
          <cell r="AU106">
            <v>781828800000000</v>
          </cell>
          <cell r="AV106">
            <v>834443200000000</v>
          </cell>
          <cell r="AW106">
            <v>906864700000000</v>
          </cell>
          <cell r="AX106">
            <v>950685400000000</v>
          </cell>
          <cell r="AY106">
            <v>1002664700000000</v>
          </cell>
          <cell r="AZ106">
            <v>1086897300000000</v>
          </cell>
          <cell r="BA106">
            <v>1154509700000000</v>
          </cell>
          <cell r="BB106">
            <v>1203479800000000</v>
          </cell>
          <cell r="BC106">
            <v>1324586900000000</v>
          </cell>
          <cell r="BD106">
            <v>1397534800000000</v>
          </cell>
          <cell r="BE106">
            <v>1455170300000000</v>
          </cell>
          <cell r="BF106">
            <v>1510384900000000</v>
          </cell>
          <cell r="BG106">
            <v>1570493300000000</v>
          </cell>
          <cell r="BH106">
            <v>1663206600000000</v>
          </cell>
          <cell r="BI106">
            <v>1747143500000000</v>
          </cell>
          <cell r="BJ106">
            <v>1843180900000000</v>
          </cell>
          <cell r="BK106">
            <v>1905837500000000</v>
          </cell>
          <cell r="BL106">
            <v>1941107900000000</v>
          </cell>
          <cell r="BM106">
            <v>1948020700000000</v>
          </cell>
        </row>
        <row r="107">
          <cell r="B107" t="str">
            <v>XKX</v>
          </cell>
          <cell r="C107" t="str">
            <v>GNI (current LCU)</v>
          </cell>
          <cell r="D107" t="str">
            <v>NY.GNP.MKTP.CN</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v>3701589000</v>
          </cell>
          <cell r="BB107">
            <v>3672238100</v>
          </cell>
          <cell r="BC107">
            <v>4098013300</v>
          </cell>
          <cell r="BD107">
            <v>4667214300</v>
          </cell>
          <cell r="BE107">
            <v>4950885500</v>
          </cell>
          <cell r="BF107">
            <v>5192863300</v>
          </cell>
          <cell r="BG107">
            <v>5438868900</v>
          </cell>
          <cell r="BH107">
            <v>5767061700</v>
          </cell>
          <cell r="BI107">
            <v>6111776100</v>
          </cell>
          <cell r="BJ107">
            <v>6483835400</v>
          </cell>
          <cell r="BK107">
            <v>6784600000</v>
          </cell>
          <cell r="BL107">
            <v>7216787000</v>
          </cell>
          <cell r="BM107">
            <v>6935587000</v>
          </cell>
        </row>
        <row r="108">
          <cell r="B108" t="str">
            <v>KWT</v>
          </cell>
          <cell r="C108" t="str">
            <v>GNI (current LCU)</v>
          </cell>
          <cell r="D108" t="str">
            <v>NY.GNP.MKTP.CN</v>
          </cell>
          <cell r="E108" t="str">
            <v>..</v>
          </cell>
          <cell r="F108" t="str">
            <v>..</v>
          </cell>
          <cell r="G108" t="str">
            <v>..</v>
          </cell>
          <cell r="H108" t="str">
            <v>..</v>
          </cell>
          <cell r="I108" t="str">
            <v>..</v>
          </cell>
          <cell r="J108">
            <v>591000000</v>
          </cell>
          <cell r="K108">
            <v>682000000</v>
          </cell>
          <cell r="L108">
            <v>734000000</v>
          </cell>
          <cell r="M108">
            <v>793000000</v>
          </cell>
          <cell r="N108">
            <v>840000000</v>
          </cell>
          <cell r="O108">
            <v>851300000</v>
          </cell>
          <cell r="P108">
            <v>1115800100</v>
          </cell>
          <cell r="Q108">
            <v>1102400000</v>
          </cell>
          <cell r="R108">
            <v>1262100000</v>
          </cell>
          <cell r="S108">
            <v>3532000000</v>
          </cell>
          <cell r="T108">
            <v>3821000100</v>
          </cell>
          <cell r="U108">
            <v>4280700000</v>
          </cell>
          <cell r="V108">
            <v>4557300100</v>
          </cell>
          <cell r="W108">
            <v>4981300000</v>
          </cell>
          <cell r="X108">
            <v>7712799800</v>
          </cell>
          <cell r="Y108">
            <v>9051000200</v>
          </cell>
          <cell r="Z108">
            <v>9100800200</v>
          </cell>
          <cell r="AA108">
            <v>7947299800</v>
          </cell>
          <cell r="AB108">
            <v>7549440100</v>
          </cell>
          <cell r="AC108">
            <v>7909569900</v>
          </cell>
          <cell r="AD108">
            <v>7852940000</v>
          </cell>
          <cell r="AE108">
            <v>7451809900</v>
          </cell>
          <cell r="AF108">
            <v>7789330200</v>
          </cell>
          <cell r="AG108">
            <v>7798199900</v>
          </cell>
          <cell r="AH108">
            <v>9615900200</v>
          </cell>
          <cell r="AI108">
            <v>7539200000</v>
          </cell>
          <cell r="AJ108">
            <v>4667799900</v>
          </cell>
          <cell r="AK108">
            <v>7364500100</v>
          </cell>
          <cell r="AL108">
            <v>8385300200</v>
          </cell>
          <cell r="AM108">
            <v>8320999700</v>
          </cell>
          <cell r="AN108">
            <v>9570500000</v>
          </cell>
          <cell r="AO108">
            <v>10980100000</v>
          </cell>
          <cell r="AP108">
            <v>11110700000</v>
          </cell>
          <cell r="AQ108">
            <v>9694500000</v>
          </cell>
          <cell r="AR108">
            <v>10724700000</v>
          </cell>
          <cell r="AS108">
            <v>13625300000</v>
          </cell>
          <cell r="AT108">
            <v>12203000000</v>
          </cell>
          <cell r="AU108">
            <v>12606000000</v>
          </cell>
          <cell r="AV108">
            <v>15268200000</v>
          </cell>
          <cell r="AW108">
            <v>19322700000</v>
          </cell>
          <cell r="AX108">
            <v>26179200000</v>
          </cell>
          <cell r="AY108">
            <v>33290500000</v>
          </cell>
          <cell r="AZ108">
            <v>36103600000</v>
          </cell>
          <cell r="BA108">
            <v>42507800000</v>
          </cell>
          <cell r="BB108">
            <v>32490200000</v>
          </cell>
          <cell r="BC108">
            <v>35779200000</v>
          </cell>
          <cell r="BD108">
            <v>45003800000</v>
          </cell>
          <cell r="BE108">
            <v>51283300000</v>
          </cell>
          <cell r="BF108">
            <v>53151100000</v>
          </cell>
          <cell r="BG108">
            <v>50735900000</v>
          </cell>
          <cell r="BH108">
            <v>38292300000</v>
          </cell>
          <cell r="BI108">
            <v>36916700000</v>
          </cell>
          <cell r="BJ108">
            <v>42306433700</v>
          </cell>
          <cell r="BK108">
            <v>47268091100</v>
          </cell>
          <cell r="BL108">
            <v>46897667900</v>
          </cell>
          <cell r="BM108" t="str">
            <v>..</v>
          </cell>
        </row>
        <row r="109">
          <cell r="B109" t="str">
            <v>KGZ</v>
          </cell>
          <cell r="C109" t="str">
            <v>GNI (current LCU)</v>
          </cell>
          <cell r="D109" t="str">
            <v>NY.GNP.MKTP.CN</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v>92390000</v>
          </cell>
          <cell r="AK109">
            <v>741300000</v>
          </cell>
          <cell r="AL109">
            <v>5339698000</v>
          </cell>
          <cell r="AM109">
            <v>11780639600</v>
          </cell>
          <cell r="AN109">
            <v>15761788900</v>
          </cell>
          <cell r="AO109">
            <v>22894842100</v>
          </cell>
          <cell r="AP109">
            <v>29564405500</v>
          </cell>
          <cell r="AQ109">
            <v>32536669400</v>
          </cell>
          <cell r="AR109">
            <v>45856187000</v>
          </cell>
          <cell r="AS109">
            <v>61444889600</v>
          </cell>
          <cell r="AT109">
            <v>71020430100</v>
          </cell>
          <cell r="AU109">
            <v>72653743100</v>
          </cell>
          <cell r="AV109">
            <v>81161652800</v>
          </cell>
          <cell r="AW109">
            <v>89994807700</v>
          </cell>
          <cell r="AX109">
            <v>97286060400</v>
          </cell>
          <cell r="AY109">
            <v>111868745500</v>
          </cell>
          <cell r="AZ109">
            <v>140013226900</v>
          </cell>
          <cell r="BA109">
            <v>180431930200</v>
          </cell>
          <cell r="BB109">
            <v>193440096300</v>
          </cell>
          <cell r="BC109">
            <v>206345592100</v>
          </cell>
          <cell r="BD109">
            <v>255584884300</v>
          </cell>
          <cell r="BE109">
            <v>302513438200</v>
          </cell>
          <cell r="BF109">
            <v>334805483700</v>
          </cell>
          <cell r="BG109">
            <v>384125613900</v>
          </cell>
          <cell r="BH109">
            <v>413684130500</v>
          </cell>
          <cell r="BI109">
            <v>451315935000</v>
          </cell>
          <cell r="BJ109">
            <v>504884834300</v>
          </cell>
          <cell r="BK109">
            <v>552106630600</v>
          </cell>
          <cell r="BL109">
            <v>564715397800</v>
          </cell>
          <cell r="BM109">
            <v>572848441800</v>
          </cell>
        </row>
        <row r="110">
          <cell r="B110" t="str">
            <v>LAO</v>
          </cell>
          <cell r="C110" t="str">
            <v>GNI (current LCU)</v>
          </cell>
          <cell r="D110" t="str">
            <v>NY.GNP.MKTP.CN</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v>61499998200</v>
          </cell>
          <cell r="AD110">
            <v>106499997700</v>
          </cell>
          <cell r="AE110">
            <v>168799993900</v>
          </cell>
          <cell r="AF110">
            <v>190400004100</v>
          </cell>
          <cell r="AG110">
            <v>234800005100</v>
          </cell>
          <cell r="AH110">
            <v>416300007400</v>
          </cell>
          <cell r="AI110">
            <v>612599988200</v>
          </cell>
          <cell r="AJ110">
            <v>721800003600</v>
          </cell>
          <cell r="AK110">
            <v>807599996900</v>
          </cell>
          <cell r="AL110">
            <v>950999973900</v>
          </cell>
          <cell r="AM110">
            <v>1106499993600</v>
          </cell>
          <cell r="AN110">
            <v>1414270025700</v>
          </cell>
          <cell r="AO110">
            <v>1719239049200</v>
          </cell>
          <cell r="AP110">
            <v>2147739925500</v>
          </cell>
          <cell r="AQ110">
            <v>4100409270300</v>
          </cell>
          <cell r="AR110">
            <v>10167522426900</v>
          </cell>
          <cell r="AS110">
            <v>13080696420900</v>
          </cell>
          <cell r="AT110">
            <v>15089278000000</v>
          </cell>
          <cell r="AU110">
            <v>17035381800000</v>
          </cell>
          <cell r="AV110">
            <v>20085096267200</v>
          </cell>
          <cell r="AW110">
            <v>24022486858200</v>
          </cell>
          <cell r="AX110">
            <v>28447389063200</v>
          </cell>
          <cell r="AY110">
            <v>33145421953700</v>
          </cell>
          <cell r="AZ110">
            <v>39136623329800</v>
          </cell>
          <cell r="BA110">
            <v>45368572521000</v>
          </cell>
          <cell r="BB110">
            <v>48267787894300</v>
          </cell>
          <cell r="BC110">
            <v>55134523502300</v>
          </cell>
          <cell r="BD110">
            <v>65496778857800</v>
          </cell>
          <cell r="BE110">
            <v>76738364284200</v>
          </cell>
          <cell r="BF110">
            <v>88817294309200</v>
          </cell>
          <cell r="BG110">
            <v>102085685872300</v>
          </cell>
          <cell r="BH110">
            <v>112037689404200</v>
          </cell>
          <cell r="BI110">
            <v>123721178314900</v>
          </cell>
          <cell r="BJ110">
            <v>133320624304800</v>
          </cell>
          <cell r="BK110">
            <v>145301678000000</v>
          </cell>
          <cell r="BL110">
            <v>154268589104100</v>
          </cell>
          <cell r="BM110">
            <v>163812399305800</v>
          </cell>
        </row>
        <row r="111">
          <cell r="B111" t="str">
            <v>LVA</v>
          </cell>
          <cell r="C111" t="str">
            <v>GNI (current LCU)</v>
          </cell>
          <cell r="D111" t="str">
            <v>NY.GNP.MKTP.CN</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v>4088900000</v>
          </cell>
          <cell r="AO111">
            <v>4712122000</v>
          </cell>
          <cell r="AP111">
            <v>5436102000</v>
          </cell>
          <cell r="AQ111">
            <v>6053939000</v>
          </cell>
          <cell r="AR111">
            <v>6213031000</v>
          </cell>
          <cell r="AS111">
            <v>6859992000</v>
          </cell>
          <cell r="AT111">
            <v>7493540000</v>
          </cell>
          <cell r="AU111">
            <v>8420717000</v>
          </cell>
          <cell r="AV111">
            <v>9525231000</v>
          </cell>
          <cell r="AW111">
            <v>10867793000</v>
          </cell>
          <cell r="AX111">
            <v>13521007000</v>
          </cell>
          <cell r="AY111">
            <v>16769977000</v>
          </cell>
          <cell r="AZ111">
            <v>22029483000</v>
          </cell>
          <cell r="BA111">
            <v>24216737000</v>
          </cell>
          <cell r="BB111">
            <v>20323386000</v>
          </cell>
          <cell r="BC111">
            <v>18269516000</v>
          </cell>
          <cell r="BD111">
            <v>19742704000</v>
          </cell>
          <cell r="BE111">
            <v>21770823000</v>
          </cell>
          <cell r="BF111">
            <v>22697844000</v>
          </cell>
          <cell r="BG111">
            <v>23655963000</v>
          </cell>
          <cell r="BH111">
            <v>24456848000</v>
          </cell>
          <cell r="BI111">
            <v>25335060000</v>
          </cell>
          <cell r="BJ111">
            <v>26916639000</v>
          </cell>
          <cell r="BK111">
            <v>28680869000</v>
          </cell>
          <cell r="BL111">
            <v>30188847000</v>
          </cell>
          <cell r="BM111">
            <v>29503627000</v>
          </cell>
        </row>
        <row r="112">
          <cell r="B112" t="str">
            <v>LBN</v>
          </cell>
          <cell r="C112" t="str">
            <v>GNI (current LCU)</v>
          </cell>
          <cell r="D112" t="str">
            <v>NY.GNP.MKTP.CN</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v>1692723052600</v>
          </cell>
          <cell r="AI112">
            <v>2405551570900</v>
          </cell>
          <cell r="AJ112">
            <v>4447452459300</v>
          </cell>
          <cell r="AK112">
            <v>10424105324800</v>
          </cell>
          <cell r="AL112">
            <v>14127011986600</v>
          </cell>
          <cell r="AM112">
            <v>16676518093300</v>
          </cell>
          <cell r="AN112">
            <v>19798583881900</v>
          </cell>
          <cell r="AO112">
            <v>22139612577500</v>
          </cell>
          <cell r="AP112">
            <v>24739475140000</v>
          </cell>
          <cell r="AQ112">
            <v>26371832890000</v>
          </cell>
          <cell r="AR112">
            <v>26536630720000</v>
          </cell>
          <cell r="AS112">
            <v>26503907500000</v>
          </cell>
          <cell r="AT112">
            <v>26495445000000</v>
          </cell>
          <cell r="AU112">
            <v>27559902150000</v>
          </cell>
          <cell r="AV112">
            <v>25268155325000</v>
          </cell>
          <cell r="AW112">
            <v>30670627173030.699</v>
          </cell>
          <cell r="AX112">
            <v>32108719622161.398</v>
          </cell>
          <cell r="AY112">
            <v>33426716851215.5</v>
          </cell>
          <cell r="AZ112">
            <v>38550355334577.203</v>
          </cell>
          <cell r="BA112">
            <v>44549332629219.5</v>
          </cell>
          <cell r="BB112">
            <v>53024628514898</v>
          </cell>
          <cell r="BC112">
            <v>57187641191267.602</v>
          </cell>
          <cell r="BD112">
            <v>59829292111519.898</v>
          </cell>
          <cell r="BE112">
            <v>66076456428730.398</v>
          </cell>
          <cell r="BF112">
            <v>70276720297246</v>
          </cell>
          <cell r="BG112">
            <v>71783289562214.297</v>
          </cell>
          <cell r="BH112">
            <v>74666472311701.297</v>
          </cell>
          <cell r="BI112">
            <v>76241065542377.797</v>
          </cell>
          <cell r="BJ112">
            <v>80071723883107.406</v>
          </cell>
          <cell r="BK112">
            <v>82855418297110.797</v>
          </cell>
          <cell r="BL112">
            <v>79774549206113.703</v>
          </cell>
          <cell r="BM112">
            <v>114345889349400</v>
          </cell>
        </row>
        <row r="113">
          <cell r="B113" t="str">
            <v>LSO</v>
          </cell>
          <cell r="C113" t="str">
            <v>GNI (current LCU)</v>
          </cell>
          <cell r="D113" t="str">
            <v>NY.GNP.MKTP.CN</v>
          </cell>
          <cell r="E113" t="str">
            <v>..</v>
          </cell>
          <cell r="F113" t="str">
            <v>..</v>
          </cell>
          <cell r="G113" t="str">
            <v>..</v>
          </cell>
          <cell r="H113" t="str">
            <v>..</v>
          </cell>
          <cell r="I113" t="str">
            <v>..</v>
          </cell>
          <cell r="J113" t="str">
            <v>..</v>
          </cell>
          <cell r="K113">
            <v>51300000</v>
          </cell>
          <cell r="L113">
            <v>52930000</v>
          </cell>
          <cell r="M113">
            <v>55590000</v>
          </cell>
          <cell r="N113">
            <v>59620000</v>
          </cell>
          <cell r="O113">
            <v>63200000</v>
          </cell>
          <cell r="P113">
            <v>70200000</v>
          </cell>
          <cell r="Q113">
            <v>82900000</v>
          </cell>
          <cell r="R113">
            <v>113800000</v>
          </cell>
          <cell r="S113">
            <v>162600000</v>
          </cell>
          <cell r="T113">
            <v>185537700</v>
          </cell>
          <cell r="U113">
            <v>248900000</v>
          </cell>
          <cell r="V113">
            <v>312100000</v>
          </cell>
          <cell r="W113">
            <v>386400000</v>
          </cell>
          <cell r="X113">
            <v>424200000</v>
          </cell>
          <cell r="Y113">
            <v>541100000</v>
          </cell>
          <cell r="Z113">
            <v>635800000</v>
          </cell>
          <cell r="AA113">
            <v>754668900</v>
          </cell>
          <cell r="AB113">
            <v>857096400</v>
          </cell>
          <cell r="AC113">
            <v>981883600</v>
          </cell>
          <cell r="AD113">
            <v>1117990100</v>
          </cell>
          <cell r="AE113">
            <v>1342858200</v>
          </cell>
          <cell r="AF113">
            <v>1504495300</v>
          </cell>
          <cell r="AG113">
            <v>1841731500</v>
          </cell>
          <cell r="AH113">
            <v>2137660800</v>
          </cell>
          <cell r="AI113">
            <v>2476743900</v>
          </cell>
          <cell r="AJ113">
            <v>2981210100</v>
          </cell>
          <cell r="AK113">
            <v>3455992800</v>
          </cell>
          <cell r="AL113">
            <v>3815473400</v>
          </cell>
          <cell r="AM113">
            <v>4287579900</v>
          </cell>
          <cell r="AN113">
            <v>4857190300</v>
          </cell>
          <cell r="AO113">
            <v>5445883500</v>
          </cell>
          <cell r="AP113">
            <v>6090187100</v>
          </cell>
          <cell r="AQ113">
            <v>6590111400</v>
          </cell>
          <cell r="AR113">
            <v>7301576200</v>
          </cell>
          <cell r="AS113">
            <v>7845651700</v>
          </cell>
          <cell r="AT113">
            <v>10282593800</v>
          </cell>
          <cell r="AU113">
            <v>11840271600</v>
          </cell>
          <cell r="AV113">
            <v>12518658800</v>
          </cell>
          <cell r="AW113">
            <v>13389984300</v>
          </cell>
          <cell r="AX113">
            <v>13884956300</v>
          </cell>
          <cell r="AY113">
            <v>15191088900</v>
          </cell>
          <cell r="AZ113">
            <v>16518400000</v>
          </cell>
          <cell r="BA113">
            <v>19765442600</v>
          </cell>
          <cell r="BB113">
            <v>19430769100</v>
          </cell>
          <cell r="BC113">
            <v>21023200900</v>
          </cell>
          <cell r="BD113">
            <v>22426572400</v>
          </cell>
          <cell r="BE113">
            <v>23754573700</v>
          </cell>
          <cell r="BF113">
            <v>26235030800</v>
          </cell>
          <cell r="BG113">
            <v>29515241200</v>
          </cell>
          <cell r="BH113">
            <v>33672142400</v>
          </cell>
          <cell r="BI113">
            <v>35311909100</v>
          </cell>
          <cell r="BJ113">
            <v>34908703300</v>
          </cell>
          <cell r="BK113">
            <v>37913048300</v>
          </cell>
          <cell r="BL113">
            <v>38871862800</v>
          </cell>
          <cell r="BM113">
            <v>34563719200</v>
          </cell>
        </row>
        <row r="114">
          <cell r="B114" t="str">
            <v>LBR</v>
          </cell>
          <cell r="C114" t="str">
            <v>GNI (current LCU)</v>
          </cell>
          <cell r="D114" t="str">
            <v>NY.GNP.MKTP.CN</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v>772600000</v>
          </cell>
          <cell r="AT114">
            <v>749500300</v>
          </cell>
          <cell r="AU114">
            <v>763200400</v>
          </cell>
          <cell r="AV114">
            <v>595100100</v>
          </cell>
          <cell r="AW114">
            <v>730700200</v>
          </cell>
          <cell r="AX114">
            <v>793400200</v>
          </cell>
          <cell r="AY114">
            <v>966999900</v>
          </cell>
          <cell r="AZ114">
            <v>1218799900</v>
          </cell>
          <cell r="BA114">
            <v>1566400000</v>
          </cell>
          <cell r="BB114">
            <v>1623399900</v>
          </cell>
          <cell r="BC114">
            <v>1818599900</v>
          </cell>
          <cell r="BD114">
            <v>2273155200</v>
          </cell>
          <cell r="BE114">
            <v>2529644000</v>
          </cell>
          <cell r="BF114">
            <v>2875704600</v>
          </cell>
          <cell r="BG114">
            <v>2892652000</v>
          </cell>
          <cell r="BH114">
            <v>2947075700</v>
          </cell>
          <cell r="BI114">
            <v>3117419600</v>
          </cell>
          <cell r="BJ114">
            <v>3087813500</v>
          </cell>
          <cell r="BK114">
            <v>2985754800</v>
          </cell>
          <cell r="BL114">
            <v>2965834700</v>
          </cell>
          <cell r="BM114">
            <v>2840688200</v>
          </cell>
        </row>
        <row r="115">
          <cell r="B115" t="str">
            <v>LBY</v>
          </cell>
          <cell r="C115" t="str">
            <v>GNI (current LCU)</v>
          </cell>
          <cell r="D115" t="str">
            <v>NY.GNP.MKTP.CN</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v>26348550000</v>
          </cell>
          <cell r="AV115">
            <v>34311200000</v>
          </cell>
          <cell r="AW115">
            <v>42739200000</v>
          </cell>
          <cell r="AX115">
            <v>61552650000</v>
          </cell>
          <cell r="AY115">
            <v>73400500000</v>
          </cell>
          <cell r="AZ115">
            <v>86297000000</v>
          </cell>
          <cell r="BA115">
            <v>107488000000</v>
          </cell>
          <cell r="BB115">
            <v>79727000000</v>
          </cell>
          <cell r="BC115">
            <v>94686000000</v>
          </cell>
          <cell r="BD115">
            <v>42547000000</v>
          </cell>
          <cell r="BE115">
            <v>100862521800</v>
          </cell>
          <cell r="BF115">
            <v>82773000000</v>
          </cell>
          <cell r="BG115">
            <v>53090700000</v>
          </cell>
          <cell r="BH115">
            <v>40096652000</v>
          </cell>
          <cell r="BI115">
            <v>37468408000</v>
          </cell>
          <cell r="BJ115">
            <v>54588665000</v>
          </cell>
          <cell r="BK115">
            <v>73056268100</v>
          </cell>
          <cell r="BL115">
            <v>74898121700</v>
          </cell>
          <cell r="BM115">
            <v>37638885500</v>
          </cell>
        </row>
        <row r="116">
          <cell r="B116" t="str">
            <v>LIE</v>
          </cell>
          <cell r="C116" t="str">
            <v>GNI (current LCU)</v>
          </cell>
          <cell r="D116" t="str">
            <v>NY.GNP.MKTP.CN</v>
          </cell>
          <cell r="E116" t="str">
            <v>..</v>
          </cell>
          <cell r="F116" t="str">
            <v>..</v>
          </cell>
          <cell r="G116" t="str">
            <v>..</v>
          </cell>
          <cell r="H116" t="str">
            <v>..</v>
          </cell>
          <cell r="I116" t="str">
            <v>..</v>
          </cell>
          <cell r="J116" t="str">
            <v>..</v>
          </cell>
          <cell r="K116" t="str">
            <v>..</v>
          </cell>
          <cell r="L116" t="str">
            <v>..</v>
          </cell>
          <cell r="M116" t="str">
            <v>..</v>
          </cell>
          <cell r="N116" t="str">
            <v>..</v>
          </cell>
          <cell r="O116">
            <v>387271000</v>
          </cell>
          <cell r="P116">
            <v>426193800</v>
          </cell>
          <cell r="Q116">
            <v>469028600</v>
          </cell>
          <cell r="R116">
            <v>516168500</v>
          </cell>
          <cell r="S116">
            <v>568046200</v>
          </cell>
          <cell r="T116">
            <v>625137900</v>
          </cell>
          <cell r="U116">
            <v>669492900</v>
          </cell>
          <cell r="V116">
            <v>716995100</v>
          </cell>
          <cell r="W116">
            <v>767867600</v>
          </cell>
          <cell r="X116">
            <v>822349700</v>
          </cell>
          <cell r="Y116">
            <v>880697400</v>
          </cell>
          <cell r="Z116">
            <v>987835800</v>
          </cell>
          <cell r="AA116">
            <v>1041896500</v>
          </cell>
          <cell r="AB116">
            <v>1081213300</v>
          </cell>
          <cell r="AC116">
            <v>1160829900</v>
          </cell>
          <cell r="AD116">
            <v>1277797600</v>
          </cell>
          <cell r="AE116">
            <v>1378055500</v>
          </cell>
          <cell r="AF116">
            <v>1543186300</v>
          </cell>
          <cell r="AG116">
            <v>1670966000</v>
          </cell>
          <cell r="AH116">
            <v>1800917500</v>
          </cell>
          <cell r="AI116">
            <v>1940975400</v>
          </cell>
          <cell r="AJ116">
            <v>2091925600</v>
          </cell>
          <cell r="AK116">
            <v>2254615300</v>
          </cell>
          <cell r="AL116">
            <v>2429957300</v>
          </cell>
          <cell r="AM116">
            <v>2618935800</v>
          </cell>
          <cell r="AN116">
            <v>2822611200</v>
          </cell>
          <cell r="AO116">
            <v>3042126500</v>
          </cell>
          <cell r="AP116">
            <v>3278713500</v>
          </cell>
          <cell r="AQ116">
            <v>3533700000</v>
          </cell>
          <cell r="AR116">
            <v>3869400000</v>
          </cell>
          <cell r="AS116">
            <v>4111900000</v>
          </cell>
          <cell r="AT116">
            <v>3782000000</v>
          </cell>
          <cell r="AU116">
            <v>3698400000</v>
          </cell>
          <cell r="AV116">
            <v>3538100000</v>
          </cell>
          <cell r="AW116">
            <v>3554100000</v>
          </cell>
          <cell r="AX116">
            <v>3892600000</v>
          </cell>
          <cell r="AY116">
            <v>4396900000</v>
          </cell>
          <cell r="AZ116">
            <v>4946200000</v>
          </cell>
          <cell r="BA116">
            <v>4949400000</v>
          </cell>
          <cell r="BB116">
            <v>4210200000</v>
          </cell>
          <cell r="BC116">
            <v>4469800000</v>
          </cell>
          <cell r="BD116">
            <v>4024700000</v>
          </cell>
          <cell r="BE116">
            <v>3570600000</v>
          </cell>
          <cell r="BF116">
            <v>4737000000</v>
          </cell>
          <cell r="BG116">
            <v>4923600000</v>
          </cell>
          <cell r="BH116">
            <v>4968300000</v>
          </cell>
          <cell r="BI116">
            <v>5898500000</v>
          </cell>
          <cell r="BJ116">
            <v>6645400000</v>
          </cell>
          <cell r="BK116">
            <v>6898600000</v>
          </cell>
          <cell r="BL116" t="str">
            <v>..</v>
          </cell>
          <cell r="BM116" t="str">
            <v>..</v>
          </cell>
        </row>
        <row r="117">
          <cell r="B117" t="str">
            <v>LTU</v>
          </cell>
          <cell r="C117" t="str">
            <v>GNI (current LCU)</v>
          </cell>
          <cell r="D117" t="str">
            <v>NY.GNP.MKTP.CN</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v>7747742000</v>
          </cell>
          <cell r="AO117">
            <v>9610281000</v>
          </cell>
          <cell r="AP117">
            <v>11500400000</v>
          </cell>
          <cell r="AQ117">
            <v>12729727000</v>
          </cell>
          <cell r="AR117">
            <v>12407793000</v>
          </cell>
          <cell r="AS117">
            <v>13111571000</v>
          </cell>
          <cell r="AT117">
            <v>13985463000</v>
          </cell>
          <cell r="AU117">
            <v>15021717000</v>
          </cell>
          <cell r="AV117">
            <v>16237112000</v>
          </cell>
          <cell r="AW117">
            <v>17792920000</v>
          </cell>
          <cell r="AX117">
            <v>20630542000</v>
          </cell>
          <cell r="AY117">
            <v>23566739000</v>
          </cell>
          <cell r="AZ117">
            <v>27876219000</v>
          </cell>
          <cell r="BA117">
            <v>31628455000</v>
          </cell>
          <cell r="BB117">
            <v>27504753000</v>
          </cell>
          <cell r="BC117">
            <v>27851558000</v>
          </cell>
          <cell r="BD117">
            <v>30401187000</v>
          </cell>
          <cell r="BE117">
            <v>32365041000</v>
          </cell>
          <cell r="BF117">
            <v>34265562000</v>
          </cell>
          <cell r="BG117">
            <v>36149355000</v>
          </cell>
          <cell r="BH117">
            <v>35998400000</v>
          </cell>
          <cell r="BI117">
            <v>37503952000</v>
          </cell>
          <cell r="BJ117">
            <v>40747750000</v>
          </cell>
          <cell r="BK117">
            <v>44103315000</v>
          </cell>
          <cell r="BL117">
            <v>47156635000</v>
          </cell>
          <cell r="BM117">
            <v>48075602000</v>
          </cell>
        </row>
        <row r="118">
          <cell r="B118" t="str">
            <v>LUX</v>
          </cell>
          <cell r="C118" t="str">
            <v>GNI (current LCU)</v>
          </cell>
          <cell r="D118" t="str">
            <v>NY.GNP.MKTP.CN</v>
          </cell>
          <cell r="E118">
            <v>609862272</v>
          </cell>
          <cell r="F118">
            <v>611257152</v>
          </cell>
          <cell r="G118">
            <v>644898816</v>
          </cell>
          <cell r="H118">
            <v>688534976</v>
          </cell>
          <cell r="I118">
            <v>784014848</v>
          </cell>
          <cell r="J118">
            <v>800734784</v>
          </cell>
          <cell r="K118">
            <v>839189440</v>
          </cell>
          <cell r="L118">
            <v>845894080</v>
          </cell>
          <cell r="M118">
            <v>926400512</v>
          </cell>
          <cell r="N118">
            <v>1074460288</v>
          </cell>
          <cell r="O118">
            <v>1362533000</v>
          </cell>
          <cell r="P118">
            <v>1393678000</v>
          </cell>
          <cell r="Q118">
            <v>1593704000</v>
          </cell>
          <cell r="R118">
            <v>1920846000</v>
          </cell>
          <cell r="S118">
            <v>2375964000</v>
          </cell>
          <cell r="T118">
            <v>2358837000</v>
          </cell>
          <cell r="U118">
            <v>2786159000</v>
          </cell>
          <cell r="V118">
            <v>2918513000</v>
          </cell>
          <cell r="W118">
            <v>3193699000</v>
          </cell>
          <cell r="X118">
            <v>3476492000</v>
          </cell>
          <cell r="Y118">
            <v>3849585000</v>
          </cell>
          <cell r="Z118">
            <v>4264565000</v>
          </cell>
          <cell r="AA118">
            <v>5237139000</v>
          </cell>
          <cell r="AB118">
            <v>5905464000</v>
          </cell>
          <cell r="AC118">
            <v>6467868000</v>
          </cell>
          <cell r="AD118">
            <v>6906348000</v>
          </cell>
          <cell r="AE118">
            <v>7402244000</v>
          </cell>
          <cell r="AF118">
            <v>7786676000</v>
          </cell>
          <cell r="AG118">
            <v>8515038000</v>
          </cell>
          <cell r="AH118">
            <v>9626103000</v>
          </cell>
          <cell r="AI118">
            <v>10556518000</v>
          </cell>
          <cell r="AJ118">
            <v>11764772000</v>
          </cell>
          <cell r="AK118">
            <v>12360109000</v>
          </cell>
          <cell r="AL118">
            <v>13390804000</v>
          </cell>
          <cell r="AM118">
            <v>13867603000</v>
          </cell>
          <cell r="AN118">
            <v>14842971000</v>
          </cell>
          <cell r="AO118">
            <v>15598668000</v>
          </cell>
          <cell r="AP118">
            <v>16764306000</v>
          </cell>
          <cell r="AQ118">
            <v>16994102000</v>
          </cell>
          <cell r="AR118">
            <v>18954478000</v>
          </cell>
          <cell r="AS118">
            <v>20335908000</v>
          </cell>
          <cell r="AT118">
            <v>21269416000</v>
          </cell>
          <cell r="AU118">
            <v>21098713000</v>
          </cell>
          <cell r="AV118">
            <v>21234829000</v>
          </cell>
          <cell r="AW118">
            <v>25437258000</v>
          </cell>
          <cell r="AX118">
            <v>27577991000</v>
          </cell>
          <cell r="AY118">
            <v>27365806000</v>
          </cell>
          <cell r="AZ118">
            <v>32002683000</v>
          </cell>
          <cell r="BA118">
            <v>31316583000</v>
          </cell>
          <cell r="BB118">
            <v>24904350000</v>
          </cell>
          <cell r="BC118">
            <v>28816900000</v>
          </cell>
          <cell r="BD118">
            <v>30725300000</v>
          </cell>
          <cell r="BE118">
            <v>35737800000</v>
          </cell>
          <cell r="BF118">
            <v>35222500000</v>
          </cell>
          <cell r="BG118">
            <v>37621300000</v>
          </cell>
          <cell r="BH118">
            <v>34842300000</v>
          </cell>
          <cell r="BI118">
            <v>37244300000</v>
          </cell>
          <cell r="BJ118">
            <v>41632200000</v>
          </cell>
          <cell r="BK118">
            <v>42739000000</v>
          </cell>
          <cell r="BL118">
            <v>41512400000</v>
          </cell>
          <cell r="BM118">
            <v>45354700000</v>
          </cell>
        </row>
        <row r="119">
          <cell r="B119" t="str">
            <v>MAC</v>
          </cell>
          <cell r="C119" t="str">
            <v>GNI (current LCU)</v>
          </cell>
          <cell r="D119" t="str">
            <v>NY.GNP.MKTP.CN</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v>7158700000</v>
          </cell>
          <cell r="AB119">
            <v>8565115900</v>
          </cell>
          <cell r="AC119">
            <v>10651328500</v>
          </cell>
          <cell r="AD119">
            <v>10950130700</v>
          </cell>
          <cell r="AE119">
            <v>12471474200</v>
          </cell>
          <cell r="AF119">
            <v>16028366800</v>
          </cell>
          <cell r="AG119">
            <v>18717575200</v>
          </cell>
          <cell r="AH119">
            <v>22061486100</v>
          </cell>
          <cell r="AI119">
            <v>26175252500</v>
          </cell>
          <cell r="AJ119">
            <v>30326915100</v>
          </cell>
          <cell r="AK119">
            <v>39519404000</v>
          </cell>
          <cell r="AL119">
            <v>45193019400</v>
          </cell>
          <cell r="AM119">
            <v>50114039800</v>
          </cell>
          <cell r="AN119">
            <v>55333204000</v>
          </cell>
          <cell r="AO119">
            <v>55293501400</v>
          </cell>
          <cell r="AP119">
            <v>55894298600</v>
          </cell>
          <cell r="AQ119">
            <v>51901698000</v>
          </cell>
          <cell r="AR119">
            <v>49021700000</v>
          </cell>
          <cell r="AS119">
            <v>49742000000</v>
          </cell>
          <cell r="AT119">
            <v>54718200000</v>
          </cell>
          <cell r="AU119">
            <v>58564000000</v>
          </cell>
          <cell r="AV119">
            <v>64483800000</v>
          </cell>
          <cell r="AW119">
            <v>80433600000</v>
          </cell>
          <cell r="AX119">
            <v>90639800000</v>
          </cell>
          <cell r="AY119">
            <v>105996100000</v>
          </cell>
          <cell r="AZ119">
            <v>145095700000</v>
          </cell>
          <cell r="BA119">
            <v>147779800000</v>
          </cell>
          <cell r="BB119">
            <v>153791700000</v>
          </cell>
          <cell r="BC119">
            <v>199331500000</v>
          </cell>
          <cell r="BD119">
            <v>252890200000</v>
          </cell>
          <cell r="BE119">
            <v>290447000000</v>
          </cell>
          <cell r="BF119">
            <v>341801000000</v>
          </cell>
          <cell r="BG119">
            <v>368419000000</v>
          </cell>
          <cell r="BH119">
            <v>321283400000</v>
          </cell>
          <cell r="BI119">
            <v>324904600000</v>
          </cell>
          <cell r="BJ119">
            <v>360352500000</v>
          </cell>
          <cell r="BK119">
            <v>394889800000</v>
          </cell>
          <cell r="BL119">
            <v>394473600000</v>
          </cell>
          <cell r="BM119" t="str">
            <v>..</v>
          </cell>
        </row>
        <row r="120">
          <cell r="B120" t="str">
            <v>MDG</v>
          </cell>
          <cell r="C120" t="str">
            <v>GNI (current LCU)</v>
          </cell>
          <cell r="D120" t="str">
            <v>NY.GNP.MKTP.CN</v>
          </cell>
          <cell r="E120">
            <v>32130060300</v>
          </cell>
          <cell r="F120">
            <v>33377701900</v>
          </cell>
          <cell r="G120">
            <v>35278557200</v>
          </cell>
          <cell r="H120">
            <v>36248989700</v>
          </cell>
          <cell r="I120">
            <v>38318456800</v>
          </cell>
          <cell r="J120">
            <v>39793298500</v>
          </cell>
          <cell r="K120">
            <v>44446602800</v>
          </cell>
          <cell r="L120">
            <v>47219785300</v>
          </cell>
          <cell r="M120">
            <v>50934109100</v>
          </cell>
          <cell r="N120">
            <v>54611402000</v>
          </cell>
          <cell r="O120">
            <v>61588063500</v>
          </cell>
          <cell r="P120">
            <v>66117326100</v>
          </cell>
          <cell r="Q120">
            <v>67515016600</v>
          </cell>
          <cell r="R120">
            <v>73469279100</v>
          </cell>
          <cell r="S120">
            <v>91620827100</v>
          </cell>
          <cell r="T120">
            <v>97308676000</v>
          </cell>
          <cell r="U120">
            <v>103683953900</v>
          </cell>
          <cell r="V120">
            <v>115845202400</v>
          </cell>
          <cell r="W120">
            <v>120449678700</v>
          </cell>
          <cell r="X120">
            <v>146827037900</v>
          </cell>
          <cell r="Y120">
            <v>217952735653.01901</v>
          </cell>
          <cell r="Z120">
            <v>253850903046.44101</v>
          </cell>
          <cell r="AA120">
            <v>328031907651.78601</v>
          </cell>
          <cell r="AB120">
            <v>393286303177.81201</v>
          </cell>
          <cell r="AC120">
            <v>433625070799.42603</v>
          </cell>
          <cell r="AD120">
            <v>486752197057.41199</v>
          </cell>
          <cell r="AE120">
            <v>567165791562.40405</v>
          </cell>
          <cell r="AF120">
            <v>649697223658.52795</v>
          </cell>
          <cell r="AG120">
            <v>847127230652.51404</v>
          </cell>
          <cell r="AH120">
            <v>957675517766.55103</v>
          </cell>
          <cell r="AI120">
            <v>1126714178536.0701</v>
          </cell>
          <cell r="AJ120">
            <v>1135544030900</v>
          </cell>
          <cell r="AK120">
            <v>1330088810000</v>
          </cell>
          <cell r="AL120">
            <v>1497480072800</v>
          </cell>
          <cell r="AM120">
            <v>2065476675800</v>
          </cell>
          <cell r="AN120">
            <v>3132134949700</v>
          </cell>
          <cell r="AO120">
            <v>3873713771000</v>
          </cell>
          <cell r="AP120">
            <v>4208262054100</v>
          </cell>
          <cell r="AQ120">
            <v>4658379869500</v>
          </cell>
          <cell r="AR120">
            <v>5244084965400</v>
          </cell>
          <cell r="AS120">
            <v>6133476346500</v>
          </cell>
          <cell r="AT120">
            <v>7033892523000</v>
          </cell>
          <cell r="AU120">
            <v>7180325881300</v>
          </cell>
          <cell r="AV120">
            <v>7759049683000</v>
          </cell>
          <cell r="AW120">
            <v>9333073240700</v>
          </cell>
          <cell r="AX120">
            <v>11491098315000</v>
          </cell>
          <cell r="AY120">
            <v>13386599483300</v>
          </cell>
          <cell r="AZ120">
            <v>15830945724200</v>
          </cell>
          <cell r="BA120">
            <v>18177547420600</v>
          </cell>
          <cell r="BB120">
            <v>18589449500100</v>
          </cell>
          <cell r="BC120">
            <v>20552535779600</v>
          </cell>
          <cell r="BD120">
            <v>23080102894200</v>
          </cell>
          <cell r="BE120">
            <v>24716225428000</v>
          </cell>
          <cell r="BF120">
            <v>26607076510100</v>
          </cell>
          <cell r="BG120">
            <v>29527098475500</v>
          </cell>
          <cell r="BH120">
            <v>32119283890900</v>
          </cell>
          <cell r="BI120">
            <v>36313476865700</v>
          </cell>
          <cell r="BJ120">
            <v>39938025009600</v>
          </cell>
          <cell r="BK120">
            <v>44653286618400</v>
          </cell>
          <cell r="BL120">
            <v>49195574151600</v>
          </cell>
          <cell r="BM120">
            <v>47996829031800</v>
          </cell>
        </row>
        <row r="121">
          <cell r="B121" t="str">
            <v>MWI</v>
          </cell>
          <cell r="C121" t="str">
            <v>GNI (current LCU)</v>
          </cell>
          <cell r="D121" t="str">
            <v>NY.GNP.MKTP.CN</v>
          </cell>
          <cell r="E121">
            <v>114800000</v>
          </cell>
          <cell r="F121">
            <v>122500000</v>
          </cell>
          <cell r="G121">
            <v>129400000</v>
          </cell>
          <cell r="H121">
            <v>134700000</v>
          </cell>
          <cell r="I121">
            <v>133000000</v>
          </cell>
          <cell r="J121">
            <v>159600000</v>
          </cell>
          <cell r="K121">
            <v>180500000</v>
          </cell>
          <cell r="L121">
            <v>187600000</v>
          </cell>
          <cell r="M121">
            <v>197300000</v>
          </cell>
          <cell r="N121">
            <v>215700000</v>
          </cell>
          <cell r="O121">
            <v>236100000</v>
          </cell>
          <cell r="P121">
            <v>300300000</v>
          </cell>
          <cell r="Q121">
            <v>321800000</v>
          </cell>
          <cell r="R121">
            <v>364800000</v>
          </cell>
          <cell r="S121">
            <v>473900000</v>
          </cell>
          <cell r="T121">
            <v>537700000</v>
          </cell>
          <cell r="U121">
            <v>594000000</v>
          </cell>
          <cell r="V121">
            <v>705000000</v>
          </cell>
          <cell r="W121">
            <v>769200000</v>
          </cell>
          <cell r="X121">
            <v>808200000</v>
          </cell>
          <cell r="Y121">
            <v>924000000</v>
          </cell>
          <cell r="Z121">
            <v>1033900000</v>
          </cell>
          <cell r="AA121">
            <v>1171600000</v>
          </cell>
          <cell r="AB121">
            <v>1353699900</v>
          </cell>
          <cell r="AC121">
            <v>1628599900</v>
          </cell>
          <cell r="AD121">
            <v>1854000000</v>
          </cell>
          <cell r="AE121">
            <v>2090000000</v>
          </cell>
          <cell r="AF121">
            <v>2487400000</v>
          </cell>
          <cell r="AG121">
            <v>3396500000</v>
          </cell>
          <cell r="AH121">
            <v>4250599900</v>
          </cell>
          <cell r="AI121">
            <v>5014237500</v>
          </cell>
          <cell r="AJ121">
            <v>6046800100</v>
          </cell>
          <cell r="AK121">
            <v>6343700700</v>
          </cell>
          <cell r="AL121">
            <v>8932601100</v>
          </cell>
          <cell r="AM121">
            <v>9947239900</v>
          </cell>
          <cell r="AN121">
            <v>20634000300</v>
          </cell>
          <cell r="AO121">
            <v>34322179500</v>
          </cell>
          <cell r="AP121">
            <v>43116930800</v>
          </cell>
          <cell r="AQ121">
            <v>53107630500</v>
          </cell>
          <cell r="AR121">
            <v>76457001700</v>
          </cell>
          <cell r="AS121">
            <v>101650603400</v>
          </cell>
          <cell r="AT121">
            <v>121534024500</v>
          </cell>
          <cell r="AU121">
            <v>264663213800</v>
          </cell>
          <cell r="AV121">
            <v>308634682300</v>
          </cell>
          <cell r="AW121">
            <v>373570811500</v>
          </cell>
          <cell r="AX121">
            <v>428214550200</v>
          </cell>
          <cell r="AY121">
            <v>538642845100</v>
          </cell>
          <cell r="AZ121">
            <v>617491509200</v>
          </cell>
          <cell r="BA121">
            <v>744579576800</v>
          </cell>
          <cell r="BB121">
            <v>865669988400</v>
          </cell>
          <cell r="BC121">
            <v>1031008077200</v>
          </cell>
          <cell r="BD121">
            <v>1234660661400</v>
          </cell>
          <cell r="BE121">
            <v>1467904081900</v>
          </cell>
          <cell r="BF121">
            <v>1952093033300</v>
          </cell>
          <cell r="BG121">
            <v>2501446842300</v>
          </cell>
          <cell r="BH121">
            <v>3074293163400</v>
          </cell>
          <cell r="BI121">
            <v>3884347988600</v>
          </cell>
          <cell r="BJ121">
            <v>6386403754600</v>
          </cell>
          <cell r="BK121">
            <v>7000923721900</v>
          </cell>
          <cell r="BL121">
            <v>8011775207700</v>
          </cell>
          <cell r="BM121">
            <v>8900593718000</v>
          </cell>
        </row>
        <row r="122">
          <cell r="B122" t="str">
            <v>MYS</v>
          </cell>
          <cell r="C122" t="str">
            <v>GNI (current LCU)</v>
          </cell>
          <cell r="D122" t="str">
            <v>NY.GNP.MKTP.CN</v>
          </cell>
          <cell r="E122">
            <v>5616000000</v>
          </cell>
          <cell r="F122">
            <v>5633000000</v>
          </cell>
          <cell r="G122">
            <v>5985000000</v>
          </cell>
          <cell r="H122">
            <v>7513000000</v>
          </cell>
          <cell r="I122">
            <v>7960000000</v>
          </cell>
          <cell r="J122">
            <v>8776000000</v>
          </cell>
          <cell r="K122">
            <v>9344000000</v>
          </cell>
          <cell r="L122">
            <v>9647000000</v>
          </cell>
          <cell r="M122">
            <v>10074000000</v>
          </cell>
          <cell r="N122">
            <v>10939000000</v>
          </cell>
          <cell r="O122">
            <v>11644000000</v>
          </cell>
          <cell r="P122">
            <v>12592000000</v>
          </cell>
          <cell r="Q122">
            <v>13842000000</v>
          </cell>
          <cell r="R122">
            <v>18064000000</v>
          </cell>
          <cell r="S122">
            <v>21861000000</v>
          </cell>
          <cell r="T122">
            <v>21606000000</v>
          </cell>
          <cell r="U122">
            <v>26988000000</v>
          </cell>
          <cell r="V122">
            <v>31064000000</v>
          </cell>
          <cell r="W122">
            <v>36186000000</v>
          </cell>
          <cell r="X122">
            <v>44354000000</v>
          </cell>
          <cell r="Y122">
            <v>51390000000</v>
          </cell>
          <cell r="Z122">
            <v>55602000000</v>
          </cell>
          <cell r="AA122">
            <v>59710000000</v>
          </cell>
          <cell r="AB122">
            <v>66033000000</v>
          </cell>
          <cell r="AC122">
            <v>74182000000</v>
          </cell>
          <cell r="AD122">
            <v>71962000000</v>
          </cell>
          <cell r="AE122">
            <v>66818000000</v>
          </cell>
          <cell r="AF122">
            <v>76104000000</v>
          </cell>
          <cell r="AG122">
            <v>87286000000</v>
          </cell>
          <cell r="AH122">
            <v>99330000000</v>
          </cell>
          <cell r="AI122">
            <v>114017000000</v>
          </cell>
          <cell r="AJ122">
            <v>128324000000</v>
          </cell>
          <cell r="AK122">
            <v>142676000000</v>
          </cell>
          <cell r="AL122">
            <v>163928000000</v>
          </cell>
          <cell r="AM122">
            <v>186049000000</v>
          </cell>
          <cell r="AN122">
            <v>212095000000</v>
          </cell>
          <cell r="AO122">
            <v>241931000000</v>
          </cell>
          <cell r="AP122">
            <v>266699000000</v>
          </cell>
          <cell r="AQ122">
            <v>267923000000</v>
          </cell>
          <cell r="AR122">
            <v>279878000000</v>
          </cell>
          <cell r="AS122">
            <v>327492000000</v>
          </cell>
          <cell r="AT122">
            <v>326956000000</v>
          </cell>
          <cell r="AU122">
            <v>358152000000</v>
          </cell>
          <cell r="AV122">
            <v>396232000000</v>
          </cell>
          <cell r="AW122">
            <v>449646000000</v>
          </cell>
          <cell r="AX122">
            <v>519635000000</v>
          </cell>
          <cell r="AY122">
            <v>579490000000</v>
          </cell>
          <cell r="AZ122">
            <v>651355000000</v>
          </cell>
          <cell r="BA122">
            <v>746915000000</v>
          </cell>
          <cell r="BB122">
            <v>698643000000</v>
          </cell>
          <cell r="BC122">
            <v>795303000000</v>
          </cell>
          <cell r="BD122">
            <v>890133000000</v>
          </cell>
          <cell r="BE122">
            <v>935410000000</v>
          </cell>
          <cell r="BF122">
            <v>984639000000</v>
          </cell>
          <cell r="BG122">
            <v>1069819000000</v>
          </cell>
          <cell r="BH122">
            <v>1144829265000</v>
          </cell>
          <cell r="BI122">
            <v>1215105339000</v>
          </cell>
          <cell r="BJ122">
            <v>1333651560000</v>
          </cell>
          <cell r="BK122">
            <v>1402677000000</v>
          </cell>
          <cell r="BL122">
            <v>1473662000000</v>
          </cell>
          <cell r="BM122">
            <v>1388021000000</v>
          </cell>
        </row>
        <row r="123">
          <cell r="B123" t="str">
            <v>MDV</v>
          </cell>
          <cell r="C123" t="str">
            <v>GNI (current LCU)</v>
          </cell>
          <cell r="D123" t="str">
            <v>NY.GNP.MKTP.CN</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v>809700000</v>
          </cell>
          <cell r="AE123">
            <v>859400000</v>
          </cell>
          <cell r="AF123">
            <v>1094300000</v>
          </cell>
          <cell r="AG123">
            <v>1389400000</v>
          </cell>
          <cell r="AH123">
            <v>1554281000</v>
          </cell>
          <cell r="AI123">
            <v>1851603000</v>
          </cell>
          <cell r="AJ123">
            <v>2182830000</v>
          </cell>
          <cell r="AK123">
            <v>2630416000</v>
          </cell>
          <cell r="AL123">
            <v>3034157000</v>
          </cell>
          <cell r="AM123">
            <v>3633454000</v>
          </cell>
          <cell r="AN123">
            <v>4461129900</v>
          </cell>
          <cell r="AO123">
            <v>5043488000</v>
          </cell>
          <cell r="AP123">
            <v>5658784200</v>
          </cell>
          <cell r="AQ123">
            <v>6025489300</v>
          </cell>
          <cell r="AR123">
            <v>6570163600</v>
          </cell>
          <cell r="AS123">
            <v>6995371500</v>
          </cell>
          <cell r="AT123">
            <v>10352340300</v>
          </cell>
          <cell r="AU123">
            <v>11191901100</v>
          </cell>
          <cell r="AV123">
            <v>13013949500</v>
          </cell>
          <cell r="AW123">
            <v>15269718400</v>
          </cell>
          <cell r="AX123">
            <v>14495519200</v>
          </cell>
          <cell r="AY123">
            <v>19641605000</v>
          </cell>
          <cell r="AZ123">
            <v>20323417900</v>
          </cell>
          <cell r="BA123">
            <v>25468131200</v>
          </cell>
          <cell r="BB123">
            <v>26751381100</v>
          </cell>
          <cell r="BC123">
            <v>29144616200</v>
          </cell>
          <cell r="BD123">
            <v>36208400300</v>
          </cell>
          <cell r="BE123">
            <v>40163928400</v>
          </cell>
          <cell r="BF123">
            <v>45044595600</v>
          </cell>
          <cell r="BG123">
            <v>51405188600</v>
          </cell>
          <cell r="BH123">
            <v>58037909900</v>
          </cell>
          <cell r="BI123">
            <v>61876647100</v>
          </cell>
          <cell r="BJ123">
            <v>67373398400</v>
          </cell>
          <cell r="BK123">
            <v>74007602200</v>
          </cell>
          <cell r="BL123">
            <v>77647350100</v>
          </cell>
          <cell r="BM123">
            <v>53196274200</v>
          </cell>
        </row>
        <row r="124">
          <cell r="B124" t="str">
            <v>MLI</v>
          </cell>
          <cell r="C124" t="str">
            <v>GNI (current LCU)</v>
          </cell>
          <cell r="D124" t="str">
            <v>NY.GNP.MKTP.CN</v>
          </cell>
          <cell r="E124" t="str">
            <v>..</v>
          </cell>
          <cell r="F124" t="str">
            <v>..</v>
          </cell>
          <cell r="G124" t="str">
            <v>..</v>
          </cell>
          <cell r="H124" t="str">
            <v>..</v>
          </cell>
          <cell r="I124" t="str">
            <v>..</v>
          </cell>
          <cell r="J124" t="str">
            <v>..</v>
          </cell>
          <cell r="K124" t="str">
            <v>..</v>
          </cell>
          <cell r="L124">
            <v>67612799000</v>
          </cell>
          <cell r="M124">
            <v>84615299100</v>
          </cell>
          <cell r="N124">
            <v>87659102200</v>
          </cell>
          <cell r="O124">
            <v>97880997900</v>
          </cell>
          <cell r="P124">
            <v>108421996500</v>
          </cell>
          <cell r="Q124">
            <v>122439000100</v>
          </cell>
          <cell r="R124">
            <v>125116997700</v>
          </cell>
          <cell r="S124">
            <v>128517996600</v>
          </cell>
          <cell r="T124">
            <v>175667003400</v>
          </cell>
          <cell r="U124">
            <v>222557995100</v>
          </cell>
          <cell r="V124">
            <v>257934000100</v>
          </cell>
          <cell r="W124">
            <v>278342008800</v>
          </cell>
          <cell r="X124">
            <v>336465985500</v>
          </cell>
          <cell r="Y124">
            <v>367712758100</v>
          </cell>
          <cell r="Z124">
            <v>408491227300</v>
          </cell>
          <cell r="AA124">
            <v>429512965400</v>
          </cell>
          <cell r="AB124">
            <v>483044287500</v>
          </cell>
          <cell r="AC124">
            <v>529282891800</v>
          </cell>
          <cell r="AD124">
            <v>613812114600</v>
          </cell>
          <cell r="AE124">
            <v>632912170700</v>
          </cell>
          <cell r="AF124">
            <v>622260727300</v>
          </cell>
          <cell r="AG124">
            <v>638249832200</v>
          </cell>
          <cell r="AH124">
            <v>696019296000</v>
          </cell>
          <cell r="AI124">
            <v>725874238200</v>
          </cell>
          <cell r="AJ124">
            <v>767743296800</v>
          </cell>
          <cell r="AK124">
            <v>747330062500</v>
          </cell>
          <cell r="AL124">
            <v>798657740300</v>
          </cell>
          <cell r="AM124">
            <v>1142954908900</v>
          </cell>
          <cell r="AN124">
            <v>1327277804000</v>
          </cell>
          <cell r="AO124">
            <v>1396831598100</v>
          </cell>
          <cell r="AP124">
            <v>1543198038400</v>
          </cell>
          <cell r="AQ124">
            <v>1692912804900</v>
          </cell>
          <cell r="AR124">
            <v>2090214385500</v>
          </cell>
          <cell r="AS124">
            <v>2081855153300</v>
          </cell>
          <cell r="AT124">
            <v>2418502707500</v>
          </cell>
          <cell r="AU124">
            <v>2543715443400</v>
          </cell>
          <cell r="AV124">
            <v>2640778207000</v>
          </cell>
          <cell r="AW124">
            <v>2780233000000</v>
          </cell>
          <cell r="AX124">
            <v>3185055413300</v>
          </cell>
          <cell r="AY124">
            <v>3473237000000</v>
          </cell>
          <cell r="AZ124">
            <v>3760745233300</v>
          </cell>
          <cell r="BA124">
            <v>4247962535200</v>
          </cell>
          <cell r="BB124">
            <v>4592205162900</v>
          </cell>
          <cell r="BC124">
            <v>5081254302300</v>
          </cell>
          <cell r="BD124">
            <v>5906060710100</v>
          </cell>
          <cell r="BE124">
            <v>6117378969100</v>
          </cell>
          <cell r="BF124">
            <v>6326870123000</v>
          </cell>
          <cell r="BG124">
            <v>6902731122000</v>
          </cell>
          <cell r="BH124">
            <v>7572827939500</v>
          </cell>
          <cell r="BI124">
            <v>8089902636800</v>
          </cell>
          <cell r="BJ124">
            <v>8631356200000</v>
          </cell>
          <cell r="BK124">
            <v>9198600727800</v>
          </cell>
          <cell r="BL124">
            <v>9767554014600</v>
          </cell>
          <cell r="BM124">
            <v>9640656544800</v>
          </cell>
        </row>
        <row r="125">
          <cell r="B125" t="str">
            <v>MLT</v>
          </cell>
          <cell r="C125" t="str">
            <v>GNI (current LCU)</v>
          </cell>
          <cell r="D125" t="str">
            <v>NY.GNP.MKTP.CN</v>
          </cell>
          <cell r="E125" t="str">
            <v>..</v>
          </cell>
          <cell r="F125" t="str">
            <v>..</v>
          </cell>
          <cell r="G125" t="str">
            <v>..</v>
          </cell>
          <cell r="H125" t="str">
            <v>..</v>
          </cell>
          <cell r="I125" t="str">
            <v>..</v>
          </cell>
          <cell r="J125" t="str">
            <v>..</v>
          </cell>
          <cell r="K125" t="str">
            <v>..</v>
          </cell>
          <cell r="L125" t="str">
            <v>..</v>
          </cell>
          <cell r="M125" t="str">
            <v>..</v>
          </cell>
          <cell r="N125" t="str">
            <v>..</v>
          </cell>
          <cell r="O125">
            <v>262072400</v>
          </cell>
          <cell r="P125">
            <v>270188800</v>
          </cell>
          <cell r="Q125">
            <v>283723700</v>
          </cell>
          <cell r="R125">
            <v>316225100</v>
          </cell>
          <cell r="S125">
            <v>369746400</v>
          </cell>
          <cell r="T125">
            <v>472335600</v>
          </cell>
          <cell r="U125">
            <v>569465000</v>
          </cell>
          <cell r="V125">
            <v>664592300</v>
          </cell>
          <cell r="W125">
            <v>756064400</v>
          </cell>
          <cell r="X125">
            <v>869501100</v>
          </cell>
          <cell r="Y125">
            <v>1084528300</v>
          </cell>
          <cell r="Z125">
            <v>1226169400</v>
          </cell>
          <cell r="AA125">
            <v>1318881300</v>
          </cell>
          <cell r="AB125">
            <v>1272331600</v>
          </cell>
          <cell r="AC125">
            <v>1300163900</v>
          </cell>
          <cell r="AD125">
            <v>1321327500</v>
          </cell>
          <cell r="AE125">
            <v>1385904200</v>
          </cell>
          <cell r="AF125">
            <v>1488339400</v>
          </cell>
          <cell r="AG125">
            <v>1629418300</v>
          </cell>
          <cell r="AH125">
            <v>1811941600</v>
          </cell>
          <cell r="AI125">
            <v>2027197300</v>
          </cell>
          <cell r="AJ125">
            <v>2198601000</v>
          </cell>
          <cell r="AK125">
            <v>2352373000</v>
          </cell>
          <cell r="AL125">
            <v>2503996600</v>
          </cell>
          <cell r="AM125">
            <v>2689720700</v>
          </cell>
          <cell r="AN125">
            <v>3105537600</v>
          </cell>
          <cell r="AO125">
            <v>3235535000</v>
          </cell>
          <cell r="AP125">
            <v>3440491800</v>
          </cell>
          <cell r="AQ125">
            <v>3592328800</v>
          </cell>
          <cell r="AR125">
            <v>3881410600</v>
          </cell>
          <cell r="AS125">
            <v>3997233800</v>
          </cell>
          <cell r="AT125">
            <v>4311910700</v>
          </cell>
          <cell r="AU125">
            <v>4549495400</v>
          </cell>
          <cell r="AV125">
            <v>4768278300</v>
          </cell>
          <cell r="AW125">
            <v>4876399600</v>
          </cell>
          <cell r="AX125">
            <v>5001942300</v>
          </cell>
          <cell r="AY125">
            <v>5183508700</v>
          </cell>
          <cell r="AZ125">
            <v>5502216400</v>
          </cell>
          <cell r="BA125">
            <v>6110262100</v>
          </cell>
          <cell r="BB125">
            <v>5929949100</v>
          </cell>
          <cell r="BC125">
            <v>6465085700</v>
          </cell>
          <cell r="BD125">
            <v>6762387100</v>
          </cell>
          <cell r="BE125">
            <v>7017369900</v>
          </cell>
          <cell r="BF125">
            <v>7550149200</v>
          </cell>
          <cell r="BG125">
            <v>8295594800</v>
          </cell>
          <cell r="BH125">
            <v>9444193500</v>
          </cell>
          <cell r="BI125">
            <v>9557980870.4151897</v>
          </cell>
          <cell r="BJ125">
            <v>10512431641.3708</v>
          </cell>
          <cell r="BK125">
            <v>11648420283.0702</v>
          </cell>
          <cell r="BL125">
            <v>12567904446.3939</v>
          </cell>
          <cell r="BM125">
            <v>11669856181.1182</v>
          </cell>
        </row>
        <row r="126">
          <cell r="B126" t="str">
            <v>MHL</v>
          </cell>
          <cell r="C126" t="str">
            <v>GNI (current LCU)</v>
          </cell>
          <cell r="D126" t="str">
            <v>NY.GNP.MKTP.CN</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v>152854100</v>
          </cell>
          <cell r="AO126">
            <v>135250400</v>
          </cell>
          <cell r="AP126">
            <v>136641000</v>
          </cell>
          <cell r="AQ126">
            <v>143253700</v>
          </cell>
          <cell r="AR126">
            <v>149305200</v>
          </cell>
          <cell r="AS126">
            <v>151618100</v>
          </cell>
          <cell r="AT126">
            <v>160116500</v>
          </cell>
          <cell r="AU126">
            <v>167548500</v>
          </cell>
          <cell r="AV126">
            <v>167807100</v>
          </cell>
          <cell r="AW126">
            <v>169343300</v>
          </cell>
          <cell r="AX126">
            <v>179125700</v>
          </cell>
          <cell r="AY126">
            <v>181340200</v>
          </cell>
          <cell r="AZ126">
            <v>191419700</v>
          </cell>
          <cell r="BA126">
            <v>189449600</v>
          </cell>
          <cell r="BB126">
            <v>189529000</v>
          </cell>
          <cell r="BC126">
            <v>195598900</v>
          </cell>
          <cell r="BD126">
            <v>209784400</v>
          </cell>
          <cell r="BE126">
            <v>208831300</v>
          </cell>
          <cell r="BF126">
            <v>221718500</v>
          </cell>
          <cell r="BG126">
            <v>228187900</v>
          </cell>
          <cell r="BH126">
            <v>248470300</v>
          </cell>
          <cell r="BI126">
            <v>263338900</v>
          </cell>
          <cell r="BJ126">
            <v>274080700</v>
          </cell>
          <cell r="BK126">
            <v>282329500</v>
          </cell>
          <cell r="BL126">
            <v>294801700</v>
          </cell>
          <cell r="BM126">
            <v>298195400</v>
          </cell>
        </row>
        <row r="127">
          <cell r="B127" t="str">
            <v>MRT</v>
          </cell>
          <cell r="C127" t="str">
            <v>GNI (current LCU)</v>
          </cell>
          <cell r="D127" t="str">
            <v>NY.GNP.MKTP.CN</v>
          </cell>
          <cell r="E127" t="str">
            <v>..</v>
          </cell>
          <cell r="F127">
            <v>786035272.19622397</v>
          </cell>
          <cell r="G127">
            <v>811007201.23927903</v>
          </cell>
          <cell r="H127">
            <v>830334235.62290704</v>
          </cell>
          <cell r="I127">
            <v>1108333466.6457601</v>
          </cell>
          <cell r="J127">
            <v>1260613627.1362901</v>
          </cell>
          <cell r="K127">
            <v>1315874009.9472699</v>
          </cell>
          <cell r="L127">
            <v>1395269243.0204401</v>
          </cell>
          <cell r="M127">
            <v>1487989039.62519</v>
          </cell>
          <cell r="N127">
            <v>1453648725.0664401</v>
          </cell>
          <cell r="O127">
            <v>1655733562.40149</v>
          </cell>
          <cell r="P127">
            <v>1783447008.20012</v>
          </cell>
          <cell r="Q127">
            <v>1894481907.81177</v>
          </cell>
          <cell r="R127">
            <v>2154099878.0901799</v>
          </cell>
          <cell r="S127">
            <v>2754447126.8919601</v>
          </cell>
          <cell r="T127">
            <v>2902157394.9730301</v>
          </cell>
          <cell r="U127">
            <v>3225729552.12114</v>
          </cell>
          <cell r="V127">
            <v>3444644181.3866301</v>
          </cell>
          <cell r="W127">
            <v>3589372428.6428499</v>
          </cell>
          <cell r="X127">
            <v>4224409632.7603998</v>
          </cell>
          <cell r="Y127">
            <v>4688152413.2059298</v>
          </cell>
          <cell r="Z127">
            <v>5094977231.2277403</v>
          </cell>
          <cell r="AA127">
            <v>5503945443.0131798</v>
          </cell>
          <cell r="AB127">
            <v>6045096038.2465696</v>
          </cell>
          <cell r="AC127">
            <v>6605359915.5222702</v>
          </cell>
          <cell r="AD127">
            <v>7379592050.9186296</v>
          </cell>
          <cell r="AE127">
            <v>8302896990.1856899</v>
          </cell>
          <cell r="AF127">
            <v>9360024246.7517509</v>
          </cell>
          <cell r="AG127">
            <v>10107917779.7771</v>
          </cell>
          <cell r="AH127">
            <v>11547446729.200199</v>
          </cell>
          <cell r="AI127">
            <v>11671343120.0229</v>
          </cell>
          <cell r="AJ127">
            <v>16983006200</v>
          </cell>
          <cell r="AK127">
            <v>18255694600</v>
          </cell>
          <cell r="AL127">
            <v>21487191200</v>
          </cell>
          <cell r="AM127">
            <v>23110618700</v>
          </cell>
          <cell r="AN127">
            <v>26179572400</v>
          </cell>
          <cell r="AO127">
            <v>29588512900</v>
          </cell>
          <cell r="AP127">
            <v>31720169500</v>
          </cell>
          <cell r="AQ127">
            <v>38793752900</v>
          </cell>
          <cell r="AR127">
            <v>42229347100</v>
          </cell>
          <cell r="AS127">
            <v>42846163700</v>
          </cell>
          <cell r="AT127">
            <v>43810702500</v>
          </cell>
          <cell r="AU127">
            <v>49807295600</v>
          </cell>
          <cell r="AV127">
            <v>55469018600</v>
          </cell>
          <cell r="AW127">
            <v>64423348400</v>
          </cell>
          <cell r="AX127">
            <v>79695991600</v>
          </cell>
          <cell r="AY127">
            <v>103284147900</v>
          </cell>
          <cell r="AZ127">
            <v>110815051100</v>
          </cell>
          <cell r="BA127">
            <v>123471194100</v>
          </cell>
          <cell r="BB127">
            <v>125056119200</v>
          </cell>
          <cell r="BC127">
            <v>153396388800</v>
          </cell>
          <cell r="BD127">
            <v>185799933800</v>
          </cell>
          <cell r="BE127">
            <v>193911070900</v>
          </cell>
          <cell r="BF127">
            <v>211373878700</v>
          </cell>
          <cell r="BG127">
            <v>191945979200</v>
          </cell>
          <cell r="BH127">
            <v>194373434200</v>
          </cell>
          <cell r="BI127">
            <v>221371962800</v>
          </cell>
          <cell r="BJ127">
            <v>239946896500</v>
          </cell>
          <cell r="BK127">
            <v>260947859600</v>
          </cell>
          <cell r="BL127">
            <v>285947375900</v>
          </cell>
          <cell r="BM127">
            <v>290456864600</v>
          </cell>
        </row>
        <row r="128">
          <cell r="B128" t="str">
            <v>MUS</v>
          </cell>
          <cell r="C128" t="str">
            <v>GNI (current LCU)</v>
          </cell>
          <cell r="D128" t="str">
            <v>NY.GNP.MKTP.CN</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v>4743000000</v>
          </cell>
          <cell r="V128">
            <v>5423000000</v>
          </cell>
          <cell r="W128">
            <v>6210000000</v>
          </cell>
          <cell r="X128">
            <v>7534000000</v>
          </cell>
          <cell r="Y128">
            <v>8519000000</v>
          </cell>
          <cell r="Z128">
            <v>9802000000</v>
          </cell>
          <cell r="AA128">
            <v>11227000000</v>
          </cell>
          <cell r="AB128">
            <v>12278000000</v>
          </cell>
          <cell r="AC128">
            <v>13734000000</v>
          </cell>
          <cell r="AD128">
            <v>15918000000</v>
          </cell>
          <cell r="AE128">
            <v>18971000000</v>
          </cell>
          <cell r="AF128">
            <v>23689000000</v>
          </cell>
          <cell r="AG128">
            <v>28090000000</v>
          </cell>
          <cell r="AH128">
            <v>32972000000</v>
          </cell>
          <cell r="AI128">
            <v>39101000000</v>
          </cell>
          <cell r="AJ128">
            <v>44805910000</v>
          </cell>
          <cell r="AK128">
            <v>50350920700</v>
          </cell>
          <cell r="AL128">
            <v>57653925700</v>
          </cell>
          <cell r="AM128">
            <v>63462564500</v>
          </cell>
          <cell r="AN128">
            <v>69914666500</v>
          </cell>
          <cell r="AO128">
            <v>78576491500</v>
          </cell>
          <cell r="AP128">
            <v>87802655800</v>
          </cell>
          <cell r="AQ128">
            <v>99404504300</v>
          </cell>
          <cell r="AR128">
            <v>108982819700</v>
          </cell>
          <cell r="AS128">
            <v>121973117200</v>
          </cell>
          <cell r="AT128">
            <v>134784830500</v>
          </cell>
          <cell r="AU128">
            <v>145451337400</v>
          </cell>
          <cell r="AV128">
            <v>161457576600</v>
          </cell>
          <cell r="AW128">
            <v>180518355100</v>
          </cell>
          <cell r="AX128">
            <v>191154481100</v>
          </cell>
          <cell r="AY128">
            <v>224503000000</v>
          </cell>
          <cell r="AZ128">
            <v>262234000000</v>
          </cell>
          <cell r="BA128">
            <v>289154000000</v>
          </cell>
          <cell r="BB128">
            <v>293433700000</v>
          </cell>
          <cell r="BC128">
            <v>305161000000</v>
          </cell>
          <cell r="BD128">
            <v>324371000000</v>
          </cell>
          <cell r="BE128">
            <v>363110000000</v>
          </cell>
          <cell r="BF128">
            <v>401018000000</v>
          </cell>
          <cell r="BG128">
            <v>422459000000</v>
          </cell>
          <cell r="BH128">
            <v>444663000000</v>
          </cell>
          <cell r="BI128">
            <v>470211000000</v>
          </cell>
          <cell r="BJ128">
            <v>502486000000</v>
          </cell>
          <cell r="BK128">
            <v>538864000000</v>
          </cell>
          <cell r="BL128">
            <v>560039000000</v>
          </cell>
          <cell r="BM128">
            <v>468316000000</v>
          </cell>
        </row>
        <row r="129">
          <cell r="B129" t="str">
            <v>MEX</v>
          </cell>
          <cell r="C129" t="str">
            <v>GNI (current LCU)</v>
          </cell>
          <cell r="D129" t="str">
            <v>NY.GNP.MKTP.CN</v>
          </cell>
          <cell r="E129">
            <v>158327100</v>
          </cell>
          <cell r="F129">
            <v>172191800</v>
          </cell>
          <cell r="G129">
            <v>185178800</v>
          </cell>
          <cell r="H129">
            <v>206628500</v>
          </cell>
          <cell r="I129">
            <v>243474300</v>
          </cell>
          <cell r="J129">
            <v>265433000</v>
          </cell>
          <cell r="K129">
            <v>294583800</v>
          </cell>
          <cell r="L129">
            <v>327515100</v>
          </cell>
          <cell r="M129">
            <v>361743900</v>
          </cell>
          <cell r="N129">
            <v>399817800</v>
          </cell>
          <cell r="O129">
            <v>436218000</v>
          </cell>
          <cell r="P129">
            <v>481192500</v>
          </cell>
          <cell r="Q129">
            <v>554843500</v>
          </cell>
          <cell r="R129">
            <v>680444100</v>
          </cell>
          <cell r="S129">
            <v>884296100</v>
          </cell>
          <cell r="T129">
            <v>1076149400</v>
          </cell>
          <cell r="U129">
            <v>1336259300</v>
          </cell>
          <cell r="V129">
            <v>1798633200</v>
          </cell>
          <cell r="W129">
            <v>2270197900</v>
          </cell>
          <cell r="X129">
            <v>2974627200</v>
          </cell>
          <cell r="Y129">
            <v>4570139900</v>
          </cell>
          <cell r="Z129">
            <v>6219191550</v>
          </cell>
          <cell r="AA129">
            <v>9720421500</v>
          </cell>
          <cell r="AB129">
            <v>17659011650</v>
          </cell>
          <cell r="AC129">
            <v>29228250000</v>
          </cell>
          <cell r="AD129">
            <v>47840750300</v>
          </cell>
          <cell r="AE129">
            <v>77717269300</v>
          </cell>
          <cell r="AF129">
            <v>193967226100</v>
          </cell>
          <cell r="AG129">
            <v>396350477150</v>
          </cell>
          <cell r="AH129">
            <v>524541831500</v>
          </cell>
          <cell r="AI129">
            <v>710540598200</v>
          </cell>
          <cell r="AJ129">
            <v>919207642500</v>
          </cell>
          <cell r="AK129">
            <v>1094241352600</v>
          </cell>
          <cell r="AL129">
            <v>1523881690000</v>
          </cell>
          <cell r="AM129">
            <v>1738706562000</v>
          </cell>
          <cell r="AN129">
            <v>2225704875000</v>
          </cell>
          <cell r="AO129">
            <v>3016899340000</v>
          </cell>
          <cell r="AP129">
            <v>3861149643000</v>
          </cell>
          <cell r="AQ129">
            <v>4686844504000</v>
          </cell>
          <cell r="AR129">
            <v>5614088672000</v>
          </cell>
          <cell r="AS129">
            <v>6549983726000</v>
          </cell>
          <cell r="AT129">
            <v>6938281614000</v>
          </cell>
          <cell r="AU129">
            <v>7326807436000</v>
          </cell>
          <cell r="AV129">
            <v>7728999769000</v>
          </cell>
          <cell r="AW129">
            <v>8696928640000</v>
          </cell>
          <cell r="AX129">
            <v>9363005337000</v>
          </cell>
          <cell r="AY129">
            <v>10467567350000</v>
          </cell>
          <cell r="AZ129">
            <v>11310591694000</v>
          </cell>
          <cell r="BA129">
            <v>12179590410000</v>
          </cell>
          <cell r="BB129">
            <v>11958493939000</v>
          </cell>
          <cell r="BC129">
            <v>13207409732000</v>
          </cell>
          <cell r="BD129">
            <v>14432690688000</v>
          </cell>
          <cell r="BE129">
            <v>15512159136000</v>
          </cell>
          <cell r="BF129">
            <v>15803642719000</v>
          </cell>
          <cell r="BG129">
            <v>17055054410000</v>
          </cell>
          <cell r="BH129">
            <v>18092461639000</v>
          </cell>
          <cell r="BI129">
            <v>19589525073000</v>
          </cell>
          <cell r="BJ129">
            <v>21364669952000</v>
          </cell>
          <cell r="BK129">
            <v>22888187872000</v>
          </cell>
          <cell r="BL129">
            <v>23742783276000</v>
          </cell>
          <cell r="BM129">
            <v>22281430201800</v>
          </cell>
        </row>
        <row r="130">
          <cell r="B130" t="str">
            <v>FSM</v>
          </cell>
          <cell r="C130" t="str">
            <v>GNI (current LCU)</v>
          </cell>
          <cell r="D130" t="str">
            <v>NY.GNP.MKTP.CN</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v>111000000</v>
          </cell>
          <cell r="AC130" t="str">
            <v>..</v>
          </cell>
          <cell r="AD130" t="str">
            <v>..</v>
          </cell>
          <cell r="AE130" t="str">
            <v>..</v>
          </cell>
          <cell r="AF130" t="str">
            <v>..</v>
          </cell>
          <cell r="AG130" t="str">
            <v>..</v>
          </cell>
          <cell r="AH130" t="str">
            <v>..</v>
          </cell>
          <cell r="AI130" t="str">
            <v>..</v>
          </cell>
          <cell r="AJ130" t="str">
            <v>..</v>
          </cell>
          <cell r="AK130" t="str">
            <v>..</v>
          </cell>
          <cell r="AL130">
            <v>218000000</v>
          </cell>
          <cell r="AM130">
            <v>223300000</v>
          </cell>
          <cell r="AN130">
            <v>232663800</v>
          </cell>
          <cell r="AO130">
            <v>228791600</v>
          </cell>
          <cell r="AP130">
            <v>209127900</v>
          </cell>
          <cell r="AQ130">
            <v>219545400</v>
          </cell>
          <cell r="AR130">
            <v>226023100</v>
          </cell>
          <cell r="AS130">
            <v>239347500</v>
          </cell>
          <cell r="AT130">
            <v>246016700</v>
          </cell>
          <cell r="AU130">
            <v>246760900</v>
          </cell>
          <cell r="AV130">
            <v>249179300</v>
          </cell>
          <cell r="AW130">
            <v>247072600</v>
          </cell>
          <cell r="AX130">
            <v>258632900</v>
          </cell>
          <cell r="AY130">
            <v>262084600</v>
          </cell>
          <cell r="AZ130">
            <v>267150600</v>
          </cell>
          <cell r="BA130">
            <v>270372300</v>
          </cell>
          <cell r="BB130">
            <v>296756800</v>
          </cell>
          <cell r="BC130">
            <v>307507200</v>
          </cell>
          <cell r="BD130">
            <v>320855800</v>
          </cell>
          <cell r="BE130">
            <v>342609600</v>
          </cell>
          <cell r="BF130">
            <v>342707900</v>
          </cell>
          <cell r="BG130">
            <v>344654300</v>
          </cell>
          <cell r="BH130">
            <v>375852000</v>
          </cell>
          <cell r="BI130">
            <v>387000200</v>
          </cell>
          <cell r="BJ130">
            <v>416554700</v>
          </cell>
          <cell r="BK130">
            <v>412197400</v>
          </cell>
          <cell r="BL130">
            <v>454357100</v>
          </cell>
          <cell r="BM130">
            <v>456483600</v>
          </cell>
        </row>
        <row r="131">
          <cell r="B131" t="str">
            <v>MDA</v>
          </cell>
          <cell r="C131" t="str">
            <v>GNI (current LCU)</v>
          </cell>
          <cell r="D131" t="str">
            <v>NY.GNP.MKTP.CN</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v>8069778000</v>
          </cell>
          <cell r="AP131">
            <v>9207371000</v>
          </cell>
          <cell r="AQ131">
            <v>9278832000</v>
          </cell>
          <cell r="AR131">
            <v>12677894000</v>
          </cell>
          <cell r="AS131">
            <v>16813815000</v>
          </cell>
          <cell r="AT131">
            <v>20483734000</v>
          </cell>
          <cell r="AU131">
            <v>24804739000</v>
          </cell>
          <cell r="AV131">
            <v>30837509000</v>
          </cell>
          <cell r="AW131">
            <v>36413843000</v>
          </cell>
          <cell r="AX131">
            <v>42740260000</v>
          </cell>
          <cell r="AY131">
            <v>50025906000</v>
          </cell>
          <cell r="AZ131">
            <v>58409680000</v>
          </cell>
          <cell r="BA131">
            <v>69097536000</v>
          </cell>
          <cell r="BB131">
            <v>63833601000</v>
          </cell>
          <cell r="BC131">
            <v>92529262200</v>
          </cell>
          <cell r="BD131">
            <v>105551166200</v>
          </cell>
          <cell r="BE131">
            <v>115292156100</v>
          </cell>
          <cell r="BF131">
            <v>130790593600</v>
          </cell>
          <cell r="BG131">
            <v>145026160400</v>
          </cell>
          <cell r="BH131">
            <v>154211102600</v>
          </cell>
          <cell r="BI131">
            <v>169699981100</v>
          </cell>
          <cell r="BJ131">
            <v>189077780000</v>
          </cell>
          <cell r="BK131">
            <v>201758236000</v>
          </cell>
          <cell r="BL131">
            <v>221341000000</v>
          </cell>
          <cell r="BM131">
            <v>214539894800</v>
          </cell>
        </row>
        <row r="132">
          <cell r="B132" t="str">
            <v>MCO</v>
          </cell>
          <cell r="C132" t="str">
            <v>GNI (current LCU)</v>
          </cell>
          <cell r="D132" t="str">
            <v>NY.GNP.MKTP.CN</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row>
        <row r="133">
          <cell r="B133" t="str">
            <v>MNG</v>
          </cell>
          <cell r="C133" t="str">
            <v>GNI (current LCU)</v>
          </cell>
          <cell r="D133" t="str">
            <v>NY.GNP.MKTP.CN</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v>6897597400</v>
          </cell>
          <cell r="AA133">
            <v>7596005900</v>
          </cell>
          <cell r="AB133">
            <v>8083909600</v>
          </cell>
          <cell r="AC133">
            <v>8238938100</v>
          </cell>
          <cell r="AD133">
            <v>8566022100</v>
          </cell>
          <cell r="AE133">
            <v>8683437100</v>
          </cell>
          <cell r="AF133">
            <v>9027935200</v>
          </cell>
          <cell r="AG133">
            <v>9510785000</v>
          </cell>
          <cell r="AH133">
            <v>9867980800</v>
          </cell>
          <cell r="AI133">
            <v>12585928300</v>
          </cell>
          <cell r="AJ133">
            <v>22554026100</v>
          </cell>
          <cell r="AK133">
            <v>54984325400</v>
          </cell>
          <cell r="AL133">
            <v>219697798200</v>
          </cell>
          <cell r="AM133">
            <v>374091030300</v>
          </cell>
          <cell r="AN133">
            <v>639429351000</v>
          </cell>
          <cell r="AO133">
            <v>730121776600</v>
          </cell>
          <cell r="AP133">
            <v>923449470900</v>
          </cell>
          <cell r="AQ133">
            <v>945797224300</v>
          </cell>
          <cell r="AR133">
            <v>1080634178100</v>
          </cell>
          <cell r="AS133">
            <v>1218464596700</v>
          </cell>
          <cell r="AT133">
            <v>1389673154800</v>
          </cell>
          <cell r="AU133">
            <v>1545613526100</v>
          </cell>
          <cell r="AV133">
            <v>1815886991600</v>
          </cell>
          <cell r="AW133">
            <v>2348051305000</v>
          </cell>
          <cell r="AX133">
            <v>2978985488600</v>
          </cell>
          <cell r="AY133">
            <v>3977227332100</v>
          </cell>
          <cell r="AZ133">
            <v>4842478100000</v>
          </cell>
          <cell r="BA133">
            <v>6353155129200</v>
          </cell>
          <cell r="BB133">
            <v>6309065134300</v>
          </cell>
          <cell r="BC133">
            <v>8969674177100</v>
          </cell>
          <cell r="BD133">
            <v>12088181801600</v>
          </cell>
          <cell r="BE133">
            <v>15399575318700</v>
          </cell>
          <cell r="BF133">
            <v>18091326039900</v>
          </cell>
          <cell r="BG133">
            <v>20420074284300</v>
          </cell>
          <cell r="BH133">
            <v>20988630962000</v>
          </cell>
          <cell r="BI133">
            <v>21959611138700</v>
          </cell>
          <cell r="BJ133">
            <v>24085785044600</v>
          </cell>
          <cell r="BK133">
            <v>29530451988500</v>
          </cell>
          <cell r="BL133">
            <v>33652142463100</v>
          </cell>
          <cell r="BM133">
            <v>33908631555700</v>
          </cell>
        </row>
        <row r="134">
          <cell r="B134" t="str">
            <v>MNE</v>
          </cell>
          <cell r="C134" t="str">
            <v>GNI (current LCU)</v>
          </cell>
          <cell r="D134" t="str">
            <v>NY.GNP.MKTP.CN</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v>1119584000</v>
          </cell>
          <cell r="AT134">
            <v>1359865500</v>
          </cell>
          <cell r="AU134">
            <v>1436411000</v>
          </cell>
          <cell r="AV134">
            <v>1598054000</v>
          </cell>
          <cell r="AW134">
            <v>1756025000</v>
          </cell>
          <cell r="AX134">
            <v>1835006100</v>
          </cell>
          <cell r="AY134">
            <v>2205865500</v>
          </cell>
          <cell r="AZ134">
            <v>2720386400</v>
          </cell>
          <cell r="BA134">
            <v>3149127000</v>
          </cell>
          <cell r="BB134">
            <v>2999261100</v>
          </cell>
          <cell r="BC134">
            <v>3103351900</v>
          </cell>
          <cell r="BD134">
            <v>3291049700</v>
          </cell>
          <cell r="BE134">
            <v>3235303900</v>
          </cell>
          <cell r="BF134">
            <v>3428025400</v>
          </cell>
          <cell r="BG134">
            <v>3503823300</v>
          </cell>
          <cell r="BH134">
            <v>3734558900</v>
          </cell>
          <cell r="BI134">
            <v>3988778500</v>
          </cell>
          <cell r="BJ134">
            <v>4387386800</v>
          </cell>
          <cell r="BK134">
            <v>4718071700</v>
          </cell>
          <cell r="BL134">
            <v>5006351300</v>
          </cell>
          <cell r="BM134">
            <v>4252159900</v>
          </cell>
        </row>
        <row r="135">
          <cell r="B135" t="str">
            <v>MAR</v>
          </cell>
          <cell r="C135" t="str">
            <v>GNI (current LCU)</v>
          </cell>
          <cell r="D135" t="str">
            <v>NY.GNP.MKTP.CN</v>
          </cell>
          <cell r="E135">
            <v>10409002000</v>
          </cell>
          <cell r="F135">
            <v>10331001900</v>
          </cell>
          <cell r="G135">
            <v>12112000000</v>
          </cell>
          <cell r="H135">
            <v>13607000100</v>
          </cell>
          <cell r="I135">
            <v>14371002400</v>
          </cell>
          <cell r="J135">
            <v>14773000000</v>
          </cell>
          <cell r="K135">
            <v>14349001100</v>
          </cell>
          <cell r="L135">
            <v>15234000000</v>
          </cell>
          <cell r="M135">
            <v>16317001200</v>
          </cell>
          <cell r="N135">
            <v>18261000000</v>
          </cell>
          <cell r="O135">
            <v>19962842300</v>
          </cell>
          <cell r="P135">
            <v>21858370300</v>
          </cell>
          <cell r="Q135">
            <v>23175731900</v>
          </cell>
          <cell r="R135">
            <v>25407844900</v>
          </cell>
          <cell r="S135">
            <v>33348835300</v>
          </cell>
          <cell r="T135">
            <v>36187068500</v>
          </cell>
          <cell r="U135">
            <v>41971553800</v>
          </cell>
          <cell r="V135">
            <v>49249754600</v>
          </cell>
          <cell r="W135">
            <v>54309135900</v>
          </cell>
          <cell r="X135">
            <v>60912076300</v>
          </cell>
          <cell r="Y135">
            <v>83770865600</v>
          </cell>
          <cell r="Z135">
            <v>89017243800</v>
          </cell>
          <cell r="AA135">
            <v>102793293200</v>
          </cell>
          <cell r="AB135">
            <v>111597297200</v>
          </cell>
          <cell r="AC135">
            <v>126568720400</v>
          </cell>
          <cell r="AD135">
            <v>144379380600</v>
          </cell>
          <cell r="AE135">
            <v>172847830800</v>
          </cell>
          <cell r="AF135">
            <v>177104064100</v>
          </cell>
          <cell r="AG135">
            <v>203454571100</v>
          </cell>
          <cell r="AH135">
            <v>215635341100</v>
          </cell>
          <cell r="AI135">
            <v>241654967500</v>
          </cell>
          <cell r="AJ135">
            <v>272473240200</v>
          </cell>
          <cell r="AK135">
            <v>279953499100</v>
          </cell>
          <cell r="AL135">
            <v>284665498100</v>
          </cell>
          <cell r="AM135">
            <v>318351544300</v>
          </cell>
          <cell r="AN135">
            <v>322816319700</v>
          </cell>
          <cell r="AO135">
            <v>367049152900</v>
          </cell>
          <cell r="AP135">
            <v>363672401600</v>
          </cell>
          <cell r="AQ135">
            <v>393868743400</v>
          </cell>
          <cell r="AR135">
            <v>400734626900</v>
          </cell>
          <cell r="AS135">
            <v>404782565800</v>
          </cell>
          <cell r="AT135">
            <v>437727531400</v>
          </cell>
          <cell r="AU135">
            <v>458312151000</v>
          </cell>
          <cell r="AV135">
            <v>491856672000</v>
          </cell>
          <cell r="AW135">
            <v>523693085600</v>
          </cell>
          <cell r="AX135">
            <v>550242141900</v>
          </cell>
          <cell r="AY135">
            <v>600404384800</v>
          </cell>
          <cell r="AZ135">
            <v>645215000000</v>
          </cell>
          <cell r="BA135">
            <v>715437000000</v>
          </cell>
          <cell r="BB135">
            <v>738156000000</v>
          </cell>
          <cell r="BC135">
            <v>773816000000</v>
          </cell>
          <cell r="BD135">
            <v>806244000000</v>
          </cell>
          <cell r="BE135">
            <v>830762000000</v>
          </cell>
          <cell r="BF135">
            <v>885680000000</v>
          </cell>
          <cell r="BG135">
            <v>903699000000</v>
          </cell>
          <cell r="BH135">
            <v>969055000000</v>
          </cell>
          <cell r="BI135">
            <v>993750000000</v>
          </cell>
          <cell r="BJ135">
            <v>1042207000000</v>
          </cell>
          <cell r="BK135">
            <v>1086860000000</v>
          </cell>
          <cell r="BL135">
            <v>1130275520000</v>
          </cell>
          <cell r="BM135">
            <v>1073397240000</v>
          </cell>
        </row>
        <row r="136">
          <cell r="B136" t="str">
            <v>MOZ</v>
          </cell>
          <cell r="C136" t="str">
            <v>GNI (current LCU)</v>
          </cell>
          <cell r="D136" t="str">
            <v>NY.GNP.MKTP.CN</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v>5057768800</v>
          </cell>
          <cell r="AK136">
            <v>6294149000</v>
          </cell>
          <cell r="AL136">
            <v>10054069900</v>
          </cell>
          <cell r="AM136">
            <v>16071874500</v>
          </cell>
          <cell r="AN136">
            <v>25167523400</v>
          </cell>
          <cell r="AO136">
            <v>42514002500</v>
          </cell>
          <cell r="AP136">
            <v>52678435800</v>
          </cell>
          <cell r="AQ136">
            <v>60971054200</v>
          </cell>
          <cell r="AR136">
            <v>74767653000</v>
          </cell>
          <cell r="AS136">
            <v>83194768200</v>
          </cell>
          <cell r="AT136">
            <v>107094115800</v>
          </cell>
          <cell r="AU136">
            <v>120138085400</v>
          </cell>
          <cell r="AV136">
            <v>145973027600</v>
          </cell>
          <cell r="AW136">
            <v>168449205200</v>
          </cell>
          <cell r="AX136">
            <v>188690344900</v>
          </cell>
          <cell r="AY136">
            <v>216984719100</v>
          </cell>
          <cell r="AZ136">
            <v>254766395600</v>
          </cell>
          <cell r="BA136">
            <v>289525140000</v>
          </cell>
          <cell r="BB136">
            <v>320111038900</v>
          </cell>
          <cell r="BC136">
            <v>364896974900</v>
          </cell>
          <cell r="BD136">
            <v>410619161000</v>
          </cell>
          <cell r="BE136">
            <v>461780163600</v>
          </cell>
          <cell r="BF136">
            <v>509232854300</v>
          </cell>
          <cell r="BG136">
            <v>549116563400</v>
          </cell>
          <cell r="BH136">
            <v>625759546100</v>
          </cell>
          <cell r="BI136">
            <v>736264172300</v>
          </cell>
          <cell r="BJ136">
            <v>815505316200</v>
          </cell>
          <cell r="BK136">
            <v>877738346400</v>
          </cell>
          <cell r="BL136">
            <v>944102203200</v>
          </cell>
          <cell r="BM136">
            <v>942348602100</v>
          </cell>
        </row>
        <row r="137">
          <cell r="B137" t="str">
            <v>MMR</v>
          </cell>
          <cell r="C137" t="str">
            <v>GNI (current LCU)</v>
          </cell>
          <cell r="D137" t="str">
            <v>NY.GNP.MKTP.CN</v>
          </cell>
          <cell r="E137" t="str">
            <v>..</v>
          </cell>
          <cell r="F137">
            <v>6165549050</v>
          </cell>
          <cell r="G137">
            <v>6378027250</v>
          </cell>
          <cell r="H137">
            <v>7002009600</v>
          </cell>
          <cell r="I137">
            <v>7130982650</v>
          </cell>
          <cell r="J137">
            <v>7208477700</v>
          </cell>
          <cell r="K137">
            <v>7569000450</v>
          </cell>
          <cell r="L137">
            <v>7856501000</v>
          </cell>
          <cell r="M137">
            <v>8776501250</v>
          </cell>
          <cell r="N137">
            <v>9638000600</v>
          </cell>
          <cell r="O137">
            <v>10094000100</v>
          </cell>
          <cell r="P137">
            <v>10344499700</v>
          </cell>
          <cell r="Q137">
            <v>10587500050</v>
          </cell>
          <cell r="R137">
            <v>11233500200</v>
          </cell>
          <cell r="S137">
            <v>15512999950</v>
          </cell>
          <cell r="T137">
            <v>21388499950</v>
          </cell>
          <cell r="U137">
            <v>25439500250</v>
          </cell>
          <cell r="V137">
            <v>28128305999.749199</v>
          </cell>
          <cell r="W137">
            <v>30136208991.1866</v>
          </cell>
          <cell r="X137">
            <v>32569255777.100101</v>
          </cell>
          <cell r="Y137">
            <v>35386049473.931999</v>
          </cell>
          <cell r="Z137">
            <v>38874964137.1213</v>
          </cell>
          <cell r="AA137">
            <v>43013656154.451599</v>
          </cell>
          <cell r="AB137">
            <v>46320183573.178703</v>
          </cell>
          <cell r="AC137">
            <v>48602036780.9618</v>
          </cell>
          <cell r="AD137">
            <v>51576188742.5354</v>
          </cell>
          <cell r="AE137">
            <v>54363574221.577202</v>
          </cell>
          <cell r="AF137">
            <v>59612334060.269203</v>
          </cell>
          <cell r="AG137">
            <v>68374847727.382797</v>
          </cell>
          <cell r="AH137">
            <v>97822800198.708405</v>
          </cell>
          <cell r="AI137">
            <v>125821647846.69701</v>
          </cell>
          <cell r="AJ137">
            <v>148408813861.55801</v>
          </cell>
          <cell r="AK137">
            <v>204006977443.995</v>
          </cell>
          <cell r="AL137">
            <v>295920218345.953</v>
          </cell>
          <cell r="AM137">
            <v>408878304008.85498</v>
          </cell>
          <cell r="AN137">
            <v>528541643708.85602</v>
          </cell>
          <cell r="AO137">
            <v>690899644954.45203</v>
          </cell>
          <cell r="AP137">
            <v>952918938516.19604</v>
          </cell>
          <cell r="AQ137">
            <v>1363043406096.3401</v>
          </cell>
          <cell r="AR137">
            <v>1901837880523.49</v>
          </cell>
          <cell r="AS137">
            <v>2334850906542.5</v>
          </cell>
          <cell r="AT137">
            <v>2848754003047.8999</v>
          </cell>
          <cell r="AU137">
            <v>4151567099620.5801</v>
          </cell>
          <cell r="AV137">
            <v>6120491751034.5898</v>
          </cell>
          <cell r="AW137">
            <v>7715713960795.2197</v>
          </cell>
          <cell r="AX137">
            <v>9287372808790.9492</v>
          </cell>
          <cell r="AY137">
            <v>13086077578936.199</v>
          </cell>
          <cell r="AZ137">
            <v>18561954733736.699</v>
          </cell>
          <cell r="BA137">
            <v>24523667864060.699</v>
          </cell>
          <cell r="BB137">
            <v>29658646822737</v>
          </cell>
          <cell r="BC137">
            <v>35155004403226.398</v>
          </cell>
          <cell r="BD137">
            <v>41651069684513</v>
          </cell>
          <cell r="BE137">
            <v>47039307609074.5</v>
          </cell>
          <cell r="BF137">
            <v>52736535400000</v>
          </cell>
          <cell r="BG137">
            <v>59202505393600</v>
          </cell>
          <cell r="BH137">
            <v>66254008837700</v>
          </cell>
          <cell r="BI137">
            <v>71859611401600</v>
          </cell>
          <cell r="BJ137">
            <v>80448229680800</v>
          </cell>
          <cell r="BK137">
            <v>90029627909200</v>
          </cell>
          <cell r="BL137">
            <v>101720702244700</v>
          </cell>
          <cell r="BM137">
            <v>110978037447700</v>
          </cell>
        </row>
        <row r="138">
          <cell r="B138" t="str">
            <v>NAM</v>
          </cell>
          <cell r="C138" t="str">
            <v>GNI (current LCU)</v>
          </cell>
          <cell r="D138" t="str">
            <v>NY.GNP.MKTP.CN</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v>1623288400</v>
          </cell>
          <cell r="Z138">
            <v>1873655600</v>
          </cell>
          <cell r="AA138">
            <v>2140679700</v>
          </cell>
          <cell r="AB138">
            <v>2465457500</v>
          </cell>
          <cell r="AC138">
            <v>2712424600</v>
          </cell>
          <cell r="AD138">
            <v>2972081800</v>
          </cell>
          <cell r="AE138">
            <v>3589283000</v>
          </cell>
          <cell r="AF138">
            <v>4487086300</v>
          </cell>
          <cell r="AG138">
            <v>5103651900</v>
          </cell>
          <cell r="AH138">
            <v>6339911200</v>
          </cell>
          <cell r="AI138">
            <v>7352796100</v>
          </cell>
          <cell r="AJ138">
            <v>8586084700</v>
          </cell>
          <cell r="AK138">
            <v>9882628200</v>
          </cell>
          <cell r="AL138">
            <v>10700013700</v>
          </cell>
          <cell r="AM138">
            <v>13095002600</v>
          </cell>
          <cell r="AN138">
            <v>14868762700</v>
          </cell>
          <cell r="AO138">
            <v>17272203600</v>
          </cell>
          <cell r="AP138">
            <v>19211005300</v>
          </cell>
          <cell r="AQ138">
            <v>21638192700</v>
          </cell>
          <cell r="AR138">
            <v>23225902200</v>
          </cell>
          <cell r="AS138">
            <v>27355829200</v>
          </cell>
          <cell r="AT138">
            <v>30525270300</v>
          </cell>
          <cell r="AU138">
            <v>35786060500</v>
          </cell>
          <cell r="AV138">
            <v>39035617000</v>
          </cell>
          <cell r="AW138">
            <v>43217150100</v>
          </cell>
          <cell r="AX138">
            <v>45462000000</v>
          </cell>
          <cell r="AY138">
            <v>53677000000</v>
          </cell>
          <cell r="AZ138">
            <v>60438935000</v>
          </cell>
          <cell r="BA138">
            <v>68966103700</v>
          </cell>
          <cell r="BB138">
            <v>73795939600</v>
          </cell>
          <cell r="BC138">
            <v>79430499500</v>
          </cell>
          <cell r="BD138">
            <v>87678761200</v>
          </cell>
          <cell r="BE138">
            <v>102584596300</v>
          </cell>
          <cell r="BF138">
            <v>117117896800</v>
          </cell>
          <cell r="BG138">
            <v>134056430900</v>
          </cell>
          <cell r="BH138">
            <v>145785352200</v>
          </cell>
          <cell r="BI138">
            <v>154607697700</v>
          </cell>
          <cell r="BJ138">
            <v>168461202700</v>
          </cell>
          <cell r="BK138">
            <v>174380325700</v>
          </cell>
          <cell r="BL138">
            <v>176111936300</v>
          </cell>
          <cell r="BM138">
            <v>172708999700</v>
          </cell>
        </row>
        <row r="139">
          <cell r="B139" t="str">
            <v>NRU</v>
          </cell>
          <cell r="C139" t="str">
            <v>GNI (current LCU)</v>
          </cell>
          <cell r="D139" t="str">
            <v>NY.GNP.MKTP.CN</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v>36264800</v>
          </cell>
          <cell r="BA139">
            <v>47200500</v>
          </cell>
          <cell r="BB139">
            <v>70897100</v>
          </cell>
          <cell r="BC139">
            <v>65104100</v>
          </cell>
          <cell r="BD139">
            <v>81979500</v>
          </cell>
          <cell r="BE139">
            <v>113987900</v>
          </cell>
          <cell r="BF139">
            <v>119564200</v>
          </cell>
          <cell r="BG139">
            <v>138655600</v>
          </cell>
          <cell r="BH139">
            <v>142100000</v>
          </cell>
          <cell r="BI139">
            <v>186500000</v>
          </cell>
          <cell r="BJ139">
            <v>203100000</v>
          </cell>
          <cell r="BK139">
            <v>214600000</v>
          </cell>
          <cell r="BL139">
            <v>244200000</v>
          </cell>
          <cell r="BM139">
            <v>244000000</v>
          </cell>
        </row>
        <row r="140">
          <cell r="B140" t="str">
            <v>NPL</v>
          </cell>
          <cell r="C140" t="str">
            <v>GNI (current LCU)</v>
          </cell>
          <cell r="D140" t="str">
            <v>NY.GNP.MKTP.CN</v>
          </cell>
          <cell r="E140">
            <v>3872999900</v>
          </cell>
          <cell r="F140">
            <v>4052999900</v>
          </cell>
          <cell r="G140">
            <v>4374000100</v>
          </cell>
          <cell r="H140">
            <v>4616000000</v>
          </cell>
          <cell r="I140">
            <v>5023000100</v>
          </cell>
          <cell r="J140">
            <v>5601999900</v>
          </cell>
          <cell r="K140">
            <v>6909000200</v>
          </cell>
          <cell r="L140">
            <v>6415000100</v>
          </cell>
          <cell r="M140">
            <v>7173000200</v>
          </cell>
          <cell r="N140">
            <v>7984999900</v>
          </cell>
          <cell r="O140">
            <v>8768000000</v>
          </cell>
          <cell r="P140">
            <v>8938000400</v>
          </cell>
          <cell r="Q140">
            <v>10369000400</v>
          </cell>
          <cell r="R140">
            <v>9969000400</v>
          </cell>
          <cell r="S140">
            <v>12807999500</v>
          </cell>
          <cell r="T140">
            <v>16570999800</v>
          </cell>
          <cell r="U140">
            <v>17457600500</v>
          </cell>
          <cell r="V140">
            <v>17353699300</v>
          </cell>
          <cell r="W140">
            <v>19819499500</v>
          </cell>
          <cell r="X140">
            <v>22314500100</v>
          </cell>
          <cell r="Y140">
            <v>23501199400</v>
          </cell>
          <cell r="Z140">
            <v>27427999700</v>
          </cell>
          <cell r="AA140">
            <v>31147999200</v>
          </cell>
          <cell r="AB140">
            <v>33942999000</v>
          </cell>
          <cell r="AC140">
            <v>40014901200</v>
          </cell>
          <cell r="AD140">
            <v>46588845000</v>
          </cell>
          <cell r="AE140">
            <v>55723801000</v>
          </cell>
          <cell r="AF140">
            <v>63843609400</v>
          </cell>
          <cell r="AG140">
            <v>76833867500</v>
          </cell>
          <cell r="AH140">
            <v>89436417100</v>
          </cell>
          <cell r="AI140">
            <v>103777357000</v>
          </cell>
          <cell r="AJ140">
            <v>124198600000</v>
          </cell>
          <cell r="AK140">
            <v>153307400000</v>
          </cell>
          <cell r="AL140">
            <v>176054000000</v>
          </cell>
          <cell r="AM140">
            <v>199861000000</v>
          </cell>
          <cell r="AN140">
            <v>219447100000</v>
          </cell>
          <cell r="AO140">
            <v>249342390000</v>
          </cell>
          <cell r="AP140">
            <v>280952131000</v>
          </cell>
          <cell r="AQ140">
            <v>301266260000</v>
          </cell>
          <cell r="AR140">
            <v>342851400000</v>
          </cell>
          <cell r="AS140">
            <v>380869400000</v>
          </cell>
          <cell r="AT140">
            <v>443220000000</v>
          </cell>
          <cell r="AU140">
            <v>458838000000</v>
          </cell>
          <cell r="AV140">
            <v>491555000000</v>
          </cell>
          <cell r="AW140">
            <v>535065000000</v>
          </cell>
          <cell r="AX140">
            <v>591048000000</v>
          </cell>
          <cell r="AY140">
            <v>659040000000</v>
          </cell>
          <cell r="AZ140">
            <v>735259000000</v>
          </cell>
          <cell r="BA140">
            <v>823605000000</v>
          </cell>
          <cell r="BB140">
            <v>1000021000000</v>
          </cell>
          <cell r="BC140">
            <v>1201891000000</v>
          </cell>
          <cell r="BD140">
            <v>1570230382208.49</v>
          </cell>
          <cell r="BE140">
            <v>1770670577857.45</v>
          </cell>
          <cell r="BF140">
            <v>1962373658504.5601</v>
          </cell>
          <cell r="BG140">
            <v>2265276983527.75</v>
          </cell>
          <cell r="BH140">
            <v>2457880982848</v>
          </cell>
          <cell r="BI140">
            <v>2642188759756.2202</v>
          </cell>
          <cell r="BJ140">
            <v>3108139991654.8398</v>
          </cell>
          <cell r="BK140">
            <v>3478564065481.21</v>
          </cell>
          <cell r="BL140">
            <v>3898845945187.0801</v>
          </cell>
          <cell r="BM140">
            <v>3960802354832.8999</v>
          </cell>
        </row>
        <row r="141">
          <cell r="B141" t="str">
            <v>NLD</v>
          </cell>
          <cell r="C141" t="str">
            <v>GNI (current LCU)</v>
          </cell>
          <cell r="D141" t="str">
            <v>NY.GNP.MKTP.CN</v>
          </cell>
          <cell r="E141">
            <v>21279516672</v>
          </cell>
          <cell r="F141">
            <v>22344574976</v>
          </cell>
          <cell r="G141">
            <v>24246530048</v>
          </cell>
          <cell r="H141">
            <v>26169886720</v>
          </cell>
          <cell r="I141">
            <v>30806808576</v>
          </cell>
          <cell r="J141">
            <v>35237310464</v>
          </cell>
          <cell r="K141">
            <v>38336565248</v>
          </cell>
          <cell r="L141">
            <v>42087137280</v>
          </cell>
          <cell r="M141">
            <v>46613921792</v>
          </cell>
          <cell r="N141">
            <v>57206295400</v>
          </cell>
          <cell r="O141">
            <v>63947884000</v>
          </cell>
          <cell r="P141">
            <v>72145361000</v>
          </cell>
          <cell r="Q141">
            <v>80980060000</v>
          </cell>
          <cell r="R141">
            <v>93492283000</v>
          </cell>
          <cell r="S141">
            <v>106082269000</v>
          </cell>
          <cell r="T141">
            <v>116038046000</v>
          </cell>
          <cell r="U141">
            <v>133046461000</v>
          </cell>
          <cell r="V141">
            <v>144089835000</v>
          </cell>
          <cell r="W141">
            <v>154732515000</v>
          </cell>
          <cell r="X141">
            <v>165726207000</v>
          </cell>
          <cell r="Y141">
            <v>177624969000</v>
          </cell>
          <cell r="Z141">
            <v>186036294000</v>
          </cell>
          <cell r="AA141">
            <v>192201143000</v>
          </cell>
          <cell r="AB141">
            <v>199946085000</v>
          </cell>
          <cell r="AC141">
            <v>211521916000</v>
          </cell>
          <cell r="AD141">
            <v>216021349000</v>
          </cell>
          <cell r="AE141">
            <v>222765097000</v>
          </cell>
          <cell r="AF141">
            <v>227316371000</v>
          </cell>
          <cell r="AG141">
            <v>236155390000</v>
          </cell>
          <cell r="AH141">
            <v>250463714000</v>
          </cell>
          <cell r="AI141">
            <v>261201437000</v>
          </cell>
          <cell r="AJ141">
            <v>277090935000</v>
          </cell>
          <cell r="AK141">
            <v>287705534000</v>
          </cell>
          <cell r="AL141">
            <v>298113846000</v>
          </cell>
          <cell r="AM141">
            <v>315379310000</v>
          </cell>
          <cell r="AN141">
            <v>334591000000</v>
          </cell>
          <cell r="AO141">
            <v>350407000000</v>
          </cell>
          <cell r="AP141">
            <v>372692000000</v>
          </cell>
          <cell r="AQ141">
            <v>393131000000</v>
          </cell>
          <cell r="AR141">
            <v>425194000000</v>
          </cell>
          <cell r="AS141">
            <v>460111000000</v>
          </cell>
          <cell r="AT141">
            <v>479615000000</v>
          </cell>
          <cell r="AU141">
            <v>499795000000</v>
          </cell>
          <cell r="AV141">
            <v>518266000000</v>
          </cell>
          <cell r="AW141">
            <v>532282000000</v>
          </cell>
          <cell r="AX141">
            <v>543271000000</v>
          </cell>
          <cell r="AY141">
            <v>589098000000</v>
          </cell>
          <cell r="AZ141">
            <v>618908000000</v>
          </cell>
          <cell r="BA141">
            <v>629007000000</v>
          </cell>
          <cell r="BB141">
            <v>618753000000</v>
          </cell>
          <cell r="BC141">
            <v>641090000000</v>
          </cell>
          <cell r="BD141">
            <v>659484000000</v>
          </cell>
          <cell r="BE141">
            <v>664185000000</v>
          </cell>
          <cell r="BF141">
            <v>669440000000</v>
          </cell>
          <cell r="BG141">
            <v>669931000000</v>
          </cell>
          <cell r="BH141">
            <v>690567000000</v>
          </cell>
          <cell r="BI141">
            <v>697901000000</v>
          </cell>
          <cell r="BJ141">
            <v>743753000000</v>
          </cell>
          <cell r="BK141">
            <v>782852000000</v>
          </cell>
          <cell r="BL141">
            <v>816447000000</v>
          </cell>
          <cell r="BM141">
            <v>786181000000</v>
          </cell>
        </row>
        <row r="142">
          <cell r="B142" t="str">
            <v>NCL</v>
          </cell>
          <cell r="C142" t="str">
            <v>GNI (current LCU)</v>
          </cell>
          <cell r="D142" t="str">
            <v>NY.GNP.MKTP.CN</v>
          </cell>
          <cell r="E142">
            <v>9293999104</v>
          </cell>
          <cell r="F142">
            <v>10547997696</v>
          </cell>
          <cell r="G142">
            <v>9053998080</v>
          </cell>
          <cell r="H142">
            <v>10130000896</v>
          </cell>
          <cell r="I142">
            <v>14739998720</v>
          </cell>
          <cell r="J142">
            <v>14325999616</v>
          </cell>
          <cell r="K142">
            <v>14739999744</v>
          </cell>
          <cell r="L142">
            <v>16161000448</v>
          </cell>
          <cell r="M142">
            <v>19345000448</v>
          </cell>
          <cell r="N142">
            <v>24847998976</v>
          </cell>
          <cell r="O142">
            <v>36235001856</v>
          </cell>
          <cell r="P142">
            <v>41684000768</v>
          </cell>
          <cell r="Q142">
            <v>46447001600</v>
          </cell>
          <cell r="R142">
            <v>43953000448</v>
          </cell>
          <cell r="S142">
            <v>55791001600</v>
          </cell>
          <cell r="T142">
            <v>63643000832</v>
          </cell>
          <cell r="U142">
            <v>69365997568</v>
          </cell>
          <cell r="V142">
            <v>74831003648</v>
          </cell>
          <cell r="W142">
            <v>69419999232</v>
          </cell>
          <cell r="X142">
            <v>81006002176</v>
          </cell>
          <cell r="Y142">
            <v>90847002624</v>
          </cell>
          <cell r="Z142">
            <v>96099999744</v>
          </cell>
          <cell r="AA142">
            <v>108092997632</v>
          </cell>
          <cell r="AB142">
            <v>114161000448</v>
          </cell>
          <cell r="AC142">
            <v>126489001984</v>
          </cell>
          <cell r="AD142">
            <v>139650007040</v>
          </cell>
          <cell r="AE142">
            <v>151280992256</v>
          </cell>
          <cell r="AF142">
            <v>162626994176</v>
          </cell>
          <cell r="AG142">
            <v>224498008064</v>
          </cell>
          <cell r="AH142">
            <v>253474996224</v>
          </cell>
          <cell r="AI142">
            <v>250426998784</v>
          </cell>
          <cell r="AJ142">
            <v>272235003900</v>
          </cell>
          <cell r="AK142">
            <v>281426985000</v>
          </cell>
          <cell r="AL142">
            <v>290599993300</v>
          </cell>
          <cell r="AM142">
            <v>306747998200</v>
          </cell>
          <cell r="AN142">
            <v>329295986700</v>
          </cell>
          <cell r="AO142">
            <v>335481995300</v>
          </cell>
          <cell r="AP142">
            <v>349259989000</v>
          </cell>
          <cell r="AQ142">
            <v>338781995000</v>
          </cell>
          <cell r="AR142">
            <v>342170009600</v>
          </cell>
          <cell r="AS142">
            <v>347203010600</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row>
        <row r="143">
          <cell r="B143" t="str">
            <v>NZL</v>
          </cell>
          <cell r="C143" t="str">
            <v>GNI (current LCU)</v>
          </cell>
          <cell r="D143" t="str">
            <v>NY.GNP.MKTP.CN</v>
          </cell>
          <cell r="E143" t="str">
            <v>..</v>
          </cell>
          <cell r="F143" t="str">
            <v>..</v>
          </cell>
          <cell r="G143" t="str">
            <v>..</v>
          </cell>
          <cell r="H143" t="str">
            <v>..</v>
          </cell>
          <cell r="I143" t="str">
            <v>..</v>
          </cell>
          <cell r="J143" t="str">
            <v>..</v>
          </cell>
          <cell r="K143" t="str">
            <v>..</v>
          </cell>
          <cell r="L143" t="str">
            <v>..</v>
          </cell>
          <cell r="M143" t="str">
            <v>..</v>
          </cell>
          <cell r="N143" t="str">
            <v>..</v>
          </cell>
          <cell r="O143">
            <v>5725843000</v>
          </cell>
          <cell r="P143">
            <v>6770069000</v>
          </cell>
          <cell r="Q143">
            <v>7741890000</v>
          </cell>
          <cell r="R143">
            <v>9058529000</v>
          </cell>
          <cell r="S143">
            <v>9970888000</v>
          </cell>
          <cell r="T143">
            <v>11133654000</v>
          </cell>
          <cell r="U143">
            <v>13525307000</v>
          </cell>
          <cell r="V143">
            <v>15182082000</v>
          </cell>
          <cell r="W143">
            <v>17147674000</v>
          </cell>
          <cell r="X143">
            <v>20167335000</v>
          </cell>
          <cell r="Y143">
            <v>23470274000</v>
          </cell>
          <cell r="Z143">
            <v>28538275000</v>
          </cell>
          <cell r="AA143">
            <v>32150672000</v>
          </cell>
          <cell r="AB143">
            <v>35454183000</v>
          </cell>
          <cell r="AC143">
            <v>39522349000</v>
          </cell>
          <cell r="AD143">
            <v>45370026000</v>
          </cell>
          <cell r="AE143">
            <v>54982010000</v>
          </cell>
          <cell r="AF143">
            <v>61682806000</v>
          </cell>
          <cell r="AG143">
            <v>66988396000</v>
          </cell>
          <cell r="AH143">
            <v>70866494000</v>
          </cell>
          <cell r="AI143">
            <v>72953421000</v>
          </cell>
          <cell r="AJ143">
            <v>70856241000</v>
          </cell>
          <cell r="AK143">
            <v>73267068000</v>
          </cell>
          <cell r="AL143">
            <v>78483985000</v>
          </cell>
          <cell r="AM143">
            <v>84453702000</v>
          </cell>
          <cell r="AN143">
            <v>90188990000</v>
          </cell>
          <cell r="AO143">
            <v>93572346000</v>
          </cell>
          <cell r="AP143">
            <v>98532818000</v>
          </cell>
          <cell r="AQ143">
            <v>101933831000</v>
          </cell>
          <cell r="AR143">
            <v>106454052000</v>
          </cell>
          <cell r="AS143">
            <v>113030363000</v>
          </cell>
          <cell r="AT143">
            <v>122200724000</v>
          </cell>
          <cell r="AU143">
            <v>128371219000</v>
          </cell>
          <cell r="AV143">
            <v>137635551000</v>
          </cell>
          <cell r="AW143">
            <v>145852398000</v>
          </cell>
          <cell r="AX143">
            <v>152409763000</v>
          </cell>
          <cell r="AY143">
            <v>160454470000</v>
          </cell>
          <cell r="AZ143">
            <v>173357982000</v>
          </cell>
          <cell r="BA143">
            <v>175662855000</v>
          </cell>
          <cell r="BB143">
            <v>186342353000</v>
          </cell>
          <cell r="BC143">
            <v>193234390000</v>
          </cell>
          <cell r="BD143">
            <v>203368939000</v>
          </cell>
          <cell r="BE143">
            <v>208436474000</v>
          </cell>
          <cell r="BF143">
            <v>223617302000</v>
          </cell>
          <cell r="BG143">
            <v>232895350000</v>
          </cell>
          <cell r="BH143">
            <v>246869114000</v>
          </cell>
          <cell r="BI143">
            <v>262684198000</v>
          </cell>
          <cell r="BJ143">
            <v>280347417000</v>
          </cell>
          <cell r="BK143">
            <v>295759430000</v>
          </cell>
          <cell r="BL143">
            <v>315065895000</v>
          </cell>
          <cell r="BM143">
            <v>314276390238.66699</v>
          </cell>
        </row>
        <row r="144">
          <cell r="B144" t="str">
            <v>NIC</v>
          </cell>
          <cell r="C144" t="str">
            <v>GNI (current LCU)</v>
          </cell>
          <cell r="D144" t="str">
            <v>NY.GNP.MKTP.CN</v>
          </cell>
          <cell r="E144">
            <v>0.4580933237</v>
          </cell>
          <cell r="F144">
            <v>0.49144482890000002</v>
          </cell>
          <cell r="G144">
            <v>0.54147221339999996</v>
          </cell>
          <cell r="H144">
            <v>0.59934690030000004</v>
          </cell>
          <cell r="I144">
            <v>0.6964588277</v>
          </cell>
          <cell r="J144">
            <v>0.76316202060000005</v>
          </cell>
          <cell r="K144">
            <v>0.80534202229999996</v>
          </cell>
          <cell r="L144">
            <v>0.8680400103</v>
          </cell>
          <cell r="M144">
            <v>0.90625996890000005</v>
          </cell>
          <cell r="N144">
            <v>0.97716002909999999</v>
          </cell>
          <cell r="O144">
            <v>1.0012199505999999</v>
          </cell>
          <cell r="P144">
            <v>1.069201976</v>
          </cell>
          <cell r="Q144">
            <v>1.1331800446</v>
          </cell>
          <cell r="R144">
            <v>1.3950000107</v>
          </cell>
          <cell r="S144">
            <v>1.9532620609</v>
          </cell>
          <cell r="T144">
            <v>2.0606019348000002</v>
          </cell>
          <cell r="U144">
            <v>2.3850199133999999</v>
          </cell>
          <cell r="V144">
            <v>2.9357998818</v>
          </cell>
          <cell r="W144">
            <v>2.7269800305</v>
          </cell>
          <cell r="X144">
            <v>2.6409400105</v>
          </cell>
          <cell r="Y144">
            <v>3.9167599975999998</v>
          </cell>
          <cell r="Z144">
            <v>4.5397802293999998</v>
          </cell>
          <cell r="AA144">
            <v>5.3034799099000001</v>
          </cell>
          <cell r="AB144">
            <v>6.1608201265</v>
          </cell>
          <cell r="AC144">
            <v>8.4797995686000007</v>
          </cell>
          <cell r="AD144">
            <v>21.6291401386</v>
          </cell>
          <cell r="AE144">
            <v>85.170740366000004</v>
          </cell>
          <cell r="AF144">
            <v>536.26072192189997</v>
          </cell>
          <cell r="AG144">
            <v>55695.0205078125</v>
          </cell>
          <cell r="AH144">
            <v>2418700</v>
          </cell>
          <cell r="AI144">
            <v>153105600</v>
          </cell>
          <cell r="AJ144">
            <v>5619877000</v>
          </cell>
          <cell r="AK144">
            <v>6487000000</v>
          </cell>
          <cell r="AL144">
            <v>8107496000</v>
          </cell>
          <cell r="AM144">
            <v>22773254000</v>
          </cell>
          <cell r="AN144">
            <v>28387739100</v>
          </cell>
          <cell r="AO144">
            <v>33605477800</v>
          </cell>
          <cell r="AP144">
            <v>38975921800</v>
          </cell>
          <cell r="AQ144">
            <v>47089998200</v>
          </cell>
          <cell r="AR144">
            <v>55021820100</v>
          </cell>
          <cell r="AS144">
            <v>62251163100</v>
          </cell>
          <cell r="AT144">
            <v>68332772700</v>
          </cell>
          <cell r="AU144">
            <v>71510960500</v>
          </cell>
          <cell r="AV144">
            <v>77396736700</v>
          </cell>
          <cell r="AW144">
            <v>89263248500</v>
          </cell>
          <cell r="AX144">
            <v>103266803600</v>
          </cell>
          <cell r="AY144">
            <v>115049906200</v>
          </cell>
          <cell r="AZ144">
            <v>133344315000</v>
          </cell>
          <cell r="BA144">
            <v>160355679500</v>
          </cell>
          <cell r="BB144">
            <v>163708165200</v>
          </cell>
          <cell r="BC144">
            <v>181836754900</v>
          </cell>
          <cell r="BD144">
            <v>213155601800</v>
          </cell>
          <cell r="BE144">
            <v>238203299500</v>
          </cell>
          <cell r="BF144">
            <v>258323098000</v>
          </cell>
          <cell r="BG144">
            <v>296776008700</v>
          </cell>
          <cell r="BH144">
            <v>334378404400</v>
          </cell>
          <cell r="BI144">
            <v>362109588200</v>
          </cell>
          <cell r="BJ144">
            <v>392890744800</v>
          </cell>
          <cell r="BK144">
            <v>390408997500</v>
          </cell>
          <cell r="BL144">
            <v>402257019700</v>
          </cell>
          <cell r="BM144">
            <v>420965640600</v>
          </cell>
        </row>
        <row r="145">
          <cell r="B145" t="str">
            <v>NER</v>
          </cell>
          <cell r="C145" t="str">
            <v>GNI (current LCU)</v>
          </cell>
          <cell r="D145" t="str">
            <v>NY.GNP.MKTP.CN</v>
          </cell>
          <cell r="E145">
            <v>110521876400</v>
          </cell>
          <cell r="F145">
            <v>119544029200</v>
          </cell>
          <cell r="G145">
            <v>130683953200</v>
          </cell>
          <cell r="H145">
            <v>143051751400</v>
          </cell>
          <cell r="I145">
            <v>142205714500</v>
          </cell>
          <cell r="J145">
            <v>164520012100</v>
          </cell>
          <cell r="K145">
            <v>172137982900</v>
          </cell>
          <cell r="L145">
            <v>162235004900</v>
          </cell>
          <cell r="M145">
            <v>158494439100</v>
          </cell>
          <cell r="N145">
            <v>162077095500</v>
          </cell>
          <cell r="O145">
            <v>179224388400</v>
          </cell>
          <cell r="P145">
            <v>190620663400</v>
          </cell>
          <cell r="Q145">
            <v>186927367300</v>
          </cell>
          <cell r="R145">
            <v>211018717200</v>
          </cell>
          <cell r="S145">
            <v>245529990800</v>
          </cell>
          <cell r="T145">
            <v>222725988100</v>
          </cell>
          <cell r="U145">
            <v>253462001200</v>
          </cell>
          <cell r="V145">
            <v>317161007300</v>
          </cell>
          <cell r="W145">
            <v>393667981300</v>
          </cell>
          <cell r="X145">
            <v>436490963900</v>
          </cell>
          <cell r="Y145">
            <v>523043962400</v>
          </cell>
          <cell r="Z145">
            <v>571044952100</v>
          </cell>
          <cell r="AA145">
            <v>639435929600</v>
          </cell>
          <cell r="AB145">
            <v>671579936800</v>
          </cell>
          <cell r="AC145">
            <v>614724012000</v>
          </cell>
          <cell r="AD145">
            <v>628194981900</v>
          </cell>
          <cell r="AE145">
            <v>653340032000</v>
          </cell>
          <cell r="AF145">
            <v>652599978000</v>
          </cell>
          <cell r="AG145">
            <v>665600030700</v>
          </cell>
          <cell r="AH145">
            <v>700999997400</v>
          </cell>
          <cell r="AI145">
            <v>962819603515.63098</v>
          </cell>
          <cell r="AJ145">
            <v>933526830700</v>
          </cell>
          <cell r="AK145">
            <v>902915904000</v>
          </cell>
          <cell r="AL145">
            <v>870948663100</v>
          </cell>
          <cell r="AM145">
            <v>1081126066700</v>
          </cell>
          <cell r="AN145">
            <v>1158623439000</v>
          </cell>
          <cell r="AO145">
            <v>1257419208000</v>
          </cell>
          <cell r="AP145">
            <v>1368097369200</v>
          </cell>
          <cell r="AQ145">
            <v>1617183902200</v>
          </cell>
          <cell r="AR145">
            <v>1624598525300</v>
          </cell>
          <cell r="AS145">
            <v>1659377086300</v>
          </cell>
          <cell r="AT145">
            <v>1876407294000</v>
          </cell>
          <cell r="AU145">
            <v>2027654726900</v>
          </cell>
          <cell r="AV145">
            <v>2061639916600</v>
          </cell>
          <cell r="AW145">
            <v>2104937344900</v>
          </cell>
          <cell r="AX145">
            <v>2455717251800</v>
          </cell>
          <cell r="AY145">
            <v>2639151219400</v>
          </cell>
          <cell r="AZ145">
            <v>2904016707900</v>
          </cell>
          <cell r="BA145">
            <v>3431321932800</v>
          </cell>
          <cell r="BB145">
            <v>3647642469200</v>
          </cell>
          <cell r="BC145">
            <v>4098720734300</v>
          </cell>
          <cell r="BD145">
            <v>4395464493700</v>
          </cell>
          <cell r="BE145">
            <v>4976179459700</v>
          </cell>
          <cell r="BF145">
            <v>5248371589300</v>
          </cell>
          <cell r="BG145">
            <v>5604900977200</v>
          </cell>
          <cell r="BH145">
            <v>6007859000000</v>
          </cell>
          <cell r="BI145">
            <v>6361387100000</v>
          </cell>
          <cell r="BJ145">
            <v>6735778631200</v>
          </cell>
          <cell r="BK145">
            <v>7446309750900</v>
          </cell>
          <cell r="BL145">
            <v>7897633801900</v>
          </cell>
          <cell r="BM145">
            <v>7572577515000</v>
          </cell>
        </row>
        <row r="146">
          <cell r="B146" t="str">
            <v>NGA</v>
          </cell>
          <cell r="C146" t="str">
            <v>GNI (current LCU)</v>
          </cell>
          <cell r="D146" t="str">
            <v>NY.GNP.MKTP.CN</v>
          </cell>
          <cell r="E146">
            <v>2981276900</v>
          </cell>
          <cell r="F146">
            <v>3175821100</v>
          </cell>
          <cell r="G146">
            <v>3481725700</v>
          </cell>
          <cell r="H146">
            <v>3646126100</v>
          </cell>
          <cell r="I146">
            <v>3889420300</v>
          </cell>
          <cell r="J146">
            <v>4038700000</v>
          </cell>
          <cell r="K146">
            <v>4369000000</v>
          </cell>
          <cell r="L146">
            <v>3652600000</v>
          </cell>
          <cell r="M146">
            <v>3601600000</v>
          </cell>
          <cell r="N146">
            <v>4587300000</v>
          </cell>
          <cell r="O146">
            <v>8629500000</v>
          </cell>
          <cell r="P146">
            <v>9624000000</v>
          </cell>
          <cell r="Q146">
            <v>10181200000</v>
          </cell>
          <cell r="R146">
            <v>11385700000</v>
          </cell>
          <cell r="S146">
            <v>18922000000</v>
          </cell>
          <cell r="T146">
            <v>22416700000</v>
          </cell>
          <cell r="U146">
            <v>27952400000</v>
          </cell>
          <cell r="V146">
            <v>33240000000</v>
          </cell>
          <cell r="W146">
            <v>35907200000</v>
          </cell>
          <cell r="X146">
            <v>42638600000</v>
          </cell>
          <cell r="Y146">
            <v>47824800200</v>
          </cell>
          <cell r="Z146">
            <v>137984302459.366</v>
          </cell>
          <cell r="AA146">
            <v>147932615299.164</v>
          </cell>
          <cell r="AB146">
            <v>157643980777.78601</v>
          </cell>
          <cell r="AC146">
            <v>164084199439.12201</v>
          </cell>
          <cell r="AD146">
            <v>185224406485.095</v>
          </cell>
          <cell r="AE146">
            <v>192975157080.86301</v>
          </cell>
          <cell r="AF146">
            <v>233556214767.54001</v>
          </cell>
          <cell r="AG146">
            <v>312370626585.78497</v>
          </cell>
          <cell r="AH146">
            <v>395193860129.38898</v>
          </cell>
          <cell r="AI146">
            <v>468211170982.59003</v>
          </cell>
          <cell r="AJ146">
            <v>560553636200</v>
          </cell>
          <cell r="AK146">
            <v>850117290700</v>
          </cell>
          <cell r="AL146">
            <v>1150885855700</v>
          </cell>
          <cell r="AM146">
            <v>1645764487400</v>
          </cell>
          <cell r="AN146">
            <v>2943994093700</v>
          </cell>
          <cell r="AO146">
            <v>3907597207400</v>
          </cell>
          <cell r="AP146">
            <v>4237266747600</v>
          </cell>
          <cell r="AQ146">
            <v>4556427414800</v>
          </cell>
          <cell r="AR146">
            <v>5346091321200</v>
          </cell>
          <cell r="AS146">
            <v>6437508006300</v>
          </cell>
          <cell r="AT146">
            <v>7778978016200</v>
          </cell>
          <cell r="AU146">
            <v>10766228754300</v>
          </cell>
          <cell r="AV146">
            <v>12567167328600</v>
          </cell>
          <cell r="AW146">
            <v>16814063343500</v>
          </cell>
          <cell r="AX146">
            <v>21367111806700</v>
          </cell>
          <cell r="AY146">
            <v>29777879904700</v>
          </cell>
          <cell r="AZ146">
            <v>33185322720600</v>
          </cell>
          <cell r="BA146">
            <v>38157691438600</v>
          </cell>
          <cell r="BB146">
            <v>41293025130300</v>
          </cell>
          <cell r="BC146">
            <v>51679296455800</v>
          </cell>
          <cell r="BD146">
            <v>59629054894700</v>
          </cell>
          <cell r="BE146">
            <v>68873042797900</v>
          </cell>
          <cell r="BF146">
            <v>76995223157600</v>
          </cell>
          <cell r="BG146">
            <v>87129108277700</v>
          </cell>
          <cell r="BH146">
            <v>92673618171900</v>
          </cell>
          <cell r="BI146">
            <v>100370320779900</v>
          </cell>
          <cell r="BJ146">
            <v>111384943142500</v>
          </cell>
          <cell r="BK146">
            <v>123131696032800</v>
          </cell>
          <cell r="BL146">
            <v>140871076041800</v>
          </cell>
          <cell r="BM146">
            <v>148624257388100</v>
          </cell>
        </row>
        <row r="147">
          <cell r="B147" t="str">
            <v>MKD</v>
          </cell>
          <cell r="C147" t="str">
            <v>GNI (current LCU)</v>
          </cell>
          <cell r="D147" t="str">
            <v>NY.GNP.MKTP.CN</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v>525774000</v>
          </cell>
          <cell r="AJ147">
            <v>962316000</v>
          </cell>
          <cell r="AK147">
            <v>12039448000</v>
          </cell>
          <cell r="AL147">
            <v>60917768800</v>
          </cell>
          <cell r="AM147">
            <v>151982220000</v>
          </cell>
          <cell r="AN147">
            <v>176803421200</v>
          </cell>
          <cell r="AO147">
            <v>183542139900</v>
          </cell>
          <cell r="AP147">
            <v>192953880000</v>
          </cell>
          <cell r="AQ147">
            <v>202166262000</v>
          </cell>
          <cell r="AR147">
            <v>215742803000</v>
          </cell>
          <cell r="AS147">
            <v>244031636900</v>
          </cell>
          <cell r="AT147">
            <v>250539375300</v>
          </cell>
          <cell r="AU147">
            <v>255636896100</v>
          </cell>
          <cell r="AV147">
            <v>265437942700</v>
          </cell>
          <cell r="AW147">
            <v>279042356100</v>
          </cell>
          <cell r="AX147">
            <v>303066916500</v>
          </cell>
          <cell r="AY147">
            <v>333499737900</v>
          </cell>
          <cell r="AZ147">
            <v>355477797300</v>
          </cell>
          <cell r="BA147">
            <v>409876216500</v>
          </cell>
          <cell r="BB147">
            <v>411675117600</v>
          </cell>
          <cell r="BC147">
            <v>431202506500</v>
          </cell>
          <cell r="BD147">
            <v>455902602400</v>
          </cell>
          <cell r="BE147">
            <v>456594542200</v>
          </cell>
          <cell r="BF147">
            <v>489999186600</v>
          </cell>
          <cell r="BG147">
            <v>517758122000</v>
          </cell>
          <cell r="BH147">
            <v>541343816600</v>
          </cell>
          <cell r="BI147">
            <v>571134594400</v>
          </cell>
          <cell r="BJ147">
            <v>593632874000</v>
          </cell>
          <cell r="BK147">
            <v>633153000000</v>
          </cell>
          <cell r="BL147">
            <v>660722000000</v>
          </cell>
          <cell r="BM147">
            <v>638576000000</v>
          </cell>
        </row>
        <row r="148">
          <cell r="B148" t="str">
            <v>MNP</v>
          </cell>
          <cell r="C148" t="str">
            <v>GNI (current LCU)</v>
          </cell>
          <cell r="D148" t="str">
            <v>NY.GNP.MKTP.CN</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row>
        <row r="149">
          <cell r="B149" t="str">
            <v>NOR</v>
          </cell>
          <cell r="C149" t="str">
            <v>GNI (current LCU)</v>
          </cell>
          <cell r="D149" t="str">
            <v>NY.GNP.MKTP.CN</v>
          </cell>
          <cell r="E149">
            <v>37056917504</v>
          </cell>
          <cell r="F149">
            <v>40431190016</v>
          </cell>
          <cell r="G149">
            <v>43533783040</v>
          </cell>
          <cell r="H149">
            <v>46662418432</v>
          </cell>
          <cell r="I149">
            <v>51294253056</v>
          </cell>
          <cell r="J149">
            <v>56595058688</v>
          </cell>
          <cell r="K149">
            <v>61057372160</v>
          </cell>
          <cell r="L149">
            <v>66789740544</v>
          </cell>
          <cell r="M149">
            <v>71381868544</v>
          </cell>
          <cell r="N149">
            <v>77915324416</v>
          </cell>
          <cell r="O149">
            <v>90752384000</v>
          </cell>
          <cell r="P149">
            <v>102223427000</v>
          </cell>
          <cell r="Q149">
            <v>113425301000</v>
          </cell>
          <cell r="R149">
            <v>128860006000</v>
          </cell>
          <cell r="S149">
            <v>148789628000</v>
          </cell>
          <cell r="T149">
            <v>169976045000</v>
          </cell>
          <cell r="U149">
            <v>192984918000</v>
          </cell>
          <cell r="V149">
            <v>215885515000</v>
          </cell>
          <cell r="W149">
            <v>236568000000</v>
          </cell>
          <cell r="X149">
            <v>259812000000</v>
          </cell>
          <cell r="Y149">
            <v>308830000000</v>
          </cell>
          <cell r="Z149">
            <v>354174000000</v>
          </cell>
          <cell r="AA149">
            <v>391672000000</v>
          </cell>
          <cell r="AB149">
            <v>436754000000</v>
          </cell>
          <cell r="AC149">
            <v>493333000000</v>
          </cell>
          <cell r="AD149">
            <v>552744000000</v>
          </cell>
          <cell r="AE149">
            <v>572905000000</v>
          </cell>
          <cell r="AF149">
            <v>626013000000</v>
          </cell>
          <cell r="AG149">
            <v>648146000000</v>
          </cell>
          <cell r="AH149">
            <v>689851000000</v>
          </cell>
          <cell r="AI149">
            <v>728731000000</v>
          </cell>
          <cell r="AJ149">
            <v>765085000000</v>
          </cell>
          <cell r="AK149">
            <v>796032000000</v>
          </cell>
          <cell r="AL149">
            <v>836037000000</v>
          </cell>
          <cell r="AM149">
            <v>882271000000</v>
          </cell>
          <cell r="AN149">
            <v>951446000000</v>
          </cell>
          <cell r="AO149">
            <v>1042698000000</v>
          </cell>
          <cell r="AP149">
            <v>1129302000000</v>
          </cell>
          <cell r="AQ149">
            <v>1149918000000</v>
          </cell>
          <cell r="AR149">
            <v>1254768000000</v>
          </cell>
          <cell r="AS149">
            <v>1486620000000</v>
          </cell>
          <cell r="AT149">
            <v>1565027000000</v>
          </cell>
          <cell r="AU149">
            <v>1565284000000</v>
          </cell>
          <cell r="AV149">
            <v>1629588000000</v>
          </cell>
          <cell r="AW149">
            <v>1786442000000</v>
          </cell>
          <cell r="AX149">
            <v>2011843000000</v>
          </cell>
          <cell r="AY149">
            <v>2218004000000</v>
          </cell>
          <cell r="AZ149">
            <v>2343074000000</v>
          </cell>
          <cell r="BA149">
            <v>2595569000000</v>
          </cell>
          <cell r="BB149">
            <v>2442332000000</v>
          </cell>
          <cell r="BC149">
            <v>2619589000000</v>
          </cell>
          <cell r="BD149">
            <v>2819465000000</v>
          </cell>
          <cell r="BE149">
            <v>2989207000000</v>
          </cell>
          <cell r="BF149">
            <v>3103951000000</v>
          </cell>
          <cell r="BG149">
            <v>3240149000000</v>
          </cell>
          <cell r="BH149">
            <v>3240459000000</v>
          </cell>
          <cell r="BI149">
            <v>3233694000000</v>
          </cell>
          <cell r="BJ149">
            <v>3416432000000</v>
          </cell>
          <cell r="BK149">
            <v>3687411000000</v>
          </cell>
          <cell r="BL149">
            <v>3672054000000</v>
          </cell>
          <cell r="BM149">
            <v>3565760000000</v>
          </cell>
        </row>
        <row r="150">
          <cell r="B150" t="str">
            <v>OMN</v>
          </cell>
          <cell r="C150" t="str">
            <v>GNI (current LCU)</v>
          </cell>
          <cell r="D150" t="str">
            <v>NY.GNP.MKTP.CN</v>
          </cell>
          <cell r="E150">
            <v>15800000</v>
          </cell>
          <cell r="F150">
            <v>16300000</v>
          </cell>
          <cell r="G150">
            <v>20100000</v>
          </cell>
          <cell r="H150">
            <v>21400000</v>
          </cell>
          <cell r="I150">
            <v>22100000</v>
          </cell>
          <cell r="J150">
            <v>22600000</v>
          </cell>
          <cell r="K150">
            <v>24200000</v>
          </cell>
          <cell r="L150">
            <v>35200000</v>
          </cell>
          <cell r="M150">
            <v>59500000</v>
          </cell>
          <cell r="N150">
            <v>76700000</v>
          </cell>
          <cell r="O150">
            <v>88600000</v>
          </cell>
          <cell r="P150">
            <v>105100000</v>
          </cell>
          <cell r="Q150">
            <v>111800000</v>
          </cell>
          <cell r="R150">
            <v>106700000</v>
          </cell>
          <cell r="S150">
            <v>468000000</v>
          </cell>
          <cell r="T150">
            <v>622199900</v>
          </cell>
          <cell r="U150">
            <v>810100000</v>
          </cell>
          <cell r="V150">
            <v>891700100</v>
          </cell>
          <cell r="W150">
            <v>907400100</v>
          </cell>
          <cell r="X150">
            <v>1238000000</v>
          </cell>
          <cell r="Y150">
            <v>1977400100</v>
          </cell>
          <cell r="Z150">
            <v>2424900100</v>
          </cell>
          <cell r="AA150">
            <v>2556600100</v>
          </cell>
          <cell r="AB150">
            <v>2676600100</v>
          </cell>
          <cell r="AC150">
            <v>2972500200</v>
          </cell>
          <cell r="AD150">
            <v>3343399900</v>
          </cell>
          <cell r="AE150">
            <v>2770500100</v>
          </cell>
          <cell r="AF150">
            <v>2968999900</v>
          </cell>
          <cell r="AG150">
            <v>3103500000</v>
          </cell>
          <cell r="AH150">
            <v>3507400000</v>
          </cell>
          <cell r="AI150">
            <v>4375586000</v>
          </cell>
          <cell r="AJ150">
            <v>4290990800</v>
          </cell>
          <cell r="AK150">
            <v>4635407700</v>
          </cell>
          <cell r="AL150">
            <v>4655146800</v>
          </cell>
          <cell r="AM150">
            <v>4806024200</v>
          </cell>
          <cell r="AN150">
            <v>5154625400</v>
          </cell>
          <cell r="AO150">
            <v>5687370600</v>
          </cell>
          <cell r="AP150">
            <v>5883120100</v>
          </cell>
          <cell r="AQ150">
            <v>5188813700</v>
          </cell>
          <cell r="AR150">
            <v>5742683900</v>
          </cell>
          <cell r="AS150">
            <v>7178615500</v>
          </cell>
          <cell r="AT150">
            <v>7113294200</v>
          </cell>
          <cell r="AU150">
            <v>7373889700</v>
          </cell>
          <cell r="AV150">
            <v>8110160800</v>
          </cell>
          <cell r="AW150">
            <v>9371647600</v>
          </cell>
          <cell r="AX150">
            <v>11558025800</v>
          </cell>
          <cell r="AY150">
            <v>14053467300</v>
          </cell>
          <cell r="AZ150">
            <v>15872828400</v>
          </cell>
          <cell r="BA150">
            <v>22357146500</v>
          </cell>
          <cell r="BB150">
            <v>17481325800</v>
          </cell>
          <cell r="BC150">
            <v>20506073800</v>
          </cell>
          <cell r="BD150">
            <v>28206800000</v>
          </cell>
          <cell r="BE150">
            <v>31876400000</v>
          </cell>
          <cell r="BF150">
            <v>33336400000</v>
          </cell>
          <cell r="BG150">
            <v>33994700000</v>
          </cell>
          <cell r="BH150">
            <v>29400000000</v>
          </cell>
          <cell r="BI150">
            <v>28092500000</v>
          </cell>
          <cell r="BJ150">
            <v>29871200000</v>
          </cell>
          <cell r="BK150">
            <v>33154500000</v>
          </cell>
          <cell r="BL150">
            <v>31497700000</v>
          </cell>
          <cell r="BM150">
            <v>26368800000</v>
          </cell>
        </row>
        <row r="151">
          <cell r="B151" t="str">
            <v>PAK</v>
          </cell>
          <cell r="C151" t="str">
            <v>GNI (current LCU)</v>
          </cell>
          <cell r="D151" t="str">
            <v>NY.GNP.MKTP.CN</v>
          </cell>
          <cell r="E151">
            <v>17828002064</v>
          </cell>
          <cell r="F151">
            <v>19587002036</v>
          </cell>
          <cell r="G151">
            <v>20499999094</v>
          </cell>
          <cell r="H151">
            <v>21993998908</v>
          </cell>
          <cell r="I151">
            <v>24719997648</v>
          </cell>
          <cell r="J151">
            <v>28116001200</v>
          </cell>
          <cell r="K151">
            <v>31098998960</v>
          </cell>
          <cell r="L151">
            <v>35307905008</v>
          </cell>
          <cell r="M151">
            <v>37981714592</v>
          </cell>
          <cell r="N151">
            <v>40991857504</v>
          </cell>
          <cell r="O151">
            <v>47303381408</v>
          </cell>
          <cell r="P151">
            <v>50490106272</v>
          </cell>
          <cell r="Q151">
            <v>53890686528</v>
          </cell>
          <cell r="R151">
            <v>66660478400</v>
          </cell>
          <cell r="S151">
            <v>87373360000</v>
          </cell>
          <cell r="T151">
            <v>110239530048</v>
          </cell>
          <cell r="U151">
            <v>128936420096</v>
          </cell>
          <cell r="V151">
            <v>147957568529.43399</v>
          </cell>
          <cell r="W151">
            <v>174539549603.57401</v>
          </cell>
          <cell r="X151">
            <v>192602108167.65201</v>
          </cell>
          <cell r="Y151">
            <v>231385846527.39899</v>
          </cell>
          <cell r="Z151">
            <v>275600778625.99701</v>
          </cell>
          <cell r="AA151">
            <v>320758173314.11902</v>
          </cell>
          <cell r="AB151">
            <v>359015625759.36603</v>
          </cell>
          <cell r="AC151">
            <v>413807149464.47803</v>
          </cell>
          <cell r="AD151">
            <v>464448245346.50098</v>
          </cell>
          <cell r="AE151">
            <v>504149673239.258</v>
          </cell>
          <cell r="AF151">
            <v>560491542335.48499</v>
          </cell>
          <cell r="AG151">
            <v>660750024461.31995</v>
          </cell>
          <cell r="AH151">
            <v>752709277516.13196</v>
          </cell>
          <cell r="AI151">
            <v>835139603923.53699</v>
          </cell>
          <cell r="AJ151">
            <v>994454524100</v>
          </cell>
          <cell r="AK151">
            <v>1179760288200</v>
          </cell>
          <cell r="AL151">
            <v>1302502979300</v>
          </cell>
          <cell r="AM151">
            <v>1524663512800</v>
          </cell>
          <cell r="AN151">
            <v>1810981984900</v>
          </cell>
          <cell r="AO151">
            <v>2054307368700</v>
          </cell>
          <cell r="AP151">
            <v>2343277080400</v>
          </cell>
          <cell r="AQ151">
            <v>2576960848700</v>
          </cell>
          <cell r="AR151">
            <v>2854017177600</v>
          </cell>
          <cell r="AS151">
            <v>4138883250000</v>
          </cell>
          <cell r="AT151">
            <v>4501826800000</v>
          </cell>
          <cell r="AU151">
            <v>4777744980000</v>
          </cell>
          <cell r="AV151">
            <v>5244916730000</v>
          </cell>
          <cell r="AW151">
            <v>6076668010000</v>
          </cell>
          <cell r="AX151">
            <v>6984566172800</v>
          </cell>
          <cell r="AY151">
            <v>8056522447800</v>
          </cell>
          <cell r="AZ151">
            <v>9022594295600</v>
          </cell>
          <cell r="BA151">
            <v>10392402080500</v>
          </cell>
          <cell r="BB151">
            <v>12853764991900</v>
          </cell>
          <cell r="BC151">
            <v>14591584344400</v>
          </cell>
          <cell r="BD151">
            <v>18018278628700</v>
          </cell>
          <cell r="BE151">
            <v>19756590726500</v>
          </cell>
          <cell r="BF151">
            <v>22030438896000</v>
          </cell>
          <cell r="BG151">
            <v>24761445932500</v>
          </cell>
          <cell r="BH151">
            <v>26976537187000</v>
          </cell>
          <cell r="BI151">
            <v>28517920199500</v>
          </cell>
          <cell r="BJ151">
            <v>31396775576400</v>
          </cell>
          <cell r="BK151">
            <v>34017992228300</v>
          </cell>
          <cell r="BL151">
            <v>37320567000000</v>
          </cell>
          <cell r="BM151">
            <v>40692475000000</v>
          </cell>
        </row>
        <row r="152">
          <cell r="B152" t="str">
            <v>PLW</v>
          </cell>
          <cell r="C152" t="str">
            <v>GNI (current LCU)</v>
          </cell>
          <cell r="D152" t="str">
            <v>NY.GNP.MKTP.CN</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v>163487600</v>
          </cell>
          <cell r="AT152">
            <v>176651900</v>
          </cell>
          <cell r="AU152">
            <v>183768900</v>
          </cell>
          <cell r="AV152">
            <v>168765600</v>
          </cell>
          <cell r="AW152">
            <v>177862900</v>
          </cell>
          <cell r="AX152">
            <v>207038900</v>
          </cell>
          <cell r="AY152">
            <v>211444600</v>
          </cell>
          <cell r="AZ152">
            <v>221524400</v>
          </cell>
          <cell r="BA152">
            <v>222070100</v>
          </cell>
          <cell r="BB152">
            <v>202576600</v>
          </cell>
          <cell r="BC152">
            <v>201656100</v>
          </cell>
          <cell r="BD152">
            <v>213211100</v>
          </cell>
          <cell r="BE152">
            <v>230547900</v>
          </cell>
          <cell r="BF152">
            <v>240525000</v>
          </cell>
          <cell r="BG152">
            <v>260028100</v>
          </cell>
          <cell r="BH152">
            <v>302277700</v>
          </cell>
          <cell r="BI152">
            <v>323893500</v>
          </cell>
          <cell r="BJ152">
            <v>303597100</v>
          </cell>
          <cell r="BK152">
            <v>305978900</v>
          </cell>
          <cell r="BL152">
            <v>292047700</v>
          </cell>
          <cell r="BM152">
            <v>262400000</v>
          </cell>
        </row>
        <row r="153">
          <cell r="B153" t="str">
            <v>PAN</v>
          </cell>
          <cell r="C153" t="str">
            <v>GNI (current LCU)</v>
          </cell>
          <cell r="D153" t="str">
            <v>NY.GNP.MKTP.CN</v>
          </cell>
          <cell r="E153">
            <v>476969600</v>
          </cell>
          <cell r="F153">
            <v>535851800</v>
          </cell>
          <cell r="G153">
            <v>585984500</v>
          </cell>
          <cell r="H153">
            <v>651251500</v>
          </cell>
          <cell r="I153">
            <v>703985400</v>
          </cell>
          <cell r="J153">
            <v>761567000</v>
          </cell>
          <cell r="K153">
            <v>830854100</v>
          </cell>
          <cell r="L153">
            <v>919886800</v>
          </cell>
          <cell r="M153">
            <v>988582800</v>
          </cell>
          <cell r="N153">
            <v>1087902200</v>
          </cell>
          <cell r="O153">
            <v>1205311900</v>
          </cell>
          <cell r="P153">
            <v>1359929100</v>
          </cell>
          <cell r="Q153">
            <v>1494068100</v>
          </cell>
          <cell r="R153">
            <v>1705515700</v>
          </cell>
          <cell r="S153">
            <v>1938411000</v>
          </cell>
          <cell r="T153">
            <v>2206931300</v>
          </cell>
          <cell r="U153">
            <v>2303264100</v>
          </cell>
          <cell r="V153">
            <v>2778461900</v>
          </cell>
          <cell r="W153">
            <v>3311658600</v>
          </cell>
          <cell r="X153">
            <v>3741951600</v>
          </cell>
          <cell r="Y153">
            <v>4217386400</v>
          </cell>
          <cell r="Z153">
            <v>4705621500</v>
          </cell>
          <cell r="AA153">
            <v>5445367900</v>
          </cell>
          <cell r="AB153">
            <v>5838755900</v>
          </cell>
          <cell r="AC153">
            <v>5878087100</v>
          </cell>
          <cell r="AD153">
            <v>6390017100</v>
          </cell>
          <cell r="AE153">
            <v>6382234200</v>
          </cell>
          <cell r="AF153">
            <v>7004265300</v>
          </cell>
          <cell r="AG153">
            <v>5814883400</v>
          </cell>
          <cell r="AH153">
            <v>5652069800</v>
          </cell>
          <cell r="AI153">
            <v>6178567000</v>
          </cell>
          <cell r="AJ153">
            <v>6642275500</v>
          </cell>
          <cell r="AK153">
            <v>7641337700</v>
          </cell>
          <cell r="AL153">
            <v>8496985400</v>
          </cell>
          <cell r="AM153">
            <v>9142989800</v>
          </cell>
          <cell r="AN153">
            <v>9107913700</v>
          </cell>
          <cell r="AO153">
            <v>9621294000</v>
          </cell>
          <cell r="AP153">
            <v>10277686100</v>
          </cell>
          <cell r="AQ153">
            <v>11058186400</v>
          </cell>
          <cell r="AR153">
            <v>11439152200</v>
          </cell>
          <cell r="AS153">
            <v>11743915000</v>
          </cell>
          <cell r="AT153">
            <v>11911913400</v>
          </cell>
          <cell r="AU153">
            <v>12722010400</v>
          </cell>
          <cell r="AV153">
            <v>12885281200</v>
          </cell>
          <cell r="AW153">
            <v>13992981700</v>
          </cell>
          <cell r="AX153">
            <v>15207493900</v>
          </cell>
          <cell r="AY153">
            <v>16840666300</v>
          </cell>
          <cell r="AZ153">
            <v>20041684230.256401</v>
          </cell>
          <cell r="BA153">
            <v>23648788616.321999</v>
          </cell>
          <cell r="BB153">
            <v>25668635565.174198</v>
          </cell>
          <cell r="BC153">
            <v>27128987581.267502</v>
          </cell>
          <cell r="BD153">
            <v>32772224301.177299</v>
          </cell>
          <cell r="BE153">
            <v>37691434384.218399</v>
          </cell>
          <cell r="BF153">
            <v>42692594004.887299</v>
          </cell>
          <cell r="BG153">
            <v>45567364365.320396</v>
          </cell>
          <cell r="BH153">
            <v>50640813775.5634</v>
          </cell>
          <cell r="BI153">
            <v>53770544466.419197</v>
          </cell>
          <cell r="BJ153">
            <v>58442879412.4646</v>
          </cell>
          <cell r="BK153">
            <v>60383646744.126602</v>
          </cell>
          <cell r="BL153">
            <v>62482129503.990997</v>
          </cell>
          <cell r="BM153">
            <v>52307035334.022903</v>
          </cell>
        </row>
        <row r="154">
          <cell r="B154" t="str">
            <v>PNG</v>
          </cell>
          <cell r="C154" t="str">
            <v>GNI (current LCU)</v>
          </cell>
          <cell r="D154" t="str">
            <v>NY.GNP.MKTP.CN</v>
          </cell>
          <cell r="E154">
            <v>203600200</v>
          </cell>
          <cell r="F154">
            <v>216100200</v>
          </cell>
          <cell r="G154">
            <v>231300200</v>
          </cell>
          <cell r="H154">
            <v>244400200</v>
          </cell>
          <cell r="I154">
            <v>269900000</v>
          </cell>
          <cell r="J154">
            <v>304500000</v>
          </cell>
          <cell r="K154">
            <v>347200000</v>
          </cell>
          <cell r="L154">
            <v>392699900</v>
          </cell>
          <cell r="M154">
            <v>429899800</v>
          </cell>
          <cell r="N154">
            <v>485899800</v>
          </cell>
          <cell r="O154">
            <v>558800100</v>
          </cell>
          <cell r="P154">
            <v>602600200</v>
          </cell>
          <cell r="Q154">
            <v>680800000</v>
          </cell>
          <cell r="R154">
            <v>856899800</v>
          </cell>
          <cell r="S154">
            <v>947200000</v>
          </cell>
          <cell r="T154">
            <v>980999900</v>
          </cell>
          <cell r="U154">
            <v>1158199900</v>
          </cell>
          <cell r="V154">
            <v>1271800000</v>
          </cell>
          <cell r="W154">
            <v>1361500000</v>
          </cell>
          <cell r="X154">
            <v>1594600100</v>
          </cell>
          <cell r="Y154">
            <v>1668000000</v>
          </cell>
          <cell r="Z154">
            <v>1622500000</v>
          </cell>
          <cell r="AA154">
            <v>1661100000</v>
          </cell>
          <cell r="AB154">
            <v>2023200000</v>
          </cell>
          <cell r="AC154">
            <v>2220900100</v>
          </cell>
          <cell r="AD154">
            <v>2335400100</v>
          </cell>
          <cell r="AE154">
            <v>2500200000</v>
          </cell>
          <cell r="AF154">
            <v>2723799900</v>
          </cell>
          <cell r="AG154">
            <v>3048000000</v>
          </cell>
          <cell r="AH154">
            <v>2930700000</v>
          </cell>
          <cell r="AI154">
            <v>2958300000</v>
          </cell>
          <cell r="AJ154">
            <v>3487700000</v>
          </cell>
          <cell r="AK154">
            <v>3838353800</v>
          </cell>
          <cell r="AL154">
            <v>4442809600</v>
          </cell>
          <cell r="AM154">
            <v>5122988200</v>
          </cell>
          <cell r="AN154">
            <v>5839149100</v>
          </cell>
          <cell r="AO154">
            <v>6187097700</v>
          </cell>
          <cell r="AP154">
            <v>6615325400</v>
          </cell>
          <cell r="AQ154">
            <v>7256353600</v>
          </cell>
          <cell r="AR154">
            <v>8103870000</v>
          </cell>
          <cell r="AS154">
            <v>9131535500</v>
          </cell>
          <cell r="AT154">
            <v>9554541000</v>
          </cell>
          <cell r="AU154">
            <v>10777831300</v>
          </cell>
          <cell r="AV154">
            <v>11122125500</v>
          </cell>
          <cell r="AW154">
            <v>11465919500</v>
          </cell>
          <cell r="AX154">
            <v>14044624700</v>
          </cell>
          <cell r="AY154">
            <v>23018923000</v>
          </cell>
          <cell r="AZ154">
            <v>26168697300</v>
          </cell>
          <cell r="BA154">
            <v>29773437600</v>
          </cell>
          <cell r="BB154">
            <v>29655955600</v>
          </cell>
          <cell r="BC154">
            <v>35846982900</v>
          </cell>
          <cell r="BD154">
            <v>38583246300</v>
          </cell>
          <cell r="BE154">
            <v>42084689700</v>
          </cell>
          <cell r="BF154">
            <v>43861158700</v>
          </cell>
          <cell r="BG154">
            <v>56141974000</v>
          </cell>
          <cell r="BH154">
            <v>59044111700</v>
          </cell>
          <cell r="BI154">
            <v>64317987500</v>
          </cell>
          <cell r="BJ154">
            <v>71091843100</v>
          </cell>
          <cell r="BK154">
            <v>77371974100</v>
          </cell>
          <cell r="BL154">
            <v>80308367170.596695</v>
          </cell>
          <cell r="BM154">
            <v>84419178771.334106</v>
          </cell>
        </row>
        <row r="155">
          <cell r="B155" t="str">
            <v>PRY</v>
          </cell>
          <cell r="C155" t="str">
            <v>GNI (current LCU)</v>
          </cell>
          <cell r="D155" t="str">
            <v>NY.GNP.MKTP.CN</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v>16030201868800</v>
          </cell>
          <cell r="AO155">
            <v>19149586594800</v>
          </cell>
          <cell r="AP155">
            <v>19905632076300</v>
          </cell>
          <cell r="AQ155">
            <v>23208368392700</v>
          </cell>
          <cell r="AR155">
            <v>25270284800100</v>
          </cell>
          <cell r="AS155">
            <v>26991655133000</v>
          </cell>
          <cell r="AT155">
            <v>31092216235500</v>
          </cell>
          <cell r="AU155">
            <v>37717056209800</v>
          </cell>
          <cell r="AV155">
            <v>42037220366500</v>
          </cell>
          <cell r="AW155">
            <v>49841969046000</v>
          </cell>
          <cell r="AX155">
            <v>57846122347100</v>
          </cell>
          <cell r="AY155">
            <v>68238627769900</v>
          </cell>
          <cell r="AZ155">
            <v>84861398125200</v>
          </cell>
          <cell r="BA155">
            <v>102561270052800</v>
          </cell>
          <cell r="BB155">
            <v>105673984445600</v>
          </cell>
          <cell r="BC155">
            <v>122881644622700</v>
          </cell>
          <cell r="BD155">
            <v>136506360780600</v>
          </cell>
          <cell r="BE155">
            <v>140834145561000</v>
          </cell>
          <cell r="BF155">
            <v>159716156395400</v>
          </cell>
          <cell r="BG155">
            <v>173656601505800</v>
          </cell>
          <cell r="BH155">
            <v>181394525352300</v>
          </cell>
          <cell r="BI155">
            <v>196444694751300</v>
          </cell>
          <cell r="BJ155">
            <v>211874914593100</v>
          </cell>
          <cell r="BK155">
            <v>222848323357400</v>
          </cell>
          <cell r="BL155">
            <v>229498771465300</v>
          </cell>
          <cell r="BM155">
            <v>234249352042500</v>
          </cell>
        </row>
        <row r="156">
          <cell r="B156" t="str">
            <v>PER</v>
          </cell>
          <cell r="C156" t="str">
            <v>GNI (current LCU)</v>
          </cell>
          <cell r="D156" t="str">
            <v>NY.GNP.MKTP.CN</v>
          </cell>
          <cell r="E156">
            <v>66.437728138799997</v>
          </cell>
          <cell r="F156">
            <v>73.819295272000005</v>
          </cell>
          <cell r="G156">
            <v>84.369604174700001</v>
          </cell>
          <cell r="H156">
            <v>92.666548216600006</v>
          </cell>
          <cell r="I156">
            <v>111.9658298587</v>
          </cell>
          <cell r="J156">
            <v>133.35722644800001</v>
          </cell>
          <cell r="K156">
            <v>157.17460237029999</v>
          </cell>
          <cell r="L156">
            <v>179.28355553989999</v>
          </cell>
          <cell r="M156">
            <v>211.34155874460001</v>
          </cell>
          <cell r="N156">
            <v>236.5658594379</v>
          </cell>
          <cell r="O156">
            <v>276.8644688402</v>
          </cell>
          <cell r="P156">
            <v>310.1283908936</v>
          </cell>
          <cell r="Q156">
            <v>343.693835847</v>
          </cell>
          <cell r="R156">
            <v>410.02071404470001</v>
          </cell>
          <cell r="S156">
            <v>518.45507356840005</v>
          </cell>
          <cell r="T156">
            <v>659.95246279330001</v>
          </cell>
          <cell r="U156">
            <v>859.73700990120005</v>
          </cell>
          <cell r="V156">
            <v>1195.6081689826999</v>
          </cell>
          <cell r="W156">
            <v>1872.0217138446001</v>
          </cell>
          <cell r="X156">
            <v>3384.7962146469999</v>
          </cell>
          <cell r="Y156">
            <v>5000.9571049635997</v>
          </cell>
          <cell r="Z156">
            <v>8755.2555696634008</v>
          </cell>
          <cell r="AA156">
            <v>14553.5491152387</v>
          </cell>
          <cell r="AB156">
            <v>26539.560679637099</v>
          </cell>
          <cell r="AC156">
            <v>57219.356080981401</v>
          </cell>
          <cell r="AD156">
            <v>156519.64463506101</v>
          </cell>
          <cell r="AE156">
            <v>284272.83860429598</v>
          </cell>
          <cell r="AF156">
            <v>584575.81198148895</v>
          </cell>
          <cell r="AG156">
            <v>3498378.1394568901</v>
          </cell>
          <cell r="AH156">
            <v>84088213.0798354</v>
          </cell>
          <cell r="AI156">
            <v>5133518573.8570805</v>
          </cell>
          <cell r="AJ156">
            <v>26034806000</v>
          </cell>
          <cell r="AK156">
            <v>43635470000</v>
          </cell>
          <cell r="AL156">
            <v>66940566100</v>
          </cell>
          <cell r="AM156">
            <v>94776585100</v>
          </cell>
          <cell r="AN156">
            <v>115232353000</v>
          </cell>
          <cell r="AO156">
            <v>131594996700</v>
          </cell>
          <cell r="AP156">
            <v>150793741500</v>
          </cell>
          <cell r="AQ156">
            <v>159847005900</v>
          </cell>
          <cell r="AR156">
            <v>166917924100</v>
          </cell>
          <cell r="AS156">
            <v>176534672700</v>
          </cell>
          <cell r="AT156">
            <v>179549291600</v>
          </cell>
          <cell r="AU156">
            <v>188494552700</v>
          </cell>
          <cell r="AV156">
            <v>197853340400</v>
          </cell>
          <cell r="AW156">
            <v>216418775800</v>
          </cell>
          <cell r="AX156">
            <v>235173505700</v>
          </cell>
          <cell r="AY156">
            <v>266824863000</v>
          </cell>
          <cell r="AZ156">
            <v>294992000000</v>
          </cell>
          <cell r="BA156">
            <v>328417000000</v>
          </cell>
          <cell r="BB156">
            <v>341305000000</v>
          </cell>
          <cell r="BC156">
            <v>386171000000</v>
          </cell>
          <cell r="BD156">
            <v>438131000000</v>
          </cell>
          <cell r="BE156">
            <v>476130000000</v>
          </cell>
          <cell r="BF156">
            <v>515550000000</v>
          </cell>
          <cell r="BG156">
            <v>544232000000</v>
          </cell>
          <cell r="BH156">
            <v>583720000000</v>
          </cell>
          <cell r="BI156">
            <v>620811000000</v>
          </cell>
          <cell r="BJ156">
            <v>656336000000</v>
          </cell>
          <cell r="BK156">
            <v>694968000000</v>
          </cell>
          <cell r="BL156">
            <v>729701000000</v>
          </cell>
          <cell r="BM156">
            <v>684455000000</v>
          </cell>
        </row>
        <row r="157">
          <cell r="B157" t="str">
            <v>PHL</v>
          </cell>
          <cell r="C157" t="str">
            <v>GNI (current LCU)</v>
          </cell>
          <cell r="D157" t="str">
            <v>NY.GNP.MKTP.CN</v>
          </cell>
          <cell r="E157">
            <v>14953320600.7607</v>
          </cell>
          <cell r="F157">
            <v>16400034595.5779</v>
          </cell>
          <cell r="G157">
            <v>18415866192.139999</v>
          </cell>
          <cell r="H157">
            <v>21462717587.258202</v>
          </cell>
          <cell r="I157">
            <v>23194471898.4147</v>
          </cell>
          <cell r="J157">
            <v>25356237759.965801</v>
          </cell>
          <cell r="K157">
            <v>27951268962.412601</v>
          </cell>
          <cell r="L157">
            <v>30032838347.0905</v>
          </cell>
          <cell r="M157">
            <v>33286512150.502602</v>
          </cell>
          <cell r="N157">
            <v>37023320045.192596</v>
          </cell>
          <cell r="O157">
            <v>43863664901.336899</v>
          </cell>
          <cell r="P157">
            <v>53214501729.145699</v>
          </cell>
          <cell r="Q157">
            <v>59677008489.888603</v>
          </cell>
          <cell r="R157">
            <v>76332145734.945496</v>
          </cell>
          <cell r="S157">
            <v>105572380196.01199</v>
          </cell>
          <cell r="T157">
            <v>121398995946.812</v>
          </cell>
          <cell r="U157">
            <v>142315433481.31699</v>
          </cell>
          <cell r="V157">
            <v>163914164033.306</v>
          </cell>
          <cell r="W157">
            <v>188756568565.086</v>
          </cell>
          <cell r="X157">
            <v>228669350012.181</v>
          </cell>
          <cell r="Y157">
            <v>273484373146.97699</v>
          </cell>
          <cell r="Z157">
            <v>315767882183.59399</v>
          </cell>
          <cell r="AA157">
            <v>351523576286.75403</v>
          </cell>
          <cell r="AB157">
            <v>410061258821.22101</v>
          </cell>
          <cell r="AC157">
            <v>572017341878.55396</v>
          </cell>
          <cell r="AD157">
            <v>626034466612.89502</v>
          </cell>
          <cell r="AE157">
            <v>665922949271.75403</v>
          </cell>
          <cell r="AF157">
            <v>752169927253.88696</v>
          </cell>
          <cell r="AG157">
            <v>884713389736.15503</v>
          </cell>
          <cell r="AH157">
            <v>1022206072970.76</v>
          </cell>
          <cell r="AI157">
            <v>1209794687935.1001</v>
          </cell>
          <cell r="AJ157">
            <v>1417241958300.8</v>
          </cell>
          <cell r="AK157">
            <v>1556474484139.27</v>
          </cell>
          <cell r="AL157">
            <v>1707479610221.78</v>
          </cell>
          <cell r="AM157">
            <v>1981534180868.8999</v>
          </cell>
          <cell r="AN157">
            <v>2236498446014.7598</v>
          </cell>
          <cell r="AO157">
            <v>2567343512694.48</v>
          </cell>
          <cell r="AP157">
            <v>2911327252807.7998</v>
          </cell>
          <cell r="AQ157">
            <v>3471463375360.7798</v>
          </cell>
          <cell r="AR157">
            <v>3795385183600.1899</v>
          </cell>
          <cell r="AS157">
            <v>4046157000000</v>
          </cell>
          <cell r="AT157">
            <v>4409762599400</v>
          </cell>
          <cell r="AU157">
            <v>4765325820600</v>
          </cell>
          <cell r="AV157">
            <v>5161805552500</v>
          </cell>
          <cell r="AW157">
            <v>5820513912900</v>
          </cell>
          <cell r="AX157">
            <v>6494795134500</v>
          </cell>
          <cell r="AY157">
            <v>7152909599100</v>
          </cell>
          <cell r="AZ157">
            <v>7844731502900</v>
          </cell>
          <cell r="BA157">
            <v>8804328938100</v>
          </cell>
          <cell r="BB157">
            <v>9359393365300</v>
          </cell>
          <cell r="BC157">
            <v>10454049434900</v>
          </cell>
          <cell r="BD157">
            <v>11239557234400</v>
          </cell>
          <cell r="BE157">
            <v>12281136087400</v>
          </cell>
          <cell r="BF157">
            <v>13467665698400</v>
          </cell>
          <cell r="BG157">
            <v>14728818043700</v>
          </cell>
          <cell r="BH157">
            <v>15537710340900</v>
          </cell>
          <cell r="BI157">
            <v>16812934317100</v>
          </cell>
          <cell r="BJ157">
            <v>18383179108100</v>
          </cell>
          <cell r="BK157">
            <v>20212348916200</v>
          </cell>
          <cell r="BL157">
            <v>21472060352800</v>
          </cell>
          <cell r="BM157">
            <v>19319847551000</v>
          </cell>
        </row>
        <row r="158">
          <cell r="B158" t="str">
            <v>POL</v>
          </cell>
          <cell r="C158" t="str">
            <v>GNI (current LCU)</v>
          </cell>
          <cell r="D158" t="str">
            <v>NY.GNP.MKTP.CN</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v>59462160800</v>
          </cell>
          <cell r="AJ158">
            <v>87422814000</v>
          </cell>
          <cell r="AK158">
            <v>122912699000</v>
          </cell>
          <cell r="AL158">
            <v>167729885400</v>
          </cell>
          <cell r="AM158">
            <v>245999022800</v>
          </cell>
          <cell r="AN158">
            <v>340225000000</v>
          </cell>
          <cell r="AO158">
            <v>428997000000</v>
          </cell>
          <cell r="AP158">
            <v>518890000000</v>
          </cell>
          <cell r="AQ158">
            <v>602984000000</v>
          </cell>
          <cell r="AR158">
            <v>670522000000</v>
          </cell>
          <cell r="AS158">
            <v>745315000000</v>
          </cell>
          <cell r="AT158">
            <v>779040000000</v>
          </cell>
          <cell r="AU158">
            <v>809480000000</v>
          </cell>
          <cell r="AV158">
            <v>838967000000</v>
          </cell>
          <cell r="AW158">
            <v>903353000000</v>
          </cell>
          <cell r="AX158">
            <v>972996000000</v>
          </cell>
          <cell r="AY158">
            <v>1046638000000</v>
          </cell>
          <cell r="AZ158">
            <v>1147346000000</v>
          </cell>
          <cell r="BA158">
            <v>1262649000000</v>
          </cell>
          <cell r="BB158">
            <v>1330526000000</v>
          </cell>
          <cell r="BC158">
            <v>1395274000000</v>
          </cell>
          <cell r="BD158">
            <v>1508866000000</v>
          </cell>
          <cell r="BE158">
            <v>1562647000000</v>
          </cell>
          <cell r="BF158">
            <v>1591098000000</v>
          </cell>
          <cell r="BG158">
            <v>1647171000000</v>
          </cell>
          <cell r="BH158">
            <v>1735477000000</v>
          </cell>
          <cell r="BI158">
            <v>1790107000000</v>
          </cell>
          <cell r="BJ158">
            <v>1907275000000</v>
          </cell>
          <cell r="BK158">
            <v>2033872000000</v>
          </cell>
          <cell r="BL158">
            <v>2199171000000</v>
          </cell>
          <cell r="BM158">
            <v>2242287000000</v>
          </cell>
        </row>
        <row r="159">
          <cell r="B159" t="str">
            <v>PRT</v>
          </cell>
          <cell r="C159" t="str">
            <v>GNI (current LCU)</v>
          </cell>
          <cell r="D159" t="str">
            <v>NY.GNP.MKTP.CN</v>
          </cell>
          <cell r="E159">
            <v>450892640</v>
          </cell>
          <cell r="F159">
            <v>481945856</v>
          </cell>
          <cell r="G159">
            <v>516725376</v>
          </cell>
          <cell r="H159">
            <v>550884160</v>
          </cell>
          <cell r="I159">
            <v>601811456</v>
          </cell>
          <cell r="J159">
            <v>672612672</v>
          </cell>
          <cell r="K159">
            <v>733629440</v>
          </cell>
          <cell r="L159">
            <v>821896000</v>
          </cell>
          <cell r="M159">
            <v>909440704</v>
          </cell>
          <cell r="N159">
            <v>999588160</v>
          </cell>
          <cell r="O159">
            <v>1173075000</v>
          </cell>
          <cell r="P159">
            <v>1309801000</v>
          </cell>
          <cell r="Q159">
            <v>1525832000</v>
          </cell>
          <cell r="R159">
            <v>1866604000</v>
          </cell>
          <cell r="S159">
            <v>2248994000</v>
          </cell>
          <cell r="T159">
            <v>2473944000</v>
          </cell>
          <cell r="U159">
            <v>3051599000</v>
          </cell>
          <cell r="V159">
            <v>4063424000</v>
          </cell>
          <cell r="W159">
            <v>5073728000</v>
          </cell>
          <cell r="X159">
            <v>6384929000</v>
          </cell>
          <cell r="Y159">
            <v>8045353000</v>
          </cell>
          <cell r="Z159">
            <v>9462234000</v>
          </cell>
          <cell r="AA159">
            <v>11471013000</v>
          </cell>
          <cell r="AB159">
            <v>14323944000</v>
          </cell>
          <cell r="AC159">
            <v>17345355000</v>
          </cell>
          <cell r="AD159">
            <v>21880134000</v>
          </cell>
          <cell r="AE159">
            <v>28030701000</v>
          </cell>
          <cell r="AF159">
            <v>33184548000</v>
          </cell>
          <cell r="AG159">
            <v>39960150000</v>
          </cell>
          <cell r="AH159">
            <v>47245248000</v>
          </cell>
          <cell r="AI159">
            <v>55941647000</v>
          </cell>
          <cell r="AJ159">
            <v>64417065000</v>
          </cell>
          <cell r="AK159">
            <v>72911062000</v>
          </cell>
          <cell r="AL159">
            <v>76753430000</v>
          </cell>
          <cell r="AM159">
            <v>82780782000</v>
          </cell>
          <cell r="AN159">
            <v>89721088000</v>
          </cell>
          <cell r="AO159">
            <v>94905634000</v>
          </cell>
          <cell r="AP159">
            <v>102192437000</v>
          </cell>
          <cell r="AQ159">
            <v>111028530000</v>
          </cell>
          <cell r="AR159">
            <v>119213304000</v>
          </cell>
          <cell r="AS159">
            <v>126333069000</v>
          </cell>
          <cell r="AT159">
            <v>133446521000</v>
          </cell>
          <cell r="AU159">
            <v>140395882000</v>
          </cell>
          <cell r="AV159">
            <v>144603159000</v>
          </cell>
          <cell r="AW159">
            <v>150335452000</v>
          </cell>
          <cell r="AX159">
            <v>156446757000</v>
          </cell>
          <cell r="AY159">
            <v>161538125000</v>
          </cell>
          <cell r="AZ159">
            <v>170442066000</v>
          </cell>
          <cell r="BA159">
            <v>173094648000</v>
          </cell>
          <cell r="BB159">
            <v>169556883000</v>
          </cell>
          <cell r="BC159">
            <v>173896059000</v>
          </cell>
          <cell r="BD159">
            <v>173242829000</v>
          </cell>
          <cell r="BE159">
            <v>164311693000</v>
          </cell>
          <cell r="BF159">
            <v>168213113000</v>
          </cell>
          <cell r="BG159">
            <v>169513182000</v>
          </cell>
          <cell r="BH159">
            <v>174892487000</v>
          </cell>
          <cell r="BI159">
            <v>181959589000</v>
          </cell>
          <cell r="BJ159">
            <v>191347643000</v>
          </cell>
          <cell r="BK159">
            <v>200173171000</v>
          </cell>
          <cell r="BL159">
            <v>208805890000</v>
          </cell>
          <cell r="BM159">
            <v>196928116000</v>
          </cell>
        </row>
        <row r="160">
          <cell r="B160" t="str">
            <v>PRI</v>
          </cell>
          <cell r="C160" t="str">
            <v>GNI (current LCU)</v>
          </cell>
          <cell r="D160" t="str">
            <v>NY.GNP.MKTP.CN</v>
          </cell>
          <cell r="E160">
            <v>1676400000</v>
          </cell>
          <cell r="F160">
            <v>1833900000</v>
          </cell>
          <cell r="G160">
            <v>2047400000</v>
          </cell>
          <cell r="H160">
            <v>2271100000</v>
          </cell>
          <cell r="I160">
            <v>2487900000</v>
          </cell>
          <cell r="J160">
            <v>2763900000</v>
          </cell>
          <cell r="K160">
            <v>3019400000</v>
          </cell>
          <cell r="L160">
            <v>3307000000</v>
          </cell>
          <cell r="M160">
            <v>3683500000</v>
          </cell>
          <cell r="N160">
            <v>4166900000</v>
          </cell>
          <cell r="O160">
            <v>4687500000</v>
          </cell>
          <cell r="P160">
            <v>5248400000</v>
          </cell>
          <cell r="Q160">
            <v>5767900000</v>
          </cell>
          <cell r="R160">
            <v>6303000000</v>
          </cell>
          <cell r="S160">
            <v>6811600000</v>
          </cell>
          <cell r="T160">
            <v>7174600000</v>
          </cell>
          <cell r="U160">
            <v>7549800000</v>
          </cell>
          <cell r="V160">
            <v>8181700000</v>
          </cell>
          <cell r="W160">
            <v>8996700000</v>
          </cell>
          <cell r="X160">
            <v>10037000000</v>
          </cell>
          <cell r="Y160">
            <v>11064600000</v>
          </cell>
          <cell r="Z160">
            <v>12211700000</v>
          </cell>
          <cell r="AA160">
            <v>12693500000</v>
          </cell>
          <cell r="AB160">
            <v>13048500000</v>
          </cell>
          <cell r="AC160">
            <v>14183000000</v>
          </cell>
          <cell r="AD160">
            <v>15002200000</v>
          </cell>
          <cell r="AE160">
            <v>16054300000</v>
          </cell>
          <cell r="AF160">
            <v>17300500000</v>
          </cell>
          <cell r="AG160">
            <v>18681500000</v>
          </cell>
          <cell r="AH160">
            <v>20051400000</v>
          </cell>
          <cell r="AI160">
            <v>21619119000</v>
          </cell>
          <cell r="AJ160">
            <v>22808954000</v>
          </cell>
          <cell r="AK160">
            <v>23696441000</v>
          </cell>
          <cell r="AL160">
            <v>25132937000</v>
          </cell>
          <cell r="AM160">
            <v>26640911000</v>
          </cell>
          <cell r="AN160">
            <v>28452346000</v>
          </cell>
          <cell r="AO160">
            <v>30356951000</v>
          </cell>
          <cell r="AP160">
            <v>32342706000</v>
          </cell>
          <cell r="AQ160">
            <v>35110700000</v>
          </cell>
          <cell r="AR160">
            <v>38281200000</v>
          </cell>
          <cell r="AS160">
            <v>41418600000</v>
          </cell>
          <cell r="AT160">
            <v>44046600000</v>
          </cell>
          <cell r="AU160">
            <v>45071300000</v>
          </cell>
          <cell r="AV160">
            <v>47479400000</v>
          </cell>
          <cell r="AW160">
            <v>51826517000</v>
          </cell>
          <cell r="AX160">
            <v>54861880300</v>
          </cell>
          <cell r="AY160">
            <v>57854319400</v>
          </cell>
          <cell r="AZ160">
            <v>60642710600</v>
          </cell>
          <cell r="BA160">
            <v>62703100000</v>
          </cell>
          <cell r="BB160">
            <v>63617900000</v>
          </cell>
          <cell r="BC160">
            <v>64294600000</v>
          </cell>
          <cell r="BD160">
            <v>65720700000</v>
          </cell>
          <cell r="BE160">
            <v>68085700000</v>
          </cell>
          <cell r="BF160">
            <v>68944900000</v>
          </cell>
          <cell r="BG160">
            <v>68797500000</v>
          </cell>
          <cell r="BH160">
            <v>69602000000</v>
          </cell>
          <cell r="BI160">
            <v>69985200000</v>
          </cell>
          <cell r="BJ160">
            <v>69049500000</v>
          </cell>
          <cell r="BK160">
            <v>67739500000</v>
          </cell>
          <cell r="BL160">
            <v>70765000000</v>
          </cell>
          <cell r="BM160">
            <v>70186900000</v>
          </cell>
        </row>
        <row r="161">
          <cell r="B161" t="str">
            <v>QAT</v>
          </cell>
          <cell r="C161" t="str">
            <v>GNI (current LCU)</v>
          </cell>
          <cell r="D161" t="str">
            <v>NY.GNP.MKTP.CN</v>
          </cell>
          <cell r="E161" t="str">
            <v>..</v>
          </cell>
          <cell r="F161" t="str">
            <v>..</v>
          </cell>
          <cell r="G161" t="str">
            <v>..</v>
          </cell>
          <cell r="H161" t="str">
            <v>..</v>
          </cell>
          <cell r="I161" t="str">
            <v>..</v>
          </cell>
          <cell r="J161" t="str">
            <v>..</v>
          </cell>
          <cell r="K161" t="str">
            <v>..</v>
          </cell>
          <cell r="L161" t="str">
            <v>..</v>
          </cell>
          <cell r="M161" t="str">
            <v>..</v>
          </cell>
          <cell r="N161" t="str">
            <v>..</v>
          </cell>
          <cell r="O161">
            <v>1370400000</v>
          </cell>
          <cell r="P161">
            <v>1688900000</v>
          </cell>
          <cell r="Q161">
            <v>1962000000</v>
          </cell>
          <cell r="R161">
            <v>2753999900</v>
          </cell>
          <cell r="S161">
            <v>9313300500</v>
          </cell>
          <cell r="T161">
            <v>9444999200</v>
          </cell>
          <cell r="U161">
            <v>11959000100</v>
          </cell>
          <cell r="V161">
            <v>12547999700</v>
          </cell>
          <cell r="W161">
            <v>14096199700</v>
          </cell>
          <cell r="X161">
            <v>19497001000</v>
          </cell>
          <cell r="Y161">
            <v>30609399800</v>
          </cell>
          <cell r="Z161">
            <v>33474400300</v>
          </cell>
          <cell r="AA161">
            <v>29646700500</v>
          </cell>
          <cell r="AB161">
            <v>25212801000</v>
          </cell>
          <cell r="AC161">
            <v>25745999900</v>
          </cell>
          <cell r="AD161">
            <v>24466999300</v>
          </cell>
          <cell r="AE161">
            <v>20664000500</v>
          </cell>
          <cell r="AF161">
            <v>21567000600</v>
          </cell>
          <cell r="AG161">
            <v>23074601000</v>
          </cell>
          <cell r="AH161">
            <v>24336699400</v>
          </cell>
          <cell r="AI161">
            <v>27596400600</v>
          </cell>
          <cell r="AJ161">
            <v>25784000500</v>
          </cell>
          <cell r="AK161">
            <v>28643000300</v>
          </cell>
          <cell r="AL161">
            <v>26808999900</v>
          </cell>
          <cell r="AM161">
            <v>27625105400</v>
          </cell>
          <cell r="AN161">
            <v>30485073900</v>
          </cell>
          <cell r="AO161">
            <v>33936797700</v>
          </cell>
          <cell r="AP161">
            <v>42322198500</v>
          </cell>
          <cell r="AQ161">
            <v>37036001900</v>
          </cell>
          <cell r="AR161">
            <v>44678000000</v>
          </cell>
          <cell r="AS161">
            <v>59552000000</v>
          </cell>
          <cell r="AT161">
            <v>61278000000</v>
          </cell>
          <cell r="AU161">
            <v>67218000000</v>
          </cell>
          <cell r="AV161">
            <v>84147000000</v>
          </cell>
          <cell r="AW161">
            <v>107352000000</v>
          </cell>
          <cell r="AX161">
            <v>141286000000</v>
          </cell>
          <cell r="AY161">
            <v>209670000000</v>
          </cell>
          <cell r="AZ161">
            <v>274722000000</v>
          </cell>
          <cell r="BA161">
            <v>394969000000</v>
          </cell>
          <cell r="BB161">
            <v>321724000000</v>
          </cell>
          <cell r="BC161">
            <v>408330000000</v>
          </cell>
          <cell r="BD161">
            <v>562395494800</v>
          </cell>
          <cell r="BE161">
            <v>635939948600</v>
          </cell>
          <cell r="BF161">
            <v>685644620400</v>
          </cell>
          <cell r="BG161">
            <v>716803538800</v>
          </cell>
          <cell r="BH161">
            <v>575755438300</v>
          </cell>
          <cell r="BI161">
            <v>548267142000</v>
          </cell>
          <cell r="BJ161">
            <v>584873804900</v>
          </cell>
          <cell r="BK161">
            <v>653706231900</v>
          </cell>
          <cell r="BL161">
            <v>625940414388.25696</v>
          </cell>
          <cell r="BM161">
            <v>514546362576.78302</v>
          </cell>
        </row>
        <row r="162">
          <cell r="B162" t="str">
            <v>ROU</v>
          </cell>
          <cell r="C162" t="str">
            <v>GNI (current LCU)</v>
          </cell>
          <cell r="D162" t="str">
            <v>NY.GNP.MKTP.CN</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v>80154400</v>
          </cell>
          <cell r="AI162">
            <v>85476400</v>
          </cell>
          <cell r="AJ162">
            <v>220504600</v>
          </cell>
          <cell r="AK162">
            <v>600757300</v>
          </cell>
          <cell r="AL162">
            <v>1992559300</v>
          </cell>
          <cell r="AM162">
            <v>4955969100</v>
          </cell>
          <cell r="AN162">
            <v>7561600000</v>
          </cell>
          <cell r="AO162">
            <v>11292700000</v>
          </cell>
          <cell r="AP162">
            <v>25269100000</v>
          </cell>
          <cell r="AQ162">
            <v>36566175100</v>
          </cell>
          <cell r="AR162">
            <v>54450133800</v>
          </cell>
          <cell r="AS162">
            <v>80364375000</v>
          </cell>
          <cell r="AT162">
            <v>116735544800</v>
          </cell>
          <cell r="AU162">
            <v>150746500000</v>
          </cell>
          <cell r="AV162">
            <v>187430375000</v>
          </cell>
          <cell r="AW162">
            <v>234413438000</v>
          </cell>
          <cell r="AX162">
            <v>278433871600</v>
          </cell>
          <cell r="AY162">
            <v>331318548500</v>
          </cell>
          <cell r="AZ162">
            <v>404272308600</v>
          </cell>
          <cell r="BA162">
            <v>527972623300</v>
          </cell>
          <cell r="BB162">
            <v>524161330300</v>
          </cell>
          <cell r="BC162">
            <v>522254378700</v>
          </cell>
          <cell r="BD162">
            <v>551770228000</v>
          </cell>
          <cell r="BE162">
            <v>581528020000</v>
          </cell>
          <cell r="BF162">
            <v>625696738000</v>
          </cell>
          <cell r="BG162">
            <v>666552678600</v>
          </cell>
          <cell r="BH162">
            <v>704444520000</v>
          </cell>
          <cell r="BI162">
            <v>753516764400</v>
          </cell>
          <cell r="BJ162">
            <v>845708009200</v>
          </cell>
          <cell r="BK162">
            <v>934198765500</v>
          </cell>
          <cell r="BL162">
            <v>1043840757200</v>
          </cell>
          <cell r="BM162">
            <v>1039039777700</v>
          </cell>
        </row>
        <row r="163">
          <cell r="B163" t="str">
            <v>RUS</v>
          </cell>
          <cell r="C163" t="str">
            <v>GNI (current LCU)</v>
          </cell>
          <cell r="D163" t="str">
            <v>NY.GNP.MKTP.CN</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v>536000000</v>
          </cell>
          <cell r="AH163">
            <v>573100000</v>
          </cell>
          <cell r="AI163">
            <v>642911700</v>
          </cell>
          <cell r="AJ163">
            <v>1394672000</v>
          </cell>
          <cell r="AK163">
            <v>18824115600</v>
          </cell>
          <cell r="AL163">
            <v>169752166900</v>
          </cell>
          <cell r="AM163">
            <v>607905544000</v>
          </cell>
          <cell r="AN163">
            <v>1416345229400</v>
          </cell>
          <cell r="AO163">
            <v>1979970026800</v>
          </cell>
          <cell r="AP163">
            <v>2292233094000</v>
          </cell>
          <cell r="AQ163">
            <v>2515203961500</v>
          </cell>
          <cell r="AR163">
            <v>4633268042000</v>
          </cell>
          <cell r="AS163">
            <v>7116148555000</v>
          </cell>
          <cell r="AT163">
            <v>8819957023000</v>
          </cell>
          <cell r="AU163">
            <v>10624122950000</v>
          </cell>
          <cell r="AV163">
            <v>12803998654900</v>
          </cell>
          <cell r="AW163">
            <v>16659252588300</v>
          </cell>
          <cell r="AX163">
            <v>21085757381100</v>
          </cell>
          <cell r="AY163">
            <v>26134008125700</v>
          </cell>
          <cell r="AZ163">
            <v>32510057136000</v>
          </cell>
          <cell r="BA163">
            <v>40121624262800</v>
          </cell>
          <cell r="BB163">
            <v>37545874123000</v>
          </cell>
          <cell r="BC163">
            <v>44878070370800</v>
          </cell>
          <cell r="BD163">
            <v>58339326709400</v>
          </cell>
          <cell r="BE163">
            <v>66016754460200</v>
          </cell>
          <cell r="BF163">
            <v>70451326756800</v>
          </cell>
          <cell r="BG163">
            <v>76421733096000</v>
          </cell>
          <cell r="BH163">
            <v>80787074950200</v>
          </cell>
          <cell r="BI163">
            <v>83235843540100</v>
          </cell>
          <cell r="BJ163">
            <v>89389692728800</v>
          </cell>
          <cell r="BK163">
            <v>101330368087500</v>
          </cell>
          <cell r="BL163">
            <v>105776739097300</v>
          </cell>
          <cell r="BM163">
            <v>104458701563300</v>
          </cell>
        </row>
        <row r="164">
          <cell r="B164" t="str">
            <v>RWA</v>
          </cell>
          <cell r="C164" t="str">
            <v>GNI (current LCU)</v>
          </cell>
          <cell r="D164" t="str">
            <v>NY.GNP.MKTP.CN</v>
          </cell>
          <cell r="E164">
            <v>5950001200</v>
          </cell>
          <cell r="F164">
            <v>6100000800</v>
          </cell>
          <cell r="G164">
            <v>6250000400</v>
          </cell>
          <cell r="H164">
            <v>6400000000</v>
          </cell>
          <cell r="I164">
            <v>6499999700</v>
          </cell>
          <cell r="J164">
            <v>7439999000</v>
          </cell>
          <cell r="K164">
            <v>10895999000</v>
          </cell>
          <cell r="L164">
            <v>15956001800</v>
          </cell>
          <cell r="M164">
            <v>17220001800</v>
          </cell>
          <cell r="N164">
            <v>18870003700</v>
          </cell>
          <cell r="O164">
            <v>22000000600</v>
          </cell>
          <cell r="P164">
            <v>22229969900</v>
          </cell>
          <cell r="Q164">
            <v>22709209700</v>
          </cell>
          <cell r="R164">
            <v>24180123400</v>
          </cell>
          <cell r="S164">
            <v>28415012800</v>
          </cell>
          <cell r="T164">
            <v>52467331500</v>
          </cell>
          <cell r="U164">
            <v>61522776500</v>
          </cell>
          <cell r="V164">
            <v>71268848400</v>
          </cell>
          <cell r="W164">
            <v>80635943200</v>
          </cell>
          <cell r="X164">
            <v>95935115200</v>
          </cell>
          <cell r="Y164">
            <v>108145042400</v>
          </cell>
          <cell r="Z164">
            <v>123430994800</v>
          </cell>
          <cell r="AA164">
            <v>131979240100</v>
          </cell>
          <cell r="AB164">
            <v>142575805000</v>
          </cell>
          <cell r="AC164">
            <v>159221193400</v>
          </cell>
          <cell r="AD164">
            <v>172827170200</v>
          </cell>
          <cell r="AE164">
            <v>169401244100</v>
          </cell>
          <cell r="AF164">
            <v>170291678200</v>
          </cell>
          <cell r="AG164">
            <v>182075056300</v>
          </cell>
          <cell r="AH164">
            <v>191968330600</v>
          </cell>
          <cell r="AI164">
            <v>212461568300</v>
          </cell>
          <cell r="AJ164">
            <v>237887466100</v>
          </cell>
          <cell r="AK164">
            <v>270391491100</v>
          </cell>
          <cell r="AL164">
            <v>282174592800</v>
          </cell>
          <cell r="AM164">
            <v>164920001500</v>
          </cell>
          <cell r="AN164">
            <v>340568255800</v>
          </cell>
          <cell r="AO164">
            <v>419848415900</v>
          </cell>
          <cell r="AP164">
            <v>553324762400</v>
          </cell>
          <cell r="AQ164">
            <v>615284853900</v>
          </cell>
          <cell r="AR164">
            <v>716067000000</v>
          </cell>
          <cell r="AS164">
            <v>799725000000</v>
          </cell>
          <cell r="AT164">
            <v>860713000000</v>
          </cell>
          <cell r="AU164">
            <v>924932000000</v>
          </cell>
          <cell r="AV164">
            <v>1132596000000</v>
          </cell>
          <cell r="AW164">
            <v>1352265000000</v>
          </cell>
          <cell r="AX164">
            <v>1620493000000</v>
          </cell>
          <cell r="AY164">
            <v>1814303000000</v>
          </cell>
          <cell r="AZ164">
            <v>2215630000000</v>
          </cell>
          <cell r="BA164">
            <v>2810803000000</v>
          </cell>
          <cell r="BB164">
            <v>3202004000000</v>
          </cell>
          <cell r="BC164">
            <v>3539586000000</v>
          </cell>
          <cell r="BD164">
            <v>4096376000000</v>
          </cell>
          <cell r="BE164">
            <v>4636457000000</v>
          </cell>
          <cell r="BF164">
            <v>4968631000000</v>
          </cell>
          <cell r="BG164">
            <v>5490592000000</v>
          </cell>
          <cell r="BH164">
            <v>6030051000000</v>
          </cell>
          <cell r="BI164">
            <v>6653952000000</v>
          </cell>
          <cell r="BJ164">
            <v>7451888000000</v>
          </cell>
          <cell r="BK164">
            <v>8002628000000</v>
          </cell>
          <cell r="BL164">
            <v>9001775000000</v>
          </cell>
          <cell r="BM164">
            <v>9523084000000</v>
          </cell>
        </row>
        <row r="165">
          <cell r="B165" t="str">
            <v>WSM</v>
          </cell>
          <cell r="C165" t="str">
            <v>GNI (current LCU)</v>
          </cell>
          <cell r="D165" t="str">
            <v>NY.GNP.MKTP.CN</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v>113902100</v>
          </cell>
          <cell r="AB165">
            <v>135803400</v>
          </cell>
          <cell r="AC165">
            <v>146206100</v>
          </cell>
          <cell r="AD165">
            <v>152585800</v>
          </cell>
          <cell r="AE165">
            <v>162763600</v>
          </cell>
          <cell r="AF165">
            <v>174820000</v>
          </cell>
          <cell r="AG165">
            <v>192081100</v>
          </cell>
          <cell r="AH165">
            <v>192084300</v>
          </cell>
          <cell r="AI165">
            <v>205292100</v>
          </cell>
          <cell r="AJ165">
            <v>210462200</v>
          </cell>
          <cell r="AK165" t="str">
            <v>..</v>
          </cell>
          <cell r="AL165" t="str">
            <v>..</v>
          </cell>
          <cell r="AM165" t="str">
            <v>..</v>
          </cell>
          <cell r="AN165" t="str">
            <v>..</v>
          </cell>
          <cell r="AO165" t="str">
            <v>..</v>
          </cell>
          <cell r="AP165" t="str">
            <v>..</v>
          </cell>
          <cell r="AQ165" t="str">
            <v>..</v>
          </cell>
          <cell r="AR165" t="str">
            <v>..</v>
          </cell>
          <cell r="AS165" t="str">
            <v>..</v>
          </cell>
          <cell r="AT165" t="str">
            <v>..</v>
          </cell>
          <cell r="AU165">
            <v>931362200</v>
          </cell>
          <cell r="AV165">
            <v>995678700</v>
          </cell>
          <cell r="AW165">
            <v>1120270200</v>
          </cell>
          <cell r="AX165">
            <v>1167590700</v>
          </cell>
          <cell r="AY165">
            <v>1308437600</v>
          </cell>
          <cell r="AZ165">
            <v>1396263700</v>
          </cell>
          <cell r="BA165">
            <v>1529966900</v>
          </cell>
          <cell r="BB165">
            <v>1514167900</v>
          </cell>
          <cell r="BC165">
            <v>1632532582.50699</v>
          </cell>
          <cell r="BD165">
            <v>1693222218.34393</v>
          </cell>
          <cell r="BE165">
            <v>1687733254.1071301</v>
          </cell>
          <cell r="BF165">
            <v>1696717368.0023</v>
          </cell>
          <cell r="BG165">
            <v>1688556076.74261</v>
          </cell>
          <cell r="BH165">
            <v>1870528908.06743</v>
          </cell>
          <cell r="BI165">
            <v>2040809265.45946</v>
          </cell>
          <cell r="BJ165">
            <v>2043984545.3933101</v>
          </cell>
          <cell r="BK165">
            <v>2032998946.9528</v>
          </cell>
          <cell r="BL165">
            <v>2136784579.2230999</v>
          </cell>
          <cell r="BM165">
            <v>2095028052.19593</v>
          </cell>
        </row>
        <row r="166">
          <cell r="B166" t="str">
            <v>SMR</v>
          </cell>
          <cell r="C166" t="str">
            <v>GNI (current LCU)</v>
          </cell>
          <cell r="D166" t="str">
            <v>NY.GNP.MKTP.CN</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row>
        <row r="167">
          <cell r="B167" t="str">
            <v>STP</v>
          </cell>
          <cell r="C167" t="str">
            <v>GNI (current LCU)</v>
          </cell>
          <cell r="D167" t="str">
            <v>NY.GNP.MKTP.CN</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643724200</v>
          </cell>
          <cell r="AU167">
            <v>743689800</v>
          </cell>
          <cell r="AV167">
            <v>930719100</v>
          </cell>
          <cell r="AW167">
            <v>1103971900</v>
          </cell>
          <cell r="AX167">
            <v>1409733300</v>
          </cell>
          <cell r="AY167">
            <v>1815103700</v>
          </cell>
          <cell r="AZ167">
            <v>2079535700</v>
          </cell>
          <cell r="BA167">
            <v>2761951900</v>
          </cell>
          <cell r="BB167">
            <v>3039681400</v>
          </cell>
          <cell r="BC167">
            <v>3663589400</v>
          </cell>
          <cell r="BD167">
            <v>4124126100</v>
          </cell>
          <cell r="BE167">
            <v>4725750800</v>
          </cell>
          <cell r="BF167">
            <v>5637095400</v>
          </cell>
          <cell r="BG167">
            <v>6549239500</v>
          </cell>
          <cell r="BH167">
            <v>7007603700</v>
          </cell>
          <cell r="BI167">
            <v>7719021400</v>
          </cell>
          <cell r="BJ167">
            <v>8207065110</v>
          </cell>
          <cell r="BK167">
            <v>8621081100</v>
          </cell>
          <cell r="BL167">
            <v>9391221200</v>
          </cell>
          <cell r="BM167">
            <v>10190962060</v>
          </cell>
        </row>
        <row r="168">
          <cell r="B168" t="str">
            <v>SAU</v>
          </cell>
          <cell r="C168" t="str">
            <v>GNI (current LCU)</v>
          </cell>
          <cell r="D168" t="str">
            <v>NY.GNP.MKTP.CN</v>
          </cell>
          <cell r="E168">
            <v>6355139600</v>
          </cell>
          <cell r="F168">
            <v>7016072200</v>
          </cell>
          <cell r="G168">
            <v>7745693700</v>
          </cell>
          <cell r="H168">
            <v>8024735200</v>
          </cell>
          <cell r="I168">
            <v>9025072100</v>
          </cell>
          <cell r="J168">
            <v>10044999700</v>
          </cell>
          <cell r="K168">
            <v>11630000100</v>
          </cell>
          <cell r="L168">
            <v>12136599600</v>
          </cell>
          <cell r="M168">
            <v>15942500400</v>
          </cell>
          <cell r="N168">
            <v>17157397500</v>
          </cell>
          <cell r="O168">
            <v>19633009818.3825</v>
          </cell>
          <cell r="P168">
            <v>25656044549.203701</v>
          </cell>
          <cell r="Q168">
            <v>31010828754.8386</v>
          </cell>
          <cell r="R168">
            <v>41808570349.876602</v>
          </cell>
          <cell r="S168">
            <v>145074350278.297</v>
          </cell>
          <cell r="T168">
            <v>157371573168.61401</v>
          </cell>
          <cell r="U168">
            <v>227801452262.23901</v>
          </cell>
          <cell r="V168">
            <v>261804600194.483</v>
          </cell>
          <cell r="W168">
            <v>269248383501.866</v>
          </cell>
          <cell r="X168">
            <v>366344168581.70099</v>
          </cell>
          <cell r="Y168">
            <v>533271734661.93903</v>
          </cell>
          <cell r="Z168">
            <v>610797313755.02502</v>
          </cell>
          <cell r="AA168">
            <v>534788911924.87903</v>
          </cell>
          <cell r="AB168">
            <v>472525884996.883</v>
          </cell>
          <cell r="AC168">
            <v>442502214401.68201</v>
          </cell>
          <cell r="AD168">
            <v>414938009461.36499</v>
          </cell>
          <cell r="AE168">
            <v>361349945678.086</v>
          </cell>
          <cell r="AF168">
            <v>357861301091.36902</v>
          </cell>
          <cell r="AG168">
            <v>366989212948.302</v>
          </cell>
          <cell r="AH168">
            <v>392324573824.745</v>
          </cell>
          <cell r="AI168">
            <v>457362917900.289</v>
          </cell>
          <cell r="AJ168">
            <v>504907690500</v>
          </cell>
          <cell r="AK168">
            <v>519154298100</v>
          </cell>
          <cell r="AL168">
            <v>507723790800</v>
          </cell>
          <cell r="AM168">
            <v>509048149900</v>
          </cell>
          <cell r="AN168">
            <v>545024621100</v>
          </cell>
          <cell r="AO168">
            <v>594303133300</v>
          </cell>
          <cell r="AP168">
            <v>621303922500</v>
          </cell>
          <cell r="AQ168">
            <v>555280667800</v>
          </cell>
          <cell r="AR168">
            <v>614406150000</v>
          </cell>
          <cell r="AS168">
            <v>714026023300</v>
          </cell>
          <cell r="AT168">
            <v>697165661500</v>
          </cell>
          <cell r="AU168">
            <v>715901550900</v>
          </cell>
          <cell r="AV168">
            <v>812057157200</v>
          </cell>
          <cell r="AW168">
            <v>976733686400</v>
          </cell>
          <cell r="AX168">
            <v>1240943742300</v>
          </cell>
          <cell r="AY168">
            <v>1425852808300</v>
          </cell>
          <cell r="AZ168">
            <v>1582798406300</v>
          </cell>
          <cell r="BA168">
            <v>1983606105500</v>
          </cell>
          <cell r="BB168">
            <v>1641515584800</v>
          </cell>
          <cell r="BC168">
            <v>2007192159300</v>
          </cell>
          <cell r="BD168">
            <v>2553461046700</v>
          </cell>
          <cell r="BE168">
            <v>2801112967300</v>
          </cell>
          <cell r="BF168">
            <v>2850781952800</v>
          </cell>
          <cell r="BG168">
            <v>2898286114400</v>
          </cell>
          <cell r="BH168">
            <v>2518312195500</v>
          </cell>
          <cell r="BI168">
            <v>2477483695000</v>
          </cell>
          <cell r="BJ168">
            <v>2622315519600</v>
          </cell>
          <cell r="BK168">
            <v>2978372754500</v>
          </cell>
          <cell r="BL168">
            <v>3003248649400</v>
          </cell>
          <cell r="BM168">
            <v>2683317830600</v>
          </cell>
        </row>
        <row r="169">
          <cell r="B169" t="str">
            <v>SEN</v>
          </cell>
          <cell r="C169" t="str">
            <v>GNI (current LCU)</v>
          </cell>
          <cell r="D169" t="str">
            <v>NY.GNP.MKTP.CN</v>
          </cell>
          <cell r="E169" t="str">
            <v>..</v>
          </cell>
          <cell r="F169" t="str">
            <v>..</v>
          </cell>
          <cell r="G169" t="str">
            <v>..</v>
          </cell>
          <cell r="H169" t="str">
            <v>..</v>
          </cell>
          <cell r="I169" t="str">
            <v>..</v>
          </cell>
          <cell r="J169" t="str">
            <v>..</v>
          </cell>
          <cell r="K169" t="str">
            <v>..</v>
          </cell>
          <cell r="L169" t="str">
            <v>..</v>
          </cell>
          <cell r="M169">
            <v>320849672670.71301</v>
          </cell>
          <cell r="N169">
            <v>321011003541.427</v>
          </cell>
          <cell r="O169">
            <v>354469666791.95398</v>
          </cell>
          <cell r="P169">
            <v>364322800864.48999</v>
          </cell>
          <cell r="Q169">
            <v>402990952513.58197</v>
          </cell>
          <cell r="R169">
            <v>406384246228.60602</v>
          </cell>
          <cell r="S169">
            <v>493297578855.20801</v>
          </cell>
          <cell r="T169">
            <v>590318907875.875</v>
          </cell>
          <cell r="U169">
            <v>671154811164.29602</v>
          </cell>
          <cell r="V169">
            <v>708468265446.11401</v>
          </cell>
          <cell r="W169">
            <v>723070931774.72595</v>
          </cell>
          <cell r="X169">
            <v>852051958032.22998</v>
          </cell>
          <cell r="Y169">
            <v>931786800664.97705</v>
          </cell>
          <cell r="Z169">
            <v>1083282807641.71</v>
          </cell>
          <cell r="AA169">
            <v>1281021071266.25</v>
          </cell>
          <cell r="AB169">
            <v>1320986393578.5801</v>
          </cell>
          <cell r="AC169">
            <v>1467547131519.97</v>
          </cell>
          <cell r="AD169">
            <v>1658609563180.6899</v>
          </cell>
          <cell r="AE169">
            <v>1810139665050.28</v>
          </cell>
          <cell r="AF169">
            <v>1890089716036.3101</v>
          </cell>
          <cell r="AG169">
            <v>1846723913717.9099</v>
          </cell>
          <cell r="AH169">
            <v>1965518044613.26</v>
          </cell>
          <cell r="AI169">
            <v>1958719393502.01</v>
          </cell>
          <cell r="AJ169">
            <v>1991761760700</v>
          </cell>
          <cell r="AK169">
            <v>2021509183500</v>
          </cell>
          <cell r="AL169">
            <v>2032226110100</v>
          </cell>
          <cell r="AM169">
            <v>2716327008600</v>
          </cell>
          <cell r="AN169">
            <v>3080483967800</v>
          </cell>
          <cell r="AO169">
            <v>3318336698600</v>
          </cell>
          <cell r="AP169">
            <v>3484164026900</v>
          </cell>
          <cell r="AQ169">
            <v>3805017853400</v>
          </cell>
          <cell r="AR169">
            <v>4000614195500</v>
          </cell>
          <cell r="AS169">
            <v>4206111957000</v>
          </cell>
          <cell r="AT169">
            <v>4709271319800</v>
          </cell>
          <cell r="AU169">
            <v>4789550304000</v>
          </cell>
          <cell r="AV169">
            <v>5030282741300</v>
          </cell>
          <cell r="AW169">
            <v>5266260147100</v>
          </cell>
          <cell r="AX169">
            <v>5757364948700</v>
          </cell>
          <cell r="AY169">
            <v>6078122249300</v>
          </cell>
          <cell r="AZ169">
            <v>6662714789500</v>
          </cell>
          <cell r="BA169">
            <v>7495430064900</v>
          </cell>
          <cell r="BB169">
            <v>7513145291500</v>
          </cell>
          <cell r="BC169">
            <v>7902454607700</v>
          </cell>
          <cell r="BD169">
            <v>8262137688200</v>
          </cell>
          <cell r="BE169">
            <v>8863029323200</v>
          </cell>
          <cell r="BF169">
            <v>9184468875900</v>
          </cell>
          <cell r="BG169">
            <v>9588526730000</v>
          </cell>
          <cell r="BH169">
            <v>10277129600000</v>
          </cell>
          <cell r="BI169">
            <v>10987996000000</v>
          </cell>
          <cell r="BJ169">
            <v>11850833300000</v>
          </cell>
          <cell r="BK169">
            <v>12506290000000</v>
          </cell>
          <cell r="BL169">
            <v>13271567000000</v>
          </cell>
          <cell r="BM169">
            <v>13840519610000</v>
          </cell>
        </row>
        <row r="170">
          <cell r="B170" t="str">
            <v>SRB</v>
          </cell>
          <cell r="C170" t="str">
            <v>GNI (current LCU)</v>
          </cell>
          <cell r="D170" t="str">
            <v>NY.GNP.MKTP.CN</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v>151970772500</v>
          </cell>
          <cell r="AQ170">
            <v>195292310300</v>
          </cell>
          <cell r="AR170">
            <v>226277186500</v>
          </cell>
          <cell r="AS170">
            <v>434304486900</v>
          </cell>
          <cell r="AT170">
            <v>867641377700</v>
          </cell>
          <cell r="AU170">
            <v>1098087934700</v>
          </cell>
          <cell r="AV170">
            <v>1286868789000</v>
          </cell>
          <cell r="AW170">
            <v>1513583101400</v>
          </cell>
          <cell r="AX170">
            <v>1825309654600</v>
          </cell>
          <cell r="AY170">
            <v>2153260999800</v>
          </cell>
          <cell r="AZ170">
            <v>2444851236200</v>
          </cell>
          <cell r="BA170">
            <v>2827927964600</v>
          </cell>
          <cell r="BB170">
            <v>3007052119800</v>
          </cell>
          <cell r="BC170">
            <v>3182486612700</v>
          </cell>
          <cell r="BD170">
            <v>3472676051000</v>
          </cell>
          <cell r="BE170">
            <v>3685605380000</v>
          </cell>
          <cell r="BF170">
            <v>3960658981700</v>
          </cell>
          <cell r="BG170">
            <v>4003054047200</v>
          </cell>
          <cell r="BH170">
            <v>4114845762400</v>
          </cell>
          <cell r="BI170">
            <v>4279227244000</v>
          </cell>
          <cell r="BJ170">
            <v>4453293551300</v>
          </cell>
          <cell r="BK170">
            <v>4814824216100</v>
          </cell>
          <cell r="BL170">
            <v>5129748854900</v>
          </cell>
          <cell r="BM170">
            <v>5334667935000</v>
          </cell>
        </row>
        <row r="171">
          <cell r="B171" t="str">
            <v>SYC</v>
          </cell>
          <cell r="C171" t="str">
            <v>GNI (current LCU)</v>
          </cell>
          <cell r="D171" t="str">
            <v>NY.GNP.MKTP.CN</v>
          </cell>
          <cell r="E171">
            <v>57000000</v>
          </cell>
          <cell r="F171">
            <v>55000000</v>
          </cell>
          <cell r="G171">
            <v>60000000</v>
          </cell>
          <cell r="H171">
            <v>66000000</v>
          </cell>
          <cell r="I171">
            <v>73000000</v>
          </cell>
          <cell r="J171">
            <v>74000000</v>
          </cell>
          <cell r="K171">
            <v>78000000</v>
          </cell>
          <cell r="L171">
            <v>80000000</v>
          </cell>
          <cell r="M171">
            <v>89000000</v>
          </cell>
          <cell r="N171">
            <v>91000000</v>
          </cell>
          <cell r="O171">
            <v>102000000</v>
          </cell>
          <cell r="P171">
            <v>120000000</v>
          </cell>
          <cell r="Q171">
            <v>163000000</v>
          </cell>
          <cell r="R171">
            <v>200000000</v>
          </cell>
          <cell r="S171">
            <v>245000000</v>
          </cell>
          <cell r="T171">
            <v>287000000</v>
          </cell>
          <cell r="U171">
            <v>349795000</v>
          </cell>
          <cell r="V171">
            <v>463600000</v>
          </cell>
          <cell r="W171">
            <v>556500000</v>
          </cell>
          <cell r="X171">
            <v>749600000</v>
          </cell>
          <cell r="Y171">
            <v>907800000</v>
          </cell>
          <cell r="Z171">
            <v>963600000</v>
          </cell>
          <cell r="AA171">
            <v>942800000</v>
          </cell>
          <cell r="AB171">
            <v>960300000</v>
          </cell>
          <cell r="AC171">
            <v>1026900000</v>
          </cell>
          <cell r="AD171">
            <v>1162700000</v>
          </cell>
          <cell r="AE171">
            <v>1231450000</v>
          </cell>
          <cell r="AF171">
            <v>1317697500</v>
          </cell>
          <cell r="AG171">
            <v>1434411100</v>
          </cell>
          <cell r="AH171">
            <v>1636800000</v>
          </cell>
          <cell r="AI171">
            <v>1896900000</v>
          </cell>
          <cell r="AJ171">
            <v>1923000000</v>
          </cell>
          <cell r="AK171">
            <v>2173600000</v>
          </cell>
          <cell r="AL171">
            <v>2399400000</v>
          </cell>
          <cell r="AM171">
            <v>2439900000</v>
          </cell>
          <cell r="AN171">
            <v>2326600000</v>
          </cell>
          <cell r="AO171">
            <v>2425500000</v>
          </cell>
          <cell r="AP171">
            <v>2768000000</v>
          </cell>
          <cell r="AQ171">
            <v>3091000000</v>
          </cell>
          <cell r="AR171">
            <v>3195500000</v>
          </cell>
          <cell r="AS171">
            <v>3332550500</v>
          </cell>
          <cell r="AT171">
            <v>3542770700</v>
          </cell>
          <cell r="AU171">
            <v>3449709600</v>
          </cell>
          <cell r="AV171">
            <v>3579102500</v>
          </cell>
          <cell r="AW171">
            <v>4668162600</v>
          </cell>
          <cell r="AX171">
            <v>5109013500</v>
          </cell>
          <cell r="AY171">
            <v>5667455700</v>
          </cell>
          <cell r="AZ171">
            <v>6448454900</v>
          </cell>
          <cell r="BA171">
            <v>8403159000</v>
          </cell>
          <cell r="BB171">
            <v>10779401800</v>
          </cell>
          <cell r="BC171">
            <v>11075407500</v>
          </cell>
          <cell r="BD171">
            <v>11736174500</v>
          </cell>
          <cell r="BE171">
            <v>13698878400</v>
          </cell>
          <cell r="BF171">
            <v>15180357800</v>
          </cell>
          <cell r="BG171">
            <v>16070089000</v>
          </cell>
          <cell r="BH171">
            <v>17230688200</v>
          </cell>
          <cell r="BI171">
            <v>17548417500</v>
          </cell>
          <cell r="BJ171">
            <v>19264976300</v>
          </cell>
          <cell r="BK171">
            <v>21024078100</v>
          </cell>
          <cell r="BL171">
            <v>21379860000</v>
          </cell>
          <cell r="BM171">
            <v>17480000000</v>
          </cell>
        </row>
        <row r="172">
          <cell r="B172" t="str">
            <v>SLE</v>
          </cell>
          <cell r="C172" t="str">
            <v>GNI (current LCU)</v>
          </cell>
          <cell r="D172" t="str">
            <v>NY.GNP.MKTP.CN</v>
          </cell>
          <cell r="E172" t="str">
            <v>..</v>
          </cell>
          <cell r="F172" t="str">
            <v>..</v>
          </cell>
          <cell r="G172" t="str">
            <v>..</v>
          </cell>
          <cell r="H172" t="str">
            <v>..</v>
          </cell>
          <cell r="I172">
            <v>228628700</v>
          </cell>
          <cell r="J172">
            <v>257474900</v>
          </cell>
          <cell r="K172">
            <v>269005000</v>
          </cell>
          <cell r="L172">
            <v>253505300</v>
          </cell>
          <cell r="M172">
            <v>276758300</v>
          </cell>
          <cell r="N172">
            <v>343158300</v>
          </cell>
          <cell r="O172">
            <v>354704300</v>
          </cell>
          <cell r="P172">
            <v>341179400</v>
          </cell>
          <cell r="Q172">
            <v>366312500</v>
          </cell>
          <cell r="R172">
            <v>461050600</v>
          </cell>
          <cell r="S172">
            <v>543475400</v>
          </cell>
          <cell r="T172">
            <v>602322200</v>
          </cell>
          <cell r="U172">
            <v>645682900</v>
          </cell>
          <cell r="V172">
            <v>765867100</v>
          </cell>
          <cell r="W172">
            <v>966971100</v>
          </cell>
          <cell r="X172">
            <v>1141553700</v>
          </cell>
          <cell r="Y172">
            <v>1123923100</v>
          </cell>
          <cell r="Z172">
            <v>1259506700</v>
          </cell>
          <cell r="AA172">
            <v>1575010000</v>
          </cell>
          <cell r="AB172">
            <v>1816278700</v>
          </cell>
          <cell r="AC172">
            <v>2654738000</v>
          </cell>
          <cell r="AD172">
            <v>4219244300</v>
          </cell>
          <cell r="AE172">
            <v>7250972400</v>
          </cell>
          <cell r="AF172">
            <v>21478390600</v>
          </cell>
          <cell r="AG172">
            <v>32451701800</v>
          </cell>
          <cell r="AH172">
            <v>52909049100</v>
          </cell>
          <cell r="AI172">
            <v>87814437900</v>
          </cell>
          <cell r="AJ172">
            <v>212526811200</v>
          </cell>
          <cell r="AK172">
            <v>302290814000</v>
          </cell>
          <cell r="AL172">
            <v>411331000000</v>
          </cell>
          <cell r="AM172">
            <v>468465852000</v>
          </cell>
          <cell r="AN172">
            <v>618115088100</v>
          </cell>
          <cell r="AO172">
            <v>837135163900</v>
          </cell>
          <cell r="AP172">
            <v>817509925500</v>
          </cell>
          <cell r="AQ172">
            <v>996510136100</v>
          </cell>
          <cell r="AR172">
            <v>1163654610400</v>
          </cell>
          <cell r="AS172">
            <v>1288940492400</v>
          </cell>
          <cell r="AT172">
            <v>2111871876000</v>
          </cell>
          <cell r="AU172">
            <v>2567719230000</v>
          </cell>
          <cell r="AV172">
            <v>3190373647500</v>
          </cell>
          <cell r="AW172">
            <v>3826220378000</v>
          </cell>
          <cell r="AX172">
            <v>4659443566700</v>
          </cell>
          <cell r="AY172">
            <v>5472923890100</v>
          </cell>
          <cell r="AZ172">
            <v>6759432214200</v>
          </cell>
          <cell r="BA172">
            <v>8051874959300</v>
          </cell>
          <cell r="BB172">
            <v>9022653581400</v>
          </cell>
          <cell r="BC172">
            <v>10368747056700</v>
          </cell>
          <cell r="BD172">
            <v>12618676189300</v>
          </cell>
          <cell r="BE172">
            <v>17046151549100</v>
          </cell>
          <cell r="BF172">
            <v>21200815435100</v>
          </cell>
          <cell r="BG172">
            <v>22150949136700</v>
          </cell>
          <cell r="BH172">
            <v>21126586132100</v>
          </cell>
          <cell r="BI172">
            <v>20612030432900</v>
          </cell>
          <cell r="BJ172">
            <v>26802689450000</v>
          </cell>
          <cell r="BK172">
            <v>30128255378800</v>
          </cell>
          <cell r="BL172">
            <v>36267749000000</v>
          </cell>
          <cell r="BM172">
            <v>39171049000000</v>
          </cell>
        </row>
        <row r="173">
          <cell r="B173" t="str">
            <v>SGP</v>
          </cell>
          <cell r="C173" t="str">
            <v>GNI (current LCU)</v>
          </cell>
          <cell r="D173" t="str">
            <v>NY.GNP.MKTP.CN</v>
          </cell>
          <cell r="E173">
            <v>2196800000</v>
          </cell>
          <cell r="F173">
            <v>2385300000</v>
          </cell>
          <cell r="G173">
            <v>2578400000</v>
          </cell>
          <cell r="H173">
            <v>2876500000</v>
          </cell>
          <cell r="I173">
            <v>2823800000</v>
          </cell>
          <cell r="J173">
            <v>3079700000</v>
          </cell>
          <cell r="K173">
            <v>3462600000</v>
          </cell>
          <cell r="L173">
            <v>3887700000</v>
          </cell>
          <cell r="M173">
            <v>4451600000</v>
          </cell>
          <cell r="N173">
            <v>5166000000</v>
          </cell>
          <cell r="O173">
            <v>5935500000</v>
          </cell>
          <cell r="P173">
            <v>6919900000</v>
          </cell>
          <cell r="Q173">
            <v>8281700000</v>
          </cell>
          <cell r="R173">
            <v>10171700000</v>
          </cell>
          <cell r="S173">
            <v>12480800000</v>
          </cell>
          <cell r="T173">
            <v>13852200000</v>
          </cell>
          <cell r="U173">
            <v>14922100000</v>
          </cell>
          <cell r="V173">
            <v>16165900000</v>
          </cell>
          <cell r="W173">
            <v>18294400000</v>
          </cell>
          <cell r="X173">
            <v>21062300000</v>
          </cell>
          <cell r="Y173">
            <v>24542700000</v>
          </cell>
          <cell r="Z173">
            <v>28606100000</v>
          </cell>
          <cell r="AA173">
            <v>32268900000</v>
          </cell>
          <cell r="AB173">
            <v>36999800000</v>
          </cell>
          <cell r="AC173">
            <v>41465700000</v>
          </cell>
          <cell r="AD173">
            <v>41200700000</v>
          </cell>
          <cell r="AE173">
            <v>40906000000</v>
          </cell>
          <cell r="AF173">
            <v>44357000000</v>
          </cell>
          <cell r="AG173">
            <v>52704000000</v>
          </cell>
          <cell r="AH173">
            <v>60935700000</v>
          </cell>
          <cell r="AI173">
            <v>69783600000</v>
          </cell>
          <cell r="AJ173">
            <v>77356300000</v>
          </cell>
          <cell r="AK173">
            <v>84970900000</v>
          </cell>
          <cell r="AL173">
            <v>95855600000</v>
          </cell>
          <cell r="AM173">
            <v>112701600000</v>
          </cell>
          <cell r="AN173">
            <v>125363400000</v>
          </cell>
          <cell r="AO173">
            <v>134801800000</v>
          </cell>
          <cell r="AP173">
            <v>151577200000</v>
          </cell>
          <cell r="AQ173">
            <v>145591300000</v>
          </cell>
          <cell r="AR173">
            <v>147909100000</v>
          </cell>
          <cell r="AS173">
            <v>164619900000</v>
          </cell>
          <cell r="AT173">
            <v>159809800000</v>
          </cell>
          <cell r="AU173">
            <v>162400700000</v>
          </cell>
          <cell r="AV173">
            <v>165596400000</v>
          </cell>
          <cell r="AW173">
            <v>182672200000</v>
          </cell>
          <cell r="AX173">
            <v>200687200000</v>
          </cell>
          <cell r="AY173">
            <v>229753700000</v>
          </cell>
          <cell r="AZ173">
            <v>265524200000</v>
          </cell>
          <cell r="BA173">
            <v>263864700000</v>
          </cell>
          <cell r="BB173">
            <v>267746800000</v>
          </cell>
          <cell r="BC173">
            <v>323447200000</v>
          </cell>
          <cell r="BD173">
            <v>339294400000</v>
          </cell>
          <cell r="BE173">
            <v>352372100000</v>
          </cell>
          <cell r="BF173">
            <v>364140400000</v>
          </cell>
          <cell r="BG173">
            <v>385070000000</v>
          </cell>
          <cell r="BH173">
            <v>394551300000</v>
          </cell>
          <cell r="BI173">
            <v>412513400000</v>
          </cell>
          <cell r="BJ173">
            <v>438005100000</v>
          </cell>
          <cell r="BK173">
            <v>448368100000</v>
          </cell>
          <cell r="BL173">
            <v>449710500000</v>
          </cell>
          <cell r="BM173">
            <v>411756600000</v>
          </cell>
        </row>
        <row r="174">
          <cell r="B174" t="str">
            <v>SXM</v>
          </cell>
          <cell r="C174" t="str">
            <v>GNI (current LCU)</v>
          </cell>
          <cell r="D174" t="str">
            <v>NY.GNP.MKTP.CN</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t="str">
            <v>..</v>
          </cell>
          <cell r="AU174" t="str">
            <v>..</v>
          </cell>
          <cell r="AV174" t="str">
            <v>..</v>
          </cell>
          <cell r="AW174" t="str">
            <v>..</v>
          </cell>
          <cell r="AX174" t="str">
            <v>..</v>
          </cell>
          <cell r="AY174" t="str">
            <v>..</v>
          </cell>
          <cell r="AZ174" t="str">
            <v>..</v>
          </cell>
          <cell r="BA174" t="str">
            <v>..</v>
          </cell>
          <cell r="BB174">
            <v>1475100000</v>
          </cell>
          <cell r="BC174">
            <v>1537600000</v>
          </cell>
          <cell r="BD174">
            <v>1642664000</v>
          </cell>
          <cell r="BE174">
            <v>1746336000</v>
          </cell>
          <cell r="BF174">
            <v>1837479000</v>
          </cell>
          <cell r="BG174">
            <v>2201820000</v>
          </cell>
          <cell r="BH174">
            <v>2226130000</v>
          </cell>
          <cell r="BI174">
            <v>2261380000</v>
          </cell>
          <cell r="BJ174">
            <v>2086102700</v>
          </cell>
          <cell r="BK174">
            <v>2075149900</v>
          </cell>
          <cell r="BL174" t="str">
            <v>..</v>
          </cell>
          <cell r="BM174" t="str">
            <v>..</v>
          </cell>
        </row>
        <row r="175">
          <cell r="B175" t="str">
            <v>SVK</v>
          </cell>
          <cell r="C175" t="str">
            <v>GNI (current LCU)</v>
          </cell>
          <cell r="D175" t="str">
            <v>NY.GNP.MKTP.CN</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cell r="AJ175" t="str">
            <v>..</v>
          </cell>
          <cell r="AK175" t="str">
            <v>..</v>
          </cell>
          <cell r="AL175" t="str">
            <v>..</v>
          </cell>
          <cell r="AM175" t="str">
            <v>..</v>
          </cell>
          <cell r="AN175">
            <v>19877451000</v>
          </cell>
          <cell r="AO175">
            <v>22223107000</v>
          </cell>
          <cell r="AP175">
            <v>24511451000</v>
          </cell>
          <cell r="AQ175">
            <v>26738841000</v>
          </cell>
          <cell r="AR175">
            <v>28461555000</v>
          </cell>
          <cell r="AS175">
            <v>31535039000</v>
          </cell>
          <cell r="AT175">
            <v>34388346000</v>
          </cell>
          <cell r="AU175">
            <v>37237984000</v>
          </cell>
          <cell r="AV175">
            <v>39481115000</v>
          </cell>
          <cell r="AW175">
            <v>44407333000</v>
          </cell>
          <cell r="AX175">
            <v>49200457000</v>
          </cell>
          <cell r="AY175">
            <v>54797830000</v>
          </cell>
          <cell r="AZ175">
            <v>61415769000</v>
          </cell>
          <cell r="BA175">
            <v>67419732000</v>
          </cell>
          <cell r="BB175">
            <v>63756137000</v>
          </cell>
          <cell r="BC175">
            <v>67055591000</v>
          </cell>
          <cell r="BD175">
            <v>68995888000</v>
          </cell>
          <cell r="BE175">
            <v>72131537000</v>
          </cell>
          <cell r="BF175">
            <v>73668825000</v>
          </cell>
          <cell r="BG175">
            <v>75231191000</v>
          </cell>
          <cell r="BH175">
            <v>77929525000</v>
          </cell>
          <cell r="BI175">
            <v>78859245000</v>
          </cell>
          <cell r="BJ175">
            <v>82911815000</v>
          </cell>
          <cell r="BK175">
            <v>88207686000</v>
          </cell>
          <cell r="BL175">
            <v>92413510000</v>
          </cell>
          <cell r="BM175">
            <v>91046643000</v>
          </cell>
        </row>
        <row r="176">
          <cell r="B176" t="str">
            <v>SVN</v>
          </cell>
          <cell r="C176" t="str">
            <v>GNI (current LCU)</v>
          </cell>
          <cell r="D176" t="str">
            <v>NY.GNP.MKTP.CN</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v>10613370000</v>
          </cell>
          <cell r="AO176">
            <v>12179230000</v>
          </cell>
          <cell r="AP176">
            <v>13830220000</v>
          </cell>
          <cell r="AQ176">
            <v>15328440000</v>
          </cell>
          <cell r="AR176">
            <v>17211950000</v>
          </cell>
          <cell r="AS176">
            <v>18807360000</v>
          </cell>
          <cell r="AT176">
            <v>21130430000</v>
          </cell>
          <cell r="AU176">
            <v>23342930000</v>
          </cell>
          <cell r="AV176">
            <v>25340590000</v>
          </cell>
          <cell r="AW176">
            <v>27242210000</v>
          </cell>
          <cell r="AX176">
            <v>28839980000</v>
          </cell>
          <cell r="AY176">
            <v>31075520000</v>
          </cell>
          <cell r="AZ176">
            <v>34267300000</v>
          </cell>
          <cell r="BA176">
            <v>36932990000</v>
          </cell>
          <cell r="BB176">
            <v>35653680000</v>
          </cell>
          <cell r="BC176">
            <v>35882200000</v>
          </cell>
          <cell r="BD176">
            <v>36555490000</v>
          </cell>
          <cell r="BE176">
            <v>35688010000</v>
          </cell>
          <cell r="BF176">
            <v>35966490000</v>
          </cell>
          <cell r="BG176">
            <v>37288910000</v>
          </cell>
          <cell r="BH176">
            <v>37654330000</v>
          </cell>
          <cell r="BI176">
            <v>39418130000</v>
          </cell>
          <cell r="BJ176">
            <v>42236120000</v>
          </cell>
          <cell r="BK176">
            <v>45181960000</v>
          </cell>
          <cell r="BL176">
            <v>47664030000</v>
          </cell>
          <cell r="BM176">
            <v>46562750000</v>
          </cell>
        </row>
        <row r="177">
          <cell r="B177" t="str">
            <v>SLB</v>
          </cell>
          <cell r="C177" t="str">
            <v>GNI (current LCU)</v>
          </cell>
          <cell r="D177" t="str">
            <v>NY.GNP.MKTP.CN</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v>23200000</v>
          </cell>
          <cell r="R177">
            <v>26700000</v>
          </cell>
          <cell r="S177">
            <v>39900000</v>
          </cell>
          <cell r="T177">
            <v>37800000</v>
          </cell>
          <cell r="U177">
            <v>43300000</v>
          </cell>
          <cell r="V177">
            <v>54100000</v>
          </cell>
          <cell r="W177">
            <v>59600000</v>
          </cell>
          <cell r="X177">
            <v>84300000</v>
          </cell>
          <cell r="Y177">
            <v>139600000</v>
          </cell>
          <cell r="Z177">
            <v>165600000</v>
          </cell>
          <cell r="AA177">
            <v>178400000</v>
          </cell>
          <cell r="AB177">
            <v>198400000</v>
          </cell>
          <cell r="AC177">
            <v>219800000</v>
          </cell>
          <cell r="AD177">
            <v>237500000</v>
          </cell>
          <cell r="AE177">
            <v>246700000</v>
          </cell>
          <cell r="AF177">
            <v>295500000</v>
          </cell>
          <cell r="AG177">
            <v>350200000</v>
          </cell>
          <cell r="AH177">
            <v>377900000</v>
          </cell>
          <cell r="AI177">
            <v>529700000</v>
          </cell>
          <cell r="AJ177">
            <v>593500000</v>
          </cell>
          <cell r="AK177">
            <v>759000000</v>
          </cell>
          <cell r="AL177">
            <v>946500000</v>
          </cell>
          <cell r="AM177">
            <v>1316400000</v>
          </cell>
          <cell r="AN177">
            <v>1576000000</v>
          </cell>
          <cell r="AO177">
            <v>1795800000</v>
          </cell>
          <cell r="AP177">
            <v>1925500000</v>
          </cell>
          <cell r="AQ177">
            <v>2166000000</v>
          </cell>
          <cell r="AR177">
            <v>2279100000</v>
          </cell>
          <cell r="AS177">
            <v>2115600000</v>
          </cell>
          <cell r="AT177">
            <v>2161566300</v>
          </cell>
          <cell r="AU177">
            <v>2287351000</v>
          </cell>
          <cell r="AV177">
            <v>2620250300</v>
          </cell>
          <cell r="AW177">
            <v>2992446500</v>
          </cell>
          <cell r="AX177">
            <v>3603200300</v>
          </cell>
          <cell r="AY177">
            <v>3993788926.7202702</v>
          </cell>
          <cell r="AZ177">
            <v>4488782727.8408899</v>
          </cell>
          <cell r="BA177">
            <v>4984210212.4664001</v>
          </cell>
          <cell r="BB177">
            <v>5478045709.8081503</v>
          </cell>
          <cell r="BC177">
            <v>6474904385.4892702</v>
          </cell>
          <cell r="BD177">
            <v>7458707517.3247805</v>
          </cell>
          <cell r="BE177">
            <v>8339522707.2920103</v>
          </cell>
          <cell r="BF177">
            <v>9408827703.8136196</v>
          </cell>
          <cell r="BG177">
            <v>9737324894.3509903</v>
          </cell>
          <cell r="BH177">
            <v>10153459589.562599</v>
          </cell>
          <cell r="BI177">
            <v>10616450261.9716</v>
          </cell>
          <cell r="BJ177">
            <v>11469383629.932899</v>
          </cell>
          <cell r="BK177">
            <v>12358277824.917601</v>
          </cell>
          <cell r="BL177">
            <v>12697400549.025999</v>
          </cell>
          <cell r="BM177">
            <v>12991902729.562201</v>
          </cell>
        </row>
        <row r="178">
          <cell r="B178" t="str">
            <v>SOM</v>
          </cell>
          <cell r="C178" t="str">
            <v>GNI (current LCU)</v>
          </cell>
          <cell r="D178" t="str">
            <v>NY.GNP.MKTP.CN</v>
          </cell>
          <cell r="E178">
            <v>1286999168</v>
          </cell>
          <cell r="F178">
            <v>1366898944</v>
          </cell>
          <cell r="G178">
            <v>1452399232</v>
          </cell>
          <cell r="H178">
            <v>1543900160</v>
          </cell>
          <cell r="I178">
            <v>1637398656</v>
          </cell>
          <cell r="J178">
            <v>1739500032</v>
          </cell>
          <cell r="K178">
            <v>1832699008</v>
          </cell>
          <cell r="L178">
            <v>1938398976</v>
          </cell>
          <cell r="M178">
            <v>2042301056</v>
          </cell>
          <cell r="N178">
            <v>2138800000</v>
          </cell>
          <cell r="O178">
            <v>2260300032</v>
          </cell>
          <cell r="P178">
            <v>2357400064</v>
          </cell>
          <cell r="Q178">
            <v>2912901120</v>
          </cell>
          <cell r="R178">
            <v>3194999040</v>
          </cell>
          <cell r="S178">
            <v>2956498944</v>
          </cell>
          <cell r="T178">
            <v>4476699136</v>
          </cell>
          <cell r="U178">
            <v>5089501184</v>
          </cell>
          <cell r="V178">
            <v>6866001920</v>
          </cell>
          <cell r="W178">
            <v>8165999104</v>
          </cell>
          <cell r="X178">
            <v>9031000064</v>
          </cell>
          <cell r="Y178">
            <v>17347000320</v>
          </cell>
          <cell r="Z178">
            <v>21908000768</v>
          </cell>
          <cell r="AA178">
            <v>28646010880</v>
          </cell>
          <cell r="AB178">
            <v>34765991936</v>
          </cell>
          <cell r="AC178">
            <v>58844999680</v>
          </cell>
          <cell r="AD178">
            <v>82475810816</v>
          </cell>
          <cell r="AE178">
            <v>113152999424</v>
          </cell>
          <cell r="AF178">
            <v>159431999488</v>
          </cell>
          <cell r="AG178">
            <v>267341004800</v>
          </cell>
          <cell r="AH178">
            <v>519757004800</v>
          </cell>
          <cell r="AI178">
            <v>1583119990784</v>
          </cell>
          <cell r="AJ178" t="str">
            <v>..</v>
          </cell>
          <cell r="AK178" t="str">
            <v>..</v>
          </cell>
          <cell r="AL178" t="str">
            <v>..</v>
          </cell>
          <cell r="AM178" t="str">
            <v>..</v>
          </cell>
          <cell r="AN178" t="str">
            <v>..</v>
          </cell>
          <cell r="AO178" t="str">
            <v>..</v>
          </cell>
          <cell r="AP178" t="str">
            <v>..</v>
          </cell>
          <cell r="AQ178" t="str">
            <v>..</v>
          </cell>
          <cell r="AR178" t="str">
            <v>..</v>
          </cell>
          <cell r="AS178" t="str">
            <v>..</v>
          </cell>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v>87596577943195.5</v>
          </cell>
          <cell r="BG178">
            <v>100978889581742</v>
          </cell>
          <cell r="BH178">
            <v>118003666685092</v>
          </cell>
          <cell r="BI178">
            <v>126829525059565</v>
          </cell>
          <cell r="BJ178">
            <v>128796586662505</v>
          </cell>
          <cell r="BK178">
            <v>139331575917940</v>
          </cell>
          <cell r="BL178">
            <v>161435191304699</v>
          </cell>
          <cell r="BM178">
            <v>178504471560418</v>
          </cell>
        </row>
        <row r="179">
          <cell r="B179" t="str">
            <v>ZAF</v>
          </cell>
          <cell r="C179" t="str">
            <v>GNI (current LCU)</v>
          </cell>
          <cell r="D179" t="str">
            <v>NY.GNP.MKTP.CN</v>
          </cell>
          <cell r="E179">
            <v>5175000000</v>
          </cell>
          <cell r="F179">
            <v>5429000000</v>
          </cell>
          <cell r="G179">
            <v>5839000000</v>
          </cell>
          <cell r="H179">
            <v>6500000000</v>
          </cell>
          <cell r="I179">
            <v>7142000000</v>
          </cell>
          <cell r="J179">
            <v>7799000000</v>
          </cell>
          <cell r="K179">
            <v>8515000000</v>
          </cell>
          <cell r="L179">
            <v>9520000000</v>
          </cell>
          <cell r="M179">
            <v>10270000000</v>
          </cell>
          <cell r="N179">
            <v>11558000000</v>
          </cell>
          <cell r="O179">
            <v>12682000000</v>
          </cell>
          <cell r="P179">
            <v>14074000000</v>
          </cell>
          <cell r="Q179">
            <v>15878000000</v>
          </cell>
          <cell r="R179">
            <v>19688000000</v>
          </cell>
          <cell r="S179">
            <v>24161000000</v>
          </cell>
          <cell r="T179">
            <v>27048000000</v>
          </cell>
          <cell r="U179">
            <v>30523000000</v>
          </cell>
          <cell r="V179">
            <v>33838000000</v>
          </cell>
          <cell r="W179">
            <v>38945000000</v>
          </cell>
          <cell r="X179">
            <v>46569000000</v>
          </cell>
          <cell r="Y179">
            <v>62038000000</v>
          </cell>
          <cell r="Z179">
            <v>71852000000</v>
          </cell>
          <cell r="AA179">
            <v>81757000000</v>
          </cell>
          <cell r="AB179">
            <v>93650000000</v>
          </cell>
          <cell r="AC179">
            <v>109688000000</v>
          </cell>
          <cell r="AD179">
            <v>125947000000</v>
          </cell>
          <cell r="AE179">
            <v>147558000000</v>
          </cell>
          <cell r="AF179">
            <v>173993000000</v>
          </cell>
          <cell r="AG179">
            <v>209169000000</v>
          </cell>
          <cell r="AH179">
            <v>250889000000</v>
          </cell>
          <cell r="AI179">
            <v>287930000000</v>
          </cell>
          <cell r="AJ179">
            <v>333386000000</v>
          </cell>
          <cell r="AK179">
            <v>375322000000</v>
          </cell>
          <cell r="AL179">
            <v>472294458800</v>
          </cell>
          <cell r="AM179">
            <v>536493632100</v>
          </cell>
          <cell r="AN179">
            <v>612473829800</v>
          </cell>
          <cell r="AO179">
            <v>688423913200</v>
          </cell>
          <cell r="AP179">
            <v>763800467000</v>
          </cell>
          <cell r="AQ179">
            <v>828245385800</v>
          </cell>
          <cell r="AR179">
            <v>906089425000</v>
          </cell>
          <cell r="AS179">
            <v>1031114033600</v>
          </cell>
          <cell r="AT179">
            <v>1133764572900</v>
          </cell>
          <cell r="AU179">
            <v>1331279275100</v>
          </cell>
          <cell r="AV179">
            <v>1455530020800</v>
          </cell>
          <cell r="AW179">
            <v>1624584096800</v>
          </cell>
          <cell r="AX179">
            <v>1805576382600</v>
          </cell>
          <cell r="AY179">
            <v>2022818909300</v>
          </cell>
          <cell r="AZ179">
            <v>2277831864200</v>
          </cell>
          <cell r="BA179">
            <v>2537755824700</v>
          </cell>
          <cell r="BB179">
            <v>2738069410100</v>
          </cell>
          <cell r="BC179">
            <v>2996082201500</v>
          </cell>
          <cell r="BD179">
            <v>3249209014300</v>
          </cell>
          <cell r="BE179">
            <v>3477030035100</v>
          </cell>
          <cell r="BF179">
            <v>3775107208400</v>
          </cell>
          <cell r="BG179">
            <v>4031354023400</v>
          </cell>
          <cell r="BH179">
            <v>4319511525200</v>
          </cell>
          <cell r="BI179">
            <v>4637597544700</v>
          </cell>
          <cell r="BJ179">
            <v>4937394924600</v>
          </cell>
          <cell r="BK179">
            <v>5208245088700</v>
          </cell>
          <cell r="BL179">
            <v>5465117900400</v>
          </cell>
          <cell r="BM179">
            <v>5428519090600</v>
          </cell>
        </row>
        <row r="180">
          <cell r="B180" t="str">
            <v>SSD</v>
          </cell>
          <cell r="C180" t="str">
            <v>GNI (current LCU)</v>
          </cell>
          <cell r="D180" t="str">
            <v>NY.GNP.MKTP.CN</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t="str">
            <v>..</v>
          </cell>
          <cell r="AU180" t="str">
            <v>..</v>
          </cell>
          <cell r="AV180" t="str">
            <v>..</v>
          </cell>
          <cell r="AW180" t="str">
            <v>..</v>
          </cell>
          <cell r="AX180" t="str">
            <v>..</v>
          </cell>
          <cell r="AY180" t="str">
            <v>..</v>
          </cell>
          <cell r="AZ180" t="str">
            <v>..</v>
          </cell>
          <cell r="BA180" t="str">
            <v>..</v>
          </cell>
          <cell r="BB180" t="str">
            <v>..</v>
          </cell>
          <cell r="BC180" t="str">
            <v>..</v>
          </cell>
          <cell r="BD180">
            <v>25556395300</v>
          </cell>
          <cell r="BE180">
            <v>33884158900</v>
          </cell>
          <cell r="BF180">
            <v>51369446200</v>
          </cell>
          <cell r="BG180">
            <v>35264927900</v>
          </cell>
          <cell r="BH180">
            <v>37926285000</v>
          </cell>
          <cell r="BI180" t="str">
            <v>..</v>
          </cell>
          <cell r="BJ180" t="str">
            <v>..</v>
          </cell>
          <cell r="BK180" t="str">
            <v>..</v>
          </cell>
          <cell r="BL180" t="str">
            <v>..</v>
          </cell>
          <cell r="BM180" t="str">
            <v>..</v>
          </cell>
        </row>
        <row r="181">
          <cell r="B181" t="str">
            <v>ESP</v>
          </cell>
          <cell r="C181" t="str">
            <v>GNI (current LCU)</v>
          </cell>
          <cell r="D181" t="str">
            <v>NY.GNP.MKTP.CN</v>
          </cell>
          <cell r="E181">
            <v>4332441088</v>
          </cell>
          <cell r="F181">
            <v>4966054400</v>
          </cell>
          <cell r="G181">
            <v>5794342400</v>
          </cell>
          <cell r="H181">
            <v>6848124928</v>
          </cell>
          <cell r="I181">
            <v>7650038272</v>
          </cell>
          <cell r="J181">
            <v>8887838720</v>
          </cell>
          <cell r="K181">
            <v>10269609984</v>
          </cell>
          <cell r="L181">
            <v>11628505088</v>
          </cell>
          <cell r="M181">
            <v>13121269760</v>
          </cell>
          <cell r="N181">
            <v>14999521280</v>
          </cell>
          <cell r="O181">
            <v>17026159000</v>
          </cell>
          <cell r="P181">
            <v>19249631000</v>
          </cell>
          <cell r="Q181">
            <v>22619985000</v>
          </cell>
          <cell r="R181">
            <v>27340716000</v>
          </cell>
          <cell r="S181">
            <v>33612040000</v>
          </cell>
          <cell r="T181">
            <v>39307289000</v>
          </cell>
          <cell r="U181">
            <v>47139993000</v>
          </cell>
          <cell r="V181">
            <v>59720858000</v>
          </cell>
          <cell r="W181">
            <v>73047365000</v>
          </cell>
          <cell r="X181">
            <v>85679075000</v>
          </cell>
          <cell r="Y181">
            <v>99001543000</v>
          </cell>
          <cell r="Z181">
            <v>110494589000</v>
          </cell>
          <cell r="AA181">
            <v>126972173000</v>
          </cell>
          <cell r="AB181">
            <v>144232251000</v>
          </cell>
          <cell r="AC181">
            <v>162855771000</v>
          </cell>
          <cell r="AD181">
            <v>182262675000</v>
          </cell>
          <cell r="AE181">
            <v>208863083000</v>
          </cell>
          <cell r="AF181">
            <v>233602855000</v>
          </cell>
          <cell r="AG181">
            <v>259647983000</v>
          </cell>
          <cell r="AH181">
            <v>291902034000</v>
          </cell>
          <cell r="AI181">
            <v>324993920000</v>
          </cell>
          <cell r="AJ181">
            <v>356475098000</v>
          </cell>
          <cell r="AK181">
            <v>383543497000</v>
          </cell>
          <cell r="AL181">
            <v>398400715000</v>
          </cell>
          <cell r="AM181">
            <v>418187429000</v>
          </cell>
          <cell r="AN181">
            <v>456812486000</v>
          </cell>
          <cell r="AO181">
            <v>482305015000</v>
          </cell>
          <cell r="AP181">
            <v>513117180000</v>
          </cell>
          <cell r="AQ181">
            <v>548896529000</v>
          </cell>
          <cell r="AR181">
            <v>590312000000</v>
          </cell>
          <cell r="AS181">
            <v>643218000000</v>
          </cell>
          <cell r="AT181">
            <v>691291000000</v>
          </cell>
          <cell r="AU181">
            <v>741062000000</v>
          </cell>
          <cell r="AV181">
            <v>795682000000</v>
          </cell>
          <cell r="AW181">
            <v>851424000000</v>
          </cell>
          <cell r="AX181">
            <v>914553000000</v>
          </cell>
          <cell r="AY181">
            <v>985258000000</v>
          </cell>
          <cell r="AZ181">
            <v>1049146000000</v>
          </cell>
          <cell r="BA181">
            <v>1078741000000</v>
          </cell>
          <cell r="BB181">
            <v>1048849000000</v>
          </cell>
          <cell r="BC181">
            <v>1057075000000</v>
          </cell>
          <cell r="BD181">
            <v>1044991000000</v>
          </cell>
          <cell r="BE181">
            <v>1022852000000</v>
          </cell>
          <cell r="BF181">
            <v>1013534000000</v>
          </cell>
          <cell r="BG181">
            <v>1028374000000</v>
          </cell>
          <cell r="BH181">
            <v>1077348000000</v>
          </cell>
          <cell r="BI181">
            <v>1116592000000</v>
          </cell>
          <cell r="BJ181">
            <v>1162300000000</v>
          </cell>
          <cell r="BK181">
            <v>1204988000000</v>
          </cell>
          <cell r="BL181">
            <v>1247062000000</v>
          </cell>
          <cell r="BM181">
            <v>1128541000000</v>
          </cell>
        </row>
        <row r="182">
          <cell r="B182" t="str">
            <v>LKA</v>
          </cell>
          <cell r="C182" t="str">
            <v>GNI (current LCU)</v>
          </cell>
          <cell r="D182" t="str">
            <v>NY.GNP.MKTP.CN</v>
          </cell>
          <cell r="E182">
            <v>6694619600</v>
          </cell>
          <cell r="F182">
            <v>6697446900</v>
          </cell>
          <cell r="G182">
            <v>6992409600</v>
          </cell>
          <cell r="H182">
            <v>7281718300</v>
          </cell>
          <cell r="I182">
            <v>7774579700</v>
          </cell>
          <cell r="J182">
            <v>8013000000</v>
          </cell>
          <cell r="K182">
            <v>8333000000</v>
          </cell>
          <cell r="L182">
            <v>9018000000</v>
          </cell>
          <cell r="M182">
            <v>10539000000</v>
          </cell>
          <cell r="N182">
            <v>11624000000</v>
          </cell>
          <cell r="O182">
            <v>12746000000</v>
          </cell>
          <cell r="P182">
            <v>12798000000</v>
          </cell>
          <cell r="Q182">
            <v>14042000000</v>
          </cell>
          <cell r="R182">
            <v>16784000000</v>
          </cell>
          <cell r="S182">
            <v>21482000000</v>
          </cell>
          <cell r="T182">
            <v>23619000000</v>
          </cell>
          <cell r="U182">
            <v>25704000000</v>
          </cell>
          <cell r="V182">
            <v>31256000000</v>
          </cell>
          <cell r="W182">
            <v>39045000000</v>
          </cell>
          <cell r="X182">
            <v>52291000000</v>
          </cell>
          <cell r="Y182">
            <v>67230000000</v>
          </cell>
          <cell r="Z182">
            <v>84540000000</v>
          </cell>
          <cell r="AA182">
            <v>100258000000</v>
          </cell>
          <cell r="AB182">
            <v>120979000000</v>
          </cell>
          <cell r="AC182">
            <v>149357000000</v>
          </cell>
          <cell r="AD182">
            <v>161694000000</v>
          </cell>
          <cell r="AE182">
            <v>178724000000</v>
          </cell>
          <cell r="AF182">
            <v>195883000000</v>
          </cell>
          <cell r="AG182">
            <v>221435000000</v>
          </cell>
          <cell r="AH182">
            <v>250060000000</v>
          </cell>
          <cell r="AI182">
            <v>319420000000</v>
          </cell>
          <cell r="AJ182">
            <v>369262000000</v>
          </cell>
          <cell r="AK182">
            <v>424313000000</v>
          </cell>
          <cell r="AL182">
            <v>499622000000</v>
          </cell>
          <cell r="AM182">
            <v>575528000000</v>
          </cell>
          <cell r="AN182">
            <v>659050000000</v>
          </cell>
          <cell r="AO182">
            <v>757298000000</v>
          </cell>
          <cell r="AP182">
            <v>879984000000</v>
          </cell>
          <cell r="AQ182">
            <v>1001900000000</v>
          </cell>
          <cell r="AR182">
            <v>1085949000000</v>
          </cell>
          <cell r="AS182">
            <v>1233402180000</v>
          </cell>
          <cell r="AT182">
            <v>1382220429400</v>
          </cell>
          <cell r="AU182">
            <v>1557842000000</v>
          </cell>
          <cell r="AV182">
            <v>1805933000000</v>
          </cell>
          <cell r="AW182">
            <v>2070109000000</v>
          </cell>
          <cell r="AX182">
            <v>2422733000000</v>
          </cell>
          <cell r="AY182">
            <v>2898256000000</v>
          </cell>
          <cell r="AZ182">
            <v>3539634000000</v>
          </cell>
          <cell r="BA182">
            <v>4305650000000</v>
          </cell>
          <cell r="BB182">
            <v>4779498000000</v>
          </cell>
          <cell r="BC182">
            <v>6343892000000</v>
          </cell>
          <cell r="BD182">
            <v>7147065000000</v>
          </cell>
          <cell r="BE182">
            <v>8577574000000</v>
          </cell>
          <cell r="BF182">
            <v>9366039000000</v>
          </cell>
          <cell r="BG182">
            <v>10125078000000</v>
          </cell>
          <cell r="BH182">
            <v>10675880000000</v>
          </cell>
          <cell r="BI182">
            <v>11676431000000</v>
          </cell>
          <cell r="BJ182">
            <v>12975247000000</v>
          </cell>
          <cell r="BK182">
            <v>13901306000000</v>
          </cell>
          <cell r="BL182">
            <v>14580704000000</v>
          </cell>
          <cell r="BM182">
            <v>14567811000000</v>
          </cell>
        </row>
        <row r="183">
          <cell r="B183" t="str">
            <v>KNA</v>
          </cell>
          <cell r="C183" t="str">
            <v>GNI (current LCU)</v>
          </cell>
          <cell r="D183" t="str">
            <v>NY.GNP.MKTP.CN</v>
          </cell>
          <cell r="E183" t="str">
            <v>..</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v>116641192</v>
          </cell>
          <cell r="W183">
            <v>129971642</v>
          </cell>
          <cell r="X183">
            <v>155369789</v>
          </cell>
          <cell r="Y183">
            <v>181480000</v>
          </cell>
          <cell r="Z183">
            <v>215580000</v>
          </cell>
          <cell r="AA183">
            <v>233880000</v>
          </cell>
          <cell r="AB183">
            <v>237530000</v>
          </cell>
          <cell r="AC183">
            <v>266500000</v>
          </cell>
          <cell r="AD183">
            <v>296210000</v>
          </cell>
          <cell r="AE183">
            <v>348290000</v>
          </cell>
          <cell r="AF183">
            <v>394160000</v>
          </cell>
          <cell r="AG183">
            <v>455140000</v>
          </cell>
          <cell r="AH183">
            <v>495050000</v>
          </cell>
          <cell r="AI183">
            <v>574560000</v>
          </cell>
          <cell r="AJ183">
            <v>576540000</v>
          </cell>
          <cell r="AK183">
            <v>624910000</v>
          </cell>
          <cell r="AL183">
            <v>680010000</v>
          </cell>
          <cell r="AM183">
            <v>761810000</v>
          </cell>
          <cell r="AN183">
            <v>816820000</v>
          </cell>
          <cell r="AO183">
            <v>859560000</v>
          </cell>
          <cell r="AP183">
            <v>957650000</v>
          </cell>
          <cell r="AQ183">
            <v>965300000</v>
          </cell>
          <cell r="AR183">
            <v>1019880000</v>
          </cell>
          <cell r="AS183">
            <v>1056150000</v>
          </cell>
          <cell r="AT183">
            <v>1143720000</v>
          </cell>
          <cell r="AU183">
            <v>1194839800</v>
          </cell>
          <cell r="AV183">
            <v>1149234900</v>
          </cell>
          <cell r="AW183">
            <v>1263595600</v>
          </cell>
          <cell r="AX183">
            <v>1382576500</v>
          </cell>
          <cell r="AY183">
            <v>1652592500</v>
          </cell>
          <cell r="AZ183">
            <v>1777519900</v>
          </cell>
          <cell r="BA183">
            <v>1936156300</v>
          </cell>
          <cell r="BB183">
            <v>1927696600</v>
          </cell>
          <cell r="BC183">
            <v>1973661900</v>
          </cell>
          <cell r="BD183">
            <v>2127906700</v>
          </cell>
          <cell r="BE183">
            <v>2096921600</v>
          </cell>
          <cell r="BF183">
            <v>2227901200</v>
          </cell>
          <cell r="BG183">
            <v>2292214300</v>
          </cell>
          <cell r="BH183">
            <v>2317589800</v>
          </cell>
          <cell r="BI183">
            <v>2565614700</v>
          </cell>
          <cell r="BJ183">
            <v>2732013400</v>
          </cell>
          <cell r="BK183">
            <v>2786043800</v>
          </cell>
          <cell r="BL183">
            <v>3016561800</v>
          </cell>
          <cell r="BM183">
            <v>2703437500</v>
          </cell>
        </row>
        <row r="184">
          <cell r="B184" t="str">
            <v>LCA</v>
          </cell>
          <cell r="C184" t="str">
            <v>GNI (current LCU)</v>
          </cell>
          <cell r="D184" t="str">
            <v>NY.GNP.MKTP.CN</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v>432983395.30000001</v>
          </cell>
          <cell r="Z184">
            <v>494697129.60000002</v>
          </cell>
          <cell r="AA184">
            <v>464610457.30000001</v>
          </cell>
          <cell r="AB184">
            <v>502009860.89999998</v>
          </cell>
          <cell r="AC184">
            <v>644699779.20000005</v>
          </cell>
          <cell r="AD184">
            <v>726208753</v>
          </cell>
          <cell r="AE184">
            <v>871059960.79999995</v>
          </cell>
          <cell r="AF184">
            <v>961212029.20000005</v>
          </cell>
          <cell r="AG184">
            <v>1088508544.9000001</v>
          </cell>
          <cell r="AH184">
            <v>1236731171.4000001</v>
          </cell>
          <cell r="AI184">
            <v>1407834228.7</v>
          </cell>
          <cell r="AJ184">
            <v>1487894900</v>
          </cell>
          <cell r="AK184">
            <v>1651804600</v>
          </cell>
          <cell r="AL184">
            <v>1660760000</v>
          </cell>
          <cell r="AM184">
            <v>1736696300</v>
          </cell>
          <cell r="AN184">
            <v>1845719900</v>
          </cell>
          <cell r="AO184">
            <v>1923150500</v>
          </cell>
          <cell r="AP184">
            <v>1960855900</v>
          </cell>
          <cell r="AQ184">
            <v>2130835400</v>
          </cell>
          <cell r="AR184">
            <v>2247342700</v>
          </cell>
          <cell r="AS184">
            <v>2264259200</v>
          </cell>
          <cell r="AT184">
            <v>2136556000</v>
          </cell>
          <cell r="AU184">
            <v>2180813000</v>
          </cell>
          <cell r="AV184">
            <v>2369025300</v>
          </cell>
          <cell r="AW184">
            <v>2530032200</v>
          </cell>
          <cell r="AX184">
            <v>2696347600</v>
          </cell>
          <cell r="AY184">
            <v>3278172800</v>
          </cell>
          <cell r="AZ184">
            <v>3423903600</v>
          </cell>
          <cell r="BA184">
            <v>3687814800</v>
          </cell>
          <cell r="BB184">
            <v>3662140300</v>
          </cell>
          <cell r="BC184">
            <v>3907414400</v>
          </cell>
          <cell r="BD184">
            <v>4204278400</v>
          </cell>
          <cell r="BE184">
            <v>4232070500</v>
          </cell>
          <cell r="BF184">
            <v>4392906800</v>
          </cell>
          <cell r="BG184">
            <v>4450133700</v>
          </cell>
          <cell r="BH184">
            <v>4468895300</v>
          </cell>
          <cell r="BI184">
            <v>4729034100</v>
          </cell>
          <cell r="BJ184">
            <v>5102998200</v>
          </cell>
          <cell r="BK184">
            <v>5272297100</v>
          </cell>
          <cell r="BL184">
            <v>5411724100</v>
          </cell>
          <cell r="BM184">
            <v>4108065600</v>
          </cell>
        </row>
        <row r="185">
          <cell r="B185" t="str">
            <v>MAF</v>
          </cell>
          <cell r="C185" t="str">
            <v>GNI (current LCU)</v>
          </cell>
          <cell r="D185" t="str">
            <v>NY.GNP.MKTP.CN</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v>
          </cell>
        </row>
        <row r="186">
          <cell r="B186" t="str">
            <v>VCT</v>
          </cell>
          <cell r="C186" t="str">
            <v>GNI (current LCU)</v>
          </cell>
          <cell r="D186" t="str">
            <v>NY.GNP.MKTP.CN</v>
          </cell>
          <cell r="E186">
            <v>22400000</v>
          </cell>
          <cell r="F186">
            <v>24000000</v>
          </cell>
          <cell r="G186">
            <v>24900000</v>
          </cell>
          <cell r="H186">
            <v>23500000</v>
          </cell>
          <cell r="I186">
            <v>25300000</v>
          </cell>
          <cell r="J186">
            <v>25900000</v>
          </cell>
          <cell r="K186">
            <v>27600000</v>
          </cell>
          <cell r="L186">
            <v>27900000</v>
          </cell>
          <cell r="M186">
            <v>30700000</v>
          </cell>
          <cell r="N186">
            <v>33300000</v>
          </cell>
          <cell r="O186">
            <v>36900000</v>
          </cell>
          <cell r="P186">
            <v>39600000</v>
          </cell>
          <cell r="Q186">
            <v>53000000</v>
          </cell>
          <cell r="R186">
            <v>59100000</v>
          </cell>
          <cell r="S186">
            <v>67600000</v>
          </cell>
          <cell r="T186">
            <v>72118000</v>
          </cell>
          <cell r="U186">
            <v>85742500</v>
          </cell>
          <cell r="V186">
            <v>133253500</v>
          </cell>
          <cell r="W186">
            <v>164280900</v>
          </cell>
          <cell r="X186">
            <v>190340171</v>
          </cell>
          <cell r="Y186">
            <v>219888917</v>
          </cell>
          <cell r="Z186">
            <v>273743656</v>
          </cell>
          <cell r="AA186">
            <v>299859849</v>
          </cell>
          <cell r="AB186">
            <v>323879444</v>
          </cell>
          <cell r="AC186">
            <v>356467467</v>
          </cell>
          <cell r="AD186">
            <v>385402604</v>
          </cell>
          <cell r="AE186">
            <v>411485973</v>
          </cell>
          <cell r="AF186">
            <v>462567748</v>
          </cell>
          <cell r="AG186">
            <v>511562124</v>
          </cell>
          <cell r="AH186">
            <v>561311506</v>
          </cell>
          <cell r="AI186">
            <v>619170000</v>
          </cell>
          <cell r="AJ186">
            <v>657370000</v>
          </cell>
          <cell r="AK186">
            <v>728150000</v>
          </cell>
          <cell r="AL186">
            <v>750850000</v>
          </cell>
          <cell r="AM186">
            <v>752010000</v>
          </cell>
          <cell r="AN186">
            <v>822340000</v>
          </cell>
          <cell r="AO186">
            <v>870730000</v>
          </cell>
          <cell r="AP186">
            <v>904880000</v>
          </cell>
          <cell r="AQ186">
            <v>971740000</v>
          </cell>
          <cell r="AR186">
            <v>1002400000</v>
          </cell>
          <cell r="AS186">
            <v>1018140000</v>
          </cell>
          <cell r="AT186">
            <v>1116605000</v>
          </cell>
          <cell r="AU186">
            <v>1199562300</v>
          </cell>
          <cell r="AV186">
            <v>1236530900</v>
          </cell>
          <cell r="AW186">
            <v>1329450600</v>
          </cell>
          <cell r="AX186">
            <v>1407044000</v>
          </cell>
          <cell r="AY186">
            <v>1580125900</v>
          </cell>
          <cell r="AZ186">
            <v>1788583000</v>
          </cell>
          <cell r="BA186">
            <v>1815985300</v>
          </cell>
          <cell r="BB186">
            <v>1787159400</v>
          </cell>
          <cell r="BC186">
            <v>1806156900</v>
          </cell>
          <cell r="BD186">
            <v>1790605600</v>
          </cell>
          <cell r="BE186">
            <v>1860608300</v>
          </cell>
          <cell r="BF186">
            <v>1937213900</v>
          </cell>
          <cell r="BG186">
            <v>1884209600</v>
          </cell>
          <cell r="BH186">
            <v>1990387100</v>
          </cell>
          <cell r="BI186">
            <v>2077013300</v>
          </cell>
          <cell r="BJ186">
            <v>2129034400</v>
          </cell>
          <cell r="BK186">
            <v>2186353700</v>
          </cell>
          <cell r="BL186">
            <v>2209205500</v>
          </cell>
          <cell r="BM186">
            <v>2186550100</v>
          </cell>
        </row>
        <row r="187">
          <cell r="B187" t="str">
            <v>SDN</v>
          </cell>
          <cell r="C187" t="str">
            <v>GNI (current LCU)</v>
          </cell>
          <cell r="D187" t="str">
            <v>NY.GNP.MKTP.CN</v>
          </cell>
          <cell r="E187">
            <v>394200</v>
          </cell>
          <cell r="F187">
            <v>425700</v>
          </cell>
          <cell r="G187">
            <v>460800</v>
          </cell>
          <cell r="H187">
            <v>470600</v>
          </cell>
          <cell r="I187">
            <v>482800</v>
          </cell>
          <cell r="J187">
            <v>503800</v>
          </cell>
          <cell r="K187">
            <v>516900</v>
          </cell>
          <cell r="L187">
            <v>556400</v>
          </cell>
          <cell r="M187">
            <v>579800</v>
          </cell>
          <cell r="N187">
            <v>638100</v>
          </cell>
          <cell r="O187">
            <v>726400</v>
          </cell>
          <cell r="P187">
            <v>790500</v>
          </cell>
          <cell r="Q187">
            <v>856900</v>
          </cell>
          <cell r="R187">
            <v>1062900</v>
          </cell>
          <cell r="S187">
            <v>1364100</v>
          </cell>
          <cell r="T187">
            <v>1660900</v>
          </cell>
          <cell r="U187">
            <v>2075900</v>
          </cell>
          <cell r="V187">
            <v>2592900</v>
          </cell>
          <cell r="W187">
            <v>3047500</v>
          </cell>
          <cell r="X187">
            <v>3579500</v>
          </cell>
          <cell r="Y187">
            <v>4448200</v>
          </cell>
          <cell r="Z187">
            <v>5788500</v>
          </cell>
          <cell r="AA187">
            <v>8171700</v>
          </cell>
          <cell r="AB187">
            <v>10463700</v>
          </cell>
          <cell r="AC187">
            <v>13050500</v>
          </cell>
          <cell r="AD187">
            <v>17999900</v>
          </cell>
          <cell r="AE187">
            <v>24406700</v>
          </cell>
          <cell r="AF187">
            <v>35173900</v>
          </cell>
          <cell r="AG187">
            <v>62219600</v>
          </cell>
          <cell r="AH187">
            <v>91459700</v>
          </cell>
          <cell r="AI187">
            <v>139185500</v>
          </cell>
          <cell r="AJ187">
            <v>264039000</v>
          </cell>
          <cell r="AK187">
            <v>603231900</v>
          </cell>
          <cell r="AL187">
            <v>1278400100</v>
          </cell>
          <cell r="AM187">
            <v>3444636700</v>
          </cell>
          <cell r="AN187">
            <v>7504700500</v>
          </cell>
          <cell r="AO187">
            <v>10833036100</v>
          </cell>
          <cell r="AP187">
            <v>17862881700</v>
          </cell>
          <cell r="AQ187">
            <v>21852349900</v>
          </cell>
          <cell r="AR187">
            <v>25822037800</v>
          </cell>
          <cell r="AS187">
            <v>29930152100</v>
          </cell>
          <cell r="AT187">
            <v>39145887400</v>
          </cell>
          <cell r="AU187">
            <v>45697632400</v>
          </cell>
          <cell r="AV187">
            <v>53465293600</v>
          </cell>
          <cell r="AW187">
            <v>65851672000</v>
          </cell>
          <cell r="AX187">
            <v>82428672300</v>
          </cell>
          <cell r="AY187">
            <v>93918481400</v>
          </cell>
          <cell r="AZ187">
            <v>115294717100</v>
          </cell>
          <cell r="BA187">
            <v>129213835400</v>
          </cell>
          <cell r="BB187">
            <v>130228787800</v>
          </cell>
          <cell r="BC187">
            <v>158908464700</v>
          </cell>
          <cell r="BD187">
            <v>194702130100</v>
          </cell>
          <cell r="BE187">
            <v>213650800200</v>
          </cell>
          <cell r="BF187">
            <v>293634358500</v>
          </cell>
          <cell r="BG187">
            <v>432261857000</v>
          </cell>
          <cell r="BH187">
            <v>500581006400</v>
          </cell>
          <cell r="BI187">
            <v>626458121500</v>
          </cell>
          <cell r="BJ187">
            <v>832278484700</v>
          </cell>
          <cell r="BK187">
            <v>1238960329500</v>
          </cell>
          <cell r="BL187">
            <v>1835269293800</v>
          </cell>
          <cell r="BM187">
            <v>3778825610700</v>
          </cell>
        </row>
        <row r="188">
          <cell r="B188" t="str">
            <v>SUR</v>
          </cell>
          <cell r="C188" t="str">
            <v>GNI (current LCU)</v>
          </cell>
          <cell r="D188" t="str">
            <v>NY.GNP.MKTP.CN</v>
          </cell>
          <cell r="E188">
            <v>157300</v>
          </cell>
          <cell r="F188">
            <v>164900</v>
          </cell>
          <cell r="G188">
            <v>167800</v>
          </cell>
          <cell r="H188">
            <v>148400</v>
          </cell>
          <cell r="I188">
            <v>162300</v>
          </cell>
          <cell r="J188">
            <v>242100</v>
          </cell>
          <cell r="K188">
            <v>305600</v>
          </cell>
          <cell r="L188">
            <v>352100</v>
          </cell>
          <cell r="M188">
            <v>362400</v>
          </cell>
          <cell r="N188">
            <v>378500</v>
          </cell>
          <cell r="O188">
            <v>413900</v>
          </cell>
          <cell r="P188">
            <v>449500</v>
          </cell>
          <cell r="Q188">
            <v>491800</v>
          </cell>
          <cell r="R188">
            <v>539600</v>
          </cell>
          <cell r="S188">
            <v>694600</v>
          </cell>
          <cell r="T188">
            <v>905800</v>
          </cell>
          <cell r="U188">
            <v>940400</v>
          </cell>
          <cell r="V188">
            <v>1201400</v>
          </cell>
          <cell r="W188">
            <v>1396200</v>
          </cell>
          <cell r="X188">
            <v>1475400</v>
          </cell>
          <cell r="Y188">
            <v>1559000</v>
          </cell>
          <cell r="Z188">
            <v>1801000</v>
          </cell>
          <cell r="AA188">
            <v>1843000</v>
          </cell>
          <cell r="AB188">
            <v>1747000</v>
          </cell>
          <cell r="AC188">
            <v>1731000</v>
          </cell>
          <cell r="AD188">
            <v>1746000</v>
          </cell>
          <cell r="AE188">
            <v>1777000</v>
          </cell>
          <cell r="AF188">
            <v>1952000</v>
          </cell>
          <cell r="AG188">
            <v>2306000</v>
          </cell>
          <cell r="AH188">
            <v>2701000</v>
          </cell>
          <cell r="AI188">
            <v>3869000</v>
          </cell>
          <cell r="AJ188">
            <v>4461000</v>
          </cell>
          <cell r="AK188">
            <v>6055000</v>
          </cell>
          <cell r="AL188">
            <v>14324000</v>
          </cell>
          <cell r="AM188">
            <v>80399000</v>
          </cell>
          <cell r="AN188">
            <v>304420000</v>
          </cell>
          <cell r="AO188">
            <v>342499000</v>
          </cell>
          <cell r="AP188">
            <v>359924000</v>
          </cell>
          <cell r="AQ188">
            <v>432829000</v>
          </cell>
          <cell r="AR188">
            <v>730530000</v>
          </cell>
          <cell r="AS188">
            <v>1187548000</v>
          </cell>
          <cell r="AT188">
            <v>1586526000</v>
          </cell>
          <cell r="AU188">
            <v>2468040000</v>
          </cell>
          <cell r="AV188">
            <v>3186169000</v>
          </cell>
          <cell r="AW188">
            <v>3884000000</v>
          </cell>
          <cell r="AX188">
            <v>4788639300</v>
          </cell>
          <cell r="AY188">
            <v>7056468400</v>
          </cell>
          <cell r="AZ188">
            <v>8053863000</v>
          </cell>
          <cell r="BA188">
            <v>9753998000</v>
          </cell>
          <cell r="BB188">
            <v>10651176000</v>
          </cell>
          <cell r="BC188">
            <v>11706654800</v>
          </cell>
          <cell r="BD188">
            <v>13595403000</v>
          </cell>
          <cell r="BE188">
            <v>15798786200</v>
          </cell>
          <cell r="BF188">
            <v>16547875300</v>
          </cell>
          <cell r="BG188">
            <v>17061937000</v>
          </cell>
          <cell r="BH188">
            <v>17469200000</v>
          </cell>
          <cell r="BI188">
            <v>19626550000</v>
          </cell>
          <cell r="BJ188">
            <v>23943120000</v>
          </cell>
          <cell r="BK188">
            <v>26929960000</v>
          </cell>
          <cell r="BL188">
            <v>28227140000</v>
          </cell>
          <cell r="BM188">
            <v>32159350000</v>
          </cell>
        </row>
        <row r="189">
          <cell r="B189" t="str">
            <v>SWE</v>
          </cell>
          <cell r="C189" t="str">
            <v>GNI (current LCU)</v>
          </cell>
          <cell r="D189" t="str">
            <v>NY.GNP.MKTP.CN</v>
          </cell>
          <cell r="E189">
            <v>77994729472</v>
          </cell>
          <cell r="F189">
            <v>84815986688</v>
          </cell>
          <cell r="G189">
            <v>92001345536</v>
          </cell>
          <cell r="H189">
            <v>99547652096</v>
          </cell>
          <cell r="I189">
            <v>111095046144</v>
          </cell>
          <cell r="J189">
            <v>122196197376</v>
          </cell>
          <cell r="K189">
            <v>132877492224</v>
          </cell>
          <cell r="L189">
            <v>144150675456</v>
          </cell>
          <cell r="M189">
            <v>152912150528</v>
          </cell>
          <cell r="N189">
            <v>166003572736</v>
          </cell>
          <cell r="O189">
            <v>194075457000</v>
          </cell>
          <cell r="P189">
            <v>210114835000</v>
          </cell>
          <cell r="Q189">
            <v>230091633000</v>
          </cell>
          <cell r="R189">
            <v>256455325000</v>
          </cell>
          <cell r="S189">
            <v>289517026000</v>
          </cell>
          <cell r="T189">
            <v>339964020000</v>
          </cell>
          <cell r="U189">
            <v>384000448000</v>
          </cell>
          <cell r="V189">
            <v>416317050000</v>
          </cell>
          <cell r="W189">
            <v>463375586000</v>
          </cell>
          <cell r="X189">
            <v>519699965000</v>
          </cell>
          <cell r="Y189">
            <v>592558827000</v>
          </cell>
          <cell r="Z189">
            <v>644622122000</v>
          </cell>
          <cell r="AA189">
            <v>701940824000</v>
          </cell>
          <cell r="AB189">
            <v>784385862000</v>
          </cell>
          <cell r="AC189">
            <v>880402232000</v>
          </cell>
          <cell r="AD189">
            <v>956789925000</v>
          </cell>
          <cell r="AE189">
            <v>1050319036000</v>
          </cell>
          <cell r="AF189">
            <v>1141462173000</v>
          </cell>
          <cell r="AG189">
            <v>1246702914000</v>
          </cell>
          <cell r="AH189">
            <v>1378733385000</v>
          </cell>
          <cell r="AI189">
            <v>1511808046000</v>
          </cell>
          <cell r="AJ189">
            <v>1606951473000</v>
          </cell>
          <cell r="AK189">
            <v>1584439789000</v>
          </cell>
          <cell r="AL189">
            <v>1576836000000</v>
          </cell>
          <cell r="AM189">
            <v>1708880000000</v>
          </cell>
          <cell r="AN189">
            <v>1853454000000</v>
          </cell>
          <cell r="AO189">
            <v>1904454000000</v>
          </cell>
          <cell r="AP189">
            <v>1993907000000</v>
          </cell>
          <cell r="AQ189">
            <v>2106900000000</v>
          </cell>
          <cell r="AR189">
            <v>2260887000000</v>
          </cell>
          <cell r="AS189">
            <v>2409612000000</v>
          </cell>
          <cell r="AT189">
            <v>2505643000000</v>
          </cell>
          <cell r="AU189">
            <v>2605768000000</v>
          </cell>
          <cell r="AV189">
            <v>2749105000000</v>
          </cell>
          <cell r="AW189">
            <v>2846182000000</v>
          </cell>
          <cell r="AX189">
            <v>2970998000000</v>
          </cell>
          <cell r="AY189">
            <v>3202687000000</v>
          </cell>
          <cell r="AZ189">
            <v>3419729000000</v>
          </cell>
          <cell r="BA189">
            <v>3529928000000</v>
          </cell>
          <cell r="BB189">
            <v>3419525000000</v>
          </cell>
          <cell r="BC189">
            <v>3670657000000</v>
          </cell>
          <cell r="BD189">
            <v>3804034000000</v>
          </cell>
          <cell r="BE189">
            <v>3828792000000</v>
          </cell>
          <cell r="BF189">
            <v>3908524000000</v>
          </cell>
          <cell r="BG189">
            <v>4077003000000</v>
          </cell>
          <cell r="BH189">
            <v>4294479000000</v>
          </cell>
          <cell r="BI189">
            <v>4440506000000</v>
          </cell>
          <cell r="BJ189">
            <v>4705352000000</v>
          </cell>
          <cell r="BK189">
            <v>4919582000000</v>
          </cell>
          <cell r="BL189">
            <v>5196682000000</v>
          </cell>
          <cell r="BM189">
            <v>5138982000000</v>
          </cell>
        </row>
        <row r="190">
          <cell r="B190" t="str">
            <v>CHE</v>
          </cell>
          <cell r="C190" t="str">
            <v>GNI (current LCU)</v>
          </cell>
          <cell r="D190" t="str">
            <v>NY.GNP.MKTP.CN</v>
          </cell>
          <cell r="E190">
            <v>42629181440</v>
          </cell>
          <cell r="F190">
            <v>47828955136</v>
          </cell>
          <cell r="G190">
            <v>52957880320</v>
          </cell>
          <cell r="H190">
            <v>58095706112</v>
          </cell>
          <cell r="I190">
            <v>64296505344</v>
          </cell>
          <cell r="J190">
            <v>67332104192</v>
          </cell>
          <cell r="K190">
            <v>72502034432</v>
          </cell>
          <cell r="L190">
            <v>78059479040</v>
          </cell>
          <cell r="M190">
            <v>83753271296</v>
          </cell>
          <cell r="N190">
            <v>90856677376</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t="str">
            <v>..</v>
          </cell>
          <cell r="AF190" t="str">
            <v>..</v>
          </cell>
          <cell r="AG190" t="str">
            <v>..</v>
          </cell>
          <cell r="AH190" t="str">
            <v>..</v>
          </cell>
          <cell r="AI190" t="str">
            <v>..</v>
          </cell>
          <cell r="AJ190" t="str">
            <v>..</v>
          </cell>
          <cell r="AK190" t="str">
            <v>..</v>
          </cell>
          <cell r="AL190" t="str">
            <v>..</v>
          </cell>
          <cell r="AM190" t="str">
            <v>..</v>
          </cell>
          <cell r="AN190">
            <v>426739934000</v>
          </cell>
          <cell r="AO190">
            <v>431114340000</v>
          </cell>
          <cell r="AP190">
            <v>446089389000</v>
          </cell>
          <cell r="AQ190">
            <v>460622308000</v>
          </cell>
          <cell r="AR190">
            <v>472194311000</v>
          </cell>
          <cell r="AS190">
            <v>502449036000</v>
          </cell>
          <cell r="AT190">
            <v>502532092000</v>
          </cell>
          <cell r="AU190">
            <v>495036739000</v>
          </cell>
          <cell r="AV190">
            <v>519578505000</v>
          </cell>
          <cell r="AW190">
            <v>534099485000</v>
          </cell>
          <cell r="AX190">
            <v>565483376000</v>
          </cell>
          <cell r="AY190">
            <v>595785887000</v>
          </cell>
          <cell r="AZ190">
            <v>594838645000</v>
          </cell>
          <cell r="BA190">
            <v>577294759000</v>
          </cell>
          <cell r="BB190">
            <v>617314629000</v>
          </cell>
          <cell r="BC190">
            <v>663754913000</v>
          </cell>
          <cell r="BD190">
            <v>646945259000</v>
          </cell>
          <cell r="BE190">
            <v>662068269000</v>
          </cell>
          <cell r="BF190">
            <v>673483674000</v>
          </cell>
          <cell r="BG190">
            <v>673985066000</v>
          </cell>
          <cell r="BH190">
            <v>684052923000</v>
          </cell>
          <cell r="BI190">
            <v>682558147000</v>
          </cell>
          <cell r="BJ190">
            <v>684300456000</v>
          </cell>
          <cell r="BK190">
            <v>690513051000</v>
          </cell>
          <cell r="BL190">
            <v>701070795000</v>
          </cell>
          <cell r="BM190">
            <v>680928572000</v>
          </cell>
        </row>
        <row r="191">
          <cell r="B191" t="str">
            <v>SYR</v>
          </cell>
          <cell r="C191" t="str">
            <v>GNI (current LCU)</v>
          </cell>
          <cell r="D191" t="str">
            <v>NY.GNP.MKTP.CN</v>
          </cell>
          <cell r="E191" t="str">
            <v>..</v>
          </cell>
          <cell r="F191" t="str">
            <v>..</v>
          </cell>
          <cell r="G191" t="str">
            <v>..</v>
          </cell>
          <cell r="H191" t="str">
            <v>..</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t="str">
            <v>..</v>
          </cell>
          <cell r="AF191" t="str">
            <v>..</v>
          </cell>
          <cell r="AG191" t="str">
            <v>..</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v>822035000000</v>
          </cell>
          <cell r="AT191">
            <v>892920000000</v>
          </cell>
          <cell r="AU191">
            <v>930340000000</v>
          </cell>
          <cell r="AV191">
            <v>980780000000</v>
          </cell>
          <cell r="AW191">
            <v>1170683000000</v>
          </cell>
          <cell r="AX191">
            <v>1377112000000</v>
          </cell>
          <cell r="AY191">
            <v>1607660000000</v>
          </cell>
          <cell r="AZ191">
            <v>1905144000000</v>
          </cell>
          <cell r="BA191">
            <v>2298301000000</v>
          </cell>
          <cell r="BB191">
            <v>2373033000000</v>
          </cell>
          <cell r="BC191">
            <v>2650640000000</v>
          </cell>
          <cell r="BD191">
            <v>3032991000000</v>
          </cell>
          <cell r="BE191">
            <v>2906471000000</v>
          </cell>
          <cell r="BF191">
            <v>2810883000000</v>
          </cell>
          <cell r="BG191">
            <v>3473792000000</v>
          </cell>
          <cell r="BH191">
            <v>4553189000000</v>
          </cell>
          <cell r="BI191">
            <v>5890315000000</v>
          </cell>
          <cell r="BJ191">
            <v>8014882000000</v>
          </cell>
          <cell r="BK191">
            <v>9234839000000</v>
          </cell>
          <cell r="BL191">
            <v>11462791000000</v>
          </cell>
          <cell r="BM191" t="str">
            <v>..</v>
          </cell>
        </row>
        <row r="192">
          <cell r="B192" t="str">
            <v>TJK</v>
          </cell>
          <cell r="C192" t="str">
            <v>GNI (current LCU)</v>
          </cell>
          <cell r="D192" t="str">
            <v>NY.GNP.MKTP.CN</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v>59700</v>
          </cell>
          <cell r="AE192">
            <v>59300</v>
          </cell>
          <cell r="AF192">
            <v>62000</v>
          </cell>
          <cell r="AG192">
            <v>68800</v>
          </cell>
          <cell r="AH192">
            <v>69000</v>
          </cell>
          <cell r="AI192">
            <v>72900</v>
          </cell>
          <cell r="AJ192">
            <v>135200</v>
          </cell>
          <cell r="AK192">
            <v>647000</v>
          </cell>
          <cell r="AL192">
            <v>7072200</v>
          </cell>
          <cell r="AM192">
            <v>17381700</v>
          </cell>
          <cell r="AN192">
            <v>67049900</v>
          </cell>
          <cell r="AO192">
            <v>285854100</v>
          </cell>
          <cell r="AP192">
            <v>504931100</v>
          </cell>
          <cell r="AQ192">
            <v>999618400</v>
          </cell>
          <cell r="AR192">
            <v>1308462800</v>
          </cell>
          <cell r="AS192">
            <v>1711685900</v>
          </cell>
          <cell r="AT192">
            <v>2443562400</v>
          </cell>
          <cell r="AU192">
            <v>3261615600</v>
          </cell>
          <cell r="AV192">
            <v>4546180400</v>
          </cell>
          <cell r="AW192">
            <v>5996381700</v>
          </cell>
          <cell r="AX192">
            <v>8291703100</v>
          </cell>
          <cell r="AY192">
            <v>11414449100</v>
          </cell>
          <cell r="AZ192">
            <v>16281785600</v>
          </cell>
          <cell r="BA192">
            <v>22811839600</v>
          </cell>
          <cell r="BB192">
            <v>24663043000</v>
          </cell>
          <cell r="BC192">
            <v>30520303900</v>
          </cell>
          <cell r="BD192">
            <v>38341162100</v>
          </cell>
          <cell r="BE192">
            <v>46166541700</v>
          </cell>
          <cell r="BF192">
            <v>52943580400</v>
          </cell>
          <cell r="BG192">
            <v>55776810500</v>
          </cell>
          <cell r="BH192">
            <v>60386200000</v>
          </cell>
          <cell r="BI192">
            <v>63326300000</v>
          </cell>
          <cell r="BJ192">
            <v>73845800000</v>
          </cell>
          <cell r="BK192">
            <v>82275600000</v>
          </cell>
          <cell r="BL192">
            <v>91789700000</v>
          </cell>
          <cell r="BM192">
            <v>98659870600</v>
          </cell>
        </row>
        <row r="193">
          <cell r="B193" t="str">
            <v>TZA</v>
          </cell>
          <cell r="C193" t="str">
            <v>GNI (current LCU)</v>
          </cell>
          <cell r="D193" t="str">
            <v>NY.GNP.MKTP.CN</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v>488497846700</v>
          </cell>
          <cell r="AH193">
            <v>608071179300</v>
          </cell>
          <cell r="AI193">
            <v>794324808800</v>
          </cell>
          <cell r="AJ193">
            <v>1045630334800</v>
          </cell>
          <cell r="AK193">
            <v>1314176831700</v>
          </cell>
          <cell r="AL193">
            <v>1659030538800</v>
          </cell>
          <cell r="AM193">
            <v>2220485750400</v>
          </cell>
          <cell r="AN193">
            <v>2946085821500</v>
          </cell>
          <cell r="AO193">
            <v>3725900840800</v>
          </cell>
          <cell r="AP193">
            <v>4629062705500</v>
          </cell>
          <cell r="AQ193">
            <v>8088126863000</v>
          </cell>
          <cell r="AR193">
            <v>9388517611000</v>
          </cell>
          <cell r="AS193">
            <v>10602111830500</v>
          </cell>
          <cell r="AT193">
            <v>11621973675300</v>
          </cell>
          <cell r="AU193">
            <v>13575223368100</v>
          </cell>
          <cell r="AV193">
            <v>15607074404200</v>
          </cell>
          <cell r="AW193">
            <v>17915254726300</v>
          </cell>
          <cell r="AX193">
            <v>20370464498000</v>
          </cell>
          <cell r="AY193">
            <v>23318683260500</v>
          </cell>
          <cell r="AZ193">
            <v>26844716484900</v>
          </cell>
          <cell r="BA193">
            <v>33074384290800</v>
          </cell>
          <cell r="BB193">
            <v>38003914996600</v>
          </cell>
          <cell r="BC193">
            <v>43873771291300</v>
          </cell>
          <cell r="BD193">
            <v>52970436267600</v>
          </cell>
          <cell r="BE193">
            <v>61416439609300</v>
          </cell>
          <cell r="BF193">
            <v>71849739416300</v>
          </cell>
          <cell r="BG193">
            <v>81239902125400</v>
          </cell>
          <cell r="BH193">
            <v>92556675535400</v>
          </cell>
          <cell r="BI193">
            <v>105946338027300</v>
          </cell>
          <cell r="BJ193">
            <v>116138210107200</v>
          </cell>
          <cell r="BK193">
            <v>127248306131200</v>
          </cell>
          <cell r="BL193">
            <v>141659317204100</v>
          </cell>
          <cell r="BM193">
            <v>142028688566900</v>
          </cell>
        </row>
        <row r="194">
          <cell r="B194" t="str">
            <v>THA</v>
          </cell>
          <cell r="C194" t="str">
            <v>GNI (current LCU)</v>
          </cell>
          <cell r="D194" t="str">
            <v>NY.GNP.MKTP.CN</v>
          </cell>
          <cell r="E194">
            <v>58328203300</v>
          </cell>
          <cell r="F194">
            <v>63739002900</v>
          </cell>
          <cell r="G194">
            <v>68933304300</v>
          </cell>
          <cell r="H194">
            <v>73586597900</v>
          </cell>
          <cell r="I194">
            <v>80728801200</v>
          </cell>
          <cell r="J194">
            <v>91225702400</v>
          </cell>
          <cell r="K194">
            <v>109730996200</v>
          </cell>
          <cell r="L194">
            <v>117414002700</v>
          </cell>
          <cell r="M194">
            <v>126611996700</v>
          </cell>
          <cell r="N194">
            <v>139381997600</v>
          </cell>
          <cell r="O194">
            <v>147599999000</v>
          </cell>
          <cell r="P194">
            <v>153299992600</v>
          </cell>
          <cell r="Q194">
            <v>169500000200</v>
          </cell>
          <cell r="R194">
            <v>221200007200</v>
          </cell>
          <cell r="S194">
            <v>279099998200</v>
          </cell>
          <cell r="T194">
            <v>303299985400</v>
          </cell>
          <cell r="U194">
            <v>345600000000</v>
          </cell>
          <cell r="V194">
            <v>402300010500</v>
          </cell>
          <cell r="W194">
            <v>484599988200</v>
          </cell>
          <cell r="X194">
            <v>552600010700</v>
          </cell>
          <cell r="Y194">
            <v>657087987700</v>
          </cell>
          <cell r="Z194">
            <v>748320981000</v>
          </cell>
          <cell r="AA194">
            <v>828647014400</v>
          </cell>
          <cell r="AB194">
            <v>914288017400</v>
          </cell>
          <cell r="AC194">
            <v>976618979400</v>
          </cell>
          <cell r="AD194">
            <v>1038897971200</v>
          </cell>
          <cell r="AE194">
            <v>1110959980600</v>
          </cell>
          <cell r="AF194">
            <v>1277518938100</v>
          </cell>
          <cell r="AG194">
            <v>1535033999300</v>
          </cell>
          <cell r="AH194">
            <v>1833323986900</v>
          </cell>
          <cell r="AI194">
            <v>2156107006000</v>
          </cell>
          <cell r="AJ194">
            <v>2469744083000</v>
          </cell>
          <cell r="AK194">
            <v>2767953068000</v>
          </cell>
          <cell r="AL194">
            <v>3208583000000</v>
          </cell>
          <cell r="AM194">
            <v>3623320000000</v>
          </cell>
          <cell r="AN194">
            <v>4136085000000</v>
          </cell>
          <cell r="AO194">
            <v>4521788000000</v>
          </cell>
          <cell r="AP194">
            <v>4569956000000</v>
          </cell>
          <cell r="AQ194">
            <v>4519077000000</v>
          </cell>
          <cell r="AR194">
            <v>4642974000000</v>
          </cell>
          <cell r="AS194">
            <v>4969857000000</v>
          </cell>
          <cell r="AT194">
            <v>5195524000000</v>
          </cell>
          <cell r="AU194">
            <v>5566746000000</v>
          </cell>
          <cell r="AV194">
            <v>6059100000000</v>
          </cell>
          <cell r="AW194">
            <v>6652133000000</v>
          </cell>
          <cell r="AX194">
            <v>7272971000000</v>
          </cell>
          <cell r="AY194">
            <v>8088333000000</v>
          </cell>
          <cell r="AZ194">
            <v>8767410000000</v>
          </cell>
          <cell r="BA194">
            <v>9352926000000</v>
          </cell>
          <cell r="BB194">
            <v>9320204000000</v>
          </cell>
          <cell r="BC194">
            <v>10355376000000</v>
          </cell>
          <cell r="BD194">
            <v>11034196000000</v>
          </cell>
          <cell r="BE194">
            <v>11791143000000</v>
          </cell>
          <cell r="BF194">
            <v>12089669000000</v>
          </cell>
          <cell r="BG194">
            <v>12549606000000</v>
          </cell>
          <cell r="BH194">
            <v>13034507000000</v>
          </cell>
          <cell r="BI194">
            <v>13904973000000</v>
          </cell>
          <cell r="BJ194">
            <v>14794813000000</v>
          </cell>
          <cell r="BK194">
            <v>15575601000000</v>
          </cell>
          <cell r="BL194">
            <v>16275574000000</v>
          </cell>
          <cell r="BM194">
            <v>15250502000000</v>
          </cell>
        </row>
        <row r="195">
          <cell r="B195" t="str">
            <v>TLS</v>
          </cell>
          <cell r="C195" t="str">
            <v>GNI (current LCU)</v>
          </cell>
          <cell r="D195" t="str">
            <v>NY.GNP.MKTP.CN</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v>515427400</v>
          </cell>
          <cell r="AT195">
            <v>632908132.05409503</v>
          </cell>
          <cell r="AU195">
            <v>759534564.77516901</v>
          </cell>
          <cell r="AV195">
            <v>662036294.41363204</v>
          </cell>
          <cell r="AW195">
            <v>681181081.07219803</v>
          </cell>
          <cell r="AX195">
            <v>845008060.25756705</v>
          </cell>
          <cell r="AY195">
            <v>1301048247.56178</v>
          </cell>
          <cell r="AZ195">
            <v>1969382808.3613</v>
          </cell>
          <cell r="BA195">
            <v>3263528028.6801901</v>
          </cell>
          <cell r="BB195">
            <v>2523550414.9250302</v>
          </cell>
          <cell r="BC195">
            <v>3325058468.12357</v>
          </cell>
          <cell r="BD195">
            <v>4580949263.7386799</v>
          </cell>
          <cell r="BE195">
            <v>4318116322.8833504</v>
          </cell>
          <cell r="BF195">
            <v>4151753075.8406</v>
          </cell>
          <cell r="BG195">
            <v>3337506840.3157902</v>
          </cell>
          <cell r="BH195">
            <v>2792587886.3886399</v>
          </cell>
          <cell r="BI195">
            <v>2230611664.9415998</v>
          </cell>
          <cell r="BJ195">
            <v>2288375327.6329498</v>
          </cell>
          <cell r="BK195">
            <v>2263656283.9780302</v>
          </cell>
          <cell r="BL195">
            <v>2730967258.2635198</v>
          </cell>
          <cell r="BM195">
            <v>2382618783.0047002</v>
          </cell>
        </row>
        <row r="196">
          <cell r="B196" t="str">
            <v>TGO</v>
          </cell>
          <cell r="C196" t="str">
            <v>GNI (current LCU)</v>
          </cell>
          <cell r="D196" t="str">
            <v>NY.GNP.MKTP.CN</v>
          </cell>
          <cell r="E196">
            <v>29583452200</v>
          </cell>
          <cell r="F196">
            <v>30701711400</v>
          </cell>
          <cell r="G196">
            <v>32429961200</v>
          </cell>
          <cell r="H196">
            <v>35988127700</v>
          </cell>
          <cell r="I196">
            <v>41477845000</v>
          </cell>
          <cell r="J196">
            <v>44527652900</v>
          </cell>
          <cell r="K196">
            <v>52756062200</v>
          </cell>
          <cell r="L196">
            <v>56163598300</v>
          </cell>
          <cell r="M196">
            <v>58612658200</v>
          </cell>
          <cell r="N196">
            <v>68248096800</v>
          </cell>
          <cell r="O196">
            <v>68956160000</v>
          </cell>
          <cell r="P196">
            <v>77632217100</v>
          </cell>
          <cell r="Q196">
            <v>82655903700</v>
          </cell>
          <cell r="R196">
            <v>87756873700</v>
          </cell>
          <cell r="S196">
            <v>134996279300</v>
          </cell>
          <cell r="T196">
            <v>131271303200</v>
          </cell>
          <cell r="U196">
            <v>147068092400</v>
          </cell>
          <cell r="V196">
            <v>187757035500</v>
          </cell>
          <cell r="W196">
            <v>181396635600</v>
          </cell>
          <cell r="X196">
            <v>185062686700</v>
          </cell>
          <cell r="Y196">
            <v>231669973000</v>
          </cell>
          <cell r="Z196">
            <v>249897123800</v>
          </cell>
          <cell r="AA196">
            <v>257100005400</v>
          </cell>
          <cell r="AB196">
            <v>275299991600</v>
          </cell>
          <cell r="AC196">
            <v>296900001800</v>
          </cell>
          <cell r="AD196">
            <v>325900009500</v>
          </cell>
          <cell r="AE196">
            <v>352700006400</v>
          </cell>
          <cell r="AF196">
            <v>360799993900</v>
          </cell>
          <cell r="AG196">
            <v>396287213600</v>
          </cell>
          <cell r="AH196">
            <v>419002155000</v>
          </cell>
          <cell r="AI196">
            <v>435063488500</v>
          </cell>
          <cell r="AJ196">
            <v>443339833300</v>
          </cell>
          <cell r="AK196">
            <v>440842387500</v>
          </cell>
          <cell r="AL196">
            <v>341830172700</v>
          </cell>
          <cell r="AM196">
            <v>516977655800</v>
          </cell>
          <cell r="AN196">
            <v>631354163200</v>
          </cell>
          <cell r="AO196">
            <v>736147341300</v>
          </cell>
          <cell r="AP196">
            <v>858023723000</v>
          </cell>
          <cell r="AQ196">
            <v>922659848200</v>
          </cell>
          <cell r="AR196">
            <v>946664177700</v>
          </cell>
          <cell r="AS196">
            <v>1038917069400</v>
          </cell>
          <cell r="AT196">
            <v>1064213706000</v>
          </cell>
          <cell r="AU196">
            <v>1168842393100</v>
          </cell>
          <cell r="AV196">
            <v>1213338238600</v>
          </cell>
          <cell r="AW196">
            <v>1174050366100</v>
          </cell>
          <cell r="AX196">
            <v>1184349000000</v>
          </cell>
          <cell r="AY196">
            <v>1208765000000</v>
          </cell>
          <cell r="AZ196">
            <v>1259912000000</v>
          </cell>
          <cell r="BA196">
            <v>1475610199300</v>
          </cell>
          <cell r="BB196">
            <v>1580251999800</v>
          </cell>
          <cell r="BC196">
            <v>1685254000500</v>
          </cell>
          <cell r="BD196">
            <v>1935071734400</v>
          </cell>
          <cell r="BE196">
            <v>1980592699800</v>
          </cell>
          <cell r="BF196">
            <v>2146937599100</v>
          </cell>
          <cell r="BG196">
            <v>2281724442200</v>
          </cell>
          <cell r="BH196">
            <v>2554926248900</v>
          </cell>
          <cell r="BI196">
            <v>3600219740000</v>
          </cell>
          <cell r="BJ196">
            <v>3716476520000</v>
          </cell>
          <cell r="BK196">
            <v>3961189150100</v>
          </cell>
          <cell r="BL196">
            <v>4243470939600</v>
          </cell>
          <cell r="BM196">
            <v>4369443774999.9902</v>
          </cell>
        </row>
        <row r="197">
          <cell r="B197" t="str">
            <v>TON</v>
          </cell>
          <cell r="C197" t="str">
            <v>GNI (current LCU)</v>
          </cell>
          <cell r="D197" t="str">
            <v>NY.GNP.MKTP.CN</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v>57523000</v>
          </cell>
          <cell r="AA197">
            <v>64200000</v>
          </cell>
          <cell r="AB197">
            <v>69301000</v>
          </cell>
          <cell r="AC197">
            <v>75538000</v>
          </cell>
          <cell r="AD197">
            <v>89785000</v>
          </cell>
          <cell r="AE197">
            <v>107624000</v>
          </cell>
          <cell r="AF197">
            <v>121451000</v>
          </cell>
          <cell r="AG197">
            <v>133390000</v>
          </cell>
          <cell r="AH197">
            <v>139258000</v>
          </cell>
          <cell r="AI197">
            <v>150967000</v>
          </cell>
          <cell r="AJ197">
            <v>174414000</v>
          </cell>
          <cell r="AK197">
            <v>186676000</v>
          </cell>
          <cell r="AL197">
            <v>193151000</v>
          </cell>
          <cell r="AM197">
            <v>270405300</v>
          </cell>
          <cell r="AN197">
            <v>270132000</v>
          </cell>
          <cell r="AO197">
            <v>279780700</v>
          </cell>
          <cell r="AP197">
            <v>278029700</v>
          </cell>
          <cell r="AQ197">
            <v>297480300</v>
          </cell>
          <cell r="AR197">
            <v>325516000</v>
          </cell>
          <cell r="AS197">
            <v>340026000</v>
          </cell>
          <cell r="AT197">
            <v>355803200</v>
          </cell>
          <cell r="AU197">
            <v>405799300</v>
          </cell>
          <cell r="AV197">
            <v>445945800</v>
          </cell>
          <cell r="AW197">
            <v>476596800</v>
          </cell>
          <cell r="AX197">
            <v>506208200</v>
          </cell>
          <cell r="AY197">
            <v>597465500</v>
          </cell>
          <cell r="AZ197">
            <v>607187100</v>
          </cell>
          <cell r="BA197">
            <v>665704000</v>
          </cell>
          <cell r="BB197">
            <v>671942800</v>
          </cell>
          <cell r="BC197">
            <v>730621300</v>
          </cell>
          <cell r="BD197">
            <v>781461500</v>
          </cell>
          <cell r="BE197">
            <v>821303000</v>
          </cell>
          <cell r="BF197">
            <v>800919300</v>
          </cell>
          <cell r="BG197">
            <v>802984400</v>
          </cell>
          <cell r="BH197">
            <v>857920300</v>
          </cell>
          <cell r="BI197">
            <v>937554000</v>
          </cell>
          <cell r="BJ197">
            <v>1058037400</v>
          </cell>
          <cell r="BK197">
            <v>1138403700</v>
          </cell>
          <cell r="BL197">
            <v>1257871400</v>
          </cell>
          <cell r="BM197">
            <v>1224717900</v>
          </cell>
        </row>
        <row r="198">
          <cell r="B198" t="str">
            <v>TTO</v>
          </cell>
          <cell r="C198" t="str">
            <v>GNI (current LCU)</v>
          </cell>
          <cell r="D198" t="str">
            <v>NY.GNP.MKTP.CN</v>
          </cell>
          <cell r="E198">
            <v>829200000</v>
          </cell>
          <cell r="F198">
            <v>888500000</v>
          </cell>
          <cell r="G198">
            <v>948100000</v>
          </cell>
          <cell r="H198">
            <v>1162700000</v>
          </cell>
          <cell r="I198">
            <v>1220400000</v>
          </cell>
          <cell r="J198">
            <v>1262700000</v>
          </cell>
          <cell r="K198">
            <v>1123400000</v>
          </cell>
          <cell r="L198">
            <v>1205100000</v>
          </cell>
          <cell r="M198">
            <v>1381100000</v>
          </cell>
          <cell r="N198">
            <v>1415100000</v>
          </cell>
          <cell r="O198">
            <v>1513500000</v>
          </cell>
          <cell r="P198">
            <v>1638800000</v>
          </cell>
          <cell r="Q198">
            <v>1945500000</v>
          </cell>
          <cell r="R198">
            <v>2384000000</v>
          </cell>
          <cell r="S198">
            <v>3606900000</v>
          </cell>
          <cell r="T198">
            <v>5119100000</v>
          </cell>
          <cell r="U198">
            <v>5826000000</v>
          </cell>
          <cell r="V198">
            <v>7068700000</v>
          </cell>
          <cell r="W198">
            <v>8362700000</v>
          </cell>
          <cell r="X198">
            <v>10434700000</v>
          </cell>
          <cell r="Y198">
            <v>14210100000</v>
          </cell>
          <cell r="Z198">
            <v>15956800000</v>
          </cell>
          <cell r="AA198">
            <v>19021700000</v>
          </cell>
          <cell r="AB198">
            <v>18380900000</v>
          </cell>
          <cell r="AC198">
            <v>18063500000</v>
          </cell>
          <cell r="AD198">
            <v>17218200000</v>
          </cell>
          <cell r="AE198">
            <v>16331200000</v>
          </cell>
          <cell r="AF198">
            <v>15533200000</v>
          </cell>
          <cell r="AG198">
            <v>16124284901.4634</v>
          </cell>
          <cell r="AH198">
            <v>16768000000</v>
          </cell>
          <cell r="AI198">
            <v>19852700000</v>
          </cell>
          <cell r="AJ198">
            <v>20679800000</v>
          </cell>
          <cell r="AK198">
            <v>21213700000</v>
          </cell>
          <cell r="AL198">
            <v>23243398900</v>
          </cell>
          <cell r="AM198">
            <v>26870312000</v>
          </cell>
          <cell r="AN198">
            <v>29377098400</v>
          </cell>
          <cell r="AO198">
            <v>31499882400</v>
          </cell>
          <cell r="AP198">
            <v>33487591700</v>
          </cell>
          <cell r="AQ198">
            <v>35915502600</v>
          </cell>
          <cell r="AR198">
            <v>40370169900</v>
          </cell>
          <cell r="AS198">
            <v>47411275500</v>
          </cell>
          <cell r="AT198">
            <v>51645635100</v>
          </cell>
          <cell r="AU198">
            <v>53291873700</v>
          </cell>
          <cell r="AV198">
            <v>66882666400</v>
          </cell>
          <cell r="AW198">
            <v>81149860300</v>
          </cell>
          <cell r="AX198">
            <v>95686403800</v>
          </cell>
          <cell r="AY198">
            <v>109915355500</v>
          </cell>
          <cell r="AZ198">
            <v>130821739800</v>
          </cell>
          <cell r="BA198">
            <v>167564185200</v>
          </cell>
          <cell r="BB198">
            <v>114847127100</v>
          </cell>
          <cell r="BC198">
            <v>134385647700</v>
          </cell>
          <cell r="BD198">
            <v>144934508400</v>
          </cell>
          <cell r="BE198">
            <v>150923256500</v>
          </cell>
          <cell r="BF198">
            <v>165585713800</v>
          </cell>
          <cell r="BG198">
            <v>165948896900</v>
          </cell>
          <cell r="BH198">
            <v>156441802000</v>
          </cell>
          <cell r="BI198">
            <v>147277304500</v>
          </cell>
          <cell r="BJ198">
            <v>152918587000</v>
          </cell>
          <cell r="BK198">
            <v>155798982900</v>
          </cell>
          <cell r="BL198">
            <v>155581203700</v>
          </cell>
          <cell r="BM198">
            <v>144375636286.42401</v>
          </cell>
        </row>
        <row r="199">
          <cell r="B199" t="str">
            <v>TUN</v>
          </cell>
          <cell r="C199" t="str">
            <v>GNI (current LCU)</v>
          </cell>
          <cell r="D199" t="str">
            <v>NY.GNP.MKTP.CN</v>
          </cell>
          <cell r="E199" t="str">
            <v>..</v>
          </cell>
          <cell r="F199" t="str">
            <v>..</v>
          </cell>
          <cell r="G199" t="str">
            <v>..</v>
          </cell>
          <cell r="H199" t="str">
            <v>..</v>
          </cell>
          <cell r="I199" t="str">
            <v>..</v>
          </cell>
          <cell r="J199">
            <v>507500000</v>
          </cell>
          <cell r="K199">
            <v>532500000</v>
          </cell>
          <cell r="L199">
            <v>550600000</v>
          </cell>
          <cell r="M199">
            <v>611500000</v>
          </cell>
          <cell r="N199">
            <v>647900000</v>
          </cell>
          <cell r="O199">
            <v>724600000</v>
          </cell>
          <cell r="P199">
            <v>851600000</v>
          </cell>
          <cell r="Q199">
            <v>1031500000</v>
          </cell>
          <cell r="R199">
            <v>1100600000</v>
          </cell>
          <cell r="S199">
            <v>1492800000</v>
          </cell>
          <cell r="T199">
            <v>1686800000</v>
          </cell>
          <cell r="U199">
            <v>1850800000</v>
          </cell>
          <cell r="V199">
            <v>2106500000</v>
          </cell>
          <cell r="W199">
            <v>2394100000</v>
          </cell>
          <cell r="X199">
            <v>2813700000</v>
          </cell>
          <cell r="Y199">
            <v>3421700000</v>
          </cell>
          <cell r="Z199">
            <v>4012700000</v>
          </cell>
          <cell r="AA199">
            <v>4630500000</v>
          </cell>
          <cell r="AB199">
            <v>5486600000</v>
          </cell>
          <cell r="AC199">
            <v>6214900000</v>
          </cell>
          <cell r="AD199">
            <v>6724800000</v>
          </cell>
          <cell r="AE199">
            <v>6825600000</v>
          </cell>
          <cell r="AF199">
            <v>7632500000</v>
          </cell>
          <cell r="AG199">
            <v>8233600000</v>
          </cell>
          <cell r="AH199">
            <v>9135700000</v>
          </cell>
          <cell r="AI199">
            <v>10456500000</v>
          </cell>
          <cell r="AJ199">
            <v>11516600000</v>
          </cell>
          <cell r="AK199">
            <v>13062600000</v>
          </cell>
          <cell r="AL199">
            <v>13735800000</v>
          </cell>
          <cell r="AM199">
            <v>14915300000</v>
          </cell>
          <cell r="AN199">
            <v>16241100000</v>
          </cell>
          <cell r="AO199">
            <v>18056200000</v>
          </cell>
          <cell r="AP199">
            <v>21950500000</v>
          </cell>
          <cell r="AQ199">
            <v>23858000000</v>
          </cell>
          <cell r="AR199">
            <v>26170000000</v>
          </cell>
          <cell r="AS199">
            <v>28141000000</v>
          </cell>
          <cell r="AT199">
            <v>30393200000</v>
          </cell>
          <cell r="AU199">
            <v>31510300000</v>
          </cell>
          <cell r="AV199">
            <v>33997800000</v>
          </cell>
          <cell r="AW199">
            <v>37252400000</v>
          </cell>
          <cell r="AX199">
            <v>39713700000</v>
          </cell>
          <cell r="AY199">
            <v>43651500000</v>
          </cell>
          <cell r="AZ199">
            <v>47265900000</v>
          </cell>
          <cell r="BA199">
            <v>52196000000</v>
          </cell>
          <cell r="BB199">
            <v>55811900000</v>
          </cell>
          <cell r="BC199">
            <v>63180742567.141296</v>
          </cell>
          <cell r="BD199">
            <v>64705931539.852898</v>
          </cell>
          <cell r="BE199">
            <v>70920717556.086899</v>
          </cell>
          <cell r="BF199">
            <v>75747728761.689499</v>
          </cell>
          <cell r="BG199">
            <v>82452947460.119003</v>
          </cell>
          <cell r="BH199">
            <v>87174583441.9263</v>
          </cell>
          <cell r="BI199">
            <v>92744486094.4095</v>
          </cell>
          <cell r="BJ199">
            <v>99036821009.715805</v>
          </cell>
          <cell r="BK199">
            <v>109069567946.522</v>
          </cell>
          <cell r="BL199">
            <v>117633353907.722</v>
          </cell>
          <cell r="BM199">
            <v>114130372301.495</v>
          </cell>
        </row>
        <row r="200">
          <cell r="B200" t="str">
            <v>TUR</v>
          </cell>
          <cell r="C200" t="str">
            <v>GNI (current LCU)</v>
          </cell>
          <cell r="D200" t="str">
            <v>NY.GNP.MKTP.CN</v>
          </cell>
          <cell r="E200" t="str">
            <v>..</v>
          </cell>
          <cell r="F200" t="str">
            <v>..</v>
          </cell>
          <cell r="G200" t="str">
            <v>..</v>
          </cell>
          <cell r="H200" t="str">
            <v>..</v>
          </cell>
          <cell r="I200" t="str">
            <v>..</v>
          </cell>
          <cell r="J200" t="str">
            <v>..</v>
          </cell>
          <cell r="K200" t="str">
            <v>..</v>
          </cell>
          <cell r="L200">
            <v>140200</v>
          </cell>
          <cell r="M200">
            <v>156700</v>
          </cell>
          <cell r="N200">
            <v>174300</v>
          </cell>
          <cell r="O200">
            <v>195600</v>
          </cell>
          <cell r="P200">
            <v>241200</v>
          </cell>
          <cell r="Q200">
            <v>287400</v>
          </cell>
          <cell r="R200">
            <v>362100</v>
          </cell>
          <cell r="S200">
            <v>493334.906250044</v>
          </cell>
          <cell r="T200">
            <v>642231.49833344296</v>
          </cell>
          <cell r="U200">
            <v>818384.07500029996</v>
          </cell>
          <cell r="V200">
            <v>1050161.2327503399</v>
          </cell>
          <cell r="W200">
            <v>1571215.84666711</v>
          </cell>
          <cell r="X200">
            <v>2747768.3600009801</v>
          </cell>
          <cell r="Y200">
            <v>5145589.4228338897</v>
          </cell>
          <cell r="Z200">
            <v>7742402.3001676202</v>
          </cell>
          <cell r="AA200">
            <v>10250320.5160015</v>
          </cell>
          <cell r="AB200">
            <v>13575279.9158349</v>
          </cell>
          <cell r="AC200">
            <v>21445983.2165002</v>
          </cell>
          <cell r="AD200">
            <v>34284860.271583602</v>
          </cell>
          <cell r="AE200">
            <v>49813241.445249498</v>
          </cell>
          <cell r="AF200">
            <v>72934608.462500006</v>
          </cell>
          <cell r="AG200">
            <v>125650144.92083301</v>
          </cell>
          <cell r="AH200">
            <v>222386752.57916701</v>
          </cell>
          <cell r="AI200">
            <v>386517726.69999999</v>
          </cell>
          <cell r="AJ200">
            <v>619007400</v>
          </cell>
          <cell r="AK200">
            <v>1075327900</v>
          </cell>
          <cell r="AL200">
            <v>1951714300</v>
          </cell>
          <cell r="AM200">
            <v>3771786400</v>
          </cell>
          <cell r="AN200">
            <v>7615568500</v>
          </cell>
          <cell r="AO200">
            <v>14533838100</v>
          </cell>
          <cell r="AP200">
            <v>28378314000</v>
          </cell>
          <cell r="AQ200">
            <v>71166450900</v>
          </cell>
          <cell r="AR200">
            <v>105893023400</v>
          </cell>
          <cell r="AS200">
            <v>168992076200</v>
          </cell>
          <cell r="AT200">
            <v>241138276700</v>
          </cell>
          <cell r="AU200">
            <v>355245739800</v>
          </cell>
          <cell r="AV200">
            <v>463831357400</v>
          </cell>
          <cell r="AW200">
            <v>574856970200</v>
          </cell>
          <cell r="AX200">
            <v>673060807500</v>
          </cell>
          <cell r="AY200">
            <v>787207816800</v>
          </cell>
          <cell r="AZ200">
            <v>879534620200</v>
          </cell>
          <cell r="BA200">
            <v>992862322300</v>
          </cell>
          <cell r="BB200">
            <v>994504436300</v>
          </cell>
          <cell r="BC200">
            <v>1157873433100</v>
          </cell>
          <cell r="BD200">
            <v>1392785867200</v>
          </cell>
          <cell r="BE200">
            <v>1569647196500</v>
          </cell>
          <cell r="BF200">
            <v>1807020651700</v>
          </cell>
          <cell r="BG200">
            <v>2036934283200</v>
          </cell>
          <cell r="BH200">
            <v>2324600787400</v>
          </cell>
          <cell r="BI200">
            <v>2598831868200</v>
          </cell>
          <cell r="BJ200">
            <v>3093235526200</v>
          </cell>
          <cell r="BK200">
            <v>3701084365200</v>
          </cell>
          <cell r="BL200">
            <v>4244918039700</v>
          </cell>
          <cell r="BM200">
            <v>4985123465400</v>
          </cell>
        </row>
        <row r="201">
          <cell r="B201" t="str">
            <v>TKM</v>
          </cell>
          <cell r="C201" t="str">
            <v>GNI (current LCU)</v>
          </cell>
          <cell r="D201" t="str">
            <v>NY.GNP.MKTP.CN</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cell r="AJ201" t="str">
            <v>..</v>
          </cell>
          <cell r="AK201" t="str">
            <v>..</v>
          </cell>
          <cell r="AL201">
            <v>2018200</v>
          </cell>
          <cell r="AM201">
            <v>18062400</v>
          </cell>
          <cell r="AN201">
            <v>131366600</v>
          </cell>
          <cell r="AO201">
            <v>1561286900</v>
          </cell>
          <cell r="AP201">
            <v>2298657400</v>
          </cell>
          <cell r="AQ201">
            <v>2834061500</v>
          </cell>
          <cell r="AR201">
            <v>4001870400</v>
          </cell>
          <cell r="AS201">
            <v>4904225100</v>
          </cell>
          <cell r="AT201">
            <v>6996798100</v>
          </cell>
          <cell r="AU201">
            <v>8800002900</v>
          </cell>
          <cell r="AV201">
            <v>11725964100</v>
          </cell>
          <cell r="AW201">
            <v>14532987000</v>
          </cell>
          <cell r="AX201">
            <v>16621148000</v>
          </cell>
          <cell r="AY201">
            <v>20893710000</v>
          </cell>
          <cell r="AZ201">
            <v>26223000000</v>
          </cell>
          <cell r="BA201">
            <v>46811000000</v>
          </cell>
          <cell r="BB201">
            <v>54029000000</v>
          </cell>
          <cell r="BC201">
            <v>58964100000</v>
          </cell>
          <cell r="BD201">
            <v>75258050000</v>
          </cell>
          <cell r="BE201">
            <v>90730350000</v>
          </cell>
          <cell r="BF201">
            <v>101980250000</v>
          </cell>
          <cell r="BG201">
            <v>112869150000</v>
          </cell>
          <cell r="BH201">
            <v>117969700000</v>
          </cell>
          <cell r="BI201">
            <v>123290600000</v>
          </cell>
          <cell r="BJ201">
            <v>127233000000</v>
          </cell>
          <cell r="BK201">
            <v>136654642400</v>
          </cell>
          <cell r="BL201">
            <v>152515248973.84299</v>
          </cell>
          <cell r="BM201" t="str">
            <v>..</v>
          </cell>
        </row>
        <row r="202">
          <cell r="B202" t="str">
            <v>TCA</v>
          </cell>
          <cell r="C202" t="str">
            <v>GNI (current LCU)</v>
          </cell>
          <cell r="D202" t="str">
            <v>NY.GNP.MKTP.CN</v>
          </cell>
          <cell r="E202" t="str">
            <v>..</v>
          </cell>
          <cell r="F202" t="str">
            <v>..</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t="str">
            <v>..</v>
          </cell>
          <cell r="AF202" t="str">
            <v>..</v>
          </cell>
          <cell r="AG202" t="str">
            <v>..</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v>842531900</v>
          </cell>
          <cell r="BH202">
            <v>943771200</v>
          </cell>
          <cell r="BI202">
            <v>1035209300</v>
          </cell>
          <cell r="BJ202">
            <v>1005898600</v>
          </cell>
          <cell r="BK202">
            <v>1081395300</v>
          </cell>
          <cell r="BL202">
            <v>1163227222.55515</v>
          </cell>
          <cell r="BM202" t="str">
            <v>..</v>
          </cell>
        </row>
        <row r="203">
          <cell r="B203" t="str">
            <v>TUV</v>
          </cell>
          <cell r="C203" t="str">
            <v>GNI (current LCU)</v>
          </cell>
          <cell r="D203" t="str">
            <v>NY.GNP.MKTP.CN</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v>48258300</v>
          </cell>
          <cell r="AU203">
            <v>61315700</v>
          </cell>
          <cell r="AV203">
            <v>43343300</v>
          </cell>
          <cell r="AW203">
            <v>49754100</v>
          </cell>
          <cell r="AX203">
            <v>48976400</v>
          </cell>
          <cell r="AY203">
            <v>50239300</v>
          </cell>
          <cell r="AZ203">
            <v>57572400</v>
          </cell>
          <cell r="BA203">
            <v>58706300</v>
          </cell>
          <cell r="BB203">
            <v>60758100</v>
          </cell>
          <cell r="BC203">
            <v>55511600</v>
          </cell>
          <cell r="BD203">
            <v>55981100</v>
          </cell>
          <cell r="BE203">
            <v>47712000</v>
          </cell>
          <cell r="BF203">
            <v>60094300</v>
          </cell>
          <cell r="BG203">
            <v>55135900</v>
          </cell>
          <cell r="BH203">
            <v>74091400</v>
          </cell>
          <cell r="BI203">
            <v>74600000</v>
          </cell>
          <cell r="BJ203">
            <v>75802700</v>
          </cell>
          <cell r="BK203">
            <v>85802000</v>
          </cell>
          <cell r="BL203">
            <v>93972100</v>
          </cell>
          <cell r="BM203">
            <v>98106900</v>
          </cell>
        </row>
        <row r="204">
          <cell r="B204" t="str">
            <v>UGA</v>
          </cell>
          <cell r="C204" t="str">
            <v>GNI (current LCU)</v>
          </cell>
          <cell r="D204" t="str">
            <v>NY.GNP.MKTP.CN</v>
          </cell>
          <cell r="E204">
            <v>40238300</v>
          </cell>
          <cell r="F204">
            <v>42016700</v>
          </cell>
          <cell r="G204">
            <v>42416500</v>
          </cell>
          <cell r="H204">
            <v>48876100</v>
          </cell>
          <cell r="I204">
            <v>55918900</v>
          </cell>
          <cell r="J204">
            <v>61840000</v>
          </cell>
          <cell r="K204">
            <v>64860000</v>
          </cell>
          <cell r="L204">
            <v>67740000</v>
          </cell>
          <cell r="M204">
            <v>72900000</v>
          </cell>
          <cell r="N204">
            <v>82212800</v>
          </cell>
          <cell r="O204">
            <v>88891400</v>
          </cell>
          <cell r="P204">
            <v>99625200</v>
          </cell>
          <cell r="Q204">
            <v>105297900</v>
          </cell>
          <cell r="R204">
            <v>120538200</v>
          </cell>
          <cell r="S204">
            <v>146098100</v>
          </cell>
          <cell r="T204">
            <v>212010300</v>
          </cell>
          <cell r="U204">
            <v>244037300</v>
          </cell>
          <cell r="V204">
            <v>497354100</v>
          </cell>
          <cell r="W204">
            <v>555019300</v>
          </cell>
          <cell r="X204">
            <v>851211500</v>
          </cell>
          <cell r="Y204">
            <v>1237210000</v>
          </cell>
          <cell r="Z204">
            <v>2649800000</v>
          </cell>
          <cell r="AA204">
            <v>4302400000</v>
          </cell>
          <cell r="AB204">
            <v>6583900000</v>
          </cell>
          <cell r="AC204">
            <v>8281760200</v>
          </cell>
          <cell r="AD204">
            <v>17607547200</v>
          </cell>
          <cell r="AE204">
            <v>42105962800</v>
          </cell>
          <cell r="AF204">
            <v>123462721300</v>
          </cell>
          <cell r="AG204">
            <v>387115899100</v>
          </cell>
          <cell r="AH204">
            <v>883731964300</v>
          </cell>
          <cell r="AI204">
            <v>1351136710300</v>
          </cell>
          <cell r="AJ204">
            <v>1797935597100</v>
          </cell>
          <cell r="AK204">
            <v>2661901068200</v>
          </cell>
          <cell r="AL204">
            <v>3811618422200</v>
          </cell>
          <cell r="AM204">
            <v>4332905716400</v>
          </cell>
          <cell r="AN204">
            <v>5313304161500</v>
          </cell>
          <cell r="AO204">
            <v>6075691624200</v>
          </cell>
          <cell r="AP204">
            <v>6615984888000</v>
          </cell>
          <cell r="AQ204">
            <v>7560477953800</v>
          </cell>
          <cell r="AR204">
            <v>8151630467000</v>
          </cell>
          <cell r="AS204">
            <v>9201539637900</v>
          </cell>
          <cell r="AT204">
            <v>9977777571300</v>
          </cell>
          <cell r="AU204">
            <v>10605549036200</v>
          </cell>
          <cell r="AV204">
            <v>12185296012400</v>
          </cell>
          <cell r="AW204">
            <v>14946785473800</v>
          </cell>
          <cell r="AX204">
            <v>15577858030100</v>
          </cell>
          <cell r="AY204">
            <v>17755495115000</v>
          </cell>
          <cell r="AZ204">
            <v>20779706200000</v>
          </cell>
          <cell r="BA204">
            <v>24052786301900</v>
          </cell>
          <cell r="BB204">
            <v>47714781804500</v>
          </cell>
          <cell r="BC204">
            <v>53219650600100</v>
          </cell>
          <cell r="BD204">
            <v>63757642064900</v>
          </cell>
          <cell r="BE204">
            <v>68350163608300</v>
          </cell>
          <cell r="BF204">
            <v>73260652108600</v>
          </cell>
          <cell r="BG204">
            <v>80875737828200</v>
          </cell>
          <cell r="BH204">
            <v>89806364219700</v>
          </cell>
          <cell r="BI204">
            <v>98785465350000</v>
          </cell>
          <cell r="BJ204">
            <v>105963594960700</v>
          </cell>
          <cell r="BK204">
            <v>117094784435600</v>
          </cell>
          <cell r="BL204">
            <v>128667533316300</v>
          </cell>
          <cell r="BM204">
            <v>137369361591500</v>
          </cell>
        </row>
        <row r="205">
          <cell r="B205" t="str">
            <v>UKR</v>
          </cell>
          <cell r="C205" t="str">
            <v>GNI (current LCU)</v>
          </cell>
          <cell r="D205" t="str">
            <v>NY.GNP.MKTP.CN</v>
          </cell>
          <cell r="E205" t="str">
            <v>..</v>
          </cell>
          <cell r="F205" t="str">
            <v>..</v>
          </cell>
          <cell r="G205" t="str">
            <v>..</v>
          </cell>
          <cell r="H205" t="str">
            <v>..</v>
          </cell>
          <cell r="I205" t="str">
            <v>..</v>
          </cell>
          <cell r="J205">
            <v>477000</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v>1558900</v>
          </cell>
          <cell r="AI205">
            <v>1709300</v>
          </cell>
          <cell r="AJ205">
            <v>3056400</v>
          </cell>
          <cell r="AK205">
            <v>50280500</v>
          </cell>
          <cell r="AL205">
            <v>1446920000</v>
          </cell>
          <cell r="AM205">
            <v>11925025500</v>
          </cell>
          <cell r="AN205">
            <v>53877106000</v>
          </cell>
          <cell r="AO205">
            <v>80474375100</v>
          </cell>
          <cell r="AP205">
            <v>92166094200</v>
          </cell>
          <cell r="AQ205">
            <v>100459452700</v>
          </cell>
          <cell r="AR205">
            <v>126852648600</v>
          </cell>
          <cell r="AS205">
            <v>164942000000</v>
          </cell>
          <cell r="AT205">
            <v>200610000000</v>
          </cell>
          <cell r="AU205">
            <v>222585000000</v>
          </cell>
          <cell r="AV205">
            <v>264247000000</v>
          </cell>
          <cell r="AW205">
            <v>341686000000</v>
          </cell>
          <cell r="AX205">
            <v>436411000000</v>
          </cell>
          <cell r="AY205">
            <v>535459000000</v>
          </cell>
          <cell r="AZ205">
            <v>717406000000</v>
          </cell>
          <cell r="BA205">
            <v>939356000000</v>
          </cell>
          <cell r="BB205">
            <v>894306000000</v>
          </cell>
          <cell r="BC205">
            <v>1078917000000</v>
          </cell>
          <cell r="BD205">
            <v>1282817000000</v>
          </cell>
          <cell r="BE205">
            <v>1443202000000</v>
          </cell>
          <cell r="BF205">
            <v>1500419000000</v>
          </cell>
          <cell r="BG205">
            <v>1568772000000</v>
          </cell>
          <cell r="BH205">
            <v>2071606000000</v>
          </cell>
          <cell r="BI205">
            <v>2410106000000</v>
          </cell>
          <cell r="BJ205">
            <v>3024509000000</v>
          </cell>
          <cell r="BK205">
            <v>3594946000000</v>
          </cell>
          <cell r="BL205">
            <v>4026617000000</v>
          </cell>
          <cell r="BM205">
            <v>4300956000000</v>
          </cell>
        </row>
        <row r="206">
          <cell r="B206" t="str">
            <v>ARE</v>
          </cell>
          <cell r="C206" t="str">
            <v>GNI (current LCU)</v>
          </cell>
          <cell r="D206" t="str">
            <v>NY.GNP.MKTP.CN</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t="str">
            <v>..</v>
          </cell>
          <cell r="AF206" t="str">
            <v>..</v>
          </cell>
          <cell r="AG206" t="str">
            <v>..</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v>401879000000</v>
          </cell>
          <cell r="AT206">
            <v>398012000000</v>
          </cell>
          <cell r="AU206">
            <v>406683000000</v>
          </cell>
          <cell r="AV206">
            <v>456462000000</v>
          </cell>
          <cell r="AW206">
            <v>545485000000</v>
          </cell>
          <cell r="AX206">
            <v>673917651100</v>
          </cell>
          <cell r="AY206">
            <v>833123000000</v>
          </cell>
          <cell r="AZ206">
            <v>977947000000</v>
          </cell>
          <cell r="BA206">
            <v>1172550526300</v>
          </cell>
          <cell r="BB206">
            <v>940753000000</v>
          </cell>
          <cell r="BC206">
            <v>1063936000000</v>
          </cell>
          <cell r="BD206">
            <v>1288318000000</v>
          </cell>
          <cell r="BE206">
            <v>1376784000000</v>
          </cell>
          <cell r="BF206">
            <v>1434370000000</v>
          </cell>
          <cell r="BG206">
            <v>1482941000000</v>
          </cell>
          <cell r="BH206">
            <v>1321651000000</v>
          </cell>
          <cell r="BI206">
            <v>1318948000000</v>
          </cell>
          <cell r="BJ206">
            <v>1426336223900</v>
          </cell>
          <cell r="BK206">
            <v>1555814747600</v>
          </cell>
          <cell r="BL206">
            <v>1539824142312.8301</v>
          </cell>
          <cell r="BM206">
            <v>1316245540104.9099</v>
          </cell>
        </row>
        <row r="207">
          <cell r="B207" t="str">
            <v>GBR</v>
          </cell>
          <cell r="C207" t="str">
            <v>GNI (current LCU)</v>
          </cell>
          <cell r="D207" t="str">
            <v>NY.GNP.MKTP.CN</v>
          </cell>
          <cell r="E207" t="str">
            <v>..</v>
          </cell>
          <cell r="F207" t="str">
            <v>..</v>
          </cell>
          <cell r="G207" t="str">
            <v>..</v>
          </cell>
          <cell r="H207" t="str">
            <v>..</v>
          </cell>
          <cell r="I207" t="str">
            <v>..</v>
          </cell>
          <cell r="J207" t="str">
            <v>..</v>
          </cell>
          <cell r="K207" t="str">
            <v>..</v>
          </cell>
          <cell r="L207" t="str">
            <v>..</v>
          </cell>
          <cell r="M207" t="str">
            <v>..</v>
          </cell>
          <cell r="N207" t="str">
            <v>..</v>
          </cell>
          <cell r="O207">
            <v>59030773000</v>
          </cell>
          <cell r="P207">
            <v>65708724000</v>
          </cell>
          <cell r="Q207">
            <v>73435889000</v>
          </cell>
          <cell r="R207">
            <v>84971565000</v>
          </cell>
          <cell r="S207">
            <v>96208600000</v>
          </cell>
          <cell r="T207">
            <v>120536964000</v>
          </cell>
          <cell r="U207">
            <v>142810049000</v>
          </cell>
          <cell r="V207">
            <v>164073663000</v>
          </cell>
          <cell r="W207">
            <v>189797572000</v>
          </cell>
          <cell r="X207">
            <v>222290273000</v>
          </cell>
          <cell r="Y207">
            <v>258415480000</v>
          </cell>
          <cell r="Z207">
            <v>284274515000</v>
          </cell>
          <cell r="AA207">
            <v>310711526000</v>
          </cell>
          <cell r="AB207">
            <v>341832528000</v>
          </cell>
          <cell r="AC207">
            <v>367543946000</v>
          </cell>
          <cell r="AD207">
            <v>399093036000</v>
          </cell>
          <cell r="AE207">
            <v>431362041000</v>
          </cell>
          <cell r="AF207">
            <v>475308661000</v>
          </cell>
          <cell r="AG207">
            <v>531818595000</v>
          </cell>
          <cell r="AH207">
            <v>581793669000</v>
          </cell>
          <cell r="AI207">
            <v>628669417000</v>
          </cell>
          <cell r="AJ207">
            <v>663354865000</v>
          </cell>
          <cell r="AK207">
            <v>696141160000</v>
          </cell>
          <cell r="AL207">
            <v>732424661000</v>
          </cell>
          <cell r="AM207">
            <v>783948214000</v>
          </cell>
          <cell r="AN207">
            <v>826694183000</v>
          </cell>
          <cell r="AO207">
            <v>880719085000</v>
          </cell>
          <cell r="AP207">
            <v>938478724000</v>
          </cell>
          <cell r="AQ207">
            <v>1002723137000</v>
          </cell>
          <cell r="AR207">
            <v>1038497000000</v>
          </cell>
          <cell r="AS207">
            <v>1102546000000</v>
          </cell>
          <cell r="AT207">
            <v>1150098000000</v>
          </cell>
          <cell r="AU207">
            <v>1205726000000</v>
          </cell>
          <cell r="AV207">
            <v>1275950000000</v>
          </cell>
          <cell r="AW207">
            <v>1336493000000</v>
          </cell>
          <cell r="AX207">
            <v>1418233000000</v>
          </cell>
          <cell r="AY207">
            <v>1477918000000</v>
          </cell>
          <cell r="AZ207">
            <v>1544957000000</v>
          </cell>
          <cell r="BA207">
            <v>1583444000000</v>
          </cell>
          <cell r="BB207">
            <v>1545005000000</v>
          </cell>
          <cell r="BC207">
            <v>1612860000000</v>
          </cell>
          <cell r="BD207">
            <v>1675302000000</v>
          </cell>
          <cell r="BE207">
            <v>1703599000000</v>
          </cell>
          <cell r="BF207">
            <v>1756800000000</v>
          </cell>
          <cell r="BG207">
            <v>1837310000000</v>
          </cell>
          <cell r="BH207">
            <v>1889064000000</v>
          </cell>
          <cell r="BI207">
            <v>1966100000000</v>
          </cell>
          <cell r="BJ207">
            <v>2069946000000</v>
          </cell>
          <cell r="BK207">
            <v>2143850000000</v>
          </cell>
          <cell r="BL207">
            <v>2242225000000</v>
          </cell>
          <cell r="BM207">
            <v>2124075000000</v>
          </cell>
        </row>
        <row r="208">
          <cell r="B208" t="str">
            <v>USA</v>
          </cell>
          <cell r="C208" t="str">
            <v>GNI (current LCU)</v>
          </cell>
          <cell r="D208" t="str">
            <v>NY.GNP.MKTP.CN</v>
          </cell>
          <cell r="E208">
            <v>546400000000</v>
          </cell>
          <cell r="F208">
            <v>566800000000</v>
          </cell>
          <cell r="G208">
            <v>609200000000</v>
          </cell>
          <cell r="H208">
            <v>643100000000</v>
          </cell>
          <cell r="I208">
            <v>690700000000</v>
          </cell>
          <cell r="J208">
            <v>749000000000</v>
          </cell>
          <cell r="K208">
            <v>820100000000</v>
          </cell>
          <cell r="L208">
            <v>867100000000</v>
          </cell>
          <cell r="M208">
            <v>948600000000</v>
          </cell>
          <cell r="N208">
            <v>1026000000000</v>
          </cell>
          <cell r="O208">
            <v>1074359000000</v>
          </cell>
          <cell r="P208">
            <v>1162926000000</v>
          </cell>
          <cell r="Q208">
            <v>1280507000000</v>
          </cell>
          <cell r="R208">
            <v>1431848000000</v>
          </cell>
          <cell r="S208">
            <v>1553300000000</v>
          </cell>
          <cell r="T208">
            <v>1684554000000</v>
          </cell>
          <cell r="U208">
            <v>1869603000000</v>
          </cell>
          <cell r="V208">
            <v>2082670000000</v>
          </cell>
          <cell r="W208">
            <v>2349856000000</v>
          </cell>
          <cell r="X208">
            <v>2614202000000</v>
          </cell>
          <cell r="Y208">
            <v>2847055000000</v>
          </cell>
          <cell r="Z208">
            <v>3201886000000</v>
          </cell>
          <cell r="AA208">
            <v>3371448000000</v>
          </cell>
          <cell r="AB208">
            <v>3614168000000</v>
          </cell>
          <cell r="AC208">
            <v>4032292000000</v>
          </cell>
          <cell r="AD208">
            <v>4310074000000</v>
          </cell>
          <cell r="AE208">
            <v>4516535000000</v>
          </cell>
          <cell r="AF208">
            <v>4828878000000</v>
          </cell>
          <cell r="AG208">
            <v>5256093000000</v>
          </cell>
          <cell r="AH208">
            <v>5598381000000</v>
          </cell>
          <cell r="AI208">
            <v>5902290000000</v>
          </cell>
          <cell r="AJ208">
            <v>6096750000000</v>
          </cell>
          <cell r="AK208">
            <v>6435469000000</v>
          </cell>
          <cell r="AL208">
            <v>6733768000000</v>
          </cell>
          <cell r="AM208">
            <v>7170251000000</v>
          </cell>
          <cell r="AN208">
            <v>7574691000000</v>
          </cell>
          <cell r="AO208">
            <v>8045907000000</v>
          </cell>
          <cell r="AP208">
            <v>8589268000000</v>
          </cell>
          <cell r="AQ208">
            <v>9135464000000</v>
          </cell>
          <cell r="AR208">
            <v>9690388000000</v>
          </cell>
          <cell r="AS208">
            <v>10383667000000</v>
          </cell>
          <cell r="AT208">
            <v>10746067000000</v>
          </cell>
          <cell r="AU208">
            <v>11052223000000</v>
          </cell>
          <cell r="AV208">
            <v>11534846000000</v>
          </cell>
          <cell r="AW208">
            <v>12317643000000</v>
          </cell>
          <cell r="AX208">
            <v>13166516000000</v>
          </cell>
          <cell r="AY208">
            <v>14066382000000</v>
          </cell>
          <cell r="AZ208">
            <v>14550103000000</v>
          </cell>
          <cell r="BA208">
            <v>14718111000000</v>
          </cell>
          <cell r="BB208">
            <v>14426269000000</v>
          </cell>
          <cell r="BC208">
            <v>15172073000000</v>
          </cell>
          <cell r="BD208">
            <v>15849978000000</v>
          </cell>
          <cell r="BE208">
            <v>16675595000000</v>
          </cell>
          <cell r="BF208">
            <v>17188331000000</v>
          </cell>
          <cell r="BG208">
            <v>18043094000000</v>
          </cell>
          <cell r="BH208">
            <v>18660910000000</v>
          </cell>
          <cell r="BI208">
            <v>19020479000000</v>
          </cell>
          <cell r="BJ208">
            <v>19893073000000</v>
          </cell>
          <cell r="BK208">
            <v>20946778000000</v>
          </cell>
          <cell r="BL208">
            <v>21708650000000</v>
          </cell>
          <cell r="BM208">
            <v>21286637000000</v>
          </cell>
        </row>
        <row r="209">
          <cell r="B209" t="str">
            <v>URY</v>
          </cell>
          <cell r="C209" t="str">
            <v>GNI (current LCU)</v>
          </cell>
          <cell r="D209" t="str">
            <v>NY.GNP.MKTP.CN</v>
          </cell>
          <cell r="E209">
            <v>14400</v>
          </cell>
          <cell r="F209">
            <v>17500</v>
          </cell>
          <cell r="G209">
            <v>19400</v>
          </cell>
          <cell r="H209">
            <v>23100</v>
          </cell>
          <cell r="I209">
            <v>33200</v>
          </cell>
          <cell r="J209">
            <v>54300</v>
          </cell>
          <cell r="K209">
            <v>96300</v>
          </cell>
          <cell r="L209">
            <v>164700</v>
          </cell>
          <cell r="M209">
            <v>363800</v>
          </cell>
          <cell r="N209">
            <v>491500</v>
          </cell>
          <cell r="O209">
            <v>589600</v>
          </cell>
          <cell r="P209">
            <v>691200</v>
          </cell>
          <cell r="Q209">
            <v>1142200</v>
          </cell>
          <cell r="R209">
            <v>3140900</v>
          </cell>
          <cell r="S209">
            <v>4422500</v>
          </cell>
          <cell r="T209">
            <v>7721000</v>
          </cell>
          <cell r="U209">
            <v>11866800</v>
          </cell>
          <cell r="V209">
            <v>18802500</v>
          </cell>
          <cell r="W209">
            <v>29111100</v>
          </cell>
          <cell r="X209">
            <v>55834400</v>
          </cell>
          <cell r="Y209">
            <v>88743100</v>
          </cell>
          <cell r="Z209">
            <v>118450000</v>
          </cell>
          <cell r="AA209">
            <v>124556000</v>
          </cell>
          <cell r="AB209">
            <v>165522000</v>
          </cell>
          <cell r="AC209">
            <v>250700000</v>
          </cell>
          <cell r="AD209">
            <v>443100000</v>
          </cell>
          <cell r="AE209">
            <v>846113000</v>
          </cell>
          <cell r="AF209">
            <v>1593382000</v>
          </cell>
          <cell r="AG209">
            <v>2826738000</v>
          </cell>
          <cell r="AH209">
            <v>5014216000</v>
          </cell>
          <cell r="AI209">
            <v>10479406000</v>
          </cell>
          <cell r="AJ209">
            <v>22079273000</v>
          </cell>
          <cell r="AK209">
            <v>38254252000</v>
          </cell>
          <cell r="AL209">
            <v>58166699000</v>
          </cell>
          <cell r="AM209">
            <v>86523108000</v>
          </cell>
          <cell r="AN209">
            <v>120591787000</v>
          </cell>
          <cell r="AO209">
            <v>161280794000</v>
          </cell>
          <cell r="AP209">
            <v>224508143600</v>
          </cell>
          <cell r="AQ209">
            <v>263640796200</v>
          </cell>
          <cell r="AR209">
            <v>271450520900</v>
          </cell>
          <cell r="AS209">
            <v>275351135300</v>
          </cell>
          <cell r="AT209">
            <v>277446153700</v>
          </cell>
          <cell r="AU209">
            <v>290881482900</v>
          </cell>
          <cell r="AV209">
            <v>325953228100</v>
          </cell>
          <cell r="AW209">
            <v>375888284700</v>
          </cell>
          <cell r="AX209">
            <v>412782529700</v>
          </cell>
          <cell r="AY209">
            <v>460832366900</v>
          </cell>
          <cell r="AZ209">
            <v>537309870000</v>
          </cell>
          <cell r="BA209">
            <v>617154219300</v>
          </cell>
          <cell r="BB209">
            <v>691094247600</v>
          </cell>
          <cell r="BC209">
            <v>777939260900</v>
          </cell>
          <cell r="BD209">
            <v>894873702000</v>
          </cell>
          <cell r="BE209">
            <v>962973057500</v>
          </cell>
          <cell r="BF209">
            <v>1115557118700</v>
          </cell>
          <cell r="BG209">
            <v>1243624455600</v>
          </cell>
          <cell r="BH209">
            <v>1388952880700</v>
          </cell>
          <cell r="BI209">
            <v>1646165145834.6599</v>
          </cell>
          <cell r="BJ209">
            <v>1739811683006.8101</v>
          </cell>
          <cell r="BK209">
            <v>1869977967625.78</v>
          </cell>
          <cell r="BL209">
            <v>2054350374768.99</v>
          </cell>
          <cell r="BM209">
            <v>2132269497719.96</v>
          </cell>
        </row>
        <row r="210">
          <cell r="B210" t="str">
            <v>UZB</v>
          </cell>
          <cell r="C210" t="str">
            <v>GNI (current LCU)</v>
          </cell>
          <cell r="D210" t="str">
            <v>NY.GNP.MKTP.CN</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t="str">
            <v>..</v>
          </cell>
          <cell r="AF210" t="str">
            <v>..</v>
          </cell>
          <cell r="AG210" t="str">
            <v>..</v>
          </cell>
          <cell r="AH210" t="str">
            <v>..</v>
          </cell>
          <cell r="AI210" t="str">
            <v>..</v>
          </cell>
          <cell r="AJ210" t="str">
            <v>..</v>
          </cell>
          <cell r="AK210">
            <v>441444500</v>
          </cell>
          <cell r="AL210">
            <v>5093545100</v>
          </cell>
          <cell r="AM210">
            <v>64660900000</v>
          </cell>
          <cell r="AN210">
            <v>302013280000</v>
          </cell>
          <cell r="AO210">
            <v>556145760000</v>
          </cell>
          <cell r="AP210">
            <v>965236250000</v>
          </cell>
          <cell r="AQ210">
            <v>1406615520000</v>
          </cell>
          <cell r="AR210">
            <v>2107720480000</v>
          </cell>
          <cell r="AS210">
            <v>3203786790000</v>
          </cell>
          <cell r="AT210">
            <v>4836742050000</v>
          </cell>
          <cell r="AU210">
            <v>7338690650000</v>
          </cell>
          <cell r="AV210">
            <v>9731324560000</v>
          </cell>
          <cell r="AW210">
            <v>12210957280000</v>
          </cell>
          <cell r="AX210">
            <v>15896355558000</v>
          </cell>
          <cell r="AY210">
            <v>21016416120000</v>
          </cell>
          <cell r="AZ210">
            <v>29366299880000</v>
          </cell>
          <cell r="BA210">
            <v>41240797180000</v>
          </cell>
          <cell r="BB210">
            <v>50690261140000</v>
          </cell>
          <cell r="BC210">
            <v>80292399951370.703</v>
          </cell>
          <cell r="BD210">
            <v>105178122053269</v>
          </cell>
          <cell r="BE210">
            <v>129088917001570</v>
          </cell>
          <cell r="BF210">
            <v>155871630128951</v>
          </cell>
          <cell r="BG210">
            <v>189405961999933</v>
          </cell>
          <cell r="BH210">
            <v>225014519837635</v>
          </cell>
          <cell r="BI210">
            <v>257950293091832</v>
          </cell>
          <cell r="BJ210">
            <v>323678963435496</v>
          </cell>
          <cell r="BK210">
            <v>436894038640424</v>
          </cell>
          <cell r="BL210">
            <v>535902728736576</v>
          </cell>
          <cell r="BM210">
            <v>600633703242395</v>
          </cell>
        </row>
        <row r="211">
          <cell r="B211" t="str">
            <v>VUT</v>
          </cell>
          <cell r="C211" t="str">
            <v>GNI (current LCU)</v>
          </cell>
          <cell r="D211" t="str">
            <v>NY.GNP.MKTP.CN</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v>6880001900</v>
          </cell>
          <cell r="Y211">
            <v>7076004000</v>
          </cell>
          <cell r="Z211">
            <v>8538600000</v>
          </cell>
          <cell r="AA211">
            <v>8984989444.6775494</v>
          </cell>
          <cell r="AB211">
            <v>9954959765.6805096</v>
          </cell>
          <cell r="AC211">
            <v>12439470617.951099</v>
          </cell>
          <cell r="AD211">
            <v>12551036947.4653</v>
          </cell>
          <cell r="AE211">
            <v>12672853526.1689</v>
          </cell>
          <cell r="AF211">
            <v>13044250621.525299</v>
          </cell>
          <cell r="AG211">
            <v>14697160702.4321</v>
          </cell>
          <cell r="AH211">
            <v>17203908362.251099</v>
          </cell>
          <cell r="AI211">
            <v>19605042250.7617</v>
          </cell>
          <cell r="AJ211">
            <v>19771448700</v>
          </cell>
          <cell r="AK211">
            <v>20312862300</v>
          </cell>
          <cell r="AL211">
            <v>20907674400</v>
          </cell>
          <cell r="AM211">
            <v>22848142200</v>
          </cell>
          <cell r="AN211">
            <v>23837064100</v>
          </cell>
          <cell r="AO211">
            <v>25655347800</v>
          </cell>
          <cell r="AP211">
            <v>28097928200</v>
          </cell>
          <cell r="AQ211">
            <v>32390519700</v>
          </cell>
          <cell r="AR211">
            <v>33935779900</v>
          </cell>
          <cell r="AS211">
            <v>35656264300</v>
          </cell>
          <cell r="AT211">
            <v>36898532900</v>
          </cell>
          <cell r="AU211">
            <v>34948121800</v>
          </cell>
          <cell r="AV211">
            <v>36666439500</v>
          </cell>
          <cell r="AW211">
            <v>38710548800</v>
          </cell>
          <cell r="AX211">
            <v>40306421700</v>
          </cell>
          <cell r="AY211">
            <v>46387669200</v>
          </cell>
          <cell r="AZ211">
            <v>50363594300</v>
          </cell>
          <cell r="BA211">
            <v>59636575300</v>
          </cell>
          <cell r="BB211">
            <v>60892988400</v>
          </cell>
          <cell r="BC211">
            <v>62912525300</v>
          </cell>
          <cell r="BD211">
            <v>67203178300</v>
          </cell>
          <cell r="BE211">
            <v>65131000000</v>
          </cell>
          <cell r="BF211">
            <v>70614000000</v>
          </cell>
          <cell r="BG211">
            <v>76161300000</v>
          </cell>
          <cell r="BH211">
            <v>81091100000</v>
          </cell>
          <cell r="BI211">
            <v>86583400000</v>
          </cell>
          <cell r="BJ211">
            <v>95136500000</v>
          </cell>
          <cell r="BK211">
            <v>103758500000</v>
          </cell>
          <cell r="BL211">
            <v>115735100000</v>
          </cell>
          <cell r="BM211">
            <v>112054600000</v>
          </cell>
        </row>
        <row r="212">
          <cell r="B212" t="str">
            <v>VEN</v>
          </cell>
          <cell r="C212" t="str">
            <v>GNI (current LCU)</v>
          </cell>
          <cell r="D212" t="str">
            <v>NY.GNP.MKTP.CN</v>
          </cell>
          <cell r="E212">
            <v>23910900</v>
          </cell>
          <cell r="F212">
            <v>25066600</v>
          </cell>
          <cell r="G212">
            <v>27398100</v>
          </cell>
          <cell r="H212">
            <v>30136700</v>
          </cell>
          <cell r="I212">
            <v>32591700</v>
          </cell>
          <cell r="J212">
            <v>34792200</v>
          </cell>
          <cell r="K212">
            <v>36521100</v>
          </cell>
          <cell r="L212">
            <v>38723600</v>
          </cell>
          <cell r="M212">
            <v>41991000</v>
          </cell>
          <cell r="N212">
            <v>43546200</v>
          </cell>
          <cell r="O212">
            <v>49591800</v>
          </cell>
          <cell r="P212">
            <v>53893800</v>
          </cell>
          <cell r="Q212">
            <v>59438000</v>
          </cell>
          <cell r="R212">
            <v>70294600</v>
          </cell>
          <cell r="S212">
            <v>109494900</v>
          </cell>
          <cell r="T212">
            <v>118528000</v>
          </cell>
          <cell r="U212">
            <v>135998400</v>
          </cell>
          <cell r="V212">
            <v>156084400</v>
          </cell>
          <cell r="W212">
            <v>169223400</v>
          </cell>
          <cell r="X212">
            <v>207724100</v>
          </cell>
          <cell r="Y212">
            <v>255615700</v>
          </cell>
          <cell r="Z212">
            <v>287676200</v>
          </cell>
          <cell r="AA212">
            <v>284689000</v>
          </cell>
          <cell r="AB212">
            <v>281406100</v>
          </cell>
          <cell r="AC212">
            <v>405603633.33333302</v>
          </cell>
          <cell r="AD212">
            <v>447993500</v>
          </cell>
          <cell r="AE212">
            <v>476222500</v>
          </cell>
          <cell r="AF212">
            <v>672945500</v>
          </cell>
          <cell r="AG212">
            <v>847603500</v>
          </cell>
          <cell r="AH212">
            <v>1428211133.3333299</v>
          </cell>
          <cell r="AI212">
            <v>2242966850</v>
          </cell>
          <cell r="AJ212">
            <v>3003510700</v>
          </cell>
          <cell r="AK212">
            <v>4012085700</v>
          </cell>
          <cell r="AL212">
            <v>5298109500</v>
          </cell>
          <cell r="AM212">
            <v>8395553700</v>
          </cell>
          <cell r="AN212">
            <v>13342082600</v>
          </cell>
          <cell r="AO212">
            <v>28717753300</v>
          </cell>
          <cell r="AP212">
            <v>40739404000</v>
          </cell>
          <cell r="AQ212">
            <v>48646128000</v>
          </cell>
          <cell r="AR212">
            <v>58457193000</v>
          </cell>
          <cell r="AS212">
            <v>78708192000</v>
          </cell>
          <cell r="AT212">
            <v>87476596000</v>
          </cell>
          <cell r="AU212">
            <v>104648456000</v>
          </cell>
          <cell r="AV212">
            <v>130716173000</v>
          </cell>
          <cell r="AW212">
            <v>206084096000</v>
          </cell>
          <cell r="AX212">
            <v>299488869000</v>
          </cell>
          <cell r="AY212">
            <v>391772431000</v>
          </cell>
          <cell r="AZ212">
            <v>499811053000</v>
          </cell>
          <cell r="BA212">
            <v>679050797000</v>
          </cell>
          <cell r="BB212">
            <v>701548259000</v>
          </cell>
          <cell r="BC212">
            <v>1004289776000</v>
          </cell>
          <cell r="BD212">
            <v>1323219648000</v>
          </cell>
          <cell r="BE212">
            <v>1592223282000</v>
          </cell>
          <cell r="BF212">
            <v>2174758936000</v>
          </cell>
          <cell r="BG212">
            <v>2997147779000</v>
          </cell>
          <cell r="BH212" t="str">
            <v>..</v>
          </cell>
          <cell r="BI212" t="str">
            <v>..</v>
          </cell>
          <cell r="BJ212" t="str">
            <v>..</v>
          </cell>
          <cell r="BK212" t="str">
            <v>..</v>
          </cell>
          <cell r="BL212" t="str">
            <v>..</v>
          </cell>
          <cell r="BM212" t="str">
            <v>..</v>
          </cell>
        </row>
        <row r="213">
          <cell r="B213" t="str">
            <v>VNM</v>
          </cell>
          <cell r="C213" t="str">
            <v>GNI (current LCU)</v>
          </cell>
          <cell r="D213" t="str">
            <v>NY.GNP.MKTP.CN</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v>28259999809500</v>
          </cell>
          <cell r="AI213">
            <v>39284000000000</v>
          </cell>
          <cell r="AJ213">
            <v>72620000000000</v>
          </cell>
          <cell r="AK213">
            <v>106757000000000</v>
          </cell>
          <cell r="AL213">
            <v>134913000000000</v>
          </cell>
          <cell r="AM213">
            <v>174017000000000</v>
          </cell>
          <cell r="AN213">
            <v>228677000000000</v>
          </cell>
          <cell r="AO213">
            <v>269654000000000</v>
          </cell>
          <cell r="AP213">
            <v>308600000000000</v>
          </cell>
          <cell r="AQ213">
            <v>352836000000000</v>
          </cell>
          <cell r="AR213">
            <v>392693000000000</v>
          </cell>
          <cell r="AS213">
            <v>435319000000000</v>
          </cell>
          <cell r="AT213">
            <v>474855000000000</v>
          </cell>
          <cell r="AU213">
            <v>527056000000000</v>
          </cell>
          <cell r="AV213">
            <v>603688000000000</v>
          </cell>
          <cell r="AW213">
            <v>701906000000000</v>
          </cell>
          <cell r="AX213">
            <v>897222000000000</v>
          </cell>
          <cell r="AY213">
            <v>1038755000000000</v>
          </cell>
          <cell r="AZ213">
            <v>1211806000000000</v>
          </cell>
          <cell r="BA213">
            <v>1567964000000000</v>
          </cell>
          <cell r="BB213">
            <v>1731221000000000</v>
          </cell>
          <cell r="BC213">
            <v>2075578000000000</v>
          </cell>
          <cell r="BD213">
            <v>2660076000000000</v>
          </cell>
          <cell r="BE213">
            <v>3115227000000000</v>
          </cell>
          <cell r="BF213">
            <v>3430668000000000</v>
          </cell>
          <cell r="BG213">
            <v>3750823000000000</v>
          </cell>
          <cell r="BH213">
            <v>3929422000000000</v>
          </cell>
          <cell r="BI213">
            <v>4192509000000000</v>
          </cell>
          <cell r="BJ213">
            <v>4625739000000000</v>
          </cell>
          <cell r="BK213">
            <v>5184758000000000</v>
          </cell>
          <cell r="BL213">
            <v>5650153000000000</v>
          </cell>
          <cell r="BM213">
            <v>5930690000000000</v>
          </cell>
        </row>
        <row r="214">
          <cell r="B214" t="str">
            <v>VIR</v>
          </cell>
          <cell r="C214" t="str">
            <v>GNI (current LCU)</v>
          </cell>
          <cell r="D214" t="str">
            <v>NY.GNP.MKTP.CN</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t="str">
            <v>..</v>
          </cell>
          <cell r="AF214" t="str">
            <v>..</v>
          </cell>
          <cell r="AG214" t="str">
            <v>..</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v>
          </cell>
        </row>
        <row r="215">
          <cell r="B215" t="str">
            <v>PSE</v>
          </cell>
          <cell r="C215" t="str">
            <v>GNI (current LCU)</v>
          </cell>
          <cell r="D215" t="str">
            <v>NY.GNP.MKTP.CN</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cell r="AJ215" t="str">
            <v>..</v>
          </cell>
          <cell r="AK215" t="str">
            <v>..</v>
          </cell>
          <cell r="AL215" t="str">
            <v>..</v>
          </cell>
          <cell r="AM215">
            <v>3206000000</v>
          </cell>
          <cell r="AN215">
            <v>3722600000</v>
          </cell>
          <cell r="AO215">
            <v>3834000000</v>
          </cell>
          <cell r="AP215">
            <v>4280100000</v>
          </cell>
          <cell r="AQ215">
            <v>4786500000</v>
          </cell>
          <cell r="AR215">
            <v>5025000000</v>
          </cell>
          <cell r="AS215">
            <v>4819100000</v>
          </cell>
          <cell r="AT215">
            <v>4322700000</v>
          </cell>
          <cell r="AU215">
            <v>3774700000</v>
          </cell>
          <cell r="AV215">
            <v>4212700000</v>
          </cell>
          <cell r="AW215">
            <v>4831300000</v>
          </cell>
          <cell r="AX215">
            <v>5474700000</v>
          </cell>
          <cell r="AY215">
            <v>5770900000</v>
          </cell>
          <cell r="AZ215">
            <v>6368300000</v>
          </cell>
          <cell r="BA215">
            <v>7981700000</v>
          </cell>
          <cell r="BB215">
            <v>8617800000</v>
          </cell>
          <cell r="BC215">
            <v>10280600000</v>
          </cell>
          <cell r="BD215">
            <v>11935600000</v>
          </cell>
          <cell r="BE215">
            <v>13065900000</v>
          </cell>
          <cell r="BF215">
            <v>14675800000</v>
          </cell>
          <cell r="BG215">
            <v>15472300000</v>
          </cell>
          <cell r="BH215">
            <v>15684800000</v>
          </cell>
          <cell r="BI215">
            <v>17301100000</v>
          </cell>
          <cell r="BJ215">
            <v>18257000000</v>
          </cell>
          <cell r="BK215">
            <v>19063900000</v>
          </cell>
          <cell r="BL215">
            <v>20164700000</v>
          </cell>
          <cell r="BM215">
            <v>18107200000</v>
          </cell>
        </row>
        <row r="216">
          <cell r="B216" t="str">
            <v>YEM</v>
          </cell>
          <cell r="C216" t="str">
            <v>GNI (current LCU)</v>
          </cell>
          <cell r="D216" t="str">
            <v>NY.GNP.MKTP.CN</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v>147014523800</v>
          </cell>
          <cell r="AJ216">
            <v>170300000000</v>
          </cell>
          <cell r="AK216">
            <v>210681000000</v>
          </cell>
          <cell r="AL216">
            <v>256158000000</v>
          </cell>
          <cell r="AM216">
            <v>330126000000</v>
          </cell>
          <cell r="AN216">
            <v>495717000000</v>
          </cell>
          <cell r="AO216">
            <v>676600000000</v>
          </cell>
          <cell r="AP216">
            <v>804803740000</v>
          </cell>
          <cell r="AQ216">
            <v>810532992700</v>
          </cell>
          <cell r="AR216">
            <v>1081514604300</v>
          </cell>
          <cell r="AS216">
            <v>1435857887200</v>
          </cell>
          <cell r="AT216">
            <v>1546818951900</v>
          </cell>
          <cell r="AU216">
            <v>1734522777200</v>
          </cell>
          <cell r="AV216">
            <v>1972321747100</v>
          </cell>
          <cell r="AW216">
            <v>2314461247300</v>
          </cell>
          <cell r="AX216">
            <v>2897868369400</v>
          </cell>
          <cell r="AY216">
            <v>3516351175900</v>
          </cell>
          <cell r="AZ216">
            <v>4039938007400</v>
          </cell>
          <cell r="BA216">
            <v>4993211895900</v>
          </cell>
          <cell r="BB216">
            <v>4859833413300</v>
          </cell>
          <cell r="BC216">
            <v>6387382485100</v>
          </cell>
          <cell r="BD216">
            <v>6497166632900</v>
          </cell>
          <cell r="BE216">
            <v>7250173543100</v>
          </cell>
          <cell r="BF216">
            <v>8294675716000</v>
          </cell>
          <cell r="BG216">
            <v>8726164009700</v>
          </cell>
          <cell r="BH216">
            <v>9487136633900</v>
          </cell>
          <cell r="BI216">
            <v>8872606400000</v>
          </cell>
          <cell r="BJ216">
            <v>9991030000000</v>
          </cell>
          <cell r="BK216">
            <v>11569832000000</v>
          </cell>
          <cell r="BL216" t="str">
            <v>..</v>
          </cell>
          <cell r="BM216" t="str">
            <v>..</v>
          </cell>
        </row>
        <row r="217">
          <cell r="B217" t="str">
            <v>ZMB</v>
          </cell>
          <cell r="C217" t="str">
            <v>GNI (current LCU)</v>
          </cell>
          <cell r="D217" t="str">
            <v>NY.GNP.MKTP.CN</v>
          </cell>
          <cell r="E217">
            <v>447300</v>
          </cell>
          <cell r="F217">
            <v>441400</v>
          </cell>
          <cell r="G217">
            <v>436200</v>
          </cell>
          <cell r="H217">
            <v>454500</v>
          </cell>
          <cell r="I217">
            <v>518500</v>
          </cell>
          <cell r="J217">
            <v>712500</v>
          </cell>
          <cell r="K217">
            <v>827000</v>
          </cell>
          <cell r="L217">
            <v>907000</v>
          </cell>
          <cell r="M217">
            <v>1072000</v>
          </cell>
          <cell r="N217">
            <v>1328500</v>
          </cell>
          <cell r="O217">
            <v>1244300</v>
          </cell>
          <cell r="P217">
            <v>1145000</v>
          </cell>
          <cell r="Q217">
            <v>1273900</v>
          </cell>
          <cell r="R217">
            <v>1465200</v>
          </cell>
          <cell r="S217">
            <v>1752000</v>
          </cell>
          <cell r="T217">
            <v>1461400</v>
          </cell>
          <cell r="U217">
            <v>1747500</v>
          </cell>
          <cell r="V217">
            <v>1898300</v>
          </cell>
          <cell r="W217">
            <v>2109400</v>
          </cell>
          <cell r="X217">
            <v>2431800</v>
          </cell>
          <cell r="Y217">
            <v>2835000</v>
          </cell>
          <cell r="Z217">
            <v>3387500</v>
          </cell>
          <cell r="AA217">
            <v>3376100</v>
          </cell>
          <cell r="AB217">
            <v>3865700</v>
          </cell>
          <cell r="AC217">
            <v>4429100</v>
          </cell>
          <cell r="AD217">
            <v>6234900</v>
          </cell>
          <cell r="AE217">
            <v>10573700</v>
          </cell>
          <cell r="AF217">
            <v>18290200</v>
          </cell>
          <cell r="AG217">
            <v>27428100</v>
          </cell>
          <cell r="AH217">
            <v>49560400</v>
          </cell>
          <cell r="AI217">
            <v>103680800</v>
          </cell>
          <cell r="AJ217">
            <v>193461300</v>
          </cell>
          <cell r="AK217">
            <v>513113600</v>
          </cell>
          <cell r="AL217">
            <v>1366668300</v>
          </cell>
          <cell r="AM217">
            <v>2289520700</v>
          </cell>
          <cell r="AN217">
            <v>3080569800</v>
          </cell>
          <cell r="AO217">
            <v>4096255800</v>
          </cell>
          <cell r="AP217">
            <v>5326988100</v>
          </cell>
          <cell r="AQ217">
            <v>6172836800</v>
          </cell>
          <cell r="AR217">
            <v>7738082800</v>
          </cell>
          <cell r="AS217">
            <v>10715350000</v>
          </cell>
          <cell r="AT217">
            <v>14189152500</v>
          </cell>
          <cell r="AU217">
            <v>17785024100</v>
          </cell>
          <cell r="AV217">
            <v>22524702100</v>
          </cell>
          <cell r="AW217">
            <v>27824631300</v>
          </cell>
          <cell r="AX217">
            <v>34369583100</v>
          </cell>
          <cell r="AY217">
            <v>41753826900</v>
          </cell>
          <cell r="AZ217">
            <v>50081018000</v>
          </cell>
          <cell r="BA217">
            <v>61849984700</v>
          </cell>
          <cell r="BB217">
            <v>75235496800</v>
          </cell>
          <cell r="BC217">
            <v>90677468100</v>
          </cell>
          <cell r="BD217">
            <v>108405942800</v>
          </cell>
          <cell r="BE217">
            <v>129048393000</v>
          </cell>
          <cell r="BF217">
            <v>145130100000</v>
          </cell>
          <cell r="BG217">
            <v>163655700000</v>
          </cell>
          <cell r="BH217">
            <v>179825700000</v>
          </cell>
          <cell r="BI217">
            <v>209425800000</v>
          </cell>
          <cell r="BJ217">
            <v>235337200000</v>
          </cell>
          <cell r="BK217">
            <v>270920013100</v>
          </cell>
          <cell r="BL217">
            <v>295233601600</v>
          </cell>
          <cell r="BM217">
            <v>322886529500</v>
          </cell>
        </row>
        <row r="218">
          <cell r="B218" t="str">
            <v>ZWE</v>
          </cell>
          <cell r="C218" t="str">
            <v>GNI (current LCU)</v>
          </cell>
          <cell r="D218" t="str">
            <v>NY.GNP.MKTP.CN</v>
          </cell>
          <cell r="E218">
            <v>1023337700</v>
          </cell>
          <cell r="F218">
            <v>1060135700</v>
          </cell>
          <cell r="G218">
            <v>1075906600</v>
          </cell>
          <cell r="H218">
            <v>1110952500</v>
          </cell>
          <cell r="I218">
            <v>1147750500</v>
          </cell>
          <cell r="J218">
            <v>1272163200</v>
          </cell>
          <cell r="K218">
            <v>1252888000</v>
          </cell>
          <cell r="L218">
            <v>1377300600</v>
          </cell>
          <cell r="M218">
            <v>1459657900</v>
          </cell>
          <cell r="N218">
            <v>1724254100</v>
          </cell>
          <cell r="O218">
            <v>1863206300</v>
          </cell>
          <cell r="P218">
            <v>2148316300</v>
          </cell>
          <cell r="Q218">
            <v>2642629400</v>
          </cell>
          <cell r="R218">
            <v>3270853600</v>
          </cell>
          <cell r="S218">
            <v>3929461400</v>
          </cell>
          <cell r="T218">
            <v>4308300700</v>
          </cell>
          <cell r="U218">
            <v>4245372000</v>
          </cell>
          <cell r="V218">
            <v>4289403600</v>
          </cell>
          <cell r="W218">
            <v>4292248900</v>
          </cell>
          <cell r="X218">
            <v>5098913800</v>
          </cell>
          <cell r="Y218">
            <v>6529868200</v>
          </cell>
          <cell r="Z218">
            <v>7881373800</v>
          </cell>
          <cell r="AA218">
            <v>8313533300</v>
          </cell>
          <cell r="AB218">
            <v>7565863000</v>
          </cell>
          <cell r="AC218">
            <v>6229529000</v>
          </cell>
          <cell r="AD218">
            <v>5511259300</v>
          </cell>
          <cell r="AE218">
            <v>6033523700</v>
          </cell>
          <cell r="AF218">
            <v>6527215100</v>
          </cell>
          <cell r="AG218">
            <v>7574784100</v>
          </cell>
          <cell r="AH218">
            <v>8073322700</v>
          </cell>
          <cell r="AI218">
            <v>8511816600</v>
          </cell>
          <cell r="AJ218">
            <v>8337481700</v>
          </cell>
          <cell r="AK218">
            <v>6471095900</v>
          </cell>
          <cell r="AL218">
            <v>6315813300</v>
          </cell>
          <cell r="AM218">
            <v>6594675000</v>
          </cell>
          <cell r="AN218">
            <v>6785270700</v>
          </cell>
          <cell r="AO218">
            <v>8234146600</v>
          </cell>
          <cell r="AP218">
            <v>8124571600</v>
          </cell>
          <cell r="AQ218">
            <v>6016968200</v>
          </cell>
          <cell r="AR218">
            <v>6502724000</v>
          </cell>
          <cell r="AS218">
            <v>6328908700</v>
          </cell>
          <cell r="AT218">
            <v>6447326200</v>
          </cell>
          <cell r="AU218">
            <v>6072330100</v>
          </cell>
          <cell r="AV218">
            <v>5507714700</v>
          </cell>
          <cell r="AW218">
            <v>5522050000</v>
          </cell>
          <cell r="AX218">
            <v>5480616600</v>
          </cell>
          <cell r="AY218">
            <v>5131054900</v>
          </cell>
          <cell r="AZ218">
            <v>4929377100</v>
          </cell>
          <cell r="BA218">
            <v>3972333100</v>
          </cell>
          <cell r="BB218">
            <v>9533093700</v>
          </cell>
          <cell r="BC218">
            <v>11891513500</v>
          </cell>
          <cell r="BD218">
            <v>13855605400</v>
          </cell>
          <cell r="BE218">
            <v>16824691600</v>
          </cell>
          <cell r="BF218">
            <v>18800678500</v>
          </cell>
          <cell r="BG218">
            <v>19154731100</v>
          </cell>
          <cell r="BH218">
            <v>19597002300</v>
          </cell>
          <cell r="BI218">
            <v>20153396800</v>
          </cell>
          <cell r="BJ218">
            <v>21653445000</v>
          </cell>
          <cell r="BK218">
            <v>36298942500</v>
          </cell>
          <cell r="BL218">
            <v>183644924000</v>
          </cell>
          <cell r="BM218">
            <v>1118421204400</v>
          </cell>
        </row>
        <row r="219">
          <cell r="B219" t="str">
            <v>AFE</v>
          </cell>
          <cell r="C219" t="str">
            <v>GNI (current LCU)</v>
          </cell>
          <cell r="D219" t="str">
            <v>NY.GNP.MKTP.CN</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cell r="AJ219" t="str">
            <v>..</v>
          </cell>
          <cell r="AK219" t="str">
            <v>..</v>
          </cell>
          <cell r="AL219" t="str">
            <v>..</v>
          </cell>
          <cell r="AM219" t="str">
            <v>..</v>
          </cell>
          <cell r="AN219" t="str">
            <v>..</v>
          </cell>
          <cell r="AO219" t="str">
            <v>..</v>
          </cell>
          <cell r="AP219" t="str">
            <v>..</v>
          </cell>
          <cell r="AQ219" t="str">
            <v>..</v>
          </cell>
          <cell r="AR219" t="str">
            <v>..</v>
          </cell>
          <cell r="AS219" t="str">
            <v>..</v>
          </cell>
          <cell r="AT219" t="str">
            <v>..</v>
          </cell>
          <cell r="AU219" t="str">
            <v>..</v>
          </cell>
          <cell r="AV219" t="str">
            <v>..</v>
          </cell>
          <cell r="AW219" t="str">
            <v>..</v>
          </cell>
          <cell r="AX219" t="str">
            <v>..</v>
          </cell>
          <cell r="AY219" t="str">
            <v>..</v>
          </cell>
          <cell r="AZ219" t="str">
            <v>..</v>
          </cell>
          <cell r="BA219" t="str">
            <v>..</v>
          </cell>
          <cell r="BB219" t="str">
            <v>..</v>
          </cell>
          <cell r="BC219" t="str">
            <v>..</v>
          </cell>
          <cell r="BD219" t="str">
            <v>..</v>
          </cell>
          <cell r="BE219" t="str">
            <v>..</v>
          </cell>
          <cell r="BF219" t="str">
            <v>..</v>
          </cell>
          <cell r="BG219" t="str">
            <v>..</v>
          </cell>
          <cell r="BH219" t="str">
            <v>..</v>
          </cell>
          <cell r="BI219" t="str">
            <v>..</v>
          </cell>
          <cell r="BJ219" t="str">
            <v>..</v>
          </cell>
          <cell r="BK219" t="str">
            <v>..</v>
          </cell>
          <cell r="BL219" t="str">
            <v>..</v>
          </cell>
          <cell r="BM219" t="str">
            <v>..</v>
          </cell>
        </row>
        <row r="220">
          <cell r="B220" t="str">
            <v>AFW</v>
          </cell>
          <cell r="C220" t="str">
            <v>GNI (current LCU)</v>
          </cell>
          <cell r="D220" t="str">
            <v>NY.GNP.MKTP.CN</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cell r="AJ220" t="str">
            <v>..</v>
          </cell>
          <cell r="AK220" t="str">
            <v>..</v>
          </cell>
          <cell r="AL220" t="str">
            <v>..</v>
          </cell>
          <cell r="AM220" t="str">
            <v>..</v>
          </cell>
          <cell r="AN220" t="str">
            <v>..</v>
          </cell>
          <cell r="AO220" t="str">
            <v>..</v>
          </cell>
          <cell r="AP220" t="str">
            <v>..</v>
          </cell>
          <cell r="AQ220" t="str">
            <v>..</v>
          </cell>
          <cell r="AR220" t="str">
            <v>..</v>
          </cell>
          <cell r="AS220" t="str">
            <v>..</v>
          </cell>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v>
          </cell>
        </row>
        <row r="221">
          <cell r="B221" t="str">
            <v>ARB</v>
          </cell>
          <cell r="C221" t="str">
            <v>GNI (current LCU)</v>
          </cell>
          <cell r="D221" t="str">
            <v>NY.GNP.MKTP.CN</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cell r="AJ221" t="str">
            <v>..</v>
          </cell>
          <cell r="AK221" t="str">
            <v>..</v>
          </cell>
          <cell r="AL221" t="str">
            <v>..</v>
          </cell>
          <cell r="AM221" t="str">
            <v>..</v>
          </cell>
          <cell r="AN221" t="str">
            <v>..</v>
          </cell>
          <cell r="AO221" t="str">
            <v>..</v>
          </cell>
          <cell r="AP221" t="str">
            <v>..</v>
          </cell>
          <cell r="AQ221" t="str">
            <v>..</v>
          </cell>
          <cell r="AR221" t="str">
            <v>..</v>
          </cell>
          <cell r="AS221" t="str">
            <v>..</v>
          </cell>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v>
          </cell>
        </row>
        <row r="222">
          <cell r="B222" t="str">
            <v>CSS</v>
          </cell>
          <cell r="C222" t="str">
            <v>GNI (current LCU)</v>
          </cell>
          <cell r="D222" t="str">
            <v>NY.GNP.MKTP.CN</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cell r="AJ222" t="str">
            <v>..</v>
          </cell>
          <cell r="AK222" t="str">
            <v>..</v>
          </cell>
          <cell r="AL222" t="str">
            <v>..</v>
          </cell>
          <cell r="AM222" t="str">
            <v>..</v>
          </cell>
          <cell r="AN222" t="str">
            <v>..</v>
          </cell>
          <cell r="AO222" t="str">
            <v>..</v>
          </cell>
          <cell r="AP222" t="str">
            <v>..</v>
          </cell>
          <cell r="AQ222" t="str">
            <v>..</v>
          </cell>
          <cell r="AR222" t="str">
            <v>..</v>
          </cell>
          <cell r="AS222" t="str">
            <v>..</v>
          </cell>
          <cell r="AT222" t="str">
            <v>..</v>
          </cell>
          <cell r="AU222" t="str">
            <v>..</v>
          </cell>
          <cell r="AV222" t="str">
            <v>..</v>
          </cell>
          <cell r="AW222" t="str">
            <v>..</v>
          </cell>
          <cell r="AX222" t="str">
            <v>..</v>
          </cell>
          <cell r="AY222" t="str">
            <v>..</v>
          </cell>
          <cell r="AZ222" t="str">
            <v>..</v>
          </cell>
          <cell r="BA222" t="str">
            <v>..</v>
          </cell>
          <cell r="BB222" t="str">
            <v>..</v>
          </cell>
          <cell r="BC222" t="str">
            <v>..</v>
          </cell>
          <cell r="BD222" t="str">
            <v>..</v>
          </cell>
          <cell r="BE222" t="str">
            <v>..</v>
          </cell>
          <cell r="BF222" t="str">
            <v>..</v>
          </cell>
          <cell r="BG222" t="str">
            <v>..</v>
          </cell>
          <cell r="BH222" t="str">
            <v>..</v>
          </cell>
          <cell r="BI222" t="str">
            <v>..</v>
          </cell>
          <cell r="BJ222" t="str">
            <v>..</v>
          </cell>
          <cell r="BK222" t="str">
            <v>..</v>
          </cell>
          <cell r="BL222" t="str">
            <v>..</v>
          </cell>
          <cell r="BM222" t="str">
            <v>..</v>
          </cell>
        </row>
        <row r="223">
          <cell r="B223" t="str">
            <v>CEB</v>
          </cell>
          <cell r="C223" t="str">
            <v>GNI (current LCU)</v>
          </cell>
          <cell r="D223" t="str">
            <v>NY.GNP.MKTP.CN</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v>
          </cell>
          <cell r="Q223" t="str">
            <v>..</v>
          </cell>
          <cell r="R223" t="str">
            <v>..</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t="str">
            <v>..</v>
          </cell>
          <cell r="AF223" t="str">
            <v>..</v>
          </cell>
          <cell r="AG223" t="str">
            <v>..</v>
          </cell>
          <cell r="AH223" t="str">
            <v>..</v>
          </cell>
          <cell r="AI223" t="str">
            <v>..</v>
          </cell>
          <cell r="AJ223" t="str">
            <v>..</v>
          </cell>
          <cell r="AK223" t="str">
            <v>..</v>
          </cell>
          <cell r="AL223" t="str">
            <v>..</v>
          </cell>
          <cell r="AM223" t="str">
            <v>..</v>
          </cell>
          <cell r="AN223" t="str">
            <v>..</v>
          </cell>
          <cell r="AO223" t="str">
            <v>..</v>
          </cell>
          <cell r="AP223" t="str">
            <v>..</v>
          </cell>
          <cell r="AQ223" t="str">
            <v>..</v>
          </cell>
          <cell r="AR223" t="str">
            <v>..</v>
          </cell>
          <cell r="AS223" t="str">
            <v>..</v>
          </cell>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t="str">
            <v>..</v>
          </cell>
          <cell r="BG223" t="str">
            <v>..</v>
          </cell>
          <cell r="BH223" t="str">
            <v>..</v>
          </cell>
          <cell r="BI223" t="str">
            <v>..</v>
          </cell>
          <cell r="BJ223" t="str">
            <v>..</v>
          </cell>
          <cell r="BK223" t="str">
            <v>..</v>
          </cell>
          <cell r="BL223" t="str">
            <v>..</v>
          </cell>
          <cell r="BM223" t="str">
            <v>..</v>
          </cell>
        </row>
        <row r="224">
          <cell r="B224" t="str">
            <v>EAR</v>
          </cell>
          <cell r="C224" t="str">
            <v>GNI (current LCU)</v>
          </cell>
          <cell r="D224" t="str">
            <v>NY.GNP.MKTP.CN</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v>
          </cell>
        </row>
        <row r="225">
          <cell r="B225" t="str">
            <v>EAS</v>
          </cell>
          <cell r="C225" t="str">
            <v>GNI (current LCU)</v>
          </cell>
          <cell r="D225" t="str">
            <v>NY.GNP.MKTP.CN</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v>
          </cell>
        </row>
        <row r="226">
          <cell r="B226" t="str">
            <v>EAP</v>
          </cell>
          <cell r="C226" t="str">
            <v>GNI (current LCU)</v>
          </cell>
          <cell r="D226" t="str">
            <v>NY.GNP.MKTP.CN</v>
          </cell>
          <cell r="E226" t="str">
            <v>..</v>
          </cell>
          <cell r="F226" t="str">
            <v>..</v>
          </cell>
          <cell r="G226" t="str">
            <v>..</v>
          </cell>
          <cell r="H226" t="str">
            <v>..</v>
          </cell>
          <cell r="I226" t="str">
            <v>..</v>
          </cell>
          <cell r="J226" t="str">
            <v>..</v>
          </cell>
          <cell r="K226" t="str">
            <v>..</v>
          </cell>
          <cell r="L226" t="str">
            <v>..</v>
          </cell>
          <cell r="M226" t="str">
            <v>..</v>
          </cell>
          <cell r="N226" t="str">
            <v>..</v>
          </cell>
          <cell r="O226" t="str">
            <v>..</v>
          </cell>
          <cell r="P226" t="str">
            <v>..</v>
          </cell>
          <cell r="Q226" t="str">
            <v>..</v>
          </cell>
          <cell r="R226" t="str">
            <v>..</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t="str">
            <v>..</v>
          </cell>
          <cell r="AF226" t="str">
            <v>..</v>
          </cell>
          <cell r="AG226" t="str">
            <v>..</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v>
          </cell>
        </row>
        <row r="227">
          <cell r="B227" t="str">
            <v>TEA</v>
          </cell>
          <cell r="C227" t="str">
            <v>GNI (current LCU)</v>
          </cell>
          <cell r="D227" t="str">
            <v>NY.GNP.MKTP.CN</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t="str">
            <v>..</v>
          </cell>
          <cell r="AU227" t="str">
            <v>..</v>
          </cell>
          <cell r="AV227" t="str">
            <v>..</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t="str">
            <v>..</v>
          </cell>
          <cell r="BJ227" t="str">
            <v>..</v>
          </cell>
          <cell r="BK227" t="str">
            <v>..</v>
          </cell>
          <cell r="BL227" t="str">
            <v>..</v>
          </cell>
          <cell r="BM227" t="str">
            <v>..</v>
          </cell>
        </row>
        <row r="228">
          <cell r="B228" t="str">
            <v>EMU</v>
          </cell>
          <cell r="C228" t="str">
            <v>GNI (current LCU)</v>
          </cell>
          <cell r="D228" t="str">
            <v>NY.GNP.MKTP.CN</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v>
          </cell>
        </row>
        <row r="229">
          <cell r="B229" t="str">
            <v>ECS</v>
          </cell>
          <cell r="C229" t="str">
            <v>GNI (current LCU)</v>
          </cell>
          <cell r="D229" t="str">
            <v>NY.GNP.MKTP.CN</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cell r="AJ229" t="str">
            <v>..</v>
          </cell>
          <cell r="AK229" t="str">
            <v>..</v>
          </cell>
          <cell r="AL229" t="str">
            <v>..</v>
          </cell>
          <cell r="AM229" t="str">
            <v>..</v>
          </cell>
          <cell r="AN229" t="str">
            <v>..</v>
          </cell>
          <cell r="AO229" t="str">
            <v>..</v>
          </cell>
          <cell r="AP229" t="str">
            <v>..</v>
          </cell>
          <cell r="AQ229" t="str">
            <v>..</v>
          </cell>
          <cell r="AR229" t="str">
            <v>..</v>
          </cell>
          <cell r="AS229" t="str">
            <v>..</v>
          </cell>
          <cell r="AT229" t="str">
            <v>..</v>
          </cell>
          <cell r="AU229" t="str">
            <v>..</v>
          </cell>
          <cell r="AV229" t="str">
            <v>..</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t="str">
            <v>..</v>
          </cell>
          <cell r="BJ229" t="str">
            <v>..</v>
          </cell>
          <cell r="BK229" t="str">
            <v>..</v>
          </cell>
          <cell r="BL229" t="str">
            <v>..</v>
          </cell>
          <cell r="BM229" t="str">
            <v>..</v>
          </cell>
        </row>
        <row r="230">
          <cell r="B230" t="str">
            <v>ECA</v>
          </cell>
          <cell r="C230" t="str">
            <v>GNI (current LCU)</v>
          </cell>
          <cell r="D230" t="str">
            <v>NY.GNP.MKTP.CN</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t="str">
            <v>..</v>
          </cell>
          <cell r="AF230" t="str">
            <v>..</v>
          </cell>
          <cell r="AG230" t="str">
            <v>..</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S230" t="str">
            <v>..</v>
          </cell>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t="str">
            <v>..</v>
          </cell>
          <cell r="BM230" t="str">
            <v>..</v>
          </cell>
        </row>
        <row r="231">
          <cell r="B231" t="str">
            <v>TEC</v>
          </cell>
          <cell r="C231" t="str">
            <v>GNI (current LCU)</v>
          </cell>
          <cell r="D231" t="str">
            <v>NY.GNP.MKTP.CN</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cell r="AJ231" t="str">
            <v>..</v>
          </cell>
          <cell r="AK231" t="str">
            <v>..</v>
          </cell>
          <cell r="AL231" t="str">
            <v>..</v>
          </cell>
          <cell r="AM231" t="str">
            <v>..</v>
          </cell>
          <cell r="AN231" t="str">
            <v>..</v>
          </cell>
          <cell r="AO231" t="str">
            <v>..</v>
          </cell>
          <cell r="AP231" t="str">
            <v>..</v>
          </cell>
          <cell r="AQ231" t="str">
            <v>..</v>
          </cell>
          <cell r="AR231" t="str">
            <v>..</v>
          </cell>
          <cell r="AS231" t="str">
            <v>..</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t="str">
            <v>..</v>
          </cell>
          <cell r="BJ231" t="str">
            <v>..</v>
          </cell>
          <cell r="BK231" t="str">
            <v>..</v>
          </cell>
          <cell r="BL231" t="str">
            <v>..</v>
          </cell>
          <cell r="BM231" t="str">
            <v>..</v>
          </cell>
        </row>
        <row r="232">
          <cell r="B232" t="str">
            <v>EUU</v>
          </cell>
          <cell r="C232" t="str">
            <v>GNI (current LCU)</v>
          </cell>
          <cell r="D232" t="str">
            <v>NY.GNP.MKTP.CN</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v>
          </cell>
        </row>
        <row r="233">
          <cell r="B233" t="str">
            <v>FCS</v>
          </cell>
          <cell r="C233" t="str">
            <v>GNI (current LCU)</v>
          </cell>
          <cell r="D233" t="str">
            <v>NY.GNP.MKTP.CN</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cell r="AJ233" t="str">
            <v>..</v>
          </cell>
          <cell r="AK233" t="str">
            <v>..</v>
          </cell>
          <cell r="AL233" t="str">
            <v>..</v>
          </cell>
          <cell r="AM233" t="str">
            <v>..</v>
          </cell>
          <cell r="AN233" t="str">
            <v>..</v>
          </cell>
          <cell r="AO233" t="str">
            <v>..</v>
          </cell>
          <cell r="AP233" t="str">
            <v>..</v>
          </cell>
          <cell r="AQ233" t="str">
            <v>..</v>
          </cell>
          <cell r="AR233" t="str">
            <v>..</v>
          </cell>
          <cell r="AS233" t="str">
            <v>..</v>
          </cell>
          <cell r="AT233" t="str">
            <v>..</v>
          </cell>
          <cell r="AU233" t="str">
            <v>..</v>
          </cell>
          <cell r="AV233" t="str">
            <v>..</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t="str">
            <v>..</v>
          </cell>
          <cell r="BJ233" t="str">
            <v>..</v>
          </cell>
          <cell r="BK233" t="str">
            <v>..</v>
          </cell>
          <cell r="BL233" t="str">
            <v>..</v>
          </cell>
          <cell r="BM233" t="str">
            <v>..</v>
          </cell>
        </row>
        <row r="234">
          <cell r="B234" t="str">
            <v>HPC</v>
          </cell>
          <cell r="C234" t="str">
            <v>GNI (current LCU)</v>
          </cell>
          <cell r="D234" t="str">
            <v>NY.GNP.MKTP.CN</v>
          </cell>
          <cell r="E234" t="str">
            <v>..</v>
          </cell>
          <cell r="F234" t="str">
            <v>..</v>
          </cell>
          <cell r="G234" t="str">
            <v>..</v>
          </cell>
          <cell r="H234" t="str">
            <v>..</v>
          </cell>
          <cell r="I234" t="str">
            <v>..</v>
          </cell>
          <cell r="J234" t="str">
            <v>..</v>
          </cell>
          <cell r="K234" t="str">
            <v>..</v>
          </cell>
          <cell r="L234" t="str">
            <v>..</v>
          </cell>
          <cell r="M234" t="str">
            <v>..</v>
          </cell>
          <cell r="N234" t="str">
            <v>..</v>
          </cell>
          <cell r="O234" t="str">
            <v>..</v>
          </cell>
          <cell r="P234" t="str">
            <v>..</v>
          </cell>
          <cell r="Q234" t="str">
            <v>..</v>
          </cell>
          <cell r="R234" t="str">
            <v>..</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t="str">
            <v>..</v>
          </cell>
          <cell r="AF234" t="str">
            <v>..</v>
          </cell>
          <cell r="AG234" t="str">
            <v>..</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row>
        <row r="235">
          <cell r="B235" t="str">
            <v>HIC</v>
          </cell>
          <cell r="C235" t="str">
            <v>GNI (current LCU)</v>
          </cell>
          <cell r="D235" t="str">
            <v>NY.GNP.MKTP.CN</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v>
          </cell>
        </row>
        <row r="236">
          <cell r="B236" t="str">
            <v>IBD</v>
          </cell>
          <cell r="C236" t="str">
            <v>GNI (current LCU)</v>
          </cell>
          <cell r="D236" t="str">
            <v>NY.GNP.MKTP.CN</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row>
        <row r="237">
          <cell r="B237" t="str">
            <v>IBT</v>
          </cell>
          <cell r="C237" t="str">
            <v>GNI (current LCU)</v>
          </cell>
          <cell r="D237" t="str">
            <v>NY.GNP.MKTP.CN</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t="str">
            <v>..</v>
          </cell>
          <cell r="AU237" t="str">
            <v>..</v>
          </cell>
          <cell r="AV237" t="str">
            <v>..</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t="str">
            <v>..</v>
          </cell>
          <cell r="BJ237" t="str">
            <v>..</v>
          </cell>
          <cell r="BK237" t="str">
            <v>..</v>
          </cell>
          <cell r="BL237" t="str">
            <v>..</v>
          </cell>
          <cell r="BM237" t="str">
            <v>..</v>
          </cell>
        </row>
        <row r="238">
          <cell r="B238" t="str">
            <v>IDB</v>
          </cell>
          <cell r="C238" t="str">
            <v>GNI (current LCU)</v>
          </cell>
          <cell r="D238" t="str">
            <v>NY.GNP.MKTP.CN</v>
          </cell>
          <cell r="E238" t="str">
            <v>..</v>
          </cell>
          <cell r="F238" t="str">
            <v>..</v>
          </cell>
          <cell r="G238" t="str">
            <v>..</v>
          </cell>
          <cell r="H238" t="str">
            <v>..</v>
          </cell>
          <cell r="I238" t="str">
            <v>..</v>
          </cell>
          <cell r="J238" t="str">
            <v>..</v>
          </cell>
          <cell r="K238" t="str">
            <v>..</v>
          </cell>
          <cell r="L238" t="str">
            <v>..</v>
          </cell>
          <cell r="M238" t="str">
            <v>..</v>
          </cell>
          <cell r="N238" t="str">
            <v>..</v>
          </cell>
          <cell r="O238" t="str">
            <v>..</v>
          </cell>
          <cell r="P238" t="str">
            <v>..</v>
          </cell>
          <cell r="Q238" t="str">
            <v>..</v>
          </cell>
          <cell r="R238" t="str">
            <v>..</v>
          </cell>
          <cell r="S238" t="str">
            <v>..</v>
          </cell>
          <cell r="T238" t="str">
            <v>..</v>
          </cell>
          <cell r="U238" t="str">
            <v>..</v>
          </cell>
          <cell r="V238" t="str">
            <v>..</v>
          </cell>
          <cell r="W238" t="str">
            <v>..</v>
          </cell>
          <cell r="X238" t="str">
            <v>..</v>
          </cell>
          <cell r="Y238" t="str">
            <v>..</v>
          </cell>
          <cell r="Z238" t="str">
            <v>..</v>
          </cell>
          <cell r="AA238" t="str">
            <v>..</v>
          </cell>
          <cell r="AB238" t="str">
            <v>..</v>
          </cell>
          <cell r="AC238" t="str">
            <v>..</v>
          </cell>
          <cell r="AD238" t="str">
            <v>..</v>
          </cell>
          <cell r="AE238" t="str">
            <v>..</v>
          </cell>
          <cell r="AF238" t="str">
            <v>..</v>
          </cell>
          <cell r="AG238" t="str">
            <v>..</v>
          </cell>
          <cell r="AH238" t="str">
            <v>..</v>
          </cell>
          <cell r="AI238" t="str">
            <v>..</v>
          </cell>
          <cell r="AJ238" t="str">
            <v>..</v>
          </cell>
          <cell r="AK238" t="str">
            <v>..</v>
          </cell>
          <cell r="AL238" t="str">
            <v>..</v>
          </cell>
          <cell r="AM238" t="str">
            <v>..</v>
          </cell>
          <cell r="AN238" t="str">
            <v>..</v>
          </cell>
          <cell r="AO238" t="str">
            <v>..</v>
          </cell>
          <cell r="AP238" t="str">
            <v>..</v>
          </cell>
          <cell r="AQ238" t="str">
            <v>..</v>
          </cell>
          <cell r="AR238" t="str">
            <v>..</v>
          </cell>
          <cell r="AS238" t="str">
            <v>..</v>
          </cell>
          <cell r="AT238" t="str">
            <v>..</v>
          </cell>
          <cell r="AU238" t="str">
            <v>..</v>
          </cell>
          <cell r="AV238" t="str">
            <v>..</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t="str">
            <v>..</v>
          </cell>
          <cell r="BJ238" t="str">
            <v>..</v>
          </cell>
          <cell r="BK238" t="str">
            <v>..</v>
          </cell>
          <cell r="BL238" t="str">
            <v>..</v>
          </cell>
          <cell r="BM238" t="str">
            <v>..</v>
          </cell>
        </row>
        <row r="239">
          <cell r="B239" t="str">
            <v>IDX</v>
          </cell>
          <cell r="C239" t="str">
            <v>GNI (current LCU)</v>
          </cell>
          <cell r="D239" t="str">
            <v>NY.GNP.MKTP.CN</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S239" t="str">
            <v>..</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row>
        <row r="240">
          <cell r="B240" t="str">
            <v>IDA</v>
          </cell>
          <cell r="C240" t="str">
            <v>GNI (current LCU)</v>
          </cell>
          <cell r="D240" t="str">
            <v>NY.GNP.MKTP.CN</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cell r="AJ240" t="str">
            <v>..</v>
          </cell>
          <cell r="AK240" t="str">
            <v>..</v>
          </cell>
          <cell r="AL240" t="str">
            <v>..</v>
          </cell>
          <cell r="AM240" t="str">
            <v>..</v>
          </cell>
          <cell r="AN240" t="str">
            <v>..</v>
          </cell>
          <cell r="AO240" t="str">
            <v>..</v>
          </cell>
          <cell r="AP240" t="str">
            <v>..</v>
          </cell>
          <cell r="AQ240" t="str">
            <v>..</v>
          </cell>
          <cell r="AR240" t="str">
            <v>..</v>
          </cell>
          <cell r="AS240" t="str">
            <v>..</v>
          </cell>
          <cell r="AT240" t="str">
            <v>..</v>
          </cell>
          <cell r="AU240" t="str">
            <v>..</v>
          </cell>
          <cell r="AV240" t="str">
            <v>..</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t="str">
            <v>..</v>
          </cell>
          <cell r="BJ240" t="str">
            <v>..</v>
          </cell>
          <cell r="BK240" t="str">
            <v>..</v>
          </cell>
          <cell r="BL240" t="str">
            <v>..</v>
          </cell>
          <cell r="BM240" t="str">
            <v>..</v>
          </cell>
        </row>
        <row r="241">
          <cell r="B241" t="str">
            <v>LTE</v>
          </cell>
          <cell r="C241" t="str">
            <v>GNI (current LCU)</v>
          </cell>
          <cell r="D241" t="str">
            <v>NY.GNP.MKTP.CN</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cell r="AJ241" t="str">
            <v>..</v>
          </cell>
          <cell r="AK241" t="str">
            <v>..</v>
          </cell>
          <cell r="AL241" t="str">
            <v>..</v>
          </cell>
          <cell r="AM241" t="str">
            <v>..</v>
          </cell>
          <cell r="AN241" t="str">
            <v>..</v>
          </cell>
          <cell r="AO241" t="str">
            <v>..</v>
          </cell>
          <cell r="AP241" t="str">
            <v>..</v>
          </cell>
          <cell r="AQ241" t="str">
            <v>..</v>
          </cell>
          <cell r="AR241" t="str">
            <v>..</v>
          </cell>
          <cell r="AS241" t="str">
            <v>..</v>
          </cell>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v>
          </cell>
        </row>
        <row r="242">
          <cell r="B242" t="str">
            <v>LCN</v>
          </cell>
          <cell r="C242" t="str">
            <v>GNI (current LCU)</v>
          </cell>
          <cell r="D242" t="str">
            <v>NY.GNP.MKTP.CN</v>
          </cell>
          <cell r="E242" t="str">
            <v>..</v>
          </cell>
          <cell r="F242" t="str">
            <v>..</v>
          </cell>
          <cell r="G242" t="str">
            <v>..</v>
          </cell>
          <cell r="H242" t="str">
            <v>..</v>
          </cell>
          <cell r="I242" t="str">
            <v>..</v>
          </cell>
          <cell r="J242" t="str">
            <v>..</v>
          </cell>
          <cell r="K242" t="str">
            <v>..</v>
          </cell>
          <cell r="L242" t="str">
            <v>..</v>
          </cell>
          <cell r="M242" t="str">
            <v>..</v>
          </cell>
          <cell r="N242" t="str">
            <v>..</v>
          </cell>
          <cell r="O242" t="str">
            <v>..</v>
          </cell>
          <cell r="P242" t="str">
            <v>..</v>
          </cell>
          <cell r="Q242" t="str">
            <v>..</v>
          </cell>
          <cell r="R242" t="str">
            <v>..</v>
          </cell>
          <cell r="S242" t="str">
            <v>..</v>
          </cell>
          <cell r="T242" t="str">
            <v>..</v>
          </cell>
          <cell r="U242" t="str">
            <v>..</v>
          </cell>
          <cell r="V242" t="str">
            <v>..</v>
          </cell>
          <cell r="W242" t="str">
            <v>..</v>
          </cell>
          <cell r="X242" t="str">
            <v>..</v>
          </cell>
          <cell r="Y242" t="str">
            <v>..</v>
          </cell>
          <cell r="Z242" t="str">
            <v>..</v>
          </cell>
          <cell r="AA242" t="str">
            <v>..</v>
          </cell>
          <cell r="AB242" t="str">
            <v>..</v>
          </cell>
          <cell r="AC242" t="str">
            <v>..</v>
          </cell>
          <cell r="AD242" t="str">
            <v>..</v>
          </cell>
          <cell r="AE242" t="str">
            <v>..</v>
          </cell>
          <cell r="AF242" t="str">
            <v>..</v>
          </cell>
          <cell r="AG242" t="str">
            <v>..</v>
          </cell>
          <cell r="AH242" t="str">
            <v>..</v>
          </cell>
          <cell r="AI242" t="str">
            <v>..</v>
          </cell>
          <cell r="AJ242" t="str">
            <v>..</v>
          </cell>
          <cell r="AK242" t="str">
            <v>..</v>
          </cell>
          <cell r="AL242" t="str">
            <v>..</v>
          </cell>
          <cell r="AM242" t="str">
            <v>..</v>
          </cell>
          <cell r="AN242" t="str">
            <v>..</v>
          </cell>
          <cell r="AO242" t="str">
            <v>..</v>
          </cell>
          <cell r="AP242" t="str">
            <v>..</v>
          </cell>
          <cell r="AQ242" t="str">
            <v>..</v>
          </cell>
          <cell r="AR242" t="str">
            <v>..</v>
          </cell>
          <cell r="AS242" t="str">
            <v>..</v>
          </cell>
          <cell r="AT242" t="str">
            <v>..</v>
          </cell>
          <cell r="AU242" t="str">
            <v>..</v>
          </cell>
          <cell r="AV242" t="str">
            <v>..</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t="str">
            <v>..</v>
          </cell>
          <cell r="BJ242" t="str">
            <v>..</v>
          </cell>
          <cell r="BK242" t="str">
            <v>..</v>
          </cell>
          <cell r="BL242" t="str">
            <v>..</v>
          </cell>
          <cell r="BM242" t="str">
            <v>..</v>
          </cell>
        </row>
        <row r="243">
          <cell r="B243" t="str">
            <v>LAC</v>
          </cell>
          <cell r="C243" t="str">
            <v>GNI (current LCU)</v>
          </cell>
          <cell r="D243" t="str">
            <v>NY.GNP.MKTP.CN</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cell r="AJ243" t="str">
            <v>..</v>
          </cell>
          <cell r="AK243" t="str">
            <v>..</v>
          </cell>
          <cell r="AL243" t="str">
            <v>..</v>
          </cell>
          <cell r="AM243" t="str">
            <v>..</v>
          </cell>
          <cell r="AN243" t="str">
            <v>..</v>
          </cell>
          <cell r="AO243" t="str">
            <v>..</v>
          </cell>
          <cell r="AP243" t="str">
            <v>..</v>
          </cell>
          <cell r="AQ243" t="str">
            <v>..</v>
          </cell>
          <cell r="AR243" t="str">
            <v>..</v>
          </cell>
          <cell r="AS243" t="str">
            <v>..</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t="str">
            <v>..</v>
          </cell>
          <cell r="BJ243" t="str">
            <v>..</v>
          </cell>
          <cell r="BK243" t="str">
            <v>..</v>
          </cell>
          <cell r="BL243" t="str">
            <v>..</v>
          </cell>
          <cell r="BM243" t="str">
            <v>..</v>
          </cell>
        </row>
        <row r="244">
          <cell r="B244" t="str">
            <v>TLA</v>
          </cell>
          <cell r="C244" t="str">
            <v>GNI (current LCU)</v>
          </cell>
          <cell r="D244" t="str">
            <v>NY.GNP.MKTP.CN</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t="str">
            <v>..</v>
          </cell>
          <cell r="AU244" t="str">
            <v>..</v>
          </cell>
          <cell r="AV244" t="str">
            <v>..</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t="str">
            <v>..</v>
          </cell>
          <cell r="BJ244" t="str">
            <v>..</v>
          </cell>
          <cell r="BK244" t="str">
            <v>..</v>
          </cell>
          <cell r="BL244" t="str">
            <v>..</v>
          </cell>
          <cell r="BM244" t="str">
            <v>..</v>
          </cell>
        </row>
        <row r="245">
          <cell r="B245" t="str">
            <v>LDC</v>
          </cell>
          <cell r="C245" t="str">
            <v>GNI (current LCU)</v>
          </cell>
          <cell r="D245" t="str">
            <v>NY.GNP.MKTP.CN</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t="str">
            <v>..</v>
          </cell>
          <cell r="AU245" t="str">
            <v>..</v>
          </cell>
          <cell r="AV245" t="str">
            <v>..</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t="str">
            <v>..</v>
          </cell>
          <cell r="BJ245" t="str">
            <v>..</v>
          </cell>
          <cell r="BK245" t="str">
            <v>..</v>
          </cell>
          <cell r="BL245" t="str">
            <v>..</v>
          </cell>
          <cell r="BM245" t="str">
            <v>..</v>
          </cell>
        </row>
        <row r="246">
          <cell r="B246" t="str">
            <v>LMY</v>
          </cell>
          <cell r="C246" t="str">
            <v>GNI (current LCU)</v>
          </cell>
          <cell r="D246" t="str">
            <v>NY.GNP.MKTP.CN</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t="str">
            <v>..</v>
          </cell>
          <cell r="Q246" t="str">
            <v>..</v>
          </cell>
          <cell r="R246" t="str">
            <v>..</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t="str">
            <v>..</v>
          </cell>
          <cell r="AF246" t="str">
            <v>..</v>
          </cell>
          <cell r="AG246" t="str">
            <v>..</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t="str">
            <v>..</v>
          </cell>
          <cell r="AU246" t="str">
            <v>..</v>
          </cell>
          <cell r="AV246" t="str">
            <v>..</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t="str">
            <v>..</v>
          </cell>
          <cell r="BJ246" t="str">
            <v>..</v>
          </cell>
          <cell r="BK246" t="str">
            <v>..</v>
          </cell>
          <cell r="BL246" t="str">
            <v>..</v>
          </cell>
          <cell r="BM246" t="str">
            <v>..</v>
          </cell>
        </row>
        <row r="247">
          <cell r="B247" t="str">
            <v>LIC</v>
          </cell>
          <cell r="C247" t="str">
            <v>GNI (current LCU)</v>
          </cell>
          <cell r="D247" t="str">
            <v>NY.GNP.MKTP.CN</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cell r="AJ247" t="str">
            <v>..</v>
          </cell>
          <cell r="AK247" t="str">
            <v>..</v>
          </cell>
          <cell r="AL247" t="str">
            <v>..</v>
          </cell>
          <cell r="AM247" t="str">
            <v>..</v>
          </cell>
          <cell r="AN247" t="str">
            <v>..</v>
          </cell>
          <cell r="AO247" t="str">
            <v>..</v>
          </cell>
          <cell r="AP247" t="str">
            <v>..</v>
          </cell>
          <cell r="AQ247" t="str">
            <v>..</v>
          </cell>
          <cell r="AR247" t="str">
            <v>..</v>
          </cell>
          <cell r="AS247" t="str">
            <v>..</v>
          </cell>
          <cell r="AT247" t="str">
            <v>..</v>
          </cell>
          <cell r="AU247" t="str">
            <v>..</v>
          </cell>
          <cell r="AV247" t="str">
            <v>..</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t="str">
            <v>..</v>
          </cell>
          <cell r="BJ247" t="str">
            <v>..</v>
          </cell>
          <cell r="BK247" t="str">
            <v>..</v>
          </cell>
          <cell r="BL247" t="str">
            <v>..</v>
          </cell>
          <cell r="BM247" t="str">
            <v>..</v>
          </cell>
        </row>
        <row r="248">
          <cell r="B248" t="str">
            <v>LMC</v>
          </cell>
          <cell r="C248" t="str">
            <v>GNI (current LCU)</v>
          </cell>
          <cell r="D248" t="str">
            <v>NY.GNP.MKTP.CN</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cell r="AJ248" t="str">
            <v>..</v>
          </cell>
          <cell r="AK248" t="str">
            <v>..</v>
          </cell>
          <cell r="AL248" t="str">
            <v>..</v>
          </cell>
          <cell r="AM248" t="str">
            <v>..</v>
          </cell>
          <cell r="AN248" t="str">
            <v>..</v>
          </cell>
          <cell r="AO248" t="str">
            <v>..</v>
          </cell>
          <cell r="AP248" t="str">
            <v>..</v>
          </cell>
          <cell r="AQ248" t="str">
            <v>..</v>
          </cell>
          <cell r="AR248" t="str">
            <v>..</v>
          </cell>
          <cell r="AS248" t="str">
            <v>..</v>
          </cell>
          <cell r="AT248" t="str">
            <v>..</v>
          </cell>
          <cell r="AU248" t="str">
            <v>..</v>
          </cell>
          <cell r="AV248" t="str">
            <v>..</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t="str">
            <v>..</v>
          </cell>
          <cell r="BJ248" t="str">
            <v>..</v>
          </cell>
          <cell r="BK248" t="str">
            <v>..</v>
          </cell>
          <cell r="BL248" t="str">
            <v>..</v>
          </cell>
          <cell r="BM248" t="str">
            <v>..</v>
          </cell>
        </row>
        <row r="249">
          <cell r="B249" t="str">
            <v>MEA</v>
          </cell>
          <cell r="C249" t="str">
            <v>GNI (current LCU)</v>
          </cell>
          <cell r="D249" t="str">
            <v>NY.GNP.MKTP.CN</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cell r="AJ249" t="str">
            <v>..</v>
          </cell>
          <cell r="AK249" t="str">
            <v>..</v>
          </cell>
          <cell r="AL249" t="str">
            <v>..</v>
          </cell>
          <cell r="AM249" t="str">
            <v>..</v>
          </cell>
          <cell r="AN249" t="str">
            <v>..</v>
          </cell>
          <cell r="AO249" t="str">
            <v>..</v>
          </cell>
          <cell r="AP249" t="str">
            <v>..</v>
          </cell>
          <cell r="AQ249" t="str">
            <v>..</v>
          </cell>
          <cell r="AR249" t="str">
            <v>..</v>
          </cell>
          <cell r="AS249" t="str">
            <v>..</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row>
        <row r="250">
          <cell r="B250" t="str">
            <v>MNA</v>
          </cell>
          <cell r="C250" t="str">
            <v>GNI (current LCU)</v>
          </cell>
          <cell r="D250" t="str">
            <v>NY.GNP.MKTP.CN</v>
          </cell>
          <cell r="E250" t="str">
            <v>..</v>
          </cell>
          <cell r="F250" t="str">
            <v>..</v>
          </cell>
          <cell r="G250" t="str">
            <v>..</v>
          </cell>
          <cell r="H250" t="str">
            <v>..</v>
          </cell>
          <cell r="I250" t="str">
            <v>..</v>
          </cell>
          <cell r="J250" t="str">
            <v>..</v>
          </cell>
          <cell r="K250" t="str">
            <v>..</v>
          </cell>
          <cell r="L250" t="str">
            <v>..</v>
          </cell>
          <cell r="M250" t="str">
            <v>..</v>
          </cell>
          <cell r="N250" t="str">
            <v>..</v>
          </cell>
          <cell r="O250" t="str">
            <v>..</v>
          </cell>
          <cell r="P250" t="str">
            <v>..</v>
          </cell>
          <cell r="Q250" t="str">
            <v>..</v>
          </cell>
          <cell r="R250" t="str">
            <v>..</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t="str">
            <v>..</v>
          </cell>
          <cell r="AF250" t="str">
            <v>..</v>
          </cell>
          <cell r="AG250" t="str">
            <v>..</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t="str">
            <v>..</v>
          </cell>
          <cell r="AU250" t="str">
            <v>..</v>
          </cell>
          <cell r="AV250" t="str">
            <v>..</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t="str">
            <v>..</v>
          </cell>
          <cell r="BJ250" t="str">
            <v>..</v>
          </cell>
          <cell r="BK250" t="str">
            <v>..</v>
          </cell>
          <cell r="BL250" t="str">
            <v>..</v>
          </cell>
          <cell r="BM250" t="str">
            <v>..</v>
          </cell>
        </row>
        <row r="251">
          <cell r="B251" t="str">
            <v>TMN</v>
          </cell>
          <cell r="C251" t="str">
            <v>GNI (current LCU)</v>
          </cell>
          <cell r="D251" t="str">
            <v>NY.GNP.MKTP.CN</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t="str">
            <v>..</v>
          </cell>
          <cell r="AU251" t="str">
            <v>..</v>
          </cell>
          <cell r="AV251" t="str">
            <v>..</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t="str">
            <v>..</v>
          </cell>
          <cell r="BJ251" t="str">
            <v>..</v>
          </cell>
          <cell r="BK251" t="str">
            <v>..</v>
          </cell>
          <cell r="BL251" t="str">
            <v>..</v>
          </cell>
          <cell r="BM251" t="str">
            <v>..</v>
          </cell>
        </row>
        <row r="252">
          <cell r="B252" t="str">
            <v>MIC</v>
          </cell>
          <cell r="C252" t="str">
            <v>GNI (current LCU)</v>
          </cell>
          <cell r="D252" t="str">
            <v>NY.GNP.MKTP.CN</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t="str">
            <v>..</v>
          </cell>
          <cell r="AU252" t="str">
            <v>..</v>
          </cell>
          <cell r="AV252" t="str">
            <v>..</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t="str">
            <v>..</v>
          </cell>
          <cell r="BJ252" t="str">
            <v>..</v>
          </cell>
          <cell r="BK252" t="str">
            <v>..</v>
          </cell>
          <cell r="BL252" t="str">
            <v>..</v>
          </cell>
          <cell r="BM252" t="str">
            <v>..</v>
          </cell>
        </row>
        <row r="253">
          <cell r="B253" t="str">
            <v>NAC</v>
          </cell>
          <cell r="C253" t="str">
            <v>GNI (current LCU)</v>
          </cell>
          <cell r="D253" t="str">
            <v>NY.GNP.MKTP.CN</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t="str">
            <v>..</v>
          </cell>
          <cell r="AU253" t="str">
            <v>..</v>
          </cell>
          <cell r="AV253" t="str">
            <v>..</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t="str">
            <v>..</v>
          </cell>
          <cell r="BJ253" t="str">
            <v>..</v>
          </cell>
          <cell r="BK253" t="str">
            <v>..</v>
          </cell>
          <cell r="BL253" t="str">
            <v>..</v>
          </cell>
          <cell r="BM253" t="str">
            <v>..</v>
          </cell>
        </row>
        <row r="254">
          <cell r="B254" t="str">
            <v>INX</v>
          </cell>
          <cell r="C254" t="str">
            <v>GNI (current LCU)</v>
          </cell>
          <cell r="D254" t="str">
            <v>NY.GNP.MKTP.CN</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cell r="AJ254" t="str">
            <v>..</v>
          </cell>
          <cell r="AK254" t="str">
            <v>..</v>
          </cell>
          <cell r="AL254" t="str">
            <v>..</v>
          </cell>
          <cell r="AM254" t="str">
            <v>..</v>
          </cell>
          <cell r="AN254" t="str">
            <v>..</v>
          </cell>
          <cell r="AO254" t="str">
            <v>..</v>
          </cell>
          <cell r="AP254" t="str">
            <v>..</v>
          </cell>
          <cell r="AQ254" t="str">
            <v>..</v>
          </cell>
          <cell r="AR254" t="str">
            <v>..</v>
          </cell>
          <cell r="AS254" t="str">
            <v>..</v>
          </cell>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v>
          </cell>
        </row>
        <row r="255">
          <cell r="B255" t="str">
            <v>OED</v>
          </cell>
          <cell r="C255" t="str">
            <v>GNI (current LCU)</v>
          </cell>
          <cell r="D255" t="str">
            <v>NY.GNP.MKTP.CN</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cell r="AJ255" t="str">
            <v>..</v>
          </cell>
          <cell r="AK255" t="str">
            <v>..</v>
          </cell>
          <cell r="AL255" t="str">
            <v>..</v>
          </cell>
          <cell r="AM255" t="str">
            <v>..</v>
          </cell>
          <cell r="AN255" t="str">
            <v>..</v>
          </cell>
          <cell r="AO255" t="str">
            <v>..</v>
          </cell>
          <cell r="AP255" t="str">
            <v>..</v>
          </cell>
          <cell r="AQ255" t="str">
            <v>..</v>
          </cell>
          <cell r="AR255" t="str">
            <v>..</v>
          </cell>
          <cell r="AS255" t="str">
            <v>..</v>
          </cell>
          <cell r="AT255" t="str">
            <v>..</v>
          </cell>
          <cell r="AU255" t="str">
            <v>..</v>
          </cell>
          <cell r="AV255" t="str">
            <v>..</v>
          </cell>
          <cell r="AW255" t="str">
            <v>..</v>
          </cell>
          <cell r="AX255" t="str">
            <v>..</v>
          </cell>
          <cell r="AY255" t="str">
            <v>..</v>
          </cell>
          <cell r="AZ255" t="str">
            <v>..</v>
          </cell>
          <cell r="BA255" t="str">
            <v>..</v>
          </cell>
          <cell r="BB255" t="str">
            <v>..</v>
          </cell>
          <cell r="BC255" t="str">
            <v>..</v>
          </cell>
          <cell r="BD255" t="str">
            <v>..</v>
          </cell>
          <cell r="BE255" t="str">
            <v>..</v>
          </cell>
          <cell r="BF255" t="str">
            <v>..</v>
          </cell>
          <cell r="BG255" t="str">
            <v>..</v>
          </cell>
          <cell r="BH255" t="str">
            <v>..</v>
          </cell>
          <cell r="BI255" t="str">
            <v>..</v>
          </cell>
          <cell r="BJ255" t="str">
            <v>..</v>
          </cell>
          <cell r="BK255" t="str">
            <v>..</v>
          </cell>
          <cell r="BL255" t="str">
            <v>..</v>
          </cell>
          <cell r="BM255" t="str">
            <v>..</v>
          </cell>
        </row>
        <row r="256">
          <cell r="B256" t="str">
            <v>OSS</v>
          </cell>
          <cell r="C256" t="str">
            <v>GNI (current LCU)</v>
          </cell>
          <cell r="D256" t="str">
            <v>NY.GNP.MKTP.CN</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cell r="AJ256" t="str">
            <v>..</v>
          </cell>
          <cell r="AK256" t="str">
            <v>..</v>
          </cell>
          <cell r="AL256" t="str">
            <v>..</v>
          </cell>
          <cell r="AM256" t="str">
            <v>..</v>
          </cell>
          <cell r="AN256" t="str">
            <v>..</v>
          </cell>
          <cell r="AO256" t="str">
            <v>..</v>
          </cell>
          <cell r="AP256" t="str">
            <v>..</v>
          </cell>
          <cell r="AQ256" t="str">
            <v>..</v>
          </cell>
          <cell r="AR256" t="str">
            <v>..</v>
          </cell>
          <cell r="AS256" t="str">
            <v>..</v>
          </cell>
          <cell r="AT256" t="str">
            <v>..</v>
          </cell>
          <cell r="AU256" t="str">
            <v>..</v>
          </cell>
          <cell r="AV256" t="str">
            <v>..</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t="str">
            <v>..</v>
          </cell>
          <cell r="BJ256" t="str">
            <v>..</v>
          </cell>
          <cell r="BK256" t="str">
            <v>..</v>
          </cell>
          <cell r="BL256" t="str">
            <v>..</v>
          </cell>
          <cell r="BM256" t="str">
            <v>..</v>
          </cell>
        </row>
        <row r="257">
          <cell r="B257" t="str">
            <v>PSS</v>
          </cell>
          <cell r="C257" t="str">
            <v>GNI (current LCU)</v>
          </cell>
          <cell r="D257" t="str">
            <v>NY.GNP.MKTP.CN</v>
          </cell>
          <cell r="E257" t="str">
            <v>..</v>
          </cell>
          <cell r="F257" t="str">
            <v>..</v>
          </cell>
          <cell r="G257" t="str">
            <v>..</v>
          </cell>
          <cell r="H257" t="str">
            <v>..</v>
          </cell>
          <cell r="I257" t="str">
            <v>..</v>
          </cell>
          <cell r="J257" t="str">
            <v>..</v>
          </cell>
          <cell r="K257" t="str">
            <v>..</v>
          </cell>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t="str">
            <v>..</v>
          </cell>
          <cell r="AF257" t="str">
            <v>..</v>
          </cell>
          <cell r="AG257" t="str">
            <v>..</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t="str">
            <v>..</v>
          </cell>
          <cell r="AU257" t="str">
            <v>..</v>
          </cell>
          <cell r="AV257" t="str">
            <v>..</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t="str">
            <v>..</v>
          </cell>
          <cell r="BJ257" t="str">
            <v>..</v>
          </cell>
          <cell r="BK257" t="str">
            <v>..</v>
          </cell>
          <cell r="BL257" t="str">
            <v>..</v>
          </cell>
          <cell r="BM257" t="str">
            <v>..</v>
          </cell>
        </row>
        <row r="258">
          <cell r="B258" t="str">
            <v>PST</v>
          </cell>
          <cell r="C258" t="str">
            <v>GNI (current LCU)</v>
          </cell>
          <cell r="D258" t="str">
            <v>NY.GNP.MKTP.CN</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t="str">
            <v>..</v>
          </cell>
          <cell r="AU258" t="str">
            <v>..</v>
          </cell>
          <cell r="AV258" t="str">
            <v>..</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t="str">
            <v>..</v>
          </cell>
          <cell r="BJ258" t="str">
            <v>..</v>
          </cell>
          <cell r="BK258" t="str">
            <v>..</v>
          </cell>
          <cell r="BL258" t="str">
            <v>..</v>
          </cell>
          <cell r="BM258" t="str">
            <v>..</v>
          </cell>
        </row>
        <row r="259">
          <cell r="B259" t="str">
            <v>PRE</v>
          </cell>
          <cell r="C259" t="str">
            <v>GNI (current LCU)</v>
          </cell>
          <cell r="D259" t="str">
            <v>NY.GNP.MKTP.CN</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v>
          </cell>
        </row>
        <row r="260">
          <cell r="B260" t="str">
            <v>SST</v>
          </cell>
          <cell r="C260" t="str">
            <v>GNI (current LCU)</v>
          </cell>
          <cell r="D260" t="str">
            <v>NY.GNP.MKTP.CN</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t="str">
            <v>..</v>
          </cell>
          <cell r="AU260" t="str">
            <v>..</v>
          </cell>
          <cell r="AV260" t="str">
            <v>..</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t="str">
            <v>..</v>
          </cell>
          <cell r="BJ260" t="str">
            <v>..</v>
          </cell>
          <cell r="BK260" t="str">
            <v>..</v>
          </cell>
          <cell r="BL260" t="str">
            <v>..</v>
          </cell>
          <cell r="BM260" t="str">
            <v>..</v>
          </cell>
        </row>
        <row r="261">
          <cell r="B261" t="str">
            <v>SAS</v>
          </cell>
          <cell r="C261" t="str">
            <v>GNI (current LCU)</v>
          </cell>
          <cell r="D261" t="str">
            <v>NY.GNP.MKTP.CN</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t="str">
            <v>..</v>
          </cell>
          <cell r="AF261" t="str">
            <v>..</v>
          </cell>
          <cell r="AG261" t="str">
            <v>..</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t="str">
            <v>..</v>
          </cell>
          <cell r="AU261" t="str">
            <v>..</v>
          </cell>
          <cell r="AV261" t="str">
            <v>..</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t="str">
            <v>..</v>
          </cell>
          <cell r="BJ261" t="str">
            <v>..</v>
          </cell>
          <cell r="BK261" t="str">
            <v>..</v>
          </cell>
          <cell r="BL261" t="str">
            <v>..</v>
          </cell>
          <cell r="BM261" t="str">
            <v>..</v>
          </cell>
        </row>
        <row r="262">
          <cell r="B262" t="str">
            <v>TSA</v>
          </cell>
          <cell r="C262" t="str">
            <v>GNI (current LCU)</v>
          </cell>
          <cell r="D262" t="str">
            <v>NY.GNP.MKTP.CN</v>
          </cell>
          <cell r="E262" t="str">
            <v>..</v>
          </cell>
          <cell r="F262" t="str">
            <v>..</v>
          </cell>
          <cell r="G262" t="str">
            <v>..</v>
          </cell>
          <cell r="H262" t="str">
            <v>..</v>
          </cell>
          <cell r="I262" t="str">
            <v>..</v>
          </cell>
          <cell r="J262" t="str">
            <v>..</v>
          </cell>
          <cell r="K262" t="str">
            <v>..</v>
          </cell>
          <cell r="L262" t="str">
            <v>..</v>
          </cell>
          <cell r="M262" t="str">
            <v>..</v>
          </cell>
          <cell r="N262" t="str">
            <v>..</v>
          </cell>
          <cell r="O262" t="str">
            <v>..</v>
          </cell>
          <cell r="P262" t="str">
            <v>..</v>
          </cell>
          <cell r="Q262" t="str">
            <v>..</v>
          </cell>
          <cell r="R262" t="str">
            <v>..</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t="str">
            <v>..</v>
          </cell>
          <cell r="AF262" t="str">
            <v>..</v>
          </cell>
          <cell r="AG262" t="str">
            <v>..</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t="str">
            <v>..</v>
          </cell>
          <cell r="AU262" t="str">
            <v>..</v>
          </cell>
          <cell r="AV262" t="str">
            <v>..</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t="str">
            <v>..</v>
          </cell>
          <cell r="BJ262" t="str">
            <v>..</v>
          </cell>
          <cell r="BK262" t="str">
            <v>..</v>
          </cell>
          <cell r="BL262" t="str">
            <v>..</v>
          </cell>
          <cell r="BM262" t="str">
            <v>..</v>
          </cell>
        </row>
        <row r="263">
          <cell r="B263" t="str">
            <v>SSF</v>
          </cell>
          <cell r="C263" t="str">
            <v>GNI (current LCU)</v>
          </cell>
          <cell r="D263" t="str">
            <v>NY.GNP.MKTP.CN</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t="str">
            <v>..</v>
          </cell>
          <cell r="AU263" t="str">
            <v>..</v>
          </cell>
          <cell r="AV263" t="str">
            <v>..</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t="str">
            <v>..</v>
          </cell>
          <cell r="BJ263" t="str">
            <v>..</v>
          </cell>
          <cell r="BK263" t="str">
            <v>..</v>
          </cell>
          <cell r="BL263" t="str">
            <v>..</v>
          </cell>
          <cell r="BM263" t="str">
            <v>..</v>
          </cell>
        </row>
        <row r="264">
          <cell r="B264" t="str">
            <v>SSA</v>
          </cell>
          <cell r="C264" t="str">
            <v>GNI (current LCU)</v>
          </cell>
          <cell r="D264" t="str">
            <v>NY.GNP.MKTP.CN</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cell r="AJ264" t="str">
            <v>..</v>
          </cell>
          <cell r="AK264" t="str">
            <v>..</v>
          </cell>
          <cell r="AL264" t="str">
            <v>..</v>
          </cell>
          <cell r="AM264" t="str">
            <v>..</v>
          </cell>
          <cell r="AN264" t="str">
            <v>..</v>
          </cell>
          <cell r="AO264" t="str">
            <v>..</v>
          </cell>
          <cell r="AP264" t="str">
            <v>..</v>
          </cell>
          <cell r="AQ264" t="str">
            <v>..</v>
          </cell>
          <cell r="AR264" t="str">
            <v>..</v>
          </cell>
          <cell r="AS264" t="str">
            <v>..</v>
          </cell>
          <cell r="AT264" t="str">
            <v>..</v>
          </cell>
          <cell r="AU264" t="str">
            <v>..</v>
          </cell>
          <cell r="AV264" t="str">
            <v>..</v>
          </cell>
          <cell r="AW264" t="str">
            <v>..</v>
          </cell>
          <cell r="AX264" t="str">
            <v>..</v>
          </cell>
          <cell r="AY264" t="str">
            <v>..</v>
          </cell>
          <cell r="AZ264" t="str">
            <v>..</v>
          </cell>
          <cell r="BA264" t="str">
            <v>..</v>
          </cell>
          <cell r="BB264" t="str">
            <v>..</v>
          </cell>
          <cell r="BC264" t="str">
            <v>..</v>
          </cell>
          <cell r="BD264" t="str">
            <v>..</v>
          </cell>
          <cell r="BE264" t="str">
            <v>..</v>
          </cell>
          <cell r="BF264" t="str">
            <v>..</v>
          </cell>
          <cell r="BG264" t="str">
            <v>..</v>
          </cell>
          <cell r="BH264" t="str">
            <v>..</v>
          </cell>
          <cell r="BI264" t="str">
            <v>..</v>
          </cell>
          <cell r="BJ264" t="str">
            <v>..</v>
          </cell>
          <cell r="BK264" t="str">
            <v>..</v>
          </cell>
          <cell r="BL264" t="str">
            <v>..</v>
          </cell>
          <cell r="BM264" t="str">
            <v>..</v>
          </cell>
        </row>
        <row r="265">
          <cell r="B265" t="str">
            <v>TSS</v>
          </cell>
          <cell r="C265" t="str">
            <v>GNI (current LCU)</v>
          </cell>
          <cell r="D265" t="str">
            <v>NY.GNP.MKTP.CN</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cell r="AJ265" t="str">
            <v>..</v>
          </cell>
          <cell r="AK265" t="str">
            <v>..</v>
          </cell>
          <cell r="AL265" t="str">
            <v>..</v>
          </cell>
          <cell r="AM265" t="str">
            <v>..</v>
          </cell>
          <cell r="AN265" t="str">
            <v>..</v>
          </cell>
          <cell r="AO265" t="str">
            <v>..</v>
          </cell>
          <cell r="AP265" t="str">
            <v>..</v>
          </cell>
          <cell r="AQ265" t="str">
            <v>..</v>
          </cell>
          <cell r="AR265" t="str">
            <v>..</v>
          </cell>
          <cell r="AS265" t="str">
            <v>..</v>
          </cell>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v>
          </cell>
        </row>
        <row r="266">
          <cell r="B266" t="str">
            <v>UMC</v>
          </cell>
          <cell r="C266" t="str">
            <v>GNI (current LCU)</v>
          </cell>
          <cell r="D266" t="str">
            <v>NY.GNP.MKTP.CN</v>
          </cell>
          <cell r="E266" t="str">
            <v>..</v>
          </cell>
          <cell r="F266" t="str">
            <v>..</v>
          </cell>
          <cell r="G266" t="str">
            <v>..</v>
          </cell>
          <cell r="H266" t="str">
            <v>..</v>
          </cell>
          <cell r="I266" t="str">
            <v>..</v>
          </cell>
          <cell r="J266" t="str">
            <v>..</v>
          </cell>
          <cell r="K266" t="str">
            <v>..</v>
          </cell>
          <cell r="L266" t="str">
            <v>..</v>
          </cell>
          <cell r="M266" t="str">
            <v>..</v>
          </cell>
          <cell r="N266" t="str">
            <v>..</v>
          </cell>
          <cell r="O266" t="str">
            <v>..</v>
          </cell>
          <cell r="P266" t="str">
            <v>..</v>
          </cell>
          <cell r="Q266" t="str">
            <v>..</v>
          </cell>
          <cell r="R266" t="str">
            <v>..</v>
          </cell>
          <cell r="S266" t="str">
            <v>..</v>
          </cell>
          <cell r="T266" t="str">
            <v>..</v>
          </cell>
          <cell r="U266" t="str">
            <v>..</v>
          </cell>
          <cell r="V266" t="str">
            <v>..</v>
          </cell>
          <cell r="W266" t="str">
            <v>..</v>
          </cell>
          <cell r="X266" t="str">
            <v>..</v>
          </cell>
          <cell r="Y266" t="str">
            <v>..</v>
          </cell>
          <cell r="Z266" t="str">
            <v>..</v>
          </cell>
          <cell r="AA266" t="str">
            <v>..</v>
          </cell>
          <cell r="AB266" t="str">
            <v>..</v>
          </cell>
          <cell r="AC266" t="str">
            <v>..</v>
          </cell>
          <cell r="AD266" t="str">
            <v>..</v>
          </cell>
          <cell r="AE266" t="str">
            <v>..</v>
          </cell>
          <cell r="AF266" t="str">
            <v>..</v>
          </cell>
          <cell r="AG266" t="str">
            <v>..</v>
          </cell>
          <cell r="AH266" t="str">
            <v>..</v>
          </cell>
          <cell r="AI266" t="str">
            <v>..</v>
          </cell>
          <cell r="AJ266" t="str">
            <v>..</v>
          </cell>
          <cell r="AK266" t="str">
            <v>..</v>
          </cell>
          <cell r="AL266" t="str">
            <v>..</v>
          </cell>
          <cell r="AM266" t="str">
            <v>..</v>
          </cell>
          <cell r="AN266" t="str">
            <v>..</v>
          </cell>
          <cell r="AO266" t="str">
            <v>..</v>
          </cell>
          <cell r="AP266" t="str">
            <v>..</v>
          </cell>
          <cell r="AQ266" t="str">
            <v>..</v>
          </cell>
          <cell r="AR266" t="str">
            <v>..</v>
          </cell>
          <cell r="AS266" t="str">
            <v>..</v>
          </cell>
          <cell r="AT266" t="str">
            <v>..</v>
          </cell>
          <cell r="AU266" t="str">
            <v>..</v>
          </cell>
          <cell r="AV266" t="str">
            <v>..</v>
          </cell>
          <cell r="AW266" t="str">
            <v>..</v>
          </cell>
          <cell r="AX266" t="str">
            <v>..</v>
          </cell>
          <cell r="AY266" t="str">
            <v>..</v>
          </cell>
          <cell r="AZ266" t="str">
            <v>..</v>
          </cell>
          <cell r="BA266" t="str">
            <v>..</v>
          </cell>
          <cell r="BB266" t="str">
            <v>..</v>
          </cell>
          <cell r="BC266" t="str">
            <v>..</v>
          </cell>
          <cell r="BD266" t="str">
            <v>..</v>
          </cell>
          <cell r="BE266" t="str">
            <v>..</v>
          </cell>
          <cell r="BF266" t="str">
            <v>..</v>
          </cell>
          <cell r="BG266" t="str">
            <v>..</v>
          </cell>
          <cell r="BH266" t="str">
            <v>..</v>
          </cell>
          <cell r="BI266" t="str">
            <v>..</v>
          </cell>
          <cell r="BJ266" t="str">
            <v>..</v>
          </cell>
          <cell r="BK266" t="str">
            <v>..</v>
          </cell>
          <cell r="BL266" t="str">
            <v>..</v>
          </cell>
          <cell r="BM266" t="str">
            <v>..</v>
          </cell>
        </row>
        <row r="267">
          <cell r="B267" t="str">
            <v>WLD</v>
          </cell>
          <cell r="C267" t="str">
            <v>GNI (current LCU)</v>
          </cell>
          <cell r="D267" t="str">
            <v>NY.GNP.MKTP.CN</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t="str">
            <v>..</v>
          </cell>
          <cell r="Q267" t="str">
            <v>..</v>
          </cell>
          <cell r="R267" t="str">
            <v>..</v>
          </cell>
          <cell r="S267" t="str">
            <v>..</v>
          </cell>
          <cell r="T267" t="str">
            <v>..</v>
          </cell>
          <cell r="U267" t="str">
            <v>..</v>
          </cell>
          <cell r="V267" t="str">
            <v>..</v>
          </cell>
          <cell r="W267" t="str">
            <v>..</v>
          </cell>
          <cell r="X267" t="str">
            <v>..</v>
          </cell>
          <cell r="Y267" t="str">
            <v>..</v>
          </cell>
          <cell r="Z267" t="str">
            <v>..</v>
          </cell>
          <cell r="AA267" t="str">
            <v>..</v>
          </cell>
          <cell r="AB267" t="str">
            <v>..</v>
          </cell>
          <cell r="AC267" t="str">
            <v>..</v>
          </cell>
          <cell r="AD267" t="str">
            <v>..</v>
          </cell>
          <cell r="AE267" t="str">
            <v>..</v>
          </cell>
          <cell r="AF267" t="str">
            <v>..</v>
          </cell>
          <cell r="AG267" t="str">
            <v>..</v>
          </cell>
          <cell r="AH267" t="str">
            <v>..</v>
          </cell>
          <cell r="AI267" t="str">
            <v>..</v>
          </cell>
          <cell r="AJ267" t="str">
            <v>..</v>
          </cell>
          <cell r="AK267" t="str">
            <v>..</v>
          </cell>
          <cell r="AL267" t="str">
            <v>..</v>
          </cell>
          <cell r="AM267" t="str">
            <v>..</v>
          </cell>
          <cell r="AN267" t="str">
            <v>..</v>
          </cell>
          <cell r="AO267" t="str">
            <v>..</v>
          </cell>
          <cell r="AP267" t="str">
            <v>..</v>
          </cell>
          <cell r="AQ267" t="str">
            <v>..</v>
          </cell>
          <cell r="AR267" t="str">
            <v>..</v>
          </cell>
          <cell r="AS267" t="str">
            <v>..</v>
          </cell>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v>
          </cell>
        </row>
      </sheetData>
      <sheetData sheetId="16">
        <row r="1">
          <cell r="B1" t="str">
            <v>Country Code</v>
          </cell>
          <cell r="C1" t="str">
            <v>Series Name</v>
          </cell>
          <cell r="D1" t="str">
            <v>Series Code</v>
          </cell>
          <cell r="E1" t="str">
            <v>1960 [YR1960]</v>
          </cell>
          <cell r="F1" t="str">
            <v>1961 [YR1961]</v>
          </cell>
          <cell r="G1" t="str">
            <v>1962 [YR1962]</v>
          </cell>
          <cell r="H1" t="str">
            <v>1963 [YR1963]</v>
          </cell>
          <cell r="I1" t="str">
            <v>1964 [YR1964]</v>
          </cell>
          <cell r="J1" t="str">
            <v>1965 [YR1965]</v>
          </cell>
          <cell r="K1" t="str">
            <v>1966 [YR1966]</v>
          </cell>
          <cell r="L1" t="str">
            <v>1967 [YR1967]</v>
          </cell>
          <cell r="M1" t="str">
            <v>1968 [YR1968]</v>
          </cell>
          <cell r="N1" t="str">
            <v>1969 [YR1969]</v>
          </cell>
          <cell r="O1" t="str">
            <v>1970 [YR1970]</v>
          </cell>
          <cell r="P1" t="str">
            <v>1971 [YR1971]</v>
          </cell>
          <cell r="Q1" t="str">
            <v>1972 [YR1972]</v>
          </cell>
          <cell r="R1" t="str">
            <v>1973 [YR1973]</v>
          </cell>
          <cell r="S1" t="str">
            <v>1974 [YR1974]</v>
          </cell>
          <cell r="T1" t="str">
            <v>1975 [YR1975]</v>
          </cell>
          <cell r="U1" t="str">
            <v>1976 [YR1976]</v>
          </cell>
          <cell r="V1" t="str">
            <v>1977 [YR1977]</v>
          </cell>
          <cell r="W1" t="str">
            <v>1978 [YR1978]</v>
          </cell>
          <cell r="X1" t="str">
            <v>1979 [YR1979]</v>
          </cell>
          <cell r="Y1" t="str">
            <v>1980 [YR1980]</v>
          </cell>
          <cell r="Z1" t="str">
            <v>1981 [YR1981]</v>
          </cell>
          <cell r="AA1" t="str">
            <v>1982 [YR1982]</v>
          </cell>
          <cell r="AB1" t="str">
            <v>1983 [YR1983]</v>
          </cell>
          <cell r="AC1" t="str">
            <v>1984 [YR1984]</v>
          </cell>
          <cell r="AD1" t="str">
            <v>1985 [YR1985]</v>
          </cell>
          <cell r="AE1" t="str">
            <v>1986 [YR1986]</v>
          </cell>
          <cell r="AF1" t="str">
            <v>1987 [YR1987]</v>
          </cell>
          <cell r="AG1" t="str">
            <v>1988 [YR1988]</v>
          </cell>
          <cell r="AH1" t="str">
            <v>1989 [YR1989]</v>
          </cell>
          <cell r="AI1" t="str">
            <v>1990 [YR1990]</v>
          </cell>
          <cell r="AJ1" t="str">
            <v>1991 [YR1991]</v>
          </cell>
          <cell r="AK1" t="str">
            <v>1992 [YR1992]</v>
          </cell>
          <cell r="AL1" t="str">
            <v>1993 [YR1993]</v>
          </cell>
          <cell r="AM1" t="str">
            <v>1994 [YR1994]</v>
          </cell>
          <cell r="AN1" t="str">
            <v>1995 [YR1995]</v>
          </cell>
          <cell r="AO1" t="str">
            <v>1996 [YR1996]</v>
          </cell>
          <cell r="AP1" t="str">
            <v>1997 [YR1997]</v>
          </cell>
          <cell r="AQ1" t="str">
            <v>1998 [YR1998]</v>
          </cell>
          <cell r="AR1" t="str">
            <v>1999 [YR1999]</v>
          </cell>
          <cell r="AS1" t="str">
            <v>2000 [YR2000]</v>
          </cell>
          <cell r="AT1" t="str">
            <v>2001 [YR2001]</v>
          </cell>
          <cell r="AU1" t="str">
            <v>2002 [YR2002]</v>
          </cell>
          <cell r="AV1" t="str">
            <v>2003 [YR2003]</v>
          </cell>
          <cell r="AW1" t="str">
            <v>2004 [YR2004]</v>
          </cell>
          <cell r="AX1" t="str">
            <v>2005 [YR2005]</v>
          </cell>
          <cell r="AY1" t="str">
            <v>2006 [YR2006]</v>
          </cell>
          <cell r="AZ1" t="str">
            <v>2007 [YR2007]</v>
          </cell>
          <cell r="BA1" t="str">
            <v>2008 [YR2008]</v>
          </cell>
          <cell r="BB1" t="str">
            <v>2009 [YR2009]</v>
          </cell>
          <cell r="BC1" t="str">
            <v>2010 [YR2010]</v>
          </cell>
          <cell r="BD1" t="str">
            <v>2011 [YR2011]</v>
          </cell>
          <cell r="BE1" t="str">
            <v>2012 [YR2012]</v>
          </cell>
          <cell r="BF1" t="str">
            <v>2013 [YR2013]</v>
          </cell>
          <cell r="BG1" t="str">
            <v>2014 [YR2014]</v>
          </cell>
          <cell r="BH1" t="str">
            <v>2015 [YR2015]</v>
          </cell>
          <cell r="BI1" t="str">
            <v>2016 [YR2016]</v>
          </cell>
          <cell r="BJ1" t="str">
            <v>2017 [YR2017]</v>
          </cell>
          <cell r="BK1" t="str">
            <v>2018 [YR2018]</v>
          </cell>
          <cell r="BL1" t="str">
            <v>2019 [YR2019]</v>
          </cell>
          <cell r="BM1" t="str">
            <v>2020 [YR2020]</v>
          </cell>
        </row>
        <row r="2">
          <cell r="B2" t="str">
            <v>AFG</v>
          </cell>
          <cell r="C2" t="str">
            <v>GNI (current US$)</v>
          </cell>
          <cell r="D2" t="str">
            <v>NY.GNP.MKTP.CD</v>
          </cell>
          <cell r="E2">
            <v>548888848.88888896</v>
          </cell>
          <cell r="F2">
            <v>560000022.22222197</v>
          </cell>
          <cell r="G2">
            <v>557777806.66666698</v>
          </cell>
          <cell r="H2">
            <v>766666706.66666698</v>
          </cell>
          <cell r="I2">
            <v>815555562.22222197</v>
          </cell>
          <cell r="J2">
            <v>1026666677.7777801</v>
          </cell>
          <cell r="K2">
            <v>1428888871.11111</v>
          </cell>
          <cell r="L2">
            <v>1708888882.2222199</v>
          </cell>
          <cell r="M2">
            <v>1402222182.2222199</v>
          </cell>
          <cell r="N2">
            <v>1437777737.7777801</v>
          </cell>
          <cell r="O2">
            <v>1784444426.6666701</v>
          </cell>
          <cell r="P2">
            <v>1868886653.3333299</v>
          </cell>
          <cell r="Q2">
            <v>1631108937.7777801</v>
          </cell>
          <cell r="R2">
            <v>1771108944.4444399</v>
          </cell>
          <cell r="S2">
            <v>2202222228.8888898</v>
          </cell>
          <cell r="T2">
            <v>2417777777.7777801</v>
          </cell>
          <cell r="U2">
            <v>2611111162.2222199</v>
          </cell>
          <cell r="V2">
            <v>3017777697.7777801</v>
          </cell>
          <cell r="W2">
            <v>3371111037.7777801</v>
          </cell>
          <cell r="X2">
            <v>3775743789.47368</v>
          </cell>
          <cell r="Y2">
            <v>3716553247.1655302</v>
          </cell>
          <cell r="Z2">
            <v>3551514995.9596</v>
          </cell>
          <cell r="AA2" t="str">
            <v>..</v>
          </cell>
          <cell r="AB2" t="str">
            <v>..</v>
          </cell>
          <cell r="AC2" t="str">
            <v>..</v>
          </cell>
          <cell r="AD2" t="str">
            <v>..</v>
          </cell>
          <cell r="AE2" t="str">
            <v>..</v>
          </cell>
          <cell r="AF2" t="str">
            <v>..</v>
          </cell>
          <cell r="AG2" t="str">
            <v>..</v>
          </cell>
          <cell r="AH2" t="str">
            <v>..</v>
          </cell>
          <cell r="AI2" t="str">
            <v>..</v>
          </cell>
          <cell r="AJ2" t="str">
            <v>..</v>
          </cell>
          <cell r="AK2" t="str">
            <v>..</v>
          </cell>
          <cell r="AL2" t="str">
            <v>..</v>
          </cell>
          <cell r="AM2" t="str">
            <v>..</v>
          </cell>
          <cell r="AN2" t="str">
            <v>..</v>
          </cell>
          <cell r="AO2" t="str">
            <v>..</v>
          </cell>
          <cell r="AP2" t="str">
            <v>..</v>
          </cell>
          <cell r="AQ2" t="str">
            <v>..</v>
          </cell>
          <cell r="AR2" t="str">
            <v>..</v>
          </cell>
          <cell r="AS2" t="str">
            <v>..</v>
          </cell>
          <cell r="AT2" t="str">
            <v>..</v>
          </cell>
          <cell r="AU2" t="str">
            <v>..</v>
          </cell>
          <cell r="AV2" t="str">
            <v>..</v>
          </cell>
          <cell r="AW2" t="str">
            <v>..</v>
          </cell>
          <cell r="AX2" t="str">
            <v>..</v>
          </cell>
          <cell r="AY2" t="str">
            <v>..</v>
          </cell>
          <cell r="AZ2" t="str">
            <v>..</v>
          </cell>
          <cell r="BA2" t="str">
            <v>..</v>
          </cell>
          <cell r="BB2">
            <v>12380756376.634501</v>
          </cell>
          <cell r="BC2">
            <v>15884609986.528299</v>
          </cell>
          <cell r="BD2">
            <v>17785698870.988701</v>
          </cell>
          <cell r="BE2">
            <v>19938663918.946098</v>
          </cell>
          <cell r="BF2">
            <v>20216694880.472401</v>
          </cell>
          <cell r="BG2">
            <v>20494754799.919201</v>
          </cell>
          <cell r="BH2">
            <v>19307190568.069099</v>
          </cell>
          <cell r="BI2">
            <v>18297097175.3722</v>
          </cell>
          <cell r="BJ2">
            <v>19000254382.509602</v>
          </cell>
          <cell r="BK2">
            <v>18240838101.738998</v>
          </cell>
          <cell r="BL2">
            <v>19098305631.278599</v>
          </cell>
          <cell r="BM2">
            <v>20304823185.2705</v>
          </cell>
        </row>
        <row r="3">
          <cell r="B3" t="str">
            <v>ALB</v>
          </cell>
          <cell r="C3" t="str">
            <v>GNI (current US$)</v>
          </cell>
          <cell r="D3" t="str">
            <v>NY.GNP.MKTP.CD</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1860538011.8833399</v>
          </cell>
          <cell r="AD3">
            <v>1898450133.4326</v>
          </cell>
          <cell r="AE3">
            <v>2097426250</v>
          </cell>
          <cell r="AF3">
            <v>2081196250</v>
          </cell>
          <cell r="AG3">
            <v>2051436250</v>
          </cell>
          <cell r="AH3">
            <v>2252990000</v>
          </cell>
          <cell r="AI3">
            <v>2026653750</v>
          </cell>
          <cell r="AJ3">
            <v>1077859027.7777801</v>
          </cell>
          <cell r="AK3">
            <v>617074990.17092597</v>
          </cell>
          <cell r="AL3">
            <v>1219215468.9528501</v>
          </cell>
          <cell r="AM3">
            <v>1894751525.25858</v>
          </cell>
          <cell r="AN3">
            <v>2436364853.4210701</v>
          </cell>
          <cell r="AO3">
            <v>3271323621.5883598</v>
          </cell>
          <cell r="AP3">
            <v>2308847102.93115</v>
          </cell>
          <cell r="AQ3">
            <v>2622487165.9169102</v>
          </cell>
          <cell r="AR3">
            <v>3287389862.41854</v>
          </cell>
          <cell r="AS3">
            <v>3585007221.8210101</v>
          </cell>
          <cell r="AT3">
            <v>4048094111.0956402</v>
          </cell>
          <cell r="AU3">
            <v>4457186384.03827</v>
          </cell>
          <cell r="AV3">
            <v>5762066193.2309799</v>
          </cell>
          <cell r="AW3">
            <v>7353974652.9191399</v>
          </cell>
          <cell r="AX3">
            <v>8214104793.9177103</v>
          </cell>
          <cell r="AY3">
            <v>9158292067.34935</v>
          </cell>
          <cell r="AZ3">
            <v>10975296230.477501</v>
          </cell>
          <cell r="BA3">
            <v>12946374021.6891</v>
          </cell>
          <cell r="BB3">
            <v>11852739420.9823</v>
          </cell>
          <cell r="BC3">
            <v>11807765688.1544</v>
          </cell>
          <cell r="BD3">
            <v>12894104016.2227</v>
          </cell>
          <cell r="BE3">
            <v>12228065466.1217</v>
          </cell>
          <cell r="BF3">
            <v>12996539294.326099</v>
          </cell>
          <cell r="BG3">
            <v>13349419700.417101</v>
          </cell>
          <cell r="BH3">
            <v>11521808375.0854</v>
          </cell>
          <cell r="BI3">
            <v>12053832974.202999</v>
          </cell>
          <cell r="BJ3">
            <v>13051480688.497101</v>
          </cell>
          <cell r="BK3">
            <v>15137993151.167</v>
          </cell>
          <cell r="BL3">
            <v>15198661275.1113</v>
          </cell>
          <cell r="BM3">
            <v>14637399664.9793</v>
          </cell>
        </row>
        <row r="4">
          <cell r="B4" t="str">
            <v>DZA</v>
          </cell>
          <cell r="C4" t="str">
            <v>GNI (current US$)</v>
          </cell>
          <cell r="D4" t="str">
            <v>NY.GNP.MKTP.CD</v>
          </cell>
          <cell r="E4">
            <v>3221511332.5636501</v>
          </cell>
          <cell r="F4">
            <v>2972104048.9356098</v>
          </cell>
          <cell r="G4">
            <v>2203098114.2776098</v>
          </cell>
          <cell r="H4">
            <v>2764264466.9947901</v>
          </cell>
          <cell r="I4">
            <v>2909752060.9264498</v>
          </cell>
          <cell r="J4">
            <v>3055239675.1129198</v>
          </cell>
          <cell r="K4">
            <v>2918305726.0335002</v>
          </cell>
          <cell r="L4">
            <v>3289823843.9569802</v>
          </cell>
          <cell r="M4">
            <v>3791351400.6198001</v>
          </cell>
          <cell r="N4">
            <v>4257218772.1536899</v>
          </cell>
          <cell r="O4">
            <v>4741958659.94207</v>
          </cell>
          <cell r="P4">
            <v>5036510727.5170002</v>
          </cell>
          <cell r="Q4">
            <v>6744447673.2507496</v>
          </cell>
          <cell r="R4">
            <v>8632138145.1104107</v>
          </cell>
          <cell r="S4">
            <v>13138271294.280899</v>
          </cell>
          <cell r="T4">
            <v>15380692155.7705</v>
          </cell>
          <cell r="U4">
            <v>17416132571.209</v>
          </cell>
          <cell r="V4">
            <v>19801118983.312401</v>
          </cell>
          <cell r="W4">
            <v>25098700446.304699</v>
          </cell>
          <cell r="X4">
            <v>31537352035.917301</v>
          </cell>
          <cell r="Y4">
            <v>40477667639.5476</v>
          </cell>
          <cell r="Z4">
            <v>42348348278.4188</v>
          </cell>
          <cell r="AA4">
            <v>43217846086.842903</v>
          </cell>
          <cell r="AB4">
            <v>47009480391.747398</v>
          </cell>
          <cell r="AC4">
            <v>52019304711.6427</v>
          </cell>
          <cell r="AD4">
            <v>56393654500.974602</v>
          </cell>
          <cell r="AE4">
            <v>61999236862.811798</v>
          </cell>
          <cell r="AF4">
            <v>64847516073.159203</v>
          </cell>
          <cell r="AG4">
            <v>56590250659.362999</v>
          </cell>
          <cell r="AH4">
            <v>53587914452.067398</v>
          </cell>
          <cell r="AI4">
            <v>59780631046.609001</v>
          </cell>
          <cell r="AJ4">
            <v>43167990743.1968</v>
          </cell>
          <cell r="AK4">
            <v>45843088303.314201</v>
          </cell>
          <cell r="AL4">
            <v>48195629421.641899</v>
          </cell>
          <cell r="AM4">
            <v>40808326200.4935</v>
          </cell>
          <cell r="AN4">
            <v>39574301665.663101</v>
          </cell>
          <cell r="AO4">
            <v>44381577918.460503</v>
          </cell>
          <cell r="AP4">
            <v>45957623524.233498</v>
          </cell>
          <cell r="AQ4">
            <v>46187747552.733299</v>
          </cell>
          <cell r="AR4">
            <v>46350650029.516098</v>
          </cell>
          <cell r="AS4">
            <v>52080372257.167801</v>
          </cell>
          <cell r="AT4">
            <v>53138729521.466003</v>
          </cell>
          <cell r="AU4">
            <v>54533965681.0392</v>
          </cell>
          <cell r="AV4">
            <v>65345073971.186798</v>
          </cell>
          <cell r="AW4">
            <v>81732028320.607895</v>
          </cell>
          <cell r="AX4">
            <v>98106140730.358902</v>
          </cell>
          <cell r="AY4">
            <v>112502181795.15601</v>
          </cell>
          <cell r="AZ4">
            <v>133142047324.093</v>
          </cell>
          <cell r="BA4">
            <v>169665530141.15201</v>
          </cell>
          <cell r="BB4">
            <v>135805754920.341</v>
          </cell>
          <cell r="BC4">
            <v>160761621810.556</v>
          </cell>
          <cell r="BD4">
            <v>197969464434.814</v>
          </cell>
          <cell r="BE4">
            <v>206411460482.87201</v>
          </cell>
          <cell r="BF4">
            <v>205600314482.84201</v>
          </cell>
          <cell r="BG4">
            <v>208874396554.93399</v>
          </cell>
          <cell r="BH4">
            <v>161667252615.41699</v>
          </cell>
          <cell r="BI4">
            <v>158474001558.80099</v>
          </cell>
          <cell r="BJ4">
            <v>167558973804.439</v>
          </cell>
          <cell r="BK4">
            <v>170507068128.83701</v>
          </cell>
          <cell r="BL4">
            <v>167568133680.09</v>
          </cell>
          <cell r="BM4">
            <v>142064920395.53</v>
          </cell>
        </row>
        <row r="5">
          <cell r="B5" t="str">
            <v>ASM</v>
          </cell>
          <cell r="C5" t="str">
            <v>GNI (current US$)</v>
          </cell>
          <cell r="D5" t="str">
            <v>NY.GNP.MKTP.CD</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75600000</v>
          </cell>
          <cell r="S5">
            <v>77000000</v>
          </cell>
          <cell r="T5">
            <v>67700000</v>
          </cell>
          <cell r="U5">
            <v>68500000</v>
          </cell>
          <cell r="V5">
            <v>79200000</v>
          </cell>
          <cell r="W5">
            <v>84700000</v>
          </cell>
          <cell r="X5">
            <v>105600000</v>
          </cell>
          <cell r="Y5">
            <v>127200000</v>
          </cell>
          <cell r="Z5">
            <v>139300000</v>
          </cell>
          <cell r="AA5">
            <v>151100000</v>
          </cell>
          <cell r="AB5">
            <v>166000000</v>
          </cell>
          <cell r="AC5">
            <v>178200000</v>
          </cell>
          <cell r="AD5">
            <v>189700000</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cell r="AV5" t="str">
            <v>..</v>
          </cell>
          <cell r="AW5" t="str">
            <v>..</v>
          </cell>
          <cell r="AX5" t="str">
            <v>..</v>
          </cell>
          <cell r="AY5" t="str">
            <v>..</v>
          </cell>
          <cell r="AZ5" t="str">
            <v>..</v>
          </cell>
          <cell r="BA5" t="str">
            <v>..</v>
          </cell>
          <cell r="BB5" t="str">
            <v>..</v>
          </cell>
          <cell r="BC5" t="str">
            <v>..</v>
          </cell>
          <cell r="BD5" t="str">
            <v>..</v>
          </cell>
          <cell r="BE5" t="str">
            <v>..</v>
          </cell>
          <cell r="BF5" t="str">
            <v>..</v>
          </cell>
          <cell r="BG5" t="str">
            <v>..</v>
          </cell>
          <cell r="BH5" t="str">
            <v>..</v>
          </cell>
          <cell r="BI5" t="str">
            <v>..</v>
          </cell>
          <cell r="BJ5" t="str">
            <v>..</v>
          </cell>
          <cell r="BK5" t="str">
            <v>..</v>
          </cell>
          <cell r="BL5" t="str">
            <v>..</v>
          </cell>
          <cell r="BM5" t="str">
            <v>..</v>
          </cell>
        </row>
        <row r="6">
          <cell r="B6" t="str">
            <v>AND</v>
          </cell>
          <cell r="C6" t="str">
            <v>GNI (current US$)</v>
          </cell>
          <cell r="D6" t="str">
            <v>NY.GNP.MKTP.CD</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row>
        <row r="7">
          <cell r="B7" t="str">
            <v>AGO</v>
          </cell>
          <cell r="C7" t="str">
            <v>GNI (current US$)</v>
          </cell>
          <cell r="D7" t="str">
            <v>NY.GNP.MKTP.CD</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v>6688963210.7023401</v>
          </cell>
          <cell r="AE7">
            <v>6688963210.7023401</v>
          </cell>
          <cell r="AF7">
            <v>6688963210.7023401</v>
          </cell>
          <cell r="AG7">
            <v>6688963210.7023401</v>
          </cell>
          <cell r="AH7">
            <v>10033444816.053499</v>
          </cell>
          <cell r="AI7">
            <v>10033444816.053499</v>
          </cell>
          <cell r="AJ7" t="str">
            <v>..</v>
          </cell>
          <cell r="AK7" t="str">
            <v>..</v>
          </cell>
          <cell r="AL7" t="str">
            <v>..</v>
          </cell>
          <cell r="AM7">
            <v>1484500000</v>
          </cell>
          <cell r="AN7">
            <v>4790851851.8518496</v>
          </cell>
          <cell r="AO7">
            <v>5830078378.3783798</v>
          </cell>
          <cell r="AP7">
            <v>6731799563.3187799</v>
          </cell>
          <cell r="AQ7">
            <v>5537793788.1873703</v>
          </cell>
          <cell r="AR7">
            <v>4780903500.9137497</v>
          </cell>
          <cell r="AS7">
            <v>7448767581.2957497</v>
          </cell>
          <cell r="AT7">
            <v>7375076435.2000904</v>
          </cell>
          <cell r="AU7">
            <v>13650938445.0336</v>
          </cell>
          <cell r="AV7">
            <v>16086223836.3248</v>
          </cell>
          <cell r="AW7">
            <v>21063484641.147999</v>
          </cell>
          <cell r="AX7">
            <v>32940028095.7467</v>
          </cell>
          <cell r="AY7">
            <v>46203141535.012001</v>
          </cell>
          <cell r="AZ7">
            <v>57667420502.411102</v>
          </cell>
          <cell r="BA7">
            <v>74821071498.825897</v>
          </cell>
          <cell r="BB7">
            <v>63484025273.4841</v>
          </cell>
          <cell r="BC7">
            <v>75712633817.053802</v>
          </cell>
          <cell r="BD7">
            <v>102092364937.16901</v>
          </cell>
          <cell r="BE7">
            <v>117631104835.12801</v>
          </cell>
          <cell r="BF7">
            <v>126809806035.74699</v>
          </cell>
          <cell r="BG7">
            <v>136862298383.356</v>
          </cell>
          <cell r="BH7">
            <v>110286109906.073</v>
          </cell>
          <cell r="BI7">
            <v>95850167792.3992</v>
          </cell>
          <cell r="BJ7">
            <v>114618206700.981</v>
          </cell>
          <cell r="BK7">
            <v>93523683283.390503</v>
          </cell>
          <cell r="BL7">
            <v>81900890781.298904</v>
          </cell>
          <cell r="BM7">
            <v>53451976292.967796</v>
          </cell>
        </row>
        <row r="8">
          <cell r="B8" t="str">
            <v>ATG</v>
          </cell>
          <cell r="C8" t="str">
            <v>GNI (current US$)</v>
          </cell>
          <cell r="D8" t="str">
            <v>NY.GNP.MKTP.CD</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v>77296753.703703701</v>
          </cell>
          <cell r="W8">
            <v>87479341.481481507</v>
          </cell>
          <cell r="X8">
            <v>107279978.888889</v>
          </cell>
          <cell r="Y8">
            <v>130231026.666667</v>
          </cell>
          <cell r="Z8">
            <v>145841734.444444</v>
          </cell>
          <cell r="AA8">
            <v>160669278.88888901</v>
          </cell>
          <cell r="AB8">
            <v>181144092.96296301</v>
          </cell>
          <cell r="AC8">
            <v>207972846.296296</v>
          </cell>
          <cell r="AD8">
            <v>238223924.81481501</v>
          </cell>
          <cell r="AE8">
            <v>254406807.40740699</v>
          </cell>
          <cell r="AF8">
            <v>297215602.59259301</v>
          </cell>
          <cell r="AG8">
            <v>367011801.851852</v>
          </cell>
          <cell r="AH8">
            <v>393313307.03703701</v>
          </cell>
          <cell r="AI8">
            <v>414144444.444444</v>
          </cell>
          <cell r="AJ8">
            <v>449507407.40740699</v>
          </cell>
          <cell r="AK8">
            <v>469614814.81481498</v>
          </cell>
          <cell r="AL8">
            <v>512237037.03703701</v>
          </cell>
          <cell r="AM8">
            <v>562870370.37037003</v>
          </cell>
          <cell r="AN8">
            <v>550422222.22222197</v>
          </cell>
          <cell r="AO8">
            <v>607511111.11111104</v>
          </cell>
          <cell r="AP8">
            <v>658462962.96296299</v>
          </cell>
          <cell r="AQ8">
            <v>706822222.22222197</v>
          </cell>
          <cell r="AR8">
            <v>742754814.81481504</v>
          </cell>
          <cell r="AS8">
            <v>781851481.48148096</v>
          </cell>
          <cell r="AT8">
            <v>775693333.33333302</v>
          </cell>
          <cell r="AU8">
            <v>772934777.77777803</v>
          </cell>
          <cell r="AV8">
            <v>817700000</v>
          </cell>
          <cell r="AW8">
            <v>874644296.296296</v>
          </cell>
          <cell r="AX8">
            <v>980922740.74074101</v>
          </cell>
          <cell r="AY8">
            <v>1110919629.6296301</v>
          </cell>
          <cell r="AZ8">
            <v>1260091851.85185</v>
          </cell>
          <cell r="BA8">
            <v>1308986333.3333299</v>
          </cell>
          <cell r="BB8">
            <v>1177509333.3333299</v>
          </cell>
          <cell r="BC8">
            <v>1120979666.6666701</v>
          </cell>
          <cell r="BD8">
            <v>1102571925.92593</v>
          </cell>
          <cell r="BE8">
            <v>1160321814.81481</v>
          </cell>
          <cell r="BF8">
            <v>1142788111.11111</v>
          </cell>
          <cell r="BG8">
            <v>1188978481.4814799</v>
          </cell>
          <cell r="BH8">
            <v>1252478555.5555601</v>
          </cell>
          <cell r="BI8">
            <v>1339483000</v>
          </cell>
          <cell r="BJ8">
            <v>1389228037.03704</v>
          </cell>
          <cell r="BK8">
            <v>1527993259.2592599</v>
          </cell>
          <cell r="BL8">
            <v>1581477851.85185</v>
          </cell>
          <cell r="BM8">
            <v>1345593296.2962999</v>
          </cell>
        </row>
        <row r="9">
          <cell r="B9" t="str">
            <v>ARG</v>
          </cell>
          <cell r="C9" t="str">
            <v>GNI (current US$)</v>
          </cell>
          <cell r="D9" t="str">
            <v>NY.GNP.MKTP.CD</v>
          </cell>
          <cell r="E9" t="str">
            <v>..</v>
          </cell>
          <cell r="F9" t="str">
            <v>..</v>
          </cell>
          <cell r="G9">
            <v>25083407626.935699</v>
          </cell>
          <cell r="H9">
            <v>18744951947.768398</v>
          </cell>
          <cell r="I9">
            <v>26267861213.216702</v>
          </cell>
          <cell r="J9">
            <v>29078234021.4454</v>
          </cell>
          <cell r="K9">
            <v>29796191127.5341</v>
          </cell>
          <cell r="L9">
            <v>24344243038.877701</v>
          </cell>
          <cell r="M9">
            <v>26044571826.784199</v>
          </cell>
          <cell r="N9">
            <v>31036571602.872299</v>
          </cell>
          <cell r="O9">
            <v>30396317996.8419</v>
          </cell>
          <cell r="P9">
            <v>33634600190.929901</v>
          </cell>
          <cell r="Q9">
            <v>34199500220.4044</v>
          </cell>
          <cell r="R9">
            <v>52722220653.676102</v>
          </cell>
          <cell r="S9">
            <v>72679890116.639404</v>
          </cell>
          <cell r="T9">
            <v>53148109437.793098</v>
          </cell>
          <cell r="U9">
            <v>51185002820.910698</v>
          </cell>
          <cell r="V9">
            <v>56339203223.259804</v>
          </cell>
          <cell r="W9">
            <v>57716474115.781998</v>
          </cell>
          <cell r="X9">
            <v>68626165140.836998</v>
          </cell>
          <cell r="Y9">
            <v>76286574002.818802</v>
          </cell>
          <cell r="Z9">
            <v>76842107526.203094</v>
          </cell>
          <cell r="AA9">
            <v>79243829293.047104</v>
          </cell>
          <cell r="AB9">
            <v>98072174234.677795</v>
          </cell>
          <cell r="AC9">
            <v>74996801894.578598</v>
          </cell>
          <cell r="AD9">
            <v>83672502113.745193</v>
          </cell>
          <cell r="AE9">
            <v>105922220616.45599</v>
          </cell>
          <cell r="AF9">
            <v>105942857983.875</v>
          </cell>
          <cell r="AG9">
            <v>120715908148.06799</v>
          </cell>
          <cell r="AH9">
            <v>70219462542.181793</v>
          </cell>
          <cell r="AI9">
            <v>135150027050.147</v>
          </cell>
          <cell r="AJ9">
            <v>183857364656.52899</v>
          </cell>
          <cell r="AK9">
            <v>224530580052.49301</v>
          </cell>
          <cell r="AL9">
            <v>233743662862.86301</v>
          </cell>
          <cell r="AM9">
            <v>253743263100</v>
          </cell>
          <cell r="AN9">
            <v>253362890700</v>
          </cell>
          <cell r="AO9">
            <v>266647700700</v>
          </cell>
          <cell r="AP9">
            <v>286641204400</v>
          </cell>
          <cell r="AQ9">
            <v>291542201400</v>
          </cell>
          <cell r="AR9">
            <v>276059280100</v>
          </cell>
          <cell r="AS9">
            <v>276655968900</v>
          </cell>
          <cell r="AT9">
            <v>260969968100</v>
          </cell>
          <cell r="AU9">
            <v>92763789032.701797</v>
          </cell>
          <cell r="AV9">
            <v>122451951871.839</v>
          </cell>
          <cell r="AW9">
            <v>146361588317.15399</v>
          </cell>
          <cell r="AX9">
            <v>176153368006.27701</v>
          </cell>
          <cell r="AY9">
            <v>224834650825.104</v>
          </cell>
          <cell r="AZ9">
            <v>279935852673.41998</v>
          </cell>
          <cell r="BA9">
            <v>352523846400.604</v>
          </cell>
          <cell r="BB9">
            <v>322657609584.289</v>
          </cell>
          <cell r="BC9">
            <v>409079888900.21899</v>
          </cell>
          <cell r="BD9">
            <v>515090214471.66699</v>
          </cell>
          <cell r="BE9">
            <v>532228535071.92401</v>
          </cell>
          <cell r="BF9">
            <v>538860312670.01898</v>
          </cell>
          <cell r="BG9">
            <v>514705826245.37402</v>
          </cell>
          <cell r="BH9">
            <v>583505276663.53699</v>
          </cell>
          <cell r="BI9">
            <v>545329417130.815</v>
          </cell>
          <cell r="BJ9">
            <v>627251051857.48706</v>
          </cell>
          <cell r="BK9">
            <v>506152916906.92297</v>
          </cell>
          <cell r="BL9">
            <v>434037404777.54999</v>
          </cell>
          <cell r="BM9">
            <v>379089872799.56799</v>
          </cell>
        </row>
        <row r="10">
          <cell r="B10" t="str">
            <v>ARM</v>
          </cell>
          <cell r="C10" t="str">
            <v>GNI (current US$)</v>
          </cell>
          <cell r="D10" t="str">
            <v>NY.GNP.MKTP.CD</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v>2173850348.6340499</v>
          </cell>
          <cell r="AJ10">
            <v>2067532467.53247</v>
          </cell>
          <cell r="AK10">
            <v>1063520722.19943</v>
          </cell>
          <cell r="AL10">
            <v>1200012843.5141699</v>
          </cell>
          <cell r="AM10">
            <v>1311138636.3380699</v>
          </cell>
          <cell r="AN10">
            <v>1507838735.18942</v>
          </cell>
          <cell r="AO10">
            <v>1641698946.2370801</v>
          </cell>
          <cell r="AP10">
            <v>1736697182.6335101</v>
          </cell>
          <cell r="AQ10">
            <v>1952541820.81269</v>
          </cell>
          <cell r="AR10">
            <v>1900438465.9664299</v>
          </cell>
          <cell r="AS10">
            <v>1970535935.8029101</v>
          </cell>
          <cell r="AT10">
            <v>2182070540.8424301</v>
          </cell>
          <cell r="AU10">
            <v>2458706347.9549999</v>
          </cell>
          <cell r="AV10">
            <v>2899936467.5086799</v>
          </cell>
          <cell r="AW10">
            <v>3724967487.2996502</v>
          </cell>
          <cell r="AX10">
            <v>5106476347.9138298</v>
          </cell>
          <cell r="AY10">
            <v>6686478486.4643002</v>
          </cell>
          <cell r="AZ10">
            <v>9703722526.74893</v>
          </cell>
          <cell r="BA10">
            <v>12353321001.708</v>
          </cell>
          <cell r="BB10">
            <v>9006718249.3662701</v>
          </cell>
          <cell r="BC10">
            <v>9718566137.7105694</v>
          </cell>
          <cell r="BD10">
            <v>10502184909.083401</v>
          </cell>
          <cell r="BE10">
            <v>11042356185.472099</v>
          </cell>
          <cell r="BF10">
            <v>11804012824.1465</v>
          </cell>
          <cell r="BG10">
            <v>12131728948.9464</v>
          </cell>
          <cell r="BH10">
            <v>10981745196.8255</v>
          </cell>
          <cell r="BI10">
            <v>10791285342.491199</v>
          </cell>
          <cell r="BJ10">
            <v>11932816382.7474</v>
          </cell>
          <cell r="BK10">
            <v>12658312508.8118</v>
          </cell>
          <cell r="BL10">
            <v>13798304656.500401</v>
          </cell>
          <cell r="BM10">
            <v>12445092090.531</v>
          </cell>
        </row>
        <row r="11">
          <cell r="B11" t="str">
            <v>ABW</v>
          </cell>
          <cell r="C11" t="str">
            <v>GNI (current US$)</v>
          </cell>
          <cell r="D11" t="str">
            <v>NY.GNP.MKTP.CD</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398144981.36326998</v>
          </cell>
          <cell r="AF11">
            <v>473189049.92518699</v>
          </cell>
          <cell r="AG11">
            <v>579384500.96946394</v>
          </cell>
          <cell r="AH11">
            <v>684019446.829983</v>
          </cell>
          <cell r="AI11">
            <v>757121754.06599402</v>
          </cell>
          <cell r="AJ11">
            <v>864373351.95530701</v>
          </cell>
          <cell r="AK11">
            <v>948798379.88826799</v>
          </cell>
          <cell r="AL11">
            <v>1065102625.69832</v>
          </cell>
          <cell r="AM11">
            <v>1225688268.15642</v>
          </cell>
          <cell r="AN11">
            <v>1305279329.6089399</v>
          </cell>
          <cell r="AO11">
            <v>1362139664.8044701</v>
          </cell>
          <cell r="AP11">
            <v>1508759776.53631</v>
          </cell>
          <cell r="AQ11">
            <v>1659513966.4804499</v>
          </cell>
          <cell r="AR11">
            <v>1680117318.43575</v>
          </cell>
          <cell r="AS11">
            <v>1849430167.59777</v>
          </cell>
          <cell r="AT11">
            <v>1862849162.0111699</v>
          </cell>
          <cell r="AU11">
            <v>1805642458.1005599</v>
          </cell>
          <cell r="AV11">
            <v>1967821229.0502801</v>
          </cell>
          <cell r="AW11">
            <v>2154189944.1340799</v>
          </cell>
          <cell r="AX11">
            <v>1852067039.1061499</v>
          </cell>
          <cell r="AY11">
            <v>2318715083.7988801</v>
          </cell>
          <cell r="AZ11">
            <v>2230335195.5307298</v>
          </cell>
          <cell r="BA11">
            <v>2628547486.0335202</v>
          </cell>
          <cell r="BB11">
            <v>2410055865.9217901</v>
          </cell>
          <cell r="BC11">
            <v>2250223463.68715</v>
          </cell>
          <cell r="BD11">
            <v>2302793296.0893898</v>
          </cell>
          <cell r="BE11">
            <v>2418547486.0335202</v>
          </cell>
          <cell r="BF11">
            <v>2563268715.0837998</v>
          </cell>
          <cell r="BG11">
            <v>2688000000</v>
          </cell>
          <cell r="BH11">
            <v>2838156424.5810099</v>
          </cell>
          <cell r="BI11">
            <v>2848441340.7821202</v>
          </cell>
          <cell r="BJ11">
            <v>2921759553.0726299</v>
          </cell>
          <cell r="BK11">
            <v>2991584752.1803298</v>
          </cell>
          <cell r="BL11" t="str">
            <v>..</v>
          </cell>
          <cell r="BM11" t="str">
            <v>..</v>
          </cell>
        </row>
        <row r="12">
          <cell r="B12" t="str">
            <v>AUS</v>
          </cell>
          <cell r="C12" t="str">
            <v>GNI (current US$)</v>
          </cell>
          <cell r="D12" t="str">
            <v>NY.GNP.MKTP.CD</v>
          </cell>
          <cell r="E12">
            <v>18638145369.022301</v>
          </cell>
          <cell r="F12">
            <v>19660656288.4981</v>
          </cell>
          <cell r="G12">
            <v>19979840967.633598</v>
          </cell>
          <cell r="H12">
            <v>21477209093.963501</v>
          </cell>
          <cell r="I12">
            <v>23796617762.347401</v>
          </cell>
          <cell r="J12">
            <v>26051069548.661701</v>
          </cell>
          <cell r="K12">
            <v>27248292081.980099</v>
          </cell>
          <cell r="L12">
            <v>30227349087.243801</v>
          </cell>
          <cell r="M12">
            <v>32409004367.790298</v>
          </cell>
          <cell r="N12">
            <v>36147384925.523598</v>
          </cell>
          <cell r="O12">
            <v>40865718445.514603</v>
          </cell>
          <cell r="P12">
            <v>44717213573.748497</v>
          </cell>
          <cell r="Q12">
            <v>51818925233.644897</v>
          </cell>
          <cell r="R12">
            <v>63870595771.941101</v>
          </cell>
          <cell r="S12">
            <v>88657332350.773804</v>
          </cell>
          <cell r="T12">
            <v>97511948654.922897</v>
          </cell>
          <cell r="U12">
            <v>105063658136.897</v>
          </cell>
          <cell r="V12">
            <v>109574443679.743</v>
          </cell>
          <cell r="W12">
            <v>117067448680.35201</v>
          </cell>
          <cell r="X12">
            <v>133256844257.63901</v>
          </cell>
          <cell r="Y12">
            <v>148418941504.17801</v>
          </cell>
          <cell r="Z12">
            <v>176304423545.80301</v>
          </cell>
          <cell r="AA12">
            <v>190343153481.18701</v>
          </cell>
          <cell r="AB12">
            <v>175911090313.52399</v>
          </cell>
          <cell r="AC12">
            <v>191199058141.64099</v>
          </cell>
          <cell r="AD12">
            <v>177981897675.84601</v>
          </cell>
          <cell r="AE12">
            <v>179077364297.70599</v>
          </cell>
          <cell r="AF12">
            <v>185907226045.52701</v>
          </cell>
          <cell r="AG12">
            <v>231615977881.25699</v>
          </cell>
          <cell r="AH12">
            <v>291510463317.31897</v>
          </cell>
          <cell r="AI12">
            <v>300390150057.71399</v>
          </cell>
          <cell r="AJ12">
            <v>312682677968.76202</v>
          </cell>
          <cell r="AK12">
            <v>312763977543.64398</v>
          </cell>
          <cell r="AL12">
            <v>303643901068.01599</v>
          </cell>
          <cell r="AM12">
            <v>315541335178.13898</v>
          </cell>
          <cell r="AN12">
            <v>355236857736.85797</v>
          </cell>
          <cell r="AO12">
            <v>386905918057.66302</v>
          </cell>
          <cell r="AP12">
            <v>420700422601.34601</v>
          </cell>
          <cell r="AQ12">
            <v>386812724682.90002</v>
          </cell>
          <cell r="AR12">
            <v>376947612482.76703</v>
          </cell>
          <cell r="AS12">
            <v>403586007661.87299</v>
          </cell>
          <cell r="AT12">
            <v>368463024578.72699</v>
          </cell>
          <cell r="AU12">
            <v>384614901632.48199</v>
          </cell>
          <cell r="AV12">
            <v>454240535818.28802</v>
          </cell>
          <cell r="AW12">
            <v>596683738796.41504</v>
          </cell>
          <cell r="AX12">
            <v>669313637047.06104</v>
          </cell>
          <cell r="AY12">
            <v>718496555855.047</v>
          </cell>
          <cell r="AZ12">
            <v>815904059040.58997</v>
          </cell>
          <cell r="BA12">
            <v>1012035810205.91</v>
          </cell>
          <cell r="BB12">
            <v>895503607716.09497</v>
          </cell>
          <cell r="BC12">
            <v>1103064388267.4199</v>
          </cell>
          <cell r="BD12">
            <v>1341845607808.3401</v>
          </cell>
          <cell r="BE12">
            <v>1499484429779.3401</v>
          </cell>
          <cell r="BF12">
            <v>1537134502923.98</v>
          </cell>
          <cell r="BG12">
            <v>1429194895804.6499</v>
          </cell>
          <cell r="BH12">
            <v>1323095931441.8799</v>
          </cell>
          <cell r="BI12">
            <v>1178298151113.7</v>
          </cell>
          <cell r="BJ12">
            <v>1290877140055.8101</v>
          </cell>
          <cell r="BK12">
            <v>1383829935663.8999</v>
          </cell>
          <cell r="BL12">
            <v>1347404520097.27</v>
          </cell>
          <cell r="BM12">
            <v>1300687089422.1699</v>
          </cell>
        </row>
        <row r="13">
          <cell r="B13" t="str">
            <v>AUT</v>
          </cell>
          <cell r="C13" t="str">
            <v>GNI (current US$)</v>
          </cell>
          <cell r="D13" t="str">
            <v>NY.GNP.MKTP.CD</v>
          </cell>
          <cell r="E13">
            <v>6547435003.9482803</v>
          </cell>
          <cell r="F13">
            <v>7261554769.0929499</v>
          </cell>
          <cell r="G13">
            <v>7702864742.4064503</v>
          </cell>
          <cell r="H13">
            <v>8316686909.5126305</v>
          </cell>
          <cell r="I13">
            <v>9107032740.7777405</v>
          </cell>
          <cell r="J13">
            <v>9925462658.2153893</v>
          </cell>
          <cell r="K13">
            <v>10814480797.107201</v>
          </cell>
          <cell r="L13">
            <v>11489682471.2034</v>
          </cell>
          <cell r="M13">
            <v>12325481697.6437</v>
          </cell>
          <cell r="N13">
            <v>13471334741.581301</v>
          </cell>
          <cell r="O13">
            <v>15443633765.5464</v>
          </cell>
          <cell r="P13">
            <v>17953394646.987598</v>
          </cell>
          <cell r="Q13">
            <v>22152287040.895302</v>
          </cell>
          <cell r="R13">
            <v>29621908075.057999</v>
          </cell>
          <cell r="S13">
            <v>35366590842.167297</v>
          </cell>
          <cell r="T13">
            <v>40232688630.797203</v>
          </cell>
          <cell r="U13">
            <v>43082843445.578003</v>
          </cell>
          <cell r="V13">
            <v>51650574473.399399</v>
          </cell>
          <cell r="W13">
            <v>62141791907.514503</v>
          </cell>
          <cell r="X13">
            <v>74071758106.021606</v>
          </cell>
          <cell r="Y13">
            <v>82147201659.221405</v>
          </cell>
          <cell r="Z13">
            <v>70953553654.743393</v>
          </cell>
          <cell r="AA13">
            <v>71298486730.660599</v>
          </cell>
          <cell r="AB13">
            <v>72301811705.224503</v>
          </cell>
          <cell r="AC13">
            <v>68089737294.546501</v>
          </cell>
          <cell r="AD13">
            <v>69509477919.6595</v>
          </cell>
          <cell r="AE13">
            <v>98916000000</v>
          </cell>
          <cell r="AF13">
            <v>124038666739.22501</v>
          </cell>
          <cell r="AG13">
            <v>133707123593.00101</v>
          </cell>
          <cell r="AH13">
            <v>133607136765.47099</v>
          </cell>
          <cell r="AI13">
            <v>167219692605.591</v>
          </cell>
          <cell r="AJ13">
            <v>173663627578.07901</v>
          </cell>
          <cell r="AK13">
            <v>195560524668.16901</v>
          </cell>
          <cell r="AL13">
            <v>190907108718.798</v>
          </cell>
          <cell r="AM13">
            <v>203849993976.629</v>
          </cell>
          <cell r="AN13">
            <v>240111095946.49899</v>
          </cell>
          <cell r="AO13">
            <v>237117494151.28699</v>
          </cell>
          <cell r="AP13">
            <v>211805502311.422</v>
          </cell>
          <cell r="AQ13">
            <v>216933192530.013</v>
          </cell>
          <cell r="AR13">
            <v>213744619646.28201</v>
          </cell>
          <cell r="AS13">
            <v>195085959093.422</v>
          </cell>
          <cell r="AT13">
            <v>194639373601.79001</v>
          </cell>
          <cell r="AU13">
            <v>212139375117.63599</v>
          </cell>
          <cell r="AV13">
            <v>261037810383.74701</v>
          </cell>
          <cell r="AW13">
            <v>300489570399.80103</v>
          </cell>
          <cell r="AX13">
            <v>315305310284.78998</v>
          </cell>
          <cell r="AY13">
            <v>336783339606.07202</v>
          </cell>
          <cell r="AZ13">
            <v>388299616753.35303</v>
          </cell>
          <cell r="BA13">
            <v>433883404130.65802</v>
          </cell>
          <cell r="BB13">
            <v>399998888580.16101</v>
          </cell>
          <cell r="BC13">
            <v>395170908981.87598</v>
          </cell>
          <cell r="BD13">
            <v>432573889519.50299</v>
          </cell>
          <cell r="BE13">
            <v>409838651404.76398</v>
          </cell>
          <cell r="BF13">
            <v>431228759906.245</v>
          </cell>
          <cell r="BG13">
            <v>442578740324.17499</v>
          </cell>
          <cell r="BH13">
            <v>378058128962.08698</v>
          </cell>
          <cell r="BI13">
            <v>395538833552.53302</v>
          </cell>
          <cell r="BJ13">
            <v>412327657599.26599</v>
          </cell>
          <cell r="BK13">
            <v>450492610615.28699</v>
          </cell>
          <cell r="BL13">
            <v>443403031107.45001</v>
          </cell>
          <cell r="BM13">
            <v>432770909845.44897</v>
          </cell>
        </row>
        <row r="14">
          <cell r="B14" t="str">
            <v>AZE</v>
          </cell>
          <cell r="C14" t="str">
            <v>GNI (current US$)</v>
          </cell>
          <cell r="D14" t="str">
            <v>NY.GNP.MKTP.CD</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v>1575000000</v>
          </cell>
          <cell r="AM14">
            <v>1194267515.9235699</v>
          </cell>
          <cell r="AN14">
            <v>2413504021.75144</v>
          </cell>
          <cell r="AO14">
            <v>3167150993.8393602</v>
          </cell>
          <cell r="AP14">
            <v>3953079914.6907501</v>
          </cell>
          <cell r="AQ14">
            <v>4461488756.7847004</v>
          </cell>
          <cell r="AR14">
            <v>4768203883.4951496</v>
          </cell>
          <cell r="AS14">
            <v>5178252123.37953</v>
          </cell>
          <cell r="AT14">
            <v>5562976484.4840498</v>
          </cell>
          <cell r="AU14">
            <v>6041863814.0300398</v>
          </cell>
          <cell r="AV14">
            <v>7024946543.1218796</v>
          </cell>
          <cell r="AW14">
            <v>8166785387.1985302</v>
          </cell>
          <cell r="AX14">
            <v>11734927015.0201</v>
          </cell>
          <cell r="AY14">
            <v>18471009626.147301</v>
          </cell>
          <cell r="AZ14">
            <v>28220137513.110401</v>
          </cell>
          <cell r="BA14">
            <v>43832156767.283302</v>
          </cell>
          <cell r="BB14">
            <v>41022020403.085403</v>
          </cell>
          <cell r="BC14">
            <v>49741091452.778503</v>
          </cell>
          <cell r="BD14">
            <v>61439913891.351196</v>
          </cell>
          <cell r="BE14">
            <v>65739180244.3992</v>
          </cell>
          <cell r="BF14">
            <v>70475971956.660294</v>
          </cell>
          <cell r="BG14">
            <v>73087339028.432999</v>
          </cell>
          <cell r="BH14">
            <v>51377317977.747398</v>
          </cell>
          <cell r="BI14">
            <v>35591903239.957397</v>
          </cell>
          <cell r="BJ14">
            <v>39320590285.847099</v>
          </cell>
          <cell r="BK14">
            <v>44853529411.764702</v>
          </cell>
          <cell r="BL14">
            <v>46318529411.764702</v>
          </cell>
          <cell r="BM14">
            <v>42356235294.117599</v>
          </cell>
        </row>
        <row r="15">
          <cell r="B15" t="str">
            <v>BHS</v>
          </cell>
          <cell r="C15" t="str">
            <v>GNI (current US$)</v>
          </cell>
          <cell r="D15" t="str">
            <v>NY.GNP.MKTP.CD</v>
          </cell>
          <cell r="E15">
            <v>149607647.058824</v>
          </cell>
          <cell r="F15">
            <v>167450784.31372601</v>
          </cell>
          <cell r="G15">
            <v>187058529.41176501</v>
          </cell>
          <cell r="H15">
            <v>209509509.803922</v>
          </cell>
          <cell r="I15">
            <v>234999607.843137</v>
          </cell>
          <cell r="J15">
            <v>264705882.35294101</v>
          </cell>
          <cell r="K15">
            <v>299509803.92156899</v>
          </cell>
          <cell r="L15">
            <v>343823529.41176498</v>
          </cell>
          <cell r="M15">
            <v>391960784.31372499</v>
          </cell>
          <cell r="N15">
            <v>465392156.86274499</v>
          </cell>
          <cell r="O15">
            <v>509458782.43513</v>
          </cell>
          <cell r="P15">
            <v>542590600</v>
          </cell>
          <cell r="Q15">
            <v>559130400</v>
          </cell>
          <cell r="R15">
            <v>634848200</v>
          </cell>
          <cell r="S15">
            <v>662174500</v>
          </cell>
          <cell r="T15">
            <v>819788700</v>
          </cell>
          <cell r="U15">
            <v>566500000</v>
          </cell>
          <cell r="V15">
            <v>629400000</v>
          </cell>
          <cell r="W15">
            <v>704600000</v>
          </cell>
          <cell r="X15">
            <v>1006200100</v>
          </cell>
          <cell r="Y15">
            <v>1200800000</v>
          </cell>
          <cell r="Z15">
            <v>1274600000</v>
          </cell>
          <cell r="AA15">
            <v>1446700000</v>
          </cell>
          <cell r="AB15">
            <v>1594300000</v>
          </cell>
          <cell r="AC15">
            <v>1876000000</v>
          </cell>
          <cell r="AD15">
            <v>2140099900</v>
          </cell>
          <cell r="AE15">
            <v>2288900000</v>
          </cell>
          <cell r="AF15">
            <v>2530699900</v>
          </cell>
          <cell r="AG15">
            <v>2651000000</v>
          </cell>
          <cell r="AH15">
            <v>2930400000</v>
          </cell>
          <cell r="AI15">
            <v>2993200000</v>
          </cell>
          <cell r="AJ15">
            <v>2932160000</v>
          </cell>
          <cell r="AK15">
            <v>3026400000</v>
          </cell>
          <cell r="AL15">
            <v>2963600000</v>
          </cell>
          <cell r="AM15">
            <v>3121400000</v>
          </cell>
          <cell r="AN15">
            <v>3882158500</v>
          </cell>
          <cell r="AO15">
            <v>4421275600</v>
          </cell>
          <cell r="AP15">
            <v>6179760000</v>
          </cell>
          <cell r="AQ15">
            <v>6635720000</v>
          </cell>
          <cell r="AR15">
            <v>7557070000</v>
          </cell>
          <cell r="AS15">
            <v>7936270000</v>
          </cell>
          <cell r="AT15">
            <v>8118930000</v>
          </cell>
          <cell r="AU15">
            <v>8696814900</v>
          </cell>
          <cell r="AV15">
            <v>8717670000</v>
          </cell>
          <cell r="AW15">
            <v>8913970000</v>
          </cell>
          <cell r="AX15">
            <v>9654135300</v>
          </cell>
          <cell r="AY15">
            <v>9949250000</v>
          </cell>
          <cell r="AZ15">
            <v>10386740000</v>
          </cell>
          <cell r="BA15">
            <v>10466660000</v>
          </cell>
          <cell r="BB15">
            <v>9841640000</v>
          </cell>
          <cell r="BC15">
            <v>9888260000</v>
          </cell>
          <cell r="BD15">
            <v>9882330000</v>
          </cell>
          <cell r="BE15">
            <v>10441120000</v>
          </cell>
          <cell r="BF15">
            <v>10197010000</v>
          </cell>
          <cell r="BG15">
            <v>10706740000</v>
          </cell>
          <cell r="BH15">
            <v>11395780000</v>
          </cell>
          <cell r="BI15">
            <v>11436580000</v>
          </cell>
          <cell r="BJ15">
            <v>11814220000</v>
          </cell>
          <cell r="BK15">
            <v>12002740000</v>
          </cell>
          <cell r="BL15">
            <v>12542250000</v>
          </cell>
          <cell r="BM15">
            <v>9374920000</v>
          </cell>
        </row>
        <row r="16">
          <cell r="B16" t="str">
            <v>BHR</v>
          </cell>
          <cell r="C16" t="str">
            <v>GNI (current US$)</v>
          </cell>
          <cell r="D16" t="str">
            <v>NY.GNP.MKTP.CD</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v>2864420270.6288099</v>
          </cell>
          <cell r="Z16">
            <v>3440957446.8085098</v>
          </cell>
          <cell r="AA16">
            <v>3634308510.6382999</v>
          </cell>
          <cell r="AB16">
            <v>3746276595.7446799</v>
          </cell>
          <cell r="AC16">
            <v>3793882978.7234001</v>
          </cell>
          <cell r="AD16">
            <v>3281648936.1702099</v>
          </cell>
          <cell r="AE16">
            <v>2655319148.9361701</v>
          </cell>
          <cell r="AF16">
            <v>2995744414.89362</v>
          </cell>
          <cell r="AG16">
            <v>3271276595.7446799</v>
          </cell>
          <cell r="AH16">
            <v>3503191489.3617001</v>
          </cell>
          <cell r="AI16">
            <v>4451329787.2340403</v>
          </cell>
          <cell r="AJ16">
            <v>4807446808.5106401</v>
          </cell>
          <cell r="AK16">
            <v>4783244680.8510599</v>
          </cell>
          <cell r="AL16">
            <v>5006382978.7234001</v>
          </cell>
          <cell r="AM16">
            <v>5325000265.9574499</v>
          </cell>
          <cell r="AN16">
            <v>5790573404.2553196</v>
          </cell>
          <cell r="AO16">
            <v>6076647606.3829803</v>
          </cell>
          <cell r="AP16">
            <v>6113085372.3404303</v>
          </cell>
          <cell r="AQ16">
            <v>6021789095.7446804</v>
          </cell>
          <cell r="AR16">
            <v>6350622872.3404303</v>
          </cell>
          <cell r="AS16">
            <v>8839275265.9574509</v>
          </cell>
          <cell r="AT16">
            <v>8654625797.8723392</v>
          </cell>
          <cell r="AU16">
            <v>9068566223.4042492</v>
          </cell>
          <cell r="AV16">
            <v>10581836436.1702</v>
          </cell>
          <cell r="AW16">
            <v>12575387234.042601</v>
          </cell>
          <cell r="AX16">
            <v>15556372074.4681</v>
          </cell>
          <cell r="AY16">
            <v>18119833244.680901</v>
          </cell>
          <cell r="AZ16">
            <v>21431313829.787201</v>
          </cell>
          <cell r="BA16">
            <v>24787226861.702099</v>
          </cell>
          <cell r="BB16">
            <v>20538353191.489399</v>
          </cell>
          <cell r="BC16">
            <v>23340257978.7234</v>
          </cell>
          <cell r="BD16">
            <v>25012234042.5532</v>
          </cell>
          <cell r="BE16">
            <v>29741912500</v>
          </cell>
          <cell r="BF16">
            <v>31343603989.361698</v>
          </cell>
          <cell r="BG16">
            <v>31755112765.957401</v>
          </cell>
          <cell r="BH16">
            <v>29314738297.872299</v>
          </cell>
          <cell r="BI16">
            <v>30439494680.851101</v>
          </cell>
          <cell r="BJ16">
            <v>33484122340.425499</v>
          </cell>
          <cell r="BK16">
            <v>35726063829.787201</v>
          </cell>
          <cell r="BL16">
            <v>36391941489.361702</v>
          </cell>
          <cell r="BM16">
            <v>32270186170.212799</v>
          </cell>
        </row>
        <row r="17">
          <cell r="B17" t="str">
            <v>BGD</v>
          </cell>
          <cell r="C17" t="str">
            <v>GNI (current US$)</v>
          </cell>
          <cell r="D17" t="str">
            <v>NY.GNP.MKTP.CD</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v>8108053514.9723701</v>
          </cell>
          <cell r="S17">
            <v>12522859678.634199</v>
          </cell>
          <cell r="T17">
            <v>19439919254.168499</v>
          </cell>
          <cell r="U17">
            <v>10105296949.4949</v>
          </cell>
          <cell r="V17">
            <v>9608855565.6108608</v>
          </cell>
          <cell r="W17">
            <v>13238224497.3545</v>
          </cell>
          <cell r="X17">
            <v>15535719093.2983</v>
          </cell>
          <cell r="Y17">
            <v>18156941569.767399</v>
          </cell>
          <cell r="Z17">
            <v>20590758873.929001</v>
          </cell>
          <cell r="AA17">
            <v>18847155688.622799</v>
          </cell>
          <cell r="AB17">
            <v>18122979797.979801</v>
          </cell>
          <cell r="AC17">
            <v>19452920000</v>
          </cell>
          <cell r="AD17">
            <v>22655346153.846199</v>
          </cell>
          <cell r="AE17">
            <v>22202166666.666698</v>
          </cell>
          <cell r="AF17">
            <v>24866935483.870998</v>
          </cell>
          <cell r="AG17">
            <v>27184294207.086601</v>
          </cell>
          <cell r="AH17">
            <v>29418568376.629101</v>
          </cell>
          <cell r="AI17">
            <v>32234055489.788898</v>
          </cell>
          <cell r="AJ17">
            <v>31618548375.350101</v>
          </cell>
          <cell r="AK17">
            <v>32478635867.374001</v>
          </cell>
          <cell r="AL17">
            <v>34069217830.687801</v>
          </cell>
          <cell r="AM17">
            <v>34824471356.608498</v>
          </cell>
          <cell r="AN17">
            <v>39096763694.0298</v>
          </cell>
          <cell r="AO17">
            <v>47649633251.833702</v>
          </cell>
          <cell r="AP17">
            <v>49613348946.135803</v>
          </cell>
          <cell r="AQ17">
            <v>51415660792.9515</v>
          </cell>
          <cell r="AR17">
            <v>52841410149.750397</v>
          </cell>
          <cell r="AS17">
            <v>55101749155.237503</v>
          </cell>
          <cell r="AT17">
            <v>55629781319.495903</v>
          </cell>
          <cell r="AU17">
            <v>56908044576.0056</v>
          </cell>
          <cell r="AV17">
            <v>62584110535.405899</v>
          </cell>
          <cell r="AW17">
            <v>67925445897.740799</v>
          </cell>
          <cell r="AX17">
            <v>72520666666.666702</v>
          </cell>
          <cell r="AY17">
            <v>75870230199.523499</v>
          </cell>
          <cell r="AZ17">
            <v>84719837822.183594</v>
          </cell>
          <cell r="BA17">
            <v>98684113103.046204</v>
          </cell>
          <cell r="BB17">
            <v>110602682464.565</v>
          </cell>
          <cell r="BC17">
            <v>124617096900.55299</v>
          </cell>
          <cell r="BD17">
            <v>138823234444.33099</v>
          </cell>
          <cell r="BE17">
            <v>144641656947.69199</v>
          </cell>
          <cell r="BF17">
            <v>162054146628.50101</v>
          </cell>
          <cell r="BG17">
            <v>184407434331.99701</v>
          </cell>
          <cell r="BH17">
            <v>207742686491.099</v>
          </cell>
          <cell r="BI17">
            <v>234168452310.22</v>
          </cell>
          <cell r="BJ17">
            <v>260441066628.246</v>
          </cell>
          <cell r="BK17">
            <v>286535935296.73901</v>
          </cell>
          <cell r="BL17">
            <v>316091572929.40997</v>
          </cell>
          <cell r="BM17">
            <v>338847844366.53003</v>
          </cell>
        </row>
        <row r="18">
          <cell r="B18" t="str">
            <v>BRB</v>
          </cell>
          <cell r="C18" t="str">
            <v>GNI (current US$)</v>
          </cell>
          <cell r="D18" t="str">
            <v>NY.GNP.MKTP.CD</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v>1520310247.1038599</v>
          </cell>
          <cell r="AF18">
            <v>1670959081.1912701</v>
          </cell>
          <cell r="AG18">
            <v>1777556804.05708</v>
          </cell>
          <cell r="AH18">
            <v>1980510117.83424</v>
          </cell>
          <cell r="AI18">
            <v>1966737930.6915901</v>
          </cell>
          <cell r="AJ18">
            <v>1981255904.1415999</v>
          </cell>
          <cell r="AK18">
            <v>1928700000</v>
          </cell>
          <cell r="AL18">
            <v>2023666285.487</v>
          </cell>
          <cell r="AM18">
            <v>2105901655.6456001</v>
          </cell>
          <cell r="AN18">
            <v>2158504449.8583002</v>
          </cell>
          <cell r="AO18">
            <v>2293690647.8397102</v>
          </cell>
          <cell r="AP18">
            <v>2437577686.0736799</v>
          </cell>
          <cell r="AQ18">
            <v>2749316362.55158</v>
          </cell>
          <cell r="AR18">
            <v>2866056779.1975298</v>
          </cell>
          <cell r="AS18">
            <v>2964350000</v>
          </cell>
          <cell r="AT18">
            <v>2944900000</v>
          </cell>
          <cell r="AU18">
            <v>2987550000</v>
          </cell>
          <cell r="AV18">
            <v>3075550000</v>
          </cell>
          <cell r="AW18">
            <v>3327650000</v>
          </cell>
          <cell r="AX18">
            <v>3644500000</v>
          </cell>
          <cell r="AY18">
            <v>3961099500</v>
          </cell>
          <cell r="AZ18">
            <v>4486183000</v>
          </cell>
          <cell r="BA18">
            <v>4539047950</v>
          </cell>
          <cell r="BB18">
            <v>4275448350</v>
          </cell>
          <cell r="BC18">
            <v>4418050350</v>
          </cell>
          <cell r="BD18">
            <v>4357353600</v>
          </cell>
          <cell r="BE18">
            <v>4437596600</v>
          </cell>
          <cell r="BF18">
            <v>4482400550</v>
          </cell>
          <cell r="BG18">
            <v>4499058650</v>
          </cell>
          <cell r="BH18">
            <v>4502057650</v>
          </cell>
          <cell r="BI18">
            <v>4608564150</v>
          </cell>
          <cell r="BJ18">
            <v>4754253200</v>
          </cell>
          <cell r="BK18">
            <v>4856103100</v>
          </cell>
          <cell r="BL18">
            <v>5030074650</v>
          </cell>
          <cell r="BM18">
            <v>4234398764.8910499</v>
          </cell>
        </row>
        <row r="19">
          <cell r="B19" t="str">
            <v>BLR</v>
          </cell>
          <cell r="C19" t="str">
            <v>GNI (current US$)</v>
          </cell>
          <cell r="D19" t="str">
            <v>NY.GNP.MKTP.CD</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v>21650000000</v>
          </cell>
          <cell r="AJ19" t="str">
            <v>..</v>
          </cell>
          <cell r="AK19" t="str">
            <v>..</v>
          </cell>
          <cell r="AL19" t="str">
            <v>..</v>
          </cell>
          <cell r="AM19">
            <v>17768210000</v>
          </cell>
          <cell r="AN19">
            <v>13483392222.2222</v>
          </cell>
          <cell r="AO19">
            <v>14772763076.9231</v>
          </cell>
          <cell r="AP19">
            <v>14088476923.0769</v>
          </cell>
          <cell r="AQ19">
            <v>15256743695.652201</v>
          </cell>
          <cell r="AR19">
            <v>12164295220.883499</v>
          </cell>
          <cell r="AS19">
            <v>12686259414.225901</v>
          </cell>
          <cell r="AT19">
            <v>12311559712.2302</v>
          </cell>
          <cell r="AU19">
            <v>14564104969.290899</v>
          </cell>
          <cell r="AV19">
            <v>17852939541.687</v>
          </cell>
          <cell r="AW19">
            <v>23125734722.222198</v>
          </cell>
          <cell r="AX19">
            <v>30263035283.194099</v>
          </cell>
          <cell r="AY19">
            <v>36839565501.165497</v>
          </cell>
          <cell r="AZ19">
            <v>44866412861.137001</v>
          </cell>
          <cell r="BA19">
            <v>59975463483.146103</v>
          </cell>
          <cell r="BB19">
            <v>49760369853.204399</v>
          </cell>
          <cell r="BC19">
            <v>56060043303.121902</v>
          </cell>
          <cell r="BD19">
            <v>61075328643.216103</v>
          </cell>
          <cell r="BE19">
            <v>64214746191.675697</v>
          </cell>
          <cell r="BF19">
            <v>72875749774.774796</v>
          </cell>
          <cell r="BG19">
            <v>76449469287.949905</v>
          </cell>
          <cell r="BH19">
            <v>54062079115.911102</v>
          </cell>
          <cell r="BI19">
            <v>45472290912.7463</v>
          </cell>
          <cell r="BJ19">
            <v>52670933084.924698</v>
          </cell>
          <cell r="BK19">
            <v>57861414899.882202</v>
          </cell>
          <cell r="BL19">
            <v>62499323071.039299</v>
          </cell>
          <cell r="BM19">
            <v>57750384079.3573</v>
          </cell>
        </row>
        <row r="20">
          <cell r="B20" t="str">
            <v>BEL</v>
          </cell>
          <cell r="C20" t="str">
            <v>GNI (current US$)</v>
          </cell>
          <cell r="D20" t="str">
            <v>NY.GNP.MKTP.CD</v>
          </cell>
          <cell r="E20">
            <v>11807650531.417801</v>
          </cell>
          <cell r="F20">
            <v>12526323162.324699</v>
          </cell>
          <cell r="G20">
            <v>13375866329.3162</v>
          </cell>
          <cell r="H20">
            <v>14357591976.3048</v>
          </cell>
          <cell r="I20">
            <v>16056233835.587</v>
          </cell>
          <cell r="J20">
            <v>17501627559.3633</v>
          </cell>
          <cell r="K20">
            <v>18795959368.451099</v>
          </cell>
          <cell r="L20">
            <v>20151866620.669601</v>
          </cell>
          <cell r="M20">
            <v>21553812529.356499</v>
          </cell>
          <cell r="N20">
            <v>23898239777.894199</v>
          </cell>
          <cell r="O20">
            <v>27089802339.653099</v>
          </cell>
          <cell r="P20">
            <v>30210254913.247299</v>
          </cell>
          <cell r="Q20">
            <v>37705546695.994904</v>
          </cell>
          <cell r="R20">
            <v>48300143862.554298</v>
          </cell>
          <cell r="S20">
            <v>56680050745.650398</v>
          </cell>
          <cell r="T20">
            <v>66428486344.1922</v>
          </cell>
          <cell r="U20">
            <v>71947319749.216293</v>
          </cell>
          <cell r="V20">
            <v>83582818232.976898</v>
          </cell>
          <cell r="W20">
            <v>102036695273.47301</v>
          </cell>
          <cell r="X20">
            <v>116682691249.312</v>
          </cell>
          <cell r="Y20">
            <v>126898081114.63699</v>
          </cell>
          <cell r="Z20">
            <v>104870916992.612</v>
          </cell>
          <cell r="AA20">
            <v>91784983224.439301</v>
          </cell>
          <cell r="AB20">
            <v>86845298619.329407</v>
          </cell>
          <cell r="AC20">
            <v>83204003071.7677</v>
          </cell>
          <cell r="AD20">
            <v>86372091854.066193</v>
          </cell>
          <cell r="AE20">
            <v>120264512371.32001</v>
          </cell>
          <cell r="AF20">
            <v>150162393300.918</v>
          </cell>
          <cell r="AG20">
            <v>163105286889.742</v>
          </cell>
          <cell r="AH20">
            <v>164539499385.74899</v>
          </cell>
          <cell r="AI20">
            <v>205980494929.98599</v>
          </cell>
          <cell r="AJ20">
            <v>211977481393.97501</v>
          </cell>
          <cell r="AK20">
            <v>236359025094.103</v>
          </cell>
          <cell r="AL20">
            <v>228457699393.65701</v>
          </cell>
          <cell r="AM20">
            <v>250882987701.953</v>
          </cell>
          <cell r="AN20">
            <v>294350437876.29999</v>
          </cell>
          <cell r="AO20">
            <v>285695114006.51501</v>
          </cell>
          <cell r="AP20">
            <v>258857352277.853</v>
          </cell>
          <cell r="AQ20">
            <v>264807068237.38599</v>
          </cell>
          <cell r="AR20">
            <v>264172277860.64401</v>
          </cell>
          <cell r="AS20">
            <v>242291966095.44901</v>
          </cell>
          <cell r="AT20">
            <v>240965995525.72699</v>
          </cell>
          <cell r="AU20">
            <v>261601919819.311</v>
          </cell>
          <cell r="AV20">
            <v>323441873589.16498</v>
          </cell>
          <cell r="AW20">
            <v>373654333250.55902</v>
          </cell>
          <cell r="AX20">
            <v>390387887078.72198</v>
          </cell>
          <cell r="AY20">
            <v>413784468699.034</v>
          </cell>
          <cell r="AZ20">
            <v>476866548042.70502</v>
          </cell>
          <cell r="BA20">
            <v>527755090083.492</v>
          </cell>
          <cell r="BB20">
            <v>490297165879.41101</v>
          </cell>
          <cell r="BC20">
            <v>488333574084.95599</v>
          </cell>
          <cell r="BD20">
            <v>523481684620.60199</v>
          </cell>
          <cell r="BE20">
            <v>507695038585.31299</v>
          </cell>
          <cell r="BF20">
            <v>534493384270.56897</v>
          </cell>
          <cell r="BG20">
            <v>545897069014.27502</v>
          </cell>
          <cell r="BH20">
            <v>468690289764.047</v>
          </cell>
          <cell r="BI20">
            <v>480302796401.78198</v>
          </cell>
          <cell r="BJ20">
            <v>506120470178.36499</v>
          </cell>
          <cell r="BK20">
            <v>547814643654.79901</v>
          </cell>
          <cell r="BL20">
            <v>540431916980.39099</v>
          </cell>
          <cell r="BM20">
            <v>527384952969.49597</v>
          </cell>
        </row>
        <row r="21">
          <cell r="B21" t="str">
            <v>BLZ</v>
          </cell>
          <cell r="C21" t="str">
            <v>GNI (current US$)</v>
          </cell>
          <cell r="D21" t="str">
            <v>NY.GNP.MKTP.CD</v>
          </cell>
          <cell r="E21">
            <v>27930631.3873723</v>
          </cell>
          <cell r="F21">
            <v>29755424.891502202</v>
          </cell>
          <cell r="G21">
            <v>31701455.970880602</v>
          </cell>
          <cell r="H21">
            <v>33587778.244435102</v>
          </cell>
          <cell r="I21">
            <v>36023939.521209598</v>
          </cell>
          <cell r="J21">
            <v>39860139.860139899</v>
          </cell>
          <cell r="K21">
            <v>44195804.195804201</v>
          </cell>
          <cell r="L21">
            <v>47172413.793103397</v>
          </cell>
          <cell r="M21">
            <v>43353293.413173698</v>
          </cell>
          <cell r="N21">
            <v>45628742.514970101</v>
          </cell>
          <cell r="O21">
            <v>51497005.988023996</v>
          </cell>
          <cell r="P21">
            <v>56951219.512195103</v>
          </cell>
          <cell r="Q21">
            <v>63125000</v>
          </cell>
          <cell r="R21">
            <v>74233128.834355801</v>
          </cell>
          <cell r="S21">
            <v>92397660.818713501</v>
          </cell>
          <cell r="T21">
            <v>105801104.972376</v>
          </cell>
          <cell r="U21">
            <v>88520179.3721973</v>
          </cell>
          <cell r="V21">
            <v>112050000</v>
          </cell>
          <cell r="W21">
            <v>129500000</v>
          </cell>
          <cell r="X21">
            <v>146500000</v>
          </cell>
          <cell r="Y21">
            <v>195988222.42928299</v>
          </cell>
          <cell r="Z21">
            <v>194189854.65634701</v>
          </cell>
          <cell r="AA21">
            <v>177306326.98570901</v>
          </cell>
          <cell r="AB21">
            <v>186603185.95532101</v>
          </cell>
          <cell r="AC21">
            <v>206681949.01938099</v>
          </cell>
          <cell r="AD21">
            <v>202743742.66470599</v>
          </cell>
          <cell r="AE21">
            <v>225438320.53556699</v>
          </cell>
          <cell r="AF21">
            <v>274982558.58590001</v>
          </cell>
          <cell r="AG21">
            <v>313893360.27244997</v>
          </cell>
          <cell r="AH21">
            <v>359433890.70474499</v>
          </cell>
          <cell r="AI21">
            <v>403986445.492176</v>
          </cell>
          <cell r="AJ21">
            <v>435320750</v>
          </cell>
          <cell r="AK21">
            <v>503609700</v>
          </cell>
          <cell r="AL21">
            <v>541655300</v>
          </cell>
          <cell r="AM21">
            <v>555652950</v>
          </cell>
          <cell r="AN21">
            <v>597851200</v>
          </cell>
          <cell r="AO21">
            <v>615256250</v>
          </cell>
          <cell r="AP21">
            <v>631241450</v>
          </cell>
          <cell r="AQ21">
            <v>656987950</v>
          </cell>
          <cell r="AR21">
            <v>692591600</v>
          </cell>
          <cell r="AS21">
            <v>779173350</v>
          </cell>
          <cell r="AT21">
            <v>801309250</v>
          </cell>
          <cell r="AU21">
            <v>857716800</v>
          </cell>
          <cell r="AV21">
            <v>894097750</v>
          </cell>
          <cell r="AW21">
            <v>934642450</v>
          </cell>
          <cell r="AX21">
            <v>988138650</v>
          </cell>
          <cell r="AY21">
            <v>1085321200</v>
          </cell>
          <cell r="AZ21">
            <v>1112645250</v>
          </cell>
          <cell r="BA21">
            <v>1186161400</v>
          </cell>
          <cell r="BB21">
            <v>1226664650</v>
          </cell>
          <cell r="BC21">
            <v>1238677850</v>
          </cell>
          <cell r="BD21">
            <v>1363597903.23406</v>
          </cell>
          <cell r="BE21">
            <v>1402697506.07849</v>
          </cell>
          <cell r="BF21">
            <v>1460211253.0051401</v>
          </cell>
          <cell r="BG21">
            <v>1529535060.96064</v>
          </cell>
          <cell r="BH21">
            <v>1626250991.46912</v>
          </cell>
          <cell r="BI21">
            <v>1678504087.78561</v>
          </cell>
          <cell r="BJ21">
            <v>1733329676.71857</v>
          </cell>
          <cell r="BK21">
            <v>1759649786.9640701</v>
          </cell>
          <cell r="BL21">
            <v>1819068540.6134</v>
          </cell>
          <cell r="BM21">
            <v>1577630797.08056</v>
          </cell>
        </row>
        <row r="22">
          <cell r="B22" t="str">
            <v>BEN</v>
          </cell>
          <cell r="C22" t="str">
            <v>GNI (current US$)</v>
          </cell>
          <cell r="D22" t="str">
            <v>NY.GNP.MKTP.CD</v>
          </cell>
          <cell r="E22">
            <v>225482256.37461799</v>
          </cell>
          <cell r="F22">
            <v>234942178.93575001</v>
          </cell>
          <cell r="G22">
            <v>235707398.233325</v>
          </cell>
          <cell r="H22">
            <v>253176456.75962901</v>
          </cell>
          <cell r="I22">
            <v>269046284.249259</v>
          </cell>
          <cell r="J22">
            <v>289108711.75287402</v>
          </cell>
          <cell r="K22">
            <v>302825280.93637902</v>
          </cell>
          <cell r="L22">
            <v>305821992.52116603</v>
          </cell>
          <cell r="M22">
            <v>324923111.41289502</v>
          </cell>
          <cell r="N22">
            <v>328248201.45822102</v>
          </cell>
          <cell r="O22">
            <v>331127773.89254999</v>
          </cell>
          <cell r="P22">
            <v>331970322.83603299</v>
          </cell>
          <cell r="Q22">
            <v>408231890.87226999</v>
          </cell>
          <cell r="R22">
            <v>504376035.71640098</v>
          </cell>
          <cell r="S22">
            <v>556954764.48943496</v>
          </cell>
          <cell r="T22">
            <v>675570202.26033998</v>
          </cell>
          <cell r="U22">
            <v>698408244.38534296</v>
          </cell>
          <cell r="V22">
            <v>749849740.53615296</v>
          </cell>
          <cell r="W22">
            <v>929143313.33681095</v>
          </cell>
          <cell r="X22">
            <v>1187431250.0470099</v>
          </cell>
          <cell r="Y22">
            <v>1402351617.0042</v>
          </cell>
          <cell r="Z22">
            <v>1287919998.9695699</v>
          </cell>
          <cell r="AA22">
            <v>1261778450.0784099</v>
          </cell>
          <cell r="AB22">
            <v>1082048347.0055101</v>
          </cell>
          <cell r="AC22">
            <v>1021533916.74736</v>
          </cell>
          <cell r="AD22">
            <v>1024412704.80765</v>
          </cell>
          <cell r="AE22">
            <v>1310102040.42149</v>
          </cell>
          <cell r="AF22">
            <v>1533812033.8754101</v>
          </cell>
          <cell r="AG22">
            <v>1595446185.6744499</v>
          </cell>
          <cell r="AH22">
            <v>1464137967.5701201</v>
          </cell>
          <cell r="AI22">
            <v>1921032589.5966001</v>
          </cell>
          <cell r="AJ22">
            <v>1955598277.1070099</v>
          </cell>
          <cell r="AK22">
            <v>1634867229.4365301</v>
          </cell>
          <cell r="AL22">
            <v>2234725312.9474001</v>
          </cell>
          <cell r="AM22">
            <v>1562942646.55901</v>
          </cell>
          <cell r="AN22">
            <v>2125371588.6898601</v>
          </cell>
          <cell r="AO22">
            <v>2315095356.6047201</v>
          </cell>
          <cell r="AP22">
            <v>2238481480.0981498</v>
          </cell>
          <cell r="AQ22">
            <v>2441702752.8350601</v>
          </cell>
          <cell r="AR22">
            <v>3665050945.3456402</v>
          </cell>
          <cell r="AS22">
            <v>3507693520.7713799</v>
          </cell>
          <cell r="AT22">
            <v>3651633531.8912101</v>
          </cell>
          <cell r="AU22">
            <v>4166070358.7592101</v>
          </cell>
          <cell r="AV22">
            <v>5311079166.7629499</v>
          </cell>
          <cell r="AW22">
            <v>6153203448.2627802</v>
          </cell>
          <cell r="AX22">
            <v>6549889010.7772598</v>
          </cell>
          <cell r="AY22">
            <v>7003871938.8942699</v>
          </cell>
          <cell r="AZ22">
            <v>8120525153.1599197</v>
          </cell>
          <cell r="BA22">
            <v>9776381165.9192791</v>
          </cell>
          <cell r="BB22">
            <v>9705498737.5965691</v>
          </cell>
          <cell r="BC22">
            <v>9481808905.2359695</v>
          </cell>
          <cell r="BD22">
            <v>10677800294.7913</v>
          </cell>
          <cell r="BE22">
            <v>11074624287.272499</v>
          </cell>
          <cell r="BF22">
            <v>12448829094.010201</v>
          </cell>
          <cell r="BG22">
            <v>13223294116.360399</v>
          </cell>
          <cell r="BH22">
            <v>11295642491.513599</v>
          </cell>
          <cell r="BI22">
            <v>11718307251.9058</v>
          </cell>
          <cell r="BJ22">
            <v>12561416657.826099</v>
          </cell>
          <cell r="BK22">
            <v>14105967001.322399</v>
          </cell>
          <cell r="BL22">
            <v>14248202200.5049</v>
          </cell>
          <cell r="BM22">
            <v>15488837356.190001</v>
          </cell>
        </row>
        <row r="23">
          <cell r="B23" t="str">
            <v>BMU</v>
          </cell>
          <cell r="C23" t="str">
            <v>GNI (current US$)</v>
          </cell>
          <cell r="D23" t="str">
            <v>NY.GNP.MKTP.CD</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v>6780700000</v>
          </cell>
          <cell r="BD23">
            <v>6474269000</v>
          </cell>
          <cell r="BE23">
            <v>6661617000</v>
          </cell>
          <cell r="BF23">
            <v>6764352000</v>
          </cell>
          <cell r="BG23">
            <v>6657829000</v>
          </cell>
          <cell r="BH23">
            <v>6893729000</v>
          </cell>
          <cell r="BI23">
            <v>7095783000</v>
          </cell>
          <cell r="BJ23">
            <v>7435279000</v>
          </cell>
          <cell r="BK23">
            <v>7459240000</v>
          </cell>
          <cell r="BL23">
            <v>7587978000</v>
          </cell>
          <cell r="BM23">
            <v>7042079501.3627195</v>
          </cell>
        </row>
        <row r="24">
          <cell r="B24" t="str">
            <v>BTN</v>
          </cell>
          <cell r="C24" t="str">
            <v>GNI (current US$)</v>
          </cell>
          <cell r="D24" t="str">
            <v>NY.GNP.MKTP.CD</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v>103272118.29163501</v>
          </cell>
          <cell r="Z24">
            <v>108007254.242773</v>
          </cell>
          <cell r="AA24">
            <v>107370762.805498</v>
          </cell>
          <cell r="AB24">
            <v>111528776.223057</v>
          </cell>
          <cell r="AC24">
            <v>126322646.591021</v>
          </cell>
          <cell r="AD24">
            <v>128696728.73840401</v>
          </cell>
          <cell r="AE24">
            <v>155354458.44721299</v>
          </cell>
          <cell r="AF24">
            <v>211428268.98774999</v>
          </cell>
          <cell r="AG24">
            <v>245991005.23145899</v>
          </cell>
          <cell r="AH24">
            <v>251650653.65450799</v>
          </cell>
          <cell r="AI24">
            <v>269034540.37177902</v>
          </cell>
          <cell r="AJ24">
            <v>218719291.99648201</v>
          </cell>
          <cell r="AK24">
            <v>211897862.65432101</v>
          </cell>
          <cell r="AL24">
            <v>201914785.17546701</v>
          </cell>
          <cell r="AM24">
            <v>238775205.61045599</v>
          </cell>
          <cell r="AN24">
            <v>253224591.42769</v>
          </cell>
          <cell r="AO24">
            <v>268250646.34490499</v>
          </cell>
          <cell r="AP24">
            <v>320839856.78876299</v>
          </cell>
          <cell r="AQ24">
            <v>307146437.22733903</v>
          </cell>
          <cell r="AR24">
            <v>327671031.11936802</v>
          </cell>
          <cell r="AS24">
            <v>423968319.98219901</v>
          </cell>
          <cell r="AT24">
            <v>461207368.08645898</v>
          </cell>
          <cell r="AU24">
            <v>512806665.29520702</v>
          </cell>
          <cell r="AV24">
            <v>590246764.70588195</v>
          </cell>
          <cell r="AW24">
            <v>666547378.64077699</v>
          </cell>
          <cell r="AX24">
            <v>785369263.03854895</v>
          </cell>
          <cell r="AY24">
            <v>871434235.32787395</v>
          </cell>
          <cell r="AZ24">
            <v>1152351468.6143401</v>
          </cell>
          <cell r="BA24">
            <v>1193789868.7972901</v>
          </cell>
          <cell r="BB24">
            <v>1183441317.3764</v>
          </cell>
          <cell r="BC24">
            <v>1460010353.0173299</v>
          </cell>
          <cell r="BD24">
            <v>1663196387.4396</v>
          </cell>
          <cell r="BE24">
            <v>1639170542.2439799</v>
          </cell>
          <cell r="BF24">
            <v>1632780314.2780099</v>
          </cell>
          <cell r="BG24">
            <v>1772100521.8787601</v>
          </cell>
          <cell r="BH24">
            <v>1860822550.8519599</v>
          </cell>
          <cell r="BI24">
            <v>1973485495.26529</v>
          </cell>
          <cell r="BJ24">
            <v>2237541686.6293201</v>
          </cell>
          <cell r="BK24">
            <v>2226677925.7049699</v>
          </cell>
          <cell r="BL24">
            <v>2306109175.9052401</v>
          </cell>
          <cell r="BM24">
            <v>2172582739.2876501</v>
          </cell>
        </row>
        <row r="25">
          <cell r="B25" t="str">
            <v>BOL</v>
          </cell>
          <cell r="C25" t="str">
            <v>GNI (current US$)</v>
          </cell>
          <cell r="D25" t="str">
            <v>NY.GNP.MKTP.CD</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v>2700484007.9959998</v>
          </cell>
          <cell r="V25">
            <v>3160336281.8590698</v>
          </cell>
          <cell r="W25">
            <v>3644320889.5552201</v>
          </cell>
          <cell r="X25">
            <v>4239043308.3537102</v>
          </cell>
          <cell r="Y25">
            <v>4263816802.6101098</v>
          </cell>
          <cell r="Z25">
            <v>5510556933.1158199</v>
          </cell>
          <cell r="AA25">
            <v>5176790478.4795799</v>
          </cell>
          <cell r="AB25">
            <v>5060640961.8788605</v>
          </cell>
          <cell r="AC25">
            <v>5754601148.2312899</v>
          </cell>
          <cell r="AD25">
            <v>5004377399.6543398</v>
          </cell>
          <cell r="AE25">
            <v>3649839150.74542</v>
          </cell>
          <cell r="AF25">
            <v>4045923622.1622</v>
          </cell>
          <cell r="AG25">
            <v>4332815374.8837099</v>
          </cell>
          <cell r="AH25">
            <v>4456878547.3508396</v>
          </cell>
          <cell r="AI25">
            <v>4618982620.2070799</v>
          </cell>
          <cell r="AJ25">
            <v>5096273725.0740099</v>
          </cell>
          <cell r="AK25">
            <v>5446192513.7802801</v>
          </cell>
          <cell r="AL25">
            <v>5528777355.7478104</v>
          </cell>
          <cell r="AM25">
            <v>5798744226.81528</v>
          </cell>
          <cell r="AN25">
            <v>6508618711.3305397</v>
          </cell>
          <cell r="AO25">
            <v>7188766149.0560799</v>
          </cell>
          <cell r="AP25">
            <v>7729174999.5242004</v>
          </cell>
          <cell r="AQ25">
            <v>8335344621.6947098</v>
          </cell>
          <cell r="AR25">
            <v>8088875593.5586004</v>
          </cell>
          <cell r="AS25">
            <v>8172380981.6447001</v>
          </cell>
          <cell r="AT25">
            <v>7930377408.4669104</v>
          </cell>
          <cell r="AU25">
            <v>7700785216.1785202</v>
          </cell>
          <cell r="AV25">
            <v>7780518761.7505703</v>
          </cell>
          <cell r="AW25">
            <v>8388731804.4354801</v>
          </cell>
          <cell r="AX25">
            <v>9172726311.3524494</v>
          </cell>
          <cell r="AY25">
            <v>11054624631.783899</v>
          </cell>
          <cell r="AZ25">
            <v>12630742727.2264</v>
          </cell>
          <cell r="BA25">
            <v>16137947294.2542</v>
          </cell>
          <cell r="BB25">
            <v>16666184074.0741</v>
          </cell>
          <cell r="BC25">
            <v>18760697228.2244</v>
          </cell>
          <cell r="BD25">
            <v>22977277527.467201</v>
          </cell>
          <cell r="BE25">
            <v>25455219537.854401</v>
          </cell>
          <cell r="BF25">
            <v>28751567780.9631</v>
          </cell>
          <cell r="BG25">
            <v>31298228310.567001</v>
          </cell>
          <cell r="BH25">
            <v>31873100511.880299</v>
          </cell>
          <cell r="BI25">
            <v>33320230250.4007</v>
          </cell>
          <cell r="BJ25">
            <v>36398995788.550903</v>
          </cell>
          <cell r="BK25">
            <v>39311992849.005798</v>
          </cell>
          <cell r="BL25">
            <v>40048420224.917397</v>
          </cell>
          <cell r="BM25">
            <v>36136680932.930496</v>
          </cell>
        </row>
        <row r="26">
          <cell r="B26" t="str">
            <v>BIH</v>
          </cell>
          <cell r="C26" t="str">
            <v>GNI (current US$)</v>
          </cell>
          <cell r="D26" t="str">
            <v>NY.GNP.MKTP.CD</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v>1090802469.1357999</v>
          </cell>
          <cell r="AN26">
            <v>1624572953.73665</v>
          </cell>
          <cell r="AO26">
            <v>2564045321.6374302</v>
          </cell>
          <cell r="AP26">
            <v>3443816504.2385101</v>
          </cell>
          <cell r="AQ26">
            <v>4925763027.7888298</v>
          </cell>
          <cell r="AR26">
            <v>5413706644.8801699</v>
          </cell>
          <cell r="AS26">
            <v>6096206688.64814</v>
          </cell>
          <cell r="AT26">
            <v>6281404511.3470001</v>
          </cell>
          <cell r="AU26">
            <v>7159190134.7449503</v>
          </cell>
          <cell r="AV26">
            <v>8903153144.8355408</v>
          </cell>
          <cell r="AW26">
            <v>11100740126.9841</v>
          </cell>
          <cell r="AX26">
            <v>11690938513.3846</v>
          </cell>
          <cell r="AY26">
            <v>13256503752.1647</v>
          </cell>
          <cell r="AZ26">
            <v>16247627011.8964</v>
          </cell>
          <cell r="BA26">
            <v>19819000898.741798</v>
          </cell>
          <cell r="BB26">
            <v>18292151431.209599</v>
          </cell>
          <cell r="BC26">
            <v>17456458996.4109</v>
          </cell>
          <cell r="BD26">
            <v>18794698983.580898</v>
          </cell>
          <cell r="BE26">
            <v>17355835686.609299</v>
          </cell>
          <cell r="BF26">
            <v>18414348534.202</v>
          </cell>
          <cell r="BG26">
            <v>18712679782.903702</v>
          </cell>
          <cell r="BH26">
            <v>16330393736.5256</v>
          </cell>
          <cell r="BI26">
            <v>16937251131.221701</v>
          </cell>
          <cell r="BJ26">
            <v>17927361567.271702</v>
          </cell>
          <cell r="BK26">
            <v>20057362292.609402</v>
          </cell>
          <cell r="BL26">
            <v>20189076808.608101</v>
          </cell>
          <cell r="BM26">
            <v>19774236863.567501</v>
          </cell>
        </row>
        <row r="27">
          <cell r="B27" t="str">
            <v>BWA</v>
          </cell>
          <cell r="C27" t="str">
            <v>GNI (current US$)</v>
          </cell>
          <cell r="D27" t="str">
            <v>NY.GNP.MKTP.CD</v>
          </cell>
          <cell r="E27">
            <v>34206224.589934103</v>
          </cell>
          <cell r="F27">
            <v>36949069.539667003</v>
          </cell>
          <cell r="G27">
            <v>39977709.238749497</v>
          </cell>
          <cell r="H27">
            <v>42813784.426114902</v>
          </cell>
          <cell r="I27">
            <v>46753798.968353502</v>
          </cell>
          <cell r="J27">
            <v>51444925.310624003</v>
          </cell>
          <cell r="K27">
            <v>56973500.6973501</v>
          </cell>
          <cell r="L27">
            <v>62273361.227336101</v>
          </cell>
          <cell r="M27">
            <v>70362622.036262199</v>
          </cell>
          <cell r="N27">
            <v>82509399.805041105</v>
          </cell>
          <cell r="O27">
            <v>100671970.965941</v>
          </cell>
          <cell r="P27">
            <v>130929112.857945</v>
          </cell>
          <cell r="Q27">
            <v>164459109.730849</v>
          </cell>
          <cell r="R27">
            <v>244412476.588388</v>
          </cell>
          <cell r="S27">
            <v>309413245.033113</v>
          </cell>
          <cell r="T27">
            <v>355172413.79310298</v>
          </cell>
          <cell r="U27">
            <v>372010119.59521598</v>
          </cell>
          <cell r="V27">
            <v>451603325.41567701</v>
          </cell>
          <cell r="W27">
            <v>590376720.59888899</v>
          </cell>
          <cell r="X27">
            <v>819877300.61349702</v>
          </cell>
          <cell r="Y27">
            <v>1014089037.57077</v>
          </cell>
          <cell r="Z27">
            <v>1111389984.46277</v>
          </cell>
          <cell r="AA27">
            <v>1043653491.3081501</v>
          </cell>
          <cell r="AB27">
            <v>1132600966.35974</v>
          </cell>
          <cell r="AC27">
            <v>1126732902.0332699</v>
          </cell>
          <cell r="AD27">
            <v>1018317039.84022</v>
          </cell>
          <cell r="AE27">
            <v>1282103134.47927</v>
          </cell>
          <cell r="AF27">
            <v>1729167907.5585201</v>
          </cell>
          <cell r="AG27">
            <v>2468008312.37012</v>
          </cell>
          <cell r="AH27">
            <v>2817236587.4236898</v>
          </cell>
          <cell r="AI27">
            <v>3684735286.2133799</v>
          </cell>
          <cell r="AJ27">
            <v>4005663830.6292</v>
          </cell>
          <cell r="AK27">
            <v>4258899369.5786099</v>
          </cell>
          <cell r="AL27">
            <v>4453715364.6155796</v>
          </cell>
          <cell r="AM27">
            <v>4034973478.3580399</v>
          </cell>
          <cell r="AN27">
            <v>4698181877.2094402</v>
          </cell>
          <cell r="AO27">
            <v>4594669634.7993498</v>
          </cell>
          <cell r="AP27">
            <v>4875398624.95891</v>
          </cell>
          <cell r="AQ27">
            <v>4910030431.3873997</v>
          </cell>
          <cell r="AR27">
            <v>5221996626.5894003</v>
          </cell>
          <cell r="AS27">
            <v>5436161217.6094704</v>
          </cell>
          <cell r="AT27">
            <v>5352478942.6830101</v>
          </cell>
          <cell r="AU27">
            <v>4740668162.7105799</v>
          </cell>
          <cell r="AV27">
            <v>6795865108.3860302</v>
          </cell>
          <cell r="AW27">
            <v>7997879093.9504404</v>
          </cell>
          <cell r="AX27">
            <v>9084360896.6716805</v>
          </cell>
          <cell r="AY27">
            <v>9364081179.3561192</v>
          </cell>
          <cell r="AZ27">
            <v>10200889864.468599</v>
          </cell>
          <cell r="BA27">
            <v>10196257012.6998</v>
          </cell>
          <cell r="BB27">
            <v>10029116811.784599</v>
          </cell>
          <cell r="BC27">
            <v>12147305773.0805</v>
          </cell>
          <cell r="BD27">
            <v>15016122766.225</v>
          </cell>
          <cell r="BE27">
            <v>14164609541.260401</v>
          </cell>
          <cell r="BF27">
            <v>14251172463.0606</v>
          </cell>
          <cell r="BG27">
            <v>15756351867.7377</v>
          </cell>
          <cell r="BH27">
            <v>13849323723.960899</v>
          </cell>
          <cell r="BI27">
            <v>15264622243.422701</v>
          </cell>
          <cell r="BJ27">
            <v>16287018961.285</v>
          </cell>
          <cell r="BK27">
            <v>16971803921.5686</v>
          </cell>
          <cell r="BL27">
            <v>16533279409.440399</v>
          </cell>
          <cell r="BM27">
            <v>15094149892.6346</v>
          </cell>
        </row>
        <row r="28">
          <cell r="B28" t="str">
            <v>BRA</v>
          </cell>
          <cell r="C28" t="str">
            <v>GNI (current US$)</v>
          </cell>
          <cell r="D28" t="str">
            <v>NY.GNP.MKTP.CD</v>
          </cell>
          <cell r="E28" t="str">
            <v>..</v>
          </cell>
          <cell r="F28" t="str">
            <v>..</v>
          </cell>
          <cell r="G28" t="str">
            <v>..</v>
          </cell>
          <cell r="H28" t="str">
            <v>..</v>
          </cell>
          <cell r="I28" t="str">
            <v>..</v>
          </cell>
          <cell r="J28" t="str">
            <v>..</v>
          </cell>
          <cell r="K28">
            <v>25823978009.917301</v>
          </cell>
          <cell r="L28">
            <v>29559163247.666401</v>
          </cell>
          <cell r="M28">
            <v>33065704447.8652</v>
          </cell>
          <cell r="N28">
            <v>36783720975.767799</v>
          </cell>
          <cell r="O28">
            <v>41728566935.831703</v>
          </cell>
          <cell r="P28">
            <v>48684157318.570602</v>
          </cell>
          <cell r="Q28">
            <v>58075347258.606697</v>
          </cell>
          <cell r="R28">
            <v>78380807935.1819</v>
          </cell>
          <cell r="S28">
            <v>104325590448.44299</v>
          </cell>
          <cell r="T28">
            <v>122016649141.27901</v>
          </cell>
          <cell r="U28">
            <v>150357935666.64999</v>
          </cell>
          <cell r="V28">
            <v>173253413561.88699</v>
          </cell>
          <cell r="W28">
            <v>196080790936.19299</v>
          </cell>
          <cell r="X28">
            <v>218945212519.056</v>
          </cell>
          <cell r="Y28">
            <v>227299903221.93399</v>
          </cell>
          <cell r="Z28">
            <v>252659071917.95999</v>
          </cell>
          <cell r="AA28">
            <v>267229261490.02899</v>
          </cell>
          <cell r="AB28">
            <v>191446471082.95901</v>
          </cell>
          <cell r="AC28">
            <v>197144720543.59299</v>
          </cell>
          <cell r="AD28">
            <v>211063860366.741</v>
          </cell>
          <cell r="AE28">
            <v>256173867061.63901</v>
          </cell>
          <cell r="AF28">
            <v>282955492984.35999</v>
          </cell>
          <cell r="AG28">
            <v>317177371865.75299</v>
          </cell>
          <cell r="AH28">
            <v>365711839530.33301</v>
          </cell>
          <cell r="AI28">
            <v>380339036380.18402</v>
          </cell>
          <cell r="AJ28">
            <v>334931411093.56897</v>
          </cell>
          <cell r="AK28">
            <v>321997047142.54602</v>
          </cell>
          <cell r="AL28">
            <v>359329728432.14801</v>
          </cell>
          <cell r="AM28">
            <v>516607762515.28802</v>
          </cell>
          <cell r="AN28">
            <v>757886586968.47498</v>
          </cell>
          <cell r="AO28">
            <v>827516902795.74194</v>
          </cell>
          <cell r="AP28">
            <v>855025884218.18298</v>
          </cell>
          <cell r="AQ28">
            <v>825524306965.99097</v>
          </cell>
          <cell r="AR28">
            <v>568318825546.53796</v>
          </cell>
          <cell r="AS28">
            <v>636572488761.71899</v>
          </cell>
          <cell r="AT28">
            <v>541802025604.25201</v>
          </cell>
          <cell r="AU28">
            <v>492692609449.771</v>
          </cell>
          <cell r="AV28">
            <v>540518512990.09601</v>
          </cell>
          <cell r="AW28">
            <v>649516039101.08301</v>
          </cell>
          <cell r="AX28">
            <v>865859652967.48706</v>
          </cell>
          <cell r="AY28">
            <v>1079909686901.02</v>
          </cell>
          <cell r="AZ28">
            <v>1367438369222.73</v>
          </cell>
          <cell r="BA28">
            <v>1654272376318.1399</v>
          </cell>
          <cell r="BB28">
            <v>1630109870621.3799</v>
          </cell>
          <cell r="BC28">
            <v>2140606612822.76</v>
          </cell>
          <cell r="BD28">
            <v>2548929316459.1099</v>
          </cell>
          <cell r="BE28">
            <v>2403719887833.9399</v>
          </cell>
          <cell r="BF28">
            <v>2438459112627.54</v>
          </cell>
          <cell r="BG28">
            <v>2410277002766.7798</v>
          </cell>
          <cell r="BH28">
            <v>1768299908799.1899</v>
          </cell>
          <cell r="BI28">
            <v>1757596906008.6799</v>
          </cell>
          <cell r="BJ28">
            <v>2024937157759.6799</v>
          </cell>
          <cell r="BK28">
            <v>1863630803617.0601</v>
          </cell>
          <cell r="BL28">
            <v>1827526207376.1399</v>
          </cell>
          <cell r="BM28">
            <v>1417068693062.22</v>
          </cell>
        </row>
        <row r="29">
          <cell r="B29" t="str">
            <v>VGB</v>
          </cell>
          <cell r="C29" t="str">
            <v>GNI (current US$)</v>
          </cell>
          <cell r="D29" t="str">
            <v>NY.GNP.MKTP.CD</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row>
        <row r="30">
          <cell r="B30" t="str">
            <v>BRN</v>
          </cell>
          <cell r="C30" t="str">
            <v>GNI (current US$)</v>
          </cell>
          <cell r="D30" t="str">
            <v>NY.GNP.MKTP.CD</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v>2985467979.2852402</v>
          </cell>
          <cell r="AI30">
            <v>3520551724.1379299</v>
          </cell>
          <cell r="AJ30">
            <v>3701667052.5584602</v>
          </cell>
          <cell r="AK30">
            <v>4183548189.07305</v>
          </cell>
          <cell r="AL30">
            <v>4105706151.7514501</v>
          </cell>
          <cell r="AM30">
            <v>4087337959.93191</v>
          </cell>
          <cell r="AN30">
            <v>4734020036.6868896</v>
          </cell>
          <cell r="AO30">
            <v>5115602836.8794298</v>
          </cell>
          <cell r="AP30">
            <v>5197332974.1379299</v>
          </cell>
          <cell r="AQ30">
            <v>4051147227.5334601</v>
          </cell>
          <cell r="AR30">
            <v>4600000000</v>
          </cell>
          <cell r="AS30">
            <v>6001153306.2644997</v>
          </cell>
          <cell r="AT30">
            <v>5601090584.3612204</v>
          </cell>
          <cell r="AU30">
            <v>5843329107.5617104</v>
          </cell>
          <cell r="AV30">
            <v>6557333084.60567</v>
          </cell>
          <cell r="AW30">
            <v>7872333215.0041399</v>
          </cell>
          <cell r="AX30">
            <v>9531402847.8731098</v>
          </cell>
          <cell r="AY30">
            <v>11470703002.0769</v>
          </cell>
          <cell r="AZ30">
            <v>12310094220.6887</v>
          </cell>
          <cell r="BA30">
            <v>14447599068.585899</v>
          </cell>
          <cell r="BB30">
            <v>10784466313.763201</v>
          </cell>
          <cell r="BC30">
            <v>13606894022.7356</v>
          </cell>
          <cell r="BD30">
            <v>18026870180.459499</v>
          </cell>
          <cell r="BE30">
            <v>18590749039.692699</v>
          </cell>
          <cell r="BF30">
            <v>17893222506.393902</v>
          </cell>
          <cell r="BG30">
            <v>17082872928.1768</v>
          </cell>
          <cell r="BH30">
            <v>13580987708.197001</v>
          </cell>
          <cell r="BI30">
            <v>12235956707.449499</v>
          </cell>
          <cell r="BJ30">
            <v>12848520530.0891</v>
          </cell>
          <cell r="BK30">
            <v>13651197271.851101</v>
          </cell>
          <cell r="BL30">
            <v>13830513707.6675</v>
          </cell>
          <cell r="BM30">
            <v>12367616148.438101</v>
          </cell>
        </row>
        <row r="31">
          <cell r="B31" t="str">
            <v>BGR</v>
          </cell>
          <cell r="C31" t="str">
            <v>GNI (current US$)</v>
          </cell>
          <cell r="D31" t="str">
            <v>NY.GNP.MKTP.CD</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v>19525307692.307701</v>
          </cell>
          <cell r="Z31">
            <v>19672285714.285702</v>
          </cell>
          <cell r="AA31">
            <v>19187533333.333302</v>
          </cell>
          <cell r="AB31">
            <v>16484500000</v>
          </cell>
          <cell r="AC31">
            <v>17556333333.333302</v>
          </cell>
          <cell r="AD31">
            <v>17092578947.368401</v>
          </cell>
          <cell r="AE31">
            <v>20117823529.4118</v>
          </cell>
          <cell r="AF31">
            <v>27786846153.846199</v>
          </cell>
          <cell r="AG31">
            <v>22134941176.4706</v>
          </cell>
          <cell r="AH31">
            <v>21351666666.666698</v>
          </cell>
          <cell r="AI31">
            <v>18995909090.9091</v>
          </cell>
          <cell r="AJ31">
            <v>9832580645.1612892</v>
          </cell>
          <cell r="AK31">
            <v>10180773195.876301</v>
          </cell>
          <cell r="AL31">
            <v>10637028985.5072</v>
          </cell>
          <cell r="AM31">
            <v>9504964944.6494503</v>
          </cell>
          <cell r="AN31">
            <v>18551491071.4286</v>
          </cell>
          <cell r="AO31">
            <v>11898154581.225401</v>
          </cell>
          <cell r="AP31">
            <v>10959092395.5051</v>
          </cell>
          <cell r="AQ31">
            <v>14747201715.519199</v>
          </cell>
          <cell r="AR31">
            <v>13442625945.4753</v>
          </cell>
          <cell r="AS31">
            <v>12922427259.454599</v>
          </cell>
          <cell r="AT31">
            <v>14208398132.4667</v>
          </cell>
          <cell r="AU31">
            <v>16746346413.0958</v>
          </cell>
          <cell r="AV31">
            <v>21488783574.7677</v>
          </cell>
          <cell r="AW31">
            <v>26463400799.9492</v>
          </cell>
          <cell r="AX31">
            <v>29952788132.901299</v>
          </cell>
          <cell r="AY31">
            <v>33528741743.089901</v>
          </cell>
          <cell r="AZ31">
            <v>41158999020.2939</v>
          </cell>
          <cell r="BA31">
            <v>51846800688.056198</v>
          </cell>
          <cell r="BB31">
            <v>50357249591.241898</v>
          </cell>
          <cell r="BC31">
            <v>49627734533.640198</v>
          </cell>
          <cell r="BD31">
            <v>55873847138.286499</v>
          </cell>
          <cell r="BE31">
            <v>53578705650.4599</v>
          </cell>
          <cell r="BF31">
            <v>54582545466.883797</v>
          </cell>
          <cell r="BG31">
            <v>56590366978.700302</v>
          </cell>
          <cell r="BH31">
            <v>49201494559.0569</v>
          </cell>
          <cell r="BI31">
            <v>52276668552.036201</v>
          </cell>
          <cell r="BJ31">
            <v>57866861423.221001</v>
          </cell>
          <cell r="BK31">
            <v>64214009656.004799</v>
          </cell>
          <cell r="BL31">
            <v>66968982827.704597</v>
          </cell>
          <cell r="BM31">
            <v>68559607877.410698</v>
          </cell>
        </row>
        <row r="32">
          <cell r="B32" t="str">
            <v>BFA</v>
          </cell>
          <cell r="C32" t="str">
            <v>GNI (current US$)</v>
          </cell>
          <cell r="D32" t="str">
            <v>NY.GNP.MKTP.CD</v>
          </cell>
          <cell r="E32">
            <v>334894683.458193</v>
          </cell>
          <cell r="F32">
            <v>353437393.20011699</v>
          </cell>
          <cell r="G32">
            <v>388060809.61120999</v>
          </cell>
          <cell r="H32">
            <v>397465283.95650202</v>
          </cell>
          <cell r="I32">
            <v>413758165.21594298</v>
          </cell>
          <cell r="J32">
            <v>419289066.105609</v>
          </cell>
          <cell r="K32">
            <v>432185731.83478898</v>
          </cell>
          <cell r="L32">
            <v>449034466.134067</v>
          </cell>
          <cell r="M32">
            <v>458847277.90351403</v>
          </cell>
          <cell r="N32">
            <v>476700139.94428402</v>
          </cell>
          <cell r="O32">
            <v>458404330.12509602</v>
          </cell>
          <cell r="P32">
            <v>481906375.55314702</v>
          </cell>
          <cell r="Q32">
            <v>577291786.296422</v>
          </cell>
          <cell r="R32">
            <v>674535298.70446801</v>
          </cell>
          <cell r="S32">
            <v>748879357.985116</v>
          </cell>
          <cell r="T32">
            <v>927901103.01339805</v>
          </cell>
          <cell r="U32">
            <v>967025139.516343</v>
          </cell>
          <cell r="V32">
            <v>1111036655.0431299</v>
          </cell>
          <cell r="W32">
            <v>1464483145.7985401</v>
          </cell>
          <cell r="X32">
            <v>1739271805.0259099</v>
          </cell>
          <cell r="Y32">
            <v>1924639176.2385001</v>
          </cell>
          <cell r="Z32">
            <v>1766034537.0337999</v>
          </cell>
          <cell r="AA32">
            <v>1744187907.23124</v>
          </cell>
          <cell r="AB32">
            <v>1590193730.7448101</v>
          </cell>
          <cell r="AC32">
            <v>1454929871.3121901</v>
          </cell>
          <cell r="AD32">
            <v>1546793106.48774</v>
          </cell>
          <cell r="AE32">
            <v>2030903473.20101</v>
          </cell>
          <cell r="AF32">
            <v>2361034550.8666801</v>
          </cell>
          <cell r="AG32">
            <v>2602940566.7047801</v>
          </cell>
          <cell r="AH32">
            <v>2603687662.6721001</v>
          </cell>
          <cell r="AI32">
            <v>3093954852.0411</v>
          </cell>
          <cell r="AJ32">
            <v>3125829319.6657</v>
          </cell>
          <cell r="AK32">
            <v>3344716325.5529599</v>
          </cell>
          <cell r="AL32">
            <v>3180859743.8362298</v>
          </cell>
          <cell r="AM32">
            <v>1881026818.03666</v>
          </cell>
          <cell r="AN32">
            <v>2369479998.1328201</v>
          </cell>
          <cell r="AO32">
            <v>2593450635.16465</v>
          </cell>
          <cell r="AP32">
            <v>2445476074.9835401</v>
          </cell>
          <cell r="AQ32">
            <v>2802105646.59689</v>
          </cell>
          <cell r="AR32">
            <v>3393482747.5050502</v>
          </cell>
          <cell r="AS32">
            <v>2964619404.1745501</v>
          </cell>
          <cell r="AT32">
            <v>3178291895.1001601</v>
          </cell>
          <cell r="AU32">
            <v>3588060318.5869899</v>
          </cell>
          <cell r="AV32">
            <v>4686123998.4866304</v>
          </cell>
          <cell r="AW32">
            <v>5406280264.27073</v>
          </cell>
          <cell r="AX32">
            <v>6082308114.3894501</v>
          </cell>
          <cell r="AY32">
            <v>6528831919.7987204</v>
          </cell>
          <cell r="AZ32">
            <v>7603256785.9304504</v>
          </cell>
          <cell r="BA32">
            <v>9414698383.8565006</v>
          </cell>
          <cell r="BB32">
            <v>9333204306.50313</v>
          </cell>
          <cell r="BC32">
            <v>9807542028.8794708</v>
          </cell>
          <cell r="BD32">
            <v>11592645414.5434</v>
          </cell>
          <cell r="BE32">
            <v>12243495998.776199</v>
          </cell>
          <cell r="BF32">
            <v>13080708252.0415</v>
          </cell>
          <cell r="BG32">
            <v>13337501703.1647</v>
          </cell>
          <cell r="BH32">
            <v>11293125626.5734</v>
          </cell>
          <cell r="BI32">
            <v>12261728542.5585</v>
          </cell>
          <cell r="BJ32">
            <v>13577335799.276899</v>
          </cell>
          <cell r="BK32">
            <v>15387935651.7684</v>
          </cell>
          <cell r="BL32">
            <v>15326472487.971701</v>
          </cell>
          <cell r="BM32">
            <v>16664828374.0397</v>
          </cell>
        </row>
        <row r="33">
          <cell r="B33" t="str">
            <v>BDI</v>
          </cell>
          <cell r="C33" t="str">
            <v>GNI (current US$)</v>
          </cell>
          <cell r="D33" t="str">
            <v>NY.GNP.MKTP.CD</v>
          </cell>
          <cell r="E33">
            <v>193892004</v>
          </cell>
          <cell r="F33">
            <v>200819998</v>
          </cell>
          <cell r="G33">
            <v>211212002</v>
          </cell>
          <cell r="H33">
            <v>230278000</v>
          </cell>
          <cell r="I33">
            <v>257986008</v>
          </cell>
          <cell r="J33">
            <v>157479111.11111099</v>
          </cell>
          <cell r="K33">
            <v>156048000</v>
          </cell>
          <cell r="L33">
            <v>166971428.57142901</v>
          </cell>
          <cell r="M33">
            <v>169680000</v>
          </cell>
          <cell r="N33">
            <v>178171428.57142901</v>
          </cell>
          <cell r="O33">
            <v>235283428.57142901</v>
          </cell>
          <cell r="P33">
            <v>243766857.14285699</v>
          </cell>
          <cell r="Q33">
            <v>235406857.14285699</v>
          </cell>
          <cell r="R33">
            <v>295982555.66940701</v>
          </cell>
          <cell r="S33">
            <v>336273015.873016</v>
          </cell>
          <cell r="T33">
            <v>412341587.30158699</v>
          </cell>
          <cell r="U33">
            <v>437150144.92753601</v>
          </cell>
          <cell r="V33">
            <v>537186666.66666698</v>
          </cell>
          <cell r="W33">
            <v>595765555.55555606</v>
          </cell>
          <cell r="X33">
            <v>772336666.66666698</v>
          </cell>
          <cell r="Y33">
            <v>921813333.33333302</v>
          </cell>
          <cell r="Z33">
            <v>966146666.66666698</v>
          </cell>
          <cell r="AA33">
            <v>1005555555.55556</v>
          </cell>
          <cell r="AB33">
            <v>1073595481.44164</v>
          </cell>
          <cell r="AC33">
            <v>974118285.85748899</v>
          </cell>
          <cell r="AD33">
            <v>1131604109.7025399</v>
          </cell>
          <cell r="AE33">
            <v>1181080844.3549099</v>
          </cell>
          <cell r="AF33">
            <v>1103051149.2392399</v>
          </cell>
          <cell r="AG33">
            <v>1059467929.76958</v>
          </cell>
          <cell r="AH33">
            <v>1096300427.94028</v>
          </cell>
          <cell r="AI33">
            <v>1117211760.2405801</v>
          </cell>
          <cell r="AJ33">
            <v>1156153553.7399499</v>
          </cell>
          <cell r="AK33">
            <v>1069379682.96184</v>
          </cell>
          <cell r="AL33">
            <v>928818579.07743001</v>
          </cell>
          <cell r="AM33">
            <v>913654989.84813797</v>
          </cell>
          <cell r="AN33">
            <v>988018268.88427997</v>
          </cell>
          <cell r="AO33">
            <v>855125492.32039595</v>
          </cell>
          <cell r="AP33">
            <v>960396267.91542494</v>
          </cell>
          <cell r="AQ33">
            <v>885470806.16697395</v>
          </cell>
          <cell r="AR33">
            <v>796772713.28696203</v>
          </cell>
          <cell r="AS33">
            <v>884786065.88313699</v>
          </cell>
          <cell r="AT33">
            <v>864477157.825014</v>
          </cell>
          <cell r="AU33">
            <v>811709078.127599</v>
          </cell>
          <cell r="AV33">
            <v>766758030.79566205</v>
          </cell>
          <cell r="AW33">
            <v>887956197.14599705</v>
          </cell>
          <cell r="AX33">
            <v>1099412999.83025</v>
          </cell>
          <cell r="AY33">
            <v>1264575020.6380301</v>
          </cell>
          <cell r="AZ33">
            <v>1350299364.9789801</v>
          </cell>
          <cell r="BA33">
            <v>1607535901.7713599</v>
          </cell>
          <cell r="BB33">
            <v>1764455092.5588701</v>
          </cell>
          <cell r="BC33">
            <v>2021328812.72312</v>
          </cell>
          <cell r="BD33">
            <v>2218375410.85042</v>
          </cell>
          <cell r="BE33">
            <v>2326791660.2888799</v>
          </cell>
          <cell r="BF33">
            <v>2453425870.6951399</v>
          </cell>
          <cell r="BG33">
            <v>2698994566.9022698</v>
          </cell>
          <cell r="BH33">
            <v>3102740807.0865698</v>
          </cell>
          <cell r="BI33">
            <v>2732027292.17522</v>
          </cell>
          <cell r="BJ33">
            <v>2744021929.47435</v>
          </cell>
          <cell r="BK33">
            <v>2673857144.9271002</v>
          </cell>
          <cell r="BL33">
            <v>2637727944.2238102</v>
          </cell>
          <cell r="BM33">
            <v>2856330944.1577101</v>
          </cell>
        </row>
        <row r="34">
          <cell r="B34" t="str">
            <v>CPV</v>
          </cell>
          <cell r="C34" t="str">
            <v>GNI (current US$)</v>
          </cell>
          <cell r="D34" t="str">
            <v>NY.GNP.MKTP.CD</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v>138856701.572375</v>
          </cell>
          <cell r="Z34">
            <v>139991785.553664</v>
          </cell>
          <cell r="AA34">
            <v>136158546.522499</v>
          </cell>
          <cell r="AB34">
            <v>131601795.613636</v>
          </cell>
          <cell r="AC34">
            <v>127523196.261924</v>
          </cell>
          <cell r="AD34">
            <v>133652053.819803</v>
          </cell>
          <cell r="AE34">
            <v>187959832.75292599</v>
          </cell>
          <cell r="AF34">
            <v>235030170.09403101</v>
          </cell>
          <cell r="AG34">
            <v>265056605.26589701</v>
          </cell>
          <cell r="AH34">
            <v>270668649.27460402</v>
          </cell>
          <cell r="AI34">
            <v>309176369.70897299</v>
          </cell>
          <cell r="AJ34">
            <v>321024263.38785601</v>
          </cell>
          <cell r="AK34">
            <v>358442263.81252003</v>
          </cell>
          <cell r="AL34">
            <v>491380499.086128</v>
          </cell>
          <cell r="AM34">
            <v>406239075.11203903</v>
          </cell>
          <cell r="AN34">
            <v>484576531.82048899</v>
          </cell>
          <cell r="AO34">
            <v>497578130.92146301</v>
          </cell>
          <cell r="AP34">
            <v>487022137.74069202</v>
          </cell>
          <cell r="AQ34">
            <v>516378634.44650501</v>
          </cell>
          <cell r="AR34">
            <v>583542586.61668396</v>
          </cell>
          <cell r="AS34">
            <v>525174330.39985102</v>
          </cell>
          <cell r="AT34">
            <v>556963917.23296201</v>
          </cell>
          <cell r="AU34">
            <v>606246005.72171795</v>
          </cell>
          <cell r="AV34">
            <v>799436886.27780104</v>
          </cell>
          <cell r="AW34">
            <v>906125339.49797106</v>
          </cell>
          <cell r="AX34">
            <v>938320012.45061803</v>
          </cell>
          <cell r="AY34">
            <v>1062929628.54676</v>
          </cell>
          <cell r="AZ34">
            <v>1482535119.66378</v>
          </cell>
          <cell r="BA34">
            <v>1742237159.34829</v>
          </cell>
          <cell r="BB34">
            <v>1668453496.0334899</v>
          </cell>
          <cell r="BC34">
            <v>1591147121.9858999</v>
          </cell>
          <cell r="BD34">
            <v>1792779485.5752399</v>
          </cell>
          <cell r="BE34">
            <v>1667229959.8002801</v>
          </cell>
          <cell r="BF34">
            <v>1785866825.96527</v>
          </cell>
          <cell r="BG34">
            <v>1767262553.5169101</v>
          </cell>
          <cell r="BH34">
            <v>1537742030.2920799</v>
          </cell>
          <cell r="BI34">
            <v>1603557429.2773399</v>
          </cell>
          <cell r="BJ34">
            <v>1707314517.2906599</v>
          </cell>
          <cell r="BK34">
            <v>1919741428.1661601</v>
          </cell>
          <cell r="BL34">
            <v>1938894076.0565</v>
          </cell>
          <cell r="BM34">
            <v>1661737711.4892499</v>
          </cell>
        </row>
        <row r="35">
          <cell r="B35" t="str">
            <v>KHM</v>
          </cell>
          <cell r="C35" t="str">
            <v>GNI (current US$)</v>
          </cell>
          <cell r="D35" t="str">
            <v>NY.GNP.MKTP.CD</v>
          </cell>
          <cell r="E35">
            <v>637603957.14285696</v>
          </cell>
          <cell r="F35">
            <v>643322382.85714304</v>
          </cell>
          <cell r="G35">
            <v>660477600</v>
          </cell>
          <cell r="H35">
            <v>729098648.57142901</v>
          </cell>
          <cell r="I35">
            <v>783423662.85714304</v>
          </cell>
          <cell r="J35">
            <v>869199988.57142901</v>
          </cell>
          <cell r="K35">
            <v>918142860</v>
          </cell>
          <cell r="L35">
            <v>960771451.42857099</v>
          </cell>
          <cell r="M35">
            <v>1064142905.71429</v>
          </cell>
          <cell r="N35">
            <v>977464823.94366205</v>
          </cell>
          <cell r="O35">
            <v>717969063.73784697</v>
          </cell>
          <cell r="P35">
            <v>969283315.88863301</v>
          </cell>
          <cell r="Q35">
            <v>505248615.10128897</v>
          </cell>
          <cell r="R35">
            <v>702466307.88076794</v>
          </cell>
          <cell r="S35">
            <v>588070886.54025495</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v>3380436724.6205301</v>
          </cell>
          <cell r="AO35">
            <v>3421442059.5083199</v>
          </cell>
          <cell r="AP35">
            <v>3403728394.3590298</v>
          </cell>
          <cell r="AQ35">
            <v>3066048888.41853</v>
          </cell>
          <cell r="AR35">
            <v>3421151872.3376298</v>
          </cell>
          <cell r="AS35">
            <v>3533900964.8676701</v>
          </cell>
          <cell r="AT35">
            <v>3842634360.2191601</v>
          </cell>
          <cell r="AU35">
            <v>4096441959.94383</v>
          </cell>
          <cell r="AV35">
            <v>4481379859.3867798</v>
          </cell>
          <cell r="AW35">
            <v>5123749224.6595097</v>
          </cell>
          <cell r="AX35">
            <v>6005719072.8649998</v>
          </cell>
          <cell r="AY35">
            <v>6955909278.4987497</v>
          </cell>
          <cell r="AZ35">
            <v>8313830823.6937103</v>
          </cell>
          <cell r="BA35">
            <v>9926200962.0373993</v>
          </cell>
          <cell r="BB35">
            <v>9951177100.6456509</v>
          </cell>
          <cell r="BC35">
            <v>10727606651.334299</v>
          </cell>
          <cell r="BD35">
            <v>12229474121.177799</v>
          </cell>
          <cell r="BE35">
            <v>13324765051.971201</v>
          </cell>
          <cell r="BF35">
            <v>14575360631.473101</v>
          </cell>
          <cell r="BG35">
            <v>15825602128.3715</v>
          </cell>
          <cell r="BH35">
            <v>16944761320.3368</v>
          </cell>
          <cell r="BI35">
            <v>18788293249.755699</v>
          </cell>
          <cell r="BJ35">
            <v>20800209502.639099</v>
          </cell>
          <cell r="BK35">
            <v>22915193840.174801</v>
          </cell>
          <cell r="BL35">
            <v>25525556830.000599</v>
          </cell>
          <cell r="BM35">
            <v>24798236899.965801</v>
          </cell>
        </row>
        <row r="36">
          <cell r="B36" t="str">
            <v>CMR</v>
          </cell>
          <cell r="C36" t="str">
            <v>GNI (current US$)</v>
          </cell>
          <cell r="D36" t="str">
            <v>NY.GNP.MKTP.CD</v>
          </cell>
          <cell r="E36" t="str">
            <v>..</v>
          </cell>
          <cell r="F36" t="str">
            <v>..</v>
          </cell>
          <cell r="G36" t="str">
            <v>..</v>
          </cell>
          <cell r="H36" t="str">
            <v>..</v>
          </cell>
          <cell r="I36" t="str">
            <v>..</v>
          </cell>
          <cell r="J36" t="str">
            <v>..</v>
          </cell>
          <cell r="K36" t="str">
            <v>..</v>
          </cell>
          <cell r="L36">
            <v>778045906.74261796</v>
          </cell>
          <cell r="M36">
            <v>885021202.13423002</v>
          </cell>
          <cell r="N36">
            <v>957837446.90541601</v>
          </cell>
          <cell r="O36">
            <v>1016992895.52107</v>
          </cell>
          <cell r="P36">
            <v>1119275560.2282901</v>
          </cell>
          <cell r="Q36">
            <v>1376836778.59092</v>
          </cell>
          <cell r="R36">
            <v>1633547135.0787699</v>
          </cell>
          <cell r="S36">
            <v>1876157760.1102099</v>
          </cell>
          <cell r="T36">
            <v>2540677514.0460501</v>
          </cell>
          <cell r="U36">
            <v>2561200076.5848999</v>
          </cell>
          <cell r="V36">
            <v>2627811748.38621</v>
          </cell>
          <cell r="W36">
            <v>4264014416.6405602</v>
          </cell>
          <cell r="X36">
            <v>5576488487.7699299</v>
          </cell>
          <cell r="Y36">
            <v>5562770761.1146603</v>
          </cell>
          <cell r="Z36">
            <v>5948518879.8501501</v>
          </cell>
          <cell r="AA36">
            <v>6207428323.1940498</v>
          </cell>
          <cell r="AB36">
            <v>6469482688.5631399</v>
          </cell>
          <cell r="AC36">
            <v>7056305719.0792599</v>
          </cell>
          <cell r="AD36">
            <v>8278150851.7282801</v>
          </cell>
          <cell r="AE36">
            <v>11703434930.7938</v>
          </cell>
          <cell r="AF36">
            <v>12880964303.848499</v>
          </cell>
          <cell r="AG36">
            <v>12193313328.4002</v>
          </cell>
          <cell r="AH36">
            <v>10797507542.9072</v>
          </cell>
          <cell r="AI36">
            <v>11786760549.288799</v>
          </cell>
          <cell r="AJ36">
            <v>11102529078.161501</v>
          </cell>
          <cell r="AK36">
            <v>11387830145.097099</v>
          </cell>
          <cell r="AL36">
            <v>15497617243.943899</v>
          </cell>
          <cell r="AM36">
            <v>8474422982.9106302</v>
          </cell>
          <cell r="AN36">
            <v>10316238800.124399</v>
          </cell>
          <cell r="AO36">
            <v>10514126704.9084</v>
          </cell>
          <cell r="AP36">
            <v>10224691544.5627</v>
          </cell>
          <cell r="AQ36">
            <v>10819194802.355</v>
          </cell>
          <cell r="AR36">
            <v>11118672991.338499</v>
          </cell>
          <cell r="AS36">
            <v>9971651797.3607693</v>
          </cell>
          <cell r="AT36">
            <v>10257038339.415899</v>
          </cell>
          <cell r="AU36">
            <v>11741246999.768801</v>
          </cell>
          <cell r="AV36">
            <v>15443547299.0567</v>
          </cell>
          <cell r="AW36">
            <v>18422804299.3298</v>
          </cell>
          <cell r="AX36">
            <v>19020923827.481899</v>
          </cell>
          <cell r="AY36">
            <v>20658218733.155499</v>
          </cell>
          <cell r="AZ36">
            <v>23427238131.3727</v>
          </cell>
          <cell r="BA36">
            <v>27300880035.874401</v>
          </cell>
          <cell r="BB36">
            <v>27818824888.250599</v>
          </cell>
          <cell r="BC36">
            <v>27243247447.272499</v>
          </cell>
          <cell r="BD36">
            <v>30327345839.542</v>
          </cell>
          <cell r="BE36">
            <v>29709679445.3423</v>
          </cell>
          <cell r="BF36">
            <v>33109063702.217999</v>
          </cell>
          <cell r="BG36">
            <v>36096675699.984596</v>
          </cell>
          <cell r="BH36">
            <v>31773333574.250999</v>
          </cell>
          <cell r="BI36">
            <v>33255787660.460899</v>
          </cell>
          <cell r="BJ36">
            <v>35437229950.158203</v>
          </cell>
          <cell r="BK36">
            <v>39233893813.355598</v>
          </cell>
          <cell r="BL36">
            <v>38827845867.375801</v>
          </cell>
          <cell r="BM36">
            <v>39920133568.224403</v>
          </cell>
        </row>
        <row r="37">
          <cell r="B37" t="str">
            <v>CAN</v>
          </cell>
          <cell r="C37" t="str">
            <v>GNI (current US$)</v>
          </cell>
          <cell r="D37" t="str">
            <v>NY.GNP.MKTP.CD</v>
          </cell>
          <cell r="E37" t="str">
            <v>..</v>
          </cell>
          <cell r="F37" t="str">
            <v>..</v>
          </cell>
          <cell r="G37" t="str">
            <v>..</v>
          </cell>
          <cell r="H37" t="str">
            <v>..</v>
          </cell>
          <cell r="I37" t="str">
            <v>..</v>
          </cell>
          <cell r="J37" t="str">
            <v>..</v>
          </cell>
          <cell r="K37" t="str">
            <v>..</v>
          </cell>
          <cell r="L37" t="str">
            <v>..</v>
          </cell>
          <cell r="M37" t="str">
            <v>..</v>
          </cell>
          <cell r="N37" t="str">
            <v>..</v>
          </cell>
          <cell r="O37">
            <v>86905583309.407593</v>
          </cell>
          <cell r="P37">
            <v>98159003763.121399</v>
          </cell>
          <cell r="Q37">
            <v>111973127588.645</v>
          </cell>
          <cell r="R37">
            <v>129947894210.57899</v>
          </cell>
          <cell r="S37">
            <v>158580766871.16599</v>
          </cell>
          <cell r="T37">
            <v>171802537357.452</v>
          </cell>
          <cell r="U37">
            <v>203585192697.76901</v>
          </cell>
          <cell r="V37">
            <v>207884725905.03101</v>
          </cell>
          <cell r="W37">
            <v>213974919786.09601</v>
          </cell>
          <cell r="X37">
            <v>237297467987.02399</v>
          </cell>
          <cell r="Y37">
            <v>267380993841.94299</v>
          </cell>
          <cell r="Z37">
            <v>296987238301.77698</v>
          </cell>
          <cell r="AA37">
            <v>303780497689.87598</v>
          </cell>
          <cell r="AB37">
            <v>331848425835.76801</v>
          </cell>
          <cell r="AC37">
            <v>345679098139.14001</v>
          </cell>
          <cell r="AD37">
            <v>354994507506.40802</v>
          </cell>
          <cell r="AE37">
            <v>366251889168.76599</v>
          </cell>
          <cell r="AF37">
            <v>419782051282.05103</v>
          </cell>
          <cell r="AG37">
            <v>492889412529.45502</v>
          </cell>
          <cell r="AH37">
            <v>547709459459.45898</v>
          </cell>
          <cell r="AI37">
            <v>574627185464.51794</v>
          </cell>
          <cell r="AJ37">
            <v>592228332024.08997</v>
          </cell>
          <cell r="AK37">
            <v>573080168776.37097</v>
          </cell>
          <cell r="AL37">
            <v>559372141694.44202</v>
          </cell>
          <cell r="AM37">
            <v>559172524897.48096</v>
          </cell>
          <cell r="AN37">
            <v>585086709414.16504</v>
          </cell>
          <cell r="AO37">
            <v>609656032269.89404</v>
          </cell>
          <cell r="AP37">
            <v>634690885454.28296</v>
          </cell>
          <cell r="AQ37">
            <v>612674755645.43298</v>
          </cell>
          <cell r="AR37">
            <v>655584572928.58606</v>
          </cell>
          <cell r="AS37">
            <v>725237357753.68701</v>
          </cell>
          <cell r="AT37">
            <v>718179235537.18994</v>
          </cell>
          <cell r="AU37">
            <v>741406996750.14294</v>
          </cell>
          <cell r="AV37">
            <v>873515809007.20898</v>
          </cell>
          <cell r="AW37">
            <v>1004566487317.45</v>
          </cell>
          <cell r="AX37">
            <v>1149135996038.95</v>
          </cell>
          <cell r="AY37">
            <v>1298296897038.0801</v>
          </cell>
          <cell r="AZ37">
            <v>1447200446885.76</v>
          </cell>
          <cell r="BA37">
            <v>1530173383317.71</v>
          </cell>
          <cell r="BB37">
            <v>1350956171813.49</v>
          </cell>
          <cell r="BC37">
            <v>1585379875651.1899</v>
          </cell>
          <cell r="BD37">
            <v>1759453773319.6499</v>
          </cell>
          <cell r="BE37">
            <v>1795919869603.49</v>
          </cell>
          <cell r="BF37">
            <v>1818471075757.1299</v>
          </cell>
          <cell r="BG37">
            <v>1776572160702.3201</v>
          </cell>
          <cell r="BH37">
            <v>1532663548013.9399</v>
          </cell>
          <cell r="BI37">
            <v>1509327936731.45</v>
          </cell>
          <cell r="BJ37">
            <v>1628291572163.23</v>
          </cell>
          <cell r="BK37">
            <v>1695996608536.1001</v>
          </cell>
          <cell r="BL37">
            <v>1719638539211.23</v>
          </cell>
          <cell r="BM37">
            <v>1627048914857.45</v>
          </cell>
        </row>
        <row r="38">
          <cell r="B38" t="str">
            <v>CYM</v>
          </cell>
          <cell r="C38" t="str">
            <v>GNI (current US$)</v>
          </cell>
          <cell r="D38" t="str">
            <v>NY.GNP.MKTP.CD</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v>3934273850.9540401</v>
          </cell>
          <cell r="BD38">
            <v>4044360134.4053798</v>
          </cell>
          <cell r="BE38">
            <v>2905095163.80655</v>
          </cell>
          <cell r="BF38">
            <v>2646160086.40346</v>
          </cell>
          <cell r="BG38">
            <v>2632477259.0903602</v>
          </cell>
          <cell r="BH38">
            <v>2793106444.2577701</v>
          </cell>
          <cell r="BI38">
            <v>2950833553.3421302</v>
          </cell>
          <cell r="BJ38">
            <v>3460583223.3289299</v>
          </cell>
          <cell r="BK38">
            <v>3852947437.8975201</v>
          </cell>
          <cell r="BL38">
            <v>4493181807.2722902</v>
          </cell>
          <cell r="BM38">
            <v>4229089163.5665398</v>
          </cell>
        </row>
        <row r="39">
          <cell r="B39" t="str">
            <v>CAF</v>
          </cell>
          <cell r="C39" t="str">
            <v>GNI (current US$)</v>
          </cell>
          <cell r="D39" t="str">
            <v>NY.GNP.MKTP.CD</v>
          </cell>
          <cell r="E39">
            <v>111747736.39440601</v>
          </cell>
          <cell r="F39">
            <v>122726888.31163301</v>
          </cell>
          <cell r="G39">
            <v>124074593.31899101</v>
          </cell>
          <cell r="H39">
            <v>128970996.227191</v>
          </cell>
          <cell r="I39">
            <v>141616935.99731001</v>
          </cell>
          <cell r="J39">
            <v>150166787.11291799</v>
          </cell>
          <cell r="K39">
            <v>157522973.12258601</v>
          </cell>
          <cell r="L39">
            <v>163414003.769905</v>
          </cell>
          <cell r="M39">
            <v>188467446.287779</v>
          </cell>
          <cell r="N39">
            <v>186939193.86245501</v>
          </cell>
          <cell r="O39">
            <v>187306620.29477999</v>
          </cell>
          <cell r="P39">
            <v>198941119.23996699</v>
          </cell>
          <cell r="Q39">
            <v>228251320.49029499</v>
          </cell>
          <cell r="R39">
            <v>268083540.16255599</v>
          </cell>
          <cell r="S39">
            <v>278993393.14936501</v>
          </cell>
          <cell r="T39">
            <v>376717384.25451797</v>
          </cell>
          <cell r="U39">
            <v>450459739.56949198</v>
          </cell>
          <cell r="V39">
            <v>506691637.52642202</v>
          </cell>
          <cell r="W39">
            <v>611778518.97512996</v>
          </cell>
          <cell r="X39">
            <v>695364907.93600702</v>
          </cell>
          <cell r="Y39">
            <v>799613350.27139401</v>
          </cell>
          <cell r="Z39">
            <v>698104783.58232296</v>
          </cell>
          <cell r="AA39">
            <v>741049292.420748</v>
          </cell>
          <cell r="AB39">
            <v>647990922.83226502</v>
          </cell>
          <cell r="AC39">
            <v>628156958.34392703</v>
          </cell>
          <cell r="AD39">
            <v>857549797.55733299</v>
          </cell>
          <cell r="AE39">
            <v>1109865058.6085899</v>
          </cell>
          <cell r="AF39">
            <v>1176881510.9374399</v>
          </cell>
          <cell r="AG39">
            <v>1237401965.49786</v>
          </cell>
          <cell r="AH39">
            <v>1208296772.8425901</v>
          </cell>
          <cell r="AI39">
            <v>1418273437.8443301</v>
          </cell>
          <cell r="AJ39">
            <v>1361256586.77615</v>
          </cell>
          <cell r="AK39">
            <v>1396427786.9582701</v>
          </cell>
          <cell r="AL39">
            <v>1260063939.5880699</v>
          </cell>
          <cell r="AM39">
            <v>830378020.935341</v>
          </cell>
          <cell r="AN39">
            <v>1094392733.30336</v>
          </cell>
          <cell r="AO39">
            <v>986712831.17819405</v>
          </cell>
          <cell r="AP39">
            <v>922003071.94449496</v>
          </cell>
          <cell r="AQ39">
            <v>948607846.60713005</v>
          </cell>
          <cell r="AR39">
            <v>991334220.88809299</v>
          </cell>
          <cell r="AS39">
            <v>901436083.89773595</v>
          </cell>
          <cell r="AT39">
            <v>924010113.11138499</v>
          </cell>
          <cell r="AU39">
            <v>982309385.15171397</v>
          </cell>
          <cell r="AV39">
            <v>1136967017.22281</v>
          </cell>
          <cell r="AW39">
            <v>1256265520.41626</v>
          </cell>
          <cell r="AX39">
            <v>1327140867.66574</v>
          </cell>
          <cell r="AY39">
            <v>1449089088.8926799</v>
          </cell>
          <cell r="AZ39">
            <v>1686871786.23681</v>
          </cell>
          <cell r="BA39">
            <v>1962359934.51157</v>
          </cell>
          <cell r="BB39">
            <v>2053265655.31444</v>
          </cell>
          <cell r="BC39">
            <v>2152234701.1677399</v>
          </cell>
          <cell r="BD39">
            <v>2447711151.3965201</v>
          </cell>
          <cell r="BE39">
            <v>2521348254.4432402</v>
          </cell>
          <cell r="BF39">
            <v>1706709151.81952</v>
          </cell>
          <cell r="BG39">
            <v>1914517016.76107</v>
          </cell>
          <cell r="BH39">
            <v>1716880210.2529399</v>
          </cell>
          <cell r="BI39">
            <v>1847781813.23295</v>
          </cell>
          <cell r="BJ39">
            <v>2177935400.0504298</v>
          </cell>
          <cell r="BK39">
            <v>2386745257.7340899</v>
          </cell>
          <cell r="BL39">
            <v>2386023521.66114</v>
          </cell>
          <cell r="BM39">
            <v>2456788005.7888799</v>
          </cell>
        </row>
        <row r="40">
          <cell r="B40" t="str">
            <v>TCD</v>
          </cell>
          <cell r="C40" t="str">
            <v>GNI (current US$)</v>
          </cell>
          <cell r="D40" t="str">
            <v>NY.GNP.MKTP.CD</v>
          </cell>
          <cell r="E40">
            <v>311461553.67705101</v>
          </cell>
          <cell r="F40">
            <v>330890642.62796903</v>
          </cell>
          <cell r="G40">
            <v>354195585.50198197</v>
          </cell>
          <cell r="H40">
            <v>368469401.91341698</v>
          </cell>
          <cell r="I40">
            <v>389154506.50266099</v>
          </cell>
          <cell r="J40">
            <v>413496540.06507897</v>
          </cell>
          <cell r="K40">
            <v>429544067.353499</v>
          </cell>
          <cell r="L40">
            <v>452006359.80637503</v>
          </cell>
          <cell r="M40">
            <v>454660196.05577499</v>
          </cell>
          <cell r="N40">
            <v>473927700.02714598</v>
          </cell>
          <cell r="O40">
            <v>472395974.24445897</v>
          </cell>
          <cell r="P40">
            <v>504596775.294783</v>
          </cell>
          <cell r="Q40">
            <v>589275229.050192</v>
          </cell>
          <cell r="R40">
            <v>650955197.163468</v>
          </cell>
          <cell r="S40">
            <v>656490434.31837702</v>
          </cell>
          <cell r="T40">
            <v>872230329.590029</v>
          </cell>
          <cell r="U40">
            <v>874235973.19071305</v>
          </cell>
          <cell r="V40">
            <v>941449818.796067</v>
          </cell>
          <cell r="W40">
            <v>1119848849.6507699</v>
          </cell>
          <cell r="X40">
            <v>1002051756.6001</v>
          </cell>
          <cell r="Y40">
            <v>1038056268.00718</v>
          </cell>
          <cell r="Z40">
            <v>873458088.38991499</v>
          </cell>
          <cell r="AA40">
            <v>832288385.12247896</v>
          </cell>
          <cell r="AB40">
            <v>826687138.49812496</v>
          </cell>
          <cell r="AC40">
            <v>911618330.57666004</v>
          </cell>
          <cell r="AD40">
            <v>1027594526.18479</v>
          </cell>
          <cell r="AE40">
            <v>1059020854.4980299</v>
          </cell>
          <cell r="AF40">
            <v>1152744653.8673501</v>
          </cell>
          <cell r="AG40">
            <v>1469247181.11323</v>
          </cell>
          <cell r="AH40">
            <v>1424250573.1962399</v>
          </cell>
          <cell r="AI40">
            <v>1720769010.63852</v>
          </cell>
          <cell r="AJ40">
            <v>1874628293.0336001</v>
          </cell>
          <cell r="AK40">
            <v>1884677294.8765299</v>
          </cell>
          <cell r="AL40">
            <v>1423194551.11657</v>
          </cell>
          <cell r="AM40">
            <v>1171969799.0669</v>
          </cell>
          <cell r="AN40">
            <v>1440773219.94822</v>
          </cell>
          <cell r="AO40">
            <v>1597137258.47049</v>
          </cell>
          <cell r="AP40">
            <v>1528104789.45787</v>
          </cell>
          <cell r="AQ40">
            <v>1744116378.32108</v>
          </cell>
          <cell r="AR40">
            <v>1533049608.81054</v>
          </cell>
          <cell r="AS40">
            <v>1370995736.4603</v>
          </cell>
          <cell r="AT40">
            <v>1688295015.53596</v>
          </cell>
          <cell r="AU40">
            <v>1936981359.29949</v>
          </cell>
          <cell r="AV40">
            <v>2284427780.8453698</v>
          </cell>
          <cell r="AW40">
            <v>3727138978.9850202</v>
          </cell>
          <cell r="AX40">
            <v>5624396341.7178402</v>
          </cell>
          <cell r="AY40">
            <v>6216752918.6931105</v>
          </cell>
          <cell r="AZ40">
            <v>7450473272.7762403</v>
          </cell>
          <cell r="BA40">
            <v>8725000640.1345291</v>
          </cell>
          <cell r="BB40">
            <v>8903736312.9059391</v>
          </cell>
          <cell r="BC40">
            <v>10312399364.746099</v>
          </cell>
          <cell r="BD40">
            <v>11856128211.9459</v>
          </cell>
          <cell r="BE40">
            <v>12067690556.3598</v>
          </cell>
          <cell r="BF40">
            <v>12362322220.9534</v>
          </cell>
          <cell r="BG40">
            <v>13336602010.745001</v>
          </cell>
          <cell r="BH40">
            <v>10618477273.031</v>
          </cell>
          <cell r="BI40">
            <v>9911697594.4878006</v>
          </cell>
          <cell r="BJ40">
            <v>9869508954.2581692</v>
          </cell>
          <cell r="BK40">
            <v>11075017680.010599</v>
          </cell>
          <cell r="BL40">
            <v>11140998595.3498</v>
          </cell>
          <cell r="BM40">
            <v>9948225335.7447891</v>
          </cell>
        </row>
        <row r="41">
          <cell r="B41" t="str">
            <v>CHI</v>
          </cell>
          <cell r="C41" t="str">
            <v>GNI (current US$)</v>
          </cell>
          <cell r="D41" t="str">
            <v>NY.GNP.MKTP.CD</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v>6035110963.8953304</v>
          </cell>
          <cell r="AR41">
            <v>6206115515.2887897</v>
          </cell>
          <cell r="AS41">
            <v>6243001967.0146799</v>
          </cell>
          <cell r="AT41">
            <v>6080322441.3415899</v>
          </cell>
          <cell r="AU41">
            <v>6482314148.6810598</v>
          </cell>
          <cell r="AV41">
            <v>7173877551.0204096</v>
          </cell>
          <cell r="AW41">
            <v>8288172830.4650297</v>
          </cell>
          <cell r="AX41">
            <v>8512727272.7272701</v>
          </cell>
          <cell r="AY41">
            <v>9205151793.9282398</v>
          </cell>
          <cell r="AZ41">
            <v>10888355342.1369</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row>
        <row r="42">
          <cell r="B42" t="str">
            <v>CHL</v>
          </cell>
          <cell r="C42" t="str">
            <v>GNI (current US$)</v>
          </cell>
          <cell r="D42" t="str">
            <v>NY.GNP.MKTP.CD</v>
          </cell>
          <cell r="E42">
            <v>4038181818.1818199</v>
          </cell>
          <cell r="F42">
            <v>4535909090.90909</v>
          </cell>
          <cell r="G42">
            <v>5329545454.5454502</v>
          </cell>
          <cell r="H42">
            <v>5577000000</v>
          </cell>
          <cell r="I42">
            <v>5878608695.6521702</v>
          </cell>
          <cell r="J42">
            <v>5902093750</v>
          </cell>
          <cell r="K42">
            <v>6890153846.1538496</v>
          </cell>
          <cell r="L42">
            <v>6801823529.4117603</v>
          </cell>
          <cell r="M42">
            <v>6952623188.4057999</v>
          </cell>
          <cell r="N42">
            <v>8148430232.5581398</v>
          </cell>
          <cell r="O42">
            <v>8927309734.5132809</v>
          </cell>
          <cell r="P42">
            <v>10765532786.885201</v>
          </cell>
          <cell r="Q42">
            <v>11794418269.230801</v>
          </cell>
          <cell r="R42">
            <v>16726597765.3631</v>
          </cell>
          <cell r="S42">
            <v>16025896086.369801</v>
          </cell>
          <cell r="T42">
            <v>7337993238.2892103</v>
          </cell>
          <cell r="U42">
            <v>10015921187.7395</v>
          </cell>
          <cell r="V42">
            <v>13597864048.282301</v>
          </cell>
          <cell r="W42">
            <v>15500998063.8029</v>
          </cell>
          <cell r="X42">
            <v>21128372534.228199</v>
          </cell>
          <cell r="Y42">
            <v>28106809871.794899</v>
          </cell>
          <cell r="Z42">
            <v>33046378043.589699</v>
          </cell>
          <cell r="AA42">
            <v>23404756100.962502</v>
          </cell>
          <cell r="AB42">
            <v>18608496202.563801</v>
          </cell>
          <cell r="AC42">
            <v>17597778880.9911</v>
          </cell>
          <cell r="AD42">
            <v>15619688825.0653</v>
          </cell>
          <cell r="AE42">
            <v>16953346024.9832</v>
          </cell>
          <cell r="AF42">
            <v>20503441046.898499</v>
          </cell>
          <cell r="AG42">
            <v>24062510516.3055</v>
          </cell>
          <cell r="AH42">
            <v>27894121179.6217</v>
          </cell>
          <cell r="AI42">
            <v>31354530651.689098</v>
          </cell>
          <cell r="AJ42">
            <v>35874980432.105797</v>
          </cell>
          <cell r="AK42">
            <v>44043769337.249702</v>
          </cell>
          <cell r="AL42">
            <v>47591342667.689301</v>
          </cell>
          <cell r="AM42">
            <v>54456480891.0467</v>
          </cell>
          <cell r="AN42">
            <v>70658561164.402603</v>
          </cell>
          <cell r="AO42">
            <v>75533864796.856705</v>
          </cell>
          <cell r="AP42">
            <v>82340680700.236801</v>
          </cell>
          <cell r="AQ42">
            <v>79741833590.534195</v>
          </cell>
          <cell r="AR42">
            <v>73026953032.478104</v>
          </cell>
          <cell r="AS42">
            <v>75124613519.152206</v>
          </cell>
          <cell r="AT42">
            <v>68631759083.283798</v>
          </cell>
          <cell r="AU42">
            <v>67033029762.5681</v>
          </cell>
          <cell r="AV42">
            <v>71042113846.5354</v>
          </cell>
          <cell r="AW42">
            <v>91075840567.734802</v>
          </cell>
          <cell r="AX42">
            <v>112323292444.742</v>
          </cell>
          <cell r="AY42">
            <v>136010836013.645</v>
          </cell>
          <cell r="AZ42">
            <v>154242005721.935</v>
          </cell>
          <cell r="BA42">
            <v>165659073480.112</v>
          </cell>
          <cell r="BB42">
            <v>160627294365.12399</v>
          </cell>
          <cell r="BC42">
            <v>203115009358.50201</v>
          </cell>
          <cell r="BD42">
            <v>234266974769.83301</v>
          </cell>
          <cell r="BE42">
            <v>253147634903.73801</v>
          </cell>
          <cell r="BF42">
            <v>264303336057.97699</v>
          </cell>
          <cell r="BG42">
            <v>250558977521.035</v>
          </cell>
          <cell r="BH42">
            <v>236571157262.14499</v>
          </cell>
          <cell r="BI42">
            <v>242625289389.26199</v>
          </cell>
          <cell r="BJ42">
            <v>265577078059.509</v>
          </cell>
          <cell r="BK42">
            <v>284105303708.79602</v>
          </cell>
          <cell r="BL42">
            <v>269285900902.08301</v>
          </cell>
          <cell r="BM42">
            <v>242004999226.591</v>
          </cell>
        </row>
        <row r="43">
          <cell r="B43" t="str">
            <v>CHN</v>
          </cell>
          <cell r="C43" t="str">
            <v>GNI (current US$)</v>
          </cell>
          <cell r="D43" t="str">
            <v>NY.GNP.MKTP.CD</v>
          </cell>
          <cell r="E43">
            <v>59716467625.314796</v>
          </cell>
          <cell r="F43">
            <v>50056868957.673203</v>
          </cell>
          <cell r="G43">
            <v>47209359005.605698</v>
          </cell>
          <cell r="H43">
            <v>50706799902.510399</v>
          </cell>
          <cell r="I43">
            <v>59708343488.504303</v>
          </cell>
          <cell r="J43">
            <v>70436266146.721893</v>
          </cell>
          <cell r="K43">
            <v>76720285969.615707</v>
          </cell>
          <cell r="L43">
            <v>72881631326.671494</v>
          </cell>
          <cell r="M43">
            <v>70846535055.650299</v>
          </cell>
          <cell r="N43">
            <v>79705906247.461197</v>
          </cell>
          <cell r="O43">
            <v>92602973434.072601</v>
          </cell>
          <cell r="P43">
            <v>99800958648.1436</v>
          </cell>
          <cell r="Q43">
            <v>113687586299.05099</v>
          </cell>
          <cell r="R43">
            <v>138544284708.957</v>
          </cell>
          <cell r="S43">
            <v>144182133387.72198</v>
          </cell>
          <cell r="T43">
            <v>163431551779.76099</v>
          </cell>
          <cell r="U43">
            <v>153940455341.50601</v>
          </cell>
          <cell r="V43">
            <v>174938098826.569</v>
          </cell>
          <cell r="W43">
            <v>149540752829.26801</v>
          </cell>
          <cell r="X43">
            <v>178280594413.043</v>
          </cell>
          <cell r="Y43">
            <v>191149211575</v>
          </cell>
          <cell r="Z43">
            <v>195783049099.20599</v>
          </cell>
          <cell r="AA43">
            <v>205361295278.62601</v>
          </cell>
          <cell r="AB43">
            <v>231563322095.785</v>
          </cell>
          <cell r="AC43">
            <v>261221374528.57101</v>
          </cell>
          <cell r="AD43">
            <v>310328084153.06097</v>
          </cell>
          <cell r="AE43">
            <v>300735081440.58002</v>
          </cell>
          <cell r="AF43">
            <v>272793546177.13</v>
          </cell>
          <cell r="AG43">
            <v>312230327072.01599</v>
          </cell>
          <cell r="AH43">
            <v>347942587323.88702</v>
          </cell>
          <cell r="AI43">
            <v>361822783694.073</v>
          </cell>
          <cell r="AJ43">
            <v>384152337595.81897</v>
          </cell>
          <cell r="AK43">
            <v>427130409858.71301</v>
          </cell>
          <cell r="AL43">
            <v>443808937179.75897</v>
          </cell>
          <cell r="AM43">
            <v>563288670008.23804</v>
          </cell>
          <cell r="AN43">
            <v>722773475241.59705</v>
          </cell>
          <cell r="AO43">
            <v>851309717507.39697</v>
          </cell>
          <cell r="AP43">
            <v>950600282950.13196</v>
          </cell>
          <cell r="AQ43">
            <v>1012399391552.22</v>
          </cell>
          <cell r="AR43">
            <v>1079526985274.75</v>
          </cell>
          <cell r="AS43">
            <v>1196681328408.8701</v>
          </cell>
          <cell r="AT43">
            <v>1320222692114.3899</v>
          </cell>
          <cell r="AU43">
            <v>1455604866956.6299</v>
          </cell>
          <cell r="AV43">
            <v>1650069477165.6399</v>
          </cell>
          <cell r="AW43">
            <v>1950215394500.29</v>
          </cell>
          <cell r="AX43">
            <v>2269857202067.29</v>
          </cell>
          <cell r="AY43">
            <v>2746989420523.2402</v>
          </cell>
          <cell r="AZ43">
            <v>3558383398186</v>
          </cell>
          <cell r="BA43">
            <v>4622872256335.7197</v>
          </cell>
          <cell r="BB43">
            <v>5093170992168.5098</v>
          </cell>
          <cell r="BC43">
            <v>6061091977327.4502</v>
          </cell>
          <cell r="BD43">
            <v>7481123496788.6699</v>
          </cell>
          <cell r="BE43">
            <v>8512412397984.8896</v>
          </cell>
          <cell r="BF43">
            <v>9492579024339.0703</v>
          </cell>
          <cell r="BG43">
            <v>10488982516424.1</v>
          </cell>
          <cell r="BH43">
            <v>11008770774789.199</v>
          </cell>
          <cell r="BI43">
            <v>11177576943336.6</v>
          </cell>
          <cell r="BJ43">
            <v>12294278570160.4</v>
          </cell>
          <cell r="BK43">
            <v>13833789298669.9</v>
          </cell>
          <cell r="BL43">
            <v>14239928203346.699</v>
          </cell>
          <cell r="BM43">
            <v>14618341351727.301</v>
          </cell>
        </row>
        <row r="44">
          <cell r="B44" t="str">
            <v>COL</v>
          </cell>
          <cell r="C44" t="str">
            <v>GNI (current US$)</v>
          </cell>
          <cell r="D44" t="str">
            <v>NY.GNP.MKTP.CD</v>
          </cell>
          <cell r="E44">
            <v>4019001281.0851498</v>
          </cell>
          <cell r="F44">
            <v>4524766238.8059702</v>
          </cell>
          <cell r="G44">
            <v>4934165710.3112497</v>
          </cell>
          <cell r="H44">
            <v>4796438866.6666698</v>
          </cell>
          <cell r="I44">
            <v>5950087688.8888903</v>
          </cell>
          <cell r="J44">
            <v>5695009523.8095198</v>
          </cell>
          <cell r="K44">
            <v>5378688888.8888903</v>
          </cell>
          <cell r="L44">
            <v>5589327689.9639502</v>
          </cell>
          <cell r="M44">
            <v>5860219211.8333197</v>
          </cell>
          <cell r="N44">
            <v>6318187089.0340996</v>
          </cell>
          <cell r="O44">
            <v>7025370777.8147602</v>
          </cell>
          <cell r="P44">
            <v>7645029433.8186903</v>
          </cell>
          <cell r="Q44">
            <v>8473740257.75595</v>
          </cell>
          <cell r="R44">
            <v>10104386815.6285</v>
          </cell>
          <cell r="S44">
            <v>12184409033.5578</v>
          </cell>
          <cell r="T44">
            <v>12776548138.7449</v>
          </cell>
          <cell r="U44">
            <v>14984942385.5224</v>
          </cell>
          <cell r="V44">
            <v>19153335981.1357</v>
          </cell>
          <cell r="W44">
            <v>22922871080.302399</v>
          </cell>
          <cell r="X44">
            <v>27649181154.706299</v>
          </cell>
          <cell r="Y44">
            <v>33155485756.531601</v>
          </cell>
          <cell r="Z44">
            <v>35904126272.008904</v>
          </cell>
          <cell r="AA44">
            <v>37999647572.147499</v>
          </cell>
          <cell r="AB44">
            <v>37514872085.730698</v>
          </cell>
          <cell r="AC44">
            <v>36678124773.7313</v>
          </cell>
          <cell r="AD44">
            <v>33219411744.3172</v>
          </cell>
          <cell r="AE44">
            <v>33194484135.073399</v>
          </cell>
          <cell r="AF44">
            <v>34383300523.027603</v>
          </cell>
          <cell r="AG44">
            <v>37467546939.627602</v>
          </cell>
          <cell r="AH44">
            <v>37241071887.377296</v>
          </cell>
          <cell r="AI44">
            <v>45539094151.933296</v>
          </cell>
          <cell r="AJ44">
            <v>47086381862.096199</v>
          </cell>
          <cell r="AK44">
            <v>56161793342.743698</v>
          </cell>
          <cell r="AL44">
            <v>64491312565.362602</v>
          </cell>
          <cell r="AM44">
            <v>80213040694.797501</v>
          </cell>
          <cell r="AN44">
            <v>90911003096.572495</v>
          </cell>
          <cell r="AO44">
            <v>95097412814.692703</v>
          </cell>
          <cell r="AP44">
            <v>104334000798.451</v>
          </cell>
          <cell r="AQ44">
            <v>96748227324.821701</v>
          </cell>
          <cell r="AR44">
            <v>84832744079.289993</v>
          </cell>
          <cell r="AS44">
            <v>97729902123.790298</v>
          </cell>
          <cell r="AT44">
            <v>95787969671.163193</v>
          </cell>
          <cell r="AU44">
            <v>95331633503.927902</v>
          </cell>
          <cell r="AV44">
            <v>91408959391.830704</v>
          </cell>
          <cell r="AW44">
            <v>113017243988.22701</v>
          </cell>
          <cell r="AX44">
            <v>141960162427.80301</v>
          </cell>
          <cell r="AY44">
            <v>157371479210.418</v>
          </cell>
          <cell r="AZ44">
            <v>199929095615.92801</v>
          </cell>
          <cell r="BA44">
            <v>233817836996.71799</v>
          </cell>
          <cell r="BB44">
            <v>225258274516.93701</v>
          </cell>
          <cell r="BC44">
            <v>276075209462.95599</v>
          </cell>
          <cell r="BD44">
            <v>320620818937.099</v>
          </cell>
          <cell r="BE44">
            <v>356796963029.41101</v>
          </cell>
          <cell r="BF44">
            <v>368706346309.552</v>
          </cell>
          <cell r="BG44">
            <v>369869131538.36499</v>
          </cell>
          <cell r="BH44">
            <v>289391125632.04303</v>
          </cell>
          <cell r="BI44">
            <v>279780272017.32001</v>
          </cell>
          <cell r="BJ44">
            <v>306181550715.112</v>
          </cell>
          <cell r="BK44">
            <v>325596541466.94</v>
          </cell>
          <cell r="BL44">
            <v>315868086615.60101</v>
          </cell>
          <cell r="BM44">
            <v>266094191597.48801</v>
          </cell>
        </row>
        <row r="45">
          <cell r="B45" t="str">
            <v>COM</v>
          </cell>
          <cell r="C45" t="str">
            <v>GNI (current US$)</v>
          </cell>
          <cell r="D45" t="str">
            <v>NY.GNP.MKTP.CD</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v>212850523.339414</v>
          </cell>
          <cell r="Z45">
            <v>196610753.50413299</v>
          </cell>
          <cell r="AA45">
            <v>184575738.54204199</v>
          </cell>
          <cell r="AB45">
            <v>191118973.565512</v>
          </cell>
          <cell r="AC45">
            <v>184069241.77199799</v>
          </cell>
          <cell r="AD45">
            <v>195553548.59733501</v>
          </cell>
          <cell r="AE45">
            <v>277677168.83769399</v>
          </cell>
          <cell r="AF45">
            <v>336548610.140616</v>
          </cell>
          <cell r="AG45">
            <v>354262324.41831499</v>
          </cell>
          <cell r="AH45">
            <v>342746835.79222399</v>
          </cell>
          <cell r="AI45">
            <v>428916945.96207702</v>
          </cell>
          <cell r="AJ45">
            <v>423598347.42090303</v>
          </cell>
          <cell r="AK45">
            <v>461257261.33554202</v>
          </cell>
          <cell r="AL45">
            <v>454703733.08113199</v>
          </cell>
          <cell r="AM45">
            <v>319640690.60717797</v>
          </cell>
          <cell r="AN45">
            <v>399479534.38040799</v>
          </cell>
          <cell r="AO45">
            <v>396421276.12990701</v>
          </cell>
          <cell r="AP45">
            <v>364678574.45543301</v>
          </cell>
          <cell r="AQ45">
            <v>369738413.38447797</v>
          </cell>
          <cell r="AR45">
            <v>382656388.636361</v>
          </cell>
          <cell r="AS45">
            <v>351478562.71214402</v>
          </cell>
          <cell r="AT45">
            <v>379225516.44525403</v>
          </cell>
          <cell r="AU45">
            <v>425207827.288472</v>
          </cell>
          <cell r="AV45">
            <v>545532540.12031102</v>
          </cell>
          <cell r="AW45">
            <v>631540746.66848695</v>
          </cell>
          <cell r="AX45">
            <v>652172799.77584696</v>
          </cell>
          <cell r="AY45">
            <v>696992654.00980902</v>
          </cell>
          <cell r="AZ45">
            <v>797225215.77389896</v>
          </cell>
          <cell r="BA45">
            <v>913871918.08669698</v>
          </cell>
          <cell r="BB45">
            <v>904095344.43883395</v>
          </cell>
          <cell r="BC45">
            <v>907127359.33076</v>
          </cell>
          <cell r="BD45">
            <v>1022301332.77123</v>
          </cell>
          <cell r="BE45">
            <v>1014150701.47</v>
          </cell>
          <cell r="BF45">
            <v>1116441521.5832</v>
          </cell>
          <cell r="BG45">
            <v>1151100250.8654699</v>
          </cell>
          <cell r="BH45">
            <v>969881517.913041</v>
          </cell>
          <cell r="BI45">
            <v>1018190400.7207</v>
          </cell>
          <cell r="BJ45">
            <v>1083389247.02739</v>
          </cell>
          <cell r="BK45">
            <v>1185350497.6657801</v>
          </cell>
          <cell r="BL45">
            <v>1170987117.0070901</v>
          </cell>
          <cell r="BM45">
            <v>1227286625.7476699</v>
          </cell>
        </row>
        <row r="46">
          <cell r="B46" t="str">
            <v>COD</v>
          </cell>
          <cell r="C46" t="str">
            <v>GNI (current US$)</v>
          </cell>
          <cell r="D46" t="str">
            <v>NY.GNP.MKTP.CD</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v>5148344537.8151302</v>
          </cell>
          <cell r="AN46">
            <v>4880746438.7464399</v>
          </cell>
          <cell r="AO46">
            <v>5398983858.1107998</v>
          </cell>
          <cell r="AP46">
            <v>5685046520.4811897</v>
          </cell>
          <cell r="AQ46">
            <v>5824848120.9556999</v>
          </cell>
          <cell r="AR46">
            <v>4281472054.5454502</v>
          </cell>
          <cell r="AS46">
            <v>18699788397.101398</v>
          </cell>
          <cell r="AT46">
            <v>7061817563</v>
          </cell>
          <cell r="AU46">
            <v>8430337554.6132402</v>
          </cell>
          <cell r="AV46">
            <v>8710928320.4578991</v>
          </cell>
          <cell r="AW46">
            <v>9989337555.9514599</v>
          </cell>
          <cell r="AX46">
            <v>11457022516.8176</v>
          </cell>
          <cell r="AY46">
            <v>13982219064.1558</v>
          </cell>
          <cell r="AZ46">
            <v>16102883772.5723</v>
          </cell>
          <cell r="BA46">
            <v>18458639375.460999</v>
          </cell>
          <cell r="BB46">
            <v>17862577173.247501</v>
          </cell>
          <cell r="BC46">
            <v>20654939478.438099</v>
          </cell>
          <cell r="BD46">
            <v>24543304631.702301</v>
          </cell>
          <cell r="BE46">
            <v>27710051937.9617</v>
          </cell>
          <cell r="BF46">
            <v>29868627089.042801</v>
          </cell>
          <cell r="BG46">
            <v>32869069198.097801</v>
          </cell>
          <cell r="BH46">
            <v>35126776382.878799</v>
          </cell>
          <cell r="BI46">
            <v>36345365361.454002</v>
          </cell>
          <cell r="BJ46">
            <v>36945659017.8937</v>
          </cell>
          <cell r="BK46">
            <v>45864379412.008499</v>
          </cell>
          <cell r="BL46">
            <v>48961722123.080902</v>
          </cell>
          <cell r="BM46">
            <v>47444089515.376099</v>
          </cell>
        </row>
        <row r="47">
          <cell r="B47" t="str">
            <v>COG</v>
          </cell>
          <cell r="C47" t="str">
            <v>GNI (current US$)</v>
          </cell>
          <cell r="D47" t="str">
            <v>NY.GNP.MKTP.CD</v>
          </cell>
          <cell r="E47">
            <v>129555568.683181</v>
          </cell>
          <cell r="F47">
            <v>148846634.48595899</v>
          </cell>
          <cell r="G47">
            <v>163401936.20819601</v>
          </cell>
          <cell r="H47">
            <v>169162488.47167099</v>
          </cell>
          <cell r="I47">
            <v>182325230.434825</v>
          </cell>
          <cell r="J47">
            <v>194645507.87834701</v>
          </cell>
          <cell r="K47">
            <v>216790816.264873</v>
          </cell>
          <cell r="L47">
            <v>234909005.70885399</v>
          </cell>
          <cell r="M47">
            <v>247612044.632543</v>
          </cell>
          <cell r="N47">
            <v>260039277.75861201</v>
          </cell>
          <cell r="O47">
            <v>268160949.24716201</v>
          </cell>
          <cell r="P47">
            <v>315101012.50018001</v>
          </cell>
          <cell r="Q47">
            <v>404360746.18495202</v>
          </cell>
          <cell r="R47">
            <v>521707243.96367502</v>
          </cell>
          <cell r="S47">
            <v>569489859.27547204</v>
          </cell>
          <cell r="T47">
            <v>737841782.03107905</v>
          </cell>
          <cell r="U47">
            <v>717374157.46204495</v>
          </cell>
          <cell r="V47">
            <v>727513268.18201399</v>
          </cell>
          <cell r="W47">
            <v>824162087.38007498</v>
          </cell>
          <cell r="X47">
            <v>1105749947.6162901</v>
          </cell>
          <cell r="Y47">
            <v>1544186454.57496</v>
          </cell>
          <cell r="Z47">
            <v>1881339661.64763</v>
          </cell>
          <cell r="AA47">
            <v>2022256903.94485</v>
          </cell>
          <cell r="AB47">
            <v>1923414732.38167</v>
          </cell>
          <cell r="AC47">
            <v>2066650984.1919401</v>
          </cell>
          <cell r="AD47">
            <v>2024073139.0620799</v>
          </cell>
          <cell r="AE47">
            <v>1880968131.97263</v>
          </cell>
          <cell r="AF47">
            <v>2336153549.8034801</v>
          </cell>
          <cell r="AG47">
            <v>1906837694.2162399</v>
          </cell>
          <cell r="AH47">
            <v>2027194944.57707</v>
          </cell>
          <cell r="AI47">
            <v>2323840716.8023801</v>
          </cell>
          <cell r="AJ47">
            <v>2278923344.3067198</v>
          </cell>
          <cell r="AK47">
            <v>2555424837.4902401</v>
          </cell>
          <cell r="AL47">
            <v>2162160847.1599002</v>
          </cell>
          <cell r="AM47">
            <v>1514504470.15308</v>
          </cell>
          <cell r="AN47">
            <v>1228292026.98035</v>
          </cell>
          <cell r="AO47">
            <v>1455086517.04107</v>
          </cell>
          <cell r="AP47">
            <v>1661142420.69226</v>
          </cell>
          <cell r="AQ47">
            <v>1478608930.42449</v>
          </cell>
          <cell r="AR47">
            <v>1644949619.0590501</v>
          </cell>
          <cell r="AS47">
            <v>2280886049.5798402</v>
          </cell>
          <cell r="AT47">
            <v>1969428950.9647601</v>
          </cell>
          <cell r="AU47">
            <v>2183515345.53473</v>
          </cell>
          <cell r="AV47">
            <v>2583994643.7076602</v>
          </cell>
          <cell r="AW47">
            <v>3167358436.71421</v>
          </cell>
          <cell r="AX47">
            <v>5041787247.4183702</v>
          </cell>
          <cell r="AY47">
            <v>6832112522.3063097</v>
          </cell>
          <cell r="AZ47">
            <v>7360121752.6438303</v>
          </cell>
          <cell r="BA47">
            <v>10173620097.8416</v>
          </cell>
          <cell r="BB47">
            <v>8925472848.3227901</v>
          </cell>
          <cell r="BC47">
            <v>12209624109.3368</v>
          </cell>
          <cell r="BD47">
            <v>14071222747.3006</v>
          </cell>
          <cell r="BE47">
            <v>16737430784.771299</v>
          </cell>
          <cell r="BF47">
            <v>17542377946.669201</v>
          </cell>
          <cell r="BG47">
            <v>18151594242.437698</v>
          </cell>
          <cell r="BH47">
            <v>11819665613.6115</v>
          </cell>
          <cell r="BI47">
            <v>9825311857.3554497</v>
          </cell>
          <cell r="BJ47">
            <v>9532272772.0927505</v>
          </cell>
          <cell r="BK47">
            <v>11650026556.8568</v>
          </cell>
          <cell r="BL47">
            <v>10017208118.166401</v>
          </cell>
          <cell r="BM47">
            <v>8599268927.2040691</v>
          </cell>
        </row>
        <row r="48">
          <cell r="B48" t="str">
            <v>CRI</v>
          </cell>
          <cell r="C48" t="str">
            <v>GNI (current US$)</v>
          </cell>
          <cell r="D48" t="str">
            <v>NY.GNP.MKTP.CD</v>
          </cell>
          <cell r="E48">
            <v>502758192.43120497</v>
          </cell>
          <cell r="F48">
            <v>485021006.99675298</v>
          </cell>
          <cell r="G48">
            <v>469634667.14786202</v>
          </cell>
          <cell r="H48">
            <v>503109261.51486403</v>
          </cell>
          <cell r="I48">
            <v>531162283.27393597</v>
          </cell>
          <cell r="J48">
            <v>578881162.26415098</v>
          </cell>
          <cell r="K48">
            <v>631805630.18867898</v>
          </cell>
          <cell r="L48">
            <v>681856618.86792505</v>
          </cell>
          <cell r="M48">
            <v>754641494.33962297</v>
          </cell>
          <cell r="N48">
            <v>837730203.77358496</v>
          </cell>
          <cell r="O48">
            <v>969030158.49056602</v>
          </cell>
          <cell r="P48">
            <v>1060102206.526</v>
          </cell>
          <cell r="Q48">
            <v>1200686058.7792001</v>
          </cell>
          <cell r="R48">
            <v>1488145378.2271199</v>
          </cell>
          <cell r="S48">
            <v>1624813114.7541001</v>
          </cell>
          <cell r="T48">
            <v>1894935064.1773601</v>
          </cell>
          <cell r="U48">
            <v>2336934399.0665102</v>
          </cell>
          <cell r="V48">
            <v>2992727012.8354702</v>
          </cell>
          <cell r="W48">
            <v>3409908809.80163</v>
          </cell>
          <cell r="X48">
            <v>3885819323.22054</v>
          </cell>
          <cell r="Y48">
            <v>4615347012.8354702</v>
          </cell>
          <cell r="Z48">
            <v>2339707172.1659899</v>
          </cell>
          <cell r="AA48">
            <v>2202721156.9050498</v>
          </cell>
          <cell r="AB48">
            <v>2813170199.20086</v>
          </cell>
          <cell r="AC48">
            <v>3358576268.67448</v>
          </cell>
          <cell r="AD48">
            <v>3637004055.44554</v>
          </cell>
          <cell r="AE48">
            <v>4145083679.2114701</v>
          </cell>
          <cell r="AF48">
            <v>4235852462.9600101</v>
          </cell>
          <cell r="AG48">
            <v>4277829898.4034801</v>
          </cell>
          <cell r="AH48">
            <v>4849125767.4762697</v>
          </cell>
          <cell r="AI48">
            <v>5459187786.7598896</v>
          </cell>
          <cell r="AJ48">
            <v>7012202695.9973001</v>
          </cell>
          <cell r="AK48">
            <v>8366583418.3063602</v>
          </cell>
          <cell r="AL48">
            <v>9377106943.4902992</v>
          </cell>
          <cell r="AM48">
            <v>10394713567.464701</v>
          </cell>
          <cell r="AN48">
            <v>11429222091.6446</v>
          </cell>
          <cell r="AO48">
            <v>11578167151.6457</v>
          </cell>
          <cell r="AP48">
            <v>12497934827.838499</v>
          </cell>
          <cell r="AQ48">
            <v>13419122090.192301</v>
          </cell>
          <cell r="AR48">
            <v>13735678491.967199</v>
          </cell>
          <cell r="AS48">
            <v>14325426928.955</v>
          </cell>
          <cell r="AT48">
            <v>15242995591.627001</v>
          </cell>
          <cell r="AU48">
            <v>15817615696.2451</v>
          </cell>
          <cell r="AV48">
            <v>16475832408.8361</v>
          </cell>
          <cell r="AW48">
            <v>17823588236.360699</v>
          </cell>
          <cell r="AX48">
            <v>19287410090.9039</v>
          </cell>
          <cell r="AY48">
            <v>22052841281.816502</v>
          </cell>
          <cell r="AZ48">
            <v>26188757856.4067</v>
          </cell>
          <cell r="BA48">
            <v>30207530276.544998</v>
          </cell>
          <cell r="BB48">
            <v>29731665122.236801</v>
          </cell>
          <cell r="BC48">
            <v>36449992582.264999</v>
          </cell>
          <cell r="BD48">
            <v>41322448324.223297</v>
          </cell>
          <cell r="BE48">
            <v>45751072762.835899</v>
          </cell>
          <cell r="BF48">
            <v>49093858935.0933</v>
          </cell>
          <cell r="BG48">
            <v>49869412966.9739</v>
          </cell>
          <cell r="BH48">
            <v>54026902501.7369</v>
          </cell>
          <cell r="BI48">
            <v>56365192136.0522</v>
          </cell>
          <cell r="BJ48">
            <v>57352914875.243202</v>
          </cell>
          <cell r="BK48">
            <v>59042758879.531898</v>
          </cell>
          <cell r="BL48">
            <v>60210176461.764</v>
          </cell>
          <cell r="BM48">
            <v>58284233591.454201</v>
          </cell>
        </row>
        <row r="49">
          <cell r="B49" t="str">
            <v>CIV</v>
          </cell>
          <cell r="C49" t="str">
            <v>GNI (current US$)</v>
          </cell>
          <cell r="D49" t="str">
            <v>NY.GNP.MKTP.CD</v>
          </cell>
          <cell r="E49">
            <v>556461974.56637597</v>
          </cell>
          <cell r="F49">
            <v>610784462.29125702</v>
          </cell>
          <cell r="G49">
            <v>628637607.09086299</v>
          </cell>
          <cell r="H49">
            <v>731665746.04802001</v>
          </cell>
          <cell r="I49">
            <v>896802258.68801498</v>
          </cell>
          <cell r="J49">
            <v>893071404.69981098</v>
          </cell>
          <cell r="K49">
            <v>990003045.44477701</v>
          </cell>
          <cell r="L49">
            <v>1046698267.36406</v>
          </cell>
          <cell r="M49">
            <v>1243690090.3077099</v>
          </cell>
          <cell r="N49">
            <v>1319400676.4871299</v>
          </cell>
          <cell r="O49">
            <v>1419614169.30563</v>
          </cell>
          <cell r="P49">
            <v>1517255392.55474</v>
          </cell>
          <cell r="Q49">
            <v>1789500104.7504301</v>
          </cell>
          <cell r="R49">
            <v>2405120879.7913899</v>
          </cell>
          <cell r="S49">
            <v>2973453746.8524699</v>
          </cell>
          <cell r="T49">
            <v>3752941296.1142302</v>
          </cell>
          <cell r="U49">
            <v>4503853782.6872101</v>
          </cell>
          <cell r="V49">
            <v>6070867871.4602804</v>
          </cell>
          <cell r="W49">
            <v>7591719440.5286999</v>
          </cell>
          <cell r="X49">
            <v>8682639497.3524094</v>
          </cell>
          <cell r="Y49">
            <v>9680514963.5837994</v>
          </cell>
          <cell r="Z49">
            <v>7910291659.5978003</v>
          </cell>
          <cell r="AA49">
            <v>7026604091.5831499</v>
          </cell>
          <cell r="AB49">
            <v>6150115376.0765896</v>
          </cell>
          <cell r="AC49">
            <v>6349599661.4767599</v>
          </cell>
          <cell r="AD49">
            <v>6295644347.7428598</v>
          </cell>
          <cell r="AE49">
            <v>8468160649.2987804</v>
          </cell>
          <cell r="AF49">
            <v>9196580291.7182102</v>
          </cell>
          <cell r="AG49">
            <v>9302464668.9152393</v>
          </cell>
          <cell r="AH49">
            <v>8372493877.1185598</v>
          </cell>
          <cell r="AI49">
            <v>9209159713.2644405</v>
          </cell>
          <cell r="AJ49">
            <v>9121517377.2779007</v>
          </cell>
          <cell r="AK49">
            <v>9807255443.8785</v>
          </cell>
          <cell r="AL49">
            <v>9679054334.1528893</v>
          </cell>
          <cell r="AM49">
            <v>7539428502.4964705</v>
          </cell>
          <cell r="AN49">
            <v>10012665108.613001</v>
          </cell>
          <cell r="AO49">
            <v>11223283348.685301</v>
          </cell>
          <cell r="AP49">
            <v>11002798844.6884</v>
          </cell>
          <cell r="AQ49">
            <v>12020812547.7369</v>
          </cell>
          <cell r="AR49">
            <v>11742586597.901501</v>
          </cell>
          <cell r="AS49">
            <v>9739259484.5453701</v>
          </cell>
          <cell r="AT49">
            <v>9920429842.9664593</v>
          </cell>
          <cell r="AU49">
            <v>10857690889.8375</v>
          </cell>
          <cell r="AV49">
            <v>13047013229.754101</v>
          </cell>
          <cell r="AW49">
            <v>14789615104.923201</v>
          </cell>
          <cell r="AX49">
            <v>16439389624.8974</v>
          </cell>
          <cell r="AY49">
            <v>17106471364.1521</v>
          </cell>
          <cell r="AZ49">
            <v>19561215518.255402</v>
          </cell>
          <cell r="BA49">
            <v>23421491785.6502</v>
          </cell>
          <cell r="BB49">
            <v>23436745169.079601</v>
          </cell>
          <cell r="BC49">
            <v>23995589514.066799</v>
          </cell>
          <cell r="BD49">
            <v>24425276236.788799</v>
          </cell>
          <cell r="BE49">
            <v>25926661657.294201</v>
          </cell>
          <cell r="BF49">
            <v>29861784272.147598</v>
          </cell>
          <cell r="BG49">
            <v>34454180221.740501</v>
          </cell>
          <cell r="BH49">
            <v>44807384562.923897</v>
          </cell>
          <cell r="BI49">
            <v>46887633191.451401</v>
          </cell>
          <cell r="BJ49">
            <v>50051967022.855301</v>
          </cell>
          <cell r="BK49">
            <v>55809155337.192703</v>
          </cell>
          <cell r="BL49">
            <v>56975603680.0811</v>
          </cell>
          <cell r="BM49">
            <v>59471452570.076401</v>
          </cell>
        </row>
        <row r="50">
          <cell r="B50" t="str">
            <v>HRV</v>
          </cell>
          <cell r="C50" t="str">
            <v>GNI (current US$)</v>
          </cell>
          <cell r="D50" t="str">
            <v>NY.GNP.MKTP.CD</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v>22664287801.868</v>
          </cell>
          <cell r="AO50">
            <v>23971864070.495602</v>
          </cell>
          <cell r="AP50">
            <v>24046961036.9711</v>
          </cell>
          <cell r="AQ50">
            <v>25604560647.289501</v>
          </cell>
          <cell r="AR50">
            <v>23176901583.4687</v>
          </cell>
          <cell r="AS50">
            <v>21436444637.7616</v>
          </cell>
          <cell r="AT50">
            <v>22791793391.328899</v>
          </cell>
          <cell r="AU50">
            <v>26616296265.123901</v>
          </cell>
          <cell r="AV50">
            <v>33820561994.060501</v>
          </cell>
          <cell r="AW50">
            <v>41234136411.018303</v>
          </cell>
          <cell r="AX50">
            <v>44686370270.727097</v>
          </cell>
          <cell r="AY50">
            <v>49555166923.546501</v>
          </cell>
          <cell r="AZ50">
            <v>59150067178.199799</v>
          </cell>
          <cell r="BA50">
            <v>68455156477.8284</v>
          </cell>
          <cell r="BB50">
            <v>60742797045.6996</v>
          </cell>
          <cell r="BC50">
            <v>58388135336.319099</v>
          </cell>
          <cell r="BD50">
            <v>61129319478.278297</v>
          </cell>
          <cell r="BE50">
            <v>55274204473.4011</v>
          </cell>
          <cell r="BF50">
            <v>57717108743.550598</v>
          </cell>
          <cell r="BG50">
            <v>57124036614.114403</v>
          </cell>
          <cell r="BH50">
            <v>49853588711.893799</v>
          </cell>
          <cell r="BI50">
            <v>50752030687.435799</v>
          </cell>
          <cell r="BJ50">
            <v>55400508645.130096</v>
          </cell>
          <cell r="BK50">
            <v>61350206791.588097</v>
          </cell>
          <cell r="BL50">
            <v>61323651128.3134</v>
          </cell>
          <cell r="BM50">
            <v>57417029309.209602</v>
          </cell>
        </row>
        <row r="51">
          <cell r="B51" t="str">
            <v>CUB</v>
          </cell>
          <cell r="C51" t="str">
            <v>GNI (current US$)</v>
          </cell>
          <cell r="D51" t="str">
            <v>NY.GNP.MKTP.CD</v>
          </cell>
          <cell r="E51" t="str">
            <v>..</v>
          </cell>
          <cell r="F51" t="str">
            <v>..</v>
          </cell>
          <cell r="G51" t="str">
            <v>..</v>
          </cell>
          <cell r="H51" t="str">
            <v>..</v>
          </cell>
          <cell r="I51" t="str">
            <v>..</v>
          </cell>
          <cell r="J51" t="str">
            <v>..</v>
          </cell>
          <cell r="K51" t="str">
            <v>..</v>
          </cell>
          <cell r="L51" t="str">
            <v>..</v>
          </cell>
          <cell r="M51" t="str">
            <v>..</v>
          </cell>
          <cell r="N51" t="str">
            <v>..</v>
          </cell>
          <cell r="O51">
            <v>5584007500</v>
          </cell>
          <cell r="P51">
            <v>6782256200</v>
          </cell>
          <cell r="Q51">
            <v>7979320041.9727201</v>
          </cell>
          <cell r="R51">
            <v>9796397346.2002392</v>
          </cell>
          <cell r="S51">
            <v>11187718414.6341</v>
          </cell>
          <cell r="T51">
            <v>12778100609.7561</v>
          </cell>
          <cell r="U51">
            <v>13525388428.745399</v>
          </cell>
          <cell r="V51">
            <v>13933525180.7229</v>
          </cell>
          <cell r="W51">
            <v>17502936103.896099</v>
          </cell>
          <cell r="X51">
            <v>19211775616.4384</v>
          </cell>
          <cell r="Y51">
            <v>19531412500</v>
          </cell>
          <cell r="Z51">
            <v>19762075662.6506</v>
          </cell>
          <cell r="AA51">
            <v>20547988470.5882</v>
          </cell>
          <cell r="AB51">
            <v>21783970197.904499</v>
          </cell>
          <cell r="AC51">
            <v>23596807057.484299</v>
          </cell>
          <cell r="AD51">
            <v>22466664483.022202</v>
          </cell>
          <cell r="AE51">
            <v>23746921046.316299</v>
          </cell>
          <cell r="AF51">
            <v>24714712705.074402</v>
          </cell>
          <cell r="AG51">
            <v>26992651715.0396</v>
          </cell>
          <cell r="AH51">
            <v>26599988081.507099</v>
          </cell>
          <cell r="AI51">
            <v>28034938962.765999</v>
          </cell>
          <cell r="AJ51">
            <v>23862628224.375599</v>
          </cell>
          <cell r="AK51">
            <v>21760981486.4865</v>
          </cell>
          <cell r="AL51">
            <v>22022285540.540501</v>
          </cell>
          <cell r="AM51">
            <v>27998129864.864899</v>
          </cell>
          <cell r="AN51">
            <v>29752587897.3573</v>
          </cell>
          <cell r="AO51">
            <v>24524500000</v>
          </cell>
          <cell r="AP51">
            <v>24882700000</v>
          </cell>
          <cell r="AQ51">
            <v>25288000000</v>
          </cell>
          <cell r="AR51">
            <v>27850400000</v>
          </cell>
          <cell r="AS51">
            <v>29943300000</v>
          </cell>
          <cell r="AT51">
            <v>31179700000</v>
          </cell>
          <cell r="AU51">
            <v>32979826200</v>
          </cell>
          <cell r="AV51">
            <v>35340723500</v>
          </cell>
          <cell r="AW51">
            <v>37552770500</v>
          </cell>
          <cell r="AX51">
            <v>42010636100</v>
          </cell>
          <cell r="AY51">
            <v>52124800000</v>
          </cell>
          <cell r="AZ51">
            <v>57644200000</v>
          </cell>
          <cell r="BA51">
            <v>59751100000</v>
          </cell>
          <cell r="BB51">
            <v>60437000000</v>
          </cell>
          <cell r="BC51">
            <v>62896000000</v>
          </cell>
          <cell r="BD51">
            <v>67926000000</v>
          </cell>
          <cell r="BE51">
            <v>72146000000</v>
          </cell>
          <cell r="BF51">
            <v>76226000000</v>
          </cell>
          <cell r="BG51">
            <v>79602100000</v>
          </cell>
          <cell r="BH51">
            <v>86014000000</v>
          </cell>
          <cell r="BI51">
            <v>90086000000</v>
          </cell>
          <cell r="BJ51">
            <v>95497000000</v>
          </cell>
          <cell r="BK51">
            <v>98575000000</v>
          </cell>
          <cell r="BL51" t="str">
            <v>..</v>
          </cell>
          <cell r="BM51" t="str">
            <v>..</v>
          </cell>
        </row>
        <row r="52">
          <cell r="B52" t="str">
            <v>CUW</v>
          </cell>
          <cell r="C52" t="str">
            <v>GNI (current US$)</v>
          </cell>
          <cell r="D52" t="str">
            <v>NY.GNP.MKTP.CD</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v>3025347670.43083</v>
          </cell>
          <cell r="BE52">
            <v>3168224600.67135</v>
          </cell>
          <cell r="BF52">
            <v>3193945792.2796102</v>
          </cell>
          <cell r="BG52">
            <v>3227121116.21626</v>
          </cell>
          <cell r="BH52">
            <v>3243793436.3998699</v>
          </cell>
          <cell r="BI52">
            <v>3200204155.8133702</v>
          </cell>
          <cell r="BJ52">
            <v>3226134517.5864501</v>
          </cell>
          <cell r="BK52">
            <v>3232779546.2390699</v>
          </cell>
          <cell r="BL52">
            <v>3234089147.0711198</v>
          </cell>
          <cell r="BM52">
            <v>2692146703.2809701</v>
          </cell>
        </row>
        <row r="53">
          <cell r="B53" t="str">
            <v>CYP</v>
          </cell>
          <cell r="C53" t="str">
            <v>GNI (current US$)</v>
          </cell>
          <cell r="D53" t="str">
            <v>NY.GNP.MKTP.CD</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v>578311622.74058402</v>
          </cell>
          <cell r="V53">
            <v>743528819.76212299</v>
          </cell>
          <cell r="W53">
            <v>974720507.96479905</v>
          </cell>
          <cell r="X53">
            <v>1298894850.2994001</v>
          </cell>
          <cell r="Y53">
            <v>2174377611.9403</v>
          </cell>
          <cell r="Z53">
            <v>2103814365.4114399</v>
          </cell>
          <cell r="AA53">
            <v>2174408877.9284801</v>
          </cell>
          <cell r="AB53">
            <v>2160141601.7797599</v>
          </cell>
          <cell r="AC53">
            <v>2280841176.4705901</v>
          </cell>
          <cell r="AD53">
            <v>2435306333.9731302</v>
          </cell>
          <cell r="AE53">
            <v>3055706214.68927</v>
          </cell>
          <cell r="AF53">
            <v>3667785870.8891602</v>
          </cell>
          <cell r="AG53">
            <v>4236132622.3337498</v>
          </cell>
          <cell r="AH53">
            <v>4532358343.1952696</v>
          </cell>
          <cell r="AI53">
            <v>5557199359.7951298</v>
          </cell>
          <cell r="AJ53">
            <v>5737621590.90909</v>
          </cell>
          <cell r="AK53">
            <v>6866387744.45893</v>
          </cell>
          <cell r="AL53">
            <v>6551304004.7114296</v>
          </cell>
          <cell r="AM53">
            <v>7373203928.5714302</v>
          </cell>
          <cell r="AN53">
            <v>9431244501.9404907</v>
          </cell>
          <cell r="AO53">
            <v>9527828105.3952293</v>
          </cell>
          <cell r="AP53">
            <v>9024625997.7194996</v>
          </cell>
          <cell r="AQ53">
            <v>10557893665.1584</v>
          </cell>
          <cell r="AR53">
            <v>9895297734.6278305</v>
          </cell>
          <cell r="AS53">
            <v>9128568331.7624893</v>
          </cell>
          <cell r="AT53">
            <v>9655802367.9417095</v>
          </cell>
          <cell r="AU53">
            <v>10831199038.4615</v>
          </cell>
          <cell r="AV53">
            <v>13954369195.923</v>
          </cell>
          <cell r="AW53">
            <v>16345890000</v>
          </cell>
          <cell r="AX53">
            <v>17475010570.824501</v>
          </cell>
          <cell r="AY53">
            <v>18960303600.551998</v>
          </cell>
          <cell r="AZ53">
            <v>22433135778.811901</v>
          </cell>
          <cell r="BA53">
            <v>27388166105.170601</v>
          </cell>
          <cell r="BB53">
            <v>25873166157.2659</v>
          </cell>
          <cell r="BC53">
            <v>25365001988.598701</v>
          </cell>
          <cell r="BD53">
            <v>28291559020.044498</v>
          </cell>
          <cell r="BE53">
            <v>24805330849.2869</v>
          </cell>
          <cell r="BF53">
            <v>23618497808.4739</v>
          </cell>
          <cell r="BG53">
            <v>22538678092.201401</v>
          </cell>
          <cell r="BH53">
            <v>19712840341.7286</v>
          </cell>
          <cell r="BI53">
            <v>20118149214.080101</v>
          </cell>
          <cell r="BJ53">
            <v>22199072525.9828</v>
          </cell>
          <cell r="BK53">
            <v>24607344119.0364</v>
          </cell>
          <cell r="BL53">
            <v>24544867345.796501</v>
          </cell>
          <cell r="BM53">
            <v>23149145631.068001</v>
          </cell>
        </row>
        <row r="54">
          <cell r="B54" t="str">
            <v>CZE</v>
          </cell>
          <cell r="C54" t="str">
            <v>GNI (current US$)</v>
          </cell>
          <cell r="D54" t="str">
            <v>NY.GNP.MKTP.CD</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v>34590101839.405701</v>
          </cell>
          <cell r="AL54">
            <v>40901722601.447502</v>
          </cell>
          <cell r="AM54">
            <v>47891929789.821098</v>
          </cell>
          <cell r="AN54">
            <v>59678259231.3489</v>
          </cell>
          <cell r="AO54">
            <v>66384038430.367104</v>
          </cell>
          <cell r="AP54">
            <v>61246143362.798401</v>
          </cell>
          <cell r="AQ54">
            <v>65822119375.983597</v>
          </cell>
          <cell r="AR54">
            <v>63964019994.677299</v>
          </cell>
          <cell r="AS54">
            <v>60625668795.584999</v>
          </cell>
          <cell r="AT54">
            <v>65898379680.142601</v>
          </cell>
          <cell r="AU54">
            <v>79239888083.180099</v>
          </cell>
          <cell r="AV54">
            <v>96725406785.068604</v>
          </cell>
          <cell r="AW54">
            <v>114139370734.403</v>
          </cell>
          <cell r="AX54">
            <v>130807057527.11099</v>
          </cell>
          <cell r="AY54">
            <v>146538883676.46799</v>
          </cell>
          <cell r="AZ54">
            <v>177936058973.96701</v>
          </cell>
          <cell r="BA54">
            <v>222389334395.51999</v>
          </cell>
          <cell r="BB54">
            <v>193114095367.98999</v>
          </cell>
          <cell r="BC54">
            <v>193418140405.535</v>
          </cell>
          <cell r="BD54">
            <v>211036199499.884</v>
          </cell>
          <cell r="BE54">
            <v>195428016856.08499</v>
          </cell>
          <cell r="BF54">
            <v>198239568740.49899</v>
          </cell>
          <cell r="BG54">
            <v>194987353968.44501</v>
          </cell>
          <cell r="BH54">
            <v>175136907363.17899</v>
          </cell>
          <cell r="BI54">
            <v>183030984148.20001</v>
          </cell>
          <cell r="BJ54">
            <v>206250524034.28</v>
          </cell>
          <cell r="BK54">
            <v>235280883881.285</v>
          </cell>
          <cell r="BL54">
            <v>237234462383.76099</v>
          </cell>
          <cell r="BM54">
            <v>236796716967.71899</v>
          </cell>
        </row>
        <row r="55">
          <cell r="B55" t="str">
            <v>DNK</v>
          </cell>
          <cell r="C55" t="str">
            <v>GNI (current US$)</v>
          </cell>
          <cell r="D55" t="str">
            <v>NY.GNP.MKTP.CD</v>
          </cell>
          <cell r="E55" t="str">
            <v>..</v>
          </cell>
          <cell r="F55" t="str">
            <v>..</v>
          </cell>
          <cell r="G55" t="str">
            <v>..</v>
          </cell>
          <cell r="H55" t="str">
            <v>..</v>
          </cell>
          <cell r="I55" t="str">
            <v>..</v>
          </cell>
          <cell r="J55" t="str">
            <v>..</v>
          </cell>
          <cell r="K55">
            <v>11844704281.126499</v>
          </cell>
          <cell r="L55">
            <v>12940157639.3276</v>
          </cell>
          <cell r="M55">
            <v>13345633733.3333</v>
          </cell>
          <cell r="N55">
            <v>15221015960</v>
          </cell>
          <cell r="O55">
            <v>16810092666.6667</v>
          </cell>
          <cell r="P55">
            <v>18736937909.860901</v>
          </cell>
          <cell r="Q55">
            <v>22847257997.208401</v>
          </cell>
          <cell r="R55">
            <v>30599735680.6348</v>
          </cell>
          <cell r="S55">
            <v>33804669149.616901</v>
          </cell>
          <cell r="T55">
            <v>40278863770.839897</v>
          </cell>
          <cell r="U55">
            <v>44437450289.495499</v>
          </cell>
          <cell r="V55">
            <v>49859597881.130096</v>
          </cell>
          <cell r="W55">
            <v>60569192688.499603</v>
          </cell>
          <cell r="X55">
            <v>70008559399.353699</v>
          </cell>
          <cell r="Y55">
            <v>69964084174.666</v>
          </cell>
          <cell r="Z55">
            <v>60076479770.895897</v>
          </cell>
          <cell r="AA55">
            <v>58229571672.027298</v>
          </cell>
          <cell r="AB55">
            <v>58620592673.592102</v>
          </cell>
          <cell r="AC55">
            <v>56865098777.591103</v>
          </cell>
          <cell r="AD55">
            <v>60234072043.335503</v>
          </cell>
          <cell r="AE55">
            <v>85234310962.798203</v>
          </cell>
          <cell r="AF55">
            <v>106339795476.80701</v>
          </cell>
          <cell r="AG55">
            <v>111928267696.64999</v>
          </cell>
          <cell r="AH55">
            <v>108442468468.715</v>
          </cell>
          <cell r="AI55">
            <v>133535624373.849</v>
          </cell>
          <cell r="AJ55">
            <v>134266234972.25</v>
          </cell>
          <cell r="AK55">
            <v>148139456105.76401</v>
          </cell>
          <cell r="AL55">
            <v>139651772081.61801</v>
          </cell>
          <cell r="AM55">
            <v>152701498757.979</v>
          </cell>
          <cell r="AN55">
            <v>181668927602.45599</v>
          </cell>
          <cell r="AO55">
            <v>183957093831.37601</v>
          </cell>
          <cell r="AP55">
            <v>170398667575.138</v>
          </cell>
          <cell r="AQ55">
            <v>174474391117.479</v>
          </cell>
          <cell r="AR55">
            <v>176090565064.07501</v>
          </cell>
          <cell r="AS55">
            <v>160421991562.64301</v>
          </cell>
          <cell r="AT55">
            <v>162360864132.263</v>
          </cell>
          <cell r="AU55">
            <v>176412403257.88199</v>
          </cell>
          <cell r="AV55">
            <v>216143722391.73001</v>
          </cell>
          <cell r="AW55">
            <v>251681994959.189</v>
          </cell>
          <cell r="AX55">
            <v>266599076189.36499</v>
          </cell>
          <cell r="AY55">
            <v>286311629784.086</v>
          </cell>
          <cell r="AZ55">
            <v>321027058801.91803</v>
          </cell>
          <cell r="BA55">
            <v>357301936015.37799</v>
          </cell>
          <cell r="BB55">
            <v>324446827957.992</v>
          </cell>
          <cell r="BC55">
            <v>327262172001.61798</v>
          </cell>
          <cell r="BD55">
            <v>351257091701.64801</v>
          </cell>
          <cell r="BE55">
            <v>334536414976.47302</v>
          </cell>
          <cell r="BF55">
            <v>354463589494.15601</v>
          </cell>
          <cell r="BG55">
            <v>365833620392.69702</v>
          </cell>
          <cell r="BH55">
            <v>311964189253.73297</v>
          </cell>
          <cell r="BI55">
            <v>320812594566.81403</v>
          </cell>
          <cell r="BJ55">
            <v>339391058127.81702</v>
          </cell>
          <cell r="BK55">
            <v>366754681199.45099</v>
          </cell>
          <cell r="BL55">
            <v>357603732015.17902</v>
          </cell>
          <cell r="BM55">
            <v>368105773886.79901</v>
          </cell>
        </row>
        <row r="56">
          <cell r="B56" t="str">
            <v>DJI</v>
          </cell>
          <cell r="C56" t="str">
            <v>GNI (current US$)</v>
          </cell>
          <cell r="D56" t="str">
            <v>NY.GNP.MKTP.CD</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v>482914793.41214597</v>
          </cell>
          <cell r="AK56">
            <v>498044688.022237</v>
          </cell>
          <cell r="AL56">
            <v>489067695.99540901</v>
          </cell>
          <cell r="AM56">
            <v>508327659.64630002</v>
          </cell>
          <cell r="AN56">
            <v>515031988.34127599</v>
          </cell>
          <cell r="AO56">
            <v>509742799.10646498</v>
          </cell>
          <cell r="AP56">
            <v>514863184.42952698</v>
          </cell>
          <cell r="AQ56">
            <v>524857501.36449802</v>
          </cell>
          <cell r="AR56">
            <v>548464728.42263997</v>
          </cell>
          <cell r="AS56">
            <v>567019654.402125</v>
          </cell>
          <cell r="AT56">
            <v>584835781.92785299</v>
          </cell>
          <cell r="AU56">
            <v>606415674.00588596</v>
          </cell>
          <cell r="AV56">
            <v>642959470.18078899</v>
          </cell>
          <cell r="AW56">
            <v>688601797.19897997</v>
          </cell>
          <cell r="AX56">
            <v>729424209.857023</v>
          </cell>
          <cell r="AY56">
            <v>791915417.986619</v>
          </cell>
          <cell r="AZ56">
            <v>871804682.62051201</v>
          </cell>
          <cell r="BA56">
            <v>1031814867.12319</v>
          </cell>
          <cell r="BB56">
            <v>1070790733.7905999</v>
          </cell>
          <cell r="BC56">
            <v>1145970369.28669</v>
          </cell>
          <cell r="BD56">
            <v>1247888544.4038701</v>
          </cell>
          <cell r="BE56">
            <v>1381266141.8740599</v>
          </cell>
          <cell r="BF56">
            <v>2014984773.8871601</v>
          </cell>
          <cell r="BG56">
            <v>2191027402.5016699</v>
          </cell>
          <cell r="BH56">
            <v>2403270167.8473601</v>
          </cell>
          <cell r="BI56">
            <v>2523555336.7356701</v>
          </cell>
          <cell r="BJ56">
            <v>2624779619.7410498</v>
          </cell>
          <cell r="BK56">
            <v>2870628711.2946701</v>
          </cell>
          <cell r="BL56">
            <v>3230771827.75249</v>
          </cell>
          <cell r="BM56">
            <v>3285820612.6456599</v>
          </cell>
        </row>
        <row r="57">
          <cell r="B57" t="str">
            <v>DMA</v>
          </cell>
          <cell r="C57" t="str">
            <v>GNI (current US$)</v>
          </cell>
          <cell r="D57" t="str">
            <v>NY.GNP.MKTP.CD</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v>45872947.407407403</v>
          </cell>
          <cell r="W57">
            <v>56930215.555555597</v>
          </cell>
          <cell r="X57">
            <v>54917758.888888903</v>
          </cell>
          <cell r="Y57">
            <v>73104653.333333299</v>
          </cell>
          <cell r="Z57">
            <v>82607391.111111104</v>
          </cell>
          <cell r="AA57">
            <v>89727576.666666701</v>
          </cell>
          <cell r="AB57">
            <v>98220747.037037</v>
          </cell>
          <cell r="AC57">
            <v>106886700.37037</v>
          </cell>
          <cell r="AD57">
            <v>117221562.592593</v>
          </cell>
          <cell r="AE57">
            <v>132750847.407407</v>
          </cell>
          <cell r="AF57">
            <v>149524310</v>
          </cell>
          <cell r="AG57">
            <v>169543221.11111099</v>
          </cell>
          <cell r="AH57">
            <v>181148354.074074</v>
          </cell>
          <cell r="AI57">
            <v>196537037.03703699</v>
          </cell>
          <cell r="AJ57">
            <v>212100000</v>
          </cell>
          <cell r="AK57">
            <v>226781481.48148099</v>
          </cell>
          <cell r="AL57">
            <v>239151851.851852</v>
          </cell>
          <cell r="AM57">
            <v>253351851.851852</v>
          </cell>
          <cell r="AN57">
            <v>261222222.222222</v>
          </cell>
          <cell r="AO57">
            <v>273477777.77777803</v>
          </cell>
          <cell r="AP57">
            <v>286077777.77777803</v>
          </cell>
          <cell r="AQ57">
            <v>307185185.18518502</v>
          </cell>
          <cell r="AR57">
            <v>306214814.81481498</v>
          </cell>
          <cell r="AS57">
            <v>294151851.851852</v>
          </cell>
          <cell r="AT57">
            <v>315096666.66666698</v>
          </cell>
          <cell r="AU57">
            <v>305265925.92592603</v>
          </cell>
          <cell r="AV57">
            <v>316294925.92592603</v>
          </cell>
          <cell r="AW57">
            <v>333866962.96296299</v>
          </cell>
          <cell r="AX57">
            <v>335276037.03703701</v>
          </cell>
          <cell r="AY57">
            <v>375247518.51851898</v>
          </cell>
          <cell r="AZ57">
            <v>401759222.22222197</v>
          </cell>
          <cell r="BA57">
            <v>439852814.81481498</v>
          </cell>
          <cell r="BB57">
            <v>475418518.51851898</v>
          </cell>
          <cell r="BC57">
            <v>484385185.18518502</v>
          </cell>
          <cell r="BD57">
            <v>490477777.77777803</v>
          </cell>
          <cell r="BE57">
            <v>476466666.66666698</v>
          </cell>
          <cell r="BF57">
            <v>478788888.88888901</v>
          </cell>
          <cell r="BG57">
            <v>555392592.59259295</v>
          </cell>
          <cell r="BH57">
            <v>519255555.555556</v>
          </cell>
          <cell r="BI57">
            <v>559429629.62962997</v>
          </cell>
          <cell r="BJ57">
            <v>508659259.25925899</v>
          </cell>
          <cell r="BK57">
            <v>551940740.74074101</v>
          </cell>
          <cell r="BL57">
            <v>601649000</v>
          </cell>
          <cell r="BM57">
            <v>518023037.03703701</v>
          </cell>
        </row>
        <row r="58">
          <cell r="B58" t="str">
            <v>DOM</v>
          </cell>
          <cell r="C58" t="str">
            <v>GNI (current US$)</v>
          </cell>
          <cell r="D58" t="str">
            <v>NY.GNP.MKTP.CD</v>
          </cell>
          <cell r="E58">
            <v>662300300</v>
          </cell>
          <cell r="F58">
            <v>635500100</v>
          </cell>
          <cell r="G58">
            <v>802500200</v>
          </cell>
          <cell r="H58">
            <v>920500100</v>
          </cell>
          <cell r="I58">
            <v>1006500200</v>
          </cell>
          <cell r="J58">
            <v>876400000</v>
          </cell>
          <cell r="K58">
            <v>965400000</v>
          </cell>
          <cell r="L58">
            <v>1015300000</v>
          </cell>
          <cell r="M58">
            <v>1060200000</v>
          </cell>
          <cell r="N58">
            <v>1207300000</v>
          </cell>
          <cell r="O58">
            <v>1476200100</v>
          </cell>
          <cell r="P58">
            <v>1664300000</v>
          </cell>
          <cell r="Q58">
            <v>2027000000</v>
          </cell>
          <cell r="R58">
            <v>2350899900</v>
          </cell>
          <cell r="S58">
            <v>2920400000</v>
          </cell>
          <cell r="T58">
            <v>3597500100</v>
          </cell>
          <cell r="U58">
            <v>3945299900</v>
          </cell>
          <cell r="V58">
            <v>4507500200</v>
          </cell>
          <cell r="W58">
            <v>4771400000</v>
          </cell>
          <cell r="X58">
            <v>5551200100</v>
          </cell>
          <cell r="Y58">
            <v>6420500100</v>
          </cell>
          <cell r="Z58">
            <v>6973899800</v>
          </cell>
          <cell r="AA58">
            <v>7709900300</v>
          </cell>
          <cell r="AB58">
            <v>8324900100</v>
          </cell>
          <cell r="AC58">
            <v>9972699700</v>
          </cell>
          <cell r="AD58">
            <v>4725492096.6394701</v>
          </cell>
          <cell r="AE58">
            <v>5877395034.9481802</v>
          </cell>
          <cell r="AF58">
            <v>5527990480.6491899</v>
          </cell>
          <cell r="AG58">
            <v>5052914306.7484703</v>
          </cell>
          <cell r="AH58">
            <v>6373562712.9337502</v>
          </cell>
          <cell r="AI58">
            <v>6758924741.6513205</v>
          </cell>
          <cell r="AJ58">
            <v>9461132793.6767902</v>
          </cell>
          <cell r="AK58">
            <v>11164249000</v>
          </cell>
          <cell r="AL58">
            <v>12384042400</v>
          </cell>
          <cell r="AM58">
            <v>13962617074.059999</v>
          </cell>
          <cell r="AN58">
            <v>15868370839.160801</v>
          </cell>
          <cell r="AO58">
            <v>17516877243.8606</v>
          </cell>
          <cell r="AP58">
            <v>19222030487.151798</v>
          </cell>
          <cell r="AQ58">
            <v>20780878617.434399</v>
          </cell>
          <cell r="AR58">
            <v>21161260672.965199</v>
          </cell>
          <cell r="AS58">
            <v>23264321904.644199</v>
          </cell>
          <cell r="AT58">
            <v>24510208597.447701</v>
          </cell>
          <cell r="AU58">
            <v>25985430347.297199</v>
          </cell>
          <cell r="AV58">
            <v>20001897173.987099</v>
          </cell>
          <cell r="AW58">
            <v>20508099190.799999</v>
          </cell>
          <cell r="AX58">
            <v>33873701573.1702</v>
          </cell>
          <cell r="AY58">
            <v>36027519171.171204</v>
          </cell>
          <cell r="AZ58">
            <v>41782447146.530602</v>
          </cell>
          <cell r="BA58">
            <v>46374331821.578102</v>
          </cell>
          <cell r="BB58">
            <v>46539816384.455704</v>
          </cell>
          <cell r="BC58">
            <v>51932177372.879303</v>
          </cell>
          <cell r="BD58">
            <v>55774581987.313499</v>
          </cell>
          <cell r="BE58">
            <v>58281926478.180496</v>
          </cell>
          <cell r="BF58">
            <v>59708978487.599998</v>
          </cell>
          <cell r="BG58">
            <v>63931917485.080299</v>
          </cell>
          <cell r="BH58">
            <v>68227916795.240402</v>
          </cell>
          <cell r="BI58">
            <v>72450765680.221603</v>
          </cell>
          <cell r="BJ58">
            <v>76203984074.691193</v>
          </cell>
          <cell r="BK58">
            <v>81863297764.088104</v>
          </cell>
          <cell r="BL58">
            <v>84871455782.153793</v>
          </cell>
          <cell r="BM58">
            <v>74984131332.431107</v>
          </cell>
        </row>
        <row r="59">
          <cell r="B59" t="str">
            <v>ECU</v>
          </cell>
          <cell r="C59" t="str">
            <v>GNI (current US$)</v>
          </cell>
          <cell r="D59" t="str">
            <v>NY.GNP.MKTP.CD</v>
          </cell>
          <cell r="E59">
            <v>2043509723.6070299</v>
          </cell>
          <cell r="F59">
            <v>1726040723.05953</v>
          </cell>
          <cell r="G59">
            <v>1494353886.87958</v>
          </cell>
          <cell r="H59">
            <v>1806525750.8255701</v>
          </cell>
          <cell r="I59">
            <v>2225203587.6186099</v>
          </cell>
          <cell r="J59">
            <v>2362036265.70433</v>
          </cell>
          <cell r="K59">
            <v>2404097428.1431499</v>
          </cell>
          <cell r="L59">
            <v>2528684150.0341601</v>
          </cell>
          <cell r="M59">
            <v>2555067797.2993102</v>
          </cell>
          <cell r="N59">
            <v>3084153419.7833099</v>
          </cell>
          <cell r="O59">
            <v>2833290165.9739599</v>
          </cell>
          <cell r="P59">
            <v>2718503141.6659899</v>
          </cell>
          <cell r="Q59">
            <v>3140765557.3775802</v>
          </cell>
          <cell r="R59">
            <v>3775699919.5134201</v>
          </cell>
          <cell r="S59">
            <v>6432079281.5243902</v>
          </cell>
          <cell r="T59">
            <v>7676350735.4885597</v>
          </cell>
          <cell r="U59">
            <v>8952057258.1672707</v>
          </cell>
          <cell r="V59">
            <v>10829952446.004499</v>
          </cell>
          <cell r="W59">
            <v>11653573256.8764</v>
          </cell>
          <cell r="X59">
            <v>13770371965.5054</v>
          </cell>
          <cell r="Y59">
            <v>17268130651.108898</v>
          </cell>
          <cell r="Z59">
            <v>21049102097.581501</v>
          </cell>
          <cell r="AA59">
            <v>18929373984.713299</v>
          </cell>
          <cell r="AB59">
            <v>16262056379.346001</v>
          </cell>
          <cell r="AC59">
            <v>15808986195.6227</v>
          </cell>
          <cell r="AD59">
            <v>16089586704.2826</v>
          </cell>
          <cell r="AE59">
            <v>14271644255.390301</v>
          </cell>
          <cell r="AF59">
            <v>12885923996.527</v>
          </cell>
          <cell r="AG59">
            <v>11818295217.995701</v>
          </cell>
          <cell r="AH59">
            <v>12526174547.030899</v>
          </cell>
          <cell r="AI59">
            <v>14028697796.5758</v>
          </cell>
          <cell r="AJ59">
            <v>15870976488.244101</v>
          </cell>
          <cell r="AK59">
            <v>17149765882.9415</v>
          </cell>
          <cell r="AL59">
            <v>18077986993.4967</v>
          </cell>
          <cell r="AM59">
            <v>21768303151.575802</v>
          </cell>
          <cell r="AN59">
            <v>23508422211.105598</v>
          </cell>
          <cell r="AO59">
            <v>24202981490.745399</v>
          </cell>
          <cell r="AP59">
            <v>27134639319.659801</v>
          </cell>
          <cell r="AQ59">
            <v>26810811405.7029</v>
          </cell>
          <cell r="AR59">
            <v>18337918959.479698</v>
          </cell>
          <cell r="AS59">
            <v>17103552776.388201</v>
          </cell>
          <cell r="AT59">
            <v>23235924000</v>
          </cell>
          <cell r="AU59">
            <v>27296182800</v>
          </cell>
          <cell r="AV59">
            <v>30940439900</v>
          </cell>
          <cell r="AW59">
            <v>34751628400</v>
          </cell>
          <cell r="AX59">
            <v>39691563800</v>
          </cell>
          <cell r="AY59">
            <v>44974439600</v>
          </cell>
          <cell r="AZ59">
            <v>48973356000</v>
          </cell>
          <cell r="BA59">
            <v>60290373000</v>
          </cell>
          <cell r="BB59">
            <v>61241510000</v>
          </cell>
          <cell r="BC59">
            <v>68569173000</v>
          </cell>
          <cell r="BD59">
            <v>78067843000</v>
          </cell>
          <cell r="BE59">
            <v>86587424000</v>
          </cell>
          <cell r="BF59">
            <v>93662124000</v>
          </cell>
          <cell r="BG59">
            <v>100144291000</v>
          </cell>
          <cell r="BH59">
            <v>97501257000</v>
          </cell>
          <cell r="BI59">
            <v>98028639000</v>
          </cell>
          <cell r="BJ59">
            <v>101858207000</v>
          </cell>
          <cell r="BK59">
            <v>104605438000</v>
          </cell>
          <cell r="BL59">
            <v>104934502000</v>
          </cell>
          <cell r="BM59">
            <v>95983572000</v>
          </cell>
        </row>
        <row r="60">
          <cell r="B60" t="str">
            <v>EGY</v>
          </cell>
          <cell r="C60" t="str">
            <v>GNI (current US$)</v>
          </cell>
          <cell r="D60" t="str">
            <v>NY.GNP.MKTP.CD</v>
          </cell>
          <cell r="E60" t="str">
            <v>..</v>
          </cell>
          <cell r="F60" t="str">
            <v>..</v>
          </cell>
          <cell r="G60" t="str">
            <v>..</v>
          </cell>
          <cell r="H60" t="str">
            <v>..</v>
          </cell>
          <cell r="I60" t="str">
            <v>..</v>
          </cell>
          <cell r="J60">
            <v>4908912188.7286997</v>
          </cell>
          <cell r="K60">
            <v>5238506367.3645601</v>
          </cell>
          <cell r="L60">
            <v>5580495356.0371504</v>
          </cell>
          <cell r="M60">
            <v>5909345794.39252</v>
          </cell>
          <cell r="N60">
            <v>6465375302.6634398</v>
          </cell>
          <cell r="O60">
            <v>7978146194.4235096</v>
          </cell>
          <cell r="P60">
            <v>8536087732.72124</v>
          </cell>
          <cell r="Q60">
            <v>9231127197.5181007</v>
          </cell>
          <cell r="R60">
            <v>9974482061.6473007</v>
          </cell>
          <cell r="S60">
            <v>9109910658.6328697</v>
          </cell>
          <cell r="T60">
            <v>11388206926.786501</v>
          </cell>
          <cell r="U60">
            <v>12973982125.1241</v>
          </cell>
          <cell r="V60">
            <v>13975793720.3999</v>
          </cell>
          <cell r="W60">
            <v>14148726500.909599</v>
          </cell>
          <cell r="X60">
            <v>16951571428.5714</v>
          </cell>
          <cell r="Y60">
            <v>20210185954.8442</v>
          </cell>
          <cell r="Z60">
            <v>20471081081.0811</v>
          </cell>
          <cell r="AA60">
            <v>25871182142.857101</v>
          </cell>
          <cell r="AB60">
            <v>29088009196.740398</v>
          </cell>
          <cell r="AC60">
            <v>31908191679.208801</v>
          </cell>
          <cell r="AD60">
            <v>35769552926.395103</v>
          </cell>
          <cell r="AE60">
            <v>37440785687.558502</v>
          </cell>
          <cell r="AF60">
            <v>39933762765.121803</v>
          </cell>
          <cell r="AG60">
            <v>34771711754.684799</v>
          </cell>
          <cell r="AH60">
            <v>39246669712.928497</v>
          </cell>
          <cell r="AI60">
            <v>41873798698.968102</v>
          </cell>
          <cell r="AJ60">
            <v>37631036490.528397</v>
          </cell>
          <cell r="AK60">
            <v>42069286522.432503</v>
          </cell>
          <cell r="AL60">
            <v>46801231452.581001</v>
          </cell>
          <cell r="AM60">
            <v>52113583392.645302</v>
          </cell>
          <cell r="AN60">
            <v>60485845060.454102</v>
          </cell>
          <cell r="AO60">
            <v>68066516981.132103</v>
          </cell>
          <cell r="AP60">
            <v>78947678171.0914</v>
          </cell>
          <cell r="AQ60">
            <v>85684807556.080307</v>
          </cell>
          <cell r="AR60">
            <v>91221904806.841599</v>
          </cell>
          <cell r="AS60">
            <v>100305543960.076</v>
          </cell>
          <cell r="AT60">
            <v>97756136118.598404</v>
          </cell>
          <cell r="AU60">
            <v>85241867415.730301</v>
          </cell>
          <cell r="AV60">
            <v>80181261538.461502</v>
          </cell>
          <cell r="AW60">
            <v>78575767532.467499</v>
          </cell>
          <cell r="AX60">
            <v>89346865557.404297</v>
          </cell>
          <cell r="AY60">
            <v>107956786956.522</v>
          </cell>
          <cell r="AZ60">
            <v>131614828371.278</v>
          </cell>
          <cell r="BA60">
            <v>164177881818.18201</v>
          </cell>
          <cell r="BB60">
            <v>189300605444.646</v>
          </cell>
          <cell r="BC60">
            <v>214618966061.70599</v>
          </cell>
          <cell r="BD60">
            <v>229940172977.625</v>
          </cell>
          <cell r="BE60">
            <v>272637266666.66699</v>
          </cell>
          <cell r="BF60">
            <v>281027708527.13202</v>
          </cell>
          <cell r="BG60">
            <v>298332708895.26501</v>
          </cell>
          <cell r="BH60">
            <v>323665676819.40698</v>
          </cell>
          <cell r="BI60">
            <v>327970017791.41101</v>
          </cell>
          <cell r="BJ60">
            <v>231165195652.17401</v>
          </cell>
          <cell r="BK60">
            <v>243433399437.254</v>
          </cell>
          <cell r="BL60">
            <v>292071265603.64502</v>
          </cell>
          <cell r="BM60">
            <v>353898651278.85199</v>
          </cell>
        </row>
        <row r="61">
          <cell r="B61" t="str">
            <v>SLV</v>
          </cell>
          <cell r="C61" t="str">
            <v>GNI (current US$)</v>
          </cell>
          <cell r="D61" t="str">
            <v>NY.GNP.MKTP.CD</v>
          </cell>
          <cell r="E61" t="str">
            <v>..</v>
          </cell>
          <cell r="F61" t="str">
            <v>..</v>
          </cell>
          <cell r="G61" t="str">
            <v>..</v>
          </cell>
          <cell r="H61" t="str">
            <v>..</v>
          </cell>
          <cell r="I61" t="str">
            <v>..</v>
          </cell>
          <cell r="J61">
            <v>869920000</v>
          </cell>
          <cell r="K61">
            <v>922120000</v>
          </cell>
          <cell r="L61">
            <v>967120000</v>
          </cell>
          <cell r="M61">
            <v>1000760100</v>
          </cell>
          <cell r="N61">
            <v>1040000000</v>
          </cell>
          <cell r="O61">
            <v>1123320000</v>
          </cell>
          <cell r="P61">
            <v>1175480000</v>
          </cell>
          <cell r="Q61">
            <v>1251040000</v>
          </cell>
          <cell r="R61">
            <v>1426240000</v>
          </cell>
          <cell r="S61">
            <v>1631120000</v>
          </cell>
          <cell r="T61">
            <v>1843800100</v>
          </cell>
          <cell r="U61">
            <v>2313040100</v>
          </cell>
          <cell r="V61">
            <v>2913960100</v>
          </cell>
          <cell r="W61">
            <v>3075680000</v>
          </cell>
          <cell r="X61">
            <v>3423199900</v>
          </cell>
          <cell r="Y61">
            <v>3490159900</v>
          </cell>
          <cell r="Z61">
            <v>3337200200</v>
          </cell>
          <cell r="AA61">
            <v>3280000000</v>
          </cell>
          <cell r="AB61">
            <v>3375638500</v>
          </cell>
          <cell r="AC61">
            <v>3527888000</v>
          </cell>
          <cell r="AD61">
            <v>3683654700</v>
          </cell>
          <cell r="AE61">
            <v>3654968500</v>
          </cell>
          <cell r="AF61">
            <v>3835248900</v>
          </cell>
          <cell r="AG61">
            <v>4069280700</v>
          </cell>
          <cell r="AH61">
            <v>4250907600</v>
          </cell>
          <cell r="AI61">
            <v>4689782204.0267296</v>
          </cell>
          <cell r="AJ61">
            <v>5109572400</v>
          </cell>
          <cell r="AK61">
            <v>5705749300</v>
          </cell>
          <cell r="AL61">
            <v>6567739200</v>
          </cell>
          <cell r="AM61">
            <v>7587384000</v>
          </cell>
          <cell r="AN61">
            <v>8826057100</v>
          </cell>
          <cell r="AO61">
            <v>9464957800</v>
          </cell>
          <cell r="AP61">
            <v>10058405900</v>
          </cell>
          <cell r="AQ61">
            <v>10773659900</v>
          </cell>
          <cell r="AR61">
            <v>11002097000</v>
          </cell>
          <cell r="AS61">
            <v>11531827700</v>
          </cell>
          <cell r="AT61">
            <v>12016833600</v>
          </cell>
          <cell r="AU61">
            <v>12340790300</v>
          </cell>
          <cell r="AV61">
            <v>12820792200</v>
          </cell>
          <cell r="AW61">
            <v>13266960900</v>
          </cell>
          <cell r="AX61">
            <v>14207700000</v>
          </cell>
          <cell r="AY61">
            <v>15562390000</v>
          </cell>
          <cell r="AZ61">
            <v>16555500000</v>
          </cell>
          <cell r="BA61">
            <v>17597840000</v>
          </cell>
          <cell r="BB61">
            <v>17045650000</v>
          </cell>
          <cell r="BC61">
            <v>17909710000</v>
          </cell>
          <cell r="BD61">
            <v>19665540000</v>
          </cell>
          <cell r="BE61">
            <v>20515590000</v>
          </cell>
          <cell r="BF61">
            <v>21000760000</v>
          </cell>
          <cell r="BG61">
            <v>21558030000</v>
          </cell>
          <cell r="BH61">
            <v>22346390000</v>
          </cell>
          <cell r="BI61">
            <v>22945050000</v>
          </cell>
          <cell r="BJ61">
            <v>23591570000</v>
          </cell>
          <cell r="BK61">
            <v>24550760000</v>
          </cell>
          <cell r="BL61">
            <v>25559270000</v>
          </cell>
          <cell r="BM61">
            <v>23324950000</v>
          </cell>
        </row>
        <row r="62">
          <cell r="B62" t="str">
            <v>GNQ</v>
          </cell>
          <cell r="C62" t="str">
            <v>GNI (current US$)</v>
          </cell>
          <cell r="D62" t="str">
            <v>NY.GNP.MKTP.CD</v>
          </cell>
          <cell r="E62" t="str">
            <v>..</v>
          </cell>
          <cell r="F62" t="str">
            <v>..</v>
          </cell>
          <cell r="G62">
            <v>9122751.4531834498</v>
          </cell>
          <cell r="H62">
            <v>10840095.1283649</v>
          </cell>
          <cell r="I62">
            <v>12712471.3960211</v>
          </cell>
          <cell r="J62">
            <v>64748333.333333299</v>
          </cell>
          <cell r="K62">
            <v>69110000</v>
          </cell>
          <cell r="L62">
            <v>72317446.932719305</v>
          </cell>
          <cell r="M62">
            <v>67514285.714285702</v>
          </cell>
          <cell r="N62">
            <v>67225714.285714298</v>
          </cell>
          <cell r="O62">
            <v>66861428.571428597</v>
          </cell>
          <cell r="P62">
            <v>65370165.109617203</v>
          </cell>
          <cell r="Q62">
            <v>65254936.129825301</v>
          </cell>
          <cell r="R62">
            <v>81407483.693786502</v>
          </cell>
          <cell r="S62">
            <v>94523896.198450297</v>
          </cell>
          <cell r="T62">
            <v>104698033.340882</v>
          </cell>
          <cell r="U62">
            <v>104052135.180784</v>
          </cell>
          <cell r="V62">
            <v>104386403.72818001</v>
          </cell>
          <cell r="W62" t="str">
            <v>..</v>
          </cell>
          <cell r="X62" t="str">
            <v>..</v>
          </cell>
          <cell r="Y62">
            <v>48799934.014281802</v>
          </cell>
          <cell r="Z62">
            <v>30146793.5871743</v>
          </cell>
          <cell r="AA62">
            <v>34544821.135991298</v>
          </cell>
          <cell r="AB62">
            <v>40537010.0397406</v>
          </cell>
          <cell r="AC62">
            <v>47262783.963672601</v>
          </cell>
          <cell r="AD62">
            <v>57918187.564967498</v>
          </cell>
          <cell r="AE62">
            <v>70825308.491712093</v>
          </cell>
          <cell r="AF62">
            <v>88040829.6360576</v>
          </cell>
          <cell r="AG62">
            <v>93504454.618157804</v>
          </cell>
          <cell r="AH62">
            <v>81007248.087275505</v>
          </cell>
          <cell r="AI62">
            <v>119604661.34439699</v>
          </cell>
          <cell r="AJ62">
            <v>121228259.571106</v>
          </cell>
          <cell r="AK62">
            <v>149786399.50312001</v>
          </cell>
          <cell r="AL62">
            <v>148550061.34284699</v>
          </cell>
          <cell r="AM62">
            <v>92353432.526777998</v>
          </cell>
          <cell r="AN62">
            <v>118007515.60057101</v>
          </cell>
          <cell r="AO62">
            <v>187443210.314329</v>
          </cell>
          <cell r="AP62">
            <v>387373514.86988997</v>
          </cell>
          <cell r="AQ62">
            <v>290375972.74896002</v>
          </cell>
          <cell r="AR62">
            <v>520234190.69477302</v>
          </cell>
          <cell r="AS62">
            <v>675806916.32572603</v>
          </cell>
          <cell r="AT62">
            <v>587616433.65252995</v>
          </cell>
          <cell r="AU62">
            <v>821380430.54387403</v>
          </cell>
          <cell r="AV62">
            <v>924205363.79626799</v>
          </cell>
          <cell r="AW62">
            <v>1481460300.5802901</v>
          </cell>
          <cell r="AX62">
            <v>4173013694.8566198</v>
          </cell>
          <cell r="AY62">
            <v>7939532609.2423601</v>
          </cell>
          <cell r="AZ62">
            <v>10450746473.571699</v>
          </cell>
          <cell r="BA62">
            <v>14636832123.246401</v>
          </cell>
          <cell r="BB62">
            <v>9938850407.1380291</v>
          </cell>
          <cell r="BC62">
            <v>9578455859.0231991</v>
          </cell>
          <cell r="BD62">
            <v>13819219556.27</v>
          </cell>
          <cell r="BE62">
            <v>14844232058.982401</v>
          </cell>
          <cell r="BF62">
            <v>15003861974.629801</v>
          </cell>
          <cell r="BG62">
            <v>14796386739.5044</v>
          </cell>
          <cell r="BH62">
            <v>9945017697.9973106</v>
          </cell>
          <cell r="BI62">
            <v>8709938326.7761898</v>
          </cell>
          <cell r="BJ62">
            <v>8983531116.6228809</v>
          </cell>
          <cell r="BK62">
            <v>10026980379.1012</v>
          </cell>
          <cell r="BL62">
            <v>8329916823.5591497</v>
          </cell>
          <cell r="BM62">
            <v>7454529309.3879299</v>
          </cell>
        </row>
        <row r="63">
          <cell r="B63" t="str">
            <v>ERI</v>
          </cell>
          <cell r="C63" t="str">
            <v>GNI (current US$)</v>
          </cell>
          <cell r="D63" t="str">
            <v>NY.GNP.MKTP.CD</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v>477101651.64837599</v>
          </cell>
          <cell r="AL63">
            <v>467872714.75560302</v>
          </cell>
          <cell r="AM63">
            <v>531888311.68831199</v>
          </cell>
          <cell r="AN63">
            <v>585565625</v>
          </cell>
          <cell r="AO63">
            <v>685835952.61692405</v>
          </cell>
          <cell r="AP63">
            <v>683315115.48771501</v>
          </cell>
          <cell r="AQ63">
            <v>749833860.82397199</v>
          </cell>
          <cell r="AR63">
            <v>695019380.32038903</v>
          </cell>
          <cell r="AS63">
            <v>706846472.72727299</v>
          </cell>
          <cell r="AT63">
            <v>750010831.60175097</v>
          </cell>
          <cell r="AU63">
            <v>723218652.83489299</v>
          </cell>
          <cell r="AV63">
            <v>860583135.77702701</v>
          </cell>
          <cell r="AW63">
            <v>1093759651.8585701</v>
          </cell>
          <cell r="AX63">
            <v>1089003669.9874401</v>
          </cell>
          <cell r="AY63">
            <v>1202459440.6504099</v>
          </cell>
          <cell r="AZ63">
            <v>1310746757.7235799</v>
          </cell>
          <cell r="BA63">
            <v>1368434686.1788599</v>
          </cell>
          <cell r="BB63">
            <v>1840533600</v>
          </cell>
          <cell r="BC63">
            <v>1569887473.1707301</v>
          </cell>
          <cell r="BD63">
            <v>2041455160.97561</v>
          </cell>
          <cell r="BE63" t="str">
            <v>..</v>
          </cell>
          <cell r="BF63" t="str">
            <v>..</v>
          </cell>
          <cell r="BG63" t="str">
            <v>..</v>
          </cell>
          <cell r="BH63" t="str">
            <v>..</v>
          </cell>
          <cell r="BI63" t="str">
            <v>..</v>
          </cell>
          <cell r="BJ63" t="str">
            <v>..</v>
          </cell>
          <cell r="BK63" t="str">
            <v>..</v>
          </cell>
          <cell r="BL63" t="str">
            <v>..</v>
          </cell>
          <cell r="BM63" t="str">
            <v>..</v>
          </cell>
        </row>
        <row r="64">
          <cell r="B64" t="str">
            <v>EST</v>
          </cell>
          <cell r="C64" t="str">
            <v>GNI (current US$)</v>
          </cell>
          <cell r="D64" t="str">
            <v>NY.GNP.MKTP.CD</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v>5472116465.4934101</v>
          </cell>
          <cell r="AT64">
            <v>5947902604.9592695</v>
          </cell>
          <cell r="AU64">
            <v>6978783083.7336302</v>
          </cell>
          <cell r="AV64">
            <v>9301313233.9656696</v>
          </cell>
          <cell r="AW64">
            <v>11465094409.937901</v>
          </cell>
          <cell r="AX64">
            <v>13457655764.208401</v>
          </cell>
          <cell r="AY64">
            <v>16082181658.5121</v>
          </cell>
          <cell r="AZ64">
            <v>20706693128.935101</v>
          </cell>
          <cell r="BA64">
            <v>23098872125.384499</v>
          </cell>
          <cell r="BB64">
            <v>19146012781.328098</v>
          </cell>
          <cell r="BC64">
            <v>18635314311.974098</v>
          </cell>
          <cell r="BD64">
            <v>22210861628.990101</v>
          </cell>
          <cell r="BE64">
            <v>22237623396.339802</v>
          </cell>
          <cell r="BF64">
            <v>24663444923.342701</v>
          </cell>
          <cell r="BG64">
            <v>26016585293.313099</v>
          </cell>
          <cell r="BH64">
            <v>22543889502.300499</v>
          </cell>
          <cell r="BI64">
            <v>23719542899.418701</v>
          </cell>
          <cell r="BJ64">
            <v>26237511453.721401</v>
          </cell>
          <cell r="BK64">
            <v>30019486699.973801</v>
          </cell>
          <cell r="BL64">
            <v>30759017473.725399</v>
          </cell>
          <cell r="BM64">
            <v>30588229008.7458</v>
          </cell>
        </row>
        <row r="65">
          <cell r="B65" t="str">
            <v>SWZ</v>
          </cell>
          <cell r="C65" t="str">
            <v>GNI (current US$)</v>
          </cell>
          <cell r="D65" t="str">
            <v>NY.GNP.MKTP.CD</v>
          </cell>
          <cell r="E65">
            <v>29757384.852302998</v>
          </cell>
          <cell r="F65">
            <v>36576788.464230701</v>
          </cell>
          <cell r="G65">
            <v>38932661.346773103</v>
          </cell>
          <cell r="H65">
            <v>46000000</v>
          </cell>
          <cell r="I65">
            <v>55175136.497270003</v>
          </cell>
          <cell r="J65">
            <v>59638807.223855503</v>
          </cell>
          <cell r="K65">
            <v>67898642.027159497</v>
          </cell>
          <cell r="L65">
            <v>65798684.026319496</v>
          </cell>
          <cell r="M65">
            <v>70278594.428111404</v>
          </cell>
          <cell r="N65">
            <v>91838163.236735299</v>
          </cell>
          <cell r="O65">
            <v>97438051.238975197</v>
          </cell>
          <cell r="P65">
            <v>123881431.76733799</v>
          </cell>
          <cell r="Q65">
            <v>131650839.07896399</v>
          </cell>
          <cell r="R65">
            <v>191786743.51585001</v>
          </cell>
          <cell r="S65">
            <v>230413097.86607799</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v>1173722142.7743199</v>
          </cell>
          <cell r="AJ65">
            <v>1225891753.8840401</v>
          </cell>
          <cell r="AK65">
            <v>1368041129.0322599</v>
          </cell>
          <cell r="AL65">
            <v>1405127245.4631701</v>
          </cell>
          <cell r="AM65">
            <v>1402771262.8140099</v>
          </cell>
          <cell r="AN65">
            <v>1779525847.09548</v>
          </cell>
          <cell r="AO65">
            <v>1734837299.0952001</v>
          </cell>
          <cell r="AP65">
            <v>1854807356.7708299</v>
          </cell>
          <cell r="AQ65">
            <v>1633798111.5351901</v>
          </cell>
          <cell r="AR65">
            <v>1635603371.7980199</v>
          </cell>
          <cell r="AS65">
            <v>1772303683.10326</v>
          </cell>
          <cell r="AT65">
            <v>1644811327.5487599</v>
          </cell>
          <cell r="AU65">
            <v>1435491475.89819</v>
          </cell>
          <cell r="AV65">
            <v>2155655372.98241</v>
          </cell>
          <cell r="AW65">
            <v>2772685197.2258301</v>
          </cell>
          <cell r="AX65">
            <v>3356415108.58113</v>
          </cell>
          <cell r="AY65">
            <v>3305353939.30444</v>
          </cell>
          <cell r="AZ65">
            <v>3510463791.9777398</v>
          </cell>
          <cell r="BA65">
            <v>3288893465.8403101</v>
          </cell>
          <cell r="BB65">
            <v>3504865654.90872</v>
          </cell>
          <cell r="BC65">
            <v>4212626973.72016</v>
          </cell>
          <cell r="BD65">
            <v>4528166007.9051399</v>
          </cell>
          <cell r="BE65">
            <v>4571205992.6918402</v>
          </cell>
          <cell r="BF65">
            <v>4400158993.6924496</v>
          </cell>
          <cell r="BG65">
            <v>4235837856.0173998</v>
          </cell>
          <cell r="BH65">
            <v>3903725441.89294</v>
          </cell>
          <cell r="BI65">
            <v>3610868072.55126</v>
          </cell>
          <cell r="BJ65">
            <v>4107866513.1213698</v>
          </cell>
          <cell r="BK65">
            <v>4345143352.3915997</v>
          </cell>
          <cell r="BL65">
            <v>4042783038.0622802</v>
          </cell>
          <cell r="BM65">
            <v>3574279788.46773</v>
          </cell>
        </row>
        <row r="66">
          <cell r="B66" t="str">
            <v>ETH</v>
          </cell>
          <cell r="C66" t="str">
            <v>GNI (current US$)</v>
          </cell>
          <cell r="D66" t="str">
            <v>NY.GNP.MKTP.CD</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v>7317850048.3091803</v>
          </cell>
          <cell r="AA66">
            <v>7698885748.7922697</v>
          </cell>
          <cell r="AB66">
            <v>8554364251.2077303</v>
          </cell>
          <cell r="AC66">
            <v>8076785458.9371996</v>
          </cell>
          <cell r="AD66">
            <v>9447700386.4734306</v>
          </cell>
          <cell r="AE66">
            <v>9817322463.7681198</v>
          </cell>
          <cell r="AF66">
            <v>10480006666.6667</v>
          </cell>
          <cell r="AG66">
            <v>10844346376.8116</v>
          </cell>
          <cell r="AH66">
            <v>11396246714.9758</v>
          </cell>
          <cell r="AI66">
            <v>12108119661.8358</v>
          </cell>
          <cell r="AJ66">
            <v>13390412125.603901</v>
          </cell>
          <cell r="AK66">
            <v>10429217520.0714</v>
          </cell>
          <cell r="AL66">
            <v>8734430671.6295605</v>
          </cell>
          <cell r="AM66">
            <v>6848460204.3815804</v>
          </cell>
          <cell r="AN66">
            <v>7603562639.92836</v>
          </cell>
          <cell r="AO66">
            <v>8504359178.8930597</v>
          </cell>
          <cell r="AP66">
            <v>8492265911.6090097</v>
          </cell>
          <cell r="AQ66">
            <v>7751811217.6692801</v>
          </cell>
          <cell r="AR66">
            <v>7648343127.9873199</v>
          </cell>
          <cell r="AS66">
            <v>8182263337.4651804</v>
          </cell>
          <cell r="AT66">
            <v>8180069454.1175299</v>
          </cell>
          <cell r="AU66">
            <v>7797207615.8591499</v>
          </cell>
          <cell r="AV66">
            <v>8557581131.6356802</v>
          </cell>
          <cell r="AW66">
            <v>10067656708.625799</v>
          </cell>
          <cell r="AX66">
            <v>12365354408.4331</v>
          </cell>
          <cell r="AY66">
            <v>15242461910.631399</v>
          </cell>
          <cell r="AZ66">
            <v>19721806402.0923</v>
          </cell>
          <cell r="BA66">
            <v>27086850118.996101</v>
          </cell>
          <cell r="BB66">
            <v>32395738209.041199</v>
          </cell>
          <cell r="BC66">
            <v>29825574928.244499</v>
          </cell>
          <cell r="BD66">
            <v>31883271774.193501</v>
          </cell>
          <cell r="BE66">
            <v>43214529006.085197</v>
          </cell>
          <cell r="BF66">
            <v>47541429851.271301</v>
          </cell>
          <cell r="BG66">
            <v>55459432981.043404</v>
          </cell>
          <cell r="BH66">
            <v>64326834729.990601</v>
          </cell>
          <cell r="BI66">
            <v>74053937524.5784</v>
          </cell>
          <cell r="BJ66">
            <v>81285191646.180695</v>
          </cell>
          <cell r="BK66">
            <v>83892033920.377502</v>
          </cell>
          <cell r="BL66">
            <v>95322999764.741104</v>
          </cell>
          <cell r="BM66">
            <v>107062239280.07201</v>
          </cell>
        </row>
        <row r="67">
          <cell r="B67" t="str">
            <v>FRO</v>
          </cell>
          <cell r="C67" t="str">
            <v>GNI (current US$)</v>
          </cell>
          <cell r="D67" t="str">
            <v>NY.GNP.MKTP.CD</v>
          </cell>
          <cell r="E67" t="str">
            <v>..</v>
          </cell>
          <cell r="F67" t="str">
            <v>..</v>
          </cell>
          <cell r="G67" t="str">
            <v>..</v>
          </cell>
          <cell r="H67" t="str">
            <v>..</v>
          </cell>
          <cell r="I67" t="str">
            <v>..</v>
          </cell>
          <cell r="J67">
            <v>52148922.936533198</v>
          </cell>
          <cell r="K67">
            <v>58084838.716027997</v>
          </cell>
          <cell r="L67">
            <v>59785370.802150398</v>
          </cell>
          <cell r="M67">
            <v>58853346.666666701</v>
          </cell>
          <cell r="N67">
            <v>62546640</v>
          </cell>
          <cell r="O67">
            <v>76079986.666666701</v>
          </cell>
          <cell r="P67">
            <v>88810426.1480508</v>
          </cell>
          <cell r="Q67">
            <v>107277127.653965</v>
          </cell>
          <cell r="R67">
            <v>144177177.10553601</v>
          </cell>
          <cell r="S67">
            <v>178608357.244021</v>
          </cell>
          <cell r="T67">
            <v>207304020.34706599</v>
          </cell>
          <cell r="U67">
            <v>242215885.95747501</v>
          </cell>
          <cell r="V67">
            <v>310534963.47646499</v>
          </cell>
          <cell r="W67">
            <v>354095161.79759198</v>
          </cell>
          <cell r="X67">
            <v>395916305.84331203</v>
          </cell>
          <cell r="Y67">
            <v>438968526.35433501</v>
          </cell>
          <cell r="Z67">
            <v>396862655.217296</v>
          </cell>
          <cell r="AA67">
            <v>395442349.56327802</v>
          </cell>
          <cell r="AB67">
            <v>435757711.51737499</v>
          </cell>
          <cell r="AC67">
            <v>412007770.815624</v>
          </cell>
          <cell r="AD67">
            <v>440432475.660712</v>
          </cell>
          <cell r="AE67">
            <v>644049832.859846</v>
          </cell>
          <cell r="AF67">
            <v>822329978.916767</v>
          </cell>
          <cell r="AG67" t="str">
            <v>..</v>
          </cell>
          <cell r="AH67" t="str">
            <v>..</v>
          </cell>
          <cell r="AI67" t="str">
            <v>..</v>
          </cell>
          <cell r="AJ67" t="str">
            <v>..</v>
          </cell>
          <cell r="AK67" t="str">
            <v>..</v>
          </cell>
          <cell r="AL67" t="str">
            <v>..</v>
          </cell>
          <cell r="AM67" t="str">
            <v>..</v>
          </cell>
          <cell r="AN67" t="str">
            <v>..</v>
          </cell>
          <cell r="AO67" t="str">
            <v>..</v>
          </cell>
          <cell r="AP67" t="str">
            <v>..</v>
          </cell>
          <cell r="AQ67">
            <v>1142147206.30373</v>
          </cell>
          <cell r="AR67">
            <v>1163097388.2629499</v>
          </cell>
          <cell r="AS67">
            <v>1099664732.59022</v>
          </cell>
          <cell r="AT67">
            <v>1178293362.81059</v>
          </cell>
          <cell r="AU67">
            <v>1302696745.9181499</v>
          </cell>
          <cell r="AV67">
            <v>1548916920.9284</v>
          </cell>
          <cell r="AW67">
            <v>1754051843.56796</v>
          </cell>
          <cell r="AX67">
            <v>1788657473.02773</v>
          </cell>
          <cell r="AY67">
            <v>2051826192.2378399</v>
          </cell>
          <cell r="AZ67">
            <v>2358928669.8385301</v>
          </cell>
          <cell r="BA67">
            <v>2447853121.7512398</v>
          </cell>
          <cell r="BB67">
            <v>2216512152.8101602</v>
          </cell>
          <cell r="BC67">
            <v>2350669440.4438</v>
          </cell>
          <cell r="BD67">
            <v>2626036098.12431</v>
          </cell>
          <cell r="BE67">
            <v>2492533448.4246898</v>
          </cell>
          <cell r="BF67">
            <v>2773943699.5886998</v>
          </cell>
          <cell r="BG67">
            <v>2955634743.8752799</v>
          </cell>
          <cell r="BH67">
            <v>2587761411.4359598</v>
          </cell>
          <cell r="BI67">
            <v>2841496204.5248599</v>
          </cell>
          <cell r="BJ67">
            <v>2999379060.7157502</v>
          </cell>
          <cell r="BK67">
            <v>3142352643.08111</v>
          </cell>
          <cell r="BL67">
            <v>3219884847.2126398</v>
          </cell>
          <cell r="BM67" t="str">
            <v>..</v>
          </cell>
        </row>
        <row r="68">
          <cell r="B68" t="str">
            <v>FJI</v>
          </cell>
          <cell r="C68" t="str">
            <v>GNI (current US$)</v>
          </cell>
          <cell r="D68" t="str">
            <v>NY.GNP.MKTP.CD</v>
          </cell>
          <cell r="E68">
            <v>108046845.48545501</v>
          </cell>
          <cell r="F68">
            <v>112580279.561768</v>
          </cell>
          <cell r="G68">
            <v>118121143.432817</v>
          </cell>
          <cell r="H68">
            <v>122780506.233472</v>
          </cell>
          <cell r="I68">
            <v>135877093.56504199</v>
          </cell>
          <cell r="J68">
            <v>140914242.53872299</v>
          </cell>
          <cell r="K68">
            <v>146829391.04177201</v>
          </cell>
          <cell r="L68">
            <v>157403953.74860099</v>
          </cell>
          <cell r="M68">
            <v>159166380.396198</v>
          </cell>
          <cell r="N68">
            <v>173147301.00640401</v>
          </cell>
          <cell r="O68">
            <v>210478046.54361999</v>
          </cell>
          <cell r="P68">
            <v>235940605.63545001</v>
          </cell>
          <cell r="Q68">
            <v>305501696.55840999</v>
          </cell>
          <cell r="R68">
            <v>420170989.67514497</v>
          </cell>
          <cell r="S68">
            <v>556355387.28897703</v>
          </cell>
          <cell r="T68">
            <v>668362939.530357</v>
          </cell>
          <cell r="U68">
            <v>683145705.692325</v>
          </cell>
          <cell r="V68">
            <v>710159145.41094398</v>
          </cell>
          <cell r="W68">
            <v>823925129.90080297</v>
          </cell>
          <cell r="X68">
            <v>1006409477.08508</v>
          </cell>
          <cell r="Y68">
            <v>1184718826.40587</v>
          </cell>
          <cell r="Z68">
            <v>1224783524.4558899</v>
          </cell>
          <cell r="AA68">
            <v>1157872157.87216</v>
          </cell>
          <cell r="AB68">
            <v>1094758505.4080601</v>
          </cell>
          <cell r="AC68">
            <v>1149794291.5204101</v>
          </cell>
          <cell r="AD68">
            <v>1130700329.40361</v>
          </cell>
          <cell r="AE68">
            <v>1281909965.5750699</v>
          </cell>
          <cell r="AF68">
            <v>1166797089.7982199</v>
          </cell>
          <cell r="AG68">
            <v>1094706844.71789</v>
          </cell>
          <cell r="AH68">
            <v>1163321108.33951</v>
          </cell>
          <cell r="AI68">
            <v>1289553649.80755</v>
          </cell>
          <cell r="AJ68">
            <v>1344198969.9105401</v>
          </cell>
          <cell r="AK68">
            <v>1482368596.1410501</v>
          </cell>
          <cell r="AL68">
            <v>1581852380.3346701</v>
          </cell>
          <cell r="AM68">
            <v>1739635270.8148401</v>
          </cell>
          <cell r="AN68">
            <v>1931095783.26104</v>
          </cell>
          <cell r="AO68">
            <v>2100762488.42015</v>
          </cell>
          <cell r="AP68">
            <v>2052711782.2262199</v>
          </cell>
          <cell r="AQ68">
            <v>1597543789.0074501</v>
          </cell>
          <cell r="AR68">
            <v>1871649065.8001599</v>
          </cell>
          <cell r="AS68">
            <v>1711500516.77159</v>
          </cell>
          <cell r="AT68">
            <v>1638539927.96275</v>
          </cell>
          <cell r="AU68">
            <v>1848095477.61672</v>
          </cell>
          <cell r="AV68">
            <v>2301455849.77318</v>
          </cell>
          <cell r="AW68">
            <v>2708366993.6526299</v>
          </cell>
          <cell r="AX68">
            <v>3023832052.0402098</v>
          </cell>
          <cell r="AY68">
            <v>2955406654.3438101</v>
          </cell>
          <cell r="AZ68">
            <v>3302755697.6960802</v>
          </cell>
          <cell r="BA68">
            <v>3436092991.1526599</v>
          </cell>
          <cell r="BB68">
            <v>2859158664.4168301</v>
          </cell>
          <cell r="BC68">
            <v>3043130949.2780099</v>
          </cell>
          <cell r="BD68">
            <v>3658574057.5507498</v>
          </cell>
          <cell r="BE68">
            <v>3825356332.7560201</v>
          </cell>
          <cell r="BF68">
            <v>4108194688.82372</v>
          </cell>
          <cell r="BG68">
            <v>4631573805.2347097</v>
          </cell>
          <cell r="BH68">
            <v>4398221920.2898598</v>
          </cell>
          <cell r="BI68">
            <v>4658232109.6099701</v>
          </cell>
          <cell r="BJ68">
            <v>4930307029.85147</v>
          </cell>
          <cell r="BK68">
            <v>5221546227.2274103</v>
          </cell>
          <cell r="BL68">
            <v>5045561192.9605198</v>
          </cell>
          <cell r="BM68">
            <v>4255066002.8573899</v>
          </cell>
        </row>
        <row r="69">
          <cell r="B69" t="str">
            <v>FIN</v>
          </cell>
          <cell r="C69" t="str">
            <v>GNI (current US$)</v>
          </cell>
          <cell r="D69" t="str">
            <v>NY.GNP.MKTP.CD</v>
          </cell>
          <cell r="E69">
            <v>5222582942.6743803</v>
          </cell>
          <cell r="F69">
            <v>5916257432.8552504</v>
          </cell>
          <cell r="G69">
            <v>6328651342.3176403</v>
          </cell>
          <cell r="H69">
            <v>6865699615.4346399</v>
          </cell>
          <cell r="I69">
            <v>7737636595.2339401</v>
          </cell>
          <cell r="J69">
            <v>8552415610.6084204</v>
          </cell>
          <cell r="K69">
            <v>9165340432.2256699</v>
          </cell>
          <cell r="L69">
            <v>9311168538.7186508</v>
          </cell>
          <cell r="M69">
            <v>8759663044.2254696</v>
          </cell>
          <cell r="N69">
            <v>9993855559.6881409</v>
          </cell>
          <cell r="O69">
            <v>11468163929.7848</v>
          </cell>
          <cell r="P69">
            <v>12643331912.4751</v>
          </cell>
          <cell r="Q69">
            <v>14863587611.127001</v>
          </cell>
          <cell r="R69">
            <v>19624936984.596199</v>
          </cell>
          <cell r="S69">
            <v>25041844966.125702</v>
          </cell>
          <cell r="T69">
            <v>29617515758.849201</v>
          </cell>
          <cell r="U69">
            <v>31975894753.038898</v>
          </cell>
          <cell r="V69">
            <v>33523302346.170898</v>
          </cell>
          <cell r="W69">
            <v>36296527075.812302</v>
          </cell>
          <cell r="X69">
            <v>44609664173.4086</v>
          </cell>
          <cell r="Y69">
            <v>53811538093.7201</v>
          </cell>
          <cell r="Z69">
            <v>52302364287.682602</v>
          </cell>
          <cell r="AA69">
            <v>52540300974.466499</v>
          </cell>
          <cell r="AB69">
            <v>50632769000.853996</v>
          </cell>
          <cell r="AC69">
            <v>52562557380.292801</v>
          </cell>
          <cell r="AD69">
            <v>55593895817.344597</v>
          </cell>
          <cell r="AE69">
            <v>73353482289.467499</v>
          </cell>
          <cell r="AF69">
            <v>91283152982.551102</v>
          </cell>
          <cell r="AG69">
            <v>108878171997.157</v>
          </cell>
          <cell r="AH69">
            <v>117465355410.836</v>
          </cell>
          <cell r="AI69">
            <v>139004341471</v>
          </cell>
          <cell r="AJ69">
            <v>124265700632.25999</v>
          </cell>
          <cell r="AK69">
            <v>107990419431.909</v>
          </cell>
          <cell r="AL69">
            <v>85043139377.537201</v>
          </cell>
          <cell r="AM69">
            <v>99204525896.414398</v>
          </cell>
          <cell r="AN69">
            <v>130266884531.59</v>
          </cell>
          <cell r="AO69">
            <v>129148330313.228</v>
          </cell>
          <cell r="AP69">
            <v>125014316802.19901</v>
          </cell>
          <cell r="AQ69">
            <v>131456386292.83501</v>
          </cell>
          <cell r="AR69">
            <v>133865331344.556</v>
          </cell>
          <cell r="AS69">
            <v>124923530495.67</v>
          </cell>
          <cell r="AT69">
            <v>129373601789.709</v>
          </cell>
          <cell r="AU69">
            <v>140161867118.38901</v>
          </cell>
          <cell r="AV69">
            <v>170265237020.31601</v>
          </cell>
          <cell r="AW69">
            <v>198503849019.121</v>
          </cell>
          <cell r="AX69">
            <v>205663474692.202</v>
          </cell>
          <cell r="AY69">
            <v>218880943419.897</v>
          </cell>
          <cell r="AZ69">
            <v>256801259238.98199</v>
          </cell>
          <cell r="BA69">
            <v>285031492602.90002</v>
          </cell>
          <cell r="BB69">
            <v>255632120033.34299</v>
          </cell>
          <cell r="BC69">
            <v>252404839602.935</v>
          </cell>
          <cell r="BD69">
            <v>276297419116.35498</v>
          </cell>
          <cell r="BE69">
            <v>259512605054.63101</v>
          </cell>
          <cell r="BF69">
            <v>272399254958.03601</v>
          </cell>
          <cell r="BG69">
            <v>277244896380.48102</v>
          </cell>
          <cell r="BH69">
            <v>236745830831.021</v>
          </cell>
          <cell r="BI69">
            <v>241702997200.34601</v>
          </cell>
          <cell r="BJ69">
            <v>255143856199.685</v>
          </cell>
          <cell r="BK69">
            <v>276687642758.328</v>
          </cell>
          <cell r="BL69">
            <v>270141513435.29401</v>
          </cell>
          <cell r="BM69">
            <v>274361216350.19501</v>
          </cell>
        </row>
        <row r="70">
          <cell r="B70" t="str">
            <v>FRA</v>
          </cell>
          <cell r="C70" t="str">
            <v>GNI (current US$)</v>
          </cell>
          <cell r="D70" t="str">
            <v>NY.GNP.MKTP.CD</v>
          </cell>
          <cell r="E70">
            <v>62588196442.489601</v>
          </cell>
          <cell r="F70">
            <v>67823034024.6623</v>
          </cell>
          <cell r="G70">
            <v>76152271791.830002</v>
          </cell>
          <cell r="H70">
            <v>85419528679.052002</v>
          </cell>
          <cell r="I70">
            <v>94702729234.036896</v>
          </cell>
          <cell r="J70">
            <v>102253384558.78</v>
          </cell>
          <cell r="K70">
            <v>110738073086.636</v>
          </cell>
          <cell r="L70">
            <v>119728973065.967</v>
          </cell>
          <cell r="M70">
            <v>130424516856.95399</v>
          </cell>
          <cell r="N70">
            <v>142381694448.15601</v>
          </cell>
          <cell r="O70">
            <v>149052793197.11801</v>
          </cell>
          <cell r="P70">
            <v>166781105718.00601</v>
          </cell>
          <cell r="Q70">
            <v>204302990897.26901</v>
          </cell>
          <cell r="R70">
            <v>265235710076.60599</v>
          </cell>
          <cell r="S70">
            <v>286106110201.85498</v>
          </cell>
          <cell r="T70">
            <v>361759216766.10101</v>
          </cell>
          <cell r="U70">
            <v>373385686970.77301</v>
          </cell>
          <cell r="V70">
            <v>411210216635.46399</v>
          </cell>
          <cell r="W70">
            <v>508321220930.23297</v>
          </cell>
          <cell r="X70">
            <v>616651248843.66296</v>
          </cell>
          <cell r="Y70">
            <v>706460726482.45898</v>
          </cell>
          <cell r="Z70">
            <v>619460470730.23499</v>
          </cell>
          <cell r="AA70">
            <v>586300029943.10803</v>
          </cell>
          <cell r="AB70">
            <v>557554867028.14404</v>
          </cell>
          <cell r="AC70">
            <v>527303159948.96002</v>
          </cell>
          <cell r="AD70">
            <v>552408380785.51599</v>
          </cell>
          <cell r="AE70">
            <v>774780755753.38599</v>
          </cell>
          <cell r="AF70">
            <v>941591181927.31604</v>
          </cell>
          <cell r="AG70">
            <v>1025574275960.8</v>
          </cell>
          <cell r="AH70">
            <v>1029131194735.76</v>
          </cell>
          <cell r="AI70">
            <v>1273598361643.1799</v>
          </cell>
          <cell r="AJ70">
            <v>1272602023020.5801</v>
          </cell>
          <cell r="AK70">
            <v>1406931846344.49</v>
          </cell>
          <cell r="AL70">
            <v>1329198517489</v>
          </cell>
          <cell r="AM70">
            <v>1398516068052.9299</v>
          </cell>
          <cell r="AN70">
            <v>1606455513208.04</v>
          </cell>
          <cell r="AO70">
            <v>1619352481087.3201</v>
          </cell>
          <cell r="AP70">
            <v>1470552933243.4299</v>
          </cell>
          <cell r="AQ70">
            <v>1522697353791.4199</v>
          </cell>
          <cell r="AR70">
            <v>1522417430215.21</v>
          </cell>
          <cell r="AS70">
            <v>1383769117376.0801</v>
          </cell>
          <cell r="AT70">
            <v>1401282326621.9199</v>
          </cell>
          <cell r="AU70">
            <v>1509850367024.28</v>
          </cell>
          <cell r="AV70">
            <v>1864908577878.1001</v>
          </cell>
          <cell r="AW70">
            <v>2145033523714.9199</v>
          </cell>
          <cell r="AX70">
            <v>2233730879243.8799</v>
          </cell>
          <cell r="AY70">
            <v>2364983063605.5698</v>
          </cell>
          <cell r="AZ70">
            <v>2709995893785.9302</v>
          </cell>
          <cell r="BA70">
            <v>2981955470924.27</v>
          </cell>
          <cell r="BB70">
            <v>2752093637121.4199</v>
          </cell>
          <cell r="BC70">
            <v>2703780741292.1899</v>
          </cell>
          <cell r="BD70">
            <v>2937479068093.5298</v>
          </cell>
          <cell r="BE70">
            <v>2742506164929.5898</v>
          </cell>
          <cell r="BF70">
            <v>2874043166666.1299</v>
          </cell>
          <cell r="BG70">
            <v>2913983592556.46</v>
          </cell>
          <cell r="BH70">
            <v>2490863059700.3101</v>
          </cell>
          <cell r="BI70">
            <v>2523562336756.0898</v>
          </cell>
          <cell r="BJ70">
            <v>2647250199464.7798</v>
          </cell>
          <cell r="BK70">
            <v>2854266879701.6299</v>
          </cell>
          <cell r="BL70">
            <v>2787416524619.6001</v>
          </cell>
          <cell r="BM70">
            <v>2671813716093.3901</v>
          </cell>
        </row>
        <row r="71">
          <cell r="B71" t="str">
            <v>PYF</v>
          </cell>
          <cell r="C71" t="str">
            <v>GNI (current US$)</v>
          </cell>
          <cell r="D71" t="str">
            <v>NY.GNP.MKTP.CD</v>
          </cell>
          <cell r="E71">
            <v>57242963.5931722</v>
          </cell>
          <cell r="F71">
            <v>63899100.529204197</v>
          </cell>
          <cell r="G71">
            <v>67080767.169231899</v>
          </cell>
          <cell r="H71">
            <v>79873888.495014995</v>
          </cell>
          <cell r="I71">
            <v>122872654.364189</v>
          </cell>
          <cell r="J71">
            <v>176534589.603484</v>
          </cell>
          <cell r="K71">
            <v>215659455.017418</v>
          </cell>
          <cell r="L71">
            <v>220984369.129269</v>
          </cell>
          <cell r="M71">
            <v>259590076.29314101</v>
          </cell>
          <cell r="N71">
            <v>242943776.862315</v>
          </cell>
          <cell r="O71">
            <v>254035999.217076</v>
          </cell>
          <cell r="P71">
            <v>296613496.87320697</v>
          </cell>
          <cell r="Q71">
            <v>325843254.66698402</v>
          </cell>
          <cell r="R71">
            <v>431254103.04625201</v>
          </cell>
          <cell r="S71">
            <v>555337985.68307602</v>
          </cell>
          <cell r="T71">
            <v>690319754.91157305</v>
          </cell>
          <cell r="U71">
            <v>732286143.34317994</v>
          </cell>
          <cell r="V71">
            <v>793193187.41577804</v>
          </cell>
          <cell r="W71">
            <v>1005573294.20713</v>
          </cell>
          <cell r="X71">
            <v>1215031775.2675099</v>
          </cell>
          <cell r="Y71">
            <v>1362151523.68942</v>
          </cell>
          <cell r="Z71">
            <v>1279972866.3814199</v>
          </cell>
          <cell r="AA71">
            <v>1286462642.6370299</v>
          </cell>
          <cell r="AB71">
            <v>1335895286.3915601</v>
          </cell>
          <cell r="AC71">
            <v>1378991403.3784001</v>
          </cell>
          <cell r="AD71">
            <v>1507230778.8994999</v>
          </cell>
          <cell r="AE71">
            <v>2301514717.2979598</v>
          </cell>
          <cell r="AF71">
            <v>2543199148.3900199</v>
          </cell>
          <cell r="AG71">
            <v>2687472829.6297302</v>
          </cell>
          <cell r="AH71">
            <v>2636461517.1040802</v>
          </cell>
          <cell r="AI71">
            <v>3181206304.8151398</v>
          </cell>
          <cell r="AJ71">
            <v>3267367650.6426902</v>
          </cell>
          <cell r="AK71">
            <v>3558215009.0904398</v>
          </cell>
          <cell r="AL71">
            <v>3694600395.12747</v>
          </cell>
          <cell r="AM71">
            <v>3522272234.12075</v>
          </cell>
          <cell r="AN71">
            <v>3982376722.37398</v>
          </cell>
          <cell r="AO71">
            <v>3954697173.61901</v>
          </cell>
          <cell r="AP71">
            <v>3567062532.2778201</v>
          </cell>
          <cell r="AQ71">
            <v>3775160797.2027998</v>
          </cell>
          <cell r="AR71">
            <v>3797016078.7992501</v>
          </cell>
          <cell r="AS71">
            <v>3447543203.02843</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row>
        <row r="72">
          <cell r="B72" t="str">
            <v>GAB</v>
          </cell>
          <cell r="C72" t="str">
            <v>GNI (current US$)</v>
          </cell>
          <cell r="D72" t="str">
            <v>NY.GNP.MKTP.CD</v>
          </cell>
          <cell r="E72">
            <v>134793935.115343</v>
          </cell>
          <cell r="F72">
            <v>159031435.606525</v>
          </cell>
          <cell r="G72">
            <v>171340070.29551601</v>
          </cell>
          <cell r="H72">
            <v>181392411.86856601</v>
          </cell>
          <cell r="I72">
            <v>196883741.61964899</v>
          </cell>
          <cell r="J72">
            <v>206071196.79548401</v>
          </cell>
          <cell r="K72">
            <v>225497975.22425699</v>
          </cell>
          <cell r="L72">
            <v>246340524.325201</v>
          </cell>
          <cell r="M72">
            <v>266596981.17043701</v>
          </cell>
          <cell r="N72">
            <v>295429413.44730699</v>
          </cell>
          <cell r="O72">
            <v>307160008.79457498</v>
          </cell>
          <cell r="P72">
            <v>357718214.367401</v>
          </cell>
          <cell r="Q72">
            <v>401940061.174573</v>
          </cell>
          <cell r="R72">
            <v>665353060.06574202</v>
          </cell>
          <cell r="S72">
            <v>1417920156.4698</v>
          </cell>
          <cell r="T72">
            <v>2004545686.77877</v>
          </cell>
          <cell r="U72">
            <v>2830711868.0571399</v>
          </cell>
          <cell r="V72">
            <v>2657932404.2852101</v>
          </cell>
          <cell r="W72">
            <v>2162585095.25946</v>
          </cell>
          <cell r="X72">
            <v>2668745824.9416399</v>
          </cell>
          <cell r="Y72">
            <v>3856028560.8368702</v>
          </cell>
          <cell r="Z72">
            <v>3534371862.3158698</v>
          </cell>
          <cell r="AA72">
            <v>3304867120.0872302</v>
          </cell>
          <cell r="AB72">
            <v>3096313731.6279502</v>
          </cell>
          <cell r="AC72">
            <v>3337401884.8531098</v>
          </cell>
          <cell r="AD72">
            <v>3096404812.9046502</v>
          </cell>
          <cell r="AE72">
            <v>3157035409.3832002</v>
          </cell>
          <cell r="AF72">
            <v>3038898140.0535302</v>
          </cell>
          <cell r="AG72">
            <v>3556845179.39779</v>
          </cell>
          <cell r="AH72">
            <v>3951934799.2631698</v>
          </cell>
          <cell r="AI72">
            <v>5336349261.0118103</v>
          </cell>
          <cell r="AJ72">
            <v>4849229139.7339096</v>
          </cell>
          <cell r="AK72">
            <v>4864374340.2704601</v>
          </cell>
          <cell r="AL72">
            <v>3745523609.1128802</v>
          </cell>
          <cell r="AM72">
            <v>3692804810.0097098</v>
          </cell>
          <cell r="AN72">
            <v>4293428472.5744901</v>
          </cell>
          <cell r="AO72">
            <v>4930999941.3549805</v>
          </cell>
          <cell r="AP72">
            <v>4610324869.3524103</v>
          </cell>
          <cell r="AQ72">
            <v>3968303449.5360498</v>
          </cell>
          <cell r="AR72">
            <v>4094076970.7150798</v>
          </cell>
          <cell r="AS72">
            <v>4299812167.70298</v>
          </cell>
          <cell r="AT72">
            <v>4393551481.6608496</v>
          </cell>
          <cell r="AU72">
            <v>4854435521.76894</v>
          </cell>
          <cell r="AV72">
            <v>5797168602.5838404</v>
          </cell>
          <cell r="AW72">
            <v>6576889964.3113098</v>
          </cell>
          <cell r="AX72">
            <v>8624810908.6550407</v>
          </cell>
          <cell r="AY72">
            <v>8966978264.4648304</v>
          </cell>
          <cell r="AZ72">
            <v>10624577834.7826</v>
          </cell>
          <cell r="BA72">
            <v>13406692825.112101</v>
          </cell>
          <cell r="BB72">
            <v>10736261661.3374</v>
          </cell>
          <cell r="BC72">
            <v>12484463860.032301</v>
          </cell>
          <cell r="BD72">
            <v>15711224400.878901</v>
          </cell>
          <cell r="BE72">
            <v>15456971600.9772</v>
          </cell>
          <cell r="BF72">
            <v>15890972051.607201</v>
          </cell>
          <cell r="BG72">
            <v>17256250321.362301</v>
          </cell>
          <cell r="BH72">
            <v>13188718851.3015</v>
          </cell>
          <cell r="BI72">
            <v>12934875312.3494</v>
          </cell>
          <cell r="BJ72">
            <v>13985729747.5427</v>
          </cell>
          <cell r="BK72">
            <v>15754972352.1527</v>
          </cell>
          <cell r="BL72">
            <v>15511134184.7141</v>
          </cell>
          <cell r="BM72">
            <v>14503352951.426901</v>
          </cell>
        </row>
        <row r="73">
          <cell r="B73" t="str">
            <v>GMB</v>
          </cell>
          <cell r="C73" t="str">
            <v>GNI (current US$)</v>
          </cell>
          <cell r="D73" t="str">
            <v>NY.GNP.MKTP.CD</v>
          </cell>
          <cell r="E73" t="str">
            <v>..</v>
          </cell>
          <cell r="F73" t="str">
            <v>..</v>
          </cell>
          <cell r="G73" t="str">
            <v>..</v>
          </cell>
          <cell r="H73" t="str">
            <v>..</v>
          </cell>
          <cell r="I73" t="str">
            <v>..</v>
          </cell>
          <cell r="J73" t="str">
            <v>..</v>
          </cell>
          <cell r="K73">
            <v>44212353.698829599</v>
          </cell>
          <cell r="L73">
            <v>46695363.155887298</v>
          </cell>
          <cell r="M73">
            <v>41160658.570537098</v>
          </cell>
          <cell r="N73">
            <v>45168722.699563198</v>
          </cell>
          <cell r="O73">
            <v>52296836.749388002</v>
          </cell>
          <cell r="P73">
            <v>54456487.880852699</v>
          </cell>
          <cell r="Q73">
            <v>57542397.4416629</v>
          </cell>
          <cell r="R73">
            <v>73888510.3383459</v>
          </cell>
          <cell r="S73">
            <v>94698638.143667102</v>
          </cell>
          <cell r="T73">
            <v>114777433.628319</v>
          </cell>
          <cell r="U73">
            <v>113261760.34506001</v>
          </cell>
          <cell r="V73">
            <v>139727431.312691</v>
          </cell>
          <cell r="W73">
            <v>171230618.017932</v>
          </cell>
          <cell r="X73">
            <v>204442702.81720001</v>
          </cell>
          <cell r="Y73">
            <v>236981115.630447</v>
          </cell>
          <cell r="Z73">
            <v>215053160.48638299</v>
          </cell>
          <cell r="AA73">
            <v>209616335.44442001</v>
          </cell>
          <cell r="AB73">
            <v>199671492.45812199</v>
          </cell>
          <cell r="AC73">
            <v>178388800.53569901</v>
          </cell>
          <cell r="AD73">
            <v>250974678.34304899</v>
          </cell>
          <cell r="AE73">
            <v>214199884.47653401</v>
          </cell>
          <cell r="AF73">
            <v>250476591.65441599</v>
          </cell>
          <cell r="AG73">
            <v>271923275.29664302</v>
          </cell>
          <cell r="AH73">
            <v>267267458.726726</v>
          </cell>
          <cell r="AI73">
            <v>291575060.286838</v>
          </cell>
          <cell r="AJ73">
            <v>670174119.15585494</v>
          </cell>
          <cell r="AK73">
            <v>695658104.47744405</v>
          </cell>
          <cell r="AL73">
            <v>736114620.81980205</v>
          </cell>
          <cell r="AM73">
            <v>728459558.74679101</v>
          </cell>
          <cell r="AN73">
            <v>770633068.95214999</v>
          </cell>
          <cell r="AO73">
            <v>832133538.15375805</v>
          </cell>
          <cell r="AP73">
            <v>779877139.66392803</v>
          </cell>
          <cell r="AQ73">
            <v>814984158.75074005</v>
          </cell>
          <cell r="AR73">
            <v>785843994.34844804</v>
          </cell>
          <cell r="AS73">
            <v>752681081.67287099</v>
          </cell>
          <cell r="AT73">
            <v>656184060.89040697</v>
          </cell>
          <cell r="AU73">
            <v>545288099.08724904</v>
          </cell>
          <cell r="AV73">
            <v>464321035.38318598</v>
          </cell>
          <cell r="AW73">
            <v>941271640.78707695</v>
          </cell>
          <cell r="AX73">
            <v>1005256867.79538</v>
          </cell>
          <cell r="AY73">
            <v>1029031896.58551</v>
          </cell>
          <cell r="AZ73">
            <v>1253851721.11573</v>
          </cell>
          <cell r="BA73">
            <v>1536174172.23915</v>
          </cell>
          <cell r="BB73">
            <v>1422147062.7974401</v>
          </cell>
          <cell r="BC73">
            <v>1513386209.4816501</v>
          </cell>
          <cell r="BD73">
            <v>1377827103.16854</v>
          </cell>
          <cell r="BE73">
            <v>1385746819.38205</v>
          </cell>
          <cell r="BF73">
            <v>1345938955.8813701</v>
          </cell>
          <cell r="BG73">
            <v>1200490602.16136</v>
          </cell>
          <cell r="BH73">
            <v>1345126868.55094</v>
          </cell>
          <cell r="BI73">
            <v>1456755151.3055501</v>
          </cell>
          <cell r="BJ73">
            <v>1476610604.4124601</v>
          </cell>
          <cell r="BK73">
            <v>1641471456.9341099</v>
          </cell>
          <cell r="BL73">
            <v>1782302843.4456899</v>
          </cell>
          <cell r="BM73">
            <v>1837121908.5971899</v>
          </cell>
        </row>
        <row r="74">
          <cell r="B74" t="str">
            <v>GEO</v>
          </cell>
          <cell r="C74" t="str">
            <v>GNI (current US$)</v>
          </cell>
          <cell r="D74" t="str">
            <v>NY.GNP.MKTP.CD</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v>2642622950.8196702</v>
          </cell>
          <cell r="AM74">
            <v>2469381443.2989702</v>
          </cell>
          <cell r="AN74">
            <v>2574192823.1254802</v>
          </cell>
          <cell r="AO74">
            <v>3023800304.0243201</v>
          </cell>
          <cell r="AP74">
            <v>3637920231.21387</v>
          </cell>
          <cell r="AQ74">
            <v>3804243776.08289</v>
          </cell>
          <cell r="AR74">
            <v>2946950605.0876799</v>
          </cell>
          <cell r="AS74">
            <v>3094875335.1884599</v>
          </cell>
          <cell r="AT74">
            <v>3239488663.7723098</v>
          </cell>
          <cell r="AU74">
            <v>3406128022.9539599</v>
          </cell>
          <cell r="AV74">
            <v>4000784452.6261802</v>
          </cell>
          <cell r="AW74">
            <v>5199165171.1185303</v>
          </cell>
          <cell r="AX74">
            <v>6471623655.3207903</v>
          </cell>
          <cell r="AY74">
            <v>7906494270.9503498</v>
          </cell>
          <cell r="AZ74">
            <v>10208882370.547701</v>
          </cell>
          <cell r="BA74">
            <v>12735776495.8412</v>
          </cell>
          <cell r="BB74">
            <v>10723236276.5639</v>
          </cell>
          <cell r="BC74">
            <v>12026105593.8955</v>
          </cell>
          <cell r="BD74">
            <v>14681541476.4305</v>
          </cell>
          <cell r="BE74">
            <v>16316003088.4757</v>
          </cell>
          <cell r="BF74">
            <v>16872451545.028299</v>
          </cell>
          <cell r="BG74">
            <v>17397203432.066601</v>
          </cell>
          <cell r="BH74">
            <v>14615250561.8473</v>
          </cell>
          <cell r="BI74">
            <v>14440358558.3302</v>
          </cell>
          <cell r="BJ74">
            <v>15447499820.6814</v>
          </cell>
          <cell r="BK74">
            <v>16915006669.034401</v>
          </cell>
          <cell r="BL74">
            <v>16699333664.5257</v>
          </cell>
          <cell r="BM74">
            <v>15107732155.3444</v>
          </cell>
        </row>
        <row r="75">
          <cell r="B75" t="str">
            <v>DEU</v>
          </cell>
          <cell r="C75" t="str">
            <v>GNI (current US$)</v>
          </cell>
          <cell r="D75" t="str">
            <v>NY.GNP.MKTP.CD</v>
          </cell>
          <cell r="E75" t="str">
            <v>..</v>
          </cell>
          <cell r="F75" t="str">
            <v>..</v>
          </cell>
          <cell r="G75" t="str">
            <v>..</v>
          </cell>
          <cell r="H75" t="str">
            <v>..</v>
          </cell>
          <cell r="I75" t="str">
            <v>..</v>
          </cell>
          <cell r="J75" t="str">
            <v>..</v>
          </cell>
          <cell r="K75" t="str">
            <v>..</v>
          </cell>
          <cell r="L75" t="str">
            <v>..</v>
          </cell>
          <cell r="M75" t="str">
            <v>..</v>
          </cell>
          <cell r="N75" t="str">
            <v>..</v>
          </cell>
          <cell r="O75">
            <v>216937427456.84799</v>
          </cell>
          <cell r="P75">
            <v>250910911169.353</v>
          </cell>
          <cell r="Q75">
            <v>300633615285.53003</v>
          </cell>
          <cell r="R75">
            <v>399423448957.19</v>
          </cell>
          <cell r="S75">
            <v>446478840601.617</v>
          </cell>
          <cell r="T75">
            <v>492617843230.78101</v>
          </cell>
          <cell r="U75">
            <v>522284947957.12299</v>
          </cell>
          <cell r="V75">
            <v>602462989977.25903</v>
          </cell>
          <cell r="W75">
            <v>745553903602.72595</v>
          </cell>
          <cell r="X75">
            <v>884770610393.76794</v>
          </cell>
          <cell r="Y75">
            <v>954146081342.802</v>
          </cell>
          <cell r="Z75">
            <v>802340951103.41797</v>
          </cell>
          <cell r="AA75">
            <v>777697777061.33606</v>
          </cell>
          <cell r="AB75">
            <v>774212274990.42505</v>
          </cell>
          <cell r="AC75">
            <v>731281976496.46106</v>
          </cell>
          <cell r="AD75">
            <v>738823376959.87195</v>
          </cell>
          <cell r="AE75">
            <v>1052667199855.89</v>
          </cell>
          <cell r="AF75">
            <v>1304233981501.6299</v>
          </cell>
          <cell r="AG75">
            <v>1414781709544.49</v>
          </cell>
          <cell r="AH75">
            <v>1414249683761.5701</v>
          </cell>
          <cell r="AI75">
            <v>1790871642658.27</v>
          </cell>
          <cell r="AJ75">
            <v>1875827877430.76</v>
          </cell>
          <cell r="AK75">
            <v>2137944338134</v>
          </cell>
          <cell r="AL75">
            <v>2074905674908.3201</v>
          </cell>
          <cell r="AM75">
            <v>2204518754971.6802</v>
          </cell>
          <cell r="AN75">
            <v>2582251944861.4702</v>
          </cell>
          <cell r="AO75">
            <v>2497603327268</v>
          </cell>
          <cell r="AP75">
            <v>2207765621475.2998</v>
          </cell>
          <cell r="AQ75">
            <v>2226180949205.29</v>
          </cell>
          <cell r="AR75">
            <v>2179026209247.8201</v>
          </cell>
          <cell r="AS75">
            <v>1932214851667.5901</v>
          </cell>
          <cell r="AT75">
            <v>1930451901566</v>
          </cell>
          <cell r="AU75">
            <v>2046678900809.3401</v>
          </cell>
          <cell r="AV75">
            <v>2470774266365.6899</v>
          </cell>
          <cell r="AW75">
            <v>2826157188974.4199</v>
          </cell>
          <cell r="AX75">
            <v>2869298594702.1499</v>
          </cell>
          <cell r="AY75">
            <v>3042803914188.9302</v>
          </cell>
          <cell r="AZ75">
            <v>3470907473309.6099</v>
          </cell>
          <cell r="BA75">
            <v>3765438699282.2598</v>
          </cell>
          <cell r="BB75">
            <v>3474401222561.8198</v>
          </cell>
          <cell r="BC75">
            <v>3464482469694.3599</v>
          </cell>
          <cell r="BD75">
            <v>3840293076529</v>
          </cell>
          <cell r="BE75">
            <v>3611978814803.0601</v>
          </cell>
          <cell r="BF75">
            <v>3819178029463.77</v>
          </cell>
          <cell r="BG75">
            <v>3961735742666.9199</v>
          </cell>
          <cell r="BH75">
            <v>3432720276373.6201</v>
          </cell>
          <cell r="BI75">
            <v>3553516783450.0298</v>
          </cell>
          <cell r="BJ75">
            <v>3769455398991.3398</v>
          </cell>
          <cell r="BK75">
            <v>4103197500021.9399</v>
          </cell>
          <cell r="BL75">
            <v>4014394171599.9902</v>
          </cell>
          <cell r="BM75">
            <v>3953466258964.9902</v>
          </cell>
        </row>
        <row r="76">
          <cell r="B76" t="str">
            <v>GHA</v>
          </cell>
          <cell r="C76" t="str">
            <v>GNI (current US$)</v>
          </cell>
          <cell r="D76" t="str">
            <v>NY.GNP.MKTP.CD</v>
          </cell>
          <cell r="E76">
            <v>1203222788.1151299</v>
          </cell>
          <cell r="F76">
            <v>1283064113.9854</v>
          </cell>
          <cell r="G76">
            <v>1368508339.9167399</v>
          </cell>
          <cell r="H76">
            <v>1515584466.51987</v>
          </cell>
          <cell r="I76">
            <v>1714487418.6879101</v>
          </cell>
          <cell r="J76">
            <v>2026849097.09266</v>
          </cell>
          <cell r="K76">
            <v>2106690422.96293</v>
          </cell>
          <cell r="L76">
            <v>1710013336.2453101</v>
          </cell>
          <cell r="M76">
            <v>1615922325.90839</v>
          </cell>
          <cell r="N76">
            <v>1914005085.05654</v>
          </cell>
          <cell r="O76">
            <v>2170905357.7434301</v>
          </cell>
          <cell r="P76">
            <v>2372632926.4213099</v>
          </cell>
          <cell r="Q76">
            <v>2085279606.80586</v>
          </cell>
          <cell r="R76">
            <v>2447183098.5915499</v>
          </cell>
          <cell r="S76">
            <v>2875155279.5031099</v>
          </cell>
          <cell r="T76">
            <v>2787765957.4468098</v>
          </cell>
          <cell r="U76">
            <v>2744915254.2372899</v>
          </cell>
          <cell r="V76">
            <v>3178000000</v>
          </cell>
          <cell r="W76">
            <v>3654101221.6404901</v>
          </cell>
          <cell r="X76">
            <v>4006125356.12536</v>
          </cell>
          <cell r="Y76">
            <v>4426348547.7178402</v>
          </cell>
          <cell r="Z76">
            <v>4209534638.9805398</v>
          </cell>
          <cell r="AA76">
            <v>4025490196.0784302</v>
          </cell>
          <cell r="AB76">
            <v>4021119840.8042402</v>
          </cell>
          <cell r="AC76">
            <v>4364497716.8949804</v>
          </cell>
          <cell r="AD76">
            <v>4424969151.2148304</v>
          </cell>
          <cell r="AE76">
            <v>5601277821.67307</v>
          </cell>
          <cell r="AF76">
            <v>4936761904.7618999</v>
          </cell>
          <cell r="AG76">
            <v>5066668176.4461098</v>
          </cell>
          <cell r="AH76">
            <v>5133900896.9929895</v>
          </cell>
          <cell r="AI76">
            <v>5776765502.1265602</v>
          </cell>
          <cell r="AJ76">
            <v>6474875000</v>
          </cell>
          <cell r="AK76">
            <v>6307702517.1624699</v>
          </cell>
          <cell r="AL76">
            <v>5853944530.0462198</v>
          </cell>
          <cell r="AM76">
            <v>5333534518.8284502</v>
          </cell>
          <cell r="AN76">
            <v>6332009174.3119297</v>
          </cell>
          <cell r="AO76">
            <v>6791288685.0152903</v>
          </cell>
          <cell r="AP76">
            <v>6757509277.34375</v>
          </cell>
          <cell r="AQ76">
            <v>7329127595.1557102</v>
          </cell>
          <cell r="AR76">
            <v>7555452363.0907698</v>
          </cell>
          <cell r="AS76">
            <v>4836061112.1306696</v>
          </cell>
          <cell r="AT76">
            <v>5206827725.8132095</v>
          </cell>
          <cell r="AU76">
            <v>6036889828.3695097</v>
          </cell>
          <cell r="AV76">
            <v>7467434240.8860197</v>
          </cell>
          <cell r="AW76">
            <v>8683188882.7126198</v>
          </cell>
          <cell r="AX76">
            <v>10613532479.010201</v>
          </cell>
          <cell r="AY76">
            <v>20312963391.979</v>
          </cell>
          <cell r="AZ76">
            <v>24687276967.617401</v>
          </cell>
          <cell r="BA76">
            <v>28562049035.446201</v>
          </cell>
          <cell r="BB76">
            <v>25953825266.9039</v>
          </cell>
          <cell r="BC76">
            <v>31663124545.454498</v>
          </cell>
          <cell r="BD76">
            <v>38114303104.037903</v>
          </cell>
          <cell r="BE76">
            <v>39174956052.386398</v>
          </cell>
          <cell r="BF76">
            <v>61072600585.444603</v>
          </cell>
          <cell r="BG76">
            <v>51920119657.529503</v>
          </cell>
          <cell r="BH76">
            <v>47921089700.102303</v>
          </cell>
          <cell r="BI76">
            <v>53961581129.469498</v>
          </cell>
          <cell r="BJ76">
            <v>57431697460.062103</v>
          </cell>
          <cell r="BK76">
            <v>64270236560.312302</v>
          </cell>
          <cell r="BL76">
            <v>65527306781.155403</v>
          </cell>
          <cell r="BM76">
            <v>70776628000.071503</v>
          </cell>
        </row>
        <row r="77">
          <cell r="B77" t="str">
            <v>GIB</v>
          </cell>
          <cell r="C77" t="str">
            <v>GNI (current US$)</v>
          </cell>
          <cell r="D77" t="str">
            <v>NY.GNP.MKTP.CD</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row>
        <row r="78">
          <cell r="B78" t="str">
            <v>GRC</v>
          </cell>
          <cell r="C78" t="str">
            <v>GNI (current US$)</v>
          </cell>
          <cell r="D78" t="str">
            <v>NY.GNP.MKTP.CD</v>
          </cell>
          <cell r="E78">
            <v>4397175254.2799702</v>
          </cell>
          <cell r="F78">
            <v>5039684341.08498</v>
          </cell>
          <cell r="G78">
            <v>5293495375.6054697</v>
          </cell>
          <cell r="H78">
            <v>5993745683.3597603</v>
          </cell>
          <cell r="I78">
            <v>6794075397.8152399</v>
          </cell>
          <cell r="J78">
            <v>7809057158.4080296</v>
          </cell>
          <cell r="K78">
            <v>8710950813.6700706</v>
          </cell>
          <cell r="L78">
            <v>9411190898.9247799</v>
          </cell>
          <cell r="M78">
            <v>10261378015.4884</v>
          </cell>
          <cell r="N78">
            <v>11788957930.75</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v>268245507464.55899</v>
          </cell>
          <cell r="AZ78">
            <v>310292161237.33899</v>
          </cell>
          <cell r="BA78">
            <v>343903323568.185</v>
          </cell>
          <cell r="BB78">
            <v>322674845790.49701</v>
          </cell>
          <cell r="BC78">
            <v>290269009046.961</v>
          </cell>
          <cell r="BD78">
            <v>274791195321.41599</v>
          </cell>
          <cell r="BE78">
            <v>244068405104.664</v>
          </cell>
          <cell r="BF78">
            <v>238830997929.03601</v>
          </cell>
          <cell r="BG78">
            <v>236671380520.97601</v>
          </cell>
          <cell r="BH78">
            <v>195445621345.81299</v>
          </cell>
          <cell r="BI78">
            <v>192076829352.51501</v>
          </cell>
          <cell r="BJ78">
            <v>198351373145.38901</v>
          </cell>
          <cell r="BK78">
            <v>209609231280.34399</v>
          </cell>
          <cell r="BL78">
            <v>203279410555.63101</v>
          </cell>
          <cell r="BM78">
            <v>188028901406.48499</v>
          </cell>
        </row>
        <row r="79">
          <cell r="B79" t="str">
            <v>GRL</v>
          </cell>
          <cell r="C79" t="str">
            <v>GNI (current US$)</v>
          </cell>
          <cell r="D79" t="str">
            <v>NY.GNP.MKTP.CD</v>
          </cell>
          <cell r="E79" t="str">
            <v>..</v>
          </cell>
          <cell r="F79" t="str">
            <v>..</v>
          </cell>
          <cell r="G79" t="str">
            <v>..</v>
          </cell>
          <cell r="H79" t="str">
            <v>..</v>
          </cell>
          <cell r="I79" t="str">
            <v>..</v>
          </cell>
          <cell r="J79" t="str">
            <v>..</v>
          </cell>
          <cell r="K79" t="str">
            <v>..</v>
          </cell>
          <cell r="L79" t="str">
            <v>..</v>
          </cell>
          <cell r="M79" t="str">
            <v>..</v>
          </cell>
          <cell r="N79" t="str">
            <v>..</v>
          </cell>
          <cell r="O79">
            <v>62671693.333333299</v>
          </cell>
          <cell r="P79">
            <v>79845933.994823098</v>
          </cell>
          <cell r="Q79">
            <v>95649274.027599901</v>
          </cell>
          <cell r="R79">
            <v>126347367.551037</v>
          </cell>
          <cell r="S79">
            <v>153180429.539451</v>
          </cell>
          <cell r="T79">
            <v>190389794.81735399</v>
          </cell>
          <cell r="U79">
            <v>217061422.663358</v>
          </cell>
          <cell r="V79">
            <v>254463352.878465</v>
          </cell>
          <cell r="W79">
            <v>320920991.54970402</v>
          </cell>
          <cell r="X79">
            <v>379205474.24444002</v>
          </cell>
          <cell r="Y79">
            <v>428502989.762061</v>
          </cell>
          <cell r="Z79">
            <v>395457225.48221397</v>
          </cell>
          <cell r="AA79">
            <v>375402045.02904302</v>
          </cell>
          <cell r="AB79">
            <v>379332968.83542901</v>
          </cell>
          <cell r="AC79">
            <v>351563254.34988302</v>
          </cell>
          <cell r="AD79">
            <v>384564569.098939</v>
          </cell>
          <cell r="AE79">
            <v>553578049.68483496</v>
          </cell>
          <cell r="AF79">
            <v>728915398.44743598</v>
          </cell>
          <cell r="AG79">
            <v>831761123.07806599</v>
          </cell>
          <cell r="AH79">
            <v>868238899.07252896</v>
          </cell>
          <cell r="AI79">
            <v>946256019.13195205</v>
          </cell>
          <cell r="AJ79">
            <v>946142421.63683295</v>
          </cell>
          <cell r="AK79">
            <v>963370388.16454303</v>
          </cell>
          <cell r="AL79">
            <v>865528462.80787802</v>
          </cell>
          <cell r="AM79">
            <v>950853693.04782605</v>
          </cell>
          <cell r="AN79">
            <v>1159860059.9742999</v>
          </cell>
          <cell r="AO79">
            <v>1163019297.42873</v>
          </cell>
          <cell r="AP79">
            <v>1041865394.8065701</v>
          </cell>
          <cell r="AQ79">
            <v>1120015520.5348599</v>
          </cell>
          <cell r="AR79">
            <v>1102892692.29667</v>
          </cell>
          <cell r="AS79">
            <v>1043287847.48426</v>
          </cell>
          <cell r="AT79">
            <v>1057096169.55832</v>
          </cell>
          <cell r="AU79">
            <v>1138485312.9314599</v>
          </cell>
          <cell r="AV79">
            <v>1389711128.3148899</v>
          </cell>
          <cell r="AW79">
            <v>1599873145.1653299</v>
          </cell>
          <cell r="AX79">
            <v>1662192132.60184</v>
          </cell>
          <cell r="AY79">
            <v>1657458868.6352301</v>
          </cell>
          <cell r="AZ79">
            <v>2042180079.7251899</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row>
        <row r="80">
          <cell r="B80" t="str">
            <v>GRD</v>
          </cell>
          <cell r="C80" t="str">
            <v>GNI (current US$)</v>
          </cell>
          <cell r="D80" t="str">
            <v>NY.GNP.MKTP.CD</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v>70198198.888888896</v>
          </cell>
          <cell r="W80">
            <v>86840904.814814806</v>
          </cell>
          <cell r="X80">
            <v>100577695.555556</v>
          </cell>
          <cell r="Y80">
            <v>108715271.851852</v>
          </cell>
          <cell r="Z80">
            <v>110763030</v>
          </cell>
          <cell r="AA80">
            <v>120139293.703704</v>
          </cell>
          <cell r="AB80">
            <v>127285033.703704</v>
          </cell>
          <cell r="AC80">
            <v>140644421.851852</v>
          </cell>
          <cell r="AD80">
            <v>162487714.444444</v>
          </cell>
          <cell r="AE80">
            <v>182037670.74074101</v>
          </cell>
          <cell r="AF80">
            <v>208368828.88888901</v>
          </cell>
          <cell r="AG80">
            <v>230083449.62963</v>
          </cell>
          <cell r="AH80">
            <v>257794308.88888901</v>
          </cell>
          <cell r="AI80">
            <v>266224688.88888901</v>
          </cell>
          <cell r="AJ80">
            <v>293872703.703704</v>
          </cell>
          <cell r="AK80">
            <v>304823407.40740699</v>
          </cell>
          <cell r="AL80">
            <v>301338111.11111099</v>
          </cell>
          <cell r="AM80">
            <v>316297000</v>
          </cell>
          <cell r="AN80">
            <v>328728074.07407397</v>
          </cell>
          <cell r="AO80">
            <v>351511444.444444</v>
          </cell>
          <cell r="AP80">
            <v>375246148.148148</v>
          </cell>
          <cell r="AQ80">
            <v>422659148.148148</v>
          </cell>
          <cell r="AR80">
            <v>455709370.37036997</v>
          </cell>
          <cell r="AS80">
            <v>486296222.22222197</v>
          </cell>
          <cell r="AT80">
            <v>478999740.74074101</v>
          </cell>
          <cell r="AU80">
            <v>492740296.296296</v>
          </cell>
          <cell r="AV80">
            <v>540525814.81481504</v>
          </cell>
          <cell r="AW80">
            <v>533925222.22222197</v>
          </cell>
          <cell r="AX80">
            <v>667088148.14814794</v>
          </cell>
          <cell r="AY80">
            <v>669815814.81481504</v>
          </cell>
          <cell r="AZ80">
            <v>717591481.48148096</v>
          </cell>
          <cell r="BA80">
            <v>783264333.33333302</v>
          </cell>
          <cell r="BB80">
            <v>708231333.33333302</v>
          </cell>
          <cell r="BC80">
            <v>731135629.62962997</v>
          </cell>
          <cell r="BD80">
            <v>746883222.22222197</v>
          </cell>
          <cell r="BE80">
            <v>765599962.96296299</v>
          </cell>
          <cell r="BF80">
            <v>813021518.51851797</v>
          </cell>
          <cell r="BG80">
            <v>828656703.703704</v>
          </cell>
          <cell r="BH80">
            <v>880071740.74074101</v>
          </cell>
          <cell r="BI80">
            <v>964617074.07407403</v>
          </cell>
          <cell r="BJ80">
            <v>1004054814.81481</v>
          </cell>
          <cell r="BK80">
            <v>1052901925.92593</v>
          </cell>
          <cell r="BL80">
            <v>1095541629.6296301</v>
          </cell>
          <cell r="BM80">
            <v>1053198814.81481</v>
          </cell>
        </row>
        <row r="81">
          <cell r="B81" t="str">
            <v>GUM</v>
          </cell>
          <cell r="C81" t="str">
            <v>GNI (current US$)</v>
          </cell>
          <cell r="D81" t="str">
            <v>NY.GNP.MKTP.CD</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row>
        <row r="82">
          <cell r="B82" t="str">
            <v>GTM</v>
          </cell>
          <cell r="C82" t="str">
            <v>GNI (current US$)</v>
          </cell>
          <cell r="D82" t="str">
            <v>NY.GNP.MKTP.CD</v>
          </cell>
          <cell r="E82">
            <v>1033200000</v>
          </cell>
          <cell r="F82">
            <v>1064300000</v>
          </cell>
          <cell r="G82">
            <v>1131700000</v>
          </cell>
          <cell r="H82">
            <v>1248599900</v>
          </cell>
          <cell r="I82">
            <v>1282100000</v>
          </cell>
          <cell r="J82">
            <v>1319699900</v>
          </cell>
          <cell r="K82">
            <v>1374500000</v>
          </cell>
          <cell r="L82">
            <v>1434100000</v>
          </cell>
          <cell r="M82">
            <v>1579100000</v>
          </cell>
          <cell r="N82">
            <v>1679699900</v>
          </cell>
          <cell r="O82">
            <v>1865800000</v>
          </cell>
          <cell r="P82">
            <v>1942900000</v>
          </cell>
          <cell r="Q82">
            <v>2055700000</v>
          </cell>
          <cell r="R82">
            <v>2523300100</v>
          </cell>
          <cell r="S82">
            <v>3113499900</v>
          </cell>
          <cell r="T82">
            <v>3579900000</v>
          </cell>
          <cell r="U82">
            <v>4321300200</v>
          </cell>
          <cell r="V82">
            <v>5454200200</v>
          </cell>
          <cell r="W82">
            <v>6053100200</v>
          </cell>
          <cell r="X82">
            <v>6905300200</v>
          </cell>
          <cell r="Y82">
            <v>7834600000</v>
          </cell>
          <cell r="Z82">
            <v>8521800300</v>
          </cell>
          <cell r="AA82">
            <v>8603399700</v>
          </cell>
          <cell r="AB82">
            <v>8937300400</v>
          </cell>
          <cell r="AC82">
            <v>9263400100</v>
          </cell>
          <cell r="AD82">
            <v>9551552086.9565201</v>
          </cell>
          <cell r="AE82">
            <v>7017563515.98174</v>
          </cell>
          <cell r="AF82">
            <v>6905099840</v>
          </cell>
          <cell r="AG82">
            <v>7665302824.4274797</v>
          </cell>
          <cell r="AH82">
            <v>8231324360.7954502</v>
          </cell>
          <cell r="AI82">
            <v>7454425217.35254</v>
          </cell>
          <cell r="AJ82">
            <v>9303297739.0681896</v>
          </cell>
          <cell r="AK82">
            <v>10299842165.3193</v>
          </cell>
          <cell r="AL82">
            <v>11281542445.9666</v>
          </cell>
          <cell r="AM82">
            <v>12853235568.2292</v>
          </cell>
          <cell r="AN82">
            <v>14496304426.393101</v>
          </cell>
          <cell r="AO82">
            <v>15444935612.0305</v>
          </cell>
          <cell r="AP82">
            <v>17551326219.964699</v>
          </cell>
          <cell r="AQ82">
            <v>19211791989.8661</v>
          </cell>
          <cell r="AR82">
            <v>18113912244.594002</v>
          </cell>
          <cell r="AS82">
            <v>19079227161.479801</v>
          </cell>
          <cell r="AT82">
            <v>18320773165.7038</v>
          </cell>
          <cell r="AU82">
            <v>20125833974.711399</v>
          </cell>
          <cell r="AV82">
            <v>21258490637.081402</v>
          </cell>
          <cell r="AW82">
            <v>23167186220.348598</v>
          </cell>
          <cell r="AX82">
            <v>26298543667.063999</v>
          </cell>
          <cell r="AY82">
            <v>29063968116.170799</v>
          </cell>
          <cell r="AZ82">
            <v>32725168323.928398</v>
          </cell>
          <cell r="BA82">
            <v>37869860449.735497</v>
          </cell>
          <cell r="BB82">
            <v>36396647507.841599</v>
          </cell>
          <cell r="BC82">
            <v>39642735659.857498</v>
          </cell>
          <cell r="BD82">
            <v>45572811583.219902</v>
          </cell>
          <cell r="BE82">
            <v>48568960273.692802</v>
          </cell>
          <cell r="BF82">
            <v>51760538476.224403</v>
          </cell>
          <cell r="BG82">
            <v>56335293254.1838</v>
          </cell>
          <cell r="BH82">
            <v>60699783495.323196</v>
          </cell>
          <cell r="BI82">
            <v>64628417702.864502</v>
          </cell>
          <cell r="BJ82">
            <v>70153026034.649399</v>
          </cell>
          <cell r="BK82">
            <v>71702090102.670502</v>
          </cell>
          <cell r="BL82">
            <v>75608515051.905396</v>
          </cell>
          <cell r="BM82">
            <v>76225163391.244095</v>
          </cell>
        </row>
        <row r="83">
          <cell r="B83" t="str">
            <v>GIN</v>
          </cell>
          <cell r="C83" t="str">
            <v>GNI (current US$)</v>
          </cell>
          <cell r="D83" t="str">
            <v>NY.GNP.MKTP.CD</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1837759443.0990901</v>
          </cell>
          <cell r="AF83">
            <v>1917338040.74439</v>
          </cell>
          <cell r="AG83">
            <v>2253095970.28473</v>
          </cell>
          <cell r="AH83">
            <v>2262129430.1421599</v>
          </cell>
          <cell r="AI83">
            <v>2517843175.0647202</v>
          </cell>
          <cell r="AJ83">
            <v>2849148918.0788798</v>
          </cell>
          <cell r="AK83">
            <v>3143620746.4446001</v>
          </cell>
          <cell r="AL83">
            <v>3195795760.5639701</v>
          </cell>
          <cell r="AM83">
            <v>3309895555.8076701</v>
          </cell>
          <cell r="AN83">
            <v>3613087968.11415</v>
          </cell>
          <cell r="AO83">
            <v>3780063577.0364799</v>
          </cell>
          <cell r="AP83">
            <v>3672785043.8979101</v>
          </cell>
          <cell r="AQ83">
            <v>3468765493.6588802</v>
          </cell>
          <cell r="AR83">
            <v>3382322535.0877199</v>
          </cell>
          <cell r="AS83">
            <v>2922237265.4655099</v>
          </cell>
          <cell r="AT83">
            <v>2742369252.5878401</v>
          </cell>
          <cell r="AU83">
            <v>2917567837.2450299</v>
          </cell>
          <cell r="AV83">
            <v>3200990212.2053299</v>
          </cell>
          <cell r="AW83">
            <v>3366577581.8092098</v>
          </cell>
          <cell r="AX83">
            <v>2657936711.9906402</v>
          </cell>
          <cell r="AY83">
            <v>4179199242.74824</v>
          </cell>
          <cell r="AZ83">
            <v>6218767655.8310299</v>
          </cell>
          <cell r="BA83">
            <v>6872979193.7572498</v>
          </cell>
          <cell r="BB83">
            <v>6548704567.4609404</v>
          </cell>
          <cell r="BC83">
            <v>6776357857.3335896</v>
          </cell>
          <cell r="BD83">
            <v>6651747173.6127195</v>
          </cell>
          <cell r="BE83">
            <v>7516065253.9734402</v>
          </cell>
          <cell r="BF83">
            <v>7971453845.0671301</v>
          </cell>
          <cell r="BG83">
            <v>8494333615.4642801</v>
          </cell>
          <cell r="BH83">
            <v>8650959121.1919899</v>
          </cell>
          <cell r="BI83">
            <v>8446956121.3984404</v>
          </cell>
          <cell r="BJ83">
            <v>10274041360.4077</v>
          </cell>
          <cell r="BK83">
            <v>11448030336.5252</v>
          </cell>
          <cell r="BL83">
            <v>12853809258.2131</v>
          </cell>
          <cell r="BM83">
            <v>14340050917.1563</v>
          </cell>
        </row>
        <row r="84">
          <cell r="B84" t="str">
            <v>GNB</v>
          </cell>
          <cell r="C84" t="str">
            <v>GNI (current US$)</v>
          </cell>
          <cell r="D84" t="str">
            <v>NY.GNP.MKTP.CD</v>
          </cell>
          <cell r="E84" t="str">
            <v>..</v>
          </cell>
          <cell r="F84" t="str">
            <v>..</v>
          </cell>
          <cell r="G84" t="str">
            <v>..</v>
          </cell>
          <cell r="H84" t="str">
            <v>..</v>
          </cell>
          <cell r="I84" t="str">
            <v>..</v>
          </cell>
          <cell r="J84" t="str">
            <v>..</v>
          </cell>
          <cell r="K84" t="str">
            <v>..</v>
          </cell>
          <cell r="L84" t="str">
            <v>..</v>
          </cell>
          <cell r="M84" t="str">
            <v>..</v>
          </cell>
          <cell r="N84" t="str">
            <v>..</v>
          </cell>
          <cell r="O84">
            <v>78733594.841185197</v>
          </cell>
          <cell r="P84">
            <v>78540057.1372471</v>
          </cell>
          <cell r="Q84">
            <v>87702828.565164104</v>
          </cell>
          <cell r="R84">
            <v>89374237.288135603</v>
          </cell>
          <cell r="S84">
            <v>98775328.947368398</v>
          </cell>
          <cell r="T84">
            <v>111436935.518784</v>
          </cell>
          <cell r="U84">
            <v>105009338.468559</v>
          </cell>
          <cell r="V84">
            <v>109182779.311996</v>
          </cell>
          <cell r="W84">
            <v>116034149.85590801</v>
          </cell>
          <cell r="X84">
            <v>116837925.48540799</v>
          </cell>
          <cell r="Y84">
            <v>104759376.250358</v>
          </cell>
          <cell r="Z84">
            <v>153079242.42424199</v>
          </cell>
          <cell r="AA84">
            <v>163123305.96152499</v>
          </cell>
          <cell r="AB84">
            <v>163161848.37743199</v>
          </cell>
          <cell r="AC84">
            <v>138395950.116153</v>
          </cell>
          <cell r="AD84">
            <v>159531246.87749299</v>
          </cell>
          <cell r="AE84">
            <v>129407982.855092</v>
          </cell>
          <cell r="AF84">
            <v>165536369.46432501</v>
          </cell>
          <cell r="AG84">
            <v>154458085.31993699</v>
          </cell>
          <cell r="AH84">
            <v>200843049.86605999</v>
          </cell>
          <cell r="AI84">
            <v>233321979.00674701</v>
          </cell>
          <cell r="AJ84">
            <v>240150370.516449</v>
          </cell>
          <cell r="AK84">
            <v>212813451.248458</v>
          </cell>
          <cell r="AL84">
            <v>221580826.556256</v>
          </cell>
          <cell r="AM84">
            <v>221530086.124576</v>
          </cell>
          <cell r="AN84">
            <v>235946465.08350801</v>
          </cell>
          <cell r="AO84">
            <v>251819733.576507</v>
          </cell>
          <cell r="AP84">
            <v>253850808.69409999</v>
          </cell>
          <cell r="AQ84">
            <v>192357495.646254</v>
          </cell>
          <cell r="AR84">
            <v>210146642.89748001</v>
          </cell>
          <cell r="AS84">
            <v>358663940.70469499</v>
          </cell>
          <cell r="AT84">
            <v>376717458.28803098</v>
          </cell>
          <cell r="AU84">
            <v>409024939.98961002</v>
          </cell>
          <cell r="AV84">
            <v>466427336.97374701</v>
          </cell>
          <cell r="AW84">
            <v>521762133.584153</v>
          </cell>
          <cell r="AX84">
            <v>575592778.22790504</v>
          </cell>
          <cell r="AY84">
            <v>586774105.44200003</v>
          </cell>
          <cell r="AZ84">
            <v>693393880.53954399</v>
          </cell>
          <cell r="BA84">
            <v>854545468.83408105</v>
          </cell>
          <cell r="BB84">
            <v>819881779.75706196</v>
          </cell>
          <cell r="BC84">
            <v>846239040.54674804</v>
          </cell>
          <cell r="BD84">
            <v>1106262187.9407201</v>
          </cell>
          <cell r="BE84">
            <v>994656463.15597296</v>
          </cell>
          <cell r="BF84">
            <v>1026052961.77604</v>
          </cell>
          <cell r="BG84">
            <v>1092300692.4657099</v>
          </cell>
          <cell r="BH84">
            <v>1073811497.97949</v>
          </cell>
          <cell r="BI84">
            <v>1208741919.7523601</v>
          </cell>
          <cell r="BJ84">
            <v>1352932628.3499401</v>
          </cell>
          <cell r="BK84">
            <v>1453500084.1665201</v>
          </cell>
          <cell r="BL84">
            <v>1470018484.03597</v>
          </cell>
          <cell r="BM84">
            <v>1456255016.6265299</v>
          </cell>
        </row>
        <row r="85">
          <cell r="B85" t="str">
            <v>GUY</v>
          </cell>
          <cell r="C85" t="str">
            <v>GNI (current US$)</v>
          </cell>
          <cell r="D85" t="str">
            <v>NY.GNP.MKTP.CD</v>
          </cell>
          <cell r="E85">
            <v>156274047.71626899</v>
          </cell>
          <cell r="F85">
            <v>173073849.384588</v>
          </cell>
          <cell r="G85">
            <v>174007583.27013901</v>
          </cell>
          <cell r="H85">
            <v>159715744.03546599</v>
          </cell>
          <cell r="I85">
            <v>178032258.06451601</v>
          </cell>
          <cell r="J85">
            <v>198529411.76470599</v>
          </cell>
          <cell r="K85">
            <v>209470588.23529401</v>
          </cell>
          <cell r="L85">
            <v>231352941.17647099</v>
          </cell>
          <cell r="M85">
            <v>208750000</v>
          </cell>
          <cell r="N85">
            <v>228800000</v>
          </cell>
          <cell r="O85">
            <v>246550000</v>
          </cell>
          <cell r="P85">
            <v>264050000</v>
          </cell>
          <cell r="Q85">
            <v>274809523.809524</v>
          </cell>
          <cell r="R85">
            <v>291952380.95238101</v>
          </cell>
          <cell r="S85">
            <v>411545454.54545498</v>
          </cell>
          <cell r="T85">
            <v>481041666.66666698</v>
          </cell>
          <cell r="U85">
            <v>430120000</v>
          </cell>
          <cell r="V85">
            <v>423000000</v>
          </cell>
          <cell r="W85">
            <v>481240000</v>
          </cell>
          <cell r="X85">
            <v>499599960</v>
          </cell>
          <cell r="Y85">
            <v>561200040</v>
          </cell>
          <cell r="Z85">
            <v>507857142.85714298</v>
          </cell>
          <cell r="AA85">
            <v>420333300</v>
          </cell>
          <cell r="AB85">
            <v>419666700</v>
          </cell>
          <cell r="AC85">
            <v>364473657.89473701</v>
          </cell>
          <cell r="AD85">
            <v>384883744.18604702</v>
          </cell>
          <cell r="AE85">
            <v>416744186.04651201</v>
          </cell>
          <cell r="AF85">
            <v>262448979.59183699</v>
          </cell>
          <cell r="AG85">
            <v>319100010</v>
          </cell>
          <cell r="AH85">
            <v>256286757.35294101</v>
          </cell>
          <cell r="AI85">
            <v>289265807.59493703</v>
          </cell>
          <cell r="AJ85">
            <v>213533094.81216499</v>
          </cell>
          <cell r="AK85">
            <v>263261390.88729</v>
          </cell>
          <cell r="AL85">
            <v>362611367.127496</v>
          </cell>
          <cell r="AM85">
            <v>457932056.39913201</v>
          </cell>
          <cell r="AN85">
            <v>535690166.19718301</v>
          </cell>
          <cell r="AO85">
            <v>653276371.79487205</v>
          </cell>
          <cell r="AP85">
            <v>675683469.21721101</v>
          </cell>
          <cell r="AQ85">
            <v>661358372.69713497</v>
          </cell>
          <cell r="AR85">
            <v>626125003.65172601</v>
          </cell>
          <cell r="AS85">
            <v>668697606.75327504</v>
          </cell>
          <cell r="AT85">
            <v>660857203.25772703</v>
          </cell>
          <cell r="AU85">
            <v>671139695.27705705</v>
          </cell>
          <cell r="AV85">
            <v>700124768.99168205</v>
          </cell>
          <cell r="AW85">
            <v>755942664.80087698</v>
          </cell>
          <cell r="AX85">
            <v>804427767.35459697</v>
          </cell>
          <cell r="AY85">
            <v>2310819520.4215202</v>
          </cell>
          <cell r="AZ85">
            <v>2719807441.1336598</v>
          </cell>
          <cell r="BA85">
            <v>3010395401.49053</v>
          </cell>
          <cell r="BB85">
            <v>3148777420.5510802</v>
          </cell>
          <cell r="BC85">
            <v>3445692953.0471301</v>
          </cell>
          <cell r="BD85">
            <v>3682055317.52178</v>
          </cell>
          <cell r="BE85">
            <v>4087056241.4152002</v>
          </cell>
          <cell r="BF85">
            <v>4196342417.65347</v>
          </cell>
          <cell r="BG85">
            <v>4154314709.38129</v>
          </cell>
          <cell r="BH85">
            <v>4304537269.2493896</v>
          </cell>
          <cell r="BI85">
            <v>4478082234.8668299</v>
          </cell>
          <cell r="BJ85">
            <v>4736697060.0484304</v>
          </cell>
          <cell r="BK85">
            <v>4759901432.0947704</v>
          </cell>
          <cell r="BL85">
            <v>5127126464.2685804</v>
          </cell>
          <cell r="BM85">
            <v>4610616839.8081503</v>
          </cell>
        </row>
        <row r="86">
          <cell r="B86" t="str">
            <v>HTI</v>
          </cell>
          <cell r="C86" t="str">
            <v>GNI (current US$)</v>
          </cell>
          <cell r="D86" t="str">
            <v>NY.GNP.MKTP.CD</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v>1369499999.9971399</v>
          </cell>
          <cell r="Z86">
            <v>1466339999.99739</v>
          </cell>
          <cell r="AA86">
            <v>1460179999.9972</v>
          </cell>
          <cell r="AB86">
            <v>1609400011.48716</v>
          </cell>
          <cell r="AC86">
            <v>1798139999.9985001</v>
          </cell>
          <cell r="AD86">
            <v>1989600358.98996</v>
          </cell>
          <cell r="AE86">
            <v>2302663017.5239</v>
          </cell>
          <cell r="AF86">
            <v>2026299377.605</v>
          </cell>
          <cell r="AG86">
            <v>2586801863.2328</v>
          </cell>
          <cell r="AH86">
            <v>2710665629.5445199</v>
          </cell>
          <cell r="AI86">
            <v>3078089800</v>
          </cell>
          <cell r="AJ86">
            <v>3455540601.82161</v>
          </cell>
          <cell r="AK86">
            <v>2245221666.0123</v>
          </cell>
          <cell r="AL86">
            <v>1867648742.67133</v>
          </cell>
          <cell r="AM86">
            <v>2165761716.47156</v>
          </cell>
          <cell r="AN86">
            <v>2821007618.8765802</v>
          </cell>
          <cell r="AO86">
            <v>2920418154.2795901</v>
          </cell>
          <cell r="AP86">
            <v>3349905722.55264</v>
          </cell>
          <cell r="AQ86">
            <v>3732012064.8582201</v>
          </cell>
          <cell r="AR86">
            <v>4158183323.6368399</v>
          </cell>
          <cell r="AS86">
            <v>6804388213.8889198</v>
          </cell>
          <cell r="AT86">
            <v>6322491197.7372198</v>
          </cell>
          <cell r="AU86">
            <v>6044464618.1910801</v>
          </cell>
          <cell r="AV86">
            <v>4812549200.8325396</v>
          </cell>
          <cell r="AW86">
            <v>6024623815.2957602</v>
          </cell>
          <cell r="AX86">
            <v>7149028252.6164598</v>
          </cell>
          <cell r="AY86">
            <v>7524724174.03724</v>
          </cell>
          <cell r="AZ86">
            <v>9524967737.7953892</v>
          </cell>
          <cell r="BA86">
            <v>10490771453.434601</v>
          </cell>
          <cell r="BB86">
            <v>11609810894.119101</v>
          </cell>
          <cell r="BC86">
            <v>11881597691.368799</v>
          </cell>
          <cell r="BD86">
            <v>13046551847.7244</v>
          </cell>
          <cell r="BE86">
            <v>13763469544.136101</v>
          </cell>
          <cell r="BF86">
            <v>14934000885.790899</v>
          </cell>
          <cell r="BG86">
            <v>15188360079.1506</v>
          </cell>
          <cell r="BH86">
            <v>14873787396.6938</v>
          </cell>
          <cell r="BI86">
            <v>14035590263.859699</v>
          </cell>
          <cell r="BJ86">
            <v>15094067852.9533</v>
          </cell>
          <cell r="BK86">
            <v>16505312917.1418</v>
          </cell>
          <cell r="BL86">
            <v>14835495479.316099</v>
          </cell>
          <cell r="BM86">
            <v>14536821917.3148</v>
          </cell>
        </row>
        <row r="87">
          <cell r="B87" t="str">
            <v>HND</v>
          </cell>
          <cell r="C87" t="str">
            <v>GNI (current US$)</v>
          </cell>
          <cell r="D87" t="str">
            <v>NY.GNP.MKTP.CD</v>
          </cell>
          <cell r="E87">
            <v>344150000</v>
          </cell>
          <cell r="F87">
            <v>355200000</v>
          </cell>
          <cell r="G87">
            <v>383450000</v>
          </cell>
          <cell r="H87">
            <v>404200000</v>
          </cell>
          <cell r="I87">
            <v>450000000</v>
          </cell>
          <cell r="J87">
            <v>495550000</v>
          </cell>
          <cell r="K87">
            <v>534450000</v>
          </cell>
          <cell r="L87">
            <v>576900000</v>
          </cell>
          <cell r="M87">
            <v>623700000</v>
          </cell>
          <cell r="N87">
            <v>649400050</v>
          </cell>
          <cell r="O87">
            <v>700400000</v>
          </cell>
          <cell r="P87">
            <v>706500000</v>
          </cell>
          <cell r="Q87">
            <v>775499950</v>
          </cell>
          <cell r="R87">
            <v>879499950</v>
          </cell>
          <cell r="S87">
            <v>1021000000</v>
          </cell>
          <cell r="T87">
            <v>1095000000</v>
          </cell>
          <cell r="U87">
            <v>1289999950</v>
          </cell>
          <cell r="V87">
            <v>1600499950</v>
          </cell>
          <cell r="W87">
            <v>3003742093.2244101</v>
          </cell>
          <cell r="X87">
            <v>3415281976.2919798</v>
          </cell>
          <cell r="Y87">
            <v>3805160045.9868398</v>
          </cell>
          <cell r="Z87">
            <v>3884394878.58005</v>
          </cell>
          <cell r="AA87">
            <v>4052003525.6105099</v>
          </cell>
          <cell r="AB87">
            <v>4307697184.8598099</v>
          </cell>
          <cell r="AC87">
            <v>4728811846.4882698</v>
          </cell>
          <cell r="AD87">
            <v>5086120712.5459003</v>
          </cell>
          <cell r="AE87">
            <v>5467828958.9060497</v>
          </cell>
          <cell r="AF87">
            <v>5953021241.4649496</v>
          </cell>
          <cell r="AG87">
            <v>5658081898.4144201</v>
          </cell>
          <cell r="AH87">
            <v>5177172487.9850998</v>
          </cell>
          <cell r="AI87">
            <v>4646744960.0759201</v>
          </cell>
          <cell r="AJ87">
            <v>4366726672.56005</v>
          </cell>
          <cell r="AK87">
            <v>4605571327.2340403</v>
          </cell>
          <cell r="AL87">
            <v>4696798453.0624199</v>
          </cell>
          <cell r="AM87">
            <v>4423089120.9209404</v>
          </cell>
          <cell r="AN87">
            <v>5083390990.6152201</v>
          </cell>
          <cell r="AO87">
            <v>4955806773.6486502</v>
          </cell>
          <cell r="AP87">
            <v>5523266950.5703402</v>
          </cell>
          <cell r="AQ87">
            <v>6156252525.8493404</v>
          </cell>
          <cell r="AR87">
            <v>6251771679.4425097</v>
          </cell>
          <cell r="AS87">
            <v>6883666894.9819098</v>
          </cell>
          <cell r="AT87">
            <v>7310323747.8654499</v>
          </cell>
          <cell r="AU87">
            <v>7479986431.96875</v>
          </cell>
          <cell r="AV87">
            <v>7777665077.1683903</v>
          </cell>
          <cell r="AW87">
            <v>8321969427.7080603</v>
          </cell>
          <cell r="AX87">
            <v>9219008030.8964901</v>
          </cell>
          <cell r="AY87">
            <v>10312982704.471201</v>
          </cell>
          <cell r="AZ87">
            <v>11878272005.677401</v>
          </cell>
          <cell r="BA87">
            <v>13385061651.566299</v>
          </cell>
          <cell r="BB87">
            <v>14199318803.876101</v>
          </cell>
          <cell r="BC87">
            <v>15005830709.9737</v>
          </cell>
          <cell r="BD87">
            <v>16653035345.4354</v>
          </cell>
          <cell r="BE87">
            <v>17127813088.8386</v>
          </cell>
          <cell r="BF87">
            <v>17077458585.127899</v>
          </cell>
          <cell r="BG87">
            <v>18041941023.059502</v>
          </cell>
          <cell r="BH87">
            <v>19413622600.036499</v>
          </cell>
          <cell r="BI87">
            <v>20056969382.823799</v>
          </cell>
          <cell r="BJ87">
            <v>21570189834.666801</v>
          </cell>
          <cell r="BK87">
            <v>22019113502.449902</v>
          </cell>
          <cell r="BL87">
            <v>23014068153.969299</v>
          </cell>
          <cell r="BM87">
            <v>22047103270.936001</v>
          </cell>
        </row>
        <row r="88">
          <cell r="B88" t="str">
            <v>HKG</v>
          </cell>
          <cell r="C88" t="str">
            <v>GNI (current US$)</v>
          </cell>
          <cell r="D88" t="str">
            <v>NY.GNP.MKTP.CD</v>
          </cell>
          <cell r="E88">
            <v>1326777144.6601601</v>
          </cell>
          <cell r="F88">
            <v>1524701937.7111299</v>
          </cell>
          <cell r="G88">
            <v>1722157114.22102</v>
          </cell>
          <cell r="H88">
            <v>1973143732.13557</v>
          </cell>
          <cell r="I88">
            <v>2264982980.0660701</v>
          </cell>
          <cell r="J88">
            <v>2428621308.9005198</v>
          </cell>
          <cell r="K88">
            <v>2482523038.30128</v>
          </cell>
          <cell r="L88">
            <v>2684993527.6206999</v>
          </cell>
          <cell r="M88">
            <v>2708090220.3743601</v>
          </cell>
          <cell r="N88">
            <v>3179237330.9702001</v>
          </cell>
          <cell r="O88">
            <v>3786784679.1571398</v>
          </cell>
          <cell r="P88">
            <v>4456709506.9536505</v>
          </cell>
          <cell r="Q88">
            <v>5675541390.4350004</v>
          </cell>
          <cell r="R88">
            <v>7983289866.8998404</v>
          </cell>
          <cell r="S88">
            <v>9335996243.7395592</v>
          </cell>
          <cell r="T88">
            <v>9984802642.2434692</v>
          </cell>
          <cell r="U88">
            <v>12796851757.462099</v>
          </cell>
          <cell r="V88">
            <v>15612611904.7619</v>
          </cell>
          <cell r="W88">
            <v>18209962123.9618</v>
          </cell>
          <cell r="X88">
            <v>22370320506.9263</v>
          </cell>
          <cell r="Y88">
            <v>28495407990.1931</v>
          </cell>
          <cell r="Z88">
            <v>30549442899.8265</v>
          </cell>
          <cell r="AA88">
            <v>31711889388.622601</v>
          </cell>
          <cell r="AB88">
            <v>29272835365.853699</v>
          </cell>
          <cell r="AC88">
            <v>32808006472.2435</v>
          </cell>
          <cell r="AD88">
            <v>34868690493.915901</v>
          </cell>
          <cell r="AE88">
            <v>40054977842.707603</v>
          </cell>
          <cell r="AF88">
            <v>49304080863.778</v>
          </cell>
          <cell r="AG88">
            <v>58291312554.445297</v>
          </cell>
          <cell r="AH88">
            <v>67162527750.355797</v>
          </cell>
          <cell r="AI88">
            <v>74783560515.032501</v>
          </cell>
          <cell r="AJ88">
            <v>86024298255.095703</v>
          </cell>
          <cell r="AK88">
            <v>100681468555.409</v>
          </cell>
          <cell r="AL88">
            <v>121026294017.271</v>
          </cell>
          <cell r="AM88">
            <v>136103203767.92101</v>
          </cell>
          <cell r="AN88">
            <v>145921300964.34799</v>
          </cell>
          <cell r="AO88">
            <v>158337276805.91699</v>
          </cell>
          <cell r="AP88">
            <v>177209284302.70901</v>
          </cell>
          <cell r="AQ88">
            <v>172187132841.85199</v>
          </cell>
          <cell r="AR88">
            <v>169139284563.32599</v>
          </cell>
          <cell r="AS88">
            <v>173047284115.41199</v>
          </cell>
          <cell r="AT88">
            <v>173308073036.87701</v>
          </cell>
          <cell r="AU88">
            <v>167425021477.388</v>
          </cell>
          <cell r="AV88">
            <v>165523064673.54999</v>
          </cell>
          <cell r="AW88">
            <v>172692218798.151</v>
          </cell>
          <cell r="AX88">
            <v>182529798259.03601</v>
          </cell>
          <cell r="AY88">
            <v>198108087231.90601</v>
          </cell>
          <cell r="AZ88">
            <v>218366831594.32901</v>
          </cell>
          <cell r="BA88">
            <v>232187034468.58801</v>
          </cell>
          <cell r="BB88">
            <v>220465827291.72601</v>
          </cell>
          <cell r="BC88">
            <v>233476805848.73599</v>
          </cell>
          <cell r="BD88">
            <v>255300102774.923</v>
          </cell>
          <cell r="BE88">
            <v>266426950647.207</v>
          </cell>
          <cell r="BF88">
            <v>280921093347.086</v>
          </cell>
          <cell r="BG88">
            <v>297469983621.56799</v>
          </cell>
          <cell r="BH88">
            <v>315108232926.54602</v>
          </cell>
          <cell r="BI88">
            <v>328901356556.69098</v>
          </cell>
          <cell r="BJ88">
            <v>356071446902.42798</v>
          </cell>
          <cell r="BK88">
            <v>378890604069.65601</v>
          </cell>
          <cell r="BL88">
            <v>381357214870.021</v>
          </cell>
          <cell r="BM88">
            <v>365719202805.13599</v>
          </cell>
        </row>
        <row r="89">
          <cell r="B89" t="str">
            <v>HUN</v>
          </cell>
          <cell r="C89" t="str">
            <v>GNI (current US$)</v>
          </cell>
          <cell r="D89" t="str">
            <v>NY.GNP.MKTP.CD</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v>39175128483.1978</v>
          </cell>
          <cell r="AM89">
            <v>41973316213.4935</v>
          </cell>
          <cell r="AN89">
            <v>44428126740.520599</v>
          </cell>
          <cell r="AO89">
            <v>44550212281.038498</v>
          </cell>
          <cell r="AP89">
            <v>44414561307.613098</v>
          </cell>
          <cell r="AQ89">
            <v>45684768637.562103</v>
          </cell>
          <cell r="AR89">
            <v>45891063641.017502</v>
          </cell>
          <cell r="AS89">
            <v>44475804736.848099</v>
          </cell>
          <cell r="AT89">
            <v>50630432392.338203</v>
          </cell>
          <cell r="AU89">
            <v>63764742792.014198</v>
          </cell>
          <cell r="AV89">
            <v>80528566467.252197</v>
          </cell>
          <cell r="AW89">
            <v>97779460782.911407</v>
          </cell>
          <cell r="AX89">
            <v>106136344619.39301</v>
          </cell>
          <cell r="AY89">
            <v>108593340938.258</v>
          </cell>
          <cell r="AZ89">
            <v>129600181455.983</v>
          </cell>
          <cell r="BA89">
            <v>147957880070.85999</v>
          </cell>
          <cell r="BB89">
            <v>125409077812.433</v>
          </cell>
          <cell r="BC89">
            <v>126010007493.99899</v>
          </cell>
          <cell r="BD89">
            <v>135126268931.38699</v>
          </cell>
          <cell r="BE89">
            <v>123403690883.85001</v>
          </cell>
          <cell r="BF89">
            <v>131785909385.547</v>
          </cell>
          <cell r="BG89">
            <v>134713617701.22</v>
          </cell>
          <cell r="BH89">
            <v>119218687406.58501</v>
          </cell>
          <cell r="BI89">
            <v>125167397610.619</v>
          </cell>
          <cell r="BJ89">
            <v>137346045184.01601</v>
          </cell>
          <cell r="BK89">
            <v>154297812208.94699</v>
          </cell>
          <cell r="BL89">
            <v>159224299869.263</v>
          </cell>
          <cell r="BM89">
            <v>151620683124.276</v>
          </cell>
        </row>
        <row r="90">
          <cell r="B90" t="str">
            <v>ISL</v>
          </cell>
          <cell r="C90" t="str">
            <v>GNI (current US$)</v>
          </cell>
          <cell r="D90" t="str">
            <v>NY.GNP.MKTP.CD</v>
          </cell>
          <cell r="E90">
            <v>247369176.64200601</v>
          </cell>
          <cell r="F90">
            <v>253042671.86694601</v>
          </cell>
          <cell r="G90">
            <v>284324088.26248002</v>
          </cell>
          <cell r="H90">
            <v>339690226.87030298</v>
          </cell>
          <cell r="I90">
            <v>434274039.24006301</v>
          </cell>
          <cell r="J90">
            <v>522725981.94505298</v>
          </cell>
          <cell r="K90">
            <v>628147784.83101404</v>
          </cell>
          <cell r="L90">
            <v>619640404.51159894</v>
          </cell>
          <cell r="M90">
            <v>471500889.60969597</v>
          </cell>
          <cell r="N90">
            <v>411314329.51626003</v>
          </cell>
          <cell r="O90">
            <v>531146818.18181801</v>
          </cell>
          <cell r="P90">
            <v>677138750</v>
          </cell>
          <cell r="Q90">
            <v>845288692.49943304</v>
          </cell>
          <cell r="R90">
            <v>1163027072.0071001</v>
          </cell>
          <cell r="S90">
            <v>1524346273.13657</v>
          </cell>
          <cell r="T90">
            <v>1400775471.6981101</v>
          </cell>
          <cell r="U90">
            <v>1659684470.54949</v>
          </cell>
          <cell r="V90">
            <v>2204486699.8541799</v>
          </cell>
          <cell r="W90">
            <v>2497882224.9271498</v>
          </cell>
          <cell r="X90">
            <v>2835666534.3165102</v>
          </cell>
          <cell r="Y90">
            <v>3356680131.7325301</v>
          </cell>
          <cell r="Z90">
            <v>3443578749.2040601</v>
          </cell>
          <cell r="AA90">
            <v>3142368238.6754599</v>
          </cell>
          <cell r="AB90">
            <v>2689586516.0126901</v>
          </cell>
          <cell r="AC90">
            <v>2768855942.9791999</v>
          </cell>
          <cell r="AD90">
            <v>2901157896.0048399</v>
          </cell>
          <cell r="AE90">
            <v>3905620384.2916298</v>
          </cell>
          <cell r="AF90">
            <v>5460930036.3004599</v>
          </cell>
          <cell r="AG90">
            <v>6026695103.9196501</v>
          </cell>
          <cell r="AH90">
            <v>5540938729.1424904</v>
          </cell>
          <cell r="AI90">
            <v>6329095268.3249903</v>
          </cell>
          <cell r="AJ90">
            <v>6810185986.2398195</v>
          </cell>
          <cell r="AK90">
            <v>7006930090.5885601</v>
          </cell>
          <cell r="AL90">
            <v>6142371566.7305698</v>
          </cell>
          <cell r="AM90">
            <v>6268156268.4074802</v>
          </cell>
          <cell r="AN90">
            <v>7008395614.8934097</v>
          </cell>
          <cell r="AO90">
            <v>7358660769.9248104</v>
          </cell>
          <cell r="AP90">
            <v>7452589442.3892498</v>
          </cell>
          <cell r="AQ90">
            <v>8335085313.4869404</v>
          </cell>
          <cell r="AR90">
            <v>8806023205.8206692</v>
          </cell>
          <cell r="AS90">
            <v>8688310796.7843704</v>
          </cell>
          <cell r="AT90">
            <v>7957742336.1245499</v>
          </cell>
          <cell r="AU90">
            <v>9333442133.4101391</v>
          </cell>
          <cell r="AV90">
            <v>11338316151.950899</v>
          </cell>
          <cell r="AW90">
            <v>13335916435.988899</v>
          </cell>
          <cell r="AX90">
            <v>16018101732.7255</v>
          </cell>
          <cell r="AY90">
            <v>15987097533.4853</v>
          </cell>
          <cell r="AZ90">
            <v>20256382258.996201</v>
          </cell>
          <cell r="BA90">
            <v>14073367847.327801</v>
          </cell>
          <cell r="BB90">
            <v>10553993507.6805</v>
          </cell>
          <cell r="BC90">
            <v>11120562233.1499</v>
          </cell>
          <cell r="BD90">
            <v>12847566765.712299</v>
          </cell>
          <cell r="BE90">
            <v>12884269289.7672</v>
          </cell>
          <cell r="BF90">
            <v>15287504221.781</v>
          </cell>
          <cell r="BG90">
            <v>16897076236.128799</v>
          </cell>
          <cell r="BH90">
            <v>16543802057.722401</v>
          </cell>
          <cell r="BI90">
            <v>19826589745.431702</v>
          </cell>
          <cell r="BJ90">
            <v>23965940755.607601</v>
          </cell>
          <cell r="BK90">
            <v>24925636305.704601</v>
          </cell>
          <cell r="BL90">
            <v>24634234577.501499</v>
          </cell>
          <cell r="BM90">
            <v>21074087065.624199</v>
          </cell>
        </row>
        <row r="91">
          <cell r="B91" t="str">
            <v>IND</v>
          </cell>
          <cell r="C91" t="str">
            <v>GNI (current US$)</v>
          </cell>
          <cell r="D91" t="str">
            <v>NY.GNP.MKTP.CD</v>
          </cell>
          <cell r="E91">
            <v>36878683724.257103</v>
          </cell>
          <cell r="F91">
            <v>39026635578.294403</v>
          </cell>
          <cell r="G91">
            <v>41934681631.9011</v>
          </cell>
          <cell r="H91">
            <v>48186723223.541</v>
          </cell>
          <cell r="I91">
            <v>56175789636.325798</v>
          </cell>
          <cell r="J91">
            <v>59210461462.656403</v>
          </cell>
          <cell r="K91">
            <v>45536890605.3386</v>
          </cell>
          <cell r="L91">
            <v>49790942203.446701</v>
          </cell>
          <cell r="M91">
            <v>52745455870.822701</v>
          </cell>
          <cell r="N91">
            <v>58086661683.515999</v>
          </cell>
          <cell r="O91">
            <v>62043816387.8507</v>
          </cell>
          <cell r="P91">
            <v>66959943084.331299</v>
          </cell>
          <cell r="Q91">
            <v>71072538512.578598</v>
          </cell>
          <cell r="R91">
            <v>85101941339.305603</v>
          </cell>
          <cell r="S91">
            <v>99161036284.139099</v>
          </cell>
          <cell r="T91">
            <v>98178114597.960297</v>
          </cell>
          <cell r="U91">
            <v>102456488498.42799</v>
          </cell>
          <cell r="V91">
            <v>121215205685.97701</v>
          </cell>
          <cell r="W91">
            <v>137110195139.87199</v>
          </cell>
          <cell r="X91">
            <v>153181094632.84299</v>
          </cell>
          <cell r="Y91">
            <v>186762452326.729</v>
          </cell>
          <cell r="Z91">
            <v>193535405875.04501</v>
          </cell>
          <cell r="AA91">
            <v>200056669825.258</v>
          </cell>
          <cell r="AB91">
            <v>217346843963.138</v>
          </cell>
          <cell r="AC91">
            <v>210960266670.70599</v>
          </cell>
          <cell r="AD91">
            <v>231344146134.32501</v>
          </cell>
          <cell r="AE91">
            <v>247574348949.76401</v>
          </cell>
          <cell r="AF91">
            <v>277014075282.34998</v>
          </cell>
          <cell r="AG91">
            <v>293483314650.14398</v>
          </cell>
          <cell r="AH91">
            <v>292602874479.11603</v>
          </cell>
          <cell r="AI91">
            <v>316775332517.63599</v>
          </cell>
          <cell r="AJ91">
            <v>265995400854.86099</v>
          </cell>
          <cell r="AK91">
            <v>283799332762.87</v>
          </cell>
          <cell r="AL91">
            <v>275444510280.797</v>
          </cell>
          <cell r="AM91">
            <v>323108717813.72498</v>
          </cell>
          <cell r="AN91">
            <v>356252331233.45099</v>
          </cell>
          <cell r="AO91">
            <v>389212066967.505</v>
          </cell>
          <cell r="AP91">
            <v>412314039081.44299</v>
          </cell>
          <cell r="AQ91">
            <v>417792938008.47302</v>
          </cell>
          <cell r="AR91">
            <v>455259488556.383</v>
          </cell>
          <cell r="AS91">
            <v>463418960201.815</v>
          </cell>
          <cell r="AT91">
            <v>481233322101.91699</v>
          </cell>
          <cell r="AU91">
            <v>511490036313.60498</v>
          </cell>
          <cell r="AV91">
            <v>603192892963.38599</v>
          </cell>
          <cell r="AW91">
            <v>704168745465.34998</v>
          </cell>
          <cell r="AX91">
            <v>814482820622.22205</v>
          </cell>
          <cell r="AY91">
            <v>932915277249.47205</v>
          </cell>
          <cell r="AZ91">
            <v>1211640646849.1599</v>
          </cell>
          <cell r="BA91">
            <v>1191737412305.1899</v>
          </cell>
          <cell r="BB91">
            <v>1333877109441.3</v>
          </cell>
          <cell r="BC91">
            <v>1657660320258.8999</v>
          </cell>
          <cell r="BD91">
            <v>1807018710050.8101</v>
          </cell>
          <cell r="BE91">
            <v>1806177662220.1101</v>
          </cell>
          <cell r="BF91">
            <v>1833601556952.76</v>
          </cell>
          <cell r="BG91">
            <v>2015015376660.8401</v>
          </cell>
          <cell r="BH91">
            <v>2079182325742.9099</v>
          </cell>
          <cell r="BI91">
            <v>2247940124045.7998</v>
          </cell>
          <cell r="BJ91">
            <v>2622799774505.8999</v>
          </cell>
          <cell r="BK91">
            <v>2672176417222.3999</v>
          </cell>
          <cell r="BL91">
            <v>2843265469943.7202</v>
          </cell>
          <cell r="BM91">
            <v>2635412344092.96</v>
          </cell>
        </row>
        <row r="92">
          <cell r="B92" t="str">
            <v>IDN</v>
          </cell>
          <cell r="C92" t="str">
            <v>GNI (current US$)</v>
          </cell>
          <cell r="D92" t="str">
            <v>NY.GNP.MKTP.CD</v>
          </cell>
          <cell r="E92" t="str">
            <v>..</v>
          </cell>
          <cell r="F92" t="str">
            <v>..</v>
          </cell>
          <cell r="G92" t="str">
            <v>..</v>
          </cell>
          <cell r="H92" t="str">
            <v>..</v>
          </cell>
          <cell r="I92" t="str">
            <v>..</v>
          </cell>
          <cell r="J92" t="str">
            <v>..</v>
          </cell>
          <cell r="K92" t="str">
            <v>..</v>
          </cell>
          <cell r="L92">
            <v>5603578225.64011</v>
          </cell>
          <cell r="M92">
            <v>6979263883.3498697</v>
          </cell>
          <cell r="N92">
            <v>8230061349.6932497</v>
          </cell>
          <cell r="O92">
            <v>9013698630.1369896</v>
          </cell>
          <cell r="P92">
            <v>9163997450.4310703</v>
          </cell>
          <cell r="Q92">
            <v>10612048192.771099</v>
          </cell>
          <cell r="R92">
            <v>15681204819.2771</v>
          </cell>
          <cell r="S92">
            <v>24580481927.7108</v>
          </cell>
          <cell r="T92">
            <v>29124819277.108398</v>
          </cell>
          <cell r="U92">
            <v>36227710843.373497</v>
          </cell>
          <cell r="V92">
            <v>44173975903.614502</v>
          </cell>
          <cell r="W92">
            <v>49495081108.8937</v>
          </cell>
          <cell r="X92">
            <v>49017751291.483902</v>
          </cell>
          <cell r="Y92">
            <v>69275428119.294006</v>
          </cell>
          <cell r="Z92">
            <v>82471348604.878098</v>
          </cell>
          <cell r="AA92">
            <v>87198907638.432297</v>
          </cell>
          <cell r="AB92">
            <v>77357300711.083206</v>
          </cell>
          <cell r="AC92">
            <v>80790889071.326904</v>
          </cell>
          <cell r="AD92">
            <v>81748999254.8797</v>
          </cell>
          <cell r="AE92">
            <v>76685219800.026199</v>
          </cell>
          <cell r="AF92">
            <v>72266266243.462494</v>
          </cell>
          <cell r="AG92">
            <v>80194046340.228302</v>
          </cell>
          <cell r="AH92">
            <v>89890113743.600006</v>
          </cell>
          <cell r="AI92">
            <v>100922880864.845</v>
          </cell>
          <cell r="AJ92">
            <v>111033528397.05901</v>
          </cell>
          <cell r="AK92">
            <v>121895296366.35899</v>
          </cell>
          <cell r="AL92">
            <v>151992326577.91501</v>
          </cell>
          <cell r="AM92">
            <v>172149161170.89001</v>
          </cell>
          <cell r="AN92">
            <v>196187841493.02499</v>
          </cell>
          <cell r="AO92">
            <v>221276437689.45099</v>
          </cell>
          <cell r="AP92">
            <v>209439956603.811</v>
          </cell>
          <cell r="AQ92">
            <v>90063497246.284897</v>
          </cell>
          <cell r="AR92">
            <v>129337748220.438</v>
          </cell>
          <cell r="AS92">
            <v>154077737575.38101</v>
          </cell>
          <cell r="AT92">
            <v>154497031123.03699</v>
          </cell>
          <cell r="AU92">
            <v>189806032770.414</v>
          </cell>
          <cell r="AV92">
            <v>225746848643.87299</v>
          </cell>
          <cell r="AW92">
            <v>245051229786.884</v>
          </cell>
          <cell r="AX92">
            <v>271957842360.70901</v>
          </cell>
          <cell r="AY92">
            <v>349037815379.83099</v>
          </cell>
          <cell r="AZ92">
            <v>414441364730.336</v>
          </cell>
          <cell r="BA92">
            <v>492096264957.83398</v>
          </cell>
          <cell r="BB92">
            <v>520694549000.65601</v>
          </cell>
          <cell r="BC92">
            <v>734988313962.73499</v>
          </cell>
          <cell r="BD92">
            <v>868239121887.85498</v>
          </cell>
          <cell r="BE92">
            <v>891961466510.84302</v>
          </cell>
          <cell r="BF92">
            <v>885249528973.05701</v>
          </cell>
          <cell r="BG92">
            <v>860946502042.82495</v>
          </cell>
          <cell r="BH92">
            <v>832298855624.84998</v>
          </cell>
          <cell r="BI92">
            <v>902045436049.03101</v>
          </cell>
          <cell r="BJ92">
            <v>983437954653.32703</v>
          </cell>
          <cell r="BK92">
            <v>1011212624835.41</v>
          </cell>
          <cell r="BL92">
            <v>1085070037984.51</v>
          </cell>
          <cell r="BM92">
            <v>1029919366254.2</v>
          </cell>
        </row>
        <row r="93">
          <cell r="B93" t="str">
            <v>IRN</v>
          </cell>
          <cell r="C93" t="str">
            <v>GNI (current US$)</v>
          </cell>
          <cell r="D93" t="str">
            <v>NY.GNP.MKTP.CD</v>
          </cell>
          <cell r="E93">
            <v>4093075124.24898</v>
          </cell>
          <cell r="F93">
            <v>4313643834.8204803</v>
          </cell>
          <cell r="G93">
            <v>4565302320.1936998</v>
          </cell>
          <cell r="H93">
            <v>4785082170.1675797</v>
          </cell>
          <cell r="I93">
            <v>5216962024.9713802</v>
          </cell>
          <cell r="J93">
            <v>5993381748.9425201</v>
          </cell>
          <cell r="K93">
            <v>6584086843.4986296</v>
          </cell>
          <cell r="L93">
            <v>7309849490.9584198</v>
          </cell>
          <cell r="M93">
            <v>8293989175.5782604</v>
          </cell>
          <cell r="N93">
            <v>9349707047.1263599</v>
          </cell>
          <cell r="O93">
            <v>10523103067.153099</v>
          </cell>
          <cell r="P93">
            <v>13203000785.083</v>
          </cell>
          <cell r="Q93">
            <v>16621895137.921101</v>
          </cell>
          <cell r="R93">
            <v>26443577156.309299</v>
          </cell>
          <cell r="S93">
            <v>46045623157.194801</v>
          </cell>
          <cell r="T93">
            <v>51798709663.8918</v>
          </cell>
          <cell r="U93">
            <v>67585867366.629799</v>
          </cell>
          <cell r="V93">
            <v>79729688496.598694</v>
          </cell>
          <cell r="W93">
            <v>76845583368.483902</v>
          </cell>
          <cell r="X93">
            <v>91207569320.739395</v>
          </cell>
          <cell r="Y93">
            <v>95239665758.776901</v>
          </cell>
          <cell r="Z93">
            <v>101391532103.21899</v>
          </cell>
          <cell r="AA93">
            <v>126382725397.10699</v>
          </cell>
          <cell r="AB93">
            <v>157001302858.57501</v>
          </cell>
          <cell r="AC93">
            <v>162696317315.73599</v>
          </cell>
          <cell r="AD93">
            <v>180268653829.936</v>
          </cell>
          <cell r="AE93">
            <v>209246611605.20099</v>
          </cell>
          <cell r="AF93">
            <v>133943681912.511</v>
          </cell>
          <cell r="AG93">
            <v>122974037113.13699</v>
          </cell>
          <cell r="AH93">
            <v>120425532551.041</v>
          </cell>
          <cell r="AI93">
            <v>124760662244.786</v>
          </cell>
          <cell r="AJ93" t="str">
            <v>..</v>
          </cell>
          <cell r="AK93" t="str">
            <v>..</v>
          </cell>
          <cell r="AL93">
            <v>63762182225.9459</v>
          </cell>
          <cell r="AM93">
            <v>71515503050.025696</v>
          </cell>
          <cell r="AN93">
            <v>95928399194.479706</v>
          </cell>
          <cell r="AO93">
            <v>119853962532.146</v>
          </cell>
          <cell r="AP93">
            <v>113672090947.688</v>
          </cell>
          <cell r="AQ93">
            <v>110199295558.39101</v>
          </cell>
          <cell r="AR93">
            <v>114121597496.78799</v>
          </cell>
          <cell r="AS93">
            <v>109789552703.629</v>
          </cell>
          <cell r="AT93">
            <v>127176778522.444</v>
          </cell>
          <cell r="AU93">
            <v>128988619776.27499</v>
          </cell>
          <cell r="AV93">
            <v>153832496496.487</v>
          </cell>
          <cell r="AW93">
            <v>189735120672.64801</v>
          </cell>
          <cell r="AX93">
            <v>226042321374.599</v>
          </cell>
          <cell r="AY93">
            <v>266410628178.32001</v>
          </cell>
          <cell r="AZ93">
            <v>350835696886.67297</v>
          </cell>
          <cell r="BA93">
            <v>413692074639.98401</v>
          </cell>
          <cell r="BB93">
            <v>416274638566.15302</v>
          </cell>
          <cell r="BC93">
            <v>486886672784.685</v>
          </cell>
          <cell r="BD93">
            <v>580809428095.79102</v>
          </cell>
          <cell r="BE93">
            <v>603077505539.78503</v>
          </cell>
          <cell r="BF93">
            <v>463436203434.42102</v>
          </cell>
          <cell r="BG93">
            <v>433978050539.771</v>
          </cell>
          <cell r="BH93">
            <v>385924919121.26801</v>
          </cell>
          <cell r="BI93">
            <v>419264513277.76801</v>
          </cell>
          <cell r="BJ93">
            <v>446174038804.276</v>
          </cell>
          <cell r="BK93">
            <v>295974447930.01398</v>
          </cell>
          <cell r="BL93">
            <v>258443785777.36301</v>
          </cell>
          <cell r="BM93">
            <v>202972172216.73199</v>
          </cell>
        </row>
        <row r="94">
          <cell r="B94" t="str">
            <v>IRQ</v>
          </cell>
          <cell r="C94" t="str">
            <v>GNI (current US$)</v>
          </cell>
          <cell r="D94" t="str">
            <v>NY.GNP.MKTP.CD</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v>54149000000</v>
          </cell>
          <cell r="Z94">
            <v>36486333333.333298</v>
          </cell>
          <cell r="AA94">
            <v>39966000000</v>
          </cell>
          <cell r="AB94">
            <v>38809354838.709702</v>
          </cell>
          <cell r="AC94">
            <v>45420645161.290298</v>
          </cell>
          <cell r="AD94">
            <v>46129032258.064499</v>
          </cell>
          <cell r="AE94">
            <v>45030967741.935501</v>
          </cell>
          <cell r="AF94">
            <v>54500967741.935501</v>
          </cell>
          <cell r="AG94">
            <v>60425161290.322601</v>
          </cell>
          <cell r="AH94">
            <v>63560000000</v>
          </cell>
          <cell r="AI94">
            <v>177707096774.194</v>
          </cell>
          <cell r="AJ94">
            <v>401547550.43227702</v>
          </cell>
          <cell r="AK94">
            <v>547518518.51851797</v>
          </cell>
          <cell r="AL94">
            <v>1031899964.7085201</v>
          </cell>
          <cell r="AM94">
            <v>3991350245.4991798</v>
          </cell>
          <cell r="AN94">
            <v>12890451788.087099</v>
          </cell>
          <cell r="AO94">
            <v>10429801145.9387</v>
          </cell>
          <cell r="AP94">
            <v>20493266653.826</v>
          </cell>
          <cell r="AQ94">
            <v>20342220550.1716</v>
          </cell>
          <cell r="AR94">
            <v>36235417839.370796</v>
          </cell>
          <cell r="AS94">
            <v>48059388965.942398</v>
          </cell>
          <cell r="AT94">
            <v>35918504942.952499</v>
          </cell>
          <cell r="AU94">
            <v>32363890128.59</v>
          </cell>
          <cell r="AV94">
            <v>21945812154.532398</v>
          </cell>
          <cell r="AW94">
            <v>36680330189.003799</v>
          </cell>
          <cell r="AX94">
            <v>45427690353.260902</v>
          </cell>
          <cell r="AY94">
            <v>61594655250.916603</v>
          </cell>
          <cell r="AZ94">
            <v>85770188554.765396</v>
          </cell>
          <cell r="BA94">
            <v>135099654257.905</v>
          </cell>
          <cell r="BB94">
            <v>114752590928.317</v>
          </cell>
          <cell r="BC94">
            <v>140109922649.573</v>
          </cell>
          <cell r="BD94">
            <v>185512664444.444</v>
          </cell>
          <cell r="BE94">
            <v>219061488972.29901</v>
          </cell>
          <cell r="BF94">
            <v>233577245128.64499</v>
          </cell>
          <cell r="BG94">
            <v>227112056174.957</v>
          </cell>
          <cell r="BH94">
            <v>165257902945.457</v>
          </cell>
          <cell r="BI94">
            <v>165041288747.88501</v>
          </cell>
          <cell r="BJ94">
            <v>185776960050.67599</v>
          </cell>
          <cell r="BK94">
            <v>225613469034.03101</v>
          </cell>
          <cell r="BL94">
            <v>233931182233.50299</v>
          </cell>
          <cell r="BM94">
            <v>164946731319.883</v>
          </cell>
        </row>
        <row r="95">
          <cell r="B95" t="str">
            <v>IRL</v>
          </cell>
          <cell r="C95" t="str">
            <v>GNI (current US$)</v>
          </cell>
          <cell r="D95" t="str">
            <v>NY.GNP.MKTP.CD</v>
          </cell>
          <cell r="E95">
            <v>2056603345.516</v>
          </cell>
          <cell r="F95">
            <v>2216466565.1455798</v>
          </cell>
          <cell r="G95">
            <v>2395398332.0942798</v>
          </cell>
          <cell r="H95">
            <v>2571469647.58742</v>
          </cell>
          <cell r="I95">
            <v>2921069655.0576401</v>
          </cell>
          <cell r="J95">
            <v>3128605936.5619502</v>
          </cell>
          <cell r="K95">
            <v>3285162164.9488502</v>
          </cell>
          <cell r="L95">
            <v>3536624646.29492</v>
          </cell>
          <cell r="M95">
            <v>3478612278.8432498</v>
          </cell>
          <cell r="N95">
            <v>3995738511.80407</v>
          </cell>
          <cell r="O95">
            <v>4689673029.6730299</v>
          </cell>
          <cell r="P95">
            <v>5422203909.54389</v>
          </cell>
          <cell r="Q95">
            <v>6712069236.8213997</v>
          </cell>
          <cell r="R95">
            <v>7880248890.6039</v>
          </cell>
          <cell r="S95">
            <v>8333004971.4601402</v>
          </cell>
          <cell r="T95">
            <v>9954970383.2752609</v>
          </cell>
          <cell r="U95">
            <v>9835499575.4316406</v>
          </cell>
          <cell r="V95">
            <v>11569635939.0026</v>
          </cell>
          <cell r="W95">
            <v>14839601328.9037</v>
          </cell>
          <cell r="X95">
            <v>18521067053.513901</v>
          </cell>
          <cell r="Y95">
            <v>21930124615.633598</v>
          </cell>
          <cell r="Z95">
            <v>20709766763.8484</v>
          </cell>
          <cell r="AA95">
            <v>20955220210.149799</v>
          </cell>
          <cell r="AB95">
            <v>20028883233.826</v>
          </cell>
          <cell r="AC95">
            <v>18975880143.418098</v>
          </cell>
          <cell r="AD95">
            <v>19837118347.630501</v>
          </cell>
          <cell r="AE95">
            <v>26985269181.856701</v>
          </cell>
          <cell r="AF95">
            <v>31953223314.606701</v>
          </cell>
          <cell r="AG95">
            <v>35152683863.227402</v>
          </cell>
          <cell r="AH95">
            <v>36084016073.222504</v>
          </cell>
          <cell r="AI95">
            <v>45844603360.687798</v>
          </cell>
          <cell r="AJ95">
            <v>46482886297.376099</v>
          </cell>
          <cell r="AK95">
            <v>51544038590.379204</v>
          </cell>
          <cell r="AL95">
            <v>48530386091.405998</v>
          </cell>
          <cell r="AM95">
            <v>53106473498.2332</v>
          </cell>
          <cell r="AN95">
            <v>63228535353.535301</v>
          </cell>
          <cell r="AO95">
            <v>69681199596.7742</v>
          </cell>
          <cell r="AP95">
            <v>74854345749.7612</v>
          </cell>
          <cell r="AQ95">
            <v>80793989009.756607</v>
          </cell>
          <cell r="AR95">
            <v>86226033454.080597</v>
          </cell>
          <cell r="AS95">
            <v>87139368896.259399</v>
          </cell>
          <cell r="AT95">
            <v>93326632662.192398</v>
          </cell>
          <cell r="AU95">
            <v>107303729531.338</v>
          </cell>
          <cell r="AV95">
            <v>141652997742.664</v>
          </cell>
          <cell r="AW95">
            <v>167466524708.22</v>
          </cell>
          <cell r="AX95">
            <v>183426419599.552</v>
          </cell>
          <cell r="AY95">
            <v>203438740434.07401</v>
          </cell>
          <cell r="AZ95">
            <v>233199898713.38599</v>
          </cell>
          <cell r="BA95">
            <v>237463654606.70901</v>
          </cell>
          <cell r="BB95">
            <v>196744106696.30499</v>
          </cell>
          <cell r="BC95">
            <v>185645132293.90799</v>
          </cell>
          <cell r="BD95">
            <v>193720824725.797</v>
          </cell>
          <cell r="BE95">
            <v>181882352293.565</v>
          </cell>
          <cell r="BF95">
            <v>200925327138.46301</v>
          </cell>
          <cell r="BG95">
            <v>218340468264.203</v>
          </cell>
          <cell r="BH95">
            <v>224032083740.73199</v>
          </cell>
          <cell r="BI95">
            <v>243320095866.98099</v>
          </cell>
          <cell r="BJ95">
            <v>265659342021.673</v>
          </cell>
          <cell r="BK95">
            <v>298071385011.19</v>
          </cell>
          <cell r="BL95">
            <v>309765793964.36798</v>
          </cell>
          <cell r="BM95">
            <v>324082622327.08099</v>
          </cell>
        </row>
        <row r="96">
          <cell r="B96" t="str">
            <v>IMN</v>
          </cell>
          <cell r="C96" t="str">
            <v>GNI (current US$)</v>
          </cell>
          <cell r="D96" t="str">
            <v>NY.GNP.MKTP.CD</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v>1018586633.2759399</v>
          </cell>
          <cell r="AO96">
            <v>1129602281.73031</v>
          </cell>
          <cell r="AP96">
            <v>1315057433.5411899</v>
          </cell>
          <cell r="AQ96">
            <v>1499304017.19292</v>
          </cell>
          <cell r="AR96">
            <v>1662549145.9877501</v>
          </cell>
          <cell r="AS96">
            <v>1627870548.2488501</v>
          </cell>
          <cell r="AT96">
            <v>1731681694.57564</v>
          </cell>
          <cell r="AU96">
            <v>2022014199.7221799</v>
          </cell>
          <cell r="AV96">
            <v>2419677637.1307998</v>
          </cell>
          <cell r="AW96">
            <v>2938995021.2059698</v>
          </cell>
          <cell r="AX96">
            <v>3152518181.8181801</v>
          </cell>
          <cell r="AY96">
            <v>3578491260.3495898</v>
          </cell>
          <cell r="AZ96">
            <v>4369193677.4709902</v>
          </cell>
          <cell r="BA96">
            <v>4356654411.7647104</v>
          </cell>
          <cell r="BB96">
            <v>3833341642.0003099</v>
          </cell>
          <cell r="BC96">
            <v>5981738257.1075401</v>
          </cell>
          <cell r="BD96">
            <v>6692278481.01266</v>
          </cell>
          <cell r="BE96">
            <v>6818331753.5544996</v>
          </cell>
          <cell r="BF96">
            <v>7201580428.3257799</v>
          </cell>
          <cell r="BG96">
            <v>7655555372.7167997</v>
          </cell>
          <cell r="BH96">
            <v>6826965622.6126804</v>
          </cell>
          <cell r="BI96">
            <v>6105729138.5363197</v>
          </cell>
          <cell r="BJ96">
            <v>6365148005.1479998</v>
          </cell>
          <cell r="BK96">
            <v>7111914609.73983</v>
          </cell>
          <cell r="BL96">
            <v>6968404391.1156502</v>
          </cell>
          <cell r="BM96" t="str">
            <v>..</v>
          </cell>
        </row>
        <row r="97">
          <cell r="B97" t="str">
            <v>ISR</v>
          </cell>
          <cell r="C97" t="str">
            <v>GNI (current US$)</v>
          </cell>
          <cell r="D97" t="str">
            <v>NY.GNP.MKTP.CD</v>
          </cell>
          <cell r="E97">
            <v>2585000000</v>
          </cell>
          <cell r="F97">
            <v>3122500000</v>
          </cell>
          <cell r="G97">
            <v>2497333333.3333302</v>
          </cell>
          <cell r="H97">
            <v>2977000000</v>
          </cell>
          <cell r="I97">
            <v>3388000000</v>
          </cell>
          <cell r="J97">
            <v>3644666666.6666698</v>
          </cell>
          <cell r="K97">
            <v>3954000000</v>
          </cell>
          <cell r="L97">
            <v>3990666666.6666698</v>
          </cell>
          <cell r="M97">
            <v>4577000000</v>
          </cell>
          <cell r="N97">
            <v>5267000000</v>
          </cell>
          <cell r="O97">
            <v>6843333333.3333302</v>
          </cell>
          <cell r="P97">
            <v>6570000000</v>
          </cell>
          <cell r="Q97">
            <v>8547500000</v>
          </cell>
          <cell r="R97">
            <v>11035000000</v>
          </cell>
          <cell r="S97">
            <v>15882500000</v>
          </cell>
          <cell r="T97">
            <v>14731666666.6667</v>
          </cell>
          <cell r="U97">
            <v>14583750000</v>
          </cell>
          <cell r="V97">
            <v>16785000000</v>
          </cell>
          <cell r="W97">
            <v>16150588235.2941</v>
          </cell>
          <cell r="X97">
            <v>20703200000</v>
          </cell>
          <cell r="Y97">
            <v>23042156862.745098</v>
          </cell>
          <cell r="Z97">
            <v>24601754385.964901</v>
          </cell>
          <cell r="AA97">
            <v>26586872427.983501</v>
          </cell>
          <cell r="AB97">
            <v>29634822064.0569</v>
          </cell>
          <cell r="AC97">
            <v>27031101637.1078</v>
          </cell>
          <cell r="AD97">
            <v>25370306217.6605</v>
          </cell>
          <cell r="AE97">
            <v>31915861002.823002</v>
          </cell>
          <cell r="AF97">
            <v>38675331117.521599</v>
          </cell>
          <cell r="AG97">
            <v>47784810182.000099</v>
          </cell>
          <cell r="AH97">
            <v>47827390419.536598</v>
          </cell>
          <cell r="AI97">
            <v>57021535065.965698</v>
          </cell>
          <cell r="AJ97">
            <v>65917916282.743202</v>
          </cell>
          <cell r="AK97">
            <v>73572671709.161896</v>
          </cell>
          <cell r="AL97">
            <v>73914988162.962402</v>
          </cell>
          <cell r="AM97">
            <v>83864629869.482895</v>
          </cell>
          <cell r="AN97">
            <v>97944430312.489594</v>
          </cell>
          <cell r="AO97">
            <v>106856046307.61</v>
          </cell>
          <cell r="AP97">
            <v>110863540035.948</v>
          </cell>
          <cell r="AQ97">
            <v>112098667929.791</v>
          </cell>
          <cell r="AR97">
            <v>112125204000.28999</v>
          </cell>
          <cell r="AS97">
            <v>124198666764.771</v>
          </cell>
          <cell r="AT97">
            <v>125377596119.552</v>
          </cell>
          <cell r="AU97">
            <v>116731947739.457</v>
          </cell>
          <cell r="AV97">
            <v>122455698601.25999</v>
          </cell>
          <cell r="AW97">
            <v>131614486613.119</v>
          </cell>
          <cell r="AX97">
            <v>141420179156.36099</v>
          </cell>
          <cell r="AY97">
            <v>153529894968.35599</v>
          </cell>
          <cell r="AZ97">
            <v>178923041065.21301</v>
          </cell>
          <cell r="BA97">
            <v>212499875975.474</v>
          </cell>
          <cell r="BB97">
            <v>203001566258.93201</v>
          </cell>
          <cell r="BC97">
            <v>230313642107.797</v>
          </cell>
          <cell r="BD97">
            <v>258769884137.621</v>
          </cell>
          <cell r="BE97">
            <v>251793098761.82001</v>
          </cell>
          <cell r="BF97">
            <v>288218988624.27399</v>
          </cell>
          <cell r="BG97">
            <v>309066889887.29498</v>
          </cell>
          <cell r="BH97">
            <v>297503926418.25</v>
          </cell>
          <cell r="BI97">
            <v>316135997205.27301</v>
          </cell>
          <cell r="BJ97">
            <v>353488338209.31299</v>
          </cell>
          <cell r="BK97">
            <v>373366681340.33801</v>
          </cell>
          <cell r="BL97">
            <v>395685778183.46899</v>
          </cell>
          <cell r="BM97">
            <v>402948235519.34497</v>
          </cell>
        </row>
        <row r="98">
          <cell r="B98" t="str">
            <v>ITA</v>
          </cell>
          <cell r="C98" t="str">
            <v>GNI (current US$)</v>
          </cell>
          <cell r="D98" t="str">
            <v>NY.GNP.MKTP.CD</v>
          </cell>
          <cell r="E98">
            <v>40495892097.073097</v>
          </cell>
          <cell r="F98">
            <v>44941821181.681</v>
          </cell>
          <cell r="G98">
            <v>50471132481.628601</v>
          </cell>
          <cell r="H98">
            <v>57801822228.107697</v>
          </cell>
          <cell r="I98">
            <v>63310021307.056999</v>
          </cell>
          <cell r="J98">
            <v>68239418775.016998</v>
          </cell>
          <cell r="K98">
            <v>74005443913.315796</v>
          </cell>
          <cell r="L98">
            <v>81443074752.184296</v>
          </cell>
          <cell r="M98">
            <v>88326648581.684296</v>
          </cell>
          <cell r="N98">
            <v>97575749223.206802</v>
          </cell>
          <cell r="O98">
            <v>114365120817.84399</v>
          </cell>
          <cell r="P98">
            <v>125758345817.728</v>
          </cell>
          <cell r="Q98">
            <v>146590056440.90302</v>
          </cell>
          <cell r="R98">
            <v>176668963799.40201</v>
          </cell>
          <cell r="S98">
            <v>199721830902.05399</v>
          </cell>
          <cell r="T98">
            <v>228223152431.79099</v>
          </cell>
          <cell r="U98">
            <v>225069397534.31</v>
          </cell>
          <cell r="V98">
            <v>258296787360.10501</v>
          </cell>
          <cell r="W98">
            <v>316003465662.78802</v>
          </cell>
          <cell r="X98">
            <v>395900358890.70099</v>
          </cell>
          <cell r="Y98">
            <v>480255724621.29797</v>
          </cell>
          <cell r="Z98">
            <v>430141599386.81702</v>
          </cell>
          <cell r="AA98">
            <v>426272648532.57001</v>
          </cell>
          <cell r="AB98">
            <v>442612624936.25702</v>
          </cell>
          <cell r="AC98">
            <v>437383047167.73199</v>
          </cell>
          <cell r="AD98">
            <v>451126286380.69202</v>
          </cell>
          <cell r="AE98">
            <v>637091754773.34705</v>
          </cell>
          <cell r="AF98">
            <v>803229982073.49902</v>
          </cell>
          <cell r="AG98">
            <v>889209764950.90698</v>
          </cell>
          <cell r="AH98">
            <v>924083371436.63599</v>
          </cell>
          <cell r="AI98">
            <v>1166755021008.3999</v>
          </cell>
          <cell r="AJ98">
            <v>1228446297799.28</v>
          </cell>
          <cell r="AK98">
            <v>1298792413197.1699</v>
          </cell>
          <cell r="AL98">
            <v>1049906464870.1899</v>
          </cell>
          <cell r="AM98">
            <v>1082154302353.51</v>
          </cell>
          <cell r="AN98">
            <v>1160406751456.0801</v>
          </cell>
          <cell r="AO98">
            <v>1299725812523.53</v>
          </cell>
          <cell r="AP98">
            <v>1236195088676.6699</v>
          </cell>
          <cell r="AQ98">
            <v>1263071038251.3701</v>
          </cell>
          <cell r="AR98">
            <v>1249585233326.23</v>
          </cell>
          <cell r="AS98">
            <v>1139463147226.8301</v>
          </cell>
          <cell r="AT98">
            <v>1163440805369.1299</v>
          </cell>
          <cell r="AU98">
            <v>1265044042913.6101</v>
          </cell>
          <cell r="AV98">
            <v>1566556659142.21</v>
          </cell>
          <cell r="AW98">
            <v>1800243729823.6899</v>
          </cell>
          <cell r="AX98">
            <v>1860442357915.6799</v>
          </cell>
          <cell r="AY98">
            <v>1955647597541.0901</v>
          </cell>
          <cell r="AZ98">
            <v>2211998494388.1699</v>
          </cell>
          <cell r="BA98">
            <v>2376932327523.0698</v>
          </cell>
          <cell r="BB98">
            <v>2189862461794.9399</v>
          </cell>
          <cell r="BC98">
            <v>2129496390595.8899</v>
          </cell>
          <cell r="BD98">
            <v>2286194049113.8101</v>
          </cell>
          <cell r="BE98">
            <v>2084525810124.71</v>
          </cell>
          <cell r="BF98">
            <v>2137604292430.28</v>
          </cell>
          <cell r="BG98">
            <v>2159322448608.3601</v>
          </cell>
          <cell r="BH98">
            <v>1823207188012.21</v>
          </cell>
          <cell r="BI98">
            <v>1881183205630.24</v>
          </cell>
          <cell r="BJ98">
            <v>1967862153401.24</v>
          </cell>
          <cell r="BK98">
            <v>2114003790746.6899</v>
          </cell>
          <cell r="BL98">
            <v>2026751394852.55</v>
          </cell>
          <cell r="BM98">
            <v>1911916584229.1101</v>
          </cell>
        </row>
        <row r="99">
          <cell r="B99" t="str">
            <v>JAM</v>
          </cell>
          <cell r="C99" t="str">
            <v>GNI (current US$)</v>
          </cell>
          <cell r="D99" t="str">
            <v>NY.GNP.MKTP.CD</v>
          </cell>
          <cell r="E99">
            <v>683286574.26851499</v>
          </cell>
          <cell r="F99">
            <v>728940501.18997598</v>
          </cell>
          <cell r="G99">
            <v>744158476.83046305</v>
          </cell>
          <cell r="H99">
            <v>808073918.52163005</v>
          </cell>
          <cell r="I99">
            <v>876554808.90382195</v>
          </cell>
          <cell r="J99">
            <v>949601007.97984004</v>
          </cell>
          <cell r="K99">
            <v>1022679546.40907</v>
          </cell>
          <cell r="L99">
            <v>1071803369.23502</v>
          </cell>
          <cell r="M99">
            <v>1025321012.84051</v>
          </cell>
          <cell r="N99">
            <v>1129845193.80775</v>
          </cell>
          <cell r="O99">
            <v>1343693747.7499101</v>
          </cell>
          <cell r="P99">
            <v>1450648414.98559</v>
          </cell>
          <cell r="Q99">
            <v>1842214983.7133601</v>
          </cell>
          <cell r="R99">
            <v>1875554078.0141799</v>
          </cell>
          <cell r="S99">
            <v>2431965680.3432002</v>
          </cell>
          <cell r="T99">
            <v>2882081289.1871099</v>
          </cell>
          <cell r="U99">
            <v>2892811035.0896502</v>
          </cell>
          <cell r="V99">
            <v>3156198421.51578</v>
          </cell>
          <cell r="W99">
            <v>2501953433.4788198</v>
          </cell>
          <cell r="X99">
            <v>2258036048.5293899</v>
          </cell>
          <cell r="Y99">
            <v>2467407073.2075901</v>
          </cell>
          <cell r="Z99">
            <v>2816859591.4237099</v>
          </cell>
          <cell r="AA99">
            <v>3118331321.53093</v>
          </cell>
          <cell r="AB99">
            <v>3464406834.1610398</v>
          </cell>
          <cell r="AC99">
            <v>2107229464.2495601</v>
          </cell>
          <cell r="AD99">
            <v>1818454680.46051</v>
          </cell>
          <cell r="AE99">
            <v>2473888465.4140902</v>
          </cell>
          <cell r="AF99">
            <v>2943730152.8299198</v>
          </cell>
          <cell r="AG99">
            <v>3493113534.1131201</v>
          </cell>
          <cell r="AH99">
            <v>4054867625.17664</v>
          </cell>
          <cell r="AI99">
            <v>4162221932.6599202</v>
          </cell>
          <cell r="AJ99">
            <v>3667400077.5840001</v>
          </cell>
          <cell r="AK99">
            <v>3241559448.2650499</v>
          </cell>
          <cell r="AL99">
            <v>5244165167.5845499</v>
          </cell>
          <cell r="AM99">
            <v>5100564031.8081102</v>
          </cell>
          <cell r="AN99">
            <v>6206823650.2656403</v>
          </cell>
          <cell r="AO99">
            <v>7169183805.8599796</v>
          </cell>
          <cell r="AP99">
            <v>8108134169.3852501</v>
          </cell>
          <cell r="AQ99">
            <v>8479095622.4350204</v>
          </cell>
          <cell r="AR99">
            <v>8554561724.7429104</v>
          </cell>
          <cell r="AS99">
            <v>8655164475.6279392</v>
          </cell>
          <cell r="AT99">
            <v>8756918310.8206501</v>
          </cell>
          <cell r="AU99">
            <v>9113717404.8194904</v>
          </cell>
          <cell r="AV99">
            <v>8858830823.5583401</v>
          </cell>
          <cell r="AW99">
            <v>9592121830.7373505</v>
          </cell>
          <cell r="AX99">
            <v>10567652667.680401</v>
          </cell>
          <cell r="AY99">
            <v>11314539712.4296</v>
          </cell>
          <cell r="AZ99">
            <v>12137998534.516899</v>
          </cell>
          <cell r="BA99">
            <v>13141140489.745199</v>
          </cell>
          <cell r="BB99">
            <v>11452546431.444201</v>
          </cell>
          <cell r="BC99">
            <v>12725939352.7922</v>
          </cell>
          <cell r="BD99">
            <v>13926255522.2456</v>
          </cell>
          <cell r="BE99">
            <v>14607474287.266001</v>
          </cell>
          <cell r="BF99">
            <v>13930633621.8188</v>
          </cell>
          <cell r="BG99">
            <v>13600815210.7775</v>
          </cell>
          <cell r="BH99">
            <v>13748957625.814501</v>
          </cell>
          <cell r="BI99">
            <v>13482121259.0431</v>
          </cell>
          <cell r="BJ99">
            <v>14387841219.2444</v>
          </cell>
          <cell r="BK99">
            <v>15134770593.187799</v>
          </cell>
          <cell r="BL99">
            <v>15389268903.572901</v>
          </cell>
          <cell r="BM99">
            <v>13357884098.486799</v>
          </cell>
        </row>
        <row r="100">
          <cell r="B100" t="str">
            <v>JPN</v>
          </cell>
          <cell r="C100" t="str">
            <v>GNI (current US$)</v>
          </cell>
          <cell r="D100" t="str">
            <v>NY.GNP.MKTP.CD</v>
          </cell>
          <cell r="E100">
            <v>44096113140.6222</v>
          </cell>
          <cell r="F100">
            <v>53216886419.911102</v>
          </cell>
          <cell r="G100">
            <v>60366887321.599998</v>
          </cell>
          <cell r="H100">
            <v>69060415396.977798</v>
          </cell>
          <cell r="I100">
            <v>81163510670.222198</v>
          </cell>
          <cell r="J100">
            <v>90333954412.088898</v>
          </cell>
          <cell r="K100">
            <v>104942627862.756</v>
          </cell>
          <cell r="L100">
            <v>123005013560.88901</v>
          </cell>
          <cell r="M100">
            <v>145604342943.289</v>
          </cell>
          <cell r="N100">
            <v>171075803545.60001</v>
          </cell>
          <cell r="O100">
            <v>212376104144.444</v>
          </cell>
          <cell r="P100">
            <v>240076249154.138</v>
          </cell>
          <cell r="Q100">
            <v>318385211551.17999</v>
          </cell>
          <cell r="R100">
            <v>432614969398.42499</v>
          </cell>
          <cell r="S100">
            <v>479242561557.09399</v>
          </cell>
          <cell r="T100">
            <v>521531542740.17603</v>
          </cell>
          <cell r="U100">
            <v>586222292005.63098</v>
          </cell>
          <cell r="V100">
            <v>721805862455.77502</v>
          </cell>
          <cell r="W100">
            <v>1015018234693.98</v>
          </cell>
          <cell r="X100">
            <v>1057436616546.5</v>
          </cell>
          <cell r="Y100">
            <v>1106180713837.1201</v>
          </cell>
          <cell r="Z100">
            <v>1218199494141.0901</v>
          </cell>
          <cell r="AA100">
            <v>1136197805736.1399</v>
          </cell>
          <cell r="AB100">
            <v>1246296498235.6699</v>
          </cell>
          <cell r="AC100">
            <v>1322544601037.8</v>
          </cell>
          <cell r="AD100">
            <v>1405671182271.1699</v>
          </cell>
          <cell r="AE100">
            <v>2088415129854.1799</v>
          </cell>
          <cell r="AF100">
            <v>2549578774522.5098</v>
          </cell>
          <cell r="AG100">
            <v>3093131811751.23</v>
          </cell>
          <cell r="AH100">
            <v>3078857299419.27</v>
          </cell>
          <cell r="AI100">
            <v>3156842377885.6001</v>
          </cell>
          <cell r="AJ100">
            <v>3609951843523.7402</v>
          </cell>
          <cell r="AK100">
            <v>3942653569288.27</v>
          </cell>
          <cell r="AL100">
            <v>4493789445474.6396</v>
          </cell>
          <cell r="AM100">
            <v>5040359933390.5996</v>
          </cell>
          <cell r="AN100">
            <v>5592682724570.3799</v>
          </cell>
          <cell r="AO100">
            <v>4982754040068.3604</v>
          </cell>
          <cell r="AP100">
            <v>4551410891232.3203</v>
          </cell>
          <cell r="AQ100">
            <v>4148975633530.5</v>
          </cell>
          <cell r="AR100">
            <v>4692903320960.6396</v>
          </cell>
          <cell r="AS100">
            <v>5040235511364.9502</v>
          </cell>
          <cell r="AT100">
            <v>4442724323185.6797</v>
          </cell>
          <cell r="AU100">
            <v>4243893355026</v>
          </cell>
          <cell r="AV100">
            <v>4592583679436.9199</v>
          </cell>
          <cell r="AW100">
            <v>4987574981745.5801</v>
          </cell>
          <cell r="AX100">
            <v>4938602699009.7803</v>
          </cell>
          <cell r="AY100">
            <v>4724628609114.5898</v>
          </cell>
          <cell r="AZ100">
            <v>4720092396404.3496</v>
          </cell>
          <cell r="BA100">
            <v>5243862441285.0303</v>
          </cell>
          <cell r="BB100">
            <v>5422436226957.1201</v>
          </cell>
          <cell r="BC100">
            <v>5912477091132.79</v>
          </cell>
          <cell r="BD100">
            <v>6414396892358.6602</v>
          </cell>
          <cell r="BE100">
            <v>6445536590964.04</v>
          </cell>
          <cell r="BF100">
            <v>5391605623511.2695</v>
          </cell>
          <cell r="BG100">
            <v>5079021304760.5098</v>
          </cell>
          <cell r="BH100">
            <v>4619771168713.4102</v>
          </cell>
          <cell r="BI100">
            <v>5177794688417.2002</v>
          </cell>
          <cell r="BJ100">
            <v>5113251596855.5303</v>
          </cell>
          <cell r="BK100">
            <v>5228740953171.4902</v>
          </cell>
          <cell r="BL100">
            <v>5347812922664.7305</v>
          </cell>
          <cell r="BM100">
            <v>5146353156320.9697</v>
          </cell>
        </row>
        <row r="101">
          <cell r="B101" t="str">
            <v>JOR</v>
          </cell>
          <cell r="C101" t="str">
            <v>GNI (current US$)</v>
          </cell>
          <cell r="D101" t="str">
            <v>NY.GNP.MKTP.CD</v>
          </cell>
          <cell r="E101" t="str">
            <v>..</v>
          </cell>
          <cell r="F101" t="str">
            <v>..</v>
          </cell>
          <cell r="G101" t="str">
            <v>..</v>
          </cell>
          <cell r="H101" t="str">
            <v>..</v>
          </cell>
          <cell r="I101" t="str">
            <v>..</v>
          </cell>
          <cell r="J101">
            <v>608232987.95855498</v>
          </cell>
          <cell r="K101">
            <v>669840380.84570205</v>
          </cell>
          <cell r="L101">
            <v>643797255.670681</v>
          </cell>
          <cell r="M101">
            <v>576029123.49481905</v>
          </cell>
          <cell r="N101">
            <v>717726127.13525605</v>
          </cell>
          <cell r="O101">
            <v>658359003.08036995</v>
          </cell>
          <cell r="P101">
            <v>693083169.98039806</v>
          </cell>
          <cell r="Q101">
            <v>800056006.72080696</v>
          </cell>
          <cell r="R101">
            <v>963785757.76019502</v>
          </cell>
          <cell r="S101">
            <v>1225706302.3905599</v>
          </cell>
          <cell r="T101">
            <v>1405565978.7367101</v>
          </cell>
          <cell r="U101">
            <v>1715060240.96386</v>
          </cell>
          <cell r="V101">
            <v>2120558761.0081999</v>
          </cell>
          <cell r="W101">
            <v>2630696007.8534002</v>
          </cell>
          <cell r="X101">
            <v>3308495504.4955001</v>
          </cell>
          <cell r="Y101">
            <v>3945702249.07687</v>
          </cell>
          <cell r="Z101">
            <v>4471302966.1016903</v>
          </cell>
          <cell r="AA101">
            <v>4773189503.5460997</v>
          </cell>
          <cell r="AB101">
            <v>4966039658.4962797</v>
          </cell>
          <cell r="AC101">
            <v>4906143302.9909</v>
          </cell>
          <cell r="AD101">
            <v>4905126203.7506304</v>
          </cell>
          <cell r="AE101">
            <v>6251394571.4285698</v>
          </cell>
          <cell r="AF101">
            <v>6534946233.3825703</v>
          </cell>
          <cell r="AG101">
            <v>5969730964.467</v>
          </cell>
          <cell r="AH101">
            <v>4026243821.7890701</v>
          </cell>
          <cell r="AI101">
            <v>3944978152.77987</v>
          </cell>
          <cell r="AJ101">
            <v>3981780290.7916002</v>
          </cell>
          <cell r="AK101">
            <v>4963285672.2565498</v>
          </cell>
          <cell r="AL101">
            <v>5295884831.8660698</v>
          </cell>
          <cell r="AM101">
            <v>5922766566.4806099</v>
          </cell>
          <cell r="AN101">
            <v>6449050513.6986303</v>
          </cell>
          <cell r="AO101">
            <v>6627371932.2990103</v>
          </cell>
          <cell r="AP101">
            <v>7037674894.2172098</v>
          </cell>
          <cell r="AQ101">
            <v>7774398307.4753199</v>
          </cell>
          <cell r="AR101">
            <v>7994693229.9012699</v>
          </cell>
          <cell r="AS101">
            <v>8560847531.7348404</v>
          </cell>
          <cell r="AT101">
            <v>9137325952.0451298</v>
          </cell>
          <cell r="AU101">
            <v>9651423413.25811</v>
          </cell>
          <cell r="AV101">
            <v>10325562059.2384</v>
          </cell>
          <cell r="AW101">
            <v>11685015232.722099</v>
          </cell>
          <cell r="AX101">
            <v>12925759802.538799</v>
          </cell>
          <cell r="AY101">
            <v>15511090550.070499</v>
          </cell>
          <cell r="AZ101">
            <v>17686327926.657299</v>
          </cell>
          <cell r="BA101">
            <v>23069244751.303398</v>
          </cell>
          <cell r="BB101">
            <v>24913369014.084499</v>
          </cell>
          <cell r="BC101">
            <v>26919156338.028198</v>
          </cell>
          <cell r="BD101">
            <v>29259642112.676102</v>
          </cell>
          <cell r="BE101">
            <v>31246533521.126801</v>
          </cell>
          <cell r="BF101">
            <v>34115848591.549301</v>
          </cell>
          <cell r="BG101">
            <v>36430882957.746498</v>
          </cell>
          <cell r="BH101">
            <v>38154482676.056297</v>
          </cell>
          <cell r="BI101">
            <v>39587480704.225403</v>
          </cell>
          <cell r="BJ101">
            <v>41202622816.901398</v>
          </cell>
          <cell r="BK101">
            <v>42732450704.225403</v>
          </cell>
          <cell r="BL101">
            <v>44510374788.732399</v>
          </cell>
          <cell r="BM101">
            <v>43573532535.211304</v>
          </cell>
        </row>
        <row r="102">
          <cell r="B102" t="str">
            <v>KAZ</v>
          </cell>
          <cell r="C102" t="str">
            <v>GNI (current US$)</v>
          </cell>
          <cell r="D102" t="str">
            <v>NY.GNP.MKTP.CD</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v>23364060466.226398</v>
          </cell>
          <cell r="AM102">
            <v>21154193097.876301</v>
          </cell>
          <cell r="AN102">
            <v>20233202652.181</v>
          </cell>
          <cell r="AO102">
            <v>20821968251.185299</v>
          </cell>
          <cell r="AP102">
            <v>21860432063.628799</v>
          </cell>
          <cell r="AQ102">
            <v>21837754836.641602</v>
          </cell>
          <cell r="AR102">
            <v>16319121839.8421</v>
          </cell>
          <cell r="AS102">
            <v>17152994909.0044</v>
          </cell>
          <cell r="AT102">
            <v>21058294162.024502</v>
          </cell>
          <cell r="AU102">
            <v>23651793223.085701</v>
          </cell>
          <cell r="AV102">
            <v>29229499702.492001</v>
          </cell>
          <cell r="AW102">
            <v>40430947002.609596</v>
          </cell>
          <cell r="AX102">
            <v>51568171733.895203</v>
          </cell>
          <cell r="AY102">
            <v>71653784545.727097</v>
          </cell>
          <cell r="AZ102">
            <v>91904186825.910507</v>
          </cell>
          <cell r="BA102">
            <v>114066312246.465</v>
          </cell>
          <cell r="BB102">
            <v>102891161143.26601</v>
          </cell>
          <cell r="BC102">
            <v>128671748240.64301</v>
          </cell>
          <cell r="BD102">
            <v>164881407971.44699</v>
          </cell>
          <cell r="BE102">
            <v>179881468866.125</v>
          </cell>
          <cell r="BF102">
            <v>211486852078.36499</v>
          </cell>
          <cell r="BG102">
            <v>198714472819.33301</v>
          </cell>
          <cell r="BH102">
            <v>172770532148.57999</v>
          </cell>
          <cell r="BI102">
            <v>123828020084.17101</v>
          </cell>
          <cell r="BJ102">
            <v>148657300595.70401</v>
          </cell>
          <cell r="BK102">
            <v>157278694859.5</v>
          </cell>
          <cell r="BL102">
            <v>158974567110.728</v>
          </cell>
          <cell r="BM102">
            <v>156099005593.991</v>
          </cell>
        </row>
        <row r="103">
          <cell r="B103" t="str">
            <v>KEN</v>
          </cell>
          <cell r="C103" t="str">
            <v>GNI (current US$)</v>
          </cell>
          <cell r="D103" t="str">
            <v>NY.GNP.MKTP.CD</v>
          </cell>
          <cell r="E103">
            <v>764959553.362903</v>
          </cell>
          <cell r="F103">
            <v>770307593.21912003</v>
          </cell>
          <cell r="G103">
            <v>845025507.26814497</v>
          </cell>
          <cell r="H103">
            <v>898911499.66772997</v>
          </cell>
          <cell r="I103">
            <v>969023471.56306505</v>
          </cell>
          <cell r="J103">
            <v>971879330.41828299</v>
          </cell>
          <cell r="K103">
            <v>1130079687.0030401</v>
          </cell>
          <cell r="L103">
            <v>1194059507.3564701</v>
          </cell>
          <cell r="M103">
            <v>1313695451.39992</v>
          </cell>
          <cell r="N103">
            <v>1431879414.0254099</v>
          </cell>
          <cell r="O103">
            <v>1580547356.4312699</v>
          </cell>
          <cell r="P103">
            <v>1753793803.02265</v>
          </cell>
          <cell r="Q103">
            <v>2073233256.9969499</v>
          </cell>
          <cell r="R103">
            <v>2406641718.56253</v>
          </cell>
          <cell r="S103">
            <v>2868906956.55826</v>
          </cell>
          <cell r="T103">
            <v>3166423699.8533702</v>
          </cell>
          <cell r="U103">
            <v>3332518977.8193202</v>
          </cell>
          <cell r="V103">
            <v>4336117057.1609697</v>
          </cell>
          <cell r="W103">
            <v>5116186699.4934998</v>
          </cell>
          <cell r="X103">
            <v>6009860944.0982399</v>
          </cell>
          <cell r="Y103">
            <v>7043415251.5746298</v>
          </cell>
          <cell r="Z103">
            <v>6639891414.3525801</v>
          </cell>
          <cell r="AA103">
            <v>6177179941.4233103</v>
          </cell>
          <cell r="AB103">
            <v>5788798702.2093496</v>
          </cell>
          <cell r="AC103">
            <v>5987636718.3420496</v>
          </cell>
          <cell r="AD103">
            <v>5925734552.4153996</v>
          </cell>
          <cell r="AE103">
            <v>6999527333.4398098</v>
          </cell>
          <cell r="AF103">
            <v>7690920392.0354204</v>
          </cell>
          <cell r="AG103">
            <v>8031680877.4391298</v>
          </cell>
          <cell r="AH103">
            <v>8038979096.6436701</v>
          </cell>
          <cell r="AI103">
            <v>8206604541.7464304</v>
          </cell>
          <cell r="AJ103">
            <v>7777925490.4954596</v>
          </cell>
          <cell r="AK103">
            <v>7854637369.3228397</v>
          </cell>
          <cell r="AL103">
            <v>5391615365.5176697</v>
          </cell>
          <cell r="AM103">
            <v>6785821853.8249397</v>
          </cell>
          <cell r="AN103">
            <v>8726170867.8626003</v>
          </cell>
          <cell r="AO103">
            <v>11819958033.718</v>
          </cell>
          <cell r="AP103">
            <v>12943578955.523199</v>
          </cell>
          <cell r="AQ103">
            <v>13964091742.6329</v>
          </cell>
          <cell r="AR103">
            <v>12723150903.9305</v>
          </cell>
          <cell r="AS103">
            <v>12575576937.466801</v>
          </cell>
          <cell r="AT103">
            <v>12838507613.6252</v>
          </cell>
          <cell r="AU103">
            <v>13026157962.440201</v>
          </cell>
          <cell r="AV103">
            <v>14738442156.8305</v>
          </cell>
          <cell r="AW103">
            <v>15953749659.6096</v>
          </cell>
          <cell r="AX103">
            <v>18731703507.8176</v>
          </cell>
          <cell r="AY103">
            <v>25755442380.667099</v>
          </cell>
          <cell r="AZ103">
            <v>31814012977.2897</v>
          </cell>
          <cell r="BA103">
            <v>35863494628.863197</v>
          </cell>
          <cell r="BB103">
            <v>36976859034.026299</v>
          </cell>
          <cell r="BC103">
            <v>39852460837.123802</v>
          </cell>
          <cell r="BD103">
            <v>41961912289.946701</v>
          </cell>
          <cell r="BE103">
            <v>50187342658.666298</v>
          </cell>
          <cell r="BF103">
            <v>54496759862.940102</v>
          </cell>
          <cell r="BG103">
            <v>60579806470.948196</v>
          </cell>
          <cell r="BH103">
            <v>63195105853.114502</v>
          </cell>
          <cell r="BI103">
            <v>73804795654.178497</v>
          </cell>
          <cell r="BJ103">
            <v>80527208447.078598</v>
          </cell>
          <cell r="BK103">
            <v>90811072085.732101</v>
          </cell>
          <cell r="BL103">
            <v>98946140798.117493</v>
          </cell>
          <cell r="BM103">
            <v>99325669699.053497</v>
          </cell>
        </row>
        <row r="104">
          <cell r="B104" t="str">
            <v>KIR</v>
          </cell>
          <cell r="C104" t="str">
            <v>GNI (current US$)</v>
          </cell>
          <cell r="D104" t="str">
            <v>NY.GNP.MKTP.CD</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v>50360535.652970098</v>
          </cell>
          <cell r="X104">
            <v>48506595.126313403</v>
          </cell>
          <cell r="Y104">
            <v>38274880.437257998</v>
          </cell>
          <cell r="Z104">
            <v>38570443.576189399</v>
          </cell>
          <cell r="AA104">
            <v>44776346.485444799</v>
          </cell>
          <cell r="AB104">
            <v>45486486.486486502</v>
          </cell>
          <cell r="AC104">
            <v>38077226.853883304</v>
          </cell>
          <cell r="AD104">
            <v>31030099.867309202</v>
          </cell>
          <cell r="AE104">
            <v>31269385.026737999</v>
          </cell>
          <cell r="AF104">
            <v>37021425.570648402</v>
          </cell>
          <cell r="AG104">
            <v>45855926.244237803</v>
          </cell>
          <cell r="AH104">
            <v>45415941.799778603</v>
          </cell>
          <cell r="AI104">
            <v>48290531.574428201</v>
          </cell>
          <cell r="AJ104">
            <v>76090668.328400105</v>
          </cell>
          <cell r="AK104">
            <v>77311692.126909494</v>
          </cell>
          <cell r="AL104">
            <v>72685094.519243896</v>
          </cell>
          <cell r="AM104">
            <v>84330823.219769001</v>
          </cell>
          <cell r="AN104">
            <v>91397108.9696071</v>
          </cell>
          <cell r="AO104">
            <v>92821425.776664793</v>
          </cell>
          <cell r="AP104">
            <v>111954876.057592</v>
          </cell>
          <cell r="AQ104">
            <v>114489006.156552</v>
          </cell>
          <cell r="AR104">
            <v>111835483.870968</v>
          </cell>
          <cell r="AS104">
            <v>109311166.512059</v>
          </cell>
          <cell r="AT104">
            <v>109126926.657701</v>
          </cell>
          <cell r="AU104">
            <v>115661740.736716</v>
          </cell>
          <cell r="AV104">
            <v>136241649.91244599</v>
          </cell>
          <cell r="AW104">
            <v>149419399.91175199</v>
          </cell>
          <cell r="AX104">
            <v>159027796.86903399</v>
          </cell>
          <cell r="AY104">
            <v>154575301.20481899</v>
          </cell>
          <cell r="AZ104">
            <v>189293782.947034</v>
          </cell>
          <cell r="BA104">
            <v>205334675.390035</v>
          </cell>
          <cell r="BB104">
            <v>182742784.55608201</v>
          </cell>
          <cell r="BC104">
            <v>228607138.94296199</v>
          </cell>
          <cell r="BD104">
            <v>252855230.96951899</v>
          </cell>
          <cell r="BE104">
            <v>287994519.995125</v>
          </cell>
          <cell r="BF104">
            <v>304492317.970083</v>
          </cell>
          <cell r="BG104">
            <v>338116722.28997499</v>
          </cell>
          <cell r="BH104">
            <v>352227425.26052499</v>
          </cell>
          <cell r="BI104">
            <v>317972903.216717</v>
          </cell>
          <cell r="BJ104">
            <v>358337590.149266</v>
          </cell>
          <cell r="BK104">
            <v>366978598.64608502</v>
          </cell>
          <cell r="BL104">
            <v>375392118.221053</v>
          </cell>
          <cell r="BM104">
            <v>353038331.84226799</v>
          </cell>
        </row>
        <row r="105">
          <cell r="B105" t="str">
            <v>PRK</v>
          </cell>
          <cell r="C105" t="str">
            <v>GNI (current US$)</v>
          </cell>
          <cell r="D105" t="str">
            <v>NY.GNP.MKTP.CD</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row>
        <row r="106">
          <cell r="B106" t="str">
            <v>KOR</v>
          </cell>
          <cell r="C106" t="str">
            <v>GNI (current US$)</v>
          </cell>
          <cell r="D106" t="str">
            <v>NY.GNP.MKTP.CD</v>
          </cell>
          <cell r="E106">
            <v>3994151268.5980802</v>
          </cell>
          <cell r="F106">
            <v>2447608485.2136998</v>
          </cell>
          <cell r="G106">
            <v>2846549409.8054199</v>
          </cell>
          <cell r="H106">
            <v>4024707787.3376398</v>
          </cell>
          <cell r="I106">
            <v>3496022135.5658398</v>
          </cell>
          <cell r="J106">
            <v>3164789789.7897902</v>
          </cell>
          <cell r="K106">
            <v>4013488612.07341</v>
          </cell>
          <cell r="L106">
            <v>5004583764.60151</v>
          </cell>
          <cell r="M106">
            <v>6288342671.2452602</v>
          </cell>
          <cell r="N106">
            <v>7876943364.7973299</v>
          </cell>
          <cell r="O106">
            <v>9168598660.4842892</v>
          </cell>
          <cell r="P106">
            <v>9979259686.0146904</v>
          </cell>
          <cell r="Q106">
            <v>10885998625.5695</v>
          </cell>
          <cell r="R106">
            <v>13890088371.158899</v>
          </cell>
          <cell r="S106">
            <v>19614310084.802299</v>
          </cell>
          <cell r="T106">
            <v>21608057851.2397</v>
          </cell>
          <cell r="U106">
            <v>29770041322.313999</v>
          </cell>
          <cell r="V106">
            <v>38336570247.933899</v>
          </cell>
          <cell r="W106">
            <v>52122933884.297501</v>
          </cell>
          <cell r="X106">
            <v>66830371900.826401</v>
          </cell>
          <cell r="Y106">
            <v>64803516454.5709</v>
          </cell>
          <cell r="Z106">
            <v>71939562133.826706</v>
          </cell>
          <cell r="AA106">
            <v>77634321825.244797</v>
          </cell>
          <cell r="AB106">
            <v>86845117628.101807</v>
          </cell>
          <cell r="AC106">
            <v>96130921362.813004</v>
          </cell>
          <cell r="AD106">
            <v>99074963793.935806</v>
          </cell>
          <cell r="AE106">
            <v>114325372965.00101</v>
          </cell>
          <cell r="AF106">
            <v>146156314964.07599</v>
          </cell>
          <cell r="AG106">
            <v>198045032605.57501</v>
          </cell>
          <cell r="AH106">
            <v>246200965061.20999</v>
          </cell>
          <cell r="AI106">
            <v>283083672431.33301</v>
          </cell>
          <cell r="AJ106">
            <v>330312265630.32703</v>
          </cell>
          <cell r="AK106">
            <v>355053609171.84399</v>
          </cell>
          <cell r="AL106">
            <v>392141726986.18402</v>
          </cell>
          <cell r="AM106">
            <v>462449063414.02698</v>
          </cell>
          <cell r="AN106">
            <v>564503740583.71301</v>
          </cell>
          <cell r="AO106">
            <v>608029585431.04004</v>
          </cell>
          <cell r="AP106">
            <v>566694488536.61902</v>
          </cell>
          <cell r="AQ106">
            <v>378369534193.401</v>
          </cell>
          <cell r="AR106">
            <v>492025201460.27197</v>
          </cell>
          <cell r="AS106">
            <v>572322805404.25806</v>
          </cell>
          <cell r="AT106">
            <v>543951850905.11902</v>
          </cell>
          <cell r="AU106">
            <v>624918111406.85303</v>
          </cell>
          <cell r="AV106">
            <v>700265355275.63501</v>
          </cell>
          <cell r="AW106">
            <v>791800282890.37097</v>
          </cell>
          <cell r="AX106">
            <v>928297917610.36597</v>
          </cell>
          <cell r="AY106">
            <v>1050141051885.2</v>
          </cell>
          <cell r="AZ106">
            <v>1169640851893.23</v>
          </cell>
          <cell r="BA106">
            <v>1047605060656.6899</v>
          </cell>
          <cell r="BB106">
            <v>942479070896.604</v>
          </cell>
          <cell r="BC106">
            <v>1145775958189.0601</v>
          </cell>
          <cell r="BD106">
            <v>1260980566404.8301</v>
          </cell>
          <cell r="BE106">
            <v>1291795845928.72</v>
          </cell>
          <cell r="BF106">
            <v>1379532264105.98</v>
          </cell>
          <cell r="BG106">
            <v>1491502152786.6899</v>
          </cell>
          <cell r="BH106">
            <v>1470358106629.71</v>
          </cell>
          <cell r="BI106">
            <v>1505595667963.3701</v>
          </cell>
          <cell r="BJ106">
            <v>1630520867999.51</v>
          </cell>
          <cell r="BK106">
            <v>1731792367105.8601</v>
          </cell>
          <cell r="BL106">
            <v>1665675897739.53</v>
          </cell>
          <cell r="BM106">
            <v>1650493219408.71</v>
          </cell>
        </row>
        <row r="107">
          <cell r="B107" t="str">
            <v>XKX</v>
          </cell>
          <cell r="C107" t="str">
            <v>GNI (current US$)</v>
          </cell>
          <cell r="D107" t="str">
            <v>NY.GNP.MKTP.CD</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v>5421984766.3688297</v>
          </cell>
          <cell r="BB107">
            <v>5101747846.6240597</v>
          </cell>
          <cell r="BC107">
            <v>5432869282.7787399</v>
          </cell>
          <cell r="BD107">
            <v>6496679148.1069002</v>
          </cell>
          <cell r="BE107">
            <v>6361153154.3106804</v>
          </cell>
          <cell r="BF107">
            <v>6897148758.13521</v>
          </cell>
          <cell r="BG107">
            <v>7225812275.8070898</v>
          </cell>
          <cell r="BH107">
            <v>6398603905.4698801</v>
          </cell>
          <cell r="BI107">
            <v>6765304516.2718601</v>
          </cell>
          <cell r="BJ107">
            <v>7324712381.38274</v>
          </cell>
          <cell r="BK107">
            <v>8012045347.1894197</v>
          </cell>
          <cell r="BL107">
            <v>8079698835.64711</v>
          </cell>
          <cell r="BM107">
            <v>7903802849.0028496</v>
          </cell>
        </row>
        <row r="108">
          <cell r="B108" t="str">
            <v>KWT</v>
          </cell>
          <cell r="C108" t="str">
            <v>GNI (current US$)</v>
          </cell>
          <cell r="D108" t="str">
            <v>NY.GNP.MKTP.CD</v>
          </cell>
          <cell r="E108" t="str">
            <v>..</v>
          </cell>
          <cell r="F108" t="str">
            <v>..</v>
          </cell>
          <cell r="G108" t="str">
            <v>..</v>
          </cell>
          <cell r="H108" t="str">
            <v>..</v>
          </cell>
          <cell r="I108" t="str">
            <v>..</v>
          </cell>
          <cell r="J108">
            <v>1654998599.83198</v>
          </cell>
          <cell r="K108">
            <v>1909829179.5015399</v>
          </cell>
          <cell r="L108">
            <v>2055446653.5984299</v>
          </cell>
          <cell r="M108">
            <v>2220666479.9776001</v>
          </cell>
          <cell r="N108">
            <v>2352282273.87286</v>
          </cell>
          <cell r="O108">
            <v>2383926071.12854</v>
          </cell>
          <cell r="P108">
            <v>3133389778.1522002</v>
          </cell>
          <cell r="Q108">
            <v>3351778656.1264801</v>
          </cell>
          <cell r="R108">
            <v>4255225893.4591999</v>
          </cell>
          <cell r="S108">
            <v>12046384720.3274</v>
          </cell>
          <cell r="T108">
            <v>13175862413.7931</v>
          </cell>
          <cell r="U108">
            <v>14639876880.985001</v>
          </cell>
          <cell r="V108">
            <v>15901256454.9895</v>
          </cell>
          <cell r="W108">
            <v>18107233733.187901</v>
          </cell>
          <cell r="X108">
            <v>27904485528.220001</v>
          </cell>
          <cell r="Y108">
            <v>33485017388.087299</v>
          </cell>
          <cell r="Z108">
            <v>32642755380.200901</v>
          </cell>
          <cell r="AA108">
            <v>27604375824.939201</v>
          </cell>
          <cell r="AB108">
            <v>25898593825.0429</v>
          </cell>
          <cell r="AC108">
            <v>26712495440.7295</v>
          </cell>
          <cell r="AD108">
            <v>26106848404.255299</v>
          </cell>
          <cell r="AE108">
            <v>25642842050.9291</v>
          </cell>
          <cell r="AF108">
            <v>27948798708.288502</v>
          </cell>
          <cell r="AG108">
            <v>27950537275.985699</v>
          </cell>
          <cell r="AH108">
            <v>32729408441.116402</v>
          </cell>
          <cell r="AI108">
            <v>26177777777.777802</v>
          </cell>
          <cell r="AJ108">
            <v>16418571579.3176</v>
          </cell>
          <cell r="AK108">
            <v>25100545671.438301</v>
          </cell>
          <cell r="AL108">
            <v>27765894701.986801</v>
          </cell>
          <cell r="AM108">
            <v>28016834006.734001</v>
          </cell>
          <cell r="AN108">
            <v>32072721179.624699</v>
          </cell>
          <cell r="AO108">
            <v>36673680694.722801</v>
          </cell>
          <cell r="AP108">
            <v>36632706890.867104</v>
          </cell>
          <cell r="AQ108">
            <v>31806102362.2047</v>
          </cell>
          <cell r="AR108">
            <v>35232260183.968498</v>
          </cell>
          <cell r="AS108">
            <v>44411016949.152496</v>
          </cell>
          <cell r="AT108">
            <v>39788066514.5093</v>
          </cell>
          <cell r="AU108">
            <v>41480750246.791702</v>
          </cell>
          <cell r="AV108">
            <v>51235570469.798698</v>
          </cell>
          <cell r="AW108">
            <v>65567356633.864899</v>
          </cell>
          <cell r="AX108">
            <v>89654794520.548004</v>
          </cell>
          <cell r="AY108">
            <v>114715713301.172</v>
          </cell>
          <cell r="AZ108">
            <v>127035890218.15601</v>
          </cell>
          <cell r="BA108">
            <v>158139136904.76199</v>
          </cell>
          <cell r="BB108">
            <v>112891591382.905</v>
          </cell>
          <cell r="BC108">
            <v>124840195394.278</v>
          </cell>
          <cell r="BD108">
            <v>163057246376.81201</v>
          </cell>
          <cell r="BE108">
            <v>183220078599.5</v>
          </cell>
          <cell r="BF108">
            <v>187415726375.17599</v>
          </cell>
          <cell r="BG108">
            <v>178270906535.48801</v>
          </cell>
          <cell r="BH108">
            <v>127259222333.00101</v>
          </cell>
          <cell r="BI108">
            <v>122200264812.976</v>
          </cell>
          <cell r="BJ108">
            <v>139487087701.94501</v>
          </cell>
          <cell r="BK108">
            <v>156516857947.01999</v>
          </cell>
          <cell r="BL108">
            <v>154471896903.82101</v>
          </cell>
          <cell r="BM108" t="str">
            <v>..</v>
          </cell>
        </row>
        <row r="109">
          <cell r="B109" t="str">
            <v>KGZ</v>
          </cell>
          <cell r="C109" t="str">
            <v>GNI (current US$)</v>
          </cell>
          <cell r="D109" t="str">
            <v>NY.GNP.MKTP.CD</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v>2566388888.8888898</v>
          </cell>
          <cell r="AK109">
            <v>2316562500</v>
          </cell>
          <cell r="AL109">
            <v>2022612878.7878799</v>
          </cell>
          <cell r="AM109">
            <v>1647641902.0978999</v>
          </cell>
          <cell r="AN109">
            <v>1621583220.1646099</v>
          </cell>
          <cell r="AO109">
            <v>1788170586.16784</v>
          </cell>
          <cell r="AP109">
            <v>1703264035.71943</v>
          </cell>
          <cell r="AQ109">
            <v>1566763747.9053099</v>
          </cell>
          <cell r="AR109">
            <v>1175061487.01457</v>
          </cell>
          <cell r="AS109">
            <v>1287688498.06778</v>
          </cell>
          <cell r="AT109">
            <v>1466016371.3115001</v>
          </cell>
          <cell r="AU109">
            <v>1547843103.8780401</v>
          </cell>
          <cell r="AV109">
            <v>1857008090.4964099</v>
          </cell>
          <cell r="AW109">
            <v>2109434585.0034001</v>
          </cell>
          <cell r="AX109">
            <v>2372148025.6901698</v>
          </cell>
          <cell r="AY109">
            <v>2786068889.1711402</v>
          </cell>
          <cell r="AZ109">
            <v>3752066172.1553302</v>
          </cell>
          <cell r="BA109">
            <v>4933257785.4576702</v>
          </cell>
          <cell r="BB109">
            <v>4508662256.05478</v>
          </cell>
          <cell r="BC109">
            <v>4489257795.7240696</v>
          </cell>
          <cell r="BD109">
            <v>5538866118.8152704</v>
          </cell>
          <cell r="BE109">
            <v>6435839934.4743605</v>
          </cell>
          <cell r="BF109">
            <v>6912027591.9162798</v>
          </cell>
          <cell r="BG109">
            <v>7159296566.33883</v>
          </cell>
          <cell r="BH109">
            <v>6417478339.9858198</v>
          </cell>
          <cell r="BI109">
            <v>6455292065.5490103</v>
          </cell>
          <cell r="BJ109">
            <v>7331334800.4187803</v>
          </cell>
          <cell r="BK109">
            <v>8020107852.5224304</v>
          </cell>
          <cell r="BL109">
            <v>8091718899.6020899</v>
          </cell>
          <cell r="BM109">
            <v>7406338578.6152296</v>
          </cell>
        </row>
        <row r="110">
          <cell r="B110" t="str">
            <v>LAO</v>
          </cell>
          <cell r="C110" t="str">
            <v>GNI (current US$)</v>
          </cell>
          <cell r="D110" t="str">
            <v>NY.GNP.MKTP.CD</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v>1757142805.7142899</v>
          </cell>
          <cell r="AD110">
            <v>2366666615.5555601</v>
          </cell>
          <cell r="AE110">
            <v>1776842041.0526299</v>
          </cell>
          <cell r="AF110">
            <v>1087273103.6963899</v>
          </cell>
          <cell r="AG110">
            <v>598961269.29787898</v>
          </cell>
          <cell r="AH110">
            <v>714046821.09379697</v>
          </cell>
          <cell r="AI110">
            <v>865559856.16390002</v>
          </cell>
          <cell r="AJ110">
            <v>1028087972.31085</v>
          </cell>
          <cell r="AK110">
            <v>1127806944.6151299</v>
          </cell>
          <cell r="AL110">
            <v>1327748654.6596899</v>
          </cell>
          <cell r="AM110">
            <v>1541794966.48878</v>
          </cell>
          <cell r="AN110">
            <v>1757533989.1138201</v>
          </cell>
          <cell r="AO110">
            <v>1866668529.67362</v>
          </cell>
          <cell r="AP110">
            <v>1704582553.2945001</v>
          </cell>
          <cell r="AQ110">
            <v>1243177349.13798</v>
          </cell>
          <cell r="AR110">
            <v>1431637113.36748</v>
          </cell>
          <cell r="AS110">
            <v>1660408278.86519</v>
          </cell>
          <cell r="AT110">
            <v>1699625816.62537</v>
          </cell>
          <cell r="AU110">
            <v>1693883046.6341901</v>
          </cell>
          <cell r="AV110">
            <v>1909955902.1681199</v>
          </cell>
          <cell r="AW110">
            <v>2269398119.8821001</v>
          </cell>
          <cell r="AX110">
            <v>2669821117.2238202</v>
          </cell>
          <cell r="AY110">
            <v>3264394566.0463901</v>
          </cell>
          <cell r="AZ110">
            <v>4075572605.8943701</v>
          </cell>
          <cell r="BA110">
            <v>5190805283.3008003</v>
          </cell>
          <cell r="BB110">
            <v>5670990840.9711704</v>
          </cell>
          <cell r="BC110">
            <v>6679604405.8147602</v>
          </cell>
          <cell r="BD110">
            <v>8157262170.8351698</v>
          </cell>
          <cell r="BE110">
            <v>9584412356.3618908</v>
          </cell>
          <cell r="BF110">
            <v>11338527568.985001</v>
          </cell>
          <cell r="BG110">
            <v>12693403959.542</v>
          </cell>
          <cell r="BH110">
            <v>13784825970.2668</v>
          </cell>
          <cell r="BI110">
            <v>15228402733.3689</v>
          </cell>
          <cell r="BJ110">
            <v>16170189391.764999</v>
          </cell>
          <cell r="BK110">
            <v>17295080421.790401</v>
          </cell>
          <cell r="BL110">
            <v>17774087075.515499</v>
          </cell>
          <cell r="BM110">
            <v>18109241902.122398</v>
          </cell>
        </row>
        <row r="111">
          <cell r="B111" t="str">
            <v>LVA</v>
          </cell>
          <cell r="C111" t="str">
            <v>GNI (current US$)</v>
          </cell>
          <cell r="D111" t="str">
            <v>NY.GNP.MKTP.CD</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v>5831289218.4826002</v>
          </cell>
          <cell r="AO111">
            <v>6013427769.2700396</v>
          </cell>
          <cell r="AP111">
            <v>6576460198.4031</v>
          </cell>
          <cell r="AQ111">
            <v>7213081139.0444403</v>
          </cell>
          <cell r="AR111">
            <v>7462203939.4667301</v>
          </cell>
          <cell r="AS111">
            <v>7949005793.7427597</v>
          </cell>
          <cell r="AT111">
            <v>8387665099.6194296</v>
          </cell>
          <cell r="AU111">
            <v>9573348112.7785397</v>
          </cell>
          <cell r="AV111">
            <v>11714710367.728399</v>
          </cell>
          <cell r="AW111">
            <v>14137886041.3685</v>
          </cell>
          <cell r="AX111">
            <v>16827637834.474199</v>
          </cell>
          <cell r="AY111">
            <v>21030821419.613701</v>
          </cell>
          <cell r="AZ111">
            <v>30131969634.796902</v>
          </cell>
          <cell r="BA111">
            <v>35399410904.838501</v>
          </cell>
          <cell r="BB111">
            <v>28250467055.879902</v>
          </cell>
          <cell r="BC111">
            <v>24196593794.651299</v>
          </cell>
          <cell r="BD111">
            <v>27444998699.803398</v>
          </cell>
          <cell r="BE111">
            <v>27972506725.584</v>
          </cell>
          <cell r="BF111">
            <v>30136848287.939701</v>
          </cell>
          <cell r="BG111">
            <v>31385164286.9506</v>
          </cell>
          <cell r="BH111">
            <v>27124277626.522499</v>
          </cell>
          <cell r="BI111">
            <v>28024419866.781101</v>
          </cell>
          <cell r="BJ111">
            <v>30332113166.1241</v>
          </cell>
          <cell r="BK111">
            <v>33854261562.717602</v>
          </cell>
          <cell r="BL111">
            <v>33795644696.870499</v>
          </cell>
          <cell r="BM111">
            <v>33698927959.294998</v>
          </cell>
        </row>
        <row r="112">
          <cell r="B112" t="str">
            <v>LBN</v>
          </cell>
          <cell r="C112" t="str">
            <v>GNI (current US$)</v>
          </cell>
          <cell r="D112" t="str">
            <v>NY.GNP.MKTP.CD</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v>3408013973.7340698</v>
          </cell>
          <cell r="AI112">
            <v>3460782102.57967</v>
          </cell>
          <cell r="AJ112">
            <v>4791341406.0353804</v>
          </cell>
          <cell r="AK112">
            <v>6086038174.4405298</v>
          </cell>
          <cell r="AL112">
            <v>8112631498.7136497</v>
          </cell>
          <cell r="AM112">
            <v>9925908037.2001705</v>
          </cell>
          <cell r="AN112">
            <v>12210795535.894899</v>
          </cell>
          <cell r="AO112">
            <v>14089100532.964199</v>
          </cell>
          <cell r="AP112">
            <v>16069811718.0903</v>
          </cell>
          <cell r="AQ112">
            <v>17394153602.7206</v>
          </cell>
          <cell r="AR112">
            <v>17599055817.445301</v>
          </cell>
          <cell r="AS112">
            <v>17581364842.454399</v>
          </cell>
          <cell r="AT112">
            <v>17575751243.781101</v>
          </cell>
          <cell r="AU112">
            <v>18281858805.9701</v>
          </cell>
          <cell r="AV112">
            <v>16761628739.635201</v>
          </cell>
          <cell r="AW112">
            <v>20345357992.0602</v>
          </cell>
          <cell r="AX112">
            <v>21299316498.946201</v>
          </cell>
          <cell r="AY112">
            <v>22173609851.552601</v>
          </cell>
          <cell r="AZ112">
            <v>25572375014.644901</v>
          </cell>
          <cell r="BA112">
            <v>29551796105.618198</v>
          </cell>
          <cell r="BB112">
            <v>35173882928.6222</v>
          </cell>
          <cell r="BC112">
            <v>37935417042.300201</v>
          </cell>
          <cell r="BD112">
            <v>39687755961.207199</v>
          </cell>
          <cell r="BE112">
            <v>43831811893.021797</v>
          </cell>
          <cell r="BF112">
            <v>46618056581.921097</v>
          </cell>
          <cell r="BG112">
            <v>47617439178.915001</v>
          </cell>
          <cell r="BH112">
            <v>49529998216.7173</v>
          </cell>
          <cell r="BI112">
            <v>50574504505.723297</v>
          </cell>
          <cell r="BJ112">
            <v>53115571398.412903</v>
          </cell>
          <cell r="BK112">
            <v>54962134857.121597</v>
          </cell>
          <cell r="BL112">
            <v>51334973749.107903</v>
          </cell>
          <cell r="BM112">
            <v>31004850691.269001</v>
          </cell>
        </row>
        <row r="113">
          <cell r="B113" t="str">
            <v>LSO</v>
          </cell>
          <cell r="C113" t="str">
            <v>GNI (current US$)</v>
          </cell>
          <cell r="D113" t="str">
            <v>NY.GNP.MKTP.CD</v>
          </cell>
          <cell r="E113" t="str">
            <v>..</v>
          </cell>
          <cell r="F113" t="str">
            <v>..</v>
          </cell>
          <cell r="G113" t="str">
            <v>..</v>
          </cell>
          <cell r="H113" t="str">
            <v>..</v>
          </cell>
          <cell r="I113" t="str">
            <v>..</v>
          </cell>
          <cell r="J113" t="str">
            <v>..</v>
          </cell>
          <cell r="K113">
            <v>71818563.628727406</v>
          </cell>
          <cell r="L113">
            <v>74100517.989640206</v>
          </cell>
          <cell r="M113">
            <v>77824443.511129797</v>
          </cell>
          <cell r="N113">
            <v>83466330.673386499</v>
          </cell>
          <cell r="O113">
            <v>88478230.435391307</v>
          </cell>
          <cell r="P113">
            <v>98154362.416107401</v>
          </cell>
          <cell r="Q113">
            <v>107844412.64472499</v>
          </cell>
          <cell r="R113">
            <v>163976945.244957</v>
          </cell>
          <cell r="S113">
            <v>239293598.233996</v>
          </cell>
          <cell r="T113">
            <v>250896146.04462501</v>
          </cell>
          <cell r="U113">
            <v>286223551.05795801</v>
          </cell>
          <cell r="V113">
            <v>358900643.97424102</v>
          </cell>
          <cell r="W113">
            <v>444342226.31094801</v>
          </cell>
          <cell r="X113">
            <v>503800475.05938202</v>
          </cell>
          <cell r="Y113">
            <v>694786851.56651294</v>
          </cell>
          <cell r="Z113">
            <v>724558404.55840504</v>
          </cell>
          <cell r="AA113">
            <v>695034905.13906801</v>
          </cell>
          <cell r="AB113">
            <v>769317296.472489</v>
          </cell>
          <cell r="AC113">
            <v>665548430.82762802</v>
          </cell>
          <cell r="AD113">
            <v>501633283.97720599</v>
          </cell>
          <cell r="AE113">
            <v>587684113.78555799</v>
          </cell>
          <cell r="AF113">
            <v>738946611.00196505</v>
          </cell>
          <cell r="AG113">
            <v>810086430.61359096</v>
          </cell>
          <cell r="AH113">
            <v>815061120.21962094</v>
          </cell>
          <cell r="AI113">
            <v>957269702.005952</v>
          </cell>
          <cell r="AJ113">
            <v>1079640060.84091</v>
          </cell>
          <cell r="AK113">
            <v>1211778681.62693</v>
          </cell>
          <cell r="AL113">
            <v>1167632708.0209301</v>
          </cell>
          <cell r="AM113">
            <v>1207496873.9439001</v>
          </cell>
          <cell r="AN113">
            <v>1339138788.56387</v>
          </cell>
          <cell r="AO113">
            <v>1266690740.35308</v>
          </cell>
          <cell r="AP113">
            <v>1321655186.6319399</v>
          </cell>
          <cell r="AQ113">
            <v>1192068339.27247</v>
          </cell>
          <cell r="AR113">
            <v>1195118454.86537</v>
          </cell>
          <cell r="AS113">
            <v>1130529943.2260301</v>
          </cell>
          <cell r="AT113">
            <v>1194386614.1640799</v>
          </cell>
          <cell r="AU113">
            <v>1123290825.0875199</v>
          </cell>
          <cell r="AV113">
            <v>1654878422.1449599</v>
          </cell>
          <cell r="AW113">
            <v>2072881339.4018199</v>
          </cell>
          <cell r="AX113">
            <v>2183409541.9307199</v>
          </cell>
          <cell r="AY113">
            <v>2243386088.7543402</v>
          </cell>
          <cell r="AZ113">
            <v>2344565248.2470798</v>
          </cell>
          <cell r="BA113">
            <v>2392563138.5270901</v>
          </cell>
          <cell r="BB113">
            <v>2293067857.0164199</v>
          </cell>
          <cell r="BC113">
            <v>2872100453.5643101</v>
          </cell>
          <cell r="BD113">
            <v>3089102108.84447</v>
          </cell>
          <cell r="BE113">
            <v>2892666061.8606901</v>
          </cell>
          <cell r="BF113">
            <v>2718881440.9484701</v>
          </cell>
          <cell r="BG113">
            <v>2719621955.8266602</v>
          </cell>
          <cell r="BH113">
            <v>2639110142.7238998</v>
          </cell>
          <cell r="BI113">
            <v>2400945714.7713799</v>
          </cell>
          <cell r="BJ113">
            <v>2620773521.0210199</v>
          </cell>
          <cell r="BK113">
            <v>2864843190.5938501</v>
          </cell>
          <cell r="BL113">
            <v>2690392209.5180101</v>
          </cell>
          <cell r="BM113">
            <v>2098178811.6455801</v>
          </cell>
        </row>
        <row r="114">
          <cell r="B114" t="str">
            <v>LBR</v>
          </cell>
          <cell r="C114" t="str">
            <v>GNI (current US$)</v>
          </cell>
          <cell r="D114" t="str">
            <v>NY.GNP.MKTP.CD</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v>772600000</v>
          </cell>
          <cell r="AT114">
            <v>749500300</v>
          </cell>
          <cell r="AU114">
            <v>763200400</v>
          </cell>
          <cell r="AV114">
            <v>595100100</v>
          </cell>
          <cell r="AW114">
            <v>730700200</v>
          </cell>
          <cell r="AX114">
            <v>793400200</v>
          </cell>
          <cell r="AY114">
            <v>966999900</v>
          </cell>
          <cell r="AZ114">
            <v>1218799900</v>
          </cell>
          <cell r="BA114">
            <v>1566400000</v>
          </cell>
          <cell r="BB114">
            <v>1623399900</v>
          </cell>
          <cell r="BC114">
            <v>1818599900</v>
          </cell>
          <cell r="BD114">
            <v>2273155200</v>
          </cell>
          <cell r="BE114">
            <v>2529644000</v>
          </cell>
          <cell r="BF114">
            <v>2875704600</v>
          </cell>
          <cell r="BG114">
            <v>2892652000</v>
          </cell>
          <cell r="BH114">
            <v>2947075700</v>
          </cell>
          <cell r="BI114">
            <v>3117419600</v>
          </cell>
          <cell r="BJ114">
            <v>3087813500</v>
          </cell>
          <cell r="BK114">
            <v>2985754800</v>
          </cell>
          <cell r="BL114">
            <v>2965834700</v>
          </cell>
          <cell r="BM114">
            <v>2840688200</v>
          </cell>
        </row>
        <row r="115">
          <cell r="B115" t="str">
            <v>LBY</v>
          </cell>
          <cell r="C115" t="str">
            <v>GNI (current US$)</v>
          </cell>
          <cell r="D115" t="str">
            <v>NY.GNP.MKTP.CD</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v>20746889763.779499</v>
          </cell>
          <cell r="AV115">
            <v>26805625000</v>
          </cell>
          <cell r="AW115">
            <v>32876307692.307701</v>
          </cell>
          <cell r="AX115">
            <v>47044214307.551201</v>
          </cell>
          <cell r="AY115">
            <v>55877359926.918404</v>
          </cell>
          <cell r="AZ115">
            <v>68348645651.829597</v>
          </cell>
          <cell r="BA115">
            <v>87845701209.545593</v>
          </cell>
          <cell r="BB115">
            <v>63603510171.519699</v>
          </cell>
          <cell r="BC115">
            <v>74744237448.689606</v>
          </cell>
          <cell r="BD115">
            <v>34754942002.940697</v>
          </cell>
          <cell r="BE115">
            <v>79941762542.601196</v>
          </cell>
          <cell r="BF115">
            <v>65088464260.438797</v>
          </cell>
          <cell r="BG115">
            <v>41724850675.8881</v>
          </cell>
          <cell r="BH115">
            <v>29030301187.373299</v>
          </cell>
          <cell r="BI115">
            <v>26947934407.364799</v>
          </cell>
          <cell r="BJ115">
            <v>39165350121.968697</v>
          </cell>
          <cell r="BK115">
            <v>53521075531.135498</v>
          </cell>
          <cell r="BL115">
            <v>53579026897.489098</v>
          </cell>
          <cell r="BM115">
            <v>26921454473.928902</v>
          </cell>
        </row>
        <row r="116">
          <cell r="B116" t="str">
            <v>LIE</v>
          </cell>
          <cell r="C116" t="str">
            <v>GNI (current US$)</v>
          </cell>
          <cell r="D116" t="str">
            <v>NY.GNP.MKTP.CD</v>
          </cell>
          <cell r="E116" t="str">
            <v>..</v>
          </cell>
          <cell r="F116" t="str">
            <v>..</v>
          </cell>
          <cell r="G116" t="str">
            <v>..</v>
          </cell>
          <cell r="H116" t="str">
            <v>..</v>
          </cell>
          <cell r="I116" t="str">
            <v>..</v>
          </cell>
          <cell r="J116" t="str">
            <v>..</v>
          </cell>
          <cell r="K116" t="str">
            <v>..</v>
          </cell>
          <cell r="L116" t="str">
            <v>..</v>
          </cell>
          <cell r="M116" t="str">
            <v>..</v>
          </cell>
          <cell r="N116" t="str">
            <v>..</v>
          </cell>
          <cell r="O116">
            <v>88559570.089183599</v>
          </cell>
          <cell r="P116">
            <v>103097268.922809</v>
          </cell>
          <cell r="Q116">
            <v>122808074.989527</v>
          </cell>
          <cell r="R116">
            <v>163096720.171891</v>
          </cell>
          <cell r="S116">
            <v>190670716.970999</v>
          </cell>
          <cell r="T116">
            <v>242179483.20613599</v>
          </cell>
          <cell r="U116">
            <v>267840014.40230399</v>
          </cell>
          <cell r="V116">
            <v>298312918.66028702</v>
          </cell>
          <cell r="W116">
            <v>429456152.12528002</v>
          </cell>
          <cell r="X116">
            <v>494586936.90984499</v>
          </cell>
          <cell r="Y116">
            <v>525569851.40538299</v>
          </cell>
          <cell r="Z116">
            <v>502920171.06200999</v>
          </cell>
          <cell r="AA116">
            <v>513173668.91592401</v>
          </cell>
          <cell r="AB116">
            <v>515084226.57329297</v>
          </cell>
          <cell r="AC116">
            <v>494033238.285739</v>
          </cell>
          <cell r="AD116">
            <v>520042977.49379301</v>
          </cell>
          <cell r="AE116">
            <v>766054533.32592106</v>
          </cell>
          <cell r="AF116">
            <v>1034862057.40343</v>
          </cell>
          <cell r="AG116">
            <v>1141916216.7703099</v>
          </cell>
          <cell r="AH116">
            <v>1100872608.3501401</v>
          </cell>
          <cell r="AI116">
            <v>1397189317.59286</v>
          </cell>
          <cell r="AJ116">
            <v>1458804463.0404501</v>
          </cell>
          <cell r="AK116">
            <v>1603338998.71995</v>
          </cell>
          <cell r="AL116">
            <v>1644529845.69572</v>
          </cell>
          <cell r="AM116">
            <v>1914846676.9028299</v>
          </cell>
          <cell r="AN116">
            <v>2386986215.6448202</v>
          </cell>
          <cell r="AO116">
            <v>2461267394.82201</v>
          </cell>
          <cell r="AP116">
            <v>2259156273.6856599</v>
          </cell>
          <cell r="AQ116">
            <v>2437370671.8168001</v>
          </cell>
          <cell r="AR116">
            <v>2575822127.5462699</v>
          </cell>
          <cell r="AS116">
            <v>2434805779.2515402</v>
          </cell>
          <cell r="AT116">
            <v>2241052382.0810599</v>
          </cell>
          <cell r="AU116">
            <v>2372898755.29321</v>
          </cell>
          <cell r="AV116">
            <v>2627236949.5804601</v>
          </cell>
          <cell r="AW116">
            <v>2858142340.16888</v>
          </cell>
          <cell r="AX116">
            <v>3126084163.1866398</v>
          </cell>
          <cell r="AY116">
            <v>3506859148.1894999</v>
          </cell>
          <cell r="AZ116">
            <v>4120459846.7177601</v>
          </cell>
          <cell r="BA116">
            <v>4569661157.7878304</v>
          </cell>
          <cell r="BB116">
            <v>3869313482.2167101</v>
          </cell>
          <cell r="BC116">
            <v>4285933454.7895298</v>
          </cell>
          <cell r="BD116">
            <v>4532319819.8198204</v>
          </cell>
          <cell r="BE116">
            <v>3807827663.4317999</v>
          </cell>
          <cell r="BF116">
            <v>5110583665.9833899</v>
          </cell>
          <cell r="BG116">
            <v>5373935821.8729496</v>
          </cell>
          <cell r="BH116">
            <v>5162406483.7905197</v>
          </cell>
          <cell r="BI116">
            <v>5985894053.1763697</v>
          </cell>
          <cell r="BJ116">
            <v>6748654412.5114298</v>
          </cell>
          <cell r="BK116">
            <v>7054504550.5675402</v>
          </cell>
          <cell r="BL116" t="str">
            <v>..</v>
          </cell>
          <cell r="BM116" t="str">
            <v>..</v>
          </cell>
        </row>
        <row r="117">
          <cell r="B117" t="str">
            <v>LTU</v>
          </cell>
          <cell r="C117" t="str">
            <v>GNI (current US$)</v>
          </cell>
          <cell r="D117" t="str">
            <v>NY.GNP.MKTP.CD</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v>7853767866.1936102</v>
          </cell>
          <cell r="AO117">
            <v>8295451877.4277096</v>
          </cell>
          <cell r="AP117">
            <v>9926974536.0379791</v>
          </cell>
          <cell r="AQ117">
            <v>10988111350.8848</v>
          </cell>
          <cell r="AR117">
            <v>10710222701.769501</v>
          </cell>
          <cell r="AS117">
            <v>11317713422.5291</v>
          </cell>
          <cell r="AT117">
            <v>12072044022.442801</v>
          </cell>
          <cell r="AU117">
            <v>14108872921.9498</v>
          </cell>
          <cell r="AV117">
            <v>18315975183.305099</v>
          </cell>
          <cell r="AW117">
            <v>22097516145.057098</v>
          </cell>
          <cell r="AX117">
            <v>25663070033.5863</v>
          </cell>
          <cell r="AY117">
            <v>29573019199.397701</v>
          </cell>
          <cell r="AZ117">
            <v>38144798850.574699</v>
          </cell>
          <cell r="BA117">
            <v>46287801843.992401</v>
          </cell>
          <cell r="BB117">
            <v>38232906588.823997</v>
          </cell>
          <cell r="BC117">
            <v>36887284560.475998</v>
          </cell>
          <cell r="BD117">
            <v>42261715400.6605</v>
          </cell>
          <cell r="BE117">
            <v>41584616578.1745</v>
          </cell>
          <cell r="BF117">
            <v>45495776757.2547</v>
          </cell>
          <cell r="BG117">
            <v>47960568992.363602</v>
          </cell>
          <cell r="BH117">
            <v>39924629523.420502</v>
          </cell>
          <cell r="BI117">
            <v>41485060525.280098</v>
          </cell>
          <cell r="BJ117">
            <v>45918265065.1492</v>
          </cell>
          <cell r="BK117">
            <v>52058574717.276802</v>
          </cell>
          <cell r="BL117">
            <v>52790650850.627403</v>
          </cell>
          <cell r="BM117">
            <v>54911765539.800903</v>
          </cell>
        </row>
        <row r="118">
          <cell r="B118" t="str">
            <v>LUX</v>
          </cell>
          <cell r="C118" t="str">
            <v>GNI (current US$)</v>
          </cell>
          <cell r="D118" t="str">
            <v>NY.GNP.MKTP.CD</v>
          </cell>
          <cell r="E118">
            <v>492035662.52256101</v>
          </cell>
          <cell r="F118">
            <v>493161048.91953999</v>
          </cell>
          <cell r="G118">
            <v>520303076.21746898</v>
          </cell>
          <cell r="H118">
            <v>555508642.91883194</v>
          </cell>
          <cell r="I118">
            <v>632541612.87616897</v>
          </cell>
          <cell r="J118">
            <v>646031223.83392799</v>
          </cell>
          <cell r="K118">
            <v>677056363.46092403</v>
          </cell>
          <cell r="L118">
            <v>682465653.61680901</v>
          </cell>
          <cell r="M118">
            <v>747418082.09962404</v>
          </cell>
          <cell r="N118">
            <v>866872413.547598</v>
          </cell>
          <cell r="O118">
            <v>1099260185.5586901</v>
          </cell>
          <cell r="P118">
            <v>1150373916.6322701</v>
          </cell>
          <cell r="Q118">
            <v>1460639721.3820901</v>
          </cell>
          <cell r="R118">
            <v>1988041813.28917</v>
          </cell>
          <cell r="S118">
            <v>2460608947.8044701</v>
          </cell>
          <cell r="T118">
            <v>2587295162.8825302</v>
          </cell>
          <cell r="U118">
            <v>2911346917.4503698</v>
          </cell>
          <cell r="V118">
            <v>3284764209.3415899</v>
          </cell>
          <cell r="W118">
            <v>4090814653.5160799</v>
          </cell>
          <cell r="X118">
            <v>4783285635.6631804</v>
          </cell>
          <cell r="Y118">
            <v>5310504897.2271996</v>
          </cell>
          <cell r="Z118">
            <v>4633382225.1195097</v>
          </cell>
          <cell r="AA118">
            <v>4623996998.0575705</v>
          </cell>
          <cell r="AB118">
            <v>4659143195.2662697</v>
          </cell>
          <cell r="AC118">
            <v>4515406311.0862904</v>
          </cell>
          <cell r="AD118">
            <v>4692131258.9170504</v>
          </cell>
          <cell r="AE118">
            <v>6684345313.3465796</v>
          </cell>
          <cell r="AF118">
            <v>8413480280.9292297</v>
          </cell>
          <cell r="AG118">
            <v>9341786066.9226608</v>
          </cell>
          <cell r="AH118">
            <v>9854732800.9827995</v>
          </cell>
          <cell r="AI118">
            <v>12743261709.319201</v>
          </cell>
          <cell r="AJ118">
            <v>13898135853.5145</v>
          </cell>
          <cell r="AK118">
            <v>15508292346.298599</v>
          </cell>
          <cell r="AL118">
            <v>15614277052.2388</v>
          </cell>
          <cell r="AM118">
            <v>16720042199.180099</v>
          </cell>
          <cell r="AN118">
            <v>20310578817.734001</v>
          </cell>
          <cell r="AO118">
            <v>20323997394.136799</v>
          </cell>
          <cell r="AP118">
            <v>18904269282.814602</v>
          </cell>
          <cell r="AQ118">
            <v>18886532562.791698</v>
          </cell>
          <cell r="AR118">
            <v>20194415086.298698</v>
          </cell>
          <cell r="AS118">
            <v>18735865118.850201</v>
          </cell>
          <cell r="AT118">
            <v>19033034451.9016</v>
          </cell>
          <cell r="AU118">
            <v>19855743459.439098</v>
          </cell>
          <cell r="AV118">
            <v>23967075620.767502</v>
          </cell>
          <cell r="AW118">
            <v>31583384653.588299</v>
          </cell>
          <cell r="AX118">
            <v>34296718069.8918</v>
          </cell>
          <cell r="AY118">
            <v>34331709948.563499</v>
          </cell>
          <cell r="AZ118">
            <v>43803289077.470596</v>
          </cell>
          <cell r="BA118">
            <v>45871661051.706497</v>
          </cell>
          <cell r="BB118">
            <v>34598985829.397102</v>
          </cell>
          <cell r="BC118">
            <v>38165807113.942497</v>
          </cell>
          <cell r="BD118">
            <v>42712275813.438202</v>
          </cell>
          <cell r="BE118">
            <v>45918147001.4972</v>
          </cell>
          <cell r="BF118">
            <v>46766342161.042198</v>
          </cell>
          <cell r="BG118">
            <v>49913448088.6978</v>
          </cell>
          <cell r="BH118">
            <v>38642437420.659599</v>
          </cell>
          <cell r="BI118">
            <v>41197846022.245598</v>
          </cell>
          <cell r="BJ118">
            <v>46914943643.398903</v>
          </cell>
          <cell r="BK118">
            <v>50448167554.790199</v>
          </cell>
          <cell r="BL118">
            <v>46472073640.784203</v>
          </cell>
          <cell r="BM118">
            <v>51803961862.568199</v>
          </cell>
        </row>
        <row r="119">
          <cell r="B119" t="str">
            <v>MAC</v>
          </cell>
          <cell r="C119" t="str">
            <v>GNI (current US$)</v>
          </cell>
          <cell r="D119" t="str">
            <v>NY.GNP.MKTP.CD</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v>1149844196.7297399</v>
          </cell>
          <cell r="AB119">
            <v>1147492819.0562999</v>
          </cell>
          <cell r="AC119">
            <v>1325550501.53073</v>
          </cell>
          <cell r="AD119">
            <v>1368971683.25249</v>
          </cell>
          <cell r="AE119">
            <v>1556366270.65342</v>
          </cell>
          <cell r="AF119">
            <v>2001094509.2262001</v>
          </cell>
          <cell r="AG119">
            <v>2327882894.3113699</v>
          </cell>
          <cell r="AH119">
            <v>2746049378.2596202</v>
          </cell>
          <cell r="AI119">
            <v>3263340294.2276502</v>
          </cell>
          <cell r="AJ119">
            <v>3788827892.5077801</v>
          </cell>
          <cell r="AK119">
            <v>4957089422.1240997</v>
          </cell>
          <cell r="AL119">
            <v>5672099427.6821098</v>
          </cell>
          <cell r="AM119">
            <v>6295496375.7647305</v>
          </cell>
          <cell r="AN119">
            <v>6944602525.1637802</v>
          </cell>
          <cell r="AO119">
            <v>6940839199.6384802</v>
          </cell>
          <cell r="AP119">
            <v>7008425839.7803202</v>
          </cell>
          <cell r="AQ119">
            <v>6504950368.4764605</v>
          </cell>
          <cell r="AR119">
            <v>6133923097.13585</v>
          </cell>
          <cell r="AS119">
            <v>6197684994.8292398</v>
          </cell>
          <cell r="AT119">
            <v>6811252878.5709801</v>
          </cell>
          <cell r="AU119">
            <v>7290063982.8715096</v>
          </cell>
          <cell r="AV119">
            <v>8039171196.32973</v>
          </cell>
          <cell r="AW119">
            <v>10026376804.367901</v>
          </cell>
          <cell r="AX119">
            <v>11314276441.4375</v>
          </cell>
          <cell r="AY119">
            <v>13247194241.007799</v>
          </cell>
          <cell r="AZ119">
            <v>18055936485.023499</v>
          </cell>
          <cell r="BA119">
            <v>18426179224.697899</v>
          </cell>
          <cell r="BB119">
            <v>19261763711.283401</v>
          </cell>
          <cell r="BC119">
            <v>24909587363.474998</v>
          </cell>
          <cell r="BD119">
            <v>31539522586.1166</v>
          </cell>
          <cell r="BE119">
            <v>36351769108.499496</v>
          </cell>
          <cell r="BF119">
            <v>42782346388.294296</v>
          </cell>
          <cell r="BG119">
            <v>46126754391.4562</v>
          </cell>
          <cell r="BH119">
            <v>40235867251.095802</v>
          </cell>
          <cell r="BI119">
            <v>40637965754.0243</v>
          </cell>
          <cell r="BJ119">
            <v>44898143533.516098</v>
          </cell>
          <cell r="BK119">
            <v>48917906472.592102</v>
          </cell>
          <cell r="BL119">
            <v>48878458583.730904</v>
          </cell>
          <cell r="BM119" t="str">
            <v>..</v>
          </cell>
        </row>
        <row r="120">
          <cell r="B120" t="str">
            <v>MDG</v>
          </cell>
          <cell r="C120" t="str">
            <v>GNI (current US$)</v>
          </cell>
          <cell r="D120" t="str">
            <v>NY.GNP.MKTP.CD</v>
          </cell>
          <cell r="E120">
            <v>650793392.58153105</v>
          </cell>
          <cell r="F120">
            <v>676064335.18196702</v>
          </cell>
          <cell r="G120">
            <v>714566101.37671006</v>
          </cell>
          <cell r="H120">
            <v>734222182.10141301</v>
          </cell>
          <cell r="I120">
            <v>776139175.16864502</v>
          </cell>
          <cell r="J120">
            <v>806012048.87326503</v>
          </cell>
          <cell r="K120">
            <v>900264585.71370196</v>
          </cell>
          <cell r="L120">
            <v>956435312.77028096</v>
          </cell>
          <cell r="M120">
            <v>1031668828.18788</v>
          </cell>
          <cell r="N120">
            <v>1051392480.65418</v>
          </cell>
          <cell r="O120">
            <v>1108857699.1146901</v>
          </cell>
          <cell r="P120">
            <v>1192886702.12641</v>
          </cell>
          <cell r="Q120">
            <v>1339441922.8557999</v>
          </cell>
          <cell r="R120">
            <v>1648118544.41189</v>
          </cell>
          <cell r="S120">
            <v>1903186533.2384701</v>
          </cell>
          <cell r="T120">
            <v>2270256405.8484001</v>
          </cell>
          <cell r="U120">
            <v>2169578043.6382999</v>
          </cell>
          <cell r="V120">
            <v>2357656134.6409202</v>
          </cell>
          <cell r="W120">
            <v>2668890091.4644399</v>
          </cell>
          <cell r="X120">
            <v>3451167326.1962299</v>
          </cell>
          <cell r="Y120">
            <v>5157942663.4356804</v>
          </cell>
          <cell r="Z120">
            <v>4671006400.30721</v>
          </cell>
          <cell r="AA120">
            <v>4689709723.7203398</v>
          </cell>
          <cell r="AB120">
            <v>4568324597.1122904</v>
          </cell>
          <cell r="AC120">
            <v>3759912517.7161398</v>
          </cell>
          <cell r="AD120">
            <v>3673726255.28725</v>
          </cell>
          <cell r="AE120">
            <v>4192899227.7975998</v>
          </cell>
          <cell r="AF120">
            <v>3038202028.5556998</v>
          </cell>
          <cell r="AG120">
            <v>3010174177.6954198</v>
          </cell>
          <cell r="AH120">
            <v>2986320070.99295</v>
          </cell>
          <cell r="AI120">
            <v>3770426972.3728499</v>
          </cell>
          <cell r="AJ120">
            <v>3093518521.9793401</v>
          </cell>
          <cell r="AK120">
            <v>3567898913.4193101</v>
          </cell>
          <cell r="AL120">
            <v>3912357001.90591</v>
          </cell>
          <cell r="AM120">
            <v>3366890154.5184498</v>
          </cell>
          <cell r="AN120">
            <v>3671361379.5518899</v>
          </cell>
          <cell r="AO120">
            <v>4769113376.7509804</v>
          </cell>
          <cell r="AP120">
            <v>4133133264.1312299</v>
          </cell>
          <cell r="AQ120">
            <v>4280498726.1087399</v>
          </cell>
          <cell r="AR120">
            <v>4172718601.0001898</v>
          </cell>
          <cell r="AS120">
            <v>4531580026.97015</v>
          </cell>
          <cell r="AT120">
            <v>5338012391.7544699</v>
          </cell>
          <cell r="AU120">
            <v>5254956180.4115801</v>
          </cell>
          <cell r="AV120">
            <v>6265748301.5198603</v>
          </cell>
          <cell r="AW120">
            <v>4993998602.0873299</v>
          </cell>
          <cell r="AX120">
            <v>5736869847.1083097</v>
          </cell>
          <cell r="AY120">
            <v>6248699463.43225</v>
          </cell>
          <cell r="AZ120">
            <v>8448232332.5755596</v>
          </cell>
          <cell r="BA120">
            <v>10640282203.723</v>
          </cell>
          <cell r="BB120">
            <v>9502808702.4892807</v>
          </cell>
          <cell r="BC120">
            <v>9833984439.6277409</v>
          </cell>
          <cell r="BD120">
            <v>11396920373.361099</v>
          </cell>
          <cell r="BE120">
            <v>11260410204.8564</v>
          </cell>
          <cell r="BF120">
            <v>12056235131.433701</v>
          </cell>
          <cell r="BG120">
            <v>12227495202.0068</v>
          </cell>
          <cell r="BH120">
            <v>10949102782.8011</v>
          </cell>
          <cell r="BI120">
            <v>11431773568.448299</v>
          </cell>
          <cell r="BJ120">
            <v>12816628748.535801</v>
          </cell>
          <cell r="BK120">
            <v>13390285874.726</v>
          </cell>
          <cell r="BL120">
            <v>13596240332.182699</v>
          </cell>
          <cell r="BM120">
            <v>12671579982.3964</v>
          </cell>
        </row>
        <row r="121">
          <cell r="B121" t="str">
            <v>MWI</v>
          </cell>
          <cell r="C121" t="str">
            <v>GNI (current US$)</v>
          </cell>
          <cell r="D121" t="str">
            <v>NY.GNP.MKTP.CD</v>
          </cell>
          <cell r="E121">
            <v>160716785.664287</v>
          </cell>
          <cell r="F121">
            <v>171496570.06859899</v>
          </cell>
          <cell r="G121">
            <v>181156376.87246299</v>
          </cell>
          <cell r="H121">
            <v>188576228.47543001</v>
          </cell>
          <cell r="I121">
            <v>186196276.07447901</v>
          </cell>
          <cell r="J121">
            <v>223435531.28937399</v>
          </cell>
          <cell r="K121">
            <v>252694946.101078</v>
          </cell>
          <cell r="L121">
            <v>259044462.85556501</v>
          </cell>
          <cell r="M121">
            <v>236769470.77883101</v>
          </cell>
          <cell r="N121">
            <v>258850354.01416099</v>
          </cell>
          <cell r="O121">
            <v>283331333.25332999</v>
          </cell>
          <cell r="P121">
            <v>361415332.77169299</v>
          </cell>
          <cell r="Q121">
            <v>401447105.788423</v>
          </cell>
          <cell r="R121">
            <v>445258147.19882798</v>
          </cell>
          <cell r="S121">
            <v>563361864.00380397</v>
          </cell>
          <cell r="T121">
            <v>622482056.03148901</v>
          </cell>
          <cell r="U121">
            <v>650602409.63855398</v>
          </cell>
          <cell r="V121">
            <v>780817366.26426005</v>
          </cell>
          <cell r="W121">
            <v>911698471.02050495</v>
          </cell>
          <cell r="X121">
            <v>989349981.63789904</v>
          </cell>
          <cell r="Y121">
            <v>1137790912.4492099</v>
          </cell>
          <cell r="Z121">
            <v>1154808444.0969501</v>
          </cell>
          <cell r="AA121">
            <v>1109995262.9085701</v>
          </cell>
          <cell r="AB121">
            <v>1152281154.2390201</v>
          </cell>
          <cell r="AC121">
            <v>1152256898.2595201</v>
          </cell>
          <cell r="AD121">
            <v>1078471293.11849</v>
          </cell>
          <cell r="AE121">
            <v>1122991779.0553999</v>
          </cell>
          <cell r="AF121">
            <v>1126182822.4747601</v>
          </cell>
          <cell r="AG121">
            <v>1326084410.2604101</v>
          </cell>
          <cell r="AH121">
            <v>1540351476.7168</v>
          </cell>
          <cell r="AI121">
            <v>1837457400.4177499</v>
          </cell>
          <cell r="AJ121">
            <v>2157029251.2396102</v>
          </cell>
          <cell r="AK121">
            <v>1760525268.50387</v>
          </cell>
          <cell r="AL121">
            <v>2028845530.1171999</v>
          </cell>
          <cell r="AM121">
            <v>1138597122.38451</v>
          </cell>
          <cell r="AN121">
            <v>1350065775.9573901</v>
          </cell>
          <cell r="AO121">
            <v>2242034131.3649302</v>
          </cell>
          <cell r="AP121">
            <v>2622014497.5128002</v>
          </cell>
          <cell r="AQ121">
            <v>1709141159.2813001</v>
          </cell>
          <cell r="AR121">
            <v>1734186814.5826199</v>
          </cell>
          <cell r="AS121">
            <v>1707156805.5784099</v>
          </cell>
          <cell r="AT121">
            <v>1683359689.3512599</v>
          </cell>
          <cell r="AU121">
            <v>3451380076.23563</v>
          </cell>
          <cell r="AV121">
            <v>3167351846.4735599</v>
          </cell>
          <cell r="AW121">
            <v>3430244814.2876801</v>
          </cell>
          <cell r="AX121">
            <v>3616090551.1943998</v>
          </cell>
          <cell r="AY121">
            <v>3960216045.4660802</v>
          </cell>
          <cell r="AZ121">
            <v>4411999296.9284201</v>
          </cell>
          <cell r="BA121">
            <v>5298642687.6227102</v>
          </cell>
          <cell r="BB121">
            <v>6132244799.5953703</v>
          </cell>
          <cell r="BC121">
            <v>6851157459.0977097</v>
          </cell>
          <cell r="BD121">
            <v>7888424222.5210896</v>
          </cell>
          <cell r="BE121">
            <v>5892688581.96912</v>
          </cell>
          <cell r="BF121">
            <v>5356898814.3212299</v>
          </cell>
          <cell r="BG121">
            <v>5887200679.0841398</v>
          </cell>
          <cell r="BH121">
            <v>6153437697.0803804</v>
          </cell>
          <cell r="BI121">
            <v>5409917742.3555498</v>
          </cell>
          <cell r="BJ121">
            <v>8745233806.0107708</v>
          </cell>
          <cell r="BK121">
            <v>9559761067.4113197</v>
          </cell>
          <cell r="BL121">
            <v>10746261347.9049</v>
          </cell>
          <cell r="BM121">
            <v>11874939502.553301</v>
          </cell>
        </row>
        <row r="122">
          <cell r="B122" t="str">
            <v>MYS</v>
          </cell>
          <cell r="C122" t="str">
            <v>GNI (current US$)</v>
          </cell>
          <cell r="D122" t="str">
            <v>NY.GNP.MKTP.CD</v>
          </cell>
          <cell r="E122">
            <v>1834574676.59741</v>
          </cell>
          <cell r="F122">
            <v>1840128054.35777</v>
          </cell>
          <cell r="G122">
            <v>1955115640.9251299</v>
          </cell>
          <cell r="H122">
            <v>2454266300.79707</v>
          </cell>
          <cell r="I122">
            <v>2600287468.9664202</v>
          </cell>
          <cell r="J122">
            <v>2866849601.46348</v>
          </cell>
          <cell r="K122">
            <v>3052397752.5153499</v>
          </cell>
          <cell r="L122">
            <v>3151378544.36169</v>
          </cell>
          <cell r="M122">
            <v>3290866326.9306202</v>
          </cell>
          <cell r="N122">
            <v>3573435254.1487002</v>
          </cell>
          <cell r="O122">
            <v>3803737096.5634398</v>
          </cell>
          <cell r="P122">
            <v>4125413622.5141702</v>
          </cell>
          <cell r="Q122">
            <v>4909206979.7134399</v>
          </cell>
          <cell r="R122">
            <v>7393279580.8946896</v>
          </cell>
          <cell r="S122">
            <v>9081882763.4913406</v>
          </cell>
          <cell r="T122">
            <v>8996502331.7788105</v>
          </cell>
          <cell r="U122">
            <v>10618508026.440001</v>
          </cell>
          <cell r="V122">
            <v>12620972656.726101</v>
          </cell>
          <cell r="W122">
            <v>15624352331.606199</v>
          </cell>
          <cell r="X122">
            <v>20267775543.776299</v>
          </cell>
          <cell r="Y122">
            <v>23606964031.420799</v>
          </cell>
          <cell r="Z122">
            <v>24131765114.361401</v>
          </cell>
          <cell r="AA122">
            <v>25567354628.757401</v>
          </cell>
          <cell r="AB122">
            <v>28446560117.175701</v>
          </cell>
          <cell r="AC122">
            <v>31653012459.4641</v>
          </cell>
          <cell r="AD122">
            <v>28981876761.981499</v>
          </cell>
          <cell r="AE122">
            <v>25884403811.884998</v>
          </cell>
          <cell r="AF122">
            <v>30204794411.811401</v>
          </cell>
          <cell r="AG122">
            <v>33330533068.581001</v>
          </cell>
          <cell r="AH122">
            <v>36669373892.498497</v>
          </cell>
          <cell r="AI122">
            <v>42152020407.408798</v>
          </cell>
          <cell r="AJ122">
            <v>46670061099.796303</v>
          </cell>
          <cell r="AK122">
            <v>56023874033.062401</v>
          </cell>
          <cell r="AL122">
            <v>63683617575.074799</v>
          </cell>
          <cell r="AM122">
            <v>70892013412.589493</v>
          </cell>
          <cell r="AN122">
            <v>84567384370.0159</v>
          </cell>
          <cell r="AO122">
            <v>96164639478.495895</v>
          </cell>
          <cell r="AP122">
            <v>94647952303.215302</v>
          </cell>
          <cell r="AQ122">
            <v>68264115368.935997</v>
          </cell>
          <cell r="AR122">
            <v>73652105263.157898</v>
          </cell>
          <cell r="AS122">
            <v>86182105263.157898</v>
          </cell>
          <cell r="AT122">
            <v>86041052631.578903</v>
          </cell>
          <cell r="AU122">
            <v>94250526315.789505</v>
          </cell>
          <cell r="AV122">
            <v>104271578947.368</v>
          </cell>
          <cell r="AW122">
            <v>118327894736.842</v>
          </cell>
          <cell r="AX122">
            <v>137211850756.51601</v>
          </cell>
          <cell r="AY122">
            <v>157976664304.01801</v>
          </cell>
          <cell r="AZ122">
            <v>189479578775.89001</v>
          </cell>
          <cell r="BA122">
            <v>223908807482.46301</v>
          </cell>
          <cell r="BB122">
            <v>198224712725.20901</v>
          </cell>
          <cell r="BC122">
            <v>246904163174.07101</v>
          </cell>
          <cell r="BD122">
            <v>290893137254.90198</v>
          </cell>
          <cell r="BE122">
            <v>302839290339.28998</v>
          </cell>
          <cell r="BF122">
            <v>312494525373.703</v>
          </cell>
          <cell r="BG122">
            <v>326871887317.05798</v>
          </cell>
          <cell r="BH122">
            <v>293132573294.07202</v>
          </cell>
          <cell r="BI122">
            <v>292916457102.90997</v>
          </cell>
          <cell r="BJ122">
            <v>310122676960.28302</v>
          </cell>
          <cell r="BK122">
            <v>347618894203.36499</v>
          </cell>
          <cell r="BL122">
            <v>355742184671.09198</v>
          </cell>
          <cell r="BM122">
            <v>330206018793.862</v>
          </cell>
        </row>
        <row r="123">
          <cell r="B123" t="str">
            <v>MDV</v>
          </cell>
          <cell r="C123" t="str">
            <v>GNI (current US$)</v>
          </cell>
          <cell r="D123" t="str">
            <v>NY.GNP.MKTP.CD</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v>114074387.15131</v>
          </cell>
          <cell r="AE123">
            <v>120178995.94462299</v>
          </cell>
          <cell r="AF123">
            <v>118649029.599913</v>
          </cell>
          <cell r="AG123">
            <v>158155947.638019</v>
          </cell>
          <cell r="AH123">
            <v>171914721.82280701</v>
          </cell>
          <cell r="AI123">
            <v>193844535.175879</v>
          </cell>
          <cell r="AJ123">
            <v>212896713.157125</v>
          </cell>
          <cell r="AK123">
            <v>248875600.802331</v>
          </cell>
          <cell r="AL123">
            <v>276917467.53187501</v>
          </cell>
          <cell r="AM123">
            <v>313612698.30309498</v>
          </cell>
          <cell r="AN123">
            <v>379025480.03398502</v>
          </cell>
          <cell r="AO123">
            <v>428503653.35598999</v>
          </cell>
          <cell r="AP123">
            <v>480780305.86236203</v>
          </cell>
          <cell r="AQ123">
            <v>511936219.20135897</v>
          </cell>
          <cell r="AR123">
            <v>558212710.28037405</v>
          </cell>
          <cell r="AS123">
            <v>594339124.89379799</v>
          </cell>
          <cell r="AT123">
            <v>845634351.94941998</v>
          </cell>
          <cell r="AU123">
            <v>874367273.4375</v>
          </cell>
          <cell r="AV123">
            <v>1016714804.6875</v>
          </cell>
          <cell r="AW123">
            <v>1192946750</v>
          </cell>
          <cell r="AX123">
            <v>1132462437.5</v>
          </cell>
          <cell r="AY123">
            <v>1534500390.625</v>
          </cell>
          <cell r="AZ123">
            <v>1587767023.4375</v>
          </cell>
          <cell r="BA123">
            <v>1989697750</v>
          </cell>
          <cell r="BB123">
            <v>2089951648.4375</v>
          </cell>
          <cell r="BC123">
            <v>2276923140.625</v>
          </cell>
          <cell r="BD123">
            <v>2479687734.55691</v>
          </cell>
          <cell r="BE123">
            <v>2614022206.6020999</v>
          </cell>
          <cell r="BF123">
            <v>2931312227.0884399</v>
          </cell>
          <cell r="BG123">
            <v>3342253036.3319502</v>
          </cell>
          <cell r="BH123">
            <v>3776960615.1122899</v>
          </cell>
          <cell r="BI123">
            <v>4026225703.3913698</v>
          </cell>
          <cell r="BJ123">
            <v>4378592214.2068005</v>
          </cell>
          <cell r="BK123">
            <v>4808561101.4372196</v>
          </cell>
          <cell r="BL123">
            <v>5047935905.6039495</v>
          </cell>
          <cell r="BM123">
            <v>3458503130.4246101</v>
          </cell>
        </row>
        <row r="124">
          <cell r="B124" t="str">
            <v>MLI</v>
          </cell>
          <cell r="C124" t="str">
            <v>GNI (current US$)</v>
          </cell>
          <cell r="D124" t="str">
            <v>NY.GNP.MKTP.CD</v>
          </cell>
          <cell r="E124" t="str">
            <v>..</v>
          </cell>
          <cell r="F124" t="str">
            <v>..</v>
          </cell>
          <cell r="G124" t="str">
            <v>..</v>
          </cell>
          <cell r="H124" t="str">
            <v>..</v>
          </cell>
          <cell r="I124" t="str">
            <v>..</v>
          </cell>
          <cell r="J124" t="str">
            <v>..</v>
          </cell>
          <cell r="K124" t="str">
            <v>..</v>
          </cell>
          <cell r="L124">
            <v>274847770.88213903</v>
          </cell>
          <cell r="M124">
            <v>341790647.45498902</v>
          </cell>
          <cell r="N124">
            <v>337201492.07226002</v>
          </cell>
          <cell r="O124">
            <v>354124095.93090701</v>
          </cell>
          <cell r="P124">
            <v>393751360.509013</v>
          </cell>
          <cell r="Q124">
            <v>485815839.61439103</v>
          </cell>
          <cell r="R124">
            <v>561341678.735443</v>
          </cell>
          <cell r="S124">
            <v>533923918.39461398</v>
          </cell>
          <cell r="T124">
            <v>819675359.71936405</v>
          </cell>
          <cell r="U124">
            <v>931397905.00542998</v>
          </cell>
          <cell r="V124">
            <v>1049879172.3532701</v>
          </cell>
          <cell r="W124">
            <v>1233479863.8103399</v>
          </cell>
          <cell r="X124">
            <v>1581719888.8124199</v>
          </cell>
          <cell r="Y124">
            <v>1740404951.2495301</v>
          </cell>
          <cell r="Z124">
            <v>1503298227.28444</v>
          </cell>
          <cell r="AA124">
            <v>1307059935.4858301</v>
          </cell>
          <cell r="AB124">
            <v>1267599883.2235501</v>
          </cell>
          <cell r="AC124">
            <v>1211284538.1728301</v>
          </cell>
          <cell r="AD124">
            <v>1366273682.5001099</v>
          </cell>
          <cell r="AE124">
            <v>1827588492.1024499</v>
          </cell>
          <cell r="AF124">
            <v>2070475568.31037</v>
          </cell>
          <cell r="AG124">
            <v>2142856579.48632</v>
          </cell>
          <cell r="AH124">
            <v>2181810275.5399499</v>
          </cell>
          <cell r="AI124">
            <v>2666106803.0559001</v>
          </cell>
          <cell r="AJ124">
            <v>2721432408.6349301</v>
          </cell>
          <cell r="AK124">
            <v>2823416307.7562399</v>
          </cell>
          <cell r="AL124">
            <v>2820517517.6578598</v>
          </cell>
          <cell r="AM124">
            <v>2058636363.29251</v>
          </cell>
          <cell r="AN124">
            <v>2659076037.26335</v>
          </cell>
          <cell r="AO124">
            <v>2730586644.7072601</v>
          </cell>
          <cell r="AP124">
            <v>2643956410.9856601</v>
          </cell>
          <cell r="AQ124">
            <v>2869586922.4510598</v>
          </cell>
          <cell r="AR124">
            <v>3396127163.79352</v>
          </cell>
          <cell r="AS124">
            <v>2931323345.6301699</v>
          </cell>
          <cell r="AT124">
            <v>3302160987.8481698</v>
          </cell>
          <cell r="AU124">
            <v>3666828276.08078</v>
          </cell>
          <cell r="AV124">
            <v>4553851020.8656702</v>
          </cell>
          <cell r="AW124">
            <v>5272183031.8200798</v>
          </cell>
          <cell r="AX124">
            <v>6040768147.2138996</v>
          </cell>
          <cell r="AY124">
            <v>6648234213.1960297</v>
          </cell>
          <cell r="AZ124">
            <v>7857311980.6531096</v>
          </cell>
          <cell r="BA124">
            <v>9524579675.3363209</v>
          </cell>
          <cell r="BB124">
            <v>9764624301.8137703</v>
          </cell>
          <cell r="BC124">
            <v>10269427724.409901</v>
          </cell>
          <cell r="BD124">
            <v>12532792055.191299</v>
          </cell>
          <cell r="BE124">
            <v>11981791173.8627</v>
          </cell>
          <cell r="BF124">
            <v>12810032895.3496</v>
          </cell>
          <cell r="BG124">
            <v>13980008238.865499</v>
          </cell>
          <cell r="BH124">
            <v>12808995389.4688</v>
          </cell>
          <cell r="BI124">
            <v>13651411051.127399</v>
          </cell>
          <cell r="BJ124">
            <v>14864818058.587799</v>
          </cell>
          <cell r="BK124">
            <v>16560732181.7673</v>
          </cell>
          <cell r="BL124">
            <v>16670712812.355499</v>
          </cell>
          <cell r="BM124">
            <v>16749289497.6598</v>
          </cell>
        </row>
        <row r="125">
          <cell r="B125" t="str">
            <v>MLT</v>
          </cell>
          <cell r="C125" t="str">
            <v>GNI (current US$)</v>
          </cell>
          <cell r="D125" t="str">
            <v>NY.GNP.MKTP.CD</v>
          </cell>
          <cell r="E125" t="str">
            <v>..</v>
          </cell>
          <cell r="F125" t="str">
            <v>..</v>
          </cell>
          <cell r="G125" t="str">
            <v>..</v>
          </cell>
          <cell r="H125" t="str">
            <v>..</v>
          </cell>
          <cell r="I125" t="str">
            <v>..</v>
          </cell>
          <cell r="J125" t="str">
            <v>..</v>
          </cell>
          <cell r="K125" t="str">
            <v>..</v>
          </cell>
          <cell r="L125" t="str">
            <v>..</v>
          </cell>
          <cell r="M125" t="str">
            <v>..</v>
          </cell>
          <cell r="N125" t="str">
            <v>..</v>
          </cell>
          <cell r="O125">
            <v>270010715.02163601</v>
          </cell>
          <cell r="P125">
            <v>284919118.42243999</v>
          </cell>
          <cell r="Q125">
            <v>319221084.60846102</v>
          </cell>
          <cell r="R125">
            <v>368088813.87498498</v>
          </cell>
          <cell r="S125">
            <v>411790177.079853</v>
          </cell>
          <cell r="T125">
            <v>526983822.38089901</v>
          </cell>
          <cell r="U125">
            <v>575042916.28799403</v>
          </cell>
          <cell r="V125">
            <v>675604655.89102399</v>
          </cell>
          <cell r="W125">
            <v>842223905.53637099</v>
          </cell>
          <cell r="X125">
            <v>1041318682.63473</v>
          </cell>
          <cell r="Y125">
            <v>1347909893.1145899</v>
          </cell>
          <cell r="Z125">
            <v>1361200488.45471</v>
          </cell>
          <cell r="AA125">
            <v>1373834687.5</v>
          </cell>
          <cell r="AB125">
            <v>1263110890.4993501</v>
          </cell>
          <cell r="AC125">
            <v>1210693640.00372</v>
          </cell>
          <cell r="AD125">
            <v>1209121065.1537299</v>
          </cell>
          <cell r="AE125">
            <v>1513987546.4277899</v>
          </cell>
          <cell r="AF125">
            <v>1849328280.31809</v>
          </cell>
          <cell r="AG125">
            <v>2114205657.1947601</v>
          </cell>
          <cell r="AH125">
            <v>2232004927.322</v>
          </cell>
          <cell r="AI125">
            <v>2738345670.6740499</v>
          </cell>
          <cell r="AJ125">
            <v>2919788844.62151</v>
          </cell>
          <cell r="AK125">
            <v>3166473280.38767</v>
          </cell>
          <cell r="AL125">
            <v>2811899606.9623799</v>
          </cell>
          <cell r="AM125">
            <v>3055459161.6494398</v>
          </cell>
          <cell r="AN125">
            <v>3776188715.95331</v>
          </cell>
          <cell r="AO125">
            <v>3853662458.3134799</v>
          </cell>
          <cell r="AP125">
            <v>3826595261.9285998</v>
          </cell>
          <cell r="AQ125">
            <v>3969862747.2648902</v>
          </cell>
          <cell r="AR125">
            <v>4177153034.8687</v>
          </cell>
          <cell r="AS125">
            <v>3916552812.0713301</v>
          </cell>
          <cell r="AT125">
            <v>4113241152.3418899</v>
          </cell>
          <cell r="AU125">
            <v>4504004950.0049496</v>
          </cell>
          <cell r="AV125">
            <v>5426514510.0717001</v>
          </cell>
          <cell r="AW125">
            <v>6074239661.1858501</v>
          </cell>
          <cell r="AX125">
            <v>6220547568.7103596</v>
          </cell>
          <cell r="AY125">
            <v>6502959101.7438202</v>
          </cell>
          <cell r="AZ125">
            <v>7531092800.4379997</v>
          </cell>
          <cell r="BA125">
            <v>8950142229.3833294</v>
          </cell>
          <cell r="BB125">
            <v>8238328841.34482</v>
          </cell>
          <cell r="BC125">
            <v>8570974015.6436396</v>
          </cell>
          <cell r="BD125">
            <v>9413122355.2338505</v>
          </cell>
          <cell r="BE125">
            <v>9016278941.28228</v>
          </cell>
          <cell r="BF125">
            <v>10028090317.439199</v>
          </cell>
          <cell r="BG125">
            <v>11021117045.3036</v>
          </cell>
          <cell r="BH125">
            <v>10478412848.108299</v>
          </cell>
          <cell r="BI125">
            <v>10580009818.923201</v>
          </cell>
          <cell r="BJ125">
            <v>11875770042.2174</v>
          </cell>
          <cell r="BK125">
            <v>13755810442.9265</v>
          </cell>
          <cell r="BL125">
            <v>14069074718.9006</v>
          </cell>
          <cell r="BM125">
            <v>13329361714.5839</v>
          </cell>
        </row>
        <row r="126">
          <cell r="B126" t="str">
            <v>MHL</v>
          </cell>
          <cell r="C126" t="str">
            <v>GNI (current US$)</v>
          </cell>
          <cell r="D126" t="str">
            <v>NY.GNP.MKTP.CD</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v>152854100</v>
          </cell>
          <cell r="AO126">
            <v>135250400</v>
          </cell>
          <cell r="AP126">
            <v>136641000</v>
          </cell>
          <cell r="AQ126">
            <v>143253700</v>
          </cell>
          <cell r="AR126">
            <v>149305200</v>
          </cell>
          <cell r="AS126">
            <v>151618100</v>
          </cell>
          <cell r="AT126">
            <v>160116500</v>
          </cell>
          <cell r="AU126">
            <v>167548500</v>
          </cell>
          <cell r="AV126">
            <v>167807100</v>
          </cell>
          <cell r="AW126">
            <v>169343300</v>
          </cell>
          <cell r="AX126">
            <v>179125700</v>
          </cell>
          <cell r="AY126">
            <v>181340200</v>
          </cell>
          <cell r="AZ126">
            <v>191419700</v>
          </cell>
          <cell r="BA126">
            <v>189449600</v>
          </cell>
          <cell r="BB126">
            <v>189529000</v>
          </cell>
          <cell r="BC126">
            <v>195598900</v>
          </cell>
          <cell r="BD126">
            <v>209784400</v>
          </cell>
          <cell r="BE126">
            <v>208831300</v>
          </cell>
          <cell r="BF126">
            <v>221718500</v>
          </cell>
          <cell r="BG126">
            <v>228187900</v>
          </cell>
          <cell r="BH126">
            <v>248470300</v>
          </cell>
          <cell r="BI126">
            <v>263338900</v>
          </cell>
          <cell r="BJ126">
            <v>274080700</v>
          </cell>
          <cell r="BK126">
            <v>282329500</v>
          </cell>
          <cell r="BL126">
            <v>294801700</v>
          </cell>
          <cell r="BM126">
            <v>298195400</v>
          </cell>
        </row>
        <row r="127">
          <cell r="B127" t="str">
            <v>MRT</v>
          </cell>
          <cell r="C127" t="str">
            <v>GNI (current US$)</v>
          </cell>
          <cell r="D127" t="str">
            <v>NY.GNP.MKTP.CD</v>
          </cell>
          <cell r="E127" t="str">
            <v>..</v>
          </cell>
          <cell r="F127">
            <v>159213140.003286</v>
          </cell>
          <cell r="G127">
            <v>164271590.83556601</v>
          </cell>
          <cell r="H127">
            <v>168186331.27126199</v>
          </cell>
          <cell r="I127">
            <v>224495789.26547599</v>
          </cell>
          <cell r="J127">
            <v>255340526.74530199</v>
          </cell>
          <cell r="K127">
            <v>266533659.16221601</v>
          </cell>
          <cell r="L127">
            <v>282615367.46487999</v>
          </cell>
          <cell r="M127">
            <v>301396000.32108402</v>
          </cell>
          <cell r="N127">
            <v>279862138.45288599</v>
          </cell>
          <cell r="O127">
            <v>298105315.51882303</v>
          </cell>
          <cell r="P127">
            <v>321769089.43951201</v>
          </cell>
          <cell r="Q127">
            <v>375169448.26330602</v>
          </cell>
          <cell r="R127">
            <v>483223647.26986402</v>
          </cell>
          <cell r="S127">
            <v>607599077.69607794</v>
          </cell>
          <cell r="T127">
            <v>673288773.47753406</v>
          </cell>
          <cell r="U127">
            <v>716475328.19834197</v>
          </cell>
          <cell r="V127">
            <v>755618186.15060604</v>
          </cell>
          <cell r="W127">
            <v>777551568.62016797</v>
          </cell>
          <cell r="X127">
            <v>920501091.19363701</v>
          </cell>
          <cell r="Y127">
            <v>1021070305.89861</v>
          </cell>
          <cell r="Z127">
            <v>1054952445.39437</v>
          </cell>
          <cell r="AA127">
            <v>1063169885.37841</v>
          </cell>
          <cell r="AB127">
            <v>1102884245.1970201</v>
          </cell>
          <cell r="AC127">
            <v>1035269322.35829</v>
          </cell>
          <cell r="AD127">
            <v>957331783.21575296</v>
          </cell>
          <cell r="AE127">
            <v>1116355897.84009</v>
          </cell>
          <cell r="AF127">
            <v>1266951763.4747601</v>
          </cell>
          <cell r="AG127">
            <v>1343052130.6944799</v>
          </cell>
          <cell r="AH127">
            <v>1390404297.26315</v>
          </cell>
          <cell r="AI127">
            <v>1447895783.3520899</v>
          </cell>
          <cell r="AJ127">
            <v>2072463109.8528299</v>
          </cell>
          <cell r="AK127">
            <v>2097704689.3492801</v>
          </cell>
          <cell r="AL127">
            <v>1778652649.7028301</v>
          </cell>
          <cell r="AM127">
            <v>1870169427.4731901</v>
          </cell>
          <cell r="AN127">
            <v>2017413568.8305299</v>
          </cell>
          <cell r="AO127">
            <v>2156251395.54882</v>
          </cell>
          <cell r="AP127">
            <v>2088873417.0546501</v>
          </cell>
          <cell r="AQ127">
            <v>2058286089.47558</v>
          </cell>
          <cell r="AR127">
            <v>2015585932.2050099</v>
          </cell>
          <cell r="AS127">
            <v>1793304273.7618401</v>
          </cell>
          <cell r="AT127">
            <v>1713839294.44625</v>
          </cell>
          <cell r="AU127">
            <v>1832909357.8764901</v>
          </cell>
          <cell r="AV127">
            <v>2108847606.7368701</v>
          </cell>
          <cell r="AW127">
            <v>2428018693.4908199</v>
          </cell>
          <cell r="AX127">
            <v>3000602093.3734899</v>
          </cell>
          <cell r="AY127">
            <v>3845277285.9270301</v>
          </cell>
          <cell r="AZ127">
            <v>4285406888.20397</v>
          </cell>
          <cell r="BA127">
            <v>5183444125.3888502</v>
          </cell>
          <cell r="BB127">
            <v>4766475808.6032495</v>
          </cell>
          <cell r="BC127">
            <v>5559975526.8327703</v>
          </cell>
          <cell r="BD127">
            <v>6609321843.4963303</v>
          </cell>
          <cell r="BE127">
            <v>6537356580.8104601</v>
          </cell>
          <cell r="BF127">
            <v>7029814844.2540598</v>
          </cell>
          <cell r="BG127">
            <v>6340605473.6146698</v>
          </cell>
          <cell r="BH127">
            <v>5986763077.81392</v>
          </cell>
          <cell r="BI127">
            <v>6282354756.7762403</v>
          </cell>
          <cell r="BJ127">
            <v>6702427276.5363102</v>
          </cell>
          <cell r="BK127">
            <v>7315960099.0235004</v>
          </cell>
          <cell r="BL127">
            <v>7793435299.8571796</v>
          </cell>
          <cell r="BM127">
            <v>7807980231.1828003</v>
          </cell>
        </row>
        <row r="128">
          <cell r="B128" t="str">
            <v>MUS</v>
          </cell>
          <cell r="C128" t="str">
            <v>GNI (current US$)</v>
          </cell>
          <cell r="D128" t="str">
            <v>NY.GNP.MKTP.CD</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v>709870538.05283201</v>
          </cell>
          <cell r="V128">
            <v>820758857.62716997</v>
          </cell>
          <cell r="W128">
            <v>1007577109.66528</v>
          </cell>
          <cell r="X128">
            <v>1194337439.16552</v>
          </cell>
          <cell r="Y128">
            <v>1108624077.66485</v>
          </cell>
          <cell r="Z128">
            <v>1096849997.2024801</v>
          </cell>
          <cell r="AA128">
            <v>1032605196.59692</v>
          </cell>
          <cell r="AB128">
            <v>1048845910.71398</v>
          </cell>
          <cell r="AC128">
            <v>995195756.61398697</v>
          </cell>
          <cell r="AD128">
            <v>1030791646.43031</v>
          </cell>
          <cell r="AE128">
            <v>1408765520.1093099</v>
          </cell>
          <cell r="AF128">
            <v>1839465142.64416</v>
          </cell>
          <cell r="AG128">
            <v>2090387491.9071</v>
          </cell>
          <cell r="AH128">
            <v>2162126716.4159498</v>
          </cell>
          <cell r="AI128">
            <v>2630672452.6524701</v>
          </cell>
          <cell r="AJ128">
            <v>2862576745.9095502</v>
          </cell>
          <cell r="AK128">
            <v>3235255005.3973498</v>
          </cell>
          <cell r="AL128">
            <v>3266881555.9836798</v>
          </cell>
          <cell r="AM128">
            <v>3533471665.44175</v>
          </cell>
          <cell r="AN128">
            <v>4021250438.5637002</v>
          </cell>
          <cell r="AO128">
            <v>4377983825.58599</v>
          </cell>
          <cell r="AP128">
            <v>4169701519.1881199</v>
          </cell>
          <cell r="AQ128">
            <v>4143114543.1735501</v>
          </cell>
          <cell r="AR128">
            <v>4327153384.0497398</v>
          </cell>
          <cell r="AS128">
            <v>4646665747.2875795</v>
          </cell>
          <cell r="AT128">
            <v>4627122193.1182699</v>
          </cell>
          <cell r="AU128">
            <v>4854526980.8423996</v>
          </cell>
          <cell r="AV128">
            <v>5786698801.13972</v>
          </cell>
          <cell r="AW128">
            <v>6564661894.28514</v>
          </cell>
          <cell r="AX128">
            <v>6480647713.9428101</v>
          </cell>
          <cell r="AY128">
            <v>7080304401.7143898</v>
          </cell>
          <cell r="AZ128">
            <v>8374417587.1902704</v>
          </cell>
          <cell r="BA128">
            <v>10162585053.1406</v>
          </cell>
          <cell r="BB128">
            <v>9181337179.8321609</v>
          </cell>
          <cell r="BC128">
            <v>9912845467.1846809</v>
          </cell>
          <cell r="BD128">
            <v>11299763115.724899</v>
          </cell>
          <cell r="BE128">
            <v>12083527454.242901</v>
          </cell>
          <cell r="BF128">
            <v>13061879914.271</v>
          </cell>
          <cell r="BG128">
            <v>13796111241.7379</v>
          </cell>
          <cell r="BH128">
            <v>12684108886.4611</v>
          </cell>
          <cell r="BI128">
            <v>13229765431.7861</v>
          </cell>
          <cell r="BJ128">
            <v>14572668163.125601</v>
          </cell>
          <cell r="BK128">
            <v>15879579423.8295</v>
          </cell>
          <cell r="BL128">
            <v>15787531537.626699</v>
          </cell>
          <cell r="BM128">
            <v>11902233721.0809</v>
          </cell>
        </row>
        <row r="129">
          <cell r="B129" t="str">
            <v>MEX</v>
          </cell>
          <cell r="C129" t="str">
            <v>GNI (current US$)</v>
          </cell>
          <cell r="D129" t="str">
            <v>NY.GNP.MKTP.CD</v>
          </cell>
          <cell r="E129">
            <v>12666168000</v>
          </cell>
          <cell r="F129">
            <v>13775344000</v>
          </cell>
          <cell r="G129">
            <v>14814304000</v>
          </cell>
          <cell r="H129">
            <v>16530280000</v>
          </cell>
          <cell r="I129">
            <v>19477944000</v>
          </cell>
          <cell r="J129">
            <v>21234640000</v>
          </cell>
          <cell r="K129">
            <v>23566704000</v>
          </cell>
          <cell r="L129">
            <v>26201208000</v>
          </cell>
          <cell r="M129">
            <v>28939512000</v>
          </cell>
          <cell r="N129">
            <v>31985424000</v>
          </cell>
          <cell r="O129">
            <v>34897440000</v>
          </cell>
          <cell r="P129">
            <v>38495400000</v>
          </cell>
          <cell r="Q129">
            <v>44387480000</v>
          </cell>
          <cell r="R129">
            <v>54435528000</v>
          </cell>
          <cell r="S129">
            <v>70743688000</v>
          </cell>
          <cell r="T129">
            <v>86091952000</v>
          </cell>
          <cell r="U129">
            <v>86770084415.584396</v>
          </cell>
          <cell r="V129">
            <v>79585539823.008896</v>
          </cell>
          <cell r="W129">
            <v>99570083333.333298</v>
          </cell>
          <cell r="X129">
            <v>130466105263.158</v>
          </cell>
          <cell r="Y129">
            <v>198701734782.60901</v>
          </cell>
          <cell r="Z129">
            <v>253844553061.224</v>
          </cell>
          <cell r="AA129">
            <v>172347898936.17001</v>
          </cell>
          <cell r="AB129">
            <v>147035900499.58401</v>
          </cell>
          <cell r="AC129">
            <v>174185041716.32901</v>
          </cell>
          <cell r="AD129">
            <v>186223239782.01599</v>
          </cell>
          <cell r="AE129">
            <v>127030515364.498</v>
          </cell>
          <cell r="AF129">
            <v>140739534247.569</v>
          </cell>
          <cell r="AG129">
            <v>174365613985.306</v>
          </cell>
          <cell r="AH129">
            <v>213098448710.13599</v>
          </cell>
          <cell r="AI129">
            <v>252627674820.45099</v>
          </cell>
          <cell r="AJ129">
            <v>304534734461.96698</v>
          </cell>
          <cell r="AK129">
            <v>353562749232.60901</v>
          </cell>
          <cell r="AL129">
            <v>489113393888.81799</v>
          </cell>
          <cell r="AM129">
            <v>515157050754.052</v>
          </cell>
          <cell r="AN129">
            <v>346715405645.38702</v>
          </cell>
          <cell r="AO129">
            <v>396991780930.073</v>
          </cell>
          <cell r="AP129">
            <v>487611244932.75201</v>
          </cell>
          <cell r="AQ129">
            <v>513008373905.42902</v>
          </cell>
          <cell r="AR129">
            <v>587223199029.32898</v>
          </cell>
          <cell r="AS129">
            <v>692709476500.698</v>
          </cell>
          <cell r="AT129">
            <v>742673818438.71399</v>
          </cell>
          <cell r="AU129">
            <v>758782874482.18701</v>
          </cell>
          <cell r="AV129">
            <v>716377770785.05896</v>
          </cell>
          <cell r="AW129">
            <v>770594421407.05298</v>
          </cell>
          <cell r="AX129">
            <v>859156840951.00903</v>
          </cell>
          <cell r="AY129">
            <v>960397767726.07202</v>
          </cell>
          <cell r="AZ129">
            <v>1034991278893.14</v>
          </cell>
          <cell r="BA129">
            <v>1094332318930.4301</v>
          </cell>
          <cell r="BB129">
            <v>884929436415.43604</v>
          </cell>
          <cell r="BC129">
            <v>1045220776511.55</v>
          </cell>
          <cell r="BD129">
            <v>1161743714472</v>
          </cell>
          <cell r="BE129">
            <v>1177885199589.96</v>
          </cell>
          <cell r="BF129">
            <v>1237366326260.5701</v>
          </cell>
          <cell r="BG129">
            <v>1283058447244.6899</v>
          </cell>
          <cell r="BH129">
            <v>1141602672778.78</v>
          </cell>
          <cell r="BI129">
            <v>1049583160881.05</v>
          </cell>
          <cell r="BJ129">
            <v>1128823076215.8899</v>
          </cell>
          <cell r="BK129">
            <v>1189348943427.3999</v>
          </cell>
          <cell r="BL129">
            <v>1232520571232.79</v>
          </cell>
          <cell r="BM129">
            <v>1037040166520.83</v>
          </cell>
        </row>
        <row r="130">
          <cell r="B130" t="str">
            <v>FSM</v>
          </cell>
          <cell r="C130" t="str">
            <v>GNI (current US$)</v>
          </cell>
          <cell r="D130" t="str">
            <v>NY.GNP.MKTP.CD</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v>111000000</v>
          </cell>
          <cell r="AC130" t="str">
            <v>..</v>
          </cell>
          <cell r="AD130" t="str">
            <v>..</v>
          </cell>
          <cell r="AE130" t="str">
            <v>..</v>
          </cell>
          <cell r="AF130" t="str">
            <v>..</v>
          </cell>
          <cell r="AG130" t="str">
            <v>..</v>
          </cell>
          <cell r="AH130" t="str">
            <v>..</v>
          </cell>
          <cell r="AI130" t="str">
            <v>..</v>
          </cell>
          <cell r="AJ130" t="str">
            <v>..</v>
          </cell>
          <cell r="AK130" t="str">
            <v>..</v>
          </cell>
          <cell r="AL130">
            <v>218000000</v>
          </cell>
          <cell r="AM130">
            <v>223300000</v>
          </cell>
          <cell r="AN130">
            <v>232663800</v>
          </cell>
          <cell r="AO130">
            <v>228791600</v>
          </cell>
          <cell r="AP130">
            <v>209127900</v>
          </cell>
          <cell r="AQ130">
            <v>219545400</v>
          </cell>
          <cell r="AR130">
            <v>226023100</v>
          </cell>
          <cell r="AS130">
            <v>239347500</v>
          </cell>
          <cell r="AT130">
            <v>246016700</v>
          </cell>
          <cell r="AU130">
            <v>246760900</v>
          </cell>
          <cell r="AV130">
            <v>249179300</v>
          </cell>
          <cell r="AW130">
            <v>247072600</v>
          </cell>
          <cell r="AX130">
            <v>258632900</v>
          </cell>
          <cell r="AY130">
            <v>262084600</v>
          </cell>
          <cell r="AZ130">
            <v>267150600</v>
          </cell>
          <cell r="BA130">
            <v>270372300</v>
          </cell>
          <cell r="BB130">
            <v>296756800</v>
          </cell>
          <cell r="BC130">
            <v>307507200</v>
          </cell>
          <cell r="BD130">
            <v>320855800</v>
          </cell>
          <cell r="BE130">
            <v>342609600</v>
          </cell>
          <cell r="BF130">
            <v>342707900</v>
          </cell>
          <cell r="BG130">
            <v>344654300</v>
          </cell>
          <cell r="BH130">
            <v>375852000</v>
          </cell>
          <cell r="BI130">
            <v>387000200</v>
          </cell>
          <cell r="BJ130">
            <v>416554700</v>
          </cell>
          <cell r="BK130">
            <v>412197400</v>
          </cell>
          <cell r="BL130">
            <v>454357100</v>
          </cell>
          <cell r="BM130">
            <v>456483600</v>
          </cell>
        </row>
        <row r="131">
          <cell r="B131" t="str">
            <v>MDA</v>
          </cell>
          <cell r="C131" t="str">
            <v>GNI (current US$)</v>
          </cell>
          <cell r="D131" t="str">
            <v>NY.GNP.MKTP.CD</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v>1754299565.2173901</v>
          </cell>
          <cell r="AP131">
            <v>1992937445.88745</v>
          </cell>
          <cell r="AQ131">
            <v>1727901675.9776499</v>
          </cell>
          <cell r="AR131">
            <v>1204642063.0546701</v>
          </cell>
          <cell r="AS131">
            <v>1352310309.3281</v>
          </cell>
          <cell r="AT131">
            <v>1591983554.5745599</v>
          </cell>
          <cell r="AU131">
            <v>1827506004.5678899</v>
          </cell>
          <cell r="AV131">
            <v>2211747378.5377202</v>
          </cell>
          <cell r="AW131">
            <v>2953679177.1777101</v>
          </cell>
          <cell r="AX131">
            <v>3392191815.6131902</v>
          </cell>
          <cell r="AY131">
            <v>3809726984.0302801</v>
          </cell>
          <cell r="AZ131">
            <v>4811380653.8768902</v>
          </cell>
          <cell r="BA131">
            <v>6649108545.0346403</v>
          </cell>
          <cell r="BB131">
            <v>5745805519.5506601</v>
          </cell>
          <cell r="BC131">
            <v>7480557687.1771202</v>
          </cell>
          <cell r="BD131">
            <v>8991801935.4948597</v>
          </cell>
          <cell r="BE131">
            <v>9519308758.6901608</v>
          </cell>
          <cell r="BF131">
            <v>10391091746.9095</v>
          </cell>
          <cell r="BG131">
            <v>10332736783.607401</v>
          </cell>
          <cell r="BH131">
            <v>8194654334.8300896</v>
          </cell>
          <cell r="BI131">
            <v>8517450541.5633602</v>
          </cell>
          <cell r="BJ131">
            <v>10220973025.569</v>
          </cell>
          <cell r="BK131">
            <v>12007203194.6486</v>
          </cell>
          <cell r="BL131">
            <v>12594010844.8885</v>
          </cell>
          <cell r="BM131">
            <v>12386758436.729601</v>
          </cell>
        </row>
        <row r="132">
          <cell r="B132" t="str">
            <v>MCO</v>
          </cell>
          <cell r="C132" t="str">
            <v>GNI (current US$)</v>
          </cell>
          <cell r="D132" t="str">
            <v>NY.GNP.MKTP.CD</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row>
        <row r="133">
          <cell r="B133" t="str">
            <v>MNG</v>
          </cell>
          <cell r="C133" t="str">
            <v>GNI (current US$)</v>
          </cell>
          <cell r="D133" t="str">
            <v>NY.GNP.MKTP.CD</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v>2299199133.3333302</v>
          </cell>
          <cell r="AA133">
            <v>2532001966.6666698</v>
          </cell>
          <cell r="AB133">
            <v>2694636533.3333302</v>
          </cell>
          <cell r="AC133">
            <v>2059734525</v>
          </cell>
          <cell r="AD133">
            <v>2141505525</v>
          </cell>
          <cell r="AE133">
            <v>2894479033.3333302</v>
          </cell>
          <cell r="AF133">
            <v>3009311733.3333302</v>
          </cell>
          <cell r="AG133">
            <v>3170261666.6666698</v>
          </cell>
          <cell r="AH133">
            <v>3289326933.3333302</v>
          </cell>
          <cell r="AI133">
            <v>2517185660</v>
          </cell>
          <cell r="AJ133">
            <v>2374108010.52632</v>
          </cell>
          <cell r="AK133">
            <v>1290711863.8497701</v>
          </cell>
          <cell r="AL133">
            <v>741470800.53999305</v>
          </cell>
          <cell r="AM133">
            <v>906403930.75208402</v>
          </cell>
          <cell r="AN133">
            <v>1425356882.3699901</v>
          </cell>
          <cell r="AO133">
            <v>1331359924.36219</v>
          </cell>
          <cell r="AP133">
            <v>1168938177.5718701</v>
          </cell>
          <cell r="AQ133">
            <v>1124839904.05651</v>
          </cell>
          <cell r="AR133">
            <v>1057508580.46245</v>
          </cell>
          <cell r="AS133">
            <v>1131697254.99018</v>
          </cell>
          <cell r="AT133">
            <v>1265989177.1640201</v>
          </cell>
          <cell r="AU133">
            <v>1392055720.37938</v>
          </cell>
          <cell r="AV133">
            <v>1583797330.7516501</v>
          </cell>
          <cell r="AW133">
            <v>1981009807.80913</v>
          </cell>
          <cell r="AX133">
            <v>2471681099.4794698</v>
          </cell>
          <cell r="AY133">
            <v>3371391056.3811498</v>
          </cell>
          <cell r="AZ133">
            <v>4137452828.1251998</v>
          </cell>
          <cell r="BA133">
            <v>5449590187.7862501</v>
          </cell>
          <cell r="BB133">
            <v>4388014379.1708803</v>
          </cell>
          <cell r="BC133">
            <v>6609616683.6469498</v>
          </cell>
          <cell r="BD133">
            <v>9551980150.3861103</v>
          </cell>
          <cell r="BE133">
            <v>11343401728.590599</v>
          </cell>
          <cell r="BF133">
            <v>11871513598.842501</v>
          </cell>
          <cell r="BG133">
            <v>11232542815.8276</v>
          </cell>
          <cell r="BH133">
            <v>10652455443.034</v>
          </cell>
          <cell r="BI133">
            <v>10260105828.9319</v>
          </cell>
          <cell r="BJ133">
            <v>9872124817.2169209</v>
          </cell>
          <cell r="BK133">
            <v>11943636761.3041</v>
          </cell>
          <cell r="BL133">
            <v>12634360578.4014</v>
          </cell>
          <cell r="BM133">
            <v>12053017629.2894</v>
          </cell>
        </row>
        <row r="134">
          <cell r="B134" t="str">
            <v>MNE</v>
          </cell>
          <cell r="C134" t="str">
            <v>GNI (current US$)</v>
          </cell>
          <cell r="D134" t="str">
            <v>NY.GNP.MKTP.CD</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v>1034066685.1390001</v>
          </cell>
          <cell r="AT134">
            <v>1217862708.22139</v>
          </cell>
          <cell r="AU134">
            <v>1356512418.54755</v>
          </cell>
          <cell r="AV134">
            <v>1807140110.82212</v>
          </cell>
          <cell r="AW134">
            <v>2180314129.62503</v>
          </cell>
          <cell r="AX134">
            <v>2282062056.9580898</v>
          </cell>
          <cell r="AY134">
            <v>2767363567.9337602</v>
          </cell>
          <cell r="AZ134">
            <v>3723496304.40734</v>
          </cell>
          <cell r="BA134">
            <v>4612753771.7884903</v>
          </cell>
          <cell r="BB134">
            <v>4166797860.5168099</v>
          </cell>
          <cell r="BC134">
            <v>4114214370.93994</v>
          </cell>
          <cell r="BD134">
            <v>4581082544.5434303</v>
          </cell>
          <cell r="BE134">
            <v>4156885391.2373099</v>
          </cell>
          <cell r="BF134">
            <v>4551281731.27987</v>
          </cell>
          <cell r="BG134">
            <v>4648830171.1556301</v>
          </cell>
          <cell r="BH134">
            <v>4141686702.8945298</v>
          </cell>
          <cell r="BI134">
            <v>4412365597.34513</v>
          </cell>
          <cell r="BJ134">
            <v>4944091503.2679701</v>
          </cell>
          <cell r="BK134">
            <v>5569017587.34655</v>
          </cell>
          <cell r="BL134">
            <v>5604961150.9180498</v>
          </cell>
          <cell r="BM134">
            <v>4845766267.8062696</v>
          </cell>
        </row>
        <row r="135">
          <cell r="B135" t="str">
            <v>MAR</v>
          </cell>
          <cell r="C135" t="str">
            <v>GNI (current US$)</v>
          </cell>
          <cell r="D135" t="str">
            <v>NY.GNP.MKTP.CD</v>
          </cell>
          <cell r="E135">
            <v>2056911767.6119001</v>
          </cell>
          <cell r="F135">
            <v>2041498251.1609499</v>
          </cell>
          <cell r="G135">
            <v>2393439383.4601302</v>
          </cell>
          <cell r="H135">
            <v>2688864756.44699</v>
          </cell>
          <cell r="I135">
            <v>2839838434.9372602</v>
          </cell>
          <cell r="J135">
            <v>2919276751.3091602</v>
          </cell>
          <cell r="K135">
            <v>2835490781.5433302</v>
          </cell>
          <cell r="L135">
            <v>3010374468.9260001</v>
          </cell>
          <cell r="M135">
            <v>3224385179.3301101</v>
          </cell>
          <cell r="N135">
            <v>3608536705.8590999</v>
          </cell>
          <cell r="O135">
            <v>3944835945.0647202</v>
          </cell>
          <cell r="P135">
            <v>4328390158.4158401</v>
          </cell>
          <cell r="Q135">
            <v>5037326530.1686697</v>
          </cell>
          <cell r="R135">
            <v>6186623706.4452496</v>
          </cell>
          <cell r="S135">
            <v>7631661700.7643404</v>
          </cell>
          <cell r="T135">
            <v>8929566563.8494797</v>
          </cell>
          <cell r="U135">
            <v>9497330753.7392807</v>
          </cell>
          <cell r="V135">
            <v>10936369906.513</v>
          </cell>
          <cell r="W135">
            <v>13034088343.293301</v>
          </cell>
          <cell r="X135">
            <v>15622086199.379299</v>
          </cell>
          <cell r="Y135">
            <v>21280004470.863201</v>
          </cell>
          <cell r="Z135">
            <v>17210379096.340099</v>
          </cell>
          <cell r="AA135">
            <v>17066792827.4946</v>
          </cell>
          <cell r="AB135">
            <v>15692953074.684</v>
          </cell>
          <cell r="AC135">
            <v>14365668282.1633</v>
          </cell>
          <cell r="AD135">
            <v>14347548504.4221</v>
          </cell>
          <cell r="AE135">
            <v>18985087518.1231</v>
          </cell>
          <cell r="AF135">
            <v>21186724100.392399</v>
          </cell>
          <cell r="AG135">
            <v>24784028833.855099</v>
          </cell>
          <cell r="AH135">
            <v>25404130569.496498</v>
          </cell>
          <cell r="AI135">
            <v>29318875495.9174</v>
          </cell>
          <cell r="AJ135">
            <v>31295022190.062698</v>
          </cell>
          <cell r="AK135">
            <v>32789119126.259102</v>
          </cell>
          <cell r="AL135">
            <v>30612485009.1408</v>
          </cell>
          <cell r="AM135">
            <v>34592148679.778297</v>
          </cell>
          <cell r="AN135">
            <v>37800505819.672096</v>
          </cell>
          <cell r="AO135">
            <v>42112593409.745399</v>
          </cell>
          <cell r="AP135">
            <v>38172814275.217796</v>
          </cell>
          <cell r="AQ135">
            <v>41009198221.648399</v>
          </cell>
          <cell r="AR135">
            <v>40872937344.457603</v>
          </cell>
          <cell r="AS135">
            <v>38093597383.775703</v>
          </cell>
          <cell r="AT135">
            <v>38726668265.062401</v>
          </cell>
          <cell r="AU135">
            <v>41585350784.865303</v>
          </cell>
          <cell r="AV135">
            <v>51372062165.775398</v>
          </cell>
          <cell r="AW135">
            <v>59054249616.598999</v>
          </cell>
          <cell r="AX135">
            <v>62069051539.7631</v>
          </cell>
          <cell r="AY135">
            <v>68261901950.975502</v>
          </cell>
          <cell r="AZ135">
            <v>78758712449.4953</v>
          </cell>
          <cell r="BA135">
            <v>92310878288.582397</v>
          </cell>
          <cell r="BB135">
            <v>91615593699.966507</v>
          </cell>
          <cell r="BC135">
            <v>91932709214.465607</v>
          </cell>
          <cell r="BD135">
            <v>99660564407.470993</v>
          </cell>
          <cell r="BE135">
            <v>96282277131.333694</v>
          </cell>
          <cell r="BF135">
            <v>105369103563.14301</v>
          </cell>
          <cell r="BG135">
            <v>107502587345.205</v>
          </cell>
          <cell r="BH135">
            <v>99244697520.559601</v>
          </cell>
          <cell r="BI135">
            <v>101325516186.592</v>
          </cell>
          <cell r="BJ135">
            <v>107532707387.536</v>
          </cell>
          <cell r="BK135">
            <v>115794632488.467</v>
          </cell>
          <cell r="BL135">
            <v>117527687140.614</v>
          </cell>
          <cell r="BM135">
            <v>113027255496.588</v>
          </cell>
        </row>
        <row r="136">
          <cell r="B136" t="str">
            <v>MOZ</v>
          </cell>
          <cell r="C136" t="str">
            <v>GNI (current US$)</v>
          </cell>
          <cell r="D136" t="str">
            <v>NY.GNP.MKTP.CD</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v>3525806064.8309498</v>
          </cell>
          <cell r="AK136">
            <v>2501052610.6651802</v>
          </cell>
          <cell r="AL136">
            <v>2595134453.56461</v>
          </cell>
          <cell r="AM136">
            <v>2661523283.5425401</v>
          </cell>
          <cell r="AN136">
            <v>2788861562.6696801</v>
          </cell>
          <cell r="AO136">
            <v>3764399842.3900099</v>
          </cell>
          <cell r="AP136">
            <v>4563432187.5324898</v>
          </cell>
          <cell r="AQ136">
            <v>5134577518.4006205</v>
          </cell>
          <cell r="AR136">
            <v>5852608042.2071104</v>
          </cell>
          <cell r="AS136">
            <v>5463563110.7491903</v>
          </cell>
          <cell r="AT136">
            <v>5172729177.5343399</v>
          </cell>
          <cell r="AU136">
            <v>5073827409.4095802</v>
          </cell>
          <cell r="AV136">
            <v>6137885217.1573</v>
          </cell>
          <cell r="AW136">
            <v>7459677042.5086298</v>
          </cell>
          <cell r="AX136">
            <v>8182227349.2042799</v>
          </cell>
          <cell r="AY136">
            <v>8542436423.2622604</v>
          </cell>
          <cell r="AZ136">
            <v>9859266169.5104198</v>
          </cell>
          <cell r="BA136">
            <v>11914320634.058399</v>
          </cell>
          <cell r="BB136">
            <v>11632660407.801399</v>
          </cell>
          <cell r="BC136">
            <v>10744873392.599001</v>
          </cell>
          <cell r="BD136">
            <v>14126352399.2349</v>
          </cell>
          <cell r="BE136">
            <v>16275337948.0492</v>
          </cell>
          <cell r="BF136">
            <v>16915730890.4767</v>
          </cell>
          <cell r="BG136">
            <v>17514171455.727901</v>
          </cell>
          <cell r="BH136">
            <v>15650835893.2033</v>
          </cell>
          <cell r="BI136">
            <v>11676316877.6425</v>
          </cell>
          <cell r="BJ136">
            <v>12825576694.246901</v>
          </cell>
          <cell r="BK136">
            <v>14550327917.605301</v>
          </cell>
          <cell r="BL136">
            <v>15088735867.0289</v>
          </cell>
          <cell r="BM136">
            <v>13556748995.128901</v>
          </cell>
        </row>
        <row r="137">
          <cell r="B137" t="str">
            <v>MMR</v>
          </cell>
          <cell r="C137" t="str">
            <v>GNI (current US$)</v>
          </cell>
          <cell r="D137" t="str">
            <v>NY.GNP.MKTP.CD</v>
          </cell>
          <cell r="E137" t="str">
            <v>..</v>
          </cell>
          <cell r="F137">
            <v>582984702.54511297</v>
          </cell>
          <cell r="G137">
            <v>611752273.99888301</v>
          </cell>
          <cell r="H137">
            <v>659788890.45936406</v>
          </cell>
          <cell r="I137">
            <v>475663100.61145002</v>
          </cell>
          <cell r="J137">
            <v>403177498.95129299</v>
          </cell>
          <cell r="K137">
            <v>317858286.614173</v>
          </cell>
          <cell r="L137">
            <v>328266058.49582201</v>
          </cell>
          <cell r="M137">
            <v>531640661.28218198</v>
          </cell>
          <cell r="N137">
            <v>551951928.98730397</v>
          </cell>
          <cell r="O137">
            <v>579365768.40292704</v>
          </cell>
          <cell r="P137">
            <v>559162145.94594598</v>
          </cell>
          <cell r="Q137">
            <v>633507856.39491403</v>
          </cell>
          <cell r="R137">
            <v>665853308.96517801</v>
          </cell>
          <cell r="S137">
            <v>998690983.90558195</v>
          </cell>
          <cell r="T137">
            <v>1127193673.2542801</v>
          </cell>
          <cell r="U137">
            <v>1155028388.19523</v>
          </cell>
          <cell r="V137">
            <v>986525418.66722298</v>
          </cell>
          <cell r="W137">
            <v>899812161.96625698</v>
          </cell>
          <cell r="X137">
            <v>892206527.39459205</v>
          </cell>
          <cell r="Y137">
            <v>967272422.97764099</v>
          </cell>
          <cell r="Z137">
            <v>1016006903.28968</v>
          </cell>
          <cell r="AA137">
            <v>1249488922.42416</v>
          </cell>
          <cell r="AB137">
            <v>1368226960.93082</v>
          </cell>
          <cell r="AC137">
            <v>1273276806.8366799</v>
          </cell>
          <cell r="AD137">
            <v>1233880113.4577799</v>
          </cell>
          <cell r="AE137">
            <v>1503140301.05743</v>
          </cell>
          <cell r="AF137">
            <v>1351625902.1695399</v>
          </cell>
          <cell r="AG137">
            <v>1313848154.8896599</v>
          </cell>
          <cell r="AH137">
            <v>1630946304.11184</v>
          </cell>
          <cell r="AI137">
            <v>1852588679.95137</v>
          </cell>
          <cell r="AJ137">
            <v>1872666420.9660299</v>
          </cell>
          <cell r="AK137">
            <v>2072890541.3445699</v>
          </cell>
          <cell r="AL137">
            <v>2727375284.2944999</v>
          </cell>
          <cell r="AM137">
            <v>3751177100.9986701</v>
          </cell>
          <cell r="AN137">
            <v>4786792244.9103804</v>
          </cell>
          <cell r="AO137">
            <v>5698141401.6862001</v>
          </cell>
          <cell r="AP137">
            <v>5616418105.2034998</v>
          </cell>
          <cell r="AQ137">
            <v>4607665358.5802498</v>
          </cell>
          <cell r="AR137">
            <v>5649135271.5602999</v>
          </cell>
          <cell r="AS137">
            <v>6743397782.0241604</v>
          </cell>
          <cell r="AT137">
            <v>5808696131.2073202</v>
          </cell>
          <cell r="AU137">
            <v>5530730058.8381205</v>
          </cell>
          <cell r="AV137">
            <v>7114782622.5336704</v>
          </cell>
          <cell r="AW137">
            <v>8628139738.0992107</v>
          </cell>
          <cell r="AX137">
            <v>9205291981.7770405</v>
          </cell>
          <cell r="AY137">
            <v>10654968563.254601</v>
          </cell>
          <cell r="AZ137">
            <v>14402137758.030199</v>
          </cell>
          <cell r="BA137">
            <v>21471180926.620201</v>
          </cell>
          <cell r="BB137">
            <v>27677406714.6595</v>
          </cell>
          <cell r="BC137">
            <v>36071831318.294098</v>
          </cell>
          <cell r="BD137">
            <v>52369327028.697304</v>
          </cell>
          <cell r="BE137">
            <v>56233481899.6707</v>
          </cell>
          <cell r="BF137">
            <v>58467007157.222</v>
          </cell>
          <cell r="BG137">
            <v>60766338422.733902</v>
          </cell>
          <cell r="BH137">
            <v>60546862891.7435</v>
          </cell>
          <cell r="BI137">
            <v>58377651356.819801</v>
          </cell>
          <cell r="BJ137">
            <v>59776219878.790398</v>
          </cell>
          <cell r="BK137">
            <v>65147998557.0383</v>
          </cell>
          <cell r="BL137">
            <v>66388790330.346703</v>
          </cell>
          <cell r="BM137">
            <v>77673271416.750702</v>
          </cell>
        </row>
        <row r="138">
          <cell r="B138" t="str">
            <v>NAM</v>
          </cell>
          <cell r="C138" t="str">
            <v>GNI (current US$)</v>
          </cell>
          <cell r="D138" t="str">
            <v>NY.GNP.MKTP.CD</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v>2084345659.9897299</v>
          </cell>
          <cell r="Z138">
            <v>2134976754.78578</v>
          </cell>
          <cell r="AA138">
            <v>1971523024.49807</v>
          </cell>
          <cell r="AB138">
            <v>2212958890.5843301</v>
          </cell>
          <cell r="AC138">
            <v>1838557988.20579</v>
          </cell>
          <cell r="AD138">
            <v>1333549513.1691101</v>
          </cell>
          <cell r="AE138">
            <v>1570802188.18381</v>
          </cell>
          <cell r="AF138">
            <v>2203873428.2907701</v>
          </cell>
          <cell r="AG138">
            <v>2244843589.1796799</v>
          </cell>
          <cell r="AH138">
            <v>2417322301.4450798</v>
          </cell>
          <cell r="AI138">
            <v>2841879990.7239199</v>
          </cell>
          <cell r="AJ138">
            <v>3109435664.36099</v>
          </cell>
          <cell r="AK138">
            <v>3465157152.8751798</v>
          </cell>
          <cell r="AL138">
            <v>3274478593.5061402</v>
          </cell>
          <cell r="AM138">
            <v>3687902050.2421999</v>
          </cell>
          <cell r="AN138">
            <v>4099352843.86976</v>
          </cell>
          <cell r="AO138">
            <v>4017445537.6456599</v>
          </cell>
          <cell r="AP138">
            <v>4169054969.6180601</v>
          </cell>
          <cell r="AQ138">
            <v>3914077148.49049</v>
          </cell>
          <cell r="AR138">
            <v>3801604419.34692</v>
          </cell>
          <cell r="AS138">
            <v>3941875731.2890902</v>
          </cell>
          <cell r="AT138">
            <v>3545657006.45821</v>
          </cell>
          <cell r="AU138">
            <v>3395036430.2181101</v>
          </cell>
          <cell r="AV138">
            <v>5160233320.5546799</v>
          </cell>
          <cell r="AW138">
            <v>6690272009.5360498</v>
          </cell>
          <cell r="AX138">
            <v>7128945759.0440798</v>
          </cell>
          <cell r="AY138">
            <v>7932053612.3302498</v>
          </cell>
          <cell r="AZ138">
            <v>8567551457.2465401</v>
          </cell>
          <cell r="BA138">
            <v>8357805506.7440701</v>
          </cell>
          <cell r="BB138">
            <v>8658649692.5892906</v>
          </cell>
          <cell r="BC138">
            <v>10835913878.013201</v>
          </cell>
          <cell r="BD138">
            <v>12010789205.4795</v>
          </cell>
          <cell r="BE138">
            <v>12519782799.1896</v>
          </cell>
          <cell r="BF138">
            <v>12011968779.8074</v>
          </cell>
          <cell r="BG138">
            <v>12363521834.5646</v>
          </cell>
          <cell r="BH138">
            <v>11317069081.424299</v>
          </cell>
          <cell r="BI138">
            <v>10511238013.978001</v>
          </cell>
          <cell r="BJ138">
            <v>12661495881.2477</v>
          </cell>
          <cell r="BK138">
            <v>13176790341.4715</v>
          </cell>
          <cell r="BL138">
            <v>12189026902.632799</v>
          </cell>
          <cell r="BM138">
            <v>10490545619.650999</v>
          </cell>
        </row>
        <row r="139">
          <cell r="B139" t="str">
            <v>NRU</v>
          </cell>
          <cell r="C139" t="str">
            <v>GNI (current US$)</v>
          </cell>
          <cell r="D139" t="str">
            <v>NY.GNP.MKTP.CD</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v>57345283.185061201</v>
          </cell>
          <cell r="BD139">
            <v>80823720.7926649</v>
          </cell>
          <cell r="BE139">
            <v>117537533.512064</v>
          </cell>
          <cell r="BF139">
            <v>122667692.62337101</v>
          </cell>
          <cell r="BG139">
            <v>127288717.52501599</v>
          </cell>
          <cell r="BH139">
            <v>118229470.005824</v>
          </cell>
          <cell r="BI139">
            <v>135754840.58814999</v>
          </cell>
          <cell r="BJ139">
            <v>153178972.773211</v>
          </cell>
          <cell r="BK139">
            <v>166343694.287265</v>
          </cell>
          <cell r="BL139">
            <v>174653125.44700301</v>
          </cell>
          <cell r="BM139">
            <v>163560799.03472301</v>
          </cell>
        </row>
        <row r="140">
          <cell r="B140" t="str">
            <v>NPL</v>
          </cell>
          <cell r="C140" t="str">
            <v>GNI (current US$)</v>
          </cell>
          <cell r="D140" t="str">
            <v>NY.GNP.MKTP.CD</v>
          </cell>
          <cell r="E140">
            <v>508334413.965087</v>
          </cell>
          <cell r="F140">
            <v>531959561.62225997</v>
          </cell>
          <cell r="G140">
            <v>574091101.19438195</v>
          </cell>
          <cell r="H140">
            <v>496947904.44303298</v>
          </cell>
          <cell r="I140">
            <v>496098775.30864203</v>
          </cell>
          <cell r="J140">
            <v>735267082.29426396</v>
          </cell>
          <cell r="K140">
            <v>906811943.82464898</v>
          </cell>
          <cell r="L140">
            <v>841974025.462659</v>
          </cell>
          <cell r="M140">
            <v>772228643.40542805</v>
          </cell>
          <cell r="N140">
            <v>788641965.43209898</v>
          </cell>
          <cell r="O140">
            <v>865975308.64197505</v>
          </cell>
          <cell r="P140">
            <v>882765471.60493803</v>
          </cell>
          <cell r="Q140">
            <v>1024098804.93827</v>
          </cell>
          <cell r="R140">
            <v>972101724.995368</v>
          </cell>
          <cell r="S140">
            <v>1217953546.9760399</v>
          </cell>
          <cell r="T140">
            <v>1575789254.4693799</v>
          </cell>
          <cell r="U140">
            <v>1458105079.8476501</v>
          </cell>
          <cell r="V140">
            <v>1388295944</v>
          </cell>
          <cell r="W140">
            <v>1611275923.7429399</v>
          </cell>
          <cell r="X140">
            <v>1859541675</v>
          </cell>
          <cell r="Y140">
            <v>1958433283.3333299</v>
          </cell>
          <cell r="Z140">
            <v>2285666641.6666698</v>
          </cell>
          <cell r="AA140">
            <v>2407798149.3935699</v>
          </cell>
          <cell r="AB140">
            <v>2460439926.06285</v>
          </cell>
          <cell r="AC140">
            <v>2622156916.9675598</v>
          </cell>
          <cell r="AD140">
            <v>2620073953.2660298</v>
          </cell>
          <cell r="AE140">
            <v>2850774342.7346501</v>
          </cell>
          <cell r="AF140">
            <v>2956311182.3186998</v>
          </cell>
          <cell r="AG140">
            <v>3483739174.7902999</v>
          </cell>
          <cell r="AH140">
            <v>3531839445.71909</v>
          </cell>
          <cell r="AI140">
            <v>3640237859.7185402</v>
          </cell>
          <cell r="AJ140">
            <v>3934070319.9239802</v>
          </cell>
          <cell r="AK140">
            <v>3414418708.24053</v>
          </cell>
          <cell r="AL140">
            <v>3667791666.6666698</v>
          </cell>
          <cell r="AM140">
            <v>4078795918.3673501</v>
          </cell>
          <cell r="AN140">
            <v>4406568273.09237</v>
          </cell>
          <cell r="AO140">
            <v>4529380381.4713898</v>
          </cell>
          <cell r="AP140">
            <v>4926391916.5351601</v>
          </cell>
          <cell r="AQ140">
            <v>4863055044.3906403</v>
          </cell>
          <cell r="AR140">
            <v>5045642384.1059599</v>
          </cell>
          <cell r="AS140">
            <v>5514252207.9050198</v>
          </cell>
          <cell r="AT140">
            <v>6030204081.6326504</v>
          </cell>
          <cell r="AU140">
            <v>6042907941.5250902</v>
          </cell>
          <cell r="AV140">
            <v>6321779211.3257198</v>
          </cell>
          <cell r="AW140">
            <v>7251117010.6802101</v>
          </cell>
          <cell r="AX140">
            <v>8152824772.6429396</v>
          </cell>
          <cell r="AY140">
            <v>9112239663.6280499</v>
          </cell>
          <cell r="AZ140">
            <v>10431055151.622601</v>
          </cell>
          <cell r="BA140">
            <v>12667669492.112</v>
          </cell>
          <cell r="BB140">
            <v>13007811026.489901</v>
          </cell>
          <cell r="BC140">
            <v>16124973167.328501</v>
          </cell>
          <cell r="BD140">
            <v>21726165703.5476</v>
          </cell>
          <cell r="BE140">
            <v>21854815283.905602</v>
          </cell>
          <cell r="BF140">
            <v>22310906824.843399</v>
          </cell>
          <cell r="BG140">
            <v>23065081227.2967</v>
          </cell>
          <cell r="BH140">
            <v>24704978151.901798</v>
          </cell>
          <cell r="BI140">
            <v>24843832218.852901</v>
          </cell>
          <cell r="BJ140">
            <v>29263410536.940899</v>
          </cell>
          <cell r="BK140">
            <v>33328197839.214802</v>
          </cell>
          <cell r="BL140">
            <v>34539791622.431099</v>
          </cell>
          <cell r="BM140">
            <v>34053537648.91</v>
          </cell>
        </row>
        <row r="141">
          <cell r="B141" t="str">
            <v>NLD</v>
          </cell>
          <cell r="C141" t="str">
            <v>GNI (current US$)</v>
          </cell>
          <cell r="D141" t="str">
            <v>NY.GNP.MKTP.CD</v>
          </cell>
          <cell r="E141">
            <v>12340496161.8354</v>
          </cell>
          <cell r="F141">
            <v>13490675737.6313</v>
          </cell>
          <cell r="G141">
            <v>14760309969.8141</v>
          </cell>
          <cell r="H141">
            <v>15931171969.656099</v>
          </cell>
          <cell r="I141">
            <v>18753943053.3894</v>
          </cell>
          <cell r="J141">
            <v>21451053982.6343</v>
          </cell>
          <cell r="K141">
            <v>23337755345.539001</v>
          </cell>
          <cell r="L141">
            <v>25620952390.5117</v>
          </cell>
          <cell r="M141">
            <v>28376676299.5163</v>
          </cell>
          <cell r="N141">
            <v>34824886309.800003</v>
          </cell>
          <cell r="O141">
            <v>38928522554.331299</v>
          </cell>
          <cell r="P141">
            <v>45203860275.689201</v>
          </cell>
          <cell r="Q141">
            <v>55602897555.6166</v>
          </cell>
          <cell r="R141">
            <v>73697211887.119705</v>
          </cell>
          <cell r="S141">
            <v>86959807361.259094</v>
          </cell>
          <cell r="T141">
            <v>101113668525.619</v>
          </cell>
          <cell r="U141">
            <v>110890532588.765</v>
          </cell>
          <cell r="V141">
            <v>129379397503.81599</v>
          </cell>
          <cell r="W141">
            <v>157600850478.71301</v>
          </cell>
          <cell r="X141">
            <v>182056692299.242</v>
          </cell>
          <cell r="Y141">
            <v>196879814896.91901</v>
          </cell>
          <cell r="Z141">
            <v>164299473637.729</v>
          </cell>
          <cell r="AA141">
            <v>158621063794.66901</v>
          </cell>
          <cell r="AB141">
            <v>154386599490.38699</v>
          </cell>
          <cell r="AC141">
            <v>145276041208.79099</v>
          </cell>
          <cell r="AD141">
            <v>143326266587.04901</v>
          </cell>
          <cell r="AE141">
            <v>200364361395.935</v>
          </cell>
          <cell r="AF141">
            <v>247298053742.38501</v>
          </cell>
          <cell r="AG141">
            <v>263301806221.42899</v>
          </cell>
          <cell r="AH141">
            <v>260276123869.89499</v>
          </cell>
          <cell r="AI141">
            <v>316109690185.16302</v>
          </cell>
          <cell r="AJ141">
            <v>326604119519.09497</v>
          </cell>
          <cell r="AK141">
            <v>360533250626.56598</v>
          </cell>
          <cell r="AL141">
            <v>353718374466.065</v>
          </cell>
          <cell r="AM141">
            <v>381861375469.185</v>
          </cell>
          <cell r="AN141">
            <v>459224540214.10901</v>
          </cell>
          <cell r="AO141">
            <v>458048366013.07202</v>
          </cell>
          <cell r="AP141">
            <v>420930652812.28802</v>
          </cell>
          <cell r="AQ141">
            <v>436715174405.68799</v>
          </cell>
          <cell r="AR141">
            <v>453008736415.93903</v>
          </cell>
          <cell r="AS141">
            <v>423909157914.133</v>
          </cell>
          <cell r="AT141">
            <v>429185682326.62201</v>
          </cell>
          <cell r="AU141">
            <v>470351025785.80798</v>
          </cell>
          <cell r="AV141">
            <v>584950338600.45105</v>
          </cell>
          <cell r="AW141">
            <v>660891482493.17102</v>
          </cell>
          <cell r="AX141">
            <v>675626165899.76404</v>
          </cell>
          <cell r="AY141">
            <v>739051561911.93103</v>
          </cell>
          <cell r="AZ141">
            <v>847122912674.51404</v>
          </cell>
          <cell r="BA141">
            <v>921351984766.36902</v>
          </cell>
          <cell r="BB141">
            <v>859617949430.39697</v>
          </cell>
          <cell r="BC141">
            <v>849075274671.36902</v>
          </cell>
          <cell r="BD141">
            <v>916770951058.23206</v>
          </cell>
          <cell r="BE141">
            <v>853386175595.29199</v>
          </cell>
          <cell r="BF141">
            <v>888842645930.52905</v>
          </cell>
          <cell r="BG141">
            <v>888820061813.63794</v>
          </cell>
          <cell r="BH141">
            <v>765884918110.24597</v>
          </cell>
          <cell r="BI141">
            <v>771984382489.97095</v>
          </cell>
          <cell r="BJ141">
            <v>838128421741.07605</v>
          </cell>
          <cell r="BK141">
            <v>924061135417.36206</v>
          </cell>
          <cell r="BL141">
            <v>913991605105.88098</v>
          </cell>
          <cell r="BM141">
            <v>897972879129.96399</v>
          </cell>
        </row>
        <row r="142">
          <cell r="B142" t="str">
            <v>NCL</v>
          </cell>
          <cell r="C142" t="str">
            <v>GNI (current US$)</v>
          </cell>
          <cell r="D142" t="str">
            <v>NY.GNP.MKTP.CD</v>
          </cell>
          <cell r="E142">
            <v>103537003.228496</v>
          </cell>
          <cell r="F142">
            <v>117506797.588875</v>
          </cell>
          <cell r="G142">
            <v>100863343.96528</v>
          </cell>
          <cell r="H142">
            <v>112850229.88891999</v>
          </cell>
          <cell r="I142">
            <v>164206524.875157</v>
          </cell>
          <cell r="J142">
            <v>159594492.305776</v>
          </cell>
          <cell r="K142">
            <v>164206536.28272101</v>
          </cell>
          <cell r="L142">
            <v>180036767.47075999</v>
          </cell>
          <cell r="M142">
            <v>215507162.35574001</v>
          </cell>
          <cell r="N142">
            <v>263108841.07820499</v>
          </cell>
          <cell r="O142">
            <v>358815683.71657598</v>
          </cell>
          <cell r="P142">
            <v>413985777.670322</v>
          </cell>
          <cell r="Q142">
            <v>506808996.960657</v>
          </cell>
          <cell r="R142">
            <v>542293400.02654397</v>
          </cell>
          <cell r="S142">
            <v>637403479.72900999</v>
          </cell>
          <cell r="T142">
            <v>816652167.28513396</v>
          </cell>
          <cell r="U142">
            <v>798313524.68311095</v>
          </cell>
          <cell r="V142">
            <v>837620127.341416</v>
          </cell>
          <cell r="W142">
            <v>846004692.259462</v>
          </cell>
          <cell r="X142">
            <v>1047225724.4525</v>
          </cell>
          <cell r="Y142">
            <v>1182463958.6966</v>
          </cell>
          <cell r="Z142">
            <v>972564156.96673906</v>
          </cell>
          <cell r="AA142">
            <v>904599871.53446996</v>
          </cell>
          <cell r="AB142">
            <v>823857894.28843796</v>
          </cell>
          <cell r="AC142">
            <v>796066192.89798999</v>
          </cell>
          <cell r="AD142">
            <v>854820894.09776998</v>
          </cell>
          <cell r="AE142">
            <v>1201321509.29895</v>
          </cell>
          <cell r="AF142">
            <v>1488093104.52988</v>
          </cell>
          <cell r="AG142">
            <v>2072775508.28058</v>
          </cell>
          <cell r="AH142">
            <v>2185082943.5802102</v>
          </cell>
          <cell r="AI142">
            <v>2529440424.33462</v>
          </cell>
          <cell r="AJ142">
            <v>2653780677.0107298</v>
          </cell>
          <cell r="AK142">
            <v>2923883289.6371002</v>
          </cell>
          <cell r="AL142">
            <v>2822243775.1099</v>
          </cell>
          <cell r="AM142">
            <v>3038728391.4587798</v>
          </cell>
          <cell r="AN142">
            <v>3628440524.3927798</v>
          </cell>
          <cell r="AO142">
            <v>3606968436.3675799</v>
          </cell>
          <cell r="AP142">
            <v>3291131295.1518402</v>
          </cell>
          <cell r="AQ142">
            <v>3158399673.94414</v>
          </cell>
          <cell r="AR142">
            <v>3055992141.2457199</v>
          </cell>
          <cell r="AS142">
            <v>2687308214.3929601</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row>
        <row r="143">
          <cell r="B143" t="str">
            <v>NZL</v>
          </cell>
          <cell r="C143" t="str">
            <v>GNI (current US$)</v>
          </cell>
          <cell r="D143" t="str">
            <v>NY.GNP.MKTP.CD</v>
          </cell>
          <cell r="E143" t="str">
            <v>..</v>
          </cell>
          <cell r="F143" t="str">
            <v>..</v>
          </cell>
          <cell r="G143" t="str">
            <v>..</v>
          </cell>
          <cell r="H143" t="str">
            <v>..</v>
          </cell>
          <cell r="I143" t="str">
            <v>..</v>
          </cell>
          <cell r="J143" t="str">
            <v>..</v>
          </cell>
          <cell r="K143" t="str">
            <v>..</v>
          </cell>
          <cell r="L143" t="str">
            <v>..</v>
          </cell>
          <cell r="M143" t="str">
            <v>..</v>
          </cell>
          <cell r="N143" t="str">
            <v>..</v>
          </cell>
          <cell r="O143">
            <v>6412636353.4550304</v>
          </cell>
          <cell r="P143">
            <v>7813120600.1154099</v>
          </cell>
          <cell r="Q143">
            <v>9409200291.6869202</v>
          </cell>
          <cell r="R143">
            <v>12604047585.919001</v>
          </cell>
          <cell r="S143">
            <v>13749156094.870399</v>
          </cell>
          <cell r="T143">
            <v>12574716512.310801</v>
          </cell>
          <cell r="U143">
            <v>13177423031.9564</v>
          </cell>
          <cell r="V143">
            <v>14991687567.8878</v>
          </cell>
          <cell r="W143">
            <v>17921900083.612</v>
          </cell>
          <cell r="X143">
            <v>20201677852.348999</v>
          </cell>
          <cell r="Y143">
            <v>22650331982.242802</v>
          </cell>
          <cell r="Z143">
            <v>23760115727.25</v>
          </cell>
          <cell r="AA143">
            <v>23416367079.388199</v>
          </cell>
          <cell r="AB143">
            <v>23300593454.258701</v>
          </cell>
          <cell r="AC143">
            <v>20492766255.314701</v>
          </cell>
          <cell r="AD143">
            <v>23207174424.552399</v>
          </cell>
          <cell r="AE143">
            <v>29035704478.2425</v>
          </cell>
          <cell r="AF143">
            <v>38181866914.267998</v>
          </cell>
          <cell r="AG143">
            <v>43148725281.803497</v>
          </cell>
          <cell r="AH143">
            <v>41940281706.811897</v>
          </cell>
          <cell r="AI143">
            <v>43598530448.813698</v>
          </cell>
          <cell r="AJ143">
            <v>39869593180.2836</v>
          </cell>
          <cell r="AK143">
            <v>38955267971.076103</v>
          </cell>
          <cell r="AL143">
            <v>43406882915.767899</v>
          </cell>
          <cell r="AM143">
            <v>51562184504.5485</v>
          </cell>
          <cell r="AN143">
            <v>59902357863.974503</v>
          </cell>
          <cell r="AO143">
            <v>64917681420.840897</v>
          </cell>
          <cell r="AP143">
            <v>62114869822.8582</v>
          </cell>
          <cell r="AQ143">
            <v>53652208537.291397</v>
          </cell>
          <cell r="AR143">
            <v>55246277440.448402</v>
          </cell>
          <cell r="AS143">
            <v>49633497123.786903</v>
          </cell>
          <cell r="AT143">
            <v>51147130420.224297</v>
          </cell>
          <cell r="AU143">
            <v>63271338656.414803</v>
          </cell>
          <cell r="AV143">
            <v>84057378160.498398</v>
          </cell>
          <cell r="AW143">
            <v>98052032268.907593</v>
          </cell>
          <cell r="AX143">
            <v>107308148278.533</v>
          </cell>
          <cell r="AY143">
            <v>104049328837.3</v>
          </cell>
          <cell r="AZ143">
            <v>127403529065.922</v>
          </cell>
          <cell r="BA143">
            <v>123471466226.19</v>
          </cell>
          <cell r="BB143">
            <v>116398496470.735</v>
          </cell>
          <cell r="BC143">
            <v>139234529484.60999</v>
          </cell>
          <cell r="BD143">
            <v>160662996074.09698</v>
          </cell>
          <cell r="BE143">
            <v>168872425032.44199</v>
          </cell>
          <cell r="BF143">
            <v>183381859703.57001</v>
          </cell>
          <cell r="BG143">
            <v>193204670519.59201</v>
          </cell>
          <cell r="BH143">
            <v>172157195209.121</v>
          </cell>
          <cell r="BI143">
            <v>182860860757.73099</v>
          </cell>
          <cell r="BJ143">
            <v>199194086293.36499</v>
          </cell>
          <cell r="BK143">
            <v>204641221004.319</v>
          </cell>
          <cell r="BL143">
            <v>207570382936.67099</v>
          </cell>
          <cell r="BM143">
            <v>203803178806.686</v>
          </cell>
        </row>
        <row r="144">
          <cell r="B144" t="str">
            <v>NIC</v>
          </cell>
          <cell r="C144" t="str">
            <v>GNI (current US$)</v>
          </cell>
          <cell r="D144" t="str">
            <v>NY.GNP.MKTP.CD</v>
          </cell>
          <cell r="E144">
            <v>218139677.95238101</v>
          </cell>
          <cell r="F144">
            <v>234021347.095238</v>
          </cell>
          <cell r="G144">
            <v>257843911.14285699</v>
          </cell>
          <cell r="H144">
            <v>285403285.85714298</v>
          </cell>
          <cell r="I144">
            <v>331647060.809524</v>
          </cell>
          <cell r="J144">
            <v>545115729</v>
          </cell>
          <cell r="K144">
            <v>575244301.64285696</v>
          </cell>
          <cell r="L144">
            <v>620028578.78571403</v>
          </cell>
          <cell r="M144">
            <v>647328549.21428597</v>
          </cell>
          <cell r="N144">
            <v>697971449.35714304</v>
          </cell>
          <cell r="O144">
            <v>715157107.57142901</v>
          </cell>
          <cell r="P144">
            <v>763715697.14285696</v>
          </cell>
          <cell r="Q144">
            <v>809414317.57142901</v>
          </cell>
          <cell r="R144">
            <v>996428579.07142901</v>
          </cell>
          <cell r="S144">
            <v>1395187186.3571401</v>
          </cell>
          <cell r="T144">
            <v>1471858524.8571401</v>
          </cell>
          <cell r="U144">
            <v>1703585652.42857</v>
          </cell>
          <cell r="V144">
            <v>2096999915.57143</v>
          </cell>
          <cell r="W144">
            <v>1947842878.92857</v>
          </cell>
          <cell r="X144">
            <v>1389968426.5789499</v>
          </cell>
          <cell r="Y144">
            <v>2061452630.3157899</v>
          </cell>
          <cell r="Z144">
            <v>2269890114.6999998</v>
          </cell>
          <cell r="AA144">
            <v>2305860830.3913002</v>
          </cell>
          <cell r="AB144">
            <v>2567008386.0416698</v>
          </cell>
          <cell r="AC144">
            <v>2924068816.7586198</v>
          </cell>
          <cell r="AD144">
            <v>2515016295.1860499</v>
          </cell>
          <cell r="AE144">
            <v>2820223190.9271498</v>
          </cell>
          <cell r="AF144">
            <v>3830433728.0135698</v>
          </cell>
          <cell r="AG144">
            <v>2263859575.6331902</v>
          </cell>
          <cell r="AH144">
            <v>800872559.37837398</v>
          </cell>
          <cell r="AI144">
            <v>987778064.51612902</v>
          </cell>
          <cell r="AJ144">
            <v>1158737525.7732</v>
          </cell>
          <cell r="AK144">
            <v>1297400000</v>
          </cell>
          <cell r="AL144">
            <v>1324754248.36601</v>
          </cell>
          <cell r="AM144">
            <v>3388877083.3333302</v>
          </cell>
          <cell r="AN144">
            <v>3769952071.71315</v>
          </cell>
          <cell r="AO144">
            <v>3984051902.7860098</v>
          </cell>
          <cell r="AP144">
            <v>4125265587.7901402</v>
          </cell>
          <cell r="AQ144">
            <v>4449967227.6769304</v>
          </cell>
          <cell r="AR144">
            <v>4658917874.6824703</v>
          </cell>
          <cell r="AS144">
            <v>4905529007.0922003</v>
          </cell>
          <cell r="AT144">
            <v>5082846568.6785002</v>
          </cell>
          <cell r="AU144">
            <v>5018313017.5438604</v>
          </cell>
          <cell r="AV144">
            <v>5124254283.6334801</v>
          </cell>
          <cell r="AW144">
            <v>5603468204.6453199</v>
          </cell>
          <cell r="AX144">
            <v>6171335217.7992401</v>
          </cell>
          <cell r="AY144">
            <v>6547827132.6697302</v>
          </cell>
          <cell r="AZ144">
            <v>7227921782.2587204</v>
          </cell>
          <cell r="BA144">
            <v>8277746607.19909</v>
          </cell>
          <cell r="BB144">
            <v>8048780215.8361797</v>
          </cell>
          <cell r="BC144">
            <v>8514391699.9119701</v>
          </cell>
          <cell r="BD144">
            <v>9505563241.6619492</v>
          </cell>
          <cell r="BE144">
            <v>10116207345.403</v>
          </cell>
          <cell r="BF144">
            <v>10448779992.557501</v>
          </cell>
          <cell r="BG144">
            <v>11432534071.1663</v>
          </cell>
          <cell r="BH144">
            <v>12267705834.874201</v>
          </cell>
          <cell r="BI144">
            <v>12651884567.275801</v>
          </cell>
          <cell r="BJ144">
            <v>13074175641.994101</v>
          </cell>
          <cell r="BK144">
            <v>12373039739.2341</v>
          </cell>
          <cell r="BL144">
            <v>12144818040.7407</v>
          </cell>
          <cell r="BM144">
            <v>12258005206.437599</v>
          </cell>
        </row>
        <row r="145">
          <cell r="B145" t="str">
            <v>NER</v>
          </cell>
          <cell r="C145" t="str">
            <v>GNI (current US$)</v>
          </cell>
          <cell r="D145" t="str">
            <v>NY.GNP.MKTP.CD</v>
          </cell>
          <cell r="E145">
            <v>450750752.23636299</v>
          </cell>
          <cell r="F145">
            <v>487417354.88161302</v>
          </cell>
          <cell r="G145">
            <v>533373629.82263499</v>
          </cell>
          <cell r="H145">
            <v>583845617.68110204</v>
          </cell>
          <cell r="I145">
            <v>580367055.16775298</v>
          </cell>
          <cell r="J145">
            <v>671343376.68718302</v>
          </cell>
          <cell r="K145">
            <v>700663887.83059502</v>
          </cell>
          <cell r="L145">
            <v>659489477.07101905</v>
          </cell>
          <cell r="M145">
            <v>640214211.07290304</v>
          </cell>
          <cell r="N145">
            <v>623467923.60072994</v>
          </cell>
          <cell r="O145">
            <v>648416708.78510404</v>
          </cell>
          <cell r="P145">
            <v>692268616.86577201</v>
          </cell>
          <cell r="Q145">
            <v>741694033.90739703</v>
          </cell>
          <cell r="R145">
            <v>946742673.93844104</v>
          </cell>
          <cell r="S145">
            <v>1020046516.74853</v>
          </cell>
          <cell r="T145">
            <v>1039256097.50976</v>
          </cell>
          <cell r="U145">
            <v>1060730156.24575</v>
          </cell>
          <cell r="V145">
            <v>1290953250.5127599</v>
          </cell>
          <cell r="W145">
            <v>1744549915.6015899</v>
          </cell>
          <cell r="X145">
            <v>2051935317.8050599</v>
          </cell>
          <cell r="Y145">
            <v>2475600873.9130502</v>
          </cell>
          <cell r="Z145">
            <v>2101504433.9725101</v>
          </cell>
          <cell r="AA145">
            <v>1945902831.4429801</v>
          </cell>
          <cell r="AB145">
            <v>1762371706.7384701</v>
          </cell>
          <cell r="AC145">
            <v>1406830498.30796</v>
          </cell>
          <cell r="AD145">
            <v>1398278918.8070199</v>
          </cell>
          <cell r="AE145">
            <v>1886598039.4789701</v>
          </cell>
          <cell r="AF145">
            <v>2171449261.0883298</v>
          </cell>
          <cell r="AG145">
            <v>2234695494.8863201</v>
          </cell>
          <cell r="AH145">
            <v>2197434980.21838</v>
          </cell>
          <cell r="AI145">
            <v>3536335227.74751</v>
          </cell>
          <cell r="AJ145">
            <v>3309124415.9572101</v>
          </cell>
          <cell r="AK145">
            <v>3411197113.0197501</v>
          </cell>
          <cell r="AL145">
            <v>3075789892.8036399</v>
          </cell>
          <cell r="AM145">
            <v>1947256690.55035</v>
          </cell>
          <cell r="AN145">
            <v>2321200346.4300399</v>
          </cell>
          <cell r="AO145">
            <v>2458045760.31703</v>
          </cell>
          <cell r="AP145">
            <v>2343959387.2832799</v>
          </cell>
          <cell r="AQ145">
            <v>2741213607.9591599</v>
          </cell>
          <cell r="AR145">
            <v>2639592205.3807998</v>
          </cell>
          <cell r="AS145">
            <v>2336466339.8610001</v>
          </cell>
          <cell r="AT145">
            <v>2562005989.3688898</v>
          </cell>
          <cell r="AU145">
            <v>2922900597.6821499</v>
          </cell>
          <cell r="AV145">
            <v>3555180479.5124102</v>
          </cell>
          <cell r="AW145">
            <v>3991628414.6031599</v>
          </cell>
          <cell r="AX145">
            <v>4657521343.9937601</v>
          </cell>
          <cell r="AY145">
            <v>5051726445.6412497</v>
          </cell>
          <cell r="AZ145">
            <v>6067305139.3999205</v>
          </cell>
          <cell r="BA145">
            <v>7693546934.52915</v>
          </cell>
          <cell r="BB145">
            <v>7756099637.3753099</v>
          </cell>
          <cell r="BC145">
            <v>8283686239.51408</v>
          </cell>
          <cell r="BD145">
            <v>9327273319.6448803</v>
          </cell>
          <cell r="BE145">
            <v>9746583206.7883606</v>
          </cell>
          <cell r="BF145">
            <v>10626393682.6432</v>
          </cell>
          <cell r="BG145">
            <v>11351530351.450001</v>
          </cell>
          <cell r="BH145">
            <v>10161941991.3375</v>
          </cell>
          <cell r="BI145">
            <v>10734605106.6679</v>
          </cell>
          <cell r="BJ145">
            <v>11600277119.3375</v>
          </cell>
          <cell r="BK145">
            <v>13405989147.2896</v>
          </cell>
          <cell r="BL145">
            <v>13479237976.245501</v>
          </cell>
          <cell r="BM145">
            <v>13156292048.4515</v>
          </cell>
        </row>
        <row r="146">
          <cell r="B146" t="str">
            <v>NGA</v>
          </cell>
          <cell r="C146" t="str">
            <v>GNI (current US$)</v>
          </cell>
          <cell r="D146" t="str">
            <v>NY.GNP.MKTP.CD</v>
          </cell>
          <cell r="E146">
            <v>4173704185.9162798</v>
          </cell>
          <cell r="F146">
            <v>4446060618.7876196</v>
          </cell>
          <cell r="G146">
            <v>4874318493.6301298</v>
          </cell>
          <cell r="H146">
            <v>5104474450.5109901</v>
          </cell>
          <cell r="I146">
            <v>5445079518.4096298</v>
          </cell>
          <cell r="J146">
            <v>5654066918.6616297</v>
          </cell>
          <cell r="K146">
            <v>6116477670.4465904</v>
          </cell>
          <cell r="L146">
            <v>5113537729.24541</v>
          </cell>
          <cell r="M146">
            <v>5042139157.2168598</v>
          </cell>
          <cell r="N146">
            <v>6422091558.1688404</v>
          </cell>
          <cell r="O146">
            <v>12081058378.832399</v>
          </cell>
          <cell r="P146">
            <v>8516814159.2920399</v>
          </cell>
          <cell r="Q146">
            <v>11325027808.6763</v>
          </cell>
          <cell r="R146">
            <v>14091212871.2871</v>
          </cell>
          <cell r="S146">
            <v>23982256020.278801</v>
          </cell>
          <cell r="T146">
            <v>27138861985.472198</v>
          </cell>
          <cell r="U146">
            <v>35472588832.487297</v>
          </cell>
          <cell r="V146">
            <v>35665236051.502098</v>
          </cell>
          <cell r="W146">
            <v>36380141843.971603</v>
          </cell>
          <cell r="X146">
            <v>46958810572.687202</v>
          </cell>
          <cell r="Y146">
            <v>61078927458.492996</v>
          </cell>
          <cell r="Z146">
            <v>162909448003.974</v>
          </cell>
          <cell r="AA146">
            <v>141697907374.67801</v>
          </cell>
          <cell r="AB146">
            <v>96418336867.1474</v>
          </cell>
          <cell r="AC146">
            <v>72700132671.299103</v>
          </cell>
          <cell r="AD146">
            <v>72722578125.2827</v>
          </cell>
          <cell r="AE146">
            <v>53381786191.1101</v>
          </cell>
          <cell r="AF146">
            <v>50281208776.6502</v>
          </cell>
          <cell r="AG146">
            <v>49138056722.634102</v>
          </cell>
          <cell r="AH146">
            <v>41917040743.465103</v>
          </cell>
          <cell r="AI146">
            <v>51148259884.486603</v>
          </cell>
          <cell r="AJ146">
            <v>46662252243.403</v>
          </cell>
          <cell r="AK146">
            <v>44845451752.9515</v>
          </cell>
          <cell r="AL146">
            <v>25405868779.2495</v>
          </cell>
          <cell r="AM146">
            <v>31479810394.032101</v>
          </cell>
          <cell r="AN146">
            <v>41841871712.620796</v>
          </cell>
          <cell r="AO146">
            <v>48844965092.5</v>
          </cell>
          <cell r="AP146">
            <v>52221675469.5588</v>
          </cell>
          <cell r="AQ146">
            <v>51777584259.090897</v>
          </cell>
          <cell r="AR146">
            <v>57896917103.557503</v>
          </cell>
          <cell r="AS146">
            <v>63300677661.0588</v>
          </cell>
          <cell r="AT146">
            <v>69935153290.485703</v>
          </cell>
          <cell r="AU146">
            <v>89288351910.212601</v>
          </cell>
          <cell r="AV146">
            <v>97252235901.825104</v>
          </cell>
          <cell r="AW146">
            <v>126528078859.64101</v>
          </cell>
          <cell r="AX146">
            <v>162766907206.513</v>
          </cell>
          <cell r="AY146">
            <v>231461223634.82199</v>
          </cell>
          <cell r="AZ146">
            <v>263777314184.06299</v>
          </cell>
          <cell r="BA146">
            <v>324211843442.76703</v>
          </cell>
          <cell r="BB146">
            <v>280289820640.55298</v>
          </cell>
          <cell r="BC146">
            <v>342044487937.60498</v>
          </cell>
          <cell r="BD146">
            <v>382505530443.44501</v>
          </cell>
          <cell r="BE146">
            <v>433602575171.35303</v>
          </cell>
          <cell r="BF146">
            <v>483482844447.01202</v>
          </cell>
          <cell r="BG146">
            <v>528433752407.48199</v>
          </cell>
          <cell r="BH146">
            <v>473995544973.34698</v>
          </cell>
          <cell r="BI146">
            <v>395951113112.974</v>
          </cell>
          <cell r="BJ146">
            <v>364253893587.84003</v>
          </cell>
          <cell r="BK146">
            <v>378866757024</v>
          </cell>
          <cell r="BL146">
            <v>433449464744</v>
          </cell>
          <cell r="BM146">
            <v>416521073586.08398</v>
          </cell>
        </row>
        <row r="147">
          <cell r="B147" t="str">
            <v>MKD</v>
          </cell>
          <cell r="C147" t="str">
            <v>GNI (current US$)</v>
          </cell>
          <cell r="D147" t="str">
            <v>NY.GNP.MKTP.CD</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v>4644646643.10954</v>
          </cell>
          <cell r="AJ147">
            <v>4909775510.2040796</v>
          </cell>
          <cell r="AK147">
            <v>2364849341.9760399</v>
          </cell>
          <cell r="AL147">
            <v>2625765896.5517201</v>
          </cell>
          <cell r="AM147">
            <v>3512967602.9512401</v>
          </cell>
          <cell r="AN147">
            <v>4667239180.8203402</v>
          </cell>
          <cell r="AO147">
            <v>4590722613.9350796</v>
          </cell>
          <cell r="AP147">
            <v>3858807483.47616</v>
          </cell>
          <cell r="AQ147">
            <v>3712081370.9450898</v>
          </cell>
          <cell r="AR147">
            <v>3791493467.69346</v>
          </cell>
          <cell r="AS147">
            <v>3702840604.2737999</v>
          </cell>
          <cell r="AT147">
            <v>3682393507.3658299</v>
          </cell>
          <cell r="AU147">
            <v>3972613684.8910198</v>
          </cell>
          <cell r="AV147">
            <v>4886353168.0359602</v>
          </cell>
          <cell r="AW147">
            <v>5647498904.0657797</v>
          </cell>
          <cell r="AX147">
            <v>6149435137.7838898</v>
          </cell>
          <cell r="AY147">
            <v>6833758957.6613998</v>
          </cell>
          <cell r="AZ147">
            <v>7947225279.3439703</v>
          </cell>
          <cell r="BA147">
            <v>9789795391.1965504</v>
          </cell>
          <cell r="BB147">
            <v>9334909674.6982994</v>
          </cell>
          <cell r="BC147">
            <v>9276084673.8976097</v>
          </cell>
          <cell r="BD147">
            <v>10307356014.361</v>
          </cell>
          <cell r="BE147">
            <v>9534175860.2472706</v>
          </cell>
          <cell r="BF147">
            <v>10561397094.1022</v>
          </cell>
          <cell r="BG147">
            <v>11149665289.1761</v>
          </cell>
          <cell r="BH147">
            <v>9747426793.9809608</v>
          </cell>
          <cell r="BI147">
            <v>10247930610.406601</v>
          </cell>
          <cell r="BJ147">
            <v>10859369693.8654</v>
          </cell>
          <cell r="BK147">
            <v>12150992858.938601</v>
          </cell>
          <cell r="BL147">
            <v>12024670956.8458</v>
          </cell>
          <cell r="BM147">
            <v>11793965385.091299</v>
          </cell>
        </row>
        <row r="148">
          <cell r="B148" t="str">
            <v>MNP</v>
          </cell>
          <cell r="C148" t="str">
            <v>GNI (current US$)</v>
          </cell>
          <cell r="D148" t="str">
            <v>NY.GNP.MKTP.CD</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row>
        <row r="149">
          <cell r="B149" t="str">
            <v>NOR</v>
          </cell>
          <cell r="C149" t="str">
            <v>GNI (current US$)</v>
          </cell>
          <cell r="D149" t="str">
            <v>NY.GNP.MKTP.CD</v>
          </cell>
          <cell r="E149">
            <v>5084204568.3882599</v>
          </cell>
          <cell r="F149">
            <v>5547154346.08214</v>
          </cell>
          <cell r="G149">
            <v>5972829731.11026</v>
          </cell>
          <cell r="H149">
            <v>6402078125.8562803</v>
          </cell>
          <cell r="I149">
            <v>7037565272.1581202</v>
          </cell>
          <cell r="J149">
            <v>7923305118.2126198</v>
          </cell>
          <cell r="K149">
            <v>8548028760.0181799</v>
          </cell>
          <cell r="L149">
            <v>9350560019.9788303</v>
          </cell>
          <cell r="M149">
            <v>9993457688.5981197</v>
          </cell>
          <cell r="N149">
            <v>10908141153.0259</v>
          </cell>
          <cell r="O149">
            <v>12705257528.4548</v>
          </cell>
          <cell r="P149">
            <v>14487652461.061001</v>
          </cell>
          <cell r="Q149">
            <v>17216432561.245899</v>
          </cell>
          <cell r="R149">
            <v>22349024593.2915</v>
          </cell>
          <cell r="S149">
            <v>26858788021.012001</v>
          </cell>
          <cell r="T149">
            <v>32519475214.754398</v>
          </cell>
          <cell r="U149">
            <v>35367894804.361801</v>
          </cell>
          <cell r="V149">
            <v>40553304217.150398</v>
          </cell>
          <cell r="W149">
            <v>45126757339.3358</v>
          </cell>
          <cell r="X149">
            <v>51304674078.316002</v>
          </cell>
          <cell r="Y149">
            <v>62526320051.830299</v>
          </cell>
          <cell r="Z149">
            <v>61708162731.945297</v>
          </cell>
          <cell r="AA149">
            <v>60686705918.809998</v>
          </cell>
          <cell r="AB149">
            <v>59858834493.7229</v>
          </cell>
          <cell r="AC149">
            <v>60446364026.220703</v>
          </cell>
          <cell r="AD149">
            <v>64293490904.015297</v>
          </cell>
          <cell r="AE149">
            <v>77475083505.754105</v>
          </cell>
          <cell r="AF149">
            <v>92914730983.302399</v>
          </cell>
          <cell r="AG149">
            <v>99454657050.790207</v>
          </cell>
          <cell r="AH149">
            <v>99913244985.154602</v>
          </cell>
          <cell r="AI149">
            <v>116416281930.444</v>
          </cell>
          <cell r="AJ149">
            <v>118015857100.989</v>
          </cell>
          <cell r="AK149">
            <v>128092686459.088</v>
          </cell>
          <cell r="AL149">
            <v>117849621516.47099</v>
          </cell>
          <cell r="AM149">
            <v>125010060077.08</v>
          </cell>
          <cell r="AN149">
            <v>150184051016.54199</v>
          </cell>
          <cell r="AO149">
            <v>161663617476.51099</v>
          </cell>
          <cell r="AP149">
            <v>159654762914.58099</v>
          </cell>
          <cell r="AQ149">
            <v>152405932326.94101</v>
          </cell>
          <cell r="AR149">
            <v>160884193250.59</v>
          </cell>
          <cell r="AS149">
            <v>168899543275.23901</v>
          </cell>
          <cell r="AT149">
            <v>174052403883.582</v>
          </cell>
          <cell r="AU149">
            <v>196057516470.853</v>
          </cell>
          <cell r="AV149">
            <v>230161294878.67599</v>
          </cell>
          <cell r="AW149">
            <v>265019285544.742</v>
          </cell>
          <cell r="AX149">
            <v>312276755917.73401</v>
          </cell>
          <cell r="AY149">
            <v>345844417070.77502</v>
          </cell>
          <cell r="AZ149">
            <v>399726018049.37097</v>
          </cell>
          <cell r="BA149">
            <v>460207269503.54602</v>
          </cell>
          <cell r="BB149">
            <v>388393047405.49902</v>
          </cell>
          <cell r="BC149">
            <v>433407803667.448</v>
          </cell>
          <cell r="BD149">
            <v>503062006966.59802</v>
          </cell>
          <cell r="BE149">
            <v>513830167597.76501</v>
          </cell>
          <cell r="BF149">
            <v>528332085106.383</v>
          </cell>
          <cell r="BG149">
            <v>514173340386.14099</v>
          </cell>
          <cell r="BH149">
            <v>401834328820.91498</v>
          </cell>
          <cell r="BI149">
            <v>384963571428.57098</v>
          </cell>
          <cell r="BJ149">
            <v>413028249042.91699</v>
          </cell>
          <cell r="BK149">
            <v>453416661543.19098</v>
          </cell>
          <cell r="BL149">
            <v>417278863636.36401</v>
          </cell>
          <cell r="BM149">
            <v>378698291884.23798</v>
          </cell>
        </row>
        <row r="150">
          <cell r="B150" t="str">
            <v>OMN</v>
          </cell>
          <cell r="C150" t="str">
            <v>GNI (current US$)</v>
          </cell>
          <cell r="D150" t="str">
            <v>NY.GNP.MKTP.CD</v>
          </cell>
          <cell r="E150" t="str">
            <v>..</v>
          </cell>
          <cell r="F150" t="str">
            <v>..</v>
          </cell>
          <cell r="G150" t="str">
            <v>..</v>
          </cell>
          <cell r="H150" t="str">
            <v>..</v>
          </cell>
          <cell r="I150" t="str">
            <v>..</v>
          </cell>
          <cell r="J150">
            <v>63287594.5113414</v>
          </cell>
          <cell r="K150">
            <v>67768132.175861105</v>
          </cell>
          <cell r="L150">
            <v>97210715.272024304</v>
          </cell>
          <cell r="M150">
            <v>142788576.913847</v>
          </cell>
          <cell r="N150">
            <v>184065274.778018</v>
          </cell>
          <cell r="O150">
            <v>212622990.16078699</v>
          </cell>
          <cell r="P150">
            <v>252887391.72281</v>
          </cell>
          <cell r="Q150">
            <v>291297550.80771202</v>
          </cell>
          <cell r="R150">
            <v>304248645.56601101</v>
          </cell>
          <cell r="S150">
            <v>1354950781.7023699</v>
          </cell>
          <cell r="T150">
            <v>1801389403.59004</v>
          </cell>
          <cell r="U150">
            <v>2345396641.5749898</v>
          </cell>
          <cell r="V150">
            <v>2581644759.6989002</v>
          </cell>
          <cell r="W150">
            <v>2627099305.15345</v>
          </cell>
          <cell r="X150">
            <v>3584250144.7596998</v>
          </cell>
          <cell r="Y150">
            <v>5724956861.6097298</v>
          </cell>
          <cell r="Z150">
            <v>7020556166.7631702</v>
          </cell>
          <cell r="AA150">
            <v>7401853213.6653204</v>
          </cell>
          <cell r="AB150">
            <v>7749276491.0249004</v>
          </cell>
          <cell r="AC150">
            <v>8605964678.6334705</v>
          </cell>
          <cell r="AD150">
            <v>9679791256.5141907</v>
          </cell>
          <cell r="AE150">
            <v>7252618062.82722</v>
          </cell>
          <cell r="AF150">
            <v>7721716254.8764601</v>
          </cell>
          <cell r="AG150">
            <v>8071521456.4369297</v>
          </cell>
          <cell r="AH150">
            <v>9121976592.97789</v>
          </cell>
          <cell r="AI150">
            <v>11379937581.274401</v>
          </cell>
          <cell r="AJ150">
            <v>11159924057.217199</v>
          </cell>
          <cell r="AK150">
            <v>12055676723.016899</v>
          </cell>
          <cell r="AL150">
            <v>12107013784.135201</v>
          </cell>
          <cell r="AM150">
            <v>12499412743.823099</v>
          </cell>
          <cell r="AN150">
            <v>13406047854.3563</v>
          </cell>
          <cell r="AO150">
            <v>14791601040.312099</v>
          </cell>
          <cell r="AP150">
            <v>15300702470.741199</v>
          </cell>
          <cell r="AQ150">
            <v>13494964109.2328</v>
          </cell>
          <cell r="AR150">
            <v>14935458777.633301</v>
          </cell>
          <cell r="AS150">
            <v>18670001300.390099</v>
          </cell>
          <cell r="AT150">
            <v>18500114954.486301</v>
          </cell>
          <cell r="AU150">
            <v>19177866579.973999</v>
          </cell>
          <cell r="AV150">
            <v>21092745903.771099</v>
          </cell>
          <cell r="AW150">
            <v>24373595838.751598</v>
          </cell>
          <cell r="AX150">
            <v>30059885045.513699</v>
          </cell>
          <cell r="AY150">
            <v>36549979973.992203</v>
          </cell>
          <cell r="AZ150">
            <v>41281738361.508499</v>
          </cell>
          <cell r="BA150">
            <v>58146024707.412201</v>
          </cell>
          <cell r="BB150">
            <v>45465086605.981796</v>
          </cell>
          <cell r="BC150">
            <v>53331791417.425201</v>
          </cell>
          <cell r="BD150">
            <v>73359687906.371902</v>
          </cell>
          <cell r="BE150">
            <v>82903511053.315994</v>
          </cell>
          <cell r="BF150">
            <v>86700650195.058502</v>
          </cell>
          <cell r="BG150">
            <v>88412743823.146896</v>
          </cell>
          <cell r="BH150">
            <v>76462938881.664505</v>
          </cell>
          <cell r="BI150">
            <v>73062418725.617706</v>
          </cell>
          <cell r="BJ150">
            <v>77688426527.958405</v>
          </cell>
          <cell r="BK150">
            <v>86227568270.481094</v>
          </cell>
          <cell r="BL150">
            <v>81918595578.673599</v>
          </cell>
          <cell r="BM150">
            <v>68579453836.150803</v>
          </cell>
        </row>
        <row r="151">
          <cell r="B151" t="str">
            <v>PAK</v>
          </cell>
          <cell r="C151" t="str">
            <v>GNI (current US$)</v>
          </cell>
          <cell r="D151" t="str">
            <v>NY.GNP.MKTP.CD</v>
          </cell>
          <cell r="E151">
            <v>3743805557.3288498</v>
          </cell>
          <cell r="F151">
            <v>4113188163.79672</v>
          </cell>
          <cell r="G151">
            <v>4304913711.4657698</v>
          </cell>
          <cell r="H151">
            <v>4618647397.7320499</v>
          </cell>
          <cell r="I151">
            <v>5191095684.1663198</v>
          </cell>
          <cell r="J151">
            <v>5904242167.1566601</v>
          </cell>
          <cell r="K151">
            <v>6530659168.4166298</v>
          </cell>
          <cell r="L151">
            <v>7414511761.4447699</v>
          </cell>
          <cell r="M151">
            <v>7976000544.3091097</v>
          </cell>
          <cell r="N151">
            <v>8608117913.4817295</v>
          </cell>
          <cell r="O151">
            <v>9933511425.4514904</v>
          </cell>
          <cell r="P151">
            <v>10602710262.9147</v>
          </cell>
          <cell r="Q151">
            <v>9280297318.4088192</v>
          </cell>
          <cell r="R151">
            <v>6304783732.1479197</v>
          </cell>
          <cell r="S151">
            <v>8825591919.1919193</v>
          </cell>
          <cell r="T151">
            <v>11135306065.4545</v>
          </cell>
          <cell r="U151">
            <v>13023880817.7778</v>
          </cell>
          <cell r="V151">
            <v>14945208942.3671</v>
          </cell>
          <cell r="W151">
            <v>17630257535.7145</v>
          </cell>
          <cell r="X151">
            <v>19454758400.7729</v>
          </cell>
          <cell r="Y151">
            <v>23372307730.040298</v>
          </cell>
          <cell r="Z151">
            <v>27838462487.4744</v>
          </cell>
          <cell r="AA151">
            <v>30403618323.613201</v>
          </cell>
          <cell r="AB151">
            <v>28268946910.186298</v>
          </cell>
          <cell r="AC151">
            <v>30706971613.570599</v>
          </cell>
          <cell r="AD151">
            <v>30636427793.304798</v>
          </cell>
          <cell r="AE151">
            <v>31255404416.569</v>
          </cell>
          <cell r="AF151">
            <v>32653162967.403702</v>
          </cell>
          <cell r="AG151">
            <v>37638850724.085403</v>
          </cell>
          <cell r="AH151">
            <v>39281967545.475197</v>
          </cell>
          <cell r="AI151">
            <v>39037984570.819298</v>
          </cell>
          <cell r="AJ151">
            <v>44456418830.356003</v>
          </cell>
          <cell r="AK151">
            <v>47608413397.631203</v>
          </cell>
          <cell r="AL151">
            <v>50299012145.108002</v>
          </cell>
          <cell r="AM151">
            <v>50683413485.095802</v>
          </cell>
          <cell r="AN151">
            <v>58850661626.452202</v>
          </cell>
          <cell r="AO151">
            <v>61353009810.831596</v>
          </cell>
          <cell r="AP151">
            <v>60247003571.198997</v>
          </cell>
          <cell r="AQ151">
            <v>59853183245.963898</v>
          </cell>
          <cell r="AR151">
            <v>61165855718.887398</v>
          </cell>
          <cell r="AS151">
            <v>79997743416.284103</v>
          </cell>
          <cell r="AT151">
            <v>77324403984.884903</v>
          </cell>
          <cell r="AU151">
            <v>77585985384.865204</v>
          </cell>
          <cell r="AV151">
            <v>89549542940.071701</v>
          </cell>
          <cell r="AW151">
            <v>105552683863.123</v>
          </cell>
          <cell r="AX151">
            <v>117669281992.533</v>
          </cell>
          <cell r="AY151">
            <v>134597061106.043</v>
          </cell>
          <cell r="AZ151">
            <v>148803716311.91599</v>
          </cell>
          <cell r="BA151">
            <v>166154814106.30499</v>
          </cell>
          <cell r="BB151">
            <v>163745775283.03201</v>
          </cell>
          <cell r="BC151">
            <v>173883635077.065</v>
          </cell>
          <cell r="BD151">
            <v>210570413183.996</v>
          </cell>
          <cell r="BE151">
            <v>221138620829.57001</v>
          </cell>
          <cell r="BF151">
            <v>227549567178.979</v>
          </cell>
          <cell r="BG151">
            <v>240405888750.80701</v>
          </cell>
          <cell r="BH151">
            <v>265957131701.17099</v>
          </cell>
          <cell r="BI151">
            <v>273309637737.69</v>
          </cell>
          <cell r="BJ151">
            <v>299553253219.09698</v>
          </cell>
          <cell r="BK151">
            <v>309130541558.33899</v>
          </cell>
          <cell r="BL151">
            <v>273446605818.638</v>
          </cell>
          <cell r="BM151">
            <v>257151004622.62299</v>
          </cell>
        </row>
        <row r="152">
          <cell r="B152" t="str">
            <v>PLW</v>
          </cell>
          <cell r="C152" t="str">
            <v>GNI (current US$)</v>
          </cell>
          <cell r="D152" t="str">
            <v>NY.GNP.MKTP.CD</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v>163487600</v>
          </cell>
          <cell r="AT152">
            <v>176651900</v>
          </cell>
          <cell r="AU152">
            <v>183768900</v>
          </cell>
          <cell r="AV152">
            <v>168765600</v>
          </cell>
          <cell r="AW152">
            <v>177862900</v>
          </cell>
          <cell r="AX152">
            <v>207038900</v>
          </cell>
          <cell r="AY152">
            <v>211444600</v>
          </cell>
          <cell r="AZ152">
            <v>221524400</v>
          </cell>
          <cell r="BA152">
            <v>222070100</v>
          </cell>
          <cell r="BB152">
            <v>202576600</v>
          </cell>
          <cell r="BC152">
            <v>201656100</v>
          </cell>
          <cell r="BD152">
            <v>213211100</v>
          </cell>
          <cell r="BE152">
            <v>230547900</v>
          </cell>
          <cell r="BF152">
            <v>240525000</v>
          </cell>
          <cell r="BG152">
            <v>260028100</v>
          </cell>
          <cell r="BH152">
            <v>302277700</v>
          </cell>
          <cell r="BI152">
            <v>323893500</v>
          </cell>
          <cell r="BJ152">
            <v>303597100</v>
          </cell>
          <cell r="BK152">
            <v>305978900</v>
          </cell>
          <cell r="BL152">
            <v>292047700</v>
          </cell>
          <cell r="BM152">
            <v>262400000</v>
          </cell>
        </row>
        <row r="153">
          <cell r="B153" t="str">
            <v>PAN</v>
          </cell>
          <cell r="C153" t="str">
            <v>GNI (current US$)</v>
          </cell>
          <cell r="D153" t="str">
            <v>NY.GNP.MKTP.CD</v>
          </cell>
          <cell r="E153">
            <v>476969600</v>
          </cell>
          <cell r="F153">
            <v>535851800</v>
          </cell>
          <cell r="G153">
            <v>585984500</v>
          </cell>
          <cell r="H153">
            <v>651251500</v>
          </cell>
          <cell r="I153">
            <v>703985400</v>
          </cell>
          <cell r="J153">
            <v>761567000</v>
          </cell>
          <cell r="K153">
            <v>830854100</v>
          </cell>
          <cell r="L153">
            <v>919886800</v>
          </cell>
          <cell r="M153">
            <v>988582800</v>
          </cell>
          <cell r="N153">
            <v>1087902200</v>
          </cell>
          <cell r="O153">
            <v>1205311900</v>
          </cell>
          <cell r="P153">
            <v>1359929100</v>
          </cell>
          <cell r="Q153">
            <v>1494068100</v>
          </cell>
          <cell r="R153">
            <v>1705515700</v>
          </cell>
          <cell r="S153">
            <v>1938411000</v>
          </cell>
          <cell r="T153">
            <v>2206931300</v>
          </cell>
          <cell r="U153">
            <v>2303264100</v>
          </cell>
          <cell r="V153">
            <v>2778461900</v>
          </cell>
          <cell r="W153">
            <v>3311658600</v>
          </cell>
          <cell r="X153">
            <v>3741951600</v>
          </cell>
          <cell r="Y153">
            <v>4217386400</v>
          </cell>
          <cell r="Z153">
            <v>4705621500</v>
          </cell>
          <cell r="AA153">
            <v>5445367900</v>
          </cell>
          <cell r="AB153">
            <v>5838755900</v>
          </cell>
          <cell r="AC153">
            <v>5878087100</v>
          </cell>
          <cell r="AD153">
            <v>6390017100</v>
          </cell>
          <cell r="AE153">
            <v>6382234200</v>
          </cell>
          <cell r="AF153">
            <v>7004265300</v>
          </cell>
          <cell r="AG153">
            <v>5814883400</v>
          </cell>
          <cell r="AH153">
            <v>5652069800</v>
          </cell>
          <cell r="AI153">
            <v>6178567000</v>
          </cell>
          <cell r="AJ153">
            <v>6642275500</v>
          </cell>
          <cell r="AK153">
            <v>7641337700</v>
          </cell>
          <cell r="AL153">
            <v>8496985400</v>
          </cell>
          <cell r="AM153">
            <v>9142989800</v>
          </cell>
          <cell r="AN153">
            <v>9107913700</v>
          </cell>
          <cell r="AO153">
            <v>9621294000</v>
          </cell>
          <cell r="AP153">
            <v>10277686100</v>
          </cell>
          <cell r="AQ153">
            <v>11058186400</v>
          </cell>
          <cell r="AR153">
            <v>11439152200</v>
          </cell>
          <cell r="AS153">
            <v>11743915000</v>
          </cell>
          <cell r="AT153">
            <v>11911913400</v>
          </cell>
          <cell r="AU153">
            <v>12722010400</v>
          </cell>
          <cell r="AV153">
            <v>12885281200</v>
          </cell>
          <cell r="AW153">
            <v>13992981700</v>
          </cell>
          <cell r="AX153">
            <v>15207493900</v>
          </cell>
          <cell r="AY153">
            <v>16840666300</v>
          </cell>
          <cell r="AZ153">
            <v>20041684230.256401</v>
          </cell>
          <cell r="BA153">
            <v>23648788616.321999</v>
          </cell>
          <cell r="BB153">
            <v>25668635565.174198</v>
          </cell>
          <cell r="BC153">
            <v>27128987581.267502</v>
          </cell>
          <cell r="BD153">
            <v>32772224301.177299</v>
          </cell>
          <cell r="BE153">
            <v>37691434384.218399</v>
          </cell>
          <cell r="BF153">
            <v>42692594004.887299</v>
          </cell>
          <cell r="BG153">
            <v>45567364365.320396</v>
          </cell>
          <cell r="BH153">
            <v>50640813775.5634</v>
          </cell>
          <cell r="BI153">
            <v>53770544466.419197</v>
          </cell>
          <cell r="BJ153">
            <v>58442879412.4646</v>
          </cell>
          <cell r="BK153">
            <v>60383646744.126602</v>
          </cell>
          <cell r="BL153">
            <v>62482129503.990997</v>
          </cell>
          <cell r="BM153">
            <v>52307035334.022903</v>
          </cell>
        </row>
        <row r="154">
          <cell r="B154" t="str">
            <v>PNG</v>
          </cell>
          <cell r="C154" t="str">
            <v>GNI (current US$)</v>
          </cell>
          <cell r="D154" t="str">
            <v>NY.GNP.MKTP.CD</v>
          </cell>
          <cell r="E154">
            <v>228032256.62867999</v>
          </cell>
          <cell r="F154">
            <v>242032258.63191199</v>
          </cell>
          <cell r="G154">
            <v>259056261.06784201</v>
          </cell>
          <cell r="H154">
            <v>273728263.16723001</v>
          </cell>
          <cell r="I154">
            <v>302288043.25379199</v>
          </cell>
          <cell r="J154">
            <v>341023630.86571801</v>
          </cell>
          <cell r="K154">
            <v>388845335.42390001</v>
          </cell>
          <cell r="L154">
            <v>439802777.46668202</v>
          </cell>
          <cell r="M154">
            <v>481464665.69604701</v>
          </cell>
          <cell r="N154">
            <v>544181655.28054702</v>
          </cell>
          <cell r="O154">
            <v>625826072.34852695</v>
          </cell>
          <cell r="P154">
            <v>682601042.13864994</v>
          </cell>
          <cell r="Q154">
            <v>815329341.31736505</v>
          </cell>
          <cell r="R154">
            <v>1217014344.5533299</v>
          </cell>
          <cell r="S154">
            <v>1359552174.5371001</v>
          </cell>
          <cell r="T154">
            <v>1284199371.6454999</v>
          </cell>
          <cell r="U154">
            <v>1460897956.6094899</v>
          </cell>
          <cell r="V154">
            <v>1607025524.3871601</v>
          </cell>
          <cell r="W154">
            <v>1920581182.1131301</v>
          </cell>
          <cell r="X154">
            <v>2240236161.8432102</v>
          </cell>
          <cell r="Y154">
            <v>2486212550.3055601</v>
          </cell>
          <cell r="Z154">
            <v>2410846953.9375901</v>
          </cell>
          <cell r="AA154">
            <v>2249289099.5260701</v>
          </cell>
          <cell r="AB154">
            <v>2419806243.2723398</v>
          </cell>
          <cell r="AC154">
            <v>2471511350.9904299</v>
          </cell>
          <cell r="AD154">
            <v>2334699690.0929699</v>
          </cell>
          <cell r="AE154">
            <v>2573810994.44101</v>
          </cell>
          <cell r="AF154">
            <v>3000110034.1447301</v>
          </cell>
          <cell r="AG154">
            <v>3515165494.1759901</v>
          </cell>
          <cell r="AH154">
            <v>3412552398.6958499</v>
          </cell>
          <cell r="AI154">
            <v>3096329347.4963799</v>
          </cell>
          <cell r="AJ154">
            <v>3663550420.1680698</v>
          </cell>
          <cell r="AK154">
            <v>3979218121.5011401</v>
          </cell>
          <cell r="AL154">
            <v>4540892886.3450499</v>
          </cell>
          <cell r="AM154">
            <v>5097500696.5174103</v>
          </cell>
          <cell r="AN154">
            <v>4369966397.2459202</v>
          </cell>
          <cell r="AO154">
            <v>4694307814.8710203</v>
          </cell>
          <cell r="AP154">
            <v>4612875950.0732203</v>
          </cell>
          <cell r="AQ154">
            <v>3523699121.0605502</v>
          </cell>
          <cell r="AR154">
            <v>3191756597.0854702</v>
          </cell>
          <cell r="AS154">
            <v>3302783383.9699101</v>
          </cell>
          <cell r="AT154">
            <v>2831562398.1270199</v>
          </cell>
          <cell r="AU154">
            <v>2773645401.20439</v>
          </cell>
          <cell r="AV154">
            <v>3129731125.3060198</v>
          </cell>
          <cell r="AW154">
            <v>3558965608.2192602</v>
          </cell>
          <cell r="AX154">
            <v>4527603062.5403004</v>
          </cell>
          <cell r="AY154">
            <v>7530645140.1838598</v>
          </cell>
          <cell r="AZ154">
            <v>8824974640.0027008</v>
          </cell>
          <cell r="BA154">
            <v>11026790711.455099</v>
          </cell>
          <cell r="BB154">
            <v>10764021487.4233</v>
          </cell>
          <cell r="BC154">
            <v>13182430368.1094</v>
          </cell>
          <cell r="BD154">
            <v>16272984521.299</v>
          </cell>
          <cell r="BE154">
            <v>20198065703.589901</v>
          </cell>
          <cell r="BF154">
            <v>19541616707.507198</v>
          </cell>
          <cell r="BG154">
            <v>22808959941.4967</v>
          </cell>
          <cell r="BH154">
            <v>21327883145.499199</v>
          </cell>
          <cell r="BI154">
            <v>20529201244.813301</v>
          </cell>
          <cell r="BJ154">
            <v>22294230776.467602</v>
          </cell>
          <cell r="BK154">
            <v>23492325519.9636</v>
          </cell>
          <cell r="BL154">
            <v>23707267061.430801</v>
          </cell>
          <cell r="BM154">
            <v>24398606581.310398</v>
          </cell>
        </row>
        <row r="155">
          <cell r="B155" t="str">
            <v>PRY</v>
          </cell>
          <cell r="C155" t="str">
            <v>GNI (current US$)</v>
          </cell>
          <cell r="D155" t="str">
            <v>NY.GNP.MKTP.CD</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v>8166091975.0180798</v>
          </cell>
          <cell r="AO155">
            <v>9310333280.5655403</v>
          </cell>
          <cell r="AP155">
            <v>9139996178.0371609</v>
          </cell>
          <cell r="AQ155">
            <v>8512178072.4301205</v>
          </cell>
          <cell r="AR155">
            <v>8101865235.5028896</v>
          </cell>
          <cell r="AS155">
            <v>7742095639.5657301</v>
          </cell>
          <cell r="AT155">
            <v>7572514932.1834497</v>
          </cell>
          <cell r="AU155">
            <v>6598205156.8333101</v>
          </cell>
          <cell r="AV155">
            <v>6543430199.28895</v>
          </cell>
          <cell r="AW155">
            <v>8342338548.6511202</v>
          </cell>
          <cell r="AX155">
            <v>9363307348.1735897</v>
          </cell>
          <cell r="AY155">
            <v>12108691921.232</v>
          </cell>
          <cell r="AZ155">
            <v>16861852700.6516</v>
          </cell>
          <cell r="BA155">
            <v>23506694214.447601</v>
          </cell>
          <cell r="BB155">
            <v>21277002586.990299</v>
          </cell>
          <cell r="BC155">
            <v>25927250691.278599</v>
          </cell>
          <cell r="BD155">
            <v>32568075087.316002</v>
          </cell>
          <cell r="BE155">
            <v>31850971774.555302</v>
          </cell>
          <cell r="BF155">
            <v>37109784638.502899</v>
          </cell>
          <cell r="BG155">
            <v>38917389088.660202</v>
          </cell>
          <cell r="BH155">
            <v>34850583192.793297</v>
          </cell>
          <cell r="BI155">
            <v>34643025809.283897</v>
          </cell>
          <cell r="BJ155">
            <v>37707318407.149696</v>
          </cell>
          <cell r="BK155">
            <v>38877225540.755096</v>
          </cell>
          <cell r="BL155">
            <v>36774393698.014503</v>
          </cell>
          <cell r="BM155">
            <v>34595478133.647903</v>
          </cell>
        </row>
        <row r="156">
          <cell r="B156" t="str">
            <v>PER</v>
          </cell>
          <cell r="C156" t="str">
            <v>GNI (current US$)</v>
          </cell>
          <cell r="D156" t="str">
            <v>NY.GNP.MKTP.CD</v>
          </cell>
          <cell r="E156">
            <v>2433616415.3406601</v>
          </cell>
          <cell r="F156">
            <v>2754451316.1194</v>
          </cell>
          <cell r="G156">
            <v>3148119558.7574601</v>
          </cell>
          <cell r="H156">
            <v>3457707023.0074601</v>
          </cell>
          <cell r="I156">
            <v>4177829472.33955</v>
          </cell>
          <cell r="J156">
            <v>4976015912.2388096</v>
          </cell>
          <cell r="K156">
            <v>5864723969.04105</v>
          </cell>
          <cell r="L156">
            <v>5936541574.16887</v>
          </cell>
          <cell r="M156">
            <v>5461022189.7829504</v>
          </cell>
          <cell r="N156">
            <v>6112812905.3720903</v>
          </cell>
          <cell r="O156">
            <v>7154120641.8656301</v>
          </cell>
          <cell r="P156">
            <v>8013653511.4625301</v>
          </cell>
          <cell r="Q156">
            <v>8880977670.4651203</v>
          </cell>
          <cell r="R156">
            <v>10594850492.111099</v>
          </cell>
          <cell r="S156">
            <v>13396771926.832001</v>
          </cell>
          <cell r="T156">
            <v>16295122538.106199</v>
          </cell>
          <cell r="U156">
            <v>15243564005.340401</v>
          </cell>
          <cell r="V156">
            <v>14267400584.5191</v>
          </cell>
          <cell r="W156">
            <v>11977106294.5912</v>
          </cell>
          <cell r="X156">
            <v>15070330430.307199</v>
          </cell>
          <cell r="Y156">
            <v>17310339581.043999</v>
          </cell>
          <cell r="Z156">
            <v>20732312502.162899</v>
          </cell>
          <cell r="AA156">
            <v>20862312378.4958</v>
          </cell>
          <cell r="AB156">
            <v>16295935576.346001</v>
          </cell>
          <cell r="AC156">
            <v>16503996562.1521</v>
          </cell>
          <cell r="AD156">
            <v>15651964463.5061</v>
          </cell>
          <cell r="AE156">
            <v>14213641930.2148</v>
          </cell>
          <cell r="AF156">
            <v>19485860399.382999</v>
          </cell>
          <cell r="AG156">
            <v>13993512557.8276</v>
          </cell>
          <cell r="AH156">
            <v>20917466460.592602</v>
          </cell>
          <cell r="AI156">
            <v>24799606361.439499</v>
          </cell>
          <cell r="AJ156">
            <v>33468062732.9991</v>
          </cell>
          <cell r="AK156">
            <v>34897208893.154198</v>
          </cell>
          <cell r="AL156">
            <v>33653695691.518799</v>
          </cell>
          <cell r="AM156">
            <v>43150876479.694</v>
          </cell>
          <cell r="AN156">
            <v>51082699264.119202</v>
          </cell>
          <cell r="AO156">
            <v>53618138247.157997</v>
          </cell>
          <cell r="AP156">
            <v>56604257319.819801</v>
          </cell>
          <cell r="AQ156">
            <v>54566466136.410202</v>
          </cell>
          <cell r="AR156">
            <v>49318340700.251099</v>
          </cell>
          <cell r="AS156">
            <v>50584450184.819</v>
          </cell>
          <cell r="AT156">
            <v>51181349334.397499</v>
          </cell>
          <cell r="AU156">
            <v>53584601500.980797</v>
          </cell>
          <cell r="AV156">
            <v>56867481145.090797</v>
          </cell>
          <cell r="AW156">
            <v>63395270900.462799</v>
          </cell>
          <cell r="AX156">
            <v>71336034731.701401</v>
          </cell>
          <cell r="AY156">
            <v>81483192756.367203</v>
          </cell>
          <cell r="AZ156">
            <v>94276765739.852997</v>
          </cell>
          <cell r="BA156">
            <v>112244779384.121</v>
          </cell>
          <cell r="BB156">
            <v>113307549299.515</v>
          </cell>
          <cell r="BC156">
            <v>136692860429.71899</v>
          </cell>
          <cell r="BD156">
            <v>159083185069.53299</v>
          </cell>
          <cell r="BE156">
            <v>180516378525.93301</v>
          </cell>
          <cell r="BF156">
            <v>190810170620.67401</v>
          </cell>
          <cell r="BG156">
            <v>191698485382.177</v>
          </cell>
          <cell r="BH156">
            <v>183306117321.944</v>
          </cell>
          <cell r="BI156">
            <v>183938549968.89001</v>
          </cell>
          <cell r="BJ156">
            <v>201299187241.22101</v>
          </cell>
          <cell r="BK156">
            <v>211454999087.203</v>
          </cell>
          <cell r="BL156">
            <v>218650106373.41599</v>
          </cell>
          <cell r="BM156">
            <v>195843944032.733</v>
          </cell>
        </row>
        <row r="157">
          <cell r="B157" t="str">
            <v>PHL</v>
          </cell>
          <cell r="C157" t="str">
            <v>GNI (current US$)</v>
          </cell>
          <cell r="D157" t="str">
            <v>NY.GNP.MKTP.CD</v>
          </cell>
          <cell r="E157">
            <v>7421002779.5338497</v>
          </cell>
          <cell r="F157">
            <v>8118829007.7118301</v>
          </cell>
          <cell r="G157">
            <v>4940010781.4426403</v>
          </cell>
          <cell r="H157">
            <v>5488624587.5762596</v>
          </cell>
          <cell r="I157">
            <v>5932089999.5945501</v>
          </cell>
          <cell r="J157">
            <v>6486298413.9890003</v>
          </cell>
          <cell r="K157">
            <v>7166992041.6442604</v>
          </cell>
          <cell r="L157">
            <v>7700727781.3052597</v>
          </cell>
          <cell r="M157">
            <v>8535003115.5134897</v>
          </cell>
          <cell r="N157">
            <v>9493158985.9468193</v>
          </cell>
          <cell r="O157">
            <v>7429105042.3143997</v>
          </cell>
          <cell r="P157">
            <v>8273784804.8176498</v>
          </cell>
          <cell r="Q157">
            <v>8940643688.1837006</v>
          </cell>
          <cell r="R157">
            <v>11297921308.252399</v>
          </cell>
          <cell r="S157">
            <v>15553025264.9585</v>
          </cell>
          <cell r="T157">
            <v>16749540687.2076</v>
          </cell>
          <cell r="U157">
            <v>19127647202.574799</v>
          </cell>
          <cell r="V157">
            <v>22142184583.307098</v>
          </cell>
          <cell r="W157">
            <v>25626078438.8778</v>
          </cell>
          <cell r="X157">
            <v>30995506609.580601</v>
          </cell>
          <cell r="Y157">
            <v>36409241039.883003</v>
          </cell>
          <cell r="Z157">
            <v>39972641929.160202</v>
          </cell>
          <cell r="AA157">
            <v>41162011274.795502</v>
          </cell>
          <cell r="AB157">
            <v>36900236560.081802</v>
          </cell>
          <cell r="AC157">
            <v>34255202014.441502</v>
          </cell>
          <cell r="AD157">
            <v>33644562435.866299</v>
          </cell>
          <cell r="AE157">
            <v>32666180178.838799</v>
          </cell>
          <cell r="AF157">
            <v>36570444301.204697</v>
          </cell>
          <cell r="AG157">
            <v>41940079249.107803</v>
          </cell>
          <cell r="AH157">
            <v>47026736945.845497</v>
          </cell>
          <cell r="AI157">
            <v>49764286540.182198</v>
          </cell>
          <cell r="AJ157">
            <v>51576206877.380898</v>
          </cell>
          <cell r="AK157">
            <v>61008309030.446602</v>
          </cell>
          <cell r="AL157">
            <v>62960626930.2052</v>
          </cell>
          <cell r="AM157">
            <v>75009243253.217606</v>
          </cell>
          <cell r="AN157">
            <v>86974214782.117493</v>
          </cell>
          <cell r="AO157">
            <v>97930032029.725204</v>
          </cell>
          <cell r="AP157">
            <v>98787176850.492203</v>
          </cell>
          <cell r="AQ157">
            <v>84891176637.642502</v>
          </cell>
          <cell r="AR157">
            <v>97095990780.019699</v>
          </cell>
          <cell r="AS157">
            <v>91557963717.661194</v>
          </cell>
          <cell r="AT157">
            <v>86478481179.622101</v>
          </cell>
          <cell r="AU157">
            <v>92344832930.260696</v>
          </cell>
          <cell r="AV157">
            <v>95230466641.330002</v>
          </cell>
          <cell r="AW157">
            <v>103863745525.95599</v>
          </cell>
          <cell r="AX157">
            <v>117903897296.022</v>
          </cell>
          <cell r="AY157">
            <v>139394079215.73499</v>
          </cell>
          <cell r="AZ157">
            <v>169989241293.306</v>
          </cell>
          <cell r="BA157">
            <v>198638840927.909</v>
          </cell>
          <cell r="BB157">
            <v>196297236880.685</v>
          </cell>
          <cell r="BC157">
            <v>231747261340.68701</v>
          </cell>
          <cell r="BD157">
            <v>259495562183.26599</v>
          </cell>
          <cell r="BE157">
            <v>290823705324.328</v>
          </cell>
          <cell r="BF157">
            <v>317287900881.58698</v>
          </cell>
          <cell r="BG157">
            <v>331766002714.25702</v>
          </cell>
          <cell r="BH157">
            <v>341467125998.84003</v>
          </cell>
          <cell r="BI157">
            <v>354012408635.04797</v>
          </cell>
          <cell r="BJ157">
            <v>364718842229.836</v>
          </cell>
          <cell r="BK157">
            <v>383817158605.73401</v>
          </cell>
          <cell r="BL157">
            <v>414552151965.98999</v>
          </cell>
          <cell r="BM157">
            <v>389323888010.06</v>
          </cell>
        </row>
        <row r="158">
          <cell r="B158" t="str">
            <v>POL</v>
          </cell>
          <cell r="C158" t="str">
            <v>GNI (current US$)</v>
          </cell>
          <cell r="D158" t="str">
            <v>NY.GNP.MKTP.CD</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v>62591748994.570297</v>
          </cell>
          <cell r="AJ158">
            <v>82606835490.881607</v>
          </cell>
          <cell r="AK158">
            <v>90171446702.369598</v>
          </cell>
          <cell r="AL158">
            <v>92438625186.001602</v>
          </cell>
          <cell r="AM158">
            <v>108240868922.427</v>
          </cell>
          <cell r="AN158">
            <v>140298969072.16501</v>
          </cell>
          <cell r="AO158">
            <v>159117614331.81299</v>
          </cell>
          <cell r="AP158">
            <v>158231939743.23801</v>
          </cell>
          <cell r="AQ158">
            <v>173500604246.99301</v>
          </cell>
          <cell r="AR158">
            <v>169020695218.16901</v>
          </cell>
          <cell r="AS158">
            <v>171490531741.10101</v>
          </cell>
          <cell r="AT158">
            <v>190292874764.89401</v>
          </cell>
          <cell r="AU158">
            <v>198401960784.314</v>
          </cell>
          <cell r="AV158">
            <v>215722660769.84399</v>
          </cell>
          <cell r="AW158">
            <v>246979713473.31601</v>
          </cell>
          <cell r="AX158">
            <v>300725081131.20099</v>
          </cell>
          <cell r="AY158">
            <v>337277004382.573</v>
          </cell>
          <cell r="AZ158">
            <v>414518588099.28101</v>
          </cell>
          <cell r="BA158">
            <v>524094720239.08398</v>
          </cell>
          <cell r="BB158">
            <v>426436973173.93701</v>
          </cell>
          <cell r="BC158">
            <v>462731403177.13</v>
          </cell>
          <cell r="BD158">
            <v>509270284865.66803</v>
          </cell>
          <cell r="BE158">
            <v>479854752034.39301</v>
          </cell>
          <cell r="BF158">
            <v>503416439916.47198</v>
          </cell>
          <cell r="BG158">
            <v>522165477888.72998</v>
          </cell>
          <cell r="BH158">
            <v>460399787770.26099</v>
          </cell>
          <cell r="BI158">
            <v>454019224916.30298</v>
          </cell>
          <cell r="BJ158">
            <v>504663562035.29797</v>
          </cell>
          <cell r="BK158">
            <v>563134258105.60095</v>
          </cell>
          <cell r="BL158">
            <v>572790279731.20801</v>
          </cell>
          <cell r="BM158">
            <v>574989614585.73706</v>
          </cell>
        </row>
        <row r="159">
          <cell r="B159" t="str">
            <v>PRT</v>
          </cell>
          <cell r="C159" t="str">
            <v>GNI (current US$)</v>
          </cell>
          <cell r="D159" t="str">
            <v>NY.GNP.MKTP.CD</v>
          </cell>
          <cell r="E159">
            <v>3171544695.8754601</v>
          </cell>
          <cell r="F159">
            <v>3389970666.4006701</v>
          </cell>
          <cell r="G159">
            <v>3634607177.1698298</v>
          </cell>
          <cell r="H159">
            <v>3874877477.9065099</v>
          </cell>
          <cell r="I159">
            <v>4233096222.62605</v>
          </cell>
          <cell r="J159">
            <v>4690321205.7729702</v>
          </cell>
          <cell r="K159">
            <v>5115808641.2195196</v>
          </cell>
          <cell r="L159">
            <v>5731316697.1376696</v>
          </cell>
          <cell r="M159">
            <v>6341791043.9907703</v>
          </cell>
          <cell r="N159">
            <v>6970415127.5454798</v>
          </cell>
          <cell r="O159">
            <v>8180439330.5439301</v>
          </cell>
          <cell r="P159">
            <v>9256544169.6113091</v>
          </cell>
          <cell r="Q159">
            <v>11310837657.524099</v>
          </cell>
          <cell r="R159">
            <v>15262502044.1537</v>
          </cell>
          <cell r="S159">
            <v>17750544593.528</v>
          </cell>
          <cell r="T159">
            <v>19403482352.9412</v>
          </cell>
          <cell r="U159">
            <v>20236067639.257301</v>
          </cell>
          <cell r="V159">
            <v>21285615505.500301</v>
          </cell>
          <cell r="W159">
            <v>23146569343.065701</v>
          </cell>
          <cell r="X159">
            <v>26167741803.278702</v>
          </cell>
          <cell r="Y159">
            <v>32220076091.309601</v>
          </cell>
          <cell r="Z159">
            <v>30821609120.521198</v>
          </cell>
          <cell r="AA159">
            <v>28937974268.415699</v>
          </cell>
          <cell r="AB159">
            <v>25920998914.223701</v>
          </cell>
          <cell r="AC159">
            <v>23754252259.6549</v>
          </cell>
          <cell r="AD159">
            <v>25744362866.219601</v>
          </cell>
          <cell r="AE159">
            <v>37569630076.397301</v>
          </cell>
          <cell r="AF159">
            <v>47224346093.638802</v>
          </cell>
          <cell r="AG159">
            <v>55654805013.927597</v>
          </cell>
          <cell r="AH159">
            <v>60154377387.318604</v>
          </cell>
          <cell r="AI159">
            <v>78669170299.535904</v>
          </cell>
          <cell r="AJ159">
            <v>89381247398.362701</v>
          </cell>
          <cell r="AK159">
            <v>108273035343.035</v>
          </cell>
          <cell r="AL159">
            <v>95690599675.850906</v>
          </cell>
          <cell r="AM159">
            <v>99976789855.072495</v>
          </cell>
          <cell r="AN159">
            <v>119040849144.222</v>
          </cell>
          <cell r="AO159">
            <v>123350187158.825</v>
          </cell>
          <cell r="AP159">
            <v>116858132647.22701</v>
          </cell>
          <cell r="AQ159">
            <v>123584739536.955</v>
          </cell>
          <cell r="AR159">
            <v>127011830385.681</v>
          </cell>
          <cell r="AS159">
            <v>116393098396.90401</v>
          </cell>
          <cell r="AT159">
            <v>119415231319.911</v>
          </cell>
          <cell r="AU159">
            <v>132124865424.431</v>
          </cell>
          <cell r="AV159">
            <v>163208983069.97699</v>
          </cell>
          <cell r="AW159">
            <v>186659364291.03601</v>
          </cell>
          <cell r="AX159">
            <v>194561319487.62601</v>
          </cell>
          <cell r="AY159">
            <v>202657288922.34299</v>
          </cell>
          <cell r="AZ159">
            <v>233290536545.30499</v>
          </cell>
          <cell r="BA159">
            <v>253544233191.73901</v>
          </cell>
          <cell r="BB159">
            <v>235561104473.465</v>
          </cell>
          <cell r="BC159">
            <v>230312193388.90601</v>
          </cell>
          <cell r="BD159">
            <v>240830699617.19901</v>
          </cell>
          <cell r="BE159">
            <v>211117877240.314</v>
          </cell>
          <cell r="BF159">
            <v>223343374221.93301</v>
          </cell>
          <cell r="BG159">
            <v>224898858096.53</v>
          </cell>
          <cell r="BH159">
            <v>193967447161.66901</v>
          </cell>
          <cell r="BI159">
            <v>201274909983.35599</v>
          </cell>
          <cell r="BJ159">
            <v>215627900702.87399</v>
          </cell>
          <cell r="BK159">
            <v>236279970766.31799</v>
          </cell>
          <cell r="BL159">
            <v>233752871351.92099</v>
          </cell>
          <cell r="BM159">
            <v>224930527837.94</v>
          </cell>
        </row>
        <row r="160">
          <cell r="B160" t="str">
            <v>PRI</v>
          </cell>
          <cell r="C160" t="str">
            <v>GNI (current US$)</v>
          </cell>
          <cell r="D160" t="str">
            <v>NY.GNP.MKTP.CD</v>
          </cell>
          <cell r="E160">
            <v>1676400000</v>
          </cell>
          <cell r="F160">
            <v>1833900000</v>
          </cell>
          <cell r="G160">
            <v>2047400000</v>
          </cell>
          <cell r="H160">
            <v>2271100000</v>
          </cell>
          <cell r="I160">
            <v>2487900000</v>
          </cell>
          <cell r="J160">
            <v>2763900000</v>
          </cell>
          <cell r="K160">
            <v>3019400000</v>
          </cell>
          <cell r="L160">
            <v>3307000000</v>
          </cell>
          <cell r="M160">
            <v>3683500000</v>
          </cell>
          <cell r="N160">
            <v>4166900000</v>
          </cell>
          <cell r="O160">
            <v>4687500000</v>
          </cell>
          <cell r="P160">
            <v>5248400000</v>
          </cell>
          <cell r="Q160">
            <v>5767900000</v>
          </cell>
          <cell r="R160">
            <v>6303000000</v>
          </cell>
          <cell r="S160">
            <v>6811600000</v>
          </cell>
          <cell r="T160">
            <v>7174600000</v>
          </cell>
          <cell r="U160">
            <v>7549800000</v>
          </cell>
          <cell r="V160">
            <v>8181700000</v>
          </cell>
          <cell r="W160">
            <v>8996700000</v>
          </cell>
          <cell r="X160">
            <v>10037000000</v>
          </cell>
          <cell r="Y160">
            <v>11064600000</v>
          </cell>
          <cell r="Z160">
            <v>12211700000</v>
          </cell>
          <cell r="AA160">
            <v>12693500000</v>
          </cell>
          <cell r="AB160">
            <v>13048500000</v>
          </cell>
          <cell r="AC160">
            <v>14183000000</v>
          </cell>
          <cell r="AD160">
            <v>15002200000</v>
          </cell>
          <cell r="AE160">
            <v>16054300000</v>
          </cell>
          <cell r="AF160">
            <v>17300500000</v>
          </cell>
          <cell r="AG160">
            <v>18681500000</v>
          </cell>
          <cell r="AH160">
            <v>20051400000</v>
          </cell>
          <cell r="AI160">
            <v>21619119000</v>
          </cell>
          <cell r="AJ160">
            <v>22808954000</v>
          </cell>
          <cell r="AK160">
            <v>23696441000</v>
          </cell>
          <cell r="AL160">
            <v>25132937000</v>
          </cell>
          <cell r="AM160">
            <v>26640911000</v>
          </cell>
          <cell r="AN160">
            <v>28452346000</v>
          </cell>
          <cell r="AO160">
            <v>30356951000</v>
          </cell>
          <cell r="AP160">
            <v>32342706000</v>
          </cell>
          <cell r="AQ160">
            <v>35110700000</v>
          </cell>
          <cell r="AR160">
            <v>38281200000</v>
          </cell>
          <cell r="AS160">
            <v>41418600000</v>
          </cell>
          <cell r="AT160">
            <v>44046600000</v>
          </cell>
          <cell r="AU160">
            <v>45071300000</v>
          </cell>
          <cell r="AV160">
            <v>47479400000</v>
          </cell>
          <cell r="AW160">
            <v>51826517000</v>
          </cell>
          <cell r="AX160">
            <v>54861880300</v>
          </cell>
          <cell r="AY160">
            <v>57854319400</v>
          </cell>
          <cell r="AZ160">
            <v>60642710600</v>
          </cell>
          <cell r="BA160">
            <v>62703100000</v>
          </cell>
          <cell r="BB160">
            <v>63617900000</v>
          </cell>
          <cell r="BC160">
            <v>64294600000</v>
          </cell>
          <cell r="BD160">
            <v>65720700000</v>
          </cell>
          <cell r="BE160">
            <v>68085700000</v>
          </cell>
          <cell r="BF160">
            <v>68944900000</v>
          </cell>
          <cell r="BG160">
            <v>68797500000</v>
          </cell>
          <cell r="BH160">
            <v>69602000000</v>
          </cell>
          <cell r="BI160">
            <v>69985200000</v>
          </cell>
          <cell r="BJ160">
            <v>69049500000</v>
          </cell>
          <cell r="BK160">
            <v>67739500000</v>
          </cell>
          <cell r="BL160">
            <v>70765000000</v>
          </cell>
          <cell r="BM160">
            <v>70186900000</v>
          </cell>
        </row>
        <row r="161">
          <cell r="B161" t="str">
            <v>QAT</v>
          </cell>
          <cell r="C161" t="str">
            <v>GNI (current US$)</v>
          </cell>
          <cell r="D161" t="str">
            <v>NY.GNP.MKTP.CD</v>
          </cell>
          <cell r="E161" t="str">
            <v>..</v>
          </cell>
          <cell r="F161" t="str">
            <v>..</v>
          </cell>
          <cell r="G161" t="str">
            <v>..</v>
          </cell>
          <cell r="H161" t="str">
            <v>..</v>
          </cell>
          <cell r="I161" t="str">
            <v>..</v>
          </cell>
          <cell r="J161" t="str">
            <v>..</v>
          </cell>
          <cell r="K161" t="str">
            <v>..</v>
          </cell>
          <cell r="L161" t="str">
            <v>..</v>
          </cell>
          <cell r="M161" t="str">
            <v>..</v>
          </cell>
          <cell r="N161" t="str">
            <v>..</v>
          </cell>
          <cell r="O161">
            <v>287784287.78428799</v>
          </cell>
          <cell r="P161">
            <v>355707666.38584697</v>
          </cell>
          <cell r="Q161">
            <v>447332421.34062898</v>
          </cell>
          <cell r="R161">
            <v>689137427.12008595</v>
          </cell>
          <cell r="S161">
            <v>2359350585.1953201</v>
          </cell>
          <cell r="T161">
            <v>2402879690.6403399</v>
          </cell>
          <cell r="U161">
            <v>3017358858.5557899</v>
          </cell>
          <cell r="V161">
            <v>3169487168.4768901</v>
          </cell>
          <cell r="W161">
            <v>3635946168.3303699</v>
          </cell>
          <cell r="X161">
            <v>5167095380.7012396</v>
          </cell>
          <cell r="Y161">
            <v>8370084714.2466497</v>
          </cell>
          <cell r="Z161">
            <v>9196263818.6813202</v>
          </cell>
          <cell r="AA161">
            <v>8144697939.5604401</v>
          </cell>
          <cell r="AB161">
            <v>6926593681.3186798</v>
          </cell>
          <cell r="AC161">
            <v>7073076895.6043901</v>
          </cell>
          <cell r="AD161">
            <v>6721703104.3956003</v>
          </cell>
          <cell r="AE161">
            <v>5676923214.2857103</v>
          </cell>
          <cell r="AF161">
            <v>5925000164.8351698</v>
          </cell>
          <cell r="AG161">
            <v>6339176098.9011002</v>
          </cell>
          <cell r="AH161">
            <v>6685906428.5714302</v>
          </cell>
          <cell r="AI161">
            <v>7581428736.2637396</v>
          </cell>
          <cell r="AJ161">
            <v>7083516620.8791199</v>
          </cell>
          <cell r="AK161">
            <v>7868956126.3736296</v>
          </cell>
          <cell r="AL161">
            <v>7365109862.6373596</v>
          </cell>
          <cell r="AM161">
            <v>7589314670.32967</v>
          </cell>
          <cell r="AN161">
            <v>8375020302.1977997</v>
          </cell>
          <cell r="AO161">
            <v>9323296071.4285698</v>
          </cell>
          <cell r="AP161">
            <v>11626977609.8901</v>
          </cell>
          <cell r="AQ161">
            <v>10174725796.7033</v>
          </cell>
          <cell r="AR161">
            <v>12274175824.1758</v>
          </cell>
          <cell r="AS161">
            <v>16360439560.4396</v>
          </cell>
          <cell r="AT161">
            <v>16834615384.6154</v>
          </cell>
          <cell r="AU161">
            <v>18466483516.483501</v>
          </cell>
          <cell r="AV161">
            <v>23117307692.307701</v>
          </cell>
          <cell r="AW161">
            <v>29492307692.307701</v>
          </cell>
          <cell r="AX161">
            <v>38814835164.835197</v>
          </cell>
          <cell r="AY161">
            <v>57601648351.6483</v>
          </cell>
          <cell r="AZ161">
            <v>75473076923.076904</v>
          </cell>
          <cell r="BA161">
            <v>108507967032.967</v>
          </cell>
          <cell r="BB161">
            <v>88385714285.714294</v>
          </cell>
          <cell r="BC161">
            <v>112178571428.571</v>
          </cell>
          <cell r="BD161">
            <v>154504256813.18701</v>
          </cell>
          <cell r="BE161">
            <v>174708777087.91199</v>
          </cell>
          <cell r="BF161">
            <v>188363906703.297</v>
          </cell>
          <cell r="BG161">
            <v>196924049120.879</v>
          </cell>
          <cell r="BH161">
            <v>158174570961.53799</v>
          </cell>
          <cell r="BI161">
            <v>150622841208.79099</v>
          </cell>
          <cell r="BJ161">
            <v>160679616730.76901</v>
          </cell>
          <cell r="BK161">
            <v>179589624148.35199</v>
          </cell>
          <cell r="BL161">
            <v>171961652304.466</v>
          </cell>
          <cell r="BM161">
            <v>141358890817.798</v>
          </cell>
        </row>
        <row r="162">
          <cell r="B162" t="str">
            <v>ROU</v>
          </cell>
          <cell r="C162" t="str">
            <v>GNI (current US$)</v>
          </cell>
          <cell r="D162" t="str">
            <v>NY.GNP.MKTP.CD</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v>42186526315.789497</v>
          </cell>
          <cell r="AI162">
            <v>38852909090.909103</v>
          </cell>
          <cell r="AJ162">
            <v>29013763157.894699</v>
          </cell>
          <cell r="AK162">
            <v>25031554166.666698</v>
          </cell>
          <cell r="AL162">
            <v>26217885526.3158</v>
          </cell>
          <cell r="AM162">
            <v>29945432628.3988</v>
          </cell>
          <cell r="AN162">
            <v>37194294146.581398</v>
          </cell>
          <cell r="AO162">
            <v>36628932857.606201</v>
          </cell>
          <cell r="AP162">
            <v>35252650669.642899</v>
          </cell>
          <cell r="AQ162">
            <v>41196682176.656197</v>
          </cell>
          <cell r="AR162">
            <v>35511728820.191704</v>
          </cell>
          <cell r="AS162">
            <v>37018920724.123596</v>
          </cell>
          <cell r="AT162">
            <v>40169142424.555199</v>
          </cell>
          <cell r="AU162">
            <v>45604749659.658096</v>
          </cell>
          <cell r="AV162">
            <v>56454932228.915703</v>
          </cell>
          <cell r="AW162">
            <v>71824444035.910202</v>
          </cell>
          <cell r="AX162">
            <v>95560240107.080399</v>
          </cell>
          <cell r="AY162">
            <v>117948931470.274</v>
          </cell>
          <cell r="AZ162">
            <v>165800889390.14899</v>
          </cell>
          <cell r="BA162">
            <v>209604439755.44901</v>
          </cell>
          <cell r="BB162">
            <v>171895625323.845</v>
          </cell>
          <cell r="BC162">
            <v>164339462758.42499</v>
          </cell>
          <cell r="BD162">
            <v>180991349471.88901</v>
          </cell>
          <cell r="BE162">
            <v>167674303673.375</v>
          </cell>
          <cell r="BF162">
            <v>188015486643.228</v>
          </cell>
          <cell r="BG162">
            <v>199018475635.97299</v>
          </cell>
          <cell r="BH162">
            <v>175860528746.53601</v>
          </cell>
          <cell r="BI162">
            <v>185631839869.92499</v>
          </cell>
          <cell r="BJ162">
            <v>208687972658.853</v>
          </cell>
          <cell r="BK162">
            <v>237010037928.76001</v>
          </cell>
          <cell r="BL162">
            <v>246310851412.25601</v>
          </cell>
          <cell r="BM162">
            <v>244825583812.44101</v>
          </cell>
        </row>
        <row r="163">
          <cell r="B163" t="str">
            <v>RUS</v>
          </cell>
          <cell r="C163" t="str">
            <v>GNI (current US$)</v>
          </cell>
          <cell r="D163" t="str">
            <v>NY.GNP.MKTP.CD</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v>556478405315.61499</v>
          </cell>
          <cell r="AH163">
            <v>506588568405.987</v>
          </cell>
          <cell r="AI163">
            <v>515780725699.66101</v>
          </cell>
          <cell r="AJ163">
            <v>516545185185.185</v>
          </cell>
          <cell r="AK163">
            <v>455789723970.94397</v>
          </cell>
          <cell r="AL163">
            <v>430624472095.383</v>
          </cell>
          <cell r="AM163">
            <v>393237301248.46399</v>
          </cell>
          <cell r="AN163">
            <v>392165585723.77899</v>
          </cell>
          <cell r="AO163">
            <v>386290390744.49799</v>
          </cell>
          <cell r="AP163">
            <v>396237354191.87598</v>
          </cell>
          <cell r="AQ163">
            <v>259165786862.44199</v>
          </cell>
          <cell r="AR163">
            <v>188191228350.93399</v>
          </cell>
          <cell r="AS163">
            <v>252973642196.94299</v>
          </cell>
          <cell r="AT163">
            <v>302363970620.5</v>
          </cell>
          <cell r="AU163">
            <v>338887494417.86298</v>
          </cell>
          <cell r="AV163">
            <v>417177070731.78699</v>
          </cell>
          <cell r="AW163">
            <v>578245490742.79797</v>
          </cell>
          <cell r="AX163">
            <v>745490707990.97705</v>
          </cell>
          <cell r="AY163">
            <v>961127142278.69495</v>
          </cell>
          <cell r="AZ163">
            <v>1270877264823.6201</v>
          </cell>
          <cell r="BA163">
            <v>1614363887626.8</v>
          </cell>
          <cell r="BB163">
            <v>1182904882200.6001</v>
          </cell>
          <cell r="BC163">
            <v>1477812768442.99</v>
          </cell>
          <cell r="BD163">
            <v>1985526208275.05</v>
          </cell>
          <cell r="BE163">
            <v>2140634973644.45</v>
          </cell>
          <cell r="BF163">
            <v>2212868846622.3398</v>
          </cell>
          <cell r="BG163">
            <v>1991279765491.8701</v>
          </cell>
          <cell r="BH163">
            <v>1325732263446.1101</v>
          </cell>
          <cell r="BI163">
            <v>1241290379222.4099</v>
          </cell>
          <cell r="BJ163">
            <v>1532146087071.5801</v>
          </cell>
          <cell r="BK163">
            <v>1616936975710.1299</v>
          </cell>
          <cell r="BL163">
            <v>1633927975465.6101</v>
          </cell>
          <cell r="BM163">
            <v>1448704617346.3899</v>
          </cell>
        </row>
        <row r="164">
          <cell r="B164" t="str">
            <v>RWA</v>
          </cell>
          <cell r="C164" t="str">
            <v>GNI (current US$)</v>
          </cell>
          <cell r="D164" t="str">
            <v>NY.GNP.MKTP.CD</v>
          </cell>
          <cell r="E164">
            <v>119000024</v>
          </cell>
          <cell r="F164">
            <v>122000016</v>
          </cell>
          <cell r="G164">
            <v>125000008</v>
          </cell>
          <cell r="H164">
            <v>128000000</v>
          </cell>
          <cell r="I164">
            <v>129999994</v>
          </cell>
          <cell r="J164">
            <v>148799980</v>
          </cell>
          <cell r="K164">
            <v>124525702.857143</v>
          </cell>
          <cell r="L164">
            <v>159560018</v>
          </cell>
          <cell r="M164">
            <v>172200018</v>
          </cell>
          <cell r="N164">
            <v>188700037</v>
          </cell>
          <cell r="O164">
            <v>220000006</v>
          </cell>
          <cell r="P164">
            <v>222952280.32451001</v>
          </cell>
          <cell r="Q164">
            <v>246557838.33668101</v>
          </cell>
          <cell r="R164">
            <v>288126157.622554</v>
          </cell>
          <cell r="S164">
            <v>305608423.45273399</v>
          </cell>
          <cell r="T164">
            <v>568583297.30063605</v>
          </cell>
          <cell r="U164">
            <v>634175011.82839704</v>
          </cell>
          <cell r="V164">
            <v>742886059.42975998</v>
          </cell>
          <cell r="W164">
            <v>901082081.48811197</v>
          </cell>
          <cell r="X164">
            <v>1106636758.0374801</v>
          </cell>
          <cell r="Y164">
            <v>1256566834.6426301</v>
          </cell>
          <cell r="Z164">
            <v>1416137792.09112</v>
          </cell>
          <cell r="AA164">
            <v>1418216635.5039799</v>
          </cell>
          <cell r="AB164">
            <v>1483713378.2685499</v>
          </cell>
          <cell r="AC164">
            <v>1588512288.8792</v>
          </cell>
          <cell r="AD164">
            <v>1707024369.6707101</v>
          </cell>
          <cell r="AE164">
            <v>1934005063.3113699</v>
          </cell>
          <cell r="AF164">
            <v>2143095800.93782</v>
          </cell>
          <cell r="AG164">
            <v>2381694364.9056802</v>
          </cell>
          <cell r="AH164">
            <v>2395143178.3303599</v>
          </cell>
          <cell r="AI164">
            <v>2538245657.0227699</v>
          </cell>
          <cell r="AJ164">
            <v>1900603096.57234</v>
          </cell>
          <cell r="AK164">
            <v>2018771967.90171</v>
          </cell>
          <cell r="AL164">
            <v>1956325996.7969401</v>
          </cell>
          <cell r="AM164">
            <v>749636370.45454502</v>
          </cell>
          <cell r="AN164">
            <v>1298975010.13608</v>
          </cell>
          <cell r="AO164">
            <v>1368386728.0490201</v>
          </cell>
          <cell r="AP164">
            <v>1835058300.7052701</v>
          </cell>
          <cell r="AQ164">
            <v>1970083495.7499499</v>
          </cell>
          <cell r="AR164">
            <v>2144286176.72715</v>
          </cell>
          <cell r="AS164">
            <v>2052175515.1833701</v>
          </cell>
          <cell r="AT164">
            <v>1942954261.69192</v>
          </cell>
          <cell r="AU164">
            <v>1945729304.5431199</v>
          </cell>
          <cell r="AV164">
            <v>2106547879.2162299</v>
          </cell>
          <cell r="AW164">
            <v>2341791223.1209998</v>
          </cell>
          <cell r="AX164">
            <v>2905032890.38486</v>
          </cell>
          <cell r="AY164">
            <v>3288506667.3578501</v>
          </cell>
          <cell r="AZ164">
            <v>4050845133.5118999</v>
          </cell>
          <cell r="BA164">
            <v>5140001247.14569</v>
          </cell>
          <cell r="BB164">
            <v>5634540499.5730104</v>
          </cell>
          <cell r="BC164">
            <v>6069968166.6672096</v>
          </cell>
          <cell r="BD164">
            <v>6823807504.9995298</v>
          </cell>
          <cell r="BE164">
            <v>7547605377.2852802</v>
          </cell>
          <cell r="BF164">
            <v>7683814387.0740299</v>
          </cell>
          <cell r="BG164">
            <v>8052354311.7321301</v>
          </cell>
          <cell r="BH164">
            <v>8376704290.6700096</v>
          </cell>
          <cell r="BI164">
            <v>8452129973.7123404</v>
          </cell>
          <cell r="BJ164">
            <v>8961653240.62076</v>
          </cell>
          <cell r="BK164">
            <v>9292588958.0611095</v>
          </cell>
          <cell r="BL164">
            <v>10007994811.099701</v>
          </cell>
          <cell r="BM164">
            <v>10097233925.1768</v>
          </cell>
        </row>
        <row r="165">
          <cell r="B165" t="str">
            <v>WSM</v>
          </cell>
          <cell r="C165" t="str">
            <v>GNI (current US$)</v>
          </cell>
          <cell r="D165" t="str">
            <v>NY.GNP.MKTP.CD</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v>94344487.699826106</v>
          </cell>
          <cell r="AB165">
            <v>87665999.612678304</v>
          </cell>
          <cell r="AC165">
            <v>78508349.889921099</v>
          </cell>
          <cell r="AD165">
            <v>67957867.545539603</v>
          </cell>
          <cell r="AE165">
            <v>72798819.214598805</v>
          </cell>
          <cell r="AF165">
            <v>82392308.417381495</v>
          </cell>
          <cell r="AG165">
            <v>92391101.491101503</v>
          </cell>
          <cell r="AH165">
            <v>84670854.271356806</v>
          </cell>
          <cell r="AI165">
            <v>88890279.281229705</v>
          </cell>
          <cell r="AJ165">
            <v>87784025.026068807</v>
          </cell>
          <cell r="AK165" t="str">
            <v>..</v>
          </cell>
          <cell r="AL165" t="str">
            <v>..</v>
          </cell>
          <cell r="AM165" t="str">
            <v>..</v>
          </cell>
          <cell r="AN165" t="str">
            <v>..</v>
          </cell>
          <cell r="AO165" t="str">
            <v>..</v>
          </cell>
          <cell r="AP165" t="str">
            <v>..</v>
          </cell>
          <cell r="AQ165" t="str">
            <v>..</v>
          </cell>
          <cell r="AR165" t="str">
            <v>..</v>
          </cell>
          <cell r="AS165" t="str">
            <v>..</v>
          </cell>
          <cell r="AT165" t="str">
            <v>..</v>
          </cell>
          <cell r="AU165">
            <v>268226305.33076099</v>
          </cell>
          <cell r="AV165">
            <v>314471195.75516403</v>
          </cell>
          <cell r="AW165">
            <v>392004408.98593301</v>
          </cell>
          <cell r="AX165">
            <v>430797586.98299098</v>
          </cell>
          <cell r="AY165">
            <v>470779548.80725402</v>
          </cell>
          <cell r="AZ165">
            <v>533617557.13521397</v>
          </cell>
          <cell r="BA165">
            <v>578612396.94425499</v>
          </cell>
          <cell r="BB165">
            <v>554477772.08144104</v>
          </cell>
          <cell r="BC165">
            <v>643286540.51028097</v>
          </cell>
          <cell r="BD165">
            <v>709232729.47303796</v>
          </cell>
          <cell r="BE165">
            <v>733478163.45377195</v>
          </cell>
          <cell r="BF165">
            <v>742578392.05317497</v>
          </cell>
          <cell r="BG165">
            <v>727011141.28244603</v>
          </cell>
          <cell r="BH165">
            <v>771638508.34018004</v>
          </cell>
          <cell r="BI165">
            <v>780812360.04876602</v>
          </cell>
          <cell r="BJ165">
            <v>806114744.19991696</v>
          </cell>
          <cell r="BK165">
            <v>792159814.11814201</v>
          </cell>
          <cell r="BL165">
            <v>816189678.84763205</v>
          </cell>
          <cell r="BM165">
            <v>776569075.61566103</v>
          </cell>
        </row>
        <row r="166">
          <cell r="B166" t="str">
            <v>SMR</v>
          </cell>
          <cell r="C166" t="str">
            <v>GNI (current US$)</v>
          </cell>
          <cell r="D166" t="str">
            <v>NY.GNP.MKTP.CD</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row>
        <row r="167">
          <cell r="B167" t="str">
            <v>STP</v>
          </cell>
          <cell r="C167" t="str">
            <v>GNI (current US$)</v>
          </cell>
          <cell r="D167" t="str">
            <v>NY.GNP.MKTP.CD</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72802185.001300603</v>
          </cell>
          <cell r="AU167">
            <v>81829363.027188793</v>
          </cell>
          <cell r="AV167">
            <v>99567707.218965307</v>
          </cell>
          <cell r="AW167">
            <v>111486412.24766</v>
          </cell>
          <cell r="AX167">
            <v>133522759.992423</v>
          </cell>
          <cell r="AY167">
            <v>145807857.911733</v>
          </cell>
          <cell r="AZ167">
            <v>153620922.22681901</v>
          </cell>
          <cell r="BA167">
            <v>187949255.539224</v>
          </cell>
          <cell r="BB167">
            <v>187536255.668322</v>
          </cell>
          <cell r="BC167">
            <v>197242887.907828</v>
          </cell>
          <cell r="BD167">
            <v>232290167.96025699</v>
          </cell>
          <cell r="BE167">
            <v>245986799.50446099</v>
          </cell>
          <cell r="BF167">
            <v>303142986.20634001</v>
          </cell>
          <cell r="BG167">
            <v>352225165.24236399</v>
          </cell>
          <cell r="BH167">
            <v>315036266.28543699</v>
          </cell>
          <cell r="BI167">
            <v>346448959.62370503</v>
          </cell>
          <cell r="BJ167">
            <v>374514126.19387698</v>
          </cell>
          <cell r="BK167">
            <v>412353809.72879899</v>
          </cell>
          <cell r="BL167">
            <v>425925039.68433899</v>
          </cell>
          <cell r="BM167">
            <v>470314469.91933</v>
          </cell>
        </row>
        <row r="168">
          <cell r="B168" t="str">
            <v>SAU</v>
          </cell>
          <cell r="C168" t="str">
            <v>GNI (current US$)</v>
          </cell>
          <cell r="D168" t="str">
            <v>NY.GNP.MKTP.CD</v>
          </cell>
          <cell r="E168">
            <v>1412253244.4444399</v>
          </cell>
          <cell r="F168">
            <v>1559127155.5555601</v>
          </cell>
          <cell r="G168">
            <v>1721265266.6666701</v>
          </cell>
          <cell r="H168">
            <v>1783274488.88889</v>
          </cell>
          <cell r="I168">
            <v>2005571577.7777801</v>
          </cell>
          <cell r="J168">
            <v>2232222155.5555601</v>
          </cell>
          <cell r="K168">
            <v>2584444466.6666698</v>
          </cell>
          <cell r="L168">
            <v>2697022133.3333302</v>
          </cell>
          <cell r="M168">
            <v>3542777866.6666698</v>
          </cell>
          <cell r="N168">
            <v>3812755000</v>
          </cell>
          <cell r="O168">
            <v>4362891070.7516699</v>
          </cell>
          <cell r="P168">
            <v>5718116374.5216398</v>
          </cell>
          <cell r="Q168">
            <v>7481863721.9741802</v>
          </cell>
          <cell r="R168">
            <v>11279493430.604</v>
          </cell>
          <cell r="S168">
            <v>40866014162.900597</v>
          </cell>
          <cell r="T168">
            <v>44738336697.922997</v>
          </cell>
          <cell r="U168">
            <v>64532989309.416199</v>
          </cell>
          <cell r="V168">
            <v>74268701652.288696</v>
          </cell>
          <cell r="W168">
            <v>79200018679.216995</v>
          </cell>
          <cell r="X168">
            <v>109005048970.989</v>
          </cell>
          <cell r="Y168">
            <v>160300518430.258</v>
          </cell>
          <cell r="Z168">
            <v>180575702514.42001</v>
          </cell>
          <cell r="AA168">
            <v>155996998986.31299</v>
          </cell>
          <cell r="AB168">
            <v>136765813313.13499</v>
          </cell>
          <cell r="AC168">
            <v>125568165267.22</v>
          </cell>
          <cell r="AD168">
            <v>114560466444.33</v>
          </cell>
          <cell r="AE168">
            <v>97583026108.043701</v>
          </cell>
          <cell r="AF168">
            <v>95557089744.023804</v>
          </cell>
          <cell r="AG168">
            <v>97994449385.394394</v>
          </cell>
          <cell r="AH168">
            <v>104759565774.298</v>
          </cell>
          <cell r="AI168">
            <v>122126279813.161</v>
          </cell>
          <cell r="AJ168">
            <v>134821813217.623</v>
          </cell>
          <cell r="AK168">
            <v>138625980801.06799</v>
          </cell>
          <cell r="AL168">
            <v>135573775914.55299</v>
          </cell>
          <cell r="AM168">
            <v>135927409853.138</v>
          </cell>
          <cell r="AN168">
            <v>145533944218.95901</v>
          </cell>
          <cell r="AO168">
            <v>158692425447.263</v>
          </cell>
          <cell r="AP168">
            <v>165902248998.66501</v>
          </cell>
          <cell r="AQ168">
            <v>148074844746.66699</v>
          </cell>
          <cell r="AR168">
            <v>163841640000</v>
          </cell>
          <cell r="AS168">
            <v>190406939546.66699</v>
          </cell>
          <cell r="AT168">
            <v>185910843066.66699</v>
          </cell>
          <cell r="AU168">
            <v>190907080240</v>
          </cell>
          <cell r="AV168">
            <v>216548575253.33301</v>
          </cell>
          <cell r="AW168">
            <v>260462316373.33301</v>
          </cell>
          <cell r="AX168">
            <v>331174439513.224</v>
          </cell>
          <cell r="AY168">
            <v>380735062296.39502</v>
          </cell>
          <cell r="AZ168">
            <v>422361149112.742</v>
          </cell>
          <cell r="BA168">
            <v>528961628133.33301</v>
          </cell>
          <cell r="BB168">
            <v>437737489280</v>
          </cell>
          <cell r="BC168">
            <v>535251242480</v>
          </cell>
          <cell r="BD168">
            <v>680922945786.66699</v>
          </cell>
          <cell r="BE168">
            <v>746963457946.66699</v>
          </cell>
          <cell r="BF168">
            <v>760208520746.66699</v>
          </cell>
          <cell r="BG168">
            <v>772876297173.33301</v>
          </cell>
          <cell r="BH168">
            <v>671549918800</v>
          </cell>
          <cell r="BI168">
            <v>660662318666.66699</v>
          </cell>
          <cell r="BJ168">
            <v>699284138560</v>
          </cell>
          <cell r="BK168">
            <v>794232734533.33301</v>
          </cell>
          <cell r="BL168">
            <v>800866306506.66699</v>
          </cell>
          <cell r="BM168">
            <v>715551421493.33301</v>
          </cell>
        </row>
        <row r="169">
          <cell r="B169" t="str">
            <v>SEN</v>
          </cell>
          <cell r="C169" t="str">
            <v>GNI (current US$)</v>
          </cell>
          <cell r="D169" t="str">
            <v>NY.GNP.MKTP.CD</v>
          </cell>
          <cell r="E169" t="str">
            <v>..</v>
          </cell>
          <cell r="F169" t="str">
            <v>..</v>
          </cell>
          <cell r="G169" t="str">
            <v>..</v>
          </cell>
          <cell r="H169" t="str">
            <v>..</v>
          </cell>
          <cell r="I169" t="str">
            <v>..</v>
          </cell>
          <cell r="J169" t="str">
            <v>..</v>
          </cell>
          <cell r="K169" t="str">
            <v>..</v>
          </cell>
          <cell r="L169" t="str">
            <v>..</v>
          </cell>
          <cell r="M169">
            <v>1296023514.94665</v>
          </cell>
          <cell r="N169">
            <v>1234844832.41471</v>
          </cell>
          <cell r="O169">
            <v>1282437377.8440001</v>
          </cell>
          <cell r="P169">
            <v>1323094972.7516501</v>
          </cell>
          <cell r="Q169">
            <v>1598995318.42378</v>
          </cell>
          <cell r="R169">
            <v>1823256785.1138899</v>
          </cell>
          <cell r="S169">
            <v>2049389059.93613</v>
          </cell>
          <cell r="T169">
            <v>2754472119.3912001</v>
          </cell>
          <cell r="U169">
            <v>2808760857.0155602</v>
          </cell>
          <cell r="V169">
            <v>2883706978.8269601</v>
          </cell>
          <cell r="W169">
            <v>3204307672.7651501</v>
          </cell>
          <cell r="X169">
            <v>4005479265.0686598</v>
          </cell>
          <cell r="Y169">
            <v>4410207140.9874697</v>
          </cell>
          <cell r="Z169">
            <v>3986592675.6438298</v>
          </cell>
          <cell r="AA169">
            <v>3898346048.9535699</v>
          </cell>
          <cell r="AB169">
            <v>3466555383.0007901</v>
          </cell>
          <cell r="AC169">
            <v>3358564204.4622998</v>
          </cell>
          <cell r="AD169">
            <v>3691845451.7302599</v>
          </cell>
          <cell r="AE169">
            <v>5226996320.4504499</v>
          </cell>
          <cell r="AF169">
            <v>6289050039.2840996</v>
          </cell>
          <cell r="AG169">
            <v>6200218479.4734697</v>
          </cell>
          <cell r="AH169">
            <v>6161338261.7733097</v>
          </cell>
          <cell r="AI169">
            <v>7194170504.2370901</v>
          </cell>
          <cell r="AJ169">
            <v>7060308559.2730999</v>
          </cell>
          <cell r="AK169">
            <v>7637218771.03862</v>
          </cell>
          <cell r="AL169">
            <v>7176887449.4724903</v>
          </cell>
          <cell r="AM169">
            <v>4892478411.2958698</v>
          </cell>
          <cell r="AN169">
            <v>6171479198.9716902</v>
          </cell>
          <cell r="AO169">
            <v>6486797244.2314796</v>
          </cell>
          <cell r="AP169">
            <v>5969413553.1175699</v>
          </cell>
          <cell r="AQ169">
            <v>6449709710.8611202</v>
          </cell>
          <cell r="AR169">
            <v>6500061327.5994301</v>
          </cell>
          <cell r="AS169">
            <v>5922366344.7891302</v>
          </cell>
          <cell r="AT169">
            <v>6429937341.14676</v>
          </cell>
          <cell r="AU169">
            <v>6904222528.8491001</v>
          </cell>
          <cell r="AV169">
            <v>8674435755.8768196</v>
          </cell>
          <cell r="AW169">
            <v>9986498502.0992203</v>
          </cell>
          <cell r="AX169">
            <v>10919437127.4123</v>
          </cell>
          <cell r="AY169">
            <v>11634426508.386999</v>
          </cell>
          <cell r="AZ169">
            <v>13920279306.492599</v>
          </cell>
          <cell r="BA169">
            <v>16805897006.502199</v>
          </cell>
          <cell r="BB169">
            <v>15975442758.711901</v>
          </cell>
          <cell r="BC169">
            <v>15971191680.462</v>
          </cell>
          <cell r="BD169">
            <v>17532439753.030602</v>
          </cell>
          <cell r="BE169">
            <v>17359553340.5425</v>
          </cell>
          <cell r="BF169">
            <v>18595821652.619301</v>
          </cell>
          <cell r="BG169">
            <v>19419513858.326801</v>
          </cell>
          <cell r="BH169">
            <v>17383163425.2164</v>
          </cell>
          <cell r="BI169">
            <v>18541836256.694199</v>
          </cell>
          <cell r="BJ169">
            <v>20409362881.716499</v>
          </cell>
          <cell r="BK169">
            <v>22515741840.123199</v>
          </cell>
          <cell r="BL169">
            <v>22651165450.042801</v>
          </cell>
          <cell r="BM169">
            <v>24045962914.316898</v>
          </cell>
        </row>
        <row r="170">
          <cell r="B170" t="str">
            <v>SRB</v>
          </cell>
          <cell r="C170" t="str">
            <v>GNI (current US$)</v>
          </cell>
          <cell r="D170" t="str">
            <v>NY.GNP.MKTP.CD</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v>25704171388.4613</v>
          </cell>
          <cell r="AQ170">
            <v>19469265691.669701</v>
          </cell>
          <cell r="AR170">
            <v>19403780517.086102</v>
          </cell>
          <cell r="AS170">
            <v>6875616224.8934898</v>
          </cell>
          <cell r="AT170">
            <v>12966573029.140499</v>
          </cell>
          <cell r="AU170">
            <v>17051505004.014099</v>
          </cell>
          <cell r="AV170">
            <v>22347136409.576</v>
          </cell>
          <cell r="AW170">
            <v>25925776041.684502</v>
          </cell>
          <cell r="AX170">
            <v>27360301086.132099</v>
          </cell>
          <cell r="AY170">
            <v>32068439125.008598</v>
          </cell>
          <cell r="AZ170">
            <v>41825574793.639397</v>
          </cell>
          <cell r="BA170">
            <v>50749288264.376801</v>
          </cell>
          <cell r="BB170">
            <v>44495789025.2528</v>
          </cell>
          <cell r="BC170">
            <v>40943415032.246696</v>
          </cell>
          <cell r="BD170">
            <v>47354630373.063301</v>
          </cell>
          <cell r="BE170">
            <v>41894590517.804802</v>
          </cell>
          <cell r="BF170">
            <v>46509043466.9776</v>
          </cell>
          <cell r="BG170">
            <v>45280702030.308098</v>
          </cell>
          <cell r="BH170">
            <v>37816311180.629997</v>
          </cell>
          <cell r="BI170">
            <v>38455319915.2752</v>
          </cell>
          <cell r="BJ170">
            <v>41326457037.887398</v>
          </cell>
          <cell r="BK170">
            <v>48064081953.499397</v>
          </cell>
          <cell r="BL170">
            <v>48738891690.799797</v>
          </cell>
          <cell r="BM170">
            <v>51710908191.188103</v>
          </cell>
        </row>
        <row r="171">
          <cell r="B171" t="str">
            <v>SYC</v>
          </cell>
          <cell r="C171" t="str">
            <v>GNI (current US$)</v>
          </cell>
          <cell r="D171" t="str">
            <v>NY.GNP.MKTP.CD</v>
          </cell>
          <cell r="E171">
            <v>11970011.970012</v>
          </cell>
          <cell r="F171">
            <v>11550011.550011599</v>
          </cell>
          <cell r="G171">
            <v>12600026.483617701</v>
          </cell>
          <cell r="H171">
            <v>13860029.1319794</v>
          </cell>
          <cell r="I171">
            <v>15330032.221734799</v>
          </cell>
          <cell r="J171">
            <v>15540032.663128501</v>
          </cell>
          <cell r="K171">
            <v>16380034.428703001</v>
          </cell>
          <cell r="L171">
            <v>16569895.705124101</v>
          </cell>
          <cell r="M171">
            <v>16020027.2577239</v>
          </cell>
          <cell r="N171">
            <v>16380027.8702571</v>
          </cell>
          <cell r="O171">
            <v>18360031.2391892</v>
          </cell>
          <cell r="P171">
            <v>21874806.693415601</v>
          </cell>
          <cell r="Q171">
            <v>30532730.593587</v>
          </cell>
          <cell r="R171">
            <v>36749281.099166296</v>
          </cell>
          <cell r="S171">
            <v>42959155.202343903</v>
          </cell>
          <cell r="T171">
            <v>47620627.870116897</v>
          </cell>
          <cell r="U171">
            <v>47149278.985472597</v>
          </cell>
          <cell r="V171">
            <v>60653768.082111403</v>
          </cell>
          <cell r="W171">
            <v>80043533.720987603</v>
          </cell>
          <cell r="X171">
            <v>118370666.327425</v>
          </cell>
          <cell r="Y171">
            <v>142022387.556539</v>
          </cell>
          <cell r="Z171">
            <v>152590885.90166801</v>
          </cell>
          <cell r="AA171">
            <v>143883098.81876701</v>
          </cell>
          <cell r="AB171">
            <v>141895810.59928501</v>
          </cell>
          <cell r="AC171">
            <v>145476610.983823</v>
          </cell>
          <cell r="AD171">
            <v>162972480.49415001</v>
          </cell>
          <cell r="AE171">
            <v>199367255.113837</v>
          </cell>
          <cell r="AF171">
            <v>235302774.84846199</v>
          </cell>
          <cell r="AG171">
            <v>266442525.70931</v>
          </cell>
          <cell r="AH171">
            <v>289918906.07162398</v>
          </cell>
          <cell r="AI171">
            <v>355431055.48164701</v>
          </cell>
          <cell r="AJ171">
            <v>363564176.73416102</v>
          </cell>
          <cell r="AK171">
            <v>424373767.54719901</v>
          </cell>
          <cell r="AL171">
            <v>463070539.41908699</v>
          </cell>
          <cell r="AM171">
            <v>482594248.19019699</v>
          </cell>
          <cell r="AN171">
            <v>488586488.58648902</v>
          </cell>
          <cell r="AO171">
            <v>488037988.69192499</v>
          </cell>
          <cell r="AP171">
            <v>550703300.638641</v>
          </cell>
          <cell r="AQ171">
            <v>587408069.021873</v>
          </cell>
          <cell r="AR171">
            <v>598128217.12681305</v>
          </cell>
          <cell r="AS171">
            <v>583245913.40263903</v>
          </cell>
          <cell r="AT171">
            <v>604826410.58472002</v>
          </cell>
          <cell r="AU171">
            <v>629509051.09489</v>
          </cell>
          <cell r="AV171">
            <v>662710852.296924</v>
          </cell>
          <cell r="AW171">
            <v>848756836.36363602</v>
          </cell>
          <cell r="AX171">
            <v>928911545.45454502</v>
          </cell>
          <cell r="AY171">
            <v>1026768791.78216</v>
          </cell>
          <cell r="AZ171">
            <v>962297966.00558102</v>
          </cell>
          <cell r="BA171">
            <v>888546187.03210199</v>
          </cell>
          <cell r="BB171">
            <v>792026524.80914605</v>
          </cell>
          <cell r="BC171">
            <v>917765251.32998598</v>
          </cell>
          <cell r="BD171">
            <v>947918140.69945896</v>
          </cell>
          <cell r="BE171">
            <v>1000312415.11253</v>
          </cell>
          <cell r="BF171">
            <v>1258976239.2496099</v>
          </cell>
          <cell r="BG171">
            <v>1260705661.7687399</v>
          </cell>
          <cell r="BH171">
            <v>1294187893.8552899</v>
          </cell>
          <cell r="BI171">
            <v>1317488325.47524</v>
          </cell>
          <cell r="BJ171">
            <v>1411550054.58635</v>
          </cell>
          <cell r="BK171">
            <v>1511273270.3159299</v>
          </cell>
          <cell r="BL171">
            <v>1523487369.5086801</v>
          </cell>
          <cell r="BM171">
            <v>993181818.18181801</v>
          </cell>
        </row>
        <row r="172">
          <cell r="B172" t="str">
            <v>SLE</v>
          </cell>
          <cell r="C172" t="str">
            <v>GNI (current US$)</v>
          </cell>
          <cell r="D172" t="str">
            <v>NY.GNP.MKTP.CD</v>
          </cell>
          <cell r="E172" t="str">
            <v>..</v>
          </cell>
          <cell r="F172" t="str">
            <v>..</v>
          </cell>
          <cell r="G172" t="str">
            <v>..</v>
          </cell>
          <cell r="H172" t="str">
            <v>..</v>
          </cell>
          <cell r="I172">
            <v>373411640.95391798</v>
          </cell>
          <cell r="J172">
            <v>360464715.81411397</v>
          </cell>
          <cell r="K172">
            <v>376606849.35725999</v>
          </cell>
          <cell r="L172">
            <v>350045359.95923799</v>
          </cell>
          <cell r="M172">
            <v>332110092.844037</v>
          </cell>
          <cell r="N172">
            <v>411790124.71605003</v>
          </cell>
          <cell r="O172">
            <v>425645330.25813198</v>
          </cell>
          <cell r="P172">
            <v>410617238.78136098</v>
          </cell>
          <cell r="Q172">
            <v>457443474.004161</v>
          </cell>
          <cell r="R172">
            <v>564776282.489447</v>
          </cell>
          <cell r="S172">
            <v>635301200.17160296</v>
          </cell>
          <cell r="T172">
            <v>666269404.94810998</v>
          </cell>
          <cell r="U172">
            <v>580211800.43851805</v>
          </cell>
          <cell r="V172">
            <v>668004448.32097697</v>
          </cell>
          <cell r="W172">
            <v>923528327.47555006</v>
          </cell>
          <cell r="X172">
            <v>1080024693.2268701</v>
          </cell>
          <cell r="Y172">
            <v>1070606877.5004801</v>
          </cell>
          <cell r="Z172">
            <v>1086624708.82581</v>
          </cell>
          <cell r="AA172">
            <v>1271553707.6656001</v>
          </cell>
          <cell r="AB172">
            <v>963374422.51489103</v>
          </cell>
          <cell r="AC172">
            <v>1057685611.2671601</v>
          </cell>
          <cell r="AD172">
            <v>828277247.74244201</v>
          </cell>
          <cell r="AE172">
            <v>450594854.58613002</v>
          </cell>
          <cell r="AF172">
            <v>670298991.979527</v>
          </cell>
          <cell r="AG172">
            <v>998083957.67976904</v>
          </cell>
          <cell r="AH172">
            <v>884574408.57338703</v>
          </cell>
          <cell r="AI172">
            <v>579840579.96182501</v>
          </cell>
          <cell r="AJ172">
            <v>719590265.18888795</v>
          </cell>
          <cell r="AK172">
            <v>605307997.59711695</v>
          </cell>
          <cell r="AL172">
            <v>724812334.80176198</v>
          </cell>
          <cell r="AM172">
            <v>798475970.68348396</v>
          </cell>
          <cell r="AN172">
            <v>818478665.38665199</v>
          </cell>
          <cell r="AO172">
            <v>909237714.67361796</v>
          </cell>
          <cell r="AP172">
            <v>832918925.62404501</v>
          </cell>
          <cell r="AQ172">
            <v>637317815.36198497</v>
          </cell>
          <cell r="AR172">
            <v>644969853.89646399</v>
          </cell>
          <cell r="AS172">
            <v>616098892.21356499</v>
          </cell>
          <cell r="AT172">
            <v>1063299285.5524499</v>
          </cell>
          <cell r="AU172">
            <v>1223305969.50929</v>
          </cell>
          <cell r="AV172">
            <v>1358820072.1921699</v>
          </cell>
          <cell r="AW172">
            <v>1416436670.4919901</v>
          </cell>
          <cell r="AX172">
            <v>1612494366.99875</v>
          </cell>
          <cell r="AY172">
            <v>1847768962.7014899</v>
          </cell>
          <cell r="AZ172">
            <v>2264325461.48384</v>
          </cell>
          <cell r="BA172">
            <v>2700598779.3050299</v>
          </cell>
          <cell r="BB172">
            <v>2664969380.0008898</v>
          </cell>
          <cell r="BC172">
            <v>2606465306.9345498</v>
          </cell>
          <cell r="BD172">
            <v>2901403971.4224501</v>
          </cell>
          <cell r="BE172">
            <v>3924034071.2290301</v>
          </cell>
          <cell r="BF172">
            <v>4893437931.7239799</v>
          </cell>
          <cell r="BG172">
            <v>4896148548.8161201</v>
          </cell>
          <cell r="BH172">
            <v>4162054005.53585</v>
          </cell>
          <cell r="BI172">
            <v>3276983580.9565201</v>
          </cell>
          <cell r="BJ172">
            <v>3629620900.3042898</v>
          </cell>
          <cell r="BK172">
            <v>3798493994.4702702</v>
          </cell>
          <cell r="BL172">
            <v>4025178583.0205698</v>
          </cell>
          <cell r="BM172">
            <v>3985252721.5383</v>
          </cell>
        </row>
        <row r="173">
          <cell r="B173" t="str">
            <v>SGP</v>
          </cell>
          <cell r="C173" t="str">
            <v>GNI (current US$)</v>
          </cell>
          <cell r="D173" t="str">
            <v>NY.GNP.MKTP.CD</v>
          </cell>
          <cell r="E173">
            <v>717627074.34992802</v>
          </cell>
          <cell r="F173">
            <v>779204233.63386905</v>
          </cell>
          <cell r="G173">
            <v>842284071.60590601</v>
          </cell>
          <cell r="H173">
            <v>939664183.98013902</v>
          </cell>
          <cell r="I173">
            <v>922448712.92303705</v>
          </cell>
          <cell r="J173">
            <v>1006043381.68039</v>
          </cell>
          <cell r="K173">
            <v>1131125049.0003901</v>
          </cell>
          <cell r="L173">
            <v>1269992159.9372799</v>
          </cell>
          <cell r="M173">
            <v>1454200966.9410701</v>
          </cell>
          <cell r="N173">
            <v>1687573500.5880001</v>
          </cell>
          <cell r="O173">
            <v>1938945511.56409</v>
          </cell>
          <cell r="P173">
            <v>2260518750.8166699</v>
          </cell>
          <cell r="Q173">
            <v>2714688432.1631098</v>
          </cell>
          <cell r="R173">
            <v>3616604444.4444399</v>
          </cell>
          <cell r="S173">
            <v>5078863839.8307199</v>
          </cell>
          <cell r="T173">
            <v>5684353071.5253</v>
          </cell>
          <cell r="U173">
            <v>6292792982.75208</v>
          </cell>
          <cell r="V173">
            <v>6542779666.5047798</v>
          </cell>
          <cell r="W173">
            <v>7499549069.4433098</v>
          </cell>
          <cell r="X173">
            <v>9262225153.9138107</v>
          </cell>
          <cell r="Y173">
            <v>11286075600.110399</v>
          </cell>
          <cell r="Z173">
            <v>13359844946.758801</v>
          </cell>
          <cell r="AA173">
            <v>15273772897.240499</v>
          </cell>
          <cell r="AB173">
            <v>17289626168.2243</v>
          </cell>
          <cell r="AC173">
            <v>19624088973.024101</v>
          </cell>
          <cell r="AD173">
            <v>19314940696.638699</v>
          </cell>
          <cell r="AE173">
            <v>18592791236.762001</v>
          </cell>
          <cell r="AF173">
            <v>20371544043.3545</v>
          </cell>
          <cell r="AG173">
            <v>25025641025.640999</v>
          </cell>
          <cell r="AH173">
            <v>30280113297.555199</v>
          </cell>
          <cell r="AI173">
            <v>35780956775.8806</v>
          </cell>
          <cell r="AJ173">
            <v>44779334298.118698</v>
          </cell>
          <cell r="AK173">
            <v>52161387354.205002</v>
          </cell>
          <cell r="AL173">
            <v>59323926228.493599</v>
          </cell>
          <cell r="AM173">
            <v>73786565405.263794</v>
          </cell>
          <cell r="AN173">
            <v>88446027938.478897</v>
          </cell>
          <cell r="AO173">
            <v>95604113475.177307</v>
          </cell>
          <cell r="AP173">
            <v>102085937500</v>
          </cell>
          <cell r="AQ173">
            <v>86992889579.349899</v>
          </cell>
          <cell r="AR173">
            <v>87262005899.705002</v>
          </cell>
          <cell r="AS173">
            <v>95487180974.477997</v>
          </cell>
          <cell r="AT173">
            <v>89194508009.153305</v>
          </cell>
          <cell r="AU173">
            <v>90696247068.021896</v>
          </cell>
          <cell r="AV173">
            <v>95050166456.204803</v>
          </cell>
          <cell r="AW173">
            <v>108077268962.25301</v>
          </cell>
          <cell r="AX173">
            <v>120576303773.131</v>
          </cell>
          <cell r="AY173">
            <v>144599219585.87701</v>
          </cell>
          <cell r="AZ173">
            <v>176182204233.29599</v>
          </cell>
          <cell r="BA173">
            <v>186489999293.23599</v>
          </cell>
          <cell r="BB173">
            <v>184081677552.42401</v>
          </cell>
          <cell r="BC173">
            <v>237218335166.85001</v>
          </cell>
          <cell r="BD173">
            <v>269752265861.02701</v>
          </cell>
          <cell r="BE173">
            <v>281965351684.40399</v>
          </cell>
          <cell r="BF173">
            <v>291009669943.25897</v>
          </cell>
          <cell r="BG173">
            <v>303898666245.758</v>
          </cell>
          <cell r="BH173">
            <v>286988143729.99701</v>
          </cell>
          <cell r="BI173">
            <v>298598190372.78302</v>
          </cell>
          <cell r="BJ173">
            <v>317188138170.758</v>
          </cell>
          <cell r="BK173">
            <v>332420002965.599</v>
          </cell>
          <cell r="BL173">
            <v>329651444069.784</v>
          </cell>
          <cell r="BM173">
            <v>298439225918.67798</v>
          </cell>
        </row>
        <row r="174">
          <cell r="B174" t="str">
            <v>SXM</v>
          </cell>
          <cell r="C174" t="str">
            <v>GNI (current US$)</v>
          </cell>
          <cell r="D174" t="str">
            <v>NY.GNP.MKTP.CD</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t="str">
            <v>..</v>
          </cell>
          <cell r="AU174" t="str">
            <v>..</v>
          </cell>
          <cell r="AV174" t="str">
            <v>..</v>
          </cell>
          <cell r="AW174" t="str">
            <v>..</v>
          </cell>
          <cell r="AX174" t="str">
            <v>..</v>
          </cell>
          <cell r="AY174" t="str">
            <v>..</v>
          </cell>
          <cell r="AZ174" t="str">
            <v>..</v>
          </cell>
          <cell r="BA174" t="str">
            <v>..</v>
          </cell>
          <cell r="BB174" t="str">
            <v>..</v>
          </cell>
          <cell r="BC174" t="str">
            <v>..</v>
          </cell>
          <cell r="BD174">
            <v>917689385.47485995</v>
          </cell>
          <cell r="BE174">
            <v>975606703.91061401</v>
          </cell>
          <cell r="BF174">
            <v>1026524581.00559</v>
          </cell>
          <cell r="BG174">
            <v>1230067039.1061499</v>
          </cell>
          <cell r="BH174">
            <v>1243648044.69274</v>
          </cell>
          <cell r="BI174">
            <v>1263340782.12291</v>
          </cell>
          <cell r="BJ174">
            <v>1165420502.7932999</v>
          </cell>
          <cell r="BK174">
            <v>1159301620.1117301</v>
          </cell>
          <cell r="BL174" t="str">
            <v>..</v>
          </cell>
          <cell r="BM174" t="str">
            <v>..</v>
          </cell>
        </row>
        <row r="175">
          <cell r="B175" t="str">
            <v>SVK</v>
          </cell>
          <cell r="C175" t="str">
            <v>GNI (current US$)</v>
          </cell>
          <cell r="D175" t="str">
            <v>NY.GNP.MKTP.CD</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cell r="AJ175" t="str">
            <v>..</v>
          </cell>
          <cell r="AK175" t="str">
            <v>..</v>
          </cell>
          <cell r="AL175" t="str">
            <v>..</v>
          </cell>
          <cell r="AM175" t="str">
            <v>..</v>
          </cell>
          <cell r="AN175">
            <v>25983596078.4314</v>
          </cell>
          <cell r="AO175">
            <v>28166168567.8074</v>
          </cell>
          <cell r="AP175">
            <v>27768722102.639599</v>
          </cell>
          <cell r="AQ175">
            <v>29912564045.195202</v>
          </cell>
          <cell r="AR175">
            <v>30323412529.299</v>
          </cell>
          <cell r="AS175">
            <v>29053840980.283798</v>
          </cell>
          <cell r="AT175">
            <v>30772569127.5168</v>
          </cell>
          <cell r="AU175">
            <v>35044216073.781303</v>
          </cell>
          <cell r="AV175">
            <v>44561077878.103798</v>
          </cell>
          <cell r="AW175">
            <v>55136991556.990303</v>
          </cell>
          <cell r="AX175">
            <v>61186987936.823799</v>
          </cell>
          <cell r="AY175">
            <v>68746493539.079193</v>
          </cell>
          <cell r="AZ175">
            <v>84062098275.390106</v>
          </cell>
          <cell r="BA175">
            <v>98754551047.312103</v>
          </cell>
          <cell r="BB175">
            <v>88574794387.329803</v>
          </cell>
          <cell r="BC175">
            <v>88810064650.167694</v>
          </cell>
          <cell r="BD175">
            <v>95913510958.366394</v>
          </cell>
          <cell r="BE175">
            <v>92679082635.470901</v>
          </cell>
          <cell r="BF175">
            <v>97813087559.1436</v>
          </cell>
          <cell r="BG175">
            <v>99811759472.145004</v>
          </cell>
          <cell r="BH175">
            <v>86429047251.020401</v>
          </cell>
          <cell r="BI175">
            <v>87230288472.076004</v>
          </cell>
          <cell r="BJ175">
            <v>93432562490.017593</v>
          </cell>
          <cell r="BK175">
            <v>104118395913.52901</v>
          </cell>
          <cell r="BL175">
            <v>103454568806.50999</v>
          </cell>
          <cell r="BM175">
            <v>103993121367.507</v>
          </cell>
        </row>
        <row r="176">
          <cell r="B176" t="str">
            <v>SVN</v>
          </cell>
          <cell r="C176" t="str">
            <v>GNI (current US$)</v>
          </cell>
          <cell r="D176" t="str">
            <v>NY.GNP.MKTP.CD</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v>21458491710.473099</v>
          </cell>
          <cell r="AO176">
            <v>21563792492.917801</v>
          </cell>
          <cell r="AP176">
            <v>20753631452.581001</v>
          </cell>
          <cell r="AQ176">
            <v>22112579342.181198</v>
          </cell>
          <cell r="AR176">
            <v>22692089650.626202</v>
          </cell>
          <cell r="AS176">
            <v>20240378820.4907</v>
          </cell>
          <cell r="AT176">
            <v>20859259624.876598</v>
          </cell>
          <cell r="AU176">
            <v>23284718204.4888</v>
          </cell>
          <cell r="AV176">
            <v>29319206294.110802</v>
          </cell>
          <cell r="AW176">
            <v>33933993522.6707</v>
          </cell>
          <cell r="AX176">
            <v>35866160925.258003</v>
          </cell>
          <cell r="AY176">
            <v>38985723246.769501</v>
          </cell>
          <cell r="AZ176">
            <v>46902956474.130898</v>
          </cell>
          <cell r="BA176">
            <v>54098418045.993896</v>
          </cell>
          <cell r="BB176">
            <v>49532759099.749901</v>
          </cell>
          <cell r="BC176">
            <v>47523263224.8405</v>
          </cell>
          <cell r="BD176">
            <v>50817019569.390198</v>
          </cell>
          <cell r="BE176">
            <v>45854173714.411697</v>
          </cell>
          <cell r="BF176">
            <v>47754167866.327003</v>
          </cell>
          <cell r="BG176">
            <v>49472455060.540802</v>
          </cell>
          <cell r="BH176">
            <v>41761166474.138199</v>
          </cell>
          <cell r="BI176">
            <v>43602431787.544998</v>
          </cell>
          <cell r="BJ176">
            <v>47595495542.292503</v>
          </cell>
          <cell r="BK176">
            <v>53331783348.553596</v>
          </cell>
          <cell r="BL176">
            <v>53358666619.529297</v>
          </cell>
          <cell r="BM176">
            <v>53183791871.984596</v>
          </cell>
        </row>
        <row r="177">
          <cell r="B177" t="str">
            <v>SLB</v>
          </cell>
          <cell r="C177" t="str">
            <v>GNI (current US$)</v>
          </cell>
          <cell r="D177" t="str">
            <v>NY.GNP.MKTP.CD</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v>27708109.3992595</v>
          </cell>
          <cell r="R177">
            <v>37840136.054421797</v>
          </cell>
          <cell r="S177">
            <v>57171514.543630898</v>
          </cell>
          <cell r="T177">
            <v>49482916.612121999</v>
          </cell>
          <cell r="U177">
            <v>52914579.005254798</v>
          </cell>
          <cell r="V177">
            <v>59991128.853404298</v>
          </cell>
          <cell r="W177">
            <v>68215634.657205001</v>
          </cell>
          <cell r="X177">
            <v>97344110.854503497</v>
          </cell>
          <cell r="Y177">
            <v>168227787.37398499</v>
          </cell>
          <cell r="Z177">
            <v>190308452.816019</v>
          </cell>
          <cell r="AA177">
            <v>183708366.88475999</v>
          </cell>
          <cell r="AB177">
            <v>172738291.07709599</v>
          </cell>
          <cell r="AC177">
            <v>172566057.62069601</v>
          </cell>
          <cell r="AD177">
            <v>160389888.13907099</v>
          </cell>
          <cell r="AE177">
            <v>141659488.96257901</v>
          </cell>
          <cell r="AF177">
            <v>147507227.68530899</v>
          </cell>
          <cell r="AG177">
            <v>168161919.469742</v>
          </cell>
          <cell r="AH177">
            <v>164788563.493965</v>
          </cell>
          <cell r="AI177">
            <v>209468321.395789</v>
          </cell>
          <cell r="AJ177">
            <v>218616472.66833699</v>
          </cell>
          <cell r="AK177">
            <v>259212458.590895</v>
          </cell>
          <cell r="AL177">
            <v>296922546.036327</v>
          </cell>
          <cell r="AM177">
            <v>399951388.466914</v>
          </cell>
          <cell r="AN177">
            <v>462726445.28612101</v>
          </cell>
          <cell r="AO177">
            <v>503532974.42799503</v>
          </cell>
          <cell r="AP177">
            <v>518039226.23691797</v>
          </cell>
          <cell r="AQ177">
            <v>449788188.38774002</v>
          </cell>
          <cell r="AR177">
            <v>471073355.24276102</v>
          </cell>
          <cell r="AS177">
            <v>415728349.93810099</v>
          </cell>
          <cell r="AT177">
            <v>409542686.623721</v>
          </cell>
          <cell r="AU177">
            <v>338927068.51588398</v>
          </cell>
          <cell r="AV177">
            <v>349092087.55778801</v>
          </cell>
          <cell r="AW177">
            <v>399808475.95762002</v>
          </cell>
          <cell r="AX177">
            <v>478519010.876638</v>
          </cell>
          <cell r="AY177">
            <v>524842489.87716299</v>
          </cell>
          <cell r="AZ177">
            <v>586615620.47058201</v>
          </cell>
          <cell r="BA177">
            <v>643298211.44650805</v>
          </cell>
          <cell r="BB177">
            <v>680080162.60808802</v>
          </cell>
          <cell r="BC177">
            <v>802889749.58016896</v>
          </cell>
          <cell r="BD177">
            <v>976104526.36655796</v>
          </cell>
          <cell r="BE177">
            <v>1133826776.6059401</v>
          </cell>
          <cell r="BF177">
            <v>1288509840.1574399</v>
          </cell>
          <cell r="BG177">
            <v>1320261534.3580599</v>
          </cell>
          <cell r="BH177">
            <v>1282860953.61323</v>
          </cell>
          <cell r="BI177">
            <v>1335704972.4430201</v>
          </cell>
          <cell r="BJ177">
            <v>1454139973.8738899</v>
          </cell>
          <cell r="BK177">
            <v>1554011672.4196899</v>
          </cell>
          <cell r="BL177">
            <v>1553502893.4135101</v>
          </cell>
          <cell r="BM177">
            <v>1581793499.5936201</v>
          </cell>
        </row>
        <row r="178">
          <cell r="B178" t="str">
            <v>SOM</v>
          </cell>
          <cell r="C178" t="str">
            <v>GNI (current US$)</v>
          </cell>
          <cell r="D178" t="str">
            <v>NY.GNP.MKTP.CD</v>
          </cell>
          <cell r="E178">
            <v>180179811.448075</v>
          </cell>
          <cell r="F178">
            <v>191365775.61368999</v>
          </cell>
          <cell r="G178">
            <v>203335811.14567599</v>
          </cell>
          <cell r="H178">
            <v>216145935.94162601</v>
          </cell>
          <cell r="I178">
            <v>229235720.14571199</v>
          </cell>
          <cell r="J178">
            <v>243528543.30873999</v>
          </cell>
          <cell r="K178">
            <v>256576321.66207001</v>
          </cell>
          <cell r="L178">
            <v>271374228.39463001</v>
          </cell>
          <cell r="M178">
            <v>285920432.317406</v>
          </cell>
          <cell r="N178">
            <v>305542857.14285702</v>
          </cell>
          <cell r="O178">
            <v>322900004.57142901</v>
          </cell>
          <cell r="P178">
            <v>330696078.33235103</v>
          </cell>
          <cell r="Q178">
            <v>417315098.637555</v>
          </cell>
          <cell r="R178">
            <v>508636319.350474</v>
          </cell>
          <cell r="S178">
            <v>469658291.34233499</v>
          </cell>
          <cell r="T178">
            <v>711151570.45273995</v>
          </cell>
          <cell r="U178">
            <v>808498996.66401899</v>
          </cell>
          <cell r="V178">
            <v>497536371.01449299</v>
          </cell>
          <cell r="W178">
            <v>563950214.36464095</v>
          </cell>
          <cell r="X178">
            <v>592585306.03674495</v>
          </cell>
          <cell r="Y178">
            <v>602724030.436746</v>
          </cell>
          <cell r="Z178">
            <v>694610043.37349403</v>
          </cell>
          <cell r="AA178">
            <v>762206606.17832506</v>
          </cell>
          <cell r="AB178">
            <v>727809243.34282398</v>
          </cell>
          <cell r="AC178">
            <v>744326945.78663802</v>
          </cell>
          <cell r="AD178">
            <v>827405806.74157298</v>
          </cell>
          <cell r="AE178">
            <v>873161504.93093598</v>
          </cell>
          <cell r="AF178">
            <v>957837185.26884997</v>
          </cell>
          <cell r="AG178">
            <v>977731063.89203799</v>
          </cell>
          <cell r="AH178">
            <v>1014833264.60481</v>
          </cell>
          <cell r="AI178">
            <v>834948071.95093</v>
          </cell>
          <cell r="AJ178" t="str">
            <v>..</v>
          </cell>
          <cell r="AK178" t="str">
            <v>..</v>
          </cell>
          <cell r="AL178" t="str">
            <v>..</v>
          </cell>
          <cell r="AM178" t="str">
            <v>..</v>
          </cell>
          <cell r="AN178" t="str">
            <v>..</v>
          </cell>
          <cell r="AO178" t="str">
            <v>..</v>
          </cell>
          <cell r="AP178" t="str">
            <v>..</v>
          </cell>
          <cell r="AQ178" t="str">
            <v>..</v>
          </cell>
          <cell r="AR178" t="str">
            <v>..</v>
          </cell>
          <cell r="AS178" t="str">
            <v>..</v>
          </cell>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v>4542495666.9948597</v>
          </cell>
          <cell r="BG178">
            <v>4991306321.1690702</v>
          </cell>
          <cell r="BH178">
            <v>5302522144.2549896</v>
          </cell>
          <cell r="BI178">
            <v>5499553701.4834299</v>
          </cell>
          <cell r="BJ178">
            <v>5575933264.6354799</v>
          </cell>
          <cell r="BK178">
            <v>5816586095.8280001</v>
          </cell>
          <cell r="BL178">
            <v>6440983145.1677799</v>
          </cell>
          <cell r="BM178">
            <v>6929252418.7887897</v>
          </cell>
        </row>
        <row r="179">
          <cell r="B179" t="str">
            <v>ZAF</v>
          </cell>
          <cell r="C179" t="str">
            <v>GNI (current US$)</v>
          </cell>
          <cell r="D179" t="str">
            <v>NY.GNP.MKTP.CD</v>
          </cell>
          <cell r="E179">
            <v>7244997105.0440598</v>
          </cell>
          <cell r="F179">
            <v>7600596962.9534702</v>
          </cell>
          <cell r="G179">
            <v>8174596733.5946398</v>
          </cell>
          <cell r="H179">
            <v>9099996363.8234501</v>
          </cell>
          <cell r="I179">
            <v>9998796004.6810894</v>
          </cell>
          <cell r="J179">
            <v>10918595637.1476</v>
          </cell>
          <cell r="K179">
            <v>11920995236.6087</v>
          </cell>
          <cell r="L179">
            <v>13327994674.3999</v>
          </cell>
          <cell r="M179">
            <v>14377994254.841101</v>
          </cell>
          <cell r="N179">
            <v>16181193534.318701</v>
          </cell>
          <cell r="O179">
            <v>17754792905.539902</v>
          </cell>
          <cell r="P179">
            <v>19677946199.606701</v>
          </cell>
          <cell r="Q179">
            <v>20654974276.4189</v>
          </cell>
          <cell r="R179">
            <v>28370548144.323101</v>
          </cell>
          <cell r="S179">
            <v>35558230627.365402</v>
          </cell>
          <cell r="T179">
            <v>36575681331.465302</v>
          </cell>
          <cell r="U179">
            <v>35101449971.392303</v>
          </cell>
          <cell r="V179">
            <v>38913699968.285301</v>
          </cell>
          <cell r="W179">
            <v>44786749963.498802</v>
          </cell>
          <cell r="X179">
            <v>55306116361.8629</v>
          </cell>
          <cell r="Y179">
            <v>79654998273.531998</v>
          </cell>
          <cell r="Z179">
            <v>81875255314.0681</v>
          </cell>
          <cell r="AA179">
            <v>75295457579.195602</v>
          </cell>
          <cell r="AB179">
            <v>84058881623.563202</v>
          </cell>
          <cell r="AC179">
            <v>74350757753.917603</v>
          </cell>
          <cell r="AD179">
            <v>56512053140.950203</v>
          </cell>
          <cell r="AE179">
            <v>64575910334.088799</v>
          </cell>
          <cell r="AF179">
            <v>85456852377.751801</v>
          </cell>
          <cell r="AG179">
            <v>92004394168.819199</v>
          </cell>
          <cell r="AH179">
            <v>95661399466.766296</v>
          </cell>
          <cell r="AI179">
            <v>111285000412.09</v>
          </cell>
          <cell r="AJ179">
            <v>120735160974.903</v>
          </cell>
          <cell r="AK179">
            <v>131599579242.63699</v>
          </cell>
          <cell r="AL179">
            <v>144534216360.13101</v>
          </cell>
          <cell r="AM179">
            <v>151090918131.125</v>
          </cell>
          <cell r="AN179">
            <v>168860475255.71399</v>
          </cell>
          <cell r="AO179">
            <v>160124651268.811</v>
          </cell>
          <cell r="AP179">
            <v>165755309678.819</v>
          </cell>
          <cell r="AQ179">
            <v>149819182352.62201</v>
          </cell>
          <cell r="AR179">
            <v>148308278091.49701</v>
          </cell>
          <cell r="AS179">
            <v>148579791002.62299</v>
          </cell>
          <cell r="AT179">
            <v>131692209833.666</v>
          </cell>
          <cell r="AU179">
            <v>126298943628.032</v>
          </cell>
          <cell r="AV179">
            <v>192410805557.392</v>
          </cell>
          <cell r="AW179">
            <v>251495285663.42099</v>
          </cell>
          <cell r="AX179">
            <v>283926907458.36798</v>
          </cell>
          <cell r="AY179">
            <v>298725379797.68103</v>
          </cell>
          <cell r="AZ179">
            <v>323307670849.065</v>
          </cell>
          <cell r="BA179">
            <v>307189733295.40503</v>
          </cell>
          <cell r="BB179">
            <v>323125601579.00299</v>
          </cell>
          <cell r="BC179">
            <v>409233759697.86401</v>
          </cell>
          <cell r="BD179">
            <v>447481650755.39502</v>
          </cell>
          <cell r="BE179">
            <v>423516734077.151</v>
          </cell>
          <cell r="BF179">
            <v>391194711860.89398</v>
          </cell>
          <cell r="BG179">
            <v>371745234720.224</v>
          </cell>
          <cell r="BH179">
            <v>338766618711.13</v>
          </cell>
          <cell r="BI179">
            <v>315294078694.38702</v>
          </cell>
          <cell r="BJ179">
            <v>370872982190.20599</v>
          </cell>
          <cell r="BK179">
            <v>393553305427.72699</v>
          </cell>
          <cell r="BL179">
            <v>378250733672.93298</v>
          </cell>
          <cell r="BM179">
            <v>329818707620.70801</v>
          </cell>
        </row>
        <row r="180">
          <cell r="B180" t="str">
            <v>SSD</v>
          </cell>
          <cell r="C180" t="str">
            <v>GNI (current US$)</v>
          </cell>
          <cell r="D180" t="str">
            <v>NY.GNP.MKTP.CD</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t="str">
            <v>..</v>
          </cell>
          <cell r="AU180" t="str">
            <v>..</v>
          </cell>
          <cell r="AV180" t="str">
            <v>..</v>
          </cell>
          <cell r="AW180" t="str">
            <v>..</v>
          </cell>
          <cell r="AX180" t="str">
            <v>..</v>
          </cell>
          <cell r="AY180" t="str">
            <v>..</v>
          </cell>
          <cell r="AZ180" t="str">
            <v>..</v>
          </cell>
          <cell r="BA180" t="str">
            <v>..</v>
          </cell>
          <cell r="BB180" t="str">
            <v>..</v>
          </cell>
          <cell r="BC180" t="str">
            <v>..</v>
          </cell>
          <cell r="BD180">
            <v>8550148979.5918398</v>
          </cell>
          <cell r="BE180">
            <v>11486155559.322001</v>
          </cell>
          <cell r="BF180">
            <v>17413371593.220299</v>
          </cell>
          <cell r="BG180">
            <v>11954212847.4576</v>
          </cell>
          <cell r="BH180">
            <v>10522802563.675699</v>
          </cell>
          <cell r="BI180" t="str">
            <v>..</v>
          </cell>
          <cell r="BJ180" t="str">
            <v>..</v>
          </cell>
          <cell r="BK180" t="str">
            <v>..</v>
          </cell>
          <cell r="BL180" t="str">
            <v>..</v>
          </cell>
          <cell r="BM180" t="str">
            <v>..</v>
          </cell>
        </row>
        <row r="181">
          <cell r="B181" t="str">
            <v>ESP</v>
          </cell>
          <cell r="C181" t="str">
            <v>GNI (current US$)</v>
          </cell>
          <cell r="D181" t="str">
            <v>NY.GNP.MKTP.CD</v>
          </cell>
          <cell r="E181">
            <v>12014292254.6682</v>
          </cell>
          <cell r="F181">
            <v>13771365311.680099</v>
          </cell>
          <cell r="G181">
            <v>16068290740.302299</v>
          </cell>
          <cell r="H181">
            <v>18990535037.938999</v>
          </cell>
          <cell r="I181">
            <v>21214320908.7775</v>
          </cell>
          <cell r="J181">
            <v>24646865294.994701</v>
          </cell>
          <cell r="K181">
            <v>28478655146.859001</v>
          </cell>
          <cell r="L181">
            <v>31375464705.160801</v>
          </cell>
          <cell r="M181">
            <v>31188508104.380699</v>
          </cell>
          <cell r="N181">
            <v>35653004591.768303</v>
          </cell>
          <cell r="O181">
            <v>40471022106.013802</v>
          </cell>
          <cell r="P181">
            <v>46106900598.802399</v>
          </cell>
          <cell r="Q181">
            <v>58555487962.723297</v>
          </cell>
          <cell r="R181">
            <v>78071719017.704193</v>
          </cell>
          <cell r="S181">
            <v>96948485722.526703</v>
          </cell>
          <cell r="T181">
            <v>113934171014.493</v>
          </cell>
          <cell r="U181">
            <v>117234501367.819</v>
          </cell>
          <cell r="V181">
            <v>130823347207.00999</v>
          </cell>
          <cell r="W181">
            <v>158522927517.36099</v>
          </cell>
          <cell r="X181">
            <v>212392352503.71799</v>
          </cell>
          <cell r="Y181">
            <v>229755263402.181</v>
          </cell>
          <cell r="Z181">
            <v>199125227969.00299</v>
          </cell>
          <cell r="AA181">
            <v>192294673633.19699</v>
          </cell>
          <cell r="AB181">
            <v>167322796983.759</v>
          </cell>
          <cell r="AC181">
            <v>168552857586.42099</v>
          </cell>
          <cell r="AD181">
            <v>178339212328.767</v>
          </cell>
          <cell r="AE181">
            <v>248144330521.564</v>
          </cell>
          <cell r="AF181">
            <v>314786221533.48602</v>
          </cell>
          <cell r="AG181">
            <v>370872708184.54498</v>
          </cell>
          <cell r="AH181">
            <v>410262872803.935</v>
          </cell>
          <cell r="AI181">
            <v>530515703558.60303</v>
          </cell>
          <cell r="AJ181">
            <v>570816810248.198</v>
          </cell>
          <cell r="AK181">
            <v>623343892410.20605</v>
          </cell>
          <cell r="AL181">
            <v>520853333769.12</v>
          </cell>
          <cell r="AM181">
            <v>519422964849.08698</v>
          </cell>
          <cell r="AN181">
            <v>609570971443.82202</v>
          </cell>
          <cell r="AO181">
            <v>633528195192.43396</v>
          </cell>
          <cell r="AP181">
            <v>583087704545.45496</v>
          </cell>
          <cell r="AQ181">
            <v>611311425548.50195</v>
          </cell>
          <cell r="AR181">
            <v>628928190922.651</v>
          </cell>
          <cell r="AS181">
            <v>592609176340.52002</v>
          </cell>
          <cell r="AT181">
            <v>618604921700.224</v>
          </cell>
          <cell r="AU181">
            <v>697404479578.39294</v>
          </cell>
          <cell r="AV181">
            <v>898060948081.26404</v>
          </cell>
          <cell r="AW181">
            <v>1057144276136.08</v>
          </cell>
          <cell r="AX181">
            <v>1137362268374.5801</v>
          </cell>
          <cell r="AY181">
            <v>1236053192823.99</v>
          </cell>
          <cell r="AZ181">
            <v>1436006022447.3</v>
          </cell>
          <cell r="BA181">
            <v>1580109857917.0901</v>
          </cell>
          <cell r="BB181">
            <v>1457139483189.77</v>
          </cell>
          <cell r="BC181">
            <v>1400015982113.6499</v>
          </cell>
          <cell r="BD181">
            <v>1452677233893.9099</v>
          </cell>
          <cell r="BE181">
            <v>1314223832938.1001</v>
          </cell>
          <cell r="BF181">
            <v>1345710208981.47</v>
          </cell>
          <cell r="BG181">
            <v>1364378484123.79</v>
          </cell>
          <cell r="BH181">
            <v>1194850875811.0901</v>
          </cell>
          <cell r="BI181">
            <v>1235120146859.29</v>
          </cell>
          <cell r="BJ181">
            <v>1309785190230.7</v>
          </cell>
          <cell r="BK181">
            <v>1422341105910.5601</v>
          </cell>
          <cell r="BL181">
            <v>1396054121145.1001</v>
          </cell>
          <cell r="BM181">
            <v>1289015138989.8899</v>
          </cell>
        </row>
        <row r="182">
          <cell r="B182" t="str">
            <v>LKA</v>
          </cell>
          <cell r="C182" t="str">
            <v>GNI (current US$)</v>
          </cell>
          <cell r="D182" t="str">
            <v>NY.GNP.MKTP.CD</v>
          </cell>
          <cell r="E182">
            <v>1406432689.0756299</v>
          </cell>
          <cell r="F182">
            <v>1407026659.6638701</v>
          </cell>
          <cell r="G182">
            <v>1438767407.4074099</v>
          </cell>
          <cell r="H182">
            <v>1223818201.68067</v>
          </cell>
          <cell r="I182">
            <v>1306652050.4201701</v>
          </cell>
          <cell r="J182">
            <v>1683403361.3445401</v>
          </cell>
          <cell r="K182">
            <v>1750630252.1008401</v>
          </cell>
          <cell r="L182">
            <v>1855555555.5555601</v>
          </cell>
          <cell r="M182">
            <v>1771260504.2016799</v>
          </cell>
          <cell r="N182">
            <v>1953613445.37815</v>
          </cell>
          <cell r="O182">
            <v>2142184873.94958</v>
          </cell>
          <cell r="P182">
            <v>2158178752.1079302</v>
          </cell>
          <cell r="Q182">
            <v>2352093802.3450599</v>
          </cell>
          <cell r="R182">
            <v>2622500000</v>
          </cell>
          <cell r="S182">
            <v>3230375939.8496199</v>
          </cell>
          <cell r="T182">
            <v>3369329529.2439399</v>
          </cell>
          <cell r="U182">
            <v>3056361474.4352002</v>
          </cell>
          <cell r="V182">
            <v>3523788049.6054101</v>
          </cell>
          <cell r="W182">
            <v>2501281229.9807801</v>
          </cell>
          <cell r="X182">
            <v>3358445728.96596</v>
          </cell>
          <cell r="Y182">
            <v>4067150635.2087102</v>
          </cell>
          <cell r="Z182">
            <v>4391688311.6883097</v>
          </cell>
          <cell r="AA182">
            <v>4817779913.5031204</v>
          </cell>
          <cell r="AB182">
            <v>5141478963.0259199</v>
          </cell>
          <cell r="AC182">
            <v>5870951257.86164</v>
          </cell>
          <cell r="AD182">
            <v>5953387334.3151703</v>
          </cell>
          <cell r="AE182">
            <v>6378443968.5938597</v>
          </cell>
          <cell r="AF182">
            <v>6653634510.8695698</v>
          </cell>
          <cell r="AG182">
            <v>6961175730.9022303</v>
          </cell>
          <cell r="AH182">
            <v>6936477115.1178904</v>
          </cell>
          <cell r="AI182">
            <v>7973539690.4643002</v>
          </cell>
          <cell r="AJ182">
            <v>8925839980.6623192</v>
          </cell>
          <cell r="AK182">
            <v>9680880675.3365307</v>
          </cell>
          <cell r="AL182">
            <v>10339859271.523199</v>
          </cell>
          <cell r="AM182">
            <v>11645649534.6014</v>
          </cell>
          <cell r="AN182">
            <v>12859512195.122</v>
          </cell>
          <cell r="AO182">
            <v>13701791206.802999</v>
          </cell>
          <cell r="AP182">
            <v>14917511442.617399</v>
          </cell>
          <cell r="AQ182">
            <v>15545384018.619101</v>
          </cell>
          <cell r="AR182">
            <v>15373003963.759899</v>
          </cell>
          <cell r="AS182">
            <v>16016130112.9723</v>
          </cell>
          <cell r="AT182">
            <v>15467999433.751101</v>
          </cell>
          <cell r="AU182">
            <v>16285197574.7439</v>
          </cell>
          <cell r="AV182">
            <v>18710453791.960201</v>
          </cell>
          <cell r="AW182">
            <v>20457644035.971901</v>
          </cell>
          <cell r="AX182">
            <v>24106796019.900501</v>
          </cell>
          <cell r="AY182">
            <v>27890802429.692101</v>
          </cell>
          <cell r="AZ182">
            <v>31997212158.028301</v>
          </cell>
          <cell r="BA182">
            <v>39744290332.287804</v>
          </cell>
          <cell r="BB182">
            <v>41580810963.1754</v>
          </cell>
          <cell r="BC182">
            <v>56108610571.841698</v>
          </cell>
          <cell r="BD182">
            <v>64641180045.801003</v>
          </cell>
          <cell r="BE182">
            <v>67220575627.295197</v>
          </cell>
          <cell r="BF182">
            <v>72566139041.907806</v>
          </cell>
          <cell r="BG182">
            <v>77548357251.232498</v>
          </cell>
          <cell r="BH182">
            <v>78581801881.244202</v>
          </cell>
          <cell r="BI182">
            <v>80205348611.810394</v>
          </cell>
          <cell r="BJ182">
            <v>85113502188.310104</v>
          </cell>
          <cell r="BK182">
            <v>85564980497.325897</v>
          </cell>
          <cell r="BL182">
            <v>81572699416.878494</v>
          </cell>
          <cell r="BM182">
            <v>78493490580.982193</v>
          </cell>
        </row>
        <row r="183">
          <cell r="B183" t="str">
            <v>KNA</v>
          </cell>
          <cell r="C183" t="str">
            <v>GNI (current US$)</v>
          </cell>
          <cell r="D183" t="str">
            <v>NY.GNP.MKTP.CD</v>
          </cell>
          <cell r="E183" t="str">
            <v>..</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v>43200441.4814815</v>
          </cell>
          <cell r="W183">
            <v>48137645.185185201</v>
          </cell>
          <cell r="X183">
            <v>57544366.296296299</v>
          </cell>
          <cell r="Y183">
            <v>67214814.814814806</v>
          </cell>
          <cell r="Z183">
            <v>79844444.444444403</v>
          </cell>
          <cell r="AA183">
            <v>86622222.222222194</v>
          </cell>
          <cell r="AB183">
            <v>87974074.074074104</v>
          </cell>
          <cell r="AC183">
            <v>98703703.703703701</v>
          </cell>
          <cell r="AD183">
            <v>109707407.407407</v>
          </cell>
          <cell r="AE183">
            <v>128996296.296296</v>
          </cell>
          <cell r="AF183">
            <v>145985185.18518499</v>
          </cell>
          <cell r="AG183">
            <v>168570370.37037</v>
          </cell>
          <cell r="AH183">
            <v>183351851.851852</v>
          </cell>
          <cell r="AI183">
            <v>212800000</v>
          </cell>
          <cell r="AJ183">
            <v>213533333.33333299</v>
          </cell>
          <cell r="AK183">
            <v>231448148.148148</v>
          </cell>
          <cell r="AL183">
            <v>251855555.555556</v>
          </cell>
          <cell r="AM183">
            <v>282151851.851852</v>
          </cell>
          <cell r="AN183">
            <v>302525925.92592603</v>
          </cell>
          <cell r="AO183">
            <v>318355555.555556</v>
          </cell>
          <cell r="AP183">
            <v>355040225.41059601</v>
          </cell>
          <cell r="AQ183">
            <v>357876394.913432</v>
          </cell>
          <cell r="AR183">
            <v>378111444.77811098</v>
          </cell>
          <cell r="AS183">
            <v>391558224.89155799</v>
          </cell>
          <cell r="AT183">
            <v>424024024.02402401</v>
          </cell>
          <cell r="AU183">
            <v>442976235.49475402</v>
          </cell>
          <cell r="AV183">
            <v>426068624.179735</v>
          </cell>
          <cell r="AW183">
            <v>467998370.37036997</v>
          </cell>
          <cell r="AX183">
            <v>512065370.37036997</v>
          </cell>
          <cell r="AY183">
            <v>612071296.296296</v>
          </cell>
          <cell r="AZ183">
            <v>658340703.703704</v>
          </cell>
          <cell r="BA183">
            <v>717094925.92592597</v>
          </cell>
          <cell r="BB183">
            <v>713961703.703704</v>
          </cell>
          <cell r="BC183">
            <v>730985888.88888896</v>
          </cell>
          <cell r="BD183">
            <v>788113592.59259295</v>
          </cell>
          <cell r="BE183">
            <v>776637629.62962997</v>
          </cell>
          <cell r="BF183">
            <v>825148592.59259295</v>
          </cell>
          <cell r="BG183">
            <v>848968259.25925899</v>
          </cell>
          <cell r="BH183">
            <v>858366592.592592</v>
          </cell>
          <cell r="BI183">
            <v>950227666.66666698</v>
          </cell>
          <cell r="BJ183">
            <v>1011856814.81481</v>
          </cell>
          <cell r="BK183">
            <v>1031868074.07407</v>
          </cell>
          <cell r="BL183">
            <v>1117245111.11111</v>
          </cell>
          <cell r="BM183">
            <v>1001273148.14815</v>
          </cell>
        </row>
        <row r="184">
          <cell r="B184" t="str">
            <v>LCA</v>
          </cell>
          <cell r="C184" t="str">
            <v>GNI (current US$)</v>
          </cell>
          <cell r="D184" t="str">
            <v>NY.GNP.MKTP.CD</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v>160364220.48148099</v>
          </cell>
          <cell r="Z184">
            <v>183221159.11111099</v>
          </cell>
          <cell r="AA184">
            <v>172077947.148148</v>
          </cell>
          <cell r="AB184">
            <v>185929578.11111099</v>
          </cell>
          <cell r="AC184">
            <v>238777696</v>
          </cell>
          <cell r="AD184">
            <v>268966204.81481498</v>
          </cell>
          <cell r="AE184">
            <v>322614800.296296</v>
          </cell>
          <cell r="AF184">
            <v>356004455.25925899</v>
          </cell>
          <cell r="AG184">
            <v>403151312.92592603</v>
          </cell>
          <cell r="AH184">
            <v>458048582</v>
          </cell>
          <cell r="AI184">
            <v>521420084.703704</v>
          </cell>
          <cell r="AJ184">
            <v>551072185.18518496</v>
          </cell>
          <cell r="AK184">
            <v>611779481.48148096</v>
          </cell>
          <cell r="AL184">
            <v>615096296.296296</v>
          </cell>
          <cell r="AM184">
            <v>643220851.85185206</v>
          </cell>
          <cell r="AN184">
            <v>683599962.96296299</v>
          </cell>
          <cell r="AO184">
            <v>712277962.96296299</v>
          </cell>
          <cell r="AP184">
            <v>726242925.92592597</v>
          </cell>
          <cell r="AQ184">
            <v>789198296.296296</v>
          </cell>
          <cell r="AR184">
            <v>832349148.14814794</v>
          </cell>
          <cell r="AS184">
            <v>838614518.51851797</v>
          </cell>
          <cell r="AT184">
            <v>791317037.03703701</v>
          </cell>
          <cell r="AU184">
            <v>807708518.51851797</v>
          </cell>
          <cell r="AV184">
            <v>877416777.77777803</v>
          </cell>
          <cell r="AW184">
            <v>937048962.96296299</v>
          </cell>
          <cell r="AX184">
            <v>998647259.25925899</v>
          </cell>
          <cell r="AY184">
            <v>1214138074.07407</v>
          </cell>
          <cell r="AZ184">
            <v>1268112444.4444399</v>
          </cell>
          <cell r="BA184">
            <v>1365857333.3333299</v>
          </cell>
          <cell r="BB184">
            <v>1356348259.2592599</v>
          </cell>
          <cell r="BC184">
            <v>1447190518.5185201</v>
          </cell>
          <cell r="BD184">
            <v>1557140148.14815</v>
          </cell>
          <cell r="BE184">
            <v>1567433518.5185201</v>
          </cell>
          <cell r="BF184">
            <v>1627002518.5185201</v>
          </cell>
          <cell r="BG184">
            <v>1648197666.6666701</v>
          </cell>
          <cell r="BH184">
            <v>1655146407.4074099</v>
          </cell>
          <cell r="BI184">
            <v>1751494111.11111</v>
          </cell>
          <cell r="BJ184">
            <v>1889999333.3333299</v>
          </cell>
          <cell r="BK184">
            <v>1952702629.6296301</v>
          </cell>
          <cell r="BL184">
            <v>2004342259.2592599</v>
          </cell>
          <cell r="BM184">
            <v>1521505777.7777801</v>
          </cell>
        </row>
        <row r="185">
          <cell r="B185" t="str">
            <v>MAF</v>
          </cell>
          <cell r="C185" t="str">
            <v>GNI (current US$)</v>
          </cell>
          <cell r="D185" t="str">
            <v>NY.GNP.MKTP.CD</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v>
          </cell>
        </row>
        <row r="186">
          <cell r="B186" t="str">
            <v>VCT</v>
          </cell>
          <cell r="C186" t="str">
            <v>GNI (current US$)</v>
          </cell>
          <cell r="D186" t="str">
            <v>NY.GNP.MKTP.CD</v>
          </cell>
          <cell r="E186">
            <v>13066557.778685199</v>
          </cell>
          <cell r="F186">
            <v>13999883.334305501</v>
          </cell>
          <cell r="G186">
            <v>14524878.959341999</v>
          </cell>
          <cell r="H186">
            <v>13708219.098174199</v>
          </cell>
          <cell r="I186">
            <v>14758210.3482471</v>
          </cell>
          <cell r="J186">
            <v>15108207.4316047</v>
          </cell>
          <cell r="K186">
            <v>16099865.8344514</v>
          </cell>
          <cell r="L186">
            <v>15835177.9329133</v>
          </cell>
          <cell r="M186">
            <v>15350000</v>
          </cell>
          <cell r="N186">
            <v>16650000</v>
          </cell>
          <cell r="O186">
            <v>18450000</v>
          </cell>
          <cell r="P186">
            <v>20051648.184718199</v>
          </cell>
          <cell r="Q186">
            <v>27585488.991828401</v>
          </cell>
          <cell r="R186">
            <v>30165373.621886499</v>
          </cell>
          <cell r="S186">
            <v>32924215.858172599</v>
          </cell>
          <cell r="T186">
            <v>33237164.715642001</v>
          </cell>
          <cell r="U186">
            <v>32792480.972960599</v>
          </cell>
          <cell r="V186">
            <v>49353148.148148097</v>
          </cell>
          <cell r="W186">
            <v>60844777.777777798</v>
          </cell>
          <cell r="X186">
            <v>70496359.629629597</v>
          </cell>
          <cell r="Y186">
            <v>81440339.629629597</v>
          </cell>
          <cell r="Z186">
            <v>101386539.259259</v>
          </cell>
          <cell r="AA186">
            <v>111059203.333333</v>
          </cell>
          <cell r="AB186">
            <v>119955349.62963</v>
          </cell>
          <cell r="AC186">
            <v>132024987.777778</v>
          </cell>
          <cell r="AD186">
            <v>142741705.18518499</v>
          </cell>
          <cell r="AE186">
            <v>152402212.222222</v>
          </cell>
          <cell r="AF186">
            <v>171321388.148148</v>
          </cell>
          <cell r="AG186">
            <v>189467453.33333299</v>
          </cell>
          <cell r="AH186">
            <v>207893150.37037</v>
          </cell>
          <cell r="AI186">
            <v>229322222.222222</v>
          </cell>
          <cell r="AJ186">
            <v>243470370.37037</v>
          </cell>
          <cell r="AK186">
            <v>269685185.18518502</v>
          </cell>
          <cell r="AL186">
            <v>278092592.59259301</v>
          </cell>
          <cell r="AM186">
            <v>278522222.22222197</v>
          </cell>
          <cell r="AN186">
            <v>304570370.37036997</v>
          </cell>
          <cell r="AO186">
            <v>322492592.59259301</v>
          </cell>
          <cell r="AP186">
            <v>335140740.74074101</v>
          </cell>
          <cell r="AQ186">
            <v>359903703.703704</v>
          </cell>
          <cell r="AR186">
            <v>371259259.25925899</v>
          </cell>
          <cell r="AS186">
            <v>377088888.88888901</v>
          </cell>
          <cell r="AT186">
            <v>413557407.40740699</v>
          </cell>
          <cell r="AU186">
            <v>444282333.33333302</v>
          </cell>
          <cell r="AV186">
            <v>457974407.40740699</v>
          </cell>
          <cell r="AW186">
            <v>492389111.11111099</v>
          </cell>
          <cell r="AX186">
            <v>521127407.40740699</v>
          </cell>
          <cell r="AY186">
            <v>585231814.81481504</v>
          </cell>
          <cell r="AZ186">
            <v>662438148.14814794</v>
          </cell>
          <cell r="BA186">
            <v>672587148.14814794</v>
          </cell>
          <cell r="BB186">
            <v>661910888.88888896</v>
          </cell>
          <cell r="BC186">
            <v>668947000</v>
          </cell>
          <cell r="BD186">
            <v>663187259.25925899</v>
          </cell>
          <cell r="BE186">
            <v>689114185.18518496</v>
          </cell>
          <cell r="BF186">
            <v>717486629.62962997</v>
          </cell>
          <cell r="BG186">
            <v>697855407.40740705</v>
          </cell>
          <cell r="BH186">
            <v>737180407.40740705</v>
          </cell>
          <cell r="BI186">
            <v>769264185.18518496</v>
          </cell>
          <cell r="BJ186">
            <v>788531259.25925899</v>
          </cell>
          <cell r="BK186">
            <v>809760629.62962997</v>
          </cell>
          <cell r="BL186">
            <v>818224259.25925899</v>
          </cell>
          <cell r="BM186">
            <v>809833370.37037003</v>
          </cell>
        </row>
        <row r="187">
          <cell r="B187" t="str">
            <v>SDN</v>
          </cell>
          <cell r="C187" t="str">
            <v>GNI (current US$)</v>
          </cell>
          <cell r="D187" t="str">
            <v>NY.GNP.MKTP.CD</v>
          </cell>
          <cell r="E187">
            <v>1314000000</v>
          </cell>
          <cell r="F187">
            <v>1419000000</v>
          </cell>
          <cell r="G187">
            <v>1536000000</v>
          </cell>
          <cell r="H187">
            <v>1568666666.6666701</v>
          </cell>
          <cell r="I187">
            <v>1609333333.3333299</v>
          </cell>
          <cell r="J187">
            <v>1679333333.3333299</v>
          </cell>
          <cell r="K187">
            <v>1723000000</v>
          </cell>
          <cell r="L187">
            <v>1854666666.6666701</v>
          </cell>
          <cell r="M187">
            <v>1932666666.6666701</v>
          </cell>
          <cell r="N187">
            <v>2127000000</v>
          </cell>
          <cell r="O187">
            <v>2421333333.3333302</v>
          </cell>
          <cell r="P187">
            <v>2635000000</v>
          </cell>
          <cell r="Q187">
            <v>2856333333.3333302</v>
          </cell>
          <cell r="R187">
            <v>3543000000</v>
          </cell>
          <cell r="S187">
            <v>4547000000</v>
          </cell>
          <cell r="T187">
            <v>5536333333.3333302</v>
          </cell>
          <cell r="U187">
            <v>6919666666.6666698</v>
          </cell>
          <cell r="V187">
            <v>8643000000</v>
          </cell>
          <cell r="W187">
            <v>7618750000</v>
          </cell>
          <cell r="X187">
            <v>8948750000</v>
          </cell>
          <cell r="Y187">
            <v>7413666666.6666698</v>
          </cell>
          <cell r="Z187">
            <v>9647500000</v>
          </cell>
          <cell r="AA187">
            <v>9079666666.6666698</v>
          </cell>
          <cell r="AB187">
            <v>8049000000</v>
          </cell>
          <cell r="AC187">
            <v>9321785714.2857208</v>
          </cell>
          <cell r="AD187">
            <v>11999933333.3333</v>
          </cell>
          <cell r="AE187">
            <v>15254187500</v>
          </cell>
          <cell r="AF187">
            <v>19541055555.555599</v>
          </cell>
          <cell r="AG187">
            <v>14814190476.1905</v>
          </cell>
          <cell r="AH187">
            <v>14517412698.412701</v>
          </cell>
          <cell r="AI187">
            <v>11408647540.983601</v>
          </cell>
          <cell r="AJ187">
            <v>9779222222.2222195</v>
          </cell>
          <cell r="AK187">
            <v>6193345995.8932199</v>
          </cell>
          <cell r="AL187">
            <v>8025110483.3647203</v>
          </cell>
          <cell r="AM187">
            <v>11894463743.093901</v>
          </cell>
          <cell r="AN187">
            <v>12919091926.321199</v>
          </cell>
          <cell r="AO187">
            <v>8660885913.0156708</v>
          </cell>
          <cell r="AP187">
            <v>11336473757.695</v>
          </cell>
          <cell r="AQ187">
            <v>10882644372.51</v>
          </cell>
          <cell r="AR187">
            <v>10224524965.353399</v>
          </cell>
          <cell r="AS187">
            <v>11640538308.9608</v>
          </cell>
          <cell r="AT187">
            <v>15131769385.3885</v>
          </cell>
          <cell r="AU187">
            <v>17355069082.070599</v>
          </cell>
          <cell r="AV187">
            <v>20486356655.6824</v>
          </cell>
          <cell r="AW187">
            <v>25532810670.388901</v>
          </cell>
          <cell r="AX187">
            <v>33836325397.151199</v>
          </cell>
          <cell r="AY187">
            <v>43250509509.555603</v>
          </cell>
          <cell r="AZ187">
            <v>57187003174.445702</v>
          </cell>
          <cell r="BA187">
            <v>61818885943.928802</v>
          </cell>
          <cell r="BB187">
            <v>50087995307.692299</v>
          </cell>
          <cell r="BC187">
            <v>54796022310.344803</v>
          </cell>
          <cell r="BD187">
            <v>51237402657.894699</v>
          </cell>
          <cell r="BE187">
            <v>35608466700</v>
          </cell>
          <cell r="BF187">
            <v>40223884726.027397</v>
          </cell>
          <cell r="BG187">
            <v>48568747977.528099</v>
          </cell>
          <cell r="BH187">
            <v>50563738020.202003</v>
          </cell>
          <cell r="BI187">
            <v>41763874766.666702</v>
          </cell>
          <cell r="BJ187">
            <v>39632308795.238098</v>
          </cell>
          <cell r="BK187">
            <v>29152007752.9412</v>
          </cell>
          <cell r="BL187">
            <v>24535685745.9893</v>
          </cell>
          <cell r="BM187">
            <v>19857202368.3657</v>
          </cell>
        </row>
        <row r="188">
          <cell r="B188" t="str">
            <v>SUR</v>
          </cell>
          <cell r="C188" t="str">
            <v>GNI (current US$)</v>
          </cell>
          <cell r="D188" t="str">
            <v>NY.GNP.MKTP.CD</v>
          </cell>
          <cell r="E188">
            <v>78650000</v>
          </cell>
          <cell r="F188">
            <v>82450000</v>
          </cell>
          <cell r="G188">
            <v>83900000</v>
          </cell>
          <cell r="H188">
            <v>74200000</v>
          </cell>
          <cell r="I188">
            <v>81150000</v>
          </cell>
          <cell r="J188">
            <v>121050000</v>
          </cell>
          <cell r="K188">
            <v>152800000</v>
          </cell>
          <cell r="L188">
            <v>176050000</v>
          </cell>
          <cell r="M188">
            <v>181200000</v>
          </cell>
          <cell r="N188">
            <v>189250000</v>
          </cell>
          <cell r="O188">
            <v>206950000</v>
          </cell>
          <cell r="P188">
            <v>224750000</v>
          </cell>
          <cell r="Q188">
            <v>245900000</v>
          </cell>
          <cell r="R188">
            <v>269800000</v>
          </cell>
          <cell r="S188">
            <v>347300000</v>
          </cell>
          <cell r="T188">
            <v>452900000</v>
          </cell>
          <cell r="U188">
            <v>470200000</v>
          </cell>
          <cell r="V188">
            <v>600700000</v>
          </cell>
          <cell r="W188">
            <v>698100000</v>
          </cell>
          <cell r="X188">
            <v>737700000</v>
          </cell>
          <cell r="Y188">
            <v>779500000</v>
          </cell>
          <cell r="Z188">
            <v>900500000</v>
          </cell>
          <cell r="AA188">
            <v>921500000</v>
          </cell>
          <cell r="AB188">
            <v>873500000</v>
          </cell>
          <cell r="AC188">
            <v>865500000</v>
          </cell>
          <cell r="AD188">
            <v>873000000</v>
          </cell>
          <cell r="AE188">
            <v>888500000</v>
          </cell>
          <cell r="AF188">
            <v>976000000</v>
          </cell>
          <cell r="AG188">
            <v>1153000000</v>
          </cell>
          <cell r="AH188">
            <v>540200000</v>
          </cell>
          <cell r="AI188">
            <v>386900000</v>
          </cell>
          <cell r="AJ188">
            <v>446100000</v>
          </cell>
          <cell r="AK188">
            <v>403666666.66666698</v>
          </cell>
          <cell r="AL188">
            <v>421294117.64705902</v>
          </cell>
          <cell r="AM188">
            <v>599992537.31343305</v>
          </cell>
          <cell r="AN188">
            <v>688733031.67420805</v>
          </cell>
          <cell r="AO188">
            <v>854112219.45137203</v>
          </cell>
          <cell r="AP188">
            <v>899810000</v>
          </cell>
          <cell r="AQ188">
            <v>1082072500</v>
          </cell>
          <cell r="AR188">
            <v>849453488.37209296</v>
          </cell>
          <cell r="AS188">
            <v>899657575.75757599</v>
          </cell>
          <cell r="AT188">
            <v>727764220.18348598</v>
          </cell>
          <cell r="AU188">
            <v>1050229787.23404</v>
          </cell>
          <cell r="AV188">
            <v>1224978469.8192999</v>
          </cell>
          <cell r="AW188">
            <v>1420629114.85004</v>
          </cell>
          <cell r="AX188">
            <v>1752988724.9698</v>
          </cell>
          <cell r="AY188">
            <v>2571880453.4023399</v>
          </cell>
          <cell r="AZ188">
            <v>2934012021.8579202</v>
          </cell>
          <cell r="BA188">
            <v>3553369034.6083798</v>
          </cell>
          <cell r="BB188">
            <v>3880209836.0655699</v>
          </cell>
          <cell r="BC188">
            <v>4264098054.9282398</v>
          </cell>
          <cell r="BD188">
            <v>4160160036.7197099</v>
          </cell>
          <cell r="BE188">
            <v>4787510969.69697</v>
          </cell>
          <cell r="BF188">
            <v>5014507666.6666698</v>
          </cell>
          <cell r="BG188">
            <v>5170283939.39394</v>
          </cell>
          <cell r="BH188">
            <v>5112886703.5443602</v>
          </cell>
          <cell r="BI188">
            <v>3151037151.20573</v>
          </cell>
          <cell r="BJ188">
            <v>3197660162.66677</v>
          </cell>
          <cell r="BK188">
            <v>3608704857.6214399</v>
          </cell>
          <cell r="BL188">
            <v>3572422608.6516299</v>
          </cell>
          <cell r="BM188">
            <v>2418469024.0197301</v>
          </cell>
        </row>
        <row r="189">
          <cell r="B189" t="str">
            <v>SWE</v>
          </cell>
          <cell r="C189" t="str">
            <v>GNI (current US$)</v>
          </cell>
          <cell r="D189" t="str">
            <v>NY.GNP.MKTP.CD</v>
          </cell>
          <cell r="E189">
            <v>15076659811.0189</v>
          </cell>
          <cell r="F189">
            <v>16395233197.006599</v>
          </cell>
          <cell r="G189">
            <v>17784188729.063202</v>
          </cell>
          <cell r="H189">
            <v>19242916743.186501</v>
          </cell>
          <cell r="I189">
            <v>21475069260.979198</v>
          </cell>
          <cell r="J189">
            <v>23620961448.420101</v>
          </cell>
          <cell r="K189">
            <v>25685693897.069698</v>
          </cell>
          <cell r="L189">
            <v>27864840484.624199</v>
          </cell>
          <cell r="M189">
            <v>29558464912.806801</v>
          </cell>
          <cell r="N189">
            <v>32089083589.332699</v>
          </cell>
          <cell r="O189">
            <v>37515552655.9963</v>
          </cell>
          <cell r="P189">
            <v>40990818197.7799</v>
          </cell>
          <cell r="Q189">
            <v>48314218251.301903</v>
          </cell>
          <cell r="R189">
            <v>58721710209.969498</v>
          </cell>
          <cell r="S189">
            <v>65215350272.559402</v>
          </cell>
          <cell r="T189">
            <v>81875637011.704697</v>
          </cell>
          <cell r="U189">
            <v>88156396611.492493</v>
          </cell>
          <cell r="V189">
            <v>92894736254.908997</v>
          </cell>
          <cell r="W189">
            <v>102550754896.536</v>
          </cell>
          <cell r="X189">
            <v>121224129364.839</v>
          </cell>
          <cell r="Y189">
            <v>140098077123.13199</v>
          </cell>
          <cell r="Z189">
            <v>127310131927.164</v>
          </cell>
          <cell r="AA189">
            <v>111727759844.64999</v>
          </cell>
          <cell r="AB189">
            <v>102305416911.218</v>
          </cell>
          <cell r="AC189">
            <v>106434177808.94099</v>
          </cell>
          <cell r="AD189">
            <v>111204212624.507</v>
          </cell>
          <cell r="AE189">
            <v>147442169127.96899</v>
          </cell>
          <cell r="AF189">
            <v>180029993848.96899</v>
          </cell>
          <cell r="AG189">
            <v>203470249706.228</v>
          </cell>
          <cell r="AH189">
            <v>213859899331.46201</v>
          </cell>
          <cell r="AI189">
            <v>255424756031.62799</v>
          </cell>
          <cell r="AJ189">
            <v>265721616039.686</v>
          </cell>
          <cell r="AK189">
            <v>272062878017.789</v>
          </cell>
          <cell r="AL189">
            <v>202589613793.45801</v>
          </cell>
          <cell r="AM189">
            <v>221472265422.49899</v>
          </cell>
          <cell r="AN189">
            <v>259831214164.552</v>
          </cell>
          <cell r="AO189">
            <v>283992543990.45599</v>
          </cell>
          <cell r="AP189">
            <v>261156924124.74301</v>
          </cell>
          <cell r="AQ189">
            <v>265022201537.12601</v>
          </cell>
          <cell r="AR189">
            <v>273635626452.36301</v>
          </cell>
          <cell r="AS189">
            <v>262994913885.311</v>
          </cell>
          <cell r="AT189">
            <v>242580960587.07901</v>
          </cell>
          <cell r="AU189">
            <v>267612328105.90399</v>
          </cell>
          <cell r="AV189">
            <v>339970691169.01398</v>
          </cell>
          <cell r="AW189">
            <v>387293608567.26898</v>
          </cell>
          <cell r="AX189">
            <v>397558978201.81702</v>
          </cell>
          <cell r="AY189">
            <v>434074299964.76099</v>
          </cell>
          <cell r="AZ189">
            <v>505966887613.18597</v>
          </cell>
          <cell r="BA189">
            <v>535559769992.86902</v>
          </cell>
          <cell r="BB189">
            <v>446774804672.18903</v>
          </cell>
          <cell r="BC189">
            <v>509281261515.021</v>
          </cell>
          <cell r="BD189">
            <v>585817912459.70996</v>
          </cell>
          <cell r="BE189">
            <v>565134029822.07104</v>
          </cell>
          <cell r="BF189">
            <v>600021645780.36499</v>
          </cell>
          <cell r="BG189">
            <v>594247305519.70398</v>
          </cell>
          <cell r="BH189">
            <v>509135748362.76801</v>
          </cell>
          <cell r="BI189">
            <v>518630030590.62402</v>
          </cell>
          <cell r="BJ189">
            <v>550406901192.39099</v>
          </cell>
          <cell r="BK189">
            <v>565955895788.54297</v>
          </cell>
          <cell r="BL189">
            <v>549428014173.36902</v>
          </cell>
          <cell r="BM189">
            <v>557959780083.63306</v>
          </cell>
        </row>
        <row r="190">
          <cell r="B190" t="str">
            <v>CHE</v>
          </cell>
          <cell r="C190" t="str">
            <v>GNI (current US$)</v>
          </cell>
          <cell r="D190" t="str">
            <v>NY.GNP.MKTP.CD</v>
          </cell>
          <cell r="E190">
            <v>9748380541.3736401</v>
          </cell>
          <cell r="F190">
            <v>10937457389.799101</v>
          </cell>
          <cell r="G190">
            <v>12110332701.3328</v>
          </cell>
          <cell r="H190">
            <v>13285243391.2365</v>
          </cell>
          <cell r="I190">
            <v>14703233334.563801</v>
          </cell>
          <cell r="J190">
            <v>15397409758.826401</v>
          </cell>
          <cell r="K190">
            <v>16579662048.2073</v>
          </cell>
          <cell r="L190">
            <v>17850530571.7477</v>
          </cell>
          <cell r="M190">
            <v>19152578881.381302</v>
          </cell>
          <cell r="N190">
            <v>20776975674.1091</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t="str">
            <v>..</v>
          </cell>
          <cell r="AF190" t="str">
            <v>..</v>
          </cell>
          <cell r="AG190" t="str">
            <v>..</v>
          </cell>
          <cell r="AH190" t="str">
            <v>..</v>
          </cell>
          <cell r="AI190" t="str">
            <v>..</v>
          </cell>
          <cell r="AJ190" t="str">
            <v>..</v>
          </cell>
          <cell r="AK190" t="str">
            <v>..</v>
          </cell>
          <cell r="AL190" t="str">
            <v>..</v>
          </cell>
          <cell r="AM190" t="str">
            <v>..</v>
          </cell>
          <cell r="AN190">
            <v>360879436786.46899</v>
          </cell>
          <cell r="AO190">
            <v>348798009708.73798</v>
          </cell>
          <cell r="AP190">
            <v>307372279335.76801</v>
          </cell>
          <cell r="AQ190">
            <v>317714379914.47101</v>
          </cell>
          <cell r="AR190">
            <v>314335182399.14801</v>
          </cell>
          <cell r="AS190">
            <v>297518377546.18701</v>
          </cell>
          <cell r="AT190">
            <v>297779149087.461</v>
          </cell>
          <cell r="AU190">
            <v>317616283202.87402</v>
          </cell>
          <cell r="AV190">
            <v>385816072621.96503</v>
          </cell>
          <cell r="AW190">
            <v>429513055890.63098</v>
          </cell>
          <cell r="AX190">
            <v>454130562158.68903</v>
          </cell>
          <cell r="AY190">
            <v>475184149784.65503</v>
          </cell>
          <cell r="AZ190">
            <v>495533692935.68799</v>
          </cell>
          <cell r="BA190">
            <v>533002270335.14899</v>
          </cell>
          <cell r="BB190">
            <v>567332624758.75403</v>
          </cell>
          <cell r="BC190">
            <v>636447712902.30505</v>
          </cell>
          <cell r="BD190">
            <v>728507478744.39294</v>
          </cell>
          <cell r="BE190">
            <v>706067214100.79395</v>
          </cell>
          <cell r="BF190">
            <v>726595205756.65002</v>
          </cell>
          <cell r="BG190">
            <v>735670245641.66003</v>
          </cell>
          <cell r="BH190">
            <v>710791973092.92102</v>
          </cell>
          <cell r="BI190">
            <v>692675086225.83997</v>
          </cell>
          <cell r="BJ190">
            <v>694938810964.51501</v>
          </cell>
          <cell r="BK190">
            <v>706130299456.30896</v>
          </cell>
          <cell r="BL190">
            <v>705462297803.82898</v>
          </cell>
          <cell r="BM190">
            <v>725285845501.10498</v>
          </cell>
        </row>
        <row r="191">
          <cell r="B191" t="str">
            <v>SYR</v>
          </cell>
          <cell r="C191" t="str">
            <v>GNI (current US$)</v>
          </cell>
          <cell r="D191" t="str">
            <v>NY.GNP.MKTP.CD</v>
          </cell>
          <cell r="E191" t="str">
            <v>..</v>
          </cell>
          <cell r="F191" t="str">
            <v>..</v>
          </cell>
          <cell r="G191" t="str">
            <v>..</v>
          </cell>
          <cell r="H191" t="str">
            <v>..</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t="str">
            <v>..</v>
          </cell>
          <cell r="AF191" t="str">
            <v>..</v>
          </cell>
          <cell r="AG191" t="str">
            <v>..</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v>73232516703.786194</v>
          </cell>
          <cell r="AT191">
            <v>79547438752.783997</v>
          </cell>
          <cell r="AU191">
            <v>82881069042.316299</v>
          </cell>
          <cell r="AV191">
            <v>87374610244.988907</v>
          </cell>
          <cell r="AW191">
            <v>104292472160.356</v>
          </cell>
          <cell r="AX191">
            <v>122682583518.931</v>
          </cell>
          <cell r="AY191">
            <v>143221380846.32501</v>
          </cell>
          <cell r="AZ191">
            <v>169723296213.80801</v>
          </cell>
          <cell r="BA191">
            <v>204748418708.241</v>
          </cell>
          <cell r="BB191">
            <v>211406057906.45901</v>
          </cell>
          <cell r="BC191">
            <v>236137193763.92001</v>
          </cell>
          <cell r="BD191">
            <v>59970776590.077904</v>
          </cell>
          <cell r="BE191">
            <v>41132139288.837799</v>
          </cell>
          <cell r="BF191">
            <v>19468092400.756001</v>
          </cell>
          <cell r="BG191">
            <v>20426236525.756001</v>
          </cell>
          <cell r="BH191">
            <v>15866677353.201</v>
          </cell>
          <cell r="BI191">
            <v>11898989246.0303</v>
          </cell>
          <cell r="BJ191">
            <v>15527357708.5119</v>
          </cell>
          <cell r="BK191">
            <v>20698408066.311401</v>
          </cell>
          <cell r="BL191">
            <v>21933058465.1133</v>
          </cell>
          <cell r="BM191" t="str">
            <v>..</v>
          </cell>
        </row>
        <row r="192">
          <cell r="B192" t="str">
            <v>TJK</v>
          </cell>
          <cell r="C192" t="str">
            <v>GNI (current US$)</v>
          </cell>
          <cell r="D192" t="str">
            <v>NY.GNP.MKTP.CD</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t="str">
            <v>..</v>
          </cell>
          <cell r="AF192" t="str">
            <v>..</v>
          </cell>
          <cell r="AG192" t="str">
            <v>..</v>
          </cell>
          <cell r="AH192" t="str">
            <v>..</v>
          </cell>
          <cell r="AI192">
            <v>2629395852.11903</v>
          </cell>
          <cell r="AJ192">
            <v>1352000000</v>
          </cell>
          <cell r="AK192">
            <v>2156666666.6666698</v>
          </cell>
          <cell r="AL192">
            <v>1644697674.4186001</v>
          </cell>
          <cell r="AM192">
            <v>1306894736.8421099</v>
          </cell>
          <cell r="AN192">
            <v>1182537918.8712499</v>
          </cell>
          <cell r="AO192">
            <v>967357360.40609097</v>
          </cell>
          <cell r="AP192">
            <v>897974568.73555005</v>
          </cell>
          <cell r="AQ192">
            <v>1287172804.5325799</v>
          </cell>
          <cell r="AR192">
            <v>1057087413.15237</v>
          </cell>
          <cell r="AS192">
            <v>824392380.67716599</v>
          </cell>
          <cell r="AT192">
            <v>1030082792.34466</v>
          </cell>
          <cell r="AU192">
            <v>1179991896.09638</v>
          </cell>
          <cell r="AV192">
            <v>1485000457.3071101</v>
          </cell>
          <cell r="AW192">
            <v>2018643898.3336101</v>
          </cell>
          <cell r="AX192">
            <v>2660496406.34024</v>
          </cell>
          <cell r="AY192">
            <v>3460601837.2544298</v>
          </cell>
          <cell r="AZ192">
            <v>4729639970.9513397</v>
          </cell>
          <cell r="BA192">
            <v>6649325094.0041399</v>
          </cell>
          <cell r="BB192">
            <v>5953374127.98417</v>
          </cell>
          <cell r="BC192">
            <v>6969697168.3032703</v>
          </cell>
          <cell r="BD192">
            <v>8316594095.70084</v>
          </cell>
          <cell r="BE192">
            <v>9744505076.3028507</v>
          </cell>
          <cell r="BF192">
            <v>11112795516.561001</v>
          </cell>
          <cell r="BG192">
            <v>11296340428.5483</v>
          </cell>
          <cell r="BH192">
            <v>9798023721.8283005</v>
          </cell>
          <cell r="BI192">
            <v>8081766785.3542099</v>
          </cell>
          <cell r="BJ192">
            <v>8637238733.52281</v>
          </cell>
          <cell r="BK192">
            <v>8990689745.6071301</v>
          </cell>
          <cell r="BL192">
            <v>9631253672.4586601</v>
          </cell>
          <cell r="BM192">
            <v>9558305215.1251202</v>
          </cell>
        </row>
        <row r="193">
          <cell r="B193" t="str">
            <v>TZA</v>
          </cell>
          <cell r="C193" t="str">
            <v>GNI (current US$)</v>
          </cell>
          <cell r="D193" t="str">
            <v>NY.GNP.MKTP.CD</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v>4919805772.06042</v>
          </cell>
          <cell r="AH193">
            <v>4241067977.47754</v>
          </cell>
          <cell r="AI193">
            <v>4072293167.2407799</v>
          </cell>
          <cell r="AJ193">
            <v>4771138619.0929403</v>
          </cell>
          <cell r="AK193">
            <v>4414313321.3372402</v>
          </cell>
          <cell r="AL193">
            <v>4093602201.9670601</v>
          </cell>
          <cell r="AM193">
            <v>4357046934.1635303</v>
          </cell>
          <cell r="AN193">
            <v>5125751805.4873896</v>
          </cell>
          <cell r="AO193">
            <v>6424225043.5233002</v>
          </cell>
          <cell r="AP193">
            <v>7562314251.64081</v>
          </cell>
          <cell r="AQ193">
            <v>12168613388.093201</v>
          </cell>
          <cell r="AR193">
            <v>12606113320.401199</v>
          </cell>
          <cell r="AS193">
            <v>13245876112.635</v>
          </cell>
          <cell r="AT193">
            <v>13260860934.763901</v>
          </cell>
          <cell r="AU193">
            <v>14044553004.771</v>
          </cell>
          <cell r="AV193">
            <v>15029650270.4592</v>
          </cell>
          <cell r="AW193">
            <v>16446050127.380501</v>
          </cell>
          <cell r="AX193">
            <v>18043978557.829102</v>
          </cell>
          <cell r="AY193">
            <v>18626634124.530701</v>
          </cell>
          <cell r="AZ193">
            <v>21561406469.855701</v>
          </cell>
          <cell r="BA193">
            <v>27626863994.613998</v>
          </cell>
          <cell r="BB193">
            <v>28783642242.0965</v>
          </cell>
          <cell r="BC193">
            <v>31436649841.443802</v>
          </cell>
          <cell r="BD193">
            <v>34011365280.5956</v>
          </cell>
          <cell r="BE193">
            <v>39076489000.622299</v>
          </cell>
          <cell r="BF193">
            <v>44974791751.436798</v>
          </cell>
          <cell r="BG193">
            <v>49140049385.325203</v>
          </cell>
          <cell r="BH193">
            <v>46478404057.967499</v>
          </cell>
          <cell r="BI193">
            <v>48664287045.7575</v>
          </cell>
          <cell r="BJ193">
            <v>52106608384.133698</v>
          </cell>
          <cell r="BK193">
            <v>56210529470.567902</v>
          </cell>
          <cell r="BL193">
            <v>61908444374.408997</v>
          </cell>
          <cell r="BM193">
            <v>61909170639.124901</v>
          </cell>
        </row>
        <row r="194">
          <cell r="B194" t="str">
            <v>THA</v>
          </cell>
          <cell r="C194" t="str">
            <v>GNI (current US$)</v>
          </cell>
          <cell r="D194" t="str">
            <v>NY.GNP.MKTP.CD</v>
          </cell>
          <cell r="E194">
            <v>2753694364.9737</v>
          </cell>
          <cell r="F194">
            <v>3026773301.8652902</v>
          </cell>
          <cell r="G194">
            <v>3301403462.6436801</v>
          </cell>
          <cell r="H194">
            <v>3532721934.7095499</v>
          </cell>
          <cell r="I194">
            <v>3881192365.3846202</v>
          </cell>
          <cell r="J194">
            <v>4385851076.9230804</v>
          </cell>
          <cell r="K194">
            <v>5275528663.4615402</v>
          </cell>
          <cell r="L194">
            <v>5644903975.9615402</v>
          </cell>
          <cell r="M194">
            <v>6087115225.9615402</v>
          </cell>
          <cell r="N194">
            <v>6701057576.9230804</v>
          </cell>
          <cell r="O194">
            <v>7096153798.0769196</v>
          </cell>
          <cell r="P194">
            <v>7370191951.9230804</v>
          </cell>
          <cell r="Q194">
            <v>8149038471.1538496</v>
          </cell>
          <cell r="R194">
            <v>10794667434.461</v>
          </cell>
          <cell r="S194">
            <v>13698092190.958599</v>
          </cell>
          <cell r="T194">
            <v>14882747955.032801</v>
          </cell>
          <cell r="U194">
            <v>16941093426.0126</v>
          </cell>
          <cell r="V194">
            <v>19720492080.9212</v>
          </cell>
          <cell r="W194">
            <v>23829543924.351299</v>
          </cell>
          <cell r="X194">
            <v>27063162594.459099</v>
          </cell>
          <cell r="Y194">
            <v>32090015222.402401</v>
          </cell>
          <cell r="Z194">
            <v>34294558349.067799</v>
          </cell>
          <cell r="AA194">
            <v>36027974417.502502</v>
          </cell>
          <cell r="AB194">
            <v>39751480097.912598</v>
          </cell>
          <cell r="AC194">
            <v>41313188126.602203</v>
          </cell>
          <cell r="AD194">
            <v>38252579125.074997</v>
          </cell>
          <cell r="AE194">
            <v>42243591199.631897</v>
          </cell>
          <cell r="AF194">
            <v>49664847454.398399</v>
          </cell>
          <cell r="AG194">
            <v>60687912868.32</v>
          </cell>
          <cell r="AH194">
            <v>71330012718.854599</v>
          </cell>
          <cell r="AI194">
            <v>84270661351.155899</v>
          </cell>
          <cell r="AJ194">
            <v>96788942304.677704</v>
          </cell>
          <cell r="AK194">
            <v>108974101204.326</v>
          </cell>
          <cell r="AL194">
            <v>126723289467.448</v>
          </cell>
          <cell r="AM194">
            <v>144068389662.02802</v>
          </cell>
          <cell r="AN194">
            <v>166006494027.742</v>
          </cell>
          <cell r="AO194">
            <v>178425661038.48401</v>
          </cell>
          <cell r="AP194">
            <v>145705658981.70801</v>
          </cell>
          <cell r="AQ194">
            <v>109263601502.923</v>
          </cell>
          <cell r="AR194">
            <v>122785498377.57201</v>
          </cell>
          <cell r="AS194">
            <v>123900124152.992</v>
          </cell>
          <cell r="AT194">
            <v>116932294140.021</v>
          </cell>
          <cell r="AU194">
            <v>129579446975.217</v>
          </cell>
          <cell r="AV194">
            <v>146056608958.505</v>
          </cell>
          <cell r="AW194">
            <v>165383791121.36499</v>
          </cell>
          <cell r="AX194">
            <v>180829261985.922</v>
          </cell>
          <cell r="AY194">
            <v>213513885222.53299</v>
          </cell>
          <cell r="AZ194">
            <v>253993835136.24701</v>
          </cell>
          <cell r="BA194">
            <v>280756514665.31403</v>
          </cell>
          <cell r="BB194">
            <v>271838603736.82401</v>
          </cell>
          <cell r="BC194">
            <v>326815440403.71503</v>
          </cell>
          <cell r="BD194">
            <v>361875395599.45801</v>
          </cell>
          <cell r="BE194">
            <v>379342568791.401</v>
          </cell>
          <cell r="BF194">
            <v>393467063724.53302</v>
          </cell>
          <cell r="BG194">
            <v>386381874272.625</v>
          </cell>
          <cell r="BH194">
            <v>380595105656.72998</v>
          </cell>
          <cell r="BI194">
            <v>393948759646.87598</v>
          </cell>
          <cell r="BJ194">
            <v>435913381929.18103</v>
          </cell>
          <cell r="BK194">
            <v>482064518325.48199</v>
          </cell>
          <cell r="BL194">
            <v>524213594609.56702</v>
          </cell>
          <cell r="BM194">
            <v>487334575329.85901</v>
          </cell>
        </row>
        <row r="195">
          <cell r="B195" t="str">
            <v>TLS</v>
          </cell>
          <cell r="C195" t="str">
            <v>GNI (current US$)</v>
          </cell>
          <cell r="D195" t="str">
            <v>NY.GNP.MKTP.CD</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v>515427400</v>
          </cell>
          <cell r="AT195">
            <v>632908132.05409503</v>
          </cell>
          <cell r="AU195">
            <v>759534564.77516901</v>
          </cell>
          <cell r="AV195">
            <v>662036294.41363204</v>
          </cell>
          <cell r="AW195">
            <v>681181081.07219803</v>
          </cell>
          <cell r="AX195">
            <v>845008060.25756705</v>
          </cell>
          <cell r="AY195">
            <v>1301048247.56178</v>
          </cell>
          <cell r="AZ195">
            <v>1969382808.3613</v>
          </cell>
          <cell r="BA195">
            <v>3263528028.6801901</v>
          </cell>
          <cell r="BB195">
            <v>2523550414.9250302</v>
          </cell>
          <cell r="BC195">
            <v>3325058468.12357</v>
          </cell>
          <cell r="BD195">
            <v>4580949263.7386799</v>
          </cell>
          <cell r="BE195">
            <v>4318116322.8833504</v>
          </cell>
          <cell r="BF195">
            <v>4151753075.8406</v>
          </cell>
          <cell r="BG195">
            <v>3337506840.3157902</v>
          </cell>
          <cell r="BH195">
            <v>2792587886.3886399</v>
          </cell>
          <cell r="BI195">
            <v>2230611664.9415998</v>
          </cell>
          <cell r="BJ195">
            <v>2288375327.6329498</v>
          </cell>
          <cell r="BK195">
            <v>2263656283.9780302</v>
          </cell>
          <cell r="BL195">
            <v>2730967258.2635198</v>
          </cell>
          <cell r="BM195">
            <v>2382618783.0047002</v>
          </cell>
        </row>
        <row r="196">
          <cell r="B196" t="str">
            <v>TGO</v>
          </cell>
          <cell r="C196" t="str">
            <v>GNI (current US$)</v>
          </cell>
          <cell r="D196" t="str">
            <v>NY.GNP.MKTP.CD</v>
          </cell>
          <cell r="E196">
            <v>120652705.53938501</v>
          </cell>
          <cell r="F196">
            <v>125180212.35415</v>
          </cell>
          <cell r="G196">
            <v>132359679.18554799</v>
          </cell>
          <cell r="H196">
            <v>146880485.14303499</v>
          </cell>
          <cell r="I196">
            <v>169278533.158768</v>
          </cell>
          <cell r="J196">
            <v>181700356.52362299</v>
          </cell>
          <cell r="K196">
            <v>214736265.784863</v>
          </cell>
          <cell r="L196">
            <v>228306474.89501101</v>
          </cell>
          <cell r="M196">
            <v>236756929.40067801</v>
          </cell>
          <cell r="N196">
            <v>262532463.765663</v>
          </cell>
          <cell r="O196">
            <v>249476796.75083199</v>
          </cell>
          <cell r="P196">
            <v>281933482.95754802</v>
          </cell>
          <cell r="Q196">
            <v>327963698.02354997</v>
          </cell>
          <cell r="R196">
            <v>393724207.81267101</v>
          </cell>
          <cell r="S196">
            <v>560837737.27725303</v>
          </cell>
          <cell r="T196">
            <v>612521706.34618795</v>
          </cell>
          <cell r="U196">
            <v>615475139.83021605</v>
          </cell>
          <cell r="V196">
            <v>764235040.58332896</v>
          </cell>
          <cell r="W196">
            <v>803863916.69794595</v>
          </cell>
          <cell r="X196">
            <v>869976000.08649802</v>
          </cell>
          <cell r="Y196">
            <v>1096508953.0650401</v>
          </cell>
          <cell r="Z196">
            <v>919647239.27847898</v>
          </cell>
          <cell r="AA196">
            <v>782395241.35721099</v>
          </cell>
          <cell r="AB196">
            <v>722447008.129825</v>
          </cell>
          <cell r="AC196">
            <v>679472363.737643</v>
          </cell>
          <cell r="AD196">
            <v>725410304.20933795</v>
          </cell>
          <cell r="AE196">
            <v>1018463752.42235</v>
          </cell>
          <cell r="AF196">
            <v>1200519317.44753</v>
          </cell>
          <cell r="AG196">
            <v>1330500616.08564</v>
          </cell>
          <cell r="AH196">
            <v>1313452204.8485899</v>
          </cell>
          <cell r="AI196">
            <v>1597942475.4870999</v>
          </cell>
          <cell r="AJ196">
            <v>1571531335.4618399</v>
          </cell>
          <cell r="AK196">
            <v>1665493179.2371399</v>
          </cell>
          <cell r="AL196">
            <v>1207186869.6642799</v>
          </cell>
          <cell r="AM196">
            <v>931147837.54532301</v>
          </cell>
          <cell r="AN196">
            <v>1264862640.4492099</v>
          </cell>
          <cell r="AO196">
            <v>1439045816.8117299</v>
          </cell>
          <cell r="AP196">
            <v>1470050893.5366499</v>
          </cell>
          <cell r="AQ196">
            <v>1563958018.6042299</v>
          </cell>
          <cell r="AR196">
            <v>1538107628.2269299</v>
          </cell>
          <cell r="AS196">
            <v>1462834929.20384</v>
          </cell>
          <cell r="AT196">
            <v>1453054407.4619601</v>
          </cell>
          <cell r="AU196">
            <v>1684907239.90837</v>
          </cell>
          <cell r="AV196">
            <v>2092332606.7680199</v>
          </cell>
          <cell r="AW196">
            <v>2226371636.5974002</v>
          </cell>
          <cell r="AX196">
            <v>2246240173.6985102</v>
          </cell>
          <cell r="AY196">
            <v>2313755298.3621001</v>
          </cell>
          <cell r="AZ196">
            <v>2632309425.76755</v>
          </cell>
          <cell r="BA196">
            <v>3308543047.7578502</v>
          </cell>
          <cell r="BB196">
            <v>3360140711.7344198</v>
          </cell>
          <cell r="BC196">
            <v>3405968905.6644301</v>
          </cell>
          <cell r="BD196">
            <v>4106265216.2786298</v>
          </cell>
          <cell r="BE196">
            <v>3879283635.9085202</v>
          </cell>
          <cell r="BF196">
            <v>4346910989.80441</v>
          </cell>
          <cell r="BG196">
            <v>4621145737.3895998</v>
          </cell>
          <cell r="BH196">
            <v>4321508266.6665802</v>
          </cell>
          <cell r="BI196">
            <v>6075237459.7877598</v>
          </cell>
          <cell r="BJ196">
            <v>6400471259.5239201</v>
          </cell>
          <cell r="BK196">
            <v>7131540391.5588598</v>
          </cell>
          <cell r="BL196">
            <v>7242517958.5295401</v>
          </cell>
          <cell r="BM196">
            <v>7591296131.2470903</v>
          </cell>
        </row>
        <row r="197">
          <cell r="B197" t="str">
            <v>TON</v>
          </cell>
          <cell r="C197" t="str">
            <v>GNI (current US$)</v>
          </cell>
          <cell r="D197" t="str">
            <v>NY.GNP.MKTP.CD</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v>66103194.667892396</v>
          </cell>
          <cell r="AA197">
            <v>65118166.142610803</v>
          </cell>
          <cell r="AB197">
            <v>62433333.333333299</v>
          </cell>
          <cell r="AC197">
            <v>66290478.279947303</v>
          </cell>
          <cell r="AD197">
            <v>62703401.075494103</v>
          </cell>
          <cell r="AE197">
            <v>71941176.470588207</v>
          </cell>
          <cell r="AF197">
            <v>85037809.830555901</v>
          </cell>
          <cell r="AG197">
            <v>113979321.541485</v>
          </cell>
          <cell r="AH197">
            <v>110653953.118792</v>
          </cell>
          <cell r="AI197">
            <v>116504861.861398</v>
          </cell>
          <cell r="AJ197">
            <v>134516427.579824</v>
          </cell>
          <cell r="AK197">
            <v>138576200.72748899</v>
          </cell>
          <cell r="AL197">
            <v>139559971.09826601</v>
          </cell>
          <cell r="AM197">
            <v>204821466.44447801</v>
          </cell>
          <cell r="AN197">
            <v>212551734.990951</v>
          </cell>
          <cell r="AO197">
            <v>227113158.535595</v>
          </cell>
          <cell r="AP197">
            <v>220047249.70320499</v>
          </cell>
          <cell r="AQ197">
            <v>199383579.08847201</v>
          </cell>
          <cell r="AR197">
            <v>205671321.160043</v>
          </cell>
          <cell r="AS197">
            <v>207446769.56866601</v>
          </cell>
          <cell r="AT197">
            <v>181791947.68035999</v>
          </cell>
          <cell r="AU197">
            <v>186163547.11441401</v>
          </cell>
          <cell r="AV197">
            <v>203118105.215213</v>
          </cell>
          <cell r="AW197">
            <v>232974923.00923899</v>
          </cell>
          <cell r="AX197">
            <v>261160914.203168</v>
          </cell>
          <cell r="AY197">
            <v>297409278.70974201</v>
          </cell>
          <cell r="AZ197">
            <v>303184251.26079798</v>
          </cell>
          <cell r="BA197">
            <v>350223063.97306401</v>
          </cell>
          <cell r="BB197">
            <v>322166562.78467703</v>
          </cell>
          <cell r="BC197">
            <v>378776141.84250098</v>
          </cell>
          <cell r="BD197">
            <v>426538671.46989799</v>
          </cell>
          <cell r="BE197">
            <v>484573131.15818</v>
          </cell>
          <cell r="BF197">
            <v>461944457.26150602</v>
          </cell>
          <cell r="BG197">
            <v>443074766.87082702</v>
          </cell>
          <cell r="BH197">
            <v>441521434.820647</v>
          </cell>
          <cell r="BI197">
            <v>422778679.65368003</v>
          </cell>
          <cell r="BJ197">
            <v>478641664.78172302</v>
          </cell>
          <cell r="BK197">
            <v>518918634.333121</v>
          </cell>
          <cell r="BL197">
            <v>553664950.04181504</v>
          </cell>
          <cell r="BM197">
            <v>530157958.52993399</v>
          </cell>
        </row>
        <row r="198">
          <cell r="B198" t="str">
            <v>TTO</v>
          </cell>
          <cell r="C198" t="str">
            <v>GNI (current US$)</v>
          </cell>
          <cell r="D198" t="str">
            <v>NY.GNP.MKTP.CD</v>
          </cell>
          <cell r="E198">
            <v>483695969.200257</v>
          </cell>
          <cell r="F198">
            <v>518287347.60543698</v>
          </cell>
          <cell r="G198">
            <v>553053724.55229497</v>
          </cell>
          <cell r="H198">
            <v>678236014.69987798</v>
          </cell>
          <cell r="I198">
            <v>711894067.54943705</v>
          </cell>
          <cell r="J198">
            <v>736568861.92615104</v>
          </cell>
          <cell r="K198">
            <v>655311205.73995197</v>
          </cell>
          <cell r="L198">
            <v>693343305.90875101</v>
          </cell>
          <cell r="M198">
            <v>690550000</v>
          </cell>
          <cell r="N198">
            <v>707550000</v>
          </cell>
          <cell r="O198">
            <v>756750000</v>
          </cell>
          <cell r="P198">
            <v>829814167.80596495</v>
          </cell>
          <cell r="Q198">
            <v>1012595638.36985</v>
          </cell>
          <cell r="R198">
            <v>1216823193.1400599</v>
          </cell>
          <cell r="S198">
            <v>1756721215.6633501</v>
          </cell>
          <cell r="T198">
            <v>2359249700.4332199</v>
          </cell>
          <cell r="U198">
            <v>2391821988.6690202</v>
          </cell>
          <cell r="V198">
            <v>2945291666.6666698</v>
          </cell>
          <cell r="W198">
            <v>3484458333.3333302</v>
          </cell>
          <cell r="X198">
            <v>4347791666.6666698</v>
          </cell>
          <cell r="Y198">
            <v>5920875000</v>
          </cell>
          <cell r="Z198">
            <v>6648666666.6666698</v>
          </cell>
          <cell r="AA198">
            <v>7925708333.3333302</v>
          </cell>
          <cell r="AB198">
            <v>7658708333.3333302</v>
          </cell>
          <cell r="AC198">
            <v>7526458333.3333302</v>
          </cell>
          <cell r="AD198">
            <v>7027836734.6938801</v>
          </cell>
          <cell r="AE198">
            <v>4536444444.4444399</v>
          </cell>
          <cell r="AF198">
            <v>4314777777.7777796</v>
          </cell>
          <cell r="AG198">
            <v>4194881341.7616401</v>
          </cell>
          <cell r="AH198">
            <v>3945411764.7058802</v>
          </cell>
          <cell r="AI198">
            <v>4671223529.4117699</v>
          </cell>
          <cell r="AJ198">
            <v>4865835294.11765</v>
          </cell>
          <cell r="AK198">
            <v>4991458823.5294104</v>
          </cell>
          <cell r="AL198">
            <v>4343667451.5520201</v>
          </cell>
          <cell r="AM198">
            <v>4535150297.8953199</v>
          </cell>
          <cell r="AN198">
            <v>4939153703.8905096</v>
          </cell>
          <cell r="AO198">
            <v>5245521706.5494299</v>
          </cell>
          <cell r="AP198">
            <v>5356557688.3087797</v>
          </cell>
          <cell r="AQ198">
            <v>5702412174.71381</v>
          </cell>
          <cell r="AR198">
            <v>6409082522.34517</v>
          </cell>
          <cell r="AS198">
            <v>7525838201.2127399</v>
          </cell>
          <cell r="AT198">
            <v>8285573236.8606796</v>
          </cell>
          <cell r="AU198">
            <v>8528473714.5326204</v>
          </cell>
          <cell r="AV198">
            <v>10624559800.4797</v>
          </cell>
          <cell r="AW198">
            <v>12882975123.0354</v>
          </cell>
          <cell r="AX198">
            <v>15189282462.378599</v>
          </cell>
          <cell r="AY198">
            <v>17413161100.725601</v>
          </cell>
          <cell r="AZ198">
            <v>20672820043.6143</v>
          </cell>
          <cell r="BA198">
            <v>26643587349.541302</v>
          </cell>
          <cell r="BB198">
            <v>18155065223.9207</v>
          </cell>
          <cell r="BC198">
            <v>21078448388.361698</v>
          </cell>
          <cell r="BD198">
            <v>22613157193.4533</v>
          </cell>
          <cell r="BE198">
            <v>23473195299.863098</v>
          </cell>
          <cell r="BF198">
            <v>25701690901.188999</v>
          </cell>
          <cell r="BG198">
            <v>25892698959.292301</v>
          </cell>
          <cell r="BH198">
            <v>24530655439.520802</v>
          </cell>
          <cell r="BI198">
            <v>22083866321.787399</v>
          </cell>
          <cell r="BJ198">
            <v>22556027288.148102</v>
          </cell>
          <cell r="BK198">
            <v>23010424602.7057</v>
          </cell>
          <cell r="BL198">
            <v>23034393453.059502</v>
          </cell>
          <cell r="BM198">
            <v>21385498109.408001</v>
          </cell>
        </row>
        <row r="199">
          <cell r="B199" t="str">
            <v>TUN</v>
          </cell>
          <cell r="C199" t="str">
            <v>GNI (current US$)</v>
          </cell>
          <cell r="D199" t="str">
            <v>NY.GNP.MKTP.CD</v>
          </cell>
          <cell r="E199" t="str">
            <v>..</v>
          </cell>
          <cell r="F199" t="str">
            <v>..</v>
          </cell>
          <cell r="G199" t="str">
            <v>..</v>
          </cell>
          <cell r="H199" t="str">
            <v>..</v>
          </cell>
          <cell r="I199" t="str">
            <v>..</v>
          </cell>
          <cell r="J199">
            <v>966666666.66666698</v>
          </cell>
          <cell r="K199">
            <v>1014285714.28571</v>
          </cell>
          <cell r="L199">
            <v>1048761904.7618999</v>
          </cell>
          <cell r="M199">
            <v>1164761904.7618999</v>
          </cell>
          <cell r="N199">
            <v>1234095238.0952401</v>
          </cell>
          <cell r="O199">
            <v>1380190476.19048</v>
          </cell>
          <cell r="P199">
            <v>1628609676.8024499</v>
          </cell>
          <cell r="Q199">
            <v>2162020540.7671299</v>
          </cell>
          <cell r="R199">
            <v>2610531309.2979102</v>
          </cell>
          <cell r="S199">
            <v>3419931271.4776602</v>
          </cell>
          <cell r="T199">
            <v>4192890877.4546399</v>
          </cell>
          <cell r="U199">
            <v>4316231343.2835798</v>
          </cell>
          <cell r="V199">
            <v>4910256410.2564096</v>
          </cell>
          <cell r="W199">
            <v>5752282556.4632397</v>
          </cell>
          <cell r="X199">
            <v>6921771217.7121801</v>
          </cell>
          <cell r="Y199">
            <v>8450728574.9567804</v>
          </cell>
          <cell r="Z199">
            <v>8126164439.0441504</v>
          </cell>
          <cell r="AA199">
            <v>7839004570.8481503</v>
          </cell>
          <cell r="AB199">
            <v>8082793164.4077797</v>
          </cell>
          <cell r="AC199">
            <v>8000643666.3233805</v>
          </cell>
          <cell r="AD199">
            <v>8058478130.6171398</v>
          </cell>
          <cell r="AE199">
            <v>8596473551.6372795</v>
          </cell>
          <cell r="AF199">
            <v>9210208760.7095509</v>
          </cell>
          <cell r="AG199">
            <v>9598507810.6784801</v>
          </cell>
          <cell r="AH199">
            <v>9623617402.2964306</v>
          </cell>
          <cell r="AI199">
            <v>11882386363.6364</v>
          </cell>
          <cell r="AJ199">
            <v>12518043478.2609</v>
          </cell>
          <cell r="AK199">
            <v>14770013568.521</v>
          </cell>
          <cell r="AL199">
            <v>13685164889.907301</v>
          </cell>
          <cell r="AM199">
            <v>14744266508.5014</v>
          </cell>
          <cell r="AN199">
            <v>17173628000.423</v>
          </cell>
          <cell r="AO199">
            <v>18549619889.048698</v>
          </cell>
          <cell r="AP199">
            <v>19848539650.963001</v>
          </cell>
          <cell r="AQ199">
            <v>20951962764.556099</v>
          </cell>
          <cell r="AR199">
            <v>22062046872.365501</v>
          </cell>
          <cell r="AS199">
            <v>20530385934.194199</v>
          </cell>
          <cell r="AT199">
            <v>21125460485.160198</v>
          </cell>
          <cell r="AU199">
            <v>22163817964.408798</v>
          </cell>
          <cell r="AV199">
            <v>26385564610.0116</v>
          </cell>
          <cell r="AW199">
            <v>29909594540.3452</v>
          </cell>
          <cell r="AX199">
            <v>30610220440.881802</v>
          </cell>
          <cell r="AY199">
            <v>32796018031.555199</v>
          </cell>
          <cell r="AZ199">
            <v>36886140159.200897</v>
          </cell>
          <cell r="BA199">
            <v>42363444525.606697</v>
          </cell>
          <cell r="BB199">
            <v>41332963045.249199</v>
          </cell>
          <cell r="BC199">
            <v>44139124330.823898</v>
          </cell>
          <cell r="BD199">
            <v>45962446043.367599</v>
          </cell>
          <cell r="BE199">
            <v>45406695406.9319</v>
          </cell>
          <cell r="BF199">
            <v>46622594178.426498</v>
          </cell>
          <cell r="BG199">
            <v>48567442693.125397</v>
          </cell>
          <cell r="BH199">
            <v>44440550286.463203</v>
          </cell>
          <cell r="BI199">
            <v>43177135053.263298</v>
          </cell>
          <cell r="BJ199">
            <v>40934455240.851402</v>
          </cell>
          <cell r="BK199">
            <v>41206531393.903099</v>
          </cell>
          <cell r="BL199">
            <v>40087702394.943398</v>
          </cell>
          <cell r="BM199">
            <v>40581130814.071602</v>
          </cell>
        </row>
        <row r="200">
          <cell r="B200" t="str">
            <v>TUR</v>
          </cell>
          <cell r="C200" t="str">
            <v>GNI (current US$)</v>
          </cell>
          <cell r="D200" t="str">
            <v>NY.GNP.MKTP.CD</v>
          </cell>
          <cell r="E200" t="str">
            <v>..</v>
          </cell>
          <cell r="F200" t="str">
            <v>..</v>
          </cell>
          <cell r="G200" t="str">
            <v>..</v>
          </cell>
          <cell r="H200" t="str">
            <v>..</v>
          </cell>
          <cell r="I200" t="str">
            <v>..</v>
          </cell>
          <cell r="J200" t="str">
            <v>..</v>
          </cell>
          <cell r="K200" t="str">
            <v>..</v>
          </cell>
          <cell r="L200">
            <v>15577777777.7778</v>
          </cell>
          <cell r="M200">
            <v>17411111111.111099</v>
          </cell>
          <cell r="N200">
            <v>19366666666.666698</v>
          </cell>
          <cell r="O200">
            <v>17008695652.173901</v>
          </cell>
          <cell r="P200">
            <v>16169471073.2721</v>
          </cell>
          <cell r="Q200">
            <v>20310954063.604198</v>
          </cell>
          <cell r="R200">
            <v>25590106007.067101</v>
          </cell>
          <cell r="S200">
            <v>35422912777.342102</v>
          </cell>
          <cell r="T200">
            <v>44469706296.457802</v>
          </cell>
          <cell r="U200">
            <v>50980132996.966301</v>
          </cell>
          <cell r="V200">
            <v>58335808951.802002</v>
          </cell>
          <cell r="W200">
            <v>64707019465.740501</v>
          </cell>
          <cell r="X200">
            <v>88418069955.303894</v>
          </cell>
          <cell r="Y200">
            <v>67671288340.486198</v>
          </cell>
          <cell r="Z200">
            <v>69614025482.764801</v>
          </cell>
          <cell r="AA200">
            <v>63058328766.6269</v>
          </cell>
          <cell r="AB200">
            <v>60212279573.643303</v>
          </cell>
          <cell r="AC200">
            <v>58486918338.879097</v>
          </cell>
          <cell r="AD200">
            <v>65681948016.666397</v>
          </cell>
          <cell r="AE200">
            <v>73851005092.955597</v>
          </cell>
          <cell r="AF200">
            <v>85087682096.316895</v>
          </cell>
          <cell r="AG200">
            <v>88339821366.634796</v>
          </cell>
          <cell r="AH200">
            <v>104816349581.071</v>
          </cell>
          <cell r="AI200">
            <v>148168289491.84201</v>
          </cell>
          <cell r="AJ200">
            <v>147382714285.71399</v>
          </cell>
          <cell r="AK200">
            <v>155844623188.40601</v>
          </cell>
          <cell r="AL200">
            <v>177428572727.27301</v>
          </cell>
          <cell r="AM200">
            <v>127425216216.216</v>
          </cell>
          <cell r="AN200">
            <v>166278788209.60699</v>
          </cell>
          <cell r="AO200">
            <v>178548379606.88</v>
          </cell>
          <cell r="AP200">
            <v>186822343647.13599</v>
          </cell>
          <cell r="AQ200">
            <v>272982166858.45801</v>
          </cell>
          <cell r="AR200">
            <v>252848670964.66101</v>
          </cell>
          <cell r="AS200">
            <v>270300825655.79001</v>
          </cell>
          <cell r="AT200">
            <v>196751204879.24301</v>
          </cell>
          <cell r="AU200">
            <v>235699137340.76401</v>
          </cell>
          <cell r="AV200">
            <v>309035483643.14697</v>
          </cell>
          <cell r="AW200">
            <v>403266902981.40997</v>
          </cell>
          <cell r="AX200">
            <v>500938380098.24402</v>
          </cell>
          <cell r="AY200">
            <v>551073025411.271</v>
          </cell>
          <cell r="AZ200">
            <v>675059191188.88599</v>
          </cell>
          <cell r="BA200">
            <v>762860024817.51794</v>
          </cell>
          <cell r="BB200">
            <v>641615765354.83899</v>
          </cell>
          <cell r="BC200">
            <v>770477397591.16296</v>
          </cell>
          <cell r="BD200">
            <v>831513950567.16394</v>
          </cell>
          <cell r="BE200">
            <v>873968372216.03601</v>
          </cell>
          <cell r="BF200">
            <v>949165170553.63</v>
          </cell>
          <cell r="BG200">
            <v>930744474845.78503</v>
          </cell>
          <cell r="BH200">
            <v>854632642426.47095</v>
          </cell>
          <cell r="BI200">
            <v>860511859938.41296</v>
          </cell>
          <cell r="BJ200">
            <v>847903162248.84204</v>
          </cell>
          <cell r="BK200">
            <v>766523975892.63501</v>
          </cell>
          <cell r="BL200">
            <v>748161380327.11804</v>
          </cell>
          <cell r="BM200">
            <v>711144574236.80505</v>
          </cell>
        </row>
        <row r="201">
          <cell r="B201" t="str">
            <v>TKM</v>
          </cell>
          <cell r="C201" t="str">
            <v>GNI (current US$)</v>
          </cell>
          <cell r="D201" t="str">
            <v>NY.GNP.MKTP.CD</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cell r="AJ201" t="str">
            <v>..</v>
          </cell>
          <cell r="AK201" t="str">
            <v>..</v>
          </cell>
          <cell r="AL201">
            <v>3363666666.6666698</v>
          </cell>
          <cell r="AM201">
            <v>2656235294.11765</v>
          </cell>
          <cell r="AN201">
            <v>2502220952.38095</v>
          </cell>
          <cell r="AO201">
            <v>2396081798.6494799</v>
          </cell>
          <cell r="AP201">
            <v>2534911116.0123501</v>
          </cell>
          <cell r="AQ201">
            <v>2638299664.8668799</v>
          </cell>
          <cell r="AR201">
            <v>2444935483.8709698</v>
          </cell>
          <cell r="AS201">
            <v>2727448473.3885798</v>
          </cell>
          <cell r="AT201">
            <v>3429802990.1960802</v>
          </cell>
          <cell r="AU201">
            <v>4339679899.3983603</v>
          </cell>
          <cell r="AV201">
            <v>5899559317.7701702</v>
          </cell>
          <cell r="AW201">
            <v>6731351088.4668798</v>
          </cell>
          <cell r="AX201">
            <v>7541355716.8783998</v>
          </cell>
          <cell r="AY201">
            <v>9650674364.8960705</v>
          </cell>
          <cell r="AZ201">
            <v>12299718574.108801</v>
          </cell>
          <cell r="BA201">
            <v>18235683677.4445</v>
          </cell>
          <cell r="BB201">
            <v>18957543859.649101</v>
          </cell>
          <cell r="BC201">
            <v>20689157894.736801</v>
          </cell>
          <cell r="BD201">
            <v>26406333333.333302</v>
          </cell>
          <cell r="BE201">
            <v>31835210526.3158</v>
          </cell>
          <cell r="BF201">
            <v>35782543859.649101</v>
          </cell>
          <cell r="BG201">
            <v>39603210526.315804</v>
          </cell>
          <cell r="BH201">
            <v>33705628571.4286</v>
          </cell>
          <cell r="BI201">
            <v>35225885714.285698</v>
          </cell>
          <cell r="BJ201">
            <v>36352285714.285698</v>
          </cell>
          <cell r="BK201">
            <v>39044183542.857101</v>
          </cell>
          <cell r="BL201">
            <v>43575785421.098</v>
          </cell>
          <cell r="BM201" t="str">
            <v>..</v>
          </cell>
        </row>
        <row r="202">
          <cell r="B202" t="str">
            <v>TCA</v>
          </cell>
          <cell r="C202" t="str">
            <v>GNI (current US$)</v>
          </cell>
          <cell r="D202" t="str">
            <v>NY.GNP.MKTP.CD</v>
          </cell>
          <cell r="E202" t="str">
            <v>..</v>
          </cell>
          <cell r="F202" t="str">
            <v>..</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t="str">
            <v>..</v>
          </cell>
          <cell r="AF202" t="str">
            <v>..</v>
          </cell>
          <cell r="AG202" t="str">
            <v>..</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v>842531900</v>
          </cell>
          <cell r="BH202">
            <v>943771200</v>
          </cell>
          <cell r="BI202">
            <v>1035209300</v>
          </cell>
          <cell r="BJ202">
            <v>1005898600</v>
          </cell>
          <cell r="BK202">
            <v>1081395300</v>
          </cell>
          <cell r="BL202">
            <v>1163227222.55515</v>
          </cell>
          <cell r="BM202" t="str">
            <v>..</v>
          </cell>
        </row>
        <row r="203">
          <cell r="B203" t="str">
            <v>TUV</v>
          </cell>
          <cell r="C203" t="str">
            <v>GNI (current US$)</v>
          </cell>
          <cell r="D203" t="str">
            <v>NY.GNP.MKTP.CD</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v>24960328.954174001</v>
          </cell>
          <cell r="AU203">
            <v>33312887.102031901</v>
          </cell>
          <cell r="AV203">
            <v>28110318.438290399</v>
          </cell>
          <cell r="AW203">
            <v>36589277.834975697</v>
          </cell>
          <cell r="AX203">
            <v>37400840.015272997</v>
          </cell>
          <cell r="AY203">
            <v>37830798.1927711</v>
          </cell>
          <cell r="AZ203">
            <v>48173709.313028201</v>
          </cell>
          <cell r="BA203">
            <v>49241989.599060602</v>
          </cell>
          <cell r="BB203">
            <v>47385821.244735599</v>
          </cell>
          <cell r="BC203">
            <v>50918730.508163601</v>
          </cell>
          <cell r="BD203">
            <v>57742238.267148003</v>
          </cell>
          <cell r="BE203">
            <v>49401532.408366099</v>
          </cell>
          <cell r="BF203">
            <v>58017281.328441799</v>
          </cell>
          <cell r="BG203">
            <v>49698846.223183699</v>
          </cell>
          <cell r="BH203">
            <v>55661783.4873413</v>
          </cell>
          <cell r="BI203">
            <v>55456437.704430602</v>
          </cell>
          <cell r="BJ203">
            <v>58095263.641937502</v>
          </cell>
          <cell r="BK203">
            <v>64107890.017931901</v>
          </cell>
          <cell r="BL203">
            <v>65326451.164407402</v>
          </cell>
          <cell r="BM203">
            <v>67515587.364943907</v>
          </cell>
        </row>
        <row r="204">
          <cell r="B204" t="str">
            <v>UGA</v>
          </cell>
          <cell r="C204" t="str">
            <v>GNI (current US$)</v>
          </cell>
          <cell r="D204" t="str">
            <v>NY.GNP.MKTP.CD</v>
          </cell>
          <cell r="E204">
            <v>421785115.30398297</v>
          </cell>
          <cell r="F204">
            <v>440426624.73794502</v>
          </cell>
          <cell r="G204">
            <v>444617400.41928703</v>
          </cell>
          <cell r="H204">
            <v>512328092.24318701</v>
          </cell>
          <cell r="I204">
            <v>586151991.61425602</v>
          </cell>
          <cell r="J204">
            <v>866106442.57703102</v>
          </cell>
          <cell r="K204">
            <v>908403361.34453797</v>
          </cell>
          <cell r="L204">
            <v>948739495.79831898</v>
          </cell>
          <cell r="M204">
            <v>1021008403.36134</v>
          </cell>
          <cell r="N204">
            <v>1151439775.9103601</v>
          </cell>
          <cell r="O204">
            <v>1244977591.0364101</v>
          </cell>
          <cell r="P204">
            <v>1395310924.36975</v>
          </cell>
          <cell r="Q204">
            <v>1474760504.2016799</v>
          </cell>
          <cell r="R204">
            <v>1688210084.0336101</v>
          </cell>
          <cell r="S204">
            <v>2084138373.75178</v>
          </cell>
          <cell r="T204">
            <v>2355670000</v>
          </cell>
          <cell r="U204">
            <v>2440373000</v>
          </cell>
          <cell r="V204">
            <v>2925612352.9411802</v>
          </cell>
          <cell r="W204">
            <v>2413127391.3043499</v>
          </cell>
          <cell r="X204">
            <v>2128028750</v>
          </cell>
          <cell r="Y204">
            <v>1237210000</v>
          </cell>
          <cell r="Z204">
            <v>1324900000</v>
          </cell>
          <cell r="AA204">
            <v>2151200000</v>
          </cell>
          <cell r="AB204">
            <v>2194633333.3333302</v>
          </cell>
          <cell r="AC204">
            <v>3568647477.0543399</v>
          </cell>
          <cell r="AD204">
            <v>3466666771.6721501</v>
          </cell>
          <cell r="AE204">
            <v>3879232260.3231902</v>
          </cell>
          <cell r="AF204">
            <v>6222511695.3022203</v>
          </cell>
          <cell r="AG204">
            <v>6451931651.6666698</v>
          </cell>
          <cell r="AH204">
            <v>5210480985.40977</v>
          </cell>
          <cell r="AI204">
            <v>4227398877.4591398</v>
          </cell>
          <cell r="AJ204">
            <v>3263529059.6996698</v>
          </cell>
          <cell r="AK204">
            <v>2770457857.7611599</v>
          </cell>
          <cell r="AL204">
            <v>3171539046.2031002</v>
          </cell>
          <cell r="AM204">
            <v>3929340448.0760798</v>
          </cell>
          <cell r="AN204">
            <v>5697748945.90172</v>
          </cell>
          <cell r="AO204">
            <v>5998775326.9577503</v>
          </cell>
          <cell r="AP204">
            <v>6252803313.1616297</v>
          </cell>
          <cell r="AQ204">
            <v>6576315846.5710297</v>
          </cell>
          <cell r="AR204">
            <v>5984563257.9465904</v>
          </cell>
          <cell r="AS204">
            <v>6085591049.0511103</v>
          </cell>
          <cell r="AT204">
            <v>5659788192.42484</v>
          </cell>
          <cell r="AU204">
            <v>6044559884.8942804</v>
          </cell>
          <cell r="AV204">
            <v>6469792252.9823198</v>
          </cell>
          <cell r="AW204">
            <v>7724779462.4691896</v>
          </cell>
          <cell r="AX204">
            <v>8967082098.8804493</v>
          </cell>
          <cell r="AY204">
            <v>9728932866.9201298</v>
          </cell>
          <cell r="AZ204">
            <v>11673992903.0333</v>
          </cell>
          <cell r="BA204">
            <v>14178292090.3255</v>
          </cell>
          <cell r="BB204">
            <v>24723445791.285</v>
          </cell>
          <cell r="BC204">
            <v>26231034731.458599</v>
          </cell>
          <cell r="BD204">
            <v>27440502269.670799</v>
          </cell>
          <cell r="BE204">
            <v>26729090816.277901</v>
          </cell>
          <cell r="BF204">
            <v>28273785412.6782</v>
          </cell>
          <cell r="BG204">
            <v>31865562566.629002</v>
          </cell>
          <cell r="BH204">
            <v>31759208216.1898</v>
          </cell>
          <cell r="BI204">
            <v>28691913228.813599</v>
          </cell>
          <cell r="BJ204">
            <v>30020768465.5672</v>
          </cell>
          <cell r="BK204">
            <v>32000581675.585201</v>
          </cell>
          <cell r="BL204">
            <v>34437117591</v>
          </cell>
          <cell r="BM204">
            <v>36975974519.836304</v>
          </cell>
        </row>
        <row r="205">
          <cell r="B205" t="str">
            <v>UKR</v>
          </cell>
          <cell r="C205" t="str">
            <v>GNI (current US$)</v>
          </cell>
          <cell r="D205" t="str">
            <v>NY.GNP.MKTP.CD</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v>84057220811.293198</v>
          </cell>
          <cell r="AI205">
            <v>83308964011.3853</v>
          </cell>
          <cell r="AJ205" t="str">
            <v>..</v>
          </cell>
          <cell r="AK205">
            <v>71829285714.285706</v>
          </cell>
          <cell r="AL205">
            <v>64023008849.557503</v>
          </cell>
          <cell r="AM205">
            <v>52051617197.730202</v>
          </cell>
          <cell r="AN205">
            <v>47649337578.491203</v>
          </cell>
          <cell r="AO205">
            <v>43987086690.3526</v>
          </cell>
          <cell r="AP205">
            <v>49506415749.0466</v>
          </cell>
          <cell r="AQ205">
            <v>41012228087.364799</v>
          </cell>
          <cell r="AR205">
            <v>30711952498.547401</v>
          </cell>
          <cell r="AS205">
            <v>30319105915.223701</v>
          </cell>
          <cell r="AT205">
            <v>37342938515.664299</v>
          </cell>
          <cell r="AU205">
            <v>41787444148.237198</v>
          </cell>
          <cell r="AV205">
            <v>49552196823.372803</v>
          </cell>
          <cell r="AW205">
            <v>64238766685.467201</v>
          </cell>
          <cell r="AX205">
            <v>85158350732.7258</v>
          </cell>
          <cell r="AY205">
            <v>106031485148.515</v>
          </cell>
          <cell r="AZ205">
            <v>142060594059.40601</v>
          </cell>
          <cell r="BA205">
            <v>178340674362.09</v>
          </cell>
          <cell r="BB205">
            <v>114784115412.25999</v>
          </cell>
          <cell r="BC205">
            <v>135959095720.55</v>
          </cell>
          <cell r="BD205">
            <v>161004191977.509</v>
          </cell>
          <cell r="BE205">
            <v>180603428857.465</v>
          </cell>
          <cell r="BF205">
            <v>187716627048.668</v>
          </cell>
          <cell r="BG205">
            <v>131977083631.285</v>
          </cell>
          <cell r="BH205">
            <v>94833346303.680099</v>
          </cell>
          <cell r="BI205">
            <v>94324202682.446701</v>
          </cell>
          <cell r="BJ205">
            <v>113717881232.94</v>
          </cell>
          <cell r="BK205">
            <v>132164702854.72701</v>
          </cell>
          <cell r="BL205">
            <v>155795067632.40201</v>
          </cell>
          <cell r="BM205">
            <v>159545803579.70901</v>
          </cell>
        </row>
        <row r="206">
          <cell r="B206" t="str">
            <v>ARE</v>
          </cell>
          <cell r="C206" t="str">
            <v>GNI (current US$)</v>
          </cell>
          <cell r="D206" t="str">
            <v>NY.GNP.MKTP.CD</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t="str">
            <v>..</v>
          </cell>
          <cell r="AF206" t="str">
            <v>..</v>
          </cell>
          <cell r="AG206" t="str">
            <v>..</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v>109429271613.342</v>
          </cell>
          <cell r="AT206">
            <v>108376310415.248</v>
          </cell>
          <cell r="AU206">
            <v>110737372362.151</v>
          </cell>
          <cell r="AV206">
            <v>124291899251.19099</v>
          </cell>
          <cell r="AW206">
            <v>148532334921.715</v>
          </cell>
          <cell r="AX206">
            <v>183503785187.202</v>
          </cell>
          <cell r="AY206">
            <v>226854458815.521</v>
          </cell>
          <cell r="AZ206">
            <v>266289176310.41501</v>
          </cell>
          <cell r="BA206">
            <v>319278564002.72302</v>
          </cell>
          <cell r="BB206">
            <v>256161470388.01901</v>
          </cell>
          <cell r="BC206">
            <v>289703471749.48901</v>
          </cell>
          <cell r="BD206">
            <v>350801361470.388</v>
          </cell>
          <cell r="BE206">
            <v>374890129339.68701</v>
          </cell>
          <cell r="BF206">
            <v>390570456092.58002</v>
          </cell>
          <cell r="BG206">
            <v>403796051735.875</v>
          </cell>
          <cell r="BH206">
            <v>359877739959.15601</v>
          </cell>
          <cell r="BI206">
            <v>359141729067.39301</v>
          </cell>
          <cell r="BJ206">
            <v>388382906439.755</v>
          </cell>
          <cell r="BK206">
            <v>423639141620.15002</v>
          </cell>
          <cell r="BL206">
            <v>419284994503.15302</v>
          </cell>
          <cell r="BM206">
            <v>358405865242.99799</v>
          </cell>
        </row>
        <row r="207">
          <cell r="B207" t="str">
            <v>GBR</v>
          </cell>
          <cell r="C207" t="str">
            <v>GNI (current US$)</v>
          </cell>
          <cell r="D207" t="str">
            <v>NY.GNP.MKTP.CD</v>
          </cell>
          <cell r="E207" t="str">
            <v>..</v>
          </cell>
          <cell r="F207" t="str">
            <v>..</v>
          </cell>
          <cell r="G207" t="str">
            <v>..</v>
          </cell>
          <cell r="H207" t="str">
            <v>..</v>
          </cell>
          <cell r="I207" t="str">
            <v>..</v>
          </cell>
          <cell r="J207" t="str">
            <v>..</v>
          </cell>
          <cell r="K207" t="str">
            <v>..</v>
          </cell>
          <cell r="L207" t="str">
            <v>..</v>
          </cell>
          <cell r="M207" t="str">
            <v>..</v>
          </cell>
          <cell r="N207" t="str">
            <v>..</v>
          </cell>
          <cell r="O207">
            <v>141662522198.224</v>
          </cell>
          <cell r="P207">
            <v>159914149428.08499</v>
          </cell>
          <cell r="Q207">
            <v>183406316183.81601</v>
          </cell>
          <cell r="R207">
            <v>208161599706.026</v>
          </cell>
          <cell r="S207">
            <v>224891538101.91699</v>
          </cell>
          <cell r="T207">
            <v>266674699115.04401</v>
          </cell>
          <cell r="U207">
            <v>256621831087.15201</v>
          </cell>
          <cell r="V207">
            <v>286191632653.06097</v>
          </cell>
          <cell r="W207">
            <v>363945488015.34003</v>
          </cell>
          <cell r="X207">
            <v>470754495976.28101</v>
          </cell>
          <cell r="Y207">
            <v>600547246107.36694</v>
          </cell>
          <cell r="Z207">
            <v>571291227893.89099</v>
          </cell>
          <cell r="AA207">
            <v>542822372466.80603</v>
          </cell>
          <cell r="AB207">
            <v>518163601637.10797</v>
          </cell>
          <cell r="AC207">
            <v>488885270018.62201</v>
          </cell>
          <cell r="AD207">
            <v>512183054414.784</v>
          </cell>
          <cell r="AE207">
            <v>632310233069.48096</v>
          </cell>
          <cell r="AF207">
            <v>776775062918.77795</v>
          </cell>
          <cell r="AG207">
            <v>945959791889.00696</v>
          </cell>
          <cell r="AH207">
            <v>951887547447.64404</v>
          </cell>
          <cell r="AI207">
            <v>1116245413707.3899</v>
          </cell>
          <cell r="AJ207">
            <v>1169938033509.7</v>
          </cell>
          <cell r="AK207">
            <v>1221728957528.96</v>
          </cell>
          <cell r="AL207">
            <v>1098417308038.39</v>
          </cell>
          <cell r="AM207">
            <v>1199798307315.5801</v>
          </cell>
          <cell r="AN207">
            <v>1304551338172.6399</v>
          </cell>
          <cell r="AO207">
            <v>1373976731669.27</v>
          </cell>
          <cell r="AP207">
            <v>1536474662737.3899</v>
          </cell>
          <cell r="AQ207">
            <v>1660687540576.3501</v>
          </cell>
          <cell r="AR207">
            <v>1680143989645.6899</v>
          </cell>
          <cell r="AS207">
            <v>1668249356937.51</v>
          </cell>
          <cell r="AT207">
            <v>1655531884266.5901</v>
          </cell>
          <cell r="AU207">
            <v>1807143285371.7</v>
          </cell>
          <cell r="AV207">
            <v>2083183673469.3899</v>
          </cell>
          <cell r="AW207">
            <v>2446893079458.0698</v>
          </cell>
          <cell r="AX207">
            <v>2578605454545.4502</v>
          </cell>
          <cell r="AY207">
            <v>2719260349586.02</v>
          </cell>
          <cell r="AZ207">
            <v>3091150460184.0698</v>
          </cell>
          <cell r="BA207">
            <v>2910742647058.8198</v>
          </cell>
          <cell r="BB207">
            <v>2406924754634.6802</v>
          </cell>
          <cell r="BC207">
            <v>2492137629336.7202</v>
          </cell>
          <cell r="BD207">
            <v>2684173032857.8501</v>
          </cell>
          <cell r="BE207">
            <v>2691109870177.3398</v>
          </cell>
          <cell r="BF207">
            <v>2746456576321.2798</v>
          </cell>
          <cell r="BG207">
            <v>3023235858086.71</v>
          </cell>
          <cell r="BH207">
            <v>2886069892475.5801</v>
          </cell>
          <cell r="BI207">
            <v>2654615868380.8198</v>
          </cell>
          <cell r="BJ207">
            <v>2664014258149.29</v>
          </cell>
          <cell r="BK207">
            <v>2860062056365.2798</v>
          </cell>
          <cell r="BL207">
            <v>2862006503513.5098</v>
          </cell>
          <cell r="BM207">
            <v>2723174554778.8999</v>
          </cell>
        </row>
        <row r="208">
          <cell r="B208" t="str">
            <v>USA</v>
          </cell>
          <cell r="C208" t="str">
            <v>GNI (current US$)</v>
          </cell>
          <cell r="D208" t="str">
            <v>NY.GNP.MKTP.CD</v>
          </cell>
          <cell r="E208">
            <v>546400000000</v>
          </cell>
          <cell r="F208">
            <v>566800000000</v>
          </cell>
          <cell r="G208">
            <v>609200000000</v>
          </cell>
          <cell r="H208">
            <v>643100000000</v>
          </cell>
          <cell r="I208">
            <v>690700000000</v>
          </cell>
          <cell r="J208">
            <v>749000000000</v>
          </cell>
          <cell r="K208">
            <v>820100000000</v>
          </cell>
          <cell r="L208">
            <v>867100000000</v>
          </cell>
          <cell r="M208">
            <v>948600000000</v>
          </cell>
          <cell r="N208">
            <v>1026000000000</v>
          </cell>
          <cell r="O208">
            <v>1074359000000</v>
          </cell>
          <cell r="P208">
            <v>1162926000000</v>
          </cell>
          <cell r="Q208">
            <v>1280507000000</v>
          </cell>
          <cell r="R208">
            <v>1431848000000</v>
          </cell>
          <cell r="S208">
            <v>1553300000000</v>
          </cell>
          <cell r="T208">
            <v>1684554000000</v>
          </cell>
          <cell r="U208">
            <v>1869603000000</v>
          </cell>
          <cell r="V208">
            <v>2082670000000</v>
          </cell>
          <cell r="W208">
            <v>2349856000000</v>
          </cell>
          <cell r="X208">
            <v>2614202000000</v>
          </cell>
          <cell r="Y208">
            <v>2847055000000</v>
          </cell>
          <cell r="Z208">
            <v>3201886000000</v>
          </cell>
          <cell r="AA208">
            <v>3371448000000</v>
          </cell>
          <cell r="AB208">
            <v>3614168000000</v>
          </cell>
          <cell r="AC208">
            <v>4032292000000</v>
          </cell>
          <cell r="AD208">
            <v>4310074000000</v>
          </cell>
          <cell r="AE208">
            <v>4516535000000</v>
          </cell>
          <cell r="AF208">
            <v>4828878000000</v>
          </cell>
          <cell r="AG208">
            <v>5256093000000</v>
          </cell>
          <cell r="AH208">
            <v>5598381000000</v>
          </cell>
          <cell r="AI208">
            <v>5902290000000</v>
          </cell>
          <cell r="AJ208">
            <v>6096750000000</v>
          </cell>
          <cell r="AK208">
            <v>6435469000000</v>
          </cell>
          <cell r="AL208">
            <v>6733768000000</v>
          </cell>
          <cell r="AM208">
            <v>7170251000000</v>
          </cell>
          <cell r="AN208">
            <v>7574691000000</v>
          </cell>
          <cell r="AO208">
            <v>8045907000000</v>
          </cell>
          <cell r="AP208">
            <v>8589268000000</v>
          </cell>
          <cell r="AQ208">
            <v>9135464000000</v>
          </cell>
          <cell r="AR208">
            <v>9690388000000</v>
          </cell>
          <cell r="AS208">
            <v>10383667000000</v>
          </cell>
          <cell r="AT208">
            <v>10746067000000</v>
          </cell>
          <cell r="AU208">
            <v>11052223000000</v>
          </cell>
          <cell r="AV208">
            <v>11534846000000</v>
          </cell>
          <cell r="AW208">
            <v>12317643000000</v>
          </cell>
          <cell r="AX208">
            <v>13166516000000</v>
          </cell>
          <cell r="AY208">
            <v>14066382000000</v>
          </cell>
          <cell r="AZ208">
            <v>14550103000000</v>
          </cell>
          <cell r="BA208">
            <v>14718111000000</v>
          </cell>
          <cell r="BB208">
            <v>14426269000000</v>
          </cell>
          <cell r="BC208">
            <v>15172073000000</v>
          </cell>
          <cell r="BD208">
            <v>15849978000000</v>
          </cell>
          <cell r="BE208">
            <v>16675595000000</v>
          </cell>
          <cell r="BF208">
            <v>17188331000000</v>
          </cell>
          <cell r="BG208">
            <v>18043094000000</v>
          </cell>
          <cell r="BH208">
            <v>18660910000000</v>
          </cell>
          <cell r="BI208">
            <v>19020479000000</v>
          </cell>
          <cell r="BJ208">
            <v>19893073000000</v>
          </cell>
          <cell r="BK208">
            <v>20946778000000</v>
          </cell>
          <cell r="BL208">
            <v>21708650000000</v>
          </cell>
          <cell r="BM208">
            <v>21286637000000</v>
          </cell>
        </row>
        <row r="209">
          <cell r="B209" t="str">
            <v>URY</v>
          </cell>
          <cell r="C209" t="str">
            <v>GNI (current US$)</v>
          </cell>
          <cell r="D209" t="str">
            <v>NY.GNP.MKTP.CD</v>
          </cell>
          <cell r="E209">
            <v>1233721727.2104199</v>
          </cell>
          <cell r="F209">
            <v>1538596799.7186601</v>
          </cell>
          <cell r="G209">
            <v>1710004407.22785</v>
          </cell>
          <cell r="H209">
            <v>1526465340.64627</v>
          </cell>
          <cell r="I209">
            <v>1958008964.3783901</v>
          </cell>
          <cell r="J209">
            <v>1870105180.5013101</v>
          </cell>
          <cell r="K209">
            <v>1786917094.84021</v>
          </cell>
          <cell r="L209">
            <v>1569139307.5589299</v>
          </cell>
          <cell r="M209">
            <v>1569090893.4070599</v>
          </cell>
          <cell r="N209">
            <v>1981854838.7096801</v>
          </cell>
          <cell r="O209">
            <v>2377419354.8387098</v>
          </cell>
          <cell r="P209">
            <v>2787096774.1935501</v>
          </cell>
          <cell r="Q209">
            <v>2151740871.7734299</v>
          </cell>
          <cell r="R209">
            <v>3664348522.0223699</v>
          </cell>
          <cell r="S209">
            <v>4026567607.1854501</v>
          </cell>
          <cell r="T209">
            <v>3453303694.8247399</v>
          </cell>
          <cell r="U209">
            <v>3593277819.8334599</v>
          </cell>
          <cell r="V209">
            <v>4046446164.67277</v>
          </cell>
          <cell r="W209">
            <v>4833057461.57026</v>
          </cell>
          <cell r="X209">
            <v>7123252019.2439003</v>
          </cell>
          <cell r="Y209">
            <v>9781548635.9878693</v>
          </cell>
          <cell r="Z209">
            <v>10974400785.6726</v>
          </cell>
          <cell r="AA209">
            <v>8991070719.6119308</v>
          </cell>
          <cell r="AB209">
            <v>4815073394.6555405</v>
          </cell>
          <cell r="AC209">
            <v>4485331873.4088001</v>
          </cell>
          <cell r="AD209">
            <v>4380363003.6774902</v>
          </cell>
          <cell r="AE209">
            <v>5587338378.4354897</v>
          </cell>
          <cell r="AF209">
            <v>7065306267.2377901</v>
          </cell>
          <cell r="AG209">
            <v>7884727816.3946104</v>
          </cell>
          <cell r="AH209">
            <v>8072108155.7943096</v>
          </cell>
          <cell r="AI209">
            <v>8960739815.9865894</v>
          </cell>
          <cell r="AJ209">
            <v>10942792783.862801</v>
          </cell>
          <cell r="AK209">
            <v>12646869875.6943</v>
          </cell>
          <cell r="AL209">
            <v>14759001040.318701</v>
          </cell>
          <cell r="AM209">
            <v>17154009397.49</v>
          </cell>
          <cell r="AN209">
            <v>18993823751.7719</v>
          </cell>
          <cell r="AO209">
            <v>20231414987.8321</v>
          </cell>
          <cell r="AP209">
            <v>23778108369.166901</v>
          </cell>
          <cell r="AQ209">
            <v>25176023090.365601</v>
          </cell>
          <cell r="AR209">
            <v>23938913416.1721</v>
          </cell>
          <cell r="AS209">
            <v>22757044472.544498</v>
          </cell>
          <cell r="AT209">
            <v>20830698297.932999</v>
          </cell>
          <cell r="AU209">
            <v>13684032690.4079</v>
          </cell>
          <cell r="AV209">
            <v>11555060250.915501</v>
          </cell>
          <cell r="AW209">
            <v>13095418888.7882</v>
          </cell>
          <cell r="AX209">
            <v>16862995829.0098</v>
          </cell>
          <cell r="AY209">
            <v>19142803546.653198</v>
          </cell>
          <cell r="AZ209">
            <v>22892500106.5144</v>
          </cell>
          <cell r="BA209">
            <v>29459419613.0658</v>
          </cell>
          <cell r="BB209">
            <v>30622751134.349499</v>
          </cell>
          <cell r="BC209">
            <v>38781974490.6353</v>
          </cell>
          <cell r="BD209">
            <v>46332423916.082497</v>
          </cell>
          <cell r="BE209">
            <v>47412339246.501801</v>
          </cell>
          <cell r="BF209">
            <v>54466307256.268997</v>
          </cell>
          <cell r="BG209">
            <v>53498427927.385399</v>
          </cell>
          <cell r="BH209">
            <v>50826382337.873299</v>
          </cell>
          <cell r="BI209">
            <v>54576367615.346802</v>
          </cell>
          <cell r="BJ209">
            <v>60670505468.148399</v>
          </cell>
          <cell r="BK209">
            <v>60861178495.4347</v>
          </cell>
          <cell r="BL209">
            <v>58270516708.617401</v>
          </cell>
          <cell r="BM209">
            <v>50752249828.505699</v>
          </cell>
        </row>
        <row r="210">
          <cell r="B210" t="str">
            <v>UZB</v>
          </cell>
          <cell r="C210" t="str">
            <v>GNI (current US$)</v>
          </cell>
          <cell r="D210" t="str">
            <v>NY.GNP.MKTP.CD</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t="str">
            <v>..</v>
          </cell>
          <cell r="AF210" t="str">
            <v>..</v>
          </cell>
          <cell r="AG210" t="str">
            <v>..</v>
          </cell>
          <cell r="AH210" t="str">
            <v>..</v>
          </cell>
          <cell r="AI210" t="str">
            <v>..</v>
          </cell>
          <cell r="AJ210" t="str">
            <v>..</v>
          </cell>
          <cell r="AK210">
            <v>12870102040.816299</v>
          </cell>
          <cell r="AL210">
            <v>13050333333.3333</v>
          </cell>
          <cell r="AM210">
            <v>12856072053.4436</v>
          </cell>
          <cell r="AN210">
            <v>13316340900.974001</v>
          </cell>
          <cell r="AO210">
            <v>13875892215.568899</v>
          </cell>
          <cell r="AP210">
            <v>14569603773.5849</v>
          </cell>
          <cell r="AQ210">
            <v>14887971210.838301</v>
          </cell>
          <cell r="AR210">
            <v>16910465982.0282</v>
          </cell>
          <cell r="AS210">
            <v>13541513969.313999</v>
          </cell>
          <cell r="AT210">
            <v>11196421329.197399</v>
          </cell>
          <cell r="AU210">
            <v>9542788512.8018398</v>
          </cell>
          <cell r="AV210">
            <v>10018453435.4603</v>
          </cell>
          <cell r="AW210">
            <v>11980923547.880699</v>
          </cell>
          <cell r="AX210">
            <v>14283209838.8053</v>
          </cell>
          <cell r="AY210">
            <v>17241833852.918999</v>
          </cell>
          <cell r="AZ210">
            <v>23242393927.881699</v>
          </cell>
          <cell r="BA210">
            <v>31271456763.724602</v>
          </cell>
          <cell r="BB210">
            <v>34586223673.257698</v>
          </cell>
          <cell r="BC210">
            <v>50620430026.500198</v>
          </cell>
          <cell r="BD210">
            <v>61313053176.568398</v>
          </cell>
          <cell r="BE210">
            <v>68310411486.008698</v>
          </cell>
          <cell r="BF210">
            <v>74402141171.157303</v>
          </cell>
          <cell r="BG210">
            <v>81960280200.106995</v>
          </cell>
          <cell r="BH210">
            <v>87622913322.011505</v>
          </cell>
          <cell r="BI210">
            <v>86990975001.574707</v>
          </cell>
          <cell r="BJ210">
            <v>63294217513.7342</v>
          </cell>
          <cell r="BK210">
            <v>54140688877.782402</v>
          </cell>
          <cell r="BL210">
            <v>60644519146.4179</v>
          </cell>
          <cell r="BM210">
            <v>59739217563.6409</v>
          </cell>
        </row>
        <row r="211">
          <cell r="B211" t="str">
            <v>VUT</v>
          </cell>
          <cell r="C211" t="str">
            <v>GNI (current US$)</v>
          </cell>
          <cell r="D211" t="str">
            <v>NY.GNP.MKTP.CD</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v>100061111.434306</v>
          </cell>
          <cell r="Y211">
            <v>103613951.85380401</v>
          </cell>
          <cell r="Z211">
            <v>97221779.427504405</v>
          </cell>
          <cell r="AA211">
            <v>93391292.248852</v>
          </cell>
          <cell r="AB211">
            <v>100180736.295467</v>
          </cell>
          <cell r="AC211">
            <v>125359978.010189</v>
          </cell>
          <cell r="AD211">
            <v>118370274.515857</v>
          </cell>
          <cell r="AE211">
            <v>118353819.027316</v>
          </cell>
          <cell r="AF211">
            <v>118747103.947467</v>
          </cell>
          <cell r="AG211">
            <v>140742350.58732599</v>
          </cell>
          <cell r="AH211">
            <v>148255875.99533901</v>
          </cell>
          <cell r="AI211">
            <v>167478577.231861</v>
          </cell>
          <cell r="AJ211">
            <v>177036610.85243601</v>
          </cell>
          <cell r="AK211">
            <v>179138407.47142699</v>
          </cell>
          <cell r="AL211">
            <v>171964981.370444</v>
          </cell>
          <cell r="AM211">
            <v>196281450.10953099</v>
          </cell>
          <cell r="AN211">
            <v>212620207.651346</v>
          </cell>
          <cell r="AO211">
            <v>229641760.13032699</v>
          </cell>
          <cell r="AP211">
            <v>242495280.91826999</v>
          </cell>
          <cell r="AQ211">
            <v>254008427.86284199</v>
          </cell>
          <cell r="AR211">
            <v>262915203.56381899</v>
          </cell>
          <cell r="AS211">
            <v>259048310.37907401</v>
          </cell>
          <cell r="AT211">
            <v>253925387.69892499</v>
          </cell>
          <cell r="AU211">
            <v>251067159.584564</v>
          </cell>
          <cell r="AV211">
            <v>300079217.312168</v>
          </cell>
          <cell r="AW211">
            <v>346279173.45021898</v>
          </cell>
          <cell r="AX211">
            <v>368951682.35300601</v>
          </cell>
          <cell r="AY211">
            <v>419263682.11365098</v>
          </cell>
          <cell r="AZ211">
            <v>491651927.27272701</v>
          </cell>
          <cell r="BA211">
            <v>588513801.85564196</v>
          </cell>
          <cell r="BB211">
            <v>570475285.92628098</v>
          </cell>
          <cell r="BC211">
            <v>649213208.08455205</v>
          </cell>
          <cell r="BD211">
            <v>751131990.67388594</v>
          </cell>
          <cell r="BE211">
            <v>703073809.20253694</v>
          </cell>
          <cell r="BF211">
            <v>746902186.84718502</v>
          </cell>
          <cell r="BG211">
            <v>784588093.13116002</v>
          </cell>
          <cell r="BH211">
            <v>744028766.15297699</v>
          </cell>
          <cell r="BI211">
            <v>798187600.82968402</v>
          </cell>
          <cell r="BJ211">
            <v>882357578.50062299</v>
          </cell>
          <cell r="BK211">
            <v>941846321.42694998</v>
          </cell>
          <cell r="BL211">
            <v>1008738587.58416</v>
          </cell>
          <cell r="BM211">
            <v>971178713.81521904</v>
          </cell>
        </row>
        <row r="212">
          <cell r="B212" t="str">
            <v>VEN</v>
          </cell>
          <cell r="C212" t="str">
            <v>GNI (current US$)</v>
          </cell>
          <cell r="D212" t="str">
            <v>NY.GNP.MKTP.CD</v>
          </cell>
          <cell r="E212">
            <v>7245727272.7272701</v>
          </cell>
          <cell r="F212">
            <v>7595939393.9393902</v>
          </cell>
          <cell r="G212">
            <v>8302454545.4545498</v>
          </cell>
          <cell r="H212">
            <v>9132333333.3333302</v>
          </cell>
          <cell r="I212">
            <v>7407204545.4545498</v>
          </cell>
          <cell r="J212">
            <v>7731600000</v>
          </cell>
          <cell r="K212">
            <v>8115800000</v>
          </cell>
          <cell r="L212">
            <v>8605244444.4444408</v>
          </cell>
          <cell r="M212">
            <v>9331333333.3333302</v>
          </cell>
          <cell r="N212">
            <v>9676933333.3333302</v>
          </cell>
          <cell r="O212">
            <v>11020400000</v>
          </cell>
          <cell r="P212">
            <v>12248590909.0909</v>
          </cell>
          <cell r="Q212">
            <v>13508636363.6364</v>
          </cell>
          <cell r="R212">
            <v>16347581395.348801</v>
          </cell>
          <cell r="S212">
            <v>25463930232.558102</v>
          </cell>
          <cell r="T212">
            <v>27564651162.790699</v>
          </cell>
          <cell r="U212">
            <v>31627534883.720901</v>
          </cell>
          <cell r="V212">
            <v>36298697674.418602</v>
          </cell>
          <cell r="W212">
            <v>39354279069.767403</v>
          </cell>
          <cell r="X212">
            <v>48307930232.558098</v>
          </cell>
          <cell r="Y212">
            <v>59445511627.906998</v>
          </cell>
          <cell r="Z212">
            <v>66901441860.465103</v>
          </cell>
          <cell r="AA212">
            <v>66206744186.046501</v>
          </cell>
          <cell r="AB212">
            <v>65443279069.767403</v>
          </cell>
          <cell r="AC212">
            <v>57943376190.476097</v>
          </cell>
          <cell r="AD212">
            <v>59732466666.666702</v>
          </cell>
          <cell r="AE212">
            <v>58792901234.567902</v>
          </cell>
          <cell r="AF212">
            <v>46410034482.758598</v>
          </cell>
          <cell r="AG212">
            <v>58455413793.103401</v>
          </cell>
          <cell r="AH212">
            <v>41158822286.2631</v>
          </cell>
          <cell r="AI212">
            <v>47824453091.684402</v>
          </cell>
          <cell r="AJ212">
            <v>52878709507.042297</v>
          </cell>
          <cell r="AK212">
            <v>58656223684.210503</v>
          </cell>
          <cell r="AL212">
            <v>58349223568.281898</v>
          </cell>
          <cell r="AM212">
            <v>56535715151.515198</v>
          </cell>
          <cell r="AN212">
            <v>75464268099.547501</v>
          </cell>
          <cell r="AO212">
            <v>68818004553.0793</v>
          </cell>
          <cell r="AP212">
            <v>83379869013.507996</v>
          </cell>
          <cell r="AQ212">
            <v>88835149744.338898</v>
          </cell>
          <cell r="AR212">
            <v>96511792966.815201</v>
          </cell>
          <cell r="AS212">
            <v>115747341176.47099</v>
          </cell>
          <cell r="AT212">
            <v>120874113582.976</v>
          </cell>
          <cell r="AU212">
            <v>90144246705.142593</v>
          </cell>
          <cell r="AV212">
            <v>81432951034.139099</v>
          </cell>
          <cell r="AW212">
            <v>108964255274.14999</v>
          </cell>
          <cell r="AX212">
            <v>143309823428.07901</v>
          </cell>
          <cell r="AY212">
            <v>182474350721.93799</v>
          </cell>
          <cell r="AZ212">
            <v>232795087564.043</v>
          </cell>
          <cell r="BA212">
            <v>316632843886.97198</v>
          </cell>
          <cell r="BB212">
            <v>327123127389.72302</v>
          </cell>
          <cell r="BC212">
            <v>388341431499.16901</v>
          </cell>
          <cell r="BD212">
            <v>308493145268.45898</v>
          </cell>
          <cell r="BE212">
            <v>371208188282.46997</v>
          </cell>
          <cell r="BF212">
            <v>359262387418.64099</v>
          </cell>
          <cell r="BG212">
            <v>476933862544.15802</v>
          </cell>
          <cell r="BH212" t="str">
            <v>..</v>
          </cell>
          <cell r="BI212" t="str">
            <v>..</v>
          </cell>
          <cell r="BJ212" t="str">
            <v>..</v>
          </cell>
          <cell r="BK212" t="str">
            <v>..</v>
          </cell>
          <cell r="BL212" t="str">
            <v>..</v>
          </cell>
          <cell r="BM212" t="str">
            <v>..</v>
          </cell>
        </row>
        <row r="213">
          <cell r="B213" t="str">
            <v>VNM</v>
          </cell>
          <cell r="C213" t="str">
            <v>GNI (current US$)</v>
          </cell>
          <cell r="D213" t="str">
            <v>NY.GNP.MKTP.CD</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v>6330715743.5358496</v>
          </cell>
          <cell r="AI213">
            <v>6059727465.2843704</v>
          </cell>
          <cell r="AJ213">
            <v>9101162795.7398491</v>
          </cell>
          <cell r="AK213">
            <v>9530002864.9729004</v>
          </cell>
          <cell r="AL213">
            <v>12678649294.800501</v>
          </cell>
          <cell r="AM213">
            <v>15874378573.091</v>
          </cell>
          <cell r="AN213">
            <v>20716686821.642601</v>
          </cell>
          <cell r="AO213">
            <v>24441564978.031101</v>
          </cell>
          <cell r="AP213">
            <v>26413770534.2458</v>
          </cell>
          <cell r="AQ213">
            <v>26593005728.067501</v>
          </cell>
          <cell r="AR213">
            <v>28163764011.6506</v>
          </cell>
          <cell r="AS213">
            <v>30725942358.389301</v>
          </cell>
          <cell r="AT213">
            <v>32247852243.3298</v>
          </cell>
          <cell r="AU213">
            <v>34494322458.195602</v>
          </cell>
          <cell r="AV213">
            <v>38923547352.816399</v>
          </cell>
          <cell r="AW213">
            <v>44576781404.801201</v>
          </cell>
          <cell r="AX213">
            <v>56575238837.088997</v>
          </cell>
          <cell r="AY213">
            <v>64945527298.873001</v>
          </cell>
          <cell r="AZ213">
            <v>75243501680.365707</v>
          </cell>
          <cell r="BA213">
            <v>96180833933.966202</v>
          </cell>
          <cell r="BB213">
            <v>101448142359.786</v>
          </cell>
          <cell r="BC213">
            <v>111512775426.53999</v>
          </cell>
          <cell r="BD213">
            <v>129698119187.216</v>
          </cell>
          <cell r="BE213">
            <v>149569185711.54199</v>
          </cell>
          <cell r="BF213">
            <v>163884761344.28601</v>
          </cell>
          <cell r="BG213">
            <v>177360648761.112</v>
          </cell>
          <cell r="BH213">
            <v>181099655525.90201</v>
          </cell>
          <cell r="BI213">
            <v>191133295969.60901</v>
          </cell>
          <cell r="BJ213">
            <v>206782345640.17099</v>
          </cell>
          <cell r="BK213">
            <v>229393263000.48001</v>
          </cell>
          <cell r="BL213">
            <v>245123373261.63501</v>
          </cell>
          <cell r="BM213">
            <v>255541015350.05399</v>
          </cell>
        </row>
        <row r="214">
          <cell r="B214" t="str">
            <v>VIR</v>
          </cell>
          <cell r="C214" t="str">
            <v>GNI (current US$)</v>
          </cell>
          <cell r="D214" t="str">
            <v>NY.GNP.MKTP.CD</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t="str">
            <v>..</v>
          </cell>
          <cell r="AF214" t="str">
            <v>..</v>
          </cell>
          <cell r="AG214" t="str">
            <v>..</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v>
          </cell>
        </row>
        <row r="215">
          <cell r="B215" t="str">
            <v>PSE</v>
          </cell>
          <cell r="C215" t="str">
            <v>GNI (current US$)</v>
          </cell>
          <cell r="D215" t="str">
            <v>NY.GNP.MKTP.CD</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cell r="AJ215" t="str">
            <v>..</v>
          </cell>
          <cell r="AK215" t="str">
            <v>..</v>
          </cell>
          <cell r="AL215" t="str">
            <v>..</v>
          </cell>
          <cell r="AM215">
            <v>3206000000</v>
          </cell>
          <cell r="AN215">
            <v>3722600000</v>
          </cell>
          <cell r="AO215">
            <v>3834000000</v>
          </cell>
          <cell r="AP215">
            <v>4280100000</v>
          </cell>
          <cell r="AQ215">
            <v>4786500000</v>
          </cell>
          <cell r="AR215">
            <v>5025000000</v>
          </cell>
          <cell r="AS215">
            <v>4819100000</v>
          </cell>
          <cell r="AT215">
            <v>4322700000</v>
          </cell>
          <cell r="AU215">
            <v>3774700000</v>
          </cell>
          <cell r="AV215">
            <v>4212700000</v>
          </cell>
          <cell r="AW215">
            <v>4831300000</v>
          </cell>
          <cell r="AX215">
            <v>5474700000</v>
          </cell>
          <cell r="AY215">
            <v>5770900000</v>
          </cell>
          <cell r="AZ215">
            <v>6368300000</v>
          </cell>
          <cell r="BA215">
            <v>7981700000</v>
          </cell>
          <cell r="BB215">
            <v>8617800000</v>
          </cell>
          <cell r="BC215">
            <v>10280600000</v>
          </cell>
          <cell r="BD215">
            <v>11935600000</v>
          </cell>
          <cell r="BE215">
            <v>13065900000</v>
          </cell>
          <cell r="BF215">
            <v>14675800000</v>
          </cell>
          <cell r="BG215">
            <v>15472300000</v>
          </cell>
          <cell r="BH215">
            <v>15684800000</v>
          </cell>
          <cell r="BI215">
            <v>17301100000</v>
          </cell>
          <cell r="BJ215">
            <v>18257000000</v>
          </cell>
          <cell r="BK215">
            <v>19063900000</v>
          </cell>
          <cell r="BL215">
            <v>20164700000</v>
          </cell>
          <cell r="BM215">
            <v>18107200000</v>
          </cell>
        </row>
        <row r="216">
          <cell r="B216" t="str">
            <v>YEM</v>
          </cell>
          <cell r="C216" t="str">
            <v>GNI (current US$)</v>
          </cell>
          <cell r="D216" t="str">
            <v>NY.GNP.MKTP.CD</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v>5611241366.4122105</v>
          </cell>
          <cell r="AJ216">
            <v>5734006734.0067301</v>
          </cell>
          <cell r="AK216">
            <v>6313485166.31705</v>
          </cell>
          <cell r="AL216">
            <v>5267489204.1949396</v>
          </cell>
          <cell r="AM216">
            <v>4088247678.01858</v>
          </cell>
          <cell r="AN216">
            <v>4073605062.0429001</v>
          </cell>
          <cell r="AO216">
            <v>5278102816.1323004</v>
          </cell>
          <cell r="AP216">
            <v>6224987546.9888496</v>
          </cell>
          <cell r="AQ216">
            <v>5967611967.86971</v>
          </cell>
          <cell r="AR216">
            <v>6945340964.43571</v>
          </cell>
          <cell r="AS216">
            <v>8878775938.3618393</v>
          </cell>
          <cell r="AT216">
            <v>9170573372.5811005</v>
          </cell>
          <cell r="AU216">
            <v>9876286275.8718891</v>
          </cell>
          <cell r="AV216">
            <v>10751394112.228001</v>
          </cell>
          <cell r="AW216">
            <v>12525767671.667299</v>
          </cell>
          <cell r="AX216">
            <v>15131744946.979</v>
          </cell>
          <cell r="AY216">
            <v>17827661731.594799</v>
          </cell>
          <cell r="AZ216">
            <v>20300349319.098801</v>
          </cell>
          <cell r="BA216">
            <v>24995529208.436699</v>
          </cell>
          <cell r="BB216">
            <v>23958158615.8414</v>
          </cell>
          <cell r="BC216">
            <v>29087765768.4776</v>
          </cell>
          <cell r="BD216">
            <v>30388992670.252602</v>
          </cell>
          <cell r="BE216">
            <v>33831698297.069698</v>
          </cell>
          <cell r="BF216">
            <v>38599635701.987099</v>
          </cell>
          <cell r="BG216">
            <v>40607585321.327202</v>
          </cell>
          <cell r="BH216">
            <v>41100102386.604897</v>
          </cell>
          <cell r="BI216">
            <v>31252576259.246201</v>
          </cell>
          <cell r="BJ216">
            <v>26799973175.965698</v>
          </cell>
          <cell r="BK216">
            <v>21589535361.074799</v>
          </cell>
          <cell r="BL216" t="str">
            <v>..</v>
          </cell>
          <cell r="BM216" t="str">
            <v>..</v>
          </cell>
        </row>
        <row r="217">
          <cell r="B217" t="str">
            <v>ZMB</v>
          </cell>
          <cell r="C217" t="str">
            <v>GNI (current US$)</v>
          </cell>
          <cell r="D217" t="str">
            <v>NY.GNP.MKTP.CD</v>
          </cell>
          <cell r="E217">
            <v>639000000</v>
          </cell>
          <cell r="F217">
            <v>630571428.57142901</v>
          </cell>
          <cell r="G217">
            <v>623142857.14285696</v>
          </cell>
          <cell r="H217">
            <v>649285714.28571403</v>
          </cell>
          <cell r="I217">
            <v>740714285.71428597</v>
          </cell>
          <cell r="J217">
            <v>1017857142.8571399</v>
          </cell>
          <cell r="K217">
            <v>1181428571.42857</v>
          </cell>
          <cell r="L217">
            <v>1295714285.7142899</v>
          </cell>
          <cell r="M217">
            <v>1531428571.42857</v>
          </cell>
          <cell r="N217">
            <v>1897857142.8571401</v>
          </cell>
          <cell r="O217">
            <v>1777571428.57143</v>
          </cell>
          <cell r="P217">
            <v>1635714285.7142899</v>
          </cell>
          <cell r="Q217">
            <v>1819857142.8571401</v>
          </cell>
          <cell r="R217">
            <v>2093142857.1428599</v>
          </cell>
          <cell r="S217">
            <v>2920000000</v>
          </cell>
          <cell r="T217">
            <v>2435666666.6666698</v>
          </cell>
          <cell r="U217">
            <v>2496428571.4285698</v>
          </cell>
          <cell r="V217">
            <v>2372875000</v>
          </cell>
          <cell r="W217">
            <v>2636750000</v>
          </cell>
          <cell r="X217">
            <v>3039750000</v>
          </cell>
          <cell r="Y217">
            <v>3543750000</v>
          </cell>
          <cell r="Z217">
            <v>3763888888.8888898</v>
          </cell>
          <cell r="AA217">
            <v>3751222222.2222199</v>
          </cell>
          <cell r="AB217">
            <v>2973615384.6153798</v>
          </cell>
          <cell r="AC217">
            <v>2460611111.1111102</v>
          </cell>
          <cell r="AD217">
            <v>2011258064.51613</v>
          </cell>
          <cell r="AE217">
            <v>1355602564.10256</v>
          </cell>
          <cell r="AF217">
            <v>1925284210.52632</v>
          </cell>
          <cell r="AG217">
            <v>3304590361.4457798</v>
          </cell>
          <cell r="AH217">
            <v>3591333333.3333302</v>
          </cell>
          <cell r="AI217">
            <v>3005240579.7101402</v>
          </cell>
          <cell r="AJ217">
            <v>2994756965.9442701</v>
          </cell>
          <cell r="AK217">
            <v>2866556424.5810099</v>
          </cell>
          <cell r="AL217">
            <v>3018260379.8586602</v>
          </cell>
          <cell r="AM217">
            <v>3420257992.2318501</v>
          </cell>
          <cell r="AN217">
            <v>3565061682.6756201</v>
          </cell>
          <cell r="AO217">
            <v>3391220962.0001702</v>
          </cell>
          <cell r="AP217">
            <v>4052482388.7409701</v>
          </cell>
          <cell r="AQ217">
            <v>3314986735.40626</v>
          </cell>
          <cell r="AR217">
            <v>3240403182.5795598</v>
          </cell>
          <cell r="AS217">
            <v>3444564099.2670698</v>
          </cell>
          <cell r="AT217">
            <v>3929533495.8043699</v>
          </cell>
          <cell r="AU217">
            <v>4043337448.2789998</v>
          </cell>
          <cell r="AV217">
            <v>4758773392.7703695</v>
          </cell>
          <cell r="AW217">
            <v>5822392454.3304901</v>
          </cell>
          <cell r="AX217">
            <v>7700141839.3637304</v>
          </cell>
          <cell r="AY217">
            <v>11588306430.5737</v>
          </cell>
          <cell r="AZ217">
            <v>12512434228.6071</v>
          </cell>
          <cell r="BA217">
            <v>16512263315.2682</v>
          </cell>
          <cell r="BB217">
            <v>14909632547.9083</v>
          </cell>
          <cell r="BC217">
            <v>18902559483.854801</v>
          </cell>
          <cell r="BD217">
            <v>22302537247.7215</v>
          </cell>
          <cell r="BE217">
            <v>25071084452.042801</v>
          </cell>
          <cell r="BF217">
            <v>26888392774.432598</v>
          </cell>
          <cell r="BG217">
            <v>26589065800.162498</v>
          </cell>
          <cell r="BH217">
            <v>20839208733.138599</v>
          </cell>
          <cell r="BI217">
            <v>20311304651.433399</v>
          </cell>
          <cell r="BJ217">
            <v>24726787496.716599</v>
          </cell>
          <cell r="BK217">
            <v>25904785012.8606</v>
          </cell>
          <cell r="BL217">
            <v>22904080806.827</v>
          </cell>
          <cell r="BM217">
            <v>17601655545.924801</v>
          </cell>
        </row>
        <row r="218">
          <cell r="B218" t="str">
            <v>ZWE</v>
          </cell>
          <cell r="C218" t="str">
            <v>GNI (current US$)</v>
          </cell>
          <cell r="D218" t="str">
            <v>NY.GNP.MKTP.CD</v>
          </cell>
          <cell r="E218">
            <v>1023337700</v>
          </cell>
          <cell r="F218">
            <v>1060135700</v>
          </cell>
          <cell r="G218">
            <v>1075906600</v>
          </cell>
          <cell r="H218">
            <v>1110952500</v>
          </cell>
          <cell r="I218">
            <v>1147750500</v>
          </cell>
          <cell r="J218">
            <v>1272163200</v>
          </cell>
          <cell r="K218">
            <v>1252888000</v>
          </cell>
          <cell r="L218">
            <v>1377300600</v>
          </cell>
          <cell r="M218">
            <v>1459657900</v>
          </cell>
          <cell r="N218">
            <v>1724254100</v>
          </cell>
          <cell r="O218">
            <v>1863206300</v>
          </cell>
          <cell r="P218">
            <v>2148316300</v>
          </cell>
          <cell r="Q218">
            <v>2642629400</v>
          </cell>
          <cell r="R218">
            <v>3270853600</v>
          </cell>
          <cell r="S218">
            <v>3929461400</v>
          </cell>
          <cell r="T218">
            <v>4308300700</v>
          </cell>
          <cell r="U218">
            <v>4245372000</v>
          </cell>
          <cell r="V218">
            <v>4289403600</v>
          </cell>
          <cell r="W218">
            <v>4292248900</v>
          </cell>
          <cell r="X218">
            <v>5098913800</v>
          </cell>
          <cell r="Y218">
            <v>6529868200</v>
          </cell>
          <cell r="Z218">
            <v>7881373800</v>
          </cell>
          <cell r="AA218">
            <v>8313533300</v>
          </cell>
          <cell r="AB218">
            <v>7565863000</v>
          </cell>
          <cell r="AC218">
            <v>6229529000</v>
          </cell>
          <cell r="AD218">
            <v>5511259300</v>
          </cell>
          <cell r="AE218">
            <v>6033523700</v>
          </cell>
          <cell r="AF218">
            <v>6527215100</v>
          </cell>
          <cell r="AG218">
            <v>7574784100</v>
          </cell>
          <cell r="AH218">
            <v>8073322700</v>
          </cell>
          <cell r="AI218">
            <v>8511816600</v>
          </cell>
          <cell r="AJ218">
            <v>8337481700</v>
          </cell>
          <cell r="AK218">
            <v>6471095900</v>
          </cell>
          <cell r="AL218">
            <v>6315813300</v>
          </cell>
          <cell r="AM218">
            <v>6594675000</v>
          </cell>
          <cell r="AN218">
            <v>6785270700</v>
          </cell>
          <cell r="AO218">
            <v>8234146600</v>
          </cell>
          <cell r="AP218">
            <v>8124571600</v>
          </cell>
          <cell r="AQ218">
            <v>6016968200</v>
          </cell>
          <cell r="AR218">
            <v>6502724000</v>
          </cell>
          <cell r="AS218">
            <v>6328908700</v>
          </cell>
          <cell r="AT218">
            <v>6447326200</v>
          </cell>
          <cell r="AU218">
            <v>6072330100</v>
          </cell>
          <cell r="AV218">
            <v>5507714700</v>
          </cell>
          <cell r="AW218">
            <v>5522050000</v>
          </cell>
          <cell r="AX218">
            <v>5480616600</v>
          </cell>
          <cell r="AY218">
            <v>5131054900</v>
          </cell>
          <cell r="AZ218">
            <v>4929377100</v>
          </cell>
          <cell r="BA218">
            <v>3972333100</v>
          </cell>
          <cell r="BB218">
            <v>9533093700</v>
          </cell>
          <cell r="BC218">
            <v>11891513500</v>
          </cell>
          <cell r="BD218">
            <v>13855605400</v>
          </cell>
          <cell r="BE218">
            <v>16824691600</v>
          </cell>
          <cell r="BF218">
            <v>18800678500</v>
          </cell>
          <cell r="BG218">
            <v>19154731100</v>
          </cell>
          <cell r="BH218">
            <v>19597002300</v>
          </cell>
          <cell r="BI218">
            <v>20153396800</v>
          </cell>
          <cell r="BJ218">
            <v>17275765916.7066</v>
          </cell>
          <cell r="BK218">
            <v>17810187184.142101</v>
          </cell>
          <cell r="BL218">
            <v>18896621254.5275</v>
          </cell>
          <cell r="BM218">
            <v>17447769295.690701</v>
          </cell>
        </row>
        <row r="219">
          <cell r="B219" t="str">
            <v>AFE</v>
          </cell>
          <cell r="C219" t="str">
            <v>GNI (current US$)</v>
          </cell>
          <cell r="D219" t="str">
            <v>NY.GNP.MKTP.CD</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v>140535773020.20999</v>
          </cell>
          <cell r="Z219">
            <v>147220139490.922</v>
          </cell>
          <cell r="AA219">
            <v>140294101512.89899</v>
          </cell>
          <cell r="AB219">
            <v>148237241395.879</v>
          </cell>
          <cell r="AC219">
            <v>136575470851.256</v>
          </cell>
          <cell r="AD219">
            <v>119239081915.745</v>
          </cell>
          <cell r="AE219">
            <v>134908218678.66</v>
          </cell>
          <cell r="AF219">
            <v>167007805763.82901</v>
          </cell>
          <cell r="AG219">
            <v>174022376732.49701</v>
          </cell>
          <cell r="AH219">
            <v>181137623466.92499</v>
          </cell>
          <cell r="AI219">
            <v>196564967528.48901</v>
          </cell>
          <cell r="AJ219">
            <v>205387936439.31</v>
          </cell>
          <cell r="AK219">
            <v>207472165081.103</v>
          </cell>
          <cell r="AL219">
            <v>219225919751.19901</v>
          </cell>
          <cell r="AM219">
            <v>228942390662.91101</v>
          </cell>
          <cell r="AN219">
            <v>260280196908.55899</v>
          </cell>
          <cell r="AO219">
            <v>258742821588.759</v>
          </cell>
          <cell r="AP219">
            <v>273044286356.59698</v>
          </cell>
          <cell r="AQ219">
            <v>257107671531.77701</v>
          </cell>
          <cell r="AR219">
            <v>252562243831.505</v>
          </cell>
          <cell r="AS219">
            <v>273450279606.578</v>
          </cell>
          <cell r="AT219">
            <v>248318692276.73001</v>
          </cell>
          <cell r="AU219">
            <v>254365602249.23401</v>
          </cell>
          <cell r="AV219">
            <v>339806036304.18597</v>
          </cell>
          <cell r="AW219">
            <v>423603288186.065</v>
          </cell>
          <cell r="AX219">
            <v>493113293996.64697</v>
          </cell>
          <cell r="AY219">
            <v>552476005408.78101</v>
          </cell>
          <cell r="AZ219">
            <v>629873074944.43201</v>
          </cell>
          <cell r="BA219">
            <v>669508407615.80896</v>
          </cell>
          <cell r="BB219">
            <v>683767778801.25</v>
          </cell>
          <cell r="BC219">
            <v>809262132628.58398</v>
          </cell>
          <cell r="BD219">
            <v>902421463493.29199</v>
          </cell>
          <cell r="BE219">
            <v>915990525916.70801</v>
          </cell>
          <cell r="BF219">
            <v>927513103844.34595</v>
          </cell>
          <cell r="BG219">
            <v>950310270587.00598</v>
          </cell>
          <cell r="BH219">
            <v>891314941480.62097</v>
          </cell>
          <cell r="BI219">
            <v>853742059649.099</v>
          </cell>
          <cell r="BJ219">
            <v>958649173579.302</v>
          </cell>
          <cell r="BK219">
            <v>985696008290.13904</v>
          </cell>
          <cell r="BL219">
            <v>985468144130.46802</v>
          </cell>
          <cell r="BM219">
            <v>901606413475.90295</v>
          </cell>
        </row>
        <row r="220">
          <cell r="B220" t="str">
            <v>AFW</v>
          </cell>
          <cell r="C220" t="str">
            <v>GNI (current US$)</v>
          </cell>
          <cell r="D220" t="str">
            <v>NY.GNP.MKTP.CD</v>
          </cell>
          <cell r="E220">
            <v>10172976883.8323</v>
          </cell>
          <cell r="F220">
            <v>10894221748.040199</v>
          </cell>
          <cell r="G220">
            <v>11765408070.1581</v>
          </cell>
          <cell r="H220">
            <v>12553520361.387899</v>
          </cell>
          <cell r="I220">
            <v>13680100322.596701</v>
          </cell>
          <cell r="J220">
            <v>14638059767.415001</v>
          </cell>
          <cell r="K220">
            <v>15662973372.900801</v>
          </cell>
          <cell r="L220">
            <v>14067929434.827801</v>
          </cell>
          <cell r="M220">
            <v>14379206153.116301</v>
          </cell>
          <cell r="N220">
            <v>16344984970.3615</v>
          </cell>
          <cell r="O220">
            <v>22713422143.205399</v>
          </cell>
          <cell r="P220">
            <v>19812712492.472698</v>
          </cell>
          <cell r="Q220">
            <v>23957584801.243801</v>
          </cell>
          <cell r="R220">
            <v>29588735925.4646</v>
          </cell>
          <cell r="S220">
            <v>42652777792.863098</v>
          </cell>
          <cell r="T220">
            <v>49907191589.509903</v>
          </cell>
          <cell r="U220">
            <v>60300916579.682701</v>
          </cell>
          <cell r="V220">
            <v>63524076709.732697</v>
          </cell>
          <cell r="W220">
            <v>69762627177.225296</v>
          </cell>
          <cell r="X220">
            <v>86672639435.658798</v>
          </cell>
          <cell r="Y220">
            <v>106188270391.20399</v>
          </cell>
          <cell r="Z220">
            <v>207147347051.75699</v>
          </cell>
          <cell r="AA220">
            <v>184062937421.16101</v>
          </cell>
          <cell r="AB220">
            <v>135270121945.442</v>
          </cell>
          <cell r="AC220">
            <v>111796209301.354</v>
          </cell>
          <cell r="AD220">
            <v>113574760874.834</v>
          </cell>
          <cell r="AE220">
            <v>104318003419.33701</v>
          </cell>
          <cell r="AF220">
            <v>105878610306.59</v>
          </cell>
          <cell r="AG220">
            <v>106015924852.394</v>
          </cell>
          <cell r="AH220">
            <v>96712782205.560303</v>
          </cell>
          <cell r="AI220">
            <v>114943753160.935</v>
          </cell>
          <cell r="AJ220">
            <v>111154023363.547</v>
          </cell>
          <cell r="AK220">
            <v>111522889159.43401</v>
          </cell>
          <cell r="AL220">
            <v>92596087968.0103</v>
          </cell>
          <cell r="AM220">
            <v>81242671010.349197</v>
          </cell>
          <cell r="AN220">
            <v>102164592959.745</v>
          </cell>
          <cell r="AO220">
            <v>113688116011.72701</v>
          </cell>
          <cell r="AP220">
            <v>115259024607.806</v>
          </cell>
          <cell r="AQ220">
            <v>117664793880.89999</v>
          </cell>
          <cell r="AR220">
            <v>126639612680.778</v>
          </cell>
          <cell r="AS220">
            <v>124242650677.711</v>
          </cell>
          <cell r="AT220">
            <v>133318308915.422</v>
          </cell>
          <cell r="AU220">
            <v>159933333599.78299</v>
          </cell>
          <cell r="AV220">
            <v>183803940357.71899</v>
          </cell>
          <cell r="AW220">
            <v>227979857904.92899</v>
          </cell>
          <cell r="AX220">
            <v>280711669146.53802</v>
          </cell>
          <cell r="AY220">
            <v>373642169873.93799</v>
          </cell>
          <cell r="AZ220">
            <v>432643904339.56097</v>
          </cell>
          <cell r="BA220">
            <v>529380795033.35797</v>
          </cell>
          <cell r="BB220">
            <v>473465845298.19397</v>
          </cell>
          <cell r="BC220">
            <v>549615423785.98602</v>
          </cell>
          <cell r="BD220">
            <v>621759674710.302</v>
          </cell>
          <cell r="BE220">
            <v>680881610373.41199</v>
          </cell>
          <cell r="BF220">
            <v>768869502883.63794</v>
          </cell>
          <cell r="BG220">
            <v>818976865809.14404</v>
          </cell>
          <cell r="BH220">
            <v>738754021948.95898</v>
          </cell>
          <cell r="BI220">
            <v>671661614226.76501</v>
          </cell>
          <cell r="BJ220">
            <v>659368208575.052</v>
          </cell>
          <cell r="BK220">
            <v>708744643373.83105</v>
          </cell>
          <cell r="BL220">
            <v>764613284446.34204</v>
          </cell>
          <cell r="BM220">
            <v>757277045282.50403</v>
          </cell>
        </row>
        <row r="221">
          <cell r="B221" t="str">
            <v>ARB</v>
          </cell>
          <cell r="C221" t="str">
            <v>GNI (current US$)</v>
          </cell>
          <cell r="D221" t="str">
            <v>NY.GNP.MKTP.CD</v>
          </cell>
          <cell r="E221" t="str">
            <v>..</v>
          </cell>
          <cell r="F221" t="str">
            <v>..</v>
          </cell>
          <cell r="G221" t="str">
            <v>..</v>
          </cell>
          <cell r="H221" t="str">
            <v>..</v>
          </cell>
          <cell r="I221" t="str">
            <v>..</v>
          </cell>
          <cell r="J221" t="str">
            <v>..</v>
          </cell>
          <cell r="K221" t="str">
            <v>..</v>
          </cell>
          <cell r="L221" t="str">
            <v>..</v>
          </cell>
          <cell r="M221" t="str">
            <v>..</v>
          </cell>
          <cell r="N221" t="str">
            <v>..</v>
          </cell>
          <cell r="O221">
            <v>47536631009.8395</v>
          </cell>
          <cell r="P221">
            <v>54057587072.227402</v>
          </cell>
          <cell r="Q221">
            <v>64265360651.708504</v>
          </cell>
          <cell r="R221">
            <v>81045644378.855392</v>
          </cell>
          <cell r="S221">
            <v>158673383174.14401</v>
          </cell>
          <cell r="T221">
            <v>180905731789.59</v>
          </cell>
          <cell r="U221">
            <v>227736982959.379</v>
          </cell>
          <cell r="V221">
            <v>258335515853.80899</v>
          </cell>
          <cell r="W221">
            <v>283968327749.97699</v>
          </cell>
          <cell r="X221">
            <v>377865747845.776</v>
          </cell>
          <cell r="Y221">
            <v>510374431850.133</v>
          </cell>
          <cell r="Z221">
            <v>517403058219.74902</v>
          </cell>
          <cell r="AA221">
            <v>488349581914.474</v>
          </cell>
          <cell r="AB221">
            <v>463697241346.26099</v>
          </cell>
          <cell r="AC221">
            <v>470419396630.49902</v>
          </cell>
          <cell r="AD221">
            <v>470799491167.10901</v>
          </cell>
          <cell r="AE221">
            <v>463461878904.28497</v>
          </cell>
          <cell r="AF221">
            <v>496464137704.06897</v>
          </cell>
          <cell r="AG221">
            <v>489249425995.18298</v>
          </cell>
          <cell r="AH221">
            <v>511766916455.89801</v>
          </cell>
          <cell r="AI221">
            <v>705103852809.93506</v>
          </cell>
          <cell r="AJ221">
            <v>443373328312.09698</v>
          </cell>
          <cell r="AK221">
            <v>476631193914.70898</v>
          </cell>
          <cell r="AL221">
            <v>485458109161.05701</v>
          </cell>
          <cell r="AM221">
            <v>502522671201.56</v>
          </cell>
          <cell r="AN221">
            <v>559145079900.28406</v>
          </cell>
          <cell r="AO221">
            <v>606577747415.75806</v>
          </cell>
          <cell r="AP221">
            <v>655388646282.80505</v>
          </cell>
          <cell r="AQ221">
            <v>637343325752.69397</v>
          </cell>
          <cell r="AR221">
            <v>700075190059.69604</v>
          </cell>
          <cell r="AS221">
            <v>796768261498.56494</v>
          </cell>
          <cell r="AT221">
            <v>784098282162.02905</v>
          </cell>
          <cell r="AU221">
            <v>792448918283.54199</v>
          </cell>
          <cell r="AV221">
            <v>873535008967.27698</v>
          </cell>
          <cell r="AW221">
            <v>1044492857776.08</v>
          </cell>
          <cell r="AX221">
            <v>1279183387539.98</v>
          </cell>
          <cell r="AY221">
            <v>1529144328863.46</v>
          </cell>
          <cell r="AZ221">
            <v>1794105734313.9099</v>
          </cell>
          <cell r="BA221">
            <v>2252244915980.2002</v>
          </cell>
          <cell r="BB221">
            <v>1961682897116.8899</v>
          </cell>
          <cell r="BC221">
            <v>2271419127827.6499</v>
          </cell>
          <cell r="BD221">
            <v>2476849889581.77</v>
          </cell>
          <cell r="BE221">
            <v>2724253125448.8398</v>
          </cell>
          <cell r="BF221">
            <v>2790293349051.73</v>
          </cell>
          <cell r="BG221">
            <v>2827946434903.48</v>
          </cell>
          <cell r="BH221">
            <v>2471507746168.52</v>
          </cell>
          <cell r="BI221">
            <v>2426767140585.2202</v>
          </cell>
          <cell r="BJ221">
            <v>2481661303861.4702</v>
          </cell>
          <cell r="BK221">
            <v>2731395128508.2402</v>
          </cell>
          <cell r="BL221">
            <v>2772643360583.4902</v>
          </cell>
          <cell r="BM221">
            <v>2465055521143.1001</v>
          </cell>
        </row>
        <row r="222">
          <cell r="B222" t="str">
            <v>CSS</v>
          </cell>
          <cell r="C222" t="str">
            <v>GNI (current US$)</v>
          </cell>
          <cell r="D222" t="str">
            <v>NY.GNP.MKTP.CD</v>
          </cell>
          <cell r="E222">
            <v>1873413418.4683499</v>
          </cell>
          <cell r="F222">
            <v>2016281621.9439499</v>
          </cell>
          <cell r="G222">
            <v>2103860110.1452501</v>
          </cell>
          <cell r="H222">
            <v>2325758349.8887701</v>
          </cell>
          <cell r="I222">
            <v>2509724119.1782999</v>
          </cell>
          <cell r="J222">
            <v>2735603358.7811999</v>
          </cell>
          <cell r="K222">
            <v>2823412942.4809098</v>
          </cell>
          <cell r="L222">
            <v>3034355924.6867499</v>
          </cell>
          <cell r="M222">
            <v>3007421730.45046</v>
          </cell>
          <cell r="N222">
            <v>3274028019.1325598</v>
          </cell>
          <cell r="O222">
            <v>3686038897.2940302</v>
          </cell>
          <cell r="P222">
            <v>3986614029.24336</v>
          </cell>
          <cell r="Q222">
            <v>4735391688.3330803</v>
          </cell>
          <cell r="R222">
            <v>5168320976.1364202</v>
          </cell>
          <cell r="S222">
            <v>6746626484.4117098</v>
          </cell>
          <cell r="T222">
            <v>8392478532.9351196</v>
          </cell>
          <cell r="U222">
            <v>8085048077.5072603</v>
          </cell>
          <cell r="V222">
            <v>9312289817.3271008</v>
          </cell>
          <cell r="W222">
            <v>9526488654.6045609</v>
          </cell>
          <cell r="X222">
            <v>10721924378.664101</v>
          </cell>
          <cell r="Y222">
            <v>13234690171.8062</v>
          </cell>
          <cell r="Z222">
            <v>14698780750.138901</v>
          </cell>
          <cell r="AA222">
            <v>16618425253.1028</v>
          </cell>
          <cell r="AB222">
            <v>16897295038.364201</v>
          </cell>
          <cell r="AC222">
            <v>15628293135.114401</v>
          </cell>
          <cell r="AD222">
            <v>15194544488.1362</v>
          </cell>
          <cell r="AE222">
            <v>13523434297.914801</v>
          </cell>
          <cell r="AF222">
            <v>14302018220.0508</v>
          </cell>
          <cell r="AG222">
            <v>15430372659.4265</v>
          </cell>
          <cell r="AH222">
            <v>15748659709.9967</v>
          </cell>
          <cell r="AI222">
            <v>16713984123.1467</v>
          </cell>
          <cell r="AJ222">
            <v>16505161120.655399</v>
          </cell>
          <cell r="AK222">
            <v>16472788547.866899</v>
          </cell>
          <cell r="AL222">
            <v>18098431133.842602</v>
          </cell>
          <cell r="AM222">
            <v>18813007677.209702</v>
          </cell>
          <cell r="AN222">
            <v>21439983479.663601</v>
          </cell>
          <cell r="AO222">
            <v>23837943045.9398</v>
          </cell>
          <cell r="AP222">
            <v>27024975243.951099</v>
          </cell>
          <cell r="AQ222">
            <v>28910607932.866501</v>
          </cell>
          <cell r="AR222">
            <v>30641339970.4949</v>
          </cell>
          <cell r="AS222">
            <v>32598712397.206001</v>
          </cell>
          <cell r="AT222">
            <v>33494940430.331699</v>
          </cell>
          <cell r="AU222">
            <v>35171550389.209801</v>
          </cell>
          <cell r="AV222">
            <v>37531792162.954697</v>
          </cell>
          <cell r="AW222">
            <v>41467804109.349602</v>
          </cell>
          <cell r="AX222">
            <v>46616252535.346298</v>
          </cell>
          <cell r="AY222">
            <v>53173495635.127197</v>
          </cell>
          <cell r="AZ222">
            <v>59418540142.974602</v>
          </cell>
          <cell r="BA222">
            <v>67828004514.2743</v>
          </cell>
          <cell r="BB222">
            <v>57073731949.0186</v>
          </cell>
          <cell r="BC222">
            <v>62242790838.018097</v>
          </cell>
          <cell r="BD222">
            <v>65333283499.100304</v>
          </cell>
          <cell r="BE222">
            <v>68672224682.097603</v>
          </cell>
          <cell r="BF222">
            <v>70587032669.5923</v>
          </cell>
          <cell r="BG222">
            <v>71321495640.916794</v>
          </cell>
          <cell r="BH222">
            <v>71123624938.857498</v>
          </cell>
          <cell r="BI222">
            <v>67253270871.355301</v>
          </cell>
          <cell r="BJ222">
            <v>69772358125.344803</v>
          </cell>
          <cell r="BK222">
            <v>72059461631.833099</v>
          </cell>
          <cell r="BL222">
            <v>73733084731.277206</v>
          </cell>
          <cell r="BM222">
            <v>63208845078.138702</v>
          </cell>
        </row>
        <row r="223">
          <cell r="B223" t="str">
            <v>CEB</v>
          </cell>
          <cell r="C223" t="str">
            <v>GNI (current US$)</v>
          </cell>
          <cell r="D223" t="str">
            <v>NY.GNP.MKTP.CD</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v>
          </cell>
          <cell r="Q223" t="str">
            <v>..</v>
          </cell>
          <cell r="R223" t="str">
            <v>..</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t="str">
            <v>..</v>
          </cell>
          <cell r="AF223" t="str">
            <v>..</v>
          </cell>
          <cell r="AG223" t="str">
            <v>..</v>
          </cell>
          <cell r="AH223" t="str">
            <v>..</v>
          </cell>
          <cell r="AI223" t="str">
            <v>..</v>
          </cell>
          <cell r="AJ223" t="str">
            <v>..</v>
          </cell>
          <cell r="AK223">
            <v>255041862020.96799</v>
          </cell>
          <cell r="AL223">
            <v>271337531572.439</v>
          </cell>
          <cell r="AM223">
            <v>307865870954.73798</v>
          </cell>
          <cell r="AN223">
            <v>388986566787.146</v>
          </cell>
          <cell r="AO223">
            <v>411931174130.216</v>
          </cell>
          <cell r="AP223">
            <v>404421272686.388</v>
          </cell>
          <cell r="AQ223">
            <v>442520440966.81702</v>
          </cell>
          <cell r="AR223">
            <v>427741493510.58801</v>
          </cell>
          <cell r="AS223">
            <v>422002853377.414</v>
          </cell>
          <cell r="AT223">
            <v>462030461265.14099</v>
          </cell>
          <cell r="AU223">
            <v>519363922394.11798</v>
          </cell>
          <cell r="AV223">
            <v>617953194777.12195</v>
          </cell>
          <cell r="AW223">
            <v>735192007913.53198</v>
          </cell>
          <cell r="AX223">
            <v>860869394282.76404</v>
          </cell>
          <cell r="AY223">
            <v>967860308197.58105</v>
          </cell>
          <cell r="AZ223">
            <v>1208113300481.7</v>
          </cell>
          <cell r="BA223">
            <v>1481987385594.3201</v>
          </cell>
          <cell r="BB223">
            <v>1251692758228.26</v>
          </cell>
          <cell r="BC223">
            <v>1270567404247.1599</v>
          </cell>
          <cell r="BD223">
            <v>1392075375642.6001</v>
          </cell>
          <cell r="BE223">
            <v>1305541676621.54</v>
          </cell>
          <cell r="BF223">
            <v>1379620384290.1899</v>
          </cell>
          <cell r="BG223">
            <v>1419245861892.5</v>
          </cell>
          <cell r="BH223">
            <v>1247454004934.9099</v>
          </cell>
          <cell r="BI223">
            <v>1274939889335.6201</v>
          </cell>
          <cell r="BJ223">
            <v>1413731421698.1001</v>
          </cell>
          <cell r="BK223">
            <v>1588669710814.24</v>
          </cell>
          <cell r="BL223">
            <v>1618011075799.77</v>
          </cell>
          <cell r="BM223">
            <v>1610585071424.1299</v>
          </cell>
        </row>
        <row r="224">
          <cell r="B224" t="str">
            <v>EAR</v>
          </cell>
          <cell r="C224" t="str">
            <v>GNI (current US$)</v>
          </cell>
          <cell r="D224" t="str">
            <v>NY.GNP.MKTP.CD</v>
          </cell>
          <cell r="E224" t="str">
            <v>..</v>
          </cell>
          <cell r="F224" t="str">
            <v>..</v>
          </cell>
          <cell r="G224">
            <v>158513300594.255</v>
          </cell>
          <cell r="H224">
            <v>166707040701.492</v>
          </cell>
          <cell r="I224">
            <v>192569632241.35901</v>
          </cell>
          <cell r="J224">
            <v>208840675684.56699</v>
          </cell>
          <cell r="K224">
            <v>203174659131.09299</v>
          </cell>
          <cell r="L224">
            <v>210961065027.57001</v>
          </cell>
          <cell r="M224">
            <v>228860895198.34399</v>
          </cell>
          <cell r="N224">
            <v>255748652856.08499</v>
          </cell>
          <cell r="O224">
            <v>270332496590.07199</v>
          </cell>
          <cell r="P224">
            <v>293852171892.76398</v>
          </cell>
          <cell r="Q224">
            <v>324822305455.25403</v>
          </cell>
          <cell r="R224">
            <v>416169725372.117</v>
          </cell>
          <cell r="S224">
            <v>584417642450.21899</v>
          </cell>
          <cell r="T224">
            <v>628143339041.21106</v>
          </cell>
          <cell r="U224">
            <v>686123436699.00403</v>
          </cell>
          <cell r="V224">
            <v>765830790402.95898</v>
          </cell>
          <cell r="W224">
            <v>845079759297.74402</v>
          </cell>
          <cell r="X224">
            <v>1027885482391.9399</v>
          </cell>
          <cell r="Y224">
            <v>1272402614068</v>
          </cell>
          <cell r="Z224">
            <v>1415130322415.22</v>
          </cell>
          <cell r="AA224">
            <v>1343836330699.6201</v>
          </cell>
          <cell r="AB224">
            <v>1360113377994.02</v>
          </cell>
          <cell r="AC224">
            <v>1345170054551.9399</v>
          </cell>
          <cell r="AD224">
            <v>1388530536894.76</v>
          </cell>
          <cell r="AE224">
            <v>1402056584953.51</v>
          </cell>
          <cell r="AF224">
            <v>1411604669555.8799</v>
          </cell>
          <cell r="AG224">
            <v>1502148309490.6201</v>
          </cell>
          <cell r="AH224">
            <v>1524899255212.6499</v>
          </cell>
          <cell r="AI224">
            <v>1788696517136.1599</v>
          </cell>
          <cell r="AJ224">
            <v>1895798839863.9399</v>
          </cell>
          <cell r="AK224">
            <v>2090004474603.7</v>
          </cell>
          <cell r="AL224">
            <v>2316791339589.1299</v>
          </cell>
          <cell r="AM224">
            <v>2436892735381.5098</v>
          </cell>
          <cell r="AN224">
            <v>2507239452096.71</v>
          </cell>
          <cell r="AO224">
            <v>2728570638212.0498</v>
          </cell>
          <cell r="AP224">
            <v>2919559267510.3198</v>
          </cell>
          <cell r="AQ224">
            <v>2884351597271.3501</v>
          </cell>
          <cell r="AR224">
            <v>3042965996742.8599</v>
          </cell>
          <cell r="AS224">
            <v>3300026283531.6001</v>
          </cell>
          <cell r="AT224">
            <v>3284663293010.3501</v>
          </cell>
          <cell r="AU224">
            <v>3208131419702.9902</v>
          </cell>
          <cell r="AV224">
            <v>3566065320333.7202</v>
          </cell>
          <cell r="AW224">
            <v>4142312092486.6899</v>
          </cell>
          <cell r="AX224">
            <v>4830355274594.3496</v>
          </cell>
          <cell r="AY224">
            <v>5552658303897.1904</v>
          </cell>
          <cell r="AZ224">
            <v>6596084460309.71</v>
          </cell>
          <cell r="BA224">
            <v>7446058465895.25</v>
          </cell>
          <cell r="BB224">
            <v>7181569252662.0996</v>
          </cell>
          <cell r="BC224">
            <v>8694343215924.6104</v>
          </cell>
          <cell r="BD224">
            <v>9538604987813.6309</v>
          </cell>
          <cell r="BE224">
            <v>9979264010275.8809</v>
          </cell>
          <cell r="BF224">
            <v>10122773943774.4</v>
          </cell>
          <cell r="BG224">
            <v>10488884459954</v>
          </cell>
          <cell r="BH224">
            <v>9986572276138.7793</v>
          </cell>
          <cell r="BI224">
            <v>10188484870170.5</v>
          </cell>
          <cell r="BJ224">
            <v>11013890846181.6</v>
          </cell>
          <cell r="BK224">
            <v>11078299614765.301</v>
          </cell>
          <cell r="BL224">
            <v>11381400430014.699</v>
          </cell>
          <cell r="BM224">
            <v>10559900881016.5</v>
          </cell>
        </row>
        <row r="225">
          <cell r="B225" t="str">
            <v>EAS</v>
          </cell>
          <cell r="C225" t="str">
            <v>GNI (current US$)</v>
          </cell>
          <cell r="D225" t="str">
            <v>NY.GNP.MKTP.CD</v>
          </cell>
          <cell r="E225">
            <v>150151926191.013</v>
          </cell>
          <cell r="F225">
            <v>150581549277.73599</v>
          </cell>
          <cell r="G225">
            <v>153430473423.655</v>
          </cell>
          <cell r="H225">
            <v>171090542197.17499</v>
          </cell>
          <cell r="I225">
            <v>196663312064.53601</v>
          </cell>
          <cell r="J225">
            <v>221486184490.95901</v>
          </cell>
          <cell r="K225">
            <v>247877683950.07199</v>
          </cell>
          <cell r="L225">
            <v>268938104590.853</v>
          </cell>
          <cell r="M225">
            <v>297620100494.88</v>
          </cell>
          <cell r="N225">
            <v>342796730968.68701</v>
          </cell>
          <cell r="O225">
            <v>405307850210.54498</v>
          </cell>
          <cell r="P225">
            <v>450466735702.651</v>
          </cell>
          <cell r="Q225">
            <v>559509015302.79004</v>
          </cell>
          <cell r="R225">
            <v>737364423907.37805</v>
          </cell>
          <cell r="S225">
            <v>846999384223.44702</v>
          </cell>
          <cell r="T225">
            <v>928286180711.36206</v>
          </cell>
          <cell r="U225">
            <v>1020308936535.0699</v>
          </cell>
          <cell r="V225">
            <v>1215182550769</v>
          </cell>
          <cell r="W225">
            <v>1534313385728.54</v>
          </cell>
          <cell r="X225">
            <v>1665791134870.28</v>
          </cell>
          <cell r="Y225">
            <v>1795183547109.99</v>
          </cell>
          <cell r="Z225">
            <v>1978931564857.78</v>
          </cell>
          <cell r="AA225">
            <v>1938849928512.1101</v>
          </cell>
          <cell r="AB225">
            <v>2067507220934.6101</v>
          </cell>
          <cell r="AC225">
            <v>2214426614650.1899</v>
          </cell>
          <cell r="AD225">
            <v>2339608796509.3999</v>
          </cell>
          <cell r="AE225">
            <v>3054506949255.0601</v>
          </cell>
          <cell r="AF225">
            <v>3587570208776.3301</v>
          </cell>
          <cell r="AG225">
            <v>4340294236283.6401</v>
          </cell>
          <cell r="AH225">
            <v>4539801245595.6797</v>
          </cell>
          <cell r="AI225">
            <v>4740078758758.4697</v>
          </cell>
          <cell r="AJ225">
            <v>5347557907595.3896</v>
          </cell>
          <cell r="AK225">
            <v>5849658198200.46</v>
          </cell>
          <cell r="AL225">
            <v>6552321532732.0498</v>
          </cell>
          <cell r="AM225">
            <v>7423512263153.3301</v>
          </cell>
          <cell r="AN225">
            <v>8414439545199.9004</v>
          </cell>
          <cell r="AO225">
            <v>8111365804437.71</v>
          </cell>
          <cell r="AP225">
            <v>7759525386069.8799</v>
          </cell>
          <cell r="AQ225">
            <v>6941871533994.75</v>
          </cell>
          <cell r="AR225">
            <v>7754571608345.4297</v>
          </cell>
          <cell r="AS225">
            <v>8399252136303.96</v>
          </cell>
          <cell r="AT225">
            <v>7815161592776.0801</v>
          </cell>
          <cell r="AU225">
            <v>7931504137129.6396</v>
          </cell>
          <cell r="AV225">
            <v>8731117416686.9102</v>
          </cell>
          <cell r="AW225">
            <v>9801556035574.4492</v>
          </cell>
          <cell r="AX225">
            <v>10433379764646.199</v>
          </cell>
          <cell r="AY225">
            <v>11089668924544.801</v>
          </cell>
          <cell r="AZ225">
            <v>12404993380063.4</v>
          </cell>
          <cell r="BA225">
            <v>14305462497682.1</v>
          </cell>
          <cell r="BB225">
            <v>14687632146921.301</v>
          </cell>
          <cell r="BC225">
            <v>17092041316844.4</v>
          </cell>
          <cell r="BD225">
            <v>19784408222231</v>
          </cell>
          <cell r="BE225">
            <v>21204833205582.898</v>
          </cell>
          <cell r="BF225">
            <v>21380102994096.801</v>
          </cell>
          <cell r="BG225">
            <v>22152644004550.102</v>
          </cell>
          <cell r="BH225">
            <v>21998963459397.602</v>
          </cell>
          <cell r="BI225">
            <v>22766643300882.898</v>
          </cell>
          <cell r="BJ225">
            <v>24347655182970.898</v>
          </cell>
          <cell r="BK225">
            <v>26431711877345.102</v>
          </cell>
          <cell r="BL225">
            <v>27039096928836.5</v>
          </cell>
          <cell r="BM225">
            <v>27038514917115</v>
          </cell>
        </row>
        <row r="226">
          <cell r="B226" t="str">
            <v>EAP</v>
          </cell>
          <cell r="C226" t="str">
            <v>GNI (current US$)</v>
          </cell>
          <cell r="D226" t="str">
            <v>NY.GNP.MKTP.CD</v>
          </cell>
          <cell r="E226">
            <v>79692284913.950394</v>
          </cell>
          <cell r="F226">
            <v>70200509508.986298</v>
          </cell>
          <cell r="G226">
            <v>64151750754.881203</v>
          </cell>
          <cell r="H226">
            <v>69488212026.487503</v>
          </cell>
          <cell r="I226">
            <v>80189737339.408493</v>
          </cell>
          <cell r="J226">
            <v>93345277980.454407</v>
          </cell>
          <cell r="K226">
            <v>102097920260.84</v>
          </cell>
          <cell r="L226">
            <v>99141018515.978302</v>
          </cell>
          <cell r="M226">
            <v>100273716855.371</v>
          </cell>
          <cell r="N226">
            <v>112529823677.573</v>
          </cell>
          <cell r="O226">
            <v>124943313017.599</v>
          </cell>
          <cell r="P226">
            <v>134258875100.75101</v>
          </cell>
          <cell r="Q226">
            <v>152043315488.078</v>
          </cell>
          <cell r="R226">
            <v>191100364497.94199</v>
          </cell>
          <cell r="S226">
            <v>215548808794.39499</v>
          </cell>
          <cell r="T226">
            <v>242461296940.67999</v>
          </cell>
          <cell r="U226">
            <v>246455236941.311</v>
          </cell>
          <cell r="V226">
            <v>284163412206.052</v>
          </cell>
          <cell r="W226">
            <v>274803140992.32901</v>
          </cell>
          <cell r="X226">
            <v>317928196009.98102</v>
          </cell>
          <cell r="Y226">
            <v>366615915985.50201</v>
          </cell>
          <cell r="Z226">
            <v>391388725100.086</v>
          </cell>
          <cell r="AA226">
            <v>410654331837.328</v>
          </cell>
          <cell r="AB226">
            <v>430102465577.63397</v>
          </cell>
          <cell r="AC226">
            <v>465363965750.69397</v>
          </cell>
          <cell r="AD226">
            <v>510204898823.34399</v>
          </cell>
          <cell r="AE226">
            <v>496071011955.18597</v>
          </cell>
          <cell r="AF226">
            <v>478717525320.586</v>
          </cell>
          <cell r="AG226">
            <v>546782793422.49701</v>
          </cell>
          <cell r="AH226">
            <v>612751406541.76794</v>
          </cell>
          <cell r="AI226">
            <v>658249848180.60706</v>
          </cell>
          <cell r="AJ226">
            <v>713557071766.12695</v>
          </cell>
          <cell r="AK226">
            <v>798915445279.06396</v>
          </cell>
          <cell r="AL226">
            <v>877562924848.38306</v>
          </cell>
          <cell r="AM226">
            <v>1060134807759.87</v>
          </cell>
          <cell r="AN226">
            <v>1298474956148.0601</v>
          </cell>
          <cell r="AO226">
            <v>1492644645415.99</v>
          </cell>
          <cell r="AP226">
            <v>1548254745280.6001</v>
          </cell>
          <cell r="AQ226">
            <v>1410443636641.27</v>
          </cell>
          <cell r="AR226">
            <v>1551279341764.5601</v>
          </cell>
          <cell r="AS226">
            <v>1705524217782.8999</v>
          </cell>
          <cell r="AT226">
            <v>1818076811472.0701</v>
          </cell>
          <cell r="AU226">
            <v>2018346940320.0801</v>
          </cell>
          <cell r="AV226">
            <v>2286134920551.5601</v>
          </cell>
          <cell r="AW226">
            <v>2657720494413.71</v>
          </cell>
          <cell r="AX226">
            <v>3069158064484.7798</v>
          </cell>
          <cell r="AY226">
            <v>3714960146471.8101</v>
          </cell>
          <cell r="AZ226">
            <v>4715160024638.5498</v>
          </cell>
          <cell r="BA226">
            <v>5984697936434.6797</v>
          </cell>
          <cell r="BB226">
            <v>6456556978642.04</v>
          </cell>
          <cell r="BC226">
            <v>7805875491449.6504</v>
          </cell>
          <cell r="BD226">
            <v>9513939672280.4297</v>
          </cell>
          <cell r="BE226">
            <v>10663270582223.6</v>
          </cell>
          <cell r="BF226">
            <v>11708061919227.801</v>
          </cell>
          <cell r="BG226">
            <v>12724010261138.1</v>
          </cell>
          <cell r="BH226">
            <v>13188843956395</v>
          </cell>
          <cell r="BI226">
            <v>13463175669634.801</v>
          </cell>
          <cell r="BJ226">
            <v>14754863809516.801</v>
          </cell>
          <cell r="BK226">
            <v>16462027218529.6</v>
          </cell>
          <cell r="BL226">
            <v>17045218686132.699</v>
          </cell>
          <cell r="BM226">
            <v>17301357276931.199</v>
          </cell>
        </row>
        <row r="227">
          <cell r="B227" t="str">
            <v>TEA</v>
          </cell>
          <cell r="C227" t="str">
            <v>GNI (current US$)</v>
          </cell>
          <cell r="D227" t="str">
            <v>NY.GNP.MKTP.CD</v>
          </cell>
          <cell r="E227">
            <v>79597297724.559799</v>
          </cell>
          <cell r="F227">
            <v>70116835799.551895</v>
          </cell>
          <cell r="G227">
            <v>64075286709.393303</v>
          </cell>
          <cell r="H227">
            <v>69405387321.896606</v>
          </cell>
          <cell r="I227">
            <v>80094157224.268494</v>
          </cell>
          <cell r="J227">
            <v>93234017453.694199</v>
          </cell>
          <cell r="K227">
            <v>101976227245.02699</v>
          </cell>
          <cell r="L227">
            <v>99022849903.893402</v>
          </cell>
          <cell r="M227">
            <v>100154198152.34801</v>
          </cell>
          <cell r="N227">
            <v>112395696620.164</v>
          </cell>
          <cell r="O227">
            <v>124794390017.71899</v>
          </cell>
          <cell r="P227">
            <v>134098848653.896</v>
          </cell>
          <cell r="Q227">
            <v>151862091330.44</v>
          </cell>
          <cell r="R227">
            <v>190872587285.44501</v>
          </cell>
          <cell r="S227">
            <v>215300345167.69199</v>
          </cell>
          <cell r="T227">
            <v>242201196271.39301</v>
          </cell>
          <cell r="U227">
            <v>246191174806.53101</v>
          </cell>
          <cell r="V227">
            <v>283858723184.54102</v>
          </cell>
          <cell r="W227">
            <v>274500177524.48999</v>
          </cell>
          <cell r="X227">
            <v>317569892243.66199</v>
          </cell>
          <cell r="Y227">
            <v>366197180625.03497</v>
          </cell>
          <cell r="Z227">
            <v>390938104765.25299</v>
          </cell>
          <cell r="AA227">
            <v>410176497799.68103</v>
          </cell>
          <cell r="AB227">
            <v>429594119630.49103</v>
          </cell>
          <cell r="AC227">
            <v>464815378071.02002</v>
          </cell>
          <cell r="AD227">
            <v>509609200849.46698</v>
          </cell>
          <cell r="AE227">
            <v>495491816229.30798</v>
          </cell>
          <cell r="AF227">
            <v>478158590938.43799</v>
          </cell>
          <cell r="AG227">
            <v>546144388336.72998</v>
          </cell>
          <cell r="AH227">
            <v>612035978735.78601</v>
          </cell>
          <cell r="AI227">
            <v>657481297933.89197</v>
          </cell>
          <cell r="AJ227">
            <v>712723946676.82104</v>
          </cell>
          <cell r="AK227">
            <v>797982658641.48206</v>
          </cell>
          <cell r="AL227">
            <v>876538312075.18799</v>
          </cell>
          <cell r="AM227">
            <v>1058897030234.66</v>
          </cell>
          <cell r="AN227">
            <v>1296958900731.3201</v>
          </cell>
          <cell r="AO227">
            <v>1490901884041.01</v>
          </cell>
          <cell r="AP227">
            <v>1546447055434.9399</v>
          </cell>
          <cell r="AQ227">
            <v>1408796850382.3501</v>
          </cell>
          <cell r="AR227">
            <v>1549468120502.3999</v>
          </cell>
          <cell r="AS227">
            <v>1703532905423.3501</v>
          </cell>
          <cell r="AT227">
            <v>1815956462148.3999</v>
          </cell>
          <cell r="AU227">
            <v>2015980680248.01</v>
          </cell>
          <cell r="AV227">
            <v>2283415326995.0098</v>
          </cell>
          <cell r="AW227">
            <v>2654540527657.7002</v>
          </cell>
          <cell r="AX227">
            <v>3065487453361.9502</v>
          </cell>
          <cell r="AY227">
            <v>3710478018476.9302</v>
          </cell>
          <cell r="AZ227">
            <v>4709424298817.9004</v>
          </cell>
          <cell r="BA227">
            <v>5977358790167.5195</v>
          </cell>
          <cell r="BB227">
            <v>6448602180141.4404</v>
          </cell>
          <cell r="BC227">
            <v>7796215009472.4502</v>
          </cell>
          <cell r="BD227">
            <v>9502143664623.0703</v>
          </cell>
          <cell r="BE227">
            <v>10650068088324.4</v>
          </cell>
          <cell r="BF227">
            <v>11693546841633.199</v>
          </cell>
          <cell r="BG227">
            <v>12708228269567.199</v>
          </cell>
          <cell r="BH227">
            <v>13172504457808.9</v>
          </cell>
          <cell r="BI227">
            <v>13446526699322.801</v>
          </cell>
          <cell r="BJ227">
            <v>14736570526585.5</v>
          </cell>
          <cell r="BK227">
            <v>16441580067677.1</v>
          </cell>
          <cell r="BL227">
            <v>17024024810471.1</v>
          </cell>
          <cell r="BM227">
            <v>17279797167646.5</v>
          </cell>
        </row>
        <row r="228">
          <cell r="B228" t="str">
            <v>EMU</v>
          </cell>
          <cell r="C228" t="str">
            <v>GNI (current US$)</v>
          </cell>
          <cell r="D228" t="str">
            <v>NY.GNP.MKTP.CD</v>
          </cell>
          <cell r="E228">
            <v>246924490259.79001</v>
          </cell>
          <cell r="F228">
            <v>271039247456.18399</v>
          </cell>
          <cell r="G228">
            <v>301431504697.29602</v>
          </cell>
          <cell r="H228">
            <v>338171909705.98602</v>
          </cell>
          <cell r="I228">
            <v>376151452687.47101</v>
          </cell>
          <cell r="J228">
            <v>411981749902.33801</v>
          </cell>
          <cell r="K228">
            <v>449189535648.724</v>
          </cell>
          <cell r="L228">
            <v>488048735077.51599</v>
          </cell>
          <cell r="M228">
            <v>523756718816.77301</v>
          </cell>
          <cell r="N228">
            <v>584496008376.29895</v>
          </cell>
          <cell r="O228">
            <v>649576698742.245</v>
          </cell>
          <cell r="P228">
            <v>736138821234.20203</v>
          </cell>
          <cell r="Q228">
            <v>889769986912.05701</v>
          </cell>
          <cell r="R228">
            <v>1154498733727.6399</v>
          </cell>
          <cell r="S228">
            <v>1305636558135.6899</v>
          </cell>
          <cell r="T228">
            <v>1516791711546.5601</v>
          </cell>
          <cell r="U228">
            <v>1581987306016.79</v>
          </cell>
          <cell r="V228">
            <v>1797551359727.79</v>
          </cell>
          <cell r="W228">
            <v>2202747769925.2402</v>
          </cell>
          <cell r="X228">
            <v>2666563912241.3301</v>
          </cell>
          <cell r="Y228">
            <v>2991634614814.6899</v>
          </cell>
          <cell r="Z228">
            <v>2588164563523.6802</v>
          </cell>
          <cell r="AA228">
            <v>2496917494721.8101</v>
          </cell>
          <cell r="AB228">
            <v>2440075747093.71</v>
          </cell>
          <cell r="AC228">
            <v>2341320028842.3301</v>
          </cell>
          <cell r="AD228">
            <v>2408555792790.8701</v>
          </cell>
          <cell r="AE228">
            <v>3392872127370.0298</v>
          </cell>
          <cell r="AF228">
            <v>4207995380975.6099</v>
          </cell>
          <cell r="AG228">
            <v>4627994089080.7695</v>
          </cell>
          <cell r="AH228">
            <v>4721612406168.1699</v>
          </cell>
          <cell r="AI228">
            <v>5930466966112.4004</v>
          </cell>
          <cell r="AJ228">
            <v>6144516144346.2695</v>
          </cell>
          <cell r="AK228">
            <v>6775436847253.1299</v>
          </cell>
          <cell r="AL228">
            <v>6206104951239.5303</v>
          </cell>
          <cell r="AM228">
            <v>6535378159264.6904</v>
          </cell>
          <cell r="AN228">
            <v>7546379582551.71</v>
          </cell>
          <cell r="AO228">
            <v>7640143054549.1299</v>
          </cell>
          <cell r="AP228">
            <v>6975393847686.9102</v>
          </cell>
          <cell r="AQ228">
            <v>7158413916491.8398</v>
          </cell>
          <cell r="AR228">
            <v>7140212035506.9502</v>
          </cell>
          <cell r="AS228">
            <v>6499039026149.0596</v>
          </cell>
          <cell r="AT228">
            <v>6589107607090.9697</v>
          </cell>
          <cell r="AU228">
            <v>7137536852732.4102</v>
          </cell>
          <cell r="AV228">
            <v>8812162276462.1602</v>
          </cell>
          <cell r="AW228">
            <v>10149751860887.801</v>
          </cell>
          <cell r="AX228">
            <v>10528591501769.301</v>
          </cell>
          <cell r="AY228">
            <v>11216542830331.699</v>
          </cell>
          <cell r="AZ228">
            <v>12868496851157.1</v>
          </cell>
          <cell r="BA228">
            <v>14047218561950.5</v>
          </cell>
          <cell r="BB228">
            <v>12926470406292.699</v>
          </cell>
          <cell r="BC228">
            <v>12677140819427.301</v>
          </cell>
          <cell r="BD228">
            <v>13694175155055.301</v>
          </cell>
          <cell r="BE228">
            <v>12730803487916.1</v>
          </cell>
          <cell r="BF228">
            <v>13292875697577.4</v>
          </cell>
          <cell r="BG228">
            <v>13571991518701.301</v>
          </cell>
          <cell r="BH228">
            <v>11691082420800.699</v>
          </cell>
          <cell r="BI228">
            <v>12015541066149.5</v>
          </cell>
          <cell r="BJ228">
            <v>12710217697605.301</v>
          </cell>
          <cell r="BK228">
            <v>13799019720243.301</v>
          </cell>
          <cell r="BL228">
            <v>13498626918870.9</v>
          </cell>
          <cell r="BM228">
            <v>13060402013099.5</v>
          </cell>
        </row>
        <row r="229">
          <cell r="B229" t="str">
            <v>ECS</v>
          </cell>
          <cell r="C229" t="str">
            <v>GNI (current US$)</v>
          </cell>
          <cell r="D229" t="str">
            <v>NY.GNP.MKTP.CD</v>
          </cell>
          <cell r="E229" t="str">
            <v>..</v>
          </cell>
          <cell r="F229" t="str">
            <v>..</v>
          </cell>
          <cell r="G229" t="str">
            <v>..</v>
          </cell>
          <cell r="H229" t="str">
            <v>..</v>
          </cell>
          <cell r="I229" t="str">
            <v>..</v>
          </cell>
          <cell r="J229" t="str">
            <v>..</v>
          </cell>
          <cell r="K229" t="str">
            <v>..</v>
          </cell>
          <cell r="L229" t="str">
            <v>..</v>
          </cell>
          <cell r="M229" t="str">
            <v>..</v>
          </cell>
          <cell r="N229" t="str">
            <v>..</v>
          </cell>
          <cell r="O229">
            <v>1042321425285.29</v>
          </cell>
          <cell r="P229">
            <v>1174668221357.5701</v>
          </cell>
          <cell r="Q229">
            <v>1407139449100.51</v>
          </cell>
          <cell r="R229">
            <v>1784974691265.8101</v>
          </cell>
          <cell r="S229">
            <v>2013520439269.5</v>
          </cell>
          <cell r="T229">
            <v>2359636850239.6499</v>
          </cell>
          <cell r="U229">
            <v>2448804245716.3599</v>
          </cell>
          <cell r="V229">
            <v>2767604096759.7598</v>
          </cell>
          <cell r="W229">
            <v>3379157495157.0698</v>
          </cell>
          <cell r="X229">
            <v>4127798521141.3301</v>
          </cell>
          <cell r="Y229">
            <v>4681418653781.5</v>
          </cell>
          <cell r="Z229">
            <v>4146291213239.8198</v>
          </cell>
          <cell r="AA229">
            <v>3973294289710.4702</v>
          </cell>
          <cell r="AB229">
            <v>3857581494224.5098</v>
          </cell>
          <cell r="AC229">
            <v>3708994039844.6802</v>
          </cell>
          <cell r="AD229">
            <v>3839148539415.02</v>
          </cell>
          <cell r="AE229">
            <v>5245280588948.79</v>
          </cell>
          <cell r="AF229">
            <v>6485764151954.8301</v>
          </cell>
          <cell r="AG229">
            <v>7224626085470.3096</v>
          </cell>
          <cell r="AH229">
            <v>7301435664201.6104</v>
          </cell>
          <cell r="AI229">
            <v>8894281463557.3398</v>
          </cell>
          <cell r="AJ229">
            <v>9191469818789.6602</v>
          </cell>
          <cell r="AK229">
            <v>9889548747855.6992</v>
          </cell>
          <cell r="AL229">
            <v>9068294695636.6309</v>
          </cell>
          <cell r="AM229">
            <v>9479306337621.4902</v>
          </cell>
          <cell r="AN229">
            <v>10831674518435.1</v>
          </cell>
          <cell r="AO229">
            <v>11050901671911.6</v>
          </cell>
          <cell r="AP229">
            <v>10491764934939</v>
          </cell>
          <cell r="AQ229">
            <v>10782436053164</v>
          </cell>
          <cell r="AR229">
            <v>10674137537103.1</v>
          </cell>
          <cell r="AS229">
            <v>10057834075498.199</v>
          </cell>
          <cell r="AT229">
            <v>10149344631361.5</v>
          </cell>
          <cell r="AU229">
            <v>11071120122792.9</v>
          </cell>
          <cell r="AV229">
            <v>13494078804929</v>
          </cell>
          <cell r="AW229">
            <v>15759761288038.9</v>
          </cell>
          <cell r="AX229">
            <v>16805620540853.699</v>
          </cell>
          <cell r="AY229">
            <v>18175059582330.301</v>
          </cell>
          <cell r="AZ229">
            <v>21125406449351.801</v>
          </cell>
          <cell r="BA229">
            <v>23081087410318.301</v>
          </cell>
          <cell r="BB229">
            <v>20439796324315.301</v>
          </cell>
          <cell r="BC229">
            <v>20989299496803.102</v>
          </cell>
          <cell r="BD229">
            <v>23246118754609.199</v>
          </cell>
          <cell r="BE229">
            <v>22409287310094.199</v>
          </cell>
          <cell r="BF229">
            <v>23401616451795.102</v>
          </cell>
          <cell r="BG229">
            <v>23701431414794.801</v>
          </cell>
          <cell r="BH229">
            <v>20395400199405.801</v>
          </cell>
          <cell r="BI229">
            <v>20346140983575.5</v>
          </cell>
          <cell r="BJ229">
            <v>21578353105833.5</v>
          </cell>
          <cell r="BK229">
            <v>23158184547026.898</v>
          </cell>
          <cell r="BL229">
            <v>22868885410779.699</v>
          </cell>
          <cell r="BM229">
            <v>22042432508882.898</v>
          </cell>
        </row>
        <row r="230">
          <cell r="B230" t="str">
            <v>ECA</v>
          </cell>
          <cell r="C230" t="str">
            <v>GNI (current US$)</v>
          </cell>
          <cell r="D230" t="str">
            <v>NY.GNP.MKTP.CD</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t="str">
            <v>..</v>
          </cell>
          <cell r="AF230" t="str">
            <v>..</v>
          </cell>
          <cell r="AG230">
            <v>920485610221.63306</v>
          </cell>
          <cell r="AH230">
            <v>873711738651.53699</v>
          </cell>
          <cell r="AI230">
            <v>926369646919.94299</v>
          </cell>
          <cell r="AJ230">
            <v>899724658404.65002</v>
          </cell>
          <cell r="AK230">
            <v>824974019107.21301</v>
          </cell>
          <cell r="AL230">
            <v>814527718157.31897</v>
          </cell>
          <cell r="AM230">
            <v>708149507729.677</v>
          </cell>
          <cell r="AN230">
            <v>758451493244.58606</v>
          </cell>
          <cell r="AO230">
            <v>759316038075.401</v>
          </cell>
          <cell r="AP230">
            <v>783565171354.29395</v>
          </cell>
          <cell r="AQ230">
            <v>731585316319.17004</v>
          </cell>
          <cell r="AR230">
            <v>615454567759.974</v>
          </cell>
          <cell r="AS230">
            <v>685795753385.01697</v>
          </cell>
          <cell r="AT230">
            <v>683247225256.70898</v>
          </cell>
          <cell r="AU230">
            <v>782595846945.52405</v>
          </cell>
          <cell r="AV230">
            <v>981541300136.98096</v>
          </cell>
          <cell r="AW230">
            <v>1304878637091.6001</v>
          </cell>
          <cell r="AX230">
            <v>1650961396342.78</v>
          </cell>
          <cell r="AY230">
            <v>2015682406214.8201</v>
          </cell>
          <cell r="AZ230">
            <v>2613800876850.3101</v>
          </cell>
          <cell r="BA230">
            <v>3231056886224.1802</v>
          </cell>
          <cell r="BB230">
            <v>2537956888504.0498</v>
          </cell>
          <cell r="BC230">
            <v>3033713922391.79</v>
          </cell>
          <cell r="BD230">
            <v>3738485124061.2202</v>
          </cell>
          <cell r="BE230">
            <v>3971029520476.0498</v>
          </cell>
          <cell r="BF230">
            <v>4214394073278.9399</v>
          </cell>
          <cell r="BG230">
            <v>3938109353855.02</v>
          </cell>
          <cell r="BH230">
            <v>3035762129467.4399</v>
          </cell>
          <cell r="BI230">
            <v>2898302183255.98</v>
          </cell>
          <cell r="BJ230">
            <v>3249620627465.0498</v>
          </cell>
          <cell r="BK230">
            <v>3337611026795.4199</v>
          </cell>
          <cell r="BL230">
            <v>3393827564282.04</v>
          </cell>
          <cell r="BM230">
            <v>3156828114644.0098</v>
          </cell>
        </row>
        <row r="231">
          <cell r="B231" t="str">
            <v>TEC</v>
          </cell>
          <cell r="C231" t="str">
            <v>GNI (current US$)</v>
          </cell>
          <cell r="D231" t="str">
            <v>NY.GNP.MKTP.CD</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v>943987018645.828</v>
          </cell>
          <cell r="AI231">
            <v>1000880361879.53</v>
          </cell>
          <cell r="AJ231">
            <v>999527328970.06201</v>
          </cell>
          <cell r="AK231">
            <v>934570853932.24097</v>
          </cell>
          <cell r="AL231">
            <v>926574158084.229</v>
          </cell>
          <cell r="AM231">
            <v>835803485518.89502</v>
          </cell>
          <cell r="AN231">
            <v>920979372893.59705</v>
          </cell>
          <cell r="AO231">
            <v>942609032152.31299</v>
          </cell>
          <cell r="AP231">
            <v>965853783472.53601</v>
          </cell>
          <cell r="AQ231">
            <v>930774777175.21594</v>
          </cell>
          <cell r="AR231">
            <v>807787329970.01099</v>
          </cell>
          <cell r="AS231">
            <v>878818096333.099</v>
          </cell>
          <cell r="AT231">
            <v>896456548460.63696</v>
          </cell>
          <cell r="AU231">
            <v>1007729832442.01</v>
          </cell>
          <cell r="AV231">
            <v>1231183267593.5701</v>
          </cell>
          <cell r="AW231">
            <v>1593161940674.3301</v>
          </cell>
          <cell r="AX231">
            <v>1996433396077.6299</v>
          </cell>
          <cell r="AY231">
            <v>2402538962790.4302</v>
          </cell>
          <cell r="AZ231">
            <v>3087461464258.4702</v>
          </cell>
          <cell r="BA231">
            <v>3823606762941.0898</v>
          </cell>
          <cell r="BB231">
            <v>3025136658723.6899</v>
          </cell>
          <cell r="BC231">
            <v>3554833460905.2402</v>
          </cell>
          <cell r="BD231">
            <v>4308884728405.1602</v>
          </cell>
          <cell r="BE231">
            <v>4506158476983.8496</v>
          </cell>
          <cell r="BF231">
            <v>4775527621938.96</v>
          </cell>
          <cell r="BG231">
            <v>4517398868357.8701</v>
          </cell>
          <cell r="BH231">
            <v>3546015505949.5898</v>
          </cell>
          <cell r="BI231">
            <v>3403073438859.7202</v>
          </cell>
          <cell r="BJ231">
            <v>3809684698145.4702</v>
          </cell>
          <cell r="BK231">
            <v>3962095491692.6099</v>
          </cell>
          <cell r="BL231">
            <v>4027941495141.5601</v>
          </cell>
          <cell r="BM231">
            <v>3789700382472.9902</v>
          </cell>
        </row>
        <row r="232">
          <cell r="B232" t="str">
            <v>EUU</v>
          </cell>
          <cell r="C232" t="str">
            <v>GNI (current US$)</v>
          </cell>
          <cell r="D232" t="str">
            <v>NY.GNP.MKTP.CD</v>
          </cell>
          <cell r="E232" t="str">
            <v>..</v>
          </cell>
          <cell r="F232" t="str">
            <v>..</v>
          </cell>
          <cell r="G232" t="str">
            <v>..</v>
          </cell>
          <cell r="H232" t="str">
            <v>..</v>
          </cell>
          <cell r="I232" t="str">
            <v>..</v>
          </cell>
          <cell r="J232" t="str">
            <v>..</v>
          </cell>
          <cell r="K232" t="str">
            <v>..</v>
          </cell>
          <cell r="L232" t="str">
            <v>..</v>
          </cell>
          <cell r="M232" t="str">
            <v>..</v>
          </cell>
          <cell r="N232" t="str">
            <v>..</v>
          </cell>
          <cell r="O232">
            <v>730726470316.91296</v>
          </cell>
          <cell r="P232">
            <v>826134927406.37695</v>
          </cell>
          <cell r="Q232">
            <v>997443608731.17004</v>
          </cell>
          <cell r="R232">
            <v>1290981898155.8401</v>
          </cell>
          <cell r="S232">
            <v>1457850828633.3799</v>
          </cell>
          <cell r="T232">
            <v>1701248479076.53</v>
          </cell>
          <cell r="U232">
            <v>1779929434642.0701</v>
          </cell>
          <cell r="V232">
            <v>2014000447760.1699</v>
          </cell>
          <cell r="W232">
            <v>2455340765602.9302</v>
          </cell>
          <cell r="X232">
            <v>2965669378302.6201</v>
          </cell>
          <cell r="Y232">
            <v>3322403555296.8101</v>
          </cell>
          <cell r="Z232">
            <v>2883297773443.04</v>
          </cell>
          <cell r="AA232">
            <v>2770353587397.3901</v>
          </cell>
          <cell r="AB232">
            <v>2699384113412.8999</v>
          </cell>
          <cell r="AC232">
            <v>2601437591936.5601</v>
          </cell>
          <cell r="AD232">
            <v>2678783292443.0898</v>
          </cell>
          <cell r="AE232">
            <v>3759933822118.6499</v>
          </cell>
          <cell r="AF232">
            <v>4663911881310.3301</v>
          </cell>
          <cell r="AG232">
            <v>5120926753780.6699</v>
          </cell>
          <cell r="AH232">
            <v>5223763992669.6602</v>
          </cell>
          <cell r="AI232">
            <v>6521292980701.5801</v>
          </cell>
          <cell r="AJ232">
            <v>6750040384565.1299</v>
          </cell>
          <cell r="AK232">
            <v>7412439321397.75</v>
          </cell>
          <cell r="AL232">
            <v>6769848925474.5</v>
          </cell>
          <cell r="AM232">
            <v>7160901370630.54</v>
          </cell>
          <cell r="AN232">
            <v>8305120813791.3799</v>
          </cell>
          <cell r="AO232">
            <v>8445818466144.9004</v>
          </cell>
          <cell r="AP232">
            <v>7737269536495.5303</v>
          </cell>
          <cell r="AQ232">
            <v>7960986582097.0195</v>
          </cell>
          <cell r="AR232">
            <v>7937401295336.04</v>
          </cell>
          <cell r="AS232">
            <v>7268149502676.3701</v>
          </cell>
          <cell r="AT232">
            <v>7375880247751.5703</v>
          </cell>
          <cell r="AU232">
            <v>8010021774208.6699</v>
          </cell>
          <cell r="AV232">
            <v>9870252342306.9102</v>
          </cell>
          <cell r="AW232">
            <v>11384296944669.9</v>
          </cell>
          <cell r="AX232">
            <v>11899563720893.9</v>
          </cell>
          <cell r="AY232">
            <v>12730370829214.801</v>
          </cell>
          <cell r="AZ232">
            <v>14683655581690.1</v>
          </cell>
          <cell r="BA232">
            <v>16164428599585.6</v>
          </cell>
          <cell r="BB232">
            <v>14725647857238</v>
          </cell>
          <cell r="BC232">
            <v>14568199136649</v>
          </cell>
          <cell r="BD232">
            <v>15784677428602</v>
          </cell>
          <cell r="BE232">
            <v>14705687606286.199</v>
          </cell>
          <cell r="BF232">
            <v>15381117991748.1</v>
          </cell>
          <cell r="BG232">
            <v>15696671773400.9</v>
          </cell>
          <cell r="BH232">
            <v>13541853352974.801</v>
          </cell>
          <cell r="BI232">
            <v>13905861837091.4</v>
          </cell>
          <cell r="BJ232">
            <v>14770231130906.301</v>
          </cell>
          <cell r="BK232">
            <v>16047017505803.4</v>
          </cell>
          <cell r="BL232">
            <v>15749511192412</v>
          </cell>
          <cell r="BM232">
            <v>15320676802746.801</v>
          </cell>
        </row>
        <row r="233">
          <cell r="B233" t="str">
            <v>FCS</v>
          </cell>
          <cell r="C233" t="str">
            <v>GNI (current US$)</v>
          </cell>
          <cell r="D233" t="str">
            <v>NY.GNP.MKTP.CD</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v>315008018971.21997</v>
          </cell>
          <cell r="Z233">
            <v>454646673702.37903</v>
          </cell>
          <cell r="AA233">
            <v>428529747789.98499</v>
          </cell>
          <cell r="AB233">
            <v>358867031838.35498</v>
          </cell>
          <cell r="AC233">
            <v>322738022019.11798</v>
          </cell>
          <cell r="AD233">
            <v>334186459642.97699</v>
          </cell>
          <cell r="AE233">
            <v>317800754759.5</v>
          </cell>
          <cell r="AF233">
            <v>320985386507.133</v>
          </cell>
          <cell r="AG233">
            <v>341607257962.43201</v>
          </cell>
          <cell r="AH233">
            <v>310334645805.02399</v>
          </cell>
          <cell r="AI233">
            <v>499780681733.23901</v>
          </cell>
          <cell r="AJ233">
            <v>253591179364.603</v>
          </cell>
          <cell r="AK233">
            <v>247871122512.94901</v>
          </cell>
          <cell r="AL233">
            <v>227674595115.879</v>
          </cell>
          <cell r="AM233">
            <v>228058741666.79999</v>
          </cell>
          <cell r="AN233">
            <v>291434348069.70203</v>
          </cell>
          <cell r="AO233">
            <v>296348284349.59601</v>
          </cell>
          <cell r="AP233">
            <v>342434411555.901</v>
          </cell>
          <cell r="AQ233">
            <v>348080232227.57599</v>
          </cell>
          <cell r="AR233">
            <v>390223410546.35797</v>
          </cell>
          <cell r="AS233">
            <v>463224947900.08698</v>
          </cell>
          <cell r="AT233">
            <v>460472904940.38898</v>
          </cell>
          <cell r="AU233">
            <v>455504040346.383</v>
          </cell>
          <cell r="AV233">
            <v>469197104748.24701</v>
          </cell>
          <cell r="AW233">
            <v>594194131817.36499</v>
          </cell>
          <cell r="AX233">
            <v>740827021624.20703</v>
          </cell>
          <cell r="AY233">
            <v>936581010474.47095</v>
          </cell>
          <cell r="AZ233">
            <v>1143884713726.6399</v>
          </cell>
          <cell r="BA233">
            <v>1468327485634.54</v>
          </cell>
          <cell r="BB233">
            <v>1399491595679.6699</v>
          </cell>
          <cell r="BC233">
            <v>1632675599483.8101</v>
          </cell>
          <cell r="BD233">
            <v>1484145336502.0901</v>
          </cell>
          <cell r="BE233">
            <v>1692794419112.74</v>
          </cell>
          <cell r="BF233">
            <v>1753511565834.25</v>
          </cell>
          <cell r="BG233">
            <v>1921787359908.6699</v>
          </cell>
          <cell r="BH233">
            <v>1531807912173.46</v>
          </cell>
          <cell r="BI233">
            <v>1387778550306.0801</v>
          </cell>
          <cell r="BJ233">
            <v>1416885336649.4299</v>
          </cell>
          <cell r="BK233">
            <v>1538328407858.03</v>
          </cell>
          <cell r="BL233">
            <v>1630760293819.05</v>
          </cell>
          <cell r="BM233">
            <v>1475536420202.01</v>
          </cell>
        </row>
        <row r="234">
          <cell r="B234" t="str">
            <v>HPC</v>
          </cell>
          <cell r="C234" t="str">
            <v>GNI (current US$)</v>
          </cell>
          <cell r="D234" t="str">
            <v>NY.GNP.MKTP.CD</v>
          </cell>
          <cell r="E234" t="str">
            <v>..</v>
          </cell>
          <cell r="F234" t="str">
            <v>..</v>
          </cell>
          <cell r="G234" t="str">
            <v>..</v>
          </cell>
          <cell r="H234" t="str">
            <v>..</v>
          </cell>
          <cell r="I234" t="str">
            <v>..</v>
          </cell>
          <cell r="J234" t="str">
            <v>..</v>
          </cell>
          <cell r="K234" t="str">
            <v>..</v>
          </cell>
          <cell r="L234" t="str">
            <v>..</v>
          </cell>
          <cell r="M234" t="str">
            <v>..</v>
          </cell>
          <cell r="N234" t="str">
            <v>..</v>
          </cell>
          <cell r="O234" t="str">
            <v>..</v>
          </cell>
          <cell r="P234" t="str">
            <v>..</v>
          </cell>
          <cell r="Q234" t="str">
            <v>..</v>
          </cell>
          <cell r="R234" t="str">
            <v>..</v>
          </cell>
          <cell r="S234" t="str">
            <v>..</v>
          </cell>
          <cell r="T234" t="str">
            <v>..</v>
          </cell>
          <cell r="U234">
            <v>58609695074.585403</v>
          </cell>
          <cell r="V234">
            <v>67566518254.747002</v>
          </cell>
          <cell r="W234">
            <v>77127129570.815094</v>
          </cell>
          <cell r="X234">
            <v>88636493525.252594</v>
          </cell>
          <cell r="Y234">
            <v>95094481301.926193</v>
          </cell>
          <cell r="Z234">
            <v>96130152789.122498</v>
          </cell>
          <cell r="AA234">
            <v>95388984069.529999</v>
          </cell>
          <cell r="AB234">
            <v>92427337103.861893</v>
          </cell>
          <cell r="AC234">
            <v>96048661656.127197</v>
          </cell>
          <cell r="AD234">
            <v>102094906106.214</v>
          </cell>
          <cell r="AE234">
            <v>119079076139.49699</v>
          </cell>
          <cell r="AF234">
            <v>134521248446.269</v>
          </cell>
          <cell r="AG234">
            <v>131491239490.853</v>
          </cell>
          <cell r="AH234">
            <v>125548896748.746</v>
          </cell>
          <cell r="AI234">
            <v>130790767136.213</v>
          </cell>
          <cell r="AJ234">
            <v>131107344686.489</v>
          </cell>
          <cell r="AK234">
            <v>123704221471.526</v>
          </cell>
          <cell r="AL234">
            <v>126329067756.14</v>
          </cell>
          <cell r="AM234">
            <v>111041603195.72099</v>
          </cell>
          <cell r="AN234">
            <v>129590777102.22701</v>
          </cell>
          <cell r="AO234">
            <v>136152290241.8</v>
          </cell>
          <cell r="AP234">
            <v>142507991229.23901</v>
          </cell>
          <cell r="AQ234">
            <v>151417280065.189</v>
          </cell>
          <cell r="AR234">
            <v>152428844156.013</v>
          </cell>
          <cell r="AS234">
            <v>165758966120.31201</v>
          </cell>
          <cell r="AT234">
            <v>160195871059.32599</v>
          </cell>
          <cell r="AU234">
            <v>172819668231.08899</v>
          </cell>
          <cell r="AV234">
            <v>196063125723.939</v>
          </cell>
          <cell r="AW234">
            <v>226040608711.37799</v>
          </cell>
          <cell r="AX234">
            <v>261684147121.63901</v>
          </cell>
          <cell r="AY234">
            <v>310621783962.18597</v>
          </cell>
          <cell r="AZ234">
            <v>372491943388.26501</v>
          </cell>
          <cell r="BA234">
            <v>445041297813.85101</v>
          </cell>
          <cell r="BB234">
            <v>446522521405.54102</v>
          </cell>
          <cell r="BC234">
            <v>480979253618.03101</v>
          </cell>
          <cell r="BD234">
            <v>532655590267.48999</v>
          </cell>
          <cell r="BE234">
            <v>554491669921.46204</v>
          </cell>
          <cell r="BF234">
            <v>619425540287.50403</v>
          </cell>
          <cell r="BG234">
            <v>657215183427.88794</v>
          </cell>
          <cell r="BH234">
            <v>645386719553.13403</v>
          </cell>
          <cell r="BI234">
            <v>654289032618.099</v>
          </cell>
          <cell r="BJ234">
            <v>700999434301.46301</v>
          </cell>
          <cell r="BK234">
            <v>747737443693.03296</v>
          </cell>
          <cell r="BL234">
            <v>770413208385.104</v>
          </cell>
          <cell r="BM234">
            <v>780110064246.94104</v>
          </cell>
        </row>
        <row r="235">
          <cell r="B235" t="str">
            <v>HIC</v>
          </cell>
          <cell r="C235" t="str">
            <v>GNI (current US$)</v>
          </cell>
          <cell r="D235" t="str">
            <v>NY.GNP.MKTP.CD</v>
          </cell>
          <cell r="E235">
            <v>1049304864823.28</v>
          </cell>
          <cell r="F235">
            <v>1113146192063.0801</v>
          </cell>
          <cell r="G235">
            <v>1208271327790.8501</v>
          </cell>
          <cell r="H235">
            <v>1302952296126.74</v>
          </cell>
          <cell r="I235">
            <v>1422048770656.77</v>
          </cell>
          <cell r="J235">
            <v>1547365722168.72</v>
          </cell>
          <cell r="K235">
            <v>1698967484334.8501</v>
          </cell>
          <cell r="L235">
            <v>1826886975342.25</v>
          </cell>
          <cell r="M235">
            <v>2001541019387.6899</v>
          </cell>
          <cell r="N235">
            <v>2203558795652.3799</v>
          </cell>
          <cell r="O235">
            <v>2399111637564.02</v>
          </cell>
          <cell r="P235">
            <v>2658426486702.77</v>
          </cell>
          <cell r="Q235">
            <v>3088268841918.6802</v>
          </cell>
          <cell r="R235">
            <v>3739296407260.29</v>
          </cell>
          <cell r="S235">
            <v>4215179865423.54</v>
          </cell>
          <cell r="T235">
            <v>4703034710101.3799</v>
          </cell>
          <cell r="U235">
            <v>5114381487367.0498</v>
          </cell>
          <cell r="V235">
            <v>5786206109913.7998</v>
          </cell>
          <cell r="W235">
            <v>6934034100017.46</v>
          </cell>
          <cell r="X235">
            <v>7996191040169.9902</v>
          </cell>
          <cell r="Y235">
            <v>8926188818907.25</v>
          </cell>
          <cell r="Z235">
            <v>9062882554307.0293</v>
          </cell>
          <cell r="AA235">
            <v>9005077096668.1094</v>
          </cell>
          <cell r="AB235">
            <v>9277461100724.3691</v>
          </cell>
          <cell r="AC235">
            <v>9702684771242.6699</v>
          </cell>
          <cell r="AD235">
            <v>10173376187585.1</v>
          </cell>
          <cell r="AE235">
            <v>12329773439972.9</v>
          </cell>
          <cell r="AF235">
            <v>14334886396045.4</v>
          </cell>
          <cell r="AG235">
            <v>16216426731008.6</v>
          </cell>
          <cell r="AH235">
            <v>16894118985335.801</v>
          </cell>
          <cell r="AI235">
            <v>18900389209625.801</v>
          </cell>
          <cell r="AJ235">
            <v>20013552304344.699</v>
          </cell>
          <cell r="AK235">
            <v>21532034794708.801</v>
          </cell>
          <cell r="AL235">
            <v>21696988287547.301</v>
          </cell>
          <cell r="AM235">
            <v>23378349474710.102</v>
          </cell>
          <cell r="AN235">
            <v>25908420774416.5</v>
          </cell>
          <cell r="AO235">
            <v>26163288456820.801</v>
          </cell>
          <cell r="AP235">
            <v>25777018573415.898</v>
          </cell>
          <cell r="AQ235">
            <v>25939817024258.699</v>
          </cell>
          <cell r="AR235">
            <v>27253771919784.898</v>
          </cell>
          <cell r="AS235">
            <v>27901542620869.602</v>
          </cell>
          <cell r="AT235">
            <v>27638512937779</v>
          </cell>
          <cell r="AU235">
            <v>28697181081453.602</v>
          </cell>
          <cell r="AV235">
            <v>32126432370527.801</v>
          </cell>
          <cell r="AW235">
            <v>35807086761014.102</v>
          </cell>
          <cell r="AX235">
            <v>37909851084728.703</v>
          </cell>
          <cell r="AY235">
            <v>40161397258482.797</v>
          </cell>
          <cell r="AZ235">
            <v>43637646248572.898</v>
          </cell>
          <cell r="BA235">
            <v>46163719512389.898</v>
          </cell>
          <cell r="BB235">
            <v>43394348655877.797</v>
          </cell>
          <cell r="BC235">
            <v>45743154511830.797</v>
          </cell>
          <cell r="BD235">
            <v>49510658582224.203</v>
          </cell>
          <cell r="BE235">
            <v>49735426606357.203</v>
          </cell>
          <cell r="BF235">
            <v>50261669214443.797</v>
          </cell>
          <cell r="BG235">
            <v>51443570481037.297</v>
          </cell>
          <cell r="BH235">
            <v>48519651091258.602</v>
          </cell>
          <cell r="BI235">
            <v>49438259946028.703</v>
          </cell>
          <cell r="BJ235">
            <v>51771694164527</v>
          </cell>
          <cell r="BK235">
            <v>54979693317560.102</v>
          </cell>
          <cell r="BL235">
            <v>55443559310600.703</v>
          </cell>
          <cell r="BM235">
            <v>53844070686539.898</v>
          </cell>
        </row>
        <row r="236">
          <cell r="B236" t="str">
            <v>IBD</v>
          </cell>
          <cell r="C236" t="str">
            <v>GNI (current US$)</v>
          </cell>
          <cell r="D236" t="str">
            <v>NY.GNP.MKTP.CD</v>
          </cell>
          <cell r="E236">
            <v>327576368712.08698</v>
          </cell>
          <cell r="F236">
            <v>321028636373.48199</v>
          </cell>
          <cell r="G236">
            <v>323687300581.13397</v>
          </cell>
          <cell r="H236">
            <v>341128162609.86499</v>
          </cell>
          <cell r="I236">
            <v>395913805825.22302</v>
          </cell>
          <cell r="J236">
            <v>435800022093.93903</v>
          </cell>
          <cell r="K236">
            <v>438453779005.51703</v>
          </cell>
          <cell r="L236">
            <v>448363573020.763</v>
          </cell>
          <cell r="M236">
            <v>473377871634.60101</v>
          </cell>
          <cell r="N236">
            <v>530212999617.25201</v>
          </cell>
          <cell r="O236">
            <v>575103369993.04004</v>
          </cell>
          <cell r="P236">
            <v>629916101545.672</v>
          </cell>
          <cell r="Q236">
            <v>708625872050.01099</v>
          </cell>
          <cell r="R236">
            <v>912474286285.67395</v>
          </cell>
          <cell r="S236">
            <v>1144695676313.03</v>
          </cell>
          <cell r="T236">
            <v>1233860661073.1201</v>
          </cell>
          <cell r="U236">
            <v>1336981345855.8101</v>
          </cell>
          <cell r="V236">
            <v>1513778887253.5</v>
          </cell>
          <cell r="W236">
            <v>1624754310888.1399</v>
          </cell>
          <cell r="X236">
            <v>1933039133632.23</v>
          </cell>
          <cell r="Y236">
            <v>2261343663564.23</v>
          </cell>
          <cell r="Z236">
            <v>2435290254651.1099</v>
          </cell>
          <cell r="AA236">
            <v>2397695887907.1201</v>
          </cell>
          <cell r="AB236">
            <v>2367458225218.1201</v>
          </cell>
          <cell r="AC236">
            <v>2420012684148.9302</v>
          </cell>
          <cell r="AD236">
            <v>2560202291749.0498</v>
          </cell>
          <cell r="AE236">
            <v>2650737327156.8398</v>
          </cell>
          <cell r="AF236">
            <v>2699797721207.75</v>
          </cell>
          <cell r="AG236">
            <v>2929256279662.29</v>
          </cell>
          <cell r="AH236">
            <v>3006167767365.5898</v>
          </cell>
          <cell r="AI236">
            <v>3429824101503.48</v>
          </cell>
          <cell r="AJ236">
            <v>3329651093228.3799</v>
          </cell>
          <cell r="AK236">
            <v>3528237376942.02</v>
          </cell>
          <cell r="AL236">
            <v>3824566526090.5498</v>
          </cell>
          <cell r="AM236">
            <v>4247726476278.1401</v>
          </cell>
          <cell r="AN236">
            <v>4817755348780.7002</v>
          </cell>
          <cell r="AO236">
            <v>5250039507315.1201</v>
          </cell>
          <cell r="AP236">
            <v>5563533428503.5098</v>
          </cell>
          <cell r="AQ236">
            <v>5392016242167.8896</v>
          </cell>
          <cell r="AR236">
            <v>5244919433069.3301</v>
          </cell>
          <cell r="AS236">
            <v>5718136443956.7002</v>
          </cell>
          <cell r="AT236">
            <v>5800087384523.8701</v>
          </cell>
          <cell r="AU236">
            <v>5907086826271.1104</v>
          </cell>
          <cell r="AV236">
            <v>6631993058360.7197</v>
          </cell>
          <cell r="AW236">
            <v>7897540618423.3604</v>
          </cell>
          <cell r="AX236">
            <v>9423488879326.8398</v>
          </cell>
          <cell r="AY236">
            <v>11208968137405.9</v>
          </cell>
          <cell r="AZ236">
            <v>13964245011664.5</v>
          </cell>
          <cell r="BA236">
            <v>16788837290234.301</v>
          </cell>
          <cell r="BB236">
            <v>16274789376241.4</v>
          </cell>
          <cell r="BC236">
            <v>19709495902215.801</v>
          </cell>
          <cell r="BD236">
            <v>23233749024549.898</v>
          </cell>
          <cell r="BE236">
            <v>24764855753138.5</v>
          </cell>
          <cell r="BF236">
            <v>26118997248575.898</v>
          </cell>
          <cell r="BG236">
            <v>27130916645158.5</v>
          </cell>
          <cell r="BH236">
            <v>25432261860122.102</v>
          </cell>
          <cell r="BI236">
            <v>25605718774731.301</v>
          </cell>
          <cell r="BJ236">
            <v>28313934839418.102</v>
          </cell>
          <cell r="BK236">
            <v>30020796069100.301</v>
          </cell>
          <cell r="BL236">
            <v>30741399797146.699</v>
          </cell>
          <cell r="BM236">
            <v>29488414516879.801</v>
          </cell>
        </row>
        <row r="237">
          <cell r="B237" t="str">
            <v>IBT</v>
          </cell>
          <cell r="C237" t="str">
            <v>GNI (current US$)</v>
          </cell>
          <cell r="D237" t="str">
            <v>NY.GNP.MKTP.CD</v>
          </cell>
          <cell r="E237">
            <v>361048104577.05402</v>
          </cell>
          <cell r="F237">
            <v>356978870692.77399</v>
          </cell>
          <cell r="G237">
            <v>362118102411.40601</v>
          </cell>
          <cell r="H237">
            <v>382080900397.41602</v>
          </cell>
          <cell r="I237">
            <v>439983415400.75897</v>
          </cell>
          <cell r="J237">
            <v>484796764633.74402</v>
          </cell>
          <cell r="K237">
            <v>491799231554.60101</v>
          </cell>
          <cell r="L237">
            <v>502731246248.03198</v>
          </cell>
          <cell r="M237">
            <v>530239958079.10303</v>
          </cell>
          <cell r="N237">
            <v>593080006901.16602</v>
          </cell>
          <cell r="O237">
            <v>650781419610.94397</v>
          </cell>
          <cell r="P237">
            <v>704835649917.08398</v>
          </cell>
          <cell r="Q237">
            <v>790131278512.82202</v>
          </cell>
          <cell r="R237">
            <v>1004494536781.04</v>
          </cell>
          <cell r="S237">
            <v>1270875922665.46</v>
          </cell>
          <cell r="T237">
            <v>1386986844350.54</v>
          </cell>
          <cell r="U237">
            <v>1495995585500.5701</v>
          </cell>
          <cell r="V237">
            <v>1685476909657.47</v>
          </cell>
          <cell r="W237">
            <v>1818123564223.8799</v>
          </cell>
          <cell r="X237">
            <v>2161997577794.8301</v>
          </cell>
          <cell r="Y237">
            <v>2530619539653.0298</v>
          </cell>
          <cell r="Z237">
            <v>2853614921956.0698</v>
          </cell>
          <cell r="AA237">
            <v>2788162547008.5098</v>
          </cell>
          <cell r="AB237">
            <v>2688619644507.9199</v>
          </cell>
          <cell r="AC237">
            <v>2716051511973.27</v>
          </cell>
          <cell r="AD237">
            <v>2867547774760.3501</v>
          </cell>
          <cell r="AE237">
            <v>2956074855793.3799</v>
          </cell>
          <cell r="AF237">
            <v>3025044855562.98</v>
          </cell>
          <cell r="AG237">
            <v>3261571351102.7798</v>
          </cell>
          <cell r="AH237">
            <v>3331527068861.5898</v>
          </cell>
          <cell r="AI237">
            <v>3782977692410.8301</v>
          </cell>
          <cell r="AJ237">
            <v>3680832341938.8301</v>
          </cell>
          <cell r="AK237">
            <v>3876968554444.2998</v>
          </cell>
          <cell r="AL237">
            <v>4160895979051.9399</v>
          </cell>
          <cell r="AM237">
            <v>4585186479820.9004</v>
          </cell>
          <cell r="AN237">
            <v>5207990519624.9902</v>
          </cell>
          <cell r="AO237">
            <v>5678397299913.8799</v>
          </cell>
          <cell r="AP237">
            <v>6008826671539.5</v>
          </cell>
          <cell r="AQ237">
            <v>5839831165920.5596</v>
          </cell>
          <cell r="AR237">
            <v>5704694233028.0898</v>
          </cell>
          <cell r="AS237">
            <v>6224149964790.9297</v>
          </cell>
          <cell r="AT237">
            <v>6310503468498.1699</v>
          </cell>
          <cell r="AU237">
            <v>6453889853408.8799</v>
          </cell>
          <cell r="AV237">
            <v>7239976657158.7305</v>
          </cell>
          <cell r="AW237">
            <v>8614654141237.2598</v>
          </cell>
          <cell r="AX237">
            <v>10261455656629</v>
          </cell>
          <cell r="AY237">
            <v>12226861116327.301</v>
          </cell>
          <cell r="AZ237">
            <v>15154053755739</v>
          </cell>
          <cell r="BA237">
            <v>18212487030084.398</v>
          </cell>
          <cell r="BB237">
            <v>17683794607234.801</v>
          </cell>
          <cell r="BC237">
            <v>21309094196250.602</v>
          </cell>
          <cell r="BD237">
            <v>24848275747415.301</v>
          </cell>
          <cell r="BE237">
            <v>26484797555996.301</v>
          </cell>
          <cell r="BF237">
            <v>27984240793101.699</v>
          </cell>
          <cell r="BG237">
            <v>29133331404972</v>
          </cell>
          <cell r="BH237">
            <v>27419603210697.699</v>
          </cell>
          <cell r="BI237">
            <v>27544681845777.602</v>
          </cell>
          <cell r="BJ237">
            <v>30309401439653.5</v>
          </cell>
          <cell r="BK237">
            <v>32129124019370.898</v>
          </cell>
          <cell r="BL237">
            <v>32946506804982.199</v>
          </cell>
          <cell r="BM237">
            <v>31698024729316.898</v>
          </cell>
        </row>
        <row r="238">
          <cell r="B238" t="str">
            <v>IDB</v>
          </cell>
          <cell r="C238" t="str">
            <v>GNI (current US$)</v>
          </cell>
          <cell r="D238" t="str">
            <v>NY.GNP.MKTP.CD</v>
          </cell>
          <cell r="E238">
            <v>11840197273.5109</v>
          </cell>
          <cell r="F238">
            <v>12680319779.5427</v>
          </cell>
          <cell r="G238">
            <v>13550058151.434401</v>
          </cell>
          <cell r="H238">
            <v>14313978753.5</v>
          </cell>
          <cell r="I238">
            <v>15564708576.247801</v>
          </cell>
          <cell r="J238">
            <v>16850330624.0207</v>
          </cell>
          <cell r="K238">
            <v>18367049694.181099</v>
          </cell>
          <cell r="L238">
            <v>18539912805.771801</v>
          </cell>
          <cell r="M238">
            <v>19487338551.253799</v>
          </cell>
          <cell r="N238">
            <v>22322952158.9389</v>
          </cell>
          <cell r="O238">
            <v>30592309171.058998</v>
          </cell>
          <cell r="P238">
            <v>28149614986.1716</v>
          </cell>
          <cell r="Q238">
            <v>31315675660.488098</v>
          </cell>
          <cell r="R238">
            <v>33139465665.040901</v>
          </cell>
          <cell r="S238">
            <v>48774244468.2911</v>
          </cell>
          <cell r="T238">
            <v>56547533990.039902</v>
          </cell>
          <cell r="U238">
            <v>68205014621.310501</v>
          </cell>
          <cell r="V238">
            <v>72004975302.701599</v>
          </cell>
          <cell r="W238">
            <v>79066986471.170898</v>
          </cell>
          <cell r="X238">
            <v>97015793859.796295</v>
          </cell>
          <cell r="Y238">
            <v>120682343288.903</v>
          </cell>
          <cell r="Z238">
            <v>239845032956.71399</v>
          </cell>
          <cell r="AA238">
            <v>219436783567.39499</v>
          </cell>
          <cell r="AB238">
            <v>166198289428.70499</v>
          </cell>
          <cell r="AC238">
            <v>142475590515.617</v>
          </cell>
          <cell r="AD238">
            <v>142778280073.978</v>
          </cell>
          <cell r="AE238">
            <v>128101330169.912</v>
          </cell>
          <cell r="AF238">
            <v>129832309841.88699</v>
          </cell>
          <cell r="AG238">
            <v>135011968926.32201</v>
          </cell>
          <cell r="AH238">
            <v>128100566666.841</v>
          </cell>
          <cell r="AI238">
            <v>140058344837.38101</v>
          </cell>
          <cell r="AJ238">
            <v>140412551254.561</v>
          </cell>
          <cell r="AK238">
            <v>141197274015.46399</v>
          </cell>
          <cell r="AL238">
            <v>126502812637.455</v>
          </cell>
          <cell r="AM238">
            <v>127458587028.17799</v>
          </cell>
          <cell r="AN238">
            <v>149822502495.36801</v>
          </cell>
          <cell r="AO238">
            <v>165484666910.85599</v>
          </cell>
          <cell r="AP238">
            <v>169312722817.258</v>
          </cell>
          <cell r="AQ238">
            <v>166752577441.60001</v>
          </cell>
          <cell r="AR238">
            <v>176038036621.09399</v>
          </cell>
          <cell r="AS238">
            <v>196047995643.68701</v>
          </cell>
          <cell r="AT238">
            <v>197627224935.80301</v>
          </cell>
          <cell r="AU238">
            <v>217477894739.01501</v>
          </cell>
          <cell r="AV238">
            <v>244178803158.64801</v>
          </cell>
          <cell r="AW238">
            <v>297279517948</v>
          </cell>
          <cell r="AX238">
            <v>354851332259.71002</v>
          </cell>
          <cell r="AY238">
            <v>457371410022.771</v>
          </cell>
          <cell r="AZ238">
            <v>521983723947.18701</v>
          </cell>
          <cell r="BA238">
            <v>621678652695.64197</v>
          </cell>
          <cell r="BB238">
            <v>582893163130.24097</v>
          </cell>
          <cell r="BC238">
            <v>682218824175.73401</v>
          </cell>
          <cell r="BD238">
            <v>784368058816.37</v>
          </cell>
          <cell r="BE238">
            <v>870018134628.07397</v>
          </cell>
          <cell r="BF238">
            <v>942607163662.66699</v>
          </cell>
          <cell r="BG238">
            <v>1021058134382.7</v>
          </cell>
          <cell r="BH238">
            <v>987808786431.08801</v>
          </cell>
          <cell r="BI238">
            <v>926357425272.875</v>
          </cell>
          <cell r="BJ238">
            <v>905285313724.61597</v>
          </cell>
          <cell r="BK238">
            <v>938907742485.46899</v>
          </cell>
          <cell r="BL238">
            <v>972170852484.10303</v>
          </cell>
          <cell r="BM238">
            <v>935304727341.18201</v>
          </cell>
        </row>
        <row r="239">
          <cell r="B239" t="str">
            <v>IDX</v>
          </cell>
          <cell r="C239" t="str">
            <v>GNI (current US$)</v>
          </cell>
          <cell r="D239" t="str">
            <v>NY.GNP.MKTP.CD</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v>67840483472.982201</v>
          </cell>
          <cell r="S239">
            <v>87076478701.733994</v>
          </cell>
          <cell r="T239">
            <v>109587009086.689</v>
          </cell>
          <cell r="U239">
            <v>98096100924.790405</v>
          </cell>
          <cell r="V239">
            <v>108865206409.951</v>
          </cell>
          <cell r="W239">
            <v>125772911394.80701</v>
          </cell>
          <cell r="X239">
            <v>143251703409.129</v>
          </cell>
          <cell r="Y239">
            <v>157413488016.952</v>
          </cell>
          <cell r="Z239">
            <v>160532316683.155</v>
          </cell>
          <cell r="AA239">
            <v>156858504243.71201</v>
          </cell>
          <cell r="AB239">
            <v>151619612352.59799</v>
          </cell>
          <cell r="AC239">
            <v>156707841309.29501</v>
          </cell>
          <cell r="AD239">
            <v>170695152394.233</v>
          </cell>
          <cell r="AE239">
            <v>190890408800.29401</v>
          </cell>
          <cell r="AF239">
            <v>213184876252.664</v>
          </cell>
          <cell r="AG239">
            <v>214533026751.72299</v>
          </cell>
          <cell r="AH239">
            <v>212271411802.15399</v>
          </cell>
          <cell r="AI239">
            <v>223202139418.68799</v>
          </cell>
          <cell r="AJ239">
            <v>222270306238.28201</v>
          </cell>
          <cell r="AK239">
            <v>213985250140.28601</v>
          </cell>
          <cell r="AL239">
            <v>213161688043.64899</v>
          </cell>
          <cell r="AM239">
            <v>204824335741.54999</v>
          </cell>
          <cell r="AN239">
            <v>235174719708.091</v>
          </cell>
          <cell r="AO239">
            <v>257418192284.31699</v>
          </cell>
          <cell r="AP239">
            <v>269448421539.38</v>
          </cell>
          <cell r="AQ239">
            <v>279517770149.52502</v>
          </cell>
          <cell r="AR239">
            <v>285643353126.59698</v>
          </cell>
          <cell r="AS239">
            <v>312186568281.151</v>
          </cell>
          <cell r="AT239">
            <v>314991930240.05298</v>
          </cell>
          <cell r="AU239">
            <v>331857039851.60999</v>
          </cell>
          <cell r="AV239">
            <v>366429408012.315</v>
          </cell>
          <cell r="AW239">
            <v>422457299214.32098</v>
          </cell>
          <cell r="AX239">
            <v>485590167942.48401</v>
          </cell>
          <cell r="AY239">
            <v>562890932922.78101</v>
          </cell>
          <cell r="AZ239">
            <v>669732072263.526</v>
          </cell>
          <cell r="BA239">
            <v>804238679036.64404</v>
          </cell>
          <cell r="BB239">
            <v>829787581954.22705</v>
          </cell>
          <cell r="BC239">
            <v>920601690030.5</v>
          </cell>
          <cell r="BD239">
            <v>830212666712.60706</v>
          </cell>
          <cell r="BE239">
            <v>849808503073.36304</v>
          </cell>
          <cell r="BF239">
            <v>922636380863.07397</v>
          </cell>
          <cell r="BG239">
            <v>981356625430.77002</v>
          </cell>
          <cell r="BH239">
            <v>998700847597.71497</v>
          </cell>
          <cell r="BI239">
            <v>1012351372103.45</v>
          </cell>
          <cell r="BJ239">
            <v>1091298980880.55</v>
          </cell>
          <cell r="BK239">
            <v>1170675257409.49</v>
          </cell>
          <cell r="BL239">
            <v>1233786608025.76</v>
          </cell>
          <cell r="BM239">
            <v>1275683760612.9099</v>
          </cell>
        </row>
        <row r="240">
          <cell r="B240" t="str">
            <v>IDA</v>
          </cell>
          <cell r="C240" t="str">
            <v>GNI (current US$)</v>
          </cell>
          <cell r="D240" t="str">
            <v>NY.GNP.MKTP.CD</v>
          </cell>
          <cell r="E240" t="str">
            <v>..</v>
          </cell>
          <cell r="F240" t="str">
            <v>..</v>
          </cell>
          <cell r="G240" t="str">
            <v>..</v>
          </cell>
          <cell r="H240" t="str">
            <v>..</v>
          </cell>
          <cell r="I240" t="str">
            <v>..</v>
          </cell>
          <cell r="J240" t="str">
            <v>..</v>
          </cell>
          <cell r="K240" t="str">
            <v>..</v>
          </cell>
          <cell r="L240">
            <v>57978305358.383698</v>
          </cell>
          <cell r="M240">
            <v>60574230060.110001</v>
          </cell>
          <cell r="N240">
            <v>66903409207.134499</v>
          </cell>
          <cell r="O240">
            <v>81162298517.0112</v>
          </cell>
          <cell r="P240">
            <v>79762074692.4151</v>
          </cell>
          <cell r="Q240">
            <v>86547577862.575302</v>
          </cell>
          <cell r="R240">
            <v>96630944806.240097</v>
          </cell>
          <cell r="S240">
            <v>132161144341.252</v>
          </cell>
          <cell r="T240">
            <v>159983332263.578</v>
          </cell>
          <cell r="U240">
            <v>166278827048.61899</v>
          </cell>
          <cell r="V240">
            <v>179695559445.465</v>
          </cell>
          <cell r="W240">
            <v>202193265459.98199</v>
          </cell>
          <cell r="X240">
            <v>239427996490.67899</v>
          </cell>
          <cell r="Y240">
            <v>281560139969.95203</v>
          </cell>
          <cell r="Z240">
            <v>439168031103.367</v>
          </cell>
          <cell r="AA240">
            <v>409934033121.84003</v>
          </cell>
          <cell r="AB240">
            <v>337230689256.85303</v>
          </cell>
          <cell r="AC240">
            <v>310885506360.08197</v>
          </cell>
          <cell r="AD240">
            <v>322803909213.08002</v>
          </cell>
          <cell r="AE240">
            <v>320759068661.328</v>
          </cell>
          <cell r="AF240">
            <v>341493485134.54498</v>
          </cell>
          <cell r="AG240">
            <v>349163869649.97803</v>
          </cell>
          <cell r="AH240">
            <v>338677857322.58502</v>
          </cell>
          <cell r="AI240">
            <v>362765722371.27301</v>
          </cell>
          <cell r="AJ240">
            <v>362383844045.453</v>
          </cell>
          <cell r="AK240">
            <v>355967194241.659</v>
          </cell>
          <cell r="AL240">
            <v>337100328984.59003</v>
          </cell>
          <cell r="AM240">
            <v>331209035193.52301</v>
          </cell>
          <cell r="AN240">
            <v>384501792129.70898</v>
          </cell>
          <cell r="AO240">
            <v>422656969478.258</v>
          </cell>
          <cell r="AP240">
            <v>437727613546.73199</v>
          </cell>
          <cell r="AQ240">
            <v>443432084838.56897</v>
          </cell>
          <cell r="AR240">
            <v>459899943124.052</v>
          </cell>
          <cell r="AS240">
            <v>507013253929.38501</v>
          </cell>
          <cell r="AT240">
            <v>511382957475.59497</v>
          </cell>
          <cell r="AU240">
            <v>548229446618.52502</v>
          </cell>
          <cell r="AV240">
            <v>609471401684.52905</v>
          </cell>
          <cell r="AW240">
            <v>718753024873.68396</v>
          </cell>
          <cell r="AX240">
            <v>839583220534.26404</v>
          </cell>
          <cell r="AY240">
            <v>1020221740981.76</v>
          </cell>
          <cell r="AZ240">
            <v>1191207238495.51</v>
          </cell>
          <cell r="BA240">
            <v>1425200109402.5901</v>
          </cell>
          <cell r="BB240">
            <v>1410958337545.28</v>
          </cell>
          <cell r="BC240">
            <v>1601186458126.02</v>
          </cell>
          <cell r="BD240">
            <v>1614424935501.0701</v>
          </cell>
          <cell r="BE240">
            <v>1719831069197.51</v>
          </cell>
          <cell r="BF240">
            <v>1865243544525.74</v>
          </cell>
          <cell r="BG240">
            <v>2002414759813.47</v>
          </cell>
          <cell r="BH240">
            <v>1986509634028.8</v>
          </cell>
          <cell r="BI240">
            <v>1938708797376.3201</v>
          </cell>
          <cell r="BJ240">
            <v>1996584294605.1599</v>
          </cell>
          <cell r="BK240">
            <v>2109582999894.96</v>
          </cell>
          <cell r="BL240">
            <v>2205957460509.8599</v>
          </cell>
          <cell r="BM240">
            <v>2210286725477.75</v>
          </cell>
        </row>
        <row r="241">
          <cell r="B241" t="str">
            <v>LTE</v>
          </cell>
          <cell r="C241" t="str">
            <v>GNI (current US$)</v>
          </cell>
          <cell r="D241" t="str">
            <v>NY.GNP.MKTP.CD</v>
          </cell>
          <cell r="E241">
            <v>191700335958.84399</v>
          </cell>
          <cell r="F241">
            <v>174116497487.99701</v>
          </cell>
          <cell r="G241">
            <v>173593553716.11801</v>
          </cell>
          <cell r="H241">
            <v>184984652160.86301</v>
          </cell>
          <cell r="I241">
            <v>213889896939.569</v>
          </cell>
          <cell r="J241">
            <v>242557018837.51901</v>
          </cell>
          <cell r="K241">
            <v>262522603504.466</v>
          </cell>
          <cell r="L241">
            <v>265324679786.04599</v>
          </cell>
          <cell r="M241">
            <v>271253719558.21701</v>
          </cell>
          <cell r="N241">
            <v>303668544900.12</v>
          </cell>
          <cell r="O241">
            <v>345980772867.409</v>
          </cell>
          <cell r="P241">
            <v>384545529811.06897</v>
          </cell>
          <cell r="Q241">
            <v>441029030231.63599</v>
          </cell>
          <cell r="R241">
            <v>559037994496.94299</v>
          </cell>
          <cell r="S241">
            <v>658804316636.32104</v>
          </cell>
          <cell r="T241">
            <v>726791085148.13904</v>
          </cell>
          <cell r="U241">
            <v>784221202273.82104</v>
          </cell>
          <cell r="V241">
            <v>904811326242.03601</v>
          </cell>
          <cell r="W241">
            <v>943666866691.03796</v>
          </cell>
          <cell r="X241">
            <v>1120526729025.99</v>
          </cell>
          <cell r="Y241">
            <v>1253306771655.77</v>
          </cell>
          <cell r="Z241">
            <v>1321668849083.5801</v>
          </cell>
          <cell r="AA241">
            <v>1347432002051.73</v>
          </cell>
          <cell r="AB241">
            <v>1245464728784.26</v>
          </cell>
          <cell r="AC241">
            <v>1314942286047.3401</v>
          </cell>
          <cell r="AD241">
            <v>1413374875987.7</v>
          </cell>
          <cell r="AE241">
            <v>1507941836498.8201</v>
          </cell>
          <cell r="AF241">
            <v>1567621845405.54</v>
          </cell>
          <cell r="AG241">
            <v>1763851521096.46</v>
          </cell>
          <cell r="AH241">
            <v>1836480593457.5601</v>
          </cell>
          <cell r="AI241">
            <v>1931356703296.55</v>
          </cell>
          <cell r="AJ241">
            <v>1946299651326.48</v>
          </cell>
          <cell r="AK241">
            <v>1983676557277.1899</v>
          </cell>
          <cell r="AL241">
            <v>2065740039240.5701</v>
          </cell>
          <cell r="AM241">
            <v>2412836415922.4302</v>
          </cell>
          <cell r="AN241">
            <v>2990520528047.1001</v>
          </cell>
          <cell r="AO241">
            <v>3284131614755.8501</v>
          </cell>
          <cell r="AP241">
            <v>3426202519545.02</v>
          </cell>
          <cell r="AQ241">
            <v>3272657319902.5698</v>
          </cell>
          <cell r="AR241">
            <v>3006268469769.48</v>
          </cell>
          <cell r="AS241">
            <v>3309571124736.9902</v>
          </cell>
          <cell r="AT241">
            <v>3413906314902.1401</v>
          </cell>
          <cell r="AU241">
            <v>3611729383724.6299</v>
          </cell>
          <cell r="AV241">
            <v>4112451382163.4199</v>
          </cell>
          <cell r="AW241">
            <v>4957391727079.54</v>
          </cell>
          <cell r="AX241">
            <v>5985227311598.7803</v>
          </cell>
          <cell r="AY241">
            <v>7251672577882.8701</v>
          </cell>
          <cell r="AZ241">
            <v>9165302890746.8809</v>
          </cell>
          <cell r="BA241">
            <v>11421215809085.301</v>
          </cell>
          <cell r="BB241">
            <v>11009661169937.801</v>
          </cell>
          <cell r="BC241">
            <v>13166135305066.801</v>
          </cell>
          <cell r="BD241">
            <v>16041828439084.1</v>
          </cell>
          <cell r="BE241">
            <v>17235430329966.1</v>
          </cell>
          <cell r="BF241">
            <v>18576279246778.699</v>
          </cell>
          <cell r="BG241">
            <v>19400163697944.398</v>
          </cell>
          <cell r="BH241">
            <v>18151994426855.301</v>
          </cell>
          <cell r="BI241">
            <v>18201769431462.398</v>
          </cell>
          <cell r="BJ241">
            <v>20239678209149</v>
          </cell>
          <cell r="BK241">
            <v>22118243505586.301</v>
          </cell>
          <cell r="BL241">
            <v>22561543002637</v>
          </cell>
          <cell r="BM241">
            <v>22054337055924.602</v>
          </cell>
        </row>
        <row r="242">
          <cell r="B242" t="str">
            <v>LCN</v>
          </cell>
          <cell r="C242" t="str">
            <v>GNI (current US$)</v>
          </cell>
          <cell r="D242" t="str">
            <v>NY.GNP.MKTP.CD</v>
          </cell>
          <cell r="E242" t="str">
            <v>..</v>
          </cell>
          <cell r="F242" t="str">
            <v>..</v>
          </cell>
          <cell r="G242" t="str">
            <v>..</v>
          </cell>
          <cell r="H242" t="str">
            <v>..</v>
          </cell>
          <cell r="I242" t="str">
            <v>..</v>
          </cell>
          <cell r="J242" t="str">
            <v>..</v>
          </cell>
          <cell r="K242">
            <v>127390866516.058</v>
          </cell>
          <cell r="L242">
            <v>129873588000.924</v>
          </cell>
          <cell r="M242">
            <v>139818263791.79099</v>
          </cell>
          <cell r="N242">
            <v>157317134943.83701</v>
          </cell>
          <cell r="O242">
            <v>170973164688.16199</v>
          </cell>
          <cell r="P242">
            <v>192637357450.379</v>
          </cell>
          <cell r="Q242">
            <v>215981429484.62</v>
          </cell>
          <cell r="R242">
            <v>283849182403.172</v>
          </cell>
          <cell r="S242">
            <v>369470876609.25598</v>
          </cell>
          <cell r="T242">
            <v>386260288264.50098</v>
          </cell>
          <cell r="U242">
            <v>426761448600.84399</v>
          </cell>
          <cell r="V242">
            <v>468583605629.93799</v>
          </cell>
          <cell r="W242">
            <v>529816676068.93903</v>
          </cell>
          <cell r="X242">
            <v>629582244353.79102</v>
          </cell>
          <cell r="Y242">
            <v>755011055962.97095</v>
          </cell>
          <cell r="Z242">
            <v>864264082790.00098</v>
          </cell>
          <cell r="AA242">
            <v>791022068045.46594</v>
          </cell>
          <cell r="AB242">
            <v>694816412860.84302</v>
          </cell>
          <cell r="AC242">
            <v>700917529679.797</v>
          </cell>
          <cell r="AD242">
            <v>726148844830.22803</v>
          </cell>
          <cell r="AE242">
            <v>732278530317.65198</v>
          </cell>
          <cell r="AF242">
            <v>775928158288.24805</v>
          </cell>
          <cell r="AG242">
            <v>875441220351.80396</v>
          </cell>
          <cell r="AH242">
            <v>908752710505.26294</v>
          </cell>
          <cell r="AI242">
            <v>1058994003680.17</v>
          </cell>
          <cell r="AJ242">
            <v>1143049967941</v>
          </cell>
          <cell r="AK242">
            <v>1252013422565.01</v>
          </cell>
          <cell r="AL242">
            <v>1457097510841.46</v>
          </cell>
          <cell r="AM242">
            <v>1715121975727.1399</v>
          </cell>
          <cell r="AN242">
            <v>1860396390222.73</v>
          </cell>
          <cell r="AO242">
            <v>2005885195284.96</v>
          </cell>
          <cell r="AP242">
            <v>2197737387524.98</v>
          </cell>
          <cell r="AQ242">
            <v>2205023716469.1899</v>
          </cell>
          <cell r="AR242">
            <v>1987846188867.0601</v>
          </cell>
          <cell r="AS242">
            <v>2210934973771.1201</v>
          </cell>
          <cell r="AT242">
            <v>2158345027172.5901</v>
          </cell>
          <cell r="AU242">
            <v>1931142341043.4199</v>
          </cell>
          <cell r="AV242">
            <v>1965451531635.29</v>
          </cell>
          <cell r="AW242">
            <v>2255013635845.8901</v>
          </cell>
          <cell r="AX242">
            <v>2728964695528.4902</v>
          </cell>
          <cell r="AY242">
            <v>3227468974242.98</v>
          </cell>
          <cell r="AZ242">
            <v>3820655500702.7002</v>
          </cell>
          <cell r="BA242">
            <v>4451089983467.25</v>
          </cell>
          <cell r="BB242">
            <v>4177345244258.2798</v>
          </cell>
          <cell r="BC242">
            <v>5164605128518.7197</v>
          </cell>
          <cell r="BD242">
            <v>5878456300132.1104</v>
          </cell>
          <cell r="BE242">
            <v>5943771442335.8604</v>
          </cell>
          <cell r="BF242">
            <v>6110627590810.04</v>
          </cell>
          <cell r="BG242">
            <v>6239495584109.8701</v>
          </cell>
          <cell r="BH242">
            <v>5210855387695.8799</v>
          </cell>
          <cell r="BI242">
            <v>5081501345099.1904</v>
          </cell>
          <cell r="BJ242">
            <v>5646239027858.8799</v>
          </cell>
          <cell r="BK242">
            <v>5489422069078.4805</v>
          </cell>
          <cell r="BL242">
            <v>5414032577801.8604</v>
          </cell>
          <cell r="BM242">
            <v>4534753950889.46</v>
          </cell>
        </row>
        <row r="243">
          <cell r="B243" t="str">
            <v>LAC</v>
          </cell>
          <cell r="C243" t="str">
            <v>GNI (current US$)</v>
          </cell>
          <cell r="D243" t="str">
            <v>NY.GNP.MKTP.CD</v>
          </cell>
          <cell r="E243" t="str">
            <v>..</v>
          </cell>
          <cell r="F243" t="str">
            <v>..</v>
          </cell>
          <cell r="G243" t="str">
            <v>..</v>
          </cell>
          <cell r="H243" t="str">
            <v>..</v>
          </cell>
          <cell r="I243" t="str">
            <v>..</v>
          </cell>
          <cell r="J243" t="str">
            <v>..</v>
          </cell>
          <cell r="K243">
            <v>105872783535.002</v>
          </cell>
          <cell r="L243">
            <v>107779041733.145</v>
          </cell>
          <cell r="M243">
            <v>116384957862.806</v>
          </cell>
          <cell r="N243">
            <v>131271341856.12801</v>
          </cell>
          <cell r="O243">
            <v>141662998140.74701</v>
          </cell>
          <cell r="P243">
            <v>159044809622.71799</v>
          </cell>
          <cell r="Q243">
            <v>179898304828.51599</v>
          </cell>
          <cell r="R243">
            <v>237275021348.427</v>
          </cell>
          <cell r="S243">
            <v>312592043635.11401</v>
          </cell>
          <cell r="T243">
            <v>335451490815.71399</v>
          </cell>
          <cell r="U243">
            <v>368667959803.35602</v>
          </cell>
          <cell r="V243">
            <v>400270780004.17297</v>
          </cell>
          <cell r="W243">
            <v>453998734649.901</v>
          </cell>
          <cell r="X243">
            <v>534090115667.745</v>
          </cell>
          <cell r="Y243">
            <v>635205036156.97705</v>
          </cell>
          <cell r="Z243">
            <v>728307039404.28503</v>
          </cell>
          <cell r="AA243">
            <v>665824464726.34802</v>
          </cell>
          <cell r="AB243">
            <v>579591851280.24097</v>
          </cell>
          <cell r="AC243">
            <v>593220859557.82898</v>
          </cell>
          <cell r="AD243">
            <v>618001175730.06201</v>
          </cell>
          <cell r="AE243">
            <v>623754575422.89795</v>
          </cell>
          <cell r="AF243">
            <v>673147921163.29004</v>
          </cell>
          <cell r="AG243">
            <v>754259445025.10303</v>
          </cell>
          <cell r="AH243">
            <v>799090147537.13904</v>
          </cell>
          <cell r="AI243">
            <v>935480343639.53101</v>
          </cell>
          <cell r="AJ243">
            <v>1006263645705.13</v>
          </cell>
          <cell r="AK243">
            <v>1098095689650.5</v>
          </cell>
          <cell r="AL243">
            <v>1296381111802.6699</v>
          </cell>
          <cell r="AM243">
            <v>1544208969917.1699</v>
          </cell>
          <cell r="AN243">
            <v>1648903743985.54</v>
          </cell>
          <cell r="AO243">
            <v>1791536613471.1699</v>
          </cell>
          <cell r="AP243">
            <v>1953746500643.49</v>
          </cell>
          <cell r="AQ243">
            <v>1952676241426.8201</v>
          </cell>
          <cell r="AR243">
            <v>1731340687140.6001</v>
          </cell>
          <cell r="AS243">
            <v>1928750763169.29</v>
          </cell>
          <cell r="AT243">
            <v>1875997853194.3501</v>
          </cell>
          <cell r="AU243">
            <v>1687007752889.9399</v>
          </cell>
          <cell r="AV243">
            <v>1723256794464.79</v>
          </cell>
          <cell r="AW243">
            <v>1955629476981.8701</v>
          </cell>
          <cell r="AX243">
            <v>2362753860038.1099</v>
          </cell>
          <cell r="AY243">
            <v>2788319246560.8101</v>
          </cell>
          <cell r="AZ243">
            <v>3300560597199.6001</v>
          </cell>
          <cell r="BA243">
            <v>3818881831370.5698</v>
          </cell>
          <cell r="BB243">
            <v>3548034868930.2202</v>
          </cell>
          <cell r="BC243">
            <v>4417299958888.3398</v>
          </cell>
          <cell r="BD243">
            <v>5167908958842.0801</v>
          </cell>
          <cell r="BE243">
            <v>5147386406578.6797</v>
          </cell>
          <cell r="BF243">
            <v>5304906708789.7998</v>
          </cell>
          <cell r="BG243">
            <v>5329680806112.4199</v>
          </cell>
          <cell r="BH243">
            <v>4547425251000.8301</v>
          </cell>
          <cell r="BI243">
            <v>4416045164998.8604</v>
          </cell>
          <cell r="BJ243">
            <v>4923683125497.0898</v>
          </cell>
          <cell r="BK243">
            <v>4755624213140.3301</v>
          </cell>
          <cell r="BL243">
            <v>4696870410409.4102</v>
          </cell>
          <cell r="BM243">
            <v>3902580233704.0801</v>
          </cell>
        </row>
        <row r="244">
          <cell r="B244" t="str">
            <v>TLA</v>
          </cell>
          <cell r="C244" t="str">
            <v>GNI (current US$)</v>
          </cell>
          <cell r="D244" t="str">
            <v>NY.GNP.MKTP.CD</v>
          </cell>
          <cell r="E244" t="str">
            <v>..</v>
          </cell>
          <cell r="F244" t="str">
            <v>..</v>
          </cell>
          <cell r="G244" t="str">
            <v>..</v>
          </cell>
          <cell r="H244" t="str">
            <v>..</v>
          </cell>
          <cell r="I244" t="str">
            <v>..</v>
          </cell>
          <cell r="J244" t="str">
            <v>..</v>
          </cell>
          <cell r="K244">
            <v>119222448282.657</v>
          </cell>
          <cell r="L244">
            <v>121274969982.70399</v>
          </cell>
          <cell r="M244">
            <v>130414097200.692</v>
          </cell>
          <cell r="N244">
            <v>146688565494.207</v>
          </cell>
          <cell r="O244">
            <v>159257121647.01801</v>
          </cell>
          <cell r="P244">
            <v>179004530157.94299</v>
          </cell>
          <cell r="Q244">
            <v>200484138986.44901</v>
          </cell>
          <cell r="R244">
            <v>265578967498.04001</v>
          </cell>
          <cell r="S244">
            <v>348854166608.18402</v>
          </cell>
          <cell r="T244">
            <v>363425896928.5</v>
          </cell>
          <cell r="U244">
            <v>402860142994.06799</v>
          </cell>
          <cell r="V244">
            <v>443365328677.00598</v>
          </cell>
          <cell r="W244">
            <v>499805522796.005</v>
          </cell>
          <cell r="X244">
            <v>596005755088.48303</v>
          </cell>
          <cell r="Y244">
            <v>719261206482.59094</v>
          </cell>
          <cell r="Z244">
            <v>826505084220.40698</v>
          </cell>
          <cell r="AA244">
            <v>752185998084.88196</v>
          </cell>
          <cell r="AB244">
            <v>654718932859.71301</v>
          </cell>
          <cell r="AC244">
            <v>657545448442.51099</v>
          </cell>
          <cell r="AD244">
            <v>682696586191.20801</v>
          </cell>
          <cell r="AE244">
            <v>686302833972.16602</v>
          </cell>
          <cell r="AF244">
            <v>727153454644.83203</v>
          </cell>
          <cell r="AG244">
            <v>822416275461.46802</v>
          </cell>
          <cell r="AH244">
            <v>854076062375.32202</v>
          </cell>
          <cell r="AI244">
            <v>1000816021191.89</v>
          </cell>
          <cell r="AJ244">
            <v>1087604472466.1</v>
          </cell>
          <cell r="AK244">
            <v>1197398266049.9299</v>
          </cell>
          <cell r="AL244">
            <v>1400133189162.5901</v>
          </cell>
          <cell r="AM244">
            <v>1649615015333.8601</v>
          </cell>
          <cell r="AN244">
            <v>1790059910955.9399</v>
          </cell>
          <cell r="AO244">
            <v>1937766786182.1499</v>
          </cell>
          <cell r="AP244">
            <v>2124732519603.0901</v>
          </cell>
          <cell r="AQ244">
            <v>2127908358643.9099</v>
          </cell>
          <cell r="AR244">
            <v>1904497895338</v>
          </cell>
          <cell r="AS244">
            <v>2121135710245.04</v>
          </cell>
          <cell r="AT244">
            <v>2064640014752.76</v>
          </cell>
          <cell r="AU244">
            <v>1834633620575.8701</v>
          </cell>
          <cell r="AV244">
            <v>1863814524521.04</v>
          </cell>
          <cell r="AW244">
            <v>2145437839002.25</v>
          </cell>
          <cell r="AX244">
            <v>2609921606213.4302</v>
          </cell>
          <cell r="AY244">
            <v>3092958588869.7002</v>
          </cell>
          <cell r="AZ244">
            <v>3675437243191.27</v>
          </cell>
          <cell r="BA244">
            <v>4299551736959.52</v>
          </cell>
          <cell r="BB244">
            <v>4026017578080.3799</v>
          </cell>
          <cell r="BC244">
            <v>5007572788180.5703</v>
          </cell>
          <cell r="BD244">
            <v>5713579345508.4297</v>
          </cell>
          <cell r="BE244">
            <v>5772418723755.6904</v>
          </cell>
          <cell r="BF244">
            <v>5934382367127.5801</v>
          </cell>
          <cell r="BG244">
            <v>6059000619805.04</v>
          </cell>
          <cell r="BH244">
            <v>5021913735550.3398</v>
          </cell>
          <cell r="BI244">
            <v>4887396038401.96</v>
          </cell>
          <cell r="BJ244">
            <v>5446701843925.4004</v>
          </cell>
          <cell r="BK244">
            <v>5287062278219.1299</v>
          </cell>
          <cell r="BL244">
            <v>5208419496895.1201</v>
          </cell>
          <cell r="BM244">
            <v>4351750251335.3301</v>
          </cell>
        </row>
        <row r="245">
          <cell r="B245" t="str">
            <v>LDC</v>
          </cell>
          <cell r="C245" t="str">
            <v>GNI (current US$)</v>
          </cell>
          <cell r="D245" t="str">
            <v>NY.GNP.MKTP.CD</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v>105257842176.411</v>
          </cell>
          <cell r="AE245">
            <v>114552219528.394</v>
          </cell>
          <cell r="AF245">
            <v>128499147322.355</v>
          </cell>
          <cell r="AG245">
            <v>131195838646.12801</v>
          </cell>
          <cell r="AH245">
            <v>136611488858.933</v>
          </cell>
          <cell r="AI245">
            <v>142878210853.35999</v>
          </cell>
          <cell r="AJ245">
            <v>143122341261.05899</v>
          </cell>
          <cell r="AK245">
            <v>134950865504.746</v>
          </cell>
          <cell r="AL245">
            <v>135605165471.44299</v>
          </cell>
          <cell r="AM245">
            <v>130702499494.36099</v>
          </cell>
          <cell r="AN245">
            <v>152472742147.095</v>
          </cell>
          <cell r="AO245">
            <v>168473243928.69199</v>
          </cell>
          <cell r="AP245">
            <v>178173526697.918</v>
          </cell>
          <cell r="AQ245">
            <v>181617540874.604</v>
          </cell>
          <cell r="AR245">
            <v>185825867447.43799</v>
          </cell>
          <cell r="AS245">
            <v>212790622900.065</v>
          </cell>
          <cell r="AT245">
            <v>207234514576.875</v>
          </cell>
          <cell r="AU245">
            <v>225044444856.38501</v>
          </cell>
          <cell r="AV245">
            <v>252333637683.388</v>
          </cell>
          <cell r="AW245">
            <v>290704609318.70599</v>
          </cell>
          <cell r="AX245">
            <v>341018664299.14001</v>
          </cell>
          <cell r="AY245">
            <v>395654680161.422</v>
          </cell>
          <cell r="AZ245">
            <v>475315446516.67499</v>
          </cell>
          <cell r="BA245">
            <v>577951343039.78503</v>
          </cell>
          <cell r="BB245">
            <v>587592310891.44202</v>
          </cell>
          <cell r="BC245">
            <v>656946216434.01294</v>
          </cell>
          <cell r="BD245">
            <v>759863402279.96301</v>
          </cell>
          <cell r="BE245">
            <v>807242122255.95996</v>
          </cell>
          <cell r="BF245">
            <v>881850648377.95898</v>
          </cell>
          <cell r="BG245">
            <v>950360474030.62903</v>
          </cell>
          <cell r="BH245">
            <v>938969979244.23206</v>
          </cell>
          <cell r="BI245">
            <v>933314492598.60303</v>
          </cell>
          <cell r="BJ245">
            <v>1016166208242.51</v>
          </cell>
          <cell r="BK245">
            <v>1054695732944.0601</v>
          </cell>
          <cell r="BL245">
            <v>1100726863737.79</v>
          </cell>
          <cell r="BM245">
            <v>1109288328695.24</v>
          </cell>
        </row>
        <row r="246">
          <cell r="B246" t="str">
            <v>LMY</v>
          </cell>
          <cell r="C246" t="str">
            <v>GNI (current US$)</v>
          </cell>
          <cell r="D246" t="str">
            <v>NY.GNP.MKTP.CD</v>
          </cell>
          <cell r="E246">
            <v>344405017477.539</v>
          </cell>
          <cell r="F246">
            <v>337838010528.67297</v>
          </cell>
          <cell r="G246">
            <v>339688791942.75403</v>
          </cell>
          <cell r="H246">
            <v>358164927092.96503</v>
          </cell>
          <cell r="I246">
            <v>418593169298.02197</v>
          </cell>
          <cell r="J246">
            <v>463567185791.90601</v>
          </cell>
          <cell r="K246">
            <v>468610906628.862</v>
          </cell>
          <cell r="L246">
            <v>479285929718.87903</v>
          </cell>
          <cell r="M246">
            <v>505648120606.63702</v>
          </cell>
          <cell r="N246">
            <v>565902390781.36804</v>
          </cell>
          <cell r="O246">
            <v>620135770274.52795</v>
          </cell>
          <cell r="P246">
            <v>670364841835.90601</v>
          </cell>
          <cell r="Q246">
            <v>753988191885.13501</v>
          </cell>
          <cell r="R246">
            <v>955543569154.04102</v>
          </cell>
          <cell r="S246">
            <v>1208277340838.27</v>
          </cell>
          <cell r="T246">
            <v>1334746286074.0701</v>
          </cell>
          <cell r="U246">
            <v>1434063210242.9199</v>
          </cell>
          <cell r="V246">
            <v>1609337904629.1599</v>
          </cell>
          <cell r="W246">
            <v>1736896043784.45</v>
          </cell>
          <cell r="X246">
            <v>2055018115753.3301</v>
          </cell>
          <cell r="Y246">
            <v>2389259252626.77</v>
          </cell>
          <cell r="Z246">
            <v>2689654797417.0898</v>
          </cell>
          <cell r="AA246">
            <v>2640766463361.4502</v>
          </cell>
          <cell r="AB246">
            <v>2557386623499.3599</v>
          </cell>
          <cell r="AC246">
            <v>2598879364956.1201</v>
          </cell>
          <cell r="AD246">
            <v>2748106289034.6099</v>
          </cell>
          <cell r="AE246">
            <v>2838397527544.2002</v>
          </cell>
          <cell r="AF246">
            <v>2917791518486.9902</v>
          </cell>
          <cell r="AG246">
            <v>3132768128674.96</v>
          </cell>
          <cell r="AH246">
            <v>3215562088737.6499</v>
          </cell>
          <cell r="AI246">
            <v>3648298072796.7798</v>
          </cell>
          <cell r="AJ246">
            <v>3506842092295.27</v>
          </cell>
          <cell r="AK246">
            <v>3675470805228.6001</v>
          </cell>
          <cell r="AL246">
            <v>3952158715635.8701</v>
          </cell>
          <cell r="AM246">
            <v>4357738911454.7402</v>
          </cell>
          <cell r="AN246">
            <v>4910118491923.9199</v>
          </cell>
          <cell r="AO246">
            <v>5355759336358.75</v>
          </cell>
          <cell r="AP246">
            <v>5662712259622.9805</v>
          </cell>
          <cell r="AQ246">
            <v>5472441601813.6299</v>
          </cell>
          <cell r="AR246">
            <v>5346463535573.9004</v>
          </cell>
          <cell r="AS246">
            <v>5846257539548.6104</v>
          </cell>
          <cell r="AT246">
            <v>5915645076994.4199</v>
          </cell>
          <cell r="AU246">
            <v>6087823086416.6504</v>
          </cell>
          <cell r="AV246">
            <v>6857374762423.6797</v>
          </cell>
          <cell r="AW246">
            <v>8145305408053.8604</v>
          </cell>
          <cell r="AX246">
            <v>9678963411848.0391</v>
          </cell>
          <cell r="AY246">
            <v>11546802142463.9</v>
          </cell>
          <cell r="AZ246">
            <v>14319237517428.699</v>
          </cell>
          <cell r="BA246">
            <v>17156291490259.801</v>
          </cell>
          <cell r="BB246">
            <v>16736260034352.1</v>
          </cell>
          <cell r="BC246">
            <v>20218977432381.398</v>
          </cell>
          <cell r="BD246">
            <v>23757297406375.301</v>
          </cell>
          <cell r="BE246">
            <v>25351723133880.199</v>
          </cell>
          <cell r="BF246">
            <v>26822952585620.699</v>
          </cell>
          <cell r="BG246">
            <v>27855439897342.602</v>
          </cell>
          <cell r="BH246">
            <v>26453173743593.602</v>
          </cell>
          <cell r="BI246">
            <v>26580723864684</v>
          </cell>
          <cell r="BJ246">
            <v>29242380400279.199</v>
          </cell>
          <cell r="BK246">
            <v>30966032224648.898</v>
          </cell>
          <cell r="BL246">
            <v>31787544433772</v>
          </cell>
          <cell r="BM246">
            <v>30583274632227.102</v>
          </cell>
        </row>
        <row r="247">
          <cell r="B247" t="str">
            <v>LIC</v>
          </cell>
          <cell r="C247" t="str">
            <v>GNI (current US$)</v>
          </cell>
          <cell r="D247" t="str">
            <v>NY.GNP.MKTP.CD</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v>147404235875.638</v>
          </cell>
          <cell r="AJ247">
            <v>144084729827.71301</v>
          </cell>
          <cell r="AK247">
            <v>128773191301.259</v>
          </cell>
          <cell r="AL247">
            <v>125682873464.08</v>
          </cell>
          <cell r="AM247">
            <v>114398148552.58299</v>
          </cell>
          <cell r="AN247">
            <v>129531755325.12199</v>
          </cell>
          <cell r="AO247">
            <v>135046743527.64</v>
          </cell>
          <cell r="AP247">
            <v>144542283022.754</v>
          </cell>
          <cell r="AQ247">
            <v>144197824732.60599</v>
          </cell>
          <cell r="AR247">
            <v>143117027856.65799</v>
          </cell>
          <cell r="AS247">
            <v>177251157790.965</v>
          </cell>
          <cell r="AT247">
            <v>176965865309.87399</v>
          </cell>
          <cell r="AU247">
            <v>189290018229.74701</v>
          </cell>
          <cell r="AV247">
            <v>206813712027.85001</v>
          </cell>
          <cell r="AW247">
            <v>243659761912.35699</v>
          </cell>
          <cell r="AX247">
            <v>288674032034.883</v>
          </cell>
          <cell r="AY247">
            <v>338569880258.29999</v>
          </cell>
          <cell r="AZ247">
            <v>410278422028.19598</v>
          </cell>
          <cell r="BA247">
            <v>490678256419.08398</v>
          </cell>
          <cell r="BB247">
            <v>501545426642.34003</v>
          </cell>
          <cell r="BC247">
            <v>549072309801.05603</v>
          </cell>
          <cell r="BD247">
            <v>382909552131.89502</v>
          </cell>
          <cell r="BE247">
            <v>374383367899.13898</v>
          </cell>
          <cell r="BF247">
            <v>382428141955.25702</v>
          </cell>
          <cell r="BG247">
            <v>410278041277.53802</v>
          </cell>
          <cell r="BH247">
            <v>407465881511.37299</v>
          </cell>
          <cell r="BI247">
            <v>381225228196.94299</v>
          </cell>
          <cell r="BJ247">
            <v>401714482820.659</v>
          </cell>
          <cell r="BK247">
            <v>416631632079.586</v>
          </cell>
          <cell r="BL247">
            <v>438750680909.42297</v>
          </cell>
          <cell r="BM247">
            <v>447277023117.76801</v>
          </cell>
        </row>
        <row r="248">
          <cell r="B248" t="str">
            <v>LMC</v>
          </cell>
          <cell r="C248" t="str">
            <v>GNI (current US$)</v>
          </cell>
          <cell r="D248" t="str">
            <v>NY.GNP.MKTP.CD</v>
          </cell>
          <cell r="E248" t="str">
            <v>..</v>
          </cell>
          <cell r="F248">
            <v>94175306524.573593</v>
          </cell>
          <cell r="G248">
            <v>94918263947.915298</v>
          </cell>
          <cell r="H248">
            <v>106003714511.304</v>
          </cell>
          <cell r="I248">
            <v>119757268036.04601</v>
          </cell>
          <cell r="J248">
            <v>128951585711.895</v>
          </cell>
          <cell r="K248">
            <v>116724297563.995</v>
          </cell>
          <cell r="L248">
            <v>124590461243.548</v>
          </cell>
          <cell r="M248">
            <v>134484125499.147</v>
          </cell>
          <cell r="N248">
            <v>149562220582.827</v>
          </cell>
          <cell r="O248">
            <v>165414023335.31699</v>
          </cell>
          <cell r="P248">
            <v>174841462176.32901</v>
          </cell>
          <cell r="Q248">
            <v>193524451306.69901</v>
          </cell>
          <cell r="R248">
            <v>237726985344.961</v>
          </cell>
          <cell r="S248">
            <v>318357830173.74298</v>
          </cell>
          <cell r="T248">
            <v>353822415832.72699</v>
          </cell>
          <cell r="U248">
            <v>392946169319.56897</v>
          </cell>
          <cell r="V248">
            <v>450844798586.26501</v>
          </cell>
          <cell r="W248">
            <v>497743413714.53497</v>
          </cell>
          <cell r="X248">
            <v>574155787454.45996</v>
          </cell>
          <cell r="Y248">
            <v>692931631479.63599</v>
          </cell>
          <cell r="Z248">
            <v>839263715926.31897</v>
          </cell>
          <cell r="AA248">
            <v>863269069961.77905</v>
          </cell>
          <cell r="AB248">
            <v>852562802156.94897</v>
          </cell>
          <cell r="AC248">
            <v>839750754948.23401</v>
          </cell>
          <cell r="AD248">
            <v>892510332597.31299</v>
          </cell>
          <cell r="AE248">
            <v>937819940772.30896</v>
          </cell>
          <cell r="AF248">
            <v>906236210455.453</v>
          </cell>
          <cell r="AG248">
            <v>925029740351.26599</v>
          </cell>
          <cell r="AH248">
            <v>935804079228.52698</v>
          </cell>
          <cell r="AI248">
            <v>1005618532972.74</v>
          </cell>
          <cell r="AJ248">
            <v>944702149468.52905</v>
          </cell>
          <cell r="AK248">
            <v>1005714177094.98</v>
          </cell>
          <cell r="AL248">
            <v>1016335327456.1</v>
          </cell>
          <cell r="AM248">
            <v>1101321153862.3401</v>
          </cell>
          <cell r="AN248">
            <v>1252640753949.0801</v>
          </cell>
          <cell r="AO248">
            <v>1395652522857.3601</v>
          </cell>
          <cell r="AP248">
            <v>1430469347528.46</v>
          </cell>
          <cell r="AQ248">
            <v>1307956945452.8799</v>
          </cell>
          <cell r="AR248">
            <v>1411927693610.2</v>
          </cell>
          <cell r="AS248">
            <v>1474470587639.98</v>
          </cell>
          <cell r="AT248">
            <v>1516836055799.26</v>
          </cell>
          <cell r="AU248">
            <v>1620852241558.8301</v>
          </cell>
          <cell r="AV248">
            <v>1858439752891.8301</v>
          </cell>
          <cell r="AW248">
            <v>2152167007950.51</v>
          </cell>
          <cell r="AX248">
            <v>2499849433961.5098</v>
          </cell>
          <cell r="AY248">
            <v>2979256176072.3301</v>
          </cell>
          <cell r="AZ248">
            <v>3665315321402.04</v>
          </cell>
          <cell r="BA248">
            <v>4147962971375.6299</v>
          </cell>
          <cell r="BB248">
            <v>4217461560521.2402</v>
          </cell>
          <cell r="BC248">
            <v>5124190811195.4404</v>
          </cell>
          <cell r="BD248">
            <v>5844109360866.3896</v>
          </cell>
          <cell r="BE248">
            <v>6144272428057.4297</v>
          </cell>
          <cell r="BF248">
            <v>6247509393540.0195</v>
          </cell>
          <cell r="BG248">
            <v>6499418255562.3203</v>
          </cell>
          <cell r="BH248">
            <v>6391319067201.0098</v>
          </cell>
          <cell r="BI248">
            <v>6653430157217.9404</v>
          </cell>
          <cell r="BJ248">
            <v>7163685399633.5596</v>
          </cell>
          <cell r="BK248">
            <v>7257952975734.8398</v>
          </cell>
          <cell r="BL248">
            <v>7643930159482.6797</v>
          </cell>
          <cell r="BM248">
            <v>7305936514008.5098</v>
          </cell>
        </row>
        <row r="249">
          <cell r="B249" t="str">
            <v>MEA</v>
          </cell>
          <cell r="C249" t="str">
            <v>GNI (current US$)</v>
          </cell>
          <cell r="D249" t="str">
            <v>NY.GNP.MKTP.CD</v>
          </cell>
          <cell r="E249" t="str">
            <v>..</v>
          </cell>
          <cell r="F249" t="str">
            <v>..</v>
          </cell>
          <cell r="G249" t="str">
            <v>..</v>
          </cell>
          <cell r="H249" t="str">
            <v>..</v>
          </cell>
          <cell r="I249" t="str">
            <v>..</v>
          </cell>
          <cell r="J249">
            <v>36044658225.7659</v>
          </cell>
          <cell r="K249">
            <v>38438244102.227203</v>
          </cell>
          <cell r="L249">
            <v>41132424880.456497</v>
          </cell>
          <cell r="M249">
            <v>46279812182.4842</v>
          </cell>
          <cell r="N249">
            <v>51546236123.560303</v>
          </cell>
          <cell r="O249">
            <v>59545654625.527603</v>
          </cell>
          <cell r="P249">
            <v>67952180719.638199</v>
          </cell>
          <cell r="Q249">
            <v>83382823666.008408</v>
          </cell>
          <cell r="R249">
            <v>113036640602.515</v>
          </cell>
          <cell r="S249">
            <v>209689892276.44601</v>
          </cell>
          <cell r="T249">
            <v>232887646806.88699</v>
          </cell>
          <cell r="U249">
            <v>291257210242.35797</v>
          </cell>
          <cell r="V249">
            <v>334503998337.39001</v>
          </cell>
          <cell r="W249">
            <v>352561080752.70898</v>
          </cell>
          <cell r="X249">
            <v>454858210969.88702</v>
          </cell>
          <cell r="Y249">
            <v>576334822223.44897</v>
          </cell>
          <cell r="Z249">
            <v>588918843384.01099</v>
          </cell>
          <cell r="AA249">
            <v>596759973861.38403</v>
          </cell>
          <cell r="AB249">
            <v>616948128951.55505</v>
          </cell>
          <cell r="AC249">
            <v>624984854709.50903</v>
          </cell>
          <cell r="AD249">
            <v>641219438380.16699</v>
          </cell>
          <cell r="AE249">
            <v>673700554696.24695</v>
          </cell>
          <cell r="AF249">
            <v>614777517831.56494</v>
          </cell>
          <cell r="AG249">
            <v>612140186074.43396</v>
          </cell>
          <cell r="AH249">
            <v>629102289265.64001</v>
          </cell>
          <cell r="AI249">
            <v>818098190628.97803</v>
          </cell>
          <cell r="AJ249">
            <v>554006735525.25098</v>
          </cell>
          <cell r="AK249">
            <v>605947875609.55005</v>
          </cell>
          <cell r="AL249">
            <v>613153427268.00305</v>
          </cell>
          <cell r="AM249">
            <v>646701928248.52295</v>
          </cell>
          <cell r="AN249">
            <v>746673407029.63403</v>
          </cell>
          <cell r="AO249">
            <v>836961063970.32104</v>
          </cell>
          <cell r="AP249">
            <v>876292699280.90698</v>
          </cell>
          <cell r="AQ249">
            <v>857527779325.87402</v>
          </cell>
          <cell r="AR249">
            <v>921798809771.68701</v>
          </cell>
          <cell r="AS249">
            <v>1019430001536.79</v>
          </cell>
          <cell r="AT249">
            <v>1022497983114.03</v>
          </cell>
          <cell r="AU249">
            <v>1021770226584.38</v>
          </cell>
          <cell r="AV249">
            <v>1130686898680.6299</v>
          </cell>
          <cell r="AW249">
            <v>1341623938386.3</v>
          </cell>
          <cell r="AX249">
            <v>1613294871511.9299</v>
          </cell>
          <cell r="AY249">
            <v>1905305640541.3999</v>
          </cell>
          <cell r="AZ249">
            <v>2266205191175.5</v>
          </cell>
          <cell r="BA249">
            <v>2815804234369.4399</v>
          </cell>
          <cell r="BB249">
            <v>2530245316209.3799</v>
          </cell>
          <cell r="BC249">
            <v>2932229504154.4399</v>
          </cell>
          <cell r="BD249">
            <v>3262941077173.8999</v>
          </cell>
          <cell r="BE249">
            <v>3540545050114.6001</v>
          </cell>
          <cell r="BF249">
            <v>3499063994669</v>
          </cell>
          <cell r="BG249">
            <v>3520960732352.6699</v>
          </cell>
          <cell r="BH249">
            <v>3102592099795.96</v>
          </cell>
          <cell r="BI249">
            <v>3118183687261.54</v>
          </cell>
          <cell r="BJ249">
            <v>3240205392333.8398</v>
          </cell>
          <cell r="BK249">
            <v>3371022163776.0601</v>
          </cell>
          <cell r="BL249">
            <v>3400900907955.2002</v>
          </cell>
          <cell r="BM249">
            <v>3049844003523.2598</v>
          </cell>
        </row>
        <row r="250">
          <cell r="B250" t="str">
            <v>MNA</v>
          </cell>
          <cell r="C250" t="str">
            <v>GNI (current US$)</v>
          </cell>
          <cell r="D250" t="str">
            <v>NY.GNP.MKTP.CD</v>
          </cell>
          <cell r="E250" t="str">
            <v>..</v>
          </cell>
          <cell r="F250" t="str">
            <v>..</v>
          </cell>
          <cell r="G250" t="str">
            <v>..</v>
          </cell>
          <cell r="H250" t="str">
            <v>..</v>
          </cell>
          <cell r="I250" t="str">
            <v>..</v>
          </cell>
          <cell r="J250">
            <v>30905121744.670399</v>
          </cell>
          <cell r="K250">
            <v>32259806027.7187</v>
          </cell>
          <cell r="L250">
            <v>34977507177.432098</v>
          </cell>
          <cell r="M250">
            <v>38455912622.712799</v>
          </cell>
          <cell r="N250">
            <v>42932630753.285004</v>
          </cell>
          <cell r="O250">
            <v>48952179750.239197</v>
          </cell>
          <cell r="P250">
            <v>55985314006.291199</v>
          </cell>
          <cell r="Q250">
            <v>67996478587.278702</v>
          </cell>
          <cell r="R250">
            <v>91804222771.559494</v>
          </cell>
          <cell r="S250">
            <v>134950082544.485</v>
          </cell>
          <cell r="T250">
            <v>155927653484.89001</v>
          </cell>
          <cell r="U250">
            <v>190111031120.33499</v>
          </cell>
          <cell r="V250">
            <v>220207957258.98199</v>
          </cell>
          <cell r="W250">
            <v>230318256323.89301</v>
          </cell>
          <cell r="X250">
            <v>277280925511.42902</v>
          </cell>
          <cell r="Y250">
            <v>317571287199.125</v>
          </cell>
          <cell r="Z250">
            <v>300311495848.59497</v>
          </cell>
          <cell r="AA250">
            <v>345404898452.59198</v>
          </cell>
          <cell r="AB250">
            <v>391698990542.383</v>
          </cell>
          <cell r="AC250">
            <v>416019094364.40503</v>
          </cell>
          <cell r="AD250">
            <v>450616203300.89301</v>
          </cell>
          <cell r="AE250">
            <v>504916666917.94299</v>
          </cell>
          <cell r="AF250">
            <v>430143052360.91998</v>
          </cell>
          <cell r="AG250">
            <v>410542621826.34601</v>
          </cell>
          <cell r="AH250">
            <v>411533666851.78699</v>
          </cell>
          <cell r="AI250">
            <v>583538191224.15198</v>
          </cell>
          <cell r="AJ250">
            <v>244066635787.81201</v>
          </cell>
          <cell r="AK250">
            <v>268256831372.48801</v>
          </cell>
          <cell r="AL250">
            <v>278039469439.54199</v>
          </cell>
          <cell r="AM250">
            <v>296666577306.78198</v>
          </cell>
          <cell r="AN250">
            <v>357381745144.99103</v>
          </cell>
          <cell r="AO250">
            <v>410109811820.45801</v>
          </cell>
          <cell r="AP250">
            <v>431598931102.20099</v>
          </cell>
          <cell r="AQ250">
            <v>443400029561.24701</v>
          </cell>
          <cell r="AR250">
            <v>477997742586.95599</v>
          </cell>
          <cell r="AS250">
            <v>502929851732.34802</v>
          </cell>
          <cell r="AT250">
            <v>515106981331.09998</v>
          </cell>
          <cell r="AU250">
            <v>510696154726.11102</v>
          </cell>
          <cell r="AV250">
            <v>555936750562.72595</v>
          </cell>
          <cell r="AW250">
            <v>662931913417.98401</v>
          </cell>
          <cell r="AX250">
            <v>776890033281.07104</v>
          </cell>
          <cell r="AY250">
            <v>910696090487.89294</v>
          </cell>
          <cell r="AZ250">
            <v>1125878712554.1699</v>
          </cell>
          <cell r="BA250">
            <v>1396533668521.6799</v>
          </cell>
          <cell r="BB250">
            <v>1357825715974.99</v>
          </cell>
          <cell r="BC250">
            <v>1554699357582.51</v>
          </cell>
          <cell r="BD250">
            <v>1547100338285.0701</v>
          </cell>
          <cell r="BE250">
            <v>1687307805884.4199</v>
          </cell>
          <cell r="BF250">
            <v>1556214051625.1499</v>
          </cell>
          <cell r="BG250">
            <v>1528837564265.3899</v>
          </cell>
          <cell r="BH250">
            <v>1371970631296.3701</v>
          </cell>
          <cell r="BI250">
            <v>1395338613075.05</v>
          </cell>
          <cell r="BJ250">
            <v>1375834985781.45</v>
          </cell>
          <cell r="BK250">
            <v>1307967681643.6699</v>
          </cell>
          <cell r="BL250">
            <v>1326250667766.6899</v>
          </cell>
          <cell r="BM250">
            <v>1178697861252.6699</v>
          </cell>
        </row>
        <row r="251">
          <cell r="B251" t="str">
            <v>TMN</v>
          </cell>
          <cell r="C251" t="str">
            <v>GNI (current US$)</v>
          </cell>
          <cell r="D251" t="str">
            <v>NY.GNP.MKTP.CD</v>
          </cell>
          <cell r="E251" t="str">
            <v>..</v>
          </cell>
          <cell r="F251" t="str">
            <v>..</v>
          </cell>
          <cell r="G251" t="str">
            <v>..</v>
          </cell>
          <cell r="H251" t="str">
            <v>..</v>
          </cell>
          <cell r="I251" t="str">
            <v>..</v>
          </cell>
          <cell r="J251">
            <v>30559487779.761101</v>
          </cell>
          <cell r="K251">
            <v>31899021664.638599</v>
          </cell>
          <cell r="L251">
            <v>34586328828.799202</v>
          </cell>
          <cell r="M251">
            <v>38025832791.162399</v>
          </cell>
          <cell r="N251">
            <v>42452484597.775902</v>
          </cell>
          <cell r="O251">
            <v>48404712695.4963</v>
          </cell>
          <cell r="P251">
            <v>55359190407.214203</v>
          </cell>
          <cell r="Q251">
            <v>67236025588.964798</v>
          </cell>
          <cell r="R251">
            <v>90777510831.250793</v>
          </cell>
          <cell r="S251">
            <v>133440839756.832</v>
          </cell>
          <cell r="T251">
            <v>154183803596.246</v>
          </cell>
          <cell r="U251">
            <v>187984884198.73499</v>
          </cell>
          <cell r="V251">
            <v>217745214998.95099</v>
          </cell>
          <cell r="W251">
            <v>227742443396.12299</v>
          </cell>
          <cell r="X251">
            <v>274179895641.04001</v>
          </cell>
          <cell r="Y251">
            <v>314019661548.11401</v>
          </cell>
          <cell r="Z251">
            <v>296952898724.289</v>
          </cell>
          <cell r="AA251">
            <v>341541989723.82001</v>
          </cell>
          <cell r="AB251">
            <v>387318342044.35602</v>
          </cell>
          <cell r="AC251">
            <v>411366456842.02002</v>
          </cell>
          <cell r="AD251">
            <v>445576641694.04901</v>
          </cell>
          <cell r="AE251">
            <v>499269824592.66699</v>
          </cell>
          <cell r="AF251">
            <v>425332456567.31702</v>
          </cell>
          <cell r="AG251">
            <v>405951231592.76501</v>
          </cell>
          <cell r="AH251">
            <v>406931193056.57599</v>
          </cell>
          <cell r="AI251">
            <v>577012068454.75806</v>
          </cell>
          <cell r="AJ251">
            <v>241337064950.77301</v>
          </cell>
          <cell r="AK251">
            <v>265256724367.336</v>
          </cell>
          <cell r="AL251">
            <v>274929956232.71399</v>
          </cell>
          <cell r="AM251">
            <v>293348743899.823</v>
          </cell>
          <cell r="AN251">
            <v>353556721775.802</v>
          </cell>
          <cell r="AO251">
            <v>406259621434.46503</v>
          </cell>
          <cell r="AP251">
            <v>427245035176.88702</v>
          </cell>
          <cell r="AQ251">
            <v>438447588714.94897</v>
          </cell>
          <cell r="AR251">
            <v>472825097825.659</v>
          </cell>
          <cell r="AS251">
            <v>498063733673.58002</v>
          </cell>
          <cell r="AT251">
            <v>510762287353.79102</v>
          </cell>
          <cell r="AU251">
            <v>506921454726.11102</v>
          </cell>
          <cell r="AV251">
            <v>551724050562.72595</v>
          </cell>
          <cell r="AW251">
            <v>658100613417.98401</v>
          </cell>
          <cell r="AX251">
            <v>771415333281.07104</v>
          </cell>
          <cell r="AY251">
            <v>904925190487.89294</v>
          </cell>
          <cell r="AZ251">
            <v>1119510412554.1699</v>
          </cell>
          <cell r="BA251">
            <v>1388551968521.6799</v>
          </cell>
          <cell r="BB251">
            <v>1349207915974.99</v>
          </cell>
          <cell r="BC251">
            <v>1544418757582.51</v>
          </cell>
          <cell r="BD251">
            <v>1535164738285.0701</v>
          </cell>
          <cell r="BE251">
            <v>1674241905884.4199</v>
          </cell>
          <cell r="BF251">
            <v>1541538251625.1499</v>
          </cell>
          <cell r="BG251">
            <v>1513365264265.3899</v>
          </cell>
          <cell r="BH251">
            <v>1356285831296.3701</v>
          </cell>
          <cell r="BI251">
            <v>1378037513075.05</v>
          </cell>
          <cell r="BJ251">
            <v>1357577985781.45</v>
          </cell>
          <cell r="BK251">
            <v>1288903781643.6699</v>
          </cell>
          <cell r="BL251">
            <v>1306085967766.6899</v>
          </cell>
          <cell r="BM251">
            <v>1160587485510.7</v>
          </cell>
        </row>
        <row r="252">
          <cell r="B252" t="str">
            <v>MIC</v>
          </cell>
          <cell r="C252" t="str">
            <v>GNI (current US$)</v>
          </cell>
          <cell r="D252" t="str">
            <v>NY.GNP.MKTP.CD</v>
          </cell>
          <cell r="E252">
            <v>332146655469.08398</v>
          </cell>
          <cell r="F252">
            <v>325061924805.078</v>
          </cell>
          <cell r="G252">
            <v>326292579310.52899</v>
          </cell>
          <cell r="H252">
            <v>343754717028.57098</v>
          </cell>
          <cell r="I252">
            <v>402948012213.85101</v>
          </cell>
          <cell r="J252">
            <v>446285500452.59497</v>
          </cell>
          <cell r="K252">
            <v>450077298429.83502</v>
          </cell>
          <cell r="L252">
            <v>459742169857.92902</v>
          </cell>
          <cell r="M252">
            <v>485736297685.08002</v>
          </cell>
          <cell r="N252">
            <v>544321990283.77002</v>
          </cell>
          <cell r="O252">
            <v>596429567648.85803</v>
          </cell>
          <cell r="P252">
            <v>644814722732.06104</v>
          </cell>
          <cell r="Q252">
            <v>726103631777.75598</v>
          </cell>
          <cell r="R252">
            <v>921597050679.39697</v>
          </cell>
          <cell r="S252">
            <v>1166992362064.4099</v>
          </cell>
          <cell r="T252">
            <v>1286904742009.27</v>
          </cell>
          <cell r="U252">
            <v>1382089301425.0601</v>
          </cell>
          <cell r="V252">
            <v>1549656784740.3701</v>
          </cell>
          <cell r="W252">
            <v>1673752585142.55</v>
          </cell>
          <cell r="X252">
            <v>1981849700778.0801</v>
          </cell>
          <cell r="Y252">
            <v>2310039053226.0898</v>
          </cell>
          <cell r="Z252">
            <v>2604701813316.5298</v>
          </cell>
          <cell r="AA252">
            <v>2555951621513.0298</v>
          </cell>
          <cell r="AB252">
            <v>2474985955216.0498</v>
          </cell>
          <cell r="AC252">
            <v>2514716411656.73</v>
          </cell>
          <cell r="AD252">
            <v>2655789595355.6201</v>
          </cell>
          <cell r="AE252">
            <v>2736326159685.2798</v>
          </cell>
          <cell r="AF252">
            <v>2804293137385.1602</v>
          </cell>
          <cell r="AG252">
            <v>3019357096260.8501</v>
          </cell>
          <cell r="AH252">
            <v>3101608813346.2798</v>
          </cell>
          <cell r="AI252">
            <v>3525624536992.96</v>
          </cell>
          <cell r="AJ252">
            <v>3387875427981.0298</v>
          </cell>
          <cell r="AK252">
            <v>3561099875530.0098</v>
          </cell>
          <cell r="AL252">
            <v>3835010395842.77</v>
          </cell>
          <cell r="AM252">
            <v>4239323180413.25</v>
          </cell>
          <cell r="AN252">
            <v>4776383982336.3096</v>
          </cell>
          <cell r="AO252">
            <v>5212923840981.3701</v>
          </cell>
          <cell r="AP252">
            <v>5510836551224.8604</v>
          </cell>
          <cell r="AQ252">
            <v>5323484582275.3496</v>
          </cell>
          <cell r="AR252">
            <v>5199851794148.1201</v>
          </cell>
          <cell r="AS252">
            <v>5675892454039.6201</v>
          </cell>
          <cell r="AT252">
            <v>5745415590579.0596</v>
          </cell>
          <cell r="AU252">
            <v>5906160506438.1904</v>
          </cell>
          <cell r="AV252">
            <v>6658511615788.79</v>
          </cell>
          <cell r="AW252">
            <v>7910889559929.54</v>
          </cell>
          <cell r="AX252">
            <v>9401187342490.6992</v>
          </cell>
          <cell r="AY252">
            <v>11220651509258.4</v>
          </cell>
          <cell r="AZ252">
            <v>13923400962467.4</v>
          </cell>
          <cell r="BA252">
            <v>16682827548430.301</v>
          </cell>
          <cell r="BB252">
            <v>16253804441147.301</v>
          </cell>
          <cell r="BC252">
            <v>19688664204450.5</v>
          </cell>
          <cell r="BD252">
            <v>23376575983385.5</v>
          </cell>
          <cell r="BE252">
            <v>24977847987984.699</v>
          </cell>
          <cell r="BF252">
            <v>26440331885705</v>
          </cell>
          <cell r="BG252">
            <v>27445506719056.699</v>
          </cell>
          <cell r="BH252">
            <v>26046775749979.898</v>
          </cell>
          <cell r="BI252">
            <v>26199401214850.602</v>
          </cell>
          <cell r="BJ252">
            <v>28839824866233.398</v>
          </cell>
          <cell r="BK252">
            <v>30548146390035.398</v>
          </cell>
          <cell r="BL252">
            <v>31347931154747.898</v>
          </cell>
          <cell r="BM252">
            <v>30137362488989.301</v>
          </cell>
        </row>
        <row r="253">
          <cell r="B253" t="str">
            <v>NAC</v>
          </cell>
          <cell r="C253" t="str">
            <v>GNI (current US$)</v>
          </cell>
          <cell r="D253" t="str">
            <v>NY.GNP.MKTP.CD</v>
          </cell>
          <cell r="E253">
            <v>590837622344.18506</v>
          </cell>
          <cell r="F253">
            <v>612896713661.57495</v>
          </cell>
          <cell r="G253">
            <v>658745021105.56006</v>
          </cell>
          <cell r="H253">
            <v>695402040500.63306</v>
          </cell>
          <cell r="I253">
            <v>746873253574.54004</v>
          </cell>
          <cell r="J253">
            <v>809914676310.02002</v>
          </cell>
          <cell r="K253">
            <v>886797097519.15601</v>
          </cell>
          <cell r="L253">
            <v>937619513789.61096</v>
          </cell>
          <cell r="M253">
            <v>1025747746258.59</v>
          </cell>
          <cell r="N253">
            <v>1109442533903.98</v>
          </cell>
          <cell r="O253">
            <v>1161734474934.25</v>
          </cell>
          <cell r="P253">
            <v>1261595286510.0601</v>
          </cell>
          <cell r="Q253">
            <v>1393043577778.3101</v>
          </cell>
          <cell r="R253">
            <v>1562427855971.02</v>
          </cell>
          <cell r="S253">
            <v>1712573458654.46</v>
          </cell>
          <cell r="T253">
            <v>1857107689508.45</v>
          </cell>
          <cell r="U253">
            <v>2074027083147.4399</v>
          </cell>
          <cell r="V253">
            <v>2291481571085.21</v>
          </cell>
          <cell r="W253">
            <v>2564868342862.6699</v>
          </cell>
          <cell r="X253">
            <v>2852653292651.5498</v>
          </cell>
          <cell r="Y253">
            <v>3115696212581.6401</v>
          </cell>
          <cell r="Z253">
            <v>3500289014908.3398</v>
          </cell>
          <cell r="AA253">
            <v>3676715634312.5601</v>
          </cell>
          <cell r="AB253">
            <v>3947613133508.2998</v>
          </cell>
          <cell r="AC253">
            <v>4379742591029.23</v>
          </cell>
          <cell r="AD253">
            <v>4666956170880.0498</v>
          </cell>
          <cell r="AE253">
            <v>4884762649644.1201</v>
          </cell>
          <cell r="AF253">
            <v>5250783857893.5801</v>
          </cell>
          <cell r="AG253">
            <v>5751308668514.4102</v>
          </cell>
          <cell r="AH253">
            <v>6148577400397.7803</v>
          </cell>
          <cell r="AI253">
            <v>6479537991423.8301</v>
          </cell>
          <cell r="AJ253">
            <v>6691684945953.5801</v>
          </cell>
          <cell r="AK253">
            <v>7011385093167.8301</v>
          </cell>
          <cell r="AL253">
            <v>7296091222370.3496</v>
          </cell>
          <cell r="AM253">
            <v>7732551142351.29</v>
          </cell>
          <cell r="AN253">
            <v>8163079464467.5596</v>
          </cell>
          <cell r="AO253">
            <v>8659065400839.1797</v>
          </cell>
          <cell r="AP253">
            <v>9227691248509.6191</v>
          </cell>
          <cell r="AQ253">
            <v>9752083221725.75</v>
          </cell>
          <cell r="AR253">
            <v>10350158945210</v>
          </cell>
          <cell r="AS253">
            <v>11113399441125.699</v>
          </cell>
          <cell r="AT253">
            <v>11468885103688.9</v>
          </cell>
          <cell r="AU253">
            <v>11798402146044.699</v>
          </cell>
          <cell r="AV253">
            <v>12413382702071.5</v>
          </cell>
          <cell r="AW253">
            <v>13327600157757.699</v>
          </cell>
          <cell r="AX253">
            <v>14321444650937.6</v>
          </cell>
          <cell r="AY253">
            <v>15370896027945.199</v>
          </cell>
          <cell r="AZ253">
            <v>16003776561641.801</v>
          </cell>
          <cell r="BA253">
            <v>16254859054464.699</v>
          </cell>
          <cell r="BB253">
            <v>15783609234565.5</v>
          </cell>
          <cell r="BC253">
            <v>16764233575651.199</v>
          </cell>
          <cell r="BD253">
            <v>17615906042319.602</v>
          </cell>
          <cell r="BE253">
            <v>18478176486603.5</v>
          </cell>
          <cell r="BF253">
            <v>19013566427757.102</v>
          </cell>
          <cell r="BG253">
            <v>19826323989702.301</v>
          </cell>
          <cell r="BH253">
            <v>20200467277013.898</v>
          </cell>
          <cell r="BI253">
            <v>20536902719731.398</v>
          </cell>
          <cell r="BJ253">
            <v>21528799851163.199</v>
          </cell>
          <cell r="BK253">
            <v>22650233848536.102</v>
          </cell>
          <cell r="BL253">
            <v>23435876517211.199</v>
          </cell>
          <cell r="BM253">
            <v>22920727994358.801</v>
          </cell>
        </row>
        <row r="254">
          <cell r="B254" t="str">
            <v>INX</v>
          </cell>
          <cell r="C254" t="str">
            <v>GNI (current US$)</v>
          </cell>
          <cell r="D254" t="str">
            <v>NY.GNP.MKTP.CD</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cell r="AJ254" t="str">
            <v>..</v>
          </cell>
          <cell r="AK254" t="str">
            <v>..</v>
          </cell>
          <cell r="AL254" t="str">
            <v>..</v>
          </cell>
          <cell r="AM254" t="str">
            <v>..</v>
          </cell>
          <cell r="AN254" t="str">
            <v>..</v>
          </cell>
          <cell r="AO254" t="str">
            <v>..</v>
          </cell>
          <cell r="AP254" t="str">
            <v>..</v>
          </cell>
          <cell r="AQ254" t="str">
            <v>..</v>
          </cell>
          <cell r="AR254" t="str">
            <v>..</v>
          </cell>
          <cell r="AS254" t="str">
            <v>..</v>
          </cell>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v>
          </cell>
        </row>
        <row r="255">
          <cell r="B255" t="str">
            <v>OED</v>
          </cell>
          <cell r="C255" t="str">
            <v>GNI (current US$)</v>
          </cell>
          <cell r="D255" t="str">
            <v>NY.GNP.MKTP.CD</v>
          </cell>
          <cell r="E255">
            <v>1059098552930.9301</v>
          </cell>
          <cell r="F255">
            <v>1123473164125.47</v>
          </cell>
          <cell r="G255">
            <v>1219022887409.78</v>
          </cell>
          <cell r="H255">
            <v>1314547502698.1101</v>
          </cell>
          <cell r="I255">
            <v>1436668145801.3101</v>
          </cell>
          <cell r="J255">
            <v>1562521312841.8301</v>
          </cell>
          <cell r="K255">
            <v>1715176134780.95</v>
          </cell>
          <cell r="L255">
            <v>1845193956874.6399</v>
          </cell>
          <cell r="M255">
            <v>2021293104742.97</v>
          </cell>
          <cell r="N255">
            <v>2224648477405.6001</v>
          </cell>
          <cell r="O255">
            <v>2415656084313.1201</v>
          </cell>
          <cell r="P255">
            <v>2671245300795.9399</v>
          </cell>
          <cell r="Q255">
            <v>3103945233151.6099</v>
          </cell>
          <cell r="R255">
            <v>3754295728234.3301</v>
          </cell>
          <cell r="S255">
            <v>4206187197502.1899</v>
          </cell>
          <cell r="T255">
            <v>4707667447571.0098</v>
          </cell>
          <cell r="U255">
            <v>5096079657325.4902</v>
          </cell>
          <cell r="V255">
            <v>5748064077073.6699</v>
          </cell>
          <cell r="W255">
            <v>6899824981180.6104</v>
          </cell>
          <cell r="X255">
            <v>7954414343023.7695</v>
          </cell>
          <cell r="Y255">
            <v>8845192788703.0293</v>
          </cell>
          <cell r="Z255">
            <v>9003809016238.0703</v>
          </cell>
          <cell r="AA255">
            <v>8884650761009.7305</v>
          </cell>
          <cell r="AB255">
            <v>9148569516152.4805</v>
          </cell>
          <cell r="AC255">
            <v>9591617782489.4102</v>
          </cell>
          <cell r="AD255">
            <v>10081788980426.699</v>
          </cell>
          <cell r="AE255">
            <v>12171468015075.4</v>
          </cell>
          <cell r="AF255">
            <v>14144988195906.301</v>
          </cell>
          <cell r="AG255">
            <v>16011138623369.5</v>
          </cell>
          <cell r="AH255">
            <v>16683478176557.301</v>
          </cell>
          <cell r="AI255">
            <v>18721611706323.199</v>
          </cell>
          <cell r="AJ255">
            <v>19833543259000.102</v>
          </cell>
          <cell r="AK255">
            <v>21332375864587.801</v>
          </cell>
          <cell r="AL255">
            <v>21624501097919.5</v>
          </cell>
          <cell r="AM255">
            <v>23228454829254.102</v>
          </cell>
          <cell r="AN255">
            <v>25547254089714.301</v>
          </cell>
          <cell r="AO255">
            <v>25808329164240.199</v>
          </cell>
          <cell r="AP255">
            <v>25481488921611.801</v>
          </cell>
          <cell r="AQ255">
            <v>25812428137131.398</v>
          </cell>
          <cell r="AR255">
            <v>27116195937717.898</v>
          </cell>
          <cell r="AS255">
            <v>27809486094030</v>
          </cell>
          <cell r="AT255">
            <v>27564682173932.301</v>
          </cell>
          <cell r="AU255">
            <v>28658990784874.602</v>
          </cell>
          <cell r="AV255">
            <v>32022666627129.898</v>
          </cell>
          <cell r="AW255">
            <v>35700343171375.703</v>
          </cell>
          <cell r="AX255">
            <v>37803721587752.297</v>
          </cell>
          <cell r="AY255">
            <v>40002581027692.297</v>
          </cell>
          <cell r="AZ255">
            <v>43493925604581.703</v>
          </cell>
          <cell r="BA255">
            <v>45890845271242.898</v>
          </cell>
          <cell r="BB255">
            <v>43080951686472.703</v>
          </cell>
          <cell r="BC255">
            <v>45454678406495.297</v>
          </cell>
          <cell r="BD255">
            <v>49013123943646.398</v>
          </cell>
          <cell r="BE255">
            <v>49155776806435.898</v>
          </cell>
          <cell r="BF255">
            <v>49719137986917.703</v>
          </cell>
          <cell r="BG255">
            <v>50846112137963.203</v>
          </cell>
          <cell r="BH255">
            <v>47904670861242.102</v>
          </cell>
          <cell r="BI255">
            <v>48717942331280.5</v>
          </cell>
          <cell r="BJ255">
            <v>50924682588214.602</v>
          </cell>
          <cell r="BK255">
            <v>53880378040732.898</v>
          </cell>
          <cell r="BL255">
            <v>54364159820882.5</v>
          </cell>
          <cell r="BM255">
            <v>52694167813140.398</v>
          </cell>
        </row>
        <row r="256">
          <cell r="B256" t="str">
            <v>OSS</v>
          </cell>
          <cell r="C256" t="str">
            <v>GNI (current US$)</v>
          </cell>
          <cell r="D256" t="str">
            <v>NY.GNP.MKTP.CD</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v>15745376486.754</v>
          </cell>
          <cell r="V256">
            <v>17407278480.751701</v>
          </cell>
          <cell r="W256">
            <v>19135642998.786999</v>
          </cell>
          <cell r="X256">
            <v>24401934395.662601</v>
          </cell>
          <cell r="Y256">
            <v>34237889259.346901</v>
          </cell>
          <cell r="Z256">
            <v>35816573030.235603</v>
          </cell>
          <cell r="AA256">
            <v>33792613817.325401</v>
          </cell>
          <cell r="AB256">
            <v>31984406561.650902</v>
          </cell>
          <cell r="AC256">
            <v>32000340275.110298</v>
          </cell>
          <cell r="AD256">
            <v>30256062529.3251</v>
          </cell>
          <cell r="AE256">
            <v>32012622400.575199</v>
          </cell>
          <cell r="AF256">
            <v>38032803876.357697</v>
          </cell>
          <cell r="AG256">
            <v>42775930787.119904</v>
          </cell>
          <cell r="AH256">
            <v>44692421963.809502</v>
          </cell>
          <cell r="AI256">
            <v>54090368094.8423</v>
          </cell>
          <cell r="AJ256">
            <v>56033658315.115097</v>
          </cell>
          <cell r="AK256">
            <v>60727931424.045898</v>
          </cell>
          <cell r="AL256">
            <v>57709300549.7201</v>
          </cell>
          <cell r="AM256">
            <v>59666486424.582901</v>
          </cell>
          <cell r="AN256">
            <v>68874496098.020706</v>
          </cell>
          <cell r="AO256">
            <v>72206564202.749603</v>
          </cell>
          <cell r="AP256">
            <v>74769376905.927597</v>
          </cell>
          <cell r="AQ256">
            <v>73244012052.837799</v>
          </cell>
          <cell r="AR256">
            <v>77515560394.511703</v>
          </cell>
          <cell r="AS256">
            <v>86372469563.895996</v>
          </cell>
          <cell r="AT256">
            <v>86785549103.623703</v>
          </cell>
          <cell r="AU256">
            <v>93364778524.490799</v>
          </cell>
          <cell r="AV256">
            <v>116692994821.776</v>
          </cell>
          <cell r="AW256">
            <v>141153172299.92001</v>
          </cell>
          <cell r="AX256">
            <v>168668966090.03201</v>
          </cell>
          <cell r="AY256">
            <v>204042783820.151</v>
          </cell>
          <cell r="AZ256">
            <v>249684802764.49701</v>
          </cell>
          <cell r="BA256">
            <v>302907185271.40399</v>
          </cell>
          <cell r="BB256">
            <v>255532183437.30301</v>
          </cell>
          <cell r="BC256">
            <v>294124763570.04797</v>
          </cell>
          <cell r="BD256">
            <v>368024743521.258</v>
          </cell>
          <cell r="BE256">
            <v>390220260643.57599</v>
          </cell>
          <cell r="BF256">
            <v>412012226903.24597</v>
          </cell>
          <cell r="BG256">
            <v>426680198947.40002</v>
          </cell>
          <cell r="BH256">
            <v>360574602995.19299</v>
          </cell>
          <cell r="BI256">
            <v>357499311588.60699</v>
          </cell>
          <cell r="BJ256">
            <v>389672305966.16901</v>
          </cell>
          <cell r="BK256">
            <v>428568547978.65002</v>
          </cell>
          <cell r="BL256">
            <v>419890192973.96002</v>
          </cell>
          <cell r="BM256">
            <v>364245234555.32001</v>
          </cell>
        </row>
        <row r="257">
          <cell r="B257" t="str">
            <v>PSS</v>
          </cell>
          <cell r="C257" t="str">
            <v>GNI (current US$)</v>
          </cell>
          <cell r="D257" t="str">
            <v>NY.GNP.MKTP.CD</v>
          </cell>
          <cell r="E257" t="str">
            <v>..</v>
          </cell>
          <cell r="F257" t="str">
            <v>..</v>
          </cell>
          <cell r="G257" t="str">
            <v>..</v>
          </cell>
          <cell r="H257" t="str">
            <v>..</v>
          </cell>
          <cell r="I257" t="str">
            <v>..</v>
          </cell>
          <cell r="J257" t="str">
            <v>..</v>
          </cell>
          <cell r="K257" t="str">
            <v>..</v>
          </cell>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v>1761396939.35111</v>
          </cell>
          <cell r="Y257">
            <v>2102494456.5792799</v>
          </cell>
          <cell r="Z257">
            <v>2181327344.3886099</v>
          </cell>
          <cell r="AA257">
            <v>2084035521.1138201</v>
          </cell>
          <cell r="AB257">
            <v>1987478560.0591199</v>
          </cell>
          <cell r="AC257">
            <v>2073083428.39029</v>
          </cell>
          <cell r="AD257">
            <v>1997507734.7096901</v>
          </cell>
          <cell r="AE257">
            <v>2184119721.8415298</v>
          </cell>
          <cell r="AF257">
            <v>2081864217.47772</v>
          </cell>
          <cell r="AG257">
            <v>2105174060.4592099</v>
          </cell>
          <cell r="AH257">
            <v>2183069120.01478</v>
          </cell>
          <cell r="AI257">
            <v>2441257860.01331</v>
          </cell>
          <cell r="AJ257">
            <v>2591351357.0848498</v>
          </cell>
          <cell r="AK257">
            <v>2838665127.1118698</v>
          </cell>
          <cell r="AL257">
            <v>3006568573.2316198</v>
          </cell>
          <cell r="AM257">
            <v>3451722074.1973</v>
          </cell>
          <cell r="AN257">
            <v>3808894745.19805</v>
          </cell>
          <cell r="AO257">
            <v>4065452863.6018701</v>
          </cell>
          <cell r="AP257">
            <v>4034370117.6859598</v>
          </cell>
          <cell r="AQ257">
            <v>3441519162.8872299</v>
          </cell>
          <cell r="AR257">
            <v>3811857293.4979901</v>
          </cell>
          <cell r="AS257">
            <v>3575560615.86064</v>
          </cell>
          <cell r="AT257">
            <v>3485799358.0592699</v>
          </cell>
          <cell r="AU257">
            <v>3671633893.8924999</v>
          </cell>
          <cell r="AV257">
            <v>4255526857.7760701</v>
          </cell>
          <cell r="AW257">
            <v>4902585172.5782099</v>
          </cell>
          <cell r="AX257">
            <v>5452156048.0943499</v>
          </cell>
          <cell r="AY257">
            <v>5563620359.9767799</v>
          </cell>
          <cell r="AZ257">
            <v>6189502594.5134897</v>
          </cell>
          <cell r="BA257">
            <v>6590833347.74088</v>
          </cell>
          <cell r="BB257">
            <v>5957435822.4803696</v>
          </cell>
          <cell r="BC257">
            <v>6558929941.9316998</v>
          </cell>
          <cell r="BD257">
            <v>7656854465.5634604</v>
          </cell>
          <cell r="BE257">
            <v>8117230599.092</v>
          </cell>
          <cell r="BF257">
            <v>8638258257.0649204</v>
          </cell>
          <cell r="BG257">
            <v>9254483926.9153805</v>
          </cell>
          <cell r="BH257">
            <v>9090990261.9705791</v>
          </cell>
          <cell r="BI257">
            <v>9479132504.0944099</v>
          </cell>
          <cell r="BJ257">
            <v>10115405317.771999</v>
          </cell>
          <cell r="BK257">
            <v>10626418652.476601</v>
          </cell>
          <cell r="BL257">
            <v>10634235497.680099</v>
          </cell>
          <cell r="BM257">
            <v>9715958968.6537609</v>
          </cell>
        </row>
        <row r="258">
          <cell r="B258" t="str">
            <v>PST</v>
          </cell>
          <cell r="C258" t="str">
            <v>GNI (current US$)</v>
          </cell>
          <cell r="D258" t="str">
            <v>NY.GNP.MKTP.CD</v>
          </cell>
          <cell r="E258">
            <v>1032372784039.47</v>
          </cell>
          <cell r="F258">
            <v>1093742359881.58</v>
          </cell>
          <cell r="G258">
            <v>1187677513943.0601</v>
          </cell>
          <cell r="H258">
            <v>1280726300628.3899</v>
          </cell>
          <cell r="I258">
            <v>1396894693106.1899</v>
          </cell>
          <cell r="J258">
            <v>1520832818223.96</v>
          </cell>
          <cell r="K258">
            <v>1669661680370.0901</v>
          </cell>
          <cell r="L258">
            <v>1796663998868.48</v>
          </cell>
          <cell r="M258">
            <v>1968635360863.0901</v>
          </cell>
          <cell r="N258">
            <v>2165785343382.6399</v>
          </cell>
          <cell r="O258">
            <v>2354894957788.0698</v>
          </cell>
          <cell r="P258">
            <v>2607810669657.6802</v>
          </cell>
          <cell r="Q258">
            <v>3029474129053.52</v>
          </cell>
          <cell r="R258">
            <v>3660964922626.3398</v>
          </cell>
          <cell r="S258">
            <v>4084810240483.8701</v>
          </cell>
          <cell r="T258">
            <v>4574124043802.9004</v>
          </cell>
          <cell r="U258">
            <v>4955720862902.2998</v>
          </cell>
          <cell r="V258">
            <v>5600860902460.04</v>
          </cell>
          <cell r="W258">
            <v>6728786832999.3096</v>
          </cell>
          <cell r="X258">
            <v>7719650477455.4404</v>
          </cell>
          <cell r="Y258">
            <v>8554227010182.1699</v>
          </cell>
          <cell r="Z258">
            <v>8652850172865.4199</v>
          </cell>
          <cell r="AA258">
            <v>8633888596952.0195</v>
          </cell>
          <cell r="AB258">
            <v>8928494552674.9492</v>
          </cell>
          <cell r="AC258">
            <v>9360425193799.4609</v>
          </cell>
          <cell r="AD258">
            <v>9837983634799.3496</v>
          </cell>
          <cell r="AE258">
            <v>11977182261825.801</v>
          </cell>
          <cell r="AF258">
            <v>13931320053847.5</v>
          </cell>
          <cell r="AG258">
            <v>15754138537759.4</v>
          </cell>
          <cell r="AH258">
            <v>16380078400026.699</v>
          </cell>
          <cell r="AI258">
            <v>18306001721066.801</v>
          </cell>
          <cell r="AJ258">
            <v>19339484832807.898</v>
          </cell>
          <cell r="AK258">
            <v>20768130387400.102</v>
          </cell>
          <cell r="AL258">
            <v>20908752580160.301</v>
          </cell>
          <cell r="AM258">
            <v>22507581072617.801</v>
          </cell>
          <cell r="AN258">
            <v>24901848433855.199</v>
          </cell>
          <cell r="AO258">
            <v>25061425631651.602</v>
          </cell>
          <cell r="AP258">
            <v>24640256929277.199</v>
          </cell>
          <cell r="AQ258">
            <v>24821583033052.102</v>
          </cell>
          <cell r="AR258">
            <v>26070421481275.301</v>
          </cell>
          <cell r="AS258">
            <v>26622459652404.102</v>
          </cell>
          <cell r="AT258">
            <v>26386125993782.898</v>
          </cell>
          <cell r="AU258">
            <v>27417759939285.801</v>
          </cell>
          <cell r="AV258">
            <v>30708403929818</v>
          </cell>
          <cell r="AW258">
            <v>34170919160780.699</v>
          </cell>
          <cell r="AX258">
            <v>36006571675904.297</v>
          </cell>
          <cell r="AY258">
            <v>38018448586472</v>
          </cell>
          <cell r="AZ258">
            <v>41208726844225.297</v>
          </cell>
          <cell r="BA258">
            <v>43348673619404.5</v>
          </cell>
          <cell r="BB258">
            <v>40957955575250.5</v>
          </cell>
          <cell r="BC258">
            <v>42991989508721.5</v>
          </cell>
          <cell r="BD258">
            <v>46300746430118.203</v>
          </cell>
          <cell r="BE258">
            <v>46421455068452.703</v>
          </cell>
          <cell r="BF258">
            <v>46787940076354.703</v>
          </cell>
          <cell r="BG258">
            <v>47822988567248.102</v>
          </cell>
          <cell r="BH258">
            <v>45202729641662.5</v>
          </cell>
          <cell r="BI258">
            <v>46091314411564.5</v>
          </cell>
          <cell r="BJ258">
            <v>48150322961807.703</v>
          </cell>
          <cell r="BK258">
            <v>51042861529223.398</v>
          </cell>
          <cell r="BL258">
            <v>51514057216703.203</v>
          </cell>
          <cell r="BM258">
            <v>50078568806504.102</v>
          </cell>
        </row>
        <row r="259">
          <cell r="B259" t="str">
            <v>PRE</v>
          </cell>
          <cell r="C259" t="str">
            <v>GNI (current US$)</v>
          </cell>
          <cell r="D259" t="str">
            <v>NY.GNP.MKTP.CD</v>
          </cell>
          <cell r="E259" t="str">
            <v>..</v>
          </cell>
          <cell r="F259" t="str">
            <v>..</v>
          </cell>
          <cell r="G259" t="str">
            <v>..</v>
          </cell>
          <cell r="H259" t="str">
            <v>..</v>
          </cell>
          <cell r="I259" t="str">
            <v>..</v>
          </cell>
          <cell r="J259" t="str">
            <v>..</v>
          </cell>
          <cell r="K259" t="str">
            <v>..</v>
          </cell>
          <cell r="L259">
            <v>33606741933.201401</v>
          </cell>
          <cell r="M259">
            <v>34692788722.808403</v>
          </cell>
          <cell r="N259">
            <v>38817176624.922897</v>
          </cell>
          <cell r="O259">
            <v>50109792138.423798</v>
          </cell>
          <cell r="P259">
            <v>46118715738.872498</v>
          </cell>
          <cell r="Q259">
            <v>54544501769.0923</v>
          </cell>
          <cell r="R259">
            <v>66100227368.015701</v>
          </cell>
          <cell r="S259">
            <v>90891729641.615601</v>
          </cell>
          <cell r="T259">
            <v>105068288393.533</v>
          </cell>
          <cell r="U259">
            <v>123662489355.87399</v>
          </cell>
          <cell r="V259">
            <v>134339733214.80901</v>
          </cell>
          <cell r="W259">
            <v>145092344372.67401</v>
          </cell>
          <cell r="X259">
            <v>177108056926.10599</v>
          </cell>
          <cell r="Y259">
            <v>207551075369.64801</v>
          </cell>
          <cell r="Z259">
            <v>303115542504.23102</v>
          </cell>
          <cell r="AA259">
            <v>281204416385.737</v>
          </cell>
          <cell r="AB259">
            <v>221996415590.17899</v>
          </cell>
          <cell r="AC259">
            <v>203976267662.26199</v>
          </cell>
          <cell r="AD259">
            <v>209546936230.586</v>
          </cell>
          <cell r="AE259">
            <v>202125653536.98099</v>
          </cell>
          <cell r="AF259">
            <v>222787695081.17099</v>
          </cell>
          <cell r="AG259">
            <v>225872570718.00601</v>
          </cell>
          <cell r="AH259">
            <v>220542891295.20801</v>
          </cell>
          <cell r="AI259">
            <v>358054138852.65002</v>
          </cell>
          <cell r="AJ259">
            <v>151314606115.60599</v>
          </cell>
          <cell r="AK259">
            <v>145996215401.185</v>
          </cell>
          <cell r="AL259">
            <v>127734841185.95599</v>
          </cell>
          <cell r="AM259">
            <v>125078822697.64101</v>
          </cell>
          <cell r="AN259">
            <v>163815446322.23499</v>
          </cell>
          <cell r="AO259">
            <v>176844099797.29099</v>
          </cell>
          <cell r="AP259">
            <v>197108743902.42801</v>
          </cell>
          <cell r="AQ259">
            <v>203079497250.45401</v>
          </cell>
          <cell r="AR259">
            <v>224195675928.98901</v>
          </cell>
          <cell r="AS259">
            <v>256510290034.30899</v>
          </cell>
          <cell r="AT259">
            <v>245441906512.10599</v>
          </cell>
          <cell r="AU259">
            <v>281091582505.12299</v>
          </cell>
          <cell r="AV259">
            <v>304159556481.04303</v>
          </cell>
          <cell r="AW259">
            <v>379932847371.44501</v>
          </cell>
          <cell r="AX259">
            <v>470917252844.87</v>
          </cell>
          <cell r="AY259">
            <v>612939429748.55396</v>
          </cell>
          <cell r="AZ259">
            <v>737160459636.86096</v>
          </cell>
          <cell r="BA259">
            <v>928837805141.01904</v>
          </cell>
          <cell r="BB259">
            <v>842561590559.40503</v>
          </cell>
          <cell r="BC259">
            <v>973330045487.49805</v>
          </cell>
          <cell r="BD259">
            <v>1128617200167.46</v>
          </cell>
          <cell r="BE259">
            <v>1244974656717.79</v>
          </cell>
          <cell r="BF259">
            <v>1362352044933.45</v>
          </cell>
          <cell r="BG259">
            <v>1444391692983.04</v>
          </cell>
          <cell r="BH259">
            <v>1277709372779.4099</v>
          </cell>
          <cell r="BI259">
            <v>1177837737838.6799</v>
          </cell>
          <cell r="BJ259">
            <v>1221526749975.98</v>
          </cell>
          <cell r="BK259">
            <v>1298903761942.8799</v>
          </cell>
          <cell r="BL259">
            <v>1367193773648.1499</v>
          </cell>
          <cell r="BM259">
            <v>1250527079140.3501</v>
          </cell>
        </row>
        <row r="260">
          <cell r="B260" t="str">
            <v>SST</v>
          </cell>
          <cell r="C260" t="str">
            <v>GNI (current US$)</v>
          </cell>
          <cell r="D260" t="str">
            <v>NY.GNP.MKTP.CD</v>
          </cell>
          <cell r="E260" t="str">
            <v>..</v>
          </cell>
          <cell r="F260" t="str">
            <v>..</v>
          </cell>
          <cell r="G260" t="str">
            <v>..</v>
          </cell>
          <cell r="H260" t="str">
            <v>..</v>
          </cell>
          <cell r="I260" t="str">
            <v>..</v>
          </cell>
          <cell r="J260" t="str">
            <v>..</v>
          </cell>
          <cell r="K260" t="str">
            <v>..</v>
          </cell>
          <cell r="L260" t="str">
            <v>..</v>
          </cell>
          <cell r="M260" t="str">
            <v>..</v>
          </cell>
          <cell r="N260" t="str">
            <v>..</v>
          </cell>
          <cell r="O260">
            <v>7916878030.7551699</v>
          </cell>
          <cell r="P260">
            <v>8869296721.9422894</v>
          </cell>
          <cell r="Q260">
            <v>10554739316.445999</v>
          </cell>
          <cell r="R260">
            <v>12963168548.0721</v>
          </cell>
          <cell r="S260">
            <v>19811985613.270802</v>
          </cell>
          <cell r="T260">
            <v>23225993022.852402</v>
          </cell>
          <cell r="U260">
            <v>25595169665.4935</v>
          </cell>
          <cell r="V260">
            <v>28686464272.406101</v>
          </cell>
          <cell r="W260">
            <v>30720766217.392899</v>
          </cell>
          <cell r="X260">
            <v>37346230893.181297</v>
          </cell>
          <cell r="Y260">
            <v>49808801809.484001</v>
          </cell>
          <cell r="Z260">
            <v>53008274592.641701</v>
          </cell>
          <cell r="AA260">
            <v>52989941206.981003</v>
          </cell>
          <cell r="AB260">
            <v>51420573533.579903</v>
          </cell>
          <cell r="AC260">
            <v>50157533848.538498</v>
          </cell>
          <cell r="AD260">
            <v>47907185675.375198</v>
          </cell>
          <cell r="AE260">
            <v>48026919959.112999</v>
          </cell>
          <cell r="AF260">
            <v>54544188628.162598</v>
          </cell>
          <cell r="AG260">
            <v>60370921095.867599</v>
          </cell>
          <cell r="AH260">
            <v>62628093739.922096</v>
          </cell>
          <cell r="AI260">
            <v>73045276630.916504</v>
          </cell>
          <cell r="AJ260">
            <v>74848543514.0569</v>
          </cell>
          <cell r="AK260">
            <v>79623894977.694397</v>
          </cell>
          <cell r="AL260">
            <v>78540680266.166794</v>
          </cell>
          <cell r="AM260">
            <v>81615445739.639297</v>
          </cell>
          <cell r="AN260">
            <v>93759804661.260101</v>
          </cell>
          <cell r="AO260">
            <v>99816945662.521896</v>
          </cell>
          <cell r="AP260">
            <v>105699481949.189</v>
          </cell>
          <cell r="AQ260">
            <v>105675507514.672</v>
          </cell>
          <cell r="AR260">
            <v>112043076134.10699</v>
          </cell>
          <cell r="AS260">
            <v>122573893803.795</v>
          </cell>
          <cell r="AT260">
            <v>123806779972.87</v>
          </cell>
          <cell r="AU260">
            <v>132253300179.491</v>
          </cell>
          <cell r="AV260">
            <v>158520171940.142</v>
          </cell>
          <cell r="AW260">
            <v>187561735162.582</v>
          </cell>
          <cell r="AX260">
            <v>220776799889.81</v>
          </cell>
          <cell r="AY260">
            <v>262824235821.75101</v>
          </cell>
          <cell r="AZ260">
            <v>315334231673.00201</v>
          </cell>
          <cell r="BA260">
            <v>377369180987.77301</v>
          </cell>
          <cell r="BB260">
            <v>318597008354.87299</v>
          </cell>
          <cell r="BC260">
            <v>362956899204.93103</v>
          </cell>
          <cell r="BD260">
            <v>441016794128.42603</v>
          </cell>
          <cell r="BE260">
            <v>467010080778.14203</v>
          </cell>
          <cell r="BF260">
            <v>491232791191.526</v>
          </cell>
          <cell r="BG260">
            <v>507247227773.38098</v>
          </cell>
          <cell r="BH260">
            <v>440815105025.84601</v>
          </cell>
          <cell r="BI260">
            <v>434249659865.20502</v>
          </cell>
          <cell r="BJ260">
            <v>469569280929.164</v>
          </cell>
          <cell r="BK260">
            <v>511250276046.20801</v>
          </cell>
          <cell r="BL260">
            <v>504262705228.46399</v>
          </cell>
          <cell r="BM260">
            <v>437173819767.52802</v>
          </cell>
        </row>
        <row r="261">
          <cell r="B261" t="str">
            <v>SAS</v>
          </cell>
          <cell r="C261" t="str">
            <v>GNI (current US$)</v>
          </cell>
          <cell r="D261" t="str">
            <v>NY.GNP.MKTP.CD</v>
          </cell>
          <cell r="E261">
            <v>46419073424.602501</v>
          </cell>
          <cell r="F261">
            <v>49169199524.609299</v>
          </cell>
          <cell r="G261">
            <v>52585946478.953102</v>
          </cell>
          <cell r="H261">
            <v>59569977507.7901</v>
          </cell>
          <cell r="I261">
            <v>68934765361.443802</v>
          </cell>
          <cell r="J261">
            <v>73863501791.046494</v>
          </cell>
          <cell r="K261">
            <v>60497663545.855499</v>
          </cell>
          <cell r="L261">
            <v>66377857999.791496</v>
          </cell>
          <cell r="M261">
            <v>69669495645.189896</v>
          </cell>
          <cell r="N261">
            <v>76357332942.217697</v>
          </cell>
          <cell r="O261">
            <v>82708469523.344101</v>
          </cell>
          <cell r="P261">
            <v>88852142143.801193</v>
          </cell>
          <cell r="Q261">
            <v>91963169666.678604</v>
          </cell>
          <cell r="R261">
            <v>104258266219.645</v>
          </cell>
          <cell r="S261">
            <v>126405638979.55</v>
          </cell>
          <cell r="T261">
            <v>135308701554.87801</v>
          </cell>
          <cell r="U261">
            <v>131923909810.168</v>
          </cell>
          <cell r="V261">
            <v>152787283159.37701</v>
          </cell>
          <cell r="W261">
            <v>174421382321.17599</v>
          </cell>
          <cell r="X261">
            <v>195995583436.89499</v>
          </cell>
          <cell r="Y261">
            <v>236621658710.444</v>
          </cell>
          <cell r="Z261">
            <v>250695913154.68201</v>
          </cell>
          <cell r="AA261">
            <v>258648041492.87601</v>
          </cell>
          <cell r="AB261">
            <v>273575737252.724</v>
          </cell>
          <cell r="AC261">
            <v>271849710450.06799</v>
          </cell>
          <cell r="AD261">
            <v>295632805919.40698</v>
          </cell>
          <cell r="AE261">
            <v>312844280906.88202</v>
          </cell>
          <cell r="AF261">
            <v>347033996794.37701</v>
          </cell>
          <cell r="AG261">
            <v>371898729315.03302</v>
          </cell>
          <cell r="AH261">
            <v>374961088858.88599</v>
          </cell>
          <cell r="AI261">
            <v>403097365167.28302</v>
          </cell>
          <cell r="AJ261">
            <v>358002601305.63</v>
          </cell>
          <cell r="AK261">
            <v>380247243248.63397</v>
          </cell>
          <cell r="AL261">
            <v>377080654356.12299</v>
          </cell>
          <cell r="AM261">
            <v>428050834322.987</v>
          </cell>
          <cell r="AN261">
            <v>475606264853.784</v>
          </cell>
          <cell r="AO261">
            <v>520985541330.737</v>
          </cell>
          <cell r="AP261">
            <v>546853629312.75201</v>
          </cell>
          <cell r="AQ261">
            <v>554378523253.01794</v>
          </cell>
          <cell r="AR261">
            <v>594959840839.276</v>
          </cell>
          <cell r="AS261">
            <v>625682314675.12598</v>
          </cell>
          <cell r="AT261">
            <v>641726067069.47498</v>
          </cell>
          <cell r="AU261">
            <v>674675905505.76294</v>
          </cell>
          <cell r="AV261">
            <v>787776556384.09204</v>
          </cell>
          <cell r="AW261">
            <v>913956678463.60901</v>
          </cell>
          <cell r="AX261">
            <v>1046569954905.85</v>
          </cell>
          <cell r="AY261">
            <v>1191580911525.72</v>
          </cell>
          <cell r="AZ261">
            <v>1501407301508.78</v>
          </cell>
          <cell r="BA261">
            <v>1523408789558.6799</v>
          </cell>
          <cell r="BB261">
            <v>1678468338521.01</v>
          </cell>
          <cell r="BC261">
            <v>2048016179455.8601</v>
          </cell>
          <cell r="BD261">
            <v>2264708286421.4702</v>
          </cell>
          <cell r="BE261">
            <v>2285225187576.3599</v>
          </cell>
          <cell r="BF261">
            <v>2342863104048.8301</v>
          </cell>
          <cell r="BG261">
            <v>2566051246580.3101</v>
          </cell>
          <cell r="BH261">
            <v>2681113897702.3599</v>
          </cell>
          <cell r="BI261">
            <v>2884764203298.3999</v>
          </cell>
          <cell r="BJ261">
            <v>3322787395361.8398</v>
          </cell>
          <cell r="BK261">
            <v>3412012149542.8999</v>
          </cell>
          <cell r="BL261">
            <v>3575368490443.8701</v>
          </cell>
          <cell r="BM261">
            <v>3369894130366.9902</v>
          </cell>
        </row>
        <row r="262">
          <cell r="B262" t="str">
            <v>TSA</v>
          </cell>
          <cell r="C262" t="str">
            <v>GNI (current US$)</v>
          </cell>
          <cell r="D262" t="str">
            <v>NY.GNP.MKTP.CD</v>
          </cell>
          <cell r="E262">
            <v>46419073424.602402</v>
          </cell>
          <cell r="F262">
            <v>49169199524.609299</v>
          </cell>
          <cell r="G262">
            <v>52585946478.953102</v>
          </cell>
          <cell r="H262">
            <v>59569977507.7901</v>
          </cell>
          <cell r="I262">
            <v>68934765361.443802</v>
          </cell>
          <cell r="J262">
            <v>73863501791.046494</v>
          </cell>
          <cell r="K262">
            <v>60497663545.855499</v>
          </cell>
          <cell r="L262">
            <v>66377857999.791496</v>
          </cell>
          <cell r="M262">
            <v>69669495645.189896</v>
          </cell>
          <cell r="N262">
            <v>76357332942.217697</v>
          </cell>
          <cell r="O262">
            <v>82708469523.343994</v>
          </cell>
          <cell r="P262">
            <v>88852142143.801193</v>
          </cell>
          <cell r="Q262">
            <v>91963169666.678497</v>
          </cell>
          <cell r="R262">
            <v>104258266219.645</v>
          </cell>
          <cell r="S262">
            <v>126405638979.549</v>
          </cell>
          <cell r="T262">
            <v>135308701554.87801</v>
          </cell>
          <cell r="U262">
            <v>131923909810.16701</v>
          </cell>
          <cell r="V262">
            <v>152787283159.37701</v>
          </cell>
          <cell r="W262">
            <v>174421382321.17599</v>
          </cell>
          <cell r="X262">
            <v>195995583436.89499</v>
          </cell>
          <cell r="Y262">
            <v>236621658710.444</v>
          </cell>
          <cell r="Z262">
            <v>250695913154.68201</v>
          </cell>
          <cell r="AA262">
            <v>258648041492.87601</v>
          </cell>
          <cell r="AB262">
            <v>273575737252.724</v>
          </cell>
          <cell r="AC262">
            <v>271849710450.06799</v>
          </cell>
          <cell r="AD262">
            <v>295632805919.40698</v>
          </cell>
          <cell r="AE262">
            <v>312844280906.88202</v>
          </cell>
          <cell r="AF262">
            <v>347033996794.37701</v>
          </cell>
          <cell r="AG262">
            <v>371898729315.03302</v>
          </cell>
          <cell r="AH262">
            <v>374961088858.88501</v>
          </cell>
          <cell r="AI262">
            <v>403097365167.28302</v>
          </cell>
          <cell r="AJ262">
            <v>358002601305.63</v>
          </cell>
          <cell r="AK262">
            <v>380247243248.63397</v>
          </cell>
          <cell r="AL262">
            <v>377080654356.12299</v>
          </cell>
          <cell r="AM262">
            <v>428050834322.987</v>
          </cell>
          <cell r="AN262">
            <v>475606264853.78302</v>
          </cell>
          <cell r="AO262">
            <v>520985541330.73602</v>
          </cell>
          <cell r="AP262">
            <v>546853629312.75098</v>
          </cell>
          <cell r="AQ262">
            <v>554378523253.01697</v>
          </cell>
          <cell r="AR262">
            <v>594959840839.276</v>
          </cell>
          <cell r="AS262">
            <v>625682314675.12598</v>
          </cell>
          <cell r="AT262">
            <v>641726067069.47498</v>
          </cell>
          <cell r="AU262">
            <v>674675905505.76294</v>
          </cell>
          <cell r="AV262">
            <v>787776556384.09204</v>
          </cell>
          <cell r="AW262">
            <v>913956678463.60901</v>
          </cell>
          <cell r="AX262">
            <v>1046569954905.85</v>
          </cell>
          <cell r="AY262">
            <v>1191580911525.72</v>
          </cell>
          <cell r="AZ262">
            <v>1501407301508.78</v>
          </cell>
          <cell r="BA262">
            <v>1523408789558.6699</v>
          </cell>
          <cell r="BB262">
            <v>1678468338521.01</v>
          </cell>
          <cell r="BC262">
            <v>2048016179455.8601</v>
          </cell>
          <cell r="BD262">
            <v>2264708286421.4702</v>
          </cell>
          <cell r="BE262">
            <v>2285225187576.3599</v>
          </cell>
          <cell r="BF262">
            <v>2342863104048.8301</v>
          </cell>
          <cell r="BG262">
            <v>2566051246580.3101</v>
          </cell>
          <cell r="BH262">
            <v>2681113897702.3599</v>
          </cell>
          <cell r="BI262">
            <v>2884764203298.3999</v>
          </cell>
          <cell r="BJ262">
            <v>3322787395361.8301</v>
          </cell>
          <cell r="BK262">
            <v>3412012149542.8999</v>
          </cell>
          <cell r="BL262">
            <v>3575368490443.8701</v>
          </cell>
          <cell r="BM262">
            <v>3369894130366.9902</v>
          </cell>
        </row>
        <row r="263">
          <cell r="B263" t="str">
            <v>SSF</v>
          </cell>
          <cell r="C263" t="str">
            <v>GNI (current US$)</v>
          </cell>
          <cell r="D263" t="str">
            <v>NY.GNP.MKTP.CD</v>
          </cell>
          <cell r="E263">
            <v>25037201737.928501</v>
          </cell>
          <cell r="F263">
            <v>26413207866.324699</v>
          </cell>
          <cell r="G263">
            <v>28270362293.6749</v>
          </cell>
          <cell r="H263">
            <v>30479781135.541401</v>
          </cell>
          <cell r="I263">
            <v>33121881411.510502</v>
          </cell>
          <cell r="J263">
            <v>36050289662.201202</v>
          </cell>
          <cell r="K263">
            <v>38843858903.164902</v>
          </cell>
          <cell r="L263">
            <v>39702877653.869003</v>
          </cell>
          <cell r="M263">
            <v>42021160799.973999</v>
          </cell>
          <cell r="N263">
            <v>47492151252.9207</v>
          </cell>
          <cell r="O263">
            <v>56999058122.723701</v>
          </cell>
          <cell r="P263">
            <v>57025373473.8116</v>
          </cell>
          <cell r="Q263">
            <v>64437543528.744598</v>
          </cell>
          <cell r="R263">
            <v>82325381649.707199</v>
          </cell>
          <cell r="S263">
            <v>108846674932.86</v>
          </cell>
          <cell r="T263">
            <v>120676966144.81799</v>
          </cell>
          <cell r="U263">
            <v>132339739107.351</v>
          </cell>
          <cell r="V263">
            <v>144059764505.72</v>
          </cell>
          <cell r="W263">
            <v>158043511820.31</v>
          </cell>
          <cell r="X263">
            <v>193429859136.70999</v>
          </cell>
          <cell r="Y263">
            <v>244848357425.811</v>
          </cell>
          <cell r="Z263">
            <v>359098851883.802</v>
          </cell>
          <cell r="AA263">
            <v>328246234987.37</v>
          </cell>
          <cell r="AB263">
            <v>284866351839.51001</v>
          </cell>
          <cell r="AC263">
            <v>249027717946.51901</v>
          </cell>
          <cell r="AD263">
            <v>234128367670.60001</v>
          </cell>
          <cell r="AE263">
            <v>240342260091.534</v>
          </cell>
          <cell r="AF263">
            <v>273674406174.64001</v>
          </cell>
          <cell r="AG263">
            <v>280749406175.78699</v>
          </cell>
          <cell r="AH263">
            <v>278490976078.49902</v>
          </cell>
          <cell r="AI263">
            <v>312276843203.44397</v>
          </cell>
          <cell r="AJ263">
            <v>316986318881.578</v>
          </cell>
          <cell r="AK263">
            <v>319422619292.00897</v>
          </cell>
          <cell r="AL263">
            <v>311605367568.02002</v>
          </cell>
          <cell r="AM263">
            <v>309549540498.06097</v>
          </cell>
          <cell r="AN263">
            <v>361763946972.48401</v>
          </cell>
          <cell r="AO263">
            <v>371805672010.25299</v>
          </cell>
          <cell r="AP263">
            <v>387623448745.86499</v>
          </cell>
          <cell r="AQ263">
            <v>374171111870.58398</v>
          </cell>
          <cell r="AR263">
            <v>378658132974.85101</v>
          </cell>
          <cell r="AS263">
            <v>397049520989.65997</v>
          </cell>
          <cell r="AT263">
            <v>381227994727.823</v>
          </cell>
          <cell r="AU263">
            <v>414075282466.79102</v>
          </cell>
          <cell r="AV263">
            <v>523061711019.37701</v>
          </cell>
          <cell r="AW263">
            <v>650890058736.25903</v>
          </cell>
          <cell r="AX263">
            <v>773146206739.39294</v>
          </cell>
          <cell r="AY263">
            <v>925851975364.41895</v>
          </cell>
          <cell r="AZ263">
            <v>1062269131989.8</v>
          </cell>
          <cell r="BA263">
            <v>1199206740083.78</v>
          </cell>
          <cell r="BB263">
            <v>1156996355425.5801</v>
          </cell>
          <cell r="BC263">
            <v>1358506915557.3401</v>
          </cell>
          <cell r="BD263">
            <v>1523842003191.21</v>
          </cell>
          <cell r="BE263">
            <v>1596661539611.21</v>
          </cell>
          <cell r="BF263">
            <v>1696382606727.98</v>
          </cell>
          <cell r="BG263">
            <v>1769287136396.1499</v>
          </cell>
          <cell r="BH263">
            <v>1630068963429.5801</v>
          </cell>
          <cell r="BI263">
            <v>1525403673875.8601</v>
          </cell>
          <cell r="BJ263">
            <v>1618017382154.3501</v>
          </cell>
          <cell r="BK263">
            <v>1694440651663.97</v>
          </cell>
          <cell r="BL263">
            <v>1750081428576.8101</v>
          </cell>
          <cell r="BM263">
            <v>1658883458758.4099</v>
          </cell>
        </row>
        <row r="264">
          <cell r="B264" t="str">
            <v>SSA</v>
          </cell>
          <cell r="C264" t="str">
            <v>GNI (current US$)</v>
          </cell>
          <cell r="D264" t="str">
            <v>NY.GNP.MKTP.CD</v>
          </cell>
          <cell r="E264">
            <v>25025891031.943401</v>
          </cell>
          <cell r="F264">
            <v>26402589477.200298</v>
          </cell>
          <cell r="G264">
            <v>28258709399.3624</v>
          </cell>
          <cell r="H264">
            <v>30466884546.3843</v>
          </cell>
          <cell r="I264">
            <v>33107542026.2062</v>
          </cell>
          <cell r="J264">
            <v>36036049354.801598</v>
          </cell>
          <cell r="K264">
            <v>38828949741.512199</v>
          </cell>
          <cell r="L264">
            <v>39687843762.115799</v>
          </cell>
          <cell r="M264">
            <v>42006998281.601303</v>
          </cell>
          <cell r="N264">
            <v>47478065895.671501</v>
          </cell>
          <cell r="O264">
            <v>56983599119.445</v>
          </cell>
          <cell r="P264">
            <v>57006010182.273598</v>
          </cell>
          <cell r="Q264">
            <v>64409200595.255501</v>
          </cell>
          <cell r="R264">
            <v>82291681902.662704</v>
          </cell>
          <cell r="S264">
            <v>108808375196.278</v>
          </cell>
          <cell r="T264">
            <v>120634512230.605</v>
          </cell>
          <cell r="U264">
            <v>132298834744.92999</v>
          </cell>
          <cell r="V264">
            <v>144004906092.492</v>
          </cell>
          <cell r="W264">
            <v>157968363055.23099</v>
          </cell>
          <cell r="X264">
            <v>193315268021.80499</v>
          </cell>
          <cell r="Y264">
            <v>244711966056.125</v>
          </cell>
          <cell r="Z264">
            <v>358959868450.49103</v>
          </cell>
          <cell r="AA264">
            <v>328114472941.289</v>
          </cell>
          <cell r="AB264">
            <v>284733747952.09698</v>
          </cell>
          <cell r="AC264">
            <v>248888819538.871</v>
          </cell>
          <cell r="AD264">
            <v>233969691511.5</v>
          </cell>
          <cell r="AE264">
            <v>240146014247.987</v>
          </cell>
          <cell r="AF264">
            <v>273442392742.75101</v>
          </cell>
          <cell r="AG264">
            <v>280485536782.13202</v>
          </cell>
          <cell r="AH264">
            <v>278203260424.45697</v>
          </cell>
          <cell r="AI264">
            <v>311923469179.57501</v>
          </cell>
          <cell r="AJ264">
            <v>316624713540.84198</v>
          </cell>
          <cell r="AK264">
            <v>318998215319.58899</v>
          </cell>
          <cell r="AL264">
            <v>311140650490.82001</v>
          </cell>
          <cell r="AM264">
            <v>309064566692.93597</v>
          </cell>
          <cell r="AN264">
            <v>361273374694.10199</v>
          </cell>
          <cell r="AO264">
            <v>371315741894.62201</v>
          </cell>
          <cell r="AP264">
            <v>387070330992.63397</v>
          </cell>
          <cell r="AQ264">
            <v>373580784600.56598</v>
          </cell>
          <cell r="AR264">
            <v>378057011789.48199</v>
          </cell>
          <cell r="AS264">
            <v>396463599980.36603</v>
          </cell>
          <cell r="AT264">
            <v>380620216233.41602</v>
          </cell>
          <cell r="AU264">
            <v>413442796388.73199</v>
          </cell>
          <cell r="AV264">
            <v>522396347637.11401</v>
          </cell>
          <cell r="AW264">
            <v>650037799658.84705</v>
          </cell>
          <cell r="AX264">
            <v>772213798077.37</v>
          </cell>
          <cell r="AY264">
            <v>924821734767.83496</v>
          </cell>
          <cell r="AZ264">
            <v>1061304655165.25</v>
          </cell>
          <cell r="BA264">
            <v>1198317388481.53</v>
          </cell>
          <cell r="BB264">
            <v>1156204097505.1399</v>
          </cell>
          <cell r="BC264">
            <v>1357588980695.1699</v>
          </cell>
          <cell r="BD264">
            <v>1522894576778.5701</v>
          </cell>
          <cell r="BE264">
            <v>1595661723354.9299</v>
          </cell>
          <cell r="BF264">
            <v>1695123630488.73</v>
          </cell>
          <cell r="BG264">
            <v>1768026430734.3799</v>
          </cell>
          <cell r="BH264">
            <v>1628774775535.73</v>
          </cell>
          <cell r="BI264">
            <v>1524086185550.3899</v>
          </cell>
          <cell r="BJ264">
            <v>1616605832099.77</v>
          </cell>
          <cell r="BK264">
            <v>1692929378393.6499</v>
          </cell>
          <cell r="BL264">
            <v>1748557941207.3</v>
          </cell>
          <cell r="BM264">
            <v>1657890276940.23</v>
          </cell>
        </row>
        <row r="265">
          <cell r="B265" t="str">
            <v>TSS</v>
          </cell>
          <cell r="C265" t="str">
            <v>GNI (current US$)</v>
          </cell>
          <cell r="D265" t="str">
            <v>NY.GNP.MKTP.CD</v>
          </cell>
          <cell r="E265">
            <v>25037201737.928501</v>
          </cell>
          <cell r="F265">
            <v>26413207866.324699</v>
          </cell>
          <cell r="G265">
            <v>28270362293.6749</v>
          </cell>
          <cell r="H265">
            <v>30479781135.541401</v>
          </cell>
          <cell r="I265">
            <v>33121881411.510502</v>
          </cell>
          <cell r="J265">
            <v>36050289662.201202</v>
          </cell>
          <cell r="K265">
            <v>38843858903.164902</v>
          </cell>
          <cell r="L265">
            <v>39702877653.869003</v>
          </cell>
          <cell r="M265">
            <v>42021160799.973999</v>
          </cell>
          <cell r="N265">
            <v>47492151252.9207</v>
          </cell>
          <cell r="O265">
            <v>56999058122.723701</v>
          </cell>
          <cell r="P265">
            <v>57025373473.8116</v>
          </cell>
          <cell r="Q265">
            <v>64437543528.744499</v>
          </cell>
          <cell r="R265">
            <v>82325381649.707108</v>
          </cell>
          <cell r="S265">
            <v>108846674932.86</v>
          </cell>
          <cell r="T265">
            <v>120676966144.817</v>
          </cell>
          <cell r="U265">
            <v>132339739107.351</v>
          </cell>
          <cell r="V265">
            <v>144059764505.72</v>
          </cell>
          <cell r="W265">
            <v>158043511820.31</v>
          </cell>
          <cell r="X265">
            <v>193429859136.70999</v>
          </cell>
          <cell r="Y265">
            <v>244848357425.811</v>
          </cell>
          <cell r="Z265">
            <v>359098851883.802</v>
          </cell>
          <cell r="AA265">
            <v>328246234987.37</v>
          </cell>
          <cell r="AB265">
            <v>284866351839.51001</v>
          </cell>
          <cell r="AC265">
            <v>249027717946.51901</v>
          </cell>
          <cell r="AD265">
            <v>234128367670.60001</v>
          </cell>
          <cell r="AE265">
            <v>240342260091.534</v>
          </cell>
          <cell r="AF265">
            <v>273674406174.64001</v>
          </cell>
          <cell r="AG265">
            <v>280749406175.78699</v>
          </cell>
          <cell r="AH265">
            <v>278490976078.49902</v>
          </cell>
          <cell r="AI265">
            <v>312276843203.44397</v>
          </cell>
          <cell r="AJ265">
            <v>316986318881.578</v>
          </cell>
          <cell r="AK265">
            <v>319422619292.008</v>
          </cell>
          <cell r="AL265">
            <v>311605367568.01898</v>
          </cell>
          <cell r="AM265">
            <v>309549540498.06097</v>
          </cell>
          <cell r="AN265">
            <v>361763946972.48401</v>
          </cell>
          <cell r="AO265">
            <v>371805672010.25201</v>
          </cell>
          <cell r="AP265">
            <v>387623448745.86401</v>
          </cell>
          <cell r="AQ265">
            <v>374171111870.58398</v>
          </cell>
          <cell r="AR265">
            <v>378658132974.84998</v>
          </cell>
          <cell r="AS265">
            <v>397049520989.65997</v>
          </cell>
          <cell r="AT265">
            <v>381227994727.823</v>
          </cell>
          <cell r="AU265">
            <v>414075282466.79102</v>
          </cell>
          <cell r="AV265">
            <v>523061711019.37701</v>
          </cell>
          <cell r="AW265">
            <v>650890058736.25903</v>
          </cell>
          <cell r="AX265">
            <v>773146206739.39197</v>
          </cell>
          <cell r="AY265">
            <v>925851975364.41895</v>
          </cell>
          <cell r="AZ265">
            <v>1062269131989.79</v>
          </cell>
          <cell r="BA265">
            <v>1199206740083.78</v>
          </cell>
          <cell r="BB265">
            <v>1156996355425.5801</v>
          </cell>
          <cell r="BC265">
            <v>1358506915557.3401</v>
          </cell>
          <cell r="BD265">
            <v>1523842003191.21</v>
          </cell>
          <cell r="BE265">
            <v>1596661539611.21</v>
          </cell>
          <cell r="BF265">
            <v>1696382606727.98</v>
          </cell>
          <cell r="BG265">
            <v>1769287136396.1499</v>
          </cell>
          <cell r="BH265">
            <v>1630068963429.5801</v>
          </cell>
          <cell r="BI265">
            <v>1525403673875.8601</v>
          </cell>
          <cell r="BJ265">
            <v>1618017382154.3501</v>
          </cell>
          <cell r="BK265">
            <v>1694440651663.97</v>
          </cell>
          <cell r="BL265">
            <v>1750081428576.8101</v>
          </cell>
          <cell r="BM265">
            <v>1658883458758.4099</v>
          </cell>
        </row>
        <row r="266">
          <cell r="B266" t="str">
            <v>UMC</v>
          </cell>
          <cell r="C266" t="str">
            <v>GNI (current US$)</v>
          </cell>
          <cell r="D266" t="str">
            <v>NY.GNP.MKTP.CD</v>
          </cell>
          <cell r="E266">
            <v>250182941594.383</v>
          </cell>
          <cell r="F266">
            <v>231371965371.14301</v>
          </cell>
          <cell r="G266">
            <v>231461578855.13699</v>
          </cell>
          <cell r="H266">
            <v>234306575348.08801</v>
          </cell>
          <cell r="I266">
            <v>281802878695.33099</v>
          </cell>
          <cell r="J266">
            <v>317967040899.573</v>
          </cell>
          <cell r="K266">
            <v>343158781819.48901</v>
          </cell>
          <cell r="L266">
            <v>342665392866.836</v>
          </cell>
          <cell r="M266">
            <v>357931657901.87903</v>
          </cell>
          <cell r="N266">
            <v>402767492721.07599</v>
          </cell>
          <cell r="O266">
            <v>439087896584.18298</v>
          </cell>
          <cell r="P266">
            <v>480409214631.31799</v>
          </cell>
          <cell r="Q266">
            <v>545768417744.54102</v>
          </cell>
          <cell r="R266">
            <v>703994411805.39099</v>
          </cell>
          <cell r="S266">
            <v>865760584426.91699</v>
          </cell>
          <cell r="T266">
            <v>950652250405.57104</v>
          </cell>
          <cell r="U266">
            <v>1001819285133.3101</v>
          </cell>
          <cell r="V266">
            <v>1108026283728.4199</v>
          </cell>
          <cell r="W266">
            <v>1180700591766.3301</v>
          </cell>
          <cell r="X266">
            <v>1420663595411.3999</v>
          </cell>
          <cell r="Y266">
            <v>1620666327212.4199</v>
          </cell>
          <cell r="Z266">
            <v>1746927097530.72</v>
          </cell>
          <cell r="AA266">
            <v>1658923150414.01</v>
          </cell>
          <cell r="AB266">
            <v>1583196253595.95</v>
          </cell>
          <cell r="AC266">
            <v>1645518775060.5701</v>
          </cell>
          <cell r="AD266">
            <v>1729956394574.74</v>
          </cell>
          <cell r="AE266">
            <v>1756788569287.4099</v>
          </cell>
          <cell r="AF266">
            <v>1877514584475.6399</v>
          </cell>
          <cell r="AG266">
            <v>2092732768105.3999</v>
          </cell>
          <cell r="AH266">
            <v>2164382021779.6699</v>
          </cell>
          <cell r="AI266">
            <v>2523782691312.3999</v>
          </cell>
          <cell r="AJ266">
            <v>2443984419628.5698</v>
          </cell>
          <cell r="AK266">
            <v>2557853189674.9199</v>
          </cell>
          <cell r="AL266">
            <v>2818656387945.1602</v>
          </cell>
          <cell r="AM266">
            <v>3138278835982.8701</v>
          </cell>
          <cell r="AN266">
            <v>3523918682154.0601</v>
          </cell>
          <cell r="AO266">
            <v>3817123986060.9502</v>
          </cell>
          <cell r="AP266">
            <v>4080724117743.25</v>
          </cell>
          <cell r="AQ266">
            <v>4016241875780.8398</v>
          </cell>
          <cell r="AR266">
            <v>3787949917465.6299</v>
          </cell>
          <cell r="AS266">
            <v>4201783684390.21</v>
          </cell>
          <cell r="AT266">
            <v>4228821743872.3398</v>
          </cell>
          <cell r="AU266">
            <v>4285240380315.96</v>
          </cell>
          <cell r="AV266">
            <v>4799981551585.9902</v>
          </cell>
          <cell r="AW266">
            <v>5758639973268.5703</v>
          </cell>
          <cell r="AX266">
            <v>6901265348659.2695</v>
          </cell>
          <cell r="AY266">
            <v>8241310680193.25</v>
          </cell>
          <cell r="AZ266">
            <v>10257994574256.801</v>
          </cell>
          <cell r="BA266">
            <v>12534863409126.801</v>
          </cell>
          <cell r="BB266">
            <v>12036339966976.199</v>
          </cell>
          <cell r="BC266">
            <v>14564469707960.801</v>
          </cell>
          <cell r="BD266">
            <v>17532464665086</v>
          </cell>
          <cell r="BE266">
            <v>18833574477932.102</v>
          </cell>
          <cell r="BF266">
            <v>20192823932471.301</v>
          </cell>
          <cell r="BG266">
            <v>20946089813416.898</v>
          </cell>
          <cell r="BH266">
            <v>19655455714725.5</v>
          </cell>
          <cell r="BI266">
            <v>19545967819373</v>
          </cell>
          <cell r="BJ266">
            <v>21676137517673.602</v>
          </cell>
          <cell r="BK266">
            <v>23290194676996.801</v>
          </cell>
          <cell r="BL266">
            <v>23703167397025.102</v>
          </cell>
          <cell r="BM266">
            <v>22830886465176.699</v>
          </cell>
        </row>
        <row r="267">
          <cell r="B267" t="str">
            <v>WLD</v>
          </cell>
          <cell r="C267" t="str">
            <v>GNI (current US$)</v>
          </cell>
          <cell r="D267" t="str">
            <v>NY.GNP.MKTP.CD</v>
          </cell>
          <cell r="E267">
            <v>1368886898732.03</v>
          </cell>
          <cell r="F267">
            <v>1433301896529.49</v>
          </cell>
          <cell r="G267">
            <v>1537392429534.0601</v>
          </cell>
          <cell r="H267">
            <v>1651852884254.51</v>
          </cell>
          <cell r="I267">
            <v>1820667836820.03</v>
          </cell>
          <cell r="J267">
            <v>1986888486507.79</v>
          </cell>
          <cell r="K267">
            <v>2149355281653.3401</v>
          </cell>
          <cell r="L267">
            <v>2290375602955.5898</v>
          </cell>
          <cell r="M267">
            <v>2491929300592.4702</v>
          </cell>
          <cell r="N267">
            <v>2750891302248.9502</v>
          </cell>
          <cell r="O267">
            <v>2999279857150.27</v>
          </cell>
          <cell r="P267">
            <v>3310663659485.8398</v>
          </cell>
          <cell r="Q267">
            <v>3826249886638.8599</v>
          </cell>
          <cell r="R267">
            <v>4665412067195.54</v>
          </cell>
          <cell r="S267">
            <v>5368062116794.5801</v>
          </cell>
          <cell r="T267">
            <v>5978109323966.6602</v>
          </cell>
          <cell r="U267">
            <v>6489325866659.1201</v>
          </cell>
          <cell r="V267">
            <v>7332184530688.4902</v>
          </cell>
          <cell r="W267">
            <v>8633877302883.1904</v>
          </cell>
          <cell r="X267">
            <v>9999875471677.4297</v>
          </cell>
          <cell r="Y267">
            <v>11242590844087.801</v>
          </cell>
          <cell r="Z267">
            <v>11633609575536.4</v>
          </cell>
          <cell r="AA267">
            <v>11533577772599.9</v>
          </cell>
          <cell r="AB267">
            <v>11748074332438.699</v>
          </cell>
          <cell r="AC267">
            <v>12214298143381.9</v>
          </cell>
          <cell r="AD267">
            <v>12824394346806.4</v>
          </cell>
          <cell r="AE267">
            <v>15130288926885.199</v>
          </cell>
          <cell r="AF267">
            <v>17258176151616.9</v>
          </cell>
          <cell r="AG267">
            <v>19393946608987.801</v>
          </cell>
          <cell r="AH267">
            <v>20137123157905.898</v>
          </cell>
          <cell r="AI267">
            <v>22581629994121.102</v>
          </cell>
          <cell r="AJ267">
            <v>23573086920294.102</v>
          </cell>
          <cell r="AK267">
            <v>25270106255123.398</v>
          </cell>
          <cell r="AL267">
            <v>25705855108684</v>
          </cell>
          <cell r="AM267">
            <v>27790366008997.898</v>
          </cell>
          <cell r="AN267">
            <v>30892096896662.301</v>
          </cell>
          <cell r="AO267">
            <v>31581900544590.301</v>
          </cell>
          <cell r="AP267">
            <v>31513730011559.801</v>
          </cell>
          <cell r="AQ267">
            <v>31493040823465.699</v>
          </cell>
          <cell r="AR267">
            <v>32690779292818.301</v>
          </cell>
          <cell r="AS267">
            <v>33855386331040.602</v>
          </cell>
          <cell r="AT267">
            <v>33667176628519.602</v>
          </cell>
          <cell r="AU267">
            <v>34866657052990.602</v>
          </cell>
          <cell r="AV267">
            <v>39055789509712.703</v>
          </cell>
          <cell r="AW267">
            <v>44053132351136.602</v>
          </cell>
          <cell r="AX267">
            <v>47728201404080.602</v>
          </cell>
          <cell r="AY267">
            <v>51892355785213</v>
          </cell>
          <cell r="AZ267">
            <v>58190065032661.297</v>
          </cell>
          <cell r="BA267">
            <v>63635924338596.297</v>
          </cell>
          <cell r="BB267">
            <v>60456864463382.602</v>
          </cell>
          <cell r="BC267">
            <v>66350001465224.398</v>
          </cell>
          <cell r="BD267">
            <v>73575788980959.297</v>
          </cell>
          <cell r="BE267">
            <v>75458017393874</v>
          </cell>
          <cell r="BF267">
            <v>77443738627762.703</v>
          </cell>
          <cell r="BG267">
            <v>79776008946022.703</v>
          </cell>
          <cell r="BH267">
            <v>75232602112653.594</v>
          </cell>
          <cell r="BI267">
            <v>76282280462949</v>
          </cell>
          <cell r="BJ267">
            <v>81295071732629.797</v>
          </cell>
          <cell r="BK267">
            <v>86243803476022.203</v>
          </cell>
          <cell r="BL267">
            <v>87532722519257.594</v>
          </cell>
          <cell r="BM267">
            <v>84719404556355.906</v>
          </cell>
        </row>
      </sheetData>
      <sheetData sheetId="17">
        <row r="1">
          <cell r="B1" t="str">
            <v>Country Code</v>
          </cell>
          <cell r="C1" t="str">
            <v>Series Name</v>
          </cell>
          <cell r="D1" t="str">
            <v>Series Code</v>
          </cell>
          <cell r="E1" t="str">
            <v>1960 [YR1960]</v>
          </cell>
          <cell r="F1" t="str">
            <v>1961 [YR1961]</v>
          </cell>
          <cell r="G1" t="str">
            <v>1962 [YR1962]</v>
          </cell>
          <cell r="H1" t="str">
            <v>1963 [YR1963]</v>
          </cell>
          <cell r="I1" t="str">
            <v>1964 [YR1964]</v>
          </cell>
          <cell r="J1" t="str">
            <v>1965 [YR1965]</v>
          </cell>
          <cell r="K1" t="str">
            <v>1966 [YR1966]</v>
          </cell>
          <cell r="L1" t="str">
            <v>1967 [YR1967]</v>
          </cell>
          <cell r="M1" t="str">
            <v>1968 [YR1968]</v>
          </cell>
          <cell r="N1" t="str">
            <v>1969 [YR1969]</v>
          </cell>
          <cell r="O1" t="str">
            <v>1970 [YR1970]</v>
          </cell>
          <cell r="P1" t="str">
            <v>1971 [YR1971]</v>
          </cell>
          <cell r="Q1" t="str">
            <v>1972 [YR1972]</v>
          </cell>
          <cell r="R1" t="str">
            <v>1973 [YR1973]</v>
          </cell>
          <cell r="S1" t="str">
            <v>1974 [YR1974]</v>
          </cell>
          <cell r="T1" t="str">
            <v>1975 [YR1975]</v>
          </cell>
          <cell r="U1" t="str">
            <v>1976 [YR1976]</v>
          </cell>
          <cell r="V1" t="str">
            <v>1977 [YR1977]</v>
          </cell>
          <cell r="W1" t="str">
            <v>1978 [YR1978]</v>
          </cell>
          <cell r="X1" t="str">
            <v>1979 [YR1979]</v>
          </cell>
          <cell r="Y1" t="str">
            <v>1980 [YR1980]</v>
          </cell>
          <cell r="Z1" t="str">
            <v>1981 [YR1981]</v>
          </cell>
          <cell r="AA1" t="str">
            <v>1982 [YR1982]</v>
          </cell>
          <cell r="AB1" t="str">
            <v>1983 [YR1983]</v>
          </cell>
          <cell r="AC1" t="str">
            <v>1984 [YR1984]</v>
          </cell>
          <cell r="AD1" t="str">
            <v>1985 [YR1985]</v>
          </cell>
          <cell r="AE1" t="str">
            <v>1986 [YR1986]</v>
          </cell>
          <cell r="AF1" t="str">
            <v>1987 [YR1987]</v>
          </cell>
          <cell r="AG1" t="str">
            <v>1988 [YR1988]</v>
          </cell>
          <cell r="AH1" t="str">
            <v>1989 [YR1989]</v>
          </cell>
          <cell r="AI1" t="str">
            <v>1990 [YR1990]</v>
          </cell>
          <cell r="AJ1" t="str">
            <v>1991 [YR1991]</v>
          </cell>
          <cell r="AK1" t="str">
            <v>1992 [YR1992]</v>
          </cell>
          <cell r="AL1" t="str">
            <v>1993 [YR1993]</v>
          </cell>
          <cell r="AM1" t="str">
            <v>1994 [YR1994]</v>
          </cell>
          <cell r="AN1" t="str">
            <v>1995 [YR1995]</v>
          </cell>
          <cell r="AO1" t="str">
            <v>1996 [YR1996]</v>
          </cell>
          <cell r="AP1" t="str">
            <v>1997 [YR1997]</v>
          </cell>
          <cell r="AQ1" t="str">
            <v>1998 [YR1998]</v>
          </cell>
          <cell r="AR1" t="str">
            <v>1999 [YR1999]</v>
          </cell>
          <cell r="AS1" t="str">
            <v>2000 [YR2000]</v>
          </cell>
          <cell r="AT1" t="str">
            <v>2001 [YR2001]</v>
          </cell>
          <cell r="AU1" t="str">
            <v>2002 [YR2002]</v>
          </cell>
          <cell r="AV1" t="str">
            <v>2003 [YR2003]</v>
          </cell>
          <cell r="AW1" t="str">
            <v>2004 [YR2004]</v>
          </cell>
          <cell r="AX1" t="str">
            <v>2005 [YR2005]</v>
          </cell>
          <cell r="AY1" t="str">
            <v>2006 [YR2006]</v>
          </cell>
          <cell r="AZ1" t="str">
            <v>2007 [YR2007]</v>
          </cell>
          <cell r="BA1" t="str">
            <v>2008 [YR2008]</v>
          </cell>
          <cell r="BB1" t="str">
            <v>2009 [YR2009]</v>
          </cell>
          <cell r="BC1" t="str">
            <v>2010 [YR2010]</v>
          </cell>
          <cell r="BD1" t="str">
            <v>2011 [YR2011]</v>
          </cell>
          <cell r="BE1" t="str">
            <v>2012 [YR2012]</v>
          </cell>
          <cell r="BF1" t="str">
            <v>2013 [YR2013]</v>
          </cell>
          <cell r="BG1" t="str">
            <v>2014 [YR2014]</v>
          </cell>
          <cell r="BH1" t="str">
            <v>2015 [YR2015]</v>
          </cell>
          <cell r="BI1" t="str">
            <v>2016 [YR2016]</v>
          </cell>
          <cell r="BJ1" t="str">
            <v>2017 [YR2017]</v>
          </cell>
          <cell r="BK1" t="str">
            <v>2018 [YR2018]</v>
          </cell>
          <cell r="BL1" t="str">
            <v>2019 [YR2019]</v>
          </cell>
          <cell r="BM1" t="str">
            <v>2020 [YR2020]</v>
          </cell>
          <cell r="BN1" t="str">
            <v>latest</v>
          </cell>
        </row>
        <row r="2">
          <cell r="B2" t="str">
            <v>AFG</v>
          </cell>
          <cell r="C2" t="str">
            <v>GNI per capita, Atlas method (current US$)</v>
          </cell>
          <cell r="D2" t="str">
            <v>NY.GNP.PCAP.CD</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cell r="S2" t="str">
            <v>..</v>
          </cell>
          <cell r="T2" t="str">
            <v>..</v>
          </cell>
          <cell r="U2" t="str">
            <v>..</v>
          </cell>
          <cell r="V2" t="str">
            <v>..</v>
          </cell>
          <cell r="W2" t="str">
            <v>..</v>
          </cell>
          <cell r="X2" t="str">
            <v>..</v>
          </cell>
          <cell r="Y2" t="str">
            <v>..</v>
          </cell>
          <cell r="Z2" t="str">
            <v>..</v>
          </cell>
          <cell r="AA2" t="str">
            <v>..</v>
          </cell>
          <cell r="AB2" t="str">
            <v>..</v>
          </cell>
          <cell r="AC2" t="str">
            <v>..</v>
          </cell>
          <cell r="AD2" t="str">
            <v>..</v>
          </cell>
          <cell r="AE2" t="str">
            <v>..</v>
          </cell>
          <cell r="AF2" t="str">
            <v>..</v>
          </cell>
          <cell r="AG2" t="str">
            <v>..</v>
          </cell>
          <cell r="AH2" t="str">
            <v>..</v>
          </cell>
          <cell r="AI2" t="str">
            <v>..</v>
          </cell>
          <cell r="AJ2" t="str">
            <v>..</v>
          </cell>
          <cell r="AK2" t="str">
            <v>..</v>
          </cell>
          <cell r="AL2" t="str">
            <v>..</v>
          </cell>
          <cell r="AM2" t="str">
            <v>..</v>
          </cell>
          <cell r="AN2" t="str">
            <v>..</v>
          </cell>
          <cell r="AO2" t="str">
            <v>..</v>
          </cell>
          <cell r="AP2" t="str">
            <v>..</v>
          </cell>
          <cell r="AQ2" t="str">
            <v>..</v>
          </cell>
          <cell r="AR2" t="str">
            <v>..</v>
          </cell>
          <cell r="AS2" t="str">
            <v>..</v>
          </cell>
          <cell r="AT2" t="str">
            <v>..</v>
          </cell>
          <cell r="AU2" t="str">
            <v>..</v>
          </cell>
          <cell r="AV2" t="str">
            <v>..</v>
          </cell>
          <cell r="AW2" t="str">
            <v>..</v>
          </cell>
          <cell r="AX2" t="str">
            <v>..</v>
          </cell>
          <cell r="AY2" t="str">
            <v>..</v>
          </cell>
          <cell r="AZ2" t="str">
            <v>..</v>
          </cell>
          <cell r="BA2" t="str">
            <v>..</v>
          </cell>
          <cell r="BB2">
            <v>450</v>
          </cell>
          <cell r="BC2">
            <v>510</v>
          </cell>
          <cell r="BD2">
            <v>530</v>
          </cell>
          <cell r="BE2">
            <v>630</v>
          </cell>
          <cell r="BF2">
            <v>650</v>
          </cell>
          <cell r="BG2">
            <v>630</v>
          </cell>
          <cell r="BH2">
            <v>590</v>
          </cell>
          <cell r="BI2">
            <v>550</v>
          </cell>
          <cell r="BJ2">
            <v>530</v>
          </cell>
          <cell r="BK2">
            <v>510</v>
          </cell>
          <cell r="BL2">
            <v>520</v>
          </cell>
          <cell r="BM2">
            <v>500</v>
          </cell>
          <cell r="BN2">
            <v>500</v>
          </cell>
        </row>
        <row r="3">
          <cell r="B3" t="str">
            <v>ALB</v>
          </cell>
          <cell r="C3" t="str">
            <v>GNI per capita, Atlas method (current US$)</v>
          </cell>
          <cell r="D3" t="str">
            <v>NY.GNP.PCAP.CD</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v>
          </cell>
          <cell r="AD3" t="str">
            <v>..</v>
          </cell>
          <cell r="AE3">
            <v>700</v>
          </cell>
          <cell r="AF3">
            <v>730</v>
          </cell>
          <cell r="AG3">
            <v>730</v>
          </cell>
          <cell r="AH3">
            <v>760</v>
          </cell>
          <cell r="AI3">
            <v>650</v>
          </cell>
          <cell r="AJ3">
            <v>410</v>
          </cell>
          <cell r="AK3">
            <v>280</v>
          </cell>
          <cell r="AL3">
            <v>320</v>
          </cell>
          <cell r="AM3">
            <v>380</v>
          </cell>
          <cell r="AN3">
            <v>640</v>
          </cell>
          <cell r="AO3">
            <v>890</v>
          </cell>
          <cell r="AP3">
            <v>800</v>
          </cell>
          <cell r="AQ3">
            <v>860</v>
          </cell>
          <cell r="AR3">
            <v>950</v>
          </cell>
          <cell r="AS3">
            <v>1100</v>
          </cell>
          <cell r="AT3">
            <v>1280</v>
          </cell>
          <cell r="AU3">
            <v>1370</v>
          </cell>
          <cell r="AV3">
            <v>1650</v>
          </cell>
          <cell r="AW3">
            <v>2100</v>
          </cell>
          <cell r="AX3">
            <v>2620</v>
          </cell>
          <cell r="AY3">
            <v>3050</v>
          </cell>
          <cell r="AZ3">
            <v>3460</v>
          </cell>
          <cell r="BA3">
            <v>4040</v>
          </cell>
          <cell r="BB3">
            <v>4280</v>
          </cell>
          <cell r="BC3">
            <v>4360</v>
          </cell>
          <cell r="BD3">
            <v>4410</v>
          </cell>
          <cell r="BE3">
            <v>4360</v>
          </cell>
          <cell r="BF3">
            <v>4540</v>
          </cell>
          <cell r="BG3">
            <v>4540</v>
          </cell>
          <cell r="BH3">
            <v>4390</v>
          </cell>
          <cell r="BI3">
            <v>4320</v>
          </cell>
          <cell r="BJ3">
            <v>4290</v>
          </cell>
          <cell r="BK3">
            <v>4860</v>
          </cell>
          <cell r="BL3">
            <v>5230</v>
          </cell>
          <cell r="BM3">
            <v>5210</v>
          </cell>
          <cell r="BN3">
            <v>5210</v>
          </cell>
        </row>
        <row r="4">
          <cell r="B4" t="str">
            <v>DZA</v>
          </cell>
          <cell r="C4" t="str">
            <v>GNI per capita, Atlas method (current US$)</v>
          </cell>
          <cell r="D4" t="str">
            <v>NY.GNP.PCAP.CD</v>
          </cell>
          <cell r="E4" t="str">
            <v>..</v>
          </cell>
          <cell r="F4" t="str">
            <v>..</v>
          </cell>
          <cell r="G4">
            <v>190</v>
          </cell>
          <cell r="H4">
            <v>230</v>
          </cell>
          <cell r="I4">
            <v>240</v>
          </cell>
          <cell r="J4">
            <v>250</v>
          </cell>
          <cell r="K4">
            <v>230</v>
          </cell>
          <cell r="L4">
            <v>250</v>
          </cell>
          <cell r="M4">
            <v>280</v>
          </cell>
          <cell r="N4">
            <v>310</v>
          </cell>
          <cell r="O4">
            <v>330</v>
          </cell>
          <cell r="P4">
            <v>320</v>
          </cell>
          <cell r="Q4">
            <v>440</v>
          </cell>
          <cell r="R4">
            <v>530</v>
          </cell>
          <cell r="S4">
            <v>710</v>
          </cell>
          <cell r="T4">
            <v>910</v>
          </cell>
          <cell r="U4">
            <v>1060</v>
          </cell>
          <cell r="V4">
            <v>1100</v>
          </cell>
          <cell r="W4">
            <v>1320</v>
          </cell>
          <cell r="X4">
            <v>1640</v>
          </cell>
          <cell r="Y4">
            <v>1990</v>
          </cell>
          <cell r="Z4">
            <v>2200</v>
          </cell>
          <cell r="AA4">
            <v>2260</v>
          </cell>
          <cell r="AB4">
            <v>2190</v>
          </cell>
          <cell r="AC4">
            <v>2270</v>
          </cell>
          <cell r="AD4">
            <v>2400</v>
          </cell>
          <cell r="AE4">
            <v>2590</v>
          </cell>
          <cell r="AF4">
            <v>2810</v>
          </cell>
          <cell r="AG4">
            <v>2750</v>
          </cell>
          <cell r="AH4">
            <v>2550</v>
          </cell>
          <cell r="AI4">
            <v>2370</v>
          </cell>
          <cell r="AJ4">
            <v>1980</v>
          </cell>
          <cell r="AK4">
            <v>1900</v>
          </cell>
          <cell r="AL4">
            <v>1730</v>
          </cell>
          <cell r="AM4">
            <v>1620</v>
          </cell>
          <cell r="AN4">
            <v>1550</v>
          </cell>
          <cell r="AO4">
            <v>1520</v>
          </cell>
          <cell r="AP4">
            <v>1510</v>
          </cell>
          <cell r="AQ4">
            <v>1540</v>
          </cell>
          <cell r="AR4">
            <v>1530</v>
          </cell>
          <cell r="AS4">
            <v>1590</v>
          </cell>
          <cell r="AT4">
            <v>1670</v>
          </cell>
          <cell r="AU4">
            <v>1730</v>
          </cell>
          <cell r="AV4">
            <v>1930</v>
          </cell>
          <cell r="AW4">
            <v>2250</v>
          </cell>
          <cell r="AX4">
            <v>2710</v>
          </cell>
          <cell r="AY4">
            <v>3110</v>
          </cell>
          <cell r="AZ4">
            <v>3600</v>
          </cell>
          <cell r="BA4">
            <v>4210</v>
          </cell>
          <cell r="BB4">
            <v>4290</v>
          </cell>
          <cell r="BC4">
            <v>4470</v>
          </cell>
          <cell r="BD4">
            <v>4600</v>
          </cell>
          <cell r="BE4">
            <v>5200</v>
          </cell>
          <cell r="BF4">
            <v>5520</v>
          </cell>
          <cell r="BG4">
            <v>5490</v>
          </cell>
          <cell r="BH4">
            <v>4850</v>
          </cell>
          <cell r="BI4">
            <v>4370</v>
          </cell>
          <cell r="BJ4">
            <v>3950</v>
          </cell>
          <cell r="BK4">
            <v>3980</v>
          </cell>
          <cell r="BL4">
            <v>4010</v>
          </cell>
          <cell r="BM4">
            <v>3570</v>
          </cell>
          <cell r="BN4">
            <v>3570</v>
          </cell>
        </row>
        <row r="5">
          <cell r="B5" t="str">
            <v>ASM</v>
          </cell>
          <cell r="C5" t="str">
            <v>GNI per capita, Atlas method (current US$)</v>
          </cell>
          <cell r="D5" t="str">
            <v>NY.GNP.PCAP.CD</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cell r="AV5" t="str">
            <v>..</v>
          </cell>
          <cell r="AW5" t="str">
            <v>..</v>
          </cell>
          <cell r="AX5" t="str">
            <v>..</v>
          </cell>
          <cell r="AY5" t="str">
            <v>..</v>
          </cell>
          <cell r="AZ5" t="str">
            <v>..</v>
          </cell>
          <cell r="BA5" t="str">
            <v>..</v>
          </cell>
          <cell r="BB5" t="str">
            <v>..</v>
          </cell>
          <cell r="BC5" t="str">
            <v>..</v>
          </cell>
          <cell r="BD5" t="str">
            <v>..</v>
          </cell>
          <cell r="BE5" t="str">
            <v>..</v>
          </cell>
          <cell r="BF5" t="str">
            <v>..</v>
          </cell>
          <cell r="BG5" t="str">
            <v>..</v>
          </cell>
          <cell r="BH5" t="str">
            <v>..</v>
          </cell>
          <cell r="BI5" t="str">
            <v>..</v>
          </cell>
          <cell r="BJ5" t="str">
            <v>..</v>
          </cell>
          <cell r="BK5" t="str">
            <v>..</v>
          </cell>
          <cell r="BL5" t="str">
            <v>..</v>
          </cell>
          <cell r="BM5" t="str">
            <v>..</v>
          </cell>
          <cell r="BN5" t="str">
            <v/>
          </cell>
        </row>
        <row r="6">
          <cell r="B6" t="str">
            <v>AND</v>
          </cell>
          <cell r="C6" t="str">
            <v>GNI per capita, Atlas method (current US$)</v>
          </cell>
          <cell r="D6" t="str">
            <v>NY.GNP.PCAP.CD</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
          </cell>
        </row>
        <row r="7">
          <cell r="B7" t="str">
            <v>AGO</v>
          </cell>
          <cell r="C7" t="str">
            <v>GNI per capita, Atlas method (current US$)</v>
          </cell>
          <cell r="D7" t="str">
            <v>NY.GNP.PCAP.CD</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v>590</v>
          </cell>
          <cell r="AE7">
            <v>680</v>
          </cell>
          <cell r="AF7">
            <v>670</v>
          </cell>
          <cell r="AG7">
            <v>650</v>
          </cell>
          <cell r="AH7">
            <v>860</v>
          </cell>
          <cell r="AI7">
            <v>780</v>
          </cell>
          <cell r="AJ7">
            <v>1380</v>
          </cell>
          <cell r="AK7">
            <v>1170</v>
          </cell>
          <cell r="AL7" t="str">
            <v>..</v>
          </cell>
          <cell r="AM7">
            <v>330</v>
          </cell>
          <cell r="AN7">
            <v>440</v>
          </cell>
          <cell r="AO7">
            <v>320</v>
          </cell>
          <cell r="AP7">
            <v>450</v>
          </cell>
          <cell r="AQ7">
            <v>410</v>
          </cell>
          <cell r="AR7">
            <v>330</v>
          </cell>
          <cell r="AS7">
            <v>360</v>
          </cell>
          <cell r="AT7">
            <v>390</v>
          </cell>
          <cell r="AU7">
            <v>590</v>
          </cell>
          <cell r="AV7">
            <v>710</v>
          </cell>
          <cell r="AW7">
            <v>1010</v>
          </cell>
          <cell r="AX7">
            <v>1370</v>
          </cell>
          <cell r="AY7">
            <v>1810</v>
          </cell>
          <cell r="AZ7">
            <v>2460</v>
          </cell>
          <cell r="BA7">
            <v>3030</v>
          </cell>
          <cell r="BB7">
            <v>3170</v>
          </cell>
          <cell r="BC7">
            <v>3230</v>
          </cell>
          <cell r="BD7">
            <v>3410</v>
          </cell>
          <cell r="BE7">
            <v>4170</v>
          </cell>
          <cell r="BF7">
            <v>4780</v>
          </cell>
          <cell r="BG7">
            <v>5010</v>
          </cell>
          <cell r="BH7">
            <v>4520</v>
          </cell>
          <cell r="BI7">
            <v>3770</v>
          </cell>
          <cell r="BJ7">
            <v>3450</v>
          </cell>
          <cell r="BK7">
            <v>3210</v>
          </cell>
          <cell r="BL7">
            <v>2970</v>
          </cell>
          <cell r="BM7">
            <v>2140</v>
          </cell>
          <cell r="BN7">
            <v>2140</v>
          </cell>
        </row>
        <row r="8">
          <cell r="B8" t="str">
            <v>ATG</v>
          </cell>
          <cell r="C8" t="str">
            <v>GNI per capita, Atlas method (current US$)</v>
          </cell>
          <cell r="D8" t="str">
            <v>NY.GNP.PCAP.CD</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v>1740</v>
          </cell>
          <cell r="Y8">
            <v>2180</v>
          </cell>
          <cell r="Z8">
            <v>2430</v>
          </cell>
          <cell r="AA8">
            <v>2470</v>
          </cell>
          <cell r="AB8">
            <v>2690</v>
          </cell>
          <cell r="AC8">
            <v>3170</v>
          </cell>
          <cell r="AD8">
            <v>3610</v>
          </cell>
          <cell r="AE8">
            <v>3970</v>
          </cell>
          <cell r="AF8">
            <v>4880</v>
          </cell>
          <cell r="AG8">
            <v>6040</v>
          </cell>
          <cell r="AH8">
            <v>6450</v>
          </cell>
          <cell r="AI8">
            <v>6820</v>
          </cell>
          <cell r="AJ8">
            <v>7230</v>
          </cell>
          <cell r="AK8">
            <v>7470</v>
          </cell>
          <cell r="AL8">
            <v>7960</v>
          </cell>
          <cell r="AM8">
            <v>8450</v>
          </cell>
          <cell r="AN8">
            <v>8140</v>
          </cell>
          <cell r="AO8">
            <v>8700</v>
          </cell>
          <cell r="AP8">
            <v>9080</v>
          </cell>
          <cell r="AQ8">
            <v>9270</v>
          </cell>
          <cell r="AR8">
            <v>9610</v>
          </cell>
          <cell r="AS8">
            <v>10100</v>
          </cell>
          <cell r="AT8">
            <v>9850</v>
          </cell>
          <cell r="AU8">
            <v>9660</v>
          </cell>
          <cell r="AV8">
            <v>10530</v>
          </cell>
          <cell r="AW8">
            <v>11450</v>
          </cell>
          <cell r="AX8">
            <v>12420</v>
          </cell>
          <cell r="AY8">
            <v>13810</v>
          </cell>
          <cell r="AZ8">
            <v>15090</v>
          </cell>
          <cell r="BA8">
            <v>15250</v>
          </cell>
          <cell r="BB8">
            <v>13600</v>
          </cell>
          <cell r="BC8">
            <v>12690</v>
          </cell>
          <cell r="BD8">
            <v>12370</v>
          </cell>
          <cell r="BE8">
            <v>12780</v>
          </cell>
          <cell r="BF8">
            <v>12620</v>
          </cell>
          <cell r="BG8">
            <v>12760</v>
          </cell>
          <cell r="BH8">
            <v>12850</v>
          </cell>
          <cell r="BI8">
            <v>13580</v>
          </cell>
          <cell r="BJ8">
            <v>14320</v>
          </cell>
          <cell r="BK8">
            <v>15880</v>
          </cell>
          <cell r="BL8">
            <v>16420</v>
          </cell>
          <cell r="BM8">
            <v>13750</v>
          </cell>
          <cell r="BN8">
            <v>13750</v>
          </cell>
        </row>
        <row r="9">
          <cell r="B9" t="str">
            <v>ARG</v>
          </cell>
          <cell r="C9" t="str">
            <v>GNI per capita, Atlas method (current US$)</v>
          </cell>
          <cell r="D9" t="str">
            <v>NY.GNP.PCAP.CD</v>
          </cell>
          <cell r="E9" t="str">
            <v>..</v>
          </cell>
          <cell r="F9" t="str">
            <v>..</v>
          </cell>
          <cell r="G9" t="str">
            <v>..</v>
          </cell>
          <cell r="H9" t="str">
            <v>..</v>
          </cell>
          <cell r="I9">
            <v>1120</v>
          </cell>
          <cell r="J9">
            <v>1230</v>
          </cell>
          <cell r="K9">
            <v>1350</v>
          </cell>
          <cell r="L9">
            <v>1240</v>
          </cell>
          <cell r="M9">
            <v>1210</v>
          </cell>
          <cell r="N9">
            <v>1300</v>
          </cell>
          <cell r="O9">
            <v>1320</v>
          </cell>
          <cell r="P9">
            <v>1470</v>
          </cell>
          <cell r="Q9">
            <v>1470</v>
          </cell>
          <cell r="R9">
            <v>1820</v>
          </cell>
          <cell r="S9">
            <v>2470</v>
          </cell>
          <cell r="T9">
            <v>2720</v>
          </cell>
          <cell r="U9">
            <v>2360</v>
          </cell>
          <cell r="V9">
            <v>2220</v>
          </cell>
          <cell r="W9">
            <v>2190</v>
          </cell>
          <cell r="X9">
            <v>2630</v>
          </cell>
          <cell r="Y9">
            <v>2910</v>
          </cell>
          <cell r="Z9">
            <v>2820</v>
          </cell>
          <cell r="AA9">
            <v>2670</v>
          </cell>
          <cell r="AB9">
            <v>2870</v>
          </cell>
          <cell r="AC9">
            <v>2830</v>
          </cell>
          <cell r="AD9">
            <v>2700</v>
          </cell>
          <cell r="AE9">
            <v>3020</v>
          </cell>
          <cell r="AF9">
            <v>3590</v>
          </cell>
          <cell r="AG9">
            <v>3960</v>
          </cell>
          <cell r="AH9">
            <v>2930</v>
          </cell>
          <cell r="AI9">
            <v>3190</v>
          </cell>
          <cell r="AJ9">
            <v>3860</v>
          </cell>
          <cell r="AK9">
            <v>6070</v>
          </cell>
          <cell r="AL9">
            <v>7120</v>
          </cell>
          <cell r="AM9">
            <v>7620</v>
          </cell>
          <cell r="AN9">
            <v>7360</v>
          </cell>
          <cell r="AO9">
            <v>7740</v>
          </cell>
          <cell r="AP9">
            <v>8150</v>
          </cell>
          <cell r="AQ9">
            <v>8030</v>
          </cell>
          <cell r="AR9">
            <v>7580</v>
          </cell>
          <cell r="AS9">
            <v>7470</v>
          </cell>
          <cell r="AT9">
            <v>7000</v>
          </cell>
          <cell r="AU9">
            <v>4040</v>
          </cell>
          <cell r="AV9">
            <v>3650</v>
          </cell>
          <cell r="AW9">
            <v>3370</v>
          </cell>
          <cell r="AX9">
            <v>4260</v>
          </cell>
          <cell r="AY9">
            <v>5480</v>
          </cell>
          <cell r="AZ9">
            <v>6510</v>
          </cell>
          <cell r="BA9">
            <v>7670</v>
          </cell>
          <cell r="BB9">
            <v>7790</v>
          </cell>
          <cell r="BC9">
            <v>9270</v>
          </cell>
          <cell r="BD9">
            <v>10710</v>
          </cell>
          <cell r="BE9">
            <v>11870</v>
          </cell>
          <cell r="BF9">
            <v>12840</v>
          </cell>
          <cell r="BG9">
            <v>12330</v>
          </cell>
          <cell r="BH9">
            <v>12590</v>
          </cell>
          <cell r="BI9">
            <v>12220</v>
          </cell>
          <cell r="BJ9">
            <v>13140</v>
          </cell>
          <cell r="BK9">
            <v>12430</v>
          </cell>
          <cell r="BL9">
            <v>11250</v>
          </cell>
          <cell r="BM9">
            <v>9070</v>
          </cell>
          <cell r="BN9">
            <v>9070</v>
          </cell>
        </row>
        <row r="10">
          <cell r="B10" t="str">
            <v>ARM</v>
          </cell>
          <cell r="C10" t="str">
            <v>GNI per capita, Atlas method (current US$)</v>
          </cell>
          <cell r="D10" t="str">
            <v>NY.GNP.PCAP.CD</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v>310</v>
          </cell>
          <cell r="AL10">
            <v>360</v>
          </cell>
          <cell r="AM10">
            <v>400</v>
          </cell>
          <cell r="AN10">
            <v>470</v>
          </cell>
          <cell r="AO10">
            <v>520</v>
          </cell>
          <cell r="AP10">
            <v>560</v>
          </cell>
          <cell r="AQ10">
            <v>590</v>
          </cell>
          <cell r="AR10">
            <v>610</v>
          </cell>
          <cell r="AS10">
            <v>660</v>
          </cell>
          <cell r="AT10">
            <v>710</v>
          </cell>
          <cell r="AU10">
            <v>800</v>
          </cell>
          <cell r="AV10">
            <v>960</v>
          </cell>
          <cell r="AW10">
            <v>1180</v>
          </cell>
          <cell r="AX10">
            <v>1540</v>
          </cell>
          <cell r="AY10">
            <v>2020</v>
          </cell>
          <cell r="AZ10">
            <v>2760</v>
          </cell>
          <cell r="BA10">
            <v>3600</v>
          </cell>
          <cell r="BB10">
            <v>3340</v>
          </cell>
          <cell r="BC10">
            <v>3470</v>
          </cell>
          <cell r="BD10">
            <v>3530</v>
          </cell>
          <cell r="BE10">
            <v>3880</v>
          </cell>
          <cell r="BF10">
            <v>4110</v>
          </cell>
          <cell r="BG10">
            <v>4140</v>
          </cell>
          <cell r="BH10">
            <v>4010</v>
          </cell>
          <cell r="BI10">
            <v>3760</v>
          </cell>
          <cell r="BJ10">
            <v>3950</v>
          </cell>
          <cell r="BK10">
            <v>4240</v>
          </cell>
          <cell r="BL10">
            <v>4660</v>
          </cell>
          <cell r="BM10">
            <v>4220</v>
          </cell>
          <cell r="BN10">
            <v>4220</v>
          </cell>
        </row>
        <row r="11">
          <cell r="B11" t="str">
            <v>ABW</v>
          </cell>
          <cell r="C11" t="str">
            <v>GNI per capita, Atlas method (current US$)</v>
          </cell>
          <cell r="D11" t="str">
            <v>NY.GNP.PCAP.CD</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v>10360</v>
          </cell>
          <cell r="AH11">
            <v>11760</v>
          </cell>
          <cell r="AI11">
            <v>12230</v>
          </cell>
          <cell r="AJ11">
            <v>13190</v>
          </cell>
          <cell r="AK11">
            <v>13990</v>
          </cell>
          <cell r="AL11">
            <v>14620</v>
          </cell>
          <cell r="AM11">
            <v>15640</v>
          </cell>
          <cell r="AN11">
            <v>16230</v>
          </cell>
          <cell r="AO11">
            <v>16370</v>
          </cell>
          <cell r="AP11">
            <v>17220</v>
          </cell>
          <cell r="AQ11">
            <v>17620</v>
          </cell>
          <cell r="AR11">
            <v>17880</v>
          </cell>
          <cell r="AS11">
            <v>20000</v>
          </cell>
          <cell r="AT11">
            <v>19170</v>
          </cell>
          <cell r="AU11">
            <v>17890</v>
          </cell>
          <cell r="AV11">
            <v>20070</v>
          </cell>
          <cell r="AW11">
            <v>22630</v>
          </cell>
          <cell r="AX11">
            <v>19200</v>
          </cell>
          <cell r="AY11">
            <v>23340</v>
          </cell>
          <cell r="AZ11">
            <v>21680</v>
          </cell>
          <cell r="BA11">
            <v>25510</v>
          </cell>
          <cell r="BB11">
            <v>23770</v>
          </cell>
          <cell r="BC11">
            <v>22380</v>
          </cell>
          <cell r="BD11">
            <v>22450</v>
          </cell>
          <cell r="BE11">
            <v>23520</v>
          </cell>
          <cell r="BF11">
            <v>24510</v>
          </cell>
          <cell r="BG11">
            <v>25350</v>
          </cell>
          <cell r="BH11">
            <v>26560</v>
          </cell>
          <cell r="BI11">
            <v>26840</v>
          </cell>
          <cell r="BJ11">
            <v>27120</v>
          </cell>
          <cell r="BK11" t="str">
            <v>..</v>
          </cell>
          <cell r="BL11" t="str">
            <v>..</v>
          </cell>
          <cell r="BM11" t="str">
            <v>..</v>
          </cell>
          <cell r="BN11">
            <v>27120</v>
          </cell>
        </row>
        <row r="12">
          <cell r="B12" t="str">
            <v>AUS</v>
          </cell>
          <cell r="C12" t="str">
            <v>GNI per capita, Atlas method (current US$)</v>
          </cell>
          <cell r="D12" t="str">
            <v>NY.GNP.PCAP.CD</v>
          </cell>
          <cell r="E12" t="str">
            <v>..</v>
          </cell>
          <cell r="F12" t="str">
            <v>..</v>
          </cell>
          <cell r="G12">
            <v>1870</v>
          </cell>
          <cell r="H12">
            <v>1970</v>
          </cell>
          <cell r="I12">
            <v>2110</v>
          </cell>
          <cell r="J12">
            <v>2270</v>
          </cell>
          <cell r="K12">
            <v>2350</v>
          </cell>
          <cell r="L12">
            <v>2540</v>
          </cell>
          <cell r="M12">
            <v>2730</v>
          </cell>
          <cell r="N12">
            <v>2980</v>
          </cell>
          <cell r="O12">
            <v>3270</v>
          </cell>
          <cell r="P12">
            <v>3470</v>
          </cell>
          <cell r="Q12">
            <v>3890</v>
          </cell>
          <cell r="R12">
            <v>4650</v>
          </cell>
          <cell r="S12">
            <v>5950</v>
          </cell>
          <cell r="T12">
            <v>7220</v>
          </cell>
          <cell r="U12">
            <v>7870</v>
          </cell>
          <cell r="V12">
            <v>8080</v>
          </cell>
          <cell r="W12">
            <v>8470</v>
          </cell>
          <cell r="X12">
            <v>9600</v>
          </cell>
          <cell r="Y12">
            <v>10830</v>
          </cell>
          <cell r="Z12">
            <v>11870</v>
          </cell>
          <cell r="AA12">
            <v>12080</v>
          </cell>
          <cell r="AB12">
            <v>11590</v>
          </cell>
          <cell r="AC12">
            <v>12030</v>
          </cell>
          <cell r="AD12">
            <v>12010</v>
          </cell>
          <cell r="AE12">
            <v>12300</v>
          </cell>
          <cell r="AF12">
            <v>12550</v>
          </cell>
          <cell r="AG12">
            <v>14120</v>
          </cell>
          <cell r="AH12">
            <v>15590</v>
          </cell>
          <cell r="AI12">
            <v>17330</v>
          </cell>
          <cell r="AJ12">
            <v>18220</v>
          </cell>
          <cell r="AK12">
            <v>18540</v>
          </cell>
          <cell r="AL12">
            <v>18900</v>
          </cell>
          <cell r="AM12">
            <v>18860</v>
          </cell>
          <cell r="AN12">
            <v>19290</v>
          </cell>
          <cell r="AO12">
            <v>20480</v>
          </cell>
          <cell r="AP12">
            <v>21930</v>
          </cell>
          <cell r="AQ12">
            <v>21780</v>
          </cell>
          <cell r="AR12">
            <v>21440</v>
          </cell>
          <cell r="AS12">
            <v>21130</v>
          </cell>
          <cell r="AT12">
            <v>20160</v>
          </cell>
          <cell r="AU12">
            <v>20030</v>
          </cell>
          <cell r="AV12">
            <v>21170</v>
          </cell>
          <cell r="AW12">
            <v>25570</v>
          </cell>
          <cell r="AX12">
            <v>30390</v>
          </cell>
          <cell r="AY12">
            <v>34150</v>
          </cell>
          <cell r="AZ12">
            <v>37340</v>
          </cell>
          <cell r="BA12">
            <v>42360</v>
          </cell>
          <cell r="BB12">
            <v>44050</v>
          </cell>
          <cell r="BC12">
            <v>46690</v>
          </cell>
          <cell r="BD12">
            <v>50380</v>
          </cell>
          <cell r="BE12">
            <v>60260</v>
          </cell>
          <cell r="BF12">
            <v>66050</v>
          </cell>
          <cell r="BG12">
            <v>65180</v>
          </cell>
          <cell r="BH12">
            <v>60490</v>
          </cell>
          <cell r="BI12">
            <v>54090</v>
          </cell>
          <cell r="BJ12">
            <v>51480</v>
          </cell>
          <cell r="BK12">
            <v>53070</v>
          </cell>
          <cell r="BL12">
            <v>54910</v>
          </cell>
          <cell r="BM12">
            <v>53690</v>
          </cell>
          <cell r="BN12">
            <v>53690</v>
          </cell>
        </row>
        <row r="13">
          <cell r="B13" t="str">
            <v>AUT</v>
          </cell>
          <cell r="C13" t="str">
            <v>GNI per capita, Atlas method (current US$)</v>
          </cell>
          <cell r="D13" t="str">
            <v>NY.GNP.PCAP.CD</v>
          </cell>
          <cell r="E13" t="str">
            <v>..</v>
          </cell>
          <cell r="F13" t="str">
            <v>..</v>
          </cell>
          <cell r="G13">
            <v>1060</v>
          </cell>
          <cell r="H13">
            <v>1140</v>
          </cell>
          <cell r="I13">
            <v>1240</v>
          </cell>
          <cell r="J13">
            <v>1340</v>
          </cell>
          <cell r="K13">
            <v>1470</v>
          </cell>
          <cell r="L13">
            <v>1560</v>
          </cell>
          <cell r="M13">
            <v>1680</v>
          </cell>
          <cell r="N13">
            <v>1850</v>
          </cell>
          <cell r="O13">
            <v>2070</v>
          </cell>
          <cell r="P13">
            <v>2320</v>
          </cell>
          <cell r="Q13">
            <v>2760</v>
          </cell>
          <cell r="R13">
            <v>3580</v>
          </cell>
          <cell r="S13">
            <v>4650</v>
          </cell>
          <cell r="T13">
            <v>5540</v>
          </cell>
          <cell r="U13">
            <v>5980</v>
          </cell>
          <cell r="V13">
            <v>6660</v>
          </cell>
          <cell r="W13">
            <v>7540</v>
          </cell>
          <cell r="X13">
            <v>9620</v>
          </cell>
          <cell r="Y13">
            <v>11460</v>
          </cell>
          <cell r="Z13">
            <v>11180</v>
          </cell>
          <cell r="AA13">
            <v>10380</v>
          </cell>
          <cell r="AB13">
            <v>9600</v>
          </cell>
          <cell r="AC13">
            <v>9270</v>
          </cell>
          <cell r="AD13">
            <v>9360</v>
          </cell>
          <cell r="AE13">
            <v>10820</v>
          </cell>
          <cell r="AF13">
            <v>13810</v>
          </cell>
          <cell r="AG13">
            <v>18070</v>
          </cell>
          <cell r="AH13">
            <v>19300</v>
          </cell>
          <cell r="AI13">
            <v>20630</v>
          </cell>
          <cell r="AJ13">
            <v>21810</v>
          </cell>
          <cell r="AK13">
            <v>24520</v>
          </cell>
          <cell r="AL13">
            <v>24870</v>
          </cell>
          <cell r="AM13">
            <v>26140</v>
          </cell>
          <cell r="AN13">
            <v>28190</v>
          </cell>
          <cell r="AO13">
            <v>30090</v>
          </cell>
          <cell r="AP13">
            <v>29560</v>
          </cell>
          <cell r="AQ13">
            <v>27970</v>
          </cell>
          <cell r="AR13">
            <v>27080</v>
          </cell>
          <cell r="AS13">
            <v>26790</v>
          </cell>
          <cell r="AT13">
            <v>25290</v>
          </cell>
          <cell r="AU13">
            <v>24970</v>
          </cell>
          <cell r="AV13">
            <v>28020</v>
          </cell>
          <cell r="AW13">
            <v>33750</v>
          </cell>
          <cell r="AX13">
            <v>38720</v>
          </cell>
          <cell r="AY13">
            <v>41460</v>
          </cell>
          <cell r="AZ13">
            <v>44510</v>
          </cell>
          <cell r="BA13">
            <v>49110</v>
          </cell>
          <cell r="BB13">
            <v>49000</v>
          </cell>
          <cell r="BC13">
            <v>49610</v>
          </cell>
          <cell r="BD13">
            <v>50590</v>
          </cell>
          <cell r="BE13">
            <v>50060</v>
          </cell>
          <cell r="BF13">
            <v>50700</v>
          </cell>
          <cell r="BG13">
            <v>50370</v>
          </cell>
          <cell r="BH13">
            <v>47450</v>
          </cell>
          <cell r="BI13">
            <v>46200</v>
          </cell>
          <cell r="BJ13">
            <v>44990</v>
          </cell>
          <cell r="BK13">
            <v>48950</v>
          </cell>
          <cell r="BL13">
            <v>50960</v>
          </cell>
          <cell r="BM13">
            <v>48350</v>
          </cell>
          <cell r="BN13">
            <v>48350</v>
          </cell>
        </row>
        <row r="14">
          <cell r="B14" t="str">
            <v>AZE</v>
          </cell>
          <cell r="C14" t="str">
            <v>GNI per capita, Atlas method (current US$)</v>
          </cell>
          <cell r="D14" t="str">
            <v>NY.GNP.PCAP.CD</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v>80</v>
          </cell>
          <cell r="AN14">
            <v>180</v>
          </cell>
          <cell r="AO14">
            <v>240</v>
          </cell>
          <cell r="AP14">
            <v>410</v>
          </cell>
          <cell r="AQ14">
            <v>510</v>
          </cell>
          <cell r="AR14">
            <v>600</v>
          </cell>
          <cell r="AS14">
            <v>630</v>
          </cell>
          <cell r="AT14">
            <v>680</v>
          </cell>
          <cell r="AU14">
            <v>740</v>
          </cell>
          <cell r="AV14">
            <v>840</v>
          </cell>
          <cell r="AW14">
            <v>960</v>
          </cell>
          <cell r="AX14">
            <v>1290</v>
          </cell>
          <cell r="AY14">
            <v>1920</v>
          </cell>
          <cell r="AZ14">
            <v>2730</v>
          </cell>
          <cell r="BA14">
            <v>3890</v>
          </cell>
          <cell r="BB14">
            <v>4820</v>
          </cell>
          <cell r="BC14">
            <v>5410</v>
          </cell>
          <cell r="BD14">
            <v>5570</v>
          </cell>
          <cell r="BE14">
            <v>6480</v>
          </cell>
          <cell r="BF14">
            <v>7450</v>
          </cell>
          <cell r="BG14">
            <v>7740</v>
          </cell>
          <cell r="BH14">
            <v>6610</v>
          </cell>
          <cell r="BI14">
            <v>4790</v>
          </cell>
          <cell r="BJ14">
            <v>4110</v>
          </cell>
          <cell r="BK14">
            <v>4080</v>
          </cell>
          <cell r="BL14">
            <v>4510</v>
          </cell>
          <cell r="BM14">
            <v>4480</v>
          </cell>
          <cell r="BN14">
            <v>4480</v>
          </cell>
        </row>
        <row r="15">
          <cell r="B15" t="str">
            <v>BHS</v>
          </cell>
          <cell r="C15" t="str">
            <v>GNI per capita, Atlas method (current US$)</v>
          </cell>
          <cell r="D15" t="str">
            <v>NY.GNP.PCAP.CD</v>
          </cell>
          <cell r="E15" t="str">
            <v>..</v>
          </cell>
          <cell r="F15" t="str">
            <v>..</v>
          </cell>
          <cell r="G15">
            <v>1550</v>
          </cell>
          <cell r="H15">
            <v>1650</v>
          </cell>
          <cell r="I15">
            <v>1760</v>
          </cell>
          <cell r="J15">
            <v>1900</v>
          </cell>
          <cell r="K15">
            <v>2040</v>
          </cell>
          <cell r="L15">
            <v>2230</v>
          </cell>
          <cell r="M15">
            <v>2450</v>
          </cell>
          <cell r="N15">
            <v>2760</v>
          </cell>
          <cell r="O15">
            <v>2920</v>
          </cell>
          <cell r="P15">
            <v>3110</v>
          </cell>
          <cell r="Q15">
            <v>3190</v>
          </cell>
          <cell r="R15">
            <v>3740</v>
          </cell>
          <cell r="S15">
            <v>3840</v>
          </cell>
          <cell r="T15">
            <v>4640</v>
          </cell>
          <cell r="U15">
            <v>3120</v>
          </cell>
          <cell r="V15">
            <v>3360</v>
          </cell>
          <cell r="W15">
            <v>3720</v>
          </cell>
          <cell r="X15">
            <v>5200</v>
          </cell>
          <cell r="Y15">
            <v>6050</v>
          </cell>
          <cell r="Z15">
            <v>5790</v>
          </cell>
          <cell r="AA15">
            <v>6360</v>
          </cell>
          <cell r="AB15">
            <v>6640</v>
          </cell>
          <cell r="AC15">
            <v>7700</v>
          </cell>
          <cell r="AD15">
            <v>8510</v>
          </cell>
          <cell r="AE15">
            <v>9400</v>
          </cell>
          <cell r="AF15">
            <v>10800</v>
          </cell>
          <cell r="AG15">
            <v>11710</v>
          </cell>
          <cell r="AH15">
            <v>12440</v>
          </cell>
          <cell r="AI15">
            <v>11870</v>
          </cell>
          <cell r="AJ15">
            <v>11330</v>
          </cell>
          <cell r="AK15">
            <v>11550</v>
          </cell>
          <cell r="AL15">
            <v>11310</v>
          </cell>
          <cell r="AM15">
            <v>11600</v>
          </cell>
          <cell r="AN15">
            <v>14260</v>
          </cell>
          <cell r="AO15">
            <v>15930</v>
          </cell>
          <cell r="AP15">
            <v>15180</v>
          </cell>
          <cell r="AQ15">
            <v>16810</v>
          </cell>
          <cell r="AR15">
            <v>24150</v>
          </cell>
          <cell r="AS15">
            <v>26360</v>
          </cell>
          <cell r="AT15">
            <v>26560</v>
          </cell>
          <cell r="AU15">
            <v>27190</v>
          </cell>
          <cell r="AV15">
            <v>27770</v>
          </cell>
          <cell r="AW15">
            <v>29270</v>
          </cell>
          <cell r="AX15">
            <v>30570</v>
          </cell>
          <cell r="AY15">
            <v>30760</v>
          </cell>
          <cell r="AZ15">
            <v>31090</v>
          </cell>
          <cell r="BA15">
            <v>30960</v>
          </cell>
          <cell r="BB15">
            <v>29010</v>
          </cell>
          <cell r="BC15">
            <v>28370</v>
          </cell>
          <cell r="BD15">
            <v>28030</v>
          </cell>
          <cell r="BE15">
            <v>28550</v>
          </cell>
          <cell r="BF15">
            <v>27490</v>
          </cell>
          <cell r="BG15">
            <v>28110</v>
          </cell>
          <cell r="BH15">
            <v>28670</v>
          </cell>
          <cell r="BI15">
            <v>29020</v>
          </cell>
          <cell r="BJ15">
            <v>30090</v>
          </cell>
          <cell r="BK15">
            <v>31150</v>
          </cell>
          <cell r="BL15">
            <v>32260</v>
          </cell>
          <cell r="BM15">
            <v>26070</v>
          </cell>
          <cell r="BN15">
            <v>26070</v>
          </cell>
        </row>
        <row r="16">
          <cell r="B16" t="str">
            <v>BHR</v>
          </cell>
          <cell r="C16" t="str">
            <v>GNI per capita, Atlas method (current US$)</v>
          </cell>
          <cell r="D16" t="str">
            <v>NY.GNP.PCAP.CD</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v>8520</v>
          </cell>
          <cell r="AB16">
            <v>9150</v>
          </cell>
          <cell r="AC16">
            <v>9310</v>
          </cell>
          <cell r="AD16">
            <v>7900</v>
          </cell>
          <cell r="AE16">
            <v>7230</v>
          </cell>
          <cell r="AF16">
            <v>7700</v>
          </cell>
          <cell r="AG16">
            <v>7800</v>
          </cell>
          <cell r="AH16">
            <v>7660</v>
          </cell>
          <cell r="AI16">
            <v>9070</v>
          </cell>
          <cell r="AJ16">
            <v>9800</v>
          </cell>
          <cell r="AK16">
            <v>9890</v>
          </cell>
          <cell r="AL16">
            <v>10030</v>
          </cell>
          <cell r="AM16">
            <v>9680</v>
          </cell>
          <cell r="AN16">
            <v>10380</v>
          </cell>
          <cell r="AO16">
            <v>10790</v>
          </cell>
          <cell r="AP16">
            <v>10310</v>
          </cell>
          <cell r="AQ16">
            <v>10070</v>
          </cell>
          <cell r="AR16">
            <v>9870</v>
          </cell>
          <cell r="AS16">
            <v>10940</v>
          </cell>
          <cell r="AT16">
            <v>11500</v>
          </cell>
          <cell r="AU16">
            <v>12060</v>
          </cell>
          <cell r="AV16">
            <v>12940</v>
          </cell>
          <cell r="AW16">
            <v>14570</v>
          </cell>
          <cell r="AX16">
            <v>16550</v>
          </cell>
          <cell r="AY16">
            <v>17890</v>
          </cell>
          <cell r="AZ16">
            <v>19660</v>
          </cell>
          <cell r="BA16">
            <v>20860</v>
          </cell>
          <cell r="BB16">
            <v>18830</v>
          </cell>
          <cell r="BC16">
            <v>18970</v>
          </cell>
          <cell r="BD16">
            <v>18160</v>
          </cell>
          <cell r="BE16">
            <v>22010</v>
          </cell>
          <cell r="BF16">
            <v>23790</v>
          </cell>
          <cell r="BG16">
            <v>24070</v>
          </cell>
          <cell r="BH16">
            <v>22580</v>
          </cell>
          <cell r="BI16">
            <v>21570</v>
          </cell>
          <cell r="BJ16">
            <v>21250</v>
          </cell>
          <cell r="BK16">
            <v>22000</v>
          </cell>
          <cell r="BL16">
            <v>22230</v>
          </cell>
          <cell r="BM16">
            <v>19900</v>
          </cell>
          <cell r="BN16">
            <v>19900</v>
          </cell>
        </row>
        <row r="17">
          <cell r="B17" t="str">
            <v>BGD</v>
          </cell>
          <cell r="C17" t="str">
            <v>GNI per capita, Atlas method (current US$)</v>
          </cell>
          <cell r="D17" t="str">
            <v>NY.GNP.PCAP.CD</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v>120</v>
          </cell>
          <cell r="S17">
            <v>160</v>
          </cell>
          <cell r="T17">
            <v>210</v>
          </cell>
          <cell r="U17">
            <v>200</v>
          </cell>
          <cell r="V17">
            <v>170</v>
          </cell>
          <cell r="W17">
            <v>170</v>
          </cell>
          <cell r="X17">
            <v>190</v>
          </cell>
          <cell r="Y17">
            <v>230</v>
          </cell>
          <cell r="Z17">
            <v>260</v>
          </cell>
          <cell r="AA17">
            <v>250</v>
          </cell>
          <cell r="AB17">
            <v>230</v>
          </cell>
          <cell r="AC17">
            <v>220</v>
          </cell>
          <cell r="AD17">
            <v>230</v>
          </cell>
          <cell r="AE17">
            <v>250</v>
          </cell>
          <cell r="AF17">
            <v>280</v>
          </cell>
          <cell r="AG17">
            <v>290</v>
          </cell>
          <cell r="AH17">
            <v>300</v>
          </cell>
          <cell r="AI17">
            <v>320</v>
          </cell>
          <cell r="AJ17">
            <v>320</v>
          </cell>
          <cell r="AK17">
            <v>330</v>
          </cell>
          <cell r="AL17">
            <v>320</v>
          </cell>
          <cell r="AM17">
            <v>320</v>
          </cell>
          <cell r="AN17">
            <v>340</v>
          </cell>
          <cell r="AO17">
            <v>370</v>
          </cell>
          <cell r="AP17">
            <v>400</v>
          </cell>
          <cell r="AQ17">
            <v>420</v>
          </cell>
          <cell r="AR17">
            <v>420</v>
          </cell>
          <cell r="AS17">
            <v>440</v>
          </cell>
          <cell r="AT17">
            <v>440</v>
          </cell>
          <cell r="AU17">
            <v>440</v>
          </cell>
          <cell r="AV17">
            <v>460</v>
          </cell>
          <cell r="AW17">
            <v>510</v>
          </cell>
          <cell r="AX17">
            <v>550</v>
          </cell>
          <cell r="AY17">
            <v>570</v>
          </cell>
          <cell r="AZ17">
            <v>610</v>
          </cell>
          <cell r="BA17">
            <v>660</v>
          </cell>
          <cell r="BB17">
            <v>730</v>
          </cell>
          <cell r="BC17">
            <v>800</v>
          </cell>
          <cell r="BD17">
            <v>890</v>
          </cell>
          <cell r="BE17">
            <v>970</v>
          </cell>
          <cell r="BF17">
            <v>1040</v>
          </cell>
          <cell r="BG17">
            <v>1110</v>
          </cell>
          <cell r="BH17">
            <v>1220</v>
          </cell>
          <cell r="BI17">
            <v>1370</v>
          </cell>
          <cell r="BJ17">
            <v>1520</v>
          </cell>
          <cell r="BK17">
            <v>1750</v>
          </cell>
          <cell r="BL17">
            <v>1930</v>
          </cell>
          <cell r="BM17">
            <v>2030</v>
          </cell>
          <cell r="BN17">
            <v>2030</v>
          </cell>
        </row>
        <row r="18">
          <cell r="B18" t="str">
            <v>BRB</v>
          </cell>
          <cell r="C18" t="str">
            <v>GNI per capita, Atlas method (current US$)</v>
          </cell>
          <cell r="D18" t="str">
            <v>NY.GNP.PCAP.CD</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v>5910</v>
          </cell>
          <cell r="AF18">
            <v>6690</v>
          </cell>
          <cell r="AG18">
            <v>7430</v>
          </cell>
          <cell r="AH18">
            <v>7860</v>
          </cell>
          <cell r="AI18">
            <v>7600</v>
          </cell>
          <cell r="AJ18">
            <v>7570</v>
          </cell>
          <cell r="AK18">
            <v>7460</v>
          </cell>
          <cell r="AL18">
            <v>7690</v>
          </cell>
          <cell r="AM18">
            <v>8010</v>
          </cell>
          <cell r="AN18">
            <v>8340</v>
          </cell>
          <cell r="AO18">
            <v>8700</v>
          </cell>
          <cell r="AP18">
            <v>9050</v>
          </cell>
          <cell r="AQ18">
            <v>9420</v>
          </cell>
          <cell r="AR18">
            <v>9820</v>
          </cell>
          <cell r="AS18">
            <v>10780</v>
          </cell>
          <cell r="AT18">
            <v>10630</v>
          </cell>
          <cell r="AU18">
            <v>10650</v>
          </cell>
          <cell r="AV18">
            <v>11300</v>
          </cell>
          <cell r="AW18">
            <v>12290</v>
          </cell>
          <cell r="AX18">
            <v>13240</v>
          </cell>
          <cell r="AY18">
            <v>14220</v>
          </cell>
          <cell r="AZ18">
            <v>15530</v>
          </cell>
          <cell r="BA18">
            <v>16180</v>
          </cell>
          <cell r="BB18">
            <v>15730</v>
          </cell>
          <cell r="BC18">
            <v>15540</v>
          </cell>
          <cell r="BD18">
            <v>15050</v>
          </cell>
          <cell r="BE18">
            <v>15720</v>
          </cell>
          <cell r="BF18">
            <v>15660</v>
          </cell>
          <cell r="BG18">
            <v>15630</v>
          </cell>
          <cell r="BH18">
            <v>15740</v>
          </cell>
          <cell r="BI18">
            <v>15920</v>
          </cell>
          <cell r="BJ18">
            <v>16070</v>
          </cell>
          <cell r="BK18">
            <v>16700</v>
          </cell>
          <cell r="BL18">
            <v>17380</v>
          </cell>
          <cell r="BM18">
            <v>14350</v>
          </cell>
          <cell r="BN18">
            <v>14350</v>
          </cell>
        </row>
        <row r="19">
          <cell r="B19" t="str">
            <v>BLR</v>
          </cell>
          <cell r="C19" t="str">
            <v>GNI per capita, Atlas method (current US$)</v>
          </cell>
          <cell r="D19" t="str">
            <v>NY.GNP.PCAP.CD</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v>6260</v>
          </cell>
          <cell r="AL19" t="str">
            <v>..</v>
          </cell>
          <cell r="AM19">
            <v>5210</v>
          </cell>
          <cell r="AN19">
            <v>2190</v>
          </cell>
          <cell r="AO19">
            <v>1520</v>
          </cell>
          <cell r="AP19">
            <v>1520</v>
          </cell>
          <cell r="AQ19">
            <v>1560</v>
          </cell>
          <cell r="AR19">
            <v>1410</v>
          </cell>
          <cell r="AS19">
            <v>1380</v>
          </cell>
          <cell r="AT19">
            <v>1300</v>
          </cell>
          <cell r="AU19">
            <v>1380</v>
          </cell>
          <cell r="AV19">
            <v>1630</v>
          </cell>
          <cell r="AW19">
            <v>2170</v>
          </cell>
          <cell r="AX19">
            <v>2820</v>
          </cell>
          <cell r="AY19">
            <v>3510</v>
          </cell>
          <cell r="AZ19">
            <v>4310</v>
          </cell>
          <cell r="BA19">
            <v>5470</v>
          </cell>
          <cell r="BB19">
            <v>5660</v>
          </cell>
          <cell r="BC19">
            <v>6150</v>
          </cell>
          <cell r="BD19">
            <v>6340</v>
          </cell>
          <cell r="BE19">
            <v>6630</v>
          </cell>
          <cell r="BF19">
            <v>7030</v>
          </cell>
          <cell r="BG19">
            <v>7620</v>
          </cell>
          <cell r="BH19">
            <v>6750</v>
          </cell>
          <cell r="BI19">
            <v>5640</v>
          </cell>
          <cell r="BJ19">
            <v>5320</v>
          </cell>
          <cell r="BK19">
            <v>5730</v>
          </cell>
          <cell r="BL19">
            <v>6370</v>
          </cell>
          <cell r="BM19">
            <v>6360</v>
          </cell>
          <cell r="BN19">
            <v>6360</v>
          </cell>
        </row>
        <row r="20">
          <cell r="B20" t="str">
            <v>BEL</v>
          </cell>
          <cell r="C20" t="str">
            <v>GNI per capita, Atlas method (current US$)</v>
          </cell>
          <cell r="D20" t="str">
            <v>NY.GNP.PCAP.CD</v>
          </cell>
          <cell r="E20" t="str">
            <v>..</v>
          </cell>
          <cell r="F20" t="str">
            <v>..</v>
          </cell>
          <cell r="G20">
            <v>1450</v>
          </cell>
          <cell r="H20">
            <v>1530</v>
          </cell>
          <cell r="I20">
            <v>1670</v>
          </cell>
          <cell r="J20">
            <v>1800</v>
          </cell>
          <cell r="K20">
            <v>1950</v>
          </cell>
          <cell r="L20">
            <v>2100</v>
          </cell>
          <cell r="M20">
            <v>2270</v>
          </cell>
          <cell r="N20">
            <v>2510</v>
          </cell>
          <cell r="O20">
            <v>2790</v>
          </cell>
          <cell r="P20">
            <v>3080</v>
          </cell>
          <cell r="Q20">
            <v>3640</v>
          </cell>
          <cell r="R20">
            <v>4690</v>
          </cell>
          <cell r="S20">
            <v>6000</v>
          </cell>
          <cell r="T20">
            <v>6910</v>
          </cell>
          <cell r="U20">
            <v>7580</v>
          </cell>
          <cell r="V20">
            <v>8220</v>
          </cell>
          <cell r="W20">
            <v>9560</v>
          </cell>
          <cell r="X20">
            <v>11730</v>
          </cell>
          <cell r="Y20">
            <v>13980</v>
          </cell>
          <cell r="Z20">
            <v>13190</v>
          </cell>
          <cell r="AA20">
            <v>11180</v>
          </cell>
          <cell r="AB20">
            <v>9430</v>
          </cell>
          <cell r="AC20">
            <v>8860</v>
          </cell>
          <cell r="AD20">
            <v>8820</v>
          </cell>
          <cell r="AE20">
            <v>10170</v>
          </cell>
          <cell r="AF20">
            <v>13090</v>
          </cell>
          <cell r="AG20">
            <v>17010</v>
          </cell>
          <cell r="AH20">
            <v>18030</v>
          </cell>
          <cell r="AI20">
            <v>19310</v>
          </cell>
          <cell r="AJ20">
            <v>20580</v>
          </cell>
          <cell r="AK20">
            <v>23170</v>
          </cell>
          <cell r="AL20">
            <v>23410</v>
          </cell>
          <cell r="AM20">
            <v>25090</v>
          </cell>
          <cell r="AN20">
            <v>27070</v>
          </cell>
          <cell r="AO20">
            <v>28550</v>
          </cell>
          <cell r="AP20">
            <v>28450</v>
          </cell>
          <cell r="AQ20">
            <v>26530</v>
          </cell>
          <cell r="AR20">
            <v>25980</v>
          </cell>
          <cell r="AS20">
            <v>25860</v>
          </cell>
          <cell r="AT20">
            <v>24430</v>
          </cell>
          <cell r="AU20">
            <v>24000</v>
          </cell>
          <cell r="AV20">
            <v>27030</v>
          </cell>
          <cell r="AW20">
            <v>32810</v>
          </cell>
          <cell r="AX20">
            <v>37730</v>
          </cell>
          <cell r="AY20">
            <v>39900</v>
          </cell>
          <cell r="AZ20">
            <v>42700</v>
          </cell>
          <cell r="BA20">
            <v>46470</v>
          </cell>
          <cell r="BB20">
            <v>46840</v>
          </cell>
          <cell r="BC20">
            <v>46950</v>
          </cell>
          <cell r="BD20">
            <v>46400</v>
          </cell>
          <cell r="BE20">
            <v>47100</v>
          </cell>
          <cell r="BF20">
            <v>47880</v>
          </cell>
          <cell r="BG20">
            <v>47800</v>
          </cell>
          <cell r="BH20">
            <v>45540</v>
          </cell>
          <cell r="BI20">
            <v>43360</v>
          </cell>
          <cell r="BJ20">
            <v>42470</v>
          </cell>
          <cell r="BK20">
            <v>46010</v>
          </cell>
          <cell r="BL20">
            <v>48010</v>
          </cell>
          <cell r="BM20">
            <v>45750</v>
          </cell>
          <cell r="BN20">
            <v>45750</v>
          </cell>
        </row>
        <row r="21">
          <cell r="B21" t="str">
            <v>BLZ</v>
          </cell>
          <cell r="C21" t="str">
            <v>GNI per capita, Atlas method (current US$)</v>
          </cell>
          <cell r="D21" t="str">
            <v>NY.GNP.PCAP.CD</v>
          </cell>
          <cell r="E21" t="str">
            <v>..</v>
          </cell>
          <cell r="F21" t="str">
            <v>..</v>
          </cell>
          <cell r="G21">
            <v>330</v>
          </cell>
          <cell r="H21">
            <v>340</v>
          </cell>
          <cell r="I21">
            <v>350</v>
          </cell>
          <cell r="J21">
            <v>370</v>
          </cell>
          <cell r="K21">
            <v>390</v>
          </cell>
          <cell r="L21">
            <v>420</v>
          </cell>
          <cell r="M21">
            <v>420</v>
          </cell>
          <cell r="N21">
            <v>420</v>
          </cell>
          <cell r="O21">
            <v>420</v>
          </cell>
          <cell r="P21">
            <v>450</v>
          </cell>
          <cell r="Q21">
            <v>520</v>
          </cell>
          <cell r="R21">
            <v>600</v>
          </cell>
          <cell r="S21">
            <v>730</v>
          </cell>
          <cell r="T21">
            <v>840</v>
          </cell>
          <cell r="U21">
            <v>800</v>
          </cell>
          <cell r="V21">
            <v>850</v>
          </cell>
          <cell r="W21">
            <v>930</v>
          </cell>
          <cell r="X21">
            <v>1120</v>
          </cell>
          <cell r="Y21">
            <v>1420</v>
          </cell>
          <cell r="Z21">
            <v>1430</v>
          </cell>
          <cell r="AA21">
            <v>1290</v>
          </cell>
          <cell r="AB21">
            <v>1150</v>
          </cell>
          <cell r="AC21">
            <v>1160</v>
          </cell>
          <cell r="AD21">
            <v>1200</v>
          </cell>
          <cell r="AE21">
            <v>1350</v>
          </cell>
          <cell r="AF21">
            <v>1610</v>
          </cell>
          <cell r="AG21">
            <v>1870</v>
          </cell>
          <cell r="AH21">
            <v>2080</v>
          </cell>
          <cell r="AI21">
            <v>2260</v>
          </cell>
          <cell r="AJ21">
            <v>2420</v>
          </cell>
          <cell r="AK21">
            <v>2680</v>
          </cell>
          <cell r="AL21">
            <v>2790</v>
          </cell>
          <cell r="AM21">
            <v>2780</v>
          </cell>
          <cell r="AN21">
            <v>2860</v>
          </cell>
          <cell r="AO21">
            <v>2880</v>
          </cell>
          <cell r="AP21">
            <v>2890</v>
          </cell>
          <cell r="AQ21">
            <v>2780</v>
          </cell>
          <cell r="AR21">
            <v>2880</v>
          </cell>
          <cell r="AS21">
            <v>3150</v>
          </cell>
          <cell r="AT21">
            <v>3130</v>
          </cell>
          <cell r="AU21">
            <v>3200</v>
          </cell>
          <cell r="AV21">
            <v>3420</v>
          </cell>
          <cell r="AW21">
            <v>3560</v>
          </cell>
          <cell r="AX21">
            <v>3620</v>
          </cell>
          <cell r="AY21">
            <v>3740</v>
          </cell>
          <cell r="AZ21">
            <v>3670</v>
          </cell>
          <cell r="BA21">
            <v>3880</v>
          </cell>
          <cell r="BB21">
            <v>4050</v>
          </cell>
          <cell r="BC21">
            <v>3880</v>
          </cell>
          <cell r="BD21">
            <v>4050</v>
          </cell>
          <cell r="BE21">
            <v>4100</v>
          </cell>
          <cell r="BF21">
            <v>4180</v>
          </cell>
          <cell r="BG21">
            <v>4260</v>
          </cell>
          <cell r="BH21">
            <v>4400</v>
          </cell>
          <cell r="BI21">
            <v>4340</v>
          </cell>
          <cell r="BJ21">
            <v>4420</v>
          </cell>
          <cell r="BK21">
            <v>4620</v>
          </cell>
          <cell r="BL21">
            <v>4690</v>
          </cell>
          <cell r="BM21">
            <v>4110</v>
          </cell>
          <cell r="BN21">
            <v>4110</v>
          </cell>
        </row>
        <row r="22">
          <cell r="B22" t="str">
            <v>BEN</v>
          </cell>
          <cell r="C22" t="str">
            <v>GNI per capita, Atlas method (current US$)</v>
          </cell>
          <cell r="D22" t="str">
            <v>NY.GNP.PCAP.CD</v>
          </cell>
          <cell r="E22" t="str">
            <v>..</v>
          </cell>
          <cell r="F22" t="str">
            <v>..</v>
          </cell>
          <cell r="G22">
            <v>90</v>
          </cell>
          <cell r="H22">
            <v>100</v>
          </cell>
          <cell r="I22">
            <v>110</v>
          </cell>
          <cell r="J22">
            <v>110</v>
          </cell>
          <cell r="K22">
            <v>110</v>
          </cell>
          <cell r="L22">
            <v>120</v>
          </cell>
          <cell r="M22">
            <v>120</v>
          </cell>
          <cell r="N22">
            <v>120</v>
          </cell>
          <cell r="O22">
            <v>120</v>
          </cell>
          <cell r="P22">
            <v>120</v>
          </cell>
          <cell r="Q22">
            <v>130</v>
          </cell>
          <cell r="R22">
            <v>160</v>
          </cell>
          <cell r="S22">
            <v>190</v>
          </cell>
          <cell r="T22">
            <v>200</v>
          </cell>
          <cell r="U22">
            <v>210</v>
          </cell>
          <cell r="V22">
            <v>230</v>
          </cell>
          <cell r="W22">
            <v>250</v>
          </cell>
          <cell r="X22">
            <v>310</v>
          </cell>
          <cell r="Y22">
            <v>390</v>
          </cell>
          <cell r="Z22">
            <v>410</v>
          </cell>
          <cell r="AA22">
            <v>360</v>
          </cell>
          <cell r="AB22">
            <v>290</v>
          </cell>
          <cell r="AC22">
            <v>270</v>
          </cell>
          <cell r="AD22">
            <v>260</v>
          </cell>
          <cell r="AE22">
            <v>270</v>
          </cell>
          <cell r="AF22">
            <v>310</v>
          </cell>
          <cell r="AG22">
            <v>360</v>
          </cell>
          <cell r="AH22">
            <v>340</v>
          </cell>
          <cell r="AI22">
            <v>370</v>
          </cell>
          <cell r="AJ22">
            <v>380</v>
          </cell>
          <cell r="AK22">
            <v>370</v>
          </cell>
          <cell r="AL22">
            <v>380</v>
          </cell>
          <cell r="AM22">
            <v>330</v>
          </cell>
          <cell r="AN22">
            <v>360</v>
          </cell>
          <cell r="AO22">
            <v>350</v>
          </cell>
          <cell r="AP22">
            <v>380</v>
          </cell>
          <cell r="AQ22">
            <v>370</v>
          </cell>
          <cell r="AR22">
            <v>410</v>
          </cell>
          <cell r="AS22">
            <v>480</v>
          </cell>
          <cell r="AT22">
            <v>530</v>
          </cell>
          <cell r="AU22">
            <v>530</v>
          </cell>
          <cell r="AV22">
            <v>600</v>
          </cell>
          <cell r="AW22">
            <v>730</v>
          </cell>
          <cell r="AX22">
            <v>820</v>
          </cell>
          <cell r="AY22">
            <v>860</v>
          </cell>
          <cell r="AZ22">
            <v>920</v>
          </cell>
          <cell r="BA22">
            <v>1030</v>
          </cell>
          <cell r="BB22">
            <v>1090</v>
          </cell>
          <cell r="BC22">
            <v>1080</v>
          </cell>
          <cell r="BD22">
            <v>1090</v>
          </cell>
          <cell r="BE22">
            <v>1120</v>
          </cell>
          <cell r="BF22">
            <v>1220</v>
          </cell>
          <cell r="BG22">
            <v>1270</v>
          </cell>
          <cell r="BH22">
            <v>1180</v>
          </cell>
          <cell r="BI22">
            <v>1110</v>
          </cell>
          <cell r="BJ22">
            <v>1090</v>
          </cell>
          <cell r="BK22">
            <v>1200</v>
          </cell>
          <cell r="BL22">
            <v>1250</v>
          </cell>
          <cell r="BM22">
            <v>1280</v>
          </cell>
          <cell r="BN22">
            <v>1280</v>
          </cell>
        </row>
        <row r="23">
          <cell r="B23" t="str">
            <v>BMU</v>
          </cell>
          <cell r="C23" t="str">
            <v>GNI per capita, Atlas method (current US$)</v>
          </cell>
          <cell r="D23" t="str">
            <v>NY.GNP.PCAP.CD</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v>103480</v>
          </cell>
          <cell r="BD23">
            <v>101610</v>
          </cell>
          <cell r="BE23">
            <v>100100</v>
          </cell>
          <cell r="BF23">
            <v>101760</v>
          </cell>
          <cell r="BG23">
            <v>99920</v>
          </cell>
          <cell r="BH23">
            <v>101120</v>
          </cell>
          <cell r="BI23">
            <v>103620</v>
          </cell>
          <cell r="BJ23">
            <v>112940</v>
          </cell>
          <cell r="BK23">
            <v>117000</v>
          </cell>
          <cell r="BL23">
            <v>117740</v>
          </cell>
          <cell r="BM23">
            <v>112240</v>
          </cell>
          <cell r="BN23">
            <v>112240</v>
          </cell>
        </row>
        <row r="24">
          <cell r="B24" t="str">
            <v>BTN</v>
          </cell>
          <cell r="C24" t="str">
            <v>GNI per capita, Atlas method (current US$)</v>
          </cell>
          <cell r="D24" t="str">
            <v>NY.GNP.PCAP.CD</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v>270</v>
          </cell>
          <cell r="AB24">
            <v>250</v>
          </cell>
          <cell r="AC24">
            <v>280</v>
          </cell>
          <cell r="AD24">
            <v>280</v>
          </cell>
          <cell r="AE24">
            <v>330</v>
          </cell>
          <cell r="AF24">
            <v>470</v>
          </cell>
          <cell r="AG24">
            <v>520</v>
          </cell>
          <cell r="AH24">
            <v>550</v>
          </cell>
          <cell r="AI24">
            <v>560</v>
          </cell>
          <cell r="AJ24">
            <v>480</v>
          </cell>
          <cell r="AK24">
            <v>450</v>
          </cell>
          <cell r="AL24">
            <v>420</v>
          </cell>
          <cell r="AM24">
            <v>450</v>
          </cell>
          <cell r="AN24">
            <v>460</v>
          </cell>
          <cell r="AO24">
            <v>510</v>
          </cell>
          <cell r="AP24">
            <v>550</v>
          </cell>
          <cell r="AQ24">
            <v>530</v>
          </cell>
          <cell r="AR24">
            <v>560</v>
          </cell>
          <cell r="AS24">
            <v>700</v>
          </cell>
          <cell r="AT24">
            <v>750</v>
          </cell>
          <cell r="AU24">
            <v>810</v>
          </cell>
          <cell r="AV24">
            <v>910</v>
          </cell>
          <cell r="AW24">
            <v>1030</v>
          </cell>
          <cell r="AX24">
            <v>1200</v>
          </cell>
          <cell r="AY24">
            <v>1330</v>
          </cell>
          <cell r="AZ24">
            <v>1640</v>
          </cell>
          <cell r="BA24">
            <v>1770</v>
          </cell>
          <cell r="BB24">
            <v>1860</v>
          </cell>
          <cell r="BC24">
            <v>2040</v>
          </cell>
          <cell r="BD24">
            <v>2240</v>
          </cell>
          <cell r="BE24">
            <v>2390</v>
          </cell>
          <cell r="BF24">
            <v>2410</v>
          </cell>
          <cell r="BG24">
            <v>2460</v>
          </cell>
          <cell r="BH24">
            <v>2520</v>
          </cell>
          <cell r="BI24">
            <v>2650</v>
          </cell>
          <cell r="BJ24">
            <v>2800</v>
          </cell>
          <cell r="BK24">
            <v>2970</v>
          </cell>
          <cell r="BL24">
            <v>3150</v>
          </cell>
          <cell r="BM24">
            <v>2840</v>
          </cell>
          <cell r="BN24">
            <v>2840</v>
          </cell>
        </row>
        <row r="25">
          <cell r="B25" t="str">
            <v>BOL</v>
          </cell>
          <cell r="C25" t="str">
            <v>GNI per capita, Atlas method (current US$)</v>
          </cell>
          <cell r="D25" t="str">
            <v>NY.GNP.PCAP.CD</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v>550</v>
          </cell>
          <cell r="V25">
            <v>580</v>
          </cell>
          <cell r="W25">
            <v>650</v>
          </cell>
          <cell r="X25">
            <v>760</v>
          </cell>
          <cell r="Y25">
            <v>820</v>
          </cell>
          <cell r="Z25">
            <v>900</v>
          </cell>
          <cell r="AA25">
            <v>860</v>
          </cell>
          <cell r="AB25">
            <v>840</v>
          </cell>
          <cell r="AC25">
            <v>850</v>
          </cell>
          <cell r="AD25">
            <v>840</v>
          </cell>
          <cell r="AE25">
            <v>740</v>
          </cell>
          <cell r="AF25">
            <v>720</v>
          </cell>
          <cell r="AG25">
            <v>710</v>
          </cell>
          <cell r="AH25">
            <v>720</v>
          </cell>
          <cell r="AI25">
            <v>720</v>
          </cell>
          <cell r="AJ25">
            <v>740</v>
          </cell>
          <cell r="AK25">
            <v>770</v>
          </cell>
          <cell r="AL25">
            <v>790</v>
          </cell>
          <cell r="AM25">
            <v>810</v>
          </cell>
          <cell r="AN25">
            <v>850</v>
          </cell>
          <cell r="AO25">
            <v>900</v>
          </cell>
          <cell r="AP25">
            <v>950</v>
          </cell>
          <cell r="AQ25">
            <v>990</v>
          </cell>
          <cell r="AR25">
            <v>980</v>
          </cell>
          <cell r="AS25">
            <v>980</v>
          </cell>
          <cell r="AT25">
            <v>950</v>
          </cell>
          <cell r="AU25">
            <v>920</v>
          </cell>
          <cell r="AV25">
            <v>910</v>
          </cell>
          <cell r="AW25">
            <v>950</v>
          </cell>
          <cell r="AX25">
            <v>1020</v>
          </cell>
          <cell r="AY25">
            <v>1110</v>
          </cell>
          <cell r="AZ25">
            <v>1220</v>
          </cell>
          <cell r="BA25">
            <v>1480</v>
          </cell>
          <cell r="BB25">
            <v>1620</v>
          </cell>
          <cell r="BC25">
            <v>1780</v>
          </cell>
          <cell r="BD25">
            <v>2000</v>
          </cell>
          <cell r="BE25">
            <v>2250</v>
          </cell>
          <cell r="BF25">
            <v>2590</v>
          </cell>
          <cell r="BG25">
            <v>2830</v>
          </cell>
          <cell r="BH25">
            <v>2960</v>
          </cell>
          <cell r="BI25">
            <v>3040</v>
          </cell>
          <cell r="BJ25">
            <v>3090</v>
          </cell>
          <cell r="BK25">
            <v>3370</v>
          </cell>
          <cell r="BL25">
            <v>3520</v>
          </cell>
          <cell r="BM25">
            <v>3180</v>
          </cell>
          <cell r="BN25">
            <v>3180</v>
          </cell>
        </row>
        <row r="26">
          <cell r="B26" t="str">
            <v>BIH</v>
          </cell>
          <cell r="C26" t="str">
            <v>GNI per capita, Atlas method (current US$)</v>
          </cell>
          <cell r="D26" t="str">
            <v>NY.GNP.PCAP.CD</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v>760</v>
          </cell>
          <cell r="AP26">
            <v>1010</v>
          </cell>
          <cell r="AQ26">
            <v>1330</v>
          </cell>
          <cell r="AR26">
            <v>1400</v>
          </cell>
          <cell r="AS26">
            <v>1540</v>
          </cell>
          <cell r="AT26">
            <v>1620</v>
          </cell>
          <cell r="AU26">
            <v>1750</v>
          </cell>
          <cell r="AV26">
            <v>2030</v>
          </cell>
          <cell r="AW26">
            <v>2700</v>
          </cell>
          <cell r="AX26">
            <v>3060</v>
          </cell>
          <cell r="AY26">
            <v>3410</v>
          </cell>
          <cell r="AZ26">
            <v>3920</v>
          </cell>
          <cell r="BA26">
            <v>4730</v>
          </cell>
          <cell r="BB26">
            <v>4970</v>
          </cell>
          <cell r="BC26">
            <v>4960</v>
          </cell>
          <cell r="BD26">
            <v>5010</v>
          </cell>
          <cell r="BE26">
            <v>4990</v>
          </cell>
          <cell r="BF26">
            <v>5270</v>
          </cell>
          <cell r="BG26">
            <v>5300</v>
          </cell>
          <cell r="BH26">
            <v>5210</v>
          </cell>
          <cell r="BI26">
            <v>5130</v>
          </cell>
          <cell r="BJ26">
            <v>5120</v>
          </cell>
          <cell r="BK26">
            <v>5750</v>
          </cell>
          <cell r="BL26">
            <v>6180</v>
          </cell>
          <cell r="BM26">
            <v>6080</v>
          </cell>
          <cell r="BN26">
            <v>6080</v>
          </cell>
        </row>
        <row r="27">
          <cell r="B27" t="str">
            <v>BWA</v>
          </cell>
          <cell r="C27" t="str">
            <v>GNI per capita, Atlas method (current US$)</v>
          </cell>
          <cell r="D27" t="str">
            <v>NY.GNP.PCAP.CD</v>
          </cell>
          <cell r="E27" t="str">
            <v>..</v>
          </cell>
          <cell r="F27" t="str">
            <v>..</v>
          </cell>
          <cell r="G27">
            <v>80</v>
          </cell>
          <cell r="H27">
            <v>80</v>
          </cell>
          <cell r="I27">
            <v>90</v>
          </cell>
          <cell r="J27">
            <v>90</v>
          </cell>
          <cell r="K27">
            <v>100</v>
          </cell>
          <cell r="L27">
            <v>100</v>
          </cell>
          <cell r="M27">
            <v>120</v>
          </cell>
          <cell r="N27">
            <v>140</v>
          </cell>
          <cell r="O27">
            <v>160</v>
          </cell>
          <cell r="P27">
            <v>200</v>
          </cell>
          <cell r="Q27">
            <v>260</v>
          </cell>
          <cell r="R27">
            <v>350</v>
          </cell>
          <cell r="S27">
            <v>440</v>
          </cell>
          <cell r="T27">
            <v>520</v>
          </cell>
          <cell r="U27">
            <v>540</v>
          </cell>
          <cell r="V27">
            <v>580</v>
          </cell>
          <cell r="W27">
            <v>690</v>
          </cell>
          <cell r="X27">
            <v>890</v>
          </cell>
          <cell r="Y27">
            <v>1110</v>
          </cell>
          <cell r="Z27">
            <v>1340</v>
          </cell>
          <cell r="AA27">
            <v>1290</v>
          </cell>
          <cell r="AB27">
            <v>1170</v>
          </cell>
          <cell r="AC27">
            <v>1090</v>
          </cell>
          <cell r="AD27">
            <v>1070</v>
          </cell>
          <cell r="AE27">
            <v>1150</v>
          </cell>
          <cell r="AF27">
            <v>1340</v>
          </cell>
          <cell r="AG27">
            <v>1980</v>
          </cell>
          <cell r="AH27">
            <v>2320</v>
          </cell>
          <cell r="AI27">
            <v>2720</v>
          </cell>
          <cell r="AJ27">
            <v>3070</v>
          </cell>
          <cell r="AK27">
            <v>3270</v>
          </cell>
          <cell r="AL27">
            <v>3330</v>
          </cell>
          <cell r="AM27">
            <v>2960</v>
          </cell>
          <cell r="AN27">
            <v>3260</v>
          </cell>
          <cell r="AO27">
            <v>3180</v>
          </cell>
          <cell r="AP27">
            <v>3330</v>
          </cell>
          <cell r="AQ27">
            <v>3210</v>
          </cell>
          <cell r="AR27">
            <v>3150</v>
          </cell>
          <cell r="AS27">
            <v>3170</v>
          </cell>
          <cell r="AT27">
            <v>3260</v>
          </cell>
          <cell r="AU27">
            <v>2930</v>
          </cell>
          <cell r="AV27">
            <v>3370</v>
          </cell>
          <cell r="AW27">
            <v>3920</v>
          </cell>
          <cell r="AX27">
            <v>4930</v>
          </cell>
          <cell r="AY27">
            <v>5440</v>
          </cell>
          <cell r="AZ27">
            <v>5730</v>
          </cell>
          <cell r="BA27">
            <v>5740</v>
          </cell>
          <cell r="BB27">
            <v>5330</v>
          </cell>
          <cell r="BC27">
            <v>5610</v>
          </cell>
          <cell r="BD27">
            <v>6610</v>
          </cell>
          <cell r="BE27">
            <v>7250</v>
          </cell>
          <cell r="BF27">
            <v>7570</v>
          </cell>
          <cell r="BG27">
            <v>7700</v>
          </cell>
          <cell r="BH27">
            <v>6780</v>
          </cell>
          <cell r="BI27">
            <v>6950</v>
          </cell>
          <cell r="BJ27">
            <v>7050</v>
          </cell>
          <cell r="BK27">
            <v>7510</v>
          </cell>
          <cell r="BL27">
            <v>7510</v>
          </cell>
          <cell r="BM27">
            <v>6640</v>
          </cell>
          <cell r="BN27">
            <v>6640</v>
          </cell>
        </row>
        <row r="28">
          <cell r="B28" t="str">
            <v>BRA</v>
          </cell>
          <cell r="C28" t="str">
            <v>GNI per capita, Atlas method (current US$)</v>
          </cell>
          <cell r="D28" t="str">
            <v>NY.GNP.PCAP.CD</v>
          </cell>
          <cell r="E28" t="str">
            <v>..</v>
          </cell>
          <cell r="F28" t="str">
            <v>..</v>
          </cell>
          <cell r="G28" t="str">
            <v>..</v>
          </cell>
          <cell r="H28" t="str">
            <v>..</v>
          </cell>
          <cell r="I28" t="str">
            <v>..</v>
          </cell>
          <cell r="J28" t="str">
            <v>..</v>
          </cell>
          <cell r="K28">
            <v>270</v>
          </cell>
          <cell r="L28">
            <v>320</v>
          </cell>
          <cell r="M28">
            <v>380</v>
          </cell>
          <cell r="N28">
            <v>420</v>
          </cell>
          <cell r="O28">
            <v>450</v>
          </cell>
          <cell r="P28">
            <v>510</v>
          </cell>
          <cell r="Q28">
            <v>590</v>
          </cell>
          <cell r="R28">
            <v>730</v>
          </cell>
          <cell r="S28">
            <v>960</v>
          </cell>
          <cell r="T28">
            <v>1180</v>
          </cell>
          <cell r="U28">
            <v>1400</v>
          </cell>
          <cell r="V28">
            <v>1520</v>
          </cell>
          <cell r="W28">
            <v>1710</v>
          </cell>
          <cell r="X28">
            <v>2000</v>
          </cell>
          <cell r="Y28">
            <v>2180</v>
          </cell>
          <cell r="Z28">
            <v>2120</v>
          </cell>
          <cell r="AA28">
            <v>2060</v>
          </cell>
          <cell r="AB28">
            <v>1780</v>
          </cell>
          <cell r="AC28">
            <v>1680</v>
          </cell>
          <cell r="AD28">
            <v>1550</v>
          </cell>
          <cell r="AE28">
            <v>1750</v>
          </cell>
          <cell r="AF28">
            <v>2030</v>
          </cell>
          <cell r="AG28">
            <v>2310</v>
          </cell>
          <cell r="AH28">
            <v>2490</v>
          </cell>
          <cell r="AI28">
            <v>2350</v>
          </cell>
          <cell r="AJ28">
            <v>2390</v>
          </cell>
          <cell r="AK28">
            <v>2340</v>
          </cell>
          <cell r="AL28">
            <v>2310</v>
          </cell>
          <cell r="AM28">
            <v>2670</v>
          </cell>
          <cell r="AN28">
            <v>3430</v>
          </cell>
          <cell r="AO28">
            <v>4350</v>
          </cell>
          <cell r="AP28">
            <v>5020</v>
          </cell>
          <cell r="AQ28">
            <v>4840</v>
          </cell>
          <cell r="AR28">
            <v>4120</v>
          </cell>
          <cell r="AS28">
            <v>3930</v>
          </cell>
          <cell r="AT28">
            <v>3350</v>
          </cell>
          <cell r="AU28">
            <v>3100</v>
          </cell>
          <cell r="AV28">
            <v>2990</v>
          </cell>
          <cell r="AW28">
            <v>3350</v>
          </cell>
          <cell r="AX28">
            <v>4000</v>
          </cell>
          <cell r="AY28">
            <v>4850</v>
          </cell>
          <cell r="AZ28">
            <v>6190</v>
          </cell>
          <cell r="BA28">
            <v>7620</v>
          </cell>
          <cell r="BB28">
            <v>8320</v>
          </cell>
          <cell r="BC28">
            <v>9650</v>
          </cell>
          <cell r="BD28">
            <v>11080</v>
          </cell>
          <cell r="BE28">
            <v>12310</v>
          </cell>
          <cell r="BF28">
            <v>12790</v>
          </cell>
          <cell r="BG28">
            <v>12120</v>
          </cell>
          <cell r="BH28">
            <v>10190</v>
          </cell>
          <cell r="BI28">
            <v>8920</v>
          </cell>
          <cell r="BJ28">
            <v>8700</v>
          </cell>
          <cell r="BK28">
            <v>9170</v>
          </cell>
          <cell r="BL28">
            <v>9270</v>
          </cell>
          <cell r="BM28">
            <v>7850</v>
          </cell>
          <cell r="BN28">
            <v>7850</v>
          </cell>
        </row>
        <row r="29">
          <cell r="B29" t="str">
            <v>VGB</v>
          </cell>
          <cell r="C29" t="str">
            <v>GNI per capita, Atlas method (current US$)</v>
          </cell>
          <cell r="D29" t="str">
            <v>NY.GNP.PCAP.CD</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
          </cell>
        </row>
        <row r="30">
          <cell r="B30" t="str">
            <v>BRN</v>
          </cell>
          <cell r="C30" t="str">
            <v>GNI per capita, Atlas method (current US$)</v>
          </cell>
          <cell r="D30" t="str">
            <v>NY.GNP.PCAP.CD</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v>12090</v>
          </cell>
          <cell r="AI30">
            <v>12460</v>
          </cell>
          <cell r="AJ30">
            <v>13580</v>
          </cell>
          <cell r="AK30">
            <v>15160</v>
          </cell>
          <cell r="AL30">
            <v>15030</v>
          </cell>
          <cell r="AM30">
            <v>15090</v>
          </cell>
          <cell r="AN30">
            <v>15680</v>
          </cell>
          <cell r="AO30">
            <v>16210</v>
          </cell>
          <cell r="AP30">
            <v>16220</v>
          </cell>
          <cell r="AQ30">
            <v>14420</v>
          </cell>
          <cell r="AR30">
            <v>14040</v>
          </cell>
          <cell r="AS30">
            <v>14680</v>
          </cell>
          <cell r="AT30">
            <v>16070</v>
          </cell>
          <cell r="AU30">
            <v>17140</v>
          </cell>
          <cell r="AV30">
            <v>17800</v>
          </cell>
          <cell r="AW30">
            <v>19990</v>
          </cell>
          <cell r="AX30">
            <v>23090</v>
          </cell>
          <cell r="AY30">
            <v>27580</v>
          </cell>
          <cell r="AZ30">
            <v>30930</v>
          </cell>
          <cell r="BA30">
            <v>34150</v>
          </cell>
          <cell r="BB30">
            <v>32460</v>
          </cell>
          <cell r="BC30">
            <v>33300</v>
          </cell>
          <cell r="BD30">
            <v>35520</v>
          </cell>
          <cell r="BE30">
            <v>42370</v>
          </cell>
          <cell r="BF30">
            <v>45320</v>
          </cell>
          <cell r="BG30">
            <v>43090</v>
          </cell>
          <cell r="BH30">
            <v>38850</v>
          </cell>
          <cell r="BI30">
            <v>33170</v>
          </cell>
          <cell r="BJ30">
            <v>29800</v>
          </cell>
          <cell r="BK30">
            <v>29390</v>
          </cell>
          <cell r="BL30">
            <v>32230</v>
          </cell>
          <cell r="BM30">
            <v>31510</v>
          </cell>
          <cell r="BN30">
            <v>31510</v>
          </cell>
        </row>
        <row r="31">
          <cell r="B31" t="str">
            <v>BGR</v>
          </cell>
          <cell r="C31" t="str">
            <v>GNI per capita, Atlas method (current US$)</v>
          </cell>
          <cell r="D31" t="str">
            <v>NY.GNP.PCAP.CD</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v>2360</v>
          </cell>
          <cell r="AB31">
            <v>2090</v>
          </cell>
          <cell r="AC31">
            <v>2010</v>
          </cell>
          <cell r="AD31">
            <v>1950</v>
          </cell>
          <cell r="AE31">
            <v>2190</v>
          </cell>
          <cell r="AF31">
            <v>2720</v>
          </cell>
          <cell r="AG31">
            <v>3110</v>
          </cell>
          <cell r="AH31">
            <v>2830</v>
          </cell>
          <cell r="AI31">
            <v>2250</v>
          </cell>
          <cell r="AJ31">
            <v>1620</v>
          </cell>
          <cell r="AK31">
            <v>1430</v>
          </cell>
          <cell r="AL31">
            <v>1250</v>
          </cell>
          <cell r="AM31">
            <v>1240</v>
          </cell>
          <cell r="AN31">
            <v>1520</v>
          </cell>
          <cell r="AO31">
            <v>1590</v>
          </cell>
          <cell r="AP31">
            <v>1460</v>
          </cell>
          <cell r="AQ31">
            <v>1440</v>
          </cell>
          <cell r="AR31">
            <v>1480</v>
          </cell>
          <cell r="AS31">
            <v>1660</v>
          </cell>
          <cell r="AT31">
            <v>1770</v>
          </cell>
          <cell r="AU31">
            <v>1970</v>
          </cell>
          <cell r="AV31">
            <v>2370</v>
          </cell>
          <cell r="AW31">
            <v>3060</v>
          </cell>
          <cell r="AX31">
            <v>3800</v>
          </cell>
          <cell r="AY31">
            <v>4300</v>
          </cell>
          <cell r="AZ31">
            <v>4820</v>
          </cell>
          <cell r="BA31">
            <v>6070</v>
          </cell>
          <cell r="BB31">
            <v>6680</v>
          </cell>
          <cell r="BC31">
            <v>7010</v>
          </cell>
          <cell r="BD31">
            <v>7260</v>
          </cell>
          <cell r="BE31">
            <v>7490</v>
          </cell>
          <cell r="BF31">
            <v>7590</v>
          </cell>
          <cell r="BG31">
            <v>7700</v>
          </cell>
          <cell r="BH31">
            <v>7430</v>
          </cell>
          <cell r="BI31">
            <v>7400</v>
          </cell>
          <cell r="BJ31">
            <v>7610</v>
          </cell>
          <cell r="BK31">
            <v>8530</v>
          </cell>
          <cell r="BL31">
            <v>9500</v>
          </cell>
          <cell r="BM31">
            <v>9630</v>
          </cell>
          <cell r="BN31">
            <v>9630</v>
          </cell>
        </row>
        <row r="32">
          <cell r="B32" t="str">
            <v>BFA</v>
          </cell>
          <cell r="C32" t="str">
            <v>GNI per capita, Atlas method (current US$)</v>
          </cell>
          <cell r="D32" t="str">
            <v>NY.GNP.PCAP.CD</v>
          </cell>
          <cell r="E32" t="str">
            <v>..</v>
          </cell>
          <cell r="F32" t="str">
            <v>..</v>
          </cell>
          <cell r="G32">
            <v>80</v>
          </cell>
          <cell r="H32">
            <v>80</v>
          </cell>
          <cell r="I32">
            <v>80</v>
          </cell>
          <cell r="J32">
            <v>80</v>
          </cell>
          <cell r="K32">
            <v>80</v>
          </cell>
          <cell r="L32">
            <v>90</v>
          </cell>
          <cell r="M32">
            <v>90</v>
          </cell>
          <cell r="N32">
            <v>90</v>
          </cell>
          <cell r="O32">
            <v>90</v>
          </cell>
          <cell r="P32">
            <v>90</v>
          </cell>
          <cell r="Q32">
            <v>90</v>
          </cell>
          <cell r="R32">
            <v>110</v>
          </cell>
          <cell r="S32">
            <v>140</v>
          </cell>
          <cell r="T32">
            <v>160</v>
          </cell>
          <cell r="U32">
            <v>170</v>
          </cell>
          <cell r="V32">
            <v>170</v>
          </cell>
          <cell r="W32">
            <v>200</v>
          </cell>
          <cell r="X32">
            <v>250</v>
          </cell>
          <cell r="Y32">
            <v>300</v>
          </cell>
          <cell r="Z32">
            <v>300</v>
          </cell>
          <cell r="AA32">
            <v>280</v>
          </cell>
          <cell r="AB32">
            <v>240</v>
          </cell>
          <cell r="AC32">
            <v>210</v>
          </cell>
          <cell r="AD32">
            <v>210</v>
          </cell>
          <cell r="AE32">
            <v>240</v>
          </cell>
          <cell r="AF32">
            <v>270</v>
          </cell>
          <cell r="AG32">
            <v>330</v>
          </cell>
          <cell r="AH32">
            <v>330</v>
          </cell>
          <cell r="AI32">
            <v>330</v>
          </cell>
          <cell r="AJ32">
            <v>360</v>
          </cell>
          <cell r="AK32">
            <v>370</v>
          </cell>
          <cell r="AL32">
            <v>360</v>
          </cell>
          <cell r="AM32">
            <v>280</v>
          </cell>
          <cell r="AN32">
            <v>250</v>
          </cell>
          <cell r="AO32">
            <v>250</v>
          </cell>
          <cell r="AP32">
            <v>250</v>
          </cell>
          <cell r="AQ32">
            <v>250</v>
          </cell>
          <cell r="AR32">
            <v>270</v>
          </cell>
          <cell r="AS32">
            <v>270</v>
          </cell>
          <cell r="AT32">
            <v>280</v>
          </cell>
          <cell r="AU32">
            <v>270</v>
          </cell>
          <cell r="AV32">
            <v>320</v>
          </cell>
          <cell r="AW32">
            <v>390</v>
          </cell>
          <cell r="AX32">
            <v>460</v>
          </cell>
          <cell r="AY32">
            <v>490</v>
          </cell>
          <cell r="AZ32">
            <v>510</v>
          </cell>
          <cell r="BA32">
            <v>570</v>
          </cell>
          <cell r="BB32">
            <v>610</v>
          </cell>
          <cell r="BC32">
            <v>650</v>
          </cell>
          <cell r="BD32">
            <v>680</v>
          </cell>
          <cell r="BE32">
            <v>730</v>
          </cell>
          <cell r="BF32">
            <v>770</v>
          </cell>
          <cell r="BG32">
            <v>760</v>
          </cell>
          <cell r="BH32">
            <v>700</v>
          </cell>
          <cell r="BI32">
            <v>680</v>
          </cell>
          <cell r="BJ32">
            <v>670</v>
          </cell>
          <cell r="BK32">
            <v>750</v>
          </cell>
          <cell r="BL32">
            <v>770</v>
          </cell>
          <cell r="BM32">
            <v>770</v>
          </cell>
          <cell r="BN32">
            <v>770</v>
          </cell>
        </row>
        <row r="33">
          <cell r="B33" t="str">
            <v>BDI</v>
          </cell>
          <cell r="C33" t="str">
            <v>GNI per capita, Atlas method (current US$)</v>
          </cell>
          <cell r="D33" t="str">
            <v>NY.GNP.PCAP.CD</v>
          </cell>
          <cell r="E33" t="str">
            <v>..</v>
          </cell>
          <cell r="F33" t="str">
            <v>..</v>
          </cell>
          <cell r="G33">
            <v>70</v>
          </cell>
          <cell r="H33">
            <v>80</v>
          </cell>
          <cell r="I33">
            <v>80</v>
          </cell>
          <cell r="J33">
            <v>70</v>
          </cell>
          <cell r="K33">
            <v>60</v>
          </cell>
          <cell r="L33">
            <v>50</v>
          </cell>
          <cell r="M33">
            <v>50</v>
          </cell>
          <cell r="N33">
            <v>50</v>
          </cell>
          <cell r="O33">
            <v>70</v>
          </cell>
          <cell r="P33">
            <v>70</v>
          </cell>
          <cell r="Q33">
            <v>70</v>
          </cell>
          <cell r="R33">
            <v>80</v>
          </cell>
          <cell r="S33">
            <v>100</v>
          </cell>
          <cell r="T33">
            <v>110</v>
          </cell>
          <cell r="U33">
            <v>120</v>
          </cell>
          <cell r="V33">
            <v>140</v>
          </cell>
          <cell r="W33">
            <v>150</v>
          </cell>
          <cell r="X33">
            <v>180</v>
          </cell>
          <cell r="Y33">
            <v>220</v>
          </cell>
          <cell r="Z33">
            <v>250</v>
          </cell>
          <cell r="AA33">
            <v>240</v>
          </cell>
          <cell r="AB33">
            <v>230</v>
          </cell>
          <cell r="AC33">
            <v>220</v>
          </cell>
          <cell r="AD33">
            <v>240</v>
          </cell>
          <cell r="AE33">
            <v>250</v>
          </cell>
          <cell r="AF33">
            <v>260</v>
          </cell>
          <cell r="AG33">
            <v>250</v>
          </cell>
          <cell r="AH33">
            <v>230</v>
          </cell>
          <cell r="AI33">
            <v>220</v>
          </cell>
          <cell r="AJ33">
            <v>220</v>
          </cell>
          <cell r="AK33">
            <v>210</v>
          </cell>
          <cell r="AL33">
            <v>180</v>
          </cell>
          <cell r="AM33">
            <v>160</v>
          </cell>
          <cell r="AN33">
            <v>150</v>
          </cell>
          <cell r="AO33">
            <v>140</v>
          </cell>
          <cell r="AP33">
            <v>150</v>
          </cell>
          <cell r="AQ33">
            <v>150</v>
          </cell>
          <cell r="AR33">
            <v>140</v>
          </cell>
          <cell r="AS33">
            <v>130</v>
          </cell>
          <cell r="AT33">
            <v>130</v>
          </cell>
          <cell r="AU33">
            <v>130</v>
          </cell>
          <cell r="AV33">
            <v>120</v>
          </cell>
          <cell r="AW33">
            <v>120</v>
          </cell>
          <cell r="AX33">
            <v>140</v>
          </cell>
          <cell r="AY33">
            <v>150</v>
          </cell>
          <cell r="AZ33">
            <v>170</v>
          </cell>
          <cell r="BA33">
            <v>190</v>
          </cell>
          <cell r="BB33">
            <v>200</v>
          </cell>
          <cell r="BC33">
            <v>220</v>
          </cell>
          <cell r="BD33">
            <v>230</v>
          </cell>
          <cell r="BE33">
            <v>250</v>
          </cell>
          <cell r="BF33">
            <v>260</v>
          </cell>
          <cell r="BG33">
            <v>260</v>
          </cell>
          <cell r="BH33">
            <v>260</v>
          </cell>
          <cell r="BI33">
            <v>260</v>
          </cell>
          <cell r="BJ33">
            <v>260</v>
          </cell>
          <cell r="BK33">
            <v>250</v>
          </cell>
          <cell r="BL33">
            <v>240</v>
          </cell>
          <cell r="BM33">
            <v>230</v>
          </cell>
          <cell r="BN33">
            <v>230</v>
          </cell>
        </row>
        <row r="34">
          <cell r="B34" t="str">
            <v>CPV</v>
          </cell>
          <cell r="C34" t="str">
            <v>GNI per capita, Atlas method (current US$)</v>
          </cell>
          <cell r="D34" t="str">
            <v>NY.GNP.PCAP.CD</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v>510</v>
          </cell>
          <cell r="AB34">
            <v>470</v>
          </cell>
          <cell r="AC34">
            <v>450</v>
          </cell>
          <cell r="AD34">
            <v>450</v>
          </cell>
          <cell r="AE34">
            <v>510</v>
          </cell>
          <cell r="AF34">
            <v>650</v>
          </cell>
          <cell r="AG34">
            <v>840</v>
          </cell>
          <cell r="AH34">
            <v>900</v>
          </cell>
          <cell r="AI34">
            <v>900</v>
          </cell>
          <cell r="AJ34">
            <v>910</v>
          </cell>
          <cell r="AK34">
            <v>1040</v>
          </cell>
          <cell r="AL34">
            <v>1190</v>
          </cell>
          <cell r="AM34">
            <v>1300</v>
          </cell>
          <cell r="AN34">
            <v>1410</v>
          </cell>
          <cell r="AO34">
            <v>1350</v>
          </cell>
          <cell r="AP34">
            <v>1350</v>
          </cell>
          <cell r="AQ34">
            <v>1330</v>
          </cell>
          <cell r="AR34">
            <v>1370</v>
          </cell>
          <cell r="AS34">
            <v>1410</v>
          </cell>
          <cell r="AT34">
            <v>1350</v>
          </cell>
          <cell r="AU34">
            <v>1300</v>
          </cell>
          <cell r="AV34">
            <v>1520</v>
          </cell>
          <cell r="AW34">
            <v>1900</v>
          </cell>
          <cell r="AX34">
            <v>2160</v>
          </cell>
          <cell r="AY34">
            <v>2300</v>
          </cell>
          <cell r="AZ34">
            <v>2820</v>
          </cell>
          <cell r="BA34">
            <v>3300</v>
          </cell>
          <cell r="BB34">
            <v>3480</v>
          </cell>
          <cell r="BC34">
            <v>3400</v>
          </cell>
          <cell r="BD34">
            <v>3510</v>
          </cell>
          <cell r="BE34">
            <v>3440</v>
          </cell>
          <cell r="BF34">
            <v>3490</v>
          </cell>
          <cell r="BG34">
            <v>3360</v>
          </cell>
          <cell r="BH34">
            <v>3210</v>
          </cell>
          <cell r="BI34">
            <v>3130</v>
          </cell>
          <cell r="BJ34">
            <v>3080</v>
          </cell>
          <cell r="BK34">
            <v>3400</v>
          </cell>
          <cell r="BL34">
            <v>3630</v>
          </cell>
          <cell r="BM34">
            <v>3060</v>
          </cell>
          <cell r="BN34">
            <v>3060</v>
          </cell>
        </row>
        <row r="35">
          <cell r="B35" t="str">
            <v>KHM</v>
          </cell>
          <cell r="C35" t="str">
            <v>GNI per capita, Atlas method (current US$)</v>
          </cell>
          <cell r="D35" t="str">
            <v>NY.GNP.PCAP.CD</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v>250</v>
          </cell>
          <cell r="AO35">
            <v>320</v>
          </cell>
          <cell r="AP35">
            <v>320</v>
          </cell>
          <cell r="AQ35">
            <v>290</v>
          </cell>
          <cell r="AR35">
            <v>300</v>
          </cell>
          <cell r="AS35">
            <v>300</v>
          </cell>
          <cell r="AT35">
            <v>310</v>
          </cell>
          <cell r="AU35">
            <v>320</v>
          </cell>
          <cell r="AV35">
            <v>350</v>
          </cell>
          <cell r="AW35">
            <v>400</v>
          </cell>
          <cell r="AX35">
            <v>460</v>
          </cell>
          <cell r="AY35">
            <v>520</v>
          </cell>
          <cell r="AZ35">
            <v>590</v>
          </cell>
          <cell r="BA35">
            <v>670</v>
          </cell>
          <cell r="BB35">
            <v>700</v>
          </cell>
          <cell r="BC35">
            <v>750</v>
          </cell>
          <cell r="BD35">
            <v>810</v>
          </cell>
          <cell r="BE35">
            <v>880</v>
          </cell>
          <cell r="BF35">
            <v>970</v>
          </cell>
          <cell r="BG35">
            <v>1020</v>
          </cell>
          <cell r="BH35">
            <v>1060</v>
          </cell>
          <cell r="BI35">
            <v>1140</v>
          </cell>
          <cell r="BJ35">
            <v>1230</v>
          </cell>
          <cell r="BK35">
            <v>1380</v>
          </cell>
          <cell r="BL35">
            <v>1530</v>
          </cell>
          <cell r="BM35">
            <v>1500</v>
          </cell>
          <cell r="BN35">
            <v>1500</v>
          </cell>
        </row>
        <row r="36">
          <cell r="B36" t="str">
            <v>CMR</v>
          </cell>
          <cell r="C36" t="str">
            <v>GNI per capita, Atlas method (current US$)</v>
          </cell>
          <cell r="D36" t="str">
            <v>NY.GNP.PCAP.CD</v>
          </cell>
          <cell r="E36" t="str">
            <v>..</v>
          </cell>
          <cell r="F36" t="str">
            <v>..</v>
          </cell>
          <cell r="G36" t="str">
            <v>..</v>
          </cell>
          <cell r="H36" t="str">
            <v>..</v>
          </cell>
          <cell r="I36" t="str">
            <v>..</v>
          </cell>
          <cell r="J36" t="str">
            <v>..</v>
          </cell>
          <cell r="K36" t="str">
            <v>..</v>
          </cell>
          <cell r="L36">
            <v>110</v>
          </cell>
          <cell r="M36">
            <v>130</v>
          </cell>
          <cell r="N36">
            <v>160</v>
          </cell>
          <cell r="O36">
            <v>160</v>
          </cell>
          <cell r="P36">
            <v>170</v>
          </cell>
          <cell r="Q36">
            <v>190</v>
          </cell>
          <cell r="R36">
            <v>220</v>
          </cell>
          <cell r="S36">
            <v>280</v>
          </cell>
          <cell r="T36">
            <v>360</v>
          </cell>
          <cell r="U36">
            <v>340</v>
          </cell>
          <cell r="V36">
            <v>340</v>
          </cell>
          <cell r="W36">
            <v>520</v>
          </cell>
          <cell r="X36">
            <v>640</v>
          </cell>
          <cell r="Y36">
            <v>640</v>
          </cell>
          <cell r="Z36">
            <v>800</v>
          </cell>
          <cell r="AA36">
            <v>780</v>
          </cell>
          <cell r="AB36">
            <v>700</v>
          </cell>
          <cell r="AC36">
            <v>720</v>
          </cell>
          <cell r="AD36">
            <v>780</v>
          </cell>
          <cell r="AE36">
            <v>950</v>
          </cell>
          <cell r="AF36">
            <v>1110</v>
          </cell>
          <cell r="AG36">
            <v>1180</v>
          </cell>
          <cell r="AH36">
            <v>1080</v>
          </cell>
          <cell r="AI36">
            <v>970</v>
          </cell>
          <cell r="AJ36">
            <v>900</v>
          </cell>
          <cell r="AK36">
            <v>930</v>
          </cell>
          <cell r="AL36">
            <v>950</v>
          </cell>
          <cell r="AM36">
            <v>850</v>
          </cell>
          <cell r="AN36">
            <v>830</v>
          </cell>
          <cell r="AO36">
            <v>740</v>
          </cell>
          <cell r="AP36">
            <v>760</v>
          </cell>
          <cell r="AQ36">
            <v>740</v>
          </cell>
          <cell r="AR36">
            <v>730</v>
          </cell>
          <cell r="AS36">
            <v>700</v>
          </cell>
          <cell r="AT36">
            <v>670</v>
          </cell>
          <cell r="AU36">
            <v>670</v>
          </cell>
          <cell r="AV36">
            <v>790</v>
          </cell>
          <cell r="AW36">
            <v>990</v>
          </cell>
          <cell r="AX36">
            <v>1100</v>
          </cell>
          <cell r="AY36">
            <v>1160</v>
          </cell>
          <cell r="AZ36">
            <v>1200</v>
          </cell>
          <cell r="BA36">
            <v>1310</v>
          </cell>
          <cell r="BB36">
            <v>1410</v>
          </cell>
          <cell r="BC36">
            <v>1400</v>
          </cell>
          <cell r="BD36">
            <v>1420</v>
          </cell>
          <cell r="BE36">
            <v>1420</v>
          </cell>
          <cell r="BF36">
            <v>1480</v>
          </cell>
          <cell r="BG36">
            <v>1540</v>
          </cell>
          <cell r="BH36">
            <v>1500</v>
          </cell>
          <cell r="BI36">
            <v>1440</v>
          </cell>
          <cell r="BJ36">
            <v>1390</v>
          </cell>
          <cell r="BK36">
            <v>1490</v>
          </cell>
          <cell r="BL36">
            <v>1540</v>
          </cell>
          <cell r="BM36">
            <v>1520</v>
          </cell>
          <cell r="BN36">
            <v>1520</v>
          </cell>
        </row>
        <row r="37">
          <cell r="B37" t="str">
            <v>CAN</v>
          </cell>
          <cell r="C37" t="str">
            <v>GNI per capita, Atlas method (current US$)</v>
          </cell>
          <cell r="D37" t="str">
            <v>NY.GNP.PCAP.CD</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v>21210</v>
          </cell>
          <cell r="AS37">
            <v>22620</v>
          </cell>
          <cell r="AT37">
            <v>23030</v>
          </cell>
          <cell r="AU37">
            <v>23610</v>
          </cell>
          <cell r="AV37">
            <v>25860</v>
          </cell>
          <cell r="AW37">
            <v>29900</v>
          </cell>
          <cell r="AX37">
            <v>34810</v>
          </cell>
          <cell r="AY37">
            <v>38510</v>
          </cell>
          <cell r="AZ37">
            <v>43090</v>
          </cell>
          <cell r="BA37">
            <v>45650</v>
          </cell>
          <cell r="BB37">
            <v>43230</v>
          </cell>
          <cell r="BC37">
            <v>44490</v>
          </cell>
          <cell r="BD37">
            <v>47190</v>
          </cell>
          <cell r="BE37">
            <v>51080</v>
          </cell>
          <cell r="BF37">
            <v>52800</v>
          </cell>
          <cell r="BG37">
            <v>52200</v>
          </cell>
          <cell r="BH37">
            <v>47590</v>
          </cell>
          <cell r="BI37">
            <v>43890</v>
          </cell>
          <cell r="BJ37">
            <v>42900</v>
          </cell>
          <cell r="BK37">
            <v>45080</v>
          </cell>
          <cell r="BL37">
            <v>46550</v>
          </cell>
          <cell r="BM37">
            <v>43580</v>
          </cell>
          <cell r="BN37">
            <v>43580</v>
          </cell>
        </row>
        <row r="38">
          <cell r="B38" t="str">
            <v>CYM</v>
          </cell>
          <cell r="C38" t="str">
            <v>GNI per capita, Atlas method (current US$)</v>
          </cell>
          <cell r="D38" t="str">
            <v>NY.GNP.PCAP.CD</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v>70220</v>
          </cell>
          <cell r="BD38">
            <v>71050</v>
          </cell>
          <cell r="BE38">
            <v>49570</v>
          </cell>
          <cell r="BF38">
            <v>44030</v>
          </cell>
          <cell r="BG38">
            <v>42930</v>
          </cell>
          <cell r="BH38">
            <v>44380</v>
          </cell>
          <cell r="BI38">
            <v>45880</v>
          </cell>
          <cell r="BJ38">
            <v>52840</v>
          </cell>
          <cell r="BK38">
            <v>59380</v>
          </cell>
          <cell r="BL38">
            <v>68200</v>
          </cell>
          <cell r="BM38">
            <v>64000</v>
          </cell>
          <cell r="BN38">
            <v>64000</v>
          </cell>
        </row>
        <row r="39">
          <cell r="B39" t="str">
            <v>CAF</v>
          </cell>
          <cell r="C39" t="str">
            <v>GNI per capita, Atlas method (current US$)</v>
          </cell>
          <cell r="D39" t="str">
            <v>NY.GNP.PCAP.CD</v>
          </cell>
          <cell r="E39" t="str">
            <v>..</v>
          </cell>
          <cell r="F39" t="str">
            <v>..</v>
          </cell>
          <cell r="G39">
            <v>80</v>
          </cell>
          <cell r="H39">
            <v>80</v>
          </cell>
          <cell r="I39">
            <v>80</v>
          </cell>
          <cell r="J39">
            <v>90</v>
          </cell>
          <cell r="K39">
            <v>90</v>
          </cell>
          <cell r="L39">
            <v>100</v>
          </cell>
          <cell r="M39">
            <v>100</v>
          </cell>
          <cell r="N39">
            <v>110</v>
          </cell>
          <cell r="O39">
            <v>110</v>
          </cell>
          <cell r="P39">
            <v>110</v>
          </cell>
          <cell r="Q39">
            <v>120</v>
          </cell>
          <cell r="R39">
            <v>140</v>
          </cell>
          <cell r="S39">
            <v>170</v>
          </cell>
          <cell r="T39">
            <v>190</v>
          </cell>
          <cell r="U39">
            <v>210</v>
          </cell>
          <cell r="V39">
            <v>240</v>
          </cell>
          <cell r="W39">
            <v>280</v>
          </cell>
          <cell r="X39">
            <v>310</v>
          </cell>
          <cell r="Y39">
            <v>360</v>
          </cell>
          <cell r="Z39">
            <v>350</v>
          </cell>
          <cell r="AA39">
            <v>340</v>
          </cell>
          <cell r="AB39">
            <v>270</v>
          </cell>
          <cell r="AC39">
            <v>270</v>
          </cell>
          <cell r="AD39">
            <v>290</v>
          </cell>
          <cell r="AE39">
            <v>340</v>
          </cell>
          <cell r="AF39">
            <v>420</v>
          </cell>
          <cell r="AG39">
            <v>490</v>
          </cell>
          <cell r="AH39">
            <v>490</v>
          </cell>
          <cell r="AI39">
            <v>480</v>
          </cell>
          <cell r="AJ39">
            <v>480</v>
          </cell>
          <cell r="AK39">
            <v>470</v>
          </cell>
          <cell r="AL39">
            <v>450</v>
          </cell>
          <cell r="AM39">
            <v>370</v>
          </cell>
          <cell r="AN39">
            <v>350</v>
          </cell>
          <cell r="AO39">
            <v>300</v>
          </cell>
          <cell r="AP39">
            <v>300</v>
          </cell>
          <cell r="AQ39">
            <v>280</v>
          </cell>
          <cell r="AR39">
            <v>280</v>
          </cell>
          <cell r="AS39">
            <v>260</v>
          </cell>
          <cell r="AT39">
            <v>260</v>
          </cell>
          <cell r="AU39">
            <v>250</v>
          </cell>
          <cell r="AV39">
            <v>260</v>
          </cell>
          <cell r="AW39">
            <v>300</v>
          </cell>
          <cell r="AX39">
            <v>340</v>
          </cell>
          <cell r="AY39">
            <v>350</v>
          </cell>
          <cell r="AZ39">
            <v>380</v>
          </cell>
          <cell r="BA39">
            <v>420</v>
          </cell>
          <cell r="BB39">
            <v>480</v>
          </cell>
          <cell r="BC39">
            <v>510</v>
          </cell>
          <cell r="BD39">
            <v>530</v>
          </cell>
          <cell r="BE39">
            <v>570</v>
          </cell>
          <cell r="BF39">
            <v>380</v>
          </cell>
          <cell r="BG39">
            <v>390</v>
          </cell>
          <cell r="BH39">
            <v>400</v>
          </cell>
          <cell r="BI39">
            <v>410</v>
          </cell>
          <cell r="BJ39">
            <v>440</v>
          </cell>
          <cell r="BK39">
            <v>490</v>
          </cell>
          <cell r="BL39">
            <v>520</v>
          </cell>
          <cell r="BM39">
            <v>500</v>
          </cell>
          <cell r="BN39">
            <v>500</v>
          </cell>
        </row>
        <row r="40">
          <cell r="B40" t="str">
            <v>TCD</v>
          </cell>
          <cell r="C40" t="str">
            <v>GNI per capita, Atlas method (current US$)</v>
          </cell>
          <cell r="D40" t="str">
            <v>NY.GNP.PCAP.CD</v>
          </cell>
          <cell r="E40" t="str">
            <v>..</v>
          </cell>
          <cell r="F40" t="str">
            <v>..</v>
          </cell>
          <cell r="G40">
            <v>110</v>
          </cell>
          <cell r="H40">
            <v>110</v>
          </cell>
          <cell r="I40">
            <v>110</v>
          </cell>
          <cell r="J40">
            <v>120</v>
          </cell>
          <cell r="K40">
            <v>120</v>
          </cell>
          <cell r="L40">
            <v>130</v>
          </cell>
          <cell r="M40">
            <v>130</v>
          </cell>
          <cell r="N40">
            <v>140</v>
          </cell>
          <cell r="O40">
            <v>140</v>
          </cell>
          <cell r="P40">
            <v>140</v>
          </cell>
          <cell r="Q40">
            <v>150</v>
          </cell>
          <cell r="R40">
            <v>160</v>
          </cell>
          <cell r="S40">
            <v>190</v>
          </cell>
          <cell r="T40">
            <v>230</v>
          </cell>
          <cell r="U40">
            <v>220</v>
          </cell>
          <cell r="V40">
            <v>230</v>
          </cell>
          <cell r="W40">
            <v>240</v>
          </cell>
          <cell r="X40">
            <v>220</v>
          </cell>
          <cell r="Y40">
            <v>240</v>
          </cell>
          <cell r="Z40">
            <v>230</v>
          </cell>
          <cell r="AA40">
            <v>210</v>
          </cell>
          <cell r="AB40">
            <v>190</v>
          </cell>
          <cell r="AC40">
            <v>180</v>
          </cell>
          <cell r="AD40">
            <v>210</v>
          </cell>
          <cell r="AE40">
            <v>210</v>
          </cell>
          <cell r="AF40">
            <v>210</v>
          </cell>
          <cell r="AG40">
            <v>270</v>
          </cell>
          <cell r="AH40">
            <v>270</v>
          </cell>
          <cell r="AI40">
            <v>270</v>
          </cell>
          <cell r="AJ40">
            <v>290</v>
          </cell>
          <cell r="AK40">
            <v>330</v>
          </cell>
          <cell r="AL40">
            <v>240</v>
          </cell>
          <cell r="AM40">
            <v>220</v>
          </cell>
          <cell r="AN40">
            <v>210</v>
          </cell>
          <cell r="AO40">
            <v>200</v>
          </cell>
          <cell r="AP40">
            <v>210</v>
          </cell>
          <cell r="AQ40">
            <v>220</v>
          </cell>
          <cell r="AR40">
            <v>200</v>
          </cell>
          <cell r="AS40">
            <v>180</v>
          </cell>
          <cell r="AT40">
            <v>190</v>
          </cell>
          <cell r="AU40">
            <v>200</v>
          </cell>
          <cell r="AV40">
            <v>210</v>
          </cell>
          <cell r="AW40">
            <v>340</v>
          </cell>
          <cell r="AX40">
            <v>470</v>
          </cell>
          <cell r="AY40">
            <v>530</v>
          </cell>
          <cell r="AZ40">
            <v>630</v>
          </cell>
          <cell r="BA40">
            <v>700</v>
          </cell>
          <cell r="BB40">
            <v>830</v>
          </cell>
          <cell r="BC40">
            <v>910</v>
          </cell>
          <cell r="BD40">
            <v>890</v>
          </cell>
          <cell r="BE40">
            <v>960</v>
          </cell>
          <cell r="BF40">
            <v>970</v>
          </cell>
          <cell r="BG40">
            <v>980</v>
          </cell>
          <cell r="BH40">
            <v>880</v>
          </cell>
          <cell r="BI40">
            <v>730</v>
          </cell>
          <cell r="BJ40">
            <v>640</v>
          </cell>
          <cell r="BK40">
            <v>680</v>
          </cell>
          <cell r="BL40">
            <v>700</v>
          </cell>
          <cell r="BM40">
            <v>630</v>
          </cell>
          <cell r="BN40">
            <v>630</v>
          </cell>
        </row>
        <row r="41">
          <cell r="B41" t="str">
            <v>CHI</v>
          </cell>
          <cell r="C41" t="str">
            <v>GNI per capita, Atlas method (current US$)</v>
          </cell>
          <cell r="D41" t="str">
            <v>NY.GNP.PCAP.CD</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v>42510</v>
          </cell>
          <cell r="AT41">
            <v>41460</v>
          </cell>
          <cell r="AU41">
            <v>40720</v>
          </cell>
          <cell r="AV41">
            <v>43340</v>
          </cell>
          <cell r="AW41">
            <v>50340</v>
          </cell>
          <cell r="AX41">
            <v>56280</v>
          </cell>
          <cell r="AY41">
            <v>60750</v>
          </cell>
          <cell r="AZ41">
            <v>66220</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
          </cell>
        </row>
        <row r="42">
          <cell r="B42" t="str">
            <v>CHL</v>
          </cell>
          <cell r="C42" t="str">
            <v>GNI per capita, Atlas method (current US$)</v>
          </cell>
          <cell r="D42" t="str">
            <v>NY.GNP.PCAP.CD</v>
          </cell>
          <cell r="E42" t="str">
            <v>..</v>
          </cell>
          <cell r="F42" t="str">
            <v>..</v>
          </cell>
          <cell r="G42">
            <v>580</v>
          </cell>
          <cell r="H42">
            <v>630</v>
          </cell>
          <cell r="I42">
            <v>670</v>
          </cell>
          <cell r="J42">
            <v>670</v>
          </cell>
          <cell r="K42">
            <v>750</v>
          </cell>
          <cell r="L42">
            <v>760</v>
          </cell>
          <cell r="M42">
            <v>780</v>
          </cell>
          <cell r="N42">
            <v>830</v>
          </cell>
          <cell r="O42">
            <v>880</v>
          </cell>
          <cell r="P42">
            <v>1060</v>
          </cell>
          <cell r="Q42">
            <v>1150</v>
          </cell>
          <cell r="R42">
            <v>1360</v>
          </cell>
          <cell r="S42">
            <v>1650</v>
          </cell>
          <cell r="T42">
            <v>1150</v>
          </cell>
          <cell r="U42">
            <v>1010</v>
          </cell>
          <cell r="V42">
            <v>1060</v>
          </cell>
          <cell r="W42">
            <v>1360</v>
          </cell>
          <cell r="X42">
            <v>1790</v>
          </cell>
          <cell r="Y42">
            <v>2300</v>
          </cell>
          <cell r="Z42">
            <v>2780</v>
          </cell>
          <cell r="AA42">
            <v>2280</v>
          </cell>
          <cell r="AB42">
            <v>1820</v>
          </cell>
          <cell r="AC42">
            <v>1590</v>
          </cell>
          <cell r="AD42">
            <v>1430</v>
          </cell>
          <cell r="AE42">
            <v>1470</v>
          </cell>
          <cell r="AF42">
            <v>1660</v>
          </cell>
          <cell r="AG42">
            <v>1930</v>
          </cell>
          <cell r="AH42">
            <v>2200</v>
          </cell>
          <cell r="AI42">
            <v>2350</v>
          </cell>
          <cell r="AJ42">
            <v>2600</v>
          </cell>
          <cell r="AK42">
            <v>3120</v>
          </cell>
          <cell r="AL42">
            <v>3440</v>
          </cell>
          <cell r="AM42">
            <v>3730</v>
          </cell>
          <cell r="AN42">
            <v>4420</v>
          </cell>
          <cell r="AO42">
            <v>5070</v>
          </cell>
          <cell r="AP42">
            <v>5590</v>
          </cell>
          <cell r="AQ42">
            <v>5490</v>
          </cell>
          <cell r="AR42">
            <v>5120</v>
          </cell>
          <cell r="AS42">
            <v>5060</v>
          </cell>
          <cell r="AT42">
            <v>4800</v>
          </cell>
          <cell r="AU42">
            <v>4540</v>
          </cell>
          <cell r="AV42">
            <v>4510</v>
          </cell>
          <cell r="AW42">
            <v>5190</v>
          </cell>
          <cell r="AX42">
            <v>6210</v>
          </cell>
          <cell r="AY42">
            <v>7340</v>
          </cell>
          <cell r="AZ42">
            <v>8690</v>
          </cell>
          <cell r="BA42">
            <v>10050</v>
          </cell>
          <cell r="BB42">
            <v>9950</v>
          </cell>
          <cell r="BC42">
            <v>10750</v>
          </cell>
          <cell r="BD42">
            <v>12190</v>
          </cell>
          <cell r="BE42">
            <v>14270</v>
          </cell>
          <cell r="BF42">
            <v>15160</v>
          </cell>
          <cell r="BG42">
            <v>14940</v>
          </cell>
          <cell r="BH42">
            <v>14130</v>
          </cell>
          <cell r="BI42">
            <v>13370</v>
          </cell>
          <cell r="BJ42">
            <v>13270</v>
          </cell>
          <cell r="BK42">
            <v>14550</v>
          </cell>
          <cell r="BL42">
            <v>14990</v>
          </cell>
          <cell r="BM42">
            <v>13470</v>
          </cell>
          <cell r="BN42">
            <v>13470</v>
          </cell>
        </row>
        <row r="43">
          <cell r="B43" t="str">
            <v>CHN</v>
          </cell>
          <cell r="C43" t="str">
            <v>GNI per capita, Atlas method (current US$)</v>
          </cell>
          <cell r="D43" t="str">
            <v>NY.GNP.PCAP.CD</v>
          </cell>
          <cell r="E43" t="str">
            <v>..</v>
          </cell>
          <cell r="F43" t="str">
            <v>..</v>
          </cell>
          <cell r="G43">
            <v>70</v>
          </cell>
          <cell r="H43">
            <v>80</v>
          </cell>
          <cell r="I43">
            <v>90</v>
          </cell>
          <cell r="J43">
            <v>100</v>
          </cell>
          <cell r="K43">
            <v>110</v>
          </cell>
          <cell r="L43">
            <v>100</v>
          </cell>
          <cell r="M43">
            <v>90</v>
          </cell>
          <cell r="N43">
            <v>110</v>
          </cell>
          <cell r="O43">
            <v>120</v>
          </cell>
          <cell r="P43">
            <v>130</v>
          </cell>
          <cell r="Q43">
            <v>130</v>
          </cell>
          <cell r="R43">
            <v>160</v>
          </cell>
          <cell r="S43">
            <v>180</v>
          </cell>
          <cell r="T43">
            <v>200</v>
          </cell>
          <cell r="U43">
            <v>190</v>
          </cell>
          <cell r="V43">
            <v>190</v>
          </cell>
          <cell r="W43">
            <v>200</v>
          </cell>
          <cell r="X43">
            <v>210</v>
          </cell>
          <cell r="Y43">
            <v>220</v>
          </cell>
          <cell r="Z43">
            <v>220</v>
          </cell>
          <cell r="AA43">
            <v>220</v>
          </cell>
          <cell r="AB43">
            <v>220</v>
          </cell>
          <cell r="AC43">
            <v>250</v>
          </cell>
          <cell r="AD43">
            <v>290</v>
          </cell>
          <cell r="AE43">
            <v>310</v>
          </cell>
          <cell r="AF43">
            <v>320</v>
          </cell>
          <cell r="AG43">
            <v>330</v>
          </cell>
          <cell r="AH43">
            <v>320</v>
          </cell>
          <cell r="AI43">
            <v>330</v>
          </cell>
          <cell r="AJ43">
            <v>350</v>
          </cell>
          <cell r="AK43">
            <v>390</v>
          </cell>
          <cell r="AL43">
            <v>420</v>
          </cell>
          <cell r="AM43">
            <v>470</v>
          </cell>
          <cell r="AN43">
            <v>540</v>
          </cell>
          <cell r="AO43">
            <v>650</v>
          </cell>
          <cell r="AP43">
            <v>750</v>
          </cell>
          <cell r="AQ43">
            <v>800</v>
          </cell>
          <cell r="AR43">
            <v>860</v>
          </cell>
          <cell r="AS43">
            <v>940</v>
          </cell>
          <cell r="AT43">
            <v>1010</v>
          </cell>
          <cell r="AU43">
            <v>1110</v>
          </cell>
          <cell r="AV43">
            <v>1280</v>
          </cell>
          <cell r="AW43">
            <v>1510</v>
          </cell>
          <cell r="AX43">
            <v>1760</v>
          </cell>
          <cell r="AY43">
            <v>2060</v>
          </cell>
          <cell r="AZ43">
            <v>2510</v>
          </cell>
          <cell r="BA43">
            <v>3100</v>
          </cell>
          <cell r="BB43">
            <v>3680</v>
          </cell>
          <cell r="BC43">
            <v>4340</v>
          </cell>
          <cell r="BD43">
            <v>5040</v>
          </cell>
          <cell r="BE43">
            <v>5910</v>
          </cell>
          <cell r="BF43">
            <v>6740</v>
          </cell>
          <cell r="BG43">
            <v>7470</v>
          </cell>
          <cell r="BH43">
            <v>7890</v>
          </cell>
          <cell r="BI43">
            <v>8210</v>
          </cell>
          <cell r="BJ43">
            <v>8670</v>
          </cell>
          <cell r="BK43">
            <v>9540</v>
          </cell>
          <cell r="BL43">
            <v>10310</v>
          </cell>
          <cell r="BM43">
            <v>10550</v>
          </cell>
          <cell r="BN43">
            <v>10550</v>
          </cell>
        </row>
        <row r="44">
          <cell r="B44" t="str">
            <v>COL</v>
          </cell>
          <cell r="C44" t="str">
            <v>GNI per capita, Atlas method (current US$)</v>
          </cell>
          <cell r="D44" t="str">
            <v>NY.GNP.PCAP.CD</v>
          </cell>
          <cell r="E44" t="str">
            <v>..</v>
          </cell>
          <cell r="F44" t="str">
            <v>..</v>
          </cell>
          <cell r="G44">
            <v>280</v>
          </cell>
          <cell r="H44">
            <v>280</v>
          </cell>
          <cell r="I44">
            <v>310</v>
          </cell>
          <cell r="J44">
            <v>310</v>
          </cell>
          <cell r="K44">
            <v>320</v>
          </cell>
          <cell r="L44">
            <v>300</v>
          </cell>
          <cell r="M44">
            <v>300</v>
          </cell>
          <cell r="N44">
            <v>320</v>
          </cell>
          <cell r="O44">
            <v>330</v>
          </cell>
          <cell r="P44">
            <v>360</v>
          </cell>
          <cell r="Q44">
            <v>390</v>
          </cell>
          <cell r="R44">
            <v>460</v>
          </cell>
          <cell r="S44">
            <v>550</v>
          </cell>
          <cell r="T44">
            <v>590</v>
          </cell>
          <cell r="U44">
            <v>620</v>
          </cell>
          <cell r="V44">
            <v>690</v>
          </cell>
          <cell r="W44">
            <v>850</v>
          </cell>
          <cell r="X44">
            <v>1060</v>
          </cell>
          <cell r="Y44">
            <v>1250</v>
          </cell>
          <cell r="Z44">
            <v>1350</v>
          </cell>
          <cell r="AA44">
            <v>1330</v>
          </cell>
          <cell r="AB44">
            <v>1280</v>
          </cell>
          <cell r="AC44">
            <v>1280</v>
          </cell>
          <cell r="AD44">
            <v>1210</v>
          </cell>
          <cell r="AE44">
            <v>1220</v>
          </cell>
          <cell r="AF44">
            <v>1240</v>
          </cell>
          <cell r="AG44">
            <v>1300</v>
          </cell>
          <cell r="AH44">
            <v>1250</v>
          </cell>
          <cell r="AI44">
            <v>1330</v>
          </cell>
          <cell r="AJ44">
            <v>1380</v>
          </cell>
          <cell r="AK44">
            <v>1560</v>
          </cell>
          <cell r="AL44">
            <v>1740</v>
          </cell>
          <cell r="AM44">
            <v>2050</v>
          </cell>
          <cell r="AN44">
            <v>2350</v>
          </cell>
          <cell r="AO44">
            <v>2540</v>
          </cell>
          <cell r="AP44">
            <v>2660</v>
          </cell>
          <cell r="AQ44">
            <v>2570</v>
          </cell>
          <cell r="AR44">
            <v>2330</v>
          </cell>
          <cell r="AS44">
            <v>2340</v>
          </cell>
          <cell r="AT44">
            <v>2330</v>
          </cell>
          <cell r="AU44">
            <v>2370</v>
          </cell>
          <cell r="AV44">
            <v>2370</v>
          </cell>
          <cell r="AW44">
            <v>2620</v>
          </cell>
          <cell r="AX44">
            <v>3000</v>
          </cell>
          <cell r="AY44">
            <v>3500</v>
          </cell>
          <cell r="AZ44">
            <v>4130</v>
          </cell>
          <cell r="BA44">
            <v>4710</v>
          </cell>
          <cell r="BB44">
            <v>5130</v>
          </cell>
          <cell r="BC44">
            <v>5620</v>
          </cell>
          <cell r="BD44">
            <v>6310</v>
          </cell>
          <cell r="BE44">
            <v>7290</v>
          </cell>
          <cell r="BF44">
            <v>7950</v>
          </cell>
          <cell r="BG44">
            <v>8200</v>
          </cell>
          <cell r="BH44">
            <v>7330</v>
          </cell>
          <cell r="BI44">
            <v>6460</v>
          </cell>
          <cell r="BJ44">
            <v>5930</v>
          </cell>
          <cell r="BK44">
            <v>6260</v>
          </cell>
          <cell r="BL44">
            <v>6570</v>
          </cell>
          <cell r="BM44">
            <v>5790</v>
          </cell>
          <cell r="BN44">
            <v>5790</v>
          </cell>
        </row>
        <row r="45">
          <cell r="B45" t="str">
            <v>COM</v>
          </cell>
          <cell r="C45" t="str">
            <v>GNI per capita, Atlas method (current US$)</v>
          </cell>
          <cell r="D45" t="str">
            <v>NY.GNP.PCAP.CD</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v>660</v>
          </cell>
          <cell r="AB45">
            <v>590</v>
          </cell>
          <cell r="AC45">
            <v>550</v>
          </cell>
          <cell r="AD45">
            <v>550</v>
          </cell>
          <cell r="AE45">
            <v>620</v>
          </cell>
          <cell r="AF45">
            <v>780</v>
          </cell>
          <cell r="AG45">
            <v>960</v>
          </cell>
          <cell r="AH45">
            <v>930</v>
          </cell>
          <cell r="AI45">
            <v>980</v>
          </cell>
          <cell r="AJ45">
            <v>950</v>
          </cell>
          <cell r="AK45">
            <v>1100</v>
          </cell>
          <cell r="AL45">
            <v>1080</v>
          </cell>
          <cell r="AM45">
            <v>870</v>
          </cell>
          <cell r="AN45">
            <v>850</v>
          </cell>
          <cell r="AO45">
            <v>780</v>
          </cell>
          <cell r="AP45">
            <v>790</v>
          </cell>
          <cell r="AQ45">
            <v>730</v>
          </cell>
          <cell r="AR45">
            <v>700</v>
          </cell>
          <cell r="AS45">
            <v>730</v>
          </cell>
          <cell r="AT45">
            <v>700</v>
          </cell>
          <cell r="AU45">
            <v>680</v>
          </cell>
          <cell r="AV45">
            <v>790</v>
          </cell>
          <cell r="AW45">
            <v>950</v>
          </cell>
          <cell r="AX45">
            <v>1090</v>
          </cell>
          <cell r="AY45">
            <v>1130</v>
          </cell>
          <cell r="AZ45">
            <v>1170</v>
          </cell>
          <cell r="BA45">
            <v>1290</v>
          </cell>
          <cell r="BB45">
            <v>1370</v>
          </cell>
          <cell r="BC45">
            <v>1380</v>
          </cell>
          <cell r="BD45">
            <v>1410</v>
          </cell>
          <cell r="BE45">
            <v>1420</v>
          </cell>
          <cell r="BF45">
            <v>1490</v>
          </cell>
          <cell r="BG45">
            <v>1490</v>
          </cell>
          <cell r="BH45">
            <v>1380</v>
          </cell>
          <cell r="BI45">
            <v>1320</v>
          </cell>
          <cell r="BJ45">
            <v>1280</v>
          </cell>
          <cell r="BK45">
            <v>1370</v>
          </cell>
          <cell r="BL45">
            <v>1380</v>
          </cell>
          <cell r="BM45">
            <v>1400</v>
          </cell>
          <cell r="BN45">
            <v>1400</v>
          </cell>
        </row>
        <row r="46">
          <cell r="B46" t="str">
            <v>COD</v>
          </cell>
          <cell r="C46" t="str">
            <v>GNI per capita, Atlas method (current US$)</v>
          </cell>
          <cell r="D46" t="str">
            <v>NY.GNP.PCAP.CD</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v>160</v>
          </cell>
          <cell r="AN46">
            <v>150</v>
          </cell>
          <cell r="AO46">
            <v>130</v>
          </cell>
          <cell r="AP46">
            <v>120</v>
          </cell>
          <cell r="AQ46">
            <v>120</v>
          </cell>
          <cell r="AR46">
            <v>110</v>
          </cell>
          <cell r="AS46">
            <v>130</v>
          </cell>
          <cell r="AT46">
            <v>140</v>
          </cell>
          <cell r="AU46">
            <v>190</v>
          </cell>
          <cell r="AV46">
            <v>170</v>
          </cell>
          <cell r="AW46">
            <v>190</v>
          </cell>
          <cell r="AX46">
            <v>200</v>
          </cell>
          <cell r="AY46">
            <v>230</v>
          </cell>
          <cell r="AZ46">
            <v>260</v>
          </cell>
          <cell r="BA46">
            <v>290</v>
          </cell>
          <cell r="BB46">
            <v>300</v>
          </cell>
          <cell r="BC46">
            <v>320</v>
          </cell>
          <cell r="BD46">
            <v>340</v>
          </cell>
          <cell r="BE46">
            <v>380</v>
          </cell>
          <cell r="BF46">
            <v>410</v>
          </cell>
          <cell r="BG46">
            <v>440</v>
          </cell>
          <cell r="BH46">
            <v>460</v>
          </cell>
          <cell r="BI46">
            <v>470</v>
          </cell>
          <cell r="BJ46">
            <v>460</v>
          </cell>
          <cell r="BK46">
            <v>500</v>
          </cell>
          <cell r="BL46">
            <v>530</v>
          </cell>
          <cell r="BM46">
            <v>550</v>
          </cell>
          <cell r="BN46">
            <v>550</v>
          </cell>
        </row>
        <row r="47">
          <cell r="B47" t="str">
            <v>COG</v>
          </cell>
          <cell r="C47" t="str">
            <v>GNI per capita, Atlas method (current US$)</v>
          </cell>
          <cell r="D47" t="str">
            <v>NY.GNP.PCAP.CD</v>
          </cell>
          <cell r="E47" t="str">
            <v>..</v>
          </cell>
          <cell r="F47" t="str">
            <v>..</v>
          </cell>
          <cell r="G47">
            <v>150</v>
          </cell>
          <cell r="H47">
            <v>150</v>
          </cell>
          <cell r="I47">
            <v>160</v>
          </cell>
          <cell r="J47">
            <v>170</v>
          </cell>
          <cell r="K47">
            <v>180</v>
          </cell>
          <cell r="L47">
            <v>190</v>
          </cell>
          <cell r="M47">
            <v>200</v>
          </cell>
          <cell r="N47">
            <v>220</v>
          </cell>
          <cell r="O47">
            <v>220</v>
          </cell>
          <cell r="P47">
            <v>230</v>
          </cell>
          <cell r="Q47">
            <v>270</v>
          </cell>
          <cell r="R47">
            <v>340</v>
          </cell>
          <cell r="S47">
            <v>420</v>
          </cell>
          <cell r="T47">
            <v>500</v>
          </cell>
          <cell r="U47">
            <v>480</v>
          </cell>
          <cell r="V47">
            <v>450</v>
          </cell>
          <cell r="W47">
            <v>490</v>
          </cell>
          <cell r="X47">
            <v>610</v>
          </cell>
          <cell r="Y47">
            <v>830</v>
          </cell>
          <cell r="Z47">
            <v>1090</v>
          </cell>
          <cell r="AA47">
            <v>1220</v>
          </cell>
          <cell r="AB47">
            <v>1080</v>
          </cell>
          <cell r="AC47">
            <v>1060</v>
          </cell>
          <cell r="AD47">
            <v>990</v>
          </cell>
          <cell r="AE47">
            <v>980</v>
          </cell>
          <cell r="AF47">
            <v>1050</v>
          </cell>
          <cell r="AG47">
            <v>930</v>
          </cell>
          <cell r="AH47">
            <v>940</v>
          </cell>
          <cell r="AI47">
            <v>930</v>
          </cell>
          <cell r="AJ47">
            <v>960</v>
          </cell>
          <cell r="AK47">
            <v>1060</v>
          </cell>
          <cell r="AL47">
            <v>910</v>
          </cell>
          <cell r="AM47">
            <v>760</v>
          </cell>
          <cell r="AN47">
            <v>480</v>
          </cell>
          <cell r="AO47">
            <v>470</v>
          </cell>
          <cell r="AP47">
            <v>590</v>
          </cell>
          <cell r="AQ47">
            <v>580</v>
          </cell>
          <cell r="AR47">
            <v>490</v>
          </cell>
          <cell r="AS47">
            <v>570</v>
          </cell>
          <cell r="AT47">
            <v>630</v>
          </cell>
          <cell r="AU47">
            <v>670</v>
          </cell>
          <cell r="AV47">
            <v>700</v>
          </cell>
          <cell r="AW47">
            <v>770</v>
          </cell>
          <cell r="AX47">
            <v>1120</v>
          </cell>
          <cell r="AY47">
            <v>1600</v>
          </cell>
          <cell r="AZ47">
            <v>1700</v>
          </cell>
          <cell r="BA47">
            <v>2140</v>
          </cell>
          <cell r="BB47">
            <v>2480</v>
          </cell>
          <cell r="BC47">
            <v>2750</v>
          </cell>
          <cell r="BD47">
            <v>2710</v>
          </cell>
          <cell r="BE47">
            <v>3500</v>
          </cell>
          <cell r="BF47">
            <v>3740</v>
          </cell>
          <cell r="BG47">
            <v>3990</v>
          </cell>
          <cell r="BH47">
            <v>3090</v>
          </cell>
          <cell r="BI47">
            <v>2210</v>
          </cell>
          <cell r="BJ47">
            <v>1700</v>
          </cell>
          <cell r="BK47">
            <v>1790</v>
          </cell>
          <cell r="BL47">
            <v>1810</v>
          </cell>
          <cell r="BM47">
            <v>1770</v>
          </cell>
          <cell r="BN47">
            <v>1770</v>
          </cell>
        </row>
        <row r="48">
          <cell r="B48" t="str">
            <v>CRI</v>
          </cell>
          <cell r="C48" t="str">
            <v>GNI per capita, Atlas method (current US$)</v>
          </cell>
          <cell r="D48" t="str">
            <v>NY.GNP.PCAP.CD</v>
          </cell>
          <cell r="E48" t="str">
            <v>..</v>
          </cell>
          <cell r="F48" t="str">
            <v>..</v>
          </cell>
          <cell r="G48">
            <v>360</v>
          </cell>
          <cell r="H48">
            <v>350</v>
          </cell>
          <cell r="I48">
            <v>350</v>
          </cell>
          <cell r="J48">
            <v>370</v>
          </cell>
          <cell r="K48">
            <v>390</v>
          </cell>
          <cell r="L48">
            <v>410</v>
          </cell>
          <cell r="M48">
            <v>440</v>
          </cell>
          <cell r="N48">
            <v>470</v>
          </cell>
          <cell r="O48">
            <v>520</v>
          </cell>
          <cell r="P48">
            <v>570</v>
          </cell>
          <cell r="Q48">
            <v>630</v>
          </cell>
          <cell r="R48">
            <v>760</v>
          </cell>
          <cell r="S48">
            <v>880</v>
          </cell>
          <cell r="T48">
            <v>970</v>
          </cell>
          <cell r="U48">
            <v>1050</v>
          </cell>
          <cell r="V48">
            <v>1250</v>
          </cell>
          <cell r="W48">
            <v>1480</v>
          </cell>
          <cell r="X48">
            <v>1740</v>
          </cell>
          <cell r="Y48">
            <v>1950</v>
          </cell>
          <cell r="Z48">
            <v>1420</v>
          </cell>
          <cell r="AA48">
            <v>1020</v>
          </cell>
          <cell r="AB48">
            <v>940</v>
          </cell>
          <cell r="AC48">
            <v>1110</v>
          </cell>
          <cell r="AD48">
            <v>1240</v>
          </cell>
          <cell r="AE48">
            <v>1440</v>
          </cell>
          <cell r="AF48">
            <v>1600</v>
          </cell>
          <cell r="AG48">
            <v>1650</v>
          </cell>
          <cell r="AH48">
            <v>1660</v>
          </cell>
          <cell r="AI48">
            <v>1750</v>
          </cell>
          <cell r="AJ48">
            <v>1950</v>
          </cell>
          <cell r="AK48">
            <v>2350</v>
          </cell>
          <cell r="AL48">
            <v>2740</v>
          </cell>
          <cell r="AM48">
            <v>2980</v>
          </cell>
          <cell r="AN48">
            <v>3180</v>
          </cell>
          <cell r="AO48">
            <v>3240</v>
          </cell>
          <cell r="AP48">
            <v>3350</v>
          </cell>
          <cell r="AQ48">
            <v>3400</v>
          </cell>
          <cell r="AR48">
            <v>3460</v>
          </cell>
          <cell r="AS48">
            <v>3570</v>
          </cell>
          <cell r="AT48">
            <v>3670</v>
          </cell>
          <cell r="AU48">
            <v>3770</v>
          </cell>
          <cell r="AV48">
            <v>4030</v>
          </cell>
          <cell r="AW48">
            <v>4380</v>
          </cell>
          <cell r="AX48">
            <v>4640</v>
          </cell>
          <cell r="AY48">
            <v>5060</v>
          </cell>
          <cell r="AZ48">
            <v>5680</v>
          </cell>
          <cell r="BA48">
            <v>6410</v>
          </cell>
          <cell r="BB48">
            <v>6540</v>
          </cell>
          <cell r="BC48">
            <v>7260</v>
          </cell>
          <cell r="BD48">
            <v>8090</v>
          </cell>
          <cell r="BE48">
            <v>9280</v>
          </cell>
          <cell r="BF48">
            <v>9930</v>
          </cell>
          <cell r="BG48">
            <v>10350</v>
          </cell>
          <cell r="BH48">
            <v>10700</v>
          </cell>
          <cell r="BI48">
            <v>11100</v>
          </cell>
          <cell r="BJ48">
            <v>11500</v>
          </cell>
          <cell r="BK48">
            <v>11970</v>
          </cell>
          <cell r="BL48">
            <v>12090</v>
          </cell>
          <cell r="BM48">
            <v>11530</v>
          </cell>
          <cell r="BN48">
            <v>11530</v>
          </cell>
        </row>
        <row r="49">
          <cell r="B49" t="str">
            <v>CIV</v>
          </cell>
          <cell r="C49" t="str">
            <v>GNI per capita, Atlas method (current US$)</v>
          </cell>
          <cell r="D49" t="str">
            <v>NY.GNP.PCAP.CD</v>
          </cell>
          <cell r="E49" t="str">
            <v>..</v>
          </cell>
          <cell r="F49" t="str">
            <v>..</v>
          </cell>
          <cell r="G49">
            <v>160</v>
          </cell>
          <cell r="H49">
            <v>180</v>
          </cell>
          <cell r="I49">
            <v>220</v>
          </cell>
          <cell r="J49">
            <v>210</v>
          </cell>
          <cell r="K49">
            <v>230</v>
          </cell>
          <cell r="L49">
            <v>240</v>
          </cell>
          <cell r="M49">
            <v>270</v>
          </cell>
          <cell r="N49">
            <v>280</v>
          </cell>
          <cell r="O49">
            <v>300</v>
          </cell>
          <cell r="P49">
            <v>300</v>
          </cell>
          <cell r="Q49">
            <v>320</v>
          </cell>
          <cell r="R49">
            <v>380</v>
          </cell>
          <cell r="S49">
            <v>480</v>
          </cell>
          <cell r="T49">
            <v>600</v>
          </cell>
          <cell r="U49">
            <v>680</v>
          </cell>
          <cell r="V49">
            <v>780</v>
          </cell>
          <cell r="W49">
            <v>950</v>
          </cell>
          <cell r="X49">
            <v>1130</v>
          </cell>
          <cell r="Y49">
            <v>1160</v>
          </cell>
          <cell r="Z49">
            <v>1130</v>
          </cell>
          <cell r="AA49">
            <v>960</v>
          </cell>
          <cell r="AB49">
            <v>720</v>
          </cell>
          <cell r="AC49">
            <v>660</v>
          </cell>
          <cell r="AD49">
            <v>640</v>
          </cell>
          <cell r="AE49">
            <v>730</v>
          </cell>
          <cell r="AF49">
            <v>810</v>
          </cell>
          <cell r="AG49">
            <v>910</v>
          </cell>
          <cell r="AH49">
            <v>830</v>
          </cell>
          <cell r="AI49">
            <v>780</v>
          </cell>
          <cell r="AJ49">
            <v>760</v>
          </cell>
          <cell r="AK49">
            <v>780</v>
          </cell>
          <cell r="AL49">
            <v>750</v>
          </cell>
          <cell r="AM49">
            <v>680</v>
          </cell>
          <cell r="AN49">
            <v>700</v>
          </cell>
          <cell r="AO49">
            <v>540</v>
          </cell>
          <cell r="AP49">
            <v>670</v>
          </cell>
          <cell r="AQ49">
            <v>760</v>
          </cell>
          <cell r="AR49">
            <v>730</v>
          </cell>
          <cell r="AS49">
            <v>650</v>
          </cell>
          <cell r="AT49">
            <v>600</v>
          </cell>
          <cell r="AU49">
            <v>570</v>
          </cell>
          <cell r="AV49">
            <v>630</v>
          </cell>
          <cell r="AW49">
            <v>770</v>
          </cell>
          <cell r="AX49">
            <v>930</v>
          </cell>
          <cell r="AY49">
            <v>940</v>
          </cell>
          <cell r="AZ49">
            <v>970</v>
          </cell>
          <cell r="BA49">
            <v>1090</v>
          </cell>
          <cell r="BB49">
            <v>1190</v>
          </cell>
          <cell r="BC49">
            <v>1230</v>
          </cell>
          <cell r="BD49">
            <v>1110</v>
          </cell>
          <cell r="BE49">
            <v>1240</v>
          </cell>
          <cell r="BF49">
            <v>1350</v>
          </cell>
          <cell r="BG49">
            <v>1450</v>
          </cell>
          <cell r="BH49">
            <v>2050</v>
          </cell>
          <cell r="BI49">
            <v>2050</v>
          </cell>
          <cell r="BJ49">
            <v>2030</v>
          </cell>
          <cell r="BK49">
            <v>2180</v>
          </cell>
          <cell r="BL49">
            <v>2290</v>
          </cell>
          <cell r="BM49">
            <v>2280</v>
          </cell>
          <cell r="BN49">
            <v>2280</v>
          </cell>
        </row>
        <row r="50">
          <cell r="B50" t="str">
            <v>HRV</v>
          </cell>
          <cell r="C50" t="str">
            <v>GNI per capita, Atlas method (current US$)</v>
          </cell>
          <cell r="D50" t="str">
            <v>NY.GNP.PCAP.CD</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v>5570</v>
          </cell>
          <cell r="AQ50">
            <v>5470</v>
          </cell>
          <cell r="AR50">
            <v>5230</v>
          </cell>
          <cell r="AS50">
            <v>5260</v>
          </cell>
          <cell r="AT50">
            <v>5350</v>
          </cell>
          <cell r="AU50">
            <v>5660</v>
          </cell>
          <cell r="AV50">
            <v>6730</v>
          </cell>
          <cell r="AW50">
            <v>8590</v>
          </cell>
          <cell r="AX50">
            <v>10250</v>
          </cell>
          <cell r="AY50">
            <v>11410</v>
          </cell>
          <cell r="AZ50">
            <v>12760</v>
          </cell>
          <cell r="BA50">
            <v>14360</v>
          </cell>
          <cell r="BB50">
            <v>14220</v>
          </cell>
          <cell r="BC50">
            <v>14210</v>
          </cell>
          <cell r="BD50">
            <v>14180</v>
          </cell>
          <cell r="BE50">
            <v>13590</v>
          </cell>
          <cell r="BF50">
            <v>13750</v>
          </cell>
          <cell r="BG50">
            <v>13420</v>
          </cell>
          <cell r="BH50">
            <v>13140</v>
          </cell>
          <cell r="BI50">
            <v>12550</v>
          </cell>
          <cell r="BJ50">
            <v>12840</v>
          </cell>
          <cell r="BK50">
            <v>14280</v>
          </cell>
          <cell r="BL50">
            <v>15320</v>
          </cell>
          <cell r="BM50">
            <v>14530</v>
          </cell>
          <cell r="BN50">
            <v>14530</v>
          </cell>
        </row>
        <row r="51">
          <cell r="B51" t="str">
            <v>CUB</v>
          </cell>
          <cell r="C51" t="str">
            <v>GNI per capita, Atlas method (current US$)</v>
          </cell>
          <cell r="D51" t="str">
            <v>NY.GNP.PCAP.CD</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v>850</v>
          </cell>
          <cell r="R51">
            <v>1040</v>
          </cell>
          <cell r="S51">
            <v>1240</v>
          </cell>
          <cell r="T51">
            <v>1500</v>
          </cell>
          <cell r="U51">
            <v>1550</v>
          </cell>
          <cell r="V51">
            <v>1600</v>
          </cell>
          <cell r="W51">
            <v>1790</v>
          </cell>
          <cell r="X51">
            <v>1990</v>
          </cell>
          <cell r="Y51">
            <v>2140</v>
          </cell>
          <cell r="Z51">
            <v>2430</v>
          </cell>
          <cell r="AA51">
            <v>2340</v>
          </cell>
          <cell r="AB51">
            <v>2180</v>
          </cell>
          <cell r="AC51">
            <v>2310</v>
          </cell>
          <cell r="AD51">
            <v>2310</v>
          </cell>
          <cell r="AE51">
            <v>2390</v>
          </cell>
          <cell r="AF51">
            <v>2490</v>
          </cell>
          <cell r="AG51">
            <v>2780</v>
          </cell>
          <cell r="AH51">
            <v>2750</v>
          </cell>
          <cell r="AI51">
            <v>2650</v>
          </cell>
          <cell r="AJ51">
            <v>2340</v>
          </cell>
          <cell r="AK51">
            <v>2130</v>
          </cell>
          <cell r="AL51">
            <v>1870</v>
          </cell>
          <cell r="AM51">
            <v>2140</v>
          </cell>
          <cell r="AN51">
            <v>2550</v>
          </cell>
          <cell r="AO51">
            <v>2710</v>
          </cell>
          <cell r="AP51">
            <v>2500</v>
          </cell>
          <cell r="AQ51">
            <v>2240</v>
          </cell>
          <cell r="AR51">
            <v>2400</v>
          </cell>
          <cell r="AS51">
            <v>2620</v>
          </cell>
          <cell r="AT51">
            <v>2760</v>
          </cell>
          <cell r="AU51">
            <v>2820</v>
          </cell>
          <cell r="AV51">
            <v>3100</v>
          </cell>
          <cell r="AW51">
            <v>3490</v>
          </cell>
          <cell r="AX51">
            <v>3960</v>
          </cell>
          <cell r="AY51">
            <v>4530</v>
          </cell>
          <cell r="AZ51">
            <v>5000</v>
          </cell>
          <cell r="BA51">
            <v>5460</v>
          </cell>
          <cell r="BB51">
            <v>5520</v>
          </cell>
          <cell r="BC51">
            <v>5610</v>
          </cell>
          <cell r="BD51">
            <v>5930</v>
          </cell>
          <cell r="BE51">
            <v>6280</v>
          </cell>
          <cell r="BF51">
            <v>6640</v>
          </cell>
          <cell r="BG51">
            <v>6840</v>
          </cell>
          <cell r="BH51">
            <v>7230</v>
          </cell>
          <cell r="BI51">
            <v>7480</v>
          </cell>
          <cell r="BJ51">
            <v>7950</v>
          </cell>
          <cell r="BK51">
            <v>8630</v>
          </cell>
          <cell r="BL51" t="str">
            <v>..</v>
          </cell>
          <cell r="BM51" t="str">
            <v>..</v>
          </cell>
          <cell r="BN51">
            <v>8630</v>
          </cell>
        </row>
        <row r="52">
          <cell r="B52" t="str">
            <v>CUW</v>
          </cell>
          <cell r="C52" t="str">
            <v>GNI per capita, Atlas method (current US$)</v>
          </cell>
          <cell r="D52" t="str">
            <v>NY.GNP.PCAP.CD</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v>20580</v>
          </cell>
          <cell r="BG52">
            <v>20460</v>
          </cell>
          <cell r="BH52">
            <v>20210</v>
          </cell>
          <cell r="BI52">
            <v>19680</v>
          </cell>
          <cell r="BJ52">
            <v>19610</v>
          </cell>
          <cell r="BK52">
            <v>20090</v>
          </cell>
          <cell r="BL52">
            <v>20370</v>
          </cell>
          <cell r="BM52">
            <v>17140</v>
          </cell>
          <cell r="BN52">
            <v>17140</v>
          </cell>
        </row>
        <row r="53">
          <cell r="B53" t="str">
            <v>CYP</v>
          </cell>
          <cell r="C53" t="str">
            <v>GNI per capita, Atlas method (current US$)</v>
          </cell>
          <cell r="D53" t="str">
            <v>NY.GNP.PCAP.CD</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v>1520</v>
          </cell>
          <cell r="W53">
            <v>1800</v>
          </cell>
          <cell r="X53">
            <v>2400</v>
          </cell>
          <cell r="Y53">
            <v>3390</v>
          </cell>
          <cell r="Z53">
            <v>4050</v>
          </cell>
          <cell r="AA53">
            <v>4490</v>
          </cell>
          <cell r="AB53">
            <v>4220</v>
          </cell>
          <cell r="AC53">
            <v>4360</v>
          </cell>
          <cell r="AD53">
            <v>4480</v>
          </cell>
          <cell r="AE53">
            <v>5020</v>
          </cell>
          <cell r="AF53">
            <v>6300</v>
          </cell>
          <cell r="AG53">
            <v>7910</v>
          </cell>
          <cell r="AH53">
            <v>8570</v>
          </cell>
          <cell r="AI53">
            <v>9300</v>
          </cell>
          <cell r="AJ53">
            <v>9460</v>
          </cell>
          <cell r="AK53">
            <v>11020</v>
          </cell>
          <cell r="AL53">
            <v>10970</v>
          </cell>
          <cell r="AM53">
            <v>11680</v>
          </cell>
          <cell r="AN53">
            <v>12810</v>
          </cell>
          <cell r="AO53">
            <v>13880</v>
          </cell>
          <cell r="AP53">
            <v>14280</v>
          </cell>
          <cell r="AQ53">
            <v>15490</v>
          </cell>
          <cell r="AR53">
            <v>14340</v>
          </cell>
          <cell r="AS53">
            <v>14180</v>
          </cell>
          <cell r="AT53">
            <v>14170</v>
          </cell>
          <cell r="AU53">
            <v>14510</v>
          </cell>
          <cell r="AV53">
            <v>16710</v>
          </cell>
          <cell r="AW53">
            <v>20260</v>
          </cell>
          <cell r="AX53">
            <v>23990</v>
          </cell>
          <cell r="AY53">
            <v>25600</v>
          </cell>
          <cell r="AZ53">
            <v>27340</v>
          </cell>
          <cell r="BA53">
            <v>31970</v>
          </cell>
          <cell r="BB53">
            <v>32780</v>
          </cell>
          <cell r="BC53">
            <v>32040</v>
          </cell>
          <cell r="BD53">
            <v>32550</v>
          </cell>
          <cell r="BE53">
            <v>29680</v>
          </cell>
          <cell r="BF53">
            <v>27830</v>
          </cell>
          <cell r="BG53">
            <v>26530</v>
          </cell>
          <cell r="BH53">
            <v>26010</v>
          </cell>
          <cell r="BI53">
            <v>24720</v>
          </cell>
          <cell r="BJ53">
            <v>24960</v>
          </cell>
          <cell r="BK53">
            <v>27330</v>
          </cell>
          <cell r="BL53">
            <v>28600</v>
          </cell>
          <cell r="BM53">
            <v>26440</v>
          </cell>
          <cell r="BN53">
            <v>26440</v>
          </cell>
        </row>
        <row r="54">
          <cell r="B54" t="str">
            <v>CZE</v>
          </cell>
          <cell r="C54" t="str">
            <v>GNI per capita, Atlas method (current US$)</v>
          </cell>
          <cell r="D54" t="str">
            <v>NY.GNP.PCAP.CD</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v>3360</v>
          </cell>
          <cell r="AL54">
            <v>3500</v>
          </cell>
          <cell r="AM54">
            <v>4170</v>
          </cell>
          <cell r="AN54">
            <v>5150</v>
          </cell>
          <cell r="AO54">
            <v>5980</v>
          </cell>
          <cell r="AP54">
            <v>6160</v>
          </cell>
          <cell r="AQ54">
            <v>6110</v>
          </cell>
          <cell r="AR54">
            <v>6110</v>
          </cell>
          <cell r="AS54">
            <v>6340</v>
          </cell>
          <cell r="AT54">
            <v>6350</v>
          </cell>
          <cell r="AU54">
            <v>6650</v>
          </cell>
          <cell r="AV54">
            <v>8110</v>
          </cell>
          <cell r="AW54">
            <v>10260</v>
          </cell>
          <cell r="AX54">
            <v>12480</v>
          </cell>
          <cell r="AY54">
            <v>14000</v>
          </cell>
          <cell r="AZ54">
            <v>15850</v>
          </cell>
          <cell r="BA54">
            <v>18510</v>
          </cell>
          <cell r="BB54">
            <v>18840</v>
          </cell>
          <cell r="BC54">
            <v>19400</v>
          </cell>
          <cell r="BD54">
            <v>19460</v>
          </cell>
          <cell r="BE54">
            <v>19440</v>
          </cell>
          <cell r="BF54">
            <v>19410</v>
          </cell>
          <cell r="BG54">
            <v>18900</v>
          </cell>
          <cell r="BH54">
            <v>18370</v>
          </cell>
          <cell r="BI54">
            <v>17670</v>
          </cell>
          <cell r="BJ54">
            <v>18310</v>
          </cell>
          <cell r="BK54">
            <v>20560</v>
          </cell>
          <cell r="BL54">
            <v>22110</v>
          </cell>
          <cell r="BM54">
            <v>22070</v>
          </cell>
          <cell r="BN54">
            <v>22070</v>
          </cell>
        </row>
        <row r="55">
          <cell r="B55" t="str">
            <v>DNK</v>
          </cell>
          <cell r="C55" t="str">
            <v>GNI per capita, Atlas method (current US$)</v>
          </cell>
          <cell r="D55" t="str">
            <v>NY.GNP.PCAP.CD</v>
          </cell>
          <cell r="E55" t="str">
            <v>..</v>
          </cell>
          <cell r="F55" t="str">
            <v>..</v>
          </cell>
          <cell r="G55" t="str">
            <v>..</v>
          </cell>
          <cell r="H55" t="str">
            <v>..</v>
          </cell>
          <cell r="I55" t="str">
            <v>..</v>
          </cell>
          <cell r="J55" t="str">
            <v>..</v>
          </cell>
          <cell r="K55" t="str">
            <v>..</v>
          </cell>
          <cell r="L55" t="str">
            <v>..</v>
          </cell>
          <cell r="M55">
            <v>2870</v>
          </cell>
          <cell r="N55">
            <v>3140</v>
          </cell>
          <cell r="O55">
            <v>3310</v>
          </cell>
          <cell r="P55">
            <v>3670</v>
          </cell>
          <cell r="Q55">
            <v>4310</v>
          </cell>
          <cell r="R55">
            <v>5580</v>
          </cell>
          <cell r="S55">
            <v>6800</v>
          </cell>
          <cell r="T55">
            <v>8080</v>
          </cell>
          <cell r="U55">
            <v>8960</v>
          </cell>
          <cell r="V55">
            <v>9780</v>
          </cell>
          <cell r="W55">
            <v>11170</v>
          </cell>
          <cell r="X55">
            <v>13560</v>
          </cell>
          <cell r="Y55">
            <v>15090</v>
          </cell>
          <cell r="Z55">
            <v>14180</v>
          </cell>
          <cell r="AA55">
            <v>12860</v>
          </cell>
          <cell r="AB55">
            <v>11710</v>
          </cell>
          <cell r="AC55">
            <v>11520</v>
          </cell>
          <cell r="AD55">
            <v>11840</v>
          </cell>
          <cell r="AE55">
            <v>14070</v>
          </cell>
          <cell r="AF55">
            <v>17760</v>
          </cell>
          <cell r="AG55">
            <v>22130</v>
          </cell>
          <cell r="AH55">
            <v>23050</v>
          </cell>
          <cell r="AI55">
            <v>24370</v>
          </cell>
          <cell r="AJ55">
            <v>25540</v>
          </cell>
          <cell r="AK55">
            <v>28700</v>
          </cell>
          <cell r="AL55">
            <v>28570</v>
          </cell>
          <cell r="AM55">
            <v>30360</v>
          </cell>
          <cell r="AN55">
            <v>32560</v>
          </cell>
          <cell r="AO55">
            <v>34770</v>
          </cell>
          <cell r="AP55">
            <v>35150</v>
          </cell>
          <cell r="AQ55">
            <v>33460</v>
          </cell>
          <cell r="AR55">
            <v>33060</v>
          </cell>
          <cell r="AS55">
            <v>32580</v>
          </cell>
          <cell r="AT55">
            <v>31410</v>
          </cell>
          <cell r="AU55">
            <v>30850</v>
          </cell>
          <cell r="AV55">
            <v>34750</v>
          </cell>
          <cell r="AW55">
            <v>42640</v>
          </cell>
          <cell r="AX55">
            <v>49610</v>
          </cell>
          <cell r="AY55">
            <v>53540</v>
          </cell>
          <cell r="AZ55">
            <v>55740</v>
          </cell>
          <cell r="BA55">
            <v>60390</v>
          </cell>
          <cell r="BB55">
            <v>60090</v>
          </cell>
          <cell r="BC55">
            <v>61220</v>
          </cell>
          <cell r="BD55">
            <v>61990</v>
          </cell>
          <cell r="BE55">
            <v>61650</v>
          </cell>
          <cell r="BF55">
            <v>63200</v>
          </cell>
          <cell r="BG55">
            <v>63670</v>
          </cell>
          <cell r="BH55">
            <v>60510</v>
          </cell>
          <cell r="BI55">
            <v>58040</v>
          </cell>
          <cell r="BJ55">
            <v>56690</v>
          </cell>
          <cell r="BK55">
            <v>61260</v>
          </cell>
          <cell r="BL55">
            <v>63460</v>
          </cell>
          <cell r="BM55">
            <v>63010</v>
          </cell>
          <cell r="BN55">
            <v>63010</v>
          </cell>
        </row>
        <row r="56">
          <cell r="B56" t="str">
            <v>DJI</v>
          </cell>
          <cell r="C56" t="str">
            <v>GNI per capita, Atlas method (current US$)</v>
          </cell>
          <cell r="D56" t="str">
            <v>NY.GNP.PCAP.CD</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v>2550</v>
          </cell>
          <cell r="BI56">
            <v>2640</v>
          </cell>
          <cell r="BJ56">
            <v>2730</v>
          </cell>
          <cell r="BK56">
            <v>3010</v>
          </cell>
          <cell r="BL56">
            <v>3310</v>
          </cell>
          <cell r="BM56">
            <v>3310</v>
          </cell>
          <cell r="BN56">
            <v>3310</v>
          </cell>
        </row>
        <row r="57">
          <cell r="B57" t="str">
            <v>DMA</v>
          </cell>
          <cell r="C57" t="str">
            <v>GNI per capita, Atlas method (current US$)</v>
          </cell>
          <cell r="D57" t="str">
            <v>NY.GNP.PCAP.CD</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v>710</v>
          </cell>
          <cell r="Y57">
            <v>960</v>
          </cell>
          <cell r="Z57">
            <v>1160</v>
          </cell>
          <cell r="AA57">
            <v>1210</v>
          </cell>
          <cell r="AB57">
            <v>1220</v>
          </cell>
          <cell r="AC57">
            <v>1330</v>
          </cell>
          <cell r="AD57">
            <v>1480</v>
          </cell>
          <cell r="AE57">
            <v>1790</v>
          </cell>
          <cell r="AF57">
            <v>2170</v>
          </cell>
          <cell r="AG57">
            <v>2560</v>
          </cell>
          <cell r="AH57">
            <v>2600</v>
          </cell>
          <cell r="AI57">
            <v>2810</v>
          </cell>
          <cell r="AJ57">
            <v>2960</v>
          </cell>
          <cell r="AK57">
            <v>3200</v>
          </cell>
          <cell r="AL57">
            <v>3410</v>
          </cell>
          <cell r="AM57">
            <v>3490</v>
          </cell>
          <cell r="AN57">
            <v>3720</v>
          </cell>
          <cell r="AO57">
            <v>3890</v>
          </cell>
          <cell r="AP57">
            <v>4010</v>
          </cell>
          <cell r="AQ57">
            <v>4200</v>
          </cell>
          <cell r="AR57">
            <v>4200</v>
          </cell>
          <cell r="AS57">
            <v>4220</v>
          </cell>
          <cell r="AT57">
            <v>4470</v>
          </cell>
          <cell r="AU57">
            <v>4270</v>
          </cell>
          <cell r="AV57">
            <v>4680</v>
          </cell>
          <cell r="AW57">
            <v>4950</v>
          </cell>
          <cell r="AX57">
            <v>5050</v>
          </cell>
          <cell r="AY57">
            <v>5490</v>
          </cell>
          <cell r="AZ57">
            <v>5760</v>
          </cell>
          <cell r="BA57">
            <v>6340</v>
          </cell>
          <cell r="BB57">
            <v>6520</v>
          </cell>
          <cell r="BC57">
            <v>6730</v>
          </cell>
          <cell r="BD57">
            <v>6920</v>
          </cell>
          <cell r="BE57">
            <v>6850</v>
          </cell>
          <cell r="BF57">
            <v>6700</v>
          </cell>
          <cell r="BG57">
            <v>7740</v>
          </cell>
          <cell r="BH57">
            <v>6880</v>
          </cell>
          <cell r="BI57">
            <v>7320</v>
          </cell>
          <cell r="BJ57">
            <v>7070</v>
          </cell>
          <cell r="BK57">
            <v>7700</v>
          </cell>
          <cell r="BL57">
            <v>8250</v>
          </cell>
          <cell r="BM57">
            <v>7270</v>
          </cell>
          <cell r="BN57">
            <v>7270</v>
          </cell>
        </row>
        <row r="58">
          <cell r="B58" t="str">
            <v>DOM</v>
          </cell>
          <cell r="C58" t="str">
            <v>GNI per capita, Atlas method (current US$)</v>
          </cell>
          <cell r="D58" t="str">
            <v>NY.GNP.PCAP.CD</v>
          </cell>
          <cell r="E58" t="str">
            <v>..</v>
          </cell>
          <cell r="F58" t="str">
            <v>..</v>
          </cell>
          <cell r="G58">
            <v>220</v>
          </cell>
          <cell r="H58">
            <v>240</v>
          </cell>
          <cell r="I58">
            <v>260</v>
          </cell>
          <cell r="J58">
            <v>230</v>
          </cell>
          <cell r="K58">
            <v>250</v>
          </cell>
          <cell r="L58">
            <v>250</v>
          </cell>
          <cell r="M58">
            <v>250</v>
          </cell>
          <cell r="N58">
            <v>280</v>
          </cell>
          <cell r="O58">
            <v>340</v>
          </cell>
          <cell r="P58">
            <v>370</v>
          </cell>
          <cell r="Q58">
            <v>430</v>
          </cell>
          <cell r="R58">
            <v>520</v>
          </cell>
          <cell r="S58">
            <v>610</v>
          </cell>
          <cell r="T58">
            <v>710</v>
          </cell>
          <cell r="U58">
            <v>780</v>
          </cell>
          <cell r="V58">
            <v>830</v>
          </cell>
          <cell r="W58">
            <v>900</v>
          </cell>
          <cell r="X58">
            <v>1030</v>
          </cell>
          <cell r="Y58">
            <v>1140</v>
          </cell>
          <cell r="Z58">
            <v>1210</v>
          </cell>
          <cell r="AA58">
            <v>1240</v>
          </cell>
          <cell r="AB58">
            <v>1240</v>
          </cell>
          <cell r="AC58">
            <v>1300</v>
          </cell>
          <cell r="AD58">
            <v>1100</v>
          </cell>
          <cell r="AE58">
            <v>1030</v>
          </cell>
          <cell r="AF58">
            <v>940</v>
          </cell>
          <cell r="AG58">
            <v>920</v>
          </cell>
          <cell r="AH58">
            <v>910</v>
          </cell>
          <cell r="AI58">
            <v>870</v>
          </cell>
          <cell r="AJ58">
            <v>1040</v>
          </cell>
          <cell r="AK58">
            <v>1360</v>
          </cell>
          <cell r="AL58">
            <v>1620</v>
          </cell>
          <cell r="AM58">
            <v>1750</v>
          </cell>
          <cell r="AN58">
            <v>1960</v>
          </cell>
          <cell r="AO58">
            <v>2170</v>
          </cell>
          <cell r="AP58">
            <v>2360</v>
          </cell>
          <cell r="AQ58">
            <v>2450</v>
          </cell>
          <cell r="AR58">
            <v>2540</v>
          </cell>
          <cell r="AS58">
            <v>2680</v>
          </cell>
          <cell r="AT58">
            <v>2740</v>
          </cell>
          <cell r="AU58">
            <v>2890</v>
          </cell>
          <cell r="AV58">
            <v>2640</v>
          </cell>
          <cell r="AW58">
            <v>2560</v>
          </cell>
          <cell r="AX58">
            <v>3040</v>
          </cell>
          <cell r="AY58">
            <v>3640</v>
          </cell>
          <cell r="AZ58">
            <v>4430</v>
          </cell>
          <cell r="BA58">
            <v>4760</v>
          </cell>
          <cell r="BB58">
            <v>4920</v>
          </cell>
          <cell r="BC58">
            <v>5330</v>
          </cell>
          <cell r="BD58">
            <v>5540</v>
          </cell>
          <cell r="BE58">
            <v>5790</v>
          </cell>
          <cell r="BF58">
            <v>6030</v>
          </cell>
          <cell r="BG58">
            <v>6330</v>
          </cell>
          <cell r="BH58">
            <v>6580</v>
          </cell>
          <cell r="BI58">
            <v>6860</v>
          </cell>
          <cell r="BJ58">
            <v>7090</v>
          </cell>
          <cell r="BK58">
            <v>7780</v>
          </cell>
          <cell r="BL58">
            <v>8100</v>
          </cell>
          <cell r="BM58">
            <v>7260</v>
          </cell>
          <cell r="BN58">
            <v>7260</v>
          </cell>
        </row>
        <row r="59">
          <cell r="B59" t="str">
            <v>ECU</v>
          </cell>
          <cell r="C59" t="str">
            <v>GNI per capita, Atlas method (current US$)</v>
          </cell>
          <cell r="D59" t="str">
            <v>NY.GNP.PCAP.CD</v>
          </cell>
          <cell r="E59" t="str">
            <v>..</v>
          </cell>
          <cell r="F59" t="str">
            <v>..</v>
          </cell>
          <cell r="G59">
            <v>380</v>
          </cell>
          <cell r="H59">
            <v>350</v>
          </cell>
          <cell r="I59">
            <v>380</v>
          </cell>
          <cell r="J59">
            <v>430</v>
          </cell>
          <cell r="K59">
            <v>450</v>
          </cell>
          <cell r="L59">
            <v>460</v>
          </cell>
          <cell r="M59">
            <v>470</v>
          </cell>
          <cell r="N59">
            <v>500</v>
          </cell>
          <cell r="O59">
            <v>520</v>
          </cell>
          <cell r="P59">
            <v>510</v>
          </cell>
          <cell r="Q59">
            <v>510</v>
          </cell>
          <cell r="R59">
            <v>600</v>
          </cell>
          <cell r="S59">
            <v>830</v>
          </cell>
          <cell r="T59">
            <v>1090</v>
          </cell>
          <cell r="U59">
            <v>1280</v>
          </cell>
          <cell r="V59">
            <v>1360</v>
          </cell>
          <cell r="W59">
            <v>1550</v>
          </cell>
          <cell r="X59">
            <v>1820</v>
          </cell>
          <cell r="Y59">
            <v>2110</v>
          </cell>
          <cell r="Z59">
            <v>2460</v>
          </cell>
          <cell r="AA59">
            <v>2390</v>
          </cell>
          <cell r="AB59">
            <v>2110</v>
          </cell>
          <cell r="AC59">
            <v>1890</v>
          </cell>
          <cell r="AD59">
            <v>1820</v>
          </cell>
          <cell r="AE59">
            <v>1770</v>
          </cell>
          <cell r="AF59">
            <v>1640</v>
          </cell>
          <cell r="AG59">
            <v>1510</v>
          </cell>
          <cell r="AH59">
            <v>1360</v>
          </cell>
          <cell r="AI59">
            <v>1370</v>
          </cell>
          <cell r="AJ59">
            <v>1480</v>
          </cell>
          <cell r="AK59">
            <v>1600</v>
          </cell>
          <cell r="AL59">
            <v>1670</v>
          </cell>
          <cell r="AM59">
            <v>1820</v>
          </cell>
          <cell r="AN59">
            <v>1970</v>
          </cell>
          <cell r="AO59">
            <v>2080</v>
          </cell>
          <cell r="AP59">
            <v>2180</v>
          </cell>
          <cell r="AQ59">
            <v>2160</v>
          </cell>
          <cell r="AR59">
            <v>1780</v>
          </cell>
          <cell r="AS59">
            <v>1550</v>
          </cell>
          <cell r="AT59">
            <v>1550</v>
          </cell>
          <cell r="AU59">
            <v>1730</v>
          </cell>
          <cell r="AV59">
            <v>2110</v>
          </cell>
          <cell r="AW59">
            <v>2550</v>
          </cell>
          <cell r="AX59">
            <v>2880</v>
          </cell>
          <cell r="AY59">
            <v>3100</v>
          </cell>
          <cell r="AZ59">
            <v>3300</v>
          </cell>
          <cell r="BA59">
            <v>3850</v>
          </cell>
          <cell r="BB59">
            <v>4060</v>
          </cell>
          <cell r="BC59">
            <v>4400</v>
          </cell>
          <cell r="BD59">
            <v>4880</v>
          </cell>
          <cell r="BE59">
            <v>5390</v>
          </cell>
          <cell r="BF59">
            <v>5810</v>
          </cell>
          <cell r="BG59">
            <v>6110</v>
          </cell>
          <cell r="BH59">
            <v>5970</v>
          </cell>
          <cell r="BI59">
            <v>5800</v>
          </cell>
          <cell r="BJ59">
            <v>5860</v>
          </cell>
          <cell r="BK59">
            <v>6090</v>
          </cell>
          <cell r="BL59">
            <v>6090</v>
          </cell>
          <cell r="BM59">
            <v>5530</v>
          </cell>
          <cell r="BN59">
            <v>5530</v>
          </cell>
        </row>
        <row r="60">
          <cell r="B60" t="str">
            <v>EGY</v>
          </cell>
          <cell r="C60" t="str">
            <v>GNI per capita, Atlas method (current US$)</v>
          </cell>
          <cell r="D60" t="str">
            <v>NY.GNP.PCAP.CD</v>
          </cell>
          <cell r="E60" t="str">
            <v>..</v>
          </cell>
          <cell r="F60" t="str">
            <v>..</v>
          </cell>
          <cell r="G60" t="str">
            <v>..</v>
          </cell>
          <cell r="H60" t="str">
            <v>..</v>
          </cell>
          <cell r="I60" t="str">
            <v>..</v>
          </cell>
          <cell r="J60" t="str">
            <v>..</v>
          </cell>
          <cell r="K60" t="str">
            <v>..</v>
          </cell>
          <cell r="L60">
            <v>170</v>
          </cell>
          <cell r="M60">
            <v>180</v>
          </cell>
          <cell r="N60">
            <v>190</v>
          </cell>
          <cell r="O60">
            <v>220</v>
          </cell>
          <cell r="P60">
            <v>240</v>
          </cell>
          <cell r="Q60">
            <v>260</v>
          </cell>
          <cell r="R60">
            <v>290</v>
          </cell>
          <cell r="S60">
            <v>300</v>
          </cell>
          <cell r="T60">
            <v>330</v>
          </cell>
          <cell r="U60">
            <v>350</v>
          </cell>
          <cell r="V60">
            <v>370</v>
          </cell>
          <cell r="W60">
            <v>390</v>
          </cell>
          <cell r="X60">
            <v>420</v>
          </cell>
          <cell r="Y60">
            <v>490</v>
          </cell>
          <cell r="Z60">
            <v>520</v>
          </cell>
          <cell r="AA60">
            <v>550</v>
          </cell>
          <cell r="AB60">
            <v>560</v>
          </cell>
          <cell r="AC60">
            <v>640</v>
          </cell>
          <cell r="AD60">
            <v>680</v>
          </cell>
          <cell r="AE60">
            <v>740</v>
          </cell>
          <cell r="AF60">
            <v>870</v>
          </cell>
          <cell r="AG60">
            <v>840</v>
          </cell>
          <cell r="AH60">
            <v>780</v>
          </cell>
          <cell r="AI60">
            <v>760</v>
          </cell>
          <cell r="AJ60">
            <v>750</v>
          </cell>
          <cell r="AK60">
            <v>750</v>
          </cell>
          <cell r="AL60">
            <v>760</v>
          </cell>
          <cell r="AM60">
            <v>820</v>
          </cell>
          <cell r="AN60">
            <v>920</v>
          </cell>
          <cell r="AO60">
            <v>1020</v>
          </cell>
          <cell r="AP60">
            <v>1130</v>
          </cell>
          <cell r="AQ60">
            <v>1210</v>
          </cell>
          <cell r="AR60">
            <v>1310</v>
          </cell>
          <cell r="AS60">
            <v>1420</v>
          </cell>
          <cell r="AT60">
            <v>1430</v>
          </cell>
          <cell r="AU60">
            <v>1330</v>
          </cell>
          <cell r="AV60">
            <v>1240</v>
          </cell>
          <cell r="AW60">
            <v>1200</v>
          </cell>
          <cell r="AX60">
            <v>1220</v>
          </cell>
          <cell r="AY60">
            <v>1320</v>
          </cell>
          <cell r="AZ60">
            <v>1530</v>
          </cell>
          <cell r="BA60">
            <v>1840</v>
          </cell>
          <cell r="BB60">
            <v>2120</v>
          </cell>
          <cell r="BC60">
            <v>2370</v>
          </cell>
          <cell r="BD60">
            <v>2560</v>
          </cell>
          <cell r="BE60">
            <v>2840</v>
          </cell>
          <cell r="BF60">
            <v>3030</v>
          </cell>
          <cell r="BG60">
            <v>3230</v>
          </cell>
          <cell r="BH60">
            <v>3340</v>
          </cell>
          <cell r="BI60">
            <v>3440</v>
          </cell>
          <cell r="BJ60">
            <v>3030</v>
          </cell>
          <cell r="BK60">
            <v>2790</v>
          </cell>
          <cell r="BL60">
            <v>2690</v>
          </cell>
          <cell r="BM60">
            <v>3000</v>
          </cell>
          <cell r="BN60">
            <v>3000</v>
          </cell>
        </row>
        <row r="61">
          <cell r="B61" t="str">
            <v>SLV</v>
          </cell>
          <cell r="C61" t="str">
            <v>GNI per capita, Atlas method (current US$)</v>
          </cell>
          <cell r="D61" t="str">
            <v>NY.GNP.PCAP.CD</v>
          </cell>
          <cell r="E61" t="str">
            <v>..</v>
          </cell>
          <cell r="F61" t="str">
            <v>..</v>
          </cell>
          <cell r="G61" t="str">
            <v>..</v>
          </cell>
          <cell r="H61" t="str">
            <v>..</v>
          </cell>
          <cell r="I61" t="str">
            <v>..</v>
          </cell>
          <cell r="J61" t="str">
            <v>..</v>
          </cell>
          <cell r="K61" t="str">
            <v>..</v>
          </cell>
          <cell r="L61">
            <v>300</v>
          </cell>
          <cell r="M61">
            <v>300</v>
          </cell>
          <cell r="N61">
            <v>300</v>
          </cell>
          <cell r="O61">
            <v>310</v>
          </cell>
          <cell r="P61">
            <v>320</v>
          </cell>
          <cell r="Q61">
            <v>350</v>
          </cell>
          <cell r="R61">
            <v>380</v>
          </cell>
          <cell r="S61">
            <v>440</v>
          </cell>
          <cell r="T61">
            <v>480</v>
          </cell>
          <cell r="U61">
            <v>530</v>
          </cell>
          <cell r="V61">
            <v>610</v>
          </cell>
          <cell r="W61">
            <v>710</v>
          </cell>
          <cell r="X61">
            <v>780</v>
          </cell>
          <cell r="Y61">
            <v>740</v>
          </cell>
          <cell r="Z61">
            <v>740</v>
          </cell>
          <cell r="AA61">
            <v>690</v>
          </cell>
          <cell r="AB61">
            <v>670</v>
          </cell>
          <cell r="AC61">
            <v>690</v>
          </cell>
          <cell r="AD61">
            <v>720</v>
          </cell>
          <cell r="AE61">
            <v>760</v>
          </cell>
          <cell r="AF61">
            <v>820</v>
          </cell>
          <cell r="AG61">
            <v>860</v>
          </cell>
          <cell r="AH61">
            <v>860</v>
          </cell>
          <cell r="AI61">
            <v>900</v>
          </cell>
          <cell r="AJ61">
            <v>930</v>
          </cell>
          <cell r="AK61">
            <v>1060</v>
          </cell>
          <cell r="AL61">
            <v>1170</v>
          </cell>
          <cell r="AM61">
            <v>1290</v>
          </cell>
          <cell r="AN61">
            <v>1480</v>
          </cell>
          <cell r="AO61">
            <v>1590</v>
          </cell>
          <cell r="AP61">
            <v>1690</v>
          </cell>
          <cell r="AQ61">
            <v>1750</v>
          </cell>
          <cell r="AR61">
            <v>1810</v>
          </cell>
          <cell r="AS61">
            <v>1900</v>
          </cell>
          <cell r="AT61">
            <v>1950</v>
          </cell>
          <cell r="AU61">
            <v>2000</v>
          </cell>
          <cell r="AV61">
            <v>2130</v>
          </cell>
          <cell r="AW61">
            <v>2270</v>
          </cell>
          <cell r="AX61">
            <v>2420</v>
          </cell>
          <cell r="AY61">
            <v>2570</v>
          </cell>
          <cell r="AZ61">
            <v>2680</v>
          </cell>
          <cell r="BA61">
            <v>2870</v>
          </cell>
          <cell r="BB61">
            <v>2820</v>
          </cell>
          <cell r="BC61">
            <v>2880</v>
          </cell>
          <cell r="BD61">
            <v>3060</v>
          </cell>
          <cell r="BE61">
            <v>3210</v>
          </cell>
          <cell r="BF61">
            <v>3350</v>
          </cell>
          <cell r="BG61">
            <v>3400</v>
          </cell>
          <cell r="BH61">
            <v>3440</v>
          </cell>
          <cell r="BI61">
            <v>3510</v>
          </cell>
          <cell r="BJ61">
            <v>3600</v>
          </cell>
          <cell r="BK61">
            <v>3820</v>
          </cell>
          <cell r="BL61">
            <v>3980</v>
          </cell>
          <cell r="BM61">
            <v>3630</v>
          </cell>
          <cell r="BN61">
            <v>3630</v>
          </cell>
        </row>
        <row r="62">
          <cell r="B62" t="str">
            <v>GNQ</v>
          </cell>
          <cell r="C62" t="str">
            <v>GNI per capita, Atlas method (current US$)</v>
          </cell>
          <cell r="D62" t="str">
            <v>NY.GNP.PCAP.CD</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v>130</v>
          </cell>
          <cell r="AB62">
            <v>130</v>
          </cell>
          <cell r="AC62">
            <v>130</v>
          </cell>
          <cell r="AD62">
            <v>150</v>
          </cell>
          <cell r="AE62">
            <v>170</v>
          </cell>
          <cell r="AF62">
            <v>210</v>
          </cell>
          <cell r="AG62">
            <v>250</v>
          </cell>
          <cell r="AH62">
            <v>230</v>
          </cell>
          <cell r="AI62">
            <v>260</v>
          </cell>
          <cell r="AJ62">
            <v>270</v>
          </cell>
          <cell r="AK62">
            <v>380</v>
          </cell>
          <cell r="AL62">
            <v>370</v>
          </cell>
          <cell r="AM62">
            <v>270</v>
          </cell>
          <cell r="AN62">
            <v>250</v>
          </cell>
          <cell r="AO62">
            <v>360</v>
          </cell>
          <cell r="AP62">
            <v>870</v>
          </cell>
          <cell r="AQ62">
            <v>700</v>
          </cell>
          <cell r="AR62">
            <v>820</v>
          </cell>
          <cell r="AS62">
            <v>770</v>
          </cell>
          <cell r="AT62">
            <v>900</v>
          </cell>
          <cell r="AU62">
            <v>1270</v>
          </cell>
          <cell r="AV62">
            <v>1190</v>
          </cell>
          <cell r="AW62">
            <v>1720</v>
          </cell>
          <cell r="AX62">
            <v>3890</v>
          </cell>
          <cell r="AY62">
            <v>8110</v>
          </cell>
          <cell r="AZ62">
            <v>11600</v>
          </cell>
          <cell r="BA62">
            <v>14250</v>
          </cell>
          <cell r="BB62">
            <v>12530</v>
          </cell>
          <cell r="BC62">
            <v>9970</v>
          </cell>
          <cell r="BD62">
            <v>11540</v>
          </cell>
          <cell r="BE62">
            <v>13870</v>
          </cell>
          <cell r="BF62">
            <v>14030</v>
          </cell>
          <cell r="BG62">
            <v>13230</v>
          </cell>
          <cell r="BH62">
            <v>10850</v>
          </cell>
          <cell r="BI62">
            <v>8270</v>
          </cell>
          <cell r="BJ62">
            <v>6510</v>
          </cell>
          <cell r="BK62">
            <v>6730</v>
          </cell>
          <cell r="BL62">
            <v>6280</v>
          </cell>
          <cell r="BM62">
            <v>5810</v>
          </cell>
          <cell r="BN62">
            <v>5810</v>
          </cell>
        </row>
        <row r="63">
          <cell r="B63" t="str">
            <v>ERI</v>
          </cell>
          <cell r="C63" t="str">
            <v>GNI per capita, Atlas method (current US$)</v>
          </cell>
          <cell r="D63" t="str">
            <v>NY.GNP.PCAP.CD</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v>270</v>
          </cell>
          <cell r="AN63">
            <v>270</v>
          </cell>
          <cell r="AO63">
            <v>300</v>
          </cell>
          <cell r="AP63">
            <v>320</v>
          </cell>
          <cell r="AQ63">
            <v>330</v>
          </cell>
          <cell r="AR63">
            <v>310</v>
          </cell>
          <cell r="AS63">
            <v>300</v>
          </cell>
          <cell r="AT63">
            <v>310</v>
          </cell>
          <cell r="AU63">
            <v>300</v>
          </cell>
          <cell r="AV63">
            <v>300</v>
          </cell>
          <cell r="AW63">
            <v>340</v>
          </cell>
          <cell r="AX63">
            <v>390</v>
          </cell>
          <cell r="AY63">
            <v>410</v>
          </cell>
          <cell r="AZ63">
            <v>420</v>
          </cell>
          <cell r="BA63">
            <v>410</v>
          </cell>
          <cell r="BB63">
            <v>480</v>
          </cell>
          <cell r="BC63">
            <v>510</v>
          </cell>
          <cell r="BD63">
            <v>600</v>
          </cell>
          <cell r="BE63" t="str">
            <v>..</v>
          </cell>
          <cell r="BF63" t="str">
            <v>..</v>
          </cell>
          <cell r="BG63" t="str">
            <v>..</v>
          </cell>
          <cell r="BH63" t="str">
            <v>..</v>
          </cell>
          <cell r="BI63" t="str">
            <v>..</v>
          </cell>
          <cell r="BJ63" t="str">
            <v>..</v>
          </cell>
          <cell r="BK63" t="str">
            <v>..</v>
          </cell>
          <cell r="BL63" t="str">
            <v>..</v>
          </cell>
          <cell r="BM63" t="str">
            <v>..</v>
          </cell>
          <cell r="BN63" t="str">
            <v/>
          </cell>
        </row>
        <row r="64">
          <cell r="B64" t="str">
            <v>EST</v>
          </cell>
          <cell r="C64" t="str">
            <v>GNI per capita, Atlas method (current US$)</v>
          </cell>
          <cell r="D64" t="str">
            <v>NY.GNP.PCAP.CD</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v>4170</v>
          </cell>
          <cell r="AT64">
            <v>4310</v>
          </cell>
          <cell r="AU64">
            <v>4620</v>
          </cell>
          <cell r="AV64">
            <v>5730</v>
          </cell>
          <cell r="AW64">
            <v>7500</v>
          </cell>
          <cell r="AX64">
            <v>9730</v>
          </cell>
          <cell r="AY64">
            <v>11500</v>
          </cell>
          <cell r="AZ64">
            <v>13430</v>
          </cell>
          <cell r="BA64">
            <v>15210</v>
          </cell>
          <cell r="BB64">
            <v>14650</v>
          </cell>
          <cell r="BC64">
            <v>14710</v>
          </cell>
          <cell r="BD64">
            <v>15990</v>
          </cell>
          <cell r="BE64">
            <v>16880</v>
          </cell>
          <cell r="BF64">
            <v>18250</v>
          </cell>
          <cell r="BG64">
            <v>19000</v>
          </cell>
          <cell r="BH64">
            <v>18700</v>
          </cell>
          <cell r="BI64">
            <v>18430</v>
          </cell>
          <cell r="BJ64">
            <v>18770</v>
          </cell>
          <cell r="BK64">
            <v>21300</v>
          </cell>
          <cell r="BL64">
            <v>23250</v>
          </cell>
          <cell r="BM64">
            <v>23170</v>
          </cell>
          <cell r="BN64">
            <v>23170</v>
          </cell>
        </row>
        <row r="65">
          <cell r="B65" t="str">
            <v>SWZ</v>
          </cell>
          <cell r="C65" t="str">
            <v>GNI per capita, Atlas method (current US$)</v>
          </cell>
          <cell r="D65" t="str">
            <v>NY.GNP.PCAP.CD</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v>300</v>
          </cell>
          <cell r="R65">
            <v>370</v>
          </cell>
          <cell r="S65">
            <v>470</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v>1290</v>
          </cell>
          <cell r="AJ65">
            <v>1350</v>
          </cell>
          <cell r="AK65">
            <v>1570</v>
          </cell>
          <cell r="AL65">
            <v>1580</v>
          </cell>
          <cell r="AM65">
            <v>1570</v>
          </cell>
          <cell r="AN65">
            <v>1820</v>
          </cell>
          <cell r="AO65">
            <v>1930</v>
          </cell>
          <cell r="AP65">
            <v>1960</v>
          </cell>
          <cell r="AQ65">
            <v>1740</v>
          </cell>
          <cell r="AR65">
            <v>1730</v>
          </cell>
          <cell r="AS65">
            <v>1670</v>
          </cell>
          <cell r="AT65">
            <v>1700</v>
          </cell>
          <cell r="AU65">
            <v>1570</v>
          </cell>
          <cell r="AV65">
            <v>1700</v>
          </cell>
          <cell r="AW65">
            <v>2160</v>
          </cell>
          <cell r="AX65">
            <v>3080</v>
          </cell>
          <cell r="AY65">
            <v>3300</v>
          </cell>
          <cell r="AZ65">
            <v>3480</v>
          </cell>
          <cell r="BA65">
            <v>3360</v>
          </cell>
          <cell r="BB65">
            <v>3320</v>
          </cell>
          <cell r="BC65">
            <v>3460</v>
          </cell>
          <cell r="BD65">
            <v>3860</v>
          </cell>
          <cell r="BE65">
            <v>4310</v>
          </cell>
          <cell r="BF65">
            <v>4420</v>
          </cell>
          <cell r="BG65">
            <v>4130</v>
          </cell>
          <cell r="BH65">
            <v>3800</v>
          </cell>
          <cell r="BI65">
            <v>3450</v>
          </cell>
          <cell r="BJ65">
            <v>3390</v>
          </cell>
          <cell r="BK65">
            <v>3620</v>
          </cell>
          <cell r="BL65">
            <v>3690</v>
          </cell>
          <cell r="BM65">
            <v>3410</v>
          </cell>
          <cell r="BN65">
            <v>3410</v>
          </cell>
        </row>
        <row r="66">
          <cell r="B66" t="str">
            <v>ETH</v>
          </cell>
          <cell r="C66" t="str">
            <v>GNI per capita, Atlas method (current US$)</v>
          </cell>
          <cell r="D66" t="str">
            <v>NY.GNP.PCAP.CD</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v>210</v>
          </cell>
          <cell r="AC66">
            <v>200</v>
          </cell>
          <cell r="AD66">
            <v>190</v>
          </cell>
          <cell r="AE66">
            <v>230</v>
          </cell>
          <cell r="AF66">
            <v>280</v>
          </cell>
          <cell r="AG66">
            <v>270</v>
          </cell>
          <cell r="AH66">
            <v>260</v>
          </cell>
          <cell r="AI66">
            <v>260</v>
          </cell>
          <cell r="AJ66">
            <v>250</v>
          </cell>
          <cell r="AK66">
            <v>220</v>
          </cell>
          <cell r="AL66">
            <v>210</v>
          </cell>
          <cell r="AM66">
            <v>160</v>
          </cell>
          <cell r="AN66">
            <v>150</v>
          </cell>
          <cell r="AO66">
            <v>150</v>
          </cell>
          <cell r="AP66">
            <v>140</v>
          </cell>
          <cell r="AQ66">
            <v>130</v>
          </cell>
          <cell r="AR66">
            <v>120</v>
          </cell>
          <cell r="AS66">
            <v>130</v>
          </cell>
          <cell r="AT66">
            <v>130</v>
          </cell>
          <cell r="AU66">
            <v>120</v>
          </cell>
          <cell r="AV66">
            <v>110</v>
          </cell>
          <cell r="AW66">
            <v>140</v>
          </cell>
          <cell r="AX66">
            <v>160</v>
          </cell>
          <cell r="AY66">
            <v>180</v>
          </cell>
          <cell r="AZ66">
            <v>220</v>
          </cell>
          <cell r="BA66">
            <v>280</v>
          </cell>
          <cell r="BB66">
            <v>340</v>
          </cell>
          <cell r="BC66">
            <v>380</v>
          </cell>
          <cell r="BD66">
            <v>390</v>
          </cell>
          <cell r="BE66">
            <v>410</v>
          </cell>
          <cell r="BF66">
            <v>470</v>
          </cell>
          <cell r="BG66">
            <v>550</v>
          </cell>
          <cell r="BH66">
            <v>600</v>
          </cell>
          <cell r="BI66">
            <v>670</v>
          </cell>
          <cell r="BJ66">
            <v>740</v>
          </cell>
          <cell r="BK66">
            <v>800</v>
          </cell>
          <cell r="BL66">
            <v>850</v>
          </cell>
          <cell r="BM66">
            <v>890</v>
          </cell>
          <cell r="BN66">
            <v>890</v>
          </cell>
        </row>
        <row r="67">
          <cell r="B67" t="str">
            <v>FRO</v>
          </cell>
          <cell r="C67" t="str">
            <v>GNI per capita, Atlas method (current US$)</v>
          </cell>
          <cell r="D67" t="str">
            <v>NY.GNP.PCAP.CD</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
          </cell>
        </row>
        <row r="68">
          <cell r="B68" t="str">
            <v>FJI</v>
          </cell>
          <cell r="C68" t="str">
            <v>GNI per capita, Atlas method (current US$)</v>
          </cell>
          <cell r="D68" t="str">
            <v>NY.GNP.PCAP.CD</v>
          </cell>
          <cell r="E68" t="str">
            <v>..</v>
          </cell>
          <cell r="F68" t="str">
            <v>..</v>
          </cell>
          <cell r="G68">
            <v>280</v>
          </cell>
          <cell r="H68">
            <v>290</v>
          </cell>
          <cell r="I68">
            <v>300</v>
          </cell>
          <cell r="J68">
            <v>290</v>
          </cell>
          <cell r="K68">
            <v>300</v>
          </cell>
          <cell r="L68">
            <v>340</v>
          </cell>
          <cell r="M68">
            <v>350</v>
          </cell>
          <cell r="N68">
            <v>350</v>
          </cell>
          <cell r="O68">
            <v>400</v>
          </cell>
          <cell r="P68">
            <v>440</v>
          </cell>
          <cell r="Q68">
            <v>530</v>
          </cell>
          <cell r="R68">
            <v>720</v>
          </cell>
          <cell r="S68">
            <v>930</v>
          </cell>
          <cell r="T68">
            <v>1120</v>
          </cell>
          <cell r="U68">
            <v>1220</v>
          </cell>
          <cell r="V68">
            <v>1300</v>
          </cell>
          <cell r="W68">
            <v>1360</v>
          </cell>
          <cell r="X68">
            <v>1660</v>
          </cell>
          <cell r="Y68">
            <v>1870</v>
          </cell>
          <cell r="Z68">
            <v>2040</v>
          </cell>
          <cell r="AA68">
            <v>1800</v>
          </cell>
          <cell r="AB68">
            <v>1580</v>
          </cell>
          <cell r="AC68">
            <v>1660</v>
          </cell>
          <cell r="AD68">
            <v>1580</v>
          </cell>
          <cell r="AE68">
            <v>1790</v>
          </cell>
          <cell r="AF68">
            <v>1770</v>
          </cell>
          <cell r="AG68">
            <v>1790</v>
          </cell>
          <cell r="AH68">
            <v>1790</v>
          </cell>
          <cell r="AI68">
            <v>1790</v>
          </cell>
          <cell r="AJ68">
            <v>1790</v>
          </cell>
          <cell r="AK68">
            <v>1990</v>
          </cell>
          <cell r="AL68">
            <v>2090</v>
          </cell>
          <cell r="AM68">
            <v>2230</v>
          </cell>
          <cell r="AN68">
            <v>2460</v>
          </cell>
          <cell r="AO68">
            <v>2660</v>
          </cell>
          <cell r="AP68">
            <v>2580</v>
          </cell>
          <cell r="AQ68">
            <v>2290</v>
          </cell>
          <cell r="AR68">
            <v>2350</v>
          </cell>
          <cell r="AS68">
            <v>2230</v>
          </cell>
          <cell r="AT68">
            <v>2140</v>
          </cell>
          <cell r="AU68">
            <v>2160</v>
          </cell>
          <cell r="AV68">
            <v>2410</v>
          </cell>
          <cell r="AW68">
            <v>3020</v>
          </cell>
          <cell r="AX68">
            <v>3570</v>
          </cell>
          <cell r="AY68">
            <v>3590</v>
          </cell>
          <cell r="AZ68">
            <v>3790</v>
          </cell>
          <cell r="BA68">
            <v>3980</v>
          </cell>
          <cell r="BB68">
            <v>3850</v>
          </cell>
          <cell r="BC68">
            <v>3650</v>
          </cell>
          <cell r="BD68">
            <v>3770</v>
          </cell>
          <cell r="BE68">
            <v>4140</v>
          </cell>
          <cell r="BF68">
            <v>4710</v>
          </cell>
          <cell r="BG68">
            <v>5020</v>
          </cell>
          <cell r="BH68">
            <v>5100</v>
          </cell>
          <cell r="BI68">
            <v>5280</v>
          </cell>
          <cell r="BJ68">
            <v>5370</v>
          </cell>
          <cell r="BK68">
            <v>5910</v>
          </cell>
          <cell r="BL68">
            <v>5800</v>
          </cell>
          <cell r="BM68">
            <v>4890</v>
          </cell>
          <cell r="BN68">
            <v>4890</v>
          </cell>
        </row>
        <row r="69">
          <cell r="B69" t="str">
            <v>FIN</v>
          </cell>
          <cell r="C69" t="str">
            <v>GNI per capita, Atlas method (current US$)</v>
          </cell>
          <cell r="D69" t="str">
            <v>NY.GNP.PCAP.CD</v>
          </cell>
          <cell r="E69" t="str">
            <v>..</v>
          </cell>
          <cell r="F69" t="str">
            <v>..</v>
          </cell>
          <cell r="G69">
            <v>1370</v>
          </cell>
          <cell r="H69">
            <v>1470</v>
          </cell>
          <cell r="I69">
            <v>1620</v>
          </cell>
          <cell r="J69">
            <v>1810</v>
          </cell>
          <cell r="K69">
            <v>1970</v>
          </cell>
          <cell r="L69">
            <v>2060</v>
          </cell>
          <cell r="M69">
            <v>2090</v>
          </cell>
          <cell r="N69">
            <v>2270</v>
          </cell>
          <cell r="O69">
            <v>2460</v>
          </cell>
          <cell r="P69">
            <v>2690</v>
          </cell>
          <cell r="Q69">
            <v>3170</v>
          </cell>
          <cell r="R69">
            <v>4030</v>
          </cell>
          <cell r="S69">
            <v>5130</v>
          </cell>
          <cell r="T69">
            <v>6320</v>
          </cell>
          <cell r="U69">
            <v>6840</v>
          </cell>
          <cell r="V69">
            <v>7190</v>
          </cell>
          <cell r="W69">
            <v>7910</v>
          </cell>
          <cell r="X69">
            <v>9540</v>
          </cell>
          <cell r="Y69">
            <v>11450</v>
          </cell>
          <cell r="Z69">
            <v>11980</v>
          </cell>
          <cell r="AA69">
            <v>11700</v>
          </cell>
          <cell r="AB69">
            <v>10840</v>
          </cell>
          <cell r="AC69">
            <v>10790</v>
          </cell>
          <cell r="AD69">
            <v>11130</v>
          </cell>
          <cell r="AE69">
            <v>13010</v>
          </cell>
          <cell r="AF69">
            <v>16480</v>
          </cell>
          <cell r="AG69">
            <v>21540</v>
          </cell>
          <cell r="AH69">
            <v>24110</v>
          </cell>
          <cell r="AI69">
            <v>26000</v>
          </cell>
          <cell r="AJ69">
            <v>25100</v>
          </cell>
          <cell r="AK69">
            <v>24170</v>
          </cell>
          <cell r="AL69">
            <v>20680</v>
          </cell>
          <cell r="AM69">
            <v>20170</v>
          </cell>
          <cell r="AN69">
            <v>22030</v>
          </cell>
          <cell r="AO69">
            <v>24970</v>
          </cell>
          <cell r="AP69">
            <v>26680</v>
          </cell>
          <cell r="AQ69">
            <v>25820</v>
          </cell>
          <cell r="AR69">
            <v>26040</v>
          </cell>
          <cell r="AS69">
            <v>26450</v>
          </cell>
          <cell r="AT69">
            <v>25810</v>
          </cell>
          <cell r="AU69">
            <v>25550</v>
          </cell>
          <cell r="AV69">
            <v>28720</v>
          </cell>
          <cell r="AW69">
            <v>35270</v>
          </cell>
          <cell r="AX69">
            <v>40170</v>
          </cell>
          <cell r="AY69">
            <v>42800</v>
          </cell>
          <cell r="AZ69">
            <v>46160</v>
          </cell>
          <cell r="BA69">
            <v>50070</v>
          </cell>
          <cell r="BB69">
            <v>48800</v>
          </cell>
          <cell r="BC69">
            <v>49600</v>
          </cell>
          <cell r="BD69">
            <v>50150</v>
          </cell>
          <cell r="BE69">
            <v>48940</v>
          </cell>
          <cell r="BF69">
            <v>49480</v>
          </cell>
          <cell r="BG69">
            <v>49390</v>
          </cell>
          <cell r="BH69">
            <v>47150</v>
          </cell>
          <cell r="BI69">
            <v>45500</v>
          </cell>
          <cell r="BJ69">
            <v>44790</v>
          </cell>
          <cell r="BK69">
            <v>48160</v>
          </cell>
          <cell r="BL69">
            <v>49940</v>
          </cell>
          <cell r="BM69">
            <v>49780</v>
          </cell>
          <cell r="BN69">
            <v>49780</v>
          </cell>
        </row>
        <row r="70">
          <cell r="B70" t="str">
            <v>FRA</v>
          </cell>
          <cell r="C70" t="str">
            <v>GNI per capita, Atlas method (current US$)</v>
          </cell>
          <cell r="D70" t="str">
            <v>NY.GNP.PCAP.CD</v>
          </cell>
          <cell r="E70" t="str">
            <v>..</v>
          </cell>
          <cell r="F70" t="str">
            <v>..</v>
          </cell>
          <cell r="G70">
            <v>1550</v>
          </cell>
          <cell r="H70">
            <v>1700</v>
          </cell>
          <cell r="I70">
            <v>1870</v>
          </cell>
          <cell r="J70">
            <v>2030</v>
          </cell>
          <cell r="K70">
            <v>2200</v>
          </cell>
          <cell r="L70">
            <v>2360</v>
          </cell>
          <cell r="M70">
            <v>2560</v>
          </cell>
          <cell r="N70">
            <v>2820</v>
          </cell>
          <cell r="O70">
            <v>3020</v>
          </cell>
          <cell r="P70">
            <v>3250</v>
          </cell>
          <cell r="Q70">
            <v>3670</v>
          </cell>
          <cell r="R70">
            <v>4690</v>
          </cell>
          <cell r="S70">
            <v>5790</v>
          </cell>
          <cell r="T70">
            <v>6720</v>
          </cell>
          <cell r="U70">
            <v>7140</v>
          </cell>
          <cell r="V70">
            <v>7810</v>
          </cell>
          <cell r="W70">
            <v>8830</v>
          </cell>
          <cell r="X70">
            <v>10820</v>
          </cell>
          <cell r="Y70">
            <v>13080</v>
          </cell>
          <cell r="Z70">
            <v>13190</v>
          </cell>
          <cell r="AA70">
            <v>12040</v>
          </cell>
          <cell r="AB70">
            <v>10450</v>
          </cell>
          <cell r="AC70">
            <v>9820</v>
          </cell>
          <cell r="AD70">
            <v>9770</v>
          </cell>
          <cell r="AE70">
            <v>11330</v>
          </cell>
          <cell r="AF70">
            <v>14460</v>
          </cell>
          <cell r="AG70">
            <v>18520</v>
          </cell>
          <cell r="AH70">
            <v>19490</v>
          </cell>
          <cell r="AI70">
            <v>20640</v>
          </cell>
          <cell r="AJ70">
            <v>21420</v>
          </cell>
          <cell r="AK70">
            <v>23840</v>
          </cell>
          <cell r="AL70">
            <v>23580</v>
          </cell>
          <cell r="AM70">
            <v>24380</v>
          </cell>
          <cell r="AN70">
            <v>25740</v>
          </cell>
          <cell r="AO70">
            <v>27110</v>
          </cell>
          <cell r="AP70">
            <v>26930</v>
          </cell>
          <cell r="AQ70">
            <v>25830</v>
          </cell>
          <cell r="AR70">
            <v>25420</v>
          </cell>
          <cell r="AS70">
            <v>24970</v>
          </cell>
          <cell r="AT70">
            <v>23840</v>
          </cell>
          <cell r="AU70">
            <v>23090</v>
          </cell>
          <cell r="AV70">
            <v>25930</v>
          </cell>
          <cell r="AW70">
            <v>31360</v>
          </cell>
          <cell r="AX70">
            <v>35870</v>
          </cell>
          <cell r="AY70">
            <v>37850</v>
          </cell>
          <cell r="AZ70">
            <v>40130</v>
          </cell>
          <cell r="BA70">
            <v>43460</v>
          </cell>
          <cell r="BB70">
            <v>43930</v>
          </cell>
          <cell r="BC70">
            <v>43850</v>
          </cell>
          <cell r="BD70">
            <v>44350</v>
          </cell>
          <cell r="BE70">
            <v>43380</v>
          </cell>
          <cell r="BF70">
            <v>43780</v>
          </cell>
          <cell r="BG70">
            <v>43320</v>
          </cell>
          <cell r="BH70">
            <v>41100</v>
          </cell>
          <cell r="BI70">
            <v>39070</v>
          </cell>
          <cell r="BJ70">
            <v>38270</v>
          </cell>
          <cell r="BK70">
            <v>41150</v>
          </cell>
          <cell r="BL70">
            <v>42510</v>
          </cell>
          <cell r="BM70">
            <v>39480</v>
          </cell>
          <cell r="BN70">
            <v>39480</v>
          </cell>
        </row>
        <row r="71">
          <cell r="B71" t="str">
            <v>PYF</v>
          </cell>
          <cell r="C71" t="str">
            <v>GNI per capita, Atlas method (current US$)</v>
          </cell>
          <cell r="D71" t="str">
            <v>NY.GNP.PCAP.CD</v>
          </cell>
          <cell r="E71" t="str">
            <v>..</v>
          </cell>
          <cell r="F71" t="str">
            <v>..</v>
          </cell>
          <cell r="G71" t="str">
            <v>..</v>
          </cell>
          <cell r="H71" t="str">
            <v>..</v>
          </cell>
          <cell r="I71" t="str">
            <v>..</v>
          </cell>
          <cell r="J71" t="str">
            <v>..</v>
          </cell>
          <cell r="K71" t="str">
            <v>..</v>
          </cell>
          <cell r="L71">
            <v>2090</v>
          </cell>
          <cell r="M71">
            <v>2520</v>
          </cell>
          <cell r="N71">
            <v>2430</v>
          </cell>
          <cell r="O71">
            <v>2400</v>
          </cell>
          <cell r="P71">
            <v>2640</v>
          </cell>
          <cell r="Q71">
            <v>2660</v>
          </cell>
          <cell r="R71">
            <v>3320</v>
          </cell>
          <cell r="S71">
            <v>4580</v>
          </cell>
          <cell r="T71">
            <v>5100</v>
          </cell>
          <cell r="U71">
            <v>5590</v>
          </cell>
          <cell r="V71">
            <v>5890</v>
          </cell>
          <cell r="W71">
            <v>6760</v>
          </cell>
          <cell r="X71">
            <v>7980</v>
          </cell>
          <cell r="Y71">
            <v>9140</v>
          </cell>
          <cell r="Z71">
            <v>9600</v>
          </cell>
          <cell r="AA71">
            <v>9130</v>
          </cell>
          <cell r="AB71">
            <v>8190</v>
          </cell>
          <cell r="AC71">
            <v>8030</v>
          </cell>
          <cell r="AD71">
            <v>8340</v>
          </cell>
          <cell r="AE71">
            <v>10250</v>
          </cell>
          <cell r="AF71">
            <v>13000</v>
          </cell>
          <cell r="AG71">
            <v>15360</v>
          </cell>
          <cell r="AH71">
            <v>14940</v>
          </cell>
          <cell r="AI71">
            <v>15270</v>
          </cell>
          <cell r="AJ71">
            <v>16030</v>
          </cell>
          <cell r="AK71">
            <v>17260</v>
          </cell>
          <cell r="AL71">
            <v>17400</v>
          </cell>
          <cell r="AM71">
            <v>17470</v>
          </cell>
          <cell r="AN71">
            <v>17920</v>
          </cell>
          <cell r="AO71">
            <v>17780</v>
          </cell>
          <cell r="AP71">
            <v>17250</v>
          </cell>
          <cell r="AQ71">
            <v>16660</v>
          </cell>
          <cell r="AR71">
            <v>16170</v>
          </cell>
          <cell r="AS71">
            <v>15770</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
          </cell>
        </row>
        <row r="72">
          <cell r="B72" t="str">
            <v>GAB</v>
          </cell>
          <cell r="C72" t="str">
            <v>GNI per capita, Atlas method (current US$)</v>
          </cell>
          <cell r="D72" t="str">
            <v>NY.GNP.PCAP.CD</v>
          </cell>
          <cell r="E72" t="str">
            <v>..</v>
          </cell>
          <cell r="F72" t="str">
            <v>..</v>
          </cell>
          <cell r="G72">
            <v>330</v>
          </cell>
          <cell r="H72">
            <v>410</v>
          </cell>
          <cell r="I72">
            <v>340</v>
          </cell>
          <cell r="J72">
            <v>360</v>
          </cell>
          <cell r="K72">
            <v>420</v>
          </cell>
          <cell r="L72">
            <v>440</v>
          </cell>
          <cell r="M72">
            <v>460</v>
          </cell>
          <cell r="N72">
            <v>530</v>
          </cell>
          <cell r="O72">
            <v>570</v>
          </cell>
          <cell r="P72">
            <v>610</v>
          </cell>
          <cell r="Q72">
            <v>690</v>
          </cell>
          <cell r="R72">
            <v>910</v>
          </cell>
          <cell r="S72">
            <v>1700</v>
          </cell>
          <cell r="T72">
            <v>2870</v>
          </cell>
          <cell r="U72">
            <v>4450</v>
          </cell>
          <cell r="V72">
            <v>4010</v>
          </cell>
          <cell r="W72">
            <v>3090</v>
          </cell>
          <cell r="X72">
            <v>3520</v>
          </cell>
          <cell r="Y72">
            <v>4590</v>
          </cell>
          <cell r="Z72">
            <v>5290</v>
          </cell>
          <cell r="AA72">
            <v>4840</v>
          </cell>
          <cell r="AB72">
            <v>4260</v>
          </cell>
          <cell r="AC72">
            <v>4310</v>
          </cell>
          <cell r="AD72">
            <v>3860</v>
          </cell>
          <cell r="AE72">
            <v>3840</v>
          </cell>
          <cell r="AF72">
            <v>3430</v>
          </cell>
          <cell r="AG72">
            <v>4150</v>
          </cell>
          <cell r="AH72">
            <v>4580</v>
          </cell>
          <cell r="AI72">
            <v>4820</v>
          </cell>
          <cell r="AJ72">
            <v>5170</v>
          </cell>
          <cell r="AK72">
            <v>5120</v>
          </cell>
          <cell r="AL72">
            <v>4430</v>
          </cell>
          <cell r="AM72">
            <v>4130</v>
          </cell>
          <cell r="AN72">
            <v>3910</v>
          </cell>
          <cell r="AO72">
            <v>4100</v>
          </cell>
          <cell r="AP72">
            <v>4270</v>
          </cell>
          <cell r="AQ72">
            <v>3940</v>
          </cell>
          <cell r="AR72">
            <v>3280</v>
          </cell>
          <cell r="AS72">
            <v>3100</v>
          </cell>
          <cell r="AT72">
            <v>3430</v>
          </cell>
          <cell r="AU72">
            <v>3610</v>
          </cell>
          <cell r="AV72">
            <v>3880</v>
          </cell>
          <cell r="AW72">
            <v>4310</v>
          </cell>
          <cell r="AX72">
            <v>5520</v>
          </cell>
          <cell r="AY72">
            <v>5740</v>
          </cell>
          <cell r="AZ72">
            <v>6590</v>
          </cell>
          <cell r="BA72">
            <v>7320</v>
          </cell>
          <cell r="BB72">
            <v>7590</v>
          </cell>
          <cell r="BC72">
            <v>7850</v>
          </cell>
          <cell r="BD72">
            <v>8120</v>
          </cell>
          <cell r="BE72">
            <v>9090</v>
          </cell>
          <cell r="BF72">
            <v>9330</v>
          </cell>
          <cell r="BG72">
            <v>9330</v>
          </cell>
          <cell r="BH72">
            <v>7970</v>
          </cell>
          <cell r="BI72">
            <v>7080</v>
          </cell>
          <cell r="BJ72">
            <v>6510</v>
          </cell>
          <cell r="BK72">
            <v>6830</v>
          </cell>
          <cell r="BL72">
            <v>7170</v>
          </cell>
          <cell r="BM72">
            <v>7030</v>
          </cell>
          <cell r="BN72">
            <v>7030</v>
          </cell>
        </row>
        <row r="73">
          <cell r="B73" t="str">
            <v>GMB</v>
          </cell>
          <cell r="C73" t="str">
            <v>GNI per capita, Atlas method (current US$)</v>
          </cell>
          <cell r="D73" t="str">
            <v>NY.GNP.PCAP.CD</v>
          </cell>
          <cell r="E73" t="str">
            <v>..</v>
          </cell>
          <cell r="F73" t="str">
            <v>..</v>
          </cell>
          <cell r="G73" t="str">
            <v>..</v>
          </cell>
          <cell r="H73" t="str">
            <v>..</v>
          </cell>
          <cell r="I73" t="str">
            <v>..</v>
          </cell>
          <cell r="J73" t="str">
            <v>..</v>
          </cell>
          <cell r="K73" t="str">
            <v>..</v>
          </cell>
          <cell r="L73" t="str">
            <v>..</v>
          </cell>
          <cell r="M73">
            <v>110</v>
          </cell>
          <cell r="N73">
            <v>110</v>
          </cell>
          <cell r="O73">
            <v>110</v>
          </cell>
          <cell r="P73">
            <v>110</v>
          </cell>
          <cell r="Q73">
            <v>120</v>
          </cell>
          <cell r="R73">
            <v>150</v>
          </cell>
          <cell r="S73">
            <v>180</v>
          </cell>
          <cell r="T73">
            <v>230</v>
          </cell>
          <cell r="U73">
            <v>230</v>
          </cell>
          <cell r="V73">
            <v>240</v>
          </cell>
          <cell r="W73">
            <v>260</v>
          </cell>
          <cell r="X73">
            <v>310</v>
          </cell>
          <cell r="Y73">
            <v>380</v>
          </cell>
          <cell r="Z73">
            <v>390</v>
          </cell>
          <cell r="AA73">
            <v>340</v>
          </cell>
          <cell r="AB73">
            <v>300</v>
          </cell>
          <cell r="AC73">
            <v>290</v>
          </cell>
          <cell r="AD73">
            <v>300</v>
          </cell>
          <cell r="AE73">
            <v>300</v>
          </cell>
          <cell r="AF73">
            <v>320</v>
          </cell>
          <cell r="AG73">
            <v>300</v>
          </cell>
          <cell r="AH73">
            <v>300</v>
          </cell>
          <cell r="AI73">
            <v>310</v>
          </cell>
          <cell r="AJ73">
            <v>400</v>
          </cell>
          <cell r="AK73">
            <v>520</v>
          </cell>
          <cell r="AL73">
            <v>710</v>
          </cell>
          <cell r="AM73">
            <v>690</v>
          </cell>
          <cell r="AN73">
            <v>690</v>
          </cell>
          <cell r="AO73">
            <v>700</v>
          </cell>
          <cell r="AP73">
            <v>690</v>
          </cell>
          <cell r="AQ73">
            <v>660</v>
          </cell>
          <cell r="AR73">
            <v>640</v>
          </cell>
          <cell r="AS73">
            <v>620</v>
          </cell>
          <cell r="AT73">
            <v>560</v>
          </cell>
          <cell r="AU73">
            <v>440</v>
          </cell>
          <cell r="AV73">
            <v>390</v>
          </cell>
          <cell r="AW73">
            <v>470</v>
          </cell>
          <cell r="AX73">
            <v>520</v>
          </cell>
          <cell r="AY73">
            <v>640</v>
          </cell>
          <cell r="AZ73">
            <v>700</v>
          </cell>
          <cell r="BA73">
            <v>810</v>
          </cell>
          <cell r="BB73">
            <v>880</v>
          </cell>
          <cell r="BC73">
            <v>890</v>
          </cell>
          <cell r="BD73">
            <v>760</v>
          </cell>
          <cell r="BE73">
            <v>760</v>
          </cell>
          <cell r="BF73">
            <v>730</v>
          </cell>
          <cell r="BG73">
            <v>650</v>
          </cell>
          <cell r="BH73">
            <v>620</v>
          </cell>
          <cell r="BI73">
            <v>620</v>
          </cell>
          <cell r="BJ73">
            <v>660</v>
          </cell>
          <cell r="BK73">
            <v>720</v>
          </cell>
          <cell r="BL73">
            <v>750</v>
          </cell>
          <cell r="BM73">
            <v>750</v>
          </cell>
          <cell r="BN73">
            <v>750</v>
          </cell>
        </row>
        <row r="74">
          <cell r="B74" t="str">
            <v>GEO</v>
          </cell>
          <cell r="C74" t="str">
            <v>GNI per capita, Atlas method (current US$)</v>
          </cell>
          <cell r="D74" t="str">
            <v>NY.GNP.PCAP.CD</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v>2260</v>
          </cell>
          <cell r="AL74">
            <v>1610</v>
          </cell>
          <cell r="AM74">
            <v>760</v>
          </cell>
          <cell r="AN74">
            <v>550</v>
          </cell>
          <cell r="AO74">
            <v>670</v>
          </cell>
          <cell r="AP74">
            <v>820</v>
          </cell>
          <cell r="AQ74">
            <v>870</v>
          </cell>
          <cell r="AR74">
            <v>840</v>
          </cell>
          <cell r="AS74">
            <v>790</v>
          </cell>
          <cell r="AT74">
            <v>780</v>
          </cell>
          <cell r="AU74">
            <v>840</v>
          </cell>
          <cell r="AV74">
            <v>990</v>
          </cell>
          <cell r="AW74">
            <v>1210</v>
          </cell>
          <cell r="AX74">
            <v>1520</v>
          </cell>
          <cell r="AY74">
            <v>1910</v>
          </cell>
          <cell r="AZ74">
            <v>2380</v>
          </cell>
          <cell r="BA74">
            <v>2820</v>
          </cell>
          <cell r="BB74">
            <v>2950</v>
          </cell>
          <cell r="BC74">
            <v>3210</v>
          </cell>
          <cell r="BD74">
            <v>3520</v>
          </cell>
          <cell r="BE74">
            <v>4150</v>
          </cell>
          <cell r="BF74">
            <v>4530</v>
          </cell>
          <cell r="BG74">
            <v>4740</v>
          </cell>
          <cell r="BH74">
            <v>4410</v>
          </cell>
          <cell r="BI74">
            <v>4080</v>
          </cell>
          <cell r="BJ74">
            <v>4040</v>
          </cell>
          <cell r="BK74">
            <v>4460</v>
          </cell>
          <cell r="BL74">
            <v>4690</v>
          </cell>
          <cell r="BM74">
            <v>4270</v>
          </cell>
          <cell r="BN74">
            <v>4270</v>
          </cell>
        </row>
        <row r="75">
          <cell r="B75" t="str">
            <v>DEU</v>
          </cell>
          <cell r="C75" t="str">
            <v>GNI per capita, Atlas method (current US$)</v>
          </cell>
          <cell r="D75" t="str">
            <v>NY.GNP.PCAP.CD</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v>3600</v>
          </cell>
          <cell r="R75">
            <v>4670</v>
          </cell>
          <cell r="S75">
            <v>5800</v>
          </cell>
          <cell r="T75">
            <v>6720</v>
          </cell>
          <cell r="U75">
            <v>7130</v>
          </cell>
          <cell r="V75">
            <v>7670</v>
          </cell>
          <cell r="W75">
            <v>8870</v>
          </cell>
          <cell r="X75">
            <v>11050</v>
          </cell>
          <cell r="Y75">
            <v>13010</v>
          </cell>
          <cell r="Z75">
            <v>12540</v>
          </cell>
          <cell r="AA75">
            <v>11120</v>
          </cell>
          <cell r="AB75">
            <v>10020</v>
          </cell>
          <cell r="AC75">
            <v>9880</v>
          </cell>
          <cell r="AD75">
            <v>9840</v>
          </cell>
          <cell r="AE75">
            <v>11240</v>
          </cell>
          <cell r="AF75">
            <v>14240</v>
          </cell>
          <cell r="AG75">
            <v>18620</v>
          </cell>
          <cell r="AH75">
            <v>19760</v>
          </cell>
          <cell r="AI75">
            <v>21300</v>
          </cell>
          <cell r="AJ75">
            <v>22890</v>
          </cell>
          <cell r="AK75">
            <v>25810</v>
          </cell>
          <cell r="AL75">
            <v>25990</v>
          </cell>
          <cell r="AM75">
            <v>27530</v>
          </cell>
          <cell r="AN75">
            <v>29520</v>
          </cell>
          <cell r="AO75">
            <v>30860</v>
          </cell>
          <cell r="AP75">
            <v>30140</v>
          </cell>
          <cell r="AQ75">
            <v>27950</v>
          </cell>
          <cell r="AR75">
            <v>26840</v>
          </cell>
          <cell r="AS75">
            <v>26150</v>
          </cell>
          <cell r="AT75">
            <v>24740</v>
          </cell>
          <cell r="AU75">
            <v>23610</v>
          </cell>
          <cell r="AV75">
            <v>26080</v>
          </cell>
          <cell r="AW75">
            <v>31570</v>
          </cell>
          <cell r="AX75">
            <v>35710</v>
          </cell>
          <cell r="AY75">
            <v>38230</v>
          </cell>
          <cell r="AZ75">
            <v>40440</v>
          </cell>
          <cell r="BA75">
            <v>43570</v>
          </cell>
          <cell r="BB75">
            <v>43520</v>
          </cell>
          <cell r="BC75">
            <v>44550</v>
          </cell>
          <cell r="BD75">
            <v>47220</v>
          </cell>
          <cell r="BE75">
            <v>46530</v>
          </cell>
          <cell r="BF75">
            <v>47190</v>
          </cell>
          <cell r="BG75">
            <v>47620</v>
          </cell>
          <cell r="BH75">
            <v>45750</v>
          </cell>
          <cell r="BI75">
            <v>44250</v>
          </cell>
          <cell r="BJ75">
            <v>43710</v>
          </cell>
          <cell r="BK75">
            <v>47410</v>
          </cell>
          <cell r="BL75">
            <v>49140</v>
          </cell>
          <cell r="BM75">
            <v>47470</v>
          </cell>
          <cell r="BN75">
            <v>47470</v>
          </cell>
        </row>
        <row r="76">
          <cell r="B76" t="str">
            <v>GHA</v>
          </cell>
          <cell r="C76" t="str">
            <v>GNI per capita, Atlas method (current US$)</v>
          </cell>
          <cell r="D76" t="str">
            <v>NY.GNP.PCAP.CD</v>
          </cell>
          <cell r="E76" t="str">
            <v>..</v>
          </cell>
          <cell r="F76" t="str">
            <v>..</v>
          </cell>
          <cell r="G76">
            <v>190</v>
          </cell>
          <cell r="H76">
            <v>200</v>
          </cell>
          <cell r="I76">
            <v>210</v>
          </cell>
          <cell r="J76">
            <v>230</v>
          </cell>
          <cell r="K76">
            <v>250</v>
          </cell>
          <cell r="L76">
            <v>240</v>
          </cell>
          <cell r="M76">
            <v>220</v>
          </cell>
          <cell r="N76">
            <v>220</v>
          </cell>
          <cell r="O76">
            <v>250</v>
          </cell>
          <cell r="P76">
            <v>270</v>
          </cell>
          <cell r="Q76">
            <v>260</v>
          </cell>
          <cell r="R76">
            <v>280</v>
          </cell>
          <cell r="S76">
            <v>320</v>
          </cell>
          <cell r="T76">
            <v>300</v>
          </cell>
          <cell r="U76">
            <v>290</v>
          </cell>
          <cell r="V76">
            <v>300</v>
          </cell>
          <cell r="W76">
            <v>350</v>
          </cell>
          <cell r="X76">
            <v>380</v>
          </cell>
          <cell r="Y76">
            <v>420</v>
          </cell>
          <cell r="Z76">
            <v>410</v>
          </cell>
          <cell r="AA76">
            <v>360</v>
          </cell>
          <cell r="AB76">
            <v>320</v>
          </cell>
          <cell r="AC76">
            <v>340</v>
          </cell>
          <cell r="AD76">
            <v>350</v>
          </cell>
          <cell r="AE76">
            <v>390</v>
          </cell>
          <cell r="AF76">
            <v>420</v>
          </cell>
          <cell r="AG76">
            <v>440</v>
          </cell>
          <cell r="AH76">
            <v>400</v>
          </cell>
          <cell r="AI76">
            <v>400</v>
          </cell>
          <cell r="AJ76">
            <v>410</v>
          </cell>
          <cell r="AK76">
            <v>430</v>
          </cell>
          <cell r="AL76">
            <v>420</v>
          </cell>
          <cell r="AM76">
            <v>370</v>
          </cell>
          <cell r="AN76">
            <v>370</v>
          </cell>
          <cell r="AO76">
            <v>380</v>
          </cell>
          <cell r="AP76">
            <v>390</v>
          </cell>
          <cell r="AQ76">
            <v>390</v>
          </cell>
          <cell r="AR76">
            <v>390</v>
          </cell>
          <cell r="AS76">
            <v>340</v>
          </cell>
          <cell r="AT76">
            <v>300</v>
          </cell>
          <cell r="AU76">
            <v>270</v>
          </cell>
          <cell r="AV76">
            <v>320</v>
          </cell>
          <cell r="AW76">
            <v>380</v>
          </cell>
          <cell r="AX76">
            <v>460</v>
          </cell>
          <cell r="AY76">
            <v>600</v>
          </cell>
          <cell r="AZ76">
            <v>790</v>
          </cell>
          <cell r="BA76">
            <v>1150</v>
          </cell>
          <cell r="BB76">
            <v>1190</v>
          </cell>
          <cell r="BC76">
            <v>1240</v>
          </cell>
          <cell r="BD76">
            <v>1380</v>
          </cell>
          <cell r="BE76">
            <v>1530</v>
          </cell>
          <cell r="BF76">
            <v>1840</v>
          </cell>
          <cell r="BG76">
            <v>1880</v>
          </cell>
          <cell r="BH76">
            <v>1940</v>
          </cell>
          <cell r="BI76">
            <v>1810</v>
          </cell>
          <cell r="BJ76">
            <v>1880</v>
          </cell>
          <cell r="BK76">
            <v>2120</v>
          </cell>
          <cell r="BL76">
            <v>2230</v>
          </cell>
          <cell r="BM76">
            <v>2340</v>
          </cell>
          <cell r="BN76">
            <v>2340</v>
          </cell>
        </row>
        <row r="77">
          <cell r="B77" t="str">
            <v>GIB</v>
          </cell>
          <cell r="C77" t="str">
            <v>GNI per capita, Atlas method (current US$)</v>
          </cell>
          <cell r="D77" t="str">
            <v>NY.GNP.PCAP.CD</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
          </cell>
        </row>
        <row r="78">
          <cell r="B78" t="str">
            <v>GRC</v>
          </cell>
          <cell r="C78" t="str">
            <v>GNI per capita, Atlas method (current US$)</v>
          </cell>
          <cell r="D78" t="str">
            <v>NY.GNP.PCAP.CD</v>
          </cell>
          <cell r="E78" t="str">
            <v>..</v>
          </cell>
          <cell r="F78" t="str">
            <v>..</v>
          </cell>
          <cell r="G78">
            <v>620</v>
          </cell>
          <cell r="H78">
            <v>700</v>
          </cell>
          <cell r="I78">
            <v>790</v>
          </cell>
          <cell r="J78">
            <v>900</v>
          </cell>
          <cell r="K78">
            <v>1000</v>
          </cell>
          <cell r="L78">
            <v>1090</v>
          </cell>
          <cell r="M78">
            <v>1200</v>
          </cell>
          <cell r="N78">
            <v>1370</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v>24550</v>
          </cell>
          <cell r="AZ78">
            <v>26350</v>
          </cell>
          <cell r="BA78">
            <v>28660</v>
          </cell>
          <cell r="BB78">
            <v>29330</v>
          </cell>
          <cell r="BC78">
            <v>27530</v>
          </cell>
          <cell r="BD78">
            <v>24510</v>
          </cell>
          <cell r="BE78">
            <v>23170</v>
          </cell>
          <cell r="BF78">
            <v>22410</v>
          </cell>
          <cell r="BG78">
            <v>21990</v>
          </cell>
          <cell r="BH78">
            <v>20170</v>
          </cell>
          <cell r="BI78">
            <v>18630</v>
          </cell>
          <cell r="BJ78">
            <v>17940</v>
          </cell>
          <cell r="BK78">
            <v>19060</v>
          </cell>
          <cell r="BL78">
            <v>19650</v>
          </cell>
          <cell r="BM78">
            <v>17930</v>
          </cell>
          <cell r="BN78">
            <v>17930</v>
          </cell>
        </row>
        <row r="79">
          <cell r="B79" t="str">
            <v>GRL</v>
          </cell>
          <cell r="C79" t="str">
            <v>GNI per capita, Atlas method (current US$)</v>
          </cell>
          <cell r="D79" t="str">
            <v>NY.GNP.PCAP.CD</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v>1890</v>
          </cell>
          <cell r="R79">
            <v>2440</v>
          </cell>
          <cell r="S79">
            <v>3130</v>
          </cell>
          <cell r="T79">
            <v>3800</v>
          </cell>
          <cell r="U79">
            <v>4330</v>
          </cell>
          <cell r="V79">
            <v>5140</v>
          </cell>
          <cell r="W79">
            <v>6160</v>
          </cell>
          <cell r="X79">
            <v>7550</v>
          </cell>
          <cell r="Y79">
            <v>9270</v>
          </cell>
          <cell r="Z79">
            <v>9100</v>
          </cell>
          <cell r="AA79">
            <v>8020</v>
          </cell>
          <cell r="AB79">
            <v>7270</v>
          </cell>
          <cell r="AC79">
            <v>6740</v>
          </cell>
          <cell r="AD79">
            <v>7060</v>
          </cell>
          <cell r="AE79">
            <v>8540</v>
          </cell>
          <cell r="AF79">
            <v>11470</v>
          </cell>
          <cell r="AG79">
            <v>15170</v>
          </cell>
          <cell r="AH79">
            <v>16970</v>
          </cell>
          <cell r="AI79">
            <v>15690</v>
          </cell>
          <cell r="AJ79">
            <v>16510</v>
          </cell>
          <cell r="AK79">
            <v>17440</v>
          </cell>
          <cell r="AL79">
            <v>16600</v>
          </cell>
          <cell r="AM79">
            <v>17830</v>
          </cell>
          <cell r="AN79">
            <v>19470</v>
          </cell>
          <cell r="AO79">
            <v>20780</v>
          </cell>
          <cell r="AP79">
            <v>20540</v>
          </cell>
          <cell r="AQ79">
            <v>20440</v>
          </cell>
          <cell r="AR79">
            <v>19740</v>
          </cell>
          <cell r="AS79">
            <v>20290</v>
          </cell>
          <cell r="AT79">
            <v>19390</v>
          </cell>
          <cell r="AU79">
            <v>18760</v>
          </cell>
          <cell r="AV79">
            <v>20440</v>
          </cell>
          <cell r="AW79">
            <v>25730</v>
          </cell>
          <cell r="AX79">
            <v>30920</v>
          </cell>
          <cell r="AY79">
            <v>30240</v>
          </cell>
          <cell r="AZ79">
            <v>34800</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
          </cell>
        </row>
        <row r="80">
          <cell r="B80" t="str">
            <v>GRD</v>
          </cell>
          <cell r="C80" t="str">
            <v>GNI per capita, Atlas method (current US$)</v>
          </cell>
          <cell r="D80" t="str">
            <v>NY.GNP.PCAP.CD</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v>1150</v>
          </cell>
          <cell r="Y80">
            <v>1300</v>
          </cell>
          <cell r="Z80">
            <v>1310</v>
          </cell>
          <cell r="AA80">
            <v>1300</v>
          </cell>
          <cell r="AB80">
            <v>1280</v>
          </cell>
          <cell r="AC80">
            <v>1340</v>
          </cell>
          <cell r="AD80">
            <v>1500</v>
          </cell>
          <cell r="AE80">
            <v>1790</v>
          </cell>
          <cell r="AF80">
            <v>2200</v>
          </cell>
          <cell r="AG80">
            <v>2490</v>
          </cell>
          <cell r="AH80">
            <v>2670</v>
          </cell>
          <cell r="AI80">
            <v>2840</v>
          </cell>
          <cell r="AJ80">
            <v>3040</v>
          </cell>
          <cell r="AK80">
            <v>3140</v>
          </cell>
          <cell r="AL80">
            <v>3120</v>
          </cell>
          <cell r="AM80">
            <v>3210</v>
          </cell>
          <cell r="AN80">
            <v>3310</v>
          </cell>
          <cell r="AO80">
            <v>3500</v>
          </cell>
          <cell r="AP80">
            <v>3660</v>
          </cell>
          <cell r="AQ80">
            <v>3990</v>
          </cell>
          <cell r="AR80">
            <v>4310</v>
          </cell>
          <cell r="AS80">
            <v>4610</v>
          </cell>
          <cell r="AT80">
            <v>4510</v>
          </cell>
          <cell r="AU80">
            <v>4650</v>
          </cell>
          <cell r="AV80">
            <v>5290</v>
          </cell>
          <cell r="AW80">
            <v>5350</v>
          </cell>
          <cell r="AX80">
            <v>6650</v>
          </cell>
          <cell r="AY80">
            <v>6430</v>
          </cell>
          <cell r="AZ80">
            <v>6830</v>
          </cell>
          <cell r="BA80">
            <v>7260</v>
          </cell>
          <cell r="BB80">
            <v>6720</v>
          </cell>
          <cell r="BC80">
            <v>6940</v>
          </cell>
          <cell r="BD80">
            <v>7060</v>
          </cell>
          <cell r="BE80">
            <v>7030</v>
          </cell>
          <cell r="BF80">
            <v>7350</v>
          </cell>
          <cell r="BG80">
            <v>7520</v>
          </cell>
          <cell r="BH80">
            <v>7750</v>
          </cell>
          <cell r="BI80">
            <v>8350</v>
          </cell>
          <cell r="BJ80">
            <v>8740</v>
          </cell>
          <cell r="BK80">
            <v>9560</v>
          </cell>
          <cell r="BL80">
            <v>9770</v>
          </cell>
          <cell r="BM80">
            <v>9410</v>
          </cell>
          <cell r="BN80">
            <v>9410</v>
          </cell>
        </row>
        <row r="81">
          <cell r="B81" t="str">
            <v>GUM</v>
          </cell>
          <cell r="C81" t="str">
            <v>GNI per capita, Atlas method (current US$)</v>
          </cell>
          <cell r="D81" t="str">
            <v>NY.GNP.PCAP.CD</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
          </cell>
        </row>
        <row r="82">
          <cell r="B82" t="str">
            <v>GTM</v>
          </cell>
          <cell r="C82" t="str">
            <v>GNI per capita, Atlas method (current US$)</v>
          </cell>
          <cell r="D82" t="str">
            <v>NY.GNP.PCAP.CD</v>
          </cell>
          <cell r="E82" t="str">
            <v>..</v>
          </cell>
          <cell r="F82" t="str">
            <v>..</v>
          </cell>
          <cell r="G82">
            <v>260</v>
          </cell>
          <cell r="H82">
            <v>280</v>
          </cell>
          <cell r="I82">
            <v>280</v>
          </cell>
          <cell r="J82">
            <v>290</v>
          </cell>
          <cell r="K82">
            <v>290</v>
          </cell>
          <cell r="L82">
            <v>290</v>
          </cell>
          <cell r="M82">
            <v>310</v>
          </cell>
          <cell r="N82">
            <v>330</v>
          </cell>
          <cell r="O82">
            <v>350</v>
          </cell>
          <cell r="P82">
            <v>360</v>
          </cell>
          <cell r="Q82">
            <v>390</v>
          </cell>
          <cell r="R82">
            <v>450</v>
          </cell>
          <cell r="S82">
            <v>540</v>
          </cell>
          <cell r="T82">
            <v>610</v>
          </cell>
          <cell r="U82">
            <v>690</v>
          </cell>
          <cell r="V82">
            <v>800</v>
          </cell>
          <cell r="W82">
            <v>920</v>
          </cell>
          <cell r="X82">
            <v>1080</v>
          </cell>
          <cell r="Y82">
            <v>1210</v>
          </cell>
          <cell r="Z82">
            <v>1240</v>
          </cell>
          <cell r="AA82">
            <v>1170</v>
          </cell>
          <cell r="AB82">
            <v>1110</v>
          </cell>
          <cell r="AC82">
            <v>1130</v>
          </cell>
          <cell r="AD82">
            <v>1160</v>
          </cell>
          <cell r="AE82">
            <v>1070</v>
          </cell>
          <cell r="AF82">
            <v>1020</v>
          </cell>
          <cell r="AG82">
            <v>980</v>
          </cell>
          <cell r="AH82">
            <v>980</v>
          </cell>
          <cell r="AI82">
            <v>930</v>
          </cell>
          <cell r="AJ82">
            <v>970</v>
          </cell>
          <cell r="AK82">
            <v>1030</v>
          </cell>
          <cell r="AL82">
            <v>1140</v>
          </cell>
          <cell r="AM82">
            <v>1230</v>
          </cell>
          <cell r="AN82">
            <v>1360</v>
          </cell>
          <cell r="AO82">
            <v>1440</v>
          </cell>
          <cell r="AP82">
            <v>1530</v>
          </cell>
          <cell r="AQ82">
            <v>1610</v>
          </cell>
          <cell r="AR82">
            <v>1650</v>
          </cell>
          <cell r="AS82">
            <v>1670</v>
          </cell>
          <cell r="AT82">
            <v>1600</v>
          </cell>
          <cell r="AU82">
            <v>1600</v>
          </cell>
          <cell r="AV82">
            <v>1670</v>
          </cell>
          <cell r="AW82">
            <v>1850</v>
          </cell>
          <cell r="AX82">
            <v>2000</v>
          </cell>
          <cell r="AY82">
            <v>2150</v>
          </cell>
          <cell r="AZ82">
            <v>2370</v>
          </cell>
          <cell r="BA82">
            <v>2610</v>
          </cell>
          <cell r="BB82">
            <v>2650</v>
          </cell>
          <cell r="BC82">
            <v>2730</v>
          </cell>
          <cell r="BD82">
            <v>2910</v>
          </cell>
          <cell r="BE82">
            <v>3160</v>
          </cell>
          <cell r="BF82">
            <v>3380</v>
          </cell>
          <cell r="BG82">
            <v>3550</v>
          </cell>
          <cell r="BH82">
            <v>3700</v>
          </cell>
          <cell r="BI82">
            <v>3870</v>
          </cell>
          <cell r="BJ82">
            <v>4100</v>
          </cell>
          <cell r="BK82">
            <v>4400</v>
          </cell>
          <cell r="BL82">
            <v>4610</v>
          </cell>
          <cell r="BM82">
            <v>4490</v>
          </cell>
          <cell r="BN82">
            <v>4490</v>
          </cell>
        </row>
        <row r="83">
          <cell r="B83" t="str">
            <v>GIN</v>
          </cell>
          <cell r="C83" t="str">
            <v>GNI per capita, Atlas method (current US$)</v>
          </cell>
          <cell r="D83" t="str">
            <v>NY.GNP.PCAP.CD</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v>400</v>
          </cell>
          <cell r="AH83">
            <v>390</v>
          </cell>
          <cell r="AI83">
            <v>410</v>
          </cell>
          <cell r="AJ83">
            <v>420</v>
          </cell>
          <cell r="AK83">
            <v>460</v>
          </cell>
          <cell r="AL83">
            <v>490</v>
          </cell>
          <cell r="AM83">
            <v>500</v>
          </cell>
          <cell r="AN83">
            <v>500</v>
          </cell>
          <cell r="AO83">
            <v>510</v>
          </cell>
          <cell r="AP83">
            <v>510</v>
          </cell>
          <cell r="AQ83">
            <v>470</v>
          </cell>
          <cell r="AR83">
            <v>450</v>
          </cell>
          <cell r="AS83">
            <v>400</v>
          </cell>
          <cell r="AT83">
            <v>360</v>
          </cell>
          <cell r="AU83">
            <v>350</v>
          </cell>
          <cell r="AV83">
            <v>340</v>
          </cell>
          <cell r="AW83">
            <v>370</v>
          </cell>
          <cell r="AX83">
            <v>360</v>
          </cell>
          <cell r="AY83">
            <v>400</v>
          </cell>
          <cell r="AZ83">
            <v>470</v>
          </cell>
          <cell r="BA83">
            <v>620</v>
          </cell>
          <cell r="BB83">
            <v>670</v>
          </cell>
          <cell r="BC83">
            <v>690</v>
          </cell>
          <cell r="BD83">
            <v>680</v>
          </cell>
          <cell r="BE83">
            <v>700</v>
          </cell>
          <cell r="BF83">
            <v>700</v>
          </cell>
          <cell r="BG83">
            <v>740</v>
          </cell>
          <cell r="BH83">
            <v>760</v>
          </cell>
          <cell r="BI83">
            <v>780</v>
          </cell>
          <cell r="BJ83">
            <v>820</v>
          </cell>
          <cell r="BK83">
            <v>860</v>
          </cell>
          <cell r="BL83">
            <v>950</v>
          </cell>
          <cell r="BM83">
            <v>1020</v>
          </cell>
          <cell r="BN83">
            <v>1020</v>
          </cell>
        </row>
        <row r="84">
          <cell r="B84" t="str">
            <v>GNB</v>
          </cell>
          <cell r="C84" t="str">
            <v>GNI per capita, Atlas method (current US$)</v>
          </cell>
          <cell r="D84" t="str">
            <v>NY.GNP.PCAP.CD</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v>120</v>
          </cell>
          <cell r="R84">
            <v>130</v>
          </cell>
          <cell r="S84">
            <v>150</v>
          </cell>
          <cell r="T84">
            <v>170</v>
          </cell>
          <cell r="U84">
            <v>150</v>
          </cell>
          <cell r="V84">
            <v>140</v>
          </cell>
          <cell r="W84">
            <v>160</v>
          </cell>
          <cell r="X84">
            <v>180</v>
          </cell>
          <cell r="Y84">
            <v>150</v>
          </cell>
          <cell r="Z84">
            <v>190</v>
          </cell>
          <cell r="AA84">
            <v>200</v>
          </cell>
          <cell r="AB84">
            <v>190</v>
          </cell>
          <cell r="AC84">
            <v>190</v>
          </cell>
          <cell r="AD84">
            <v>200</v>
          </cell>
          <cell r="AE84">
            <v>160</v>
          </cell>
          <cell r="AF84">
            <v>170</v>
          </cell>
          <cell r="AG84">
            <v>180</v>
          </cell>
          <cell r="AH84">
            <v>210</v>
          </cell>
          <cell r="AI84">
            <v>220</v>
          </cell>
          <cell r="AJ84">
            <v>240</v>
          </cell>
          <cell r="AK84">
            <v>240</v>
          </cell>
          <cell r="AL84">
            <v>230</v>
          </cell>
          <cell r="AM84">
            <v>220</v>
          </cell>
          <cell r="AN84">
            <v>220</v>
          </cell>
          <cell r="AO84">
            <v>240</v>
          </cell>
          <cell r="AP84">
            <v>240</v>
          </cell>
          <cell r="AQ84">
            <v>160</v>
          </cell>
          <cell r="AR84">
            <v>160</v>
          </cell>
          <cell r="AS84">
            <v>210</v>
          </cell>
          <cell r="AT84">
            <v>250</v>
          </cell>
          <cell r="AU84">
            <v>300</v>
          </cell>
          <cell r="AV84">
            <v>330</v>
          </cell>
          <cell r="AW84">
            <v>380</v>
          </cell>
          <cell r="AX84">
            <v>430</v>
          </cell>
          <cell r="AY84">
            <v>440</v>
          </cell>
          <cell r="AZ84">
            <v>470</v>
          </cell>
          <cell r="BA84">
            <v>510</v>
          </cell>
          <cell r="BB84">
            <v>560</v>
          </cell>
          <cell r="BC84">
            <v>580</v>
          </cell>
          <cell r="BD84">
            <v>640</v>
          </cell>
          <cell r="BE84">
            <v>630</v>
          </cell>
          <cell r="BF84">
            <v>640</v>
          </cell>
          <cell r="BG84">
            <v>640</v>
          </cell>
          <cell r="BH84">
            <v>640</v>
          </cell>
          <cell r="BI84">
            <v>650</v>
          </cell>
          <cell r="BJ84">
            <v>680</v>
          </cell>
          <cell r="BK84">
            <v>720</v>
          </cell>
          <cell r="BL84">
            <v>800</v>
          </cell>
          <cell r="BM84">
            <v>760</v>
          </cell>
          <cell r="BN84">
            <v>760</v>
          </cell>
        </row>
        <row r="85">
          <cell r="B85" t="str">
            <v>GUY</v>
          </cell>
          <cell r="C85" t="str">
            <v>GNI per capita, Atlas method (current US$)</v>
          </cell>
          <cell r="D85" t="str">
            <v>NY.GNP.PCAP.CD</v>
          </cell>
          <cell r="E85" t="str">
            <v>..</v>
          </cell>
          <cell r="F85" t="str">
            <v>..</v>
          </cell>
          <cell r="G85">
            <v>280</v>
          </cell>
          <cell r="H85">
            <v>250</v>
          </cell>
          <cell r="I85">
            <v>280</v>
          </cell>
          <cell r="J85">
            <v>310</v>
          </cell>
          <cell r="K85">
            <v>320</v>
          </cell>
          <cell r="L85">
            <v>340</v>
          </cell>
          <cell r="M85">
            <v>330</v>
          </cell>
          <cell r="N85">
            <v>350</v>
          </cell>
          <cell r="O85">
            <v>360</v>
          </cell>
          <cell r="P85">
            <v>380</v>
          </cell>
          <cell r="Q85">
            <v>390</v>
          </cell>
          <cell r="R85">
            <v>430</v>
          </cell>
          <cell r="S85">
            <v>540</v>
          </cell>
          <cell r="T85">
            <v>680</v>
          </cell>
          <cell r="U85">
            <v>660</v>
          </cell>
          <cell r="V85">
            <v>610</v>
          </cell>
          <cell r="W85">
            <v>620</v>
          </cell>
          <cell r="X85">
            <v>670</v>
          </cell>
          <cell r="Y85">
            <v>760</v>
          </cell>
          <cell r="Z85">
            <v>740</v>
          </cell>
          <cell r="AA85">
            <v>590</v>
          </cell>
          <cell r="AB85">
            <v>510</v>
          </cell>
          <cell r="AC85">
            <v>470</v>
          </cell>
          <cell r="AD85">
            <v>500</v>
          </cell>
          <cell r="AE85">
            <v>520</v>
          </cell>
          <cell r="AF85">
            <v>460</v>
          </cell>
          <cell r="AG85">
            <v>470</v>
          </cell>
          <cell r="AH85">
            <v>360</v>
          </cell>
          <cell r="AI85">
            <v>400</v>
          </cell>
          <cell r="AJ85">
            <v>330</v>
          </cell>
          <cell r="AK85">
            <v>390</v>
          </cell>
          <cell r="AL85">
            <v>460</v>
          </cell>
          <cell r="AM85">
            <v>570</v>
          </cell>
          <cell r="AN85">
            <v>670</v>
          </cell>
          <cell r="AO85">
            <v>830</v>
          </cell>
          <cell r="AP85">
            <v>890</v>
          </cell>
          <cell r="AQ85">
            <v>880</v>
          </cell>
          <cell r="AR85">
            <v>860</v>
          </cell>
          <cell r="AS85">
            <v>890</v>
          </cell>
          <cell r="AT85">
            <v>880</v>
          </cell>
          <cell r="AU85">
            <v>890</v>
          </cell>
          <cell r="AV85">
            <v>940</v>
          </cell>
          <cell r="AW85">
            <v>1030</v>
          </cell>
          <cell r="AX85">
            <v>1090</v>
          </cell>
          <cell r="AY85">
            <v>1470</v>
          </cell>
          <cell r="AZ85">
            <v>2280</v>
          </cell>
          <cell r="BA85">
            <v>3850</v>
          </cell>
          <cell r="BB85">
            <v>4190</v>
          </cell>
          <cell r="BC85">
            <v>4510</v>
          </cell>
          <cell r="BD85">
            <v>4820</v>
          </cell>
          <cell r="BE85">
            <v>5290</v>
          </cell>
          <cell r="BF85">
            <v>5540</v>
          </cell>
          <cell r="BG85">
            <v>5570</v>
          </cell>
          <cell r="BH85">
            <v>5470</v>
          </cell>
          <cell r="BI85">
            <v>5600</v>
          </cell>
          <cell r="BJ85">
            <v>5910</v>
          </cell>
          <cell r="BK85">
            <v>6290</v>
          </cell>
          <cell r="BL85">
            <v>6630</v>
          </cell>
          <cell r="BM85">
            <v>7130</v>
          </cell>
          <cell r="BN85">
            <v>7130</v>
          </cell>
        </row>
        <row r="86">
          <cell r="B86" t="str">
            <v>HTI</v>
          </cell>
          <cell r="C86" t="str">
            <v>GNI per capita, Atlas method (current US$)</v>
          </cell>
          <cell r="D86" t="str">
            <v>NY.GNP.PCAP.CD</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v>250</v>
          </cell>
          <cell r="Z86">
            <v>250</v>
          </cell>
          <cell r="AA86">
            <v>250</v>
          </cell>
          <cell r="AB86">
            <v>240</v>
          </cell>
          <cell r="AC86">
            <v>260</v>
          </cell>
          <cell r="AD86">
            <v>280</v>
          </cell>
          <cell r="AE86">
            <v>320</v>
          </cell>
          <cell r="AF86">
            <v>340</v>
          </cell>
          <cell r="AG86">
            <v>380</v>
          </cell>
          <cell r="AH86">
            <v>370</v>
          </cell>
          <cell r="AI86">
            <v>420</v>
          </cell>
          <cell r="AJ86">
            <v>450</v>
          </cell>
          <cell r="AK86">
            <v>390</v>
          </cell>
          <cell r="AL86">
            <v>310</v>
          </cell>
          <cell r="AM86">
            <v>260</v>
          </cell>
          <cell r="AN86">
            <v>310</v>
          </cell>
          <cell r="AO86">
            <v>360</v>
          </cell>
          <cell r="AP86">
            <v>390</v>
          </cell>
          <cell r="AQ86">
            <v>400</v>
          </cell>
          <cell r="AR86">
            <v>450</v>
          </cell>
          <cell r="AS86">
            <v>550</v>
          </cell>
          <cell r="AT86">
            <v>640</v>
          </cell>
          <cell r="AU86">
            <v>720</v>
          </cell>
          <cell r="AV86">
            <v>660</v>
          </cell>
          <cell r="AW86">
            <v>650</v>
          </cell>
          <cell r="AX86">
            <v>690</v>
          </cell>
          <cell r="AY86">
            <v>790</v>
          </cell>
          <cell r="AZ86">
            <v>900</v>
          </cell>
          <cell r="BA86">
            <v>1010</v>
          </cell>
          <cell r="BB86">
            <v>1160</v>
          </cell>
          <cell r="BC86">
            <v>1130</v>
          </cell>
          <cell r="BD86">
            <v>1240</v>
          </cell>
          <cell r="BE86">
            <v>1300</v>
          </cell>
          <cell r="BF86">
            <v>1390</v>
          </cell>
          <cell r="BG86">
            <v>1430</v>
          </cell>
          <cell r="BH86">
            <v>1410</v>
          </cell>
          <cell r="BI86">
            <v>1360</v>
          </cell>
          <cell r="BJ86">
            <v>1340</v>
          </cell>
          <cell r="BK86">
            <v>1410</v>
          </cell>
          <cell r="BL86">
            <v>1390</v>
          </cell>
          <cell r="BM86">
            <v>1320</v>
          </cell>
          <cell r="BN86">
            <v>1320</v>
          </cell>
        </row>
        <row r="87">
          <cell r="B87" t="str">
            <v>HND</v>
          </cell>
          <cell r="C87" t="str">
            <v>GNI per capita, Atlas method (current US$)</v>
          </cell>
          <cell r="D87" t="str">
            <v>NY.GNP.PCAP.CD</v>
          </cell>
          <cell r="E87" t="str">
            <v>..</v>
          </cell>
          <cell r="F87" t="str">
            <v>..</v>
          </cell>
          <cell r="G87">
            <v>180</v>
          </cell>
          <cell r="H87">
            <v>180</v>
          </cell>
          <cell r="I87">
            <v>190</v>
          </cell>
          <cell r="J87">
            <v>210</v>
          </cell>
          <cell r="K87">
            <v>220</v>
          </cell>
          <cell r="L87">
            <v>230</v>
          </cell>
          <cell r="M87">
            <v>250</v>
          </cell>
          <cell r="N87">
            <v>250</v>
          </cell>
          <cell r="O87">
            <v>260</v>
          </cell>
          <cell r="P87">
            <v>270</v>
          </cell>
          <cell r="Q87">
            <v>280</v>
          </cell>
          <cell r="R87">
            <v>320</v>
          </cell>
          <cell r="S87">
            <v>360</v>
          </cell>
          <cell r="T87">
            <v>380</v>
          </cell>
          <cell r="U87">
            <v>410</v>
          </cell>
          <cell r="V87">
            <v>460</v>
          </cell>
          <cell r="W87">
            <v>610</v>
          </cell>
          <cell r="X87">
            <v>830</v>
          </cell>
          <cell r="Y87">
            <v>1090</v>
          </cell>
          <cell r="Z87">
            <v>1090</v>
          </cell>
          <cell r="AA87">
            <v>1020</v>
          </cell>
          <cell r="AB87">
            <v>1000</v>
          </cell>
          <cell r="AC87">
            <v>1080</v>
          </cell>
          <cell r="AD87">
            <v>1160</v>
          </cell>
          <cell r="AE87">
            <v>1260</v>
          </cell>
          <cell r="AF87">
            <v>1410</v>
          </cell>
          <cell r="AG87">
            <v>1410</v>
          </cell>
          <cell r="AH87">
            <v>1270</v>
          </cell>
          <cell r="AI87">
            <v>1110</v>
          </cell>
          <cell r="AJ87">
            <v>940</v>
          </cell>
          <cell r="AK87">
            <v>930</v>
          </cell>
          <cell r="AL87">
            <v>950</v>
          </cell>
          <cell r="AM87">
            <v>880</v>
          </cell>
          <cell r="AN87">
            <v>900</v>
          </cell>
          <cell r="AO87">
            <v>870</v>
          </cell>
          <cell r="AP87">
            <v>910</v>
          </cell>
          <cell r="AQ87">
            <v>910</v>
          </cell>
          <cell r="AR87">
            <v>930</v>
          </cell>
          <cell r="AS87">
            <v>1020</v>
          </cell>
          <cell r="AT87">
            <v>1040</v>
          </cell>
          <cell r="AU87">
            <v>1060</v>
          </cell>
          <cell r="AV87">
            <v>1120</v>
          </cell>
          <cell r="AW87">
            <v>1200</v>
          </cell>
          <cell r="AX87">
            <v>1280</v>
          </cell>
          <cell r="AY87">
            <v>1350</v>
          </cell>
          <cell r="AZ87">
            <v>1480</v>
          </cell>
          <cell r="BA87">
            <v>1620</v>
          </cell>
          <cell r="BB87">
            <v>1660</v>
          </cell>
          <cell r="BC87">
            <v>1730</v>
          </cell>
          <cell r="BD87">
            <v>1860</v>
          </cell>
          <cell r="BE87">
            <v>1950</v>
          </cell>
          <cell r="BF87">
            <v>2000</v>
          </cell>
          <cell r="BG87">
            <v>1990</v>
          </cell>
          <cell r="BH87">
            <v>2040</v>
          </cell>
          <cell r="BI87">
            <v>2110</v>
          </cell>
          <cell r="BJ87">
            <v>2230</v>
          </cell>
          <cell r="BK87">
            <v>2310</v>
          </cell>
          <cell r="BL87">
            <v>2380</v>
          </cell>
          <cell r="BM87">
            <v>2180</v>
          </cell>
          <cell r="BN87">
            <v>2180</v>
          </cell>
        </row>
        <row r="88">
          <cell r="B88" t="str">
            <v>HKG</v>
          </cell>
          <cell r="C88" t="str">
            <v>GNI per capita, Atlas method (current US$)</v>
          </cell>
          <cell r="D88" t="str">
            <v>NY.GNP.PCAP.CD</v>
          </cell>
          <cell r="E88" t="str">
            <v>..</v>
          </cell>
          <cell r="F88" t="str">
            <v>..</v>
          </cell>
          <cell r="G88" t="str">
            <v>..</v>
          </cell>
          <cell r="H88">
            <v>570</v>
          </cell>
          <cell r="I88">
            <v>630</v>
          </cell>
          <cell r="J88">
            <v>700</v>
          </cell>
          <cell r="K88">
            <v>710</v>
          </cell>
          <cell r="L88">
            <v>710</v>
          </cell>
          <cell r="M88">
            <v>740</v>
          </cell>
          <cell r="N88">
            <v>840</v>
          </cell>
          <cell r="O88">
            <v>930</v>
          </cell>
          <cell r="P88">
            <v>1060</v>
          </cell>
          <cell r="Q88">
            <v>1300</v>
          </cell>
          <cell r="R88">
            <v>1750</v>
          </cell>
          <cell r="S88">
            <v>2150</v>
          </cell>
          <cell r="T88">
            <v>2450</v>
          </cell>
          <cell r="U88">
            <v>2900</v>
          </cell>
          <cell r="V88">
            <v>3340</v>
          </cell>
          <cell r="W88">
            <v>3930</v>
          </cell>
          <cell r="X88">
            <v>4700</v>
          </cell>
          <cell r="Y88">
            <v>5730</v>
          </cell>
          <cell r="Z88">
            <v>6360</v>
          </cell>
          <cell r="AA88">
            <v>6290</v>
          </cell>
          <cell r="AB88">
            <v>5890</v>
          </cell>
          <cell r="AC88">
            <v>6170</v>
          </cell>
          <cell r="AD88">
            <v>6090</v>
          </cell>
          <cell r="AE88">
            <v>7230</v>
          </cell>
          <cell r="AF88">
            <v>9080</v>
          </cell>
          <cell r="AG88">
            <v>10770</v>
          </cell>
          <cell r="AH88">
            <v>11550</v>
          </cell>
          <cell r="AI88">
            <v>12660</v>
          </cell>
          <cell r="AJ88">
            <v>14320</v>
          </cell>
          <cell r="AK88">
            <v>16560</v>
          </cell>
          <cell r="AL88">
            <v>19560</v>
          </cell>
          <cell r="AM88">
            <v>21820</v>
          </cell>
          <cell r="AN88">
            <v>23570</v>
          </cell>
          <cell r="AO88">
            <v>24140</v>
          </cell>
          <cell r="AP88">
            <v>26080</v>
          </cell>
          <cell r="AQ88">
            <v>25110</v>
          </cell>
          <cell r="AR88">
            <v>25800</v>
          </cell>
          <cell r="AS88">
            <v>26930</v>
          </cell>
          <cell r="AT88">
            <v>26350</v>
          </cell>
          <cell r="AU88">
            <v>25270</v>
          </cell>
          <cell r="AV88">
            <v>26340</v>
          </cell>
          <cell r="AW88">
            <v>28120</v>
          </cell>
          <cell r="AX88">
            <v>28890</v>
          </cell>
          <cell r="AY88">
            <v>30290</v>
          </cell>
          <cell r="AZ88">
            <v>32070</v>
          </cell>
          <cell r="BA88">
            <v>33950</v>
          </cell>
          <cell r="BB88">
            <v>32350</v>
          </cell>
          <cell r="BC88">
            <v>33620</v>
          </cell>
          <cell r="BD88">
            <v>35690</v>
          </cell>
          <cell r="BE88">
            <v>36340</v>
          </cell>
          <cell r="BF88">
            <v>38570</v>
          </cell>
          <cell r="BG88">
            <v>40240</v>
          </cell>
          <cell r="BH88">
            <v>41180</v>
          </cell>
          <cell r="BI88">
            <v>42970</v>
          </cell>
          <cell r="BJ88">
            <v>46390</v>
          </cell>
          <cell r="BK88">
            <v>50060</v>
          </cell>
          <cell r="BL88">
            <v>50480</v>
          </cell>
          <cell r="BM88">
            <v>48630</v>
          </cell>
          <cell r="BN88">
            <v>48630</v>
          </cell>
        </row>
        <row r="89">
          <cell r="B89" t="str">
            <v>HUN</v>
          </cell>
          <cell r="C89" t="str">
            <v>GNI per capita, Atlas method (current US$)</v>
          </cell>
          <cell r="D89" t="str">
            <v>NY.GNP.PCAP.CD</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v>3660</v>
          </cell>
          <cell r="AM89">
            <v>4030</v>
          </cell>
          <cell r="AN89">
            <v>4250</v>
          </cell>
          <cell r="AO89">
            <v>4370</v>
          </cell>
          <cell r="AP89">
            <v>4400</v>
          </cell>
          <cell r="AQ89">
            <v>4410</v>
          </cell>
          <cell r="AR89">
            <v>4490</v>
          </cell>
          <cell r="AS89">
            <v>4620</v>
          </cell>
          <cell r="AT89">
            <v>4790</v>
          </cell>
          <cell r="AU89">
            <v>5290</v>
          </cell>
          <cell r="AV89">
            <v>6630</v>
          </cell>
          <cell r="AW89">
            <v>8650</v>
          </cell>
          <cell r="AX89">
            <v>10390</v>
          </cell>
          <cell r="AY89">
            <v>11250</v>
          </cell>
          <cell r="AZ89">
            <v>11770</v>
          </cell>
          <cell r="BA89">
            <v>13250</v>
          </cell>
          <cell r="BB89">
            <v>13420</v>
          </cell>
          <cell r="BC89">
            <v>13270</v>
          </cell>
          <cell r="BD89">
            <v>13260</v>
          </cell>
          <cell r="BE89">
            <v>13090</v>
          </cell>
          <cell r="BF89">
            <v>13520</v>
          </cell>
          <cell r="BG89">
            <v>13560</v>
          </cell>
          <cell r="BH89">
            <v>13230</v>
          </cell>
          <cell r="BI89">
            <v>13100</v>
          </cell>
          <cell r="BJ89">
            <v>13190</v>
          </cell>
          <cell r="BK89">
            <v>14980</v>
          </cell>
          <cell r="BL89">
            <v>16520</v>
          </cell>
          <cell r="BM89">
            <v>15890</v>
          </cell>
          <cell r="BN89">
            <v>15890</v>
          </cell>
        </row>
        <row r="90">
          <cell r="B90" t="str">
            <v>ISL</v>
          </cell>
          <cell r="C90" t="str">
            <v>GNI per capita, Atlas method (current US$)</v>
          </cell>
          <cell r="D90" t="str">
            <v>NY.GNP.PCAP.CD</v>
          </cell>
          <cell r="E90" t="str">
            <v>..</v>
          </cell>
          <cell r="F90" t="str">
            <v>..</v>
          </cell>
          <cell r="G90">
            <v>1540</v>
          </cell>
          <cell r="H90">
            <v>1740</v>
          </cell>
          <cell r="I90">
            <v>2050</v>
          </cell>
          <cell r="J90">
            <v>2440</v>
          </cell>
          <cell r="K90">
            <v>2980</v>
          </cell>
          <cell r="L90">
            <v>3110</v>
          </cell>
          <cell r="M90">
            <v>2790</v>
          </cell>
          <cell r="N90">
            <v>2490</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v>28480</v>
          </cell>
          <cell r="AQ90">
            <v>29270</v>
          </cell>
          <cell r="AR90">
            <v>30400</v>
          </cell>
          <cell r="AS90">
            <v>31540</v>
          </cell>
          <cell r="AT90">
            <v>30700</v>
          </cell>
          <cell r="AU90">
            <v>30930</v>
          </cell>
          <cell r="AV90">
            <v>33710</v>
          </cell>
          <cell r="AW90">
            <v>42020</v>
          </cell>
          <cell r="AX90">
            <v>50520</v>
          </cell>
          <cell r="AY90">
            <v>53450</v>
          </cell>
          <cell r="AZ90">
            <v>61880</v>
          </cell>
          <cell r="BA90">
            <v>50060</v>
          </cell>
          <cell r="BB90">
            <v>41860</v>
          </cell>
          <cell r="BC90">
            <v>36270</v>
          </cell>
          <cell r="BD90">
            <v>37610</v>
          </cell>
          <cell r="BE90">
            <v>40690</v>
          </cell>
          <cell r="BF90">
            <v>46960</v>
          </cell>
          <cell r="BG90">
            <v>48090</v>
          </cell>
          <cell r="BH90">
            <v>49940</v>
          </cell>
          <cell r="BI90">
            <v>54910</v>
          </cell>
          <cell r="BJ90">
            <v>60230</v>
          </cell>
          <cell r="BK90">
            <v>67760</v>
          </cell>
          <cell r="BL90">
            <v>72900</v>
          </cell>
          <cell r="BM90">
            <v>62420</v>
          </cell>
          <cell r="BN90">
            <v>62420</v>
          </cell>
        </row>
        <row r="91">
          <cell r="B91" t="str">
            <v>IND</v>
          </cell>
          <cell r="C91" t="str">
            <v>GNI per capita, Atlas method (current US$)</v>
          </cell>
          <cell r="D91" t="str">
            <v>NY.GNP.PCAP.CD</v>
          </cell>
          <cell r="E91" t="str">
            <v>..</v>
          </cell>
          <cell r="F91" t="str">
            <v>..</v>
          </cell>
          <cell r="G91">
            <v>90</v>
          </cell>
          <cell r="H91">
            <v>100</v>
          </cell>
          <cell r="I91">
            <v>110</v>
          </cell>
          <cell r="J91">
            <v>110</v>
          </cell>
          <cell r="K91">
            <v>110</v>
          </cell>
          <cell r="L91">
            <v>110</v>
          </cell>
          <cell r="M91">
            <v>100</v>
          </cell>
          <cell r="N91">
            <v>110</v>
          </cell>
          <cell r="O91">
            <v>120</v>
          </cell>
          <cell r="P91">
            <v>120</v>
          </cell>
          <cell r="Q91">
            <v>120</v>
          </cell>
          <cell r="R91">
            <v>140</v>
          </cell>
          <cell r="S91">
            <v>170</v>
          </cell>
          <cell r="T91">
            <v>190</v>
          </cell>
          <cell r="U91">
            <v>180</v>
          </cell>
          <cell r="V91">
            <v>190</v>
          </cell>
          <cell r="W91">
            <v>210</v>
          </cell>
          <cell r="X91">
            <v>220</v>
          </cell>
          <cell r="Y91">
            <v>270</v>
          </cell>
          <cell r="Z91">
            <v>290</v>
          </cell>
          <cell r="AA91">
            <v>290</v>
          </cell>
          <cell r="AB91">
            <v>280</v>
          </cell>
          <cell r="AC91">
            <v>280</v>
          </cell>
          <cell r="AD91">
            <v>290</v>
          </cell>
          <cell r="AE91">
            <v>310</v>
          </cell>
          <cell r="AF91">
            <v>350</v>
          </cell>
          <cell r="AG91">
            <v>390</v>
          </cell>
          <cell r="AH91">
            <v>390</v>
          </cell>
          <cell r="AI91">
            <v>380</v>
          </cell>
          <cell r="AJ91">
            <v>350</v>
          </cell>
          <cell r="AK91">
            <v>340</v>
          </cell>
          <cell r="AL91">
            <v>320</v>
          </cell>
          <cell r="AM91">
            <v>340</v>
          </cell>
          <cell r="AN91">
            <v>370</v>
          </cell>
          <cell r="AO91">
            <v>400</v>
          </cell>
          <cell r="AP91">
            <v>410</v>
          </cell>
          <cell r="AQ91">
            <v>410</v>
          </cell>
          <cell r="AR91">
            <v>440</v>
          </cell>
          <cell r="AS91">
            <v>440</v>
          </cell>
          <cell r="AT91">
            <v>450</v>
          </cell>
          <cell r="AU91">
            <v>460</v>
          </cell>
          <cell r="AV91">
            <v>520</v>
          </cell>
          <cell r="AW91">
            <v>610</v>
          </cell>
          <cell r="AX91">
            <v>710</v>
          </cell>
          <cell r="AY91">
            <v>790</v>
          </cell>
          <cell r="AZ91">
            <v>910</v>
          </cell>
          <cell r="BA91">
            <v>1000</v>
          </cell>
          <cell r="BB91">
            <v>1120</v>
          </cell>
          <cell r="BC91">
            <v>1220</v>
          </cell>
          <cell r="BD91">
            <v>1360</v>
          </cell>
          <cell r="BE91">
            <v>1480</v>
          </cell>
          <cell r="BF91">
            <v>1520</v>
          </cell>
          <cell r="BG91">
            <v>1560</v>
          </cell>
          <cell r="BH91">
            <v>1600</v>
          </cell>
          <cell r="BI91">
            <v>1680</v>
          </cell>
          <cell r="BJ91">
            <v>1820</v>
          </cell>
          <cell r="BK91">
            <v>2010</v>
          </cell>
          <cell r="BL91">
            <v>2120</v>
          </cell>
          <cell r="BM91">
            <v>1920</v>
          </cell>
          <cell r="BN91">
            <v>1920</v>
          </cell>
        </row>
        <row r="92">
          <cell r="B92" t="str">
            <v>IDN</v>
          </cell>
          <cell r="C92" t="str">
            <v>GNI per capita, Atlas method (current US$)</v>
          </cell>
          <cell r="D92" t="str">
            <v>NY.GNP.PCAP.CD</v>
          </cell>
          <cell r="E92" t="str">
            <v>..</v>
          </cell>
          <cell r="F92" t="str">
            <v>..</v>
          </cell>
          <cell r="G92" t="str">
            <v>..</v>
          </cell>
          <cell r="H92" t="str">
            <v>..</v>
          </cell>
          <cell r="I92" t="str">
            <v>..</v>
          </cell>
          <cell r="J92" t="str">
            <v>..</v>
          </cell>
          <cell r="K92" t="str">
            <v>..</v>
          </cell>
          <cell r="L92" t="str">
            <v>..</v>
          </cell>
          <cell r="M92" t="str">
            <v>..</v>
          </cell>
          <cell r="N92">
            <v>70</v>
          </cell>
          <cell r="O92">
            <v>80</v>
          </cell>
          <cell r="P92">
            <v>80</v>
          </cell>
          <cell r="Q92">
            <v>90</v>
          </cell>
          <cell r="R92">
            <v>110</v>
          </cell>
          <cell r="S92">
            <v>160</v>
          </cell>
          <cell r="T92">
            <v>220</v>
          </cell>
          <cell r="U92">
            <v>270</v>
          </cell>
          <cell r="V92">
            <v>300</v>
          </cell>
          <cell r="W92">
            <v>360</v>
          </cell>
          <cell r="X92">
            <v>400</v>
          </cell>
          <cell r="Y92">
            <v>470</v>
          </cell>
          <cell r="Z92">
            <v>530</v>
          </cell>
          <cell r="AA92">
            <v>560</v>
          </cell>
          <cell r="AB92">
            <v>530</v>
          </cell>
          <cell r="AC92">
            <v>520</v>
          </cell>
          <cell r="AD92">
            <v>500</v>
          </cell>
          <cell r="AE92">
            <v>520</v>
          </cell>
          <cell r="AF92">
            <v>510</v>
          </cell>
          <cell r="AG92">
            <v>510</v>
          </cell>
          <cell r="AH92">
            <v>530</v>
          </cell>
          <cell r="AI92">
            <v>560</v>
          </cell>
          <cell r="AJ92">
            <v>610</v>
          </cell>
          <cell r="AK92">
            <v>660</v>
          </cell>
          <cell r="AL92">
            <v>740</v>
          </cell>
          <cell r="AM92">
            <v>850</v>
          </cell>
          <cell r="AN92">
            <v>990</v>
          </cell>
          <cell r="AO92">
            <v>1090</v>
          </cell>
          <cell r="AP92">
            <v>1100</v>
          </cell>
          <cell r="AQ92">
            <v>660</v>
          </cell>
          <cell r="AR92">
            <v>570</v>
          </cell>
          <cell r="AS92">
            <v>580</v>
          </cell>
          <cell r="AT92">
            <v>720</v>
          </cell>
          <cell r="AU92">
            <v>790</v>
          </cell>
          <cell r="AV92">
            <v>900</v>
          </cell>
          <cell r="AW92">
            <v>1080</v>
          </cell>
          <cell r="AX92">
            <v>1220</v>
          </cell>
          <cell r="AY92">
            <v>1380</v>
          </cell>
          <cell r="AZ92">
            <v>1600</v>
          </cell>
          <cell r="BA92">
            <v>1940</v>
          </cell>
          <cell r="BB92">
            <v>2150</v>
          </cell>
          <cell r="BC92">
            <v>2530</v>
          </cell>
          <cell r="BD92">
            <v>3010</v>
          </cell>
          <cell r="BE92">
            <v>3580</v>
          </cell>
          <cell r="BF92">
            <v>3730</v>
          </cell>
          <cell r="BG92">
            <v>3620</v>
          </cell>
          <cell r="BH92">
            <v>3430</v>
          </cell>
          <cell r="BI92">
            <v>3400</v>
          </cell>
          <cell r="BJ92">
            <v>3530</v>
          </cell>
          <cell r="BK92">
            <v>3840</v>
          </cell>
          <cell r="BL92">
            <v>4050</v>
          </cell>
          <cell r="BM92">
            <v>3870</v>
          </cell>
          <cell r="BN92">
            <v>3870</v>
          </cell>
        </row>
        <row r="93">
          <cell r="B93" t="str">
            <v>IRN</v>
          </cell>
          <cell r="C93" t="str">
            <v>GNI per capita, Atlas method (current US$)</v>
          </cell>
          <cell r="D93" t="str">
            <v>NY.GNP.PCAP.CD</v>
          </cell>
          <cell r="E93" t="str">
            <v>..</v>
          </cell>
          <cell r="F93" t="str">
            <v>..</v>
          </cell>
          <cell r="G93">
            <v>210</v>
          </cell>
          <cell r="H93">
            <v>210</v>
          </cell>
          <cell r="I93">
            <v>220</v>
          </cell>
          <cell r="J93">
            <v>250</v>
          </cell>
          <cell r="K93">
            <v>270</v>
          </cell>
          <cell r="L93">
            <v>290</v>
          </cell>
          <cell r="M93">
            <v>320</v>
          </cell>
          <cell r="N93">
            <v>360</v>
          </cell>
          <cell r="O93">
            <v>390</v>
          </cell>
          <cell r="P93">
            <v>450</v>
          </cell>
          <cell r="Q93">
            <v>540</v>
          </cell>
          <cell r="R93">
            <v>730</v>
          </cell>
          <cell r="S93">
            <v>1090</v>
          </cell>
          <cell r="T93">
            <v>1460</v>
          </cell>
          <cell r="U93">
            <v>1980</v>
          </cell>
          <cell r="V93">
            <v>2060</v>
          </cell>
          <cell r="W93">
            <v>2000</v>
          </cell>
          <cell r="X93">
            <v>2240</v>
          </cell>
          <cell r="Y93">
            <v>2050</v>
          </cell>
          <cell r="Z93">
            <v>2320</v>
          </cell>
          <cell r="AA93">
            <v>3070</v>
          </cell>
          <cell r="AB93">
            <v>3260</v>
          </cell>
          <cell r="AC93">
            <v>3070</v>
          </cell>
          <cell r="AD93">
            <v>3420</v>
          </cell>
          <cell r="AE93">
            <v>3600</v>
          </cell>
          <cell r="AF93">
            <v>3470</v>
          </cell>
          <cell r="AG93">
            <v>2970</v>
          </cell>
          <cell r="AH93">
            <v>2530</v>
          </cell>
          <cell r="AI93">
            <v>2540</v>
          </cell>
          <cell r="AJ93" t="str">
            <v>..</v>
          </cell>
          <cell r="AK93" t="str">
            <v>..</v>
          </cell>
          <cell r="AL93" t="str">
            <v>..</v>
          </cell>
          <cell r="AM93" t="str">
            <v>..</v>
          </cell>
          <cell r="AN93">
            <v>1290</v>
          </cell>
          <cell r="AO93">
            <v>1600</v>
          </cell>
          <cell r="AP93">
            <v>1790</v>
          </cell>
          <cell r="AQ93">
            <v>1780</v>
          </cell>
          <cell r="AR93">
            <v>1740</v>
          </cell>
          <cell r="AS93">
            <v>1760</v>
          </cell>
          <cell r="AT93">
            <v>1790</v>
          </cell>
          <cell r="AU93">
            <v>1880</v>
          </cell>
          <cell r="AV93">
            <v>2200</v>
          </cell>
          <cell r="AW93">
            <v>2520</v>
          </cell>
          <cell r="AX93">
            <v>2960</v>
          </cell>
          <cell r="AY93">
            <v>3480</v>
          </cell>
          <cell r="AZ93">
            <v>4270</v>
          </cell>
          <cell r="BA93">
            <v>4970</v>
          </cell>
          <cell r="BB93">
            <v>5560</v>
          </cell>
          <cell r="BC93">
            <v>6250</v>
          </cell>
          <cell r="BD93">
            <v>6870</v>
          </cell>
          <cell r="BE93">
            <v>7130</v>
          </cell>
          <cell r="BF93">
            <v>6990</v>
          </cell>
          <cell r="BG93">
            <v>6500</v>
          </cell>
          <cell r="BH93">
            <v>5370</v>
          </cell>
          <cell r="BI93">
            <v>5500</v>
          </cell>
          <cell r="BJ93">
            <v>5420</v>
          </cell>
          <cell r="BK93">
            <v>4530</v>
          </cell>
          <cell r="BL93">
            <v>3640</v>
          </cell>
          <cell r="BM93">
            <v>2960</v>
          </cell>
          <cell r="BN93">
            <v>2960</v>
          </cell>
        </row>
        <row r="94">
          <cell r="B94" t="str">
            <v>IRQ</v>
          </cell>
          <cell r="C94" t="str">
            <v>GNI per capita, Atlas method (current US$)</v>
          </cell>
          <cell r="D94" t="str">
            <v>NY.GNP.PCAP.CD</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v>3910</v>
          </cell>
          <cell r="Z94">
            <v>3420</v>
          </cell>
          <cell r="AA94">
            <v>3010</v>
          </cell>
          <cell r="AB94">
            <v>2350</v>
          </cell>
          <cell r="AC94">
            <v>2540</v>
          </cell>
          <cell r="AD94">
            <v>2760</v>
          </cell>
          <cell r="AE94">
            <v>3060</v>
          </cell>
          <cell r="AF94">
            <v>3540</v>
          </cell>
          <cell r="AG94">
            <v>3730</v>
          </cell>
          <cell r="AH94">
            <v>3730</v>
          </cell>
          <cell r="AI94">
            <v>7070</v>
          </cell>
          <cell r="AJ94">
            <v>70</v>
          </cell>
          <cell r="AK94">
            <v>50</v>
          </cell>
          <cell r="AL94">
            <v>40</v>
          </cell>
          <cell r="AM94">
            <v>60</v>
          </cell>
          <cell r="AN94">
            <v>130</v>
          </cell>
          <cell r="AO94">
            <v>390</v>
          </cell>
          <cell r="AP94">
            <v>750</v>
          </cell>
          <cell r="AQ94">
            <v>920</v>
          </cell>
          <cell r="AR94">
            <v>1290</v>
          </cell>
          <cell r="AS94">
            <v>1600</v>
          </cell>
          <cell r="AT94">
            <v>1730</v>
          </cell>
          <cell r="AU94">
            <v>1420</v>
          </cell>
          <cell r="AV94">
            <v>850</v>
          </cell>
          <cell r="AW94">
            <v>1370</v>
          </cell>
          <cell r="AX94">
            <v>1430</v>
          </cell>
          <cell r="AY94">
            <v>1820</v>
          </cell>
          <cell r="AZ94">
            <v>2400</v>
          </cell>
          <cell r="BA94">
            <v>3550</v>
          </cell>
          <cell r="BB94">
            <v>4160</v>
          </cell>
          <cell r="BC94">
            <v>4580</v>
          </cell>
          <cell r="BD94">
            <v>4960</v>
          </cell>
          <cell r="BE94">
            <v>6310</v>
          </cell>
          <cell r="BF94">
            <v>7050</v>
          </cell>
          <cell r="BG94">
            <v>6750</v>
          </cell>
          <cell r="BH94">
            <v>5800</v>
          </cell>
          <cell r="BI94">
            <v>5340</v>
          </cell>
          <cell r="BJ94">
            <v>4640</v>
          </cell>
          <cell r="BK94">
            <v>5040</v>
          </cell>
          <cell r="BL94">
            <v>5810</v>
          </cell>
          <cell r="BM94">
            <v>4680</v>
          </cell>
          <cell r="BN94">
            <v>4680</v>
          </cell>
        </row>
        <row r="95">
          <cell r="B95" t="str">
            <v>IRL</v>
          </cell>
          <cell r="C95" t="str">
            <v>GNI per capita, Atlas method (current US$)</v>
          </cell>
          <cell r="D95" t="str">
            <v>NY.GNP.PCAP.CD</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v>2070</v>
          </cell>
          <cell r="R95">
            <v>2540</v>
          </cell>
          <cell r="S95">
            <v>2990</v>
          </cell>
          <cell r="T95">
            <v>3390</v>
          </cell>
          <cell r="U95">
            <v>3280</v>
          </cell>
          <cell r="V95">
            <v>3580</v>
          </cell>
          <cell r="W95">
            <v>4120</v>
          </cell>
          <cell r="X95">
            <v>5120</v>
          </cell>
          <cell r="Y95">
            <v>6380</v>
          </cell>
          <cell r="Z95">
            <v>6780</v>
          </cell>
          <cell r="AA95">
            <v>6390</v>
          </cell>
          <cell r="AB95">
            <v>5720</v>
          </cell>
          <cell r="AC95">
            <v>5610</v>
          </cell>
          <cell r="AD95">
            <v>5630</v>
          </cell>
          <cell r="AE95">
            <v>6370</v>
          </cell>
          <cell r="AF95">
            <v>8220</v>
          </cell>
          <cell r="AG95">
            <v>10420</v>
          </cell>
          <cell r="AH95">
            <v>11100</v>
          </cell>
          <cell r="AI95">
            <v>12560</v>
          </cell>
          <cell r="AJ95">
            <v>13130</v>
          </cell>
          <cell r="AK95">
            <v>14440</v>
          </cell>
          <cell r="AL95">
            <v>14600</v>
          </cell>
          <cell r="AM95">
            <v>15480</v>
          </cell>
          <cell r="AN95">
            <v>16920</v>
          </cell>
          <cell r="AO95">
            <v>18880</v>
          </cell>
          <cell r="AP95">
            <v>20650</v>
          </cell>
          <cell r="AQ95">
            <v>21430</v>
          </cell>
          <cell r="AR95">
            <v>22690</v>
          </cell>
          <cell r="AS95">
            <v>24110</v>
          </cell>
          <cell r="AT95">
            <v>24050</v>
          </cell>
          <cell r="AU95">
            <v>24850</v>
          </cell>
          <cell r="AV95">
            <v>29910</v>
          </cell>
          <cell r="AW95">
            <v>37720</v>
          </cell>
          <cell r="AX95">
            <v>44570</v>
          </cell>
          <cell r="AY95">
            <v>47900</v>
          </cell>
          <cell r="AZ95">
            <v>50490</v>
          </cell>
          <cell r="BA95">
            <v>50830</v>
          </cell>
          <cell r="BB95">
            <v>46660</v>
          </cell>
          <cell r="BC95">
            <v>44720</v>
          </cell>
          <cell r="BD95">
            <v>42130</v>
          </cell>
          <cell r="BE95">
            <v>40700</v>
          </cell>
          <cell r="BF95">
            <v>43490</v>
          </cell>
          <cell r="BG95">
            <v>46380</v>
          </cell>
          <cell r="BH95">
            <v>50360</v>
          </cell>
          <cell r="BI95">
            <v>51770</v>
          </cell>
          <cell r="BJ95">
            <v>53280</v>
          </cell>
          <cell r="BK95">
            <v>59280</v>
          </cell>
          <cell r="BL95">
            <v>63230</v>
          </cell>
          <cell r="BM95">
            <v>65620</v>
          </cell>
          <cell r="BN95">
            <v>65620</v>
          </cell>
        </row>
        <row r="96">
          <cell r="B96" t="str">
            <v>IMN</v>
          </cell>
          <cell r="C96" t="str">
            <v>GNI per capita, Atlas method (current US$)</v>
          </cell>
          <cell r="D96" t="str">
            <v>NY.GNP.PCAP.CD</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v>17050</v>
          </cell>
          <cell r="AQ96">
            <v>18800</v>
          </cell>
          <cell r="AR96">
            <v>21310</v>
          </cell>
          <cell r="AS96">
            <v>21880</v>
          </cell>
          <cell r="AT96">
            <v>22480</v>
          </cell>
          <cell r="AU96">
            <v>23780</v>
          </cell>
          <cell r="AV96">
            <v>27790</v>
          </cell>
          <cell r="AW96">
            <v>34170</v>
          </cell>
          <cell r="AX96">
            <v>39600</v>
          </cell>
          <cell r="AY96">
            <v>44420</v>
          </cell>
          <cell r="AZ96">
            <v>47220</v>
          </cell>
          <cell r="BA96">
            <v>42870</v>
          </cell>
          <cell r="BB96">
            <v>45990</v>
          </cell>
          <cell r="BC96">
            <v>71570</v>
          </cell>
          <cell r="BD96">
            <v>74390</v>
          </cell>
          <cell r="BE96">
            <v>82210</v>
          </cell>
          <cell r="BF96">
            <v>87840</v>
          </cell>
          <cell r="BG96">
            <v>89000</v>
          </cell>
          <cell r="BH96">
            <v>83990</v>
          </cell>
          <cell r="BI96">
            <v>78860</v>
          </cell>
          <cell r="BJ96">
            <v>78810</v>
          </cell>
          <cell r="BK96">
            <v>83660</v>
          </cell>
          <cell r="BL96">
            <v>83920</v>
          </cell>
          <cell r="BM96" t="str">
            <v>..</v>
          </cell>
          <cell r="BN96">
            <v>83920</v>
          </cell>
        </row>
        <row r="97">
          <cell r="B97" t="str">
            <v>ISR</v>
          </cell>
          <cell r="C97" t="str">
            <v>GNI per capita, Atlas method (current US$)</v>
          </cell>
          <cell r="D97" t="str">
            <v>NY.GNP.PCAP.CD</v>
          </cell>
          <cell r="E97" t="str">
            <v>..</v>
          </cell>
          <cell r="F97" t="str">
            <v>..</v>
          </cell>
          <cell r="G97">
            <v>1320</v>
          </cell>
          <cell r="H97">
            <v>1330</v>
          </cell>
          <cell r="I97">
            <v>1310</v>
          </cell>
          <cell r="J97">
            <v>1440</v>
          </cell>
          <cell r="K97">
            <v>1470</v>
          </cell>
          <cell r="L97">
            <v>1480</v>
          </cell>
          <cell r="M97">
            <v>1730</v>
          </cell>
          <cell r="N97">
            <v>1910</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v>18960</v>
          </cell>
          <cell r="AQ97">
            <v>18770</v>
          </cell>
          <cell r="AR97">
            <v>18480</v>
          </cell>
          <cell r="AS97">
            <v>19360</v>
          </cell>
          <cell r="AT97">
            <v>19310</v>
          </cell>
          <cell r="AU97">
            <v>18540</v>
          </cell>
          <cell r="AV97">
            <v>18650</v>
          </cell>
          <cell r="AW97">
            <v>20010</v>
          </cell>
          <cell r="AX97">
            <v>21500</v>
          </cell>
          <cell r="AY97">
            <v>22370</v>
          </cell>
          <cell r="AZ97">
            <v>24040</v>
          </cell>
          <cell r="BA97">
            <v>26270</v>
          </cell>
          <cell r="BB97">
            <v>27400</v>
          </cell>
          <cell r="BC97">
            <v>29770</v>
          </cell>
          <cell r="BD97">
            <v>31760</v>
          </cell>
          <cell r="BE97">
            <v>32540</v>
          </cell>
          <cell r="BF97">
            <v>34670</v>
          </cell>
          <cell r="BG97">
            <v>36300</v>
          </cell>
          <cell r="BH97">
            <v>36200</v>
          </cell>
          <cell r="BI97">
            <v>36540</v>
          </cell>
          <cell r="BJ97">
            <v>37970</v>
          </cell>
          <cell r="BK97">
            <v>41320</v>
          </cell>
          <cell r="BL97">
            <v>43540</v>
          </cell>
          <cell r="BM97">
            <v>42600</v>
          </cell>
          <cell r="BN97">
            <v>42600</v>
          </cell>
        </row>
        <row r="98">
          <cell r="B98" t="str">
            <v>ITA</v>
          </cell>
          <cell r="C98" t="str">
            <v>GNI per capita, Atlas method (current US$)</v>
          </cell>
          <cell r="D98" t="str">
            <v>NY.GNP.PCAP.CD</v>
          </cell>
          <cell r="E98" t="str">
            <v>..</v>
          </cell>
          <cell r="F98" t="str">
            <v>..</v>
          </cell>
          <cell r="G98">
            <v>960</v>
          </cell>
          <cell r="H98">
            <v>1060</v>
          </cell>
          <cell r="I98">
            <v>1160</v>
          </cell>
          <cell r="J98">
            <v>1280</v>
          </cell>
          <cell r="K98">
            <v>1410</v>
          </cell>
          <cell r="L98">
            <v>1550</v>
          </cell>
          <cell r="M98">
            <v>1700</v>
          </cell>
          <cell r="N98">
            <v>1850</v>
          </cell>
          <cell r="O98">
            <v>2060</v>
          </cell>
          <cell r="P98">
            <v>2250</v>
          </cell>
          <cell r="Q98">
            <v>2620</v>
          </cell>
          <cell r="R98">
            <v>3250</v>
          </cell>
          <cell r="S98">
            <v>3930</v>
          </cell>
          <cell r="T98">
            <v>4320</v>
          </cell>
          <cell r="U98">
            <v>4510</v>
          </cell>
          <cell r="V98">
            <v>4730</v>
          </cell>
          <cell r="W98">
            <v>5270</v>
          </cell>
          <cell r="X98">
            <v>6740</v>
          </cell>
          <cell r="Y98">
            <v>8430</v>
          </cell>
          <cell r="Z98">
            <v>8710</v>
          </cell>
          <cell r="AA98">
            <v>8220</v>
          </cell>
          <cell r="AB98">
            <v>7630</v>
          </cell>
          <cell r="AC98">
            <v>7760</v>
          </cell>
          <cell r="AD98">
            <v>8030</v>
          </cell>
          <cell r="AE98">
            <v>9380</v>
          </cell>
          <cell r="AF98">
            <v>12160</v>
          </cell>
          <cell r="AG98">
            <v>15950</v>
          </cell>
          <cell r="AH98">
            <v>17300</v>
          </cell>
          <cell r="AI98">
            <v>18660</v>
          </cell>
          <cell r="AJ98">
            <v>20370</v>
          </cell>
          <cell r="AK98">
            <v>22960</v>
          </cell>
          <cell r="AL98">
            <v>21590</v>
          </cell>
          <cell r="AM98">
            <v>20860</v>
          </cell>
          <cell r="AN98">
            <v>20670</v>
          </cell>
          <cell r="AO98">
            <v>21830</v>
          </cell>
          <cell r="AP98">
            <v>22300</v>
          </cell>
          <cell r="AQ98">
            <v>22220</v>
          </cell>
          <cell r="AR98">
            <v>21990</v>
          </cell>
          <cell r="AS98">
            <v>21890</v>
          </cell>
          <cell r="AT98">
            <v>21170</v>
          </cell>
          <cell r="AU98">
            <v>20710</v>
          </cell>
          <cell r="AV98">
            <v>23350</v>
          </cell>
          <cell r="AW98">
            <v>28270</v>
          </cell>
          <cell r="AX98">
            <v>32430</v>
          </cell>
          <cell r="AY98">
            <v>34250</v>
          </cell>
          <cell r="AZ98">
            <v>35900</v>
          </cell>
          <cell r="BA98">
            <v>37910</v>
          </cell>
          <cell r="BB98">
            <v>37870</v>
          </cell>
          <cell r="BC98">
            <v>37850</v>
          </cell>
          <cell r="BD98">
            <v>37900</v>
          </cell>
          <cell r="BE98">
            <v>36200</v>
          </cell>
          <cell r="BF98">
            <v>35550</v>
          </cell>
          <cell r="BG98">
            <v>34890</v>
          </cell>
          <cell r="BH98">
            <v>32980</v>
          </cell>
          <cell r="BI98">
            <v>31950</v>
          </cell>
          <cell r="BJ98">
            <v>31340</v>
          </cell>
          <cell r="BK98">
            <v>33810</v>
          </cell>
          <cell r="BL98">
            <v>34870</v>
          </cell>
          <cell r="BM98">
            <v>32290</v>
          </cell>
          <cell r="BN98">
            <v>32290</v>
          </cell>
        </row>
        <row r="99">
          <cell r="B99" t="str">
            <v>JAM</v>
          </cell>
          <cell r="C99" t="str">
            <v>GNI per capita, Atlas method (current US$)</v>
          </cell>
          <cell r="D99" t="str">
            <v>NY.GNP.PCAP.CD</v>
          </cell>
          <cell r="E99" t="str">
            <v>..</v>
          </cell>
          <cell r="F99" t="str">
            <v>..</v>
          </cell>
          <cell r="G99" t="str">
            <v>..</v>
          </cell>
          <cell r="H99" t="str">
            <v>..</v>
          </cell>
          <cell r="I99" t="str">
            <v>..</v>
          </cell>
          <cell r="J99" t="str">
            <v>..</v>
          </cell>
          <cell r="K99" t="str">
            <v>..</v>
          </cell>
          <cell r="L99" t="str">
            <v>..</v>
          </cell>
          <cell r="M99">
            <v>620</v>
          </cell>
          <cell r="N99">
            <v>650</v>
          </cell>
          <cell r="O99">
            <v>720</v>
          </cell>
          <cell r="P99">
            <v>760</v>
          </cell>
          <cell r="Q99">
            <v>980</v>
          </cell>
          <cell r="R99">
            <v>1020</v>
          </cell>
          <cell r="S99">
            <v>1180</v>
          </cell>
          <cell r="T99">
            <v>1370</v>
          </cell>
          <cell r="U99">
            <v>1380</v>
          </cell>
          <cell r="V99">
            <v>1460</v>
          </cell>
          <cell r="W99">
            <v>1410</v>
          </cell>
          <cell r="X99">
            <v>1320</v>
          </cell>
          <cell r="Y99">
            <v>1220</v>
          </cell>
          <cell r="Z99">
            <v>1300</v>
          </cell>
          <cell r="AA99">
            <v>1350</v>
          </cell>
          <cell r="AB99">
            <v>1390</v>
          </cell>
          <cell r="AC99">
            <v>1130</v>
          </cell>
          <cell r="AD99">
            <v>920</v>
          </cell>
          <cell r="AE99">
            <v>950</v>
          </cell>
          <cell r="AF99">
            <v>1170</v>
          </cell>
          <cell r="AG99">
            <v>1480</v>
          </cell>
          <cell r="AH99">
            <v>1690</v>
          </cell>
          <cell r="AI99">
            <v>1770</v>
          </cell>
          <cell r="AJ99">
            <v>1730</v>
          </cell>
          <cell r="AK99">
            <v>1610</v>
          </cell>
          <cell r="AL99">
            <v>1840</v>
          </cell>
          <cell r="AM99">
            <v>1880</v>
          </cell>
          <cell r="AN99">
            <v>2290</v>
          </cell>
          <cell r="AO99">
            <v>2520</v>
          </cell>
          <cell r="AP99">
            <v>2770</v>
          </cell>
          <cell r="AQ99">
            <v>2890</v>
          </cell>
          <cell r="AR99">
            <v>3120</v>
          </cell>
          <cell r="AS99">
            <v>3240</v>
          </cell>
          <cell r="AT99">
            <v>3240</v>
          </cell>
          <cell r="AU99">
            <v>3260</v>
          </cell>
          <cell r="AV99">
            <v>3440</v>
          </cell>
          <cell r="AW99">
            <v>3650</v>
          </cell>
          <cell r="AX99">
            <v>3800</v>
          </cell>
          <cell r="AY99">
            <v>4080</v>
          </cell>
          <cell r="AZ99">
            <v>4320</v>
          </cell>
          <cell r="BA99">
            <v>4560</v>
          </cell>
          <cell r="BB99">
            <v>4330</v>
          </cell>
          <cell r="BC99">
            <v>4390</v>
          </cell>
          <cell r="BD99">
            <v>4590</v>
          </cell>
          <cell r="BE99">
            <v>4980</v>
          </cell>
          <cell r="BF99">
            <v>5010</v>
          </cell>
          <cell r="BG99">
            <v>4910</v>
          </cell>
          <cell r="BH99">
            <v>4700</v>
          </cell>
          <cell r="BI99">
            <v>4600</v>
          </cell>
          <cell r="BJ99">
            <v>4750</v>
          </cell>
          <cell r="BK99">
            <v>5010</v>
          </cell>
          <cell r="BL99">
            <v>5250</v>
          </cell>
          <cell r="BM99">
            <v>4670</v>
          </cell>
          <cell r="BN99">
            <v>4670</v>
          </cell>
        </row>
        <row r="100">
          <cell r="B100" t="str">
            <v>JPN</v>
          </cell>
          <cell r="C100" t="str">
            <v>GNI per capita, Atlas method (current US$)</v>
          </cell>
          <cell r="D100" t="str">
            <v>NY.GNP.PCAP.CD</v>
          </cell>
          <cell r="E100" t="str">
            <v>..</v>
          </cell>
          <cell r="F100" t="str">
            <v>..</v>
          </cell>
          <cell r="G100">
            <v>610</v>
          </cell>
          <cell r="H100">
            <v>700</v>
          </cell>
          <cell r="I100">
            <v>810</v>
          </cell>
          <cell r="J100">
            <v>900</v>
          </cell>
          <cell r="K100">
            <v>1040</v>
          </cell>
          <cell r="L100">
            <v>1210</v>
          </cell>
          <cell r="M100">
            <v>1430</v>
          </cell>
          <cell r="N100">
            <v>1680</v>
          </cell>
          <cell r="O100">
            <v>1880</v>
          </cell>
          <cell r="P100">
            <v>2140</v>
          </cell>
          <cell r="Q100">
            <v>2720</v>
          </cell>
          <cell r="R100">
            <v>3620</v>
          </cell>
          <cell r="S100">
            <v>4430</v>
          </cell>
          <cell r="T100">
            <v>5170</v>
          </cell>
          <cell r="U100">
            <v>5410</v>
          </cell>
          <cell r="V100">
            <v>5940</v>
          </cell>
          <cell r="W100">
            <v>7450</v>
          </cell>
          <cell r="X100">
            <v>9450</v>
          </cell>
          <cell r="Y100">
            <v>10850</v>
          </cell>
          <cell r="Z100">
            <v>11120</v>
          </cell>
          <cell r="AA100">
            <v>10550</v>
          </cell>
          <cell r="AB100">
            <v>10270</v>
          </cell>
          <cell r="AC100">
            <v>10520</v>
          </cell>
          <cell r="AD100">
            <v>11470</v>
          </cell>
          <cell r="AE100">
            <v>13860</v>
          </cell>
          <cell r="AF100">
            <v>18180</v>
          </cell>
          <cell r="AG100">
            <v>24920</v>
          </cell>
          <cell r="AH100">
            <v>27010</v>
          </cell>
          <cell r="AI100">
            <v>27820</v>
          </cell>
          <cell r="AJ100">
            <v>28580</v>
          </cell>
          <cell r="AK100">
            <v>30540</v>
          </cell>
          <cell r="AL100">
            <v>33350</v>
          </cell>
          <cell r="AM100">
            <v>37120</v>
          </cell>
          <cell r="AN100">
            <v>42550</v>
          </cell>
          <cell r="AO100">
            <v>43940</v>
          </cell>
          <cell r="AP100">
            <v>40760</v>
          </cell>
          <cell r="AQ100">
            <v>35010</v>
          </cell>
          <cell r="AR100">
            <v>34320</v>
          </cell>
          <cell r="AS100">
            <v>36810</v>
          </cell>
          <cell r="AT100">
            <v>37380</v>
          </cell>
          <cell r="AU100">
            <v>35360</v>
          </cell>
          <cell r="AV100">
            <v>35660</v>
          </cell>
          <cell r="AW100">
            <v>39000</v>
          </cell>
          <cell r="AX100">
            <v>41280</v>
          </cell>
          <cell r="AY100">
            <v>40590</v>
          </cell>
          <cell r="AZ100">
            <v>39310</v>
          </cell>
          <cell r="BA100">
            <v>39380</v>
          </cell>
          <cell r="BB100">
            <v>39230</v>
          </cell>
          <cell r="BC100">
            <v>43910</v>
          </cell>
          <cell r="BD100">
            <v>47470</v>
          </cell>
          <cell r="BE100">
            <v>50060</v>
          </cell>
          <cell r="BF100">
            <v>48850</v>
          </cell>
          <cell r="BG100">
            <v>44440</v>
          </cell>
          <cell r="BH100">
            <v>39380</v>
          </cell>
          <cell r="BI100">
            <v>38490</v>
          </cell>
          <cell r="BJ100">
            <v>38990</v>
          </cell>
          <cell r="BK100">
            <v>41850</v>
          </cell>
          <cell r="BL100">
            <v>42330</v>
          </cell>
          <cell r="BM100">
            <v>40360</v>
          </cell>
          <cell r="BN100">
            <v>40360</v>
          </cell>
        </row>
        <row r="101">
          <cell r="B101" t="str">
            <v>JOR</v>
          </cell>
          <cell r="C101" t="str">
            <v>GNI per capita, Atlas method (current US$)</v>
          </cell>
          <cell r="D101" t="str">
            <v>NY.GNP.PCAP.CD</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v>1160</v>
          </cell>
          <cell r="X101">
            <v>1540</v>
          </cell>
          <cell r="Y101">
            <v>1810</v>
          </cell>
          <cell r="Z101">
            <v>2040</v>
          </cell>
          <cell r="AA101">
            <v>1980</v>
          </cell>
          <cell r="AB101">
            <v>1750</v>
          </cell>
          <cell r="AC101">
            <v>1730</v>
          </cell>
          <cell r="AD101">
            <v>1670</v>
          </cell>
          <cell r="AE101">
            <v>1870</v>
          </cell>
          <cell r="AF101">
            <v>2100</v>
          </cell>
          <cell r="AG101">
            <v>2160</v>
          </cell>
          <cell r="AH101">
            <v>1560</v>
          </cell>
          <cell r="AI101">
            <v>1270</v>
          </cell>
          <cell r="AJ101">
            <v>1090</v>
          </cell>
          <cell r="AK101">
            <v>1240</v>
          </cell>
          <cell r="AL101">
            <v>1280</v>
          </cell>
          <cell r="AM101">
            <v>1340</v>
          </cell>
          <cell r="AN101">
            <v>1420</v>
          </cell>
          <cell r="AO101">
            <v>1430</v>
          </cell>
          <cell r="AP101">
            <v>1450</v>
          </cell>
          <cell r="AQ101">
            <v>1480</v>
          </cell>
          <cell r="AR101">
            <v>1530</v>
          </cell>
          <cell r="AS101">
            <v>1670</v>
          </cell>
          <cell r="AT101">
            <v>1740</v>
          </cell>
          <cell r="AU101">
            <v>1780</v>
          </cell>
          <cell r="AV101">
            <v>1900</v>
          </cell>
          <cell r="AW101">
            <v>2160</v>
          </cell>
          <cell r="AX101">
            <v>2340</v>
          </cell>
          <cell r="AY101">
            <v>2510</v>
          </cell>
          <cell r="AZ101">
            <v>2730</v>
          </cell>
          <cell r="BA101">
            <v>3110</v>
          </cell>
          <cell r="BB101">
            <v>3380</v>
          </cell>
          <cell r="BC101">
            <v>3520</v>
          </cell>
          <cell r="BD101">
            <v>3620</v>
          </cell>
          <cell r="BE101">
            <v>3720</v>
          </cell>
          <cell r="BF101">
            <v>3830</v>
          </cell>
          <cell r="BG101">
            <v>3920</v>
          </cell>
          <cell r="BH101">
            <v>3950</v>
          </cell>
          <cell r="BI101">
            <v>4000</v>
          </cell>
          <cell r="BJ101">
            <v>4080</v>
          </cell>
          <cell r="BK101">
            <v>4270</v>
          </cell>
          <cell r="BL101">
            <v>4410</v>
          </cell>
          <cell r="BM101">
            <v>4310</v>
          </cell>
          <cell r="BN101">
            <v>4310</v>
          </cell>
        </row>
        <row r="102">
          <cell r="B102" t="str">
            <v>KAZ</v>
          </cell>
          <cell r="C102" t="str">
            <v>GNI per capita, Atlas method (current US$)</v>
          </cell>
          <cell r="D102" t="str">
            <v>NY.GNP.PCAP.CD</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v>1430</v>
          </cell>
          <cell r="AM102">
            <v>1310</v>
          </cell>
          <cell r="AN102">
            <v>1280</v>
          </cell>
          <cell r="AO102">
            <v>1340</v>
          </cell>
          <cell r="AP102">
            <v>1390</v>
          </cell>
          <cell r="AQ102">
            <v>1390</v>
          </cell>
          <cell r="AR102">
            <v>1290</v>
          </cell>
          <cell r="AS102">
            <v>1270</v>
          </cell>
          <cell r="AT102">
            <v>1360</v>
          </cell>
          <cell r="AU102">
            <v>1530</v>
          </cell>
          <cell r="AV102">
            <v>1810</v>
          </cell>
          <cell r="AW102">
            <v>2300</v>
          </cell>
          <cell r="AX102">
            <v>2930</v>
          </cell>
          <cell r="AY102">
            <v>3860</v>
          </cell>
          <cell r="AZ102">
            <v>4980</v>
          </cell>
          <cell r="BA102">
            <v>6110</v>
          </cell>
          <cell r="BB102">
            <v>6790</v>
          </cell>
          <cell r="BC102">
            <v>7440</v>
          </cell>
          <cell r="BD102">
            <v>8280</v>
          </cell>
          <cell r="BE102">
            <v>9940</v>
          </cell>
          <cell r="BF102">
            <v>11840</v>
          </cell>
          <cell r="BG102">
            <v>12080</v>
          </cell>
          <cell r="BH102">
            <v>11380</v>
          </cell>
          <cell r="BI102">
            <v>8770</v>
          </cell>
          <cell r="BJ102">
            <v>8040</v>
          </cell>
          <cell r="BK102">
            <v>8070</v>
          </cell>
          <cell r="BL102">
            <v>8820</v>
          </cell>
          <cell r="BM102">
            <v>8710</v>
          </cell>
          <cell r="BN102">
            <v>8710</v>
          </cell>
        </row>
        <row r="103">
          <cell r="B103" t="str">
            <v>KEN</v>
          </cell>
          <cell r="C103" t="str">
            <v>GNI per capita, Atlas method (current US$)</v>
          </cell>
          <cell r="D103" t="str">
            <v>NY.GNP.PCAP.CD</v>
          </cell>
          <cell r="E103" t="str">
            <v>..</v>
          </cell>
          <cell r="F103" t="str">
            <v>..</v>
          </cell>
          <cell r="G103">
            <v>100</v>
          </cell>
          <cell r="H103">
            <v>100</v>
          </cell>
          <cell r="I103">
            <v>110</v>
          </cell>
          <cell r="J103">
            <v>100</v>
          </cell>
          <cell r="K103">
            <v>120</v>
          </cell>
          <cell r="L103">
            <v>120</v>
          </cell>
          <cell r="M103">
            <v>130</v>
          </cell>
          <cell r="N103">
            <v>140</v>
          </cell>
          <cell r="O103">
            <v>130</v>
          </cell>
          <cell r="P103">
            <v>160</v>
          </cell>
          <cell r="Q103">
            <v>190</v>
          </cell>
          <cell r="R103">
            <v>200</v>
          </cell>
          <cell r="S103">
            <v>230</v>
          </cell>
          <cell r="T103">
            <v>250</v>
          </cell>
          <cell r="U103">
            <v>250</v>
          </cell>
          <cell r="V103">
            <v>280</v>
          </cell>
          <cell r="W103">
            <v>320</v>
          </cell>
          <cell r="X103">
            <v>390</v>
          </cell>
          <cell r="Y103">
            <v>450</v>
          </cell>
          <cell r="Z103">
            <v>450</v>
          </cell>
          <cell r="AA103">
            <v>390</v>
          </cell>
          <cell r="AB103">
            <v>340</v>
          </cell>
          <cell r="AC103">
            <v>310</v>
          </cell>
          <cell r="AD103">
            <v>310</v>
          </cell>
          <cell r="AE103">
            <v>340</v>
          </cell>
          <cell r="AF103">
            <v>370</v>
          </cell>
          <cell r="AG103">
            <v>410</v>
          </cell>
          <cell r="AH103">
            <v>400</v>
          </cell>
          <cell r="AI103">
            <v>370</v>
          </cell>
          <cell r="AJ103">
            <v>350</v>
          </cell>
          <cell r="AK103">
            <v>330</v>
          </cell>
          <cell r="AL103">
            <v>270</v>
          </cell>
          <cell r="AM103">
            <v>260</v>
          </cell>
          <cell r="AN103">
            <v>270</v>
          </cell>
          <cell r="AO103">
            <v>340</v>
          </cell>
          <cell r="AP103">
            <v>390</v>
          </cell>
          <cell r="AQ103">
            <v>430</v>
          </cell>
          <cell r="AR103">
            <v>430</v>
          </cell>
          <cell r="AS103">
            <v>410</v>
          </cell>
          <cell r="AT103">
            <v>400</v>
          </cell>
          <cell r="AU103">
            <v>380</v>
          </cell>
          <cell r="AV103">
            <v>400</v>
          </cell>
          <cell r="AW103">
            <v>450</v>
          </cell>
          <cell r="AX103">
            <v>510</v>
          </cell>
          <cell r="AY103">
            <v>580</v>
          </cell>
          <cell r="AZ103">
            <v>700</v>
          </cell>
          <cell r="BA103">
            <v>820</v>
          </cell>
          <cell r="BB103">
            <v>820</v>
          </cell>
          <cell r="BC103">
            <v>920</v>
          </cell>
          <cell r="BD103">
            <v>1000</v>
          </cell>
          <cell r="BE103">
            <v>1050</v>
          </cell>
          <cell r="BF103">
            <v>1110</v>
          </cell>
          <cell r="BG103">
            <v>1230</v>
          </cell>
          <cell r="BH103">
            <v>1300</v>
          </cell>
          <cell r="BI103">
            <v>1460</v>
          </cell>
          <cell r="BJ103">
            <v>1510</v>
          </cell>
          <cell r="BK103">
            <v>1680</v>
          </cell>
          <cell r="BL103">
            <v>1830</v>
          </cell>
          <cell r="BM103">
            <v>1840</v>
          </cell>
          <cell r="BN103">
            <v>1840</v>
          </cell>
        </row>
        <row r="104">
          <cell r="B104" t="str">
            <v>KIR</v>
          </cell>
          <cell r="C104" t="str">
            <v>GNI per capita, Atlas method (current US$)</v>
          </cell>
          <cell r="D104" t="str">
            <v>NY.GNP.PCAP.CD</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v>870</v>
          </cell>
          <cell r="X104">
            <v>860</v>
          </cell>
          <cell r="Y104">
            <v>690</v>
          </cell>
          <cell r="Z104">
            <v>660</v>
          </cell>
          <cell r="AA104">
            <v>790</v>
          </cell>
          <cell r="AB104">
            <v>780</v>
          </cell>
          <cell r="AC104">
            <v>590</v>
          </cell>
          <cell r="AD104">
            <v>540</v>
          </cell>
          <cell r="AE104">
            <v>520</v>
          </cell>
          <cell r="AF104">
            <v>550</v>
          </cell>
          <cell r="AG104">
            <v>640</v>
          </cell>
          <cell r="AH104">
            <v>670</v>
          </cell>
          <cell r="AI104">
            <v>720</v>
          </cell>
          <cell r="AJ104">
            <v>960</v>
          </cell>
          <cell r="AK104">
            <v>1030</v>
          </cell>
          <cell r="AL104">
            <v>1020</v>
          </cell>
          <cell r="AM104">
            <v>1050</v>
          </cell>
          <cell r="AN104">
            <v>1150</v>
          </cell>
          <cell r="AO104">
            <v>1090</v>
          </cell>
          <cell r="AP104">
            <v>1340</v>
          </cell>
          <cell r="AQ104">
            <v>1470</v>
          </cell>
          <cell r="AR104">
            <v>1300</v>
          </cell>
          <cell r="AS104">
            <v>1330</v>
          </cell>
          <cell r="AT104">
            <v>1340</v>
          </cell>
          <cell r="AU104">
            <v>1250</v>
          </cell>
          <cell r="AV104">
            <v>1310</v>
          </cell>
          <cell r="AW104">
            <v>1480</v>
          </cell>
          <cell r="AX104">
            <v>1700</v>
          </cell>
          <cell r="AY104">
            <v>1710</v>
          </cell>
          <cell r="AZ104">
            <v>1820</v>
          </cell>
          <cell r="BA104">
            <v>1930</v>
          </cell>
          <cell r="BB104">
            <v>1900</v>
          </cell>
          <cell r="BC104">
            <v>2050</v>
          </cell>
          <cell r="BD104">
            <v>2090</v>
          </cell>
          <cell r="BE104">
            <v>2620</v>
          </cell>
          <cell r="BF104">
            <v>2980</v>
          </cell>
          <cell r="BG104">
            <v>3220</v>
          </cell>
          <cell r="BH104">
            <v>3470</v>
          </cell>
          <cell r="BI104">
            <v>2920</v>
          </cell>
          <cell r="BJ104">
            <v>3020</v>
          </cell>
          <cell r="BK104">
            <v>3100</v>
          </cell>
          <cell r="BL104">
            <v>3430</v>
          </cell>
          <cell r="BM104">
            <v>2960</v>
          </cell>
          <cell r="BN104">
            <v>2960</v>
          </cell>
        </row>
        <row r="105">
          <cell r="B105" t="str">
            <v>PRK</v>
          </cell>
          <cell r="C105" t="str">
            <v>GNI per capita, Atlas method (current US$)</v>
          </cell>
          <cell r="D105" t="str">
            <v>NY.GNP.PCAP.CD</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
          </cell>
        </row>
        <row r="106">
          <cell r="B106" t="str">
            <v>KOR</v>
          </cell>
          <cell r="C106" t="str">
            <v>GNI per capita, Atlas method (current US$)</v>
          </cell>
          <cell r="D106" t="str">
            <v>NY.GNP.PCAP.CD</v>
          </cell>
          <cell r="E106" t="str">
            <v>..</v>
          </cell>
          <cell r="F106" t="str">
            <v>..</v>
          </cell>
          <cell r="G106">
            <v>120</v>
          </cell>
          <cell r="H106">
            <v>120</v>
          </cell>
          <cell r="I106">
            <v>130</v>
          </cell>
          <cell r="J106">
            <v>130</v>
          </cell>
          <cell r="K106">
            <v>140</v>
          </cell>
          <cell r="L106">
            <v>150</v>
          </cell>
          <cell r="M106">
            <v>190</v>
          </cell>
          <cell r="N106">
            <v>240</v>
          </cell>
          <cell r="O106">
            <v>280</v>
          </cell>
          <cell r="P106">
            <v>310</v>
          </cell>
          <cell r="Q106">
            <v>340</v>
          </cell>
          <cell r="R106">
            <v>430</v>
          </cell>
          <cell r="S106">
            <v>550</v>
          </cell>
          <cell r="T106">
            <v>660</v>
          </cell>
          <cell r="U106">
            <v>810</v>
          </cell>
          <cell r="V106">
            <v>970</v>
          </cell>
          <cell r="W106">
            <v>1280</v>
          </cell>
          <cell r="X106">
            <v>1680</v>
          </cell>
          <cell r="Y106">
            <v>1870</v>
          </cell>
          <cell r="Z106">
            <v>2030</v>
          </cell>
          <cell r="AA106">
            <v>2050</v>
          </cell>
          <cell r="AB106">
            <v>2170</v>
          </cell>
          <cell r="AC106">
            <v>2340</v>
          </cell>
          <cell r="AD106">
            <v>2480</v>
          </cell>
          <cell r="AE106">
            <v>2850</v>
          </cell>
          <cell r="AF106">
            <v>3530</v>
          </cell>
          <cell r="AG106">
            <v>4520</v>
          </cell>
          <cell r="AH106">
            <v>5380</v>
          </cell>
          <cell r="AI106">
            <v>6450</v>
          </cell>
          <cell r="AJ106">
            <v>7570</v>
          </cell>
          <cell r="AK106">
            <v>8310</v>
          </cell>
          <cell r="AL106">
            <v>9010</v>
          </cell>
          <cell r="AM106">
            <v>10090</v>
          </cell>
          <cell r="AN106">
            <v>11820</v>
          </cell>
          <cell r="AO106">
            <v>13320</v>
          </cell>
          <cell r="AP106">
            <v>13550</v>
          </cell>
          <cell r="AQ106">
            <v>10330</v>
          </cell>
          <cell r="AR106">
            <v>10430</v>
          </cell>
          <cell r="AS106">
            <v>11030</v>
          </cell>
          <cell r="AT106">
            <v>11950</v>
          </cell>
          <cell r="AU106">
            <v>12850</v>
          </cell>
          <cell r="AV106">
            <v>13790</v>
          </cell>
          <cell r="AW106">
            <v>16200</v>
          </cell>
          <cell r="AX106">
            <v>18520</v>
          </cell>
          <cell r="AY106">
            <v>20800</v>
          </cell>
          <cell r="AZ106">
            <v>23440</v>
          </cell>
          <cell r="BA106">
            <v>23860</v>
          </cell>
          <cell r="BB106">
            <v>22040</v>
          </cell>
          <cell r="BC106">
            <v>22290</v>
          </cell>
          <cell r="BD106">
            <v>23590</v>
          </cell>
          <cell r="BE106">
            <v>25660</v>
          </cell>
          <cell r="BF106">
            <v>26980</v>
          </cell>
          <cell r="BG106">
            <v>28160</v>
          </cell>
          <cell r="BH106">
            <v>28720</v>
          </cell>
          <cell r="BI106">
            <v>29330</v>
          </cell>
          <cell r="BJ106">
            <v>30300</v>
          </cell>
          <cell r="BK106">
            <v>32730</v>
          </cell>
          <cell r="BL106">
            <v>33860</v>
          </cell>
          <cell r="BM106">
            <v>32960</v>
          </cell>
          <cell r="BN106">
            <v>32960</v>
          </cell>
        </row>
        <row r="107">
          <cell r="B107" t="str">
            <v>XKX</v>
          </cell>
          <cell r="C107" t="str">
            <v>GNI per capita, Atlas method (current US$)</v>
          </cell>
          <cell r="D107" t="str">
            <v>NY.GNP.PCAP.CD</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v>3150</v>
          </cell>
          <cell r="BD107">
            <v>3390</v>
          </cell>
          <cell r="BE107">
            <v>3540</v>
          </cell>
          <cell r="BF107">
            <v>3800</v>
          </cell>
          <cell r="BG107">
            <v>3910</v>
          </cell>
          <cell r="BH107">
            <v>3930</v>
          </cell>
          <cell r="BI107">
            <v>3930</v>
          </cell>
          <cell r="BJ107">
            <v>3950</v>
          </cell>
          <cell r="BK107">
            <v>4300</v>
          </cell>
          <cell r="BL107">
            <v>4640</v>
          </cell>
          <cell r="BM107">
            <v>4480</v>
          </cell>
          <cell r="BN107">
            <v>4480</v>
          </cell>
        </row>
        <row r="108">
          <cell r="B108" t="str">
            <v>KWT</v>
          </cell>
          <cell r="C108" t="str">
            <v>GNI per capita, Atlas method (current US$)</v>
          </cell>
          <cell r="D108" t="str">
            <v>NY.GNP.PCAP.CD</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v>20520</v>
          </cell>
          <cell r="AO108">
            <v>20870</v>
          </cell>
          <cell r="AP108">
            <v>21480</v>
          </cell>
          <cell r="AQ108">
            <v>19680</v>
          </cell>
          <cell r="AR108">
            <v>16870</v>
          </cell>
          <cell r="AS108">
            <v>17980</v>
          </cell>
          <cell r="AT108">
            <v>18660</v>
          </cell>
          <cell r="AU108">
            <v>18930</v>
          </cell>
          <cell r="AV108">
            <v>22600</v>
          </cell>
          <cell r="AW108">
            <v>28510</v>
          </cell>
          <cell r="AX108">
            <v>35220</v>
          </cell>
          <cell r="AY108">
            <v>42300</v>
          </cell>
          <cell r="AZ108">
            <v>47580</v>
          </cell>
          <cell r="BA108">
            <v>51710</v>
          </cell>
          <cell r="BB108">
            <v>45000</v>
          </cell>
          <cell r="BC108">
            <v>42490</v>
          </cell>
          <cell r="BD108">
            <v>43790</v>
          </cell>
          <cell r="BE108">
            <v>49690</v>
          </cell>
          <cell r="BF108">
            <v>53060</v>
          </cell>
          <cell r="BG108">
            <v>51000</v>
          </cell>
          <cell r="BH108">
            <v>41820</v>
          </cell>
          <cell r="BI108">
            <v>35330</v>
          </cell>
          <cell r="BJ108">
            <v>31400</v>
          </cell>
          <cell r="BK108">
            <v>33430</v>
          </cell>
          <cell r="BL108">
            <v>36290</v>
          </cell>
          <cell r="BM108" t="str">
            <v>..</v>
          </cell>
          <cell r="BN108">
            <v>36290</v>
          </cell>
        </row>
        <row r="109">
          <cell r="B109" t="str">
            <v>KGZ</v>
          </cell>
          <cell r="C109" t="str">
            <v>GNI per capita, Atlas method (current US$)</v>
          </cell>
          <cell r="D109" t="str">
            <v>NY.GNP.PCAP.CD</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v>520</v>
          </cell>
          <cell r="AL109">
            <v>450</v>
          </cell>
          <cell r="AM109">
            <v>370</v>
          </cell>
          <cell r="AN109">
            <v>360</v>
          </cell>
          <cell r="AO109">
            <v>390</v>
          </cell>
          <cell r="AP109">
            <v>390</v>
          </cell>
          <cell r="AQ109">
            <v>360</v>
          </cell>
          <cell r="AR109">
            <v>300</v>
          </cell>
          <cell r="AS109">
            <v>280</v>
          </cell>
          <cell r="AT109">
            <v>280</v>
          </cell>
          <cell r="AU109">
            <v>290</v>
          </cell>
          <cell r="AV109">
            <v>340</v>
          </cell>
          <cell r="AW109">
            <v>400</v>
          </cell>
          <cell r="AX109">
            <v>450</v>
          </cell>
          <cell r="AY109">
            <v>500</v>
          </cell>
          <cell r="AZ109">
            <v>610</v>
          </cell>
          <cell r="BA109">
            <v>760</v>
          </cell>
          <cell r="BB109">
            <v>860</v>
          </cell>
          <cell r="BC109">
            <v>850</v>
          </cell>
          <cell r="BD109">
            <v>880</v>
          </cell>
          <cell r="BE109">
            <v>1040</v>
          </cell>
          <cell r="BF109">
            <v>1190</v>
          </cell>
          <cell r="BG109">
            <v>1250</v>
          </cell>
          <cell r="BH109">
            <v>1180</v>
          </cell>
          <cell r="BI109">
            <v>1110</v>
          </cell>
          <cell r="BJ109">
            <v>1110</v>
          </cell>
          <cell r="BK109">
            <v>1220</v>
          </cell>
          <cell r="BL109">
            <v>1240</v>
          </cell>
          <cell r="BM109">
            <v>1160</v>
          </cell>
          <cell r="BN109">
            <v>1160</v>
          </cell>
        </row>
        <row r="110">
          <cell r="B110" t="str">
            <v>LAO</v>
          </cell>
          <cell r="C110" t="str">
            <v>GNI per capita, Atlas method (current US$)</v>
          </cell>
          <cell r="D110" t="str">
            <v>NY.GNP.PCAP.CD</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v>550</v>
          </cell>
          <cell r="AF110">
            <v>430</v>
          </cell>
          <cell r="AG110">
            <v>250</v>
          </cell>
          <cell r="AH110">
            <v>210</v>
          </cell>
          <cell r="AI110">
            <v>190</v>
          </cell>
          <cell r="AJ110">
            <v>210</v>
          </cell>
          <cell r="AK110">
            <v>250</v>
          </cell>
          <cell r="AL110">
            <v>280</v>
          </cell>
          <cell r="AM110">
            <v>310</v>
          </cell>
          <cell r="AN110">
            <v>350</v>
          </cell>
          <cell r="AO110">
            <v>380</v>
          </cell>
          <cell r="AP110">
            <v>370</v>
          </cell>
          <cell r="AQ110">
            <v>310</v>
          </cell>
          <cell r="AR110">
            <v>290</v>
          </cell>
          <cell r="AS110">
            <v>280</v>
          </cell>
          <cell r="AT110">
            <v>310</v>
          </cell>
          <cell r="AU110">
            <v>320</v>
          </cell>
          <cell r="AV110">
            <v>340</v>
          </cell>
          <cell r="AW110">
            <v>390</v>
          </cell>
          <cell r="AX110">
            <v>460</v>
          </cell>
          <cell r="AY110">
            <v>510</v>
          </cell>
          <cell r="AZ110">
            <v>620</v>
          </cell>
          <cell r="BA110">
            <v>750</v>
          </cell>
          <cell r="BB110">
            <v>890</v>
          </cell>
          <cell r="BC110">
            <v>1000</v>
          </cell>
          <cell r="BD110">
            <v>1140</v>
          </cell>
          <cell r="BE110">
            <v>1370</v>
          </cell>
          <cell r="BF110">
            <v>1610</v>
          </cell>
          <cell r="BG110">
            <v>1830</v>
          </cell>
          <cell r="BH110">
            <v>1980</v>
          </cell>
          <cell r="BI110">
            <v>2130</v>
          </cell>
          <cell r="BJ110">
            <v>2260</v>
          </cell>
          <cell r="BK110">
            <v>2480</v>
          </cell>
          <cell r="BL110">
            <v>2540</v>
          </cell>
          <cell r="BM110">
            <v>2520</v>
          </cell>
          <cell r="BN110">
            <v>2520</v>
          </cell>
        </row>
        <row r="111">
          <cell r="B111" t="str">
            <v>LVA</v>
          </cell>
          <cell r="C111" t="str">
            <v>GNI per capita, Atlas method (current US$)</v>
          </cell>
          <cell r="D111" t="str">
            <v>NY.GNP.PCAP.CD</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v>2720</v>
          </cell>
          <cell r="AQ111">
            <v>2870</v>
          </cell>
          <cell r="AR111">
            <v>2990</v>
          </cell>
          <cell r="AS111">
            <v>3320</v>
          </cell>
          <cell r="AT111">
            <v>3600</v>
          </cell>
          <cell r="AU111">
            <v>3940</v>
          </cell>
          <cell r="AV111">
            <v>4670</v>
          </cell>
          <cell r="AW111">
            <v>5830</v>
          </cell>
          <cell r="AX111">
            <v>7390</v>
          </cell>
          <cell r="AY111">
            <v>8930</v>
          </cell>
          <cell r="AZ111">
            <v>11230</v>
          </cell>
          <cell r="BA111">
            <v>13530</v>
          </cell>
          <cell r="BB111">
            <v>14120</v>
          </cell>
          <cell r="BC111">
            <v>12650</v>
          </cell>
          <cell r="BD111">
            <v>12740</v>
          </cell>
          <cell r="BE111">
            <v>13800</v>
          </cell>
          <cell r="BF111">
            <v>14850</v>
          </cell>
          <cell r="BG111">
            <v>15330</v>
          </cell>
          <cell r="BH111">
            <v>15100</v>
          </cell>
          <cell r="BI111">
            <v>14790</v>
          </cell>
          <cell r="BJ111">
            <v>14850</v>
          </cell>
          <cell r="BK111">
            <v>16530</v>
          </cell>
          <cell r="BL111">
            <v>17790</v>
          </cell>
          <cell r="BM111">
            <v>17880</v>
          </cell>
          <cell r="BN111">
            <v>17880</v>
          </cell>
        </row>
        <row r="112">
          <cell r="B112" t="str">
            <v>LBN</v>
          </cell>
          <cell r="C112" t="str">
            <v>GNI per capita, Atlas method (current US$)</v>
          </cell>
          <cell r="D112" t="str">
            <v>NY.GNP.PCAP.CD</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v>1310</v>
          </cell>
          <cell r="AJ112">
            <v>1700</v>
          </cell>
          <cell r="AK112">
            <v>1920</v>
          </cell>
          <cell r="AL112">
            <v>2220</v>
          </cell>
          <cell r="AM112">
            <v>2610</v>
          </cell>
          <cell r="AN112">
            <v>3160</v>
          </cell>
          <cell r="AO112">
            <v>3720</v>
          </cell>
          <cell r="AP112">
            <v>4000</v>
          </cell>
          <cell r="AQ112">
            <v>4250</v>
          </cell>
          <cell r="AR112">
            <v>4490</v>
          </cell>
          <cell r="AS112">
            <v>4600</v>
          </cell>
          <cell r="AT112">
            <v>4460</v>
          </cell>
          <cell r="AU112">
            <v>4200</v>
          </cell>
          <cell r="AV112">
            <v>3790</v>
          </cell>
          <cell r="AW112">
            <v>4730</v>
          </cell>
          <cell r="AX112">
            <v>4890</v>
          </cell>
          <cell r="AY112">
            <v>4860</v>
          </cell>
          <cell r="AZ112">
            <v>5410</v>
          </cell>
          <cell r="BA112">
            <v>6060</v>
          </cell>
          <cell r="BB112">
            <v>6870</v>
          </cell>
          <cell r="BC112">
            <v>7470</v>
          </cell>
          <cell r="BD112">
            <v>7560</v>
          </cell>
          <cell r="BE112">
            <v>7560</v>
          </cell>
          <cell r="BF112">
            <v>7640</v>
          </cell>
          <cell r="BG112">
            <v>7550</v>
          </cell>
          <cell r="BH112">
            <v>7300</v>
          </cell>
          <cell r="BI112">
            <v>7250</v>
          </cell>
          <cell r="BJ112">
            <v>7490</v>
          </cell>
          <cell r="BK112">
            <v>7750</v>
          </cell>
          <cell r="BL112">
            <v>7420</v>
          </cell>
          <cell r="BM112">
            <v>5370</v>
          </cell>
          <cell r="BN112">
            <v>5370</v>
          </cell>
        </row>
        <row r="113">
          <cell r="B113" t="str">
            <v>LSO</v>
          </cell>
          <cell r="C113" t="str">
            <v>GNI per capita, Atlas method (current US$)</v>
          </cell>
          <cell r="D113" t="str">
            <v>NY.GNP.PCAP.CD</v>
          </cell>
          <cell r="E113" t="str">
            <v>..</v>
          </cell>
          <cell r="F113" t="str">
            <v>..</v>
          </cell>
          <cell r="G113" t="str">
            <v>..</v>
          </cell>
          <cell r="H113" t="str">
            <v>..</v>
          </cell>
          <cell r="I113" t="str">
            <v>..</v>
          </cell>
          <cell r="J113" t="str">
            <v>..</v>
          </cell>
          <cell r="K113">
            <v>80</v>
          </cell>
          <cell r="L113">
            <v>80</v>
          </cell>
          <cell r="M113">
            <v>80</v>
          </cell>
          <cell r="N113">
            <v>80</v>
          </cell>
          <cell r="O113">
            <v>90</v>
          </cell>
          <cell r="P113">
            <v>90</v>
          </cell>
          <cell r="Q113">
            <v>100</v>
          </cell>
          <cell r="R113">
            <v>150</v>
          </cell>
          <cell r="S113">
            <v>220</v>
          </cell>
          <cell r="T113">
            <v>230</v>
          </cell>
          <cell r="U113">
            <v>280</v>
          </cell>
          <cell r="V113">
            <v>310</v>
          </cell>
          <cell r="W113">
            <v>340</v>
          </cell>
          <cell r="X113">
            <v>400</v>
          </cell>
          <cell r="Y113">
            <v>440</v>
          </cell>
          <cell r="Z113">
            <v>510</v>
          </cell>
          <cell r="AA113">
            <v>610</v>
          </cell>
          <cell r="AB113">
            <v>540</v>
          </cell>
          <cell r="AC113">
            <v>490</v>
          </cell>
          <cell r="AD113">
            <v>410</v>
          </cell>
          <cell r="AE113">
            <v>390</v>
          </cell>
          <cell r="AF113">
            <v>420</v>
          </cell>
          <cell r="AG113">
            <v>500</v>
          </cell>
          <cell r="AH113">
            <v>520</v>
          </cell>
          <cell r="AI113">
            <v>550</v>
          </cell>
          <cell r="AJ113">
            <v>580</v>
          </cell>
          <cell r="AK113">
            <v>650</v>
          </cell>
          <cell r="AL113">
            <v>660</v>
          </cell>
          <cell r="AM113">
            <v>680</v>
          </cell>
          <cell r="AN113">
            <v>690</v>
          </cell>
          <cell r="AO113">
            <v>700</v>
          </cell>
          <cell r="AP113">
            <v>690</v>
          </cell>
          <cell r="AQ113">
            <v>620</v>
          </cell>
          <cell r="AR113">
            <v>610</v>
          </cell>
          <cell r="AS113">
            <v>580</v>
          </cell>
          <cell r="AT113">
            <v>640</v>
          </cell>
          <cell r="AU113">
            <v>590</v>
          </cell>
          <cell r="AV113">
            <v>670</v>
          </cell>
          <cell r="AW113">
            <v>810</v>
          </cell>
          <cell r="AX113">
            <v>1020</v>
          </cell>
          <cell r="AY113">
            <v>1130</v>
          </cell>
          <cell r="AZ113">
            <v>1300</v>
          </cell>
          <cell r="BA113">
            <v>1290</v>
          </cell>
          <cell r="BB113">
            <v>1190</v>
          </cell>
          <cell r="BC113">
            <v>1270</v>
          </cell>
          <cell r="BD113">
            <v>1360</v>
          </cell>
          <cell r="BE113">
            <v>1500</v>
          </cell>
          <cell r="BF113">
            <v>1460</v>
          </cell>
          <cell r="BG113">
            <v>1350</v>
          </cell>
          <cell r="BH113">
            <v>1310</v>
          </cell>
          <cell r="BI113">
            <v>1270</v>
          </cell>
          <cell r="BJ113">
            <v>1190</v>
          </cell>
          <cell r="BK113">
            <v>1230</v>
          </cell>
          <cell r="BL113">
            <v>1290</v>
          </cell>
          <cell r="BM113">
            <v>1100</v>
          </cell>
          <cell r="BN113">
            <v>1100</v>
          </cell>
        </row>
        <row r="114">
          <cell r="B114" t="str">
            <v>LBR</v>
          </cell>
          <cell r="C114" t="str">
            <v>GNI per capita, Atlas method (current US$)</v>
          </cell>
          <cell r="D114" t="str">
            <v>NY.GNP.PCAP.CD</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v>250</v>
          </cell>
          <cell r="AV114">
            <v>180</v>
          </cell>
          <cell r="AW114">
            <v>210</v>
          </cell>
          <cell r="AX114">
            <v>250</v>
          </cell>
          <cell r="AY114">
            <v>290</v>
          </cell>
          <cell r="AZ114">
            <v>330</v>
          </cell>
          <cell r="BA114">
            <v>390</v>
          </cell>
          <cell r="BB114">
            <v>430</v>
          </cell>
          <cell r="BC114">
            <v>460</v>
          </cell>
          <cell r="BD114">
            <v>520</v>
          </cell>
          <cell r="BE114">
            <v>570</v>
          </cell>
          <cell r="BF114">
            <v>650</v>
          </cell>
          <cell r="BG114">
            <v>650</v>
          </cell>
          <cell r="BH114">
            <v>650</v>
          </cell>
          <cell r="BI114">
            <v>640</v>
          </cell>
          <cell r="BJ114">
            <v>640</v>
          </cell>
          <cell r="BK114">
            <v>630</v>
          </cell>
          <cell r="BL114">
            <v>610</v>
          </cell>
          <cell r="BM114">
            <v>570</v>
          </cell>
          <cell r="BN114">
            <v>570</v>
          </cell>
        </row>
        <row r="115">
          <cell r="B115" t="str">
            <v>LBY</v>
          </cell>
          <cell r="C115" t="str">
            <v>GNI per capita, Atlas method (current US$)</v>
          </cell>
          <cell r="D115" t="str">
            <v>NY.GNP.PCAP.CD</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v>5170</v>
          </cell>
          <cell r="AV115">
            <v>5160</v>
          </cell>
          <cell r="AW115">
            <v>5140</v>
          </cell>
          <cell r="AX115">
            <v>6860</v>
          </cell>
          <cell r="AY115">
            <v>8600</v>
          </cell>
          <cell r="AZ115">
            <v>10400</v>
          </cell>
          <cell r="BA115">
            <v>12200</v>
          </cell>
          <cell r="BB115">
            <v>12090</v>
          </cell>
          <cell r="BC115">
            <v>12380</v>
          </cell>
          <cell r="BD115">
            <v>4690</v>
          </cell>
          <cell r="BE115">
            <v>11550</v>
          </cell>
          <cell r="BF115">
            <v>10750</v>
          </cell>
          <cell r="BG115">
            <v>7610</v>
          </cell>
          <cell r="BH115">
            <v>5690</v>
          </cell>
          <cell r="BI115">
            <v>4550</v>
          </cell>
          <cell r="BJ115">
            <v>5410</v>
          </cell>
          <cell r="BK115">
            <v>6800</v>
          </cell>
          <cell r="BL115">
            <v>7720</v>
          </cell>
          <cell r="BM115">
            <v>4960</v>
          </cell>
          <cell r="BN115">
            <v>4960</v>
          </cell>
        </row>
        <row r="116">
          <cell r="B116" t="str">
            <v>LIE</v>
          </cell>
          <cell r="C116" t="str">
            <v>GNI per capita, Atlas method (current US$)</v>
          </cell>
          <cell r="D116" t="str">
            <v>NY.GNP.PCAP.CD</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v>5120</v>
          </cell>
          <cell r="R116">
            <v>6500</v>
          </cell>
          <cell r="S116">
            <v>8210</v>
          </cell>
          <cell r="T116">
            <v>10150</v>
          </cell>
          <cell r="U116">
            <v>11190</v>
          </cell>
          <cell r="V116">
            <v>12370</v>
          </cell>
          <cell r="W116">
            <v>14760</v>
          </cell>
          <cell r="X116">
            <v>18510</v>
          </cell>
          <cell r="Y116">
            <v>22610</v>
          </cell>
          <cell r="Z116">
            <v>22620</v>
          </cell>
          <cell r="AA116">
            <v>20320</v>
          </cell>
          <cell r="AB116">
            <v>18770</v>
          </cell>
          <cell r="AC116">
            <v>19020</v>
          </cell>
          <cell r="AD116">
            <v>19730</v>
          </cell>
          <cell r="AE116">
            <v>22870</v>
          </cell>
          <cell r="AF116">
            <v>31170</v>
          </cell>
          <cell r="AG116">
            <v>41490</v>
          </cell>
          <cell r="AH116">
            <v>43620</v>
          </cell>
          <cell r="AI116">
            <v>45470</v>
          </cell>
          <cell r="AJ116">
            <v>47570</v>
          </cell>
          <cell r="AK116">
            <v>54350</v>
          </cell>
          <cell r="AL116">
            <v>56680</v>
          </cell>
          <cell r="AM116">
            <v>62010</v>
          </cell>
          <cell r="AN116">
            <v>70050</v>
          </cell>
          <cell r="AO116">
            <v>78570</v>
          </cell>
          <cell r="AP116">
            <v>80150</v>
          </cell>
          <cell r="AQ116">
            <v>77660</v>
          </cell>
          <cell r="AR116">
            <v>78660</v>
          </cell>
          <cell r="AS116">
            <v>78870</v>
          </cell>
          <cell r="AT116">
            <v>68260</v>
          </cell>
          <cell r="AU116">
            <v>65050</v>
          </cell>
          <cell r="AV116">
            <v>68450</v>
          </cell>
          <cell r="AW116">
            <v>78700</v>
          </cell>
          <cell r="AX116">
            <v>92710</v>
          </cell>
          <cell r="AY116">
            <v>104050</v>
          </cell>
          <cell r="AZ116">
            <v>112190</v>
          </cell>
          <cell r="BA116">
            <v>121900</v>
          </cell>
          <cell r="BB116">
            <v>116440</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
          </cell>
        </row>
        <row r="117">
          <cell r="B117" t="str">
            <v>LTU</v>
          </cell>
          <cell r="C117" t="str">
            <v>GNI per capita, Atlas method (current US$)</v>
          </cell>
          <cell r="D117" t="str">
            <v>NY.GNP.PCAP.CD</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v>2600</v>
          </cell>
          <cell r="AQ117">
            <v>2860</v>
          </cell>
          <cell r="AR117">
            <v>2980</v>
          </cell>
          <cell r="AS117">
            <v>3210</v>
          </cell>
          <cell r="AT117">
            <v>3450</v>
          </cell>
          <cell r="AU117">
            <v>3820</v>
          </cell>
          <cell r="AV117">
            <v>4700</v>
          </cell>
          <cell r="AW117">
            <v>6010</v>
          </cell>
          <cell r="AX117">
            <v>7560</v>
          </cell>
          <cell r="AY117">
            <v>8800</v>
          </cell>
          <cell r="AZ117">
            <v>10600</v>
          </cell>
          <cell r="BA117">
            <v>12680</v>
          </cell>
          <cell r="BB117">
            <v>12460</v>
          </cell>
          <cell r="BC117">
            <v>12570</v>
          </cell>
          <cell r="BD117">
            <v>13320</v>
          </cell>
          <cell r="BE117">
            <v>14100</v>
          </cell>
          <cell r="BF117">
            <v>15340</v>
          </cell>
          <cell r="BG117">
            <v>16070</v>
          </cell>
          <cell r="BH117">
            <v>15180</v>
          </cell>
          <cell r="BI117">
            <v>14890</v>
          </cell>
          <cell r="BJ117">
            <v>15270</v>
          </cell>
          <cell r="BK117">
            <v>17450</v>
          </cell>
          <cell r="BL117">
            <v>19050</v>
          </cell>
          <cell r="BM117">
            <v>19620</v>
          </cell>
          <cell r="BN117">
            <v>19620</v>
          </cell>
        </row>
        <row r="118">
          <cell r="B118" t="str">
            <v>LUX</v>
          </cell>
          <cell r="C118" t="str">
            <v>GNI per capita, Atlas method (current US$)</v>
          </cell>
          <cell r="D118" t="str">
            <v>NY.GNP.PCAP.CD</v>
          </cell>
          <cell r="E118" t="str">
            <v>..</v>
          </cell>
          <cell r="F118" t="str">
            <v>..</v>
          </cell>
          <cell r="G118">
            <v>1630</v>
          </cell>
          <cell r="H118">
            <v>1680</v>
          </cell>
          <cell r="I118">
            <v>1870</v>
          </cell>
          <cell r="J118">
            <v>1920</v>
          </cell>
          <cell r="K118">
            <v>2020</v>
          </cell>
          <cell r="L118">
            <v>2070</v>
          </cell>
          <cell r="M118">
            <v>2240</v>
          </cell>
          <cell r="N118">
            <v>2560</v>
          </cell>
          <cell r="O118">
            <v>3220</v>
          </cell>
          <cell r="P118">
            <v>3440</v>
          </cell>
          <cell r="Q118">
            <v>4050</v>
          </cell>
          <cell r="R118">
            <v>5200</v>
          </cell>
          <cell r="S118">
            <v>6850</v>
          </cell>
          <cell r="T118">
            <v>7890</v>
          </cell>
          <cell r="U118">
            <v>8470</v>
          </cell>
          <cell r="V118">
            <v>9030</v>
          </cell>
          <cell r="W118">
            <v>10600</v>
          </cell>
          <cell r="X118">
            <v>12870</v>
          </cell>
          <cell r="Y118">
            <v>15390</v>
          </cell>
          <cell r="Z118">
            <v>15400</v>
          </cell>
          <cell r="AA118">
            <v>14850</v>
          </cell>
          <cell r="AB118">
            <v>13410</v>
          </cell>
          <cell r="AC118">
            <v>12990</v>
          </cell>
          <cell r="AD118">
            <v>13050</v>
          </cell>
          <cell r="AE118">
            <v>15520</v>
          </cell>
          <cell r="AF118">
            <v>19980</v>
          </cell>
          <cell r="AG118">
            <v>25870</v>
          </cell>
          <cell r="AH118">
            <v>28540</v>
          </cell>
          <cell r="AI118">
            <v>31330</v>
          </cell>
          <cell r="AJ118">
            <v>35170</v>
          </cell>
          <cell r="AK118">
            <v>38990</v>
          </cell>
          <cell r="AL118">
            <v>40050</v>
          </cell>
          <cell r="AM118">
            <v>41330</v>
          </cell>
          <cell r="AN118">
            <v>45760</v>
          </cell>
          <cell r="AO118">
            <v>48560</v>
          </cell>
          <cell r="AP118">
            <v>49360</v>
          </cell>
          <cell r="AQ118">
            <v>46350</v>
          </cell>
          <cell r="AR118">
            <v>46520</v>
          </cell>
          <cell r="AS118">
            <v>45650</v>
          </cell>
          <cell r="AT118">
            <v>44950</v>
          </cell>
          <cell r="AU118">
            <v>42400</v>
          </cell>
          <cell r="AV118">
            <v>45930</v>
          </cell>
          <cell r="AW118">
            <v>62490</v>
          </cell>
          <cell r="AX118">
            <v>73070</v>
          </cell>
          <cell r="AY118">
            <v>71300</v>
          </cell>
          <cell r="AZ118">
            <v>85660</v>
          </cell>
          <cell r="BA118">
            <v>85830</v>
          </cell>
          <cell r="BB118">
            <v>70430</v>
          </cell>
          <cell r="BC118">
            <v>77410</v>
          </cell>
          <cell r="BD118">
            <v>79040</v>
          </cell>
          <cell r="BE118">
            <v>87890</v>
          </cell>
          <cell r="BF118">
            <v>85120</v>
          </cell>
          <cell r="BG118">
            <v>86710</v>
          </cell>
          <cell r="BH118">
            <v>73480</v>
          </cell>
          <cell r="BI118">
            <v>73670</v>
          </cell>
          <cell r="BJ118">
            <v>75710</v>
          </cell>
          <cell r="BK118">
            <v>79440</v>
          </cell>
          <cell r="BL118">
            <v>77040</v>
          </cell>
          <cell r="BM118">
            <v>80860</v>
          </cell>
          <cell r="BN118">
            <v>80860</v>
          </cell>
        </row>
        <row r="119">
          <cell r="B119" t="str">
            <v>MAC</v>
          </cell>
          <cell r="C119" t="str">
            <v>GNI per capita, Atlas method (current US$)</v>
          </cell>
          <cell r="D119" t="str">
            <v>NY.GNP.PCAP.CD</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v>4770</v>
          </cell>
          <cell r="AD119">
            <v>4600</v>
          </cell>
          <cell r="AE119">
            <v>5220</v>
          </cell>
          <cell r="AF119">
            <v>6510</v>
          </cell>
          <cell r="AG119">
            <v>7490</v>
          </cell>
          <cell r="AH119">
            <v>8080</v>
          </cell>
          <cell r="AI119">
            <v>8980</v>
          </cell>
          <cell r="AJ119">
            <v>9990</v>
          </cell>
          <cell r="AK119">
            <v>12570</v>
          </cell>
          <cell r="AL119">
            <v>14310</v>
          </cell>
          <cell r="AM119">
            <v>16030</v>
          </cell>
          <cell r="AN119">
            <v>17430</v>
          </cell>
          <cell r="AO119">
            <v>17490</v>
          </cell>
          <cell r="AP119">
            <v>17330</v>
          </cell>
          <cell r="AQ119">
            <v>15700</v>
          </cell>
          <cell r="AR119">
            <v>14640</v>
          </cell>
          <cell r="AS119">
            <v>14720</v>
          </cell>
          <cell r="AT119">
            <v>15760</v>
          </cell>
          <cell r="AU119">
            <v>16290</v>
          </cell>
          <cell r="AV119">
            <v>17840</v>
          </cell>
          <cell r="AW119">
            <v>22220</v>
          </cell>
          <cell r="AX119">
            <v>23950</v>
          </cell>
          <cell r="AY119">
            <v>26190</v>
          </cell>
          <cell r="AZ119">
            <v>34150</v>
          </cell>
          <cell r="BA119">
            <v>33780</v>
          </cell>
          <cell r="BB119">
            <v>36100</v>
          </cell>
          <cell r="BC119">
            <v>45260</v>
          </cell>
          <cell r="BD119">
            <v>54490</v>
          </cell>
          <cell r="BE119">
            <v>60790</v>
          </cell>
          <cell r="BF119">
            <v>69510</v>
          </cell>
          <cell r="BG119">
            <v>72140</v>
          </cell>
          <cell r="BH119">
            <v>62080</v>
          </cell>
          <cell r="BI119">
            <v>63700</v>
          </cell>
          <cell r="BJ119">
            <v>69960</v>
          </cell>
          <cell r="BK119">
            <v>76480</v>
          </cell>
          <cell r="BL119">
            <v>75690</v>
          </cell>
          <cell r="BM119" t="str">
            <v>..</v>
          </cell>
          <cell r="BN119">
            <v>75690</v>
          </cell>
        </row>
        <row r="120">
          <cell r="B120" t="str">
            <v>MDG</v>
          </cell>
          <cell r="C120" t="str">
            <v>GNI per capita, Atlas method (current US$)</v>
          </cell>
          <cell r="D120" t="str">
            <v>NY.GNP.PCAP.CD</v>
          </cell>
          <cell r="E120" t="str">
            <v>..</v>
          </cell>
          <cell r="F120" t="str">
            <v>..</v>
          </cell>
          <cell r="G120">
            <v>130</v>
          </cell>
          <cell r="H120">
            <v>130</v>
          </cell>
          <cell r="I120">
            <v>140</v>
          </cell>
          <cell r="J120">
            <v>140</v>
          </cell>
          <cell r="K120">
            <v>150</v>
          </cell>
          <cell r="L120">
            <v>160</v>
          </cell>
          <cell r="M120">
            <v>170</v>
          </cell>
          <cell r="N120">
            <v>170</v>
          </cell>
          <cell r="O120">
            <v>180</v>
          </cell>
          <cell r="P120">
            <v>180</v>
          </cell>
          <cell r="Q120">
            <v>190</v>
          </cell>
          <cell r="R120">
            <v>210</v>
          </cell>
          <cell r="S120">
            <v>260</v>
          </cell>
          <cell r="T120">
            <v>310</v>
          </cell>
          <cell r="U120">
            <v>300</v>
          </cell>
          <cell r="V120">
            <v>310</v>
          </cell>
          <cell r="W120">
            <v>310</v>
          </cell>
          <cell r="X120">
            <v>390</v>
          </cell>
          <cell r="Y120">
            <v>500</v>
          </cell>
          <cell r="Z120">
            <v>510</v>
          </cell>
          <cell r="AA120">
            <v>520</v>
          </cell>
          <cell r="AB120">
            <v>480</v>
          </cell>
          <cell r="AC120">
            <v>430</v>
          </cell>
          <cell r="AD120">
            <v>400</v>
          </cell>
          <cell r="AE120">
            <v>400</v>
          </cell>
          <cell r="AF120">
            <v>370</v>
          </cell>
          <cell r="AG120">
            <v>340</v>
          </cell>
          <cell r="AH120">
            <v>300</v>
          </cell>
          <cell r="AI120">
            <v>310</v>
          </cell>
          <cell r="AJ120">
            <v>280</v>
          </cell>
          <cell r="AK120">
            <v>290</v>
          </cell>
          <cell r="AL120">
            <v>290</v>
          </cell>
          <cell r="AM120">
            <v>290</v>
          </cell>
          <cell r="AN120">
            <v>280</v>
          </cell>
          <cell r="AO120">
            <v>300</v>
          </cell>
          <cell r="AP120">
            <v>300</v>
          </cell>
          <cell r="AQ120">
            <v>300</v>
          </cell>
          <cell r="AR120">
            <v>280</v>
          </cell>
          <cell r="AS120">
            <v>290</v>
          </cell>
          <cell r="AT120">
            <v>300</v>
          </cell>
          <cell r="AU120">
            <v>280</v>
          </cell>
          <cell r="AV120">
            <v>340</v>
          </cell>
          <cell r="AW120">
            <v>340</v>
          </cell>
          <cell r="AX120">
            <v>340</v>
          </cell>
          <cell r="AY120">
            <v>330</v>
          </cell>
          <cell r="AZ120">
            <v>380</v>
          </cell>
          <cell r="BA120">
            <v>450</v>
          </cell>
          <cell r="BB120">
            <v>470</v>
          </cell>
          <cell r="BC120">
            <v>470</v>
          </cell>
          <cell r="BD120">
            <v>480</v>
          </cell>
          <cell r="BE120">
            <v>500</v>
          </cell>
          <cell r="BF120">
            <v>520</v>
          </cell>
          <cell r="BG120">
            <v>520</v>
          </cell>
          <cell r="BH120">
            <v>490</v>
          </cell>
          <cell r="BI120">
            <v>470</v>
          </cell>
          <cell r="BJ120">
            <v>470</v>
          </cell>
          <cell r="BK120">
            <v>500</v>
          </cell>
          <cell r="BL120">
            <v>520</v>
          </cell>
          <cell r="BM120">
            <v>470</v>
          </cell>
          <cell r="BN120">
            <v>470</v>
          </cell>
        </row>
        <row r="121">
          <cell r="B121" t="str">
            <v>MWI</v>
          </cell>
          <cell r="C121" t="str">
            <v>GNI per capita, Atlas method (current US$)</v>
          </cell>
          <cell r="D121" t="str">
            <v>NY.GNP.PCAP.CD</v>
          </cell>
          <cell r="E121" t="str">
            <v>..</v>
          </cell>
          <cell r="F121" t="str">
            <v>..</v>
          </cell>
          <cell r="G121">
            <v>50</v>
          </cell>
          <cell r="H121">
            <v>50</v>
          </cell>
          <cell r="I121">
            <v>50</v>
          </cell>
          <cell r="J121">
            <v>50</v>
          </cell>
          <cell r="K121">
            <v>60</v>
          </cell>
          <cell r="L121">
            <v>60</v>
          </cell>
          <cell r="M121">
            <v>60</v>
          </cell>
          <cell r="N121">
            <v>60</v>
          </cell>
          <cell r="O121">
            <v>60</v>
          </cell>
          <cell r="P121">
            <v>70</v>
          </cell>
          <cell r="Q121">
            <v>80</v>
          </cell>
          <cell r="R121">
            <v>90</v>
          </cell>
          <cell r="S121">
            <v>110</v>
          </cell>
          <cell r="T121">
            <v>130</v>
          </cell>
          <cell r="U121">
            <v>130</v>
          </cell>
          <cell r="V121">
            <v>130</v>
          </cell>
          <cell r="W121">
            <v>150</v>
          </cell>
          <cell r="X121">
            <v>170</v>
          </cell>
          <cell r="Y121">
            <v>190</v>
          </cell>
          <cell r="Z121">
            <v>190</v>
          </cell>
          <cell r="AA121">
            <v>180</v>
          </cell>
          <cell r="AB121">
            <v>170</v>
          </cell>
          <cell r="AC121">
            <v>170</v>
          </cell>
          <cell r="AD121">
            <v>160</v>
          </cell>
          <cell r="AE121">
            <v>150</v>
          </cell>
          <cell r="AF121">
            <v>150</v>
          </cell>
          <cell r="AG121">
            <v>160</v>
          </cell>
          <cell r="AH121">
            <v>160</v>
          </cell>
          <cell r="AI121">
            <v>180</v>
          </cell>
          <cell r="AJ121">
            <v>210</v>
          </cell>
          <cell r="AK121">
            <v>200</v>
          </cell>
          <cell r="AL121">
            <v>220</v>
          </cell>
          <cell r="AM121">
            <v>160</v>
          </cell>
          <cell r="AN121">
            <v>160</v>
          </cell>
          <cell r="AO121">
            <v>170</v>
          </cell>
          <cell r="AP121">
            <v>200</v>
          </cell>
          <cell r="AQ121">
            <v>200</v>
          </cell>
          <cell r="AR121">
            <v>180</v>
          </cell>
          <cell r="AS121">
            <v>160</v>
          </cell>
          <cell r="AT121">
            <v>140</v>
          </cell>
          <cell r="AU121">
            <v>170</v>
          </cell>
          <cell r="AV121">
            <v>220</v>
          </cell>
          <cell r="AW121">
            <v>300</v>
          </cell>
          <cell r="AX121">
            <v>300</v>
          </cell>
          <cell r="AY121">
            <v>310</v>
          </cell>
          <cell r="AZ121">
            <v>330</v>
          </cell>
          <cell r="BA121">
            <v>370</v>
          </cell>
          <cell r="BB121">
            <v>410</v>
          </cell>
          <cell r="BC121">
            <v>450</v>
          </cell>
          <cell r="BD121">
            <v>490</v>
          </cell>
          <cell r="BE121">
            <v>460</v>
          </cell>
          <cell r="BF121">
            <v>410</v>
          </cell>
          <cell r="BG121">
            <v>370</v>
          </cell>
          <cell r="BH121">
            <v>350</v>
          </cell>
          <cell r="BI121">
            <v>340</v>
          </cell>
          <cell r="BJ121">
            <v>370</v>
          </cell>
          <cell r="BK121">
            <v>430</v>
          </cell>
          <cell r="BL121">
            <v>550</v>
          </cell>
          <cell r="BM121">
            <v>580</v>
          </cell>
          <cell r="BN121">
            <v>580</v>
          </cell>
        </row>
        <row r="122">
          <cell r="B122" t="str">
            <v>MYS</v>
          </cell>
          <cell r="C122" t="str">
            <v>GNI per capita, Atlas method (current US$)</v>
          </cell>
          <cell r="D122" t="str">
            <v>NY.GNP.PCAP.CD</v>
          </cell>
          <cell r="E122" t="str">
            <v>..</v>
          </cell>
          <cell r="F122" t="str">
            <v>..</v>
          </cell>
          <cell r="G122">
            <v>240</v>
          </cell>
          <cell r="H122">
            <v>250</v>
          </cell>
          <cell r="I122">
            <v>270</v>
          </cell>
          <cell r="J122">
            <v>300</v>
          </cell>
          <cell r="K122">
            <v>320</v>
          </cell>
          <cell r="L122">
            <v>330</v>
          </cell>
          <cell r="M122">
            <v>340</v>
          </cell>
          <cell r="N122">
            <v>350</v>
          </cell>
          <cell r="O122">
            <v>370</v>
          </cell>
          <cell r="P122">
            <v>390</v>
          </cell>
          <cell r="Q122">
            <v>440</v>
          </cell>
          <cell r="R122">
            <v>570</v>
          </cell>
          <cell r="S122">
            <v>750</v>
          </cell>
          <cell r="T122">
            <v>860</v>
          </cell>
          <cell r="U122">
            <v>920</v>
          </cell>
          <cell r="V122">
            <v>970</v>
          </cell>
          <cell r="W122">
            <v>1130</v>
          </cell>
          <cell r="X122">
            <v>1450</v>
          </cell>
          <cell r="Y122">
            <v>1790</v>
          </cell>
          <cell r="Z122">
            <v>1930</v>
          </cell>
          <cell r="AA122">
            <v>1860</v>
          </cell>
          <cell r="AB122">
            <v>1810</v>
          </cell>
          <cell r="AC122">
            <v>1950</v>
          </cell>
          <cell r="AD122">
            <v>1920</v>
          </cell>
          <cell r="AE122">
            <v>1860</v>
          </cell>
          <cell r="AF122">
            <v>1960</v>
          </cell>
          <cell r="AG122">
            <v>2140</v>
          </cell>
          <cell r="AH122">
            <v>2260</v>
          </cell>
          <cell r="AI122">
            <v>2400</v>
          </cell>
          <cell r="AJ122">
            <v>2560</v>
          </cell>
          <cell r="AK122">
            <v>2880</v>
          </cell>
          <cell r="AL122">
            <v>3230</v>
          </cell>
          <cell r="AM122">
            <v>3600</v>
          </cell>
          <cell r="AN122">
            <v>4050</v>
          </cell>
          <cell r="AO122">
            <v>4500</v>
          </cell>
          <cell r="AP122">
            <v>4620</v>
          </cell>
          <cell r="AQ122">
            <v>3640</v>
          </cell>
          <cell r="AR122">
            <v>3380</v>
          </cell>
          <cell r="AS122">
            <v>3460</v>
          </cell>
          <cell r="AT122">
            <v>3550</v>
          </cell>
          <cell r="AU122">
            <v>3790</v>
          </cell>
          <cell r="AV122">
            <v>4160</v>
          </cell>
          <cell r="AW122">
            <v>4740</v>
          </cell>
          <cell r="AX122">
            <v>5270</v>
          </cell>
          <cell r="AY122">
            <v>5840</v>
          </cell>
          <cell r="AZ122">
            <v>6630</v>
          </cell>
          <cell r="BA122">
            <v>7510</v>
          </cell>
          <cell r="BB122">
            <v>7600</v>
          </cell>
          <cell r="BC122">
            <v>8260</v>
          </cell>
          <cell r="BD122">
            <v>9050</v>
          </cell>
          <cell r="BE122">
            <v>10180</v>
          </cell>
          <cell r="BF122">
            <v>10840</v>
          </cell>
          <cell r="BG122">
            <v>11140</v>
          </cell>
          <cell r="BH122">
            <v>10680</v>
          </cell>
          <cell r="BI122">
            <v>10150</v>
          </cell>
          <cell r="BJ122">
            <v>9950</v>
          </cell>
          <cell r="BK122">
            <v>10650</v>
          </cell>
          <cell r="BL122">
            <v>11260</v>
          </cell>
          <cell r="BM122">
            <v>10570</v>
          </cell>
          <cell r="BN122">
            <v>10570</v>
          </cell>
        </row>
        <row r="123">
          <cell r="B123" t="str">
            <v>MDV</v>
          </cell>
          <cell r="C123" t="str">
            <v>GNI per capita, Atlas method (current US$)</v>
          </cell>
          <cell r="D123" t="str">
            <v>NY.GNP.PCAP.CD</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v>1760</v>
          </cell>
          <cell r="AQ123">
            <v>1860</v>
          </cell>
          <cell r="AR123">
            <v>1980</v>
          </cell>
          <cell r="AS123">
            <v>2070</v>
          </cell>
          <cell r="AT123">
            <v>2240</v>
          </cell>
          <cell r="AU123">
            <v>2620</v>
          </cell>
          <cell r="AV123">
            <v>3400</v>
          </cell>
          <cell r="AW123">
            <v>3770</v>
          </cell>
          <cell r="AX123">
            <v>3460</v>
          </cell>
          <cell r="AY123">
            <v>4540</v>
          </cell>
          <cell r="AZ123">
            <v>4480</v>
          </cell>
          <cell r="BA123">
            <v>5420</v>
          </cell>
          <cell r="BB123">
            <v>5460</v>
          </cell>
          <cell r="BC123">
            <v>5960</v>
          </cell>
          <cell r="BD123">
            <v>6590</v>
          </cell>
          <cell r="BE123">
            <v>6630</v>
          </cell>
          <cell r="BF123">
            <v>6800</v>
          </cell>
          <cell r="BG123">
            <v>7320</v>
          </cell>
          <cell r="BH123">
            <v>7650</v>
          </cell>
          <cell r="BI123">
            <v>8070</v>
          </cell>
          <cell r="BJ123">
            <v>8600</v>
          </cell>
          <cell r="BK123">
            <v>9210</v>
          </cell>
          <cell r="BL123">
            <v>9640</v>
          </cell>
          <cell r="BM123">
            <v>6490</v>
          </cell>
          <cell r="BN123">
            <v>6490</v>
          </cell>
        </row>
        <row r="124">
          <cell r="B124" t="str">
            <v>MLI</v>
          </cell>
          <cell r="C124" t="str">
            <v>GNI per capita, Atlas method (current US$)</v>
          </cell>
          <cell r="D124" t="str">
            <v>NY.GNP.PCAP.CD</v>
          </cell>
          <cell r="E124" t="str">
            <v>..</v>
          </cell>
          <cell r="F124" t="str">
            <v>..</v>
          </cell>
          <cell r="G124" t="str">
            <v>..</v>
          </cell>
          <cell r="H124" t="str">
            <v>..</v>
          </cell>
          <cell r="I124" t="str">
            <v>..</v>
          </cell>
          <cell r="J124" t="str">
            <v>..</v>
          </cell>
          <cell r="K124" t="str">
            <v>..</v>
          </cell>
          <cell r="L124" t="str">
            <v>..</v>
          </cell>
          <cell r="M124" t="str">
            <v>..</v>
          </cell>
          <cell r="N124">
            <v>60</v>
          </cell>
          <cell r="O124">
            <v>60</v>
          </cell>
          <cell r="P124">
            <v>70</v>
          </cell>
          <cell r="Q124">
            <v>80</v>
          </cell>
          <cell r="R124">
            <v>90</v>
          </cell>
          <cell r="S124">
            <v>100</v>
          </cell>
          <cell r="T124">
            <v>120</v>
          </cell>
          <cell r="U124">
            <v>140</v>
          </cell>
          <cell r="V124">
            <v>160</v>
          </cell>
          <cell r="W124">
            <v>170</v>
          </cell>
          <cell r="X124">
            <v>220</v>
          </cell>
          <cell r="Y124">
            <v>250</v>
          </cell>
          <cell r="Z124">
            <v>240</v>
          </cell>
          <cell r="AA124">
            <v>200</v>
          </cell>
          <cell r="AB124">
            <v>170</v>
          </cell>
          <cell r="AC124">
            <v>160</v>
          </cell>
          <cell r="AD124">
            <v>180</v>
          </cell>
          <cell r="AE124">
            <v>200</v>
          </cell>
          <cell r="AF124">
            <v>240</v>
          </cell>
          <cell r="AG124">
            <v>290</v>
          </cell>
          <cell r="AH124">
            <v>290</v>
          </cell>
          <cell r="AI124">
            <v>290</v>
          </cell>
          <cell r="AJ124">
            <v>320</v>
          </cell>
          <cell r="AK124">
            <v>330</v>
          </cell>
          <cell r="AL124">
            <v>320</v>
          </cell>
          <cell r="AM124">
            <v>280</v>
          </cell>
          <cell r="AN124">
            <v>270</v>
          </cell>
          <cell r="AO124">
            <v>270</v>
          </cell>
          <cell r="AP124">
            <v>280</v>
          </cell>
          <cell r="AQ124">
            <v>280</v>
          </cell>
          <cell r="AR124">
            <v>290</v>
          </cell>
          <cell r="AS124">
            <v>280</v>
          </cell>
          <cell r="AT124">
            <v>300</v>
          </cell>
          <cell r="AU124">
            <v>290</v>
          </cell>
          <cell r="AV124">
            <v>350</v>
          </cell>
          <cell r="AW124">
            <v>400</v>
          </cell>
          <cell r="AX124">
            <v>460</v>
          </cell>
          <cell r="AY124">
            <v>500</v>
          </cell>
          <cell r="AZ124">
            <v>530</v>
          </cell>
          <cell r="BA124">
            <v>610</v>
          </cell>
          <cell r="BB124">
            <v>660</v>
          </cell>
          <cell r="BC124">
            <v>700</v>
          </cell>
          <cell r="BD124">
            <v>730</v>
          </cell>
          <cell r="BE124">
            <v>730</v>
          </cell>
          <cell r="BF124">
            <v>780</v>
          </cell>
          <cell r="BG124">
            <v>810</v>
          </cell>
          <cell r="BH124">
            <v>800</v>
          </cell>
          <cell r="BI124">
            <v>780</v>
          </cell>
          <cell r="BJ124">
            <v>770</v>
          </cell>
          <cell r="BK124">
            <v>830</v>
          </cell>
          <cell r="BL124">
            <v>870</v>
          </cell>
          <cell r="BM124">
            <v>830</v>
          </cell>
          <cell r="BN124">
            <v>830</v>
          </cell>
        </row>
        <row r="125">
          <cell r="B125" t="str">
            <v>MLT</v>
          </cell>
          <cell r="C125" t="str">
            <v>GNI per capita, Atlas method (current US$)</v>
          </cell>
          <cell r="D125" t="str">
            <v>NY.GNP.PCAP.CD</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v>1090</v>
          </cell>
          <cell r="R125">
            <v>1260</v>
          </cell>
          <cell r="S125">
            <v>1560</v>
          </cell>
          <cell r="T125">
            <v>1990</v>
          </cell>
          <cell r="U125">
            <v>2120</v>
          </cell>
          <cell r="V125">
            <v>2320</v>
          </cell>
          <cell r="W125">
            <v>2660</v>
          </cell>
          <cell r="X125">
            <v>3300</v>
          </cell>
          <cell r="Y125">
            <v>4280</v>
          </cell>
          <cell r="Z125">
            <v>4670</v>
          </cell>
          <cell r="AA125">
            <v>4550</v>
          </cell>
          <cell r="AB125">
            <v>3940</v>
          </cell>
          <cell r="AC125">
            <v>3830</v>
          </cell>
          <cell r="AD125">
            <v>3690</v>
          </cell>
          <cell r="AE125">
            <v>4000</v>
          </cell>
          <cell r="AF125">
            <v>4930</v>
          </cell>
          <cell r="AG125">
            <v>6260</v>
          </cell>
          <cell r="AH125">
            <v>6910</v>
          </cell>
          <cell r="AI125">
            <v>7600</v>
          </cell>
          <cell r="AJ125">
            <v>7940</v>
          </cell>
          <cell r="AK125">
            <v>8720</v>
          </cell>
          <cell r="AL125">
            <v>8570</v>
          </cell>
          <cell r="AM125">
            <v>8600</v>
          </cell>
          <cell r="AN125">
            <v>9250</v>
          </cell>
          <cell r="AO125">
            <v>10010</v>
          </cell>
          <cell r="AP125">
            <v>10530</v>
          </cell>
          <cell r="AQ125">
            <v>10260</v>
          </cell>
          <cell r="AR125">
            <v>10710</v>
          </cell>
          <cell r="AS125">
            <v>11400</v>
          </cell>
          <cell r="AT125">
            <v>10950</v>
          </cell>
          <cell r="AU125">
            <v>10710</v>
          </cell>
          <cell r="AV125">
            <v>12170</v>
          </cell>
          <cell r="AW125">
            <v>14100</v>
          </cell>
          <cell r="AX125">
            <v>15660</v>
          </cell>
          <cell r="AY125">
            <v>16350</v>
          </cell>
          <cell r="AZ125">
            <v>17580</v>
          </cell>
          <cell r="BA125">
            <v>20410</v>
          </cell>
          <cell r="BB125">
            <v>20310</v>
          </cell>
          <cell r="BC125">
            <v>21370</v>
          </cell>
          <cell r="BD125">
            <v>22120</v>
          </cell>
          <cell r="BE125">
            <v>22160</v>
          </cell>
          <cell r="BF125">
            <v>23370</v>
          </cell>
          <cell r="BG125">
            <v>24560</v>
          </cell>
          <cell r="BH125">
            <v>25230</v>
          </cell>
          <cell r="BI125">
            <v>23590</v>
          </cell>
          <cell r="BJ125">
            <v>24140</v>
          </cell>
          <cell r="BK125">
            <v>27090</v>
          </cell>
          <cell r="BL125">
            <v>28340</v>
          </cell>
          <cell r="BM125">
            <v>25370</v>
          </cell>
          <cell r="BN125">
            <v>25370</v>
          </cell>
        </row>
        <row r="126">
          <cell r="B126" t="str">
            <v>MHL</v>
          </cell>
          <cell r="C126" t="str">
            <v>GNI per capita, Atlas method (current US$)</v>
          </cell>
          <cell r="D126" t="str">
            <v>NY.GNP.PCAP.CD</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v>3070</v>
          </cell>
          <cell r="AO126">
            <v>2690</v>
          </cell>
          <cell r="AP126">
            <v>2590</v>
          </cell>
          <cell r="AQ126">
            <v>2690</v>
          </cell>
          <cell r="AR126">
            <v>2830</v>
          </cell>
          <cell r="AS126">
            <v>2960</v>
          </cell>
          <cell r="AT126">
            <v>3110</v>
          </cell>
          <cell r="AU126">
            <v>3100</v>
          </cell>
          <cell r="AV126">
            <v>3130</v>
          </cell>
          <cell r="AW126">
            <v>3280</v>
          </cell>
          <cell r="AX126">
            <v>3440</v>
          </cell>
          <cell r="AY126">
            <v>3310</v>
          </cell>
          <cell r="AZ126">
            <v>3450</v>
          </cell>
          <cell r="BA126">
            <v>3280</v>
          </cell>
          <cell r="BB126">
            <v>3470</v>
          </cell>
          <cell r="BC126">
            <v>3550</v>
          </cell>
          <cell r="BD126">
            <v>3570</v>
          </cell>
          <cell r="BE126">
            <v>3470</v>
          </cell>
          <cell r="BF126">
            <v>3880</v>
          </cell>
          <cell r="BG126">
            <v>4040</v>
          </cell>
          <cell r="BH126">
            <v>4290</v>
          </cell>
          <cell r="BI126">
            <v>4250</v>
          </cell>
          <cell r="BJ126">
            <v>4440</v>
          </cell>
          <cell r="BK126">
            <v>4840</v>
          </cell>
          <cell r="BL126">
            <v>5050</v>
          </cell>
          <cell r="BM126">
            <v>4940</v>
          </cell>
          <cell r="BN126">
            <v>4940</v>
          </cell>
        </row>
        <row r="127">
          <cell r="B127" t="str">
            <v>MRT</v>
          </cell>
          <cell r="C127" t="str">
            <v>GNI per capita, Atlas method (current US$)</v>
          </cell>
          <cell r="D127" t="str">
            <v>NY.GNP.PCAP.CD</v>
          </cell>
          <cell r="E127" t="str">
            <v>..</v>
          </cell>
          <cell r="F127" t="str">
            <v>..</v>
          </cell>
          <cell r="G127" t="str">
            <v>..</v>
          </cell>
          <cell r="H127">
            <v>180</v>
          </cell>
          <cell r="I127">
            <v>230</v>
          </cell>
          <cell r="J127">
            <v>260</v>
          </cell>
          <cell r="K127">
            <v>260</v>
          </cell>
          <cell r="L127">
            <v>270</v>
          </cell>
          <cell r="M127">
            <v>290</v>
          </cell>
          <cell r="N127">
            <v>280</v>
          </cell>
          <cell r="O127">
            <v>290</v>
          </cell>
          <cell r="P127">
            <v>280</v>
          </cell>
          <cell r="Q127">
            <v>290</v>
          </cell>
          <cell r="R127">
            <v>340</v>
          </cell>
          <cell r="S127">
            <v>480</v>
          </cell>
          <cell r="T127">
            <v>510</v>
          </cell>
          <cell r="U127">
            <v>540</v>
          </cell>
          <cell r="V127">
            <v>550</v>
          </cell>
          <cell r="W127">
            <v>570</v>
          </cell>
          <cell r="X127">
            <v>640</v>
          </cell>
          <cell r="Y127">
            <v>710</v>
          </cell>
          <cell r="Z127">
            <v>720</v>
          </cell>
          <cell r="AA127">
            <v>670</v>
          </cell>
          <cell r="AB127">
            <v>640</v>
          </cell>
          <cell r="AC127">
            <v>610</v>
          </cell>
          <cell r="AD127">
            <v>580</v>
          </cell>
          <cell r="AE127">
            <v>610</v>
          </cell>
          <cell r="AF127">
            <v>670</v>
          </cell>
          <cell r="AG127">
            <v>740</v>
          </cell>
          <cell r="AH127">
            <v>760</v>
          </cell>
          <cell r="AI127">
            <v>730</v>
          </cell>
          <cell r="AJ127">
            <v>810</v>
          </cell>
          <cell r="AK127">
            <v>920</v>
          </cell>
          <cell r="AL127">
            <v>970</v>
          </cell>
          <cell r="AM127">
            <v>870</v>
          </cell>
          <cell r="AN127">
            <v>900</v>
          </cell>
          <cell r="AO127">
            <v>970</v>
          </cell>
          <cell r="AP127">
            <v>870</v>
          </cell>
          <cell r="AQ127">
            <v>830</v>
          </cell>
          <cell r="AR127">
            <v>820</v>
          </cell>
          <cell r="AS127">
            <v>730</v>
          </cell>
          <cell r="AT127">
            <v>650</v>
          </cell>
          <cell r="AU127">
            <v>650</v>
          </cell>
          <cell r="AV127">
            <v>710</v>
          </cell>
          <cell r="AW127">
            <v>800</v>
          </cell>
          <cell r="AX127">
            <v>940</v>
          </cell>
          <cell r="AY127">
            <v>1140</v>
          </cell>
          <cell r="AZ127">
            <v>1220</v>
          </cell>
          <cell r="BA127">
            <v>1380</v>
          </cell>
          <cell r="BB127">
            <v>1450</v>
          </cell>
          <cell r="BC127">
            <v>1500</v>
          </cell>
          <cell r="BD127">
            <v>1600</v>
          </cell>
          <cell r="BE127">
            <v>1760</v>
          </cell>
          <cell r="BF127">
            <v>1850</v>
          </cell>
          <cell r="BG127">
            <v>1750</v>
          </cell>
          <cell r="BH127">
            <v>1640</v>
          </cell>
          <cell r="BI127">
            <v>1510</v>
          </cell>
          <cell r="BJ127">
            <v>1530</v>
          </cell>
          <cell r="BK127">
            <v>1640</v>
          </cell>
          <cell r="BL127">
            <v>1720</v>
          </cell>
          <cell r="BM127">
            <v>1670</v>
          </cell>
          <cell r="BN127">
            <v>1670</v>
          </cell>
        </row>
        <row r="128">
          <cell r="B128" t="str">
            <v>MUS</v>
          </cell>
          <cell r="C128" t="str">
            <v>GNI per capita, Atlas method (current US$)</v>
          </cell>
          <cell r="D128" t="str">
            <v>NY.GNP.PCAP.CD</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v>1010</v>
          </cell>
          <cell r="X128">
            <v>1220</v>
          </cell>
          <cell r="Y128">
            <v>1240</v>
          </cell>
          <cell r="Z128">
            <v>1280</v>
          </cell>
          <cell r="AA128">
            <v>1190</v>
          </cell>
          <cell r="AB128">
            <v>1070</v>
          </cell>
          <cell r="AC128">
            <v>1030</v>
          </cell>
          <cell r="AD128">
            <v>1060</v>
          </cell>
          <cell r="AE128">
            <v>1250</v>
          </cell>
          <cell r="AF128">
            <v>1620</v>
          </cell>
          <cell r="AG128">
            <v>2060</v>
          </cell>
          <cell r="AH128">
            <v>2220</v>
          </cell>
          <cell r="AI128">
            <v>2430</v>
          </cell>
          <cell r="AJ128">
            <v>2620</v>
          </cell>
          <cell r="AK128">
            <v>2990</v>
          </cell>
          <cell r="AL128">
            <v>3120</v>
          </cell>
          <cell r="AM128">
            <v>3230</v>
          </cell>
          <cell r="AN128">
            <v>3470</v>
          </cell>
          <cell r="AO128">
            <v>3780</v>
          </cell>
          <cell r="AP128">
            <v>3900</v>
          </cell>
          <cell r="AQ128">
            <v>3780</v>
          </cell>
          <cell r="AR128">
            <v>3660</v>
          </cell>
          <cell r="AS128">
            <v>3900</v>
          </cell>
          <cell r="AT128">
            <v>3970</v>
          </cell>
          <cell r="AU128">
            <v>3960</v>
          </cell>
          <cell r="AV128">
            <v>4410</v>
          </cell>
          <cell r="AW128">
            <v>5170</v>
          </cell>
          <cell r="AX128">
            <v>5600</v>
          </cell>
          <cell r="AY128">
            <v>5930</v>
          </cell>
          <cell r="AZ128">
            <v>6490</v>
          </cell>
          <cell r="BA128">
            <v>7400</v>
          </cell>
          <cell r="BB128">
            <v>7800</v>
          </cell>
          <cell r="BC128">
            <v>8080</v>
          </cell>
          <cell r="BD128">
            <v>8400</v>
          </cell>
          <cell r="BE128">
            <v>9550</v>
          </cell>
          <cell r="BF128">
            <v>10520</v>
          </cell>
          <cell r="BG128">
            <v>10820</v>
          </cell>
          <cell r="BH128">
            <v>10700</v>
          </cell>
          <cell r="BI128">
            <v>10640</v>
          </cell>
          <cell r="BJ128">
            <v>10980</v>
          </cell>
          <cell r="BK128">
            <v>12270</v>
          </cell>
          <cell r="BL128">
            <v>12890</v>
          </cell>
          <cell r="BM128">
            <v>10230</v>
          </cell>
          <cell r="BN128">
            <v>10230</v>
          </cell>
        </row>
        <row r="129">
          <cell r="B129" t="str">
            <v>MEX</v>
          </cell>
          <cell r="C129" t="str">
            <v>GNI per capita, Atlas method (current US$)</v>
          </cell>
          <cell r="D129" t="str">
            <v>NY.GNP.PCAP.CD</v>
          </cell>
          <cell r="E129" t="str">
            <v>..</v>
          </cell>
          <cell r="F129" t="str">
            <v>..</v>
          </cell>
          <cell r="G129">
            <v>360</v>
          </cell>
          <cell r="H129">
            <v>390</v>
          </cell>
          <cell r="I129">
            <v>440</v>
          </cell>
          <cell r="J129">
            <v>480</v>
          </cell>
          <cell r="K129">
            <v>510</v>
          </cell>
          <cell r="L129">
            <v>560</v>
          </cell>
          <cell r="M129">
            <v>610</v>
          </cell>
          <cell r="N129">
            <v>640</v>
          </cell>
          <cell r="O129">
            <v>680</v>
          </cell>
          <cell r="P129">
            <v>730</v>
          </cell>
          <cell r="Q129">
            <v>820</v>
          </cell>
          <cell r="R129">
            <v>990</v>
          </cell>
          <cell r="S129">
            <v>1210</v>
          </cell>
          <cell r="T129">
            <v>1460</v>
          </cell>
          <cell r="U129">
            <v>1540</v>
          </cell>
          <cell r="V129">
            <v>1480</v>
          </cell>
          <cell r="W129">
            <v>1590</v>
          </cell>
          <cell r="X129">
            <v>1890</v>
          </cell>
          <cell r="Y129">
            <v>2560</v>
          </cell>
          <cell r="Z129">
            <v>3270</v>
          </cell>
          <cell r="AA129">
            <v>3000</v>
          </cell>
          <cell r="AB129">
            <v>2400</v>
          </cell>
          <cell r="AC129">
            <v>2200</v>
          </cell>
          <cell r="AD129">
            <v>2270</v>
          </cell>
          <cell r="AE129">
            <v>2080</v>
          </cell>
          <cell r="AF129">
            <v>2040</v>
          </cell>
          <cell r="AG129">
            <v>2090</v>
          </cell>
          <cell r="AH129">
            <v>2370</v>
          </cell>
          <cell r="AI129">
            <v>2790</v>
          </cell>
          <cell r="AJ129">
            <v>3250</v>
          </cell>
          <cell r="AK129">
            <v>3770</v>
          </cell>
          <cell r="AL129">
            <v>4490</v>
          </cell>
          <cell r="AM129">
            <v>5310</v>
          </cell>
          <cell r="AN129">
            <v>4790</v>
          </cell>
          <cell r="AO129">
            <v>4620</v>
          </cell>
          <cell r="AP129">
            <v>4660</v>
          </cell>
          <cell r="AQ129">
            <v>5000</v>
          </cell>
          <cell r="AR129">
            <v>5510</v>
          </cell>
          <cell r="AS129">
            <v>6210</v>
          </cell>
          <cell r="AT129">
            <v>6740</v>
          </cell>
          <cell r="AU129">
            <v>7100</v>
          </cell>
          <cell r="AV129">
            <v>7360</v>
          </cell>
          <cell r="AW129">
            <v>7820</v>
          </cell>
          <cell r="AX129">
            <v>8050</v>
          </cell>
          <cell r="AY129">
            <v>8690</v>
          </cell>
          <cell r="AZ129">
            <v>9250</v>
          </cell>
          <cell r="BA129">
            <v>9780</v>
          </cell>
          <cell r="BB129">
            <v>8820</v>
          </cell>
          <cell r="BC129">
            <v>9040</v>
          </cell>
          <cell r="BD129">
            <v>9310</v>
          </cell>
          <cell r="BE129">
            <v>10050</v>
          </cell>
          <cell r="BF129">
            <v>10270</v>
          </cell>
          <cell r="BG129">
            <v>10500</v>
          </cell>
          <cell r="BH129">
            <v>10160</v>
          </cell>
          <cell r="BI129">
            <v>9390</v>
          </cell>
          <cell r="BJ129">
            <v>8920</v>
          </cell>
          <cell r="BK129">
            <v>9180</v>
          </cell>
          <cell r="BL129">
            <v>9470</v>
          </cell>
          <cell r="BM129">
            <v>8480</v>
          </cell>
          <cell r="BN129">
            <v>8480</v>
          </cell>
        </row>
        <row r="130">
          <cell r="B130" t="str">
            <v>FSM</v>
          </cell>
          <cell r="C130" t="str">
            <v>GNI per capita, Atlas method (current US$)</v>
          </cell>
          <cell r="D130" t="str">
            <v>NY.GNP.PCAP.CD</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v>2120</v>
          </cell>
          <cell r="AM130">
            <v>2130</v>
          </cell>
          <cell r="AN130">
            <v>2200</v>
          </cell>
          <cell r="AO130">
            <v>2140</v>
          </cell>
          <cell r="AP130">
            <v>1930</v>
          </cell>
          <cell r="AQ130">
            <v>1950</v>
          </cell>
          <cell r="AR130">
            <v>2050</v>
          </cell>
          <cell r="AS130">
            <v>2210</v>
          </cell>
          <cell r="AT130">
            <v>2260</v>
          </cell>
          <cell r="AU130">
            <v>2270</v>
          </cell>
          <cell r="AV130">
            <v>2380</v>
          </cell>
          <cell r="AW130">
            <v>2440</v>
          </cell>
          <cell r="AX130">
            <v>2560</v>
          </cell>
          <cell r="AY130">
            <v>2560</v>
          </cell>
          <cell r="AZ130">
            <v>2570</v>
          </cell>
          <cell r="BA130">
            <v>2590</v>
          </cell>
          <cell r="BB130">
            <v>2820</v>
          </cell>
          <cell r="BC130">
            <v>2900</v>
          </cell>
          <cell r="BD130">
            <v>3070</v>
          </cell>
          <cell r="BE130">
            <v>3150</v>
          </cell>
          <cell r="BF130">
            <v>3180</v>
          </cell>
          <cell r="BG130">
            <v>3150</v>
          </cell>
          <cell r="BH130">
            <v>3490</v>
          </cell>
          <cell r="BI130">
            <v>3410</v>
          </cell>
          <cell r="BJ130">
            <v>3450</v>
          </cell>
          <cell r="BK130">
            <v>3400</v>
          </cell>
          <cell r="BL130">
            <v>3930</v>
          </cell>
          <cell r="BM130">
            <v>3950</v>
          </cell>
          <cell r="BN130">
            <v>3950</v>
          </cell>
        </row>
        <row r="131">
          <cell r="B131" t="str">
            <v>MDA</v>
          </cell>
          <cell r="C131" t="str">
            <v>GNI per capita, Atlas method (current US$)</v>
          </cell>
          <cell r="D131" t="str">
            <v>NY.GNP.PCAP.CD</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v>630</v>
          </cell>
          <cell r="AQ131">
            <v>580</v>
          </cell>
          <cell r="AR131">
            <v>510</v>
          </cell>
          <cell r="AS131">
            <v>490</v>
          </cell>
          <cell r="AT131">
            <v>500</v>
          </cell>
          <cell r="AU131">
            <v>590</v>
          </cell>
          <cell r="AV131">
            <v>710</v>
          </cell>
          <cell r="AW131">
            <v>910</v>
          </cell>
          <cell r="AX131">
            <v>1120</v>
          </cell>
          <cell r="AY131">
            <v>1280</v>
          </cell>
          <cell r="AZ131">
            <v>1440</v>
          </cell>
          <cell r="BA131">
            <v>1870</v>
          </cell>
          <cell r="BB131">
            <v>1950</v>
          </cell>
          <cell r="BC131">
            <v>2380</v>
          </cell>
          <cell r="BD131">
            <v>2730</v>
          </cell>
          <cell r="BE131">
            <v>3140</v>
          </cell>
          <cell r="BF131">
            <v>3620</v>
          </cell>
          <cell r="BG131">
            <v>3740</v>
          </cell>
          <cell r="BH131">
            <v>3300</v>
          </cell>
          <cell r="BI131">
            <v>3180</v>
          </cell>
          <cell r="BJ131">
            <v>3330</v>
          </cell>
          <cell r="BK131">
            <v>3920</v>
          </cell>
          <cell r="BL131">
            <v>4580</v>
          </cell>
          <cell r="BM131">
            <v>4560</v>
          </cell>
          <cell r="BN131">
            <v>4560</v>
          </cell>
        </row>
        <row r="132">
          <cell r="B132" t="str">
            <v>MCO</v>
          </cell>
          <cell r="C132" t="str">
            <v>GNI per capita, Atlas method (current US$)</v>
          </cell>
          <cell r="D132" t="str">
            <v>NY.GNP.PCAP.CD</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
          </cell>
        </row>
        <row r="133">
          <cell r="B133" t="str">
            <v>MNG</v>
          </cell>
          <cell r="C133" t="str">
            <v>GNI per capita, Atlas method (current US$)</v>
          </cell>
          <cell r="D133" t="str">
            <v>NY.GNP.PCAP.CD</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v>1440</v>
          </cell>
          <cell r="AC133">
            <v>1320</v>
          </cell>
          <cell r="AD133">
            <v>1230</v>
          </cell>
          <cell r="AE133">
            <v>1350</v>
          </cell>
          <cell r="AF133">
            <v>1520</v>
          </cell>
          <cell r="AG133">
            <v>1690</v>
          </cell>
          <cell r="AH133">
            <v>1590</v>
          </cell>
          <cell r="AI133">
            <v>1430</v>
          </cell>
          <cell r="AJ133">
            <v>1200</v>
          </cell>
          <cell r="AK133">
            <v>810</v>
          </cell>
          <cell r="AL133">
            <v>510</v>
          </cell>
          <cell r="AM133">
            <v>430</v>
          </cell>
          <cell r="AN133">
            <v>460</v>
          </cell>
          <cell r="AO133">
            <v>550</v>
          </cell>
          <cell r="AP133">
            <v>580</v>
          </cell>
          <cell r="AQ133">
            <v>520</v>
          </cell>
          <cell r="AR133">
            <v>480</v>
          </cell>
          <cell r="AS133">
            <v>470</v>
          </cell>
          <cell r="AT133">
            <v>480</v>
          </cell>
          <cell r="AU133">
            <v>530</v>
          </cell>
          <cell r="AV133">
            <v>610</v>
          </cell>
          <cell r="AW133">
            <v>760</v>
          </cell>
          <cell r="AX133">
            <v>900</v>
          </cell>
          <cell r="AY133">
            <v>1120</v>
          </cell>
          <cell r="AZ133">
            <v>1410</v>
          </cell>
          <cell r="BA133">
            <v>1800</v>
          </cell>
          <cell r="BB133">
            <v>1790</v>
          </cell>
          <cell r="BC133">
            <v>2000</v>
          </cell>
          <cell r="BD133">
            <v>2590</v>
          </cell>
          <cell r="BE133">
            <v>3650</v>
          </cell>
          <cell r="BF133">
            <v>4330</v>
          </cell>
          <cell r="BG133">
            <v>4210</v>
          </cell>
          <cell r="BH133">
            <v>3800</v>
          </cell>
          <cell r="BI133">
            <v>3490</v>
          </cell>
          <cell r="BJ133">
            <v>3240</v>
          </cell>
          <cell r="BK133">
            <v>3690</v>
          </cell>
          <cell r="BL133">
            <v>3850</v>
          </cell>
          <cell r="BM133">
            <v>3740</v>
          </cell>
          <cell r="BN133">
            <v>3740</v>
          </cell>
        </row>
        <row r="134">
          <cell r="B134" t="str">
            <v>MNE</v>
          </cell>
          <cell r="C134" t="str">
            <v>GNI per capita, Atlas method (current US$)</v>
          </cell>
          <cell r="D134" t="str">
            <v>NY.GNP.PCAP.CD</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v>1970</v>
          </cell>
          <cell r="AV134">
            <v>2440</v>
          </cell>
          <cell r="AW134">
            <v>3100</v>
          </cell>
          <cell r="AX134">
            <v>3660</v>
          </cell>
          <cell r="AY134">
            <v>4320</v>
          </cell>
          <cell r="AZ134">
            <v>5120</v>
          </cell>
          <cell r="BA134">
            <v>6470</v>
          </cell>
          <cell r="BB134">
            <v>6740</v>
          </cell>
          <cell r="BC134">
            <v>6920</v>
          </cell>
          <cell r="BD134">
            <v>7260</v>
          </cell>
          <cell r="BE134">
            <v>7000</v>
          </cell>
          <cell r="BF134">
            <v>7330</v>
          </cell>
          <cell r="BG134">
            <v>7320</v>
          </cell>
          <cell r="BH134">
            <v>7250</v>
          </cell>
          <cell r="BI134">
            <v>7090</v>
          </cell>
          <cell r="BJ134">
            <v>7400</v>
          </cell>
          <cell r="BK134">
            <v>8430</v>
          </cell>
          <cell r="BL134">
            <v>9130</v>
          </cell>
          <cell r="BM134">
            <v>7900</v>
          </cell>
          <cell r="BN134">
            <v>7900</v>
          </cell>
        </row>
        <row r="135">
          <cell r="B135" t="str">
            <v>MAR</v>
          </cell>
          <cell r="C135" t="str">
            <v>GNI per capita, Atlas method (current US$)</v>
          </cell>
          <cell r="D135" t="str">
            <v>NY.GNP.PCAP.CD</v>
          </cell>
          <cell r="E135" t="str">
            <v>..</v>
          </cell>
          <cell r="F135" t="str">
            <v>..</v>
          </cell>
          <cell r="G135" t="str">
            <v>..</v>
          </cell>
          <cell r="H135" t="str">
            <v>..</v>
          </cell>
          <cell r="I135" t="str">
            <v>..</v>
          </cell>
          <cell r="J135" t="str">
            <v>..</v>
          </cell>
          <cell r="K135" t="str">
            <v>..</v>
          </cell>
          <cell r="L135" t="str">
            <v>..</v>
          </cell>
          <cell r="M135">
            <v>220</v>
          </cell>
          <cell r="N135">
            <v>240</v>
          </cell>
          <cell r="O135">
            <v>250</v>
          </cell>
          <cell r="P135">
            <v>270</v>
          </cell>
          <cell r="Q135">
            <v>290</v>
          </cell>
          <cell r="R135">
            <v>350</v>
          </cell>
          <cell r="S135">
            <v>440</v>
          </cell>
          <cell r="T135">
            <v>540</v>
          </cell>
          <cell r="U135">
            <v>580</v>
          </cell>
          <cell r="V135">
            <v>600</v>
          </cell>
          <cell r="W135">
            <v>650</v>
          </cell>
          <cell r="X135">
            <v>780</v>
          </cell>
          <cell r="Y135">
            <v>980</v>
          </cell>
          <cell r="Z135">
            <v>960</v>
          </cell>
          <cell r="AA135">
            <v>940</v>
          </cell>
          <cell r="AB135">
            <v>790</v>
          </cell>
          <cell r="AC135">
            <v>730</v>
          </cell>
          <cell r="AD135">
            <v>680</v>
          </cell>
          <cell r="AE135">
            <v>770</v>
          </cell>
          <cell r="AF135">
            <v>860</v>
          </cell>
          <cell r="AG135">
            <v>1080</v>
          </cell>
          <cell r="AH135">
            <v>1110</v>
          </cell>
          <cell r="AI135">
            <v>1160</v>
          </cell>
          <cell r="AJ135">
            <v>1240</v>
          </cell>
          <cell r="AK135">
            <v>1270</v>
          </cell>
          <cell r="AL135">
            <v>1230</v>
          </cell>
          <cell r="AM135">
            <v>1350</v>
          </cell>
          <cell r="AN135">
            <v>1300</v>
          </cell>
          <cell r="AO135">
            <v>1510</v>
          </cell>
          <cell r="AP135">
            <v>1460</v>
          </cell>
          <cell r="AQ135">
            <v>1460</v>
          </cell>
          <cell r="AR135">
            <v>1410</v>
          </cell>
          <cell r="AS135">
            <v>1390</v>
          </cell>
          <cell r="AT135">
            <v>1400</v>
          </cell>
          <cell r="AU135">
            <v>1370</v>
          </cell>
          <cell r="AV135">
            <v>1540</v>
          </cell>
          <cell r="AW135">
            <v>1830</v>
          </cell>
          <cell r="AX135">
            <v>2070</v>
          </cell>
          <cell r="AY135">
            <v>2240</v>
          </cell>
          <cell r="AZ135">
            <v>2380</v>
          </cell>
          <cell r="BA135">
            <v>2700</v>
          </cell>
          <cell r="BB135">
            <v>2880</v>
          </cell>
          <cell r="BC135">
            <v>2930</v>
          </cell>
          <cell r="BD135">
            <v>3000</v>
          </cell>
          <cell r="BE135">
            <v>2980</v>
          </cell>
          <cell r="BF135">
            <v>3090</v>
          </cell>
          <cell r="BG135">
            <v>3060</v>
          </cell>
          <cell r="BH135">
            <v>3020</v>
          </cell>
          <cell r="BI135">
            <v>2880</v>
          </cell>
          <cell r="BJ135">
            <v>2880</v>
          </cell>
          <cell r="BK135">
            <v>3090</v>
          </cell>
          <cell r="BL135">
            <v>3200</v>
          </cell>
          <cell r="BM135">
            <v>3020</v>
          </cell>
          <cell r="BN135">
            <v>3020</v>
          </cell>
        </row>
        <row r="136">
          <cell r="B136" t="str">
            <v>MOZ</v>
          </cell>
          <cell r="C136" t="str">
            <v>GNI per capita, Atlas method (current US$)</v>
          </cell>
          <cell r="D136" t="str">
            <v>NY.GNP.PCAP.CD</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v>210</v>
          </cell>
          <cell r="AM136">
            <v>190</v>
          </cell>
          <cell r="AN136">
            <v>190</v>
          </cell>
          <cell r="AO136">
            <v>210</v>
          </cell>
          <cell r="AP136">
            <v>250</v>
          </cell>
          <cell r="AQ136">
            <v>290</v>
          </cell>
          <cell r="AR136">
            <v>330</v>
          </cell>
          <cell r="AS136">
            <v>320</v>
          </cell>
          <cell r="AT136">
            <v>320</v>
          </cell>
          <cell r="AU136">
            <v>290</v>
          </cell>
          <cell r="AV136">
            <v>320</v>
          </cell>
          <cell r="AW136">
            <v>360</v>
          </cell>
          <cell r="AX136">
            <v>400</v>
          </cell>
          <cell r="AY136">
            <v>420</v>
          </cell>
          <cell r="AZ136">
            <v>460</v>
          </cell>
          <cell r="BA136">
            <v>500</v>
          </cell>
          <cell r="BB136">
            <v>540</v>
          </cell>
          <cell r="BC136">
            <v>520</v>
          </cell>
          <cell r="BD136">
            <v>540</v>
          </cell>
          <cell r="BE136">
            <v>600</v>
          </cell>
          <cell r="BF136">
            <v>670</v>
          </cell>
          <cell r="BG136">
            <v>690</v>
          </cell>
          <cell r="BH136">
            <v>640</v>
          </cell>
          <cell r="BI136">
            <v>530</v>
          </cell>
          <cell r="BJ136">
            <v>470</v>
          </cell>
          <cell r="BK136">
            <v>460</v>
          </cell>
          <cell r="BL136">
            <v>490</v>
          </cell>
          <cell r="BM136">
            <v>460</v>
          </cell>
          <cell r="BN136">
            <v>460</v>
          </cell>
        </row>
        <row r="137">
          <cell r="B137" t="str">
            <v>MMR</v>
          </cell>
          <cell r="C137" t="str">
            <v>GNI per capita, Atlas method (current US$)</v>
          </cell>
          <cell r="D137" t="str">
            <v>NY.GNP.PCAP.CD</v>
          </cell>
          <cell r="E137" t="str">
            <v>..</v>
          </cell>
          <cell r="F137" t="str">
            <v>..</v>
          </cell>
          <cell r="G137" t="str">
            <v>..</v>
          </cell>
          <cell r="H137">
            <v>30</v>
          </cell>
          <cell r="I137">
            <v>30</v>
          </cell>
          <cell r="J137">
            <v>20</v>
          </cell>
          <cell r="K137">
            <v>20</v>
          </cell>
          <cell r="L137">
            <v>10</v>
          </cell>
          <cell r="M137">
            <v>10</v>
          </cell>
          <cell r="N137">
            <v>20</v>
          </cell>
          <cell r="O137">
            <v>20</v>
          </cell>
          <cell r="P137">
            <v>20</v>
          </cell>
          <cell r="Q137">
            <v>20</v>
          </cell>
          <cell r="R137">
            <v>20</v>
          </cell>
          <cell r="S137">
            <v>30</v>
          </cell>
          <cell r="T137">
            <v>40</v>
          </cell>
          <cell r="U137">
            <v>40</v>
          </cell>
          <cell r="V137">
            <v>40</v>
          </cell>
          <cell r="W137">
            <v>30</v>
          </cell>
          <cell r="X137">
            <v>30</v>
          </cell>
          <cell r="Y137">
            <v>30</v>
          </cell>
          <cell r="Z137">
            <v>30</v>
          </cell>
          <cell r="AA137">
            <v>30</v>
          </cell>
          <cell r="AB137">
            <v>30</v>
          </cell>
          <cell r="AC137">
            <v>40</v>
          </cell>
          <cell r="AD137">
            <v>30</v>
          </cell>
          <cell r="AE137">
            <v>40</v>
          </cell>
          <cell r="AF137">
            <v>40</v>
          </cell>
          <cell r="AG137">
            <v>40</v>
          </cell>
          <cell r="AH137">
            <v>40</v>
          </cell>
          <cell r="AI137">
            <v>40</v>
          </cell>
          <cell r="AJ137">
            <v>40</v>
          </cell>
          <cell r="AK137">
            <v>50</v>
          </cell>
          <cell r="AL137">
            <v>60</v>
          </cell>
          <cell r="AM137">
            <v>70</v>
          </cell>
          <cell r="AN137">
            <v>90</v>
          </cell>
          <cell r="AO137">
            <v>120</v>
          </cell>
          <cell r="AP137">
            <v>130</v>
          </cell>
          <cell r="AQ137">
            <v>120</v>
          </cell>
          <cell r="AR137">
            <v>120</v>
          </cell>
          <cell r="AS137">
            <v>130</v>
          </cell>
          <cell r="AT137">
            <v>140</v>
          </cell>
          <cell r="AU137">
            <v>130</v>
          </cell>
          <cell r="AV137">
            <v>150</v>
          </cell>
          <cell r="AW137">
            <v>170</v>
          </cell>
          <cell r="AX137">
            <v>200</v>
          </cell>
          <cell r="AY137">
            <v>230</v>
          </cell>
          <cell r="AZ137">
            <v>270</v>
          </cell>
          <cell r="BA137">
            <v>350</v>
          </cell>
          <cell r="BB137">
            <v>460</v>
          </cell>
          <cell r="BC137">
            <v>620</v>
          </cell>
          <cell r="BD137">
            <v>800</v>
          </cell>
          <cell r="BE137">
            <v>990</v>
          </cell>
          <cell r="BF137">
            <v>1160</v>
          </cell>
          <cell r="BG137">
            <v>1210</v>
          </cell>
          <cell r="BH137">
            <v>1170</v>
          </cell>
          <cell r="BI137">
            <v>1200</v>
          </cell>
          <cell r="BJ137">
            <v>1180</v>
          </cell>
          <cell r="BK137">
            <v>1220</v>
          </cell>
          <cell r="BL137">
            <v>1270</v>
          </cell>
          <cell r="BM137">
            <v>1350</v>
          </cell>
          <cell r="BN137">
            <v>1350</v>
          </cell>
        </row>
        <row r="138">
          <cell r="B138" t="str">
            <v>NAM</v>
          </cell>
          <cell r="C138" t="str">
            <v>GNI per capita, Atlas method (current US$)</v>
          </cell>
          <cell r="D138" t="str">
            <v>NY.GNP.PCAP.CD</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v>1980</v>
          </cell>
          <cell r="AB138">
            <v>1840</v>
          </cell>
          <cell r="AC138">
            <v>1670</v>
          </cell>
          <cell r="AD138">
            <v>1320</v>
          </cell>
          <cell r="AE138">
            <v>1340</v>
          </cell>
          <cell r="AF138">
            <v>1600</v>
          </cell>
          <cell r="AG138">
            <v>1690</v>
          </cell>
          <cell r="AH138">
            <v>1850</v>
          </cell>
          <cell r="AI138">
            <v>1990</v>
          </cell>
          <cell r="AJ138">
            <v>2150</v>
          </cell>
          <cell r="AK138">
            <v>2300</v>
          </cell>
          <cell r="AL138">
            <v>2200</v>
          </cell>
          <cell r="AM138">
            <v>2270</v>
          </cell>
          <cell r="AN138">
            <v>2460</v>
          </cell>
          <cell r="AO138">
            <v>2510</v>
          </cell>
          <cell r="AP138">
            <v>2500</v>
          </cell>
          <cell r="AQ138">
            <v>2370</v>
          </cell>
          <cell r="AR138">
            <v>2240</v>
          </cell>
          <cell r="AS138">
            <v>2240</v>
          </cell>
          <cell r="AT138">
            <v>2090</v>
          </cell>
          <cell r="AU138">
            <v>2010</v>
          </cell>
          <cell r="AV138">
            <v>2280</v>
          </cell>
          <cell r="AW138">
            <v>2900</v>
          </cell>
          <cell r="AX138">
            <v>3530</v>
          </cell>
          <cell r="AY138">
            <v>4030</v>
          </cell>
          <cell r="AZ138">
            <v>4230</v>
          </cell>
          <cell r="BA138">
            <v>4320</v>
          </cell>
          <cell r="BB138">
            <v>4250</v>
          </cell>
          <cell r="BC138">
            <v>4500</v>
          </cell>
          <cell r="BD138">
            <v>5130</v>
          </cell>
          <cell r="BE138">
            <v>5730</v>
          </cell>
          <cell r="BF138">
            <v>5950</v>
          </cell>
          <cell r="BG138">
            <v>5790</v>
          </cell>
          <cell r="BH138">
            <v>5310</v>
          </cell>
          <cell r="BI138">
            <v>4740</v>
          </cell>
          <cell r="BJ138">
            <v>4620</v>
          </cell>
          <cell r="BK138">
            <v>4920</v>
          </cell>
          <cell r="BL138">
            <v>5160</v>
          </cell>
          <cell r="BM138">
            <v>4500</v>
          </cell>
          <cell r="BN138">
            <v>4500</v>
          </cell>
        </row>
        <row r="139">
          <cell r="B139" t="str">
            <v>NRU</v>
          </cell>
          <cell r="C139" t="str">
            <v>GNI per capita, Atlas method (current US$)</v>
          </cell>
          <cell r="D139" t="str">
            <v>NY.GNP.PCAP.CD</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v>8870</v>
          </cell>
          <cell r="BF139">
            <v>13000</v>
          </cell>
          <cell r="BG139">
            <v>14920</v>
          </cell>
          <cell r="BH139">
            <v>13690</v>
          </cell>
          <cell r="BI139">
            <v>12720</v>
          </cell>
          <cell r="BJ139">
            <v>12340</v>
          </cell>
          <cell r="BK139">
            <v>14290</v>
          </cell>
          <cell r="BL139">
            <v>16620</v>
          </cell>
          <cell r="BM139">
            <v>15990</v>
          </cell>
          <cell r="BN139">
            <v>15990</v>
          </cell>
        </row>
        <row r="140">
          <cell r="B140" t="str">
            <v>NPL</v>
          </cell>
          <cell r="C140" t="str">
            <v>GNI per capita, Atlas method (current US$)</v>
          </cell>
          <cell r="D140" t="str">
            <v>NY.GNP.PCAP.CD</v>
          </cell>
          <cell r="E140" t="str">
            <v>..</v>
          </cell>
          <cell r="F140" t="str">
            <v>..</v>
          </cell>
          <cell r="G140">
            <v>50</v>
          </cell>
          <cell r="H140">
            <v>50</v>
          </cell>
          <cell r="I140">
            <v>50</v>
          </cell>
          <cell r="J140">
            <v>50</v>
          </cell>
          <cell r="K140">
            <v>70</v>
          </cell>
          <cell r="L140">
            <v>80</v>
          </cell>
          <cell r="M140">
            <v>70</v>
          </cell>
          <cell r="N140">
            <v>70</v>
          </cell>
          <cell r="O140">
            <v>70</v>
          </cell>
          <cell r="P140">
            <v>70</v>
          </cell>
          <cell r="Q140">
            <v>80</v>
          </cell>
          <cell r="R140">
            <v>80</v>
          </cell>
          <cell r="S140">
            <v>100</v>
          </cell>
          <cell r="T140">
            <v>110</v>
          </cell>
          <cell r="U140">
            <v>120</v>
          </cell>
          <cell r="V140">
            <v>120</v>
          </cell>
          <cell r="W140">
            <v>120</v>
          </cell>
          <cell r="X140">
            <v>130</v>
          </cell>
          <cell r="Y140">
            <v>140</v>
          </cell>
          <cell r="Z140">
            <v>160</v>
          </cell>
          <cell r="AA140">
            <v>150</v>
          </cell>
          <cell r="AB140">
            <v>140</v>
          </cell>
          <cell r="AC140">
            <v>160</v>
          </cell>
          <cell r="AD140">
            <v>160</v>
          </cell>
          <cell r="AE140">
            <v>170</v>
          </cell>
          <cell r="AF140">
            <v>180</v>
          </cell>
          <cell r="AG140">
            <v>200</v>
          </cell>
          <cell r="AH140">
            <v>210</v>
          </cell>
          <cell r="AI140">
            <v>210</v>
          </cell>
          <cell r="AJ140">
            <v>210</v>
          </cell>
          <cell r="AK140">
            <v>200</v>
          </cell>
          <cell r="AL140">
            <v>190</v>
          </cell>
          <cell r="AM140">
            <v>200</v>
          </cell>
          <cell r="AN140">
            <v>200</v>
          </cell>
          <cell r="AO140">
            <v>210</v>
          </cell>
          <cell r="AP140">
            <v>220</v>
          </cell>
          <cell r="AQ140">
            <v>210</v>
          </cell>
          <cell r="AR140">
            <v>220</v>
          </cell>
          <cell r="AS140">
            <v>230</v>
          </cell>
          <cell r="AT140">
            <v>240</v>
          </cell>
          <cell r="AU140">
            <v>240</v>
          </cell>
          <cell r="AV140">
            <v>260</v>
          </cell>
          <cell r="AW140">
            <v>280</v>
          </cell>
          <cell r="AX140">
            <v>310</v>
          </cell>
          <cell r="AY140">
            <v>340</v>
          </cell>
          <cell r="AZ140">
            <v>370</v>
          </cell>
          <cell r="BA140">
            <v>430</v>
          </cell>
          <cell r="BB140">
            <v>480</v>
          </cell>
          <cell r="BC140">
            <v>540</v>
          </cell>
          <cell r="BD140">
            <v>630</v>
          </cell>
          <cell r="BE140">
            <v>770</v>
          </cell>
          <cell r="BF140">
            <v>860</v>
          </cell>
          <cell r="BG140">
            <v>880</v>
          </cell>
          <cell r="BH140">
            <v>890</v>
          </cell>
          <cell r="BI140">
            <v>880</v>
          </cell>
          <cell r="BJ140">
            <v>990</v>
          </cell>
          <cell r="BK140">
            <v>1120</v>
          </cell>
          <cell r="BL140">
            <v>1230</v>
          </cell>
          <cell r="BM140">
            <v>1190</v>
          </cell>
          <cell r="BN140">
            <v>1190</v>
          </cell>
        </row>
        <row r="141">
          <cell r="B141" t="str">
            <v>NLD</v>
          </cell>
          <cell r="C141" t="str">
            <v>GNI per capita, Atlas method (current US$)</v>
          </cell>
          <cell r="D141" t="str">
            <v>NY.GNP.PCAP.CD</v>
          </cell>
          <cell r="E141" t="str">
            <v>..</v>
          </cell>
          <cell r="F141" t="str">
            <v>..</v>
          </cell>
          <cell r="G141">
            <v>1220</v>
          </cell>
          <cell r="H141">
            <v>1310</v>
          </cell>
          <cell r="I141">
            <v>1460</v>
          </cell>
          <cell r="J141">
            <v>1700</v>
          </cell>
          <cell r="K141">
            <v>1840</v>
          </cell>
          <cell r="L141">
            <v>2000</v>
          </cell>
          <cell r="M141">
            <v>2230</v>
          </cell>
          <cell r="N141">
            <v>2550</v>
          </cell>
          <cell r="O141">
            <v>2890</v>
          </cell>
          <cell r="P141">
            <v>3290</v>
          </cell>
          <cell r="Q141">
            <v>3850</v>
          </cell>
          <cell r="R141">
            <v>5070</v>
          </cell>
          <cell r="S141">
            <v>6370</v>
          </cell>
          <cell r="T141">
            <v>7630</v>
          </cell>
          <cell r="U141">
            <v>8350</v>
          </cell>
          <cell r="V141">
            <v>9100</v>
          </cell>
          <cell r="W141">
            <v>10460</v>
          </cell>
          <cell r="X141">
            <v>12760</v>
          </cell>
          <cell r="Y141">
            <v>14830</v>
          </cell>
          <cell r="Z141">
            <v>14000</v>
          </cell>
          <cell r="AA141">
            <v>12350</v>
          </cell>
          <cell r="AB141">
            <v>11070</v>
          </cell>
          <cell r="AC141">
            <v>10730</v>
          </cell>
          <cell r="AD141">
            <v>10330</v>
          </cell>
          <cell r="AE141">
            <v>11690</v>
          </cell>
          <cell r="AF141">
            <v>14720</v>
          </cell>
          <cell r="AG141">
            <v>18570</v>
          </cell>
          <cell r="AH141">
            <v>19540</v>
          </cell>
          <cell r="AI141">
            <v>20320</v>
          </cell>
          <cell r="AJ141">
            <v>21280</v>
          </cell>
          <cell r="AK141">
            <v>23520</v>
          </cell>
          <cell r="AL141">
            <v>24040</v>
          </cell>
          <cell r="AM141">
            <v>25370</v>
          </cell>
          <cell r="AN141">
            <v>27690</v>
          </cell>
          <cell r="AO141">
            <v>29750</v>
          </cell>
          <cell r="AP141">
            <v>29800</v>
          </cell>
          <cell r="AQ141">
            <v>28260</v>
          </cell>
          <cell r="AR141">
            <v>28670</v>
          </cell>
          <cell r="AS141">
            <v>28810</v>
          </cell>
          <cell r="AT141">
            <v>27390</v>
          </cell>
          <cell r="AU141">
            <v>27020</v>
          </cell>
          <cell r="AV141">
            <v>30950</v>
          </cell>
          <cell r="AW141">
            <v>37280</v>
          </cell>
          <cell r="AX141">
            <v>42050</v>
          </cell>
          <cell r="AY141">
            <v>45910</v>
          </cell>
          <cell r="AZ141">
            <v>49110</v>
          </cell>
          <cell r="BA141">
            <v>52670</v>
          </cell>
          <cell r="BB141">
            <v>53670</v>
          </cell>
          <cell r="BC141">
            <v>53910</v>
          </cell>
          <cell r="BD141">
            <v>54480</v>
          </cell>
          <cell r="BE141">
            <v>52940</v>
          </cell>
          <cell r="BF141">
            <v>52950</v>
          </cell>
          <cell r="BG141">
            <v>51980</v>
          </cell>
          <cell r="BH141">
            <v>49820</v>
          </cell>
          <cell r="BI141">
            <v>46900</v>
          </cell>
          <cell r="BJ141">
            <v>47110</v>
          </cell>
          <cell r="BK141">
            <v>51250</v>
          </cell>
          <cell r="BL141">
            <v>53180</v>
          </cell>
          <cell r="BM141">
            <v>51060</v>
          </cell>
          <cell r="BN141">
            <v>51060</v>
          </cell>
        </row>
        <row r="142">
          <cell r="B142" t="str">
            <v>NCL</v>
          </cell>
          <cell r="C142" t="str">
            <v>GNI per capita, Atlas method (current US$)</v>
          </cell>
          <cell r="D142" t="str">
            <v>NY.GNP.PCAP.CD</v>
          </cell>
          <cell r="E142" t="str">
            <v>..</v>
          </cell>
          <cell r="F142" t="str">
            <v>..</v>
          </cell>
          <cell r="G142" t="str">
            <v>..</v>
          </cell>
          <cell r="H142" t="str">
            <v>..</v>
          </cell>
          <cell r="I142" t="str">
            <v>..</v>
          </cell>
          <cell r="J142" t="str">
            <v>..</v>
          </cell>
          <cell r="K142" t="str">
            <v>..</v>
          </cell>
          <cell r="L142">
            <v>1830</v>
          </cell>
          <cell r="M142">
            <v>2160</v>
          </cell>
          <cell r="N142">
            <v>2520</v>
          </cell>
          <cell r="O142">
            <v>3220</v>
          </cell>
          <cell r="P142">
            <v>3420</v>
          </cell>
          <cell r="Q142">
            <v>3780</v>
          </cell>
          <cell r="R142">
            <v>4000</v>
          </cell>
          <cell r="S142">
            <v>5280</v>
          </cell>
          <cell r="T142">
            <v>6400</v>
          </cell>
          <cell r="U142">
            <v>6440</v>
          </cell>
          <cell r="V142">
            <v>6580</v>
          </cell>
          <cell r="W142">
            <v>6980</v>
          </cell>
          <cell r="X142">
            <v>6900</v>
          </cell>
          <cell r="Y142">
            <v>7980</v>
          </cell>
          <cell r="Z142">
            <v>7940</v>
          </cell>
          <cell r="AA142">
            <v>7160</v>
          </cell>
          <cell r="AB142">
            <v>5920</v>
          </cell>
          <cell r="AC142">
            <v>5480</v>
          </cell>
          <cell r="AD142">
            <v>5510</v>
          </cell>
          <cell r="AE142">
            <v>6170</v>
          </cell>
          <cell r="AF142">
            <v>8070</v>
          </cell>
          <cell r="AG142">
            <v>13270</v>
          </cell>
          <cell r="AH142">
            <v>14540</v>
          </cell>
          <cell r="AI142">
            <v>14760</v>
          </cell>
          <cell r="AJ142">
            <v>15200</v>
          </cell>
          <cell r="AK142">
            <v>16070</v>
          </cell>
          <cell r="AL142">
            <v>15880</v>
          </cell>
          <cell r="AM142">
            <v>16320</v>
          </cell>
          <cell r="AN142">
            <v>17720</v>
          </cell>
          <cell r="AO142">
            <v>18240</v>
          </cell>
          <cell r="AP142">
            <v>17810</v>
          </cell>
          <cell r="AQ142">
            <v>14520</v>
          </cell>
          <cell r="AR142">
            <v>13650</v>
          </cell>
          <cell r="AS142">
            <v>13210</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
          </cell>
        </row>
        <row r="143">
          <cell r="B143" t="str">
            <v>NZL</v>
          </cell>
          <cell r="C143" t="str">
            <v>GNI per capita, Atlas method (current US$)</v>
          </cell>
          <cell r="D143" t="str">
            <v>NY.GNP.PCAP.CD</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v>6530</v>
          </cell>
          <cell r="Y143">
            <v>7670</v>
          </cell>
          <cell r="Z143">
            <v>8240</v>
          </cell>
          <cell r="AA143">
            <v>7860</v>
          </cell>
          <cell r="AB143">
            <v>7370</v>
          </cell>
          <cell r="AC143">
            <v>7010</v>
          </cell>
          <cell r="AD143">
            <v>6950</v>
          </cell>
          <cell r="AE143">
            <v>7860</v>
          </cell>
          <cell r="AF143">
            <v>10010</v>
          </cell>
          <cell r="AG143">
            <v>12550</v>
          </cell>
          <cell r="AH143">
            <v>13570</v>
          </cell>
          <cell r="AI143">
            <v>13640</v>
          </cell>
          <cell r="AJ143">
            <v>12160</v>
          </cell>
          <cell r="AK143">
            <v>12050</v>
          </cell>
          <cell r="AL143">
            <v>12360</v>
          </cell>
          <cell r="AM143">
            <v>13400</v>
          </cell>
          <cell r="AN143">
            <v>15280</v>
          </cell>
          <cell r="AO143">
            <v>16730</v>
          </cell>
          <cell r="AP143">
            <v>17160</v>
          </cell>
          <cell r="AQ143">
            <v>15790</v>
          </cell>
          <cell r="AR143">
            <v>15040</v>
          </cell>
          <cell r="AS143">
            <v>14080</v>
          </cell>
          <cell r="AT143">
            <v>13810</v>
          </cell>
          <cell r="AU143">
            <v>14170</v>
          </cell>
          <cell r="AV143">
            <v>16960</v>
          </cell>
          <cell r="AW143">
            <v>21500</v>
          </cell>
          <cell r="AX143">
            <v>25440</v>
          </cell>
          <cell r="AY143">
            <v>26400</v>
          </cell>
          <cell r="AZ143">
            <v>28150</v>
          </cell>
          <cell r="BA143">
            <v>28630</v>
          </cell>
          <cell r="BB143">
            <v>29690</v>
          </cell>
          <cell r="BC143">
            <v>29680</v>
          </cell>
          <cell r="BD143">
            <v>32230</v>
          </cell>
          <cell r="BE143">
            <v>36700</v>
          </cell>
          <cell r="BF143">
            <v>39930</v>
          </cell>
          <cell r="BG143">
            <v>41680</v>
          </cell>
          <cell r="BH143">
            <v>40650</v>
          </cell>
          <cell r="BI143">
            <v>39440</v>
          </cell>
          <cell r="BJ143">
            <v>38910</v>
          </cell>
          <cell r="BK143">
            <v>41680</v>
          </cell>
          <cell r="BL143">
            <v>42870</v>
          </cell>
          <cell r="BM143">
            <v>41550</v>
          </cell>
          <cell r="BN143">
            <v>41550</v>
          </cell>
        </row>
        <row r="144">
          <cell r="B144" t="str">
            <v>NIC</v>
          </cell>
          <cell r="C144" t="str">
            <v>GNI per capita, Atlas method (current US$)</v>
          </cell>
          <cell r="D144" t="str">
            <v>NY.GNP.PCAP.CD</v>
          </cell>
          <cell r="E144" t="str">
            <v>..</v>
          </cell>
          <cell r="F144" t="str">
            <v>..</v>
          </cell>
          <cell r="G144">
            <v>140</v>
          </cell>
          <cell r="H144">
            <v>150</v>
          </cell>
          <cell r="I144">
            <v>160</v>
          </cell>
          <cell r="J144">
            <v>200</v>
          </cell>
          <cell r="K144">
            <v>230</v>
          </cell>
          <cell r="L144">
            <v>290</v>
          </cell>
          <cell r="M144">
            <v>290</v>
          </cell>
          <cell r="N144">
            <v>310</v>
          </cell>
          <cell r="O144">
            <v>310</v>
          </cell>
          <cell r="P144">
            <v>320</v>
          </cell>
          <cell r="Q144">
            <v>330</v>
          </cell>
          <cell r="R144">
            <v>380</v>
          </cell>
          <cell r="S144">
            <v>510</v>
          </cell>
          <cell r="T144">
            <v>570</v>
          </cell>
          <cell r="U144">
            <v>600</v>
          </cell>
          <cell r="V144">
            <v>680</v>
          </cell>
          <cell r="W144">
            <v>650</v>
          </cell>
          <cell r="X144">
            <v>500</v>
          </cell>
          <cell r="Y144">
            <v>600</v>
          </cell>
          <cell r="Z144">
            <v>660</v>
          </cell>
          <cell r="AA144">
            <v>680</v>
          </cell>
          <cell r="AB144">
            <v>680</v>
          </cell>
          <cell r="AC144">
            <v>700</v>
          </cell>
          <cell r="AD144">
            <v>690</v>
          </cell>
          <cell r="AE144">
            <v>750</v>
          </cell>
          <cell r="AF144">
            <v>860</v>
          </cell>
          <cell r="AG144">
            <v>680</v>
          </cell>
          <cell r="AH144">
            <v>360</v>
          </cell>
          <cell r="AI144">
            <v>310</v>
          </cell>
          <cell r="AJ144">
            <v>220</v>
          </cell>
          <cell r="AK144">
            <v>240</v>
          </cell>
          <cell r="AL144">
            <v>290</v>
          </cell>
          <cell r="AM144">
            <v>450</v>
          </cell>
          <cell r="AN144">
            <v>610</v>
          </cell>
          <cell r="AO144">
            <v>880</v>
          </cell>
          <cell r="AP144">
            <v>880</v>
          </cell>
          <cell r="AQ144">
            <v>880</v>
          </cell>
          <cell r="AR144">
            <v>930</v>
          </cell>
          <cell r="AS144">
            <v>960</v>
          </cell>
          <cell r="AT144">
            <v>970</v>
          </cell>
          <cell r="AU144">
            <v>960</v>
          </cell>
          <cell r="AV144">
            <v>1000</v>
          </cell>
          <cell r="AW144">
            <v>1080</v>
          </cell>
          <cell r="AX144">
            <v>1160</v>
          </cell>
          <cell r="AY144">
            <v>1200</v>
          </cell>
          <cell r="AZ144">
            <v>1290</v>
          </cell>
          <cell r="BA144">
            <v>1390</v>
          </cell>
          <cell r="BB144">
            <v>1380</v>
          </cell>
          <cell r="BC144">
            <v>1460</v>
          </cell>
          <cell r="BD144">
            <v>1570</v>
          </cell>
          <cell r="BE144">
            <v>1670</v>
          </cell>
          <cell r="BF144">
            <v>1740</v>
          </cell>
          <cell r="BG144">
            <v>1830</v>
          </cell>
          <cell r="BH144">
            <v>1890</v>
          </cell>
          <cell r="BI144">
            <v>1960</v>
          </cell>
          <cell r="BJ144">
            <v>2030</v>
          </cell>
          <cell r="BK144">
            <v>1970</v>
          </cell>
          <cell r="BL144">
            <v>1900</v>
          </cell>
          <cell r="BM144">
            <v>1850</v>
          </cell>
          <cell r="BN144">
            <v>1850</v>
          </cell>
        </row>
        <row r="145">
          <cell r="B145" t="str">
            <v>NER</v>
          </cell>
          <cell r="C145" t="str">
            <v>GNI per capita, Atlas method (current US$)</v>
          </cell>
          <cell r="D145" t="str">
            <v>NY.GNP.PCAP.CD</v>
          </cell>
          <cell r="E145" t="str">
            <v>..</v>
          </cell>
          <cell r="F145" t="str">
            <v>..</v>
          </cell>
          <cell r="G145">
            <v>150</v>
          </cell>
          <cell r="H145">
            <v>160</v>
          </cell>
          <cell r="I145">
            <v>160</v>
          </cell>
          <cell r="J145">
            <v>170</v>
          </cell>
          <cell r="K145">
            <v>170</v>
          </cell>
          <cell r="L145">
            <v>170</v>
          </cell>
          <cell r="M145">
            <v>160</v>
          </cell>
          <cell r="N145">
            <v>150</v>
          </cell>
          <cell r="O145">
            <v>150</v>
          </cell>
          <cell r="P145">
            <v>160</v>
          </cell>
          <cell r="Q145">
            <v>150</v>
          </cell>
          <cell r="R145">
            <v>160</v>
          </cell>
          <cell r="S145">
            <v>210</v>
          </cell>
          <cell r="T145">
            <v>230</v>
          </cell>
          <cell r="U145">
            <v>220</v>
          </cell>
          <cell r="V145">
            <v>230</v>
          </cell>
          <cell r="W145">
            <v>280</v>
          </cell>
          <cell r="X145">
            <v>350</v>
          </cell>
          <cell r="Y145">
            <v>410</v>
          </cell>
          <cell r="Z145">
            <v>390</v>
          </cell>
          <cell r="AA145">
            <v>360</v>
          </cell>
          <cell r="AB145">
            <v>290</v>
          </cell>
          <cell r="AC145">
            <v>210</v>
          </cell>
          <cell r="AD145">
            <v>220</v>
          </cell>
          <cell r="AE145">
            <v>250</v>
          </cell>
          <cell r="AF145">
            <v>270</v>
          </cell>
          <cell r="AG145">
            <v>330</v>
          </cell>
          <cell r="AH145">
            <v>320</v>
          </cell>
          <cell r="AI145">
            <v>340</v>
          </cell>
          <cell r="AJ145">
            <v>360</v>
          </cell>
          <cell r="AK145">
            <v>420</v>
          </cell>
          <cell r="AL145">
            <v>390</v>
          </cell>
          <cell r="AM145">
            <v>300</v>
          </cell>
          <cell r="AN145">
            <v>260</v>
          </cell>
          <cell r="AO145">
            <v>240</v>
          </cell>
          <cell r="AP145">
            <v>240</v>
          </cell>
          <cell r="AQ145">
            <v>250</v>
          </cell>
          <cell r="AR145">
            <v>240</v>
          </cell>
          <cell r="AS145">
            <v>220</v>
          </cell>
          <cell r="AT145">
            <v>220</v>
          </cell>
          <cell r="AU145">
            <v>220</v>
          </cell>
          <cell r="AV145">
            <v>250</v>
          </cell>
          <cell r="AW145">
            <v>280</v>
          </cell>
          <cell r="AX145">
            <v>330</v>
          </cell>
          <cell r="AY145">
            <v>360</v>
          </cell>
          <cell r="AZ145">
            <v>380</v>
          </cell>
          <cell r="BA145">
            <v>440</v>
          </cell>
          <cell r="BB145">
            <v>480</v>
          </cell>
          <cell r="BC145">
            <v>520</v>
          </cell>
          <cell r="BD145">
            <v>520</v>
          </cell>
          <cell r="BE145">
            <v>550</v>
          </cell>
          <cell r="BF145">
            <v>570</v>
          </cell>
          <cell r="BG145">
            <v>590</v>
          </cell>
          <cell r="BH145">
            <v>560</v>
          </cell>
          <cell r="BI145">
            <v>530</v>
          </cell>
          <cell r="BJ145">
            <v>520</v>
          </cell>
          <cell r="BK145">
            <v>570</v>
          </cell>
          <cell r="BL145">
            <v>590</v>
          </cell>
          <cell r="BM145">
            <v>550</v>
          </cell>
          <cell r="BN145">
            <v>550</v>
          </cell>
        </row>
        <row r="146">
          <cell r="B146" t="str">
            <v>NGA</v>
          </cell>
          <cell r="C146" t="str">
            <v>GNI per capita, Atlas method (current US$)</v>
          </cell>
          <cell r="D146" t="str">
            <v>NY.GNP.PCAP.CD</v>
          </cell>
          <cell r="E146" t="str">
            <v>..</v>
          </cell>
          <cell r="F146" t="str">
            <v>..</v>
          </cell>
          <cell r="G146">
            <v>100</v>
          </cell>
          <cell r="H146">
            <v>110</v>
          </cell>
          <cell r="I146">
            <v>110</v>
          </cell>
          <cell r="J146">
            <v>110</v>
          </cell>
          <cell r="K146">
            <v>110</v>
          </cell>
          <cell r="L146">
            <v>100</v>
          </cell>
          <cell r="M146">
            <v>100</v>
          </cell>
          <cell r="N146">
            <v>120</v>
          </cell>
          <cell r="O146">
            <v>170</v>
          </cell>
          <cell r="P146">
            <v>180</v>
          </cell>
          <cell r="Q146">
            <v>200</v>
          </cell>
          <cell r="R146">
            <v>220</v>
          </cell>
          <cell r="S146">
            <v>340</v>
          </cell>
          <cell r="T146">
            <v>400</v>
          </cell>
          <cell r="U146">
            <v>510</v>
          </cell>
          <cell r="V146">
            <v>560</v>
          </cell>
          <cell r="W146">
            <v>560</v>
          </cell>
          <cell r="X146">
            <v>640</v>
          </cell>
          <cell r="Y146">
            <v>760</v>
          </cell>
          <cell r="Z146">
            <v>970</v>
          </cell>
          <cell r="AA146">
            <v>1260</v>
          </cell>
          <cell r="AB146">
            <v>1450</v>
          </cell>
          <cell r="AC146">
            <v>1130</v>
          </cell>
          <cell r="AD146">
            <v>970</v>
          </cell>
          <cell r="AE146">
            <v>790</v>
          </cell>
          <cell r="AF146">
            <v>710</v>
          </cell>
          <cell r="AG146">
            <v>680</v>
          </cell>
          <cell r="AH146">
            <v>550</v>
          </cell>
          <cell r="AI146">
            <v>560</v>
          </cell>
          <cell r="AJ146">
            <v>510</v>
          </cell>
          <cell r="AK146">
            <v>510</v>
          </cell>
          <cell r="AL146">
            <v>360</v>
          </cell>
          <cell r="AM146">
            <v>310</v>
          </cell>
          <cell r="AN146">
            <v>310</v>
          </cell>
          <cell r="AO146">
            <v>390</v>
          </cell>
          <cell r="AP146">
            <v>440</v>
          </cell>
          <cell r="AQ146">
            <v>440</v>
          </cell>
          <cell r="AR146">
            <v>460</v>
          </cell>
          <cell r="AS146">
            <v>470</v>
          </cell>
          <cell r="AT146">
            <v>530</v>
          </cell>
          <cell r="AU146">
            <v>630</v>
          </cell>
          <cell r="AV146">
            <v>710</v>
          </cell>
          <cell r="AW146">
            <v>870</v>
          </cell>
          <cell r="AX146">
            <v>1030</v>
          </cell>
          <cell r="AY146">
            <v>1350</v>
          </cell>
          <cell r="AZ146">
            <v>1610</v>
          </cell>
          <cell r="BA146">
            <v>1970</v>
          </cell>
          <cell r="BB146">
            <v>2050</v>
          </cell>
          <cell r="BC146">
            <v>2150</v>
          </cell>
          <cell r="BD146">
            <v>2180</v>
          </cell>
          <cell r="BE146">
            <v>2440</v>
          </cell>
          <cell r="BF146">
            <v>2690</v>
          </cell>
          <cell r="BG146">
            <v>2940</v>
          </cell>
          <cell r="BH146">
            <v>2820</v>
          </cell>
          <cell r="BI146">
            <v>2430</v>
          </cell>
          <cell r="BJ146">
            <v>2090</v>
          </cell>
          <cell r="BK146">
            <v>1960</v>
          </cell>
          <cell r="BL146">
            <v>2030</v>
          </cell>
          <cell r="BM146">
            <v>2000</v>
          </cell>
          <cell r="BN146">
            <v>2000</v>
          </cell>
        </row>
        <row r="147">
          <cell r="B147" t="str">
            <v>MKD</v>
          </cell>
          <cell r="C147" t="str">
            <v>GNI per capita, Atlas method (current US$)</v>
          </cell>
          <cell r="D147" t="str">
            <v>NY.GNP.PCAP.CD</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v>1750</v>
          </cell>
          <cell r="AL147">
            <v>1460</v>
          </cell>
          <cell r="AM147">
            <v>1400</v>
          </cell>
          <cell r="AN147">
            <v>1790</v>
          </cell>
          <cell r="AO147">
            <v>2190</v>
          </cell>
          <cell r="AP147">
            <v>2220</v>
          </cell>
          <cell r="AQ147">
            <v>2010</v>
          </cell>
          <cell r="AR147">
            <v>1910</v>
          </cell>
          <cell r="AS147">
            <v>1920</v>
          </cell>
          <cell r="AT147">
            <v>1820</v>
          </cell>
          <cell r="AU147">
            <v>1850</v>
          </cell>
          <cell r="AV147">
            <v>2110</v>
          </cell>
          <cell r="AW147">
            <v>2590</v>
          </cell>
          <cell r="AX147">
            <v>3020</v>
          </cell>
          <cell r="AY147">
            <v>3350</v>
          </cell>
          <cell r="AZ147">
            <v>3620</v>
          </cell>
          <cell r="BA147">
            <v>4370</v>
          </cell>
          <cell r="BB147">
            <v>4650</v>
          </cell>
          <cell r="BC147">
            <v>4740</v>
          </cell>
          <cell r="BD147">
            <v>4840</v>
          </cell>
          <cell r="BE147">
            <v>4770</v>
          </cell>
          <cell r="BF147">
            <v>5030</v>
          </cell>
          <cell r="BG147">
            <v>5220</v>
          </cell>
          <cell r="BH147">
            <v>5130</v>
          </cell>
          <cell r="BI147">
            <v>5000</v>
          </cell>
          <cell r="BJ147">
            <v>4940</v>
          </cell>
          <cell r="BK147">
            <v>5500</v>
          </cell>
          <cell r="BL147">
            <v>5890</v>
          </cell>
          <cell r="BM147">
            <v>5750</v>
          </cell>
          <cell r="BN147">
            <v>5750</v>
          </cell>
        </row>
        <row r="148">
          <cell r="B148" t="str">
            <v>MNP</v>
          </cell>
          <cell r="C148" t="str">
            <v>GNI per capita, Atlas method (current US$)</v>
          </cell>
          <cell r="D148" t="str">
            <v>NY.GNP.PCAP.CD</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
          </cell>
        </row>
        <row r="149">
          <cell r="B149" t="str">
            <v>NOR</v>
          </cell>
          <cell r="C149" t="str">
            <v>GNI per capita, Atlas method (current US$)</v>
          </cell>
          <cell r="D149" t="str">
            <v>NY.GNP.PCAP.CD</v>
          </cell>
          <cell r="E149" t="str">
            <v>..</v>
          </cell>
          <cell r="F149" t="str">
            <v>..</v>
          </cell>
          <cell r="G149">
            <v>1610</v>
          </cell>
          <cell r="H149">
            <v>1710</v>
          </cell>
          <cell r="I149">
            <v>1860</v>
          </cell>
          <cell r="J149">
            <v>2050</v>
          </cell>
          <cell r="K149">
            <v>2240</v>
          </cell>
          <cell r="L149">
            <v>2470</v>
          </cell>
          <cell r="M149">
            <v>2630</v>
          </cell>
          <cell r="N149">
            <v>2850</v>
          </cell>
          <cell r="O149">
            <v>3120</v>
          </cell>
          <cell r="P149">
            <v>3570</v>
          </cell>
          <cell r="Q149">
            <v>4230</v>
          </cell>
          <cell r="R149">
            <v>5320</v>
          </cell>
          <cell r="S149">
            <v>6750</v>
          </cell>
          <cell r="T149">
            <v>8380</v>
          </cell>
          <cell r="U149">
            <v>9150</v>
          </cell>
          <cell r="V149">
            <v>9960</v>
          </cell>
          <cell r="W149">
            <v>11110</v>
          </cell>
          <cell r="X149">
            <v>13110</v>
          </cell>
          <cell r="Y149">
            <v>15650</v>
          </cell>
          <cell r="Z149">
            <v>16410</v>
          </cell>
          <cell r="AA149">
            <v>15750</v>
          </cell>
          <cell r="AB149">
            <v>14930</v>
          </cell>
          <cell r="AC149">
            <v>15140</v>
          </cell>
          <cell r="AD149">
            <v>15710</v>
          </cell>
          <cell r="AE149">
            <v>17550</v>
          </cell>
          <cell r="AF149">
            <v>20830</v>
          </cell>
          <cell r="AG149">
            <v>23970</v>
          </cell>
          <cell r="AH149">
            <v>25080</v>
          </cell>
          <cell r="AI149">
            <v>26500</v>
          </cell>
          <cell r="AJ149">
            <v>27820</v>
          </cell>
          <cell r="AK149">
            <v>30780</v>
          </cell>
          <cell r="AL149">
            <v>30210</v>
          </cell>
          <cell r="AM149">
            <v>30850</v>
          </cell>
          <cell r="AN149">
            <v>32690</v>
          </cell>
          <cell r="AO149">
            <v>35790</v>
          </cell>
          <cell r="AP149">
            <v>37910</v>
          </cell>
          <cell r="AQ149">
            <v>36100</v>
          </cell>
          <cell r="AR149">
            <v>35540</v>
          </cell>
          <cell r="AS149">
            <v>36540</v>
          </cell>
          <cell r="AT149">
            <v>38220</v>
          </cell>
          <cell r="AU149">
            <v>39890</v>
          </cell>
          <cell r="AV149">
            <v>44750</v>
          </cell>
          <cell r="AW149">
            <v>54140</v>
          </cell>
          <cell r="AX149">
            <v>63830</v>
          </cell>
          <cell r="AY149">
            <v>70020</v>
          </cell>
          <cell r="AZ149">
            <v>78470</v>
          </cell>
          <cell r="BA149">
            <v>87470</v>
          </cell>
          <cell r="BB149">
            <v>87830</v>
          </cell>
          <cell r="BC149">
            <v>88490</v>
          </cell>
          <cell r="BD149">
            <v>90330</v>
          </cell>
          <cell r="BE149">
            <v>99110</v>
          </cell>
          <cell r="BF149">
            <v>104190</v>
          </cell>
          <cell r="BG149">
            <v>104370</v>
          </cell>
          <cell r="BH149">
            <v>92910</v>
          </cell>
          <cell r="BI149">
            <v>81370</v>
          </cell>
          <cell r="BJ149">
            <v>75650</v>
          </cell>
          <cell r="BK149">
            <v>80320</v>
          </cell>
          <cell r="BL149">
            <v>81640</v>
          </cell>
          <cell r="BM149">
            <v>78290</v>
          </cell>
          <cell r="BN149">
            <v>78290</v>
          </cell>
        </row>
        <row r="150">
          <cell r="B150" t="str">
            <v>OMN</v>
          </cell>
          <cell r="C150" t="str">
            <v>GNI per capita, Atlas method (current US$)</v>
          </cell>
          <cell r="D150" t="str">
            <v>NY.GNP.PCAP.CD</v>
          </cell>
          <cell r="E150" t="str">
            <v>..</v>
          </cell>
          <cell r="F150" t="str">
            <v>..</v>
          </cell>
          <cell r="G150" t="str">
            <v>..</v>
          </cell>
          <cell r="H150" t="str">
            <v>..</v>
          </cell>
          <cell r="I150" t="str">
            <v>..</v>
          </cell>
          <cell r="J150" t="str">
            <v>..</v>
          </cell>
          <cell r="K150" t="str">
            <v>..</v>
          </cell>
          <cell r="L150">
            <v>160</v>
          </cell>
          <cell r="M150">
            <v>230</v>
          </cell>
          <cell r="N150">
            <v>280</v>
          </cell>
          <cell r="O150">
            <v>320</v>
          </cell>
          <cell r="P150">
            <v>330</v>
          </cell>
          <cell r="Q150">
            <v>360</v>
          </cell>
          <cell r="R150">
            <v>310</v>
          </cell>
          <cell r="S150">
            <v>700</v>
          </cell>
          <cell r="T150">
            <v>1510</v>
          </cell>
          <cell r="U150">
            <v>2770</v>
          </cell>
          <cell r="V150">
            <v>2720</v>
          </cell>
          <cell r="W150">
            <v>2650</v>
          </cell>
          <cell r="X150">
            <v>3070</v>
          </cell>
          <cell r="Y150">
            <v>3960</v>
          </cell>
          <cell r="Z150">
            <v>5480</v>
          </cell>
          <cell r="AA150">
            <v>6210</v>
          </cell>
          <cell r="AB150">
            <v>6160</v>
          </cell>
          <cell r="AC150">
            <v>6320</v>
          </cell>
          <cell r="AD150">
            <v>6560</v>
          </cell>
          <cell r="AE150">
            <v>5930</v>
          </cell>
          <cell r="AF150">
            <v>5390</v>
          </cell>
          <cell r="AG150">
            <v>5210</v>
          </cell>
          <cell r="AH150">
            <v>5660</v>
          </cell>
          <cell r="AI150">
            <v>5710</v>
          </cell>
          <cell r="AJ150">
            <v>6040</v>
          </cell>
          <cell r="AK150">
            <v>6510</v>
          </cell>
          <cell r="AL150">
            <v>6280</v>
          </cell>
          <cell r="AM150">
            <v>6160</v>
          </cell>
          <cell r="AN150">
            <v>6270</v>
          </cell>
          <cell r="AO150">
            <v>6470</v>
          </cell>
          <cell r="AP150">
            <v>6810</v>
          </cell>
          <cell r="AQ150">
            <v>6530</v>
          </cell>
          <cell r="AR150">
            <v>6370</v>
          </cell>
          <cell r="AS150">
            <v>7070</v>
          </cell>
          <cell r="AT150">
            <v>7830</v>
          </cell>
          <cell r="AU150">
            <v>8000</v>
          </cell>
          <cell r="AV150">
            <v>8290</v>
          </cell>
          <cell r="AW150">
            <v>9410</v>
          </cell>
          <cell r="AX150">
            <v>10690</v>
          </cell>
          <cell r="AY150">
            <v>12660</v>
          </cell>
          <cell r="AZ150">
            <v>14560</v>
          </cell>
          <cell r="BA150">
            <v>17430</v>
          </cell>
          <cell r="BB150">
            <v>17740</v>
          </cell>
          <cell r="BC150">
            <v>16080</v>
          </cell>
          <cell r="BD150">
            <v>18620</v>
          </cell>
          <cell r="BE150">
            <v>22270</v>
          </cell>
          <cell r="BF150">
            <v>23340</v>
          </cell>
          <cell r="BG150">
            <v>21920</v>
          </cell>
          <cell r="BH150">
            <v>20160</v>
          </cell>
          <cell r="BI150">
            <v>18190</v>
          </cell>
          <cell r="BJ150">
            <v>16130</v>
          </cell>
          <cell r="BK150">
            <v>16370</v>
          </cell>
          <cell r="BL150">
            <v>16430</v>
          </cell>
          <cell r="BM150">
            <v>15030</v>
          </cell>
          <cell r="BN150">
            <v>15030</v>
          </cell>
        </row>
        <row r="151">
          <cell r="B151" t="str">
            <v>PAK</v>
          </cell>
          <cell r="C151" t="str">
            <v>GNI per capita, Atlas method (current US$)</v>
          </cell>
          <cell r="D151" t="str">
            <v>NY.GNP.PCAP.CD</v>
          </cell>
          <cell r="E151" t="str">
            <v>..</v>
          </cell>
          <cell r="F151" t="str">
            <v>..</v>
          </cell>
          <cell r="G151">
            <v>90</v>
          </cell>
          <cell r="H151">
            <v>100</v>
          </cell>
          <cell r="I151">
            <v>100</v>
          </cell>
          <cell r="J151">
            <v>110</v>
          </cell>
          <cell r="K151">
            <v>120</v>
          </cell>
          <cell r="L151">
            <v>130</v>
          </cell>
          <cell r="M151">
            <v>150</v>
          </cell>
          <cell r="N151">
            <v>160</v>
          </cell>
          <cell r="O151">
            <v>170</v>
          </cell>
          <cell r="P151">
            <v>180</v>
          </cell>
          <cell r="Q151">
            <v>170</v>
          </cell>
          <cell r="R151">
            <v>150</v>
          </cell>
          <cell r="S151">
            <v>150</v>
          </cell>
          <cell r="T151">
            <v>160</v>
          </cell>
          <cell r="U151">
            <v>180</v>
          </cell>
          <cell r="V151">
            <v>200</v>
          </cell>
          <cell r="W151">
            <v>240</v>
          </cell>
          <cell r="X151">
            <v>270</v>
          </cell>
          <cell r="Y151">
            <v>320</v>
          </cell>
          <cell r="Z151">
            <v>350</v>
          </cell>
          <cell r="AA151">
            <v>360</v>
          </cell>
          <cell r="AB151">
            <v>350</v>
          </cell>
          <cell r="AC151">
            <v>350</v>
          </cell>
          <cell r="AD151">
            <v>340</v>
          </cell>
          <cell r="AE151">
            <v>360</v>
          </cell>
          <cell r="AF151">
            <v>370</v>
          </cell>
          <cell r="AG151">
            <v>400</v>
          </cell>
          <cell r="AH151">
            <v>400</v>
          </cell>
          <cell r="AI151">
            <v>400</v>
          </cell>
          <cell r="AJ151">
            <v>400</v>
          </cell>
          <cell r="AK151">
            <v>430</v>
          </cell>
          <cell r="AL151">
            <v>440</v>
          </cell>
          <cell r="AM151">
            <v>440</v>
          </cell>
          <cell r="AN151">
            <v>470</v>
          </cell>
          <cell r="AO151">
            <v>480</v>
          </cell>
          <cell r="AP151">
            <v>470</v>
          </cell>
          <cell r="AQ151">
            <v>450</v>
          </cell>
          <cell r="AR151">
            <v>440</v>
          </cell>
          <cell r="AS151">
            <v>480</v>
          </cell>
          <cell r="AT151">
            <v>510</v>
          </cell>
          <cell r="AU151">
            <v>530</v>
          </cell>
          <cell r="AV151">
            <v>570</v>
          </cell>
          <cell r="AW151">
            <v>660</v>
          </cell>
          <cell r="AX151">
            <v>740</v>
          </cell>
          <cell r="AY151">
            <v>800</v>
          </cell>
          <cell r="AZ151">
            <v>860</v>
          </cell>
          <cell r="BA151">
            <v>920</v>
          </cell>
          <cell r="BB151">
            <v>950</v>
          </cell>
          <cell r="BC151">
            <v>970</v>
          </cell>
          <cell r="BD151">
            <v>1030</v>
          </cell>
          <cell r="BE151">
            <v>1120</v>
          </cell>
          <cell r="BF151">
            <v>1210</v>
          </cell>
          <cell r="BG151">
            <v>1230</v>
          </cell>
          <cell r="BH151">
            <v>1260</v>
          </cell>
          <cell r="BI151">
            <v>1310</v>
          </cell>
          <cell r="BJ151">
            <v>1400</v>
          </cell>
          <cell r="BK151">
            <v>1480</v>
          </cell>
          <cell r="BL151">
            <v>1410</v>
          </cell>
          <cell r="BM151">
            <v>1270</v>
          </cell>
          <cell r="BN151">
            <v>1270</v>
          </cell>
        </row>
        <row r="152">
          <cell r="B152" t="str">
            <v>PLW</v>
          </cell>
          <cell r="C152" t="str">
            <v>GNI per capita, Atlas method (current US$)</v>
          </cell>
          <cell r="D152" t="str">
            <v>NY.GNP.PCAP.CD</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v>9200</v>
          </cell>
          <cell r="AV152">
            <v>8810</v>
          </cell>
          <cell r="AW152">
            <v>9420</v>
          </cell>
          <cell r="AX152">
            <v>10350</v>
          </cell>
          <cell r="AY152">
            <v>10830</v>
          </cell>
          <cell r="AZ152">
            <v>11780</v>
          </cell>
          <cell r="BA152">
            <v>11800</v>
          </cell>
          <cell r="BB152">
            <v>11090</v>
          </cell>
          <cell r="BC152">
            <v>11400</v>
          </cell>
          <cell r="BD152">
            <v>12270</v>
          </cell>
          <cell r="BE152">
            <v>12760</v>
          </cell>
          <cell r="BF152">
            <v>12870</v>
          </cell>
          <cell r="BG152">
            <v>14150</v>
          </cell>
          <cell r="BH152">
            <v>15860</v>
          </cell>
          <cell r="BI152">
            <v>16720</v>
          </cell>
          <cell r="BJ152">
            <v>16540</v>
          </cell>
          <cell r="BK152">
            <v>17380</v>
          </cell>
          <cell r="BL152">
            <v>16710</v>
          </cell>
          <cell r="BM152">
            <v>14390</v>
          </cell>
          <cell r="BN152">
            <v>14390</v>
          </cell>
        </row>
        <row r="153">
          <cell r="B153" t="str">
            <v>PAN</v>
          </cell>
          <cell r="C153" t="str">
            <v>GNI per capita, Atlas method (current US$)</v>
          </cell>
          <cell r="D153" t="str">
            <v>NY.GNP.PCAP.CD</v>
          </cell>
          <cell r="E153" t="str">
            <v>..</v>
          </cell>
          <cell r="F153" t="str">
            <v>..</v>
          </cell>
          <cell r="G153">
            <v>490</v>
          </cell>
          <cell r="H153">
            <v>530</v>
          </cell>
          <cell r="I153">
            <v>550</v>
          </cell>
          <cell r="J153">
            <v>590</v>
          </cell>
          <cell r="K153">
            <v>630</v>
          </cell>
          <cell r="L153">
            <v>670</v>
          </cell>
          <cell r="M153">
            <v>710</v>
          </cell>
          <cell r="N153">
            <v>770</v>
          </cell>
          <cell r="O153">
            <v>810</v>
          </cell>
          <cell r="P153">
            <v>890</v>
          </cell>
          <cell r="Q153">
            <v>960</v>
          </cell>
          <cell r="R153">
            <v>1090</v>
          </cell>
          <cell r="S153">
            <v>1220</v>
          </cell>
          <cell r="T153">
            <v>1370</v>
          </cell>
          <cell r="U153">
            <v>1350</v>
          </cell>
          <cell r="V153">
            <v>1550</v>
          </cell>
          <cell r="W153">
            <v>1790</v>
          </cell>
          <cell r="X153">
            <v>2020</v>
          </cell>
          <cell r="Y153">
            <v>2260</v>
          </cell>
          <cell r="Z153">
            <v>2470</v>
          </cell>
          <cell r="AA153">
            <v>2630</v>
          </cell>
          <cell r="AB153">
            <v>2540</v>
          </cell>
          <cell r="AC153">
            <v>2570</v>
          </cell>
          <cell r="AD153">
            <v>2840</v>
          </cell>
          <cell r="AE153">
            <v>2910</v>
          </cell>
          <cell r="AF153">
            <v>3260</v>
          </cell>
          <cell r="AG153">
            <v>2750</v>
          </cell>
          <cell r="AH153">
            <v>2560</v>
          </cell>
          <cell r="AI153">
            <v>2640</v>
          </cell>
          <cell r="AJ153">
            <v>2730</v>
          </cell>
          <cell r="AK153">
            <v>3010</v>
          </cell>
          <cell r="AL153">
            <v>3240</v>
          </cell>
          <cell r="AM153">
            <v>3410</v>
          </cell>
          <cell r="AN153">
            <v>3410</v>
          </cell>
          <cell r="AO153">
            <v>3570</v>
          </cell>
          <cell r="AP153">
            <v>3610</v>
          </cell>
          <cell r="AQ153">
            <v>3680</v>
          </cell>
          <cell r="AR153">
            <v>3750</v>
          </cell>
          <cell r="AS153">
            <v>3880</v>
          </cell>
          <cell r="AT153">
            <v>3830</v>
          </cell>
          <cell r="AU153">
            <v>3940</v>
          </cell>
          <cell r="AV153">
            <v>4040</v>
          </cell>
          <cell r="AW153">
            <v>4460</v>
          </cell>
          <cell r="AX153">
            <v>4790</v>
          </cell>
          <cell r="AY153">
            <v>5100</v>
          </cell>
          <cell r="AZ153">
            <v>5770</v>
          </cell>
          <cell r="BA153">
            <v>6540</v>
          </cell>
          <cell r="BB153">
            <v>6900</v>
          </cell>
          <cell r="BC153">
            <v>7260</v>
          </cell>
          <cell r="BD153">
            <v>8550</v>
          </cell>
          <cell r="BE153">
            <v>9540</v>
          </cell>
          <cell r="BF153">
            <v>10630</v>
          </cell>
          <cell r="BG153">
            <v>11190</v>
          </cell>
          <cell r="BH153">
            <v>12200</v>
          </cell>
          <cell r="BI153">
            <v>12780</v>
          </cell>
          <cell r="BJ153">
            <v>13750</v>
          </cell>
          <cell r="BK153">
            <v>14490</v>
          </cell>
          <cell r="BL153">
            <v>14920</v>
          </cell>
          <cell r="BM153">
            <v>12420</v>
          </cell>
          <cell r="BN153">
            <v>12420</v>
          </cell>
        </row>
        <row r="154">
          <cell r="B154" t="str">
            <v>PNG</v>
          </cell>
          <cell r="C154" t="str">
            <v>GNI per capita, Atlas method (current US$)</v>
          </cell>
          <cell r="D154" t="str">
            <v>NY.GNP.PCAP.CD</v>
          </cell>
          <cell r="E154" t="str">
            <v>..</v>
          </cell>
          <cell r="F154" t="str">
            <v>..</v>
          </cell>
          <cell r="G154">
            <v>110</v>
          </cell>
          <cell r="H154">
            <v>120</v>
          </cell>
          <cell r="I154">
            <v>120</v>
          </cell>
          <cell r="J154">
            <v>140</v>
          </cell>
          <cell r="K154">
            <v>150</v>
          </cell>
          <cell r="L154">
            <v>160</v>
          </cell>
          <cell r="M154">
            <v>180</v>
          </cell>
          <cell r="N154">
            <v>200</v>
          </cell>
          <cell r="O154">
            <v>220</v>
          </cell>
          <cell r="P154">
            <v>240</v>
          </cell>
          <cell r="Q154">
            <v>270</v>
          </cell>
          <cell r="R154">
            <v>350</v>
          </cell>
          <cell r="S154">
            <v>440</v>
          </cell>
          <cell r="T154">
            <v>490</v>
          </cell>
          <cell r="U154">
            <v>470</v>
          </cell>
          <cell r="V154">
            <v>470</v>
          </cell>
          <cell r="W154">
            <v>570</v>
          </cell>
          <cell r="X154">
            <v>640</v>
          </cell>
          <cell r="Y154">
            <v>710</v>
          </cell>
          <cell r="Z154">
            <v>720</v>
          </cell>
          <cell r="AA154">
            <v>650</v>
          </cell>
          <cell r="AB154">
            <v>610</v>
          </cell>
          <cell r="AC154">
            <v>600</v>
          </cell>
          <cell r="AD154">
            <v>610</v>
          </cell>
          <cell r="AE154">
            <v>640</v>
          </cell>
          <cell r="AF154">
            <v>690</v>
          </cell>
          <cell r="AG154">
            <v>790</v>
          </cell>
          <cell r="AH154">
            <v>800</v>
          </cell>
          <cell r="AI154">
            <v>740</v>
          </cell>
          <cell r="AJ154">
            <v>790</v>
          </cell>
          <cell r="AK154">
            <v>840</v>
          </cell>
          <cell r="AL154">
            <v>980</v>
          </cell>
          <cell r="AM154">
            <v>1030</v>
          </cell>
          <cell r="AN154">
            <v>950</v>
          </cell>
          <cell r="AO154">
            <v>930</v>
          </cell>
          <cell r="AP154">
            <v>850</v>
          </cell>
          <cell r="AQ154">
            <v>720</v>
          </cell>
          <cell r="AR154">
            <v>630</v>
          </cell>
          <cell r="AS154">
            <v>570</v>
          </cell>
          <cell r="AT154">
            <v>510</v>
          </cell>
          <cell r="AU154">
            <v>480</v>
          </cell>
          <cell r="AV154">
            <v>470</v>
          </cell>
          <cell r="AW154">
            <v>540</v>
          </cell>
          <cell r="AX154">
            <v>650</v>
          </cell>
          <cell r="AY154">
            <v>790</v>
          </cell>
          <cell r="AZ154">
            <v>1070</v>
          </cell>
          <cell r="BA154">
            <v>1400</v>
          </cell>
          <cell r="BB154">
            <v>1510</v>
          </cell>
          <cell r="BC154">
            <v>1740</v>
          </cell>
          <cell r="BD154">
            <v>1820</v>
          </cell>
          <cell r="BE154">
            <v>2270</v>
          </cell>
          <cell r="BF154">
            <v>2500</v>
          </cell>
          <cell r="BG154">
            <v>2990</v>
          </cell>
          <cell r="BH154">
            <v>2860</v>
          </cell>
          <cell r="BI154">
            <v>2710</v>
          </cell>
          <cell r="BJ154">
            <v>2590</v>
          </cell>
          <cell r="BK154">
            <v>2600</v>
          </cell>
          <cell r="BL154">
            <v>2720</v>
          </cell>
          <cell r="BM154">
            <v>2720</v>
          </cell>
          <cell r="BN154">
            <v>2720</v>
          </cell>
        </row>
        <row r="155">
          <cell r="B155" t="str">
            <v>PRY</v>
          </cell>
          <cell r="C155" t="str">
            <v>GNI per capita, Atlas method (current US$)</v>
          </cell>
          <cell r="D155" t="str">
            <v>NY.GNP.PCAP.CD</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v>1680</v>
          </cell>
          <cell r="AO155">
            <v>1840</v>
          </cell>
          <cell r="AP155">
            <v>1840</v>
          </cell>
          <cell r="AQ155">
            <v>1730</v>
          </cell>
          <cell r="AR155">
            <v>1600</v>
          </cell>
          <cell r="AS155">
            <v>1440</v>
          </cell>
          <cell r="AT155">
            <v>1410</v>
          </cell>
          <cell r="AU155">
            <v>1330</v>
          </cell>
          <cell r="AV155">
            <v>1230</v>
          </cell>
          <cell r="AW155">
            <v>1350</v>
          </cell>
          <cell r="AX155">
            <v>1520</v>
          </cell>
          <cell r="AY155">
            <v>1840</v>
          </cell>
          <cell r="AZ155">
            <v>2320</v>
          </cell>
          <cell r="BA155">
            <v>3080</v>
          </cell>
          <cell r="BB155">
            <v>3450</v>
          </cell>
          <cell r="BC155">
            <v>4070</v>
          </cell>
          <cell r="BD155">
            <v>4480</v>
          </cell>
          <cell r="BE155">
            <v>4750</v>
          </cell>
          <cell r="BF155">
            <v>5510</v>
          </cell>
          <cell r="BG155">
            <v>5810</v>
          </cell>
          <cell r="BH155">
            <v>5640</v>
          </cell>
          <cell r="BI155">
            <v>5400</v>
          </cell>
          <cell r="BJ155">
            <v>5370</v>
          </cell>
          <cell r="BK155">
            <v>5600</v>
          </cell>
          <cell r="BL155">
            <v>5510</v>
          </cell>
          <cell r="BM155">
            <v>5180</v>
          </cell>
          <cell r="BN155">
            <v>5180</v>
          </cell>
        </row>
        <row r="156">
          <cell r="B156" t="str">
            <v>PER</v>
          </cell>
          <cell r="C156" t="str">
            <v>GNI per capita, Atlas method (current US$)</v>
          </cell>
          <cell r="D156" t="str">
            <v>NY.GNP.PCAP.CD</v>
          </cell>
          <cell r="E156" t="str">
            <v>..</v>
          </cell>
          <cell r="F156" t="str">
            <v>..</v>
          </cell>
          <cell r="G156">
            <v>290</v>
          </cell>
          <cell r="H156">
            <v>300</v>
          </cell>
          <cell r="I156">
            <v>340</v>
          </cell>
          <cell r="J156">
            <v>380</v>
          </cell>
          <cell r="K156">
            <v>450</v>
          </cell>
          <cell r="L156">
            <v>490</v>
          </cell>
          <cell r="M156">
            <v>470</v>
          </cell>
          <cell r="N156">
            <v>480</v>
          </cell>
          <cell r="O156">
            <v>500</v>
          </cell>
          <cell r="P156">
            <v>560</v>
          </cell>
          <cell r="Q156">
            <v>630</v>
          </cell>
          <cell r="R156">
            <v>740</v>
          </cell>
          <cell r="S156">
            <v>930</v>
          </cell>
          <cell r="T156">
            <v>1080</v>
          </cell>
          <cell r="U156">
            <v>1070</v>
          </cell>
          <cell r="V156">
            <v>1020</v>
          </cell>
          <cell r="W156">
            <v>870</v>
          </cell>
          <cell r="X156">
            <v>910</v>
          </cell>
          <cell r="Y156">
            <v>1020</v>
          </cell>
          <cell r="Z156">
            <v>1170</v>
          </cell>
          <cell r="AA156">
            <v>1130</v>
          </cell>
          <cell r="AB156">
            <v>920</v>
          </cell>
          <cell r="AC156">
            <v>890</v>
          </cell>
          <cell r="AD156">
            <v>840</v>
          </cell>
          <cell r="AE156">
            <v>840</v>
          </cell>
          <cell r="AF156">
            <v>950</v>
          </cell>
          <cell r="AG156">
            <v>790</v>
          </cell>
          <cell r="AH156">
            <v>790</v>
          </cell>
          <cell r="AI156">
            <v>840</v>
          </cell>
          <cell r="AJ156">
            <v>1220</v>
          </cell>
          <cell r="AK156">
            <v>1420</v>
          </cell>
          <cell r="AL156">
            <v>1550</v>
          </cell>
          <cell r="AM156">
            <v>1760</v>
          </cell>
          <cell r="AN156">
            <v>1950</v>
          </cell>
          <cell r="AO156">
            <v>2150</v>
          </cell>
          <cell r="AP156">
            <v>2280</v>
          </cell>
          <cell r="AQ156">
            <v>2150</v>
          </cell>
          <cell r="AR156">
            <v>2030</v>
          </cell>
          <cell r="AS156">
            <v>1970</v>
          </cell>
          <cell r="AT156">
            <v>1900</v>
          </cell>
          <cell r="AU156">
            <v>1960</v>
          </cell>
          <cell r="AV156">
            <v>2080</v>
          </cell>
          <cell r="AW156">
            <v>2280</v>
          </cell>
          <cell r="AX156">
            <v>2540</v>
          </cell>
          <cell r="AY156">
            <v>2810</v>
          </cell>
          <cell r="AZ156">
            <v>3210</v>
          </cell>
          <cell r="BA156">
            <v>3790</v>
          </cell>
          <cell r="BB156">
            <v>3970</v>
          </cell>
          <cell r="BC156">
            <v>4410</v>
          </cell>
          <cell r="BD156">
            <v>4970</v>
          </cell>
          <cell r="BE156">
            <v>5790</v>
          </cell>
          <cell r="BF156">
            <v>6420</v>
          </cell>
          <cell r="BG156">
            <v>6530</v>
          </cell>
          <cell r="BH156">
            <v>6340</v>
          </cell>
          <cell r="BI156">
            <v>6110</v>
          </cell>
          <cell r="BJ156">
            <v>6060</v>
          </cell>
          <cell r="BK156">
            <v>6470</v>
          </cell>
          <cell r="BL156">
            <v>6790</v>
          </cell>
          <cell r="BM156">
            <v>6030</v>
          </cell>
          <cell r="BN156">
            <v>6030</v>
          </cell>
        </row>
        <row r="157">
          <cell r="B157" t="str">
            <v>PHL</v>
          </cell>
          <cell r="C157" t="str">
            <v>GNI per capita, Atlas method (current US$)</v>
          </cell>
          <cell r="D157" t="str">
            <v>NY.GNP.PCAP.CD</v>
          </cell>
          <cell r="E157" t="str">
            <v>..</v>
          </cell>
          <cell r="F157" t="str">
            <v>..</v>
          </cell>
          <cell r="G157">
            <v>250</v>
          </cell>
          <cell r="H157">
            <v>220</v>
          </cell>
          <cell r="I157">
            <v>190</v>
          </cell>
          <cell r="J157">
            <v>210</v>
          </cell>
          <cell r="K157">
            <v>220</v>
          </cell>
          <cell r="L157">
            <v>230</v>
          </cell>
          <cell r="M157">
            <v>250</v>
          </cell>
          <cell r="N157">
            <v>270</v>
          </cell>
          <cell r="O157">
            <v>250</v>
          </cell>
          <cell r="P157">
            <v>250</v>
          </cell>
          <cell r="Q157">
            <v>250</v>
          </cell>
          <cell r="R157">
            <v>300</v>
          </cell>
          <cell r="S157">
            <v>360</v>
          </cell>
          <cell r="T157">
            <v>430</v>
          </cell>
          <cell r="U157">
            <v>480</v>
          </cell>
          <cell r="V157">
            <v>510</v>
          </cell>
          <cell r="W157">
            <v>570</v>
          </cell>
          <cell r="X157">
            <v>670</v>
          </cell>
          <cell r="Y157">
            <v>790</v>
          </cell>
          <cell r="Z157">
            <v>850</v>
          </cell>
          <cell r="AA157">
            <v>840</v>
          </cell>
          <cell r="AB157">
            <v>770</v>
          </cell>
          <cell r="AC157">
            <v>660</v>
          </cell>
          <cell r="AD157">
            <v>590</v>
          </cell>
          <cell r="AE157">
            <v>620</v>
          </cell>
          <cell r="AF157">
            <v>690</v>
          </cell>
          <cell r="AG157">
            <v>750</v>
          </cell>
          <cell r="AH157">
            <v>800</v>
          </cell>
          <cell r="AI157">
            <v>830</v>
          </cell>
          <cell r="AJ157">
            <v>830</v>
          </cell>
          <cell r="AK157">
            <v>880</v>
          </cell>
          <cell r="AL157">
            <v>930</v>
          </cell>
          <cell r="AM157">
            <v>1050</v>
          </cell>
          <cell r="AN157">
            <v>1160</v>
          </cell>
          <cell r="AO157">
            <v>1320</v>
          </cell>
          <cell r="AP157">
            <v>1390</v>
          </cell>
          <cell r="AQ157">
            <v>1310</v>
          </cell>
          <cell r="AR157">
            <v>1250</v>
          </cell>
          <cell r="AS157">
            <v>1180</v>
          </cell>
          <cell r="AT157">
            <v>1170</v>
          </cell>
          <cell r="AU157">
            <v>1130</v>
          </cell>
          <cell r="AV157">
            <v>1170</v>
          </cell>
          <cell r="AW157">
            <v>1290</v>
          </cell>
          <cell r="AX157">
            <v>1380</v>
          </cell>
          <cell r="AY157">
            <v>1490</v>
          </cell>
          <cell r="AZ157">
            <v>1720</v>
          </cell>
          <cell r="BA157">
            <v>2010</v>
          </cell>
          <cell r="BB157">
            <v>2170</v>
          </cell>
          <cell r="BC157">
            <v>2370</v>
          </cell>
          <cell r="BD157">
            <v>2520</v>
          </cell>
          <cell r="BE157">
            <v>2860</v>
          </cell>
          <cell r="BF157">
            <v>3160</v>
          </cell>
          <cell r="BG157">
            <v>3330</v>
          </cell>
          <cell r="BH157">
            <v>3380</v>
          </cell>
          <cell r="BI157">
            <v>3450</v>
          </cell>
          <cell r="BJ157">
            <v>3530</v>
          </cell>
          <cell r="BK157">
            <v>3710</v>
          </cell>
          <cell r="BL157">
            <v>3850</v>
          </cell>
          <cell r="BM157">
            <v>3430</v>
          </cell>
          <cell r="BN157">
            <v>3430</v>
          </cell>
        </row>
        <row r="158">
          <cell r="B158" t="str">
            <v>POL</v>
          </cell>
          <cell r="C158" t="str">
            <v>GNI per capita, Atlas method (current US$)</v>
          </cell>
          <cell r="D158" t="str">
            <v>NY.GNP.PCAP.CD</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v>2080</v>
          </cell>
          <cell r="AL158">
            <v>2480</v>
          </cell>
          <cell r="AM158">
            <v>2760</v>
          </cell>
          <cell r="AN158">
            <v>3250</v>
          </cell>
          <cell r="AO158">
            <v>3840</v>
          </cell>
          <cell r="AP158">
            <v>4240</v>
          </cell>
          <cell r="AQ158">
            <v>4360</v>
          </cell>
          <cell r="AR158">
            <v>4440</v>
          </cell>
          <cell r="AS158">
            <v>4670</v>
          </cell>
          <cell r="AT158">
            <v>4710</v>
          </cell>
          <cell r="AU158">
            <v>4900</v>
          </cell>
          <cell r="AV158">
            <v>5500</v>
          </cell>
          <cell r="AW158">
            <v>6250</v>
          </cell>
          <cell r="AX158">
            <v>7340</v>
          </cell>
          <cell r="AY158">
            <v>8460</v>
          </cell>
          <cell r="AZ158">
            <v>9940</v>
          </cell>
          <cell r="BA158">
            <v>11980</v>
          </cell>
          <cell r="BB158">
            <v>12500</v>
          </cell>
          <cell r="BC158">
            <v>12740</v>
          </cell>
          <cell r="BD158">
            <v>12890</v>
          </cell>
          <cell r="BE158">
            <v>13160</v>
          </cell>
          <cell r="BF158">
            <v>13390</v>
          </cell>
          <cell r="BG158">
            <v>13560</v>
          </cell>
          <cell r="BH158">
            <v>13310</v>
          </cell>
          <cell r="BI158">
            <v>12720</v>
          </cell>
          <cell r="BJ158">
            <v>12730</v>
          </cell>
          <cell r="BK158">
            <v>14150</v>
          </cell>
          <cell r="BL158">
            <v>15360</v>
          </cell>
          <cell r="BM158">
            <v>15240</v>
          </cell>
          <cell r="BN158">
            <v>15240</v>
          </cell>
        </row>
        <row r="159">
          <cell r="B159" t="str">
            <v>PRT</v>
          </cell>
          <cell r="C159" t="str">
            <v>GNI per capita, Atlas method (current US$)</v>
          </cell>
          <cell r="D159" t="str">
            <v>NY.GNP.PCAP.CD</v>
          </cell>
          <cell r="E159" t="str">
            <v>..</v>
          </cell>
          <cell r="F159" t="str">
            <v>..</v>
          </cell>
          <cell r="G159">
            <v>410</v>
          </cell>
          <cell r="H159">
            <v>430</v>
          </cell>
          <cell r="I159">
            <v>470</v>
          </cell>
          <cell r="J159">
            <v>520</v>
          </cell>
          <cell r="K159">
            <v>570</v>
          </cell>
          <cell r="L159">
            <v>640</v>
          </cell>
          <cell r="M159">
            <v>730</v>
          </cell>
          <cell r="N159">
            <v>790</v>
          </cell>
          <cell r="O159">
            <v>950</v>
          </cell>
          <cell r="P159">
            <v>1070</v>
          </cell>
          <cell r="Q159">
            <v>1270</v>
          </cell>
          <cell r="R159">
            <v>1700</v>
          </cell>
          <cell r="S159">
            <v>2070</v>
          </cell>
          <cell r="T159">
            <v>2210</v>
          </cell>
          <cell r="U159">
            <v>2330</v>
          </cell>
          <cell r="V159">
            <v>2430</v>
          </cell>
          <cell r="W159">
            <v>2530</v>
          </cell>
          <cell r="X159">
            <v>2870</v>
          </cell>
          <cell r="Y159">
            <v>3350</v>
          </cell>
          <cell r="Z159">
            <v>3420</v>
          </cell>
          <cell r="AA159">
            <v>3230</v>
          </cell>
          <cell r="AB159">
            <v>2830</v>
          </cell>
          <cell r="AC159">
            <v>2520</v>
          </cell>
          <cell r="AD159">
            <v>2530</v>
          </cell>
          <cell r="AE159">
            <v>3080</v>
          </cell>
          <cell r="AF159">
            <v>4160</v>
          </cell>
          <cell r="AG159">
            <v>5630</v>
          </cell>
          <cell r="AH159">
            <v>6320</v>
          </cell>
          <cell r="AI159">
            <v>7130</v>
          </cell>
          <cell r="AJ159">
            <v>8180</v>
          </cell>
          <cell r="AK159">
            <v>9860</v>
          </cell>
          <cell r="AL159">
            <v>10100</v>
          </cell>
          <cell r="AM159">
            <v>10450</v>
          </cell>
          <cell r="AN159">
            <v>11210</v>
          </cell>
          <cell r="AO159">
            <v>12100</v>
          </cell>
          <cell r="AP159">
            <v>12370</v>
          </cell>
          <cell r="AQ159">
            <v>12190</v>
          </cell>
          <cell r="AR159">
            <v>12260</v>
          </cell>
          <cell r="AS159">
            <v>12170</v>
          </cell>
          <cell r="AT159">
            <v>11830</v>
          </cell>
          <cell r="AU159">
            <v>11750</v>
          </cell>
          <cell r="AV159">
            <v>13260</v>
          </cell>
          <cell r="AW159">
            <v>16140</v>
          </cell>
          <cell r="AX159">
            <v>18580</v>
          </cell>
          <cell r="AY159">
            <v>19390</v>
          </cell>
          <cell r="AZ159">
            <v>20850</v>
          </cell>
          <cell r="BA159">
            <v>22590</v>
          </cell>
          <cell r="BB159">
            <v>22920</v>
          </cell>
          <cell r="BC159">
            <v>22960</v>
          </cell>
          <cell r="BD159">
            <v>22720</v>
          </cell>
          <cell r="BE159">
            <v>21150</v>
          </cell>
          <cell r="BF159">
            <v>21370</v>
          </cell>
          <cell r="BG159">
            <v>21190</v>
          </cell>
          <cell r="BH159">
            <v>20440</v>
          </cell>
          <cell r="BI159">
            <v>19930</v>
          </cell>
          <cell r="BJ159">
            <v>20040</v>
          </cell>
          <cell r="BK159">
            <v>22030</v>
          </cell>
          <cell r="BL159">
            <v>23170</v>
          </cell>
          <cell r="BM159">
            <v>21790</v>
          </cell>
          <cell r="BN159">
            <v>21790</v>
          </cell>
        </row>
        <row r="160">
          <cell r="B160" t="str">
            <v>PRI</v>
          </cell>
          <cell r="C160" t="str">
            <v>GNI per capita, Atlas method (current US$)</v>
          </cell>
          <cell r="D160" t="str">
            <v>NY.GNP.PCAP.CD</v>
          </cell>
          <cell r="E160" t="str">
            <v>..</v>
          </cell>
          <cell r="F160" t="str">
            <v>..</v>
          </cell>
          <cell r="G160">
            <v>820</v>
          </cell>
          <cell r="H160">
            <v>900</v>
          </cell>
          <cell r="I160">
            <v>960</v>
          </cell>
          <cell r="J160">
            <v>1060</v>
          </cell>
          <cell r="K160">
            <v>1160</v>
          </cell>
          <cell r="L160">
            <v>1240</v>
          </cell>
          <cell r="M160">
            <v>1370</v>
          </cell>
          <cell r="N160">
            <v>1560</v>
          </cell>
          <cell r="O160">
            <v>1750</v>
          </cell>
          <cell r="P160">
            <v>1910</v>
          </cell>
          <cell r="Q160">
            <v>2100</v>
          </cell>
          <cell r="R160">
            <v>2380</v>
          </cell>
          <cell r="S160">
            <v>2590</v>
          </cell>
          <cell r="T160">
            <v>2660</v>
          </cell>
          <cell r="U160">
            <v>2650</v>
          </cell>
          <cell r="V160">
            <v>2740</v>
          </cell>
          <cell r="W160">
            <v>2980</v>
          </cell>
          <cell r="X160">
            <v>3390</v>
          </cell>
          <cell r="Y160">
            <v>3720</v>
          </cell>
          <cell r="Z160">
            <v>3890</v>
          </cell>
          <cell r="AA160">
            <v>3770</v>
          </cell>
          <cell r="AB160">
            <v>3670</v>
          </cell>
          <cell r="AC160">
            <v>3970</v>
          </cell>
          <cell r="AD160">
            <v>4280</v>
          </cell>
          <cell r="AE160">
            <v>4750</v>
          </cell>
          <cell r="AF160">
            <v>5350</v>
          </cell>
          <cell r="AG160">
            <v>5860</v>
          </cell>
          <cell r="AH160">
            <v>6050</v>
          </cell>
          <cell r="AI160">
            <v>5950</v>
          </cell>
          <cell r="AJ160">
            <v>6300</v>
          </cell>
          <cell r="AK160">
            <v>6760</v>
          </cell>
          <cell r="AL160">
            <v>7100</v>
          </cell>
          <cell r="AM160">
            <v>7370</v>
          </cell>
          <cell r="AN160">
            <v>7820</v>
          </cell>
          <cell r="AO160">
            <v>8130</v>
          </cell>
          <cell r="AP160">
            <v>8510</v>
          </cell>
          <cell r="AQ160">
            <v>8690</v>
          </cell>
          <cell r="AR160">
            <v>9590</v>
          </cell>
          <cell r="AS160">
            <v>10550</v>
          </cell>
          <cell r="AT160">
            <v>10950</v>
          </cell>
          <cell r="AU160">
            <v>11250</v>
          </cell>
          <cell r="AV160">
            <v>12170</v>
          </cell>
          <cell r="AW160">
            <v>14260</v>
          </cell>
          <cell r="AX160">
            <v>14750</v>
          </cell>
          <cell r="AY160">
            <v>15030</v>
          </cell>
          <cell r="AZ160">
            <v>15860</v>
          </cell>
          <cell r="BA160">
            <v>16360</v>
          </cell>
          <cell r="BB160">
            <v>16580</v>
          </cell>
          <cell r="BC160">
            <v>16920</v>
          </cell>
          <cell r="BD160">
            <v>17670</v>
          </cell>
          <cell r="BE160">
            <v>18680</v>
          </cell>
          <cell r="BF160">
            <v>19170</v>
          </cell>
          <cell r="BG160">
            <v>19280</v>
          </cell>
          <cell r="BH160">
            <v>19420</v>
          </cell>
          <cell r="BI160">
            <v>19710</v>
          </cell>
          <cell r="BJ160">
            <v>20000</v>
          </cell>
          <cell r="BK160">
            <v>21080</v>
          </cell>
          <cell r="BL160">
            <v>22060</v>
          </cell>
          <cell r="BM160">
            <v>21740</v>
          </cell>
          <cell r="BN160">
            <v>21740</v>
          </cell>
        </row>
        <row r="161">
          <cell r="B161" t="str">
            <v>QAT</v>
          </cell>
          <cell r="C161" t="str">
            <v>GNI per capita, Atlas method (current US$)</v>
          </cell>
          <cell r="D161" t="str">
            <v>NY.GNP.PCAP.CD</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v>28400</v>
          </cell>
          <cell r="AV161">
            <v>30680</v>
          </cell>
          <cell r="AW161">
            <v>36160</v>
          </cell>
          <cell r="AX161">
            <v>38260</v>
          </cell>
          <cell r="AY161">
            <v>50810</v>
          </cell>
          <cell r="AZ161">
            <v>58030</v>
          </cell>
          <cell r="BA161">
            <v>65580</v>
          </cell>
          <cell r="BB161">
            <v>61250</v>
          </cell>
          <cell r="BC161">
            <v>63620</v>
          </cell>
          <cell r="BD161">
            <v>66950</v>
          </cell>
          <cell r="BE161">
            <v>72880</v>
          </cell>
          <cell r="BF161">
            <v>79390</v>
          </cell>
          <cell r="BG161">
            <v>80890</v>
          </cell>
          <cell r="BH161">
            <v>73440</v>
          </cell>
          <cell r="BI161">
            <v>64550</v>
          </cell>
          <cell r="BJ161">
            <v>56920</v>
          </cell>
          <cell r="BK161">
            <v>58830</v>
          </cell>
          <cell r="BL161">
            <v>61210</v>
          </cell>
          <cell r="BM161">
            <v>55990</v>
          </cell>
          <cell r="BN161">
            <v>55990</v>
          </cell>
        </row>
        <row r="162">
          <cell r="B162" t="str">
            <v>ROU</v>
          </cell>
          <cell r="C162" t="str">
            <v>GNI per capita, Atlas method (current US$)</v>
          </cell>
          <cell r="D162" t="str">
            <v>NY.GNP.PCAP.CD</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v>1250</v>
          </cell>
          <cell r="AL162">
            <v>1190</v>
          </cell>
          <cell r="AM162">
            <v>1270</v>
          </cell>
          <cell r="AN162">
            <v>1490</v>
          </cell>
          <cell r="AO162">
            <v>1640</v>
          </cell>
          <cell r="AP162">
            <v>1590</v>
          </cell>
          <cell r="AQ162">
            <v>1580</v>
          </cell>
          <cell r="AR162">
            <v>1610</v>
          </cell>
          <cell r="AS162">
            <v>1710</v>
          </cell>
          <cell r="AT162">
            <v>1760</v>
          </cell>
          <cell r="AU162">
            <v>1950</v>
          </cell>
          <cell r="AV162">
            <v>2250</v>
          </cell>
          <cell r="AW162">
            <v>2960</v>
          </cell>
          <cell r="AX162">
            <v>3880</v>
          </cell>
          <cell r="AY162">
            <v>4900</v>
          </cell>
          <cell r="AZ162">
            <v>6390</v>
          </cell>
          <cell r="BA162">
            <v>8800</v>
          </cell>
          <cell r="BB162">
            <v>9220</v>
          </cell>
          <cell r="BC162">
            <v>8640</v>
          </cell>
          <cell r="BD162">
            <v>8650</v>
          </cell>
          <cell r="BE162">
            <v>8760</v>
          </cell>
          <cell r="BF162">
            <v>9320</v>
          </cell>
          <cell r="BG162">
            <v>9700</v>
          </cell>
          <cell r="BH162">
            <v>9600</v>
          </cell>
          <cell r="BI162">
            <v>9620</v>
          </cell>
          <cell r="BJ162">
            <v>10110</v>
          </cell>
          <cell r="BK162">
            <v>11430</v>
          </cell>
          <cell r="BL162">
            <v>12620</v>
          </cell>
          <cell r="BM162">
            <v>12580</v>
          </cell>
          <cell r="BN162">
            <v>12580</v>
          </cell>
        </row>
        <row r="163">
          <cell r="B163" t="str">
            <v>RUS</v>
          </cell>
          <cell r="C163" t="str">
            <v>GNI per capita, Atlas method (current US$)</v>
          </cell>
          <cell r="D163" t="str">
            <v>NY.GNP.PCAP.CD</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v>3440</v>
          </cell>
          <cell r="AK163">
            <v>3090</v>
          </cell>
          <cell r="AL163">
            <v>2920</v>
          </cell>
          <cell r="AM163">
            <v>2650</v>
          </cell>
          <cell r="AN163">
            <v>2640</v>
          </cell>
          <cell r="AO163">
            <v>2600</v>
          </cell>
          <cell r="AP163">
            <v>2650</v>
          </cell>
          <cell r="AQ163">
            <v>2130</v>
          </cell>
          <cell r="AR163">
            <v>1750</v>
          </cell>
          <cell r="AS163">
            <v>1710</v>
          </cell>
          <cell r="AT163">
            <v>1780</v>
          </cell>
          <cell r="AU163">
            <v>2100</v>
          </cell>
          <cell r="AV163">
            <v>2590</v>
          </cell>
          <cell r="AW163">
            <v>3410</v>
          </cell>
          <cell r="AX163">
            <v>4450</v>
          </cell>
          <cell r="AY163">
            <v>5810</v>
          </cell>
          <cell r="AZ163">
            <v>7560</v>
          </cell>
          <cell r="BA163">
            <v>9580</v>
          </cell>
          <cell r="BB163">
            <v>9230</v>
          </cell>
          <cell r="BC163">
            <v>9980</v>
          </cell>
          <cell r="BD163">
            <v>11060</v>
          </cell>
          <cell r="BE163">
            <v>13490</v>
          </cell>
          <cell r="BF163">
            <v>15190</v>
          </cell>
          <cell r="BG163">
            <v>14630</v>
          </cell>
          <cell r="BH163">
            <v>11780</v>
          </cell>
          <cell r="BI163">
            <v>9730</v>
          </cell>
          <cell r="BJ163">
            <v>9210</v>
          </cell>
          <cell r="BK163">
            <v>10250</v>
          </cell>
          <cell r="BL163">
            <v>11250</v>
          </cell>
          <cell r="BM163">
            <v>10690</v>
          </cell>
          <cell r="BN163">
            <v>10690</v>
          </cell>
        </row>
        <row r="164">
          <cell r="B164" t="str">
            <v>RWA</v>
          </cell>
          <cell r="C164" t="str">
            <v>GNI per capita, Atlas method (current US$)</v>
          </cell>
          <cell r="D164" t="str">
            <v>NY.GNP.PCAP.CD</v>
          </cell>
          <cell r="E164" t="str">
            <v>..</v>
          </cell>
          <cell r="F164" t="str">
            <v>..</v>
          </cell>
          <cell r="G164">
            <v>40</v>
          </cell>
          <cell r="H164">
            <v>40</v>
          </cell>
          <cell r="I164">
            <v>40</v>
          </cell>
          <cell r="J164">
            <v>40</v>
          </cell>
          <cell r="K164">
            <v>40</v>
          </cell>
          <cell r="L164">
            <v>50</v>
          </cell>
          <cell r="M164">
            <v>50</v>
          </cell>
          <cell r="N164">
            <v>50</v>
          </cell>
          <cell r="O164">
            <v>60</v>
          </cell>
          <cell r="P164">
            <v>60</v>
          </cell>
          <cell r="Q164">
            <v>60</v>
          </cell>
          <cell r="R164">
            <v>70</v>
          </cell>
          <cell r="S164">
            <v>80</v>
          </cell>
          <cell r="T164">
            <v>100</v>
          </cell>
          <cell r="U164">
            <v>130</v>
          </cell>
          <cell r="V164">
            <v>160</v>
          </cell>
          <cell r="W164">
            <v>180</v>
          </cell>
          <cell r="X164">
            <v>230</v>
          </cell>
          <cell r="Y164">
            <v>270</v>
          </cell>
          <cell r="Z164">
            <v>280</v>
          </cell>
          <cell r="AA164">
            <v>270</v>
          </cell>
          <cell r="AB164">
            <v>260</v>
          </cell>
          <cell r="AC164">
            <v>250</v>
          </cell>
          <cell r="AD164">
            <v>260</v>
          </cell>
          <cell r="AE164">
            <v>290</v>
          </cell>
          <cell r="AF164">
            <v>320</v>
          </cell>
          <cell r="AG164">
            <v>350</v>
          </cell>
          <cell r="AH164">
            <v>350</v>
          </cell>
          <cell r="AI164">
            <v>350</v>
          </cell>
          <cell r="AJ164">
            <v>320</v>
          </cell>
          <cell r="AK164">
            <v>340</v>
          </cell>
          <cell r="AL164">
            <v>310</v>
          </cell>
          <cell r="AM164">
            <v>150</v>
          </cell>
          <cell r="AN164">
            <v>210</v>
          </cell>
          <cell r="AO164">
            <v>220</v>
          </cell>
          <cell r="AP164">
            <v>260</v>
          </cell>
          <cell r="AQ164">
            <v>260</v>
          </cell>
          <cell r="AR164">
            <v>280</v>
          </cell>
          <cell r="AS164">
            <v>280</v>
          </cell>
          <cell r="AT164">
            <v>270</v>
          </cell>
          <cell r="AU164">
            <v>260</v>
          </cell>
          <cell r="AV164">
            <v>250</v>
          </cell>
          <cell r="AW164">
            <v>270</v>
          </cell>
          <cell r="AX164">
            <v>320</v>
          </cell>
          <cell r="AY164">
            <v>360</v>
          </cell>
          <cell r="AZ164">
            <v>410</v>
          </cell>
          <cell r="BA164">
            <v>490</v>
          </cell>
          <cell r="BB164">
            <v>550</v>
          </cell>
          <cell r="BC164">
            <v>600</v>
          </cell>
          <cell r="BD164">
            <v>650</v>
          </cell>
          <cell r="BE164">
            <v>700</v>
          </cell>
          <cell r="BF164">
            <v>720</v>
          </cell>
          <cell r="BG164">
            <v>740</v>
          </cell>
          <cell r="BH164">
            <v>750</v>
          </cell>
          <cell r="BI164">
            <v>740</v>
          </cell>
          <cell r="BJ164">
            <v>730</v>
          </cell>
          <cell r="BK164">
            <v>780</v>
          </cell>
          <cell r="BL164">
            <v>830</v>
          </cell>
          <cell r="BM164">
            <v>780</v>
          </cell>
          <cell r="BN164">
            <v>780</v>
          </cell>
        </row>
        <row r="165">
          <cell r="B165" t="str">
            <v>WSM</v>
          </cell>
          <cell r="C165" t="str">
            <v>GNI per capita, Atlas method (current US$)</v>
          </cell>
          <cell r="D165" t="str">
            <v>NY.GNP.PCAP.CD</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v>510</v>
          </cell>
          <cell r="AD165">
            <v>480</v>
          </cell>
          <cell r="AE165">
            <v>500</v>
          </cell>
          <cell r="AF165">
            <v>530</v>
          </cell>
          <cell r="AG165">
            <v>550</v>
          </cell>
          <cell r="AH165">
            <v>580</v>
          </cell>
          <cell r="AI165">
            <v>570</v>
          </cell>
          <cell r="AJ165">
            <v>540</v>
          </cell>
          <cell r="AK165" t="str">
            <v>..</v>
          </cell>
          <cell r="AL165" t="str">
            <v>..</v>
          </cell>
          <cell r="AM165" t="str">
            <v>..</v>
          </cell>
          <cell r="AN165" t="str">
            <v>..</v>
          </cell>
          <cell r="AO165" t="str">
            <v>..</v>
          </cell>
          <cell r="AP165" t="str">
            <v>..</v>
          </cell>
          <cell r="AQ165" t="str">
            <v>..</v>
          </cell>
          <cell r="AR165" t="str">
            <v>..</v>
          </cell>
          <cell r="AS165" t="str">
            <v>..</v>
          </cell>
          <cell r="AT165" t="str">
            <v>..</v>
          </cell>
          <cell r="AU165">
            <v>1520</v>
          </cell>
          <cell r="AV165">
            <v>1660</v>
          </cell>
          <cell r="AW165">
            <v>1990</v>
          </cell>
          <cell r="AX165">
            <v>2320</v>
          </cell>
          <cell r="AY165">
            <v>2560</v>
          </cell>
          <cell r="AZ165">
            <v>2850</v>
          </cell>
          <cell r="BA165">
            <v>3060</v>
          </cell>
          <cell r="BB165">
            <v>3030</v>
          </cell>
          <cell r="BC165">
            <v>3230</v>
          </cell>
          <cell r="BD165">
            <v>3510</v>
          </cell>
          <cell r="BE165">
            <v>3660</v>
          </cell>
          <cell r="BF165">
            <v>3800</v>
          </cell>
          <cell r="BG165">
            <v>3820</v>
          </cell>
          <cell r="BH165">
            <v>3960</v>
          </cell>
          <cell r="BI165">
            <v>4110</v>
          </cell>
          <cell r="BJ165">
            <v>4070</v>
          </cell>
          <cell r="BK165">
            <v>4050</v>
          </cell>
          <cell r="BL165">
            <v>4230</v>
          </cell>
          <cell r="BM165">
            <v>4050</v>
          </cell>
          <cell r="BN165">
            <v>4050</v>
          </cell>
        </row>
        <row r="166">
          <cell r="B166" t="str">
            <v>SMR</v>
          </cell>
          <cell r="C166" t="str">
            <v>GNI per capita, Atlas method (current US$)</v>
          </cell>
          <cell r="D166" t="str">
            <v>NY.GNP.PCAP.CD</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
          </cell>
        </row>
        <row r="167">
          <cell r="B167" t="str">
            <v>STP</v>
          </cell>
          <cell r="C167" t="str">
            <v>GNI per capita, Atlas method (current US$)</v>
          </cell>
          <cell r="D167" t="str">
            <v>NY.GNP.PCAP.CD</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v>600</v>
          </cell>
          <cell r="AW167">
            <v>700</v>
          </cell>
          <cell r="AX167">
            <v>820</v>
          </cell>
          <cell r="AY167">
            <v>940</v>
          </cell>
          <cell r="AZ167">
            <v>960</v>
          </cell>
          <cell r="BA167">
            <v>1020</v>
          </cell>
          <cell r="BB167">
            <v>1060</v>
          </cell>
          <cell r="BC167">
            <v>1130</v>
          </cell>
          <cell r="BD167">
            <v>1180</v>
          </cell>
          <cell r="BE167">
            <v>1230</v>
          </cell>
          <cell r="BF167">
            <v>1430</v>
          </cell>
          <cell r="BG167">
            <v>1630</v>
          </cell>
          <cell r="BH167">
            <v>1650</v>
          </cell>
          <cell r="BI167">
            <v>1690</v>
          </cell>
          <cell r="BJ167">
            <v>1700</v>
          </cell>
          <cell r="BK167">
            <v>1870</v>
          </cell>
          <cell r="BL167">
            <v>1950</v>
          </cell>
          <cell r="BM167">
            <v>2060</v>
          </cell>
          <cell r="BN167">
            <v>2060</v>
          </cell>
        </row>
        <row r="168">
          <cell r="B168" t="str">
            <v>SAU</v>
          </cell>
          <cell r="C168" t="str">
            <v>GNI per capita, Atlas method (current US$)</v>
          </cell>
          <cell r="D168" t="str">
            <v>NY.GNP.PCAP.CD</v>
          </cell>
          <cell r="E168" t="str">
            <v>..</v>
          </cell>
          <cell r="F168" t="str">
            <v>..</v>
          </cell>
          <cell r="G168" t="str">
            <v>..</v>
          </cell>
          <cell r="H168" t="str">
            <v>..</v>
          </cell>
          <cell r="I168" t="str">
            <v>..</v>
          </cell>
          <cell r="J168" t="str">
            <v>..</v>
          </cell>
          <cell r="K168" t="str">
            <v>..</v>
          </cell>
          <cell r="L168" t="str">
            <v>..</v>
          </cell>
          <cell r="M168" t="str">
            <v>..</v>
          </cell>
          <cell r="N168" t="str">
            <v>..</v>
          </cell>
          <cell r="O168">
            <v>930</v>
          </cell>
          <cell r="P168">
            <v>1000</v>
          </cell>
          <cell r="Q168">
            <v>1150</v>
          </cell>
          <cell r="R168">
            <v>1600</v>
          </cell>
          <cell r="S168">
            <v>3160</v>
          </cell>
          <cell r="T168">
            <v>4500</v>
          </cell>
          <cell r="U168">
            <v>8020</v>
          </cell>
          <cell r="V168">
            <v>8770</v>
          </cell>
          <cell r="W168">
            <v>8890</v>
          </cell>
          <cell r="X168">
            <v>11170</v>
          </cell>
          <cell r="Y168">
            <v>14270</v>
          </cell>
          <cell r="Z168">
            <v>16530</v>
          </cell>
          <cell r="AA168">
            <v>13970</v>
          </cell>
          <cell r="AB168">
            <v>11320</v>
          </cell>
          <cell r="AC168">
            <v>10130</v>
          </cell>
          <cell r="AD168">
            <v>9010</v>
          </cell>
          <cell r="AE168">
            <v>9140</v>
          </cell>
          <cell r="AF168">
            <v>7700</v>
          </cell>
          <cell r="AG168">
            <v>7630</v>
          </cell>
          <cell r="AH168">
            <v>7080</v>
          </cell>
          <cell r="AI168">
            <v>7390</v>
          </cell>
          <cell r="AJ168">
            <v>8310</v>
          </cell>
          <cell r="AK168">
            <v>8500</v>
          </cell>
          <cell r="AL168">
            <v>8050</v>
          </cell>
          <cell r="AM168">
            <v>7720</v>
          </cell>
          <cell r="AN168">
            <v>7810</v>
          </cell>
          <cell r="AO168">
            <v>8030</v>
          </cell>
          <cell r="AP168">
            <v>8230</v>
          </cell>
          <cell r="AQ168">
            <v>8010</v>
          </cell>
          <cell r="AR168">
            <v>7650</v>
          </cell>
          <cell r="AS168">
            <v>8150</v>
          </cell>
          <cell r="AT168">
            <v>8520</v>
          </cell>
          <cell r="AU168">
            <v>8370</v>
          </cell>
          <cell r="AV168">
            <v>9480</v>
          </cell>
          <cell r="AW168">
            <v>11040</v>
          </cell>
          <cell r="AX168">
            <v>12650</v>
          </cell>
          <cell r="AY168">
            <v>14160</v>
          </cell>
          <cell r="AZ168">
            <v>15800</v>
          </cell>
          <cell r="BA168">
            <v>18460</v>
          </cell>
          <cell r="BB168">
            <v>17900</v>
          </cell>
          <cell r="BC168">
            <v>18750</v>
          </cell>
          <cell r="BD168">
            <v>20880</v>
          </cell>
          <cell r="BE168">
            <v>24040</v>
          </cell>
          <cell r="BF168">
            <v>25440</v>
          </cell>
          <cell r="BG168">
            <v>25550</v>
          </cell>
          <cell r="BH168">
            <v>23710</v>
          </cell>
          <cell r="BI168">
            <v>21610</v>
          </cell>
          <cell r="BJ168">
            <v>19990</v>
          </cell>
          <cell r="BK168">
            <v>21610</v>
          </cell>
          <cell r="BL168">
            <v>22840</v>
          </cell>
          <cell r="BM168">
            <v>21930</v>
          </cell>
          <cell r="BN168">
            <v>21930</v>
          </cell>
        </row>
        <row r="169">
          <cell r="B169" t="str">
            <v>SEN</v>
          </cell>
          <cell r="C169" t="str">
            <v>GNI per capita, Atlas method (current US$)</v>
          </cell>
          <cell r="D169" t="str">
            <v>NY.GNP.PCAP.CD</v>
          </cell>
          <cell r="E169" t="str">
            <v>..</v>
          </cell>
          <cell r="F169" t="str">
            <v>..</v>
          </cell>
          <cell r="G169" t="str">
            <v>..</v>
          </cell>
          <cell r="H169" t="str">
            <v>..</v>
          </cell>
          <cell r="I169" t="str">
            <v>..</v>
          </cell>
          <cell r="J169" t="str">
            <v>..</v>
          </cell>
          <cell r="K169" t="str">
            <v>..</v>
          </cell>
          <cell r="L169" t="str">
            <v>..</v>
          </cell>
          <cell r="M169">
            <v>340</v>
          </cell>
          <cell r="N169">
            <v>310</v>
          </cell>
          <cell r="O169">
            <v>320</v>
          </cell>
          <cell r="P169">
            <v>320</v>
          </cell>
          <cell r="Q169">
            <v>350</v>
          </cell>
          <cell r="R169">
            <v>370</v>
          </cell>
          <cell r="S169">
            <v>450</v>
          </cell>
          <cell r="T169">
            <v>560</v>
          </cell>
          <cell r="U169">
            <v>600</v>
          </cell>
          <cell r="V169">
            <v>590</v>
          </cell>
          <cell r="W169">
            <v>580</v>
          </cell>
          <cell r="X169">
            <v>720</v>
          </cell>
          <cell r="Y169">
            <v>840</v>
          </cell>
          <cell r="Z169">
            <v>840</v>
          </cell>
          <cell r="AA169">
            <v>770</v>
          </cell>
          <cell r="AB169">
            <v>600</v>
          </cell>
          <cell r="AC169">
            <v>560</v>
          </cell>
          <cell r="AD169">
            <v>560</v>
          </cell>
          <cell r="AE169">
            <v>640</v>
          </cell>
          <cell r="AF169">
            <v>830</v>
          </cell>
          <cell r="AG169">
            <v>950</v>
          </cell>
          <cell r="AH169">
            <v>940</v>
          </cell>
          <cell r="AI169">
            <v>920</v>
          </cell>
          <cell r="AJ169">
            <v>930</v>
          </cell>
          <cell r="AK169">
            <v>980</v>
          </cell>
          <cell r="AL169">
            <v>930</v>
          </cell>
          <cell r="AM169">
            <v>770</v>
          </cell>
          <cell r="AN169">
            <v>740</v>
          </cell>
          <cell r="AO169">
            <v>700</v>
          </cell>
          <cell r="AP169">
            <v>710</v>
          </cell>
          <cell r="AQ169">
            <v>690</v>
          </cell>
          <cell r="AR169">
            <v>690</v>
          </cell>
          <cell r="AS169">
            <v>670</v>
          </cell>
          <cell r="AT169">
            <v>650</v>
          </cell>
          <cell r="AU169">
            <v>620</v>
          </cell>
          <cell r="AV169">
            <v>730</v>
          </cell>
          <cell r="AW169">
            <v>870</v>
          </cell>
          <cell r="AX169">
            <v>990</v>
          </cell>
          <cell r="AY169">
            <v>1030</v>
          </cell>
          <cell r="AZ169">
            <v>1100</v>
          </cell>
          <cell r="BA169">
            <v>1240</v>
          </cell>
          <cell r="BB169">
            <v>1330</v>
          </cell>
          <cell r="BC169">
            <v>1330</v>
          </cell>
          <cell r="BD169">
            <v>1300</v>
          </cell>
          <cell r="BE169">
            <v>1320</v>
          </cell>
          <cell r="BF169">
            <v>1340</v>
          </cell>
          <cell r="BG169">
            <v>1370</v>
          </cell>
          <cell r="BH169">
            <v>1320</v>
          </cell>
          <cell r="BI169">
            <v>1270</v>
          </cell>
          <cell r="BJ169">
            <v>1280</v>
          </cell>
          <cell r="BK169">
            <v>1390</v>
          </cell>
          <cell r="BL169">
            <v>1430</v>
          </cell>
          <cell r="BM169">
            <v>1430</v>
          </cell>
          <cell r="BN169">
            <v>1430</v>
          </cell>
        </row>
        <row r="170">
          <cell r="B170" t="str">
            <v>SRB</v>
          </cell>
          <cell r="C170" t="str">
            <v>GNI per capita, Atlas method (current US$)</v>
          </cell>
          <cell r="D170" t="str">
            <v>NY.GNP.PCAP.CD</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v>2990</v>
          </cell>
          <cell r="AQ170">
            <v>2990</v>
          </cell>
          <cell r="AR170">
            <v>2610</v>
          </cell>
          <cell r="AS170">
            <v>1610</v>
          </cell>
          <cell r="AT170">
            <v>1540</v>
          </cell>
          <cell r="AU170">
            <v>1520</v>
          </cell>
          <cell r="AV170">
            <v>2390</v>
          </cell>
          <cell r="AW170">
            <v>3250</v>
          </cell>
          <cell r="AX170">
            <v>3830</v>
          </cell>
          <cell r="AY170">
            <v>4200</v>
          </cell>
          <cell r="AZ170">
            <v>4830</v>
          </cell>
          <cell r="BA170">
            <v>6030</v>
          </cell>
          <cell r="BB170">
            <v>6450</v>
          </cell>
          <cell r="BC170">
            <v>6220</v>
          </cell>
          <cell r="BD170">
            <v>6190</v>
          </cell>
          <cell r="BE170">
            <v>6080</v>
          </cell>
          <cell r="BF170">
            <v>6460</v>
          </cell>
          <cell r="BG170">
            <v>6240</v>
          </cell>
          <cell r="BH170">
            <v>5960</v>
          </cell>
          <cell r="BI170">
            <v>5700</v>
          </cell>
          <cell r="BJ170">
            <v>5570</v>
          </cell>
          <cell r="BK170">
            <v>6410</v>
          </cell>
          <cell r="BL170">
            <v>7040</v>
          </cell>
          <cell r="BM170">
            <v>7420</v>
          </cell>
          <cell r="BN170">
            <v>7420</v>
          </cell>
        </row>
        <row r="171">
          <cell r="B171" t="str">
            <v>SYC</v>
          </cell>
          <cell r="C171" t="str">
            <v>GNI per capita, Atlas method (current US$)</v>
          </cell>
          <cell r="D171" t="str">
            <v>NY.GNP.PCAP.CD</v>
          </cell>
          <cell r="E171" t="str">
            <v>..</v>
          </cell>
          <cell r="F171" t="str">
            <v>..</v>
          </cell>
          <cell r="G171">
            <v>290</v>
          </cell>
          <cell r="H171">
            <v>310</v>
          </cell>
          <cell r="I171">
            <v>330</v>
          </cell>
          <cell r="J171">
            <v>320</v>
          </cell>
          <cell r="K171">
            <v>360</v>
          </cell>
          <cell r="L171">
            <v>350</v>
          </cell>
          <cell r="M171">
            <v>350</v>
          </cell>
          <cell r="N171">
            <v>330</v>
          </cell>
          <cell r="O171">
            <v>350</v>
          </cell>
          <cell r="P171">
            <v>410</v>
          </cell>
          <cell r="Q171">
            <v>480</v>
          </cell>
          <cell r="R171">
            <v>630</v>
          </cell>
          <cell r="S171">
            <v>770</v>
          </cell>
          <cell r="T171">
            <v>870</v>
          </cell>
          <cell r="U171">
            <v>910</v>
          </cell>
          <cell r="V171">
            <v>870</v>
          </cell>
          <cell r="W171">
            <v>1170</v>
          </cell>
          <cell r="X171">
            <v>1760</v>
          </cell>
          <cell r="Y171">
            <v>2110</v>
          </cell>
          <cell r="Z171">
            <v>2300</v>
          </cell>
          <cell r="AA171">
            <v>2290</v>
          </cell>
          <cell r="AB171">
            <v>2190</v>
          </cell>
          <cell r="AC171">
            <v>2220</v>
          </cell>
          <cell r="AD171">
            <v>2490</v>
          </cell>
          <cell r="AE171">
            <v>2740</v>
          </cell>
          <cell r="AF171">
            <v>3200</v>
          </cell>
          <cell r="AG171">
            <v>3970</v>
          </cell>
          <cell r="AH171">
            <v>4540</v>
          </cell>
          <cell r="AI171">
            <v>5030</v>
          </cell>
          <cell r="AJ171">
            <v>5200</v>
          </cell>
          <cell r="AK171">
            <v>6000</v>
          </cell>
          <cell r="AL171">
            <v>6390</v>
          </cell>
          <cell r="AM171">
            <v>6530</v>
          </cell>
          <cell r="AN171">
            <v>6460</v>
          </cell>
          <cell r="AO171">
            <v>6740</v>
          </cell>
          <cell r="AP171">
            <v>7330</v>
          </cell>
          <cell r="AQ171">
            <v>7320</v>
          </cell>
          <cell r="AR171">
            <v>7290</v>
          </cell>
          <cell r="AS171">
            <v>7290</v>
          </cell>
          <cell r="AT171">
            <v>7310</v>
          </cell>
          <cell r="AU171">
            <v>6850</v>
          </cell>
          <cell r="AV171">
            <v>7490</v>
          </cell>
          <cell r="AW171">
            <v>9280</v>
          </cell>
          <cell r="AX171">
            <v>11140</v>
          </cell>
          <cell r="AY171">
            <v>12580</v>
          </cell>
          <cell r="AZ171">
            <v>12280</v>
          </cell>
          <cell r="BA171">
            <v>11180</v>
          </cell>
          <cell r="BB171">
            <v>10230</v>
          </cell>
          <cell r="BC171">
            <v>10220</v>
          </cell>
          <cell r="BD171">
            <v>10570</v>
          </cell>
          <cell r="BE171">
            <v>11540</v>
          </cell>
          <cell r="BF171">
            <v>12700</v>
          </cell>
          <cell r="BG171">
            <v>13350</v>
          </cell>
          <cell r="BH171">
            <v>14020</v>
          </cell>
          <cell r="BI171">
            <v>13840</v>
          </cell>
          <cell r="BJ171">
            <v>14320</v>
          </cell>
          <cell r="BK171">
            <v>15750</v>
          </cell>
          <cell r="BL171">
            <v>15790</v>
          </cell>
          <cell r="BM171">
            <v>12200</v>
          </cell>
          <cell r="BN171">
            <v>12200</v>
          </cell>
        </row>
        <row r="172">
          <cell r="B172" t="str">
            <v>SLE</v>
          </cell>
          <cell r="C172" t="str">
            <v>GNI per capita, Atlas method (current US$)</v>
          </cell>
          <cell r="D172" t="str">
            <v>NY.GNP.PCAP.CD</v>
          </cell>
          <cell r="E172" t="str">
            <v>..</v>
          </cell>
          <cell r="F172" t="str">
            <v>..</v>
          </cell>
          <cell r="G172" t="str">
            <v>..</v>
          </cell>
          <cell r="H172" t="str">
            <v>..</v>
          </cell>
          <cell r="I172">
            <v>150</v>
          </cell>
          <cell r="J172">
            <v>160</v>
          </cell>
          <cell r="K172">
            <v>150</v>
          </cell>
          <cell r="L172">
            <v>140</v>
          </cell>
          <cell r="M172">
            <v>140</v>
          </cell>
          <cell r="N172">
            <v>150</v>
          </cell>
          <cell r="O172">
            <v>160</v>
          </cell>
          <cell r="P172">
            <v>160</v>
          </cell>
          <cell r="Q172">
            <v>170</v>
          </cell>
          <cell r="R172">
            <v>190</v>
          </cell>
          <cell r="S172">
            <v>220</v>
          </cell>
          <cell r="T172">
            <v>250</v>
          </cell>
          <cell r="U172">
            <v>220</v>
          </cell>
          <cell r="V172">
            <v>210</v>
          </cell>
          <cell r="W172">
            <v>240</v>
          </cell>
          <cell r="X172">
            <v>310</v>
          </cell>
          <cell r="Y172">
            <v>370</v>
          </cell>
          <cell r="Z172">
            <v>360</v>
          </cell>
          <cell r="AA172">
            <v>350</v>
          </cell>
          <cell r="AB172">
            <v>300</v>
          </cell>
          <cell r="AC172">
            <v>290</v>
          </cell>
          <cell r="AD172">
            <v>240</v>
          </cell>
          <cell r="AE172">
            <v>170</v>
          </cell>
          <cell r="AF172">
            <v>180</v>
          </cell>
          <cell r="AG172">
            <v>170</v>
          </cell>
          <cell r="AH172">
            <v>210</v>
          </cell>
          <cell r="AI172">
            <v>190</v>
          </cell>
          <cell r="AJ172">
            <v>170</v>
          </cell>
          <cell r="AK172">
            <v>130</v>
          </cell>
          <cell r="AL172">
            <v>160</v>
          </cell>
          <cell r="AM172">
            <v>160</v>
          </cell>
          <cell r="AN172">
            <v>180</v>
          </cell>
          <cell r="AO172">
            <v>210</v>
          </cell>
          <cell r="AP172">
            <v>200</v>
          </cell>
          <cell r="AQ172">
            <v>170</v>
          </cell>
          <cell r="AR172">
            <v>150</v>
          </cell>
          <cell r="AS172">
            <v>140</v>
          </cell>
          <cell r="AT172">
            <v>150</v>
          </cell>
          <cell r="AU172">
            <v>200</v>
          </cell>
          <cell r="AV172">
            <v>270</v>
          </cell>
          <cell r="AW172">
            <v>280</v>
          </cell>
          <cell r="AX172">
            <v>290</v>
          </cell>
          <cell r="AY172">
            <v>300</v>
          </cell>
          <cell r="AZ172">
            <v>360</v>
          </cell>
          <cell r="BA172">
            <v>420</v>
          </cell>
          <cell r="BB172">
            <v>440</v>
          </cell>
          <cell r="BC172">
            <v>420</v>
          </cell>
          <cell r="BD172">
            <v>430</v>
          </cell>
          <cell r="BE172">
            <v>530</v>
          </cell>
          <cell r="BF172">
            <v>660</v>
          </cell>
          <cell r="BG172">
            <v>700</v>
          </cell>
          <cell r="BH172">
            <v>550</v>
          </cell>
          <cell r="BI172">
            <v>490</v>
          </cell>
          <cell r="BJ172">
            <v>520</v>
          </cell>
          <cell r="BK172">
            <v>490</v>
          </cell>
          <cell r="BL172">
            <v>530</v>
          </cell>
          <cell r="BM172">
            <v>510</v>
          </cell>
          <cell r="BN172">
            <v>510</v>
          </cell>
        </row>
        <row r="173">
          <cell r="B173" t="str">
            <v>SGP</v>
          </cell>
          <cell r="C173" t="str">
            <v>GNI per capita, Atlas method (current US$)</v>
          </cell>
          <cell r="D173" t="str">
            <v>NY.GNP.PCAP.CD</v>
          </cell>
          <cell r="E173" t="str">
            <v>..</v>
          </cell>
          <cell r="F173" t="str">
            <v>..</v>
          </cell>
          <cell r="G173">
            <v>490</v>
          </cell>
          <cell r="H173">
            <v>530</v>
          </cell>
          <cell r="I173">
            <v>510</v>
          </cell>
          <cell r="J173">
            <v>540</v>
          </cell>
          <cell r="K173">
            <v>590</v>
          </cell>
          <cell r="L173">
            <v>660</v>
          </cell>
          <cell r="M173">
            <v>750</v>
          </cell>
          <cell r="N173">
            <v>850</v>
          </cell>
          <cell r="O173">
            <v>970</v>
          </cell>
          <cell r="P173">
            <v>1090</v>
          </cell>
          <cell r="Q173">
            <v>1280</v>
          </cell>
          <cell r="R173">
            <v>1600</v>
          </cell>
          <cell r="S173">
            <v>2090</v>
          </cell>
          <cell r="T173">
            <v>2660</v>
          </cell>
          <cell r="U173">
            <v>2930</v>
          </cell>
          <cell r="V173">
            <v>3020</v>
          </cell>
          <cell r="W173">
            <v>3370</v>
          </cell>
          <cell r="X173">
            <v>3990</v>
          </cell>
          <cell r="Y173">
            <v>4730</v>
          </cell>
          <cell r="Z173">
            <v>5380</v>
          </cell>
          <cell r="AA173">
            <v>5680</v>
          </cell>
          <cell r="AB173">
            <v>6170</v>
          </cell>
          <cell r="AC173">
            <v>6930</v>
          </cell>
          <cell r="AD173">
            <v>7100</v>
          </cell>
          <cell r="AE173">
            <v>7330</v>
          </cell>
          <cell r="AF173">
            <v>8080</v>
          </cell>
          <cell r="AG173">
            <v>9320</v>
          </cell>
          <cell r="AH173">
            <v>10320</v>
          </cell>
          <cell r="AI173">
            <v>11450</v>
          </cell>
          <cell r="AJ173">
            <v>12970</v>
          </cell>
          <cell r="AK173">
            <v>15270</v>
          </cell>
          <cell r="AL173">
            <v>17710</v>
          </cell>
          <cell r="AM173">
            <v>20780</v>
          </cell>
          <cell r="AN173">
            <v>23630</v>
          </cell>
          <cell r="AO173">
            <v>25620</v>
          </cell>
          <cell r="AP173">
            <v>27730</v>
          </cell>
          <cell r="AQ173">
            <v>24010</v>
          </cell>
          <cell r="AR173">
            <v>23360</v>
          </cell>
          <cell r="AS173">
            <v>23680</v>
          </cell>
          <cell r="AT173">
            <v>22130</v>
          </cell>
          <cell r="AU173">
            <v>22000</v>
          </cell>
          <cell r="AV173">
            <v>23440</v>
          </cell>
          <cell r="AW173">
            <v>26150</v>
          </cell>
          <cell r="AX173">
            <v>28820</v>
          </cell>
          <cell r="AY173">
            <v>32550</v>
          </cell>
          <cell r="AZ173">
            <v>36010</v>
          </cell>
          <cell r="BA173">
            <v>37230</v>
          </cell>
          <cell r="BB173">
            <v>37320</v>
          </cell>
          <cell r="BC173">
            <v>44930</v>
          </cell>
          <cell r="BD173">
            <v>48290</v>
          </cell>
          <cell r="BE173">
            <v>51740</v>
          </cell>
          <cell r="BF173">
            <v>54480</v>
          </cell>
          <cell r="BG173">
            <v>56380</v>
          </cell>
          <cell r="BH173">
            <v>53160</v>
          </cell>
          <cell r="BI173">
            <v>53060</v>
          </cell>
          <cell r="BJ173">
            <v>54460</v>
          </cell>
          <cell r="BK173">
            <v>56900</v>
          </cell>
          <cell r="BL173">
            <v>58390</v>
          </cell>
          <cell r="BM173">
            <v>54920</v>
          </cell>
          <cell r="BN173">
            <v>54920</v>
          </cell>
        </row>
        <row r="174">
          <cell r="B174" t="str">
            <v>SXM</v>
          </cell>
          <cell r="C174" t="str">
            <v>GNI per capita, Atlas method (current US$)</v>
          </cell>
          <cell r="D174" t="str">
            <v>NY.GNP.PCAP.CD</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t="str">
            <v>..</v>
          </cell>
          <cell r="AU174" t="str">
            <v>..</v>
          </cell>
          <cell r="AV174" t="str">
            <v>..</v>
          </cell>
          <cell r="AW174" t="str">
            <v>..</v>
          </cell>
          <cell r="AX174" t="str">
            <v>..</v>
          </cell>
          <cell r="AY174" t="str">
            <v>..</v>
          </cell>
          <cell r="AZ174" t="str">
            <v>..</v>
          </cell>
          <cell r="BA174" t="str">
            <v>..</v>
          </cell>
          <cell r="BB174" t="str">
            <v>..</v>
          </cell>
          <cell r="BC174" t="str">
            <v>..</v>
          </cell>
          <cell r="BD174" t="str">
            <v>..</v>
          </cell>
          <cell r="BE174" t="str">
            <v>..</v>
          </cell>
          <cell r="BF174">
            <v>27540</v>
          </cell>
          <cell r="BG174">
            <v>28670</v>
          </cell>
          <cell r="BH174">
            <v>29560</v>
          </cell>
          <cell r="BI174">
            <v>30890</v>
          </cell>
          <cell r="BJ174">
            <v>28210</v>
          </cell>
          <cell r="BK174">
            <v>27680</v>
          </cell>
          <cell r="BL174" t="str">
            <v>..</v>
          </cell>
          <cell r="BM174" t="str">
            <v>..</v>
          </cell>
          <cell r="BN174">
            <v>27680</v>
          </cell>
        </row>
        <row r="175">
          <cell r="B175" t="str">
            <v>SVK</v>
          </cell>
          <cell r="C175" t="str">
            <v>GNI per capita, Atlas method (current US$)</v>
          </cell>
          <cell r="D175" t="str">
            <v>NY.GNP.PCAP.CD</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cell r="AJ175" t="str">
            <v>..</v>
          </cell>
          <cell r="AK175" t="str">
            <v>..</v>
          </cell>
          <cell r="AL175" t="str">
            <v>..</v>
          </cell>
          <cell r="AM175" t="str">
            <v>..</v>
          </cell>
          <cell r="AN175">
            <v>4220</v>
          </cell>
          <cell r="AO175">
            <v>5020</v>
          </cell>
          <cell r="AP175">
            <v>5420</v>
          </cell>
          <cell r="AQ175">
            <v>5430</v>
          </cell>
          <cell r="AR175">
            <v>5380</v>
          </cell>
          <cell r="AS175">
            <v>5530</v>
          </cell>
          <cell r="AT175">
            <v>5720</v>
          </cell>
          <cell r="AU175">
            <v>6020</v>
          </cell>
          <cell r="AV175">
            <v>6960</v>
          </cell>
          <cell r="AW175">
            <v>9030</v>
          </cell>
          <cell r="AX175">
            <v>11350</v>
          </cell>
          <cell r="AY175">
            <v>12940</v>
          </cell>
          <cell r="AZ175">
            <v>14930</v>
          </cell>
          <cell r="BA175">
            <v>17250</v>
          </cell>
          <cell r="BB175">
            <v>17100</v>
          </cell>
          <cell r="BC175">
            <v>17500</v>
          </cell>
          <cell r="BD175">
            <v>17470</v>
          </cell>
          <cell r="BE175">
            <v>17750</v>
          </cell>
          <cell r="BF175">
            <v>18190</v>
          </cell>
          <cell r="BG175">
            <v>18270</v>
          </cell>
          <cell r="BH175">
            <v>17690</v>
          </cell>
          <cell r="BI175">
            <v>16770</v>
          </cell>
          <cell r="BJ175">
            <v>16600</v>
          </cell>
          <cell r="BK175">
            <v>18320</v>
          </cell>
          <cell r="BL175">
            <v>19230</v>
          </cell>
          <cell r="BM175">
            <v>18920</v>
          </cell>
          <cell r="BN175">
            <v>18920</v>
          </cell>
        </row>
        <row r="176">
          <cell r="B176" t="str">
            <v>SVN</v>
          </cell>
          <cell r="C176" t="str">
            <v>GNI per capita, Atlas method (current US$)</v>
          </cell>
          <cell r="D176" t="str">
            <v>NY.GNP.PCAP.CD</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t="str">
            <v>..</v>
          </cell>
          <cell r="AO176" t="str">
            <v>..</v>
          </cell>
          <cell r="AP176">
            <v>11240</v>
          </cell>
          <cell r="AQ176">
            <v>11000</v>
          </cell>
          <cell r="AR176">
            <v>11320</v>
          </cell>
          <cell r="AS176">
            <v>11270</v>
          </cell>
          <cell r="AT176">
            <v>10950</v>
          </cell>
          <cell r="AU176">
            <v>10920</v>
          </cell>
          <cell r="AV176">
            <v>12630</v>
          </cell>
          <cell r="AW176">
            <v>15610</v>
          </cell>
          <cell r="AX176">
            <v>18310</v>
          </cell>
          <cell r="AY176">
            <v>19820</v>
          </cell>
          <cell r="AZ176">
            <v>21790</v>
          </cell>
          <cell r="BA176">
            <v>24620</v>
          </cell>
          <cell r="BB176">
            <v>24380</v>
          </cell>
          <cell r="BC176">
            <v>24540</v>
          </cell>
          <cell r="BD176">
            <v>24580</v>
          </cell>
          <cell r="BE176">
            <v>23250</v>
          </cell>
          <cell r="BF176">
            <v>23230</v>
          </cell>
          <cell r="BG176">
            <v>23610</v>
          </cell>
          <cell r="BH176">
            <v>22250</v>
          </cell>
          <cell r="BI176">
            <v>21770</v>
          </cell>
          <cell r="BJ176">
            <v>22120</v>
          </cell>
          <cell r="BK176">
            <v>24610</v>
          </cell>
          <cell r="BL176">
            <v>25950</v>
          </cell>
          <cell r="BM176">
            <v>25360</v>
          </cell>
          <cell r="BN176">
            <v>25360</v>
          </cell>
        </row>
        <row r="177">
          <cell r="B177" t="str">
            <v>SLB</v>
          </cell>
          <cell r="C177" t="str">
            <v>GNI per capita, Atlas method (current US$)</v>
          </cell>
          <cell r="D177" t="str">
            <v>NY.GNP.PCAP.CD</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v>760</v>
          </cell>
          <cell r="AB177">
            <v>710</v>
          </cell>
          <cell r="AC177">
            <v>670</v>
          </cell>
          <cell r="AD177">
            <v>610</v>
          </cell>
          <cell r="AE177">
            <v>580</v>
          </cell>
          <cell r="AF177">
            <v>590</v>
          </cell>
          <cell r="AG177">
            <v>600</v>
          </cell>
          <cell r="AH177">
            <v>590</v>
          </cell>
          <cell r="AI177">
            <v>630</v>
          </cell>
          <cell r="AJ177">
            <v>660</v>
          </cell>
          <cell r="AK177">
            <v>800</v>
          </cell>
          <cell r="AL177">
            <v>860</v>
          </cell>
          <cell r="AM177">
            <v>1000</v>
          </cell>
          <cell r="AN177">
            <v>1200</v>
          </cell>
          <cell r="AO177">
            <v>1320</v>
          </cell>
          <cell r="AP177">
            <v>1310</v>
          </cell>
          <cell r="AQ177">
            <v>1230</v>
          </cell>
          <cell r="AR177">
            <v>1160</v>
          </cell>
          <cell r="AS177">
            <v>980</v>
          </cell>
          <cell r="AT177">
            <v>920</v>
          </cell>
          <cell r="AU177">
            <v>830</v>
          </cell>
          <cell r="AV177">
            <v>860</v>
          </cell>
          <cell r="AW177">
            <v>900</v>
          </cell>
          <cell r="AX177">
            <v>980</v>
          </cell>
          <cell r="AY177">
            <v>1040</v>
          </cell>
          <cell r="AZ177">
            <v>1120</v>
          </cell>
          <cell r="BA177">
            <v>1230</v>
          </cell>
          <cell r="BB177">
            <v>1310</v>
          </cell>
          <cell r="BC177">
            <v>1470</v>
          </cell>
          <cell r="BD177">
            <v>1620</v>
          </cell>
          <cell r="BE177">
            <v>1820</v>
          </cell>
          <cell r="BF177">
            <v>2160</v>
          </cell>
          <cell r="BG177">
            <v>2190</v>
          </cell>
          <cell r="BH177">
            <v>2130</v>
          </cell>
          <cell r="BI177">
            <v>2140</v>
          </cell>
          <cell r="BJ177">
            <v>2220</v>
          </cell>
          <cell r="BK177">
            <v>2360</v>
          </cell>
          <cell r="BL177">
            <v>2370</v>
          </cell>
          <cell r="BM177">
            <v>2300</v>
          </cell>
          <cell r="BN177">
            <v>2300</v>
          </cell>
        </row>
        <row r="178">
          <cell r="B178" t="str">
            <v>SOM</v>
          </cell>
          <cell r="C178" t="str">
            <v>GNI per capita, Atlas method (current US$)</v>
          </cell>
          <cell r="D178" t="str">
            <v>NY.GNP.PCAP.CD</v>
          </cell>
          <cell r="E178" t="str">
            <v>..</v>
          </cell>
          <cell r="F178" t="str">
            <v>..</v>
          </cell>
          <cell r="G178">
            <v>70</v>
          </cell>
          <cell r="H178">
            <v>70</v>
          </cell>
          <cell r="I178">
            <v>70</v>
          </cell>
          <cell r="J178">
            <v>70</v>
          </cell>
          <cell r="K178">
            <v>80</v>
          </cell>
          <cell r="L178">
            <v>90</v>
          </cell>
          <cell r="M178">
            <v>90</v>
          </cell>
          <cell r="N178">
            <v>90</v>
          </cell>
          <cell r="O178">
            <v>100</v>
          </cell>
          <cell r="P178">
            <v>100</v>
          </cell>
          <cell r="Q178">
            <v>120</v>
          </cell>
          <cell r="R178">
            <v>140</v>
          </cell>
          <cell r="S178">
            <v>130</v>
          </cell>
          <cell r="T178">
            <v>190</v>
          </cell>
          <cell r="U178">
            <v>180</v>
          </cell>
          <cell r="V178">
            <v>160</v>
          </cell>
          <cell r="W178">
            <v>130</v>
          </cell>
          <cell r="X178">
            <v>110</v>
          </cell>
          <cell r="Y178">
            <v>100</v>
          </cell>
          <cell r="Z178">
            <v>110</v>
          </cell>
          <cell r="AA178">
            <v>110</v>
          </cell>
          <cell r="AB178">
            <v>100</v>
          </cell>
          <cell r="AC178">
            <v>110</v>
          </cell>
          <cell r="AD178">
            <v>120</v>
          </cell>
          <cell r="AE178">
            <v>130</v>
          </cell>
          <cell r="AF178">
            <v>150</v>
          </cell>
          <cell r="AG178">
            <v>150</v>
          </cell>
          <cell r="AH178">
            <v>150</v>
          </cell>
          <cell r="AI178">
            <v>130</v>
          </cell>
          <cell r="AJ178" t="str">
            <v>..</v>
          </cell>
          <cell r="AK178" t="str">
            <v>..</v>
          </cell>
          <cell r="AL178" t="str">
            <v>..</v>
          </cell>
          <cell r="AM178" t="str">
            <v>..</v>
          </cell>
          <cell r="AN178" t="str">
            <v>..</v>
          </cell>
          <cell r="AO178" t="str">
            <v>..</v>
          </cell>
          <cell r="AP178" t="str">
            <v>..</v>
          </cell>
          <cell r="AQ178" t="str">
            <v>..</v>
          </cell>
          <cell r="AR178" t="str">
            <v>..</v>
          </cell>
          <cell r="AS178" t="str">
            <v>..</v>
          </cell>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v>400</v>
          </cell>
          <cell r="BI178">
            <v>400</v>
          </cell>
          <cell r="BJ178">
            <v>380</v>
          </cell>
          <cell r="BK178">
            <v>400</v>
          </cell>
          <cell r="BL178">
            <v>420</v>
          </cell>
          <cell r="BM178">
            <v>420</v>
          </cell>
          <cell r="BN178">
            <v>420</v>
          </cell>
        </row>
        <row r="179">
          <cell r="B179" t="str">
            <v>ZAF</v>
          </cell>
          <cell r="C179" t="str">
            <v>GNI per capita, Atlas method (current US$)</v>
          </cell>
          <cell r="D179" t="str">
            <v>NY.GNP.PCAP.CD</v>
          </cell>
          <cell r="E179" t="str">
            <v>..</v>
          </cell>
          <cell r="F179" t="str">
            <v>..</v>
          </cell>
          <cell r="G179">
            <v>460</v>
          </cell>
          <cell r="H179">
            <v>490</v>
          </cell>
          <cell r="I179">
            <v>520</v>
          </cell>
          <cell r="J179">
            <v>560</v>
          </cell>
          <cell r="K179">
            <v>590</v>
          </cell>
          <cell r="L179">
            <v>650</v>
          </cell>
          <cell r="M179">
            <v>690</v>
          </cell>
          <cell r="N179">
            <v>740</v>
          </cell>
          <cell r="O179">
            <v>800</v>
          </cell>
          <cell r="P179">
            <v>870</v>
          </cell>
          <cell r="Q179">
            <v>920</v>
          </cell>
          <cell r="R179">
            <v>1110</v>
          </cell>
          <cell r="S179">
            <v>1400</v>
          </cell>
          <cell r="T179">
            <v>1610</v>
          </cell>
          <cell r="U179">
            <v>1560</v>
          </cell>
          <cell r="V179">
            <v>1500</v>
          </cell>
          <cell r="W179">
            <v>1610</v>
          </cell>
          <cell r="X179">
            <v>1940</v>
          </cell>
          <cell r="Y179">
            <v>2500</v>
          </cell>
          <cell r="Z179">
            <v>2880</v>
          </cell>
          <cell r="AA179">
            <v>2770</v>
          </cell>
          <cell r="AB179">
            <v>2520</v>
          </cell>
          <cell r="AC179">
            <v>2460</v>
          </cell>
          <cell r="AD179">
            <v>2130</v>
          </cell>
          <cell r="AE179">
            <v>1990</v>
          </cell>
          <cell r="AF179">
            <v>2210</v>
          </cell>
          <cell r="AG179">
            <v>2670</v>
          </cell>
          <cell r="AH179">
            <v>2830</v>
          </cell>
          <cell r="AI179">
            <v>2860</v>
          </cell>
          <cell r="AJ179">
            <v>3000</v>
          </cell>
          <cell r="AK179">
            <v>3250</v>
          </cell>
          <cell r="AL179">
            <v>3490</v>
          </cell>
          <cell r="AM179">
            <v>3740</v>
          </cell>
          <cell r="AN179">
            <v>4010</v>
          </cell>
          <cell r="AO179">
            <v>4050</v>
          </cell>
          <cell r="AP179">
            <v>3990</v>
          </cell>
          <cell r="AQ179">
            <v>3590</v>
          </cell>
          <cell r="AR179">
            <v>3480</v>
          </cell>
          <cell r="AS179">
            <v>3420</v>
          </cell>
          <cell r="AT179">
            <v>3190</v>
          </cell>
          <cell r="AU179">
            <v>2990</v>
          </cell>
          <cell r="AV179">
            <v>3280</v>
          </cell>
          <cell r="AW179">
            <v>4180</v>
          </cell>
          <cell r="AX179">
            <v>5610</v>
          </cell>
          <cell r="AY179">
            <v>6310</v>
          </cell>
          <cell r="AZ179">
            <v>6630</v>
          </cell>
          <cell r="BA179">
            <v>6660</v>
          </cell>
          <cell r="BB179">
            <v>6510</v>
          </cell>
          <cell r="BC179">
            <v>6880</v>
          </cell>
          <cell r="BD179">
            <v>7760</v>
          </cell>
          <cell r="BE179">
            <v>8370</v>
          </cell>
          <cell r="BF179">
            <v>8070</v>
          </cell>
          <cell r="BG179">
            <v>7370</v>
          </cell>
          <cell r="BH179">
            <v>6610</v>
          </cell>
          <cell r="BI179">
            <v>5990</v>
          </cell>
          <cell r="BJ179">
            <v>5910</v>
          </cell>
          <cell r="BK179">
            <v>6340</v>
          </cell>
          <cell r="BL179">
            <v>6670</v>
          </cell>
          <cell r="BM179">
            <v>6010</v>
          </cell>
          <cell r="BN179">
            <v>6010</v>
          </cell>
        </row>
        <row r="180">
          <cell r="B180" t="str">
            <v>SSD</v>
          </cell>
          <cell r="C180" t="str">
            <v>GNI per capita, Atlas method (current US$)</v>
          </cell>
          <cell r="D180" t="str">
            <v>NY.GNP.PCAP.CD</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t="str">
            <v>..</v>
          </cell>
          <cell r="AU180" t="str">
            <v>..</v>
          </cell>
          <cell r="AV180" t="str">
            <v>..</v>
          </cell>
          <cell r="AW180" t="str">
            <v>..</v>
          </cell>
          <cell r="AX180" t="str">
            <v>..</v>
          </cell>
          <cell r="AY180" t="str">
            <v>..</v>
          </cell>
          <cell r="AZ180" t="str">
            <v>..</v>
          </cell>
          <cell r="BA180" t="str">
            <v>..</v>
          </cell>
          <cell r="BB180" t="str">
            <v>..</v>
          </cell>
          <cell r="BC180" t="str">
            <v>..</v>
          </cell>
          <cell r="BD180">
            <v>810</v>
          </cell>
          <cell r="BE180">
            <v>850</v>
          </cell>
          <cell r="BF180">
            <v>1160</v>
          </cell>
          <cell r="BG180">
            <v>1250</v>
          </cell>
          <cell r="BH180">
            <v>1090</v>
          </cell>
          <cell r="BI180" t="str">
            <v>..</v>
          </cell>
          <cell r="BJ180" t="str">
            <v>..</v>
          </cell>
          <cell r="BK180" t="str">
            <v>..</v>
          </cell>
          <cell r="BL180" t="str">
            <v>..</v>
          </cell>
          <cell r="BM180" t="str">
            <v>..</v>
          </cell>
          <cell r="BN180">
            <v>1090</v>
          </cell>
        </row>
        <row r="181">
          <cell r="B181" t="str">
            <v>ESP</v>
          </cell>
          <cell r="C181" t="str">
            <v>GNI per capita, Atlas method (current US$)</v>
          </cell>
          <cell r="D181" t="str">
            <v>NY.GNP.PCAP.CD</v>
          </cell>
          <cell r="E181" t="str">
            <v>..</v>
          </cell>
          <cell r="F181" t="str">
            <v>..</v>
          </cell>
          <cell r="G181">
            <v>500</v>
          </cell>
          <cell r="H181">
            <v>570</v>
          </cell>
          <cell r="I181">
            <v>640</v>
          </cell>
          <cell r="J181">
            <v>730</v>
          </cell>
          <cell r="K181">
            <v>840</v>
          </cell>
          <cell r="L181">
            <v>930</v>
          </cell>
          <cell r="M181">
            <v>1010</v>
          </cell>
          <cell r="N181">
            <v>1110</v>
          </cell>
          <cell r="O181">
            <v>1170</v>
          </cell>
          <cell r="P181">
            <v>1310</v>
          </cell>
          <cell r="Q181">
            <v>1590</v>
          </cell>
          <cell r="R181">
            <v>2090</v>
          </cell>
          <cell r="S181">
            <v>2730</v>
          </cell>
          <cell r="T181">
            <v>3240</v>
          </cell>
          <cell r="U181">
            <v>3430</v>
          </cell>
          <cell r="V181">
            <v>3640</v>
          </cell>
          <cell r="W181">
            <v>4040</v>
          </cell>
          <cell r="X181">
            <v>5010</v>
          </cell>
          <cell r="Y181">
            <v>6210</v>
          </cell>
          <cell r="Z181">
            <v>6310</v>
          </cell>
          <cell r="AA181">
            <v>5680</v>
          </cell>
          <cell r="AB181">
            <v>4860</v>
          </cell>
          <cell r="AC181">
            <v>4580</v>
          </cell>
          <cell r="AD181">
            <v>4550</v>
          </cell>
          <cell r="AE181">
            <v>5400</v>
          </cell>
          <cell r="AF181">
            <v>7110</v>
          </cell>
          <cell r="AG181">
            <v>9410</v>
          </cell>
          <cell r="AH181">
            <v>10700</v>
          </cell>
          <cell r="AI181">
            <v>12210</v>
          </cell>
          <cell r="AJ181">
            <v>13700</v>
          </cell>
          <cell r="AK181">
            <v>15610</v>
          </cell>
          <cell r="AL181">
            <v>15010</v>
          </cell>
          <cell r="AM181">
            <v>14470</v>
          </cell>
          <cell r="AN181">
            <v>14830</v>
          </cell>
          <cell r="AO181">
            <v>15560</v>
          </cell>
          <cell r="AP181">
            <v>15820</v>
          </cell>
          <cell r="AQ181">
            <v>15440</v>
          </cell>
          <cell r="AR181">
            <v>15480</v>
          </cell>
          <cell r="AS181">
            <v>15770</v>
          </cell>
          <cell r="AT181">
            <v>15520</v>
          </cell>
          <cell r="AU181">
            <v>15590</v>
          </cell>
          <cell r="AV181">
            <v>18030</v>
          </cell>
          <cell r="AW181">
            <v>22070</v>
          </cell>
          <cell r="AX181">
            <v>25870</v>
          </cell>
          <cell r="AY181">
            <v>27820</v>
          </cell>
          <cell r="AZ181">
            <v>29740</v>
          </cell>
          <cell r="BA181">
            <v>32190</v>
          </cell>
          <cell r="BB181">
            <v>32460</v>
          </cell>
          <cell r="BC181">
            <v>31880</v>
          </cell>
          <cell r="BD181">
            <v>30950</v>
          </cell>
          <cell r="BE181">
            <v>29520</v>
          </cell>
          <cell r="BF181">
            <v>29210</v>
          </cell>
          <cell r="BG181">
            <v>29130</v>
          </cell>
          <cell r="BH181">
            <v>28430</v>
          </cell>
          <cell r="BI181">
            <v>27530</v>
          </cell>
          <cell r="BJ181">
            <v>27070</v>
          </cell>
          <cell r="BK181">
            <v>29280</v>
          </cell>
          <cell r="BL181">
            <v>30350</v>
          </cell>
          <cell r="BM181">
            <v>27360</v>
          </cell>
          <cell r="BN181">
            <v>27360</v>
          </cell>
        </row>
        <row r="182">
          <cell r="B182" t="str">
            <v>LKA</v>
          </cell>
          <cell r="C182" t="str">
            <v>GNI per capita, Atlas method (current US$)</v>
          </cell>
          <cell r="D182" t="str">
            <v>NY.GNP.PCAP.CD</v>
          </cell>
          <cell r="E182" t="str">
            <v>..</v>
          </cell>
          <cell r="F182" t="str">
            <v>..</v>
          </cell>
          <cell r="G182" t="str">
            <v>..</v>
          </cell>
          <cell r="H182">
            <v>130</v>
          </cell>
          <cell r="I182">
            <v>130</v>
          </cell>
          <cell r="J182">
            <v>130</v>
          </cell>
          <cell r="K182">
            <v>150</v>
          </cell>
          <cell r="L182">
            <v>170</v>
          </cell>
          <cell r="M182">
            <v>160</v>
          </cell>
          <cell r="N182">
            <v>170</v>
          </cell>
          <cell r="O182">
            <v>170</v>
          </cell>
          <cell r="P182">
            <v>170</v>
          </cell>
          <cell r="Q182">
            <v>180</v>
          </cell>
          <cell r="R182">
            <v>210</v>
          </cell>
          <cell r="S182">
            <v>250</v>
          </cell>
          <cell r="T182">
            <v>270</v>
          </cell>
          <cell r="U182">
            <v>260</v>
          </cell>
          <cell r="V182">
            <v>260</v>
          </cell>
          <cell r="W182">
            <v>240</v>
          </cell>
          <cell r="X182">
            <v>260</v>
          </cell>
          <cell r="Y182">
            <v>280</v>
          </cell>
          <cell r="Z182">
            <v>300</v>
          </cell>
          <cell r="AA182">
            <v>310</v>
          </cell>
          <cell r="AB182">
            <v>310</v>
          </cell>
          <cell r="AC182">
            <v>330</v>
          </cell>
          <cell r="AD182">
            <v>370</v>
          </cell>
          <cell r="AE182">
            <v>410</v>
          </cell>
          <cell r="AF182">
            <v>430</v>
          </cell>
          <cell r="AG182">
            <v>460</v>
          </cell>
          <cell r="AH182">
            <v>440</v>
          </cell>
          <cell r="AI182">
            <v>460</v>
          </cell>
          <cell r="AJ182">
            <v>490</v>
          </cell>
          <cell r="AK182">
            <v>550</v>
          </cell>
          <cell r="AL182">
            <v>600</v>
          </cell>
          <cell r="AM182">
            <v>640</v>
          </cell>
          <cell r="AN182">
            <v>690</v>
          </cell>
          <cell r="AO182">
            <v>740</v>
          </cell>
          <cell r="AP182">
            <v>800</v>
          </cell>
          <cell r="AQ182">
            <v>820</v>
          </cell>
          <cell r="AR182">
            <v>840</v>
          </cell>
          <cell r="AS182">
            <v>870</v>
          </cell>
          <cell r="AT182">
            <v>830</v>
          </cell>
          <cell r="AU182">
            <v>840</v>
          </cell>
          <cell r="AV182">
            <v>940</v>
          </cell>
          <cell r="AW182">
            <v>1060</v>
          </cell>
          <cell r="AX182">
            <v>1210</v>
          </cell>
          <cell r="AY182">
            <v>1360</v>
          </cell>
          <cell r="AZ182">
            <v>1550</v>
          </cell>
          <cell r="BA182">
            <v>1790</v>
          </cell>
          <cell r="BB182">
            <v>2010</v>
          </cell>
          <cell r="BC182">
            <v>2410</v>
          </cell>
          <cell r="BD182">
            <v>2850</v>
          </cell>
          <cell r="BE182">
            <v>3360</v>
          </cell>
          <cell r="BF182">
            <v>3490</v>
          </cell>
          <cell r="BG182">
            <v>3640</v>
          </cell>
          <cell r="BH182">
            <v>3760</v>
          </cell>
          <cell r="BI182">
            <v>3810</v>
          </cell>
          <cell r="BJ182">
            <v>3870</v>
          </cell>
          <cell r="BK182">
            <v>4040</v>
          </cell>
          <cell r="BL182">
            <v>4010</v>
          </cell>
          <cell r="BM182">
            <v>3720</v>
          </cell>
          <cell r="BN182">
            <v>3720</v>
          </cell>
        </row>
        <row r="183">
          <cell r="B183" t="str">
            <v>KNA</v>
          </cell>
          <cell r="C183" t="str">
            <v>GNI per capita, Atlas method (current US$)</v>
          </cell>
          <cell r="D183" t="str">
            <v>NY.GNP.PCAP.CD</v>
          </cell>
          <cell r="E183" t="str">
            <v>..</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t="str">
            <v>..</v>
          </cell>
          <cell r="W183" t="str">
            <v>..</v>
          </cell>
          <cell r="X183">
            <v>1370</v>
          </cell>
          <cell r="Y183">
            <v>1670</v>
          </cell>
          <cell r="Z183">
            <v>1850</v>
          </cell>
          <cell r="AA183">
            <v>1940</v>
          </cell>
          <cell r="AB183">
            <v>2010</v>
          </cell>
          <cell r="AC183">
            <v>2240</v>
          </cell>
          <cell r="AD183">
            <v>2510</v>
          </cell>
          <cell r="AE183">
            <v>3070</v>
          </cell>
          <cell r="AF183">
            <v>3690</v>
          </cell>
          <cell r="AG183">
            <v>4390</v>
          </cell>
          <cell r="AH183">
            <v>4660</v>
          </cell>
          <cell r="AI183">
            <v>5220</v>
          </cell>
          <cell r="AJ183">
            <v>5260</v>
          </cell>
          <cell r="AK183">
            <v>5710</v>
          </cell>
          <cell r="AL183">
            <v>6190</v>
          </cell>
          <cell r="AM183">
            <v>6710</v>
          </cell>
          <cell r="AN183">
            <v>7310</v>
          </cell>
          <cell r="AO183">
            <v>7690</v>
          </cell>
          <cell r="AP183">
            <v>8080</v>
          </cell>
          <cell r="AQ183">
            <v>7830</v>
          </cell>
          <cell r="AR183">
            <v>8280</v>
          </cell>
          <cell r="AS183">
            <v>9120</v>
          </cell>
          <cell r="AT183">
            <v>9440</v>
          </cell>
          <cell r="AU183">
            <v>9370</v>
          </cell>
          <cell r="AV183">
            <v>9270</v>
          </cell>
          <cell r="AW183">
            <v>10390</v>
          </cell>
          <cell r="AX183">
            <v>11640</v>
          </cell>
          <cell r="AY183">
            <v>12440</v>
          </cell>
          <cell r="AZ183">
            <v>13050</v>
          </cell>
          <cell r="BA183">
            <v>14850</v>
          </cell>
          <cell r="BB183">
            <v>14620</v>
          </cell>
          <cell r="BC183">
            <v>14690</v>
          </cell>
          <cell r="BD183">
            <v>15450</v>
          </cell>
          <cell r="BE183">
            <v>15470</v>
          </cell>
          <cell r="BF183">
            <v>16610</v>
          </cell>
          <cell r="BG183">
            <v>16490</v>
          </cell>
          <cell r="BH183">
            <v>16410</v>
          </cell>
          <cell r="BI183">
            <v>18510</v>
          </cell>
          <cell r="BJ183">
            <v>18840</v>
          </cell>
          <cell r="BK183">
            <v>19790</v>
          </cell>
          <cell r="BL183">
            <v>21160</v>
          </cell>
          <cell r="BM183">
            <v>19080</v>
          </cell>
          <cell r="BN183">
            <v>19080</v>
          </cell>
        </row>
        <row r="184">
          <cell r="B184" t="str">
            <v>LCA</v>
          </cell>
          <cell r="C184" t="str">
            <v>GNI per capita, Atlas method (current US$)</v>
          </cell>
          <cell r="D184" t="str">
            <v>NY.GNP.PCAP.CD</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v>1530</v>
          </cell>
          <cell r="AB184">
            <v>1510</v>
          </cell>
          <cell r="AC184">
            <v>1660</v>
          </cell>
          <cell r="AD184">
            <v>1940</v>
          </cell>
          <cell r="AE184">
            <v>2500</v>
          </cell>
          <cell r="AF184">
            <v>2830</v>
          </cell>
          <cell r="AG184">
            <v>3330</v>
          </cell>
          <cell r="AH184">
            <v>3570</v>
          </cell>
          <cell r="AI184">
            <v>3730</v>
          </cell>
          <cell r="AJ184">
            <v>3850</v>
          </cell>
          <cell r="AK184">
            <v>4400</v>
          </cell>
          <cell r="AL184">
            <v>4420</v>
          </cell>
          <cell r="AM184">
            <v>4510</v>
          </cell>
          <cell r="AN184">
            <v>4650</v>
          </cell>
          <cell r="AO184">
            <v>4850</v>
          </cell>
          <cell r="AP184">
            <v>4760</v>
          </cell>
          <cell r="AQ184">
            <v>4930</v>
          </cell>
          <cell r="AR184">
            <v>5150</v>
          </cell>
          <cell r="AS184">
            <v>5250</v>
          </cell>
          <cell r="AT184">
            <v>4990</v>
          </cell>
          <cell r="AU184">
            <v>5010</v>
          </cell>
          <cell r="AV184">
            <v>5370</v>
          </cell>
          <cell r="AW184">
            <v>6000</v>
          </cell>
          <cell r="AX184">
            <v>6230</v>
          </cell>
          <cell r="AY184">
            <v>7260</v>
          </cell>
          <cell r="AZ184">
            <v>7500</v>
          </cell>
          <cell r="BA184">
            <v>8090</v>
          </cell>
          <cell r="BB184">
            <v>8020</v>
          </cell>
          <cell r="BC184">
            <v>8170</v>
          </cell>
          <cell r="BD184">
            <v>8820</v>
          </cell>
          <cell r="BE184">
            <v>8850</v>
          </cell>
          <cell r="BF184">
            <v>8790</v>
          </cell>
          <cell r="BG184">
            <v>8840</v>
          </cell>
          <cell r="BH184">
            <v>8740</v>
          </cell>
          <cell r="BI184">
            <v>9430</v>
          </cell>
          <cell r="BJ184">
            <v>10060</v>
          </cell>
          <cell r="BK184">
            <v>10720</v>
          </cell>
          <cell r="BL184">
            <v>10950</v>
          </cell>
          <cell r="BM184">
            <v>8560</v>
          </cell>
          <cell r="BN184">
            <v>8560</v>
          </cell>
        </row>
        <row r="185">
          <cell r="B185" t="str">
            <v>MAF</v>
          </cell>
          <cell r="C185" t="str">
            <v>GNI per capita, Atlas method (current US$)</v>
          </cell>
          <cell r="D185" t="str">
            <v>NY.GNP.PCAP.CD</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v>
          </cell>
          <cell r="BN185" t="str">
            <v/>
          </cell>
        </row>
        <row r="186">
          <cell r="B186" t="str">
            <v>VCT</v>
          </cell>
          <cell r="C186" t="str">
            <v>GNI per capita, Atlas method (current US$)</v>
          </cell>
          <cell r="D186" t="str">
            <v>NY.GNP.PCAP.CD</v>
          </cell>
          <cell r="E186" t="str">
            <v>..</v>
          </cell>
          <cell r="F186" t="str">
            <v>..</v>
          </cell>
          <cell r="G186">
            <v>180</v>
          </cell>
          <cell r="H186">
            <v>160</v>
          </cell>
          <cell r="I186">
            <v>170</v>
          </cell>
          <cell r="J186">
            <v>180</v>
          </cell>
          <cell r="K186">
            <v>180</v>
          </cell>
          <cell r="L186">
            <v>170</v>
          </cell>
          <cell r="M186">
            <v>190</v>
          </cell>
          <cell r="N186">
            <v>190</v>
          </cell>
          <cell r="O186">
            <v>210</v>
          </cell>
          <cell r="P186">
            <v>220</v>
          </cell>
          <cell r="Q186">
            <v>300</v>
          </cell>
          <cell r="R186">
            <v>310</v>
          </cell>
          <cell r="S186">
            <v>340</v>
          </cell>
          <cell r="T186">
            <v>370</v>
          </cell>
          <cell r="U186">
            <v>390</v>
          </cell>
          <cell r="V186">
            <v>460</v>
          </cell>
          <cell r="W186">
            <v>560</v>
          </cell>
          <cell r="X186">
            <v>710</v>
          </cell>
          <cell r="Y186">
            <v>830</v>
          </cell>
          <cell r="Z186">
            <v>960</v>
          </cell>
          <cell r="AA186">
            <v>1030</v>
          </cell>
          <cell r="AB186">
            <v>1090</v>
          </cell>
          <cell r="AC186">
            <v>1200</v>
          </cell>
          <cell r="AD186">
            <v>1330</v>
          </cell>
          <cell r="AE186">
            <v>1450</v>
          </cell>
          <cell r="AF186">
            <v>1660</v>
          </cell>
          <cell r="AG186">
            <v>1950</v>
          </cell>
          <cell r="AH186">
            <v>2030</v>
          </cell>
          <cell r="AI186">
            <v>2150</v>
          </cell>
          <cell r="AJ186">
            <v>2200</v>
          </cell>
          <cell r="AK186">
            <v>2480</v>
          </cell>
          <cell r="AL186">
            <v>2710</v>
          </cell>
          <cell r="AM186">
            <v>2660</v>
          </cell>
          <cell r="AN186">
            <v>2890</v>
          </cell>
          <cell r="AO186">
            <v>3000</v>
          </cell>
          <cell r="AP186">
            <v>3070</v>
          </cell>
          <cell r="AQ186">
            <v>3190</v>
          </cell>
          <cell r="AR186">
            <v>3310</v>
          </cell>
          <cell r="AS186">
            <v>3470</v>
          </cell>
          <cell r="AT186">
            <v>3650</v>
          </cell>
          <cell r="AU186">
            <v>3950</v>
          </cell>
          <cell r="AV186">
            <v>4380</v>
          </cell>
          <cell r="AW186">
            <v>4730</v>
          </cell>
          <cell r="AX186">
            <v>4960</v>
          </cell>
          <cell r="AY186">
            <v>5470</v>
          </cell>
          <cell r="AZ186">
            <v>5910</v>
          </cell>
          <cell r="BA186">
            <v>6260</v>
          </cell>
          <cell r="BB186">
            <v>6320</v>
          </cell>
          <cell r="BC186">
            <v>6090</v>
          </cell>
          <cell r="BD186">
            <v>6130</v>
          </cell>
          <cell r="BE186">
            <v>6400</v>
          </cell>
          <cell r="BF186">
            <v>6560</v>
          </cell>
          <cell r="BG186">
            <v>6390</v>
          </cell>
          <cell r="BH186">
            <v>6560</v>
          </cell>
          <cell r="BI186">
            <v>6800</v>
          </cell>
          <cell r="BJ186">
            <v>6990</v>
          </cell>
          <cell r="BK186">
            <v>7400</v>
          </cell>
          <cell r="BL186">
            <v>7460</v>
          </cell>
          <cell r="BM186">
            <v>7310</v>
          </cell>
          <cell r="BN186">
            <v>7310</v>
          </cell>
        </row>
        <row r="187">
          <cell r="B187" t="str">
            <v>SDN</v>
          </cell>
          <cell r="C187" t="str">
            <v>GNI per capita, Atlas method (current US$)</v>
          </cell>
          <cell r="D187" t="str">
            <v>NY.GNP.PCAP.CD</v>
          </cell>
          <cell r="E187" t="str">
            <v>..</v>
          </cell>
          <cell r="F187" t="str">
            <v>..</v>
          </cell>
          <cell r="G187">
            <v>140</v>
          </cell>
          <cell r="H187">
            <v>140</v>
          </cell>
          <cell r="I187">
            <v>140</v>
          </cell>
          <cell r="J187">
            <v>140</v>
          </cell>
          <cell r="K187">
            <v>140</v>
          </cell>
          <cell r="L187">
            <v>140</v>
          </cell>
          <cell r="M187">
            <v>150</v>
          </cell>
          <cell r="N187">
            <v>160</v>
          </cell>
          <cell r="O187">
            <v>170</v>
          </cell>
          <cell r="P187">
            <v>180</v>
          </cell>
          <cell r="Q187">
            <v>190</v>
          </cell>
          <cell r="R187">
            <v>220</v>
          </cell>
          <cell r="S187">
            <v>290</v>
          </cell>
          <cell r="T187">
            <v>380</v>
          </cell>
          <cell r="U187">
            <v>440</v>
          </cell>
          <cell r="V187">
            <v>480</v>
          </cell>
          <cell r="W187">
            <v>460</v>
          </cell>
          <cell r="X187">
            <v>490</v>
          </cell>
          <cell r="Y187">
            <v>480</v>
          </cell>
          <cell r="Z187">
            <v>500</v>
          </cell>
          <cell r="AA187">
            <v>470</v>
          </cell>
          <cell r="AB187">
            <v>430</v>
          </cell>
          <cell r="AC187">
            <v>380</v>
          </cell>
          <cell r="AD187">
            <v>390</v>
          </cell>
          <cell r="AE187">
            <v>540</v>
          </cell>
          <cell r="AF187">
            <v>790</v>
          </cell>
          <cell r="AG187">
            <v>780</v>
          </cell>
          <cell r="AH187">
            <v>720</v>
          </cell>
          <cell r="AI187">
            <v>530</v>
          </cell>
          <cell r="AJ187">
            <v>450</v>
          </cell>
          <cell r="AK187">
            <v>340</v>
          </cell>
          <cell r="AL187">
            <v>310</v>
          </cell>
          <cell r="AM187">
            <v>320</v>
          </cell>
          <cell r="AN187">
            <v>400</v>
          </cell>
          <cell r="AO187">
            <v>400</v>
          </cell>
          <cell r="AP187">
            <v>380</v>
          </cell>
          <cell r="AQ187">
            <v>340</v>
          </cell>
          <cell r="AR187">
            <v>330</v>
          </cell>
          <cell r="AS187">
            <v>340</v>
          </cell>
          <cell r="AT187">
            <v>370</v>
          </cell>
          <cell r="AU187">
            <v>430</v>
          </cell>
          <cell r="AV187">
            <v>520</v>
          </cell>
          <cell r="AW187">
            <v>620</v>
          </cell>
          <cell r="AX187">
            <v>760</v>
          </cell>
          <cell r="AY187">
            <v>930</v>
          </cell>
          <cell r="AZ187">
            <v>1170</v>
          </cell>
          <cell r="BA187">
            <v>1370</v>
          </cell>
          <cell r="BB187">
            <v>1340</v>
          </cell>
          <cell r="BC187">
            <v>1260</v>
          </cell>
          <cell r="BD187">
            <v>1280</v>
          </cell>
          <cell r="BE187">
            <v>1140</v>
          </cell>
          <cell r="BF187">
            <v>1080</v>
          </cell>
          <cell r="BG187">
            <v>1150</v>
          </cell>
          <cell r="BH187">
            <v>1220</v>
          </cell>
          <cell r="BI187">
            <v>1180</v>
          </cell>
          <cell r="BJ187">
            <v>1050</v>
          </cell>
          <cell r="BK187">
            <v>840</v>
          </cell>
          <cell r="BL187">
            <v>690</v>
          </cell>
          <cell r="BM187">
            <v>530</v>
          </cell>
          <cell r="BN187">
            <v>530</v>
          </cell>
        </row>
        <row r="188">
          <cell r="B188" t="str">
            <v>SUR</v>
          </cell>
          <cell r="C188" t="str">
            <v>GNI per capita, Atlas method (current US$)</v>
          </cell>
          <cell r="D188" t="str">
            <v>NY.GNP.PCAP.CD</v>
          </cell>
          <cell r="E188" t="str">
            <v>..</v>
          </cell>
          <cell r="F188" t="str">
            <v>..</v>
          </cell>
          <cell r="G188">
            <v>270</v>
          </cell>
          <cell r="H188">
            <v>230</v>
          </cell>
          <cell r="I188">
            <v>250</v>
          </cell>
          <cell r="J188">
            <v>370</v>
          </cell>
          <cell r="K188">
            <v>450</v>
          </cell>
          <cell r="L188">
            <v>510</v>
          </cell>
          <cell r="M188">
            <v>520</v>
          </cell>
          <cell r="N188">
            <v>530</v>
          </cell>
          <cell r="O188">
            <v>570</v>
          </cell>
          <cell r="P188">
            <v>610</v>
          </cell>
          <cell r="Q188">
            <v>690</v>
          </cell>
          <cell r="R188">
            <v>770</v>
          </cell>
          <cell r="S188">
            <v>980</v>
          </cell>
          <cell r="T188">
            <v>1320</v>
          </cell>
          <cell r="U188">
            <v>1420</v>
          </cell>
          <cell r="V188">
            <v>1640</v>
          </cell>
          <cell r="W188">
            <v>1930</v>
          </cell>
          <cell r="X188">
            <v>2170</v>
          </cell>
          <cell r="Y188">
            <v>2290</v>
          </cell>
          <cell r="Z188">
            <v>2640</v>
          </cell>
          <cell r="AA188">
            <v>2510</v>
          </cell>
          <cell r="AB188">
            <v>2320</v>
          </cell>
          <cell r="AC188">
            <v>2340</v>
          </cell>
          <cell r="AD188">
            <v>2380</v>
          </cell>
          <cell r="AE188">
            <v>2460</v>
          </cell>
          <cell r="AF188">
            <v>2520</v>
          </cell>
          <cell r="AG188">
            <v>2980</v>
          </cell>
          <cell r="AH188">
            <v>2230</v>
          </cell>
          <cell r="AI188">
            <v>1420</v>
          </cell>
          <cell r="AJ188">
            <v>1140</v>
          </cell>
          <cell r="AK188">
            <v>1040</v>
          </cell>
          <cell r="AL188">
            <v>970</v>
          </cell>
          <cell r="AM188">
            <v>1100</v>
          </cell>
          <cell r="AN188">
            <v>1320</v>
          </cell>
          <cell r="AO188">
            <v>1630</v>
          </cell>
          <cell r="AP188">
            <v>1840</v>
          </cell>
          <cell r="AQ188">
            <v>2050</v>
          </cell>
          <cell r="AR188">
            <v>1950</v>
          </cell>
          <cell r="AS188">
            <v>1970</v>
          </cell>
          <cell r="AT188">
            <v>1670</v>
          </cell>
          <cell r="AU188">
            <v>1930</v>
          </cell>
          <cell r="AV188">
            <v>2200</v>
          </cell>
          <cell r="AW188">
            <v>2820</v>
          </cell>
          <cell r="AX188">
            <v>3320</v>
          </cell>
          <cell r="AY188">
            <v>4040</v>
          </cell>
          <cell r="AZ188">
            <v>5050</v>
          </cell>
          <cell r="BA188">
            <v>6330</v>
          </cell>
          <cell r="BB188">
            <v>6960</v>
          </cell>
          <cell r="BC188">
            <v>7620</v>
          </cell>
          <cell r="BD188">
            <v>7920</v>
          </cell>
          <cell r="BE188">
            <v>8550</v>
          </cell>
          <cell r="BF188">
            <v>8950</v>
          </cell>
          <cell r="BG188">
            <v>9260</v>
          </cell>
          <cell r="BH188">
            <v>8890</v>
          </cell>
          <cell r="BI188">
            <v>6940</v>
          </cell>
          <cell r="BJ188">
            <v>5940</v>
          </cell>
          <cell r="BK188">
            <v>5970</v>
          </cell>
          <cell r="BL188">
            <v>6190</v>
          </cell>
          <cell r="BM188">
            <v>4620</v>
          </cell>
          <cell r="BN188">
            <v>4620</v>
          </cell>
        </row>
        <row r="189">
          <cell r="B189" t="str">
            <v>SWE</v>
          </cell>
          <cell r="C189" t="str">
            <v>GNI per capita, Atlas method (current US$)</v>
          </cell>
          <cell r="D189" t="str">
            <v>NY.GNP.PCAP.CD</v>
          </cell>
          <cell r="E189" t="str">
            <v>..</v>
          </cell>
          <cell r="F189" t="str">
            <v>..</v>
          </cell>
          <cell r="G189">
            <v>2310</v>
          </cell>
          <cell r="H189">
            <v>2490</v>
          </cell>
          <cell r="I189">
            <v>2740</v>
          </cell>
          <cell r="J189">
            <v>2960</v>
          </cell>
          <cell r="K189">
            <v>3190</v>
          </cell>
          <cell r="L189">
            <v>3460</v>
          </cell>
          <cell r="M189">
            <v>3770</v>
          </cell>
          <cell r="N189">
            <v>4100</v>
          </cell>
          <cell r="O189">
            <v>4690</v>
          </cell>
          <cell r="P189">
            <v>4990</v>
          </cell>
          <cell r="Q189">
            <v>5670</v>
          </cell>
          <cell r="R189">
            <v>7050</v>
          </cell>
          <cell r="S189">
            <v>8580</v>
          </cell>
          <cell r="T189">
            <v>10160</v>
          </cell>
          <cell r="U189">
            <v>10720</v>
          </cell>
          <cell r="V189">
            <v>11290</v>
          </cell>
          <cell r="W189">
            <v>12460</v>
          </cell>
          <cell r="X189">
            <v>14790</v>
          </cell>
          <cell r="Y189">
            <v>17300</v>
          </cell>
          <cell r="Z189">
            <v>17530</v>
          </cell>
          <cell r="AA189">
            <v>15760</v>
          </cell>
          <cell r="AB189">
            <v>13550</v>
          </cell>
          <cell r="AC189">
            <v>13020</v>
          </cell>
          <cell r="AD189">
            <v>13080</v>
          </cell>
          <cell r="AE189">
            <v>15330</v>
          </cell>
          <cell r="AF189">
            <v>19360</v>
          </cell>
          <cell r="AG189">
            <v>24190</v>
          </cell>
          <cell r="AH189">
            <v>26090</v>
          </cell>
          <cell r="AI189">
            <v>27760</v>
          </cell>
          <cell r="AJ189">
            <v>29110</v>
          </cell>
          <cell r="AK189">
            <v>31340</v>
          </cell>
          <cell r="AL189">
            <v>28200</v>
          </cell>
          <cell r="AM189">
            <v>27690</v>
          </cell>
          <cell r="AN189">
            <v>28070</v>
          </cell>
          <cell r="AO189">
            <v>30400</v>
          </cell>
          <cell r="AP189">
            <v>31390</v>
          </cell>
          <cell r="AQ189">
            <v>31110</v>
          </cell>
          <cell r="AR189">
            <v>31300</v>
          </cell>
          <cell r="AS189">
            <v>31610</v>
          </cell>
          <cell r="AT189">
            <v>29720</v>
          </cell>
          <cell r="AU189">
            <v>29090</v>
          </cell>
          <cell r="AV189">
            <v>32750</v>
          </cell>
          <cell r="AW189">
            <v>39790</v>
          </cell>
          <cell r="AX189">
            <v>45770</v>
          </cell>
          <cell r="AY189">
            <v>49150</v>
          </cell>
          <cell r="AZ189">
            <v>52310</v>
          </cell>
          <cell r="BA189">
            <v>55720</v>
          </cell>
          <cell r="BB189">
            <v>52640</v>
          </cell>
          <cell r="BC189">
            <v>54630</v>
          </cell>
          <cell r="BD189">
            <v>56700</v>
          </cell>
          <cell r="BE189">
            <v>59090</v>
          </cell>
          <cell r="BF189">
            <v>61800</v>
          </cell>
          <cell r="BG189">
            <v>61870</v>
          </cell>
          <cell r="BH189">
            <v>58420</v>
          </cell>
          <cell r="BI189">
            <v>54360</v>
          </cell>
          <cell r="BJ189">
            <v>53030</v>
          </cell>
          <cell r="BK189">
            <v>55640</v>
          </cell>
          <cell r="BL189">
            <v>56410</v>
          </cell>
          <cell r="BM189">
            <v>54050</v>
          </cell>
          <cell r="BN189">
            <v>54050</v>
          </cell>
        </row>
        <row r="190">
          <cell r="B190" t="str">
            <v>CHE</v>
          </cell>
          <cell r="C190" t="str">
            <v>GNI per capita, Atlas method (current US$)</v>
          </cell>
          <cell r="D190" t="str">
            <v>NY.GNP.PCAP.CD</v>
          </cell>
          <cell r="E190" t="str">
            <v>..</v>
          </cell>
          <cell r="F190" t="str">
            <v>..</v>
          </cell>
          <cell r="G190" t="str">
            <v>..</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t="str">
            <v>..</v>
          </cell>
          <cell r="AF190" t="str">
            <v>..</v>
          </cell>
          <cell r="AG190" t="str">
            <v>..</v>
          </cell>
          <cell r="AH190" t="str">
            <v>..</v>
          </cell>
          <cell r="AI190" t="str">
            <v>..</v>
          </cell>
          <cell r="AJ190" t="str">
            <v>..</v>
          </cell>
          <cell r="AK190" t="str">
            <v>..</v>
          </cell>
          <cell r="AL190" t="str">
            <v>..</v>
          </cell>
          <cell r="AM190" t="str">
            <v>..</v>
          </cell>
          <cell r="AN190">
            <v>46740</v>
          </cell>
          <cell r="AO190">
            <v>49730</v>
          </cell>
          <cell r="AP190">
            <v>49340</v>
          </cell>
          <cell r="AQ190">
            <v>46200</v>
          </cell>
          <cell r="AR190">
            <v>44280</v>
          </cell>
          <cell r="AS190">
            <v>44680</v>
          </cell>
          <cell r="AT190">
            <v>42110</v>
          </cell>
          <cell r="AU190">
            <v>40760</v>
          </cell>
          <cell r="AV190">
            <v>46780</v>
          </cell>
          <cell r="AW190">
            <v>55200</v>
          </cell>
          <cell r="AX190">
            <v>63080</v>
          </cell>
          <cell r="AY190">
            <v>65590</v>
          </cell>
          <cell r="AZ190">
            <v>64480</v>
          </cell>
          <cell r="BA190">
            <v>65260</v>
          </cell>
          <cell r="BB190">
            <v>72470</v>
          </cell>
          <cell r="BC190">
            <v>79850</v>
          </cell>
          <cell r="BD190">
            <v>82280</v>
          </cell>
          <cell r="BE190">
            <v>87770</v>
          </cell>
          <cell r="BF190">
            <v>91700</v>
          </cell>
          <cell r="BG190">
            <v>89400</v>
          </cell>
          <cell r="BH190">
            <v>87960</v>
          </cell>
          <cell r="BI190">
            <v>84420</v>
          </cell>
          <cell r="BJ190">
            <v>81880</v>
          </cell>
          <cell r="BK190">
            <v>83280</v>
          </cell>
          <cell r="BL190">
            <v>84260</v>
          </cell>
          <cell r="BM190">
            <v>82620</v>
          </cell>
          <cell r="BN190">
            <v>82620</v>
          </cell>
        </row>
        <row r="191">
          <cell r="B191" t="str">
            <v>SYR</v>
          </cell>
          <cell r="C191" t="str">
            <v>GNI per capita, Atlas method (current US$)</v>
          </cell>
          <cell r="D191" t="str">
            <v>NY.GNP.PCAP.CD</v>
          </cell>
          <cell r="E191" t="str">
            <v>..</v>
          </cell>
          <cell r="F191" t="str">
            <v>..</v>
          </cell>
          <cell r="G191" t="str">
            <v>..</v>
          </cell>
          <cell r="H191" t="str">
            <v>..</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t="str">
            <v>..</v>
          </cell>
          <cell r="AF191" t="str">
            <v>..</v>
          </cell>
          <cell r="AG191" t="str">
            <v>..</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v>4070</v>
          </cell>
          <cell r="AT191">
            <v>4380</v>
          </cell>
          <cell r="AU191">
            <v>4680</v>
          </cell>
          <cell r="AV191">
            <v>5150</v>
          </cell>
          <cell r="AW191">
            <v>5830</v>
          </cell>
          <cell r="AX191">
            <v>6400</v>
          </cell>
          <cell r="AY191">
            <v>7140</v>
          </cell>
          <cell r="AZ191">
            <v>7990</v>
          </cell>
          <cell r="BA191">
            <v>8970</v>
          </cell>
          <cell r="BB191">
            <v>9940</v>
          </cell>
          <cell r="BC191">
            <v>10800</v>
          </cell>
          <cell r="BD191">
            <v>5680</v>
          </cell>
          <cell r="BE191">
            <v>2860</v>
          </cell>
          <cell r="BF191">
            <v>1350</v>
          </cell>
          <cell r="BG191">
            <v>1130</v>
          </cell>
          <cell r="BH191">
            <v>950</v>
          </cell>
          <cell r="BI191">
            <v>830</v>
          </cell>
          <cell r="BJ191">
            <v>800</v>
          </cell>
          <cell r="BK191">
            <v>920</v>
          </cell>
          <cell r="BL191">
            <v>1170</v>
          </cell>
          <cell r="BM191" t="str">
            <v>..</v>
          </cell>
          <cell r="BN191">
            <v>1170</v>
          </cell>
        </row>
        <row r="192">
          <cell r="B192" t="str">
            <v>TJK</v>
          </cell>
          <cell r="C192" t="str">
            <v>GNI per capita, Atlas method (current US$)</v>
          </cell>
          <cell r="D192" t="str">
            <v>NY.GNP.PCAP.CD</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t="str">
            <v>..</v>
          </cell>
          <cell r="AF192" t="str">
            <v>..</v>
          </cell>
          <cell r="AG192" t="str">
            <v>..</v>
          </cell>
          <cell r="AH192" t="str">
            <v>..</v>
          </cell>
          <cell r="AI192" t="str">
            <v>..</v>
          </cell>
          <cell r="AJ192" t="str">
            <v>..</v>
          </cell>
          <cell r="AK192">
            <v>280</v>
          </cell>
          <cell r="AL192">
            <v>240</v>
          </cell>
          <cell r="AM192">
            <v>220</v>
          </cell>
          <cell r="AN192">
            <v>210</v>
          </cell>
          <cell r="AO192">
            <v>170</v>
          </cell>
          <cell r="AP192">
            <v>170</v>
          </cell>
          <cell r="AQ192">
            <v>180</v>
          </cell>
          <cell r="AR192">
            <v>180</v>
          </cell>
          <cell r="AS192">
            <v>170</v>
          </cell>
          <cell r="AT192">
            <v>160</v>
          </cell>
          <cell r="AU192">
            <v>170</v>
          </cell>
          <cell r="AV192">
            <v>210</v>
          </cell>
          <cell r="AW192">
            <v>270</v>
          </cell>
          <cell r="AX192">
            <v>380</v>
          </cell>
          <cell r="AY192">
            <v>470</v>
          </cell>
          <cell r="AZ192">
            <v>580</v>
          </cell>
          <cell r="BA192">
            <v>750</v>
          </cell>
          <cell r="BB192">
            <v>800</v>
          </cell>
          <cell r="BC192">
            <v>920</v>
          </cell>
          <cell r="BD192">
            <v>1020</v>
          </cell>
          <cell r="BE192">
            <v>1150</v>
          </cell>
          <cell r="BF192">
            <v>1330</v>
          </cell>
          <cell r="BG192">
            <v>1350</v>
          </cell>
          <cell r="BH192">
            <v>1260</v>
          </cell>
          <cell r="BI192">
            <v>1110</v>
          </cell>
          <cell r="BJ192">
            <v>1030</v>
          </cell>
          <cell r="BK192">
            <v>1030</v>
          </cell>
          <cell r="BL192">
            <v>1070</v>
          </cell>
          <cell r="BM192">
            <v>1060</v>
          </cell>
          <cell r="BN192">
            <v>1060</v>
          </cell>
        </row>
        <row r="193">
          <cell r="B193" t="str">
            <v>TZA</v>
          </cell>
          <cell r="C193" t="str">
            <v>GNI per capita, Atlas method (current US$)</v>
          </cell>
          <cell r="D193" t="str">
            <v>NY.GNP.PCAP.CD</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v>200</v>
          </cell>
          <cell r="AJ193">
            <v>190</v>
          </cell>
          <cell r="AK193">
            <v>180</v>
          </cell>
          <cell r="AL193">
            <v>170</v>
          </cell>
          <cell r="AM193">
            <v>160</v>
          </cell>
          <cell r="AN193">
            <v>170</v>
          </cell>
          <cell r="AO193">
            <v>190</v>
          </cell>
          <cell r="AP193">
            <v>220</v>
          </cell>
          <cell r="AQ193">
            <v>270</v>
          </cell>
          <cell r="AR193">
            <v>330</v>
          </cell>
          <cell r="AS193">
            <v>410</v>
          </cell>
          <cell r="AT193">
            <v>410</v>
          </cell>
          <cell r="AU193">
            <v>420</v>
          </cell>
          <cell r="AV193">
            <v>430</v>
          </cell>
          <cell r="AW193">
            <v>470</v>
          </cell>
          <cell r="AX193">
            <v>500</v>
          </cell>
          <cell r="AY193">
            <v>520</v>
          </cell>
          <cell r="AZ193">
            <v>540</v>
          </cell>
          <cell r="BA193">
            <v>600</v>
          </cell>
          <cell r="BB193">
            <v>670</v>
          </cell>
          <cell r="BC193">
            <v>720</v>
          </cell>
          <cell r="BD193">
            <v>770</v>
          </cell>
          <cell r="BE193">
            <v>810</v>
          </cell>
          <cell r="BF193">
            <v>890</v>
          </cell>
          <cell r="BG193">
            <v>970</v>
          </cell>
          <cell r="BH193">
            <v>980</v>
          </cell>
          <cell r="BI193">
            <v>970</v>
          </cell>
          <cell r="BJ193">
            <v>970</v>
          </cell>
          <cell r="BK193">
            <v>1030</v>
          </cell>
          <cell r="BL193">
            <v>1100</v>
          </cell>
          <cell r="BM193">
            <v>1080</v>
          </cell>
          <cell r="BN193">
            <v>1080</v>
          </cell>
        </row>
        <row r="194">
          <cell r="B194" t="str">
            <v>THA</v>
          </cell>
          <cell r="C194" t="str">
            <v>GNI per capita, Atlas method (current US$)</v>
          </cell>
          <cell r="D194" t="str">
            <v>NY.GNP.PCAP.CD</v>
          </cell>
          <cell r="E194" t="str">
            <v>..</v>
          </cell>
          <cell r="F194" t="str">
            <v>..</v>
          </cell>
          <cell r="G194">
            <v>110</v>
          </cell>
          <cell r="H194">
            <v>120</v>
          </cell>
          <cell r="I194">
            <v>130</v>
          </cell>
          <cell r="J194">
            <v>140</v>
          </cell>
          <cell r="K194">
            <v>160</v>
          </cell>
          <cell r="L194">
            <v>170</v>
          </cell>
          <cell r="M194">
            <v>180</v>
          </cell>
          <cell r="N194">
            <v>190</v>
          </cell>
          <cell r="O194">
            <v>210</v>
          </cell>
          <cell r="P194">
            <v>210</v>
          </cell>
          <cell r="Q194">
            <v>220</v>
          </cell>
          <cell r="R194">
            <v>260</v>
          </cell>
          <cell r="S194">
            <v>330</v>
          </cell>
          <cell r="T194">
            <v>380</v>
          </cell>
          <cell r="U194">
            <v>420</v>
          </cell>
          <cell r="V194">
            <v>450</v>
          </cell>
          <cell r="W194">
            <v>530</v>
          </cell>
          <cell r="X194">
            <v>610</v>
          </cell>
          <cell r="Y194">
            <v>710</v>
          </cell>
          <cell r="Z194">
            <v>760</v>
          </cell>
          <cell r="AA194">
            <v>760</v>
          </cell>
          <cell r="AB194">
            <v>760</v>
          </cell>
          <cell r="AC194">
            <v>790</v>
          </cell>
          <cell r="AD194">
            <v>790</v>
          </cell>
          <cell r="AE194">
            <v>830</v>
          </cell>
          <cell r="AF194">
            <v>950</v>
          </cell>
          <cell r="AG194">
            <v>1160</v>
          </cell>
          <cell r="AH194">
            <v>1320</v>
          </cell>
          <cell r="AI194">
            <v>1490</v>
          </cell>
          <cell r="AJ194">
            <v>1660</v>
          </cell>
          <cell r="AK194">
            <v>1880</v>
          </cell>
          <cell r="AL194">
            <v>2130</v>
          </cell>
          <cell r="AM194">
            <v>2400</v>
          </cell>
          <cell r="AN194">
            <v>2740</v>
          </cell>
          <cell r="AO194">
            <v>2950</v>
          </cell>
          <cell r="AP194">
            <v>2680</v>
          </cell>
          <cell r="AQ194">
            <v>2080</v>
          </cell>
          <cell r="AR194">
            <v>1980</v>
          </cell>
          <cell r="AS194">
            <v>1980</v>
          </cell>
          <cell r="AT194">
            <v>1960</v>
          </cell>
          <cell r="AU194">
            <v>1990</v>
          </cell>
          <cell r="AV194">
            <v>2180</v>
          </cell>
          <cell r="AW194">
            <v>2530</v>
          </cell>
          <cell r="AX194">
            <v>2790</v>
          </cell>
          <cell r="AY194">
            <v>3100</v>
          </cell>
          <cell r="AZ194">
            <v>3530</v>
          </cell>
          <cell r="BA194">
            <v>3970</v>
          </cell>
          <cell r="BB194">
            <v>4140</v>
          </cell>
          <cell r="BC194">
            <v>4580</v>
          </cell>
          <cell r="BD194">
            <v>4950</v>
          </cell>
          <cell r="BE194">
            <v>5520</v>
          </cell>
          <cell r="BF194">
            <v>5720</v>
          </cell>
          <cell r="BG194">
            <v>5760</v>
          </cell>
          <cell r="BH194">
            <v>5710</v>
          </cell>
          <cell r="BI194">
            <v>5700</v>
          </cell>
          <cell r="BJ194">
            <v>5970</v>
          </cell>
          <cell r="BK194">
            <v>6610</v>
          </cell>
          <cell r="BL194">
            <v>7260</v>
          </cell>
          <cell r="BM194">
            <v>7040</v>
          </cell>
          <cell r="BN194">
            <v>7040</v>
          </cell>
        </row>
        <row r="195">
          <cell r="B195" t="str">
            <v>TLS</v>
          </cell>
          <cell r="C195" t="str">
            <v>GNI per capita, Atlas method (current US$)</v>
          </cell>
          <cell r="D195" t="str">
            <v>NY.GNP.PCAP.CD</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t="str">
            <v>..</v>
          </cell>
          <cell r="AU195">
            <v>750</v>
          </cell>
          <cell r="AV195">
            <v>670</v>
          </cell>
          <cell r="AW195">
            <v>780</v>
          </cell>
          <cell r="AX195">
            <v>930</v>
          </cell>
          <cell r="AY195">
            <v>1310</v>
          </cell>
          <cell r="AZ195">
            <v>1840</v>
          </cell>
          <cell r="BA195">
            <v>2980</v>
          </cell>
          <cell r="BB195">
            <v>2330</v>
          </cell>
          <cell r="BC195">
            <v>2850</v>
          </cell>
          <cell r="BD195">
            <v>3730</v>
          </cell>
          <cell r="BE195">
            <v>3570</v>
          </cell>
          <cell r="BF195">
            <v>3210</v>
          </cell>
          <cell r="BG195">
            <v>2710</v>
          </cell>
          <cell r="BH195">
            <v>2200</v>
          </cell>
          <cell r="BI195">
            <v>1750</v>
          </cell>
          <cell r="BJ195">
            <v>1800</v>
          </cell>
          <cell r="BK195">
            <v>1820</v>
          </cell>
          <cell r="BL195">
            <v>2050</v>
          </cell>
          <cell r="BM195">
            <v>1990</v>
          </cell>
          <cell r="BN195">
            <v>1990</v>
          </cell>
        </row>
        <row r="196">
          <cell r="B196" t="str">
            <v>TGO</v>
          </cell>
          <cell r="C196" t="str">
            <v>GNI per capita, Atlas method (current US$)</v>
          </cell>
          <cell r="D196" t="str">
            <v>NY.GNP.PCAP.CD</v>
          </cell>
          <cell r="E196" t="str">
            <v>..</v>
          </cell>
          <cell r="F196" t="str">
            <v>..</v>
          </cell>
          <cell r="G196">
            <v>90</v>
          </cell>
          <cell r="H196">
            <v>90</v>
          </cell>
          <cell r="I196">
            <v>100</v>
          </cell>
          <cell r="J196">
            <v>110</v>
          </cell>
          <cell r="K196">
            <v>120</v>
          </cell>
          <cell r="L196">
            <v>120</v>
          </cell>
          <cell r="M196">
            <v>130</v>
          </cell>
          <cell r="N196">
            <v>140</v>
          </cell>
          <cell r="O196">
            <v>130</v>
          </cell>
          <cell r="P196">
            <v>130</v>
          </cell>
          <cell r="Q196">
            <v>140</v>
          </cell>
          <cell r="R196">
            <v>170</v>
          </cell>
          <cell r="S196">
            <v>220</v>
          </cell>
          <cell r="T196">
            <v>260</v>
          </cell>
          <cell r="U196">
            <v>270</v>
          </cell>
          <cell r="V196">
            <v>290</v>
          </cell>
          <cell r="W196">
            <v>330</v>
          </cell>
          <cell r="X196">
            <v>350</v>
          </cell>
          <cell r="Y196">
            <v>420</v>
          </cell>
          <cell r="Z196">
            <v>390</v>
          </cell>
          <cell r="AA196">
            <v>320</v>
          </cell>
          <cell r="AB196">
            <v>250</v>
          </cell>
          <cell r="AC196">
            <v>230</v>
          </cell>
          <cell r="AD196">
            <v>230</v>
          </cell>
          <cell r="AE196">
            <v>250</v>
          </cell>
          <cell r="AF196">
            <v>310</v>
          </cell>
          <cell r="AG196">
            <v>390</v>
          </cell>
          <cell r="AH196">
            <v>400</v>
          </cell>
          <cell r="AI196">
            <v>400</v>
          </cell>
          <cell r="AJ196">
            <v>400</v>
          </cell>
          <cell r="AK196">
            <v>420</v>
          </cell>
          <cell r="AL196">
            <v>330</v>
          </cell>
          <cell r="AM196">
            <v>310</v>
          </cell>
          <cell r="AN196">
            <v>300</v>
          </cell>
          <cell r="AO196">
            <v>310</v>
          </cell>
          <cell r="AP196">
            <v>350</v>
          </cell>
          <cell r="AQ196">
            <v>330</v>
          </cell>
          <cell r="AR196">
            <v>310</v>
          </cell>
          <cell r="AS196">
            <v>310</v>
          </cell>
          <cell r="AT196">
            <v>290</v>
          </cell>
          <cell r="AU196">
            <v>300</v>
          </cell>
          <cell r="AV196">
            <v>350</v>
          </cell>
          <cell r="AW196">
            <v>390</v>
          </cell>
          <cell r="AX196">
            <v>400</v>
          </cell>
          <cell r="AY196">
            <v>410</v>
          </cell>
          <cell r="AZ196">
            <v>420</v>
          </cell>
          <cell r="BA196">
            <v>470</v>
          </cell>
          <cell r="BB196">
            <v>530</v>
          </cell>
          <cell r="BC196">
            <v>560</v>
          </cell>
          <cell r="BD196">
            <v>610</v>
          </cell>
          <cell r="BE196">
            <v>590</v>
          </cell>
          <cell r="BF196">
            <v>620</v>
          </cell>
          <cell r="BG196">
            <v>640</v>
          </cell>
          <cell r="BH196">
            <v>640</v>
          </cell>
          <cell r="BI196">
            <v>670</v>
          </cell>
          <cell r="BJ196">
            <v>720</v>
          </cell>
          <cell r="BK196">
            <v>880</v>
          </cell>
          <cell r="BL196">
            <v>920</v>
          </cell>
          <cell r="BM196">
            <v>920</v>
          </cell>
          <cell r="BN196">
            <v>920</v>
          </cell>
        </row>
        <row r="197">
          <cell r="B197" t="str">
            <v>TON</v>
          </cell>
          <cell r="C197" t="str">
            <v>GNI per capita, Atlas method (current US$)</v>
          </cell>
          <cell r="D197" t="str">
            <v>NY.GNP.PCAP.CD</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v>690</v>
          </cell>
          <cell r="AC197">
            <v>690</v>
          </cell>
          <cell r="AD197">
            <v>720</v>
          </cell>
          <cell r="AE197">
            <v>770</v>
          </cell>
          <cell r="AF197">
            <v>870</v>
          </cell>
          <cell r="AG197">
            <v>1070</v>
          </cell>
          <cell r="AH197">
            <v>1160</v>
          </cell>
          <cell r="AI197">
            <v>1220</v>
          </cell>
          <cell r="AJ197">
            <v>1350</v>
          </cell>
          <cell r="AK197">
            <v>1450</v>
          </cell>
          <cell r="AL197">
            <v>1530</v>
          </cell>
          <cell r="AM197">
            <v>1820</v>
          </cell>
          <cell r="AN197">
            <v>2090</v>
          </cell>
          <cell r="AO197">
            <v>2370</v>
          </cell>
          <cell r="AP197">
            <v>2340</v>
          </cell>
          <cell r="AQ197">
            <v>2240</v>
          </cell>
          <cell r="AR197">
            <v>2170</v>
          </cell>
          <cell r="AS197">
            <v>2080</v>
          </cell>
          <cell r="AT197">
            <v>2030</v>
          </cell>
          <cell r="AU197">
            <v>2000</v>
          </cell>
          <cell r="AV197">
            <v>2000</v>
          </cell>
          <cell r="AW197">
            <v>2160</v>
          </cell>
          <cell r="AX197">
            <v>2410</v>
          </cell>
          <cell r="AY197">
            <v>2720</v>
          </cell>
          <cell r="AZ197">
            <v>2900</v>
          </cell>
          <cell r="BA197">
            <v>3270</v>
          </cell>
          <cell r="BB197">
            <v>3180</v>
          </cell>
          <cell r="BC197">
            <v>3370</v>
          </cell>
          <cell r="BD197">
            <v>3810</v>
          </cell>
          <cell r="BE197">
            <v>4320</v>
          </cell>
          <cell r="BF197">
            <v>4540</v>
          </cell>
          <cell r="BG197">
            <v>4600</v>
          </cell>
          <cell r="BH197">
            <v>4440</v>
          </cell>
          <cell r="BI197">
            <v>4410</v>
          </cell>
          <cell r="BJ197">
            <v>4590</v>
          </cell>
          <cell r="BK197">
            <v>4800</v>
          </cell>
          <cell r="BL197">
            <v>5150</v>
          </cell>
          <cell r="BM197">
            <v>5190</v>
          </cell>
          <cell r="BN197">
            <v>5190</v>
          </cell>
        </row>
        <row r="198">
          <cell r="B198" t="str">
            <v>TTO</v>
          </cell>
          <cell r="C198" t="str">
            <v>GNI per capita, Atlas method (current US$)</v>
          </cell>
          <cell r="D198" t="str">
            <v>NY.GNP.PCAP.CD</v>
          </cell>
          <cell r="E198" t="str">
            <v>..</v>
          </cell>
          <cell r="F198" t="str">
            <v>..</v>
          </cell>
          <cell r="G198">
            <v>640</v>
          </cell>
          <cell r="H198">
            <v>750</v>
          </cell>
          <cell r="I198">
            <v>800</v>
          </cell>
          <cell r="J198">
            <v>820</v>
          </cell>
          <cell r="K198">
            <v>760</v>
          </cell>
          <cell r="L198">
            <v>770</v>
          </cell>
          <cell r="M198">
            <v>790</v>
          </cell>
          <cell r="N198">
            <v>810</v>
          </cell>
          <cell r="O198">
            <v>830</v>
          </cell>
          <cell r="P198">
            <v>870</v>
          </cell>
          <cell r="Q198">
            <v>1000</v>
          </cell>
          <cell r="R198">
            <v>1200</v>
          </cell>
          <cell r="S198">
            <v>1500</v>
          </cell>
          <cell r="T198">
            <v>2170</v>
          </cell>
          <cell r="U198">
            <v>2530</v>
          </cell>
          <cell r="V198">
            <v>2810</v>
          </cell>
          <cell r="W198">
            <v>3360</v>
          </cell>
          <cell r="X198">
            <v>3940</v>
          </cell>
          <cell r="Y198">
            <v>5140</v>
          </cell>
          <cell r="Z198">
            <v>6060</v>
          </cell>
          <cell r="AA198">
            <v>6710</v>
          </cell>
          <cell r="AB198">
            <v>6120</v>
          </cell>
          <cell r="AC198">
            <v>6030</v>
          </cell>
          <cell r="AD198">
            <v>5900</v>
          </cell>
          <cell r="AE198">
            <v>5090</v>
          </cell>
          <cell r="AF198">
            <v>4280</v>
          </cell>
          <cell r="AG198">
            <v>3930</v>
          </cell>
          <cell r="AH198">
            <v>3630</v>
          </cell>
          <cell r="AI198">
            <v>3710</v>
          </cell>
          <cell r="AJ198">
            <v>3890</v>
          </cell>
          <cell r="AK198">
            <v>4420</v>
          </cell>
          <cell r="AL198">
            <v>4080</v>
          </cell>
          <cell r="AM198">
            <v>3880</v>
          </cell>
          <cell r="AN198">
            <v>3970</v>
          </cell>
          <cell r="AO198">
            <v>4230</v>
          </cell>
          <cell r="AP198">
            <v>4500</v>
          </cell>
          <cell r="AQ198">
            <v>4620</v>
          </cell>
          <cell r="AR198">
            <v>4890</v>
          </cell>
          <cell r="AS198">
            <v>5400</v>
          </cell>
          <cell r="AT198">
            <v>6070</v>
          </cell>
          <cell r="AU198">
            <v>6760</v>
          </cell>
          <cell r="AV198">
            <v>8070</v>
          </cell>
          <cell r="AW198">
            <v>9700</v>
          </cell>
          <cell r="AX198">
            <v>11190</v>
          </cell>
          <cell r="AY198">
            <v>13280</v>
          </cell>
          <cell r="AZ198">
            <v>15000</v>
          </cell>
          <cell r="BA198">
            <v>17350</v>
          </cell>
          <cell r="BB198">
            <v>16200</v>
          </cell>
          <cell r="BC198">
            <v>16460</v>
          </cell>
          <cell r="BD198">
            <v>14970</v>
          </cell>
          <cell r="BE198">
            <v>16840</v>
          </cell>
          <cell r="BF198">
            <v>18750</v>
          </cell>
          <cell r="BG198">
            <v>18560</v>
          </cell>
          <cell r="BH198">
            <v>18910</v>
          </cell>
          <cell r="BI198">
            <v>16880</v>
          </cell>
          <cell r="BJ198">
            <v>15980</v>
          </cell>
          <cell r="BK198">
            <v>15990</v>
          </cell>
          <cell r="BL198">
            <v>16580</v>
          </cell>
          <cell r="BM198">
            <v>15420</v>
          </cell>
          <cell r="BN198">
            <v>15420</v>
          </cell>
        </row>
        <row r="199">
          <cell r="B199" t="str">
            <v>TUN</v>
          </cell>
          <cell r="C199" t="str">
            <v>GNI per capita, Atlas method (current US$)</v>
          </cell>
          <cell r="D199" t="str">
            <v>NY.GNP.PCAP.CD</v>
          </cell>
          <cell r="E199" t="str">
            <v>..</v>
          </cell>
          <cell r="F199" t="str">
            <v>..</v>
          </cell>
          <cell r="G199" t="str">
            <v>..</v>
          </cell>
          <cell r="H199" t="str">
            <v>..</v>
          </cell>
          <cell r="I199" t="str">
            <v>..</v>
          </cell>
          <cell r="J199" t="str">
            <v>..</v>
          </cell>
          <cell r="K199" t="str">
            <v>..</v>
          </cell>
          <cell r="L199">
            <v>220</v>
          </cell>
          <cell r="M199">
            <v>250</v>
          </cell>
          <cell r="N199">
            <v>260</v>
          </cell>
          <cell r="O199">
            <v>270</v>
          </cell>
          <cell r="P199">
            <v>310</v>
          </cell>
          <cell r="Q199">
            <v>400</v>
          </cell>
          <cell r="R199">
            <v>460</v>
          </cell>
          <cell r="S199">
            <v>610</v>
          </cell>
          <cell r="T199">
            <v>760</v>
          </cell>
          <cell r="U199">
            <v>810</v>
          </cell>
          <cell r="V199">
            <v>850</v>
          </cell>
          <cell r="W199">
            <v>940</v>
          </cell>
          <cell r="X199">
            <v>1130</v>
          </cell>
          <cell r="Y199">
            <v>1360</v>
          </cell>
          <cell r="Z199">
            <v>1420</v>
          </cell>
          <cell r="AA199">
            <v>1280</v>
          </cell>
          <cell r="AB199">
            <v>1180</v>
          </cell>
          <cell r="AC199">
            <v>1160</v>
          </cell>
          <cell r="AD199">
            <v>1150</v>
          </cell>
          <cell r="AE199">
            <v>1140</v>
          </cell>
          <cell r="AF199">
            <v>1270</v>
          </cell>
          <cell r="AG199">
            <v>1330</v>
          </cell>
          <cell r="AH199">
            <v>1290</v>
          </cell>
          <cell r="AI199">
            <v>1410</v>
          </cell>
          <cell r="AJ199">
            <v>1460</v>
          </cell>
          <cell r="AK199">
            <v>1680</v>
          </cell>
          <cell r="AL199">
            <v>1660</v>
          </cell>
          <cell r="AM199">
            <v>1710</v>
          </cell>
          <cell r="AN199">
            <v>1790</v>
          </cell>
          <cell r="AO199">
            <v>1970</v>
          </cell>
          <cell r="AP199">
            <v>2120</v>
          </cell>
          <cell r="AQ199">
            <v>2150</v>
          </cell>
          <cell r="AR199">
            <v>2260</v>
          </cell>
          <cell r="AS199">
            <v>2270</v>
          </cell>
          <cell r="AT199">
            <v>2240</v>
          </cell>
          <cell r="AU199">
            <v>2180</v>
          </cell>
          <cell r="AV199">
            <v>2450</v>
          </cell>
          <cell r="AW199">
            <v>2900</v>
          </cell>
          <cell r="AX199">
            <v>3160</v>
          </cell>
          <cell r="AY199">
            <v>3330</v>
          </cell>
          <cell r="AZ199">
            <v>3540</v>
          </cell>
          <cell r="BA199">
            <v>3860</v>
          </cell>
          <cell r="BB199">
            <v>4070</v>
          </cell>
          <cell r="BC199">
            <v>4210</v>
          </cell>
          <cell r="BD199">
            <v>4130</v>
          </cell>
          <cell r="BE199">
            <v>4320</v>
          </cell>
          <cell r="BF199">
            <v>4360</v>
          </cell>
          <cell r="BG199">
            <v>4380</v>
          </cell>
          <cell r="BH199">
            <v>4190</v>
          </cell>
          <cell r="BI199">
            <v>3980</v>
          </cell>
          <cell r="BJ199">
            <v>3750</v>
          </cell>
          <cell r="BK199">
            <v>3730</v>
          </cell>
          <cell r="BL199">
            <v>3580</v>
          </cell>
          <cell r="BM199">
            <v>3300</v>
          </cell>
          <cell r="BN199">
            <v>3300</v>
          </cell>
        </row>
        <row r="200">
          <cell r="B200" t="str">
            <v>TUR</v>
          </cell>
          <cell r="C200" t="str">
            <v>GNI per capita, Atlas method (current US$)</v>
          </cell>
          <cell r="D200" t="str">
            <v>NY.GNP.PCAP.CD</v>
          </cell>
          <cell r="E200" t="str">
            <v>..</v>
          </cell>
          <cell r="F200" t="str">
            <v>..</v>
          </cell>
          <cell r="G200" t="str">
            <v>..</v>
          </cell>
          <cell r="H200" t="str">
            <v>..</v>
          </cell>
          <cell r="I200" t="str">
            <v>..</v>
          </cell>
          <cell r="J200" t="str">
            <v>..</v>
          </cell>
          <cell r="K200" t="str">
            <v>..</v>
          </cell>
          <cell r="L200">
            <v>470</v>
          </cell>
          <cell r="M200">
            <v>520</v>
          </cell>
          <cell r="N200">
            <v>560</v>
          </cell>
          <cell r="O200">
            <v>560</v>
          </cell>
          <cell r="P200">
            <v>530</v>
          </cell>
          <cell r="Q200">
            <v>560</v>
          </cell>
          <cell r="R200">
            <v>640</v>
          </cell>
          <cell r="S200">
            <v>860</v>
          </cell>
          <cell r="T200">
            <v>1110</v>
          </cell>
          <cell r="U200">
            <v>1310</v>
          </cell>
          <cell r="V200">
            <v>1410</v>
          </cell>
          <cell r="W200">
            <v>1530</v>
          </cell>
          <cell r="X200">
            <v>1820</v>
          </cell>
          <cell r="Y200">
            <v>1860</v>
          </cell>
          <cell r="Z200">
            <v>1860</v>
          </cell>
          <cell r="AA200">
            <v>1570</v>
          </cell>
          <cell r="AB200">
            <v>1400</v>
          </cell>
          <cell r="AC200">
            <v>1310</v>
          </cell>
          <cell r="AD200">
            <v>1310</v>
          </cell>
          <cell r="AE200">
            <v>1450</v>
          </cell>
          <cell r="AF200">
            <v>1740</v>
          </cell>
          <cell r="AG200">
            <v>1860</v>
          </cell>
          <cell r="AH200">
            <v>1920</v>
          </cell>
          <cell r="AI200">
            <v>2310</v>
          </cell>
          <cell r="AJ200">
            <v>2590</v>
          </cell>
          <cell r="AK200">
            <v>2940</v>
          </cell>
          <cell r="AL200">
            <v>3140</v>
          </cell>
          <cell r="AM200">
            <v>2680</v>
          </cell>
          <cell r="AN200">
            <v>2850</v>
          </cell>
          <cell r="AO200">
            <v>2920</v>
          </cell>
          <cell r="AP200">
            <v>3190</v>
          </cell>
          <cell r="AQ200">
            <v>3440</v>
          </cell>
          <cell r="AR200">
            <v>3590</v>
          </cell>
          <cell r="AS200">
            <v>4320</v>
          </cell>
          <cell r="AT200">
            <v>3580</v>
          </cell>
          <cell r="AU200">
            <v>3590</v>
          </cell>
          <cell r="AV200">
            <v>3950</v>
          </cell>
          <cell r="AW200">
            <v>5270</v>
          </cell>
          <cell r="AX200">
            <v>6820</v>
          </cell>
          <cell r="AY200">
            <v>7880</v>
          </cell>
          <cell r="AZ200">
            <v>8950</v>
          </cell>
          <cell r="BA200">
            <v>9850</v>
          </cell>
          <cell r="BB200">
            <v>9640</v>
          </cell>
          <cell r="BC200">
            <v>10490</v>
          </cell>
          <cell r="BD200">
            <v>11310</v>
          </cell>
          <cell r="BE200">
            <v>11960</v>
          </cell>
          <cell r="BF200">
            <v>12600</v>
          </cell>
          <cell r="BG200">
            <v>12630</v>
          </cell>
          <cell r="BH200">
            <v>12030</v>
          </cell>
          <cell r="BI200">
            <v>11260</v>
          </cell>
          <cell r="BJ200">
            <v>10970</v>
          </cell>
          <cell r="BK200">
            <v>10510</v>
          </cell>
          <cell r="BL200">
            <v>9690</v>
          </cell>
          <cell r="BM200">
            <v>9050</v>
          </cell>
          <cell r="BN200">
            <v>9050</v>
          </cell>
        </row>
        <row r="201">
          <cell r="B201" t="str">
            <v>TKM</v>
          </cell>
          <cell r="C201" t="str">
            <v>GNI per capita, Atlas method (current US$)</v>
          </cell>
          <cell r="D201" t="str">
            <v>NY.GNP.PCAP.CD</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cell r="AJ201" t="str">
            <v>..</v>
          </cell>
          <cell r="AK201" t="str">
            <v>..</v>
          </cell>
          <cell r="AL201">
            <v>840</v>
          </cell>
          <cell r="AM201">
            <v>530</v>
          </cell>
          <cell r="AN201">
            <v>620</v>
          </cell>
          <cell r="AO201">
            <v>610</v>
          </cell>
          <cell r="AP201">
            <v>550</v>
          </cell>
          <cell r="AQ201">
            <v>560</v>
          </cell>
          <cell r="AR201">
            <v>620</v>
          </cell>
          <cell r="AS201">
            <v>600</v>
          </cell>
          <cell r="AT201">
            <v>650</v>
          </cell>
          <cell r="AU201">
            <v>750</v>
          </cell>
          <cell r="AV201">
            <v>990</v>
          </cell>
          <cell r="AW201">
            <v>1310</v>
          </cell>
          <cell r="AX201">
            <v>1590</v>
          </cell>
          <cell r="AY201">
            <v>1890</v>
          </cell>
          <cell r="AZ201">
            <v>2320</v>
          </cell>
          <cell r="BA201">
            <v>3040</v>
          </cell>
          <cell r="BB201">
            <v>3550</v>
          </cell>
          <cell r="BC201">
            <v>4070</v>
          </cell>
          <cell r="BD201">
            <v>4730</v>
          </cell>
          <cell r="BE201">
            <v>5560</v>
          </cell>
          <cell r="BF201">
            <v>6510</v>
          </cell>
          <cell r="BG201">
            <v>7200</v>
          </cell>
          <cell r="BH201">
            <v>7030</v>
          </cell>
          <cell r="BI201">
            <v>6830</v>
          </cell>
          <cell r="BJ201">
            <v>6380</v>
          </cell>
          <cell r="BK201">
            <v>6740</v>
          </cell>
          <cell r="BL201">
            <v>7220</v>
          </cell>
          <cell r="BM201" t="str">
            <v>..</v>
          </cell>
          <cell r="BN201">
            <v>7220</v>
          </cell>
        </row>
        <row r="202">
          <cell r="B202" t="str">
            <v>TCA</v>
          </cell>
          <cell r="C202" t="str">
            <v>GNI per capita, Atlas method (current US$)</v>
          </cell>
          <cell r="D202" t="str">
            <v>NY.GNP.PCAP.CD</v>
          </cell>
          <cell r="E202" t="str">
            <v>..</v>
          </cell>
          <cell r="F202" t="str">
            <v>..</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t="str">
            <v>..</v>
          </cell>
          <cell r="AF202" t="str">
            <v>..</v>
          </cell>
          <cell r="AG202" t="str">
            <v>..</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v>23280</v>
          </cell>
          <cell r="BH202">
            <v>25530</v>
          </cell>
          <cell r="BI202">
            <v>27300</v>
          </cell>
          <cell r="BJ202">
            <v>26200</v>
          </cell>
          <cell r="BK202">
            <v>28340</v>
          </cell>
          <cell r="BL202">
            <v>30250</v>
          </cell>
          <cell r="BM202" t="str">
            <v>..</v>
          </cell>
          <cell r="BN202">
            <v>30250</v>
          </cell>
        </row>
        <row r="203">
          <cell r="B203" t="str">
            <v>TUV</v>
          </cell>
          <cell r="C203" t="str">
            <v>GNI per capita, Atlas method (current US$)</v>
          </cell>
          <cell r="D203" t="str">
            <v>NY.GNP.PCAP.CD</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v>2710</v>
          </cell>
          <cell r="AU203">
            <v>3310</v>
          </cell>
          <cell r="AV203">
            <v>2490</v>
          </cell>
          <cell r="AW203">
            <v>3240</v>
          </cell>
          <cell r="AX203">
            <v>3630</v>
          </cell>
          <cell r="AY203">
            <v>3780</v>
          </cell>
          <cell r="AZ203">
            <v>4500</v>
          </cell>
          <cell r="BA203">
            <v>4660</v>
          </cell>
          <cell r="BB203">
            <v>4830</v>
          </cell>
          <cell r="BC203">
            <v>4400</v>
          </cell>
          <cell r="BD203">
            <v>4730</v>
          </cell>
          <cell r="BE203">
            <v>4430</v>
          </cell>
          <cell r="BF203">
            <v>5560</v>
          </cell>
          <cell r="BG203">
            <v>4670</v>
          </cell>
          <cell r="BH203">
            <v>5440</v>
          </cell>
          <cell r="BI203">
            <v>5060</v>
          </cell>
          <cell r="BJ203">
            <v>4810</v>
          </cell>
          <cell r="BK203">
            <v>5440</v>
          </cell>
          <cell r="BL203">
            <v>5620</v>
          </cell>
          <cell r="BM203">
            <v>5820</v>
          </cell>
          <cell r="BN203">
            <v>5820</v>
          </cell>
        </row>
        <row r="204">
          <cell r="B204" t="str">
            <v>UGA</v>
          </cell>
          <cell r="C204" t="str">
            <v>GNI per capita, Atlas method (current US$)</v>
          </cell>
          <cell r="D204" t="str">
            <v>NY.GNP.PCAP.CD</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v>180</v>
          </cell>
          <cell r="AD204">
            <v>200</v>
          </cell>
          <cell r="AE204">
            <v>250</v>
          </cell>
          <cell r="AF204">
            <v>310</v>
          </cell>
          <cell r="AG204">
            <v>400</v>
          </cell>
          <cell r="AH204">
            <v>400</v>
          </cell>
          <cell r="AI204">
            <v>320</v>
          </cell>
          <cell r="AJ204">
            <v>250</v>
          </cell>
          <cell r="AK204">
            <v>190</v>
          </cell>
          <cell r="AL204">
            <v>180</v>
          </cell>
          <cell r="AM204">
            <v>180</v>
          </cell>
          <cell r="AN204">
            <v>230</v>
          </cell>
          <cell r="AO204">
            <v>280</v>
          </cell>
          <cell r="AP204">
            <v>300</v>
          </cell>
          <cell r="AQ204">
            <v>290</v>
          </cell>
          <cell r="AR204">
            <v>290</v>
          </cell>
          <cell r="AS204">
            <v>270</v>
          </cell>
          <cell r="AT204">
            <v>250</v>
          </cell>
          <cell r="AU204">
            <v>250</v>
          </cell>
          <cell r="AV204">
            <v>260</v>
          </cell>
          <cell r="AW204">
            <v>280</v>
          </cell>
          <cell r="AX204">
            <v>310</v>
          </cell>
          <cell r="AY204">
            <v>350</v>
          </cell>
          <cell r="AZ204">
            <v>390</v>
          </cell>
          <cell r="BA204">
            <v>430</v>
          </cell>
          <cell r="BB204">
            <v>550</v>
          </cell>
          <cell r="BC204">
            <v>680</v>
          </cell>
          <cell r="BD204">
            <v>850</v>
          </cell>
          <cell r="BE204">
            <v>830</v>
          </cell>
          <cell r="BF204">
            <v>800</v>
          </cell>
          <cell r="BG204">
            <v>820</v>
          </cell>
          <cell r="BH204">
            <v>830</v>
          </cell>
          <cell r="BI204">
            <v>800</v>
          </cell>
          <cell r="BJ204">
            <v>740</v>
          </cell>
          <cell r="BK204">
            <v>750</v>
          </cell>
          <cell r="BL204">
            <v>790</v>
          </cell>
          <cell r="BM204">
            <v>800</v>
          </cell>
          <cell r="BN204">
            <v>800</v>
          </cell>
        </row>
        <row r="205">
          <cell r="B205" t="str">
            <v>UKR</v>
          </cell>
          <cell r="C205" t="str">
            <v>GNI per capita, Atlas method (current US$)</v>
          </cell>
          <cell r="D205" t="str">
            <v>NY.GNP.PCAP.CD</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v>1620</v>
          </cell>
          <cell r="AI205">
            <v>1610</v>
          </cell>
          <cell r="AJ205">
            <v>2280</v>
          </cell>
          <cell r="AK205">
            <v>2090</v>
          </cell>
          <cell r="AL205">
            <v>1820</v>
          </cell>
          <cell r="AM205">
            <v>990</v>
          </cell>
          <cell r="AN205">
            <v>920</v>
          </cell>
          <cell r="AO205">
            <v>860</v>
          </cell>
          <cell r="AP205">
            <v>890</v>
          </cell>
          <cell r="AQ205">
            <v>850</v>
          </cell>
          <cell r="AR205">
            <v>760</v>
          </cell>
          <cell r="AS205">
            <v>680</v>
          </cell>
          <cell r="AT205">
            <v>720</v>
          </cell>
          <cell r="AU205">
            <v>790</v>
          </cell>
          <cell r="AV205">
            <v>980</v>
          </cell>
          <cell r="AW205">
            <v>1270</v>
          </cell>
          <cell r="AX205">
            <v>1540</v>
          </cell>
          <cell r="AY205">
            <v>1950</v>
          </cell>
          <cell r="AZ205">
            <v>2590</v>
          </cell>
          <cell r="BA205">
            <v>3210</v>
          </cell>
          <cell r="BB205">
            <v>2840</v>
          </cell>
          <cell r="BC205">
            <v>3030</v>
          </cell>
          <cell r="BD205">
            <v>3150</v>
          </cell>
          <cell r="BE205">
            <v>3650</v>
          </cell>
          <cell r="BF205">
            <v>3950</v>
          </cell>
          <cell r="BG205">
            <v>3560</v>
          </cell>
          <cell r="BH205">
            <v>2800</v>
          </cell>
          <cell r="BI205">
            <v>2360</v>
          </cell>
          <cell r="BJ205">
            <v>2360</v>
          </cell>
          <cell r="BK205">
            <v>2750</v>
          </cell>
          <cell r="BL205">
            <v>3310</v>
          </cell>
          <cell r="BM205">
            <v>3570</v>
          </cell>
          <cell r="BN205">
            <v>3570</v>
          </cell>
        </row>
        <row r="206">
          <cell r="B206" t="str">
            <v>ARE</v>
          </cell>
          <cell r="C206" t="str">
            <v>GNI per capita, Atlas method (current US$)</v>
          </cell>
          <cell r="D206" t="str">
            <v>NY.GNP.PCAP.CD</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t="str">
            <v>..</v>
          </cell>
          <cell r="AF206" t="str">
            <v>..</v>
          </cell>
          <cell r="AG206" t="str">
            <v>..</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v>31400</v>
          </cell>
          <cell r="AT206">
            <v>31970</v>
          </cell>
          <cell r="AU206">
            <v>30940</v>
          </cell>
          <cell r="AV206">
            <v>32780</v>
          </cell>
          <cell r="AW206">
            <v>36160</v>
          </cell>
          <cell r="AX206">
            <v>37500</v>
          </cell>
          <cell r="AY206">
            <v>39380</v>
          </cell>
          <cell r="AZ206">
            <v>39590</v>
          </cell>
          <cell r="BA206">
            <v>39910</v>
          </cell>
          <cell r="BB206">
            <v>35000</v>
          </cell>
          <cell r="BC206">
            <v>33400</v>
          </cell>
          <cell r="BD206">
            <v>35030</v>
          </cell>
          <cell r="BE206">
            <v>39220</v>
          </cell>
          <cell r="BF206">
            <v>42840</v>
          </cell>
          <cell r="BG206">
            <v>44370</v>
          </cell>
          <cell r="BH206">
            <v>42870</v>
          </cell>
          <cell r="BI206">
            <v>40550</v>
          </cell>
          <cell r="BJ206">
            <v>39280</v>
          </cell>
          <cell r="BK206">
            <v>41470</v>
          </cell>
          <cell r="BL206">
            <v>43830</v>
          </cell>
          <cell r="BM206">
            <v>39410</v>
          </cell>
          <cell r="BN206">
            <v>39410</v>
          </cell>
        </row>
        <row r="207">
          <cell r="B207" t="str">
            <v>GBR</v>
          </cell>
          <cell r="C207" t="str">
            <v>GNI per capita, Atlas method (current US$)</v>
          </cell>
          <cell r="D207" t="str">
            <v>NY.GNP.PCAP.CD</v>
          </cell>
          <cell r="E207" t="str">
            <v>..</v>
          </cell>
          <cell r="F207" t="str">
            <v>..</v>
          </cell>
          <cell r="G207" t="str">
            <v>..</v>
          </cell>
          <cell r="H207" t="str">
            <v>..</v>
          </cell>
          <cell r="I207" t="str">
            <v>..</v>
          </cell>
          <cell r="J207" t="str">
            <v>..</v>
          </cell>
          <cell r="K207" t="str">
            <v>..</v>
          </cell>
          <cell r="L207" t="str">
            <v>..</v>
          </cell>
          <cell r="M207" t="str">
            <v>..</v>
          </cell>
          <cell r="N207" t="str">
            <v>..</v>
          </cell>
          <cell r="O207">
            <v>2530</v>
          </cell>
          <cell r="P207">
            <v>2790</v>
          </cell>
          <cell r="Q207">
            <v>3200</v>
          </cell>
          <cell r="R207">
            <v>3910</v>
          </cell>
          <cell r="S207">
            <v>4370</v>
          </cell>
          <cell r="T207">
            <v>4880</v>
          </cell>
          <cell r="U207">
            <v>5020</v>
          </cell>
          <cell r="V207">
            <v>5230</v>
          </cell>
          <cell r="W207">
            <v>5950</v>
          </cell>
          <cell r="X207">
            <v>7580</v>
          </cell>
          <cell r="Y207">
            <v>9550</v>
          </cell>
          <cell r="Z207">
            <v>10660</v>
          </cell>
          <cell r="AA207">
            <v>10660</v>
          </cell>
          <cell r="AB207">
            <v>9860</v>
          </cell>
          <cell r="AC207">
            <v>9270</v>
          </cell>
          <cell r="AD207">
            <v>9160</v>
          </cell>
          <cell r="AE207">
            <v>10250</v>
          </cell>
          <cell r="AF207">
            <v>12710</v>
          </cell>
          <cell r="AG207">
            <v>16160</v>
          </cell>
          <cell r="AH207">
            <v>17380</v>
          </cell>
          <cell r="AI207">
            <v>18570</v>
          </cell>
          <cell r="AJ207">
            <v>19390</v>
          </cell>
          <cell r="AK207">
            <v>21480</v>
          </cell>
          <cell r="AL207">
            <v>21360</v>
          </cell>
          <cell r="AM207">
            <v>21890</v>
          </cell>
          <cell r="AN207">
            <v>21070</v>
          </cell>
          <cell r="AO207">
            <v>22790</v>
          </cell>
          <cell r="AP207">
            <v>25570</v>
          </cell>
          <cell r="AQ207">
            <v>26900</v>
          </cell>
          <cell r="AR207">
            <v>28060</v>
          </cell>
          <cell r="AS207">
            <v>29280</v>
          </cell>
          <cell r="AT207">
            <v>28940</v>
          </cell>
          <cell r="AU207">
            <v>29180</v>
          </cell>
          <cell r="AV207">
            <v>32270</v>
          </cell>
          <cell r="AW207">
            <v>37860</v>
          </cell>
          <cell r="AX207">
            <v>42810</v>
          </cell>
          <cell r="AY207">
            <v>45160</v>
          </cell>
          <cell r="AZ207">
            <v>47650</v>
          </cell>
          <cell r="BA207">
            <v>48690</v>
          </cell>
          <cell r="BB207">
            <v>44420</v>
          </cell>
          <cell r="BC207">
            <v>41940</v>
          </cell>
          <cell r="BD207">
            <v>41300</v>
          </cell>
          <cell r="BE207">
            <v>41940</v>
          </cell>
          <cell r="BF207">
            <v>42920</v>
          </cell>
          <cell r="BG207">
            <v>44670</v>
          </cell>
          <cell r="BH207">
            <v>44730</v>
          </cell>
          <cell r="BI207">
            <v>43460</v>
          </cell>
          <cell r="BJ207">
            <v>41880</v>
          </cell>
          <cell r="BK207">
            <v>42410</v>
          </cell>
          <cell r="BL207">
            <v>43460</v>
          </cell>
          <cell r="BM207">
            <v>39830</v>
          </cell>
          <cell r="BN207">
            <v>39830</v>
          </cell>
        </row>
        <row r="208">
          <cell r="B208" t="str">
            <v>USA</v>
          </cell>
          <cell r="C208" t="str">
            <v>GNI per capita, Atlas method (current US$)</v>
          </cell>
          <cell r="D208" t="str">
            <v>NY.GNP.PCAP.CD</v>
          </cell>
          <cell r="E208" t="str">
            <v>..</v>
          </cell>
          <cell r="F208" t="str">
            <v>..</v>
          </cell>
          <cell r="G208">
            <v>3280</v>
          </cell>
          <cell r="H208">
            <v>3410</v>
          </cell>
          <cell r="I208">
            <v>3610</v>
          </cell>
          <cell r="J208">
            <v>3880</v>
          </cell>
          <cell r="K208">
            <v>4190</v>
          </cell>
          <cell r="L208">
            <v>4370</v>
          </cell>
          <cell r="M208">
            <v>4740</v>
          </cell>
          <cell r="N208">
            <v>5070</v>
          </cell>
          <cell r="O208">
            <v>5230</v>
          </cell>
          <cell r="P208">
            <v>5620</v>
          </cell>
          <cell r="Q208">
            <v>6280</v>
          </cell>
          <cell r="R208">
            <v>7290</v>
          </cell>
          <cell r="S208">
            <v>7980</v>
          </cell>
          <cell r="T208">
            <v>8510</v>
          </cell>
          <cell r="U208">
            <v>8960</v>
          </cell>
          <cell r="V208">
            <v>9590</v>
          </cell>
          <cell r="W208">
            <v>10760</v>
          </cell>
          <cell r="X208">
            <v>12200</v>
          </cell>
          <cell r="Y208">
            <v>13380</v>
          </cell>
          <cell r="Z208">
            <v>14360</v>
          </cell>
          <cell r="AA208">
            <v>14220</v>
          </cell>
          <cell r="AB208">
            <v>14570</v>
          </cell>
          <cell r="AC208">
            <v>16210</v>
          </cell>
          <cell r="AD208">
            <v>17460</v>
          </cell>
          <cell r="AE208">
            <v>19110</v>
          </cell>
          <cell r="AF208">
            <v>21390</v>
          </cell>
          <cell r="AG208">
            <v>23490</v>
          </cell>
          <cell r="AH208">
            <v>23770</v>
          </cell>
          <cell r="AI208">
            <v>24060</v>
          </cell>
          <cell r="AJ208">
            <v>24270</v>
          </cell>
          <cell r="AK208">
            <v>25680</v>
          </cell>
          <cell r="AL208">
            <v>26390</v>
          </cell>
          <cell r="AM208">
            <v>27650</v>
          </cell>
          <cell r="AN208">
            <v>29040</v>
          </cell>
          <cell r="AO208">
            <v>30270</v>
          </cell>
          <cell r="AP208">
            <v>31260</v>
          </cell>
          <cell r="AQ208">
            <v>32020</v>
          </cell>
          <cell r="AR208">
            <v>33670</v>
          </cell>
          <cell r="AS208">
            <v>35960</v>
          </cell>
          <cell r="AT208">
            <v>36720</v>
          </cell>
          <cell r="AU208">
            <v>37310</v>
          </cell>
          <cell r="AV208">
            <v>39780</v>
          </cell>
          <cell r="AW208">
            <v>43520</v>
          </cell>
          <cell r="AX208">
            <v>46180</v>
          </cell>
          <cell r="AY208">
            <v>47850</v>
          </cell>
          <cell r="AZ208">
            <v>48520</v>
          </cell>
          <cell r="BA208">
            <v>49090</v>
          </cell>
          <cell r="BB208">
            <v>47830</v>
          </cell>
          <cell r="BC208">
            <v>49140</v>
          </cell>
          <cell r="BD208">
            <v>50630</v>
          </cell>
          <cell r="BE208">
            <v>52780</v>
          </cell>
          <cell r="BF208">
            <v>53980</v>
          </cell>
          <cell r="BG208">
            <v>55800</v>
          </cell>
          <cell r="BH208">
            <v>56640</v>
          </cell>
          <cell r="BI208">
            <v>57130</v>
          </cell>
          <cell r="BJ208">
            <v>59240</v>
          </cell>
          <cell r="BK208">
            <v>63490</v>
          </cell>
          <cell r="BL208">
            <v>65970</v>
          </cell>
          <cell r="BM208">
            <v>64530</v>
          </cell>
          <cell r="BN208">
            <v>64530</v>
          </cell>
        </row>
        <row r="209">
          <cell r="B209" t="str">
            <v>URY</v>
          </cell>
          <cell r="C209" t="str">
            <v>GNI per capita, Atlas method (current US$)</v>
          </cell>
          <cell r="D209" t="str">
            <v>NY.GNP.PCAP.CD</v>
          </cell>
          <cell r="E209" t="str">
            <v>..</v>
          </cell>
          <cell r="F209" t="str">
            <v>..</v>
          </cell>
          <cell r="G209">
            <v>580</v>
          </cell>
          <cell r="H209">
            <v>610</v>
          </cell>
          <cell r="I209">
            <v>660</v>
          </cell>
          <cell r="J209">
            <v>680</v>
          </cell>
          <cell r="K209">
            <v>720</v>
          </cell>
          <cell r="L209">
            <v>640</v>
          </cell>
          <cell r="M209">
            <v>610</v>
          </cell>
          <cell r="N209">
            <v>670</v>
          </cell>
          <cell r="O209">
            <v>820</v>
          </cell>
          <cell r="P209">
            <v>850</v>
          </cell>
          <cell r="Q209">
            <v>870</v>
          </cell>
          <cell r="R209">
            <v>1060</v>
          </cell>
          <cell r="S209">
            <v>1370</v>
          </cell>
          <cell r="T209">
            <v>1620</v>
          </cell>
          <cell r="U209">
            <v>1490</v>
          </cell>
          <cell r="V209">
            <v>1420</v>
          </cell>
          <cell r="W209">
            <v>1630</v>
          </cell>
          <cell r="X209">
            <v>2150</v>
          </cell>
          <cell r="Y209">
            <v>2870</v>
          </cell>
          <cell r="Z209">
            <v>3650</v>
          </cell>
          <cell r="AA209">
            <v>3290</v>
          </cell>
          <cell r="AB209">
            <v>2190</v>
          </cell>
          <cell r="AC209">
            <v>1740</v>
          </cell>
          <cell r="AD209">
            <v>1510</v>
          </cell>
          <cell r="AE209">
            <v>1780</v>
          </cell>
          <cell r="AF209">
            <v>2210</v>
          </cell>
          <cell r="AG209">
            <v>2600</v>
          </cell>
          <cell r="AH209">
            <v>2730</v>
          </cell>
          <cell r="AI209">
            <v>2840</v>
          </cell>
          <cell r="AJ209">
            <v>3180</v>
          </cell>
          <cell r="AK209">
            <v>3830</v>
          </cell>
          <cell r="AL209">
            <v>4350</v>
          </cell>
          <cell r="AM209">
            <v>5040</v>
          </cell>
          <cell r="AN209">
            <v>5530</v>
          </cell>
          <cell r="AO209">
            <v>6160</v>
          </cell>
          <cell r="AP209">
            <v>6970</v>
          </cell>
          <cell r="AQ209">
            <v>7240</v>
          </cell>
          <cell r="AR209">
            <v>7260</v>
          </cell>
          <cell r="AS209">
            <v>7060</v>
          </cell>
          <cell r="AT209">
            <v>6500</v>
          </cell>
          <cell r="AU209">
            <v>5140</v>
          </cell>
          <cell r="AV209">
            <v>4250</v>
          </cell>
          <cell r="AW209">
            <v>4130</v>
          </cell>
          <cell r="AX209">
            <v>4720</v>
          </cell>
          <cell r="AY209">
            <v>5390</v>
          </cell>
          <cell r="AZ209">
            <v>6390</v>
          </cell>
          <cell r="BA209">
            <v>7710</v>
          </cell>
          <cell r="BB209">
            <v>8810</v>
          </cell>
          <cell r="BC209">
            <v>10440</v>
          </cell>
          <cell r="BD209">
            <v>12060</v>
          </cell>
          <cell r="BE209">
            <v>13330</v>
          </cell>
          <cell r="BF209">
            <v>15330</v>
          </cell>
          <cell r="BG209">
            <v>15790</v>
          </cell>
          <cell r="BH209">
            <v>15620</v>
          </cell>
          <cell r="BI209">
            <v>15440</v>
          </cell>
          <cell r="BJ209">
            <v>15920</v>
          </cell>
          <cell r="BK209">
            <v>17270</v>
          </cell>
          <cell r="BL209">
            <v>17760</v>
          </cell>
          <cell r="BM209">
            <v>15790</v>
          </cell>
          <cell r="BN209">
            <v>15790</v>
          </cell>
        </row>
        <row r="210">
          <cell r="B210" t="str">
            <v>UZB</v>
          </cell>
          <cell r="C210" t="str">
            <v>GNI per capita, Atlas method (current US$)</v>
          </cell>
          <cell r="D210" t="str">
            <v>NY.GNP.PCAP.CD</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t="str">
            <v>..</v>
          </cell>
          <cell r="AF210" t="str">
            <v>..</v>
          </cell>
          <cell r="AG210" t="str">
            <v>..</v>
          </cell>
          <cell r="AH210" t="str">
            <v>..</v>
          </cell>
          <cell r="AI210" t="str">
            <v>..</v>
          </cell>
          <cell r="AJ210" t="str">
            <v>..</v>
          </cell>
          <cell r="AK210">
            <v>600</v>
          </cell>
          <cell r="AL210">
            <v>590</v>
          </cell>
          <cell r="AM210">
            <v>570</v>
          </cell>
          <cell r="AN210">
            <v>580</v>
          </cell>
          <cell r="AO210">
            <v>600</v>
          </cell>
          <cell r="AP210">
            <v>610</v>
          </cell>
          <cell r="AQ210">
            <v>620</v>
          </cell>
          <cell r="AR210">
            <v>650</v>
          </cell>
          <cell r="AS210">
            <v>630</v>
          </cell>
          <cell r="AT210">
            <v>560</v>
          </cell>
          <cell r="AU210">
            <v>450</v>
          </cell>
          <cell r="AV210">
            <v>420</v>
          </cell>
          <cell r="AW210">
            <v>460</v>
          </cell>
          <cell r="AX210">
            <v>530</v>
          </cell>
          <cell r="AY210">
            <v>610</v>
          </cell>
          <cell r="AZ210">
            <v>770</v>
          </cell>
          <cell r="BA210">
            <v>980</v>
          </cell>
          <cell r="BB210">
            <v>1150</v>
          </cell>
          <cell r="BC210">
            <v>1410</v>
          </cell>
          <cell r="BD210">
            <v>1730</v>
          </cell>
          <cell r="BE210">
            <v>2160</v>
          </cell>
          <cell r="BF210">
            <v>2430</v>
          </cell>
          <cell r="BG210">
            <v>2600</v>
          </cell>
          <cell r="BH210">
            <v>2740</v>
          </cell>
          <cell r="BI210">
            <v>2790</v>
          </cell>
          <cell r="BJ210">
            <v>2470</v>
          </cell>
          <cell r="BK210">
            <v>2110</v>
          </cell>
          <cell r="BL210">
            <v>1870</v>
          </cell>
          <cell r="BM210">
            <v>1740</v>
          </cell>
          <cell r="BN210">
            <v>1740</v>
          </cell>
        </row>
        <row r="211">
          <cell r="B211" t="str">
            <v>VUT</v>
          </cell>
          <cell r="C211" t="str">
            <v>GNI per capita, Atlas method (current US$)</v>
          </cell>
          <cell r="D211" t="str">
            <v>NY.GNP.PCAP.CD</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v>940</v>
          </cell>
          <cell r="AA211">
            <v>840</v>
          </cell>
          <cell r="AB211">
            <v>800</v>
          </cell>
          <cell r="AC211">
            <v>900</v>
          </cell>
          <cell r="AD211">
            <v>930</v>
          </cell>
          <cell r="AE211">
            <v>980</v>
          </cell>
          <cell r="AF211">
            <v>890</v>
          </cell>
          <cell r="AG211">
            <v>990</v>
          </cell>
          <cell r="AH211">
            <v>1110</v>
          </cell>
          <cell r="AI211">
            <v>1240</v>
          </cell>
          <cell r="AJ211">
            <v>1120</v>
          </cell>
          <cell r="AK211">
            <v>1150</v>
          </cell>
          <cell r="AL211">
            <v>1150</v>
          </cell>
          <cell r="AM211">
            <v>1210</v>
          </cell>
          <cell r="AN211">
            <v>1240</v>
          </cell>
          <cell r="AO211">
            <v>1330</v>
          </cell>
          <cell r="AP211">
            <v>1390</v>
          </cell>
          <cell r="AQ211">
            <v>1450</v>
          </cell>
          <cell r="AR211">
            <v>1430</v>
          </cell>
          <cell r="AS211">
            <v>1430</v>
          </cell>
          <cell r="AT211">
            <v>1370</v>
          </cell>
          <cell r="AU211">
            <v>1230</v>
          </cell>
          <cell r="AV211">
            <v>1360</v>
          </cell>
          <cell r="AW211">
            <v>1590</v>
          </cell>
          <cell r="AX211">
            <v>1780</v>
          </cell>
          <cell r="AY211">
            <v>1990</v>
          </cell>
          <cell r="AZ211">
            <v>2100</v>
          </cell>
          <cell r="BA211">
            <v>2460</v>
          </cell>
          <cell r="BB211">
            <v>2530</v>
          </cell>
          <cell r="BC211">
            <v>2600</v>
          </cell>
          <cell r="BD211">
            <v>2800</v>
          </cell>
          <cell r="BE211">
            <v>2830</v>
          </cell>
          <cell r="BF211">
            <v>2960</v>
          </cell>
          <cell r="BG211">
            <v>3000</v>
          </cell>
          <cell r="BH211">
            <v>2820</v>
          </cell>
          <cell r="BI211">
            <v>2830</v>
          </cell>
          <cell r="BJ211">
            <v>2900</v>
          </cell>
          <cell r="BK211">
            <v>3170</v>
          </cell>
          <cell r="BL211">
            <v>3450</v>
          </cell>
          <cell r="BM211">
            <v>3190</v>
          </cell>
          <cell r="BN211">
            <v>3190</v>
          </cell>
        </row>
        <row r="212">
          <cell r="B212" t="str">
            <v>VEN</v>
          </cell>
          <cell r="C212" t="str">
            <v>GNI per capita, Atlas method (current US$)</v>
          </cell>
          <cell r="D212" t="str">
            <v>NY.GNP.PCAP.CD</v>
          </cell>
          <cell r="E212" t="str">
            <v>..</v>
          </cell>
          <cell r="F212" t="str">
            <v>..</v>
          </cell>
          <cell r="G212">
            <v>960</v>
          </cell>
          <cell r="H212">
            <v>990</v>
          </cell>
          <cell r="I212">
            <v>950</v>
          </cell>
          <cell r="J212">
            <v>890</v>
          </cell>
          <cell r="K212">
            <v>820</v>
          </cell>
          <cell r="L212">
            <v>840</v>
          </cell>
          <cell r="M212">
            <v>900</v>
          </cell>
          <cell r="N212">
            <v>910</v>
          </cell>
          <cell r="O212">
            <v>980</v>
          </cell>
          <cell r="P212">
            <v>1010</v>
          </cell>
          <cell r="Q212">
            <v>1120</v>
          </cell>
          <cell r="R212">
            <v>1340</v>
          </cell>
          <cell r="S212">
            <v>1720</v>
          </cell>
          <cell r="T212">
            <v>2140</v>
          </cell>
          <cell r="U212">
            <v>2470</v>
          </cell>
          <cell r="V212">
            <v>2600</v>
          </cell>
          <cell r="W212">
            <v>2790</v>
          </cell>
          <cell r="X212">
            <v>3180</v>
          </cell>
          <cell r="Y212">
            <v>3610</v>
          </cell>
          <cell r="Z212">
            <v>4100</v>
          </cell>
          <cell r="AA212">
            <v>4050</v>
          </cell>
          <cell r="AB212">
            <v>3780</v>
          </cell>
          <cell r="AC212">
            <v>3640</v>
          </cell>
          <cell r="AD212">
            <v>3520</v>
          </cell>
          <cell r="AE212">
            <v>3610</v>
          </cell>
          <cell r="AF212">
            <v>3350</v>
          </cell>
          <cell r="AG212">
            <v>3400</v>
          </cell>
          <cell r="AH212">
            <v>2560</v>
          </cell>
          <cell r="AI212">
            <v>2670</v>
          </cell>
          <cell r="AJ212">
            <v>2690</v>
          </cell>
          <cell r="AK212">
            <v>2870</v>
          </cell>
          <cell r="AL212">
            <v>2850</v>
          </cell>
          <cell r="AM212">
            <v>2740</v>
          </cell>
          <cell r="AN212">
            <v>3040</v>
          </cell>
          <cell r="AO212">
            <v>3100</v>
          </cell>
          <cell r="AP212">
            <v>3470</v>
          </cell>
          <cell r="AQ212">
            <v>3420</v>
          </cell>
          <cell r="AR212">
            <v>3570</v>
          </cell>
          <cell r="AS212">
            <v>4120</v>
          </cell>
          <cell r="AT212">
            <v>4600</v>
          </cell>
          <cell r="AU212">
            <v>3990</v>
          </cell>
          <cell r="AV212">
            <v>3490</v>
          </cell>
          <cell r="AW212">
            <v>4110</v>
          </cell>
          <cell r="AX212">
            <v>4980</v>
          </cell>
          <cell r="AY212">
            <v>6130</v>
          </cell>
          <cell r="AZ212">
            <v>7630</v>
          </cell>
          <cell r="BA212">
            <v>9400</v>
          </cell>
          <cell r="BB212">
            <v>10380</v>
          </cell>
          <cell r="BC212">
            <v>11810</v>
          </cell>
          <cell r="BD212">
            <v>11980</v>
          </cell>
          <cell r="BE212">
            <v>12710</v>
          </cell>
          <cell r="BF212">
            <v>11970</v>
          </cell>
          <cell r="BG212">
            <v>13080</v>
          </cell>
          <cell r="BH212" t="str">
            <v>..</v>
          </cell>
          <cell r="BI212" t="str">
            <v>..</v>
          </cell>
          <cell r="BJ212" t="str">
            <v>..</v>
          </cell>
          <cell r="BK212" t="str">
            <v>..</v>
          </cell>
          <cell r="BL212" t="str">
            <v>..</v>
          </cell>
          <cell r="BM212" t="str">
            <v>..</v>
          </cell>
          <cell r="BN212" t="str">
            <v/>
          </cell>
        </row>
        <row r="213">
          <cell r="B213" t="str">
            <v>VNM</v>
          </cell>
          <cell r="C213" t="str">
            <v>GNI per capita, Atlas method (current US$)</v>
          </cell>
          <cell r="D213" t="str">
            <v>NY.GNP.PCAP.CD</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v>210</v>
          </cell>
          <cell r="AI213">
            <v>130</v>
          </cell>
          <cell r="AJ213">
            <v>110</v>
          </cell>
          <cell r="AK213">
            <v>130</v>
          </cell>
          <cell r="AL213">
            <v>160</v>
          </cell>
          <cell r="AM213">
            <v>190</v>
          </cell>
          <cell r="AN213">
            <v>250</v>
          </cell>
          <cell r="AO213">
            <v>300</v>
          </cell>
          <cell r="AP213">
            <v>330</v>
          </cell>
          <cell r="AQ213">
            <v>340</v>
          </cell>
          <cell r="AR213">
            <v>350</v>
          </cell>
          <cell r="AS213">
            <v>380</v>
          </cell>
          <cell r="AT213">
            <v>400</v>
          </cell>
          <cell r="AU213">
            <v>420</v>
          </cell>
          <cell r="AV213">
            <v>460</v>
          </cell>
          <cell r="AW213">
            <v>530</v>
          </cell>
          <cell r="AX213">
            <v>630</v>
          </cell>
          <cell r="AY213">
            <v>720</v>
          </cell>
          <cell r="AZ213">
            <v>840</v>
          </cell>
          <cell r="BA213">
            <v>980</v>
          </cell>
          <cell r="BB213">
            <v>1110</v>
          </cell>
          <cell r="BC213">
            <v>1250</v>
          </cell>
          <cell r="BD213">
            <v>1370</v>
          </cell>
          <cell r="BE213">
            <v>1540</v>
          </cell>
          <cell r="BF213">
            <v>1720</v>
          </cell>
          <cell r="BG213">
            <v>1880</v>
          </cell>
          <cell r="BH213">
            <v>1950</v>
          </cell>
          <cell r="BI213">
            <v>2020</v>
          </cell>
          <cell r="BJ213">
            <v>2120</v>
          </cell>
          <cell r="BK213">
            <v>2380</v>
          </cell>
          <cell r="BL213">
            <v>2570</v>
          </cell>
          <cell r="BM213">
            <v>2650</v>
          </cell>
          <cell r="BN213">
            <v>2650</v>
          </cell>
        </row>
        <row r="214">
          <cell r="B214" t="str">
            <v>VIR</v>
          </cell>
          <cell r="C214" t="str">
            <v>GNI per capita, Atlas method (current US$)</v>
          </cell>
          <cell r="D214" t="str">
            <v>NY.GNP.PCAP.CD</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t="str">
            <v>..</v>
          </cell>
          <cell r="AF214" t="str">
            <v>..</v>
          </cell>
          <cell r="AG214" t="str">
            <v>..</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v>
          </cell>
          <cell r="BN214" t="str">
            <v/>
          </cell>
        </row>
        <row r="215">
          <cell r="B215" t="str">
            <v>PSE</v>
          </cell>
          <cell r="C215" t="str">
            <v>GNI per capita, Atlas method (current US$)</v>
          </cell>
          <cell r="D215" t="str">
            <v>NY.GNP.PCAP.CD</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cell r="AJ215" t="str">
            <v>..</v>
          </cell>
          <cell r="AK215" t="str">
            <v>..</v>
          </cell>
          <cell r="AL215" t="str">
            <v>..</v>
          </cell>
          <cell r="AM215" t="str">
            <v>..</v>
          </cell>
          <cell r="AN215" t="str">
            <v>..</v>
          </cell>
          <cell r="AO215">
            <v>1470</v>
          </cell>
          <cell r="AP215">
            <v>1630</v>
          </cell>
          <cell r="AQ215">
            <v>1780</v>
          </cell>
          <cell r="AR215">
            <v>1800</v>
          </cell>
          <cell r="AS215">
            <v>1550</v>
          </cell>
          <cell r="AT215">
            <v>1370</v>
          </cell>
          <cell r="AU215">
            <v>1190</v>
          </cell>
          <cell r="AV215">
            <v>1370</v>
          </cell>
          <cell r="AW215">
            <v>1640</v>
          </cell>
          <cell r="AX215">
            <v>1780</v>
          </cell>
          <cell r="AY215">
            <v>1710</v>
          </cell>
          <cell r="AZ215">
            <v>1790</v>
          </cell>
          <cell r="BA215">
            <v>2040</v>
          </cell>
          <cell r="BB215">
            <v>2250</v>
          </cell>
          <cell r="BC215">
            <v>2510</v>
          </cell>
          <cell r="BD215">
            <v>2880</v>
          </cell>
          <cell r="BE215">
            <v>3210</v>
          </cell>
          <cell r="BF215">
            <v>3470</v>
          </cell>
          <cell r="BG215">
            <v>3560</v>
          </cell>
          <cell r="BH215">
            <v>3670</v>
          </cell>
          <cell r="BI215">
            <v>3900</v>
          </cell>
          <cell r="BJ215">
            <v>3930</v>
          </cell>
          <cell r="BK215">
            <v>4190</v>
          </cell>
          <cell r="BL215">
            <v>4270</v>
          </cell>
          <cell r="BM215">
            <v>3710</v>
          </cell>
          <cell r="BN215">
            <v>3710</v>
          </cell>
        </row>
        <row r="216">
          <cell r="B216" t="str">
            <v>YEM</v>
          </cell>
          <cell r="C216" t="str">
            <v>GNI per capita, Atlas method (current US$)</v>
          </cell>
          <cell r="D216" t="str">
            <v>NY.GNP.PCAP.CD</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cell r="AJ216" t="str">
            <v>..</v>
          </cell>
          <cell r="AK216">
            <v>510</v>
          </cell>
          <cell r="AL216">
            <v>460</v>
          </cell>
          <cell r="AM216">
            <v>380</v>
          </cell>
          <cell r="AN216">
            <v>320</v>
          </cell>
          <cell r="AO216">
            <v>300</v>
          </cell>
          <cell r="AP216">
            <v>330</v>
          </cell>
          <cell r="AQ216">
            <v>370</v>
          </cell>
          <cell r="AR216">
            <v>380</v>
          </cell>
          <cell r="AS216">
            <v>430</v>
          </cell>
          <cell r="AT216">
            <v>480</v>
          </cell>
          <cell r="AU216">
            <v>520</v>
          </cell>
          <cell r="AV216">
            <v>550</v>
          </cell>
          <cell r="AW216">
            <v>610</v>
          </cell>
          <cell r="AX216">
            <v>700</v>
          </cell>
          <cell r="AY216">
            <v>810</v>
          </cell>
          <cell r="AZ216">
            <v>890</v>
          </cell>
          <cell r="BA216">
            <v>1010</v>
          </cell>
          <cell r="BB216">
            <v>1100</v>
          </cell>
          <cell r="BC216">
            <v>1200</v>
          </cell>
          <cell r="BD216">
            <v>1080</v>
          </cell>
          <cell r="BE216">
            <v>1260</v>
          </cell>
          <cell r="BF216">
            <v>1440</v>
          </cell>
          <cell r="BG216">
            <v>1460</v>
          </cell>
          <cell r="BH216">
            <v>1200</v>
          </cell>
          <cell r="BI216">
            <v>1160</v>
          </cell>
          <cell r="BJ216">
            <v>1080</v>
          </cell>
          <cell r="BK216">
            <v>910</v>
          </cell>
          <cell r="BL216" t="str">
            <v>..</v>
          </cell>
          <cell r="BM216" t="str">
            <v>..</v>
          </cell>
          <cell r="BN216">
            <v>910</v>
          </cell>
        </row>
        <row r="217">
          <cell r="B217" t="str">
            <v>ZMB</v>
          </cell>
          <cell r="C217" t="str">
            <v>GNI per capita, Atlas method (current US$)</v>
          </cell>
          <cell r="D217" t="str">
            <v>NY.GNP.PCAP.CD</v>
          </cell>
          <cell r="E217" t="str">
            <v>..</v>
          </cell>
          <cell r="F217" t="str">
            <v>..</v>
          </cell>
          <cell r="G217">
            <v>190</v>
          </cell>
          <cell r="H217">
            <v>190</v>
          </cell>
          <cell r="I217">
            <v>210</v>
          </cell>
          <cell r="J217">
            <v>270</v>
          </cell>
          <cell r="K217">
            <v>280</v>
          </cell>
          <cell r="L217">
            <v>330</v>
          </cell>
          <cell r="M217">
            <v>370</v>
          </cell>
          <cell r="N217">
            <v>410</v>
          </cell>
          <cell r="O217">
            <v>450</v>
          </cell>
          <cell r="P217">
            <v>440</v>
          </cell>
          <cell r="Q217">
            <v>440</v>
          </cell>
          <cell r="R217">
            <v>450</v>
          </cell>
          <cell r="S217">
            <v>580</v>
          </cell>
          <cell r="T217">
            <v>590</v>
          </cell>
          <cell r="U217">
            <v>570</v>
          </cell>
          <cell r="V217">
            <v>500</v>
          </cell>
          <cell r="W217">
            <v>490</v>
          </cell>
          <cell r="X217">
            <v>510</v>
          </cell>
          <cell r="Y217">
            <v>610</v>
          </cell>
          <cell r="Z217">
            <v>690</v>
          </cell>
          <cell r="AA217">
            <v>610</v>
          </cell>
          <cell r="AB217">
            <v>500</v>
          </cell>
          <cell r="AC217">
            <v>420</v>
          </cell>
          <cell r="AD217">
            <v>340</v>
          </cell>
          <cell r="AE217">
            <v>250</v>
          </cell>
          <cell r="AF217">
            <v>260</v>
          </cell>
          <cell r="AG217">
            <v>330</v>
          </cell>
          <cell r="AH217">
            <v>400</v>
          </cell>
          <cell r="AI217">
            <v>430</v>
          </cell>
          <cell r="AJ217">
            <v>390</v>
          </cell>
          <cell r="AK217">
            <v>360</v>
          </cell>
          <cell r="AL217">
            <v>380</v>
          </cell>
          <cell r="AM217">
            <v>350</v>
          </cell>
          <cell r="AN217">
            <v>380</v>
          </cell>
          <cell r="AO217">
            <v>400</v>
          </cell>
          <cell r="AP217">
            <v>400</v>
          </cell>
          <cell r="AQ217">
            <v>360</v>
          </cell>
          <cell r="AR217">
            <v>350</v>
          </cell>
          <cell r="AS217">
            <v>330</v>
          </cell>
          <cell r="AT217">
            <v>350</v>
          </cell>
          <cell r="AU217">
            <v>360</v>
          </cell>
          <cell r="AV217">
            <v>410</v>
          </cell>
          <cell r="AW217">
            <v>460</v>
          </cell>
          <cell r="AX217">
            <v>560</v>
          </cell>
          <cell r="AY217">
            <v>720</v>
          </cell>
          <cell r="AZ217">
            <v>900</v>
          </cell>
          <cell r="BA217">
            <v>1180</v>
          </cell>
          <cell r="BB217">
            <v>1280</v>
          </cell>
          <cell r="BC217">
            <v>1340</v>
          </cell>
          <cell r="BD217">
            <v>1420</v>
          </cell>
          <cell r="BE217">
            <v>1690</v>
          </cell>
          <cell r="BF217">
            <v>1760</v>
          </cell>
          <cell r="BG217">
            <v>1800</v>
          </cell>
          <cell r="BH217">
            <v>1580</v>
          </cell>
          <cell r="BI217">
            <v>1370</v>
          </cell>
          <cell r="BJ217">
            <v>1300</v>
          </cell>
          <cell r="BK217">
            <v>1440</v>
          </cell>
          <cell r="BL217">
            <v>1430</v>
          </cell>
          <cell r="BM217">
            <v>1160</v>
          </cell>
          <cell r="BN217">
            <v>1160</v>
          </cell>
        </row>
        <row r="218">
          <cell r="B218" t="str">
            <v>ZWE</v>
          </cell>
          <cell r="C218" t="str">
            <v>GNI per capita, Atlas method (current US$)</v>
          </cell>
          <cell r="D218" t="str">
            <v>NY.GNP.PCAP.CD</v>
          </cell>
          <cell r="E218" t="str">
            <v>..</v>
          </cell>
          <cell r="F218" t="str">
            <v>..</v>
          </cell>
          <cell r="G218">
            <v>270</v>
          </cell>
          <cell r="H218">
            <v>270</v>
          </cell>
          <cell r="I218">
            <v>260</v>
          </cell>
          <cell r="J218">
            <v>280</v>
          </cell>
          <cell r="K218">
            <v>280</v>
          </cell>
          <cell r="L218">
            <v>300</v>
          </cell>
          <cell r="M218">
            <v>300</v>
          </cell>
          <cell r="N218">
            <v>340</v>
          </cell>
          <cell r="O218">
            <v>400</v>
          </cell>
          <cell r="P218">
            <v>410</v>
          </cell>
          <cell r="Q218">
            <v>450</v>
          </cell>
          <cell r="R218">
            <v>530</v>
          </cell>
          <cell r="S218">
            <v>670</v>
          </cell>
          <cell r="T218">
            <v>730</v>
          </cell>
          <cell r="U218">
            <v>710</v>
          </cell>
          <cell r="V218">
            <v>650</v>
          </cell>
          <cell r="W218">
            <v>650</v>
          </cell>
          <cell r="X218">
            <v>730</v>
          </cell>
          <cell r="Y218">
            <v>900</v>
          </cell>
          <cell r="Z218">
            <v>1060</v>
          </cell>
          <cell r="AA218">
            <v>1040</v>
          </cell>
          <cell r="AB218">
            <v>960</v>
          </cell>
          <cell r="AC218">
            <v>830</v>
          </cell>
          <cell r="AD218">
            <v>740</v>
          </cell>
          <cell r="AE218">
            <v>690</v>
          </cell>
          <cell r="AF218">
            <v>700</v>
          </cell>
          <cell r="AG218">
            <v>810</v>
          </cell>
          <cell r="AH218">
            <v>840</v>
          </cell>
          <cell r="AI218">
            <v>860</v>
          </cell>
          <cell r="AJ218">
            <v>850</v>
          </cell>
          <cell r="AK218">
            <v>700</v>
          </cell>
          <cell r="AL218">
            <v>640</v>
          </cell>
          <cell r="AM218">
            <v>630</v>
          </cell>
          <cell r="AN218">
            <v>620</v>
          </cell>
          <cell r="AO218">
            <v>690</v>
          </cell>
          <cell r="AP218">
            <v>700</v>
          </cell>
          <cell r="AQ218">
            <v>620</v>
          </cell>
          <cell r="AR218">
            <v>570</v>
          </cell>
          <cell r="AS218">
            <v>510</v>
          </cell>
          <cell r="AT218">
            <v>540</v>
          </cell>
          <cell r="AU218">
            <v>490</v>
          </cell>
          <cell r="AV218">
            <v>440</v>
          </cell>
          <cell r="AW218">
            <v>450</v>
          </cell>
          <cell r="AX218">
            <v>460</v>
          </cell>
          <cell r="AY218">
            <v>440</v>
          </cell>
          <cell r="AZ218">
            <v>420</v>
          </cell>
          <cell r="BA218">
            <v>330</v>
          </cell>
          <cell r="BB218">
            <v>480</v>
          </cell>
          <cell r="BC218">
            <v>700</v>
          </cell>
          <cell r="BD218">
            <v>1060</v>
          </cell>
          <cell r="BE218">
            <v>1260</v>
          </cell>
          <cell r="BF218">
            <v>1320</v>
          </cell>
          <cell r="BG218">
            <v>1370</v>
          </cell>
          <cell r="BH218">
            <v>1390</v>
          </cell>
          <cell r="BI218">
            <v>1390</v>
          </cell>
          <cell r="BJ218">
            <v>1350</v>
          </cell>
          <cell r="BK218">
            <v>1350</v>
          </cell>
          <cell r="BL218">
            <v>1210</v>
          </cell>
          <cell r="BM218">
            <v>1140</v>
          </cell>
          <cell r="BN218">
            <v>1140</v>
          </cell>
        </row>
        <row r="219">
          <cell r="B219" t="str">
            <v>AFE</v>
          </cell>
          <cell r="C219" t="str">
            <v>GNI per capita, Atlas method (current US$)</v>
          </cell>
          <cell r="D219" t="str">
            <v>NY.GNP.PCAP.CD</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v>568.88908529923299</v>
          </cell>
          <cell r="AC219">
            <v>540.70564138515101</v>
          </cell>
          <cell r="AD219">
            <v>486.78778493426699</v>
          </cell>
          <cell r="AE219">
            <v>492.653962463737</v>
          </cell>
          <cell r="AF219">
            <v>561.46830555841098</v>
          </cell>
          <cell r="AG219">
            <v>634.50355139584303</v>
          </cell>
          <cell r="AH219">
            <v>657.55896205488204</v>
          </cell>
          <cell r="AI219">
            <v>638.96630062468103</v>
          </cell>
          <cell r="AJ219">
            <v>662.73122272785997</v>
          </cell>
          <cell r="AK219">
            <v>664.10545998764701</v>
          </cell>
          <cell r="AL219">
            <v>679.395465851582</v>
          </cell>
          <cell r="AM219">
            <v>691.55259412053204</v>
          </cell>
          <cell r="AN219">
            <v>736.41020893073801</v>
          </cell>
          <cell r="AO219">
            <v>747.49102078872897</v>
          </cell>
          <cell r="AP219">
            <v>750.49326946056794</v>
          </cell>
          <cell r="AQ219">
            <v>693.26419435743799</v>
          </cell>
          <cell r="AR219">
            <v>672.08400184844299</v>
          </cell>
          <cell r="AS219">
            <v>666.87014653066899</v>
          </cell>
          <cell r="AT219">
            <v>639.79849198084105</v>
          </cell>
          <cell r="AU219">
            <v>624.48863867734804</v>
          </cell>
          <cell r="AV219">
            <v>674.62336041821504</v>
          </cell>
          <cell r="AW219">
            <v>821.06498689681598</v>
          </cell>
          <cell r="AX219">
            <v>1027.7684575319599</v>
          </cell>
          <cell r="AY219">
            <v>1156.4599435007499</v>
          </cell>
          <cell r="AZ219">
            <v>1267.68261341629</v>
          </cell>
          <cell r="BA219">
            <v>1353.5832860010501</v>
          </cell>
          <cell r="BB219">
            <v>1368.65894591651</v>
          </cell>
          <cell r="BC219">
            <v>1436.9091021327399</v>
          </cell>
          <cell r="BD219">
            <v>1563.6763705025101</v>
          </cell>
          <cell r="BE219">
            <v>1669.13422582095</v>
          </cell>
          <cell r="BF219">
            <v>1697.84416343462</v>
          </cell>
          <cell r="BG219">
            <v>1677.09481848319</v>
          </cell>
          <cell r="BH219">
            <v>1579.43451246161</v>
          </cell>
          <cell r="BI219">
            <v>1475.4055269665801</v>
          </cell>
          <cell r="BJ219">
            <v>1441.53174622605</v>
          </cell>
          <cell r="BK219">
            <v>1494.7101705913401</v>
          </cell>
          <cell r="BL219">
            <v>1535.7768561897101</v>
          </cell>
          <cell r="BM219">
            <v>1406.28900683756</v>
          </cell>
          <cell r="BN219">
            <v>1406.28900683756</v>
          </cell>
        </row>
        <row r="220">
          <cell r="B220" t="str">
            <v>AFW</v>
          </cell>
          <cell r="C220" t="str">
            <v>GNI per capita, Atlas method (current US$)</v>
          </cell>
          <cell r="D220" t="str">
            <v>NY.GNP.PCAP.CD</v>
          </cell>
          <cell r="E220" t="str">
            <v>..</v>
          </cell>
          <cell r="F220" t="str">
            <v>..</v>
          </cell>
          <cell r="G220">
            <v>113.682774720585</v>
          </cell>
          <cell r="H220">
            <v>122.15156272385499</v>
          </cell>
          <cell r="I220">
            <v>128.210426763014</v>
          </cell>
          <cell r="J220">
            <v>133.15485877570401</v>
          </cell>
          <cell r="K220">
            <v>136.07607334275099</v>
          </cell>
          <cell r="L220">
            <v>128.79283256317501</v>
          </cell>
          <cell r="M220">
            <v>130.41721966074601</v>
          </cell>
          <cell r="N220">
            <v>143.03375231741401</v>
          </cell>
          <cell r="O220">
            <v>170.46472985842399</v>
          </cell>
          <cell r="P220">
            <v>179.00273562914401</v>
          </cell>
          <cell r="Q220">
            <v>192.90734726694799</v>
          </cell>
          <cell r="R220">
            <v>216.29480942373101</v>
          </cell>
          <cell r="S220">
            <v>300.83741276568298</v>
          </cell>
          <cell r="T220">
            <v>358.21459856614501</v>
          </cell>
          <cell r="U220">
            <v>422.63865691887003</v>
          </cell>
          <cell r="V220">
            <v>455.23102231578702</v>
          </cell>
          <cell r="W220">
            <v>478.73628299449001</v>
          </cell>
          <cell r="X220">
            <v>558.91495078217201</v>
          </cell>
          <cell r="Y220">
            <v>646.02102758275396</v>
          </cell>
          <cell r="Z220">
            <v>762.94678987285204</v>
          </cell>
          <cell r="AA220">
            <v>876.47386651233296</v>
          </cell>
          <cell r="AB220">
            <v>925.18526836317403</v>
          </cell>
          <cell r="AC220">
            <v>757.90897705844702</v>
          </cell>
          <cell r="AD220">
            <v>685.76630477118499</v>
          </cell>
          <cell r="AE220">
            <v>623.02092445469304</v>
          </cell>
          <cell r="AF220">
            <v>614.85520770036101</v>
          </cell>
          <cell r="AG220">
            <v>630.14266957359098</v>
          </cell>
          <cell r="AH220">
            <v>563.56610294230495</v>
          </cell>
          <cell r="AI220">
            <v>556.065001857948</v>
          </cell>
          <cell r="AJ220">
            <v>541.61507762749397</v>
          </cell>
          <cell r="AK220">
            <v>552.70621322585203</v>
          </cell>
          <cell r="AL220">
            <v>471.93220842622998</v>
          </cell>
          <cell r="AM220">
            <v>416.30053970101301</v>
          </cell>
          <cell r="AN220">
            <v>407.93306547563401</v>
          </cell>
          <cell r="AO220">
            <v>427.10040886360702</v>
          </cell>
          <cell r="AP220">
            <v>465.58207757127701</v>
          </cell>
          <cell r="AQ220">
            <v>463.57813314945201</v>
          </cell>
          <cell r="AR220">
            <v>465.94105102583501</v>
          </cell>
          <cell r="AS220">
            <v>456.07518216728403</v>
          </cell>
          <cell r="AT220">
            <v>480.24582830796101</v>
          </cell>
          <cell r="AU220">
            <v>525.02689151855202</v>
          </cell>
          <cell r="AV220">
            <v>587.68286695619395</v>
          </cell>
          <cell r="AW220">
            <v>714.61172102650096</v>
          </cell>
          <cell r="AX220">
            <v>844.71263233899595</v>
          </cell>
          <cell r="AY220">
            <v>1032.37320177792</v>
          </cell>
          <cell r="AZ220">
            <v>1199.4658612487499</v>
          </cell>
          <cell r="BA220">
            <v>1446.5542783983899</v>
          </cell>
          <cell r="BB220">
            <v>1518.4442377621799</v>
          </cell>
          <cell r="BC220">
            <v>1575.7964727180599</v>
          </cell>
          <cell r="BD220">
            <v>1605.67304967173</v>
          </cell>
          <cell r="BE220">
            <v>1774.0349978438101</v>
          </cell>
          <cell r="BF220">
            <v>1931.8079561786899</v>
          </cell>
          <cell r="BG220">
            <v>2061.5229367964698</v>
          </cell>
          <cell r="BH220">
            <v>2005.47691182776</v>
          </cell>
          <cell r="BI220">
            <v>1782.15399024211</v>
          </cell>
          <cell r="BJ220">
            <v>1611.4894834184699</v>
          </cell>
          <cell r="BK220">
            <v>1611.8656195020501</v>
          </cell>
          <cell r="BL220">
            <v>1669.1533225327</v>
          </cell>
          <cell r="BM220">
            <v>1654.4256598084701</v>
          </cell>
          <cell r="BN220">
            <v>1654.4256598084701</v>
          </cell>
        </row>
        <row r="221">
          <cell r="B221" t="str">
            <v>ARB</v>
          </cell>
          <cell r="C221" t="str">
            <v>GNI per capita, Atlas method (current US$)</v>
          </cell>
          <cell r="D221" t="str">
            <v>NY.GNP.PCAP.CD</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v>2937.6155320775601</v>
          </cell>
          <cell r="AB221">
            <v>2565.6688230118698</v>
          </cell>
          <cell r="AC221">
            <v>2523.7950668501398</v>
          </cell>
          <cell r="AD221">
            <v>2488.72465654502</v>
          </cell>
          <cell r="AE221">
            <v>2656.4074120960099</v>
          </cell>
          <cell r="AF221">
            <v>2733.4528550527002</v>
          </cell>
          <cell r="AG221">
            <v>2775.72264237122</v>
          </cell>
          <cell r="AH221">
            <v>2640.8426114450399</v>
          </cell>
          <cell r="AI221">
            <v>3004.2466003742602</v>
          </cell>
          <cell r="AJ221">
            <v>2192.5303145079802</v>
          </cell>
          <cell r="AK221">
            <v>2236.7441543302998</v>
          </cell>
          <cell r="AL221">
            <v>2139.6204299557398</v>
          </cell>
          <cell r="AM221">
            <v>2131.65452878118</v>
          </cell>
          <cell r="AN221">
            <v>2184.6013609707802</v>
          </cell>
          <cell r="AO221">
            <v>2314.7261638144</v>
          </cell>
          <cell r="AP221">
            <v>2423.56916812799</v>
          </cell>
          <cell r="AQ221">
            <v>2438.8727730628302</v>
          </cell>
          <cell r="AR221">
            <v>2455.1493692220902</v>
          </cell>
          <cell r="AS221">
            <v>2614.4940735192499</v>
          </cell>
          <cell r="AT221">
            <v>2726.0452108954801</v>
          </cell>
          <cell r="AU221">
            <v>2689.0506819457901</v>
          </cell>
          <cell r="AV221">
            <v>2869.3131517033798</v>
          </cell>
          <cell r="AW221">
            <v>3328.05979364635</v>
          </cell>
          <cell r="AX221">
            <v>3790.78142796152</v>
          </cell>
          <cell r="AY221">
            <v>4374.3788471437801</v>
          </cell>
          <cell r="AZ221">
            <v>5021.8082641798801</v>
          </cell>
          <cell r="BA221">
            <v>5882.1618180076503</v>
          </cell>
          <cell r="BB221">
            <v>5999.4342963243298</v>
          </cell>
          <cell r="BC221">
            <v>6275.7872613660502</v>
          </cell>
          <cell r="BD221">
            <v>6229.7130689921296</v>
          </cell>
          <cell r="BE221">
            <v>6954.3389471466699</v>
          </cell>
          <cell r="BF221">
            <v>7359.8428569813896</v>
          </cell>
          <cell r="BG221">
            <v>7381.6785514454295</v>
          </cell>
          <cell r="BH221">
            <v>6880.22674439602</v>
          </cell>
          <cell r="BI221">
            <v>6415.1554071770297</v>
          </cell>
          <cell r="BJ221">
            <v>5940.7401199776205</v>
          </cell>
          <cell r="BK221">
            <v>6171.0117675155998</v>
          </cell>
          <cell r="BL221">
            <v>6419.0812391317004</v>
          </cell>
          <cell r="BM221">
            <v>5932.7418697621397</v>
          </cell>
          <cell r="BN221">
            <v>5932.7418697621397</v>
          </cell>
        </row>
        <row r="222">
          <cell r="B222" t="str">
            <v>CSS</v>
          </cell>
          <cell r="C222" t="str">
            <v>GNI per capita, Atlas method (current US$)</v>
          </cell>
          <cell r="D222" t="str">
            <v>NY.GNP.PCAP.CD</v>
          </cell>
          <cell r="E222" t="str">
            <v>..</v>
          </cell>
          <cell r="F222" t="str">
            <v>..</v>
          </cell>
          <cell r="G222">
            <v>480.07408549079901</v>
          </cell>
          <cell r="H222">
            <v>519.958784433304</v>
          </cell>
          <cell r="I222">
            <v>564.02919549631895</v>
          </cell>
          <cell r="J222">
            <v>607.25483867896003</v>
          </cell>
          <cell r="K222">
            <v>609.54633191744904</v>
          </cell>
          <cell r="L222">
            <v>644.40861551924797</v>
          </cell>
          <cell r="M222">
            <v>671.60974082259895</v>
          </cell>
          <cell r="N222">
            <v>702.87048865645397</v>
          </cell>
          <cell r="O222">
            <v>754.84259247241505</v>
          </cell>
          <cell r="P222">
            <v>798.10669162352599</v>
          </cell>
          <cell r="Q222">
            <v>947.45926334190199</v>
          </cell>
          <cell r="R222">
            <v>1050.6718056468901</v>
          </cell>
          <cell r="S222">
            <v>1240.40400237931</v>
          </cell>
          <cell r="T222">
            <v>1570.0020134018901</v>
          </cell>
          <cell r="U222">
            <v>1596.56124883443</v>
          </cell>
          <cell r="V222">
            <v>1722.26786667493</v>
          </cell>
          <cell r="W222">
            <v>1877.649201122</v>
          </cell>
          <cell r="X222">
            <v>2073.8924562215502</v>
          </cell>
          <cell r="Y222">
            <v>2388.11223253551</v>
          </cell>
          <cell r="Z222">
            <v>2655.2137184426501</v>
          </cell>
          <cell r="AA222">
            <v>2823.7642543561201</v>
          </cell>
          <cell r="AB222">
            <v>2704.6952111768101</v>
          </cell>
          <cell r="AC222">
            <v>2636.6392082014099</v>
          </cell>
          <cell r="AD222">
            <v>2589.8685218872602</v>
          </cell>
          <cell r="AE222">
            <v>2514.41398749681</v>
          </cell>
          <cell r="AF222">
            <v>2578.8445022003202</v>
          </cell>
          <cell r="AG222">
            <v>2793.6435456721601</v>
          </cell>
          <cell r="AH222">
            <v>2831.8302642682002</v>
          </cell>
          <cell r="AI222">
            <v>2827.0798928174599</v>
          </cell>
          <cell r="AJ222">
            <v>2817.7591526317801</v>
          </cell>
          <cell r="AK222">
            <v>2919.3741899678898</v>
          </cell>
          <cell r="AL222">
            <v>2966.6577714074001</v>
          </cell>
          <cell r="AM222">
            <v>3003.8345181088398</v>
          </cell>
          <cell r="AN222">
            <v>3368.4985628341701</v>
          </cell>
          <cell r="AO222">
            <v>3666.2970508257599</v>
          </cell>
          <cell r="AP222">
            <v>3834.13923760123</v>
          </cell>
          <cell r="AQ222">
            <v>4025.7134305982399</v>
          </cell>
          <cell r="AR222">
            <v>4537.00924713534</v>
          </cell>
          <cell r="AS222">
            <v>4871.1561713320398</v>
          </cell>
          <cell r="AT222">
            <v>4987.9886314549103</v>
          </cell>
          <cell r="AU222">
            <v>5193.7944670837496</v>
          </cell>
          <cell r="AV222">
            <v>5657.4949662089202</v>
          </cell>
          <cell r="AW222">
            <v>6289.9299263476696</v>
          </cell>
          <cell r="AX222">
            <v>6845.2234543366403</v>
          </cell>
          <cell r="AY222">
            <v>7585.6137001791503</v>
          </cell>
          <cell r="AZ222">
            <v>8296.4156021373801</v>
          </cell>
          <cell r="BA222">
            <v>9201.0198878777301</v>
          </cell>
          <cell r="BB222">
            <v>8842.1385936790903</v>
          </cell>
          <cell r="BC222">
            <v>8956.4178155422596</v>
          </cell>
          <cell r="BD222">
            <v>8807.1637707348309</v>
          </cell>
          <cell r="BE222">
            <v>9483.1928990158995</v>
          </cell>
          <cell r="BF222">
            <v>9873.8994055743897</v>
          </cell>
          <cell r="BG222">
            <v>9873.8004752722609</v>
          </cell>
          <cell r="BH222">
            <v>9851.5914508209407</v>
          </cell>
          <cell r="BI222">
            <v>9366.83640243441</v>
          </cell>
          <cell r="BJ222">
            <v>9312.5965925178207</v>
          </cell>
          <cell r="BK222">
            <v>9617.8791215329093</v>
          </cell>
          <cell r="BL222">
            <v>9996.3858313453002</v>
          </cell>
          <cell r="BM222">
            <v>8875.0859088101297</v>
          </cell>
          <cell r="BN222">
            <v>8875.0859088101297</v>
          </cell>
        </row>
        <row r="223">
          <cell r="B223" t="str">
            <v>CEB</v>
          </cell>
          <cell r="C223" t="str">
            <v>GNI per capita, Atlas method (current US$)</v>
          </cell>
          <cell r="D223" t="str">
            <v>NY.GNP.PCAP.CD</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v>
          </cell>
          <cell r="Q223" t="str">
            <v>..</v>
          </cell>
          <cell r="R223" t="str">
            <v>..</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t="str">
            <v>..</v>
          </cell>
          <cell r="AF223" t="str">
            <v>..</v>
          </cell>
          <cell r="AG223" t="str">
            <v>..</v>
          </cell>
          <cell r="AH223" t="str">
            <v>..</v>
          </cell>
          <cell r="AI223" t="str">
            <v>..</v>
          </cell>
          <cell r="AJ223" t="str">
            <v>..</v>
          </cell>
          <cell r="AK223">
            <v>2240.1381127825298</v>
          </cell>
          <cell r="AL223">
            <v>2442.0723072433402</v>
          </cell>
          <cell r="AM223">
            <v>2718.0257634079599</v>
          </cell>
          <cell r="AN223">
            <v>3176.0128309172901</v>
          </cell>
          <cell r="AO223">
            <v>3629.76501278357</v>
          </cell>
          <cell r="AP223">
            <v>3828.0670027091001</v>
          </cell>
          <cell r="AQ223">
            <v>3868.2977219219702</v>
          </cell>
          <cell r="AR223">
            <v>3914.31837298446</v>
          </cell>
          <cell r="AS223">
            <v>4088.89550943825</v>
          </cell>
          <cell r="AT223">
            <v>4169.4379274017801</v>
          </cell>
          <cell r="AU223">
            <v>4428.7836224911498</v>
          </cell>
          <cell r="AV223">
            <v>5187.5669042993304</v>
          </cell>
          <cell r="AW223">
            <v>6380.1219116166303</v>
          </cell>
          <cell r="AX223">
            <v>7740.6573509887203</v>
          </cell>
          <cell r="AY223">
            <v>8870.3996715057401</v>
          </cell>
          <cell r="AZ223">
            <v>10309.5630217828</v>
          </cell>
          <cell r="BA223">
            <v>12408.1884158581</v>
          </cell>
          <cell r="BB223">
            <v>12766.457137584401</v>
          </cell>
          <cell r="BC223">
            <v>12816.274183937399</v>
          </cell>
          <cell r="BD223">
            <v>12937.8607834668</v>
          </cell>
          <cell r="BE223">
            <v>13085.6574625838</v>
          </cell>
          <cell r="BF223">
            <v>13428.8319006564</v>
          </cell>
          <cell r="BG223">
            <v>13565.664364401</v>
          </cell>
          <cell r="BH223">
            <v>13253.2416495495</v>
          </cell>
          <cell r="BI223">
            <v>12862.350799994399</v>
          </cell>
          <cell r="BJ223">
            <v>13082.715619222599</v>
          </cell>
          <cell r="BK223">
            <v>14658.6716637382</v>
          </cell>
          <cell r="BL223">
            <v>15925.609645045</v>
          </cell>
          <cell r="BM223">
            <v>15784.589614078101</v>
          </cell>
          <cell r="BN223">
            <v>15784.589614078101</v>
          </cell>
        </row>
        <row r="224">
          <cell r="B224" t="str">
            <v>EAR</v>
          </cell>
          <cell r="C224" t="str">
            <v>GNI per capita, Atlas method (current US$)</v>
          </cell>
          <cell r="D224" t="str">
            <v>NY.GNP.PCAP.CD</v>
          </cell>
          <cell r="E224" t="str">
            <v>..</v>
          </cell>
          <cell r="F224" t="str">
            <v>..</v>
          </cell>
          <cell r="G224" t="str">
            <v>..</v>
          </cell>
          <cell r="H224" t="str">
            <v>..</v>
          </cell>
          <cell r="I224" t="str">
            <v>..</v>
          </cell>
          <cell r="J224" t="str">
            <v>..</v>
          </cell>
          <cell r="K224" t="str">
            <v>..</v>
          </cell>
          <cell r="L224">
            <v>194.406603992258</v>
          </cell>
          <cell r="M224">
            <v>200.51624175996201</v>
          </cell>
          <cell r="N224">
            <v>214.257857405127</v>
          </cell>
          <cell r="O224">
            <v>226.138090034642</v>
          </cell>
          <cell r="P224">
            <v>238.61796849534801</v>
          </cell>
          <cell r="Q224">
            <v>254.854340256109</v>
          </cell>
          <cell r="R224">
            <v>304.35351312681502</v>
          </cell>
          <cell r="S224">
            <v>388.76766854173798</v>
          </cell>
          <cell r="T224">
            <v>468.088976762198</v>
          </cell>
          <cell r="U224">
            <v>514.40757113868301</v>
          </cell>
          <cell r="V224">
            <v>528.71325794201402</v>
          </cell>
          <cell r="W224">
            <v>564.721563279213</v>
          </cell>
          <cell r="X224">
            <v>656.58902248944003</v>
          </cell>
          <cell r="Y224">
            <v>777.24412397209505</v>
          </cell>
          <cell r="Z224">
            <v>877.85002724403296</v>
          </cell>
          <cell r="AA224">
            <v>856.91693140080997</v>
          </cell>
          <cell r="AB224">
            <v>796.11707057661397</v>
          </cell>
          <cell r="AC224">
            <v>767.38653646959199</v>
          </cell>
          <cell r="AD224">
            <v>766.65758787913705</v>
          </cell>
          <cell r="AE224">
            <v>791.68322226210296</v>
          </cell>
          <cell r="AF224">
            <v>828.26367412525406</v>
          </cell>
          <cell r="AG224">
            <v>856.22708288677097</v>
          </cell>
          <cell r="AH224">
            <v>824.89440925487804</v>
          </cell>
          <cell r="AI224">
            <v>861.11046607616095</v>
          </cell>
          <cell r="AJ224">
            <v>902.16708029097197</v>
          </cell>
          <cell r="AK224">
            <v>997.49294910047104</v>
          </cell>
          <cell r="AL224">
            <v>1056.3526064842299</v>
          </cell>
          <cell r="AM224">
            <v>1113.9510189820701</v>
          </cell>
          <cell r="AN224">
            <v>1140.0805975979499</v>
          </cell>
          <cell r="AO224">
            <v>1194.9001894185701</v>
          </cell>
          <cell r="AP224">
            <v>1232.8816608419099</v>
          </cell>
          <cell r="AQ224">
            <v>1198.8244363818401</v>
          </cell>
          <cell r="AR224">
            <v>1211.5590643241201</v>
          </cell>
          <cell r="AS224">
            <v>1274.1036663617899</v>
          </cell>
          <cell r="AT224">
            <v>1292.6118962774301</v>
          </cell>
          <cell r="AU224">
            <v>1261.1657749384101</v>
          </cell>
          <cell r="AV224">
            <v>1340.75305712264</v>
          </cell>
          <cell r="AW224">
            <v>1522.5076010877999</v>
          </cell>
          <cell r="AX224">
            <v>1741.86174039352</v>
          </cell>
          <cell r="AY224">
            <v>1954.7752624474699</v>
          </cell>
          <cell r="AZ224">
            <v>2209.4161272363499</v>
          </cell>
          <cell r="BA224">
            <v>2473.82636747177</v>
          </cell>
          <cell r="BB224">
            <v>2564.3140112721599</v>
          </cell>
          <cell r="BC224">
            <v>2794.9008598186601</v>
          </cell>
          <cell r="BD224">
            <v>3000.83699451761</v>
          </cell>
          <cell r="BE224">
            <v>3285.98548576966</v>
          </cell>
          <cell r="BF224">
            <v>3410.4249217267802</v>
          </cell>
          <cell r="BG224">
            <v>3442.60760292958</v>
          </cell>
          <cell r="BH224">
            <v>3321.5486369241899</v>
          </cell>
          <cell r="BI224">
            <v>3278.38344608438</v>
          </cell>
          <cell r="BJ224">
            <v>3324.9580684081202</v>
          </cell>
          <cell r="BK224">
            <v>3470.2915243918901</v>
          </cell>
          <cell r="BL224">
            <v>3534.0635761151598</v>
          </cell>
          <cell r="BM224">
            <v>3257.9133518090498</v>
          </cell>
          <cell r="BN224">
            <v>3257.9133518090498</v>
          </cell>
        </row>
        <row r="225">
          <cell r="B225" t="str">
            <v>EAS</v>
          </cell>
          <cell r="C225" t="str">
            <v>GNI per capita, Atlas method (current US$)</v>
          </cell>
          <cell r="D225" t="str">
            <v>NY.GNP.PCAP.CD</v>
          </cell>
          <cell r="E225" t="str">
            <v>..</v>
          </cell>
          <cell r="F225" t="str">
            <v>..</v>
          </cell>
          <cell r="G225">
            <v>143.33573393948799</v>
          </cell>
          <cell r="H225">
            <v>156.65045938243</v>
          </cell>
          <cell r="I225">
            <v>174.99973921292599</v>
          </cell>
          <cell r="J225">
            <v>193.62325910474601</v>
          </cell>
          <cell r="K225">
            <v>212.71581087035599</v>
          </cell>
          <cell r="L225">
            <v>223.64043052475</v>
          </cell>
          <cell r="M225">
            <v>242.668682643745</v>
          </cell>
          <cell r="N225">
            <v>276.33846686993098</v>
          </cell>
          <cell r="O225">
            <v>306.57709037677103</v>
          </cell>
          <cell r="P225">
            <v>334.53042420514998</v>
          </cell>
          <cell r="Q225">
            <v>392.56118638948698</v>
          </cell>
          <cell r="R225">
            <v>498.62178691571899</v>
          </cell>
          <cell r="S225">
            <v>604.69547964674405</v>
          </cell>
          <cell r="T225">
            <v>705.88436689239404</v>
          </cell>
          <cell r="U225">
            <v>731.97115472263397</v>
          </cell>
          <cell r="V225">
            <v>791.86724426624198</v>
          </cell>
          <cell r="W225">
            <v>934.91692884550798</v>
          </cell>
          <cell r="X225">
            <v>1134.7317581925199</v>
          </cell>
          <cell r="Y225">
            <v>1288.4701518663101</v>
          </cell>
          <cell r="Z225">
            <v>1339.3958488053099</v>
          </cell>
          <cell r="AA225">
            <v>1291.6325734818299</v>
          </cell>
          <cell r="AB225">
            <v>1257.5847467354599</v>
          </cell>
          <cell r="AC225">
            <v>1297.05051166712</v>
          </cell>
          <cell r="AD225">
            <v>1382.5058663132399</v>
          </cell>
          <cell r="AE225">
            <v>1588.1403461093801</v>
          </cell>
          <cell r="AF225">
            <v>1938.99891796881</v>
          </cell>
          <cell r="AG225">
            <v>2476.05590420724</v>
          </cell>
          <cell r="AH225">
            <v>2654.48777752671</v>
          </cell>
          <cell r="AI225">
            <v>2757.1446863055198</v>
          </cell>
          <cell r="AJ225">
            <v>2866.6497230293899</v>
          </cell>
          <cell r="AK225">
            <v>3068.27948585885</v>
          </cell>
          <cell r="AL225">
            <v>3317.73968231956</v>
          </cell>
          <cell r="AM225">
            <v>3654.22366131226</v>
          </cell>
          <cell r="AN225">
            <v>4133.32027900509</v>
          </cell>
          <cell r="AO225">
            <v>4364.2230134814299</v>
          </cell>
          <cell r="AP225">
            <v>4231.3911561528002</v>
          </cell>
          <cell r="AQ225">
            <v>3701.8758457295198</v>
          </cell>
          <cell r="AR225">
            <v>3661.2805286241501</v>
          </cell>
          <cell r="AS225">
            <v>3869.8573156068601</v>
          </cell>
          <cell r="AT225">
            <v>3956.67505043455</v>
          </cell>
          <cell r="AU225">
            <v>3909.5102617651901</v>
          </cell>
          <cell r="AV225">
            <v>4092.3832945938502</v>
          </cell>
          <cell r="AW225">
            <v>4602.6515156940104</v>
          </cell>
          <cell r="AX225">
            <v>5040.2080429825201</v>
          </cell>
          <cell r="AY225">
            <v>5325.6751572415897</v>
          </cell>
          <cell r="AZ225">
            <v>5692.24936747834</v>
          </cell>
          <cell r="BA225">
            <v>6199.2537805576603</v>
          </cell>
          <cell r="BB225">
            <v>6545.3563459879697</v>
          </cell>
          <cell r="BC225">
            <v>7358.37401055395</v>
          </cell>
          <cell r="BD225">
            <v>8162.3307759868103</v>
          </cell>
          <cell r="BE225">
            <v>9119.7982943297393</v>
          </cell>
          <cell r="BF225">
            <v>9711.4125782531592</v>
          </cell>
          <cell r="BG225">
            <v>9931.0746862664892</v>
          </cell>
          <cell r="BH225">
            <v>9810.5252785612502</v>
          </cell>
          <cell r="BI225">
            <v>9884.6052752220494</v>
          </cell>
          <cell r="BJ225">
            <v>10219.6857130964</v>
          </cell>
          <cell r="BK225">
            <v>11082.923733043301</v>
          </cell>
          <cell r="BL225">
            <v>11686.1194873565</v>
          </cell>
          <cell r="BM225">
            <v>11609.6327202712</v>
          </cell>
          <cell r="BN225">
            <v>11609.6327202712</v>
          </cell>
        </row>
        <row r="226">
          <cell r="B226" t="str">
            <v>EAP</v>
          </cell>
          <cell r="C226" t="str">
            <v>GNI per capita, Atlas method (current US$)</v>
          </cell>
          <cell r="D226" t="str">
            <v>NY.GNP.PCAP.CD</v>
          </cell>
          <cell r="E226" t="str">
            <v>..</v>
          </cell>
          <cell r="F226" t="str">
            <v>..</v>
          </cell>
          <cell r="G226">
            <v>72.571329277976901</v>
          </cell>
          <cell r="H226">
            <v>78.761383649535006</v>
          </cell>
          <cell r="I226">
            <v>87.189802042780698</v>
          </cell>
          <cell r="J226">
            <v>98.535361531400895</v>
          </cell>
          <cell r="K226">
            <v>106.418850473063</v>
          </cell>
          <cell r="L226">
            <v>100.43560605808</v>
          </cell>
          <cell r="M226">
            <v>97.430596082274803</v>
          </cell>
          <cell r="N226">
            <v>109.202527320106</v>
          </cell>
          <cell r="O226">
            <v>122.14441521868601</v>
          </cell>
          <cell r="P226">
            <v>125.490173673904</v>
          </cell>
          <cell r="Q226">
            <v>132.43706777801299</v>
          </cell>
          <cell r="R226">
            <v>159.81834334500601</v>
          </cell>
          <cell r="S226">
            <v>187.17512664100201</v>
          </cell>
          <cell r="T226">
            <v>217.891800372511</v>
          </cell>
          <cell r="U226">
            <v>213.49009108595499</v>
          </cell>
          <cell r="V226">
            <v>226.921479533948</v>
          </cell>
          <cell r="W226">
            <v>240.762650912476</v>
          </cell>
          <cell r="X226">
            <v>265.92862566458899</v>
          </cell>
          <cell r="Y226">
            <v>294.14436175373203</v>
          </cell>
          <cell r="Z226">
            <v>311.289969860653</v>
          </cell>
          <cell r="AA226">
            <v>310.923725998831</v>
          </cell>
          <cell r="AB226">
            <v>306.66517712776698</v>
          </cell>
          <cell r="AC226">
            <v>324.38752707665702</v>
          </cell>
          <cell r="AD226">
            <v>346.530611655293</v>
          </cell>
          <cell r="AE226">
            <v>367.971764825989</v>
          </cell>
          <cell r="AF226">
            <v>384.47582176907201</v>
          </cell>
          <cell r="AG226">
            <v>404.24188375116898</v>
          </cell>
          <cell r="AH226">
            <v>406.28795271625899</v>
          </cell>
          <cell r="AI226">
            <v>421.84911262988902</v>
          </cell>
          <cell r="AJ226">
            <v>451.95749966362598</v>
          </cell>
          <cell r="AK226">
            <v>501.77088591806</v>
          </cell>
          <cell r="AL226">
            <v>545.036606710206</v>
          </cell>
          <cell r="AM226">
            <v>612.01373817199897</v>
          </cell>
          <cell r="AN226">
            <v>704.21706085219398</v>
          </cell>
          <cell r="AO226">
            <v>819.74716265088</v>
          </cell>
          <cell r="AP226">
            <v>888.28212705995395</v>
          </cell>
          <cell r="AQ226">
            <v>832.33062705004602</v>
          </cell>
          <cell r="AR226">
            <v>854.713877377156</v>
          </cell>
          <cell r="AS226">
            <v>909.84556599936002</v>
          </cell>
          <cell r="AT226">
            <v>980.93780323000703</v>
          </cell>
          <cell r="AU226">
            <v>1061.6873120134501</v>
          </cell>
          <cell r="AV226">
            <v>1206.57169418482</v>
          </cell>
          <cell r="AW226">
            <v>1418.9886804744799</v>
          </cell>
          <cell r="AX226">
            <v>1633.91478681172</v>
          </cell>
          <cell r="AY226">
            <v>1891.2723321687699</v>
          </cell>
          <cell r="AZ226">
            <v>2269.6189692391899</v>
          </cell>
          <cell r="BA226">
            <v>2765.0286284201902</v>
          </cell>
          <cell r="BB226">
            <v>3211.99009219043</v>
          </cell>
          <cell r="BC226">
            <v>3750.4903866957102</v>
          </cell>
          <cell r="BD226">
            <v>4331.5982087951097</v>
          </cell>
          <cell r="BE226">
            <v>5058.8429745099302</v>
          </cell>
          <cell r="BF226">
            <v>5685.8906597402802</v>
          </cell>
          <cell r="BG226">
            <v>6182.5645778324197</v>
          </cell>
          <cell r="BH226">
            <v>6431.9391934181203</v>
          </cell>
          <cell r="BI226">
            <v>6637.4471643585102</v>
          </cell>
          <cell r="BJ226">
            <v>6975.0778471011099</v>
          </cell>
          <cell r="BK226">
            <v>7650.7018742165101</v>
          </cell>
          <cell r="BL226">
            <v>8233.9896480262396</v>
          </cell>
          <cell r="BM226">
            <v>8323.8802367527296</v>
          </cell>
          <cell r="BN226">
            <v>8323.8802367527296</v>
          </cell>
        </row>
        <row r="227">
          <cell r="B227" t="str">
            <v>TEA</v>
          </cell>
          <cell r="C227" t="str">
            <v>GNI per capita, Atlas method (current US$)</v>
          </cell>
          <cell r="D227" t="str">
            <v>NY.GNP.PCAP.CD</v>
          </cell>
          <cell r="E227" t="str">
            <v>..</v>
          </cell>
          <cell r="F227" t="str">
            <v>..</v>
          </cell>
          <cell r="G227">
            <v>73.448910019662605</v>
          </cell>
          <cell r="H227">
            <v>79.704233926287401</v>
          </cell>
          <cell r="I227">
            <v>88.2260771695844</v>
          </cell>
          <cell r="J227">
            <v>99.702088397131206</v>
          </cell>
          <cell r="K227">
            <v>107.675122579966</v>
          </cell>
          <cell r="L227">
            <v>101.623030265625</v>
          </cell>
          <cell r="M227">
            <v>98.585753938051596</v>
          </cell>
          <cell r="N227">
            <v>110.499813951741</v>
          </cell>
          <cell r="O227">
            <v>123.596807072728</v>
          </cell>
          <cell r="P227">
            <v>126.98263602800399</v>
          </cell>
          <cell r="Q227">
            <v>134.014919789999</v>
          </cell>
          <cell r="R227">
            <v>161.72555270738499</v>
          </cell>
          <cell r="S227">
            <v>189.41120272943601</v>
          </cell>
          <cell r="T227">
            <v>220.49673810747399</v>
          </cell>
          <cell r="U227">
            <v>216.04106938770599</v>
          </cell>
          <cell r="V227">
            <v>229.6284709489</v>
          </cell>
          <cell r="W227">
            <v>243.62606310414699</v>
          </cell>
          <cell r="X227">
            <v>269.081298705135</v>
          </cell>
          <cell r="Y227">
            <v>297.62545209067503</v>
          </cell>
          <cell r="Z227">
            <v>314.97078952660598</v>
          </cell>
          <cell r="AA227">
            <v>314.59441475451001</v>
          </cell>
          <cell r="AB227">
            <v>310.28240682811798</v>
          </cell>
          <cell r="AC227">
            <v>328.21420597708999</v>
          </cell>
          <cell r="AD227">
            <v>350.61556146367502</v>
          </cell>
          <cell r="AE227">
            <v>372.29963282273502</v>
          </cell>
          <cell r="AF227">
            <v>388.981831040229</v>
          </cell>
          <cell r="AG227">
            <v>408.96257720897199</v>
          </cell>
          <cell r="AH227">
            <v>411.020623528763</v>
          </cell>
          <cell r="AI227">
            <v>426.75679873654502</v>
          </cell>
          <cell r="AJ227">
            <v>457.21756601098701</v>
          </cell>
          <cell r="AK227">
            <v>507.62280347872201</v>
          </cell>
          <cell r="AL227">
            <v>551.40950420192905</v>
          </cell>
          <cell r="AM227">
            <v>619.18246566657001</v>
          </cell>
          <cell r="AN227">
            <v>712.470771526931</v>
          </cell>
          <cell r="AO227">
            <v>829.34696931896406</v>
          </cell>
          <cell r="AP227">
            <v>898.66261737716695</v>
          </cell>
          <cell r="AQ227">
            <v>842.03210755585906</v>
          </cell>
          <cell r="AR227">
            <v>864.65499826212704</v>
          </cell>
          <cell r="AS227">
            <v>920.41391836184698</v>
          </cell>
          <cell r="AT227">
            <v>992.32643398273797</v>
          </cell>
          <cell r="AU227">
            <v>1074.01488395977</v>
          </cell>
          <cell r="AV227">
            <v>1220.5686089528799</v>
          </cell>
          <cell r="AW227">
            <v>1435.4387001729001</v>
          </cell>
          <cell r="AX227">
            <v>1652.8334848208101</v>
          </cell>
          <cell r="AY227">
            <v>1913.1219672081299</v>
          </cell>
          <cell r="AZ227">
            <v>2295.7692052623402</v>
          </cell>
          <cell r="BA227">
            <v>2796.7766410413101</v>
          </cell>
          <cell r="BB227">
            <v>3248.74432607067</v>
          </cell>
          <cell r="BC227">
            <v>3793.2827820443399</v>
          </cell>
          <cell r="BD227">
            <v>4380.8694585196999</v>
          </cell>
          <cell r="BE227">
            <v>5116.1525155335703</v>
          </cell>
          <cell r="BF227">
            <v>5750.0705530384803</v>
          </cell>
          <cell r="BG227">
            <v>6252.12164673197</v>
          </cell>
          <cell r="BH227">
            <v>6504.0852810211099</v>
          </cell>
          <cell r="BI227">
            <v>6711.6758769948001</v>
          </cell>
          <cell r="BJ227">
            <v>7052.8222387071601</v>
          </cell>
          <cell r="BK227">
            <v>7735.7924346538903</v>
          </cell>
          <cell r="BL227">
            <v>8325.4333206840893</v>
          </cell>
          <cell r="BM227">
            <v>8416.2513968236108</v>
          </cell>
          <cell r="BN227">
            <v>8416.2513968236108</v>
          </cell>
        </row>
        <row r="228">
          <cell r="B228" t="str">
            <v>EMU</v>
          </cell>
          <cell r="C228" t="str">
            <v>GNI per capita, Atlas method (current US$)</v>
          </cell>
          <cell r="D228" t="str">
            <v>NY.GNP.PCAP.CD</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v>2899.2788429929501</v>
          </cell>
          <cell r="R228">
            <v>3723.5159785456999</v>
          </cell>
          <cell r="S228">
            <v>4622.8180192545296</v>
          </cell>
          <cell r="T228">
            <v>5329.9378324457402</v>
          </cell>
          <cell r="U228">
            <v>5651.63303388842</v>
          </cell>
          <cell r="V228">
            <v>6070.7392519326604</v>
          </cell>
          <cell r="W228">
            <v>6891.9805996705099</v>
          </cell>
          <cell r="X228">
            <v>8548.5572829348293</v>
          </cell>
          <cell r="Y228">
            <v>10265.4855115222</v>
          </cell>
          <cell r="Z228">
            <v>10165.536637086499</v>
          </cell>
          <cell r="AA228">
            <v>9203.9343937010508</v>
          </cell>
          <cell r="AB228">
            <v>8203.8614315522209</v>
          </cell>
          <cell r="AC228">
            <v>7974.3092438906497</v>
          </cell>
          <cell r="AD228">
            <v>7987.2927067178798</v>
          </cell>
          <cell r="AE228">
            <v>9230.3042737931592</v>
          </cell>
          <cell r="AF228">
            <v>11815.7854447677</v>
          </cell>
          <cell r="AG228">
            <v>15367.1594999544</v>
          </cell>
          <cell r="AH228">
            <v>16472.542447548301</v>
          </cell>
          <cell r="AI228">
            <v>17757.8783316298</v>
          </cell>
          <cell r="AJ228">
            <v>18996.8951492138</v>
          </cell>
          <cell r="AK228">
            <v>21316.637453486499</v>
          </cell>
          <cell r="AL228">
            <v>20989.474835162699</v>
          </cell>
          <cell r="AM228">
            <v>21525.752085681601</v>
          </cell>
          <cell r="AN228">
            <v>22654.464584380199</v>
          </cell>
          <cell r="AO228">
            <v>23912.448481967</v>
          </cell>
          <cell r="AP228">
            <v>23860.483791299899</v>
          </cell>
          <cell r="AQ228">
            <v>22815.479879200499</v>
          </cell>
          <cell r="AR228">
            <v>22410.9577920462</v>
          </cell>
          <cell r="AS228">
            <v>22187.408991431301</v>
          </cell>
          <cell r="AT228">
            <v>21264.2012487914</v>
          </cell>
          <cell r="AU228">
            <v>20722.6226027782</v>
          </cell>
          <cell r="AV228">
            <v>23314.537716148901</v>
          </cell>
          <cell r="AW228">
            <v>28299.164391614901</v>
          </cell>
          <cell r="AX228">
            <v>32411.6447324088</v>
          </cell>
          <cell r="AY228">
            <v>34555.550823775702</v>
          </cell>
          <cell r="AZ228">
            <v>36716.642152566099</v>
          </cell>
          <cell r="BA228">
            <v>39532.639380009903</v>
          </cell>
          <cell r="BB228">
            <v>39638.531201656398</v>
          </cell>
          <cell r="BC228">
            <v>39767.341925777997</v>
          </cell>
          <cell r="BD228">
            <v>40301.549583676402</v>
          </cell>
          <cell r="BE228">
            <v>39287.6315120621</v>
          </cell>
          <cell r="BF228">
            <v>39483.398639321997</v>
          </cell>
          <cell r="BG228">
            <v>39368.047032333299</v>
          </cell>
          <cell r="BH228">
            <v>37716.558294629402</v>
          </cell>
          <cell r="BI228">
            <v>36331.7958102872</v>
          </cell>
          <cell r="BJ228">
            <v>35846.379233158397</v>
          </cell>
          <cell r="BK228">
            <v>38822.813171198497</v>
          </cell>
          <cell r="BL228">
            <v>40268.674588289301</v>
          </cell>
          <cell r="BM228">
            <v>38096.999712832097</v>
          </cell>
          <cell r="BN228">
            <v>38096.999712832097</v>
          </cell>
        </row>
        <row r="229">
          <cell r="B229" t="str">
            <v>ECS</v>
          </cell>
          <cell r="C229" t="str">
            <v>GNI per capita, Atlas method (current US$)</v>
          </cell>
          <cell r="D229" t="str">
            <v>NY.GNP.PCAP.CD</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v>1754.1726956463999</v>
          </cell>
          <cell r="R229">
            <v>2222.1779235006802</v>
          </cell>
          <cell r="S229">
            <v>2710.02986545762</v>
          </cell>
          <cell r="T229">
            <v>3119.9613930891401</v>
          </cell>
          <cell r="U229">
            <v>3296.6288499557199</v>
          </cell>
          <cell r="V229">
            <v>3516.1619068729701</v>
          </cell>
          <cell r="W229">
            <v>3971.4057975794399</v>
          </cell>
          <cell r="X229">
            <v>4910.4019330757201</v>
          </cell>
          <cell r="Y229">
            <v>5881.9793156560399</v>
          </cell>
          <cell r="Z229">
            <v>5914.5074815706603</v>
          </cell>
          <cell r="AA229">
            <v>5416.7473275042803</v>
          </cell>
          <cell r="AB229">
            <v>4842.0902804132002</v>
          </cell>
          <cell r="AC229">
            <v>4661.9923726206698</v>
          </cell>
          <cell r="AD229">
            <v>4647.2881044925498</v>
          </cell>
          <cell r="AE229">
            <v>5321.5067778573502</v>
          </cell>
          <cell r="AF229">
            <v>6733.4324258243196</v>
          </cell>
          <cell r="AG229">
            <v>8630.9978152768199</v>
          </cell>
          <cell r="AH229">
            <v>9222.4054927080597</v>
          </cell>
          <cell r="AI229">
            <v>9910.0297776506595</v>
          </cell>
          <cell r="AJ229">
            <v>10588.1207527316</v>
          </cell>
          <cell r="AK229">
            <v>11663.0019945689</v>
          </cell>
          <cell r="AL229">
            <v>11469.0234108369</v>
          </cell>
          <cell r="AM229">
            <v>11610.8001624184</v>
          </cell>
          <cell r="AN229">
            <v>12040.891258248401</v>
          </cell>
          <cell r="AO229">
            <v>12752.9429091604</v>
          </cell>
          <cell r="AP229">
            <v>13010.122659341099</v>
          </cell>
          <cell r="AQ229">
            <v>12611.8380581702</v>
          </cell>
          <cell r="AR229">
            <v>12482.5228156512</v>
          </cell>
          <cell r="AS229">
            <v>12569.972885826401</v>
          </cell>
          <cell r="AT229">
            <v>12156.478478535701</v>
          </cell>
          <cell r="AU229">
            <v>12081.7349400244</v>
          </cell>
          <cell r="AV229">
            <v>13653.1553420974</v>
          </cell>
          <cell r="AW229">
            <v>16600.929900491101</v>
          </cell>
          <cell r="AX229">
            <v>19240.972233053701</v>
          </cell>
          <cell r="AY229">
            <v>20856.388819982501</v>
          </cell>
          <cell r="AZ229">
            <v>22579.2018209163</v>
          </cell>
          <cell r="BA229">
            <v>24591.080620853601</v>
          </cell>
          <cell r="BB229">
            <v>24356.4970872337</v>
          </cell>
          <cell r="BC229">
            <v>24562.576056087299</v>
          </cell>
          <cell r="BD229">
            <v>25038.616388595801</v>
          </cell>
          <cell r="BE229">
            <v>25368.4823245396</v>
          </cell>
          <cell r="BF229">
            <v>26061.318377630701</v>
          </cell>
          <cell r="BG229">
            <v>26083.9226345561</v>
          </cell>
          <cell r="BH229">
            <v>24716.422820149099</v>
          </cell>
          <cell r="BI229">
            <v>23405.350791780002</v>
          </cell>
          <cell r="BJ229">
            <v>22901.641665784799</v>
          </cell>
          <cell r="BK229">
            <v>24448.824414720901</v>
          </cell>
          <cell r="BL229">
            <v>25357.343080553099</v>
          </cell>
          <cell r="BM229">
            <v>24048.169779835102</v>
          </cell>
          <cell r="BN229">
            <v>24048.169779835102</v>
          </cell>
        </row>
        <row r="230">
          <cell r="B230" t="str">
            <v>ECA</v>
          </cell>
          <cell r="C230" t="str">
            <v>GNI per capita, Atlas method (current US$)</v>
          </cell>
          <cell r="D230" t="str">
            <v>NY.GNP.PCAP.CD</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t="str">
            <v>..</v>
          </cell>
          <cell r="AF230" t="str">
            <v>..</v>
          </cell>
          <cell r="AG230" t="str">
            <v>..</v>
          </cell>
          <cell r="AH230" t="str">
            <v>..</v>
          </cell>
          <cell r="AI230" t="str">
            <v>..</v>
          </cell>
          <cell r="AJ230">
            <v>2554.80057915218</v>
          </cell>
          <cell r="AK230">
            <v>2407.0113880573499</v>
          </cell>
          <cell r="AL230">
            <v>2303.8375785058302</v>
          </cell>
          <cell r="AM230">
            <v>1973.44380313691</v>
          </cell>
          <cell r="AN230">
            <v>1931.8542923234099</v>
          </cell>
          <cell r="AO230">
            <v>1924.02840040417</v>
          </cell>
          <cell r="AP230">
            <v>1992.97347537986</v>
          </cell>
          <cell r="AQ230">
            <v>1839.5314591536501</v>
          </cell>
          <cell r="AR230">
            <v>1706.8209385016401</v>
          </cell>
          <cell r="AS230">
            <v>1791.1820152937801</v>
          </cell>
          <cell r="AT230">
            <v>1710.86535085674</v>
          </cell>
          <cell r="AU230">
            <v>1869.92373338019</v>
          </cell>
          <cell r="AV230">
            <v>2209.11439816641</v>
          </cell>
          <cell r="AW230">
            <v>2906.96019714063</v>
          </cell>
          <cell r="AX230">
            <v>3745.9305717462898</v>
          </cell>
          <cell r="AY230">
            <v>4645.9248894053098</v>
          </cell>
          <cell r="AZ230">
            <v>5776.0362448671804</v>
          </cell>
          <cell r="BA230">
            <v>7072.24693031266</v>
          </cell>
          <cell r="BB230">
            <v>6982.42472120599</v>
          </cell>
          <cell r="BC230">
            <v>7477.1406572309397</v>
          </cell>
          <cell r="BD230">
            <v>8112.1790112777298</v>
          </cell>
          <cell r="BE230">
            <v>9316.9895057229805</v>
          </cell>
          <cell r="BF230">
            <v>10272.955721084099</v>
          </cell>
          <cell r="BG230">
            <v>10174.4197371799</v>
          </cell>
          <cell r="BH230">
            <v>8865.3355160505398</v>
          </cell>
          <cell r="BI230">
            <v>7746.4604981891598</v>
          </cell>
          <cell r="BJ230">
            <v>7447.8890263017202</v>
          </cell>
          <cell r="BK230">
            <v>7868.3160539169803</v>
          </cell>
          <cell r="BL230">
            <v>8253.2135701302104</v>
          </cell>
          <cell r="BM230">
            <v>7914.0713519610199</v>
          </cell>
          <cell r="BN230">
            <v>7914.0713519610199</v>
          </cell>
        </row>
        <row r="231">
          <cell r="B231" t="str">
            <v>TEC</v>
          </cell>
          <cell r="C231" t="str">
            <v>GNI per capita, Atlas method (current US$)</v>
          </cell>
          <cell r="D231" t="str">
            <v>NY.GNP.PCAP.CD</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cell r="AJ231">
            <v>2542.8682326799599</v>
          </cell>
          <cell r="AK231">
            <v>2396.7878761811298</v>
          </cell>
          <cell r="AL231">
            <v>2343.9787639945798</v>
          </cell>
          <cell r="AM231">
            <v>2071.8413106548701</v>
          </cell>
          <cell r="AN231">
            <v>2080.0182052567702</v>
          </cell>
          <cell r="AO231">
            <v>2129.19515093168</v>
          </cell>
          <cell r="AP231">
            <v>2230.3046065752401</v>
          </cell>
          <cell r="AQ231">
            <v>2101.7147126689902</v>
          </cell>
          <cell r="AR231">
            <v>1986.6063150811699</v>
          </cell>
          <cell r="AS231">
            <v>2080.88634134107</v>
          </cell>
          <cell r="AT231">
            <v>2011.498480337</v>
          </cell>
          <cell r="AU231">
            <v>2174.8990876089501</v>
          </cell>
          <cell r="AV231">
            <v>2544.0762482454302</v>
          </cell>
          <cell r="AW231">
            <v>3258.1656481844898</v>
          </cell>
          <cell r="AX231">
            <v>4126.5725138175403</v>
          </cell>
          <cell r="AY231">
            <v>5047.4353425774298</v>
          </cell>
          <cell r="AZ231">
            <v>6209.3964862808598</v>
          </cell>
          <cell r="BA231">
            <v>7572.1808149027302</v>
          </cell>
          <cell r="BB231">
            <v>7533.9831599661102</v>
          </cell>
          <cell r="BC231">
            <v>7997.84561149416</v>
          </cell>
          <cell r="BD231">
            <v>8581.2967100442602</v>
          </cell>
          <cell r="BE231">
            <v>9687.1208377792609</v>
          </cell>
          <cell r="BF231">
            <v>10571.013711374701</v>
          </cell>
          <cell r="BG231">
            <v>10490.9164161718</v>
          </cell>
          <cell r="BH231">
            <v>9277.9802976193805</v>
          </cell>
          <cell r="BI231">
            <v>8205.6101100339893</v>
          </cell>
          <cell r="BJ231">
            <v>7935.4483136705303</v>
          </cell>
          <cell r="BK231">
            <v>8445.3621348871802</v>
          </cell>
          <cell r="BL231">
            <v>8901.1580827505495</v>
          </cell>
          <cell r="BM231">
            <v>8574.0707969948107</v>
          </cell>
          <cell r="BN231">
            <v>8574.0707969948107</v>
          </cell>
        </row>
        <row r="232">
          <cell r="B232" t="str">
            <v>EUU</v>
          </cell>
          <cell r="C232" t="str">
            <v>GNI per capita, Atlas method (current US$)</v>
          </cell>
          <cell r="D232" t="str">
            <v>NY.GNP.PCAP.CD</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v>2412.8098588519001</v>
          </cell>
          <cell r="R232">
            <v>3093.0831392660202</v>
          </cell>
          <cell r="S232">
            <v>3832.0908189742499</v>
          </cell>
          <cell r="T232">
            <v>4423.5677344714404</v>
          </cell>
          <cell r="U232">
            <v>4689.8614709251196</v>
          </cell>
          <cell r="V232">
            <v>5030.2559226164703</v>
          </cell>
          <cell r="W232">
            <v>5700.2812938022598</v>
          </cell>
          <cell r="X232">
            <v>7048.9920103860604</v>
          </cell>
          <cell r="Y232">
            <v>8435.5914981948699</v>
          </cell>
          <cell r="Z232">
            <v>8347.8674851036903</v>
          </cell>
          <cell r="AA232">
            <v>7550.6010272433296</v>
          </cell>
          <cell r="AB232">
            <v>6717.4759109326797</v>
          </cell>
          <cell r="AC232">
            <v>6523.0677189877897</v>
          </cell>
          <cell r="AD232">
            <v>6533.2294193895596</v>
          </cell>
          <cell r="AE232">
            <v>7555.3705774030204</v>
          </cell>
          <cell r="AF232">
            <v>9659.0831537947597</v>
          </cell>
          <cell r="AG232">
            <v>12519.546847580101</v>
          </cell>
          <cell r="AH232">
            <v>13414.3472113977</v>
          </cell>
          <cell r="AI232">
            <v>14446.759714338999</v>
          </cell>
          <cell r="AJ232">
            <v>15443.7179303618</v>
          </cell>
          <cell r="AK232">
            <v>17322.498544337399</v>
          </cell>
          <cell r="AL232">
            <v>17057.402721753198</v>
          </cell>
          <cell r="AM232">
            <v>17532.6037577112</v>
          </cell>
          <cell r="AN232">
            <v>18514.367201814399</v>
          </cell>
          <cell r="AO232">
            <v>19634.067001791002</v>
          </cell>
          <cell r="AP232">
            <v>19673.572901770702</v>
          </cell>
          <cell r="AQ232">
            <v>18888.757078566599</v>
          </cell>
          <cell r="AR232">
            <v>18608.840086395699</v>
          </cell>
          <cell r="AS232">
            <v>18511.082616495802</v>
          </cell>
          <cell r="AT232">
            <v>17816.4322042331</v>
          </cell>
          <cell r="AU232">
            <v>17479.885310006499</v>
          </cell>
          <cell r="AV232">
            <v>19733.790189461299</v>
          </cell>
          <cell r="AW232">
            <v>23995.025615491199</v>
          </cell>
          <cell r="AX232">
            <v>27607.247462330801</v>
          </cell>
          <cell r="AY232">
            <v>29605.309634623602</v>
          </cell>
          <cell r="AZ232">
            <v>31659.6638138819</v>
          </cell>
          <cell r="BA232">
            <v>34396.583094739501</v>
          </cell>
          <cell r="BB232">
            <v>34522.281735979603</v>
          </cell>
          <cell r="BC232">
            <v>34716.413121665202</v>
          </cell>
          <cell r="BD232">
            <v>35199.945345828899</v>
          </cell>
          <cell r="BE232">
            <v>34521.991731637798</v>
          </cell>
          <cell r="BF232">
            <v>34834.481417853298</v>
          </cell>
          <cell r="BG232">
            <v>34802.163377033503</v>
          </cell>
          <cell r="BH232">
            <v>33402.221278065299</v>
          </cell>
          <cell r="BI232">
            <v>32178.2117512187</v>
          </cell>
          <cell r="BJ232">
            <v>31831.790538921599</v>
          </cell>
          <cell r="BK232">
            <v>34550.225906760497</v>
          </cell>
          <cell r="BL232">
            <v>35969.786985376901</v>
          </cell>
          <cell r="BM232">
            <v>34234.408456144898</v>
          </cell>
          <cell r="BN232">
            <v>34234.408456144898</v>
          </cell>
        </row>
        <row r="233">
          <cell r="B233" t="str">
            <v>FCS</v>
          </cell>
          <cell r="C233" t="str">
            <v>GNI per capita, Atlas method (current US$)</v>
          </cell>
          <cell r="D233" t="str">
            <v>NY.GNP.PCAP.CD</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v>918.42278065041398</v>
          </cell>
          <cell r="Z233">
            <v>1013.24034349009</v>
          </cell>
          <cell r="AA233">
            <v>1075.8018067959399</v>
          </cell>
          <cell r="AB233">
            <v>1065.1857338508401</v>
          </cell>
          <cell r="AC233">
            <v>949.82702286891003</v>
          </cell>
          <cell r="AD233">
            <v>907.66994634424998</v>
          </cell>
          <cell r="AE233">
            <v>902.07063277169505</v>
          </cell>
          <cell r="AF233">
            <v>932.60181542282203</v>
          </cell>
          <cell r="AG233">
            <v>949.67831688675005</v>
          </cell>
          <cell r="AH233">
            <v>842.250784241681</v>
          </cell>
          <cell r="AI233">
            <v>1025.4887701077701</v>
          </cell>
          <cell r="AJ233">
            <v>595.41136049467195</v>
          </cell>
          <cell r="AK233">
            <v>591.16642169208399</v>
          </cell>
          <cell r="AL233">
            <v>534.29814601932503</v>
          </cell>
          <cell r="AM233">
            <v>495.90633323196602</v>
          </cell>
          <cell r="AN233">
            <v>519.53391205262005</v>
          </cell>
          <cell r="AO233">
            <v>563.69707988567302</v>
          </cell>
          <cell r="AP233">
            <v>628.66588046701895</v>
          </cell>
          <cell r="AQ233">
            <v>630.31475159049796</v>
          </cell>
          <cell r="AR233">
            <v>664.33171967407202</v>
          </cell>
          <cell r="AS233">
            <v>718.76822482826401</v>
          </cell>
          <cell r="AT233">
            <v>776.13360673890304</v>
          </cell>
          <cell r="AU233">
            <v>771.02482277827301</v>
          </cell>
          <cell r="AV233">
            <v>763.83313768122696</v>
          </cell>
          <cell r="AW233">
            <v>905.71721901708895</v>
          </cell>
          <cell r="AX233">
            <v>1049.9535424553201</v>
          </cell>
          <cell r="AY233">
            <v>1261.39001976298</v>
          </cell>
          <cell r="AZ233">
            <v>1500.9390344675101</v>
          </cell>
          <cell r="BA233">
            <v>1815.83857896259</v>
          </cell>
          <cell r="BB233">
            <v>1973.1340936001</v>
          </cell>
          <cell r="BC233">
            <v>2128.2836313908701</v>
          </cell>
          <cell r="BD233">
            <v>1958.7893120020301</v>
          </cell>
          <cell r="BE233">
            <v>2117.5055623882999</v>
          </cell>
          <cell r="BF233">
            <v>2180.2462349678399</v>
          </cell>
          <cell r="BG233">
            <v>2261.01756286213</v>
          </cell>
          <cell r="BH233">
            <v>1988.4079378567401</v>
          </cell>
          <cell r="BI233">
            <v>1802.97311071382</v>
          </cell>
          <cell r="BJ233">
            <v>1659.05062733313</v>
          </cell>
          <cell r="BK233">
            <v>1674.8703667157999</v>
          </cell>
          <cell r="BL233">
            <v>1757.88629832417</v>
          </cell>
          <cell r="BM233">
            <v>1629.6439571327701</v>
          </cell>
          <cell r="BN233">
            <v>1629.6439571327701</v>
          </cell>
        </row>
        <row r="234">
          <cell r="B234" t="str">
            <v>HPC</v>
          </cell>
          <cell r="C234" t="str">
            <v>GNI per capita, Atlas method (current US$)</v>
          </cell>
          <cell r="D234" t="str">
            <v>NY.GNP.PCAP.CD</v>
          </cell>
          <cell r="E234" t="str">
            <v>..</v>
          </cell>
          <cell r="F234" t="str">
            <v>..</v>
          </cell>
          <cell r="G234" t="str">
            <v>..</v>
          </cell>
          <cell r="H234" t="str">
            <v>..</v>
          </cell>
          <cell r="I234" t="str">
            <v>..</v>
          </cell>
          <cell r="J234" t="str">
            <v>..</v>
          </cell>
          <cell r="K234" t="str">
            <v>..</v>
          </cell>
          <cell r="L234" t="str">
            <v>..</v>
          </cell>
          <cell r="M234" t="str">
            <v>..</v>
          </cell>
          <cell r="N234" t="str">
            <v>..</v>
          </cell>
          <cell r="O234" t="str">
            <v>..</v>
          </cell>
          <cell r="P234" t="str">
            <v>..</v>
          </cell>
          <cell r="Q234" t="str">
            <v>..</v>
          </cell>
          <cell r="R234" t="str">
            <v>..</v>
          </cell>
          <cell r="S234" t="str">
            <v>..</v>
          </cell>
          <cell r="T234" t="str">
            <v>..</v>
          </cell>
          <cell r="U234" t="str">
            <v>..</v>
          </cell>
          <cell r="V234" t="str">
            <v>..</v>
          </cell>
          <cell r="W234" t="str">
            <v>..</v>
          </cell>
          <cell r="X234" t="str">
            <v>..</v>
          </cell>
          <cell r="Y234" t="str">
            <v>..</v>
          </cell>
          <cell r="Z234" t="str">
            <v>..</v>
          </cell>
          <cell r="AA234" t="str">
            <v>..</v>
          </cell>
          <cell r="AB234">
            <v>325.10729442682401</v>
          </cell>
          <cell r="AC234">
            <v>311.82145908712999</v>
          </cell>
          <cell r="AD234">
            <v>313.706892265786</v>
          </cell>
          <cell r="AE234">
            <v>353.155149966328</v>
          </cell>
          <cell r="AF234">
            <v>413.63941430544099</v>
          </cell>
          <cell r="AG234">
            <v>436.28289539857298</v>
          </cell>
          <cell r="AH234">
            <v>413.26725740522102</v>
          </cell>
          <cell r="AI234">
            <v>384.62700237609198</v>
          </cell>
          <cell r="AJ234">
            <v>367.30398860768997</v>
          </cell>
          <cell r="AK234">
            <v>358.54007497728003</v>
          </cell>
          <cell r="AL234">
            <v>345.92877968980201</v>
          </cell>
          <cell r="AM234">
            <v>310.33697320226901</v>
          </cell>
          <cell r="AN234">
            <v>315.37838191310499</v>
          </cell>
          <cell r="AO234">
            <v>315.00674179943701</v>
          </cell>
          <cell r="AP234">
            <v>328.08194457359201</v>
          </cell>
          <cell r="AQ234">
            <v>326.55663203776697</v>
          </cell>
          <cell r="AR234">
            <v>328.63745750401603</v>
          </cell>
          <cell r="AS234">
            <v>330.83547607586399</v>
          </cell>
          <cell r="AT234">
            <v>329.51842698900703</v>
          </cell>
          <cell r="AU234">
            <v>335.92911935687601</v>
          </cell>
          <cell r="AV234">
            <v>361.485342142202</v>
          </cell>
          <cell r="AW234">
            <v>415.40658437168298</v>
          </cell>
          <cell r="AX234">
            <v>469.89974905219299</v>
          </cell>
          <cell r="AY234">
            <v>520.132522922509</v>
          </cell>
          <cell r="AZ234">
            <v>586.53940526026997</v>
          </cell>
          <cell r="BA234">
            <v>687.48166840431202</v>
          </cell>
          <cell r="BB234">
            <v>741.18695118865503</v>
          </cell>
          <cell r="BC234">
            <v>772.46502476384296</v>
          </cell>
          <cell r="BD234">
            <v>798.38315238440305</v>
          </cell>
          <cell r="BE234">
            <v>832.833245214415</v>
          </cell>
          <cell r="BF234">
            <v>883.42210693756203</v>
          </cell>
          <cell r="BG234">
            <v>923.49561417102495</v>
          </cell>
          <cell r="BH234">
            <v>934.53034620535595</v>
          </cell>
          <cell r="BI234">
            <v>908.448772871301</v>
          </cell>
          <cell r="BJ234">
            <v>900.51916664265696</v>
          </cell>
          <cell r="BK234">
            <v>946.94085970239996</v>
          </cell>
          <cell r="BL234">
            <v>979.854333364745</v>
          </cell>
          <cell r="BM234">
            <v>959.02900148741401</v>
          </cell>
          <cell r="BN234">
            <v>959.02900148741401</v>
          </cell>
        </row>
        <row r="235">
          <cell r="B235" t="str">
            <v>HIC</v>
          </cell>
          <cell r="C235" t="str">
            <v>GNI per capita, Atlas method (current US$)</v>
          </cell>
          <cell r="D235" t="str">
            <v>NY.GNP.PCAP.CD</v>
          </cell>
          <cell r="E235" t="str">
            <v>..</v>
          </cell>
          <cell r="F235" t="str">
            <v>..</v>
          </cell>
          <cell r="G235">
            <v>1532.6873658582699</v>
          </cell>
          <cell r="H235">
            <v>1624.9088972366601</v>
          </cell>
          <cell r="I235">
            <v>1746.8414687537199</v>
          </cell>
          <cell r="J235">
            <v>1893.01887484031</v>
          </cell>
          <cell r="K235">
            <v>2062.24938404774</v>
          </cell>
          <cell r="L235">
            <v>2192.1862817862798</v>
          </cell>
          <cell r="M235">
            <v>2400.15523801788</v>
          </cell>
          <cell r="N235">
            <v>2611.8341568373098</v>
          </cell>
          <cell r="O235">
            <v>2770.4241497385301</v>
          </cell>
          <cell r="P235">
            <v>3018.9254013426198</v>
          </cell>
          <cell r="Q235">
            <v>3457.13008850606</v>
          </cell>
          <cell r="R235">
            <v>4226.5842914187797</v>
          </cell>
          <cell r="S235">
            <v>4935.7127972812305</v>
          </cell>
          <cell r="T235">
            <v>5517.2743916020399</v>
          </cell>
          <cell r="U235">
            <v>5852.82815637369</v>
          </cell>
          <cell r="V235">
            <v>6283.4086558966801</v>
          </cell>
          <cell r="W235">
            <v>7179.6286441837701</v>
          </cell>
          <cell r="X235">
            <v>8620.4104323777301</v>
          </cell>
          <cell r="Y235">
            <v>9962.5587376580097</v>
          </cell>
          <cell r="Z235">
            <v>10367.137715457</v>
          </cell>
          <cell r="AA235">
            <v>9868.3391646862001</v>
          </cell>
          <cell r="AB235">
            <v>9458.9807777778205</v>
          </cell>
          <cell r="AC235">
            <v>9809.8932327361799</v>
          </cell>
          <cell r="AD235">
            <v>10264.3040434673</v>
          </cell>
          <cell r="AE235">
            <v>11587.038213431</v>
          </cell>
          <cell r="AF235">
            <v>13899.0673255456</v>
          </cell>
          <cell r="AG235">
            <v>16926.105201396502</v>
          </cell>
          <cell r="AH235">
            <v>17823.925071486901</v>
          </cell>
          <cell r="AI235">
            <v>18633.5196917047</v>
          </cell>
          <cell r="AJ235">
            <v>19380.693339903301</v>
          </cell>
          <cell r="AK235">
            <v>21079.906284125798</v>
          </cell>
          <cell r="AL235">
            <v>21588.585218376302</v>
          </cell>
          <cell r="AM235">
            <v>22740.421066212701</v>
          </cell>
          <cell r="AN235">
            <v>24280.411574422698</v>
          </cell>
          <cell r="AO235">
            <v>25503.650326294799</v>
          </cell>
          <cell r="AP235">
            <v>25626.7731827639</v>
          </cell>
          <cell r="AQ235">
            <v>24641.3020585001</v>
          </cell>
          <cell r="AR235">
            <v>24922.390221281999</v>
          </cell>
          <cell r="AS235">
            <v>25964.2797239514</v>
          </cell>
          <cell r="AT235">
            <v>25945.896706472999</v>
          </cell>
          <cell r="AU235">
            <v>25764.264551044402</v>
          </cell>
          <cell r="AV235">
            <v>27755.732701405599</v>
          </cell>
          <cell r="AW235">
            <v>31653.3549157499</v>
          </cell>
          <cell r="AX235">
            <v>34844.448189014103</v>
          </cell>
          <cell r="AY235">
            <v>36553.9538424688</v>
          </cell>
          <cell r="AZ235">
            <v>37975.260100972097</v>
          </cell>
          <cell r="BA235">
            <v>39572.760333990802</v>
          </cell>
          <cell r="BB235">
            <v>38870.352267366601</v>
          </cell>
          <cell r="BC235">
            <v>39947.107904315701</v>
          </cell>
          <cell r="BD235">
            <v>41296.844030754502</v>
          </cell>
          <cell r="BE235">
            <v>42664.983838888496</v>
          </cell>
          <cell r="BF235">
            <v>43480.953741036203</v>
          </cell>
          <cell r="BG235">
            <v>43637.692503347098</v>
          </cell>
          <cell r="BH235">
            <v>42386.8554682186</v>
          </cell>
          <cell r="BI235">
            <v>41487.229451027903</v>
          </cell>
          <cell r="BJ235">
            <v>41774.706395206602</v>
          </cell>
          <cell r="BK235">
            <v>44688.2623314425</v>
          </cell>
          <cell r="BL235">
            <v>46253.971300581397</v>
          </cell>
          <cell r="BM235">
            <v>44479.1002144413</v>
          </cell>
          <cell r="BN235">
            <v>44479.1002144413</v>
          </cell>
        </row>
        <row r="236">
          <cell r="B236" t="str">
            <v>IBD</v>
          </cell>
          <cell r="C236" t="str">
            <v>GNI per capita, Atlas method (current US$)</v>
          </cell>
          <cell r="D236" t="str">
            <v>NY.GNP.PCAP.CD</v>
          </cell>
          <cell r="E236" t="str">
            <v>..</v>
          </cell>
          <cell r="F236" t="str">
            <v>..</v>
          </cell>
          <cell r="G236" t="str">
            <v>..</v>
          </cell>
          <cell r="H236" t="str">
            <v>..</v>
          </cell>
          <cell r="I236">
            <v>177.54123960269499</v>
          </cell>
          <cell r="J236">
            <v>192.19689319272999</v>
          </cell>
          <cell r="K236">
            <v>200.822304972354</v>
          </cell>
          <cell r="L236">
            <v>201.14122901911901</v>
          </cell>
          <cell r="M236">
            <v>206.26988610296701</v>
          </cell>
          <cell r="N236">
            <v>224.10974370963999</v>
          </cell>
          <cell r="O236">
            <v>241.71852547783499</v>
          </cell>
          <cell r="P236">
            <v>256.376061337382</v>
          </cell>
          <cell r="Q236">
            <v>277.283605525638</v>
          </cell>
          <cell r="R236">
            <v>334.49152562997199</v>
          </cell>
          <cell r="S236">
            <v>414.70472036529401</v>
          </cell>
          <cell r="T236">
            <v>487.87140753482402</v>
          </cell>
          <cell r="U236">
            <v>511.205273645722</v>
          </cell>
          <cell r="V236">
            <v>532.48140104354502</v>
          </cell>
          <cell r="W236">
            <v>575.25165269235299</v>
          </cell>
          <cell r="X236">
            <v>662.52311925068102</v>
          </cell>
          <cell r="Y236">
            <v>758.35423994988901</v>
          </cell>
          <cell r="Z236">
            <v>818.3823459358</v>
          </cell>
          <cell r="AA236">
            <v>805.44489982185701</v>
          </cell>
          <cell r="AB236">
            <v>752.71444891838803</v>
          </cell>
          <cell r="AC236">
            <v>746.61436032831102</v>
          </cell>
          <cell r="AD236">
            <v>760.51067482569999</v>
          </cell>
          <cell r="AE236">
            <v>802.96194982118197</v>
          </cell>
          <cell r="AF236">
            <v>866.84377038452203</v>
          </cell>
          <cell r="AG236">
            <v>919.01870269903202</v>
          </cell>
          <cell r="AH236">
            <v>913.00461459717997</v>
          </cell>
          <cell r="AI236">
            <v>956.97724000979099</v>
          </cell>
          <cell r="AJ236">
            <v>969.13862018559996</v>
          </cell>
          <cell r="AK236">
            <v>1025.27114903399</v>
          </cell>
          <cell r="AL236">
            <v>1068.8362484977799</v>
          </cell>
          <cell r="AM236">
            <v>1128.8596011141401</v>
          </cell>
          <cell r="AN236">
            <v>1214.7532949675399</v>
          </cell>
          <cell r="AO236">
            <v>1340.49868695699</v>
          </cell>
          <cell r="AP236">
            <v>1433.9898192215801</v>
          </cell>
          <cell r="AQ236">
            <v>1389.83347636393</v>
          </cell>
          <cell r="AR236">
            <v>1366.89706126485</v>
          </cell>
          <cell r="AS236">
            <v>1417.6356310870499</v>
          </cell>
          <cell r="AT236">
            <v>1428.1632389045201</v>
          </cell>
          <cell r="AU236">
            <v>1446.1871750396899</v>
          </cell>
          <cell r="AV236">
            <v>1570.19954421594</v>
          </cell>
          <cell r="AW236">
            <v>1829.16196846445</v>
          </cell>
          <cell r="AX236">
            <v>2137.6946799767002</v>
          </cell>
          <cell r="AY236">
            <v>2487.5124205338102</v>
          </cell>
          <cell r="AZ236">
            <v>2955.9455442482899</v>
          </cell>
          <cell r="BA236">
            <v>3493.0749330568701</v>
          </cell>
          <cell r="BB236">
            <v>3759.1618664366802</v>
          </cell>
          <cell r="BC236">
            <v>4198.3014851159896</v>
          </cell>
          <cell r="BD236">
            <v>4674.9301581083901</v>
          </cell>
          <cell r="BE236">
            <v>5296.6458206856896</v>
          </cell>
          <cell r="BF236">
            <v>5725.6675433501096</v>
          </cell>
          <cell r="BG236">
            <v>5909.70874346244</v>
          </cell>
          <cell r="BH236">
            <v>5732.7928711238201</v>
          </cell>
          <cell r="BI236">
            <v>5624.7946501541801</v>
          </cell>
          <cell r="BJ236">
            <v>5748.9848480300998</v>
          </cell>
          <cell r="BK236">
            <v>6177.9240138571904</v>
          </cell>
          <cell r="BL236">
            <v>6510.1329799764299</v>
          </cell>
          <cell r="BM236">
            <v>6269.7131980213198</v>
          </cell>
          <cell r="BN236">
            <v>6269.7131980213198</v>
          </cell>
        </row>
        <row r="237">
          <cell r="B237" t="str">
            <v>IBT</v>
          </cell>
          <cell r="C237" t="str">
            <v>GNI per capita, Atlas method (current US$)</v>
          </cell>
          <cell r="D237" t="str">
            <v>NY.GNP.PCAP.CD</v>
          </cell>
          <cell r="E237" t="str">
            <v>..</v>
          </cell>
          <cell r="F237" t="str">
            <v>..</v>
          </cell>
          <cell r="G237" t="str">
            <v>..</v>
          </cell>
          <cell r="H237" t="str">
            <v>..</v>
          </cell>
          <cell r="I237">
            <v>164.99652296373199</v>
          </cell>
          <cell r="J237">
            <v>178.17873764272801</v>
          </cell>
          <cell r="K237">
            <v>186.03575840995501</v>
          </cell>
          <cell r="L237">
            <v>186.526852864923</v>
          </cell>
          <cell r="M237">
            <v>191.54574375032101</v>
          </cell>
          <cell r="N237">
            <v>207.93437500204999</v>
          </cell>
          <cell r="O237">
            <v>225.274572612144</v>
          </cell>
          <cell r="P237">
            <v>238.58901359889799</v>
          </cell>
          <cell r="Q237">
            <v>257.36780433786998</v>
          </cell>
          <cell r="R237">
            <v>307.26267697202098</v>
          </cell>
          <cell r="S237">
            <v>381.59666328000299</v>
          </cell>
          <cell r="T237">
            <v>448.673850523711</v>
          </cell>
          <cell r="U237">
            <v>472.19662011914102</v>
          </cell>
          <cell r="V237">
            <v>491.68953246117201</v>
          </cell>
          <cell r="W237">
            <v>529.77073460309202</v>
          </cell>
          <cell r="X237">
            <v>609.74907609187005</v>
          </cell>
          <cell r="Y237">
            <v>698.34991798453802</v>
          </cell>
          <cell r="Z237">
            <v>757.173569074076</v>
          </cell>
          <cell r="AA237">
            <v>751.727188401592</v>
          </cell>
          <cell r="AB237">
            <v>708.26421231826896</v>
          </cell>
          <cell r="AC237">
            <v>691.81456228470802</v>
          </cell>
          <cell r="AD237">
            <v>698.48612288596098</v>
          </cell>
          <cell r="AE237">
            <v>732.43091172574702</v>
          </cell>
          <cell r="AF237">
            <v>788.717794250824</v>
          </cell>
          <cell r="AG237">
            <v>833.68523586519996</v>
          </cell>
          <cell r="AH237">
            <v>822.90936431958903</v>
          </cell>
          <cell r="AI237">
            <v>855.57910072593404</v>
          </cell>
          <cell r="AJ237">
            <v>861.86635109353404</v>
          </cell>
          <cell r="AK237">
            <v>906.27665608049404</v>
          </cell>
          <cell r="AL237">
            <v>935.25397165654999</v>
          </cell>
          <cell r="AM237">
            <v>978.12007740012098</v>
          </cell>
          <cell r="AN237">
            <v>1047.52095250926</v>
          </cell>
          <cell r="AO237">
            <v>1150.7923911973301</v>
          </cell>
          <cell r="AP237">
            <v>1227.2005518138701</v>
          </cell>
          <cell r="AQ237">
            <v>1189.02281986255</v>
          </cell>
          <cell r="AR237">
            <v>1169.3236330731399</v>
          </cell>
          <cell r="AS237">
            <v>1209.4155026788601</v>
          </cell>
          <cell r="AT237">
            <v>1218.75000464152</v>
          </cell>
          <cell r="AU237">
            <v>1234.8040925881301</v>
          </cell>
          <cell r="AV237">
            <v>1337.60205861137</v>
          </cell>
          <cell r="AW237">
            <v>1554.1387835084199</v>
          </cell>
          <cell r="AX237">
            <v>1808.23094390748</v>
          </cell>
          <cell r="AY237">
            <v>2096.7360172387798</v>
          </cell>
          <cell r="AZ237">
            <v>2477.3877992550301</v>
          </cell>
          <cell r="BA237">
            <v>2917.7098436814199</v>
          </cell>
          <cell r="BB237">
            <v>3133.1227444574802</v>
          </cell>
          <cell r="BC237">
            <v>3478.94956638743</v>
          </cell>
          <cell r="BD237">
            <v>3828.9222743462901</v>
          </cell>
          <cell r="BE237">
            <v>4306.2039715103601</v>
          </cell>
          <cell r="BF237">
            <v>4640.0086586835696</v>
          </cell>
          <cell r="BG237">
            <v>4785.8542376487803</v>
          </cell>
          <cell r="BH237">
            <v>4642.4163723054999</v>
          </cell>
          <cell r="BI237">
            <v>4541.3994346646396</v>
          </cell>
          <cell r="BJ237">
            <v>4617.0429278608299</v>
          </cell>
          <cell r="BK237">
            <v>4935.79176247739</v>
          </cell>
          <cell r="BL237">
            <v>5178.7462796944501</v>
          </cell>
          <cell r="BM237">
            <v>4978.6749685811701</v>
          </cell>
          <cell r="BN237">
            <v>4978.6749685811701</v>
          </cell>
        </row>
        <row r="238">
          <cell r="B238" t="str">
            <v>IDB</v>
          </cell>
          <cell r="C238" t="str">
            <v>GNI per capita, Atlas method (current US$)</v>
          </cell>
          <cell r="D238" t="str">
            <v>NY.GNP.PCAP.CD</v>
          </cell>
          <cell r="E238" t="str">
            <v>..</v>
          </cell>
          <cell r="F238" t="str">
            <v>..</v>
          </cell>
          <cell r="G238">
            <v>104.730409843362</v>
          </cell>
          <cell r="H238">
            <v>111.71659960696699</v>
          </cell>
          <cell r="I238">
            <v>115.877356206738</v>
          </cell>
          <cell r="J238">
            <v>122.33089137968901</v>
          </cell>
          <cell r="K238">
            <v>127.371905228054</v>
          </cell>
          <cell r="L238">
            <v>126.705386848207</v>
          </cell>
          <cell r="M238">
            <v>134.20545009349101</v>
          </cell>
          <cell r="N238">
            <v>150.92086558674799</v>
          </cell>
          <cell r="O238">
            <v>180.016747525157</v>
          </cell>
          <cell r="P238">
            <v>190.372266256355</v>
          </cell>
          <cell r="Q238">
            <v>201.621962225419</v>
          </cell>
          <cell r="R238">
            <v>208.74172755255199</v>
          </cell>
          <cell r="S238">
            <v>268.45911898316001</v>
          </cell>
          <cell r="T238">
            <v>307.34898796669899</v>
          </cell>
          <cell r="U238">
            <v>358.353305320478</v>
          </cell>
          <cell r="V238">
            <v>387.79424483583301</v>
          </cell>
          <cell r="W238">
            <v>414.47681164549999</v>
          </cell>
          <cell r="X238">
            <v>479.68534498209499</v>
          </cell>
          <cell r="Y238">
            <v>562.84628638270203</v>
          </cell>
          <cell r="Z238">
            <v>676.04599551778904</v>
          </cell>
          <cell r="AA238">
            <v>783.47611628865104</v>
          </cell>
          <cell r="AB238">
            <v>835.47629958420396</v>
          </cell>
          <cell r="AC238">
            <v>699.73049914458795</v>
          </cell>
          <cell r="AD238">
            <v>637.51033173632698</v>
          </cell>
          <cell r="AE238">
            <v>582.89408558109994</v>
          </cell>
          <cell r="AF238">
            <v>572.34367677567798</v>
          </cell>
          <cell r="AG238">
            <v>584.00680152851305</v>
          </cell>
          <cell r="AH238">
            <v>533.80952929874297</v>
          </cell>
          <cell r="AI238">
            <v>524.76666110318297</v>
          </cell>
          <cell r="AJ238">
            <v>507.22892040734502</v>
          </cell>
          <cell r="AK238">
            <v>512.082432306893</v>
          </cell>
          <cell r="AL238">
            <v>458.00593680148899</v>
          </cell>
          <cell r="AM238">
            <v>436.36717293442899</v>
          </cell>
          <cell r="AN238">
            <v>444.935935115875</v>
          </cell>
          <cell r="AO238">
            <v>481.79190446095203</v>
          </cell>
          <cell r="AP238">
            <v>501.36916388442302</v>
          </cell>
          <cell r="AQ238">
            <v>488.59537343601397</v>
          </cell>
          <cell r="AR238">
            <v>491.93839096598299</v>
          </cell>
          <cell r="AS238">
            <v>504.25351057231802</v>
          </cell>
          <cell r="AT238">
            <v>528.98246971711399</v>
          </cell>
          <cell r="AU238">
            <v>562.88315268899396</v>
          </cell>
          <cell r="AV238">
            <v>607.94127503745597</v>
          </cell>
          <cell r="AW238">
            <v>718.37527376581102</v>
          </cell>
          <cell r="AX238">
            <v>828.18613633010898</v>
          </cell>
          <cell r="AY238">
            <v>985.193726945153</v>
          </cell>
          <cell r="AZ238">
            <v>1127.5519110196799</v>
          </cell>
          <cell r="BA238">
            <v>1318.9738168441199</v>
          </cell>
          <cell r="BB238">
            <v>1382.27036340108</v>
          </cell>
          <cell r="BC238">
            <v>1461.95020714163</v>
          </cell>
          <cell r="BD238">
            <v>1540.61125130869</v>
          </cell>
          <cell r="BE238">
            <v>1719.0438451222301</v>
          </cell>
          <cell r="BF238">
            <v>1872.43396181399</v>
          </cell>
          <cell r="BG238">
            <v>2006.17091382801</v>
          </cell>
          <cell r="BH238">
            <v>1979.7702822464901</v>
          </cell>
          <cell r="BI238">
            <v>1867.38506774604</v>
          </cell>
          <cell r="BJ238">
            <v>1753.5372094619399</v>
          </cell>
          <cell r="BK238">
            <v>1744.7264193915501</v>
          </cell>
          <cell r="BL238">
            <v>1740.0192759173101</v>
          </cell>
          <cell r="BM238">
            <v>1664.7563947917499</v>
          </cell>
          <cell r="BN238">
            <v>1664.7563947917499</v>
          </cell>
        </row>
        <row r="239">
          <cell r="B239" t="str">
            <v>IDX</v>
          </cell>
          <cell r="C239" t="str">
            <v>GNI per capita, Atlas method (current US$)</v>
          </cell>
          <cell r="D239" t="str">
            <v>NY.GNP.PCAP.CD</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v>333.943559382758</v>
          </cell>
          <cell r="AC239">
            <v>318.84873157931099</v>
          </cell>
          <cell r="AD239">
            <v>321.034514993892</v>
          </cell>
          <cell r="AE239">
            <v>360.32536453393402</v>
          </cell>
          <cell r="AF239">
            <v>417.34479166524198</v>
          </cell>
          <cell r="AG239">
            <v>440.44902772943902</v>
          </cell>
          <cell r="AH239">
            <v>426.04641688693698</v>
          </cell>
          <cell r="AI239">
            <v>410.03900846883801</v>
          </cell>
          <cell r="AJ239">
            <v>398.38232950381803</v>
          </cell>
          <cell r="AK239">
            <v>392.46698889703202</v>
          </cell>
          <cell r="AL239">
            <v>379.51429326409402</v>
          </cell>
          <cell r="AM239">
            <v>351.61111325658499</v>
          </cell>
          <cell r="AN239">
            <v>362.95593235562802</v>
          </cell>
          <cell r="AO239">
            <v>375.31342365178898</v>
          </cell>
          <cell r="AP239">
            <v>394.10155712681097</v>
          </cell>
          <cell r="AQ239">
            <v>396.17687783541601</v>
          </cell>
          <cell r="AR239">
            <v>400.57151561297502</v>
          </cell>
          <cell r="AS239">
            <v>409.07854352257999</v>
          </cell>
          <cell r="AT239">
            <v>419.29982543926798</v>
          </cell>
          <cell r="AU239">
            <v>430.96345034460302</v>
          </cell>
          <cell r="AV239">
            <v>464.57764382456003</v>
          </cell>
          <cell r="AW239">
            <v>527.15007779871598</v>
          </cell>
          <cell r="AX239">
            <v>589.17337991118097</v>
          </cell>
          <cell r="AY239">
            <v>651.04789709115903</v>
          </cell>
          <cell r="AZ239">
            <v>732.64917920065704</v>
          </cell>
          <cell r="BA239">
            <v>846.01738997462405</v>
          </cell>
          <cell r="BB239">
            <v>926.33130616057701</v>
          </cell>
          <cell r="BC239">
            <v>991.50831938050806</v>
          </cell>
          <cell r="BD239">
            <v>909.926355644262</v>
          </cell>
          <cell r="BE239">
            <v>897.712506150477</v>
          </cell>
          <cell r="BF239">
            <v>929.71985162467001</v>
          </cell>
          <cell r="BG239">
            <v>965.56973205438896</v>
          </cell>
          <cell r="BH239">
            <v>981.91047288099696</v>
          </cell>
          <cell r="BI239">
            <v>982.26617376837396</v>
          </cell>
          <cell r="BJ239">
            <v>1000.91042959225</v>
          </cell>
          <cell r="BK239">
            <v>1068.93947090754</v>
          </cell>
          <cell r="BL239">
            <v>1127.4294981732501</v>
          </cell>
          <cell r="BM239">
            <v>1123.4672386040199</v>
          </cell>
          <cell r="BN239">
            <v>1123.4672386040199</v>
          </cell>
        </row>
        <row r="240">
          <cell r="B240" t="str">
            <v>IDA</v>
          </cell>
          <cell r="C240" t="str">
            <v>GNI per capita, Atlas method (current US$)</v>
          </cell>
          <cell r="D240" t="str">
            <v>NY.GNP.PCAP.CD</v>
          </cell>
          <cell r="E240" t="str">
            <v>..</v>
          </cell>
          <cell r="F240" t="str">
            <v>..</v>
          </cell>
          <cell r="G240" t="str">
            <v>..</v>
          </cell>
          <cell r="H240" t="str">
            <v>..</v>
          </cell>
          <cell r="I240" t="str">
            <v>..</v>
          </cell>
          <cell r="J240" t="str">
            <v>..</v>
          </cell>
          <cell r="K240" t="str">
            <v>..</v>
          </cell>
          <cell r="L240" t="str">
            <v>..</v>
          </cell>
          <cell r="M240" t="str">
            <v>..</v>
          </cell>
          <cell r="N240">
            <v>135.24292521878101</v>
          </cell>
          <cell r="O240">
            <v>153.39852333700901</v>
          </cell>
          <cell r="P240">
            <v>160.46448494640501</v>
          </cell>
          <cell r="Q240">
            <v>169.045468213601</v>
          </cell>
          <cell r="R240">
            <v>181.563042106246</v>
          </cell>
          <cell r="S240">
            <v>229.95603540907899</v>
          </cell>
          <cell r="T240">
            <v>270.21068489090902</v>
          </cell>
          <cell r="U240">
            <v>297.529234240981</v>
          </cell>
          <cell r="V240">
            <v>310.764385070689</v>
          </cell>
          <cell r="W240">
            <v>329.14958798433202</v>
          </cell>
          <cell r="X240">
            <v>379.19432177361</v>
          </cell>
          <cell r="Y240">
            <v>439.41302969857901</v>
          </cell>
          <cell r="Z240">
            <v>499.20296142428799</v>
          </cell>
          <cell r="AA240">
            <v>533.90035312126804</v>
          </cell>
          <cell r="AB240">
            <v>536.51356555797599</v>
          </cell>
          <cell r="AC240">
            <v>471.068095388882</v>
          </cell>
          <cell r="AD240">
            <v>446.41231198135199</v>
          </cell>
          <cell r="AE240">
            <v>445.15298774998502</v>
          </cell>
          <cell r="AF240">
            <v>472.55718875090599</v>
          </cell>
          <cell r="AG240">
            <v>490.47986357151302</v>
          </cell>
          <cell r="AH240">
            <v>461.52875403187301</v>
          </cell>
          <cell r="AI240">
            <v>448.90653986785298</v>
          </cell>
          <cell r="AJ240">
            <v>435.054610019329</v>
          </cell>
          <cell r="AK240">
            <v>433.68614896854302</v>
          </cell>
          <cell r="AL240">
            <v>403.780750036835</v>
          </cell>
          <cell r="AM240">
            <v>379.02216668885802</v>
          </cell>
          <cell r="AN240">
            <v>389.00759791521398</v>
          </cell>
          <cell r="AO240">
            <v>410.92579711415499</v>
          </cell>
          <cell r="AP240">
            <v>429.725291672558</v>
          </cell>
          <cell r="AQ240">
            <v>425.89079169718798</v>
          </cell>
          <cell r="AR240">
            <v>429.80953552426899</v>
          </cell>
          <cell r="AS240">
            <v>439.68160768428697</v>
          </cell>
          <cell r="AT240">
            <v>454.78820344052201</v>
          </cell>
          <cell r="AU240">
            <v>473.948667551656</v>
          </cell>
          <cell r="AV240">
            <v>511.26352470061602</v>
          </cell>
          <cell r="AW240">
            <v>589.800388618037</v>
          </cell>
          <cell r="AX240">
            <v>667.76944870730097</v>
          </cell>
          <cell r="AY240">
            <v>761.72127352859502</v>
          </cell>
          <cell r="AZ240">
            <v>863.656713278859</v>
          </cell>
          <cell r="BA240">
            <v>1003.16377510712</v>
          </cell>
          <cell r="BB240">
            <v>1077.44179512495</v>
          </cell>
          <cell r="BC240">
            <v>1147.5468591722299</v>
          </cell>
          <cell r="BD240">
            <v>1120.49948032157</v>
          </cell>
          <cell r="BE240">
            <v>1172.6149887161901</v>
          </cell>
          <cell r="BF240">
            <v>1245.7260896622099</v>
          </cell>
          <cell r="BG240">
            <v>1314.8214400472</v>
          </cell>
          <cell r="BH240">
            <v>1317.0160664538901</v>
          </cell>
          <cell r="BI240">
            <v>1279.6775432039699</v>
          </cell>
          <cell r="BJ240">
            <v>1253.8815960398699</v>
          </cell>
          <cell r="BK240">
            <v>1296.1077752128999</v>
          </cell>
          <cell r="BL240">
            <v>1333.34004711582</v>
          </cell>
          <cell r="BM240">
            <v>1305.14998049325</v>
          </cell>
          <cell r="BN240">
            <v>1305.14998049325</v>
          </cell>
        </row>
        <row r="241">
          <cell r="B241" t="str">
            <v>LTE</v>
          </cell>
          <cell r="C241" t="str">
            <v>GNI per capita, Atlas method (current US$)</v>
          </cell>
          <cell r="D241" t="str">
            <v>NY.GNP.PCAP.CD</v>
          </cell>
          <cell r="E241" t="str">
            <v>..</v>
          </cell>
          <cell r="F241" t="str">
            <v>..</v>
          </cell>
          <cell r="G241" t="str">
            <v>..</v>
          </cell>
          <cell r="H241" t="str">
            <v>..</v>
          </cell>
          <cell r="I241" t="str">
            <v>..</v>
          </cell>
          <cell r="J241" t="str">
            <v>..</v>
          </cell>
          <cell r="K241">
            <v>200.821624812209</v>
          </cell>
          <cell r="L241">
            <v>198.015981976501</v>
          </cell>
          <cell r="M241">
            <v>202.528219997337</v>
          </cell>
          <cell r="N241">
            <v>224.693866532095</v>
          </cell>
          <cell r="O241">
            <v>250.11919294684199</v>
          </cell>
          <cell r="P241">
            <v>266.71482880750102</v>
          </cell>
          <cell r="Q241">
            <v>291.80238807860701</v>
          </cell>
          <cell r="R241">
            <v>352.26438054743397</v>
          </cell>
          <cell r="S241">
            <v>424.12118799521198</v>
          </cell>
          <cell r="T241">
            <v>486.50979102835203</v>
          </cell>
          <cell r="U241">
            <v>500.31357575503102</v>
          </cell>
          <cell r="V241">
            <v>533.88326341632398</v>
          </cell>
          <cell r="W241">
            <v>582.096078481257</v>
          </cell>
          <cell r="X241">
            <v>670.78435589099104</v>
          </cell>
          <cell r="Y241">
            <v>747.43958329031796</v>
          </cell>
          <cell r="Z241">
            <v>769.97585210014302</v>
          </cell>
          <cell r="AA241">
            <v>750.32464385110404</v>
          </cell>
          <cell r="AB241">
            <v>699.12151040301001</v>
          </cell>
          <cell r="AC241">
            <v>715.81973325696299</v>
          </cell>
          <cell r="AD241">
            <v>734.126400014041</v>
          </cell>
          <cell r="AE241">
            <v>798.32578957699604</v>
          </cell>
          <cell r="AF241">
            <v>875.98515870860501</v>
          </cell>
          <cell r="AG241">
            <v>962.46299742558199</v>
          </cell>
          <cell r="AH241">
            <v>995.37528723841695</v>
          </cell>
          <cell r="AI241">
            <v>1004.40693166804</v>
          </cell>
          <cell r="AJ241">
            <v>1061.9817358166999</v>
          </cell>
          <cell r="AK241">
            <v>1085.2720436545101</v>
          </cell>
          <cell r="AL241">
            <v>1110.85925303058</v>
          </cell>
          <cell r="AM241">
            <v>1185.0229221007701</v>
          </cell>
          <cell r="AN241">
            <v>1349.7826269874599</v>
          </cell>
          <cell r="AO241">
            <v>1555.40861558245</v>
          </cell>
          <cell r="AP241">
            <v>1703.0470034602399</v>
          </cell>
          <cell r="AQ241">
            <v>1650.59184038986</v>
          </cell>
          <cell r="AR241">
            <v>1587.85238094684</v>
          </cell>
          <cell r="AS241">
            <v>1632.0598529928</v>
          </cell>
          <cell r="AT241">
            <v>1642.9458476741599</v>
          </cell>
          <cell r="AU241">
            <v>1720.04233755877</v>
          </cell>
          <cell r="AV241">
            <v>1915.18335305189</v>
          </cell>
          <cell r="AW241">
            <v>2273.3464595492301</v>
          </cell>
          <cell r="AX241">
            <v>2688.24022283153</v>
          </cell>
          <cell r="AY241">
            <v>3188.0908048019</v>
          </cell>
          <cell r="AZ241">
            <v>3873.6677303942301</v>
          </cell>
          <cell r="BA241">
            <v>4697.6498928534602</v>
          </cell>
          <cell r="BB241">
            <v>5131.4129773821796</v>
          </cell>
          <cell r="BC241">
            <v>5764.3325809964399</v>
          </cell>
          <cell r="BD241">
            <v>6494.8664527034298</v>
          </cell>
          <cell r="BE241">
            <v>7457.6049981650804</v>
          </cell>
          <cell r="BF241">
            <v>8250.4052797973909</v>
          </cell>
          <cell r="BG241">
            <v>8652.5217755792401</v>
          </cell>
          <cell r="BH241">
            <v>8475.3012130771094</v>
          </cell>
          <cell r="BI241">
            <v>8316.3994317673005</v>
          </cell>
          <cell r="BJ241">
            <v>8520.8703301494006</v>
          </cell>
          <cell r="BK241">
            <v>9312.3169145850206</v>
          </cell>
          <cell r="BL241">
            <v>9980.5291258732505</v>
          </cell>
          <cell r="BM241">
            <v>9860.5639513000206</v>
          </cell>
          <cell r="BN241">
            <v>9860.5639513000206</v>
          </cell>
        </row>
        <row r="242">
          <cell r="B242" t="str">
            <v>LCN</v>
          </cell>
          <cell r="C242" t="str">
            <v>GNI per capita, Atlas method (current US$)</v>
          </cell>
          <cell r="D242" t="str">
            <v>NY.GNP.PCAP.CD</v>
          </cell>
          <cell r="E242" t="str">
            <v>..</v>
          </cell>
          <cell r="F242" t="str">
            <v>..</v>
          </cell>
          <cell r="G242" t="str">
            <v>..</v>
          </cell>
          <cell r="H242" t="str">
            <v>..</v>
          </cell>
          <cell r="I242" t="str">
            <v>..</v>
          </cell>
          <cell r="J242" t="str">
            <v>..</v>
          </cell>
          <cell r="K242">
            <v>488.73571831086099</v>
          </cell>
          <cell r="L242">
            <v>503.32860458711298</v>
          </cell>
          <cell r="M242">
            <v>538.34222601789099</v>
          </cell>
          <cell r="N242">
            <v>573.21707728548199</v>
          </cell>
          <cell r="O242">
            <v>610.00689947708895</v>
          </cell>
          <cell r="P242">
            <v>668.80280933087897</v>
          </cell>
          <cell r="Q242">
            <v>734.93986304121904</v>
          </cell>
          <cell r="R242">
            <v>888.99609934760701</v>
          </cell>
          <cell r="S242">
            <v>1129.63210471565</v>
          </cell>
          <cell r="T242">
            <v>1308.7084066213299</v>
          </cell>
          <cell r="U242">
            <v>1388.28915750335</v>
          </cell>
          <cell r="V242">
            <v>1427.6106401760601</v>
          </cell>
          <cell r="W242">
            <v>1557.0369938725701</v>
          </cell>
          <cell r="X242">
            <v>1831.65181391789</v>
          </cell>
          <cell r="Y242">
            <v>2131.16339769558</v>
          </cell>
          <cell r="Z242">
            <v>2317.8689961793498</v>
          </cell>
          <cell r="AA242">
            <v>2202.7466597377602</v>
          </cell>
          <cell r="AB242">
            <v>1940.86795019222</v>
          </cell>
          <cell r="AC242">
            <v>1852.3583842518501</v>
          </cell>
          <cell r="AD242">
            <v>1791.86776014569</v>
          </cell>
          <cell r="AE242">
            <v>1859.14504822359</v>
          </cell>
          <cell r="AF242">
            <v>2003.6273894250201</v>
          </cell>
          <cell r="AG242">
            <v>2149.09147671132</v>
          </cell>
          <cell r="AH242">
            <v>2149.7447727957001</v>
          </cell>
          <cell r="AI242">
            <v>2209.7835913641502</v>
          </cell>
          <cell r="AJ242">
            <v>2397.18699094577</v>
          </cell>
          <cell r="AK242">
            <v>2708.7795689948498</v>
          </cell>
          <cell r="AL242">
            <v>2953.6322804019301</v>
          </cell>
          <cell r="AM242">
            <v>3330.33532547101</v>
          </cell>
          <cell r="AN242">
            <v>3570.8214518832501</v>
          </cell>
          <cell r="AO242">
            <v>3948.8545583329501</v>
          </cell>
          <cell r="AP242">
            <v>4271.9074328781298</v>
          </cell>
          <cell r="AQ242">
            <v>4251.6654067110603</v>
          </cell>
          <cell r="AR242">
            <v>4055.49593313379</v>
          </cell>
          <cell r="AS242">
            <v>4151.5575852065203</v>
          </cell>
          <cell r="AT242">
            <v>4035.3577323454001</v>
          </cell>
          <cell r="AU242">
            <v>3784.22806286071</v>
          </cell>
          <cell r="AV242">
            <v>3772.9386901759999</v>
          </cell>
          <cell r="AW242">
            <v>4092.30949577096</v>
          </cell>
          <cell r="AX242">
            <v>4581.6238807335303</v>
          </cell>
          <cell r="AY242">
            <v>5275.7765147852197</v>
          </cell>
          <cell r="AZ242">
            <v>6155.4840472885999</v>
          </cell>
          <cell r="BA242">
            <v>7096.5796499520302</v>
          </cell>
          <cell r="BB242">
            <v>7266.1586263648196</v>
          </cell>
          <cell r="BC242">
            <v>8049.5751939350403</v>
          </cell>
          <cell r="BD242">
            <v>8873.4308592704492</v>
          </cell>
          <cell r="BE242">
            <v>9788.2355595443896</v>
          </cell>
          <cell r="BF242">
            <v>10197.814183074999</v>
          </cell>
          <cell r="BG242">
            <v>10091.6872096307</v>
          </cell>
          <cell r="BH242">
            <v>9129.03704955994</v>
          </cell>
          <cell r="BI242">
            <v>8413.9522479215502</v>
          </cell>
          <cell r="BJ242">
            <v>8301.2537172517004</v>
          </cell>
          <cell r="BK242">
            <v>8634.3104478932692</v>
          </cell>
          <cell r="BL242">
            <v>8740.0220947308608</v>
          </cell>
          <cell r="BM242">
            <v>7612.8745905261303</v>
          </cell>
          <cell r="BN242">
            <v>7612.8745905261303</v>
          </cell>
        </row>
        <row r="243">
          <cell r="B243" t="str">
            <v>LAC</v>
          </cell>
          <cell r="C243" t="str">
            <v>GNI per capita, Atlas method (current US$)</v>
          </cell>
          <cell r="D243" t="str">
            <v>NY.GNP.PCAP.CD</v>
          </cell>
          <cell r="E243" t="str">
            <v>..</v>
          </cell>
          <cell r="F243" t="str">
            <v>..</v>
          </cell>
          <cell r="G243" t="str">
            <v>..</v>
          </cell>
          <cell r="H243" t="str">
            <v>..</v>
          </cell>
          <cell r="I243" t="str">
            <v>..</v>
          </cell>
          <cell r="J243" t="str">
            <v>..</v>
          </cell>
          <cell r="K243">
            <v>449.475029711915</v>
          </cell>
          <cell r="L243">
            <v>464.59662508028498</v>
          </cell>
          <cell r="M243">
            <v>498.82496482491302</v>
          </cell>
          <cell r="N243">
            <v>532.64992869237005</v>
          </cell>
          <cell r="O243">
            <v>563.87666030674302</v>
          </cell>
          <cell r="P243">
            <v>618.54839637486396</v>
          </cell>
          <cell r="Q243">
            <v>681.23838112908697</v>
          </cell>
          <cell r="R243">
            <v>827.27481922492098</v>
          </cell>
          <cell r="S243">
            <v>1058.51793692964</v>
          </cell>
          <cell r="T243">
            <v>1249.5515354632901</v>
          </cell>
          <cell r="U243">
            <v>1327.9077997337499</v>
          </cell>
          <cell r="V243">
            <v>1362.1593002516499</v>
          </cell>
          <cell r="W243">
            <v>1478.1902522606099</v>
          </cell>
          <cell r="X243">
            <v>1735.13011938458</v>
          </cell>
          <cell r="Y243">
            <v>2012.3407219322901</v>
          </cell>
          <cell r="Z243">
            <v>2166.44076539142</v>
          </cell>
          <cell r="AA243">
            <v>2061.7015255320298</v>
          </cell>
          <cell r="AB243">
            <v>1814.1519689705001</v>
          </cell>
          <cell r="AC243">
            <v>1731.6384886831299</v>
          </cell>
          <cell r="AD243">
            <v>1675.3654695371299</v>
          </cell>
          <cell r="AE243">
            <v>1738.6406225072201</v>
          </cell>
          <cell r="AF243">
            <v>1895.54297909968</v>
          </cell>
          <cell r="AG243">
            <v>2036.48191507354</v>
          </cell>
          <cell r="AH243">
            <v>2066.8226615349599</v>
          </cell>
          <cell r="AI243">
            <v>2123.12846490021</v>
          </cell>
          <cell r="AJ243">
            <v>2314.19762477018</v>
          </cell>
          <cell r="AK243">
            <v>2621.2727537783198</v>
          </cell>
          <cell r="AL243">
            <v>2875.8764977932501</v>
          </cell>
          <cell r="AM243">
            <v>3279.4979097524101</v>
          </cell>
          <cell r="AN243">
            <v>3497.1617246320802</v>
          </cell>
          <cell r="AO243">
            <v>3880.5608884846201</v>
          </cell>
          <cell r="AP243">
            <v>4191.7328240850602</v>
          </cell>
          <cell r="AQ243">
            <v>4170.6184294971099</v>
          </cell>
          <cell r="AR243">
            <v>3946.6952696547201</v>
          </cell>
          <cell r="AS243">
            <v>4016.9695672273101</v>
          </cell>
          <cell r="AT243">
            <v>3872.72662988497</v>
          </cell>
          <cell r="AU243">
            <v>3642.2459032478</v>
          </cell>
          <cell r="AV243">
            <v>3651.5165910587798</v>
          </cell>
          <cell r="AW243">
            <v>3928.48669468054</v>
          </cell>
          <cell r="AX243">
            <v>4377.7962812986898</v>
          </cell>
          <cell r="AY243">
            <v>5032.6711202785</v>
          </cell>
          <cell r="AZ243">
            <v>5862.5290234424801</v>
          </cell>
          <cell r="BA243">
            <v>6743.0411693945198</v>
          </cell>
          <cell r="BB243">
            <v>6878.6655476484402</v>
          </cell>
          <cell r="BC243">
            <v>7627.6535222884504</v>
          </cell>
          <cell r="BD243">
            <v>8469.2650930566706</v>
          </cell>
          <cell r="BE243">
            <v>9354.5082964238409</v>
          </cell>
          <cell r="BF243">
            <v>9799.0530556465292</v>
          </cell>
          <cell r="BG243">
            <v>9628.1295058369597</v>
          </cell>
          <cell r="BH243">
            <v>8814.3030154547905</v>
          </cell>
          <cell r="BI243">
            <v>8086.4334229513697</v>
          </cell>
          <cell r="BJ243">
            <v>7959.4018759432602</v>
          </cell>
          <cell r="BK243">
            <v>8241.9076380526094</v>
          </cell>
          <cell r="BL243">
            <v>8317.3916967638106</v>
          </cell>
          <cell r="BM243">
            <v>7211.5104719237797</v>
          </cell>
          <cell r="BN243">
            <v>7211.5104719237797</v>
          </cell>
        </row>
        <row r="244">
          <cell r="B244" t="str">
            <v>TLA</v>
          </cell>
          <cell r="C244" t="str">
            <v>GNI per capita, Atlas method (current US$)</v>
          </cell>
          <cell r="D244" t="str">
            <v>NY.GNP.PCAP.CD</v>
          </cell>
          <cell r="E244" t="str">
            <v>..</v>
          </cell>
          <cell r="F244" t="str">
            <v>..</v>
          </cell>
          <cell r="G244" t="str">
            <v>..</v>
          </cell>
          <cell r="H244" t="str">
            <v>..</v>
          </cell>
          <cell r="I244" t="str">
            <v>..</v>
          </cell>
          <cell r="J244" t="str">
            <v>..</v>
          </cell>
          <cell r="K244">
            <v>477.18339706366498</v>
          </cell>
          <cell r="L244">
            <v>490.82995277287898</v>
          </cell>
          <cell r="M244">
            <v>524.52529098563298</v>
          </cell>
          <cell r="N244">
            <v>557.31557455344</v>
          </cell>
          <cell r="O244">
            <v>592.22731897047197</v>
          </cell>
          <cell r="P244">
            <v>649.35257902322905</v>
          </cell>
          <cell r="Q244">
            <v>713.62228127736796</v>
          </cell>
          <cell r="R244">
            <v>864.491246777318</v>
          </cell>
          <cell r="S244">
            <v>1105.9663345747199</v>
          </cell>
          <cell r="T244">
            <v>1282.67824154246</v>
          </cell>
          <cell r="U244">
            <v>1365.0210321787599</v>
          </cell>
          <cell r="V244">
            <v>1403.25590475695</v>
          </cell>
          <cell r="W244">
            <v>1529.6035959908099</v>
          </cell>
          <cell r="X244">
            <v>1803.3040623551401</v>
          </cell>
          <cell r="Y244">
            <v>2105.5443097398402</v>
          </cell>
          <cell r="Z244">
            <v>2289.3708069970198</v>
          </cell>
          <cell r="AA244">
            <v>2173.76557643572</v>
          </cell>
          <cell r="AB244">
            <v>1908.5803763035999</v>
          </cell>
          <cell r="AC244">
            <v>1810.8078582046201</v>
          </cell>
          <cell r="AD244">
            <v>1745.43616424689</v>
          </cell>
          <cell r="AE244">
            <v>1808.5514710761499</v>
          </cell>
          <cell r="AF244">
            <v>1949.2781987824201</v>
          </cell>
          <cell r="AG244">
            <v>2087.2157333659302</v>
          </cell>
          <cell r="AH244">
            <v>2086.62978871523</v>
          </cell>
          <cell r="AI244">
            <v>2152.86813560367</v>
          </cell>
          <cell r="AJ244">
            <v>2351.8870792405201</v>
          </cell>
          <cell r="AK244">
            <v>2675.0530715079799</v>
          </cell>
          <cell r="AL244">
            <v>2930.910452995</v>
          </cell>
          <cell r="AM244">
            <v>3310.1195491895</v>
          </cell>
          <cell r="AN244">
            <v>3542.8825858212099</v>
          </cell>
          <cell r="AO244">
            <v>3924.9970372655798</v>
          </cell>
          <cell r="AP244">
            <v>4259.5559230940598</v>
          </cell>
          <cell r="AQ244">
            <v>4241.9104983716998</v>
          </cell>
          <cell r="AR244">
            <v>4024.7347702279699</v>
          </cell>
          <cell r="AS244">
            <v>4109.3905764063202</v>
          </cell>
          <cell r="AT244">
            <v>3984.1364884995201</v>
          </cell>
          <cell r="AU244">
            <v>3722.5309163357501</v>
          </cell>
          <cell r="AV244">
            <v>3697.70962078087</v>
          </cell>
          <cell r="AW244">
            <v>4001.3346959802102</v>
          </cell>
          <cell r="AX244">
            <v>4490.9385664887895</v>
          </cell>
          <cell r="AY244">
            <v>5189.7842030261399</v>
          </cell>
          <cell r="AZ244">
            <v>6077.9732475825704</v>
          </cell>
          <cell r="BA244">
            <v>7030.9648457837802</v>
          </cell>
          <cell r="BB244">
            <v>7204.6086759681803</v>
          </cell>
          <cell r="BC244">
            <v>8005.2389819296804</v>
          </cell>
          <cell r="BD244">
            <v>8840.7136618654404</v>
          </cell>
          <cell r="BE244">
            <v>9767.9648842078695</v>
          </cell>
          <cell r="BF244">
            <v>10179.7615786031</v>
          </cell>
          <cell r="BG244">
            <v>10066.9603324117</v>
          </cell>
          <cell r="BH244">
            <v>9071.7544688399503</v>
          </cell>
          <cell r="BI244">
            <v>8332.0417180089898</v>
          </cell>
          <cell r="BJ244">
            <v>8206.7551094893606</v>
          </cell>
          <cell r="BK244">
            <v>8530.8638729145696</v>
          </cell>
          <cell r="BL244">
            <v>8628.9993835675305</v>
          </cell>
          <cell r="BM244">
            <v>7503.4862561768596</v>
          </cell>
          <cell r="BN244">
            <v>7503.4862561768596</v>
          </cell>
        </row>
        <row r="245">
          <cell r="B245" t="str">
            <v>LDC</v>
          </cell>
          <cell r="C245" t="str">
            <v>GNI per capita, Atlas method (current US$)</v>
          </cell>
          <cell r="D245" t="str">
            <v>NY.GNP.PCAP.CD</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v>214.08509728992499</v>
          </cell>
          <cell r="AE245">
            <v>240.78063215360999</v>
          </cell>
          <cell r="AF245">
            <v>278.99862561657602</v>
          </cell>
          <cell r="AG245">
            <v>294.87684225115498</v>
          </cell>
          <cell r="AH245">
            <v>297.30921456642801</v>
          </cell>
          <cell r="AI245">
            <v>286.757903397321</v>
          </cell>
          <cell r="AJ245">
            <v>296.52708811283202</v>
          </cell>
          <cell r="AK245">
            <v>284.82927525690201</v>
          </cell>
          <cell r="AL245">
            <v>275.02565646123099</v>
          </cell>
          <cell r="AM245">
            <v>253.83340935337401</v>
          </cell>
          <cell r="AN245">
            <v>264.14814326034298</v>
          </cell>
          <cell r="AO245">
            <v>273.45265009194998</v>
          </cell>
          <cell r="AP245">
            <v>288.24903337472301</v>
          </cell>
          <cell r="AQ245">
            <v>286.92882039574602</v>
          </cell>
          <cell r="AR245">
            <v>288.846685595</v>
          </cell>
          <cell r="AS245">
            <v>299.50786549517102</v>
          </cell>
          <cell r="AT245">
            <v>306.33605003766701</v>
          </cell>
          <cell r="AU245">
            <v>318.02548943426501</v>
          </cell>
          <cell r="AV245">
            <v>341.63387145407398</v>
          </cell>
          <cell r="AW245">
            <v>392.42275463437801</v>
          </cell>
          <cell r="AX245">
            <v>445.857276384503</v>
          </cell>
          <cell r="AY245">
            <v>497.50059933340498</v>
          </cell>
          <cell r="AZ245">
            <v>568.73141886016106</v>
          </cell>
          <cell r="BA245">
            <v>659.97499336440103</v>
          </cell>
          <cell r="BB245">
            <v>719.25518832483999</v>
          </cell>
          <cell r="BC245">
            <v>769.49000909657502</v>
          </cell>
          <cell r="BD245">
            <v>819.67749528339698</v>
          </cell>
          <cell r="BE245">
            <v>889.53922913385804</v>
          </cell>
          <cell r="BF245">
            <v>962.79069877722497</v>
          </cell>
          <cell r="BG245">
            <v>1009.06896823719</v>
          </cell>
          <cell r="BH245">
            <v>1000.19718716356</v>
          </cell>
          <cell r="BI245">
            <v>985.24116028399305</v>
          </cell>
          <cell r="BJ245">
            <v>994.02693587126601</v>
          </cell>
          <cell r="BK245">
            <v>1045.5920803495801</v>
          </cell>
          <cell r="BL245">
            <v>1090.32729624239</v>
          </cell>
          <cell r="BM245">
            <v>1062.44611935896</v>
          </cell>
          <cell r="BN245">
            <v>1062.44611935896</v>
          </cell>
        </row>
        <row r="246">
          <cell r="B246" t="str">
            <v>LMY</v>
          </cell>
          <cell r="C246" t="str">
            <v>GNI per capita, Atlas method (current US$)</v>
          </cell>
          <cell r="D246" t="str">
            <v>NY.GNP.PCAP.CD</v>
          </cell>
          <cell r="E246" t="str">
            <v>..</v>
          </cell>
          <cell r="F246" t="str">
            <v>..</v>
          </cell>
          <cell r="G246" t="str">
            <v>..</v>
          </cell>
          <cell r="H246">
            <v>143.43255797477801</v>
          </cell>
          <cell r="I246">
            <v>157.54412884815301</v>
          </cell>
          <cell r="J246">
            <v>171.37761645505401</v>
          </cell>
          <cell r="K246">
            <v>179.32354160410199</v>
          </cell>
          <cell r="L246">
            <v>179.74840121875599</v>
          </cell>
          <cell r="M246">
            <v>184.39111852110199</v>
          </cell>
          <cell r="N246">
            <v>200.66456814947</v>
          </cell>
          <cell r="O246">
            <v>217.28697114182401</v>
          </cell>
          <cell r="P246">
            <v>229.67242702307999</v>
          </cell>
          <cell r="Q246">
            <v>247.61323539755099</v>
          </cell>
          <cell r="R246">
            <v>295.63293422382799</v>
          </cell>
          <cell r="S246">
            <v>366.672753200329</v>
          </cell>
          <cell r="T246">
            <v>433.94216492109001</v>
          </cell>
          <cell r="U246">
            <v>456.19434340201798</v>
          </cell>
          <cell r="V246">
            <v>474.75199044319601</v>
          </cell>
          <cell r="W246">
            <v>510.35424527169801</v>
          </cell>
          <cell r="X246">
            <v>585.77306252242704</v>
          </cell>
          <cell r="Y246">
            <v>668.49582500176405</v>
          </cell>
          <cell r="Z246">
            <v>721.90233041188299</v>
          </cell>
          <cell r="AA246">
            <v>718.51945262836102</v>
          </cell>
          <cell r="AB246">
            <v>679.25142357273603</v>
          </cell>
          <cell r="AC246">
            <v>665.31020907192806</v>
          </cell>
          <cell r="AD246">
            <v>673.41657622762602</v>
          </cell>
          <cell r="AE246">
            <v>706.60663959945498</v>
          </cell>
          <cell r="AF246">
            <v>763.32174174474801</v>
          </cell>
          <cell r="AG246">
            <v>807.19250801408703</v>
          </cell>
          <cell r="AH246">
            <v>799.98185439222095</v>
          </cell>
          <cell r="AI246">
            <v>830.26768913984199</v>
          </cell>
          <cell r="AJ246">
            <v>833.74329603472802</v>
          </cell>
          <cell r="AK246">
            <v>873.63784292164598</v>
          </cell>
          <cell r="AL246">
            <v>897.53902207183899</v>
          </cell>
          <cell r="AM246">
            <v>938.28982328449194</v>
          </cell>
          <cell r="AN246">
            <v>1001.2121162805799</v>
          </cell>
          <cell r="AO246">
            <v>1098.1636820400599</v>
          </cell>
          <cell r="AP246">
            <v>1167.7389200632799</v>
          </cell>
          <cell r="AQ246">
            <v>1128.4989802714599</v>
          </cell>
          <cell r="AR246">
            <v>1109.40706048333</v>
          </cell>
          <cell r="AS246">
            <v>1146.7294673331201</v>
          </cell>
          <cell r="AT246">
            <v>1155.2688177002401</v>
          </cell>
          <cell r="AU246">
            <v>1174.8103708215499</v>
          </cell>
          <cell r="AV246">
            <v>1277.29856642921</v>
          </cell>
          <cell r="AW246">
            <v>1485.1594853921299</v>
          </cell>
          <cell r="AX246">
            <v>1726.29978556591</v>
          </cell>
          <cell r="AY246">
            <v>2000.71039594639</v>
          </cell>
          <cell r="AZ246">
            <v>2363.21431406689</v>
          </cell>
          <cell r="BA246">
            <v>2780.5369725155301</v>
          </cell>
          <cell r="BB246">
            <v>2991.0276177134101</v>
          </cell>
          <cell r="BC246">
            <v>3329.7935136245001</v>
          </cell>
          <cell r="BD246">
            <v>3678.4165114888801</v>
          </cell>
          <cell r="BE246">
            <v>4149.9730160518402</v>
          </cell>
          <cell r="BF246">
            <v>4486.9267238907396</v>
          </cell>
          <cell r="BG246">
            <v>4629.9939362827299</v>
          </cell>
          <cell r="BH246">
            <v>4511.7890127196197</v>
          </cell>
          <cell r="BI246">
            <v>4418.7003491238502</v>
          </cell>
          <cell r="BJ246">
            <v>4495.3982090453601</v>
          </cell>
          <cell r="BK246">
            <v>4801.5834361594098</v>
          </cell>
          <cell r="BL246">
            <v>5036.2612976298296</v>
          </cell>
          <cell r="BM246">
            <v>4843.2672149544596</v>
          </cell>
          <cell r="BN246">
            <v>4843.2672149544596</v>
          </cell>
        </row>
        <row r="247">
          <cell r="B247" t="str">
            <v>LIC</v>
          </cell>
          <cell r="C247" t="str">
            <v>GNI per capita, Atlas method (current US$)</v>
          </cell>
          <cell r="D247" t="str">
            <v>NY.GNP.PCAP.CD</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cell r="AJ247" t="str">
            <v>..</v>
          </cell>
          <cell r="AK247">
            <v>489.56480606352602</v>
          </cell>
          <cell r="AL247">
            <v>460.81241821110802</v>
          </cell>
          <cell r="AM247">
            <v>401.10341561607299</v>
          </cell>
          <cell r="AN247">
            <v>402.13432633032801</v>
          </cell>
          <cell r="AO247">
            <v>404.70907428030301</v>
          </cell>
          <cell r="AP247">
            <v>415.110961754257</v>
          </cell>
          <cell r="AQ247">
            <v>403.56882048314799</v>
          </cell>
          <cell r="AR247">
            <v>398.42662963595802</v>
          </cell>
          <cell r="AS247">
            <v>403.38212041113798</v>
          </cell>
          <cell r="AT247">
            <v>421.964815498691</v>
          </cell>
          <cell r="AU247">
            <v>444.45163055061897</v>
          </cell>
          <cell r="AV247">
            <v>481.51993925676697</v>
          </cell>
          <cell r="AW247">
            <v>550.281985720482</v>
          </cell>
          <cell r="AX247">
            <v>616.45152554801302</v>
          </cell>
          <cell r="AY247">
            <v>693.52583291028895</v>
          </cell>
          <cell r="AZ247">
            <v>793.39633526664397</v>
          </cell>
          <cell r="BA247">
            <v>911.43596897453699</v>
          </cell>
          <cell r="BB247">
            <v>997.43648393494698</v>
          </cell>
          <cell r="BC247">
            <v>1055.5596162128099</v>
          </cell>
          <cell r="BD247">
            <v>826.52023366970604</v>
          </cell>
          <cell r="BE247">
            <v>713.34520786070698</v>
          </cell>
          <cell r="BF247">
            <v>685.26657593698906</v>
          </cell>
          <cell r="BG247">
            <v>705.06808951146002</v>
          </cell>
          <cell r="BH247">
            <v>686.98473293681002</v>
          </cell>
          <cell r="BI247">
            <v>662.94435207845504</v>
          </cell>
          <cell r="BJ247">
            <v>649.39219550432904</v>
          </cell>
          <cell r="BK247">
            <v>659.11084167950401</v>
          </cell>
          <cell r="BL247">
            <v>683.20664211989799</v>
          </cell>
          <cell r="BM247">
            <v>668.81542350927703</v>
          </cell>
          <cell r="BN247">
            <v>668.81542350927703</v>
          </cell>
        </row>
        <row r="248">
          <cell r="B248" t="str">
            <v>LMC</v>
          </cell>
          <cell r="C248" t="str">
            <v>GNI per capita, Atlas method (current US$)</v>
          </cell>
          <cell r="D248" t="str">
            <v>NY.GNP.PCAP.CD</v>
          </cell>
          <cell r="E248" t="str">
            <v>..</v>
          </cell>
          <cell r="F248" t="str">
            <v>..</v>
          </cell>
          <cell r="G248" t="str">
            <v>..</v>
          </cell>
          <cell r="H248" t="str">
            <v>..</v>
          </cell>
          <cell r="I248" t="str">
            <v>..</v>
          </cell>
          <cell r="J248" t="str">
            <v>..</v>
          </cell>
          <cell r="K248" t="str">
            <v>..</v>
          </cell>
          <cell r="L248">
            <v>112.86533828974299</v>
          </cell>
          <cell r="M248">
            <v>113.994266910344</v>
          </cell>
          <cell r="N248">
            <v>123.412271463824</v>
          </cell>
          <cell r="O248">
            <v>133.195685570347</v>
          </cell>
          <cell r="P248">
            <v>139.60071077783201</v>
          </cell>
          <cell r="Q248">
            <v>150.029700787135</v>
          </cell>
          <cell r="R248">
            <v>174.68191654950999</v>
          </cell>
          <cell r="S248">
            <v>218.04827738415099</v>
          </cell>
          <cell r="T248">
            <v>260.70040526561201</v>
          </cell>
          <cell r="U248">
            <v>286.12372950076002</v>
          </cell>
          <cell r="V248">
            <v>300.56252622456401</v>
          </cell>
          <cell r="W248">
            <v>326.01893059571699</v>
          </cell>
          <cell r="X248">
            <v>368.538724721878</v>
          </cell>
          <cell r="Y248">
            <v>423.14666138553901</v>
          </cell>
          <cell r="Z248">
            <v>471.83428043790502</v>
          </cell>
          <cell r="AA248">
            <v>504.09162225456902</v>
          </cell>
          <cell r="AB248">
            <v>502.660933284176</v>
          </cell>
          <cell r="AC248">
            <v>479.03720905758303</v>
          </cell>
          <cell r="AD248">
            <v>486.55630910673</v>
          </cell>
          <cell r="AE248">
            <v>506.17588491225501</v>
          </cell>
          <cell r="AF248">
            <v>534.47993698173605</v>
          </cell>
          <cell r="AG248">
            <v>549.17113829128596</v>
          </cell>
          <cell r="AH248">
            <v>527.41180146532895</v>
          </cell>
          <cell r="AI248">
            <v>522.38095299668703</v>
          </cell>
          <cell r="AJ248">
            <v>523.66277621234497</v>
          </cell>
          <cell r="AK248">
            <v>525.90301942001201</v>
          </cell>
          <cell r="AL248">
            <v>507.88079677279302</v>
          </cell>
          <cell r="AM248">
            <v>507.05732701386199</v>
          </cell>
          <cell r="AN248">
            <v>543.48611527484502</v>
          </cell>
          <cell r="AO248">
            <v>594.22795078853505</v>
          </cell>
          <cell r="AP248">
            <v>617.05247278163199</v>
          </cell>
          <cell r="AQ248">
            <v>578.64818405059702</v>
          </cell>
          <cell r="AR248">
            <v>581.59297141951697</v>
          </cell>
          <cell r="AS248">
            <v>588.33496647666004</v>
          </cell>
          <cell r="AT248">
            <v>611.08028565530503</v>
          </cell>
          <cell r="AU248">
            <v>626.32336236349704</v>
          </cell>
          <cell r="AV248">
            <v>691.44088065464098</v>
          </cell>
          <cell r="AW248">
            <v>802.12169405238899</v>
          </cell>
          <cell r="AX248">
            <v>917.41849572615899</v>
          </cell>
          <cell r="AY248">
            <v>1038.4510598822999</v>
          </cell>
          <cell r="AZ248">
            <v>1206.45918743485</v>
          </cell>
          <cell r="BA248">
            <v>1385.38041464759</v>
          </cell>
          <cell r="BB248">
            <v>1508.07420255742</v>
          </cell>
          <cell r="BC248">
            <v>1654.4599991365001</v>
          </cell>
          <cell r="BD248">
            <v>1821.1387443731301</v>
          </cell>
          <cell r="BE248">
            <v>2021.04947891406</v>
          </cell>
          <cell r="BF248">
            <v>2126.0673741754999</v>
          </cell>
          <cell r="BG248">
            <v>2164.3691109014399</v>
          </cell>
          <cell r="BH248">
            <v>2126.8666186853002</v>
          </cell>
          <cell r="BI248">
            <v>2135.4447292689902</v>
          </cell>
          <cell r="BJ248">
            <v>2177.93127578758</v>
          </cell>
          <cell r="BK248">
            <v>2292.28501361798</v>
          </cell>
          <cell r="BL248">
            <v>2361.9857605486</v>
          </cell>
          <cell r="BM248">
            <v>2217.1412407397602</v>
          </cell>
          <cell r="BN248">
            <v>2217.1412407397602</v>
          </cell>
        </row>
        <row r="249">
          <cell r="B249" t="str">
            <v>MEA</v>
          </cell>
          <cell r="C249" t="str">
            <v>GNI per capita, Atlas method (current US$)</v>
          </cell>
          <cell r="D249" t="str">
            <v>NY.GNP.PCAP.CD</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cell r="AJ249" t="str">
            <v>..</v>
          </cell>
          <cell r="AK249" t="str">
            <v>..</v>
          </cell>
          <cell r="AL249" t="str">
            <v>..</v>
          </cell>
          <cell r="AM249" t="str">
            <v>..</v>
          </cell>
          <cell r="AN249">
            <v>2477.2932601370599</v>
          </cell>
          <cell r="AO249">
            <v>2709.2086405775099</v>
          </cell>
          <cell r="AP249">
            <v>2880.3267406508999</v>
          </cell>
          <cell r="AQ249">
            <v>2897.3341879405798</v>
          </cell>
          <cell r="AR249">
            <v>2895.7074188654001</v>
          </cell>
          <cell r="AS249">
            <v>3061.3061566737701</v>
          </cell>
          <cell r="AT249">
            <v>3166.1768108492902</v>
          </cell>
          <cell r="AU249">
            <v>3133.3060011706698</v>
          </cell>
          <cell r="AV249">
            <v>3358.5082396789599</v>
          </cell>
          <cell r="AW249">
            <v>3856.8605089156599</v>
          </cell>
          <cell r="AX249">
            <v>4382.4093555439804</v>
          </cell>
          <cell r="AY249">
            <v>5015.3765436675703</v>
          </cell>
          <cell r="AZ249">
            <v>5768.4079937654396</v>
          </cell>
          <cell r="BA249">
            <v>6712.2517764571603</v>
          </cell>
          <cell r="BB249">
            <v>6961.7714146681801</v>
          </cell>
          <cell r="BC249">
            <v>7405.1181726753803</v>
          </cell>
          <cell r="BD249">
            <v>7534.32267401833</v>
          </cell>
          <cell r="BE249">
            <v>8294.4985460325006</v>
          </cell>
          <cell r="BF249">
            <v>8694.3823251166705</v>
          </cell>
          <cell r="BG249">
            <v>8657.6644793051</v>
          </cell>
          <cell r="BH249">
            <v>7984.33240308733</v>
          </cell>
          <cell r="BI249">
            <v>7593.1043141114296</v>
          </cell>
          <cell r="BJ249">
            <v>7185.1458283440097</v>
          </cell>
          <cell r="BK249">
            <v>7331.4265055789901</v>
          </cell>
          <cell r="BL249">
            <v>7471.4256727235497</v>
          </cell>
          <cell r="BM249">
            <v>6892.1827782520804</v>
          </cell>
          <cell r="BN249">
            <v>6892.1827782520804</v>
          </cell>
        </row>
        <row r="250">
          <cell r="B250" t="str">
            <v>MNA</v>
          </cell>
          <cell r="C250" t="str">
            <v>GNI per capita, Atlas method (current US$)</v>
          </cell>
          <cell r="D250" t="str">
            <v>NY.GNP.PCAP.CD</v>
          </cell>
          <cell r="E250" t="str">
            <v>..</v>
          </cell>
          <cell r="F250" t="str">
            <v>..</v>
          </cell>
          <cell r="G250" t="str">
            <v>..</v>
          </cell>
          <cell r="H250" t="str">
            <v>..</v>
          </cell>
          <cell r="I250" t="str">
            <v>..</v>
          </cell>
          <cell r="J250" t="str">
            <v>..</v>
          </cell>
          <cell r="K250" t="str">
            <v>..</v>
          </cell>
          <cell r="L250" t="str">
            <v>..</v>
          </cell>
          <cell r="M250" t="str">
            <v>..</v>
          </cell>
          <cell r="N250" t="str">
            <v>..</v>
          </cell>
          <cell r="O250" t="str">
            <v>..</v>
          </cell>
          <cell r="P250" t="str">
            <v>..</v>
          </cell>
          <cell r="Q250" t="str">
            <v>..</v>
          </cell>
          <cell r="R250" t="str">
            <v>..</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t="str">
            <v>..</v>
          </cell>
          <cell r="AF250" t="str">
            <v>..</v>
          </cell>
          <cell r="AG250" t="str">
            <v>..</v>
          </cell>
          <cell r="AH250" t="str">
            <v>..</v>
          </cell>
          <cell r="AI250" t="str">
            <v>..</v>
          </cell>
          <cell r="AJ250" t="str">
            <v>..</v>
          </cell>
          <cell r="AK250" t="str">
            <v>..</v>
          </cell>
          <cell r="AL250" t="str">
            <v>..</v>
          </cell>
          <cell r="AM250" t="str">
            <v>..</v>
          </cell>
          <cell r="AN250">
            <v>1270.96209279087</v>
          </cell>
          <cell r="AO250">
            <v>1456.6999554588699</v>
          </cell>
          <cell r="AP250">
            <v>1583.7862741377601</v>
          </cell>
          <cell r="AQ250">
            <v>1637.7318123044799</v>
          </cell>
          <cell r="AR250">
            <v>1693.2738714700899</v>
          </cell>
          <cell r="AS250">
            <v>1773.8219132942099</v>
          </cell>
          <cell r="AT250">
            <v>1826.8913487043601</v>
          </cell>
          <cell r="AU250">
            <v>1809.8792764371799</v>
          </cell>
          <cell r="AV250">
            <v>1891.38563568633</v>
          </cell>
          <cell r="AW250">
            <v>2145.0510882716699</v>
          </cell>
          <cell r="AX250">
            <v>2420.2697759644998</v>
          </cell>
          <cell r="AY250">
            <v>2756.5476867771699</v>
          </cell>
          <cell r="AZ250">
            <v>3223.1277556263099</v>
          </cell>
          <cell r="BA250">
            <v>3794.3650200893699</v>
          </cell>
          <cell r="BB250">
            <v>4167.08440311904</v>
          </cell>
          <cell r="BC250">
            <v>4522.5802455868097</v>
          </cell>
          <cell r="BD250">
            <v>4279.9320588788096</v>
          </cell>
          <cell r="BE250">
            <v>4565.9831859869801</v>
          </cell>
          <cell r="BF250">
            <v>4625.6105100927498</v>
          </cell>
          <cell r="BG250">
            <v>4482.2990446558297</v>
          </cell>
          <cell r="BH250">
            <v>4039.42927940866</v>
          </cell>
          <cell r="BI250">
            <v>3957.2731910461398</v>
          </cell>
          <cell r="BJ250">
            <v>3730.3380482000098</v>
          </cell>
          <cell r="BK250">
            <v>3572.5834593668701</v>
          </cell>
          <cell r="BL250">
            <v>3462.4784701211602</v>
          </cell>
          <cell r="BM250">
            <v>3096.37013582196</v>
          </cell>
          <cell r="BN250">
            <v>3096.37013582196</v>
          </cell>
        </row>
        <row r="251">
          <cell r="B251" t="str">
            <v>TMN</v>
          </cell>
          <cell r="C251" t="str">
            <v>GNI per capita, Atlas method (current US$)</v>
          </cell>
          <cell r="D251" t="str">
            <v>NY.GNP.PCAP.CD</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cell r="AJ251" t="str">
            <v>..</v>
          </cell>
          <cell r="AK251">
            <v>1222.9806792126601</v>
          </cell>
          <cell r="AL251">
            <v>1182.0489083181899</v>
          </cell>
          <cell r="AM251">
            <v>1223.51964577631</v>
          </cell>
          <cell r="AN251">
            <v>1270.13104206556</v>
          </cell>
          <cell r="AO251">
            <v>1456.10301004134</v>
          </cell>
          <cell r="AP251">
            <v>1582.6452152167999</v>
          </cell>
          <cell r="AQ251">
            <v>1635.29569297987</v>
          </cell>
          <cell r="AR251">
            <v>1691.1428440470099</v>
          </cell>
          <cell r="AS251">
            <v>1775.93686856467</v>
          </cell>
          <cell r="AT251">
            <v>1831.7240728997201</v>
          </cell>
          <cell r="AU251">
            <v>1816.53160557509</v>
          </cell>
          <cell r="AV251">
            <v>1897.0203292675101</v>
          </cell>
          <cell r="AW251">
            <v>2150.5458662936999</v>
          </cell>
          <cell r="AX251">
            <v>2427.28336459293</v>
          </cell>
          <cell r="AY251">
            <v>2768.18080802228</v>
          </cell>
          <cell r="AZ251">
            <v>3239.1716703305801</v>
          </cell>
          <cell r="BA251">
            <v>3814.25006956471</v>
          </cell>
          <cell r="BB251">
            <v>4188.99990772206</v>
          </cell>
          <cell r="BC251">
            <v>4545.75898268944</v>
          </cell>
          <cell r="BD251">
            <v>4296.2051369310702</v>
          </cell>
          <cell r="BE251">
            <v>4581.8764123333403</v>
          </cell>
          <cell r="BF251">
            <v>4639.1805914792503</v>
          </cell>
          <cell r="BG251">
            <v>4493.1982838248896</v>
          </cell>
          <cell r="BH251">
            <v>4043.8293125195501</v>
          </cell>
          <cell r="BI251">
            <v>3957.9548580888099</v>
          </cell>
          <cell r="BJ251">
            <v>3727.9499401442199</v>
          </cell>
          <cell r="BK251">
            <v>3565.1392725344699</v>
          </cell>
          <cell r="BL251">
            <v>3452.5906178240002</v>
          </cell>
          <cell r="BM251">
            <v>3088.8995656304101</v>
          </cell>
          <cell r="BN251">
            <v>3088.8995656304101</v>
          </cell>
        </row>
        <row r="252">
          <cell r="B252" t="str">
            <v>MIC</v>
          </cell>
          <cell r="C252" t="str">
            <v>GNI per capita, Atlas method (current US$)</v>
          </cell>
          <cell r="D252" t="str">
            <v>NY.GNP.PCAP.CD</v>
          </cell>
          <cell r="E252" t="str">
            <v>..</v>
          </cell>
          <cell r="F252" t="str">
            <v>..</v>
          </cell>
          <cell r="G252">
            <v>135.99883693438099</v>
          </cell>
          <cell r="H252">
            <v>146.678648611688</v>
          </cell>
          <cell r="I252">
            <v>161.44927848879101</v>
          </cell>
          <cell r="J252">
            <v>175.77867779215899</v>
          </cell>
          <cell r="K252">
            <v>184.05437913487199</v>
          </cell>
          <cell r="L252">
            <v>184.42692421786199</v>
          </cell>
          <cell r="M252">
            <v>189.209974254126</v>
          </cell>
          <cell r="N252">
            <v>206.151939865222</v>
          </cell>
          <cell r="O252">
            <v>223.37294258179799</v>
          </cell>
          <cell r="P252">
            <v>236.178586110211</v>
          </cell>
          <cell r="Q252">
            <v>254.781061683377</v>
          </cell>
          <cell r="R252">
            <v>304.44026928641603</v>
          </cell>
          <cell r="S252">
            <v>377.66252979344802</v>
          </cell>
          <cell r="T252">
            <v>446.81982386563402</v>
          </cell>
          <cell r="U252">
            <v>469.70599794265303</v>
          </cell>
          <cell r="V252">
            <v>488.68085519112299</v>
          </cell>
          <cell r="W252">
            <v>525.73276618553803</v>
          </cell>
          <cell r="X252">
            <v>603.70172144705498</v>
          </cell>
          <cell r="Y252">
            <v>689.480418879627</v>
          </cell>
          <cell r="Z252">
            <v>745.32186554068198</v>
          </cell>
          <cell r="AA252">
            <v>742.490398243556</v>
          </cell>
          <cell r="AB252">
            <v>702.57497863947401</v>
          </cell>
          <cell r="AC252">
            <v>689.05777078532105</v>
          </cell>
          <cell r="AD252">
            <v>697.68110732286004</v>
          </cell>
          <cell r="AE252">
            <v>730.65639833168404</v>
          </cell>
          <cell r="AF252">
            <v>787.20265922471697</v>
          </cell>
          <cell r="AG252">
            <v>832.77210431676497</v>
          </cell>
          <cell r="AH252">
            <v>826.28042250254805</v>
          </cell>
          <cell r="AI252">
            <v>860.47159375312197</v>
          </cell>
          <cell r="AJ252">
            <v>865.72766462262405</v>
          </cell>
          <cell r="AK252">
            <v>909.52271153405604</v>
          </cell>
          <cell r="AL252">
            <v>936.43899533675904</v>
          </cell>
          <cell r="AM252">
            <v>982.41529546337699</v>
          </cell>
          <cell r="AN252">
            <v>1050.0956602229301</v>
          </cell>
          <cell r="AO252">
            <v>1154.0394510337201</v>
          </cell>
          <cell r="AP252">
            <v>1228.6836745528601</v>
          </cell>
          <cell r="AQ252">
            <v>1188.25013787844</v>
          </cell>
          <cell r="AR252">
            <v>1169.07741648362</v>
          </cell>
          <cell r="AS252">
            <v>1209.8523223305101</v>
          </cell>
          <cell r="AT252">
            <v>1218.6783803984799</v>
          </cell>
          <cell r="AU252">
            <v>1239.16872843703</v>
          </cell>
          <cell r="AV252">
            <v>1348.5984548136801</v>
          </cell>
          <cell r="AW252">
            <v>1570.2645408313999</v>
          </cell>
          <cell r="AX252">
            <v>1828.8261759218101</v>
          </cell>
          <cell r="AY252">
            <v>2123.3342136618098</v>
          </cell>
          <cell r="AZ252">
            <v>2512.7586398649401</v>
          </cell>
          <cell r="BA252">
            <v>2961.3960072394698</v>
          </cell>
          <cell r="BB252">
            <v>3187.31210352277</v>
          </cell>
          <cell r="BC252">
            <v>3556.74007221701</v>
          </cell>
          <cell r="BD252">
            <v>3964.22094503682</v>
          </cell>
          <cell r="BE252">
            <v>4497.8137541074502</v>
          </cell>
          <cell r="BF252">
            <v>4876.4214703914404</v>
          </cell>
          <cell r="BG252">
            <v>5037.6066059844097</v>
          </cell>
          <cell r="BH252">
            <v>4914.6055447952303</v>
          </cell>
          <cell r="BI252">
            <v>4819.9034651007096</v>
          </cell>
          <cell r="BJ252">
            <v>4912.1367659843199</v>
          </cell>
          <cell r="BK252">
            <v>5257.1702606647304</v>
          </cell>
          <cell r="BL252">
            <v>5522.6407113412497</v>
          </cell>
          <cell r="BM252">
            <v>5317.6767918093201</v>
          </cell>
          <cell r="BN252">
            <v>5317.6767918093201</v>
          </cell>
        </row>
        <row r="253">
          <cell r="B253" t="str">
            <v>NAC</v>
          </cell>
          <cell r="C253" t="str">
            <v>GNI per capita, Atlas method (current US$)</v>
          </cell>
          <cell r="D253" t="str">
            <v>NY.GNP.PCAP.CD</v>
          </cell>
          <cell r="E253" t="str">
            <v>..</v>
          </cell>
          <cell r="F253" t="str">
            <v>..</v>
          </cell>
          <cell r="G253">
            <v>3189.3918412500798</v>
          </cell>
          <cell r="H253">
            <v>3317.4253983875701</v>
          </cell>
          <cell r="I253">
            <v>3503.4260980750801</v>
          </cell>
          <cell r="J253">
            <v>3762.63503019986</v>
          </cell>
          <cell r="K253">
            <v>4066.7866206702101</v>
          </cell>
          <cell r="L253">
            <v>4235.2457266869696</v>
          </cell>
          <cell r="M253">
            <v>4594.9099147897696</v>
          </cell>
          <cell r="N253">
            <v>4911.4830275637596</v>
          </cell>
          <cell r="O253">
            <v>5063.4287905227602</v>
          </cell>
          <cell r="P253">
            <v>5434.1913416493899</v>
          </cell>
          <cell r="Q253">
            <v>6066.8977432710899</v>
          </cell>
          <cell r="R253">
            <v>7043.3694667732898</v>
          </cell>
          <cell r="S253">
            <v>7711.4971977102196</v>
          </cell>
          <cell r="T253">
            <v>8213.9766999224103</v>
          </cell>
          <cell r="U253">
            <v>8648.6176713974492</v>
          </cell>
          <cell r="V253">
            <v>9256.5560886489002</v>
          </cell>
          <cell r="W253">
            <v>10385.375787436</v>
          </cell>
          <cell r="X253">
            <v>11773.614692868799</v>
          </cell>
          <cell r="Y253">
            <v>12913.008503781301</v>
          </cell>
          <cell r="Z253">
            <v>13853.159459873001</v>
          </cell>
          <cell r="AA253">
            <v>13709.850148854999</v>
          </cell>
          <cell r="AB253">
            <v>14045.9819767837</v>
          </cell>
          <cell r="AC253">
            <v>15624.465940112401</v>
          </cell>
          <cell r="AD253">
            <v>16835.7555354668</v>
          </cell>
          <cell r="AE253">
            <v>18419.7116934281</v>
          </cell>
          <cell r="AF253">
            <v>20615.635333352799</v>
          </cell>
          <cell r="AG253">
            <v>22630.7145921954</v>
          </cell>
          <cell r="AH253">
            <v>22875.597751166799</v>
          </cell>
          <cell r="AI253">
            <v>23149.4551460941</v>
          </cell>
          <cell r="AJ253">
            <v>23355.7024949968</v>
          </cell>
          <cell r="AK253">
            <v>24713.567467687499</v>
          </cell>
          <cell r="AL253">
            <v>25400.2538747008</v>
          </cell>
          <cell r="AM253">
            <v>26624.4266539048</v>
          </cell>
          <cell r="AN253">
            <v>27959.607608833401</v>
          </cell>
          <cell r="AO253">
            <v>29149.247811591002</v>
          </cell>
          <cell r="AP253">
            <v>30110.3444529355</v>
          </cell>
          <cell r="AQ253">
            <v>30855.6521992239</v>
          </cell>
          <cell r="AR253">
            <v>32453.7974743382</v>
          </cell>
          <cell r="AS253">
            <v>34661.751698572101</v>
          </cell>
          <cell r="AT253">
            <v>35384.667947185197</v>
          </cell>
          <cell r="AU253">
            <v>35968.910126142298</v>
          </cell>
          <cell r="AV253">
            <v>38420.6739873927</v>
          </cell>
          <cell r="AW253">
            <v>42193.450114312102</v>
          </cell>
          <cell r="AX253">
            <v>45073.875173844099</v>
          </cell>
          <cell r="AY253">
            <v>46945.4711247429</v>
          </cell>
          <cell r="AZ253">
            <v>47993.846027039697</v>
          </cell>
          <cell r="BA253">
            <v>48763.167986350199</v>
          </cell>
          <cell r="BB253">
            <v>47382.032883595602</v>
          </cell>
          <cell r="BC253">
            <v>48687.2984766874</v>
          </cell>
          <cell r="BD253">
            <v>50295.418684241798</v>
          </cell>
          <cell r="BE253">
            <v>52616.557903823799</v>
          </cell>
          <cell r="BF253">
            <v>53872.356248249103</v>
          </cell>
          <cell r="BG253">
            <v>55450.949260956797</v>
          </cell>
          <cell r="BH253">
            <v>55739.2716738503</v>
          </cell>
          <cell r="BI253">
            <v>55805.206012766503</v>
          </cell>
          <cell r="BJ253">
            <v>57600.929276116702</v>
          </cell>
          <cell r="BK253">
            <v>61624.423730181399</v>
          </cell>
          <cell r="BL253">
            <v>63981.781980030501</v>
          </cell>
          <cell r="BM253">
            <v>62371.739905407201</v>
          </cell>
          <cell r="BN253">
            <v>62371.739905407201</v>
          </cell>
        </row>
        <row r="254">
          <cell r="B254" t="str">
            <v>INX</v>
          </cell>
          <cell r="C254" t="str">
            <v>GNI per capita, Atlas method (current US$)</v>
          </cell>
          <cell r="D254" t="str">
            <v>NY.GNP.PCAP.CD</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cell r="AJ254" t="str">
            <v>..</v>
          </cell>
          <cell r="AK254" t="str">
            <v>..</v>
          </cell>
          <cell r="AL254" t="str">
            <v>..</v>
          </cell>
          <cell r="AM254" t="str">
            <v>..</v>
          </cell>
          <cell r="AN254" t="str">
            <v>..</v>
          </cell>
          <cell r="AO254" t="str">
            <v>..</v>
          </cell>
          <cell r="AP254" t="str">
            <v>..</v>
          </cell>
          <cell r="AQ254" t="str">
            <v>..</v>
          </cell>
          <cell r="AR254" t="str">
            <v>..</v>
          </cell>
          <cell r="AS254" t="str">
            <v>..</v>
          </cell>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v>
          </cell>
          <cell r="BN254" t="str">
            <v/>
          </cell>
        </row>
        <row r="255">
          <cell r="B255" t="str">
            <v>OED</v>
          </cell>
          <cell r="C255" t="str">
            <v>GNI per capita, Atlas method (current US$)</v>
          </cell>
          <cell r="D255" t="str">
            <v>NY.GNP.PCAP.CD</v>
          </cell>
          <cell r="E255" t="str">
            <v>..</v>
          </cell>
          <cell r="F255" t="str">
            <v>..</v>
          </cell>
          <cell r="G255">
            <v>1446.15314459977</v>
          </cell>
          <cell r="H255">
            <v>1531.6374367650801</v>
          </cell>
          <cell r="I255">
            <v>1646.1272050601799</v>
          </cell>
          <cell r="J255">
            <v>1781.6994749262799</v>
          </cell>
          <cell r="K255">
            <v>1938.44548952323</v>
          </cell>
          <cell r="L255">
            <v>2057.7410109041498</v>
          </cell>
          <cell r="M255">
            <v>2251.11536079395</v>
          </cell>
          <cell r="N255">
            <v>2444.4620490609</v>
          </cell>
          <cell r="O255">
            <v>2587.4444250264701</v>
          </cell>
          <cell r="P255">
            <v>2811.67091287638</v>
          </cell>
          <cell r="Q255">
            <v>3212.3355750873998</v>
          </cell>
          <cell r="R255">
            <v>3917.9918880192199</v>
          </cell>
          <cell r="S255">
            <v>4566.1003435099501</v>
          </cell>
          <cell r="T255">
            <v>5099.7311736325</v>
          </cell>
          <cell r="U255">
            <v>5377.0287775316901</v>
          </cell>
          <cell r="V255">
            <v>5751.8830871419004</v>
          </cell>
          <cell r="W255">
            <v>6563.4556752301996</v>
          </cell>
          <cell r="X255">
            <v>7864.48517586859</v>
          </cell>
          <cell r="Y255">
            <v>9071.2223236834907</v>
          </cell>
          <cell r="Z255">
            <v>9433.9474261464002</v>
          </cell>
          <cell r="AA255">
            <v>8957.7967864799302</v>
          </cell>
          <cell r="AB255">
            <v>8554.0733699268494</v>
          </cell>
          <cell r="AC255">
            <v>8843.9078316394698</v>
          </cell>
          <cell r="AD255">
            <v>9254.5302372240203</v>
          </cell>
          <cell r="AE255">
            <v>10402.266251174</v>
          </cell>
          <cell r="AF255">
            <v>12464.712394751499</v>
          </cell>
          <cell r="AG255">
            <v>15140.981204399201</v>
          </cell>
          <cell r="AH255">
            <v>15930.5820438307</v>
          </cell>
          <cell r="AI255">
            <v>16665.147518331702</v>
          </cell>
          <cell r="AJ255">
            <v>17317.198587198302</v>
          </cell>
          <cell r="AK255">
            <v>18794.855514957901</v>
          </cell>
          <cell r="AL255">
            <v>19269.9682426531</v>
          </cell>
          <cell r="AM255">
            <v>20291.964916132099</v>
          </cell>
          <cell r="AN255">
            <v>21608.790424117</v>
          </cell>
          <cell r="AO255">
            <v>22639.752034119399</v>
          </cell>
          <cell r="AP255">
            <v>22713.2040450735</v>
          </cell>
          <cell r="AQ255">
            <v>21888.917409812901</v>
          </cell>
          <cell r="AR255">
            <v>22163.031456402801</v>
          </cell>
          <cell r="AS255">
            <v>23130.6093577721</v>
          </cell>
          <cell r="AT255">
            <v>23100.495909426299</v>
          </cell>
          <cell r="AU255">
            <v>22958.806498815498</v>
          </cell>
          <cell r="AV255">
            <v>24693.550942327001</v>
          </cell>
          <cell r="AW255">
            <v>28139.676750602601</v>
          </cell>
          <cell r="AX255">
            <v>30975.763011642801</v>
          </cell>
          <cell r="AY255">
            <v>32493.286198745402</v>
          </cell>
          <cell r="AZ255">
            <v>33752.003064478296</v>
          </cell>
          <cell r="BA255">
            <v>35155.802004613899</v>
          </cell>
          <cell r="BB255">
            <v>34498.891998923602</v>
          </cell>
          <cell r="BC255">
            <v>35440.211076309803</v>
          </cell>
          <cell r="BD255">
            <v>36582.3734131073</v>
          </cell>
          <cell r="BE255">
            <v>37726.955737697201</v>
          </cell>
          <cell r="BF255">
            <v>38367.983281331799</v>
          </cell>
          <cell r="BG255">
            <v>38462.857285650498</v>
          </cell>
          <cell r="BH255">
            <v>37335.973993050597</v>
          </cell>
          <cell r="BI255">
            <v>36457.158869218198</v>
          </cell>
          <cell r="BJ255">
            <v>36629.294749457003</v>
          </cell>
          <cell r="BK255">
            <v>39037.218227451202</v>
          </cell>
          <cell r="BL255">
            <v>40269.153087165098</v>
          </cell>
          <cell r="BM255">
            <v>38598.404121340704</v>
          </cell>
          <cell r="BN255">
            <v>38598.404121340704</v>
          </cell>
        </row>
        <row r="256">
          <cell r="B256" t="str">
            <v>OSS</v>
          </cell>
          <cell r="C256" t="str">
            <v>GNI per capita, Atlas method (current US$)</v>
          </cell>
          <cell r="D256" t="str">
            <v>NY.GNP.PCAP.CD</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cell r="AJ256" t="str">
            <v>..</v>
          </cell>
          <cell r="AK256" t="str">
            <v>..</v>
          </cell>
          <cell r="AL256" t="str">
            <v>..</v>
          </cell>
          <cell r="AM256" t="str">
            <v>..</v>
          </cell>
          <cell r="AN256" t="str">
            <v>..</v>
          </cell>
          <cell r="AO256" t="str">
            <v>..</v>
          </cell>
          <cell r="AP256" t="str">
            <v>..</v>
          </cell>
          <cell r="AQ256" t="str">
            <v>..</v>
          </cell>
          <cell r="AR256" t="str">
            <v>..</v>
          </cell>
          <cell r="AS256" t="str">
            <v>..</v>
          </cell>
          <cell r="AT256" t="str">
            <v>..</v>
          </cell>
          <cell r="AU256">
            <v>4213.3771884060598</v>
          </cell>
          <cell r="AV256">
            <v>4713.5638254031801</v>
          </cell>
          <cell r="AW256">
            <v>5714.5855159279699</v>
          </cell>
          <cell r="AX256">
            <v>6865.7254889360602</v>
          </cell>
          <cell r="AY256">
            <v>8308.3417017033498</v>
          </cell>
          <cell r="AZ256">
            <v>9776.2554066326902</v>
          </cell>
          <cell r="BA256">
            <v>11188.362197234101</v>
          </cell>
          <cell r="BB256">
            <v>11032.823889138601</v>
          </cell>
          <cell r="BC256">
            <v>11524.0230200476</v>
          </cell>
          <cell r="BD256">
            <v>12474.834272341001</v>
          </cell>
          <cell r="BE256">
            <v>13798.686832576999</v>
          </cell>
          <cell r="BF256">
            <v>14879.6472162916</v>
          </cell>
          <cell r="BG256">
            <v>15113.2961701287</v>
          </cell>
          <cell r="BH256">
            <v>14098.774884024901</v>
          </cell>
          <cell r="BI256">
            <v>12990.678826453899</v>
          </cell>
          <cell r="BJ256">
            <v>12280.7098218267</v>
          </cell>
          <cell r="BK256">
            <v>13032.615215349801</v>
          </cell>
          <cell r="BL256">
            <v>13613.909112428701</v>
          </cell>
          <cell r="BM256">
            <v>12379.453881784701</v>
          </cell>
          <cell r="BN256">
            <v>12379.453881784701</v>
          </cell>
        </row>
        <row r="257">
          <cell r="B257" t="str">
            <v>PSS</v>
          </cell>
          <cell r="C257" t="str">
            <v>GNI per capita, Atlas method (current US$)</v>
          </cell>
          <cell r="D257" t="str">
            <v>NY.GNP.PCAP.CD</v>
          </cell>
          <cell r="E257" t="str">
            <v>..</v>
          </cell>
          <cell r="F257" t="str">
            <v>..</v>
          </cell>
          <cell r="G257" t="str">
            <v>..</v>
          </cell>
          <cell r="H257" t="str">
            <v>..</v>
          </cell>
          <cell r="I257" t="str">
            <v>..</v>
          </cell>
          <cell r="J257" t="str">
            <v>..</v>
          </cell>
          <cell r="K257" t="str">
            <v>..</v>
          </cell>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t="str">
            <v>..</v>
          </cell>
          <cell r="Y257" t="str">
            <v>..</v>
          </cell>
          <cell r="Z257" t="str">
            <v>..</v>
          </cell>
          <cell r="AA257">
            <v>1463.48025369057</v>
          </cell>
          <cell r="AB257">
            <v>1314.86260225453</v>
          </cell>
          <cell r="AC257">
            <v>1353.50713620857</v>
          </cell>
          <cell r="AD257">
            <v>1292.54122193995</v>
          </cell>
          <cell r="AE257">
            <v>1408.54840702465</v>
          </cell>
          <cell r="AF257">
            <v>1399.2048527147699</v>
          </cell>
          <cell r="AG257">
            <v>1436.57271679876</v>
          </cell>
          <cell r="AH257">
            <v>1449.4220211568099</v>
          </cell>
          <cell r="AI257">
            <v>1477.5773230951499</v>
          </cell>
          <cell r="AJ257">
            <v>1482.2259473510401</v>
          </cell>
          <cell r="AK257">
            <v>1644.0998180281399</v>
          </cell>
          <cell r="AL257">
            <v>1718.89129778706</v>
          </cell>
          <cell r="AM257">
            <v>1851.7026892133999</v>
          </cell>
          <cell r="AN257">
            <v>2046.7420476043601</v>
          </cell>
          <cell r="AO257">
            <v>2180.8857820043199</v>
          </cell>
          <cell r="AP257">
            <v>2135.49693551682</v>
          </cell>
          <cell r="AQ257">
            <v>1983.8729564630401</v>
          </cell>
          <cell r="AR257">
            <v>1987.7131876117201</v>
          </cell>
          <cell r="AS257">
            <v>1892.0203905322701</v>
          </cell>
          <cell r="AT257">
            <v>1827.90543396054</v>
          </cell>
          <cell r="AU257">
            <v>1791.2168304269801</v>
          </cell>
          <cell r="AV257">
            <v>1921.91689352188</v>
          </cell>
          <cell r="AW257">
            <v>2255.5216888843802</v>
          </cell>
          <cell r="AX257">
            <v>2577.3896892634598</v>
          </cell>
          <cell r="AY257">
            <v>2652.7452182888401</v>
          </cell>
          <cell r="AZ257">
            <v>2809.4096797955099</v>
          </cell>
          <cell r="BA257">
            <v>2978.2988296857202</v>
          </cell>
          <cell r="BB257">
            <v>2945.34164400185</v>
          </cell>
          <cell r="BC257">
            <v>2943.9844199355798</v>
          </cell>
          <cell r="BD257">
            <v>3104.6486347305199</v>
          </cell>
          <cell r="BE257">
            <v>3350.4363586125201</v>
          </cell>
          <cell r="BF257">
            <v>3729.9505397138601</v>
          </cell>
          <cell r="BG257">
            <v>3874.21622577985</v>
          </cell>
          <cell r="BH257">
            <v>3904.12802017792</v>
          </cell>
          <cell r="BI257">
            <v>3941.3235440884</v>
          </cell>
          <cell r="BJ257">
            <v>4000.0394267054699</v>
          </cell>
          <cell r="BK257">
            <v>4289.3824459506704</v>
          </cell>
          <cell r="BL257">
            <v>4353.6754873866703</v>
          </cell>
          <cell r="BM257">
            <v>3914.9937500040201</v>
          </cell>
          <cell r="BN257">
            <v>3914.9937500040201</v>
          </cell>
        </row>
        <row r="258">
          <cell r="B258" t="str">
            <v>PST</v>
          </cell>
          <cell r="C258" t="str">
            <v>GNI per capita, Atlas method (current US$)</v>
          </cell>
          <cell r="D258" t="str">
            <v>NY.GNP.PCAP.CD</v>
          </cell>
          <cell r="E258" t="str">
            <v>..</v>
          </cell>
          <cell r="F258" t="str">
            <v>..</v>
          </cell>
          <cell r="G258">
            <v>1516.9592773668301</v>
          </cell>
          <cell r="H258">
            <v>1608.6079396085599</v>
          </cell>
          <cell r="I258">
            <v>1730.7268082589801</v>
          </cell>
          <cell r="J258">
            <v>1877.15404292125</v>
          </cell>
          <cell r="K258">
            <v>2046.1726851047999</v>
          </cell>
          <cell r="L258">
            <v>2176.96398614393</v>
          </cell>
          <cell r="M258">
            <v>2385.3900868072901</v>
          </cell>
          <cell r="N258">
            <v>2597.5715959690401</v>
          </cell>
          <cell r="O258">
            <v>2755.5314395676801</v>
          </cell>
          <cell r="P258">
            <v>3002.4534691992999</v>
          </cell>
          <cell r="Q258">
            <v>3442.03739030322</v>
          </cell>
          <cell r="R258">
            <v>4210.7239574893301</v>
          </cell>
          <cell r="S258">
            <v>4907.9299154934697</v>
          </cell>
          <cell r="T258">
            <v>5489.25790453839</v>
          </cell>
          <cell r="U258">
            <v>5798.9534559602998</v>
          </cell>
          <cell r="V258">
            <v>6227.9260814512099</v>
          </cell>
          <cell r="W258">
            <v>7128.7982213934201</v>
          </cell>
          <cell r="X258">
            <v>8555.0966223478408</v>
          </cell>
          <cell r="Y258">
            <v>9865.9723437909997</v>
          </cell>
          <cell r="Z258">
            <v>10237.089353678901</v>
          </cell>
          <cell r="AA258">
            <v>9769.07095393483</v>
          </cell>
          <cell r="AB258">
            <v>9398.2171215333601</v>
          </cell>
          <cell r="AC258">
            <v>9777.6537988603795</v>
          </cell>
          <cell r="AD258">
            <v>10263.551315005399</v>
          </cell>
          <cell r="AE258">
            <v>11609.113346</v>
          </cell>
          <cell r="AF258">
            <v>13982.5476700699</v>
          </cell>
          <cell r="AG258">
            <v>17068.0990946688</v>
          </cell>
          <cell r="AH258">
            <v>17978.948902541899</v>
          </cell>
          <cell r="AI258">
            <v>18789.490504097601</v>
          </cell>
          <cell r="AJ258">
            <v>19555.840717698498</v>
          </cell>
          <cell r="AK258">
            <v>21210.859919450799</v>
          </cell>
          <cell r="AL258">
            <v>21700.916691554499</v>
          </cell>
          <cell r="AM258">
            <v>22835.879645836601</v>
          </cell>
          <cell r="AN258">
            <v>24402.849061348901</v>
          </cell>
          <cell r="AO258">
            <v>25624.8052866935</v>
          </cell>
          <cell r="AP258">
            <v>25735.478810709501</v>
          </cell>
          <cell r="AQ258">
            <v>24750.4089118189</v>
          </cell>
          <cell r="AR258">
            <v>25072.439272436801</v>
          </cell>
          <cell r="AS258">
            <v>26134.205889909801</v>
          </cell>
          <cell r="AT258">
            <v>26148.935777378199</v>
          </cell>
          <cell r="AU258">
            <v>25994.478497695301</v>
          </cell>
          <cell r="AV258">
            <v>28036.577484462199</v>
          </cell>
          <cell r="AW258">
            <v>32007.631538325801</v>
          </cell>
          <cell r="AX258">
            <v>35243.0318216218</v>
          </cell>
          <cell r="AY258">
            <v>36930.843023851798</v>
          </cell>
          <cell r="AZ258">
            <v>38305.680951138798</v>
          </cell>
          <cell r="BA258">
            <v>39857.076371454103</v>
          </cell>
          <cell r="BB258">
            <v>39208.7199764334</v>
          </cell>
          <cell r="BC258">
            <v>40338.393711040902</v>
          </cell>
          <cell r="BD258">
            <v>41688.305006401497</v>
          </cell>
          <cell r="BE258">
            <v>42973.196774652897</v>
          </cell>
          <cell r="BF258">
            <v>43717.024920217998</v>
          </cell>
          <cell r="BG258">
            <v>43842.7756992102</v>
          </cell>
          <cell r="BH258">
            <v>42620.196570200598</v>
          </cell>
          <cell r="BI258">
            <v>41816.259248614901</v>
          </cell>
          <cell r="BJ258">
            <v>42222.345493785702</v>
          </cell>
          <cell r="BK258">
            <v>45177.467052339001</v>
          </cell>
          <cell r="BL258">
            <v>46744.9760687378</v>
          </cell>
          <cell r="BM258">
            <v>44973.668142292598</v>
          </cell>
          <cell r="BN258">
            <v>44973.668142292598</v>
          </cell>
        </row>
        <row r="259">
          <cell r="B259" t="str">
            <v>PRE</v>
          </cell>
          <cell r="C259" t="str">
            <v>GNI per capita, Atlas method (current US$)</v>
          </cell>
          <cell r="D259" t="str">
            <v>NY.GNP.PCAP.CD</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v>606.36056826539595</v>
          </cell>
          <cell r="Z259">
            <v>649.10524487674502</v>
          </cell>
          <cell r="AA259">
            <v>688.35492262051196</v>
          </cell>
          <cell r="AB259">
            <v>676.22526958717197</v>
          </cell>
          <cell r="AC259">
            <v>587.02759083718695</v>
          </cell>
          <cell r="AD259">
            <v>558.95467126007395</v>
          </cell>
          <cell r="AE259">
            <v>553.513739439088</v>
          </cell>
          <cell r="AF259">
            <v>592.42381165615302</v>
          </cell>
          <cell r="AG259">
            <v>611.94557283229096</v>
          </cell>
          <cell r="AH259">
            <v>578.35405220465805</v>
          </cell>
          <cell r="AI259">
            <v>703.77667991183398</v>
          </cell>
          <cell r="AJ259">
            <v>391.57549318314301</v>
          </cell>
          <cell r="AK259">
            <v>377.32730026035102</v>
          </cell>
          <cell r="AL259">
            <v>325.35642264309399</v>
          </cell>
          <cell r="AM259">
            <v>293.27338626702101</v>
          </cell>
          <cell r="AN259">
            <v>302.373086871287</v>
          </cell>
          <cell r="AO259">
            <v>326.78806339738901</v>
          </cell>
          <cell r="AP259">
            <v>370.82277153326697</v>
          </cell>
          <cell r="AQ259">
            <v>379.59374187693697</v>
          </cell>
          <cell r="AR259">
            <v>398.56875932442301</v>
          </cell>
          <cell r="AS259">
            <v>415.34408229114001</v>
          </cell>
          <cell r="AT259">
            <v>436.09341518059802</v>
          </cell>
          <cell r="AU259">
            <v>457.649740955239</v>
          </cell>
          <cell r="AV259">
            <v>475.20975443114702</v>
          </cell>
          <cell r="AW259">
            <v>585.95094068224796</v>
          </cell>
          <cell r="AX259">
            <v>677.76862863210499</v>
          </cell>
          <cell r="AY259">
            <v>819.46275449171503</v>
          </cell>
          <cell r="AZ259">
            <v>972.03930657570902</v>
          </cell>
          <cell r="BA259">
            <v>1185.7778838803099</v>
          </cell>
          <cell r="BB259">
            <v>1260.80075626793</v>
          </cell>
          <cell r="BC259">
            <v>1321.97774909232</v>
          </cell>
          <cell r="BD259">
            <v>1368.2502269879501</v>
          </cell>
          <cell r="BE259">
            <v>1527.57303192739</v>
          </cell>
          <cell r="BF259">
            <v>1660.1595033404899</v>
          </cell>
          <cell r="BG259">
            <v>1736.0948289078301</v>
          </cell>
          <cell r="BH259">
            <v>1653.73420237441</v>
          </cell>
          <cell r="BI259">
            <v>1498.3120542508</v>
          </cell>
          <cell r="BJ259">
            <v>1362.94557341369</v>
          </cell>
          <cell r="BK259">
            <v>1373.77242181047</v>
          </cell>
          <cell r="BL259">
            <v>1435.1702201134999</v>
          </cell>
          <cell r="BM259">
            <v>1336.1028510183601</v>
          </cell>
          <cell r="BN259">
            <v>1336.1028510183601</v>
          </cell>
        </row>
        <row r="260">
          <cell r="B260" t="str">
            <v>SST</v>
          </cell>
          <cell r="C260" t="str">
            <v>GNI per capita, Atlas method (current US$)</v>
          </cell>
          <cell r="D260" t="str">
            <v>NY.GNP.PCAP.CD</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t="str">
            <v>..</v>
          </cell>
          <cell r="AU260">
            <v>4271.2905023835301</v>
          </cell>
          <cell r="AV260">
            <v>4738.3144181158304</v>
          </cell>
          <cell r="AW260">
            <v>5615.2951816321302</v>
          </cell>
          <cell r="AX260">
            <v>6585.3281348386799</v>
          </cell>
          <cell r="AY260">
            <v>7793.6929199860297</v>
          </cell>
          <cell r="AZ260">
            <v>9025.3537308494906</v>
          </cell>
          <cell r="BA260">
            <v>10263.0296814759</v>
          </cell>
          <cell r="BB260">
            <v>10083.9234577107</v>
          </cell>
          <cell r="BC260">
            <v>10478.772111806</v>
          </cell>
          <cell r="BD260">
            <v>11173.374172354899</v>
          </cell>
          <cell r="BE260">
            <v>12316.0315556151</v>
          </cell>
          <cell r="BF260">
            <v>13233.2044213191</v>
          </cell>
          <cell r="BG260">
            <v>13429.9508043188</v>
          </cell>
          <cell r="BH260">
            <v>12679.7503504901</v>
          </cell>
          <cell r="BI260">
            <v>11767.9962288603</v>
          </cell>
          <cell r="BJ260">
            <v>11234.2934923474</v>
          </cell>
          <cell r="BK260">
            <v>11884.3804194846</v>
          </cell>
          <cell r="BL260">
            <v>12405.6196057672</v>
          </cell>
          <cell r="BM260">
            <v>11246.345274568699</v>
          </cell>
          <cell r="BN260">
            <v>11246.345274568699</v>
          </cell>
        </row>
        <row r="261">
          <cell r="B261" t="str">
            <v>SAS</v>
          </cell>
          <cell r="C261" t="str">
            <v>GNI per capita, Atlas method (current US$)</v>
          </cell>
          <cell r="D261" t="str">
            <v>NY.GNP.PCAP.CD</v>
          </cell>
          <cell r="E261" t="str">
            <v>..</v>
          </cell>
          <cell r="F261" t="str">
            <v>..</v>
          </cell>
          <cell r="G261">
            <v>86.670073325957901</v>
          </cell>
          <cell r="H261">
            <v>93.943382584618803</v>
          </cell>
          <cell r="I261">
            <v>104.557320127693</v>
          </cell>
          <cell r="J261">
            <v>109.33641733617701</v>
          </cell>
          <cell r="K261">
            <v>105.386701162557</v>
          </cell>
          <cell r="L261">
            <v>106.577955095669</v>
          </cell>
          <cell r="M261">
            <v>103.989374123628</v>
          </cell>
          <cell r="N261">
            <v>111.35084872821599</v>
          </cell>
          <cell r="O261">
            <v>117.976802704261</v>
          </cell>
          <cell r="P261">
            <v>121.91023596645501</v>
          </cell>
          <cell r="Q261">
            <v>125.776016758564</v>
          </cell>
          <cell r="R261">
            <v>141.990443909997</v>
          </cell>
          <cell r="S261">
            <v>164.53134274200599</v>
          </cell>
          <cell r="T261">
            <v>187.66324945406899</v>
          </cell>
          <cell r="U261">
            <v>181.740834444553</v>
          </cell>
          <cell r="V261">
            <v>184.702314588174</v>
          </cell>
          <cell r="W261">
            <v>203.532551799868</v>
          </cell>
          <cell r="X261">
            <v>222.243562182332</v>
          </cell>
          <cell r="Y261">
            <v>267.03706350390598</v>
          </cell>
          <cell r="Z261">
            <v>293.21057494280899</v>
          </cell>
          <cell r="AA261">
            <v>287.26890767034598</v>
          </cell>
          <cell r="AB261">
            <v>281.22711449243599</v>
          </cell>
          <cell r="AC261">
            <v>279.33284313994102</v>
          </cell>
          <cell r="AD261">
            <v>288.94520835768998</v>
          </cell>
          <cell r="AE261">
            <v>308.49527642540397</v>
          </cell>
          <cell r="AF261">
            <v>343.54789113372198</v>
          </cell>
          <cell r="AG261">
            <v>381.49056573271099</v>
          </cell>
          <cell r="AH261">
            <v>378.89946336998202</v>
          </cell>
          <cell r="AI261">
            <v>375.433221617181</v>
          </cell>
          <cell r="AJ261">
            <v>347.969569999589</v>
          </cell>
          <cell r="AK261">
            <v>349.699297748942</v>
          </cell>
          <cell r="AL261">
            <v>335.41329210708102</v>
          </cell>
          <cell r="AM261">
            <v>349.28709768636202</v>
          </cell>
          <cell r="AN261">
            <v>374.67990043958901</v>
          </cell>
          <cell r="AO261">
            <v>406.15649800559203</v>
          </cell>
          <cell r="AP261">
            <v>414.14414770611597</v>
          </cell>
          <cell r="AQ261">
            <v>415.45342366683099</v>
          </cell>
          <cell r="AR261">
            <v>435.83023258708897</v>
          </cell>
          <cell r="AS261">
            <v>445.11813330849901</v>
          </cell>
          <cell r="AT261">
            <v>454.66417875294002</v>
          </cell>
          <cell r="AU261">
            <v>461.42361188504702</v>
          </cell>
          <cell r="AV261">
            <v>513.93464024006198</v>
          </cell>
          <cell r="AW261">
            <v>599.66352017333895</v>
          </cell>
          <cell r="AX261">
            <v>688.32379577915799</v>
          </cell>
          <cell r="AY261">
            <v>762.13526386566298</v>
          </cell>
          <cell r="AZ261">
            <v>871.01192941264605</v>
          </cell>
          <cell r="BA261">
            <v>949.19161808427702</v>
          </cell>
          <cell r="BB261">
            <v>1053.0155009219</v>
          </cell>
          <cell r="BC261">
            <v>1147.1261430674001</v>
          </cell>
          <cell r="BD261">
            <v>1277.12953726096</v>
          </cell>
          <cell r="BE261">
            <v>1390.2097494663301</v>
          </cell>
          <cell r="BF261">
            <v>1437.0894296352301</v>
          </cell>
          <cell r="BG261">
            <v>1480.67258521287</v>
          </cell>
          <cell r="BH261">
            <v>1525.61781104278</v>
          </cell>
          <cell r="BI261">
            <v>1603.34842695153</v>
          </cell>
          <cell r="BJ261">
            <v>1733.68592577345</v>
          </cell>
          <cell r="BK261">
            <v>1904.44948252117</v>
          </cell>
          <cell r="BL261">
            <v>1996.16036723513</v>
          </cell>
          <cell r="BM261">
            <v>1834.9134625163599</v>
          </cell>
          <cell r="BN261">
            <v>1834.9134625163599</v>
          </cell>
        </row>
        <row r="262">
          <cell r="B262" t="str">
            <v>TSA</v>
          </cell>
          <cell r="C262" t="str">
            <v>GNI per capita, Atlas method (current US$)</v>
          </cell>
          <cell r="D262" t="str">
            <v>NY.GNP.PCAP.CD</v>
          </cell>
          <cell r="E262" t="str">
            <v>..</v>
          </cell>
          <cell r="F262" t="str">
            <v>..</v>
          </cell>
          <cell r="G262">
            <v>86.670073325957901</v>
          </cell>
          <cell r="H262">
            <v>93.943382584618803</v>
          </cell>
          <cell r="I262">
            <v>104.557320127693</v>
          </cell>
          <cell r="J262">
            <v>109.33641733617701</v>
          </cell>
          <cell r="K262">
            <v>105.386701162557</v>
          </cell>
          <cell r="L262">
            <v>106.577955095669</v>
          </cell>
          <cell r="M262">
            <v>103.989374123628</v>
          </cell>
          <cell r="N262">
            <v>111.35084872821599</v>
          </cell>
          <cell r="O262">
            <v>117.976802704261</v>
          </cell>
          <cell r="P262">
            <v>121.91023596645501</v>
          </cell>
          <cell r="Q262">
            <v>125.776016758564</v>
          </cell>
          <cell r="R262">
            <v>141.990443909997</v>
          </cell>
          <cell r="S262">
            <v>164.53134274200599</v>
          </cell>
          <cell r="T262">
            <v>187.66324945406899</v>
          </cell>
          <cell r="U262">
            <v>181.740834444553</v>
          </cell>
          <cell r="V262">
            <v>184.702314588174</v>
          </cell>
          <cell r="W262">
            <v>203.532551799868</v>
          </cell>
          <cell r="X262">
            <v>222.243562182332</v>
          </cell>
          <cell r="Y262">
            <v>267.03706350390598</v>
          </cell>
          <cell r="Z262">
            <v>293.21057494280899</v>
          </cell>
          <cell r="AA262">
            <v>287.26890767034598</v>
          </cell>
          <cell r="AB262">
            <v>281.22711449243599</v>
          </cell>
          <cell r="AC262">
            <v>279.33284313994102</v>
          </cell>
          <cell r="AD262">
            <v>288.94520835768998</v>
          </cell>
          <cell r="AE262">
            <v>308.49527642540397</v>
          </cell>
          <cell r="AF262">
            <v>343.54789113372198</v>
          </cell>
          <cell r="AG262">
            <v>381.49056573271099</v>
          </cell>
          <cell r="AH262">
            <v>378.89946336998202</v>
          </cell>
          <cell r="AI262">
            <v>375.433221617181</v>
          </cell>
          <cell r="AJ262">
            <v>347.969569999589</v>
          </cell>
          <cell r="AK262">
            <v>349.699297748942</v>
          </cell>
          <cell r="AL262">
            <v>335.41329210708102</v>
          </cell>
          <cell r="AM262">
            <v>349.28709768636202</v>
          </cell>
          <cell r="AN262">
            <v>374.67990043958901</v>
          </cell>
          <cell r="AO262">
            <v>406.15649800559203</v>
          </cell>
          <cell r="AP262">
            <v>414.14414770611597</v>
          </cell>
          <cell r="AQ262">
            <v>415.45342366683099</v>
          </cell>
          <cell r="AR262">
            <v>435.83023258708897</v>
          </cell>
          <cell r="AS262">
            <v>445.11813330849901</v>
          </cell>
          <cell r="AT262">
            <v>454.66417875294002</v>
          </cell>
          <cell r="AU262">
            <v>461.42361188504702</v>
          </cell>
          <cell r="AV262">
            <v>513.93464024006198</v>
          </cell>
          <cell r="AW262">
            <v>599.66352017333895</v>
          </cell>
          <cell r="AX262">
            <v>688.32379577915799</v>
          </cell>
          <cell r="AY262">
            <v>762.13526386566298</v>
          </cell>
          <cell r="AZ262">
            <v>871.01192941264605</v>
          </cell>
          <cell r="BA262">
            <v>949.19161808427702</v>
          </cell>
          <cell r="BB262">
            <v>1053.0155009219</v>
          </cell>
          <cell r="BC262">
            <v>1147.1261430674001</v>
          </cell>
          <cell r="BD262">
            <v>1277.12953726096</v>
          </cell>
          <cell r="BE262">
            <v>1390.2097494663301</v>
          </cell>
          <cell r="BF262">
            <v>1437.0894296352301</v>
          </cell>
          <cell r="BG262">
            <v>1480.67258521287</v>
          </cell>
          <cell r="BH262">
            <v>1525.61781104278</v>
          </cell>
          <cell r="BI262">
            <v>1603.34842695153</v>
          </cell>
          <cell r="BJ262">
            <v>1733.68592577345</v>
          </cell>
          <cell r="BK262">
            <v>1904.44948252117</v>
          </cell>
          <cell r="BL262">
            <v>1996.16036723513</v>
          </cell>
          <cell r="BM262">
            <v>1834.9134625163599</v>
          </cell>
          <cell r="BN262">
            <v>1834.9134625163599</v>
          </cell>
        </row>
        <row r="263">
          <cell r="B263" t="str">
            <v>SSF</v>
          </cell>
          <cell r="C263" t="str">
            <v>GNI per capita, Atlas method (current US$)</v>
          </cell>
          <cell r="D263" t="str">
            <v>NY.GNP.PCAP.CD</v>
          </cell>
          <cell r="E263" t="str">
            <v>..</v>
          </cell>
          <cell r="F263" t="str">
            <v>..</v>
          </cell>
          <cell r="G263">
            <v>116.82577804279499</v>
          </cell>
          <cell r="H263">
            <v>123.52912472232001</v>
          </cell>
          <cell r="I263">
            <v>129.38582792832901</v>
          </cell>
          <cell r="J263">
            <v>136.848677004883</v>
          </cell>
          <cell r="K263">
            <v>142.07773004845501</v>
          </cell>
          <cell r="L263">
            <v>145.742941091483</v>
          </cell>
          <cell r="M263">
            <v>152.11373721620399</v>
          </cell>
          <cell r="N263">
            <v>164.84742448220101</v>
          </cell>
          <cell r="O263">
            <v>185.496451772022</v>
          </cell>
          <cell r="P263">
            <v>197.70297800407499</v>
          </cell>
          <cell r="Q263">
            <v>210.86850213042899</v>
          </cell>
          <cell r="R263">
            <v>244.15416527572799</v>
          </cell>
          <cell r="S263">
            <v>319.44420068386501</v>
          </cell>
          <cell r="T263">
            <v>373.05972830939902</v>
          </cell>
          <cell r="U263">
            <v>400.02177560903601</v>
          </cell>
          <cell r="V263">
            <v>411.455294818293</v>
          </cell>
          <cell r="W263">
            <v>432.92206861996698</v>
          </cell>
          <cell r="X263">
            <v>506.69116770756699</v>
          </cell>
          <cell r="Y263">
            <v>604.66630736992397</v>
          </cell>
          <cell r="Z263">
            <v>695.78067245375905</v>
          </cell>
          <cell r="AA263">
            <v>730.62097420106704</v>
          </cell>
          <cell r="AB263">
            <v>719.17661117576097</v>
          </cell>
          <cell r="AC263">
            <v>631.91482968275898</v>
          </cell>
          <cell r="AD263">
            <v>570.22815582775195</v>
          </cell>
          <cell r="AE263">
            <v>547.99545280091297</v>
          </cell>
          <cell r="AF263">
            <v>585.63884191777299</v>
          </cell>
          <cell r="AG263">
            <v>635.43763647579306</v>
          </cell>
          <cell r="AH263">
            <v>621.69831491714501</v>
          </cell>
          <cell r="AI263">
            <v>607.62002583932303</v>
          </cell>
          <cell r="AJ263">
            <v>616.05868831397697</v>
          </cell>
          <cell r="AK263">
            <v>621.40141063553801</v>
          </cell>
          <cell r="AL263">
            <v>596.240450357491</v>
          </cell>
          <cell r="AM263">
            <v>580.15262640849903</v>
          </cell>
          <cell r="AN263">
            <v>603.54434122108501</v>
          </cell>
          <cell r="AO263">
            <v>617.86012801947004</v>
          </cell>
          <cell r="AP263">
            <v>635.12094846911896</v>
          </cell>
          <cell r="AQ263">
            <v>600.15096475076302</v>
          </cell>
          <cell r="AR263">
            <v>588.43717940626402</v>
          </cell>
          <cell r="AS263">
            <v>581.30288701092695</v>
          </cell>
          <cell r="AT263">
            <v>574.91532274311498</v>
          </cell>
          <cell r="AU263">
            <v>583.88250038084698</v>
          </cell>
          <cell r="AV263">
            <v>639.06177700456306</v>
          </cell>
          <cell r="AW263">
            <v>777.50691150963496</v>
          </cell>
          <cell r="AX263">
            <v>952.99603439498901</v>
          </cell>
          <cell r="AY263">
            <v>1105.56127770903</v>
          </cell>
          <cell r="AZ263">
            <v>1239.4293950864401</v>
          </cell>
          <cell r="BA263">
            <v>1390.842916715</v>
          </cell>
          <cell r="BB263">
            <v>1429.04445909019</v>
          </cell>
          <cell r="BC263">
            <v>1492.8481850973899</v>
          </cell>
          <cell r="BD263">
            <v>1580.1371469109599</v>
          </cell>
          <cell r="BE263">
            <v>1711.01654772194</v>
          </cell>
          <cell r="BF263">
            <v>1791.94458299097</v>
          </cell>
          <cell r="BG263">
            <v>1832.0887340111201</v>
          </cell>
          <cell r="BH263">
            <v>1751.30801667018</v>
          </cell>
          <cell r="BI263">
            <v>1599.1666358524801</v>
          </cell>
          <cell r="BJ263">
            <v>1510.1144247471</v>
          </cell>
          <cell r="BK263">
            <v>1541.9962420597201</v>
          </cell>
          <cell r="BL263">
            <v>1589.6248763577601</v>
          </cell>
          <cell r="BM263">
            <v>1506.5013936964201</v>
          </cell>
          <cell r="BN263">
            <v>1506.5013936964201</v>
          </cell>
        </row>
        <row r="264">
          <cell r="B264" t="str">
            <v>SSA</v>
          </cell>
          <cell r="C264" t="str">
            <v>GNI per capita, Atlas method (current US$)</v>
          </cell>
          <cell r="D264" t="str">
            <v>NY.GNP.PCAP.CD</v>
          </cell>
          <cell r="E264" t="str">
            <v>..</v>
          </cell>
          <cell r="F264" t="str">
            <v>..</v>
          </cell>
          <cell r="G264">
            <v>116.79776022068501</v>
          </cell>
          <cell r="H264">
            <v>123.498059326129</v>
          </cell>
          <cell r="I264">
            <v>129.353059050399</v>
          </cell>
          <cell r="J264">
            <v>136.81863570317699</v>
          </cell>
          <cell r="K264">
            <v>142.04104878934601</v>
          </cell>
          <cell r="L264">
            <v>145.71013453864401</v>
          </cell>
          <cell r="M264">
            <v>152.08296834117701</v>
          </cell>
          <cell r="N264">
            <v>164.82348655673599</v>
          </cell>
          <cell r="O264">
            <v>185.474835481816</v>
          </cell>
          <cell r="P264">
            <v>197.67259069883301</v>
          </cell>
          <cell r="Q264">
            <v>210.82696459892099</v>
          </cell>
          <cell r="R264">
            <v>244.093537758107</v>
          </cell>
          <cell r="S264">
            <v>319.37454643608697</v>
          </cell>
          <cell r="T264">
            <v>372.98580300235699</v>
          </cell>
          <cell r="U264">
            <v>399.94729953709401</v>
          </cell>
          <cell r="V264">
            <v>411.39245644368901</v>
          </cell>
          <cell r="W264">
            <v>432.809644513276</v>
          </cell>
          <cell r="X264">
            <v>506.49090003561003</v>
          </cell>
          <cell r="Y264">
            <v>604.42954757392101</v>
          </cell>
          <cell r="Z264">
            <v>695.53764417454204</v>
          </cell>
          <cell r="AA264">
            <v>730.395089350798</v>
          </cell>
          <cell r="AB264">
            <v>718.97353396184099</v>
          </cell>
          <cell r="AC264">
            <v>631.69268241766099</v>
          </cell>
          <cell r="AD264">
            <v>569.95639167964498</v>
          </cell>
          <cell r="AE264">
            <v>547.68954948789496</v>
          </cell>
          <cell r="AF264">
            <v>585.26482993765001</v>
          </cell>
          <cell r="AG264">
            <v>634.96883939325301</v>
          </cell>
          <cell r="AH264">
            <v>621.15598475790296</v>
          </cell>
          <cell r="AI264">
            <v>607.01955142264205</v>
          </cell>
          <cell r="AJ264">
            <v>615.44493068426004</v>
          </cell>
          <cell r="AK264">
            <v>620.69602059185695</v>
          </cell>
          <cell r="AL264">
            <v>595.48163190090702</v>
          </cell>
          <cell r="AM264">
            <v>579.37093451288797</v>
          </cell>
          <cell r="AN264">
            <v>602.78480096222404</v>
          </cell>
          <cell r="AO264">
            <v>617.07585528678396</v>
          </cell>
          <cell r="AP264">
            <v>634.27451628966901</v>
          </cell>
          <cell r="AQ264">
            <v>599.30725280069703</v>
          </cell>
          <cell r="AR264">
            <v>587.60076565013196</v>
          </cell>
          <cell r="AS264">
            <v>580.48053184304001</v>
          </cell>
          <cell r="AT264">
            <v>574.109940644689</v>
          </cell>
          <cell r="AU264">
            <v>583.13065363833402</v>
          </cell>
          <cell r="AV264">
            <v>638.269770989824</v>
          </cell>
          <cell r="AW264">
            <v>776.55344276346602</v>
          </cell>
          <cell r="AX264">
            <v>951.87863885957597</v>
          </cell>
          <cell r="AY264">
            <v>1104.3104932903</v>
          </cell>
          <cell r="AZ264">
            <v>1238.2531926970501</v>
          </cell>
          <cell r="BA264">
            <v>1389.80643632836</v>
          </cell>
          <cell r="BB264">
            <v>1428.13566439551</v>
          </cell>
          <cell r="BC264">
            <v>1491.9467734263901</v>
          </cell>
          <cell r="BD264">
            <v>1579.2577173970301</v>
          </cell>
          <cell r="BE264">
            <v>1710.07119008982</v>
          </cell>
          <cell r="BF264">
            <v>1790.9043052031</v>
          </cell>
          <cell r="BG264">
            <v>1831.0032664903999</v>
          </cell>
          <cell r="BH264">
            <v>1750.1566808857699</v>
          </cell>
          <cell r="BI264">
            <v>1598.03349627734</v>
          </cell>
          <cell r="BJ264">
            <v>1508.9452211698399</v>
          </cell>
          <cell r="BK264">
            <v>1540.72118451817</v>
          </cell>
          <cell r="BL264">
            <v>1588.3722510099601</v>
          </cell>
          <cell r="BM264">
            <v>1505.5744931382501</v>
          </cell>
          <cell r="BN264">
            <v>1505.5744931382501</v>
          </cell>
        </row>
        <row r="265">
          <cell r="B265" t="str">
            <v>TSS</v>
          </cell>
          <cell r="C265" t="str">
            <v>GNI per capita, Atlas method (current US$)</v>
          </cell>
          <cell r="D265" t="str">
            <v>NY.GNP.PCAP.CD</v>
          </cell>
          <cell r="E265" t="str">
            <v>..</v>
          </cell>
          <cell r="F265" t="str">
            <v>..</v>
          </cell>
          <cell r="G265">
            <v>116.82577804279499</v>
          </cell>
          <cell r="H265">
            <v>123.52912472232001</v>
          </cell>
          <cell r="I265">
            <v>129.38582792832901</v>
          </cell>
          <cell r="J265">
            <v>136.848677004883</v>
          </cell>
          <cell r="K265">
            <v>142.07773004845399</v>
          </cell>
          <cell r="L265">
            <v>145.74294109148201</v>
          </cell>
          <cell r="M265">
            <v>152.11373721620299</v>
          </cell>
          <cell r="N265">
            <v>164.84742448220001</v>
          </cell>
          <cell r="O265">
            <v>185.496451772022</v>
          </cell>
          <cell r="P265">
            <v>197.70297800407499</v>
          </cell>
          <cell r="Q265">
            <v>210.86850213042899</v>
          </cell>
          <cell r="R265">
            <v>244.154165275727</v>
          </cell>
          <cell r="S265">
            <v>319.44420068386501</v>
          </cell>
          <cell r="T265">
            <v>373.05972830939902</v>
          </cell>
          <cell r="U265">
            <v>400.02177560903601</v>
          </cell>
          <cell r="V265">
            <v>411.455294818293</v>
          </cell>
          <cell r="W265">
            <v>432.92206861996601</v>
          </cell>
          <cell r="X265">
            <v>506.69116770756602</v>
          </cell>
          <cell r="Y265">
            <v>604.66630736992295</v>
          </cell>
          <cell r="Z265">
            <v>695.78067245375803</v>
          </cell>
          <cell r="AA265">
            <v>730.62097420106602</v>
          </cell>
          <cell r="AB265">
            <v>719.17661117575994</v>
          </cell>
          <cell r="AC265">
            <v>631.91482968275795</v>
          </cell>
          <cell r="AD265">
            <v>570.22815582775104</v>
          </cell>
          <cell r="AE265">
            <v>547.99545280091195</v>
          </cell>
          <cell r="AF265">
            <v>585.63884191777197</v>
          </cell>
          <cell r="AG265">
            <v>635.43763647579203</v>
          </cell>
          <cell r="AH265">
            <v>621.69831491714399</v>
          </cell>
          <cell r="AI265">
            <v>607.62002583932201</v>
          </cell>
          <cell r="AJ265">
            <v>616.05868831397595</v>
          </cell>
          <cell r="AK265">
            <v>621.40141063553801</v>
          </cell>
          <cell r="AL265">
            <v>596.24045035748998</v>
          </cell>
          <cell r="AM265">
            <v>580.15262640849801</v>
          </cell>
          <cell r="AN265">
            <v>603.54434122108501</v>
          </cell>
          <cell r="AO265">
            <v>617.86012801947004</v>
          </cell>
          <cell r="AP265">
            <v>635.12094846911896</v>
          </cell>
          <cell r="AQ265">
            <v>600.150964750762</v>
          </cell>
          <cell r="AR265">
            <v>588.437179406263</v>
          </cell>
          <cell r="AS265">
            <v>581.30288701092604</v>
          </cell>
          <cell r="AT265">
            <v>574.91532274311498</v>
          </cell>
          <cell r="AU265">
            <v>583.88250038084698</v>
          </cell>
          <cell r="AV265">
            <v>639.06177700456203</v>
          </cell>
          <cell r="AW265">
            <v>777.50691150963496</v>
          </cell>
          <cell r="AX265">
            <v>952.99603439498799</v>
          </cell>
          <cell r="AY265">
            <v>1105.56127770903</v>
          </cell>
          <cell r="AZ265">
            <v>1239.4293950864401</v>
          </cell>
          <cell r="BA265">
            <v>1390.842916715</v>
          </cell>
          <cell r="BB265">
            <v>1429.04445909019</v>
          </cell>
          <cell r="BC265">
            <v>1492.8481850973899</v>
          </cell>
          <cell r="BD265">
            <v>1580.1371469109499</v>
          </cell>
          <cell r="BE265">
            <v>1711.01654772194</v>
          </cell>
          <cell r="BF265">
            <v>1791.94458299097</v>
          </cell>
          <cell r="BG265">
            <v>1832.0887340111201</v>
          </cell>
          <cell r="BH265">
            <v>1751.30801667018</v>
          </cell>
          <cell r="BI265">
            <v>1599.1666358524801</v>
          </cell>
          <cell r="BJ265">
            <v>1510.1144247471</v>
          </cell>
          <cell r="BK265">
            <v>1541.9962420597201</v>
          </cell>
          <cell r="BL265">
            <v>1589.6248763577601</v>
          </cell>
          <cell r="BM265">
            <v>1506.5013936964201</v>
          </cell>
          <cell r="BN265">
            <v>1506.5013936964201</v>
          </cell>
        </row>
        <row r="266">
          <cell r="B266" t="str">
            <v>UMC</v>
          </cell>
          <cell r="C266" t="str">
            <v>GNI per capita, Atlas method (current US$)</v>
          </cell>
          <cell r="D266" t="str">
            <v>NY.GNP.PCAP.CD</v>
          </cell>
          <cell r="E266" t="str">
            <v>..</v>
          </cell>
          <cell r="F266" t="str">
            <v>..</v>
          </cell>
          <cell r="G266">
            <v>171.415402944189</v>
          </cell>
          <cell r="H266">
            <v>187.24064786069999</v>
          </cell>
          <cell r="I266">
            <v>209.80251021055901</v>
          </cell>
          <cell r="J266">
            <v>233.29682710736799</v>
          </cell>
          <cell r="K266">
            <v>252.577933725603</v>
          </cell>
          <cell r="L266">
            <v>251.14119154031999</v>
          </cell>
          <cell r="M266">
            <v>259.64474360101002</v>
          </cell>
          <cell r="N266">
            <v>283.75952888163101</v>
          </cell>
          <cell r="O266">
            <v>308.05807999344302</v>
          </cell>
          <cell r="P266">
            <v>327.17996074656998</v>
          </cell>
          <cell r="Q266">
            <v>353.723193917142</v>
          </cell>
          <cell r="R266">
            <v>428.368738954077</v>
          </cell>
          <cell r="S266">
            <v>530.11719862660902</v>
          </cell>
          <cell r="T266">
            <v>624.49979308110096</v>
          </cell>
          <cell r="U266">
            <v>642.13998127890295</v>
          </cell>
          <cell r="V266">
            <v>665.38440319987603</v>
          </cell>
          <cell r="W266">
            <v>713.47942742698399</v>
          </cell>
          <cell r="X266">
            <v>828.18491266758497</v>
          </cell>
          <cell r="Y266">
            <v>944.60711079088901</v>
          </cell>
          <cell r="Z266">
            <v>1004.81000996102</v>
          </cell>
          <cell r="AA266">
            <v>959.05866341960302</v>
          </cell>
          <cell r="AB266">
            <v>876.25778290767403</v>
          </cell>
          <cell r="AC266">
            <v>878.33570640388803</v>
          </cell>
          <cell r="AD266">
            <v>888.51751258374895</v>
          </cell>
          <cell r="AE266">
            <v>936.02819402757802</v>
          </cell>
          <cell r="AF266">
            <v>1023.95903695897</v>
          </cell>
          <cell r="AG266">
            <v>1106.15657105691</v>
          </cell>
          <cell r="AH266">
            <v>1122.4816668108699</v>
          </cell>
          <cell r="AI266">
            <v>1210.6559796142301</v>
          </cell>
          <cell r="AJ266">
            <v>1222.78234325737</v>
          </cell>
          <cell r="AK266">
            <v>1312.8027831254501</v>
          </cell>
          <cell r="AL266">
            <v>1389.5477008312801</v>
          </cell>
          <cell r="AM266">
            <v>1488.0689122746701</v>
          </cell>
          <cell r="AN266">
            <v>1593.7528428436699</v>
          </cell>
          <cell r="AO266">
            <v>1759.84333544181</v>
          </cell>
          <cell r="AP266">
            <v>1896.2449295608899</v>
          </cell>
          <cell r="AQ266">
            <v>1859.31910516128</v>
          </cell>
          <cell r="AR266">
            <v>1821.35683126757</v>
          </cell>
          <cell r="AS266">
            <v>1906.1634852547299</v>
          </cell>
          <cell r="AT266">
            <v>1905.5069192291801</v>
          </cell>
          <cell r="AU266">
            <v>1938.3702151078801</v>
          </cell>
          <cell r="AV266">
            <v>2105.3335022409801</v>
          </cell>
          <cell r="AW266">
            <v>2463.0021236532298</v>
          </cell>
          <cell r="AX266">
            <v>2897.7811777647898</v>
          </cell>
          <cell r="AY266">
            <v>3407.4752448038198</v>
          </cell>
          <cell r="AZ266">
            <v>4073.3891162666901</v>
          </cell>
          <cell r="BA266">
            <v>4861.3478305882199</v>
          </cell>
          <cell r="BB266">
            <v>5229.5458122010896</v>
          </cell>
          <cell r="BC266">
            <v>5890.58784762921</v>
          </cell>
          <cell r="BD266">
            <v>6614.5827034497397</v>
          </cell>
          <cell r="BE266">
            <v>7581.6080650580097</v>
          </cell>
          <cell r="BF266">
            <v>8323.6415568808807</v>
          </cell>
          <cell r="BG266">
            <v>8662.9818931465907</v>
          </cell>
          <cell r="BH266">
            <v>8456.6713901089497</v>
          </cell>
          <cell r="BI266">
            <v>8254.5585359941906</v>
          </cell>
          <cell r="BJ266">
            <v>8434.06349146924</v>
          </cell>
          <cell r="BK266">
            <v>9105.1685892801906</v>
          </cell>
          <cell r="BL266">
            <v>9658.65839766098</v>
          </cell>
          <cell r="BM266">
            <v>9412.2274930324893</v>
          </cell>
          <cell r="BN266">
            <v>9412.2274930324893</v>
          </cell>
        </row>
        <row r="267">
          <cell r="B267" t="str">
            <v>WLD</v>
          </cell>
          <cell r="C267" t="str">
            <v>GNI per capita, Atlas method (current US$)</v>
          </cell>
          <cell r="D267" t="str">
            <v>NY.GNP.PCAP.CD</v>
          </cell>
          <cell r="E267" t="str">
            <v>..</v>
          </cell>
          <cell r="F267" t="str">
            <v>..</v>
          </cell>
          <cell r="G267">
            <v>481.75987551009899</v>
          </cell>
          <cell r="H267">
            <v>508.66299660203202</v>
          </cell>
          <cell r="I267">
            <v>544.83057438343099</v>
          </cell>
          <cell r="J267">
            <v>586.45325433832204</v>
          </cell>
          <cell r="K267">
            <v>629.03473032715203</v>
          </cell>
          <cell r="L267">
            <v>656.40600529383403</v>
          </cell>
          <cell r="M267">
            <v>704.47407687141401</v>
          </cell>
          <cell r="N267">
            <v>760.20732636959895</v>
          </cell>
          <cell r="O267">
            <v>803.14042462458303</v>
          </cell>
          <cell r="P267">
            <v>863.97287307651902</v>
          </cell>
          <cell r="Q267">
            <v>971.29940358172098</v>
          </cell>
          <cell r="R267">
            <v>1173.7319773324</v>
          </cell>
          <cell r="S267">
            <v>1374.51016385517</v>
          </cell>
          <cell r="T267">
            <v>1541.6352167349301</v>
          </cell>
          <cell r="U267">
            <v>1621.83583424227</v>
          </cell>
          <cell r="V267">
            <v>1719.2398829925701</v>
          </cell>
          <cell r="W267">
            <v>1929.4724238660599</v>
          </cell>
          <cell r="X267">
            <v>2282.6263040731501</v>
          </cell>
          <cell r="Y267">
            <v>2613.6051814846501</v>
          </cell>
          <cell r="Z267">
            <v>2718.9496324808001</v>
          </cell>
          <cell r="AA267">
            <v>2589.5414467947799</v>
          </cell>
          <cell r="AB267">
            <v>2455.70639402496</v>
          </cell>
          <cell r="AC267">
            <v>2498.7977957418598</v>
          </cell>
          <cell r="AD267">
            <v>2576.74482148981</v>
          </cell>
          <cell r="AE267">
            <v>2846.7874033081598</v>
          </cell>
          <cell r="AF267">
            <v>3324.1258394759998</v>
          </cell>
          <cell r="AG267">
            <v>3926.63126798749</v>
          </cell>
          <cell r="AH267">
            <v>4062.7428101436699</v>
          </cell>
          <cell r="AI267">
            <v>4209.9835134149098</v>
          </cell>
          <cell r="AJ267">
            <v>4328.6075201211597</v>
          </cell>
          <cell r="AK267">
            <v>4646.0480707295801</v>
          </cell>
          <cell r="AL267">
            <v>4730.7000467329799</v>
          </cell>
          <cell r="AM267">
            <v>4944.9613019636799</v>
          </cell>
          <cell r="AN267">
            <v>5251.9541342033899</v>
          </cell>
          <cell r="AO267">
            <v>5520.9914215127501</v>
          </cell>
          <cell r="AP267">
            <v>5569.1121970390504</v>
          </cell>
          <cell r="AQ267">
            <v>5328.8869992796099</v>
          </cell>
          <cell r="AR267">
            <v>5333.5838667067401</v>
          </cell>
          <cell r="AS267">
            <v>5520.3222952383903</v>
          </cell>
          <cell r="AT267">
            <v>5498.2419088641</v>
          </cell>
          <cell r="AU267">
            <v>5454.4190276714298</v>
          </cell>
          <cell r="AV267">
            <v>5854.9659375712599</v>
          </cell>
          <cell r="AW267">
            <v>6672.1355015879899</v>
          </cell>
          <cell r="AX267">
            <v>7391.72807592353</v>
          </cell>
          <cell r="AY267">
            <v>7887.1033331161498</v>
          </cell>
          <cell r="AZ267">
            <v>8407.4236362736592</v>
          </cell>
          <cell r="BA267">
            <v>9004.9790887716899</v>
          </cell>
          <cell r="BB267">
            <v>9036.1090620766608</v>
          </cell>
          <cell r="BC267">
            <v>9470.2788509102393</v>
          </cell>
          <cell r="BD267">
            <v>9941.1346582821607</v>
          </cell>
          <cell r="BE267">
            <v>10522.5894183006</v>
          </cell>
          <cell r="BF267">
            <v>10894.3594349376</v>
          </cell>
          <cell r="BG267">
            <v>11005.7157790657</v>
          </cell>
          <cell r="BH267">
            <v>10650.364290861</v>
          </cell>
          <cell r="BI267">
            <v>10391.861975662399</v>
          </cell>
          <cell r="BJ267">
            <v>10464.8279231081</v>
          </cell>
          <cell r="BK267">
            <v>11148.930490024401</v>
          </cell>
          <cell r="BL267">
            <v>11552.732784928299</v>
          </cell>
          <cell r="BM267">
            <v>11067.861728973299</v>
          </cell>
          <cell r="BN267">
            <v>11067.861728973299</v>
          </cell>
        </row>
      </sheetData>
      <sheetData sheetId="18">
        <row r="1">
          <cell r="B1" t="str">
            <v>Country Code</v>
          </cell>
          <cell r="C1" t="str">
            <v>Series Name</v>
          </cell>
          <cell r="D1" t="str">
            <v>Series Code</v>
          </cell>
          <cell r="E1" t="str">
            <v>1960 [YR1960]</v>
          </cell>
          <cell r="F1" t="str">
            <v>1961 [YR1961]</v>
          </cell>
          <cell r="G1" t="str">
            <v>1962 [YR1962]</v>
          </cell>
          <cell r="H1" t="str">
            <v>1963 [YR1963]</v>
          </cell>
          <cell r="I1" t="str">
            <v>1964 [YR1964]</v>
          </cell>
          <cell r="J1" t="str">
            <v>1965 [YR1965]</v>
          </cell>
          <cell r="K1" t="str">
            <v>1966 [YR1966]</v>
          </cell>
          <cell r="L1" t="str">
            <v>1967 [YR1967]</v>
          </cell>
          <cell r="M1" t="str">
            <v>1968 [YR1968]</v>
          </cell>
          <cell r="N1" t="str">
            <v>1969 [YR1969]</v>
          </cell>
          <cell r="O1" t="str">
            <v>1970 [YR1970]</v>
          </cell>
          <cell r="P1" t="str">
            <v>1971 [YR1971]</v>
          </cell>
          <cell r="Q1" t="str">
            <v>1972 [YR1972]</v>
          </cell>
          <cell r="R1" t="str">
            <v>1973 [YR1973]</v>
          </cell>
          <cell r="S1" t="str">
            <v>1974 [YR1974]</v>
          </cell>
          <cell r="T1" t="str">
            <v>1975 [YR1975]</v>
          </cell>
          <cell r="U1" t="str">
            <v>1976 [YR1976]</v>
          </cell>
          <cell r="V1" t="str">
            <v>1977 [YR1977]</v>
          </cell>
          <cell r="W1" t="str">
            <v>1978 [YR1978]</v>
          </cell>
          <cell r="X1" t="str">
            <v>1979 [YR1979]</v>
          </cell>
          <cell r="Y1" t="str">
            <v>1980 [YR1980]</v>
          </cell>
          <cell r="Z1" t="str">
            <v>1981 [YR1981]</v>
          </cell>
          <cell r="AA1" t="str">
            <v>1982 [YR1982]</v>
          </cell>
          <cell r="AB1" t="str">
            <v>1983 [YR1983]</v>
          </cell>
          <cell r="AC1" t="str">
            <v>1984 [YR1984]</v>
          </cell>
          <cell r="AD1" t="str">
            <v>1985 [YR1985]</v>
          </cell>
          <cell r="AE1" t="str">
            <v>1986 [YR1986]</v>
          </cell>
          <cell r="AF1" t="str">
            <v>1987 [YR1987]</v>
          </cell>
          <cell r="AG1" t="str">
            <v>1988 [YR1988]</v>
          </cell>
          <cell r="AH1" t="str">
            <v>1989 [YR1989]</v>
          </cell>
          <cell r="AI1" t="str">
            <v>1990 [YR1990]</v>
          </cell>
          <cell r="AJ1" t="str">
            <v>1991 [YR1991]</v>
          </cell>
          <cell r="AK1" t="str">
            <v>1992 [YR1992]</v>
          </cell>
          <cell r="AL1" t="str">
            <v>1993 [YR1993]</v>
          </cell>
          <cell r="AM1" t="str">
            <v>1994 [YR1994]</v>
          </cell>
          <cell r="AN1" t="str">
            <v>1995 [YR1995]</v>
          </cell>
          <cell r="AO1" t="str">
            <v>1996 [YR1996]</v>
          </cell>
          <cell r="AP1" t="str">
            <v>1997 [YR1997]</v>
          </cell>
          <cell r="AQ1" t="str">
            <v>1998 [YR1998]</v>
          </cell>
          <cell r="AR1" t="str">
            <v>1999 [YR1999]</v>
          </cell>
          <cell r="AS1" t="str">
            <v>2000 [YR2000]</v>
          </cell>
          <cell r="AT1" t="str">
            <v>2001 [YR2001]</v>
          </cell>
          <cell r="AU1" t="str">
            <v>2002 [YR2002]</v>
          </cell>
          <cell r="AV1" t="str">
            <v>2003 [YR2003]</v>
          </cell>
          <cell r="AW1" t="str">
            <v>2004 [YR2004]</v>
          </cell>
          <cell r="AX1" t="str">
            <v>2005 [YR2005]</v>
          </cell>
          <cell r="AY1" t="str">
            <v>2006 [YR2006]</v>
          </cell>
          <cell r="AZ1" t="str">
            <v>2007 [YR2007]</v>
          </cell>
          <cell r="BA1" t="str">
            <v>2008 [YR2008]</v>
          </cell>
          <cell r="BB1" t="str">
            <v>2009 [YR2009]</v>
          </cell>
          <cell r="BC1" t="str">
            <v>2010 [YR2010]</v>
          </cell>
          <cell r="BD1" t="str">
            <v>2011 [YR2011]</v>
          </cell>
          <cell r="BE1" t="str">
            <v>2012 [YR2012]</v>
          </cell>
          <cell r="BF1" t="str">
            <v>2013 [YR2013]</v>
          </cell>
          <cell r="BG1" t="str">
            <v>2014 [YR2014]</v>
          </cell>
          <cell r="BH1" t="str">
            <v>2015 [YR2015]</v>
          </cell>
          <cell r="BI1" t="str">
            <v>2016 [YR2016]</v>
          </cell>
          <cell r="BJ1" t="str">
            <v>2017 [YR2017]</v>
          </cell>
          <cell r="BK1" t="str">
            <v>2018 [YR2018]</v>
          </cell>
          <cell r="BL1" t="str">
            <v>2019 [YR2019]</v>
          </cell>
          <cell r="BM1" t="str">
            <v>2020 [YR2020]</v>
          </cell>
          <cell r="BN1" t="str">
            <v>latest</v>
          </cell>
        </row>
        <row r="2">
          <cell r="B2" t="str">
            <v>AFG</v>
          </cell>
          <cell r="C2" t="str">
            <v>Population, total</v>
          </cell>
          <cell r="D2" t="str">
            <v>SP.POP.TOTL</v>
          </cell>
          <cell r="E2">
            <v>8996967</v>
          </cell>
          <cell r="F2">
            <v>9169406</v>
          </cell>
          <cell r="G2">
            <v>9351442</v>
          </cell>
          <cell r="H2">
            <v>9543200</v>
          </cell>
          <cell r="I2">
            <v>9744772</v>
          </cell>
          <cell r="J2">
            <v>9956318</v>
          </cell>
          <cell r="K2">
            <v>10174840</v>
          </cell>
          <cell r="L2">
            <v>10399936</v>
          </cell>
          <cell r="M2">
            <v>10637064</v>
          </cell>
          <cell r="N2">
            <v>10893772</v>
          </cell>
          <cell r="O2">
            <v>11173654</v>
          </cell>
          <cell r="P2">
            <v>11475450</v>
          </cell>
          <cell r="Q2">
            <v>11791222</v>
          </cell>
          <cell r="R2">
            <v>12108963</v>
          </cell>
          <cell r="S2">
            <v>12412960</v>
          </cell>
          <cell r="T2">
            <v>12689164</v>
          </cell>
          <cell r="U2">
            <v>12943093</v>
          </cell>
          <cell r="V2">
            <v>13171294</v>
          </cell>
          <cell r="W2">
            <v>13341199</v>
          </cell>
          <cell r="X2">
            <v>13411060</v>
          </cell>
          <cell r="Y2">
            <v>13356500</v>
          </cell>
          <cell r="Z2">
            <v>13171679</v>
          </cell>
          <cell r="AA2">
            <v>12882518</v>
          </cell>
          <cell r="AB2">
            <v>12537732</v>
          </cell>
          <cell r="AC2">
            <v>12204306</v>
          </cell>
          <cell r="AD2">
            <v>11938204</v>
          </cell>
          <cell r="AE2">
            <v>11736177</v>
          </cell>
          <cell r="AF2">
            <v>11604538</v>
          </cell>
          <cell r="AG2">
            <v>11618008</v>
          </cell>
          <cell r="AH2">
            <v>11868873</v>
          </cell>
          <cell r="AI2">
            <v>12412311</v>
          </cell>
          <cell r="AJ2">
            <v>13299016</v>
          </cell>
          <cell r="AK2">
            <v>14485543</v>
          </cell>
          <cell r="AL2">
            <v>15816601</v>
          </cell>
          <cell r="AM2">
            <v>17075728</v>
          </cell>
          <cell r="AN2">
            <v>18110662</v>
          </cell>
          <cell r="AO2">
            <v>18853444</v>
          </cell>
          <cell r="AP2">
            <v>19357126</v>
          </cell>
          <cell r="AQ2">
            <v>19737770</v>
          </cell>
          <cell r="AR2">
            <v>20170847</v>
          </cell>
          <cell r="AS2">
            <v>20779957</v>
          </cell>
          <cell r="AT2">
            <v>21606992</v>
          </cell>
          <cell r="AU2">
            <v>22600774</v>
          </cell>
          <cell r="AV2">
            <v>23680871</v>
          </cell>
          <cell r="AW2">
            <v>24726689</v>
          </cell>
          <cell r="AX2">
            <v>25654274</v>
          </cell>
          <cell r="AY2">
            <v>26433058</v>
          </cell>
          <cell r="AZ2">
            <v>27100542</v>
          </cell>
          <cell r="BA2">
            <v>27722281</v>
          </cell>
          <cell r="BB2">
            <v>28394806</v>
          </cell>
          <cell r="BC2">
            <v>29185511</v>
          </cell>
          <cell r="BD2">
            <v>30117411</v>
          </cell>
          <cell r="BE2">
            <v>31161378</v>
          </cell>
          <cell r="BF2">
            <v>32269592</v>
          </cell>
          <cell r="BG2">
            <v>33370804</v>
          </cell>
          <cell r="BH2">
            <v>34413603</v>
          </cell>
          <cell r="BI2">
            <v>35383028</v>
          </cell>
          <cell r="BJ2">
            <v>36296111</v>
          </cell>
          <cell r="BK2">
            <v>37171922</v>
          </cell>
          <cell r="BL2">
            <v>38041757</v>
          </cell>
          <cell r="BM2">
            <v>38928341</v>
          </cell>
          <cell r="BN2">
            <v>38928341</v>
          </cell>
        </row>
        <row r="3">
          <cell r="B3" t="str">
            <v>ALB</v>
          </cell>
          <cell r="C3" t="str">
            <v>Population, total</v>
          </cell>
          <cell r="D3" t="str">
            <v>SP.POP.TOTL</v>
          </cell>
          <cell r="E3">
            <v>1608800</v>
          </cell>
          <cell r="F3">
            <v>1659800</v>
          </cell>
          <cell r="G3">
            <v>1711319</v>
          </cell>
          <cell r="H3">
            <v>1762621</v>
          </cell>
          <cell r="I3">
            <v>1814135</v>
          </cell>
          <cell r="J3">
            <v>1864791</v>
          </cell>
          <cell r="K3">
            <v>1914573</v>
          </cell>
          <cell r="L3">
            <v>1965598</v>
          </cell>
          <cell r="M3">
            <v>2022272</v>
          </cell>
          <cell r="N3">
            <v>2081695</v>
          </cell>
          <cell r="O3">
            <v>2135479</v>
          </cell>
          <cell r="P3">
            <v>2187853</v>
          </cell>
          <cell r="Q3">
            <v>2243126</v>
          </cell>
          <cell r="R3">
            <v>2296752</v>
          </cell>
          <cell r="S3">
            <v>2350124</v>
          </cell>
          <cell r="T3">
            <v>2404831</v>
          </cell>
          <cell r="U3">
            <v>2458526</v>
          </cell>
          <cell r="V3">
            <v>2513546</v>
          </cell>
          <cell r="W3">
            <v>2566266</v>
          </cell>
          <cell r="X3">
            <v>2617832</v>
          </cell>
          <cell r="Y3">
            <v>2671997</v>
          </cell>
          <cell r="Z3">
            <v>2726056</v>
          </cell>
          <cell r="AA3">
            <v>2784278</v>
          </cell>
          <cell r="AB3">
            <v>2843960</v>
          </cell>
          <cell r="AC3">
            <v>2904429</v>
          </cell>
          <cell r="AD3">
            <v>2964762</v>
          </cell>
          <cell r="AE3">
            <v>3022635</v>
          </cell>
          <cell r="AF3">
            <v>3083605</v>
          </cell>
          <cell r="AG3">
            <v>3142336</v>
          </cell>
          <cell r="AH3">
            <v>3227943</v>
          </cell>
          <cell r="AI3">
            <v>3286542</v>
          </cell>
          <cell r="AJ3">
            <v>3266790</v>
          </cell>
          <cell r="AK3">
            <v>3247039</v>
          </cell>
          <cell r="AL3">
            <v>3227287</v>
          </cell>
          <cell r="AM3">
            <v>3207536</v>
          </cell>
          <cell r="AN3">
            <v>3187784</v>
          </cell>
          <cell r="AO3">
            <v>3168033</v>
          </cell>
          <cell r="AP3">
            <v>3148281</v>
          </cell>
          <cell r="AQ3">
            <v>3128530</v>
          </cell>
          <cell r="AR3">
            <v>3108778</v>
          </cell>
          <cell r="AS3">
            <v>3089027</v>
          </cell>
          <cell r="AT3">
            <v>3060173</v>
          </cell>
          <cell r="AU3">
            <v>3051010</v>
          </cell>
          <cell r="AV3">
            <v>3039616</v>
          </cell>
          <cell r="AW3">
            <v>3026939</v>
          </cell>
          <cell r="AX3">
            <v>3011487</v>
          </cell>
          <cell r="AY3">
            <v>2992547</v>
          </cell>
          <cell r="AZ3">
            <v>2970017</v>
          </cell>
          <cell r="BA3">
            <v>2947314</v>
          </cell>
          <cell r="BB3">
            <v>2927519</v>
          </cell>
          <cell r="BC3">
            <v>2913021</v>
          </cell>
          <cell r="BD3">
            <v>2905195</v>
          </cell>
          <cell r="BE3">
            <v>2900401</v>
          </cell>
          <cell r="BF3">
            <v>2895092</v>
          </cell>
          <cell r="BG3">
            <v>2889104</v>
          </cell>
          <cell r="BH3">
            <v>2880703</v>
          </cell>
          <cell r="BI3">
            <v>2876101</v>
          </cell>
          <cell r="BJ3">
            <v>2873457</v>
          </cell>
          <cell r="BK3">
            <v>2866376</v>
          </cell>
          <cell r="BL3">
            <v>2854191</v>
          </cell>
          <cell r="BM3">
            <v>2837743</v>
          </cell>
          <cell r="BN3">
            <v>2837743</v>
          </cell>
        </row>
        <row r="4">
          <cell r="B4" t="str">
            <v>DZA</v>
          </cell>
          <cell r="C4" t="str">
            <v>Population, total</v>
          </cell>
          <cell r="D4" t="str">
            <v>SP.POP.TOTL</v>
          </cell>
          <cell r="E4">
            <v>11057864</v>
          </cell>
          <cell r="F4">
            <v>11336336</v>
          </cell>
          <cell r="G4">
            <v>11619828</v>
          </cell>
          <cell r="H4">
            <v>11912800</v>
          </cell>
          <cell r="I4">
            <v>12221675</v>
          </cell>
          <cell r="J4">
            <v>12550880</v>
          </cell>
          <cell r="K4">
            <v>12902626</v>
          </cell>
          <cell r="L4">
            <v>13275020</v>
          </cell>
          <cell r="M4">
            <v>13663581</v>
          </cell>
          <cell r="N4">
            <v>14061724</v>
          </cell>
          <cell r="O4">
            <v>14464992</v>
          </cell>
          <cell r="P4">
            <v>14872253</v>
          </cell>
          <cell r="Q4">
            <v>15285992</v>
          </cell>
          <cell r="R4">
            <v>15709831</v>
          </cell>
          <cell r="S4">
            <v>16149018</v>
          </cell>
          <cell r="T4">
            <v>16607706</v>
          </cell>
          <cell r="U4">
            <v>17085799</v>
          </cell>
          <cell r="V4">
            <v>17582899</v>
          </cell>
          <cell r="W4">
            <v>18102266</v>
          </cell>
          <cell r="X4">
            <v>18647801</v>
          </cell>
          <cell r="Y4">
            <v>19221659</v>
          </cell>
          <cell r="Z4">
            <v>19824297</v>
          </cell>
          <cell r="AA4">
            <v>20452901</v>
          </cell>
          <cell r="AB4">
            <v>21101875</v>
          </cell>
          <cell r="AC4">
            <v>21763578</v>
          </cell>
          <cell r="AD4">
            <v>22431507</v>
          </cell>
          <cell r="AE4">
            <v>23102386</v>
          </cell>
          <cell r="AF4">
            <v>23774287</v>
          </cell>
          <cell r="AG4">
            <v>24443472</v>
          </cell>
          <cell r="AH4">
            <v>25106192</v>
          </cell>
          <cell r="AI4">
            <v>25758872</v>
          </cell>
          <cell r="AJ4">
            <v>26400468</v>
          </cell>
          <cell r="AK4">
            <v>27028330</v>
          </cell>
          <cell r="AL4">
            <v>27635517</v>
          </cell>
          <cell r="AM4">
            <v>28213777</v>
          </cell>
          <cell r="AN4">
            <v>28757788</v>
          </cell>
          <cell r="AO4">
            <v>29266415</v>
          </cell>
          <cell r="AP4">
            <v>29742980</v>
          </cell>
          <cell r="AQ4">
            <v>30192750</v>
          </cell>
          <cell r="AR4">
            <v>30623406</v>
          </cell>
          <cell r="AS4">
            <v>31042238</v>
          </cell>
          <cell r="AT4">
            <v>31451513</v>
          </cell>
          <cell r="AU4">
            <v>31855110</v>
          </cell>
          <cell r="AV4">
            <v>32264159</v>
          </cell>
          <cell r="AW4">
            <v>32692153</v>
          </cell>
          <cell r="AX4">
            <v>33149720</v>
          </cell>
          <cell r="AY4">
            <v>33641007</v>
          </cell>
          <cell r="AZ4">
            <v>34166976</v>
          </cell>
          <cell r="BA4">
            <v>34730604</v>
          </cell>
          <cell r="BB4">
            <v>35333882</v>
          </cell>
          <cell r="BC4">
            <v>35977451</v>
          </cell>
          <cell r="BD4">
            <v>36661438</v>
          </cell>
          <cell r="BE4">
            <v>37383899</v>
          </cell>
          <cell r="BF4">
            <v>38140135</v>
          </cell>
          <cell r="BG4">
            <v>38923688</v>
          </cell>
          <cell r="BH4">
            <v>39728020</v>
          </cell>
          <cell r="BI4">
            <v>40551398</v>
          </cell>
          <cell r="BJ4">
            <v>41389174</v>
          </cell>
          <cell r="BK4">
            <v>42228415</v>
          </cell>
          <cell r="BL4">
            <v>43053054</v>
          </cell>
          <cell r="BM4">
            <v>43851043</v>
          </cell>
          <cell r="BN4">
            <v>43851043</v>
          </cell>
        </row>
        <row r="5">
          <cell r="B5" t="str">
            <v>ASM</v>
          </cell>
          <cell r="C5" t="str">
            <v>Population, total</v>
          </cell>
          <cell r="D5" t="str">
            <v>SP.POP.TOTL</v>
          </cell>
          <cell r="E5">
            <v>20127</v>
          </cell>
          <cell r="F5">
            <v>20605</v>
          </cell>
          <cell r="G5">
            <v>21246</v>
          </cell>
          <cell r="H5">
            <v>22029</v>
          </cell>
          <cell r="I5">
            <v>22850</v>
          </cell>
          <cell r="J5">
            <v>23675</v>
          </cell>
          <cell r="K5">
            <v>24473</v>
          </cell>
          <cell r="L5">
            <v>25235</v>
          </cell>
          <cell r="M5">
            <v>25980</v>
          </cell>
          <cell r="N5">
            <v>26698</v>
          </cell>
          <cell r="O5">
            <v>27362</v>
          </cell>
          <cell r="P5">
            <v>27982</v>
          </cell>
          <cell r="Q5">
            <v>28564</v>
          </cell>
          <cell r="R5">
            <v>29103</v>
          </cell>
          <cell r="S5">
            <v>29595</v>
          </cell>
          <cell r="T5">
            <v>30045</v>
          </cell>
          <cell r="U5">
            <v>30455</v>
          </cell>
          <cell r="V5">
            <v>30834</v>
          </cell>
          <cell r="W5">
            <v>31262</v>
          </cell>
          <cell r="X5">
            <v>31842</v>
          </cell>
          <cell r="Y5">
            <v>32648</v>
          </cell>
          <cell r="Z5">
            <v>33697</v>
          </cell>
          <cell r="AA5">
            <v>34969</v>
          </cell>
          <cell r="AB5">
            <v>36413</v>
          </cell>
          <cell r="AC5">
            <v>37946</v>
          </cell>
          <cell r="AD5">
            <v>39521</v>
          </cell>
          <cell r="AE5">
            <v>41114</v>
          </cell>
          <cell r="AF5">
            <v>42741</v>
          </cell>
          <cell r="AG5">
            <v>44346</v>
          </cell>
          <cell r="AH5">
            <v>45894</v>
          </cell>
          <cell r="AI5">
            <v>47351</v>
          </cell>
          <cell r="AJ5">
            <v>48682</v>
          </cell>
          <cell r="AK5">
            <v>49900</v>
          </cell>
          <cell r="AL5">
            <v>51025</v>
          </cell>
          <cell r="AM5">
            <v>52099</v>
          </cell>
          <cell r="AN5">
            <v>53158</v>
          </cell>
          <cell r="AO5">
            <v>54209</v>
          </cell>
          <cell r="AP5">
            <v>55227</v>
          </cell>
          <cell r="AQ5">
            <v>56180</v>
          </cell>
          <cell r="AR5">
            <v>57049</v>
          </cell>
          <cell r="AS5">
            <v>57816</v>
          </cell>
          <cell r="AT5">
            <v>58496</v>
          </cell>
          <cell r="AU5">
            <v>59077</v>
          </cell>
          <cell r="AV5">
            <v>59495</v>
          </cell>
          <cell r="AW5">
            <v>59684</v>
          </cell>
          <cell r="AX5">
            <v>59557</v>
          </cell>
          <cell r="AY5">
            <v>59109</v>
          </cell>
          <cell r="AZ5">
            <v>58367</v>
          </cell>
          <cell r="BA5">
            <v>57490</v>
          </cell>
          <cell r="BB5">
            <v>56675</v>
          </cell>
          <cell r="BC5">
            <v>56084</v>
          </cell>
          <cell r="BD5">
            <v>55755</v>
          </cell>
          <cell r="BE5">
            <v>55669</v>
          </cell>
          <cell r="BF5">
            <v>55717</v>
          </cell>
          <cell r="BG5">
            <v>55791</v>
          </cell>
          <cell r="BH5">
            <v>55806</v>
          </cell>
          <cell r="BI5">
            <v>55739</v>
          </cell>
          <cell r="BJ5">
            <v>55617</v>
          </cell>
          <cell r="BK5">
            <v>55461</v>
          </cell>
          <cell r="BL5">
            <v>55312</v>
          </cell>
          <cell r="BM5">
            <v>55197</v>
          </cell>
          <cell r="BN5">
            <v>55197</v>
          </cell>
        </row>
        <row r="6">
          <cell r="B6" t="str">
            <v>AND</v>
          </cell>
          <cell r="C6" t="str">
            <v>Population, total</v>
          </cell>
          <cell r="D6" t="str">
            <v>SP.POP.TOTL</v>
          </cell>
          <cell r="E6">
            <v>13410</v>
          </cell>
          <cell r="F6">
            <v>14378</v>
          </cell>
          <cell r="G6">
            <v>15379</v>
          </cell>
          <cell r="H6">
            <v>16407</v>
          </cell>
          <cell r="I6">
            <v>17466</v>
          </cell>
          <cell r="J6">
            <v>18542</v>
          </cell>
          <cell r="K6">
            <v>19646</v>
          </cell>
          <cell r="L6">
            <v>20760</v>
          </cell>
          <cell r="M6">
            <v>21886</v>
          </cell>
          <cell r="N6">
            <v>23053</v>
          </cell>
          <cell r="O6">
            <v>24275</v>
          </cell>
          <cell r="P6">
            <v>25571</v>
          </cell>
          <cell r="Q6">
            <v>26885</v>
          </cell>
          <cell r="R6">
            <v>28232</v>
          </cell>
          <cell r="S6">
            <v>29515</v>
          </cell>
          <cell r="T6">
            <v>30705</v>
          </cell>
          <cell r="U6">
            <v>31782</v>
          </cell>
          <cell r="V6">
            <v>32769</v>
          </cell>
          <cell r="W6">
            <v>33744</v>
          </cell>
          <cell r="X6">
            <v>34825</v>
          </cell>
          <cell r="Y6">
            <v>36063</v>
          </cell>
          <cell r="Z6">
            <v>37498</v>
          </cell>
          <cell r="AA6">
            <v>39115</v>
          </cell>
          <cell r="AB6">
            <v>40854</v>
          </cell>
          <cell r="AC6">
            <v>42706</v>
          </cell>
          <cell r="AD6">
            <v>44593</v>
          </cell>
          <cell r="AE6">
            <v>46520</v>
          </cell>
          <cell r="AF6">
            <v>48459</v>
          </cell>
          <cell r="AG6">
            <v>50433</v>
          </cell>
          <cell r="AH6">
            <v>52452</v>
          </cell>
          <cell r="AI6">
            <v>54508</v>
          </cell>
          <cell r="AJ6">
            <v>56666</v>
          </cell>
          <cell r="AK6">
            <v>58882</v>
          </cell>
          <cell r="AL6">
            <v>60974</v>
          </cell>
          <cell r="AM6">
            <v>62676</v>
          </cell>
          <cell r="AN6">
            <v>63860</v>
          </cell>
          <cell r="AO6">
            <v>64363</v>
          </cell>
          <cell r="AP6">
            <v>64318</v>
          </cell>
          <cell r="AQ6">
            <v>64140</v>
          </cell>
          <cell r="AR6">
            <v>64368</v>
          </cell>
          <cell r="AS6">
            <v>65390</v>
          </cell>
          <cell r="AT6">
            <v>67344</v>
          </cell>
          <cell r="AU6">
            <v>70048</v>
          </cell>
          <cell r="AV6">
            <v>73180</v>
          </cell>
          <cell r="AW6">
            <v>76250</v>
          </cell>
          <cell r="AX6">
            <v>78871</v>
          </cell>
          <cell r="AY6">
            <v>80995</v>
          </cell>
          <cell r="AZ6">
            <v>82682</v>
          </cell>
          <cell r="BA6">
            <v>83860</v>
          </cell>
          <cell r="BB6">
            <v>84461</v>
          </cell>
          <cell r="BC6">
            <v>84454</v>
          </cell>
          <cell r="BD6">
            <v>83748</v>
          </cell>
          <cell r="BE6">
            <v>82427</v>
          </cell>
          <cell r="BF6">
            <v>80770</v>
          </cell>
          <cell r="BG6">
            <v>79213</v>
          </cell>
          <cell r="BH6">
            <v>77993</v>
          </cell>
          <cell r="BI6">
            <v>77295</v>
          </cell>
          <cell r="BJ6">
            <v>76997</v>
          </cell>
          <cell r="BK6">
            <v>77008</v>
          </cell>
          <cell r="BL6">
            <v>77146</v>
          </cell>
          <cell r="BM6">
            <v>77265</v>
          </cell>
          <cell r="BN6">
            <v>77265</v>
          </cell>
        </row>
        <row r="7">
          <cell r="B7" t="str">
            <v>AGO</v>
          </cell>
          <cell r="C7" t="str">
            <v>Population, total</v>
          </cell>
          <cell r="D7" t="str">
            <v>SP.POP.TOTL</v>
          </cell>
          <cell r="E7">
            <v>5454938</v>
          </cell>
          <cell r="F7">
            <v>5531451</v>
          </cell>
          <cell r="G7">
            <v>5608499</v>
          </cell>
          <cell r="H7">
            <v>5679409</v>
          </cell>
          <cell r="I7">
            <v>5734995</v>
          </cell>
          <cell r="J7">
            <v>5770573</v>
          </cell>
          <cell r="K7">
            <v>5781305</v>
          </cell>
          <cell r="L7">
            <v>5774440</v>
          </cell>
          <cell r="M7">
            <v>5771973</v>
          </cell>
          <cell r="N7">
            <v>5803677</v>
          </cell>
          <cell r="O7">
            <v>5890360</v>
          </cell>
          <cell r="P7">
            <v>6041239</v>
          </cell>
          <cell r="Q7">
            <v>6248965</v>
          </cell>
          <cell r="R7">
            <v>6497283</v>
          </cell>
          <cell r="S7">
            <v>6761623</v>
          </cell>
          <cell r="T7">
            <v>7023994</v>
          </cell>
          <cell r="U7">
            <v>7279630</v>
          </cell>
          <cell r="V7">
            <v>7533814</v>
          </cell>
          <cell r="W7">
            <v>7790774</v>
          </cell>
          <cell r="X7">
            <v>8058112</v>
          </cell>
          <cell r="Y7">
            <v>8341290</v>
          </cell>
          <cell r="Z7">
            <v>8640478</v>
          </cell>
          <cell r="AA7">
            <v>8952971</v>
          </cell>
          <cell r="AB7">
            <v>9278104</v>
          </cell>
          <cell r="AC7">
            <v>9614756</v>
          </cell>
          <cell r="AD7">
            <v>9961993</v>
          </cell>
          <cell r="AE7">
            <v>10320116</v>
          </cell>
          <cell r="AF7">
            <v>10689247</v>
          </cell>
          <cell r="AG7">
            <v>11068051</v>
          </cell>
          <cell r="AH7">
            <v>11454784</v>
          </cell>
          <cell r="AI7">
            <v>11848385</v>
          </cell>
          <cell r="AJ7">
            <v>12248901</v>
          </cell>
          <cell r="AK7">
            <v>12657361</v>
          </cell>
          <cell r="AL7">
            <v>13075044</v>
          </cell>
          <cell r="AM7">
            <v>13503753</v>
          </cell>
          <cell r="AN7">
            <v>13945205</v>
          </cell>
          <cell r="AO7">
            <v>14400722</v>
          </cell>
          <cell r="AP7">
            <v>14871572</v>
          </cell>
          <cell r="AQ7">
            <v>15359600</v>
          </cell>
          <cell r="AR7">
            <v>15866871</v>
          </cell>
          <cell r="AS7">
            <v>16395477</v>
          </cell>
          <cell r="AT7">
            <v>16945753</v>
          </cell>
          <cell r="AU7">
            <v>17519418</v>
          </cell>
          <cell r="AV7">
            <v>18121477</v>
          </cell>
          <cell r="AW7">
            <v>18758138</v>
          </cell>
          <cell r="AX7">
            <v>19433604</v>
          </cell>
          <cell r="AY7">
            <v>20149905</v>
          </cell>
          <cell r="AZ7">
            <v>20905360</v>
          </cell>
          <cell r="BA7">
            <v>21695636</v>
          </cell>
          <cell r="BB7">
            <v>22514275</v>
          </cell>
          <cell r="BC7">
            <v>23356247</v>
          </cell>
          <cell r="BD7">
            <v>24220660</v>
          </cell>
          <cell r="BE7">
            <v>25107925</v>
          </cell>
          <cell r="BF7">
            <v>26015786</v>
          </cell>
          <cell r="BG7">
            <v>26941773</v>
          </cell>
          <cell r="BH7">
            <v>27884380</v>
          </cell>
          <cell r="BI7">
            <v>28842482</v>
          </cell>
          <cell r="BJ7">
            <v>29816769</v>
          </cell>
          <cell r="BK7">
            <v>30809787</v>
          </cell>
          <cell r="BL7">
            <v>31825299</v>
          </cell>
          <cell r="BM7">
            <v>32866268</v>
          </cell>
          <cell r="BN7">
            <v>32866268</v>
          </cell>
        </row>
        <row r="8">
          <cell r="B8" t="str">
            <v>ATG</v>
          </cell>
          <cell r="C8" t="str">
            <v>Population, total</v>
          </cell>
          <cell r="D8" t="str">
            <v>SP.POP.TOTL</v>
          </cell>
          <cell r="E8">
            <v>54132</v>
          </cell>
          <cell r="F8">
            <v>55005</v>
          </cell>
          <cell r="G8">
            <v>55849</v>
          </cell>
          <cell r="H8">
            <v>56701</v>
          </cell>
          <cell r="I8">
            <v>57641</v>
          </cell>
          <cell r="J8">
            <v>58699</v>
          </cell>
          <cell r="K8">
            <v>59912</v>
          </cell>
          <cell r="L8">
            <v>61240</v>
          </cell>
          <cell r="M8">
            <v>62523</v>
          </cell>
          <cell r="N8">
            <v>63553</v>
          </cell>
          <cell r="O8">
            <v>64184</v>
          </cell>
          <cell r="P8">
            <v>64354</v>
          </cell>
          <cell r="Q8">
            <v>64134</v>
          </cell>
          <cell r="R8">
            <v>63649</v>
          </cell>
          <cell r="S8">
            <v>63108</v>
          </cell>
          <cell r="T8">
            <v>62671</v>
          </cell>
          <cell r="U8">
            <v>62353</v>
          </cell>
          <cell r="V8">
            <v>62162</v>
          </cell>
          <cell r="W8">
            <v>62038</v>
          </cell>
          <cell r="X8">
            <v>61948</v>
          </cell>
          <cell r="Y8">
            <v>61861</v>
          </cell>
          <cell r="Z8">
            <v>61789</v>
          </cell>
          <cell r="AA8">
            <v>61780</v>
          </cell>
          <cell r="AB8">
            <v>61779</v>
          </cell>
          <cell r="AC8">
            <v>61784</v>
          </cell>
          <cell r="AD8">
            <v>61785</v>
          </cell>
          <cell r="AE8">
            <v>61754</v>
          </cell>
          <cell r="AF8">
            <v>61713</v>
          </cell>
          <cell r="AG8">
            <v>61758</v>
          </cell>
          <cell r="AH8">
            <v>62007</v>
          </cell>
          <cell r="AI8">
            <v>62533</v>
          </cell>
          <cell r="AJ8">
            <v>63363</v>
          </cell>
          <cell r="AK8">
            <v>64459</v>
          </cell>
          <cell r="AL8">
            <v>65777</v>
          </cell>
          <cell r="AM8">
            <v>67201</v>
          </cell>
          <cell r="AN8">
            <v>68672</v>
          </cell>
          <cell r="AO8">
            <v>70176</v>
          </cell>
          <cell r="AP8">
            <v>71707</v>
          </cell>
          <cell r="AQ8">
            <v>73219</v>
          </cell>
          <cell r="AR8">
            <v>74674</v>
          </cell>
          <cell r="AS8">
            <v>76007</v>
          </cell>
          <cell r="AT8">
            <v>77212</v>
          </cell>
          <cell r="AU8">
            <v>78298</v>
          </cell>
          <cell r="AV8">
            <v>79311</v>
          </cell>
          <cell r="AW8">
            <v>80347</v>
          </cell>
          <cell r="AX8">
            <v>81462</v>
          </cell>
          <cell r="AY8">
            <v>82715</v>
          </cell>
          <cell r="AZ8">
            <v>84029</v>
          </cell>
          <cell r="BA8">
            <v>85394</v>
          </cell>
          <cell r="BB8">
            <v>86743</v>
          </cell>
          <cell r="BC8">
            <v>88030</v>
          </cell>
          <cell r="BD8">
            <v>89250</v>
          </cell>
          <cell r="BE8">
            <v>90407</v>
          </cell>
          <cell r="BF8">
            <v>91510</v>
          </cell>
          <cell r="BG8">
            <v>92562</v>
          </cell>
          <cell r="BH8">
            <v>93571</v>
          </cell>
          <cell r="BI8">
            <v>94520</v>
          </cell>
          <cell r="BJ8">
            <v>95425</v>
          </cell>
          <cell r="BK8">
            <v>96282</v>
          </cell>
          <cell r="BL8">
            <v>97115</v>
          </cell>
          <cell r="BM8">
            <v>97928</v>
          </cell>
          <cell r="BN8">
            <v>97928</v>
          </cell>
        </row>
        <row r="9">
          <cell r="B9" t="str">
            <v>ARG</v>
          </cell>
          <cell r="C9" t="str">
            <v>Population, total</v>
          </cell>
          <cell r="D9" t="str">
            <v>SP.POP.TOTL</v>
          </cell>
          <cell r="E9">
            <v>20481781</v>
          </cell>
          <cell r="F9">
            <v>20817270</v>
          </cell>
          <cell r="G9">
            <v>21153042</v>
          </cell>
          <cell r="H9">
            <v>21488916</v>
          </cell>
          <cell r="I9">
            <v>21824427</v>
          </cell>
          <cell r="J9">
            <v>22159644</v>
          </cell>
          <cell r="K9">
            <v>22494031</v>
          </cell>
          <cell r="L9">
            <v>22828872</v>
          </cell>
          <cell r="M9">
            <v>23168268</v>
          </cell>
          <cell r="N9">
            <v>23517613</v>
          </cell>
          <cell r="O9">
            <v>23880564</v>
          </cell>
          <cell r="P9">
            <v>24259564</v>
          </cell>
          <cell r="Q9">
            <v>24653172</v>
          </cell>
          <cell r="R9">
            <v>25056475</v>
          </cell>
          <cell r="S9">
            <v>25462305</v>
          </cell>
          <cell r="T9">
            <v>25865775</v>
          </cell>
          <cell r="U9">
            <v>26264681</v>
          </cell>
          <cell r="V9">
            <v>26661397</v>
          </cell>
          <cell r="W9">
            <v>27061041</v>
          </cell>
          <cell r="X9">
            <v>27471046</v>
          </cell>
          <cell r="Y9">
            <v>27896532</v>
          </cell>
          <cell r="Z9">
            <v>28338514</v>
          </cell>
          <cell r="AA9">
            <v>28794550</v>
          </cell>
          <cell r="AB9">
            <v>29262049</v>
          </cell>
          <cell r="AC9">
            <v>29737097</v>
          </cell>
          <cell r="AD9">
            <v>30216284</v>
          </cell>
          <cell r="AE9">
            <v>30698964</v>
          </cell>
          <cell r="AF9">
            <v>31184411</v>
          </cell>
          <cell r="AG9">
            <v>31668939</v>
          </cell>
          <cell r="AH9">
            <v>32148137</v>
          </cell>
          <cell r="AI9">
            <v>32618648</v>
          </cell>
          <cell r="AJ9">
            <v>33079002</v>
          </cell>
          <cell r="AK9">
            <v>33529320</v>
          </cell>
          <cell r="AL9">
            <v>33970103</v>
          </cell>
          <cell r="AM9">
            <v>34402669</v>
          </cell>
          <cell r="AN9">
            <v>34828168</v>
          </cell>
          <cell r="AO9">
            <v>35246376</v>
          </cell>
          <cell r="AP9">
            <v>35657438</v>
          </cell>
          <cell r="AQ9">
            <v>36063451</v>
          </cell>
          <cell r="AR9">
            <v>36467218</v>
          </cell>
          <cell r="AS9">
            <v>36870796</v>
          </cell>
          <cell r="AT9">
            <v>37275644</v>
          </cell>
          <cell r="AU9">
            <v>37681743</v>
          </cell>
          <cell r="AV9">
            <v>38087866</v>
          </cell>
          <cell r="AW9">
            <v>38491970</v>
          </cell>
          <cell r="AX9">
            <v>38892924</v>
          </cell>
          <cell r="AY9">
            <v>39289876</v>
          </cell>
          <cell r="AZ9">
            <v>39684303</v>
          </cell>
          <cell r="BA9">
            <v>40080159</v>
          </cell>
          <cell r="BB9">
            <v>40482786</v>
          </cell>
          <cell r="BC9">
            <v>40788453</v>
          </cell>
          <cell r="BD9">
            <v>41261490</v>
          </cell>
          <cell r="BE9">
            <v>41733271</v>
          </cell>
          <cell r="BF9">
            <v>42202935</v>
          </cell>
          <cell r="BG9">
            <v>42669500</v>
          </cell>
          <cell r="BH9">
            <v>43131966</v>
          </cell>
          <cell r="BI9">
            <v>43590368</v>
          </cell>
          <cell r="BJ9">
            <v>44044811</v>
          </cell>
          <cell r="BK9">
            <v>44494502</v>
          </cell>
          <cell r="BL9">
            <v>44938712</v>
          </cell>
          <cell r="BM9">
            <v>45376763</v>
          </cell>
          <cell r="BN9">
            <v>45376763</v>
          </cell>
        </row>
        <row r="10">
          <cell r="B10" t="str">
            <v>ARM</v>
          </cell>
          <cell r="C10" t="str">
            <v>Population, total</v>
          </cell>
          <cell r="D10" t="str">
            <v>SP.POP.TOTL</v>
          </cell>
          <cell r="E10">
            <v>1874119</v>
          </cell>
          <cell r="F10">
            <v>1941498</v>
          </cell>
          <cell r="G10">
            <v>2009524</v>
          </cell>
          <cell r="H10">
            <v>2077584</v>
          </cell>
          <cell r="I10">
            <v>2145004</v>
          </cell>
          <cell r="J10">
            <v>2211316</v>
          </cell>
          <cell r="K10">
            <v>2276038</v>
          </cell>
          <cell r="L10">
            <v>2339133</v>
          </cell>
          <cell r="M10">
            <v>2401142</v>
          </cell>
          <cell r="N10">
            <v>2462938</v>
          </cell>
          <cell r="O10">
            <v>2525067</v>
          </cell>
          <cell r="P10">
            <v>2587716</v>
          </cell>
          <cell r="Q10">
            <v>2650484</v>
          </cell>
          <cell r="R10">
            <v>2712780</v>
          </cell>
          <cell r="S10">
            <v>2773750</v>
          </cell>
          <cell r="T10">
            <v>2832752</v>
          </cell>
          <cell r="U10">
            <v>2889583</v>
          </cell>
          <cell r="V10">
            <v>2944375</v>
          </cell>
          <cell r="W10">
            <v>2997419</v>
          </cell>
          <cell r="X10">
            <v>3049107</v>
          </cell>
          <cell r="Y10">
            <v>3099759</v>
          </cell>
          <cell r="Z10">
            <v>3148096</v>
          </cell>
          <cell r="AA10">
            <v>3193696</v>
          </cell>
          <cell r="AB10">
            <v>3238592</v>
          </cell>
          <cell r="AC10">
            <v>3285593</v>
          </cell>
          <cell r="AD10">
            <v>3335935</v>
          </cell>
          <cell r="AE10">
            <v>3392264</v>
          </cell>
          <cell r="AF10">
            <v>3451947</v>
          </cell>
          <cell r="AG10">
            <v>3504667</v>
          </cell>
          <cell r="AH10">
            <v>3536473</v>
          </cell>
          <cell r="AI10">
            <v>3538164</v>
          </cell>
          <cell r="AJ10">
            <v>3505249</v>
          </cell>
          <cell r="AK10">
            <v>3442820</v>
          </cell>
          <cell r="AL10">
            <v>3363111</v>
          </cell>
          <cell r="AM10">
            <v>3283664</v>
          </cell>
          <cell r="AN10">
            <v>3217349</v>
          </cell>
          <cell r="AO10">
            <v>3168213</v>
          </cell>
          <cell r="AP10">
            <v>3133081</v>
          </cell>
          <cell r="AQ10">
            <v>3108691</v>
          </cell>
          <cell r="AR10">
            <v>3089020</v>
          </cell>
          <cell r="AS10">
            <v>3069597</v>
          </cell>
          <cell r="AT10">
            <v>3050686</v>
          </cell>
          <cell r="AU10">
            <v>3033976</v>
          </cell>
          <cell r="AV10">
            <v>3017938</v>
          </cell>
          <cell r="AW10">
            <v>3000715</v>
          </cell>
          <cell r="AX10">
            <v>2981262</v>
          </cell>
          <cell r="AY10">
            <v>2958301</v>
          </cell>
          <cell r="AZ10">
            <v>2932615</v>
          </cell>
          <cell r="BA10">
            <v>2907615</v>
          </cell>
          <cell r="BB10">
            <v>2888094</v>
          </cell>
          <cell r="BC10">
            <v>2877314</v>
          </cell>
          <cell r="BD10">
            <v>2876536</v>
          </cell>
          <cell r="BE10">
            <v>2884239</v>
          </cell>
          <cell r="BF10">
            <v>2897593</v>
          </cell>
          <cell r="BG10">
            <v>2912403</v>
          </cell>
          <cell r="BH10">
            <v>2925559</v>
          </cell>
          <cell r="BI10">
            <v>2936147</v>
          </cell>
          <cell r="BJ10">
            <v>2944789</v>
          </cell>
          <cell r="BK10">
            <v>2951741</v>
          </cell>
          <cell r="BL10">
            <v>2957728</v>
          </cell>
          <cell r="BM10">
            <v>2963234</v>
          </cell>
          <cell r="BN10">
            <v>2963234</v>
          </cell>
        </row>
        <row r="11">
          <cell r="B11" t="str">
            <v>ABW</v>
          </cell>
          <cell r="C11" t="str">
            <v>Population, total</v>
          </cell>
          <cell r="D11" t="str">
            <v>SP.POP.TOTL</v>
          </cell>
          <cell r="E11">
            <v>54208</v>
          </cell>
          <cell r="F11">
            <v>55434</v>
          </cell>
          <cell r="G11">
            <v>56234</v>
          </cell>
          <cell r="H11">
            <v>56699</v>
          </cell>
          <cell r="I11">
            <v>57029</v>
          </cell>
          <cell r="J11">
            <v>57357</v>
          </cell>
          <cell r="K11">
            <v>57702</v>
          </cell>
          <cell r="L11">
            <v>58044</v>
          </cell>
          <cell r="M11">
            <v>58377</v>
          </cell>
          <cell r="N11">
            <v>58734</v>
          </cell>
          <cell r="O11">
            <v>59070</v>
          </cell>
          <cell r="P11">
            <v>59442</v>
          </cell>
          <cell r="Q11">
            <v>59849</v>
          </cell>
          <cell r="R11">
            <v>60236</v>
          </cell>
          <cell r="S11">
            <v>60527</v>
          </cell>
          <cell r="T11">
            <v>60653</v>
          </cell>
          <cell r="U11">
            <v>60586</v>
          </cell>
          <cell r="V11">
            <v>60366</v>
          </cell>
          <cell r="W11">
            <v>60102</v>
          </cell>
          <cell r="X11">
            <v>59972</v>
          </cell>
          <cell r="Y11">
            <v>60097</v>
          </cell>
          <cell r="Z11">
            <v>60561</v>
          </cell>
          <cell r="AA11">
            <v>61341</v>
          </cell>
          <cell r="AB11">
            <v>62213</v>
          </cell>
          <cell r="AC11">
            <v>62826</v>
          </cell>
          <cell r="AD11">
            <v>63024</v>
          </cell>
          <cell r="AE11">
            <v>62645</v>
          </cell>
          <cell r="AF11">
            <v>61838</v>
          </cell>
          <cell r="AG11">
            <v>61072</v>
          </cell>
          <cell r="AH11">
            <v>61033</v>
          </cell>
          <cell r="AI11">
            <v>62152</v>
          </cell>
          <cell r="AJ11">
            <v>64623</v>
          </cell>
          <cell r="AK11">
            <v>68240</v>
          </cell>
          <cell r="AL11">
            <v>72495</v>
          </cell>
          <cell r="AM11">
            <v>76705</v>
          </cell>
          <cell r="AN11">
            <v>80324</v>
          </cell>
          <cell r="AO11">
            <v>83211</v>
          </cell>
          <cell r="AP11">
            <v>85450</v>
          </cell>
          <cell r="AQ11">
            <v>87280</v>
          </cell>
          <cell r="AR11">
            <v>89009</v>
          </cell>
          <cell r="AS11">
            <v>90866</v>
          </cell>
          <cell r="AT11">
            <v>92892</v>
          </cell>
          <cell r="AU11">
            <v>94992</v>
          </cell>
          <cell r="AV11">
            <v>97016</v>
          </cell>
          <cell r="AW11">
            <v>98744</v>
          </cell>
          <cell r="AX11">
            <v>100028</v>
          </cell>
          <cell r="AY11">
            <v>100830</v>
          </cell>
          <cell r="AZ11">
            <v>101226</v>
          </cell>
          <cell r="BA11">
            <v>101362</v>
          </cell>
          <cell r="BB11">
            <v>101452</v>
          </cell>
          <cell r="BC11">
            <v>101665</v>
          </cell>
          <cell r="BD11">
            <v>102050</v>
          </cell>
          <cell r="BE11">
            <v>102565</v>
          </cell>
          <cell r="BF11">
            <v>103165</v>
          </cell>
          <cell r="BG11">
            <v>103776</v>
          </cell>
          <cell r="BH11">
            <v>104339</v>
          </cell>
          <cell r="BI11">
            <v>104865</v>
          </cell>
          <cell r="BJ11">
            <v>105361</v>
          </cell>
          <cell r="BK11">
            <v>105846</v>
          </cell>
          <cell r="BL11">
            <v>106310</v>
          </cell>
          <cell r="BM11">
            <v>106766</v>
          </cell>
          <cell r="BN11">
            <v>106766</v>
          </cell>
        </row>
        <row r="12">
          <cell r="B12" t="str">
            <v>AUS</v>
          </cell>
          <cell r="C12" t="str">
            <v>Population, total</v>
          </cell>
          <cell r="D12" t="str">
            <v>SP.POP.TOTL</v>
          </cell>
          <cell r="E12">
            <v>10276477</v>
          </cell>
          <cell r="F12">
            <v>10483000</v>
          </cell>
          <cell r="G12">
            <v>10742000</v>
          </cell>
          <cell r="H12">
            <v>10950000</v>
          </cell>
          <cell r="I12">
            <v>11167000</v>
          </cell>
          <cell r="J12">
            <v>11388000</v>
          </cell>
          <cell r="K12">
            <v>11651000</v>
          </cell>
          <cell r="L12">
            <v>11799000</v>
          </cell>
          <cell r="M12">
            <v>12009000</v>
          </cell>
          <cell r="N12">
            <v>12263000</v>
          </cell>
          <cell r="O12">
            <v>12507000</v>
          </cell>
          <cell r="P12">
            <v>12937000</v>
          </cell>
          <cell r="Q12">
            <v>13177000</v>
          </cell>
          <cell r="R12">
            <v>13380000</v>
          </cell>
          <cell r="S12">
            <v>13723000</v>
          </cell>
          <cell r="T12">
            <v>13893000</v>
          </cell>
          <cell r="U12">
            <v>14033000</v>
          </cell>
          <cell r="V12">
            <v>14192000</v>
          </cell>
          <cell r="W12">
            <v>14358000</v>
          </cell>
          <cell r="X12">
            <v>14514000</v>
          </cell>
          <cell r="Y12">
            <v>14692000</v>
          </cell>
          <cell r="Z12">
            <v>14927000</v>
          </cell>
          <cell r="AA12">
            <v>15178000</v>
          </cell>
          <cell r="AB12">
            <v>15369000</v>
          </cell>
          <cell r="AC12">
            <v>15544000</v>
          </cell>
          <cell r="AD12">
            <v>15758000</v>
          </cell>
          <cell r="AE12">
            <v>16018400</v>
          </cell>
          <cell r="AF12">
            <v>16263900</v>
          </cell>
          <cell r="AG12">
            <v>16532200</v>
          </cell>
          <cell r="AH12">
            <v>16814400</v>
          </cell>
          <cell r="AI12">
            <v>17065100</v>
          </cell>
          <cell r="AJ12">
            <v>17284000</v>
          </cell>
          <cell r="AK12">
            <v>17495000</v>
          </cell>
          <cell r="AL12">
            <v>17667000</v>
          </cell>
          <cell r="AM12">
            <v>17855000</v>
          </cell>
          <cell r="AN12">
            <v>18072000</v>
          </cell>
          <cell r="AO12">
            <v>18311000</v>
          </cell>
          <cell r="AP12">
            <v>18517000</v>
          </cell>
          <cell r="AQ12">
            <v>18711000</v>
          </cell>
          <cell r="AR12">
            <v>18926000</v>
          </cell>
          <cell r="AS12">
            <v>19153000</v>
          </cell>
          <cell r="AT12">
            <v>19413000</v>
          </cell>
          <cell r="AU12">
            <v>19651400</v>
          </cell>
          <cell r="AV12">
            <v>19895400</v>
          </cell>
          <cell r="AW12">
            <v>20127400</v>
          </cell>
          <cell r="AX12">
            <v>20394800</v>
          </cell>
          <cell r="AY12">
            <v>20697900</v>
          </cell>
          <cell r="AZ12">
            <v>20827600</v>
          </cell>
          <cell r="BA12">
            <v>21249200</v>
          </cell>
          <cell r="BB12">
            <v>21691700</v>
          </cell>
          <cell r="BC12">
            <v>22031750</v>
          </cell>
          <cell r="BD12">
            <v>22340024</v>
          </cell>
          <cell r="BE12">
            <v>22733465</v>
          </cell>
          <cell r="BF12">
            <v>23128129</v>
          </cell>
          <cell r="BG12">
            <v>23475686</v>
          </cell>
          <cell r="BH12">
            <v>23815995</v>
          </cell>
          <cell r="BI12">
            <v>24190907</v>
          </cell>
          <cell r="BJ12">
            <v>24601860</v>
          </cell>
          <cell r="BK12">
            <v>24982688</v>
          </cell>
          <cell r="BL12">
            <v>25365745</v>
          </cell>
          <cell r="BM12">
            <v>25687041</v>
          </cell>
          <cell r="BN12">
            <v>25687041</v>
          </cell>
        </row>
        <row r="13">
          <cell r="B13" t="str">
            <v>AUT</v>
          </cell>
          <cell r="C13" t="str">
            <v>Population, total</v>
          </cell>
          <cell r="D13" t="str">
            <v>SP.POP.TOTL</v>
          </cell>
          <cell r="E13">
            <v>7047539</v>
          </cell>
          <cell r="F13">
            <v>7086299</v>
          </cell>
          <cell r="G13">
            <v>7129864</v>
          </cell>
          <cell r="H13">
            <v>7175811</v>
          </cell>
          <cell r="I13">
            <v>7223801</v>
          </cell>
          <cell r="J13">
            <v>7270889</v>
          </cell>
          <cell r="K13">
            <v>7322066</v>
          </cell>
          <cell r="L13">
            <v>7376998</v>
          </cell>
          <cell r="M13">
            <v>7415403</v>
          </cell>
          <cell r="N13">
            <v>7441055</v>
          </cell>
          <cell r="O13">
            <v>7467086</v>
          </cell>
          <cell r="P13">
            <v>7500482</v>
          </cell>
          <cell r="Q13">
            <v>7544201</v>
          </cell>
          <cell r="R13">
            <v>7586115</v>
          </cell>
          <cell r="S13">
            <v>7599038</v>
          </cell>
          <cell r="T13">
            <v>7578903</v>
          </cell>
          <cell r="U13">
            <v>7565525</v>
          </cell>
          <cell r="V13">
            <v>7568430</v>
          </cell>
          <cell r="W13">
            <v>7562305</v>
          </cell>
          <cell r="X13">
            <v>7549425</v>
          </cell>
          <cell r="Y13">
            <v>7549433</v>
          </cell>
          <cell r="Z13">
            <v>7568710</v>
          </cell>
          <cell r="AA13">
            <v>7574140</v>
          </cell>
          <cell r="AB13">
            <v>7561910</v>
          </cell>
          <cell r="AC13">
            <v>7561434</v>
          </cell>
          <cell r="AD13">
            <v>7564985</v>
          </cell>
          <cell r="AE13">
            <v>7569794</v>
          </cell>
          <cell r="AF13">
            <v>7574586</v>
          </cell>
          <cell r="AG13">
            <v>7585317</v>
          </cell>
          <cell r="AH13">
            <v>7619567</v>
          </cell>
          <cell r="AI13">
            <v>7677850</v>
          </cell>
          <cell r="AJ13">
            <v>7754891</v>
          </cell>
          <cell r="AK13">
            <v>7840709</v>
          </cell>
          <cell r="AL13">
            <v>7905633</v>
          </cell>
          <cell r="AM13">
            <v>7936118</v>
          </cell>
          <cell r="AN13">
            <v>7948278</v>
          </cell>
          <cell r="AO13">
            <v>7959017</v>
          </cell>
          <cell r="AP13">
            <v>7968041</v>
          </cell>
          <cell r="AQ13">
            <v>7976789</v>
          </cell>
          <cell r="AR13">
            <v>7992324</v>
          </cell>
          <cell r="AS13">
            <v>8011566</v>
          </cell>
          <cell r="AT13">
            <v>8042293</v>
          </cell>
          <cell r="AU13">
            <v>8081957</v>
          </cell>
          <cell r="AV13">
            <v>8121423</v>
          </cell>
          <cell r="AW13">
            <v>8171966</v>
          </cell>
          <cell r="AX13">
            <v>8227829</v>
          </cell>
          <cell r="AY13">
            <v>8268641</v>
          </cell>
          <cell r="AZ13">
            <v>8295487</v>
          </cell>
          <cell r="BA13">
            <v>8321496</v>
          </cell>
          <cell r="BB13">
            <v>8343323</v>
          </cell>
          <cell r="BC13">
            <v>8363404</v>
          </cell>
          <cell r="BD13">
            <v>8391643</v>
          </cell>
          <cell r="BE13">
            <v>8429991</v>
          </cell>
          <cell r="BF13">
            <v>8479823</v>
          </cell>
          <cell r="BG13">
            <v>8546356</v>
          </cell>
          <cell r="BH13">
            <v>8642699</v>
          </cell>
          <cell r="BI13">
            <v>8736668</v>
          </cell>
          <cell r="BJ13">
            <v>8797566</v>
          </cell>
          <cell r="BK13">
            <v>8840521</v>
          </cell>
          <cell r="BL13">
            <v>8879920</v>
          </cell>
          <cell r="BM13">
            <v>8917205</v>
          </cell>
          <cell r="BN13">
            <v>8917205</v>
          </cell>
        </row>
        <row r="14">
          <cell r="B14" t="str">
            <v>AZE</v>
          </cell>
          <cell r="C14" t="str">
            <v>Population, total</v>
          </cell>
          <cell r="D14" t="str">
            <v>SP.POP.TOTL</v>
          </cell>
          <cell r="E14">
            <v>3895398</v>
          </cell>
          <cell r="F14">
            <v>4030325</v>
          </cell>
          <cell r="G14">
            <v>4171428</v>
          </cell>
          <cell r="H14">
            <v>4315127</v>
          </cell>
          <cell r="I14">
            <v>4456691</v>
          </cell>
          <cell r="J14">
            <v>4592601</v>
          </cell>
          <cell r="K14">
            <v>4721528</v>
          </cell>
          <cell r="L14">
            <v>4843872</v>
          </cell>
          <cell r="M14">
            <v>4960237</v>
          </cell>
          <cell r="N14">
            <v>5071930</v>
          </cell>
          <cell r="O14">
            <v>5180032</v>
          </cell>
          <cell r="P14">
            <v>5284518</v>
          </cell>
          <cell r="Q14">
            <v>5385266</v>
          </cell>
          <cell r="R14">
            <v>5483088</v>
          </cell>
          <cell r="S14">
            <v>5579071</v>
          </cell>
          <cell r="T14">
            <v>5674129</v>
          </cell>
          <cell r="U14">
            <v>5768730</v>
          </cell>
          <cell r="V14">
            <v>5863138</v>
          </cell>
          <cell r="W14">
            <v>5957927</v>
          </cell>
          <cell r="X14">
            <v>6053635</v>
          </cell>
          <cell r="Y14">
            <v>6150735</v>
          </cell>
          <cell r="Z14">
            <v>6249312</v>
          </cell>
          <cell r="AA14">
            <v>6349555</v>
          </cell>
          <cell r="AB14">
            <v>6452067</v>
          </cell>
          <cell r="AC14">
            <v>6557581</v>
          </cell>
          <cell r="AD14">
            <v>6666447</v>
          </cell>
          <cell r="AE14">
            <v>6778631</v>
          </cell>
          <cell r="AF14">
            <v>6893486</v>
          </cell>
          <cell r="AG14">
            <v>7010027</v>
          </cell>
          <cell r="AH14">
            <v>7126877</v>
          </cell>
          <cell r="AI14">
            <v>7175200</v>
          </cell>
          <cell r="AJ14">
            <v>7271300</v>
          </cell>
          <cell r="AK14">
            <v>7382050</v>
          </cell>
          <cell r="AL14">
            <v>7494800</v>
          </cell>
          <cell r="AM14">
            <v>7596550</v>
          </cell>
          <cell r="AN14">
            <v>7684850</v>
          </cell>
          <cell r="AO14">
            <v>7763000</v>
          </cell>
          <cell r="AP14">
            <v>7838250</v>
          </cell>
          <cell r="AQ14">
            <v>7913000</v>
          </cell>
          <cell r="AR14">
            <v>7982750</v>
          </cell>
          <cell r="AS14">
            <v>8048600</v>
          </cell>
          <cell r="AT14">
            <v>8111200</v>
          </cell>
          <cell r="AU14">
            <v>8171950</v>
          </cell>
          <cell r="AV14">
            <v>8234100</v>
          </cell>
          <cell r="AW14">
            <v>8306500</v>
          </cell>
          <cell r="AX14">
            <v>8391850</v>
          </cell>
          <cell r="AY14">
            <v>8484550</v>
          </cell>
          <cell r="AZ14">
            <v>8581300</v>
          </cell>
          <cell r="BA14">
            <v>8763400</v>
          </cell>
          <cell r="BB14">
            <v>8947243</v>
          </cell>
          <cell r="BC14">
            <v>9054332</v>
          </cell>
          <cell r="BD14">
            <v>9173082</v>
          </cell>
          <cell r="BE14">
            <v>9295784</v>
          </cell>
          <cell r="BF14">
            <v>9416801</v>
          </cell>
          <cell r="BG14">
            <v>9535079</v>
          </cell>
          <cell r="BH14">
            <v>9649341</v>
          </cell>
          <cell r="BI14">
            <v>9757812</v>
          </cell>
          <cell r="BJ14">
            <v>9854033</v>
          </cell>
          <cell r="BK14">
            <v>9939771</v>
          </cell>
          <cell r="BL14">
            <v>10024283</v>
          </cell>
          <cell r="BM14">
            <v>10093121</v>
          </cell>
          <cell r="BN14">
            <v>10093121</v>
          </cell>
        </row>
        <row r="15">
          <cell r="B15" t="str">
            <v>BHS</v>
          </cell>
          <cell r="C15" t="str">
            <v>Population, total</v>
          </cell>
          <cell r="D15" t="str">
            <v>SP.POP.TOTL</v>
          </cell>
          <cell r="E15">
            <v>109532</v>
          </cell>
          <cell r="F15">
            <v>115119</v>
          </cell>
          <cell r="G15">
            <v>121092</v>
          </cell>
          <cell r="H15">
            <v>127340</v>
          </cell>
          <cell r="I15">
            <v>133705</v>
          </cell>
          <cell r="J15">
            <v>140060</v>
          </cell>
          <cell r="K15">
            <v>146381</v>
          </cell>
          <cell r="L15">
            <v>152621</v>
          </cell>
          <cell r="M15">
            <v>158648</v>
          </cell>
          <cell r="N15">
            <v>164265</v>
          </cell>
          <cell r="O15">
            <v>169376</v>
          </cell>
          <cell r="P15">
            <v>173894</v>
          </cell>
          <cell r="Q15">
            <v>177863</v>
          </cell>
          <cell r="R15">
            <v>181519</v>
          </cell>
          <cell r="S15">
            <v>185105</v>
          </cell>
          <cell r="T15">
            <v>188895</v>
          </cell>
          <cell r="U15">
            <v>192903</v>
          </cell>
          <cell r="V15">
            <v>197100</v>
          </cell>
          <cell r="W15">
            <v>201482</v>
          </cell>
          <cell r="X15">
            <v>205991</v>
          </cell>
          <cell r="Y15">
            <v>210589</v>
          </cell>
          <cell r="Z15">
            <v>215321</v>
          </cell>
          <cell r="AA15">
            <v>220182</v>
          </cell>
          <cell r="AB15">
            <v>225095</v>
          </cell>
          <cell r="AC15">
            <v>229913</v>
          </cell>
          <cell r="AD15">
            <v>234579</v>
          </cell>
          <cell r="AE15">
            <v>239020</v>
          </cell>
          <cell r="AF15">
            <v>243265</v>
          </cell>
          <cell r="AG15">
            <v>247451</v>
          </cell>
          <cell r="AH15">
            <v>251738</v>
          </cell>
          <cell r="AI15">
            <v>256227</v>
          </cell>
          <cell r="AJ15">
            <v>261007</v>
          </cell>
          <cell r="AK15">
            <v>266028</v>
          </cell>
          <cell r="AL15">
            <v>271065</v>
          </cell>
          <cell r="AM15">
            <v>275849</v>
          </cell>
          <cell r="AN15">
            <v>280179</v>
          </cell>
          <cell r="AO15">
            <v>283980</v>
          </cell>
          <cell r="AP15">
            <v>287363</v>
          </cell>
          <cell r="AQ15">
            <v>290600</v>
          </cell>
          <cell r="AR15">
            <v>294063</v>
          </cell>
          <cell r="AS15">
            <v>298045</v>
          </cell>
          <cell r="AT15">
            <v>302618</v>
          </cell>
          <cell r="AU15">
            <v>307657</v>
          </cell>
          <cell r="AV15">
            <v>313123</v>
          </cell>
          <cell r="AW15">
            <v>318893</v>
          </cell>
          <cell r="AX15">
            <v>324848</v>
          </cell>
          <cell r="AY15">
            <v>331032</v>
          </cell>
          <cell r="AZ15">
            <v>337387</v>
          </cell>
          <cell r="BA15">
            <v>343680</v>
          </cell>
          <cell r="BB15">
            <v>349600</v>
          </cell>
          <cell r="BC15">
            <v>354936</v>
          </cell>
          <cell r="BD15">
            <v>359583</v>
          </cell>
          <cell r="BE15">
            <v>363581</v>
          </cell>
          <cell r="BF15">
            <v>367162</v>
          </cell>
          <cell r="BG15">
            <v>370625</v>
          </cell>
          <cell r="BH15">
            <v>374200</v>
          </cell>
          <cell r="BI15">
            <v>377923</v>
          </cell>
          <cell r="BJ15">
            <v>381749</v>
          </cell>
          <cell r="BK15">
            <v>385635</v>
          </cell>
          <cell r="BL15">
            <v>389486</v>
          </cell>
          <cell r="BM15">
            <v>393248</v>
          </cell>
          <cell r="BN15">
            <v>393248</v>
          </cell>
        </row>
        <row r="16">
          <cell r="B16" t="str">
            <v>BHR</v>
          </cell>
          <cell r="C16" t="str">
            <v>Population, total</v>
          </cell>
          <cell r="D16" t="str">
            <v>SP.POP.TOTL</v>
          </cell>
          <cell r="E16">
            <v>162429</v>
          </cell>
          <cell r="F16">
            <v>167899</v>
          </cell>
          <cell r="G16">
            <v>173140</v>
          </cell>
          <cell r="H16">
            <v>178142</v>
          </cell>
          <cell r="I16">
            <v>182888</v>
          </cell>
          <cell r="J16">
            <v>187432</v>
          </cell>
          <cell r="K16">
            <v>191785</v>
          </cell>
          <cell r="L16">
            <v>196060</v>
          </cell>
          <cell r="M16">
            <v>200652</v>
          </cell>
          <cell r="N16">
            <v>206037</v>
          </cell>
          <cell r="O16">
            <v>212607</v>
          </cell>
          <cell r="P16">
            <v>220311</v>
          </cell>
          <cell r="Q16">
            <v>229151</v>
          </cell>
          <cell r="R16">
            <v>239527</v>
          </cell>
          <cell r="S16">
            <v>251908</v>
          </cell>
          <cell r="T16">
            <v>266540</v>
          </cell>
          <cell r="U16">
            <v>283746</v>
          </cell>
          <cell r="V16">
            <v>303169</v>
          </cell>
          <cell r="W16">
            <v>323468</v>
          </cell>
          <cell r="X16">
            <v>342804</v>
          </cell>
          <cell r="Y16">
            <v>359897</v>
          </cell>
          <cell r="Z16">
            <v>374120</v>
          </cell>
          <cell r="AA16">
            <v>385953</v>
          </cell>
          <cell r="AB16">
            <v>396451</v>
          </cell>
          <cell r="AC16">
            <v>407233</v>
          </cell>
          <cell r="AD16">
            <v>419428</v>
          </cell>
          <cell r="AE16">
            <v>433478</v>
          </cell>
          <cell r="AF16">
            <v>448981</v>
          </cell>
          <cell r="AG16">
            <v>465198</v>
          </cell>
          <cell r="AH16">
            <v>481081</v>
          </cell>
          <cell r="AI16">
            <v>495927</v>
          </cell>
          <cell r="AJ16">
            <v>509762</v>
          </cell>
          <cell r="AK16">
            <v>523082</v>
          </cell>
          <cell r="AL16">
            <v>536212</v>
          </cell>
          <cell r="AM16">
            <v>549590</v>
          </cell>
          <cell r="AN16">
            <v>563698</v>
          </cell>
          <cell r="AO16">
            <v>578661</v>
          </cell>
          <cell r="AP16">
            <v>594927</v>
          </cell>
          <cell r="AQ16">
            <v>613697</v>
          </cell>
          <cell r="AR16">
            <v>636540</v>
          </cell>
          <cell r="AS16">
            <v>664610</v>
          </cell>
          <cell r="AT16">
            <v>697550</v>
          </cell>
          <cell r="AU16">
            <v>735140</v>
          </cell>
          <cell r="AV16">
            <v>778708</v>
          </cell>
          <cell r="AW16">
            <v>829846</v>
          </cell>
          <cell r="AX16">
            <v>889157</v>
          </cell>
          <cell r="AY16">
            <v>958423</v>
          </cell>
          <cell r="AZ16">
            <v>1035924</v>
          </cell>
          <cell r="BA16">
            <v>1114645</v>
          </cell>
          <cell r="BB16">
            <v>1185075</v>
          </cell>
          <cell r="BC16">
            <v>1240864</v>
          </cell>
          <cell r="BD16">
            <v>1278153</v>
          </cell>
          <cell r="BE16">
            <v>1299942</v>
          </cell>
          <cell r="BF16">
            <v>1315029</v>
          </cell>
          <cell r="BG16">
            <v>1336073</v>
          </cell>
          <cell r="BH16">
            <v>1371853</v>
          </cell>
          <cell r="BI16">
            <v>1425793</v>
          </cell>
          <cell r="BJ16">
            <v>1494077</v>
          </cell>
          <cell r="BK16">
            <v>1569440</v>
          </cell>
          <cell r="BL16">
            <v>1641164</v>
          </cell>
          <cell r="BM16">
            <v>1701583</v>
          </cell>
          <cell r="BN16">
            <v>1701583</v>
          </cell>
        </row>
        <row r="17">
          <cell r="B17" t="str">
            <v>BGD</v>
          </cell>
          <cell r="C17" t="str">
            <v>Population, total</v>
          </cell>
          <cell r="D17" t="str">
            <v>SP.POP.TOTL</v>
          </cell>
          <cell r="E17">
            <v>48013505</v>
          </cell>
          <cell r="F17">
            <v>49362834</v>
          </cell>
          <cell r="G17">
            <v>50752150</v>
          </cell>
          <cell r="H17">
            <v>52202008</v>
          </cell>
          <cell r="I17">
            <v>53741721</v>
          </cell>
          <cell r="J17">
            <v>55385114</v>
          </cell>
          <cell r="K17">
            <v>57157651</v>
          </cell>
          <cell r="L17">
            <v>59034250</v>
          </cell>
          <cell r="M17">
            <v>60918452</v>
          </cell>
          <cell r="N17">
            <v>62679765</v>
          </cell>
          <cell r="O17">
            <v>64232486</v>
          </cell>
          <cell r="P17">
            <v>65531635</v>
          </cell>
          <cell r="Q17">
            <v>66625706</v>
          </cell>
          <cell r="R17">
            <v>67637541</v>
          </cell>
          <cell r="S17">
            <v>68742222</v>
          </cell>
          <cell r="T17">
            <v>70066310</v>
          </cell>
          <cell r="U17">
            <v>71652386</v>
          </cell>
          <cell r="V17">
            <v>73463593</v>
          </cell>
          <cell r="W17">
            <v>75450033</v>
          </cell>
          <cell r="X17">
            <v>77529040</v>
          </cell>
          <cell r="Y17">
            <v>79639498</v>
          </cell>
          <cell r="Z17">
            <v>81767516</v>
          </cell>
          <cell r="AA17">
            <v>83932132</v>
          </cell>
          <cell r="AB17">
            <v>86142490</v>
          </cell>
          <cell r="AC17">
            <v>88416529</v>
          </cell>
          <cell r="AD17">
            <v>90764180</v>
          </cell>
          <cell r="AE17">
            <v>93187593</v>
          </cell>
          <cell r="AF17">
            <v>95671159</v>
          </cell>
          <cell r="AG17">
            <v>98186350</v>
          </cell>
          <cell r="AH17">
            <v>100695496</v>
          </cell>
          <cell r="AI17">
            <v>103171957</v>
          </cell>
          <cell r="AJ17">
            <v>105599125</v>
          </cell>
          <cell r="AK17">
            <v>107983708</v>
          </cell>
          <cell r="AL17">
            <v>110350641</v>
          </cell>
          <cell r="AM17">
            <v>112737684</v>
          </cell>
          <cell r="AN17">
            <v>115169933</v>
          </cell>
          <cell r="AO17">
            <v>117649927</v>
          </cell>
          <cell r="AP17">
            <v>120160571</v>
          </cell>
          <cell r="AQ17">
            <v>122682818</v>
          </cell>
          <cell r="AR17">
            <v>125189655</v>
          </cell>
          <cell r="AS17">
            <v>127657862</v>
          </cell>
          <cell r="AT17">
            <v>130088709</v>
          </cell>
          <cell r="AU17">
            <v>132478077</v>
          </cell>
          <cell r="AV17">
            <v>134791598</v>
          </cell>
          <cell r="AW17">
            <v>136986429</v>
          </cell>
          <cell r="AX17">
            <v>139035505</v>
          </cell>
          <cell r="AY17">
            <v>140921154</v>
          </cell>
          <cell r="AZ17">
            <v>142660381</v>
          </cell>
          <cell r="BA17">
            <v>144304164</v>
          </cell>
          <cell r="BB17">
            <v>145924795</v>
          </cell>
          <cell r="BC17">
            <v>147575433</v>
          </cell>
          <cell r="BD17">
            <v>149273134</v>
          </cell>
          <cell r="BE17">
            <v>151005733</v>
          </cell>
          <cell r="BF17">
            <v>152761413</v>
          </cell>
          <cell r="BG17">
            <v>154517385</v>
          </cell>
          <cell r="BH17">
            <v>156256287</v>
          </cell>
          <cell r="BI17">
            <v>157977151</v>
          </cell>
          <cell r="BJ17">
            <v>159685421</v>
          </cell>
          <cell r="BK17">
            <v>161376713</v>
          </cell>
          <cell r="BL17">
            <v>163046173</v>
          </cell>
          <cell r="BM17">
            <v>164689383</v>
          </cell>
          <cell r="BN17">
            <v>164689383</v>
          </cell>
        </row>
        <row r="18">
          <cell r="B18" t="str">
            <v>BRB</v>
          </cell>
          <cell r="C18" t="str">
            <v>Population, total</v>
          </cell>
          <cell r="D18" t="str">
            <v>SP.POP.TOTL</v>
          </cell>
          <cell r="E18">
            <v>230985</v>
          </cell>
          <cell r="F18">
            <v>231718</v>
          </cell>
          <cell r="G18">
            <v>232623</v>
          </cell>
          <cell r="H18">
            <v>233632</v>
          </cell>
          <cell r="I18">
            <v>234588</v>
          </cell>
          <cell r="J18">
            <v>235415</v>
          </cell>
          <cell r="K18">
            <v>236084</v>
          </cell>
          <cell r="L18">
            <v>236661</v>
          </cell>
          <cell r="M18">
            <v>237241</v>
          </cell>
          <cell r="N18">
            <v>237963</v>
          </cell>
          <cell r="O18">
            <v>238895</v>
          </cell>
          <cell r="P18">
            <v>240093</v>
          </cell>
          <cell r="Q18">
            <v>241523</v>
          </cell>
          <cell r="R18">
            <v>243076</v>
          </cell>
          <cell r="S18">
            <v>244643</v>
          </cell>
          <cell r="T18">
            <v>246158</v>
          </cell>
          <cell r="U18">
            <v>247584</v>
          </cell>
          <cell r="V18">
            <v>248931</v>
          </cell>
          <cell r="W18">
            <v>250200</v>
          </cell>
          <cell r="X18">
            <v>251347</v>
          </cell>
          <cell r="Y18">
            <v>252388</v>
          </cell>
          <cell r="Z18">
            <v>253296</v>
          </cell>
          <cell r="AA18">
            <v>254078</v>
          </cell>
          <cell r="AB18">
            <v>254791</v>
          </cell>
          <cell r="AC18">
            <v>255493</v>
          </cell>
          <cell r="AD18">
            <v>256260</v>
          </cell>
          <cell r="AE18">
            <v>257117</v>
          </cell>
          <cell r="AF18">
            <v>258012</v>
          </cell>
          <cell r="AG18">
            <v>258970</v>
          </cell>
          <cell r="AH18">
            <v>259961</v>
          </cell>
          <cell r="AI18">
            <v>260933</v>
          </cell>
          <cell r="AJ18">
            <v>261912</v>
          </cell>
          <cell r="AK18">
            <v>262890</v>
          </cell>
          <cell r="AL18">
            <v>263869</v>
          </cell>
          <cell r="AM18">
            <v>264893</v>
          </cell>
          <cell r="AN18">
            <v>265955</v>
          </cell>
          <cell r="AO18">
            <v>267047</v>
          </cell>
          <cell r="AP18">
            <v>268183</v>
          </cell>
          <cell r="AQ18">
            <v>269334</v>
          </cell>
          <cell r="AR18">
            <v>270455</v>
          </cell>
          <cell r="AS18">
            <v>271511</v>
          </cell>
          <cell r="AT18">
            <v>272494</v>
          </cell>
          <cell r="AU18">
            <v>273423</v>
          </cell>
          <cell r="AV18">
            <v>274331</v>
          </cell>
          <cell r="AW18">
            <v>275283</v>
          </cell>
          <cell r="AX18">
            <v>276320</v>
          </cell>
          <cell r="AY18">
            <v>277475</v>
          </cell>
          <cell r="AZ18">
            <v>278701</v>
          </cell>
          <cell r="BA18">
            <v>279946</v>
          </cell>
          <cell r="BB18">
            <v>281107</v>
          </cell>
          <cell r="BC18">
            <v>282131</v>
          </cell>
          <cell r="BD18">
            <v>282987</v>
          </cell>
          <cell r="BE18">
            <v>283698</v>
          </cell>
          <cell r="BF18">
            <v>284294</v>
          </cell>
          <cell r="BG18">
            <v>284825</v>
          </cell>
          <cell r="BH18">
            <v>285327</v>
          </cell>
          <cell r="BI18">
            <v>285798</v>
          </cell>
          <cell r="BJ18">
            <v>286229</v>
          </cell>
          <cell r="BK18">
            <v>286640</v>
          </cell>
          <cell r="BL18">
            <v>287021</v>
          </cell>
          <cell r="BM18">
            <v>287371</v>
          </cell>
          <cell r="BN18">
            <v>287371</v>
          </cell>
        </row>
        <row r="19">
          <cell r="B19" t="str">
            <v>BLR</v>
          </cell>
          <cell r="C19" t="str">
            <v>Population, total</v>
          </cell>
          <cell r="D19" t="str">
            <v>SP.POP.TOTL</v>
          </cell>
          <cell r="E19">
            <v>8198000</v>
          </cell>
          <cell r="F19">
            <v>8271216</v>
          </cell>
          <cell r="G19">
            <v>8351928</v>
          </cell>
          <cell r="H19">
            <v>8437232</v>
          </cell>
          <cell r="I19">
            <v>8524224</v>
          </cell>
          <cell r="J19">
            <v>8610000</v>
          </cell>
          <cell r="K19">
            <v>8696496</v>
          </cell>
          <cell r="L19">
            <v>8785648</v>
          </cell>
          <cell r="M19">
            <v>8874552</v>
          </cell>
          <cell r="N19">
            <v>8960304</v>
          </cell>
          <cell r="O19">
            <v>9040000</v>
          </cell>
          <cell r="P19">
            <v>9115576</v>
          </cell>
          <cell r="Q19">
            <v>9188968</v>
          </cell>
          <cell r="R19">
            <v>9257272</v>
          </cell>
          <cell r="S19">
            <v>9317584</v>
          </cell>
          <cell r="T19">
            <v>9367000</v>
          </cell>
          <cell r="U19">
            <v>9411000</v>
          </cell>
          <cell r="V19">
            <v>9463000</v>
          </cell>
          <cell r="W19">
            <v>9525000</v>
          </cell>
          <cell r="X19">
            <v>9584000</v>
          </cell>
          <cell r="Y19">
            <v>9643000</v>
          </cell>
          <cell r="Z19">
            <v>9710000</v>
          </cell>
          <cell r="AA19">
            <v>9776000</v>
          </cell>
          <cell r="AB19">
            <v>9843000</v>
          </cell>
          <cell r="AC19">
            <v>9910000</v>
          </cell>
          <cell r="AD19">
            <v>9975000</v>
          </cell>
          <cell r="AE19">
            <v>10043000</v>
          </cell>
          <cell r="AF19">
            <v>10111000</v>
          </cell>
          <cell r="AG19">
            <v>10140000</v>
          </cell>
          <cell r="AH19">
            <v>10170000</v>
          </cell>
          <cell r="AI19">
            <v>10189348</v>
          </cell>
          <cell r="AJ19">
            <v>10194050</v>
          </cell>
          <cell r="AK19">
            <v>10216470</v>
          </cell>
          <cell r="AL19">
            <v>10239050</v>
          </cell>
          <cell r="AM19">
            <v>10226955</v>
          </cell>
          <cell r="AN19">
            <v>10193831</v>
          </cell>
          <cell r="AO19">
            <v>10159569</v>
          </cell>
          <cell r="AP19">
            <v>10117433</v>
          </cell>
          <cell r="AQ19">
            <v>10071963</v>
          </cell>
          <cell r="AR19">
            <v>10026738</v>
          </cell>
          <cell r="AS19">
            <v>9979610</v>
          </cell>
          <cell r="AT19">
            <v>9928549</v>
          </cell>
          <cell r="AU19">
            <v>9865548</v>
          </cell>
          <cell r="AV19">
            <v>9796749</v>
          </cell>
          <cell r="AW19">
            <v>9730146</v>
          </cell>
          <cell r="AX19">
            <v>9663915</v>
          </cell>
          <cell r="AY19">
            <v>9604924</v>
          </cell>
          <cell r="AZ19">
            <v>9560953</v>
          </cell>
          <cell r="BA19">
            <v>9527985</v>
          </cell>
          <cell r="BB19">
            <v>9504583</v>
          </cell>
          <cell r="BC19">
            <v>9483836</v>
          </cell>
          <cell r="BD19">
            <v>9461643</v>
          </cell>
          <cell r="BE19">
            <v>9446836</v>
          </cell>
          <cell r="BF19">
            <v>9443211</v>
          </cell>
          <cell r="BG19">
            <v>9448515</v>
          </cell>
          <cell r="BH19">
            <v>9461076</v>
          </cell>
          <cell r="BI19">
            <v>9469379</v>
          </cell>
          <cell r="BJ19">
            <v>9458989</v>
          </cell>
          <cell r="BK19">
            <v>9438785</v>
          </cell>
          <cell r="BL19">
            <v>9419758</v>
          </cell>
          <cell r="BM19">
            <v>9379952</v>
          </cell>
          <cell r="BN19">
            <v>9379952</v>
          </cell>
        </row>
        <row r="20">
          <cell r="B20" t="str">
            <v>BEL</v>
          </cell>
          <cell r="C20" t="str">
            <v>Population, total</v>
          </cell>
          <cell r="D20" t="str">
            <v>SP.POP.TOTL</v>
          </cell>
          <cell r="E20">
            <v>9153489</v>
          </cell>
          <cell r="F20">
            <v>9183948</v>
          </cell>
          <cell r="G20">
            <v>9220578</v>
          </cell>
          <cell r="H20">
            <v>9289770</v>
          </cell>
          <cell r="I20">
            <v>9378113</v>
          </cell>
          <cell r="J20">
            <v>9463667</v>
          </cell>
          <cell r="K20">
            <v>9527807</v>
          </cell>
          <cell r="L20">
            <v>9580991</v>
          </cell>
          <cell r="M20">
            <v>9618756</v>
          </cell>
          <cell r="N20">
            <v>9646032</v>
          </cell>
          <cell r="O20">
            <v>9655549</v>
          </cell>
          <cell r="P20">
            <v>9673162</v>
          </cell>
          <cell r="Q20">
            <v>9711115</v>
          </cell>
          <cell r="R20">
            <v>9741720</v>
          </cell>
          <cell r="S20">
            <v>9772419</v>
          </cell>
          <cell r="T20">
            <v>9800700</v>
          </cell>
          <cell r="U20">
            <v>9818227</v>
          </cell>
          <cell r="V20">
            <v>9830358</v>
          </cell>
          <cell r="W20">
            <v>9839534</v>
          </cell>
          <cell r="X20">
            <v>9848382</v>
          </cell>
          <cell r="Y20">
            <v>9859242</v>
          </cell>
          <cell r="Z20">
            <v>9858982</v>
          </cell>
          <cell r="AA20">
            <v>9856303</v>
          </cell>
          <cell r="AB20">
            <v>9855520</v>
          </cell>
          <cell r="AC20">
            <v>9855372</v>
          </cell>
          <cell r="AD20">
            <v>9858308</v>
          </cell>
          <cell r="AE20">
            <v>9861823</v>
          </cell>
          <cell r="AF20">
            <v>9870234</v>
          </cell>
          <cell r="AG20">
            <v>9901664</v>
          </cell>
          <cell r="AH20">
            <v>9937697</v>
          </cell>
          <cell r="AI20">
            <v>9967379</v>
          </cell>
          <cell r="AJ20">
            <v>10004486</v>
          </cell>
          <cell r="AK20">
            <v>10045158</v>
          </cell>
          <cell r="AL20">
            <v>10084475</v>
          </cell>
          <cell r="AM20">
            <v>10115603</v>
          </cell>
          <cell r="AN20">
            <v>10136811</v>
          </cell>
          <cell r="AO20">
            <v>10156637</v>
          </cell>
          <cell r="AP20">
            <v>10181245</v>
          </cell>
          <cell r="AQ20">
            <v>10203008</v>
          </cell>
          <cell r="AR20">
            <v>10226419</v>
          </cell>
          <cell r="AS20">
            <v>10251250</v>
          </cell>
          <cell r="AT20">
            <v>10286570</v>
          </cell>
          <cell r="AU20">
            <v>10332785</v>
          </cell>
          <cell r="AV20">
            <v>10376133</v>
          </cell>
          <cell r="AW20">
            <v>10421137</v>
          </cell>
          <cell r="AX20">
            <v>10478617</v>
          </cell>
          <cell r="AY20">
            <v>10547958</v>
          </cell>
          <cell r="AZ20">
            <v>10625700</v>
          </cell>
          <cell r="BA20">
            <v>10709973</v>
          </cell>
          <cell r="BB20">
            <v>10796493</v>
          </cell>
          <cell r="BC20">
            <v>10895586</v>
          </cell>
          <cell r="BD20">
            <v>11038264</v>
          </cell>
          <cell r="BE20">
            <v>11106932</v>
          </cell>
          <cell r="BF20">
            <v>11159407</v>
          </cell>
          <cell r="BG20">
            <v>11209057</v>
          </cell>
          <cell r="BH20">
            <v>11274196</v>
          </cell>
          <cell r="BI20">
            <v>11331422</v>
          </cell>
          <cell r="BJ20">
            <v>11375158</v>
          </cell>
          <cell r="BK20">
            <v>11427054</v>
          </cell>
          <cell r="BL20">
            <v>11488980</v>
          </cell>
          <cell r="BM20">
            <v>11555997</v>
          </cell>
          <cell r="BN20">
            <v>11555997</v>
          </cell>
        </row>
        <row r="21">
          <cell r="B21" t="str">
            <v>BLZ</v>
          </cell>
          <cell r="C21" t="str">
            <v>Population, total</v>
          </cell>
          <cell r="D21" t="str">
            <v>SP.POP.TOTL</v>
          </cell>
          <cell r="E21">
            <v>92068</v>
          </cell>
          <cell r="F21">
            <v>94700</v>
          </cell>
          <cell r="G21">
            <v>97392</v>
          </cell>
          <cell r="H21">
            <v>100165</v>
          </cell>
          <cell r="I21">
            <v>103069</v>
          </cell>
          <cell r="J21">
            <v>106120</v>
          </cell>
          <cell r="K21">
            <v>109348</v>
          </cell>
          <cell r="L21">
            <v>112707</v>
          </cell>
          <cell r="M21">
            <v>116065</v>
          </cell>
          <cell r="N21">
            <v>119269</v>
          </cell>
          <cell r="O21">
            <v>122184</v>
          </cell>
          <cell r="P21">
            <v>124795</v>
          </cell>
          <cell r="Q21">
            <v>127152</v>
          </cell>
          <cell r="R21">
            <v>129294</v>
          </cell>
          <cell r="S21">
            <v>131305</v>
          </cell>
          <cell r="T21">
            <v>133264</v>
          </cell>
          <cell r="U21">
            <v>135143</v>
          </cell>
          <cell r="V21">
            <v>136990</v>
          </cell>
          <cell r="W21">
            <v>138975</v>
          </cell>
          <cell r="X21">
            <v>141302</v>
          </cell>
          <cell r="Y21">
            <v>144142</v>
          </cell>
          <cell r="Z21">
            <v>147572</v>
          </cell>
          <cell r="AA21">
            <v>151486</v>
          </cell>
          <cell r="AB21">
            <v>155820</v>
          </cell>
          <cell r="AC21">
            <v>160341</v>
          </cell>
          <cell r="AD21">
            <v>164918</v>
          </cell>
          <cell r="AE21">
            <v>169569</v>
          </cell>
          <cell r="AF21">
            <v>174333</v>
          </cell>
          <cell r="AG21">
            <v>179023</v>
          </cell>
          <cell r="AH21">
            <v>183471</v>
          </cell>
          <cell r="AI21">
            <v>187554</v>
          </cell>
          <cell r="AJ21">
            <v>191136</v>
          </cell>
          <cell r="AK21">
            <v>194324</v>
          </cell>
          <cell r="AL21">
            <v>197625</v>
          </cell>
          <cell r="AM21">
            <v>201679</v>
          </cell>
          <cell r="AN21">
            <v>206962</v>
          </cell>
          <cell r="AO21">
            <v>213660</v>
          </cell>
          <cell r="AP21">
            <v>221575</v>
          </cell>
          <cell r="AQ21">
            <v>230248</v>
          </cell>
          <cell r="AR21">
            <v>238979</v>
          </cell>
          <cell r="AS21">
            <v>247310</v>
          </cell>
          <cell r="AT21">
            <v>255068</v>
          </cell>
          <cell r="AU21">
            <v>262387</v>
          </cell>
          <cell r="AV21">
            <v>269428</v>
          </cell>
          <cell r="AW21">
            <v>276516</v>
          </cell>
          <cell r="AX21">
            <v>283798</v>
          </cell>
          <cell r="AY21">
            <v>291338</v>
          </cell>
          <cell r="AZ21">
            <v>299031</v>
          </cell>
          <cell r="BA21">
            <v>306822</v>
          </cell>
          <cell r="BB21">
            <v>314655</v>
          </cell>
          <cell r="BC21">
            <v>322465</v>
          </cell>
          <cell r="BD21">
            <v>330236</v>
          </cell>
          <cell r="BE21">
            <v>338001</v>
          </cell>
          <cell r="BF21">
            <v>345707</v>
          </cell>
          <cell r="BG21">
            <v>353366</v>
          </cell>
          <cell r="BH21">
            <v>360926</v>
          </cell>
          <cell r="BI21">
            <v>368399</v>
          </cell>
          <cell r="BJ21">
            <v>375775</v>
          </cell>
          <cell r="BK21">
            <v>383071</v>
          </cell>
          <cell r="BL21">
            <v>390351</v>
          </cell>
          <cell r="BM21">
            <v>397621</v>
          </cell>
          <cell r="BN21">
            <v>397621</v>
          </cell>
        </row>
        <row r="22">
          <cell r="B22" t="str">
            <v>BEN</v>
          </cell>
          <cell r="C22" t="str">
            <v>Population, total</v>
          </cell>
          <cell r="D22" t="str">
            <v>SP.POP.TOTL</v>
          </cell>
          <cell r="E22">
            <v>2431617</v>
          </cell>
          <cell r="F22">
            <v>2465865</v>
          </cell>
          <cell r="G22">
            <v>2502897</v>
          </cell>
          <cell r="H22">
            <v>2542864</v>
          </cell>
          <cell r="I22">
            <v>2585961</v>
          </cell>
          <cell r="J22">
            <v>2632361</v>
          </cell>
          <cell r="K22">
            <v>2682159</v>
          </cell>
          <cell r="L22">
            <v>2735308</v>
          </cell>
          <cell r="M22">
            <v>2791588</v>
          </cell>
          <cell r="N22">
            <v>2850657</v>
          </cell>
          <cell r="O22">
            <v>2912338</v>
          </cell>
          <cell r="P22">
            <v>2976575</v>
          </cell>
          <cell r="Q22">
            <v>3043563</v>
          </cell>
          <cell r="R22">
            <v>3113681</v>
          </cell>
          <cell r="S22">
            <v>3187413</v>
          </cell>
          <cell r="T22">
            <v>3265167</v>
          </cell>
          <cell r="U22">
            <v>3347169</v>
          </cell>
          <cell r="V22">
            <v>3433445</v>
          </cell>
          <cell r="W22">
            <v>3523933</v>
          </cell>
          <cell r="X22">
            <v>3618519</v>
          </cell>
          <cell r="Y22">
            <v>3717161</v>
          </cell>
          <cell r="Z22">
            <v>3820126</v>
          </cell>
          <cell r="AA22">
            <v>3927717</v>
          </cell>
          <cell r="AB22">
            <v>4039940</v>
          </cell>
          <cell r="AC22">
            <v>4156819</v>
          </cell>
          <cell r="AD22">
            <v>4278502</v>
          </cell>
          <cell r="AE22">
            <v>4404504</v>
          </cell>
          <cell r="AF22">
            <v>4535262</v>
          </cell>
          <cell r="AG22">
            <v>4672844</v>
          </cell>
          <cell r="AH22">
            <v>4820020</v>
          </cell>
          <cell r="AI22">
            <v>4978489</v>
          </cell>
          <cell r="AJ22">
            <v>5149496</v>
          </cell>
          <cell r="AK22">
            <v>5331805</v>
          </cell>
          <cell r="AL22">
            <v>5521761</v>
          </cell>
          <cell r="AM22">
            <v>5714215</v>
          </cell>
          <cell r="AN22">
            <v>5905552</v>
          </cell>
          <cell r="AO22">
            <v>6094272</v>
          </cell>
          <cell r="AP22">
            <v>6281644</v>
          </cell>
          <cell r="AQ22">
            <v>6470275</v>
          </cell>
          <cell r="AR22">
            <v>6664102</v>
          </cell>
          <cell r="AS22">
            <v>6865946</v>
          </cell>
          <cell r="AT22">
            <v>7076728</v>
          </cell>
          <cell r="AU22">
            <v>7295400</v>
          </cell>
          <cell r="AV22">
            <v>7520556</v>
          </cell>
          <cell r="AW22">
            <v>7750003</v>
          </cell>
          <cell r="AX22">
            <v>7982223</v>
          </cell>
          <cell r="AY22">
            <v>8216893</v>
          </cell>
          <cell r="AZ22">
            <v>8454790</v>
          </cell>
          <cell r="BA22">
            <v>8696915</v>
          </cell>
          <cell r="BB22">
            <v>8944713</v>
          </cell>
          <cell r="BC22">
            <v>9199254</v>
          </cell>
          <cell r="BD22">
            <v>9460829</v>
          </cell>
          <cell r="BE22">
            <v>9729254</v>
          </cell>
          <cell r="BF22">
            <v>10004594</v>
          </cell>
          <cell r="BG22">
            <v>10286839</v>
          </cell>
          <cell r="BH22">
            <v>10575962</v>
          </cell>
          <cell r="BI22">
            <v>10872072</v>
          </cell>
          <cell r="BJ22">
            <v>11175192</v>
          </cell>
          <cell r="BK22">
            <v>11485035</v>
          </cell>
          <cell r="BL22">
            <v>11801151</v>
          </cell>
          <cell r="BM22">
            <v>12123198</v>
          </cell>
          <cell r="BN22">
            <v>12123198</v>
          </cell>
        </row>
        <row r="23">
          <cell r="B23" t="str">
            <v>BMU</v>
          </cell>
          <cell r="C23" t="str">
            <v>Population, total</v>
          </cell>
          <cell r="D23" t="str">
            <v>SP.POP.TOTL</v>
          </cell>
          <cell r="E23">
            <v>44400</v>
          </cell>
          <cell r="F23">
            <v>45500</v>
          </cell>
          <cell r="G23">
            <v>46600</v>
          </cell>
          <cell r="H23">
            <v>47700</v>
          </cell>
          <cell r="I23">
            <v>48900</v>
          </cell>
          <cell r="J23">
            <v>50100</v>
          </cell>
          <cell r="K23">
            <v>51000</v>
          </cell>
          <cell r="L23">
            <v>52000</v>
          </cell>
          <cell r="M23">
            <v>53000</v>
          </cell>
          <cell r="N23">
            <v>54000</v>
          </cell>
          <cell r="O23">
            <v>55000</v>
          </cell>
          <cell r="P23">
            <v>54600</v>
          </cell>
          <cell r="Q23">
            <v>54200</v>
          </cell>
          <cell r="R23">
            <v>53800</v>
          </cell>
          <cell r="S23">
            <v>53400</v>
          </cell>
          <cell r="T23">
            <v>53000</v>
          </cell>
          <cell r="U23">
            <v>53200</v>
          </cell>
          <cell r="V23">
            <v>53400</v>
          </cell>
          <cell r="W23">
            <v>53600</v>
          </cell>
          <cell r="X23">
            <v>53800</v>
          </cell>
          <cell r="Y23">
            <v>54670</v>
          </cell>
          <cell r="Z23">
            <v>55050</v>
          </cell>
          <cell r="AA23">
            <v>55449</v>
          </cell>
          <cell r="AB23">
            <v>55930</v>
          </cell>
          <cell r="AC23">
            <v>56423</v>
          </cell>
          <cell r="AD23">
            <v>56898</v>
          </cell>
          <cell r="AE23">
            <v>57382</v>
          </cell>
          <cell r="AF23">
            <v>57849</v>
          </cell>
          <cell r="AG23">
            <v>58347</v>
          </cell>
          <cell r="AH23">
            <v>58841</v>
          </cell>
          <cell r="AI23">
            <v>59326</v>
          </cell>
          <cell r="AJ23">
            <v>59021</v>
          </cell>
          <cell r="AK23">
            <v>58595</v>
          </cell>
          <cell r="AL23">
            <v>58910</v>
          </cell>
          <cell r="AM23">
            <v>59320</v>
          </cell>
          <cell r="AN23">
            <v>59746</v>
          </cell>
          <cell r="AO23">
            <v>60129</v>
          </cell>
          <cell r="AP23">
            <v>60497</v>
          </cell>
          <cell r="AQ23">
            <v>60943</v>
          </cell>
          <cell r="AR23">
            <v>61285</v>
          </cell>
          <cell r="AS23">
            <v>61833</v>
          </cell>
          <cell r="AT23">
            <v>62504</v>
          </cell>
          <cell r="AU23">
            <v>62912</v>
          </cell>
          <cell r="AV23">
            <v>63325</v>
          </cell>
          <cell r="AW23">
            <v>63740</v>
          </cell>
          <cell r="AX23">
            <v>64154</v>
          </cell>
          <cell r="AY23">
            <v>64523</v>
          </cell>
          <cell r="AZ23">
            <v>64888</v>
          </cell>
          <cell r="BA23">
            <v>65273</v>
          </cell>
          <cell r="BB23">
            <v>65636</v>
          </cell>
          <cell r="BC23">
            <v>65124</v>
          </cell>
          <cell r="BD23">
            <v>64564</v>
          </cell>
          <cell r="BE23">
            <v>64798</v>
          </cell>
          <cell r="BF23">
            <v>65001</v>
          </cell>
          <cell r="BG23">
            <v>65138</v>
          </cell>
          <cell r="BH23">
            <v>65237</v>
          </cell>
          <cell r="BI23">
            <v>64554</v>
          </cell>
          <cell r="BJ23">
            <v>63873</v>
          </cell>
          <cell r="BK23">
            <v>63919</v>
          </cell>
          <cell r="BL23">
            <v>63913</v>
          </cell>
          <cell r="BM23">
            <v>63903</v>
          </cell>
          <cell r="BN23">
            <v>63903</v>
          </cell>
        </row>
        <row r="24">
          <cell r="B24" t="str">
            <v>BTN</v>
          </cell>
          <cell r="C24" t="str">
            <v>Population, total</v>
          </cell>
          <cell r="D24" t="str">
            <v>SP.POP.TOTL</v>
          </cell>
          <cell r="E24">
            <v>223284</v>
          </cell>
          <cell r="F24">
            <v>228849</v>
          </cell>
          <cell r="G24">
            <v>234552</v>
          </cell>
          <cell r="H24">
            <v>240529</v>
          </cell>
          <cell r="I24">
            <v>246961</v>
          </cell>
          <cell r="J24">
            <v>253993</v>
          </cell>
          <cell r="K24">
            <v>261664</v>
          </cell>
          <cell r="L24">
            <v>269944</v>
          </cell>
          <cell r="M24">
            <v>278731</v>
          </cell>
          <cell r="N24">
            <v>287886</v>
          </cell>
          <cell r="O24">
            <v>297307</v>
          </cell>
          <cell r="P24">
            <v>306957</v>
          </cell>
          <cell r="Q24">
            <v>316822</v>
          </cell>
          <cell r="R24">
            <v>326986</v>
          </cell>
          <cell r="S24">
            <v>337491</v>
          </cell>
          <cell r="T24">
            <v>348395</v>
          </cell>
          <cell r="U24">
            <v>359721</v>
          </cell>
          <cell r="V24">
            <v>371424</v>
          </cell>
          <cell r="W24">
            <v>383324</v>
          </cell>
          <cell r="X24">
            <v>395192</v>
          </cell>
          <cell r="Y24">
            <v>406883</v>
          </cell>
          <cell r="Z24">
            <v>418107</v>
          </cell>
          <cell r="AA24">
            <v>428938</v>
          </cell>
          <cell r="AB24">
            <v>439823</v>
          </cell>
          <cell r="AC24">
            <v>451471</v>
          </cell>
          <cell r="AD24">
            <v>464264</v>
          </cell>
          <cell r="AE24">
            <v>478683</v>
          </cell>
          <cell r="AF24">
            <v>494313</v>
          </cell>
          <cell r="AG24">
            <v>509532</v>
          </cell>
          <cell r="AH24">
            <v>522173</v>
          </cell>
          <cell r="AI24">
            <v>530801</v>
          </cell>
          <cell r="AJ24">
            <v>534637</v>
          </cell>
          <cell r="AK24">
            <v>534525</v>
          </cell>
          <cell r="AL24">
            <v>532590</v>
          </cell>
          <cell r="AM24">
            <v>531905</v>
          </cell>
          <cell r="AN24">
            <v>534629</v>
          </cell>
          <cell r="AO24">
            <v>541471</v>
          </cell>
          <cell r="AP24">
            <v>551713</v>
          </cell>
          <cell r="AQ24">
            <v>564378</v>
          </cell>
          <cell r="AR24">
            <v>577886</v>
          </cell>
          <cell r="AS24">
            <v>591014</v>
          </cell>
          <cell r="AT24">
            <v>603643</v>
          </cell>
          <cell r="AU24">
            <v>616025</v>
          </cell>
          <cell r="AV24">
            <v>627840</v>
          </cell>
          <cell r="AW24">
            <v>638809</v>
          </cell>
          <cell r="AX24">
            <v>648744</v>
          </cell>
          <cell r="AY24">
            <v>657404</v>
          </cell>
          <cell r="AZ24">
            <v>664873</v>
          </cell>
          <cell r="BA24">
            <v>671611</v>
          </cell>
          <cell r="BB24">
            <v>678329</v>
          </cell>
          <cell r="BC24">
            <v>685502</v>
          </cell>
          <cell r="BD24">
            <v>693297</v>
          </cell>
          <cell r="BE24">
            <v>701582</v>
          </cell>
          <cell r="BF24">
            <v>710235</v>
          </cell>
          <cell r="BG24">
            <v>719053</v>
          </cell>
          <cell r="BH24">
            <v>727885</v>
          </cell>
          <cell r="BI24">
            <v>736706</v>
          </cell>
          <cell r="BJ24">
            <v>745563</v>
          </cell>
          <cell r="BK24">
            <v>754396</v>
          </cell>
          <cell r="BL24">
            <v>763094</v>
          </cell>
          <cell r="BM24">
            <v>771612</v>
          </cell>
          <cell r="BN24">
            <v>771612</v>
          </cell>
        </row>
        <row r="25">
          <cell r="B25" t="str">
            <v>BOL</v>
          </cell>
          <cell r="C25" t="str">
            <v>Population, total</v>
          </cell>
          <cell r="D25" t="str">
            <v>SP.POP.TOTL</v>
          </cell>
          <cell r="E25">
            <v>3656961</v>
          </cell>
          <cell r="F25">
            <v>3728954</v>
          </cell>
          <cell r="G25">
            <v>3802996</v>
          </cell>
          <cell r="H25">
            <v>3879191</v>
          </cell>
          <cell r="I25">
            <v>3957759</v>
          </cell>
          <cell r="J25">
            <v>4038865</v>
          </cell>
          <cell r="K25">
            <v>4122517</v>
          </cell>
          <cell r="L25">
            <v>4208683</v>
          </cell>
          <cell r="M25">
            <v>4297522</v>
          </cell>
          <cell r="N25">
            <v>4389248</v>
          </cell>
          <cell r="O25">
            <v>4484004</v>
          </cell>
          <cell r="P25">
            <v>4581752</v>
          </cell>
          <cell r="Q25">
            <v>4682392</v>
          </cell>
          <cell r="R25">
            <v>4785916</v>
          </cell>
          <cell r="S25">
            <v>4892294</v>
          </cell>
          <cell r="T25">
            <v>5001413</v>
          </cell>
          <cell r="U25">
            <v>5113458</v>
          </cell>
          <cell r="V25">
            <v>5228253</v>
          </cell>
          <cell r="W25">
            <v>5344946</v>
          </cell>
          <cell r="X25">
            <v>5462413</v>
          </cell>
          <cell r="Y25">
            <v>5579932</v>
          </cell>
          <cell r="Z25">
            <v>5697098</v>
          </cell>
          <cell r="AA25">
            <v>5814344</v>
          </cell>
          <cell r="AB25">
            <v>5932812</v>
          </cell>
          <cell r="AC25">
            <v>6054126</v>
          </cell>
          <cell r="AD25">
            <v>6179460</v>
          </cell>
          <cell r="AE25">
            <v>6309129</v>
          </cell>
          <cell r="AF25">
            <v>6442824</v>
          </cell>
          <cell r="AG25">
            <v>6580318</v>
          </cell>
          <cell r="AH25">
            <v>6721117</v>
          </cell>
          <cell r="AI25">
            <v>6864839</v>
          </cell>
          <cell r="AJ25">
            <v>7011456</v>
          </cell>
          <cell r="AK25">
            <v>7160917</v>
          </cell>
          <cell r="AL25">
            <v>7312857</v>
          </cell>
          <cell r="AM25">
            <v>7466792</v>
          </cell>
          <cell r="AN25">
            <v>7622334</v>
          </cell>
          <cell r="AO25">
            <v>7779268</v>
          </cell>
          <cell r="AP25">
            <v>7937453</v>
          </cell>
          <cell r="AQ25">
            <v>8096761</v>
          </cell>
          <cell r="AR25">
            <v>8257066</v>
          </cell>
          <cell r="AS25">
            <v>8418270</v>
          </cell>
          <cell r="AT25">
            <v>8580244</v>
          </cell>
          <cell r="AU25">
            <v>8742822</v>
          </cell>
          <cell r="AV25">
            <v>8905820</v>
          </cell>
          <cell r="AW25">
            <v>9069044</v>
          </cell>
          <cell r="AX25">
            <v>9232301</v>
          </cell>
          <cell r="AY25">
            <v>9395449</v>
          </cell>
          <cell r="AZ25">
            <v>9558438</v>
          </cell>
          <cell r="BA25">
            <v>9721457</v>
          </cell>
          <cell r="BB25">
            <v>9884790</v>
          </cell>
          <cell r="BC25">
            <v>10048597</v>
          </cell>
          <cell r="BD25">
            <v>10212951</v>
          </cell>
          <cell r="BE25">
            <v>10377677</v>
          </cell>
          <cell r="BF25">
            <v>10542375</v>
          </cell>
          <cell r="BG25">
            <v>10706517</v>
          </cell>
          <cell r="BH25">
            <v>10869732</v>
          </cell>
          <cell r="BI25">
            <v>11031822</v>
          </cell>
          <cell r="BJ25">
            <v>11192853</v>
          </cell>
          <cell r="BK25">
            <v>11353140</v>
          </cell>
          <cell r="BL25">
            <v>11513102</v>
          </cell>
          <cell r="BM25">
            <v>11673029</v>
          </cell>
          <cell r="BN25">
            <v>11673029</v>
          </cell>
        </row>
        <row r="26">
          <cell r="B26" t="str">
            <v>BIH</v>
          </cell>
          <cell r="C26" t="str">
            <v>Population, total</v>
          </cell>
          <cell r="D26" t="str">
            <v>SP.POP.TOTL</v>
          </cell>
          <cell r="E26">
            <v>3225664</v>
          </cell>
          <cell r="F26">
            <v>3288604</v>
          </cell>
          <cell r="G26">
            <v>3353228</v>
          </cell>
          <cell r="H26">
            <v>3417573</v>
          </cell>
          <cell r="I26">
            <v>3478999</v>
          </cell>
          <cell r="J26">
            <v>3535632</v>
          </cell>
          <cell r="K26">
            <v>3586630</v>
          </cell>
          <cell r="L26">
            <v>3632678</v>
          </cell>
          <cell r="M26">
            <v>3675448</v>
          </cell>
          <cell r="N26">
            <v>3717476</v>
          </cell>
          <cell r="O26">
            <v>3760536</v>
          </cell>
          <cell r="P26">
            <v>3805286</v>
          </cell>
          <cell r="Q26">
            <v>3851153</v>
          </cell>
          <cell r="R26">
            <v>3897259</v>
          </cell>
          <cell r="S26">
            <v>3942221</v>
          </cell>
          <cell r="T26">
            <v>3985107</v>
          </cell>
          <cell r="U26">
            <v>4025271</v>
          </cell>
          <cell r="V26">
            <v>4063188</v>
          </cell>
          <cell r="W26">
            <v>4100355</v>
          </cell>
          <cell r="X26">
            <v>4138816</v>
          </cell>
          <cell r="Y26">
            <v>4179850</v>
          </cell>
          <cell r="Z26">
            <v>4222479</v>
          </cell>
          <cell r="AA26">
            <v>4265183</v>
          </cell>
          <cell r="AB26">
            <v>4307907</v>
          </cell>
          <cell r="AC26">
            <v>4350566</v>
          </cell>
          <cell r="AD26">
            <v>4392135</v>
          </cell>
          <cell r="AE26">
            <v>4435925</v>
          </cell>
          <cell r="AF26">
            <v>4479516</v>
          </cell>
          <cell r="AG26">
            <v>4509462</v>
          </cell>
          <cell r="AH26">
            <v>4507819</v>
          </cell>
          <cell r="AI26">
            <v>4463422</v>
          </cell>
          <cell r="AJ26">
            <v>4369320</v>
          </cell>
          <cell r="AK26">
            <v>4233673</v>
          </cell>
          <cell r="AL26">
            <v>4078940</v>
          </cell>
          <cell r="AM26">
            <v>3936527</v>
          </cell>
          <cell r="AN26">
            <v>3829049</v>
          </cell>
          <cell r="AO26">
            <v>3764419</v>
          </cell>
          <cell r="AP26">
            <v>3736070</v>
          </cell>
          <cell r="AQ26">
            <v>3734338</v>
          </cell>
          <cell r="AR26">
            <v>3743353</v>
          </cell>
          <cell r="AS26">
            <v>3751176</v>
          </cell>
          <cell r="AT26">
            <v>3755514</v>
          </cell>
          <cell r="AU26">
            <v>3759389</v>
          </cell>
          <cell r="AV26">
            <v>3762179</v>
          </cell>
          <cell r="AW26">
            <v>3764194</v>
          </cell>
          <cell r="AX26">
            <v>3765332</v>
          </cell>
          <cell r="AY26">
            <v>3765422</v>
          </cell>
          <cell r="AZ26">
            <v>3762791</v>
          </cell>
          <cell r="BA26">
            <v>3754261</v>
          </cell>
          <cell r="BB26">
            <v>3735945</v>
          </cell>
          <cell r="BC26">
            <v>3705478</v>
          </cell>
          <cell r="BD26">
            <v>3661173</v>
          </cell>
          <cell r="BE26">
            <v>3604972</v>
          </cell>
          <cell r="BF26">
            <v>3542598</v>
          </cell>
          <cell r="BG26">
            <v>3482106</v>
          </cell>
          <cell r="BH26">
            <v>3429362</v>
          </cell>
          <cell r="BI26">
            <v>3386263</v>
          </cell>
          <cell r="BJ26">
            <v>3351534</v>
          </cell>
          <cell r="BK26">
            <v>3323929</v>
          </cell>
          <cell r="BL26">
            <v>3300998</v>
          </cell>
          <cell r="BM26">
            <v>3280815</v>
          </cell>
          <cell r="BN26">
            <v>3280815</v>
          </cell>
        </row>
        <row r="27">
          <cell r="B27" t="str">
            <v>BWA</v>
          </cell>
          <cell r="C27" t="str">
            <v>Population, total</v>
          </cell>
          <cell r="D27" t="str">
            <v>SP.POP.TOTL</v>
          </cell>
          <cell r="E27">
            <v>502733</v>
          </cell>
          <cell r="F27">
            <v>512688</v>
          </cell>
          <cell r="G27">
            <v>523777</v>
          </cell>
          <cell r="H27">
            <v>535692</v>
          </cell>
          <cell r="I27">
            <v>547870</v>
          </cell>
          <cell r="J27">
            <v>559996</v>
          </cell>
          <cell r="K27">
            <v>571957</v>
          </cell>
          <cell r="L27">
            <v>584098</v>
          </cell>
          <cell r="M27">
            <v>596946</v>
          </cell>
          <cell r="N27">
            <v>611297</v>
          </cell>
          <cell r="O27">
            <v>627714</v>
          </cell>
          <cell r="P27">
            <v>646350</v>
          </cell>
          <cell r="Q27">
            <v>667096</v>
          </cell>
          <cell r="R27">
            <v>689906</v>
          </cell>
          <cell r="S27">
            <v>714701</v>
          </cell>
          <cell r="T27">
            <v>741346</v>
          </cell>
          <cell r="U27">
            <v>769982</v>
          </cell>
          <cell r="V27">
            <v>800532</v>
          </cell>
          <cell r="W27">
            <v>832467</v>
          </cell>
          <cell r="X27">
            <v>865073</v>
          </cell>
          <cell r="Y27">
            <v>897860</v>
          </cell>
          <cell r="Z27">
            <v>930412</v>
          </cell>
          <cell r="AA27">
            <v>962859</v>
          </cell>
          <cell r="AB27">
            <v>996124</v>
          </cell>
          <cell r="AC27">
            <v>1031439</v>
          </cell>
          <cell r="AD27">
            <v>1069585</v>
          </cell>
          <cell r="AE27">
            <v>1110948</v>
          </cell>
          <cell r="AF27">
            <v>1154904</v>
          </cell>
          <cell r="AG27">
            <v>1200073</v>
          </cell>
          <cell r="AH27">
            <v>1244484</v>
          </cell>
          <cell r="AI27">
            <v>1286756</v>
          </cell>
          <cell r="AJ27">
            <v>1326321</v>
          </cell>
          <cell r="AK27">
            <v>1363541</v>
          </cell>
          <cell r="AL27">
            <v>1399110</v>
          </cell>
          <cell r="AM27">
            <v>1434061</v>
          </cell>
          <cell r="AN27">
            <v>1469173</v>
          </cell>
          <cell r="AO27">
            <v>1504724</v>
          </cell>
          <cell r="AP27">
            <v>1540424</v>
          </cell>
          <cell r="AQ27">
            <v>1575827</v>
          </cell>
          <cell r="AR27">
            <v>1610260</v>
          </cell>
          <cell r="AS27">
            <v>1643333</v>
          </cell>
          <cell r="AT27">
            <v>1674674</v>
          </cell>
          <cell r="AU27">
            <v>1704637</v>
          </cell>
          <cell r="AV27">
            <v>1734387</v>
          </cell>
          <cell r="AW27">
            <v>1765533</v>
          </cell>
          <cell r="AX27">
            <v>1799077</v>
          </cell>
          <cell r="AY27">
            <v>1835911</v>
          </cell>
          <cell r="AZ27">
            <v>1875458</v>
          </cell>
          <cell r="BA27">
            <v>1915636</v>
          </cell>
          <cell r="BB27">
            <v>1953495</v>
          </cell>
          <cell r="BC27">
            <v>1987106</v>
          </cell>
          <cell r="BD27">
            <v>2015406</v>
          </cell>
          <cell r="BE27">
            <v>2039551</v>
          </cell>
          <cell r="BF27">
            <v>2062551</v>
          </cell>
          <cell r="BG27">
            <v>2088619</v>
          </cell>
          <cell r="BH27">
            <v>2120716</v>
          </cell>
          <cell r="BI27">
            <v>2159925</v>
          </cell>
          <cell r="BJ27">
            <v>2205076</v>
          </cell>
          <cell r="BK27">
            <v>2254067</v>
          </cell>
          <cell r="BL27">
            <v>2303703</v>
          </cell>
          <cell r="BM27">
            <v>2351625</v>
          </cell>
          <cell r="BN27">
            <v>2351625</v>
          </cell>
        </row>
        <row r="28">
          <cell r="B28" t="str">
            <v>BRA</v>
          </cell>
          <cell r="C28" t="str">
            <v>Population, total</v>
          </cell>
          <cell r="D28" t="str">
            <v>SP.POP.TOTL</v>
          </cell>
          <cell r="E28">
            <v>72179235</v>
          </cell>
          <cell r="F28">
            <v>74311338</v>
          </cell>
          <cell r="G28">
            <v>76514329</v>
          </cell>
          <cell r="H28">
            <v>78772647</v>
          </cell>
          <cell r="I28">
            <v>81064572</v>
          </cell>
          <cell r="J28">
            <v>83373533</v>
          </cell>
          <cell r="K28">
            <v>85696502</v>
          </cell>
          <cell r="L28">
            <v>88035815</v>
          </cell>
          <cell r="M28">
            <v>90387079</v>
          </cell>
          <cell r="N28">
            <v>92746607</v>
          </cell>
          <cell r="O28">
            <v>95113265</v>
          </cell>
          <cell r="P28">
            <v>97482928</v>
          </cell>
          <cell r="Q28">
            <v>99859388</v>
          </cell>
          <cell r="R28">
            <v>102259497</v>
          </cell>
          <cell r="S28">
            <v>104706193</v>
          </cell>
          <cell r="T28">
            <v>107216209</v>
          </cell>
          <cell r="U28">
            <v>109790943</v>
          </cell>
          <cell r="V28">
            <v>112425392</v>
          </cell>
          <cell r="W28">
            <v>115121158</v>
          </cell>
          <cell r="X28">
            <v>117878412</v>
          </cell>
          <cell r="Y28">
            <v>120694012</v>
          </cell>
          <cell r="Z28">
            <v>123570327</v>
          </cell>
          <cell r="AA28">
            <v>126498322</v>
          </cell>
          <cell r="AB28">
            <v>129448815</v>
          </cell>
          <cell r="AC28">
            <v>132383569</v>
          </cell>
          <cell r="AD28">
            <v>135274083</v>
          </cell>
          <cell r="AE28">
            <v>138108915</v>
          </cell>
          <cell r="AF28">
            <v>140891606</v>
          </cell>
          <cell r="AG28">
            <v>143627505</v>
          </cell>
          <cell r="AH28">
            <v>146328305</v>
          </cell>
          <cell r="AI28">
            <v>149003225</v>
          </cell>
          <cell r="AJ28">
            <v>151648007</v>
          </cell>
          <cell r="AK28">
            <v>154259382</v>
          </cell>
          <cell r="AL28">
            <v>156849086</v>
          </cell>
          <cell r="AM28">
            <v>159432717</v>
          </cell>
          <cell r="AN28">
            <v>162019889</v>
          </cell>
          <cell r="AO28">
            <v>164614682</v>
          </cell>
          <cell r="AP28">
            <v>167209046</v>
          </cell>
          <cell r="AQ28">
            <v>169785253</v>
          </cell>
          <cell r="AR28">
            <v>172318674</v>
          </cell>
          <cell r="AS28">
            <v>174790339</v>
          </cell>
          <cell r="AT28">
            <v>177196051</v>
          </cell>
          <cell r="AU28">
            <v>179537523</v>
          </cell>
          <cell r="AV28">
            <v>181809244</v>
          </cell>
          <cell r="AW28">
            <v>184006479</v>
          </cell>
          <cell r="AX28">
            <v>186127108</v>
          </cell>
          <cell r="AY28">
            <v>188167353</v>
          </cell>
          <cell r="AZ28">
            <v>190130445</v>
          </cell>
          <cell r="BA28">
            <v>192030362</v>
          </cell>
          <cell r="BB28">
            <v>193886505</v>
          </cell>
          <cell r="BC28">
            <v>195713637</v>
          </cell>
          <cell r="BD28">
            <v>197514541</v>
          </cell>
          <cell r="BE28">
            <v>199287292</v>
          </cell>
          <cell r="BF28">
            <v>201035904</v>
          </cell>
          <cell r="BG28">
            <v>202763744</v>
          </cell>
          <cell r="BH28">
            <v>204471759</v>
          </cell>
          <cell r="BI28">
            <v>206163056</v>
          </cell>
          <cell r="BJ28">
            <v>207833825</v>
          </cell>
          <cell r="BK28">
            <v>209469320</v>
          </cell>
          <cell r="BL28">
            <v>211049519</v>
          </cell>
          <cell r="BM28">
            <v>212559409</v>
          </cell>
          <cell r="BN28">
            <v>212559409</v>
          </cell>
        </row>
        <row r="29">
          <cell r="B29" t="str">
            <v>VGB</v>
          </cell>
          <cell r="C29" t="str">
            <v>Population, total</v>
          </cell>
          <cell r="D29" t="str">
            <v>SP.POP.TOTL</v>
          </cell>
          <cell r="E29">
            <v>8053</v>
          </cell>
          <cell r="F29">
            <v>8164</v>
          </cell>
          <cell r="G29">
            <v>8319</v>
          </cell>
          <cell r="H29">
            <v>8469</v>
          </cell>
          <cell r="I29">
            <v>8644</v>
          </cell>
          <cell r="J29">
            <v>8836</v>
          </cell>
          <cell r="K29">
            <v>9022</v>
          </cell>
          <cell r="L29">
            <v>9213</v>
          </cell>
          <cell r="M29">
            <v>9427</v>
          </cell>
          <cell r="N29">
            <v>9621</v>
          </cell>
          <cell r="O29">
            <v>9830</v>
          </cell>
          <cell r="P29">
            <v>10012</v>
          </cell>
          <cell r="Q29">
            <v>10210</v>
          </cell>
          <cell r="R29">
            <v>10391</v>
          </cell>
          <cell r="S29">
            <v>10551</v>
          </cell>
          <cell r="T29">
            <v>10697</v>
          </cell>
          <cell r="U29">
            <v>10821</v>
          </cell>
          <cell r="V29">
            <v>10923</v>
          </cell>
          <cell r="W29">
            <v>11041</v>
          </cell>
          <cell r="X29">
            <v>11226</v>
          </cell>
          <cell r="Y29">
            <v>11471</v>
          </cell>
          <cell r="Z29">
            <v>11821</v>
          </cell>
          <cell r="AA29">
            <v>12250</v>
          </cell>
          <cell r="AB29">
            <v>12755</v>
          </cell>
          <cell r="AC29">
            <v>13317</v>
          </cell>
          <cell r="AD29">
            <v>13951</v>
          </cell>
          <cell r="AE29">
            <v>14646</v>
          </cell>
          <cell r="AF29">
            <v>15390</v>
          </cell>
          <cell r="AG29">
            <v>16155</v>
          </cell>
          <cell r="AH29">
            <v>16867</v>
          </cell>
          <cell r="AI29">
            <v>17489</v>
          </cell>
          <cell r="AJ29">
            <v>18007</v>
          </cell>
          <cell r="AK29">
            <v>18443</v>
          </cell>
          <cell r="AL29">
            <v>18783</v>
          </cell>
          <cell r="AM29">
            <v>19068</v>
          </cell>
          <cell r="AN29">
            <v>19307</v>
          </cell>
          <cell r="AO29">
            <v>19508</v>
          </cell>
          <cell r="AP29">
            <v>19660</v>
          </cell>
          <cell r="AQ29">
            <v>19820</v>
          </cell>
          <cell r="AR29">
            <v>20026</v>
          </cell>
          <cell r="AS29">
            <v>20313</v>
          </cell>
          <cell r="AT29">
            <v>20675</v>
          </cell>
          <cell r="AU29">
            <v>21128</v>
          </cell>
          <cell r="AV29">
            <v>21674</v>
          </cell>
          <cell r="AW29">
            <v>22329</v>
          </cell>
          <cell r="AX29">
            <v>23106</v>
          </cell>
          <cell r="AY29">
            <v>24022</v>
          </cell>
          <cell r="AZ29">
            <v>25050</v>
          </cell>
          <cell r="BA29">
            <v>26096</v>
          </cell>
          <cell r="BB29">
            <v>27035</v>
          </cell>
          <cell r="BC29">
            <v>27796</v>
          </cell>
          <cell r="BD29">
            <v>28326</v>
          </cell>
          <cell r="BE29">
            <v>28654</v>
          </cell>
          <cell r="BF29">
            <v>28850</v>
          </cell>
          <cell r="BG29">
            <v>28985</v>
          </cell>
          <cell r="BH29">
            <v>29148</v>
          </cell>
          <cell r="BI29">
            <v>29355</v>
          </cell>
          <cell r="BJ29">
            <v>29567</v>
          </cell>
          <cell r="BK29">
            <v>29795</v>
          </cell>
          <cell r="BL29">
            <v>30033</v>
          </cell>
          <cell r="BM29">
            <v>30237</v>
          </cell>
          <cell r="BN29">
            <v>30237</v>
          </cell>
        </row>
        <row r="30">
          <cell r="B30" t="str">
            <v>BRN</v>
          </cell>
          <cell r="C30" t="str">
            <v>Population, total</v>
          </cell>
          <cell r="D30" t="str">
            <v>SP.POP.TOTL</v>
          </cell>
          <cell r="E30">
            <v>81707</v>
          </cell>
          <cell r="F30">
            <v>85560</v>
          </cell>
          <cell r="G30">
            <v>89484</v>
          </cell>
          <cell r="H30">
            <v>93540</v>
          </cell>
          <cell r="I30">
            <v>97819</v>
          </cell>
          <cell r="J30">
            <v>102390</v>
          </cell>
          <cell r="K30">
            <v>107274</v>
          </cell>
          <cell r="L30">
            <v>112446</v>
          </cell>
          <cell r="M30">
            <v>117897</v>
          </cell>
          <cell r="N30">
            <v>123596</v>
          </cell>
          <cell r="O30">
            <v>129530</v>
          </cell>
          <cell r="P30">
            <v>135672</v>
          </cell>
          <cell r="Q30">
            <v>142015</v>
          </cell>
          <cell r="R30">
            <v>148516</v>
          </cell>
          <cell r="S30">
            <v>155069</v>
          </cell>
          <cell r="T30">
            <v>161635</v>
          </cell>
          <cell r="U30">
            <v>168173</v>
          </cell>
          <cell r="V30">
            <v>174717</v>
          </cell>
          <cell r="W30">
            <v>181201</v>
          </cell>
          <cell r="X30">
            <v>187596</v>
          </cell>
          <cell r="Y30">
            <v>193880</v>
          </cell>
          <cell r="Z30">
            <v>200027</v>
          </cell>
          <cell r="AA30">
            <v>206064</v>
          </cell>
          <cell r="AB30">
            <v>212073</v>
          </cell>
          <cell r="AC30">
            <v>218176</v>
          </cell>
          <cell r="AD30">
            <v>224440</v>
          </cell>
          <cell r="AE30">
            <v>230917</v>
          </cell>
          <cell r="AF30">
            <v>237565</v>
          </cell>
          <cell r="AG30">
            <v>244405</v>
          </cell>
          <cell r="AH30">
            <v>251456</v>
          </cell>
          <cell r="AI30">
            <v>258714</v>
          </cell>
          <cell r="AJ30">
            <v>266208</v>
          </cell>
          <cell r="AK30">
            <v>273888</v>
          </cell>
          <cell r="AL30">
            <v>281684</v>
          </cell>
          <cell r="AM30">
            <v>289452</v>
          </cell>
          <cell r="AN30">
            <v>297112</v>
          </cell>
          <cell r="AO30">
            <v>304620</v>
          </cell>
          <cell r="AP30">
            <v>311962</v>
          </cell>
          <cell r="AQ30">
            <v>319135</v>
          </cell>
          <cell r="AR30">
            <v>326214</v>
          </cell>
          <cell r="AS30">
            <v>333166</v>
          </cell>
          <cell r="AT30">
            <v>340037</v>
          </cell>
          <cell r="AU30">
            <v>346777</v>
          </cell>
          <cell r="AV30">
            <v>353295</v>
          </cell>
          <cell r="AW30">
            <v>359434</v>
          </cell>
          <cell r="AX30">
            <v>365112</v>
          </cell>
          <cell r="AY30">
            <v>370262</v>
          </cell>
          <cell r="AZ30">
            <v>374967</v>
          </cell>
          <cell r="BA30">
            <v>379418</v>
          </cell>
          <cell r="BB30">
            <v>383902</v>
          </cell>
          <cell r="BC30">
            <v>388634</v>
          </cell>
          <cell r="BD30">
            <v>393687</v>
          </cell>
          <cell r="BE30">
            <v>398997</v>
          </cell>
          <cell r="BF30">
            <v>404414</v>
          </cell>
          <cell r="BG30">
            <v>409778</v>
          </cell>
          <cell r="BH30">
            <v>414914</v>
          </cell>
          <cell r="BI30">
            <v>419791</v>
          </cell>
          <cell r="BJ30">
            <v>424481</v>
          </cell>
          <cell r="BK30">
            <v>428960</v>
          </cell>
          <cell r="BL30">
            <v>433296</v>
          </cell>
          <cell r="BM30">
            <v>437483</v>
          </cell>
          <cell r="BN30">
            <v>437483</v>
          </cell>
        </row>
        <row r="31">
          <cell r="B31" t="str">
            <v>BGR</v>
          </cell>
          <cell r="C31" t="str">
            <v>Population, total</v>
          </cell>
          <cell r="D31" t="str">
            <v>SP.POP.TOTL</v>
          </cell>
          <cell r="E31">
            <v>7867374</v>
          </cell>
          <cell r="F31">
            <v>7943118</v>
          </cell>
          <cell r="G31">
            <v>8012946</v>
          </cell>
          <cell r="H31">
            <v>8078145</v>
          </cell>
          <cell r="I31">
            <v>8144340</v>
          </cell>
          <cell r="J31">
            <v>8204168</v>
          </cell>
          <cell r="K31">
            <v>8258057</v>
          </cell>
          <cell r="L31">
            <v>8310226</v>
          </cell>
          <cell r="M31">
            <v>8369603</v>
          </cell>
          <cell r="N31">
            <v>8434172</v>
          </cell>
          <cell r="O31">
            <v>8489574</v>
          </cell>
          <cell r="P31">
            <v>8536395</v>
          </cell>
          <cell r="Q31">
            <v>8576200</v>
          </cell>
          <cell r="R31">
            <v>8620967</v>
          </cell>
          <cell r="S31">
            <v>8678745</v>
          </cell>
          <cell r="T31">
            <v>8720742</v>
          </cell>
          <cell r="U31">
            <v>8758599</v>
          </cell>
          <cell r="V31">
            <v>8804183</v>
          </cell>
          <cell r="W31">
            <v>8814032</v>
          </cell>
          <cell r="X31">
            <v>8825940</v>
          </cell>
          <cell r="Y31">
            <v>8861535</v>
          </cell>
          <cell r="Z31">
            <v>8891117</v>
          </cell>
          <cell r="AA31">
            <v>8917457</v>
          </cell>
          <cell r="AB31">
            <v>8939738</v>
          </cell>
          <cell r="AC31">
            <v>8960679</v>
          </cell>
          <cell r="AD31">
            <v>8960547</v>
          </cell>
          <cell r="AE31">
            <v>8958171</v>
          </cell>
          <cell r="AF31">
            <v>8971359</v>
          </cell>
          <cell r="AG31">
            <v>8981446</v>
          </cell>
          <cell r="AH31">
            <v>8876972</v>
          </cell>
          <cell r="AI31">
            <v>8718289</v>
          </cell>
          <cell r="AJ31">
            <v>8632367</v>
          </cell>
          <cell r="AK31">
            <v>8540164</v>
          </cell>
          <cell r="AL31">
            <v>8472313</v>
          </cell>
          <cell r="AM31">
            <v>8443591</v>
          </cell>
          <cell r="AN31">
            <v>8406067</v>
          </cell>
          <cell r="AO31">
            <v>8362826</v>
          </cell>
          <cell r="AP31">
            <v>8312068</v>
          </cell>
          <cell r="AQ31">
            <v>8256786</v>
          </cell>
          <cell r="AR31">
            <v>8210624</v>
          </cell>
          <cell r="AS31">
            <v>8170172</v>
          </cell>
          <cell r="AT31">
            <v>8009142</v>
          </cell>
          <cell r="AU31">
            <v>7837161</v>
          </cell>
          <cell r="AV31">
            <v>7775327</v>
          </cell>
          <cell r="AW31">
            <v>7716860</v>
          </cell>
          <cell r="AX31">
            <v>7658972</v>
          </cell>
          <cell r="AY31">
            <v>7601022</v>
          </cell>
          <cell r="AZ31">
            <v>7545338</v>
          </cell>
          <cell r="BA31">
            <v>7492561</v>
          </cell>
          <cell r="BB31">
            <v>7444443</v>
          </cell>
          <cell r="BC31">
            <v>7395599</v>
          </cell>
          <cell r="BD31">
            <v>7348328</v>
          </cell>
          <cell r="BE31">
            <v>7305888</v>
          </cell>
          <cell r="BF31">
            <v>7265115</v>
          </cell>
          <cell r="BG31">
            <v>7223938</v>
          </cell>
          <cell r="BH31">
            <v>7177991</v>
          </cell>
          <cell r="BI31">
            <v>7127822</v>
          </cell>
          <cell r="BJ31">
            <v>7075947</v>
          </cell>
          <cell r="BK31">
            <v>7025037</v>
          </cell>
          <cell r="BL31">
            <v>6975761</v>
          </cell>
          <cell r="BM31">
            <v>6934015</v>
          </cell>
          <cell r="BN31">
            <v>6934015</v>
          </cell>
        </row>
        <row r="32">
          <cell r="B32" t="str">
            <v>BFA</v>
          </cell>
          <cell r="C32" t="str">
            <v>Population, total</v>
          </cell>
          <cell r="D32" t="str">
            <v>SP.POP.TOTL</v>
          </cell>
          <cell r="E32">
            <v>4829289</v>
          </cell>
          <cell r="F32">
            <v>4894580</v>
          </cell>
          <cell r="G32">
            <v>4960328</v>
          </cell>
          <cell r="H32">
            <v>5027811</v>
          </cell>
          <cell r="I32">
            <v>5098891</v>
          </cell>
          <cell r="J32">
            <v>5174874</v>
          </cell>
          <cell r="K32">
            <v>5256360</v>
          </cell>
          <cell r="L32">
            <v>5343025</v>
          </cell>
          <cell r="M32">
            <v>5434046</v>
          </cell>
          <cell r="N32">
            <v>5528172</v>
          </cell>
          <cell r="O32">
            <v>5624592</v>
          </cell>
          <cell r="P32">
            <v>5723378</v>
          </cell>
          <cell r="Q32">
            <v>5825174</v>
          </cell>
          <cell r="R32">
            <v>5930493</v>
          </cell>
          <cell r="S32">
            <v>6040045</v>
          </cell>
          <cell r="T32">
            <v>6154554</v>
          </cell>
          <cell r="U32">
            <v>6274032</v>
          </cell>
          <cell r="V32">
            <v>6398933</v>
          </cell>
          <cell r="W32">
            <v>6530820</v>
          </cell>
          <cell r="X32">
            <v>6671656</v>
          </cell>
          <cell r="Y32">
            <v>6822837</v>
          </cell>
          <cell r="Z32">
            <v>6985166</v>
          </cell>
          <cell r="AA32">
            <v>7158259</v>
          </cell>
          <cell r="AB32">
            <v>7340910</v>
          </cell>
          <cell r="AC32">
            <v>7531239</v>
          </cell>
          <cell r="AD32">
            <v>7727908</v>
          </cell>
          <cell r="AE32">
            <v>7930689</v>
          </cell>
          <cell r="AF32">
            <v>8140080</v>
          </cell>
          <cell r="AG32">
            <v>8356313</v>
          </cell>
          <cell r="AH32">
            <v>8579818</v>
          </cell>
          <cell r="AI32">
            <v>8811033</v>
          </cell>
          <cell r="AJ32">
            <v>9050086</v>
          </cell>
          <cell r="AK32">
            <v>9297110</v>
          </cell>
          <cell r="AL32">
            <v>9552473</v>
          </cell>
          <cell r="AM32">
            <v>9816584</v>
          </cell>
          <cell r="AN32">
            <v>10089880</v>
          </cell>
          <cell r="AO32">
            <v>10372734</v>
          </cell>
          <cell r="AP32">
            <v>10665552</v>
          </cell>
          <cell r="AQ32">
            <v>10968722</v>
          </cell>
          <cell r="AR32">
            <v>11282696</v>
          </cell>
          <cell r="AS32">
            <v>11607951</v>
          </cell>
          <cell r="AT32">
            <v>11944589</v>
          </cell>
          <cell r="AU32">
            <v>12293097</v>
          </cell>
          <cell r="AV32">
            <v>12654624</v>
          </cell>
          <cell r="AW32">
            <v>13030576</v>
          </cell>
          <cell r="AX32">
            <v>13421935</v>
          </cell>
          <cell r="AY32">
            <v>13829173</v>
          </cell>
          <cell r="AZ32">
            <v>14252029</v>
          </cell>
          <cell r="BA32">
            <v>14689725</v>
          </cell>
          <cell r="BB32">
            <v>15141098</v>
          </cell>
          <cell r="BC32">
            <v>15605211</v>
          </cell>
          <cell r="BD32">
            <v>16081915</v>
          </cell>
          <cell r="BE32">
            <v>16571252</v>
          </cell>
          <cell r="BF32">
            <v>17072791</v>
          </cell>
          <cell r="BG32">
            <v>17586029</v>
          </cell>
          <cell r="BH32">
            <v>18110616</v>
          </cell>
          <cell r="BI32">
            <v>18646350</v>
          </cell>
          <cell r="BJ32">
            <v>19193236</v>
          </cell>
          <cell r="BK32">
            <v>19751466</v>
          </cell>
          <cell r="BL32">
            <v>20321383</v>
          </cell>
          <cell r="BM32">
            <v>20903278</v>
          </cell>
          <cell r="BN32">
            <v>20903278</v>
          </cell>
        </row>
        <row r="33">
          <cell r="B33" t="str">
            <v>BDI</v>
          </cell>
          <cell r="C33" t="str">
            <v>Population, total</v>
          </cell>
          <cell r="D33" t="str">
            <v>SP.POP.TOTL</v>
          </cell>
          <cell r="E33">
            <v>2797925</v>
          </cell>
          <cell r="F33">
            <v>2852438</v>
          </cell>
          <cell r="G33">
            <v>2907320</v>
          </cell>
          <cell r="H33">
            <v>2964416</v>
          </cell>
          <cell r="I33">
            <v>3026292</v>
          </cell>
          <cell r="J33">
            <v>3094378</v>
          </cell>
          <cell r="K33">
            <v>3170496</v>
          </cell>
          <cell r="L33">
            <v>3253215</v>
          </cell>
          <cell r="M33">
            <v>3336930</v>
          </cell>
          <cell r="N33">
            <v>3413909</v>
          </cell>
          <cell r="O33">
            <v>3479070</v>
          </cell>
          <cell r="P33">
            <v>3530000</v>
          </cell>
          <cell r="Q33">
            <v>3569655</v>
          </cell>
          <cell r="R33">
            <v>3605120</v>
          </cell>
          <cell r="S33">
            <v>3646428</v>
          </cell>
          <cell r="T33">
            <v>3700879</v>
          </cell>
          <cell r="U33">
            <v>3770870</v>
          </cell>
          <cell r="V33">
            <v>3854446</v>
          </cell>
          <cell r="W33">
            <v>3949264</v>
          </cell>
          <cell r="X33">
            <v>4051239</v>
          </cell>
          <cell r="Y33">
            <v>4157296</v>
          </cell>
          <cell r="Z33">
            <v>4266520</v>
          </cell>
          <cell r="AA33">
            <v>4379727</v>
          </cell>
          <cell r="AB33">
            <v>4497544</v>
          </cell>
          <cell r="AC33">
            <v>4621096</v>
          </cell>
          <cell r="AD33">
            <v>4750832</v>
          </cell>
          <cell r="AE33">
            <v>4886745</v>
          </cell>
          <cell r="AF33">
            <v>5027143</v>
          </cell>
          <cell r="AG33">
            <v>5168703</v>
          </cell>
          <cell r="AH33">
            <v>5307069</v>
          </cell>
          <cell r="AI33">
            <v>5438959</v>
          </cell>
          <cell r="AJ33">
            <v>5564923</v>
          </cell>
          <cell r="AK33">
            <v>5685569</v>
          </cell>
          <cell r="AL33">
            <v>5798054</v>
          </cell>
          <cell r="AM33">
            <v>5898964</v>
          </cell>
          <cell r="AN33">
            <v>5987044</v>
          </cell>
          <cell r="AO33">
            <v>6060110</v>
          </cell>
          <cell r="AP33">
            <v>6122130</v>
          </cell>
          <cell r="AQ33">
            <v>6185564</v>
          </cell>
          <cell r="AR33">
            <v>6267132</v>
          </cell>
          <cell r="AS33">
            <v>6378871</v>
          </cell>
          <cell r="AT33">
            <v>6525546</v>
          </cell>
          <cell r="AU33">
            <v>6704118</v>
          </cell>
          <cell r="AV33">
            <v>6909161</v>
          </cell>
          <cell r="AW33">
            <v>7131688</v>
          </cell>
          <cell r="AX33">
            <v>7364857</v>
          </cell>
          <cell r="AY33">
            <v>7607850</v>
          </cell>
          <cell r="AZ33">
            <v>7862226</v>
          </cell>
          <cell r="BA33">
            <v>8126104</v>
          </cell>
          <cell r="BB33">
            <v>8397661</v>
          </cell>
          <cell r="BC33">
            <v>8675606</v>
          </cell>
          <cell r="BD33">
            <v>8958406</v>
          </cell>
          <cell r="BE33">
            <v>9245992</v>
          </cell>
          <cell r="BF33">
            <v>9540302</v>
          </cell>
          <cell r="BG33">
            <v>9844301</v>
          </cell>
          <cell r="BH33">
            <v>10160034</v>
          </cell>
          <cell r="BI33">
            <v>10488002</v>
          </cell>
          <cell r="BJ33">
            <v>10827010</v>
          </cell>
          <cell r="BK33">
            <v>11175379</v>
          </cell>
          <cell r="BL33">
            <v>11530577</v>
          </cell>
          <cell r="BM33">
            <v>11890781</v>
          </cell>
          <cell r="BN33">
            <v>11890781</v>
          </cell>
        </row>
        <row r="34">
          <cell r="B34" t="str">
            <v>CPV</v>
          </cell>
          <cell r="C34" t="str">
            <v>Population, total</v>
          </cell>
          <cell r="D34" t="str">
            <v>SP.POP.TOTL</v>
          </cell>
          <cell r="E34">
            <v>201770</v>
          </cell>
          <cell r="F34">
            <v>205321</v>
          </cell>
          <cell r="G34">
            <v>210141</v>
          </cell>
          <cell r="H34">
            <v>216087</v>
          </cell>
          <cell r="I34">
            <v>222949</v>
          </cell>
          <cell r="J34">
            <v>230421</v>
          </cell>
          <cell r="K34">
            <v>238655</v>
          </cell>
          <cell r="L34">
            <v>247522</v>
          </cell>
          <cell r="M34">
            <v>256169</v>
          </cell>
          <cell r="N34">
            <v>263461</v>
          </cell>
          <cell r="O34">
            <v>268633</v>
          </cell>
          <cell r="P34">
            <v>271315</v>
          </cell>
          <cell r="Q34">
            <v>271841</v>
          </cell>
          <cell r="R34">
            <v>271068</v>
          </cell>
          <cell r="S34">
            <v>270228</v>
          </cell>
          <cell r="T34">
            <v>270240</v>
          </cell>
          <cell r="U34">
            <v>271345</v>
          </cell>
          <cell r="V34">
            <v>273335</v>
          </cell>
          <cell r="W34">
            <v>276182</v>
          </cell>
          <cell r="X34">
            <v>279729</v>
          </cell>
          <cell r="Y34">
            <v>283848</v>
          </cell>
          <cell r="Z34">
            <v>288678</v>
          </cell>
          <cell r="AA34">
            <v>294244</v>
          </cell>
          <cell r="AB34">
            <v>300226</v>
          </cell>
          <cell r="AC34">
            <v>306140</v>
          </cell>
          <cell r="AD34">
            <v>311668</v>
          </cell>
          <cell r="AE34">
            <v>316613</v>
          </cell>
          <cell r="AF34">
            <v>321137</v>
          </cell>
          <cell r="AG34">
            <v>325744</v>
          </cell>
          <cell r="AH34">
            <v>331180</v>
          </cell>
          <cell r="AI34">
            <v>337953</v>
          </cell>
          <cell r="AJ34">
            <v>346229</v>
          </cell>
          <cell r="AK34">
            <v>355763</v>
          </cell>
          <cell r="AL34">
            <v>366057</v>
          </cell>
          <cell r="AM34">
            <v>376409</v>
          </cell>
          <cell r="AN34">
            <v>386288</v>
          </cell>
          <cell r="AO34">
            <v>395533</v>
          </cell>
          <cell r="AP34">
            <v>404248</v>
          </cell>
          <cell r="AQ34">
            <v>412513</v>
          </cell>
          <cell r="AR34">
            <v>420456</v>
          </cell>
          <cell r="AS34">
            <v>428178</v>
          </cell>
          <cell r="AT34">
            <v>435701</v>
          </cell>
          <cell r="AU34">
            <v>442955</v>
          </cell>
          <cell r="AV34">
            <v>449925</v>
          </cell>
          <cell r="AW34">
            <v>456619</v>
          </cell>
          <cell r="AX34">
            <v>463034</v>
          </cell>
          <cell r="AY34">
            <v>469171</v>
          </cell>
          <cell r="AZ34">
            <v>475067</v>
          </cell>
          <cell r="BA34">
            <v>480846</v>
          </cell>
          <cell r="BB34">
            <v>486667</v>
          </cell>
          <cell r="BC34">
            <v>492644</v>
          </cell>
          <cell r="BD34">
            <v>498858</v>
          </cell>
          <cell r="BE34">
            <v>505241</v>
          </cell>
          <cell r="BF34">
            <v>511740</v>
          </cell>
          <cell r="BG34">
            <v>518276</v>
          </cell>
          <cell r="BH34">
            <v>524740</v>
          </cell>
          <cell r="BI34">
            <v>531140</v>
          </cell>
          <cell r="BJ34">
            <v>537499</v>
          </cell>
          <cell r="BK34">
            <v>543764</v>
          </cell>
          <cell r="BL34">
            <v>549936</v>
          </cell>
          <cell r="BM34">
            <v>555988</v>
          </cell>
          <cell r="BN34">
            <v>555988</v>
          </cell>
        </row>
        <row r="35">
          <cell r="B35" t="str">
            <v>KHM</v>
          </cell>
          <cell r="C35" t="str">
            <v>Population, total</v>
          </cell>
          <cell r="D35" t="str">
            <v>SP.POP.TOTL</v>
          </cell>
          <cell r="E35">
            <v>5722372</v>
          </cell>
          <cell r="F35">
            <v>5872968</v>
          </cell>
          <cell r="G35">
            <v>6028434</v>
          </cell>
          <cell r="H35">
            <v>6183586</v>
          </cell>
          <cell r="I35">
            <v>6331443</v>
          </cell>
          <cell r="J35">
            <v>6467191</v>
          </cell>
          <cell r="K35">
            <v>6585034</v>
          </cell>
          <cell r="L35">
            <v>6685961</v>
          </cell>
          <cell r="M35">
            <v>6779778</v>
          </cell>
          <cell r="N35">
            <v>6880623</v>
          </cell>
          <cell r="O35">
            <v>6996576</v>
          </cell>
          <cell r="P35">
            <v>7139640</v>
          </cell>
          <cell r="Q35">
            <v>7302114</v>
          </cell>
          <cell r="R35">
            <v>7449233</v>
          </cell>
          <cell r="S35">
            <v>7533332</v>
          </cell>
          <cell r="T35">
            <v>7524457</v>
          </cell>
          <cell r="U35">
            <v>7404687</v>
          </cell>
          <cell r="V35">
            <v>7196042</v>
          </cell>
          <cell r="W35">
            <v>6957267</v>
          </cell>
          <cell r="X35">
            <v>6770393</v>
          </cell>
          <cell r="Y35">
            <v>6693759</v>
          </cell>
          <cell r="Z35">
            <v>6749849</v>
          </cell>
          <cell r="AA35">
            <v>6919803</v>
          </cell>
          <cell r="AB35">
            <v>7170004</v>
          </cell>
          <cell r="AC35">
            <v>7447844</v>
          </cell>
          <cell r="AD35">
            <v>7714894</v>
          </cell>
          <cell r="AE35">
            <v>7960952</v>
          </cell>
          <cell r="AF35">
            <v>8198082</v>
          </cell>
          <cell r="AG35">
            <v>8435909</v>
          </cell>
          <cell r="AH35">
            <v>8691331</v>
          </cell>
          <cell r="AI35">
            <v>8975597</v>
          </cell>
          <cell r="AJ35">
            <v>9289298</v>
          </cell>
          <cell r="AK35">
            <v>9623899</v>
          </cell>
          <cell r="AL35">
            <v>9970727</v>
          </cell>
          <cell r="AM35">
            <v>10317901</v>
          </cell>
          <cell r="AN35">
            <v>10656145</v>
          </cell>
          <cell r="AO35">
            <v>10982919</v>
          </cell>
          <cell r="AP35">
            <v>11298594</v>
          </cell>
          <cell r="AQ35">
            <v>11600510</v>
          </cell>
          <cell r="AR35">
            <v>11886464</v>
          </cell>
          <cell r="AS35">
            <v>12155241</v>
          </cell>
          <cell r="AT35">
            <v>12405411</v>
          </cell>
          <cell r="AU35">
            <v>12637719</v>
          </cell>
          <cell r="AV35">
            <v>12856171</v>
          </cell>
          <cell r="AW35">
            <v>13066475</v>
          </cell>
          <cell r="AX35">
            <v>13273355</v>
          </cell>
          <cell r="AY35">
            <v>13477705</v>
          </cell>
          <cell r="AZ35">
            <v>13679953</v>
          </cell>
          <cell r="BA35">
            <v>13883835</v>
          </cell>
          <cell r="BB35">
            <v>14093605</v>
          </cell>
          <cell r="BC35">
            <v>14312205</v>
          </cell>
          <cell r="BD35">
            <v>14541421</v>
          </cell>
          <cell r="BE35">
            <v>14780454</v>
          </cell>
          <cell r="BF35">
            <v>15026330</v>
          </cell>
          <cell r="BG35">
            <v>15274506</v>
          </cell>
          <cell r="BH35">
            <v>15521435</v>
          </cell>
          <cell r="BI35">
            <v>15766290</v>
          </cell>
          <cell r="BJ35">
            <v>16009413</v>
          </cell>
          <cell r="BK35">
            <v>16249795</v>
          </cell>
          <cell r="BL35">
            <v>16486542</v>
          </cell>
          <cell r="BM35">
            <v>16718971</v>
          </cell>
          <cell r="BN35">
            <v>16718971</v>
          </cell>
        </row>
        <row r="36">
          <cell r="B36" t="str">
            <v>CMR</v>
          </cell>
          <cell r="C36" t="str">
            <v>Population, total</v>
          </cell>
          <cell r="D36" t="str">
            <v>SP.POP.TOTL</v>
          </cell>
          <cell r="E36">
            <v>5176920</v>
          </cell>
          <cell r="F36">
            <v>5285015</v>
          </cell>
          <cell r="G36">
            <v>5398730</v>
          </cell>
          <cell r="H36">
            <v>5518104</v>
          </cell>
          <cell r="I36">
            <v>5643039</v>
          </cell>
          <cell r="J36">
            <v>5773538</v>
          </cell>
          <cell r="K36">
            <v>5909874</v>
          </cell>
          <cell r="L36">
            <v>6052419</v>
          </cell>
          <cell r="M36">
            <v>6201410</v>
          </cell>
          <cell r="N36">
            <v>6357096</v>
          </cell>
          <cell r="O36">
            <v>6519754</v>
          </cell>
          <cell r="P36">
            <v>6689659</v>
          </cell>
          <cell r="Q36">
            <v>6867170</v>
          </cell>
          <cell r="R36">
            <v>7052847</v>
          </cell>
          <cell r="S36">
            <v>7247284</v>
          </cell>
          <cell r="T36">
            <v>7451057</v>
          </cell>
          <cell r="U36">
            <v>7664398</v>
          </cell>
          <cell r="V36">
            <v>7887571</v>
          </cell>
          <cell r="W36">
            <v>8121081</v>
          </cell>
          <cell r="X36">
            <v>8365560</v>
          </cell>
          <cell r="Y36">
            <v>8621409</v>
          </cell>
          <cell r="Z36">
            <v>8888534</v>
          </cell>
          <cell r="AA36">
            <v>9166813</v>
          </cell>
          <cell r="AB36">
            <v>9456496</v>
          </cell>
          <cell r="AC36">
            <v>9757849</v>
          </cell>
          <cell r="AD36">
            <v>10070806</v>
          </cell>
          <cell r="AE36">
            <v>10395481</v>
          </cell>
          <cell r="AF36">
            <v>10731058</v>
          </cell>
          <cell r="AG36">
            <v>11075423</v>
          </cell>
          <cell r="AH36">
            <v>11425807</v>
          </cell>
          <cell r="AI36">
            <v>11780086</v>
          </cell>
          <cell r="AJ36">
            <v>12137912</v>
          </cell>
          <cell r="AK36">
            <v>12499499</v>
          </cell>
          <cell r="AL36">
            <v>12864091</v>
          </cell>
          <cell r="AM36">
            <v>13230978</v>
          </cell>
          <cell r="AN36">
            <v>13599984</v>
          </cell>
          <cell r="AO36">
            <v>13970812</v>
          </cell>
          <cell r="AP36">
            <v>14344444</v>
          </cell>
          <cell r="AQ36">
            <v>14723772</v>
          </cell>
          <cell r="AR36">
            <v>15112598</v>
          </cell>
          <cell r="AS36">
            <v>15513944</v>
          </cell>
          <cell r="AT36">
            <v>15928910</v>
          </cell>
          <cell r="AU36">
            <v>16357605</v>
          </cell>
          <cell r="AV36">
            <v>16800869</v>
          </cell>
          <cell r="AW36">
            <v>17259322</v>
          </cell>
          <cell r="AX36">
            <v>17733408</v>
          </cell>
          <cell r="AY36">
            <v>18223677</v>
          </cell>
          <cell r="AZ36">
            <v>18730283</v>
          </cell>
          <cell r="BA36">
            <v>19252674</v>
          </cell>
          <cell r="BB36">
            <v>19789922</v>
          </cell>
          <cell r="BC36">
            <v>20341236</v>
          </cell>
          <cell r="BD36">
            <v>20906392</v>
          </cell>
          <cell r="BE36">
            <v>21485267</v>
          </cell>
          <cell r="BF36">
            <v>22077300</v>
          </cell>
          <cell r="BG36">
            <v>22681853</v>
          </cell>
          <cell r="BH36">
            <v>23298376</v>
          </cell>
          <cell r="BI36">
            <v>23926549</v>
          </cell>
          <cell r="BJ36">
            <v>24566070</v>
          </cell>
          <cell r="BK36">
            <v>25216261</v>
          </cell>
          <cell r="BL36">
            <v>25876387</v>
          </cell>
          <cell r="BM36">
            <v>26545864</v>
          </cell>
          <cell r="BN36">
            <v>26545864</v>
          </cell>
        </row>
        <row r="37">
          <cell r="B37" t="str">
            <v>CAN</v>
          </cell>
          <cell r="C37" t="str">
            <v>Population, total</v>
          </cell>
          <cell r="D37" t="str">
            <v>SP.POP.TOTL</v>
          </cell>
          <cell r="E37">
            <v>17909009</v>
          </cell>
          <cell r="F37">
            <v>18271000</v>
          </cell>
          <cell r="G37">
            <v>18614000</v>
          </cell>
          <cell r="H37">
            <v>18964000</v>
          </cell>
          <cell r="I37">
            <v>19325000</v>
          </cell>
          <cell r="J37">
            <v>19678000</v>
          </cell>
          <cell r="K37">
            <v>20048000</v>
          </cell>
          <cell r="L37">
            <v>20412000</v>
          </cell>
          <cell r="M37">
            <v>20744000</v>
          </cell>
          <cell r="N37">
            <v>21028000</v>
          </cell>
          <cell r="O37">
            <v>21324000</v>
          </cell>
          <cell r="P37">
            <v>21962032</v>
          </cell>
          <cell r="Q37">
            <v>22218463</v>
          </cell>
          <cell r="R37">
            <v>22491777</v>
          </cell>
          <cell r="S37">
            <v>22807969</v>
          </cell>
          <cell r="T37">
            <v>23143275</v>
          </cell>
          <cell r="U37">
            <v>23449808</v>
          </cell>
          <cell r="V37">
            <v>23725843</v>
          </cell>
          <cell r="W37">
            <v>23963203</v>
          </cell>
          <cell r="X37">
            <v>24201544</v>
          </cell>
          <cell r="Y37">
            <v>24515667</v>
          </cell>
          <cell r="Z37">
            <v>24819915</v>
          </cell>
          <cell r="AA37">
            <v>25116942</v>
          </cell>
          <cell r="AB37">
            <v>25366451</v>
          </cell>
          <cell r="AC37">
            <v>25607053</v>
          </cell>
          <cell r="AD37">
            <v>25842116</v>
          </cell>
          <cell r="AE37">
            <v>26100278</v>
          </cell>
          <cell r="AF37">
            <v>26446601</v>
          </cell>
          <cell r="AG37">
            <v>26791747</v>
          </cell>
          <cell r="AH37">
            <v>27276781</v>
          </cell>
          <cell r="AI37">
            <v>27691138</v>
          </cell>
          <cell r="AJ37">
            <v>28037420</v>
          </cell>
          <cell r="AK37">
            <v>28371264</v>
          </cell>
          <cell r="AL37">
            <v>28684764</v>
          </cell>
          <cell r="AM37">
            <v>29000663</v>
          </cell>
          <cell r="AN37">
            <v>29302311</v>
          </cell>
          <cell r="AO37">
            <v>29610218</v>
          </cell>
          <cell r="AP37">
            <v>29905948</v>
          </cell>
          <cell r="AQ37">
            <v>30155173</v>
          </cell>
          <cell r="AR37">
            <v>30401286</v>
          </cell>
          <cell r="AS37">
            <v>30685730</v>
          </cell>
          <cell r="AT37">
            <v>31020902</v>
          </cell>
          <cell r="AU37">
            <v>31360079</v>
          </cell>
          <cell r="AV37">
            <v>31644028</v>
          </cell>
          <cell r="AW37">
            <v>31940655</v>
          </cell>
          <cell r="AX37">
            <v>32243753</v>
          </cell>
          <cell r="AY37">
            <v>32571174</v>
          </cell>
          <cell r="AZ37">
            <v>32889025</v>
          </cell>
          <cell r="BA37">
            <v>33247118</v>
          </cell>
          <cell r="BB37">
            <v>33628895</v>
          </cell>
          <cell r="BC37">
            <v>34004889</v>
          </cell>
          <cell r="BD37">
            <v>34339328</v>
          </cell>
          <cell r="BE37">
            <v>34714222</v>
          </cell>
          <cell r="BF37">
            <v>35082954</v>
          </cell>
          <cell r="BG37">
            <v>35437435</v>
          </cell>
          <cell r="BH37">
            <v>35702908</v>
          </cell>
          <cell r="BI37">
            <v>36109487</v>
          </cell>
          <cell r="BJ37">
            <v>36545295</v>
          </cell>
          <cell r="BK37">
            <v>37065178</v>
          </cell>
          <cell r="BL37">
            <v>37593384</v>
          </cell>
          <cell r="BM37">
            <v>38005238</v>
          </cell>
          <cell r="BN37">
            <v>38005238</v>
          </cell>
        </row>
        <row r="38">
          <cell r="B38" t="str">
            <v>CYM</v>
          </cell>
          <cell r="C38" t="str">
            <v>Population, total</v>
          </cell>
          <cell r="D38" t="str">
            <v>SP.POP.TOTL</v>
          </cell>
          <cell r="E38">
            <v>7870</v>
          </cell>
          <cell r="F38">
            <v>8024</v>
          </cell>
          <cell r="G38">
            <v>8141</v>
          </cell>
          <cell r="H38">
            <v>8219</v>
          </cell>
          <cell r="I38">
            <v>8299</v>
          </cell>
          <cell r="J38">
            <v>8370</v>
          </cell>
          <cell r="K38">
            <v>8444</v>
          </cell>
          <cell r="L38">
            <v>8518</v>
          </cell>
          <cell r="M38">
            <v>8638</v>
          </cell>
          <cell r="N38">
            <v>8833</v>
          </cell>
          <cell r="O38">
            <v>9143</v>
          </cell>
          <cell r="P38">
            <v>9588</v>
          </cell>
          <cell r="Q38">
            <v>10135</v>
          </cell>
          <cell r="R38">
            <v>10778</v>
          </cell>
          <cell r="S38">
            <v>11488</v>
          </cell>
          <cell r="T38">
            <v>12234</v>
          </cell>
          <cell r="U38">
            <v>13023</v>
          </cell>
          <cell r="V38">
            <v>13848</v>
          </cell>
          <cell r="W38">
            <v>14681</v>
          </cell>
          <cell r="X38">
            <v>15485</v>
          </cell>
          <cell r="Y38">
            <v>16207</v>
          </cell>
          <cell r="Z38">
            <v>16857</v>
          </cell>
          <cell r="AA38">
            <v>17436</v>
          </cell>
          <cell r="AB38">
            <v>18005</v>
          </cell>
          <cell r="AC38">
            <v>18662</v>
          </cell>
          <cell r="AD38">
            <v>19460</v>
          </cell>
          <cell r="AE38">
            <v>20426</v>
          </cell>
          <cell r="AF38">
            <v>21539</v>
          </cell>
          <cell r="AG38">
            <v>22775</v>
          </cell>
          <cell r="AH38">
            <v>24028</v>
          </cell>
          <cell r="AI38">
            <v>25307</v>
          </cell>
          <cell r="AJ38">
            <v>26540</v>
          </cell>
          <cell r="AK38">
            <v>27784</v>
          </cell>
          <cell r="AL38">
            <v>29068</v>
          </cell>
          <cell r="AM38">
            <v>30521</v>
          </cell>
          <cell r="AN38">
            <v>32161</v>
          </cell>
          <cell r="AO38">
            <v>34065</v>
          </cell>
          <cell r="AP38">
            <v>36155</v>
          </cell>
          <cell r="AQ38">
            <v>38330</v>
          </cell>
          <cell r="AR38">
            <v>40423</v>
          </cell>
          <cell r="AS38">
            <v>42305</v>
          </cell>
          <cell r="AT38">
            <v>43934</v>
          </cell>
          <cell r="AU38">
            <v>45347</v>
          </cell>
          <cell r="AV38">
            <v>46624</v>
          </cell>
          <cell r="AW38">
            <v>47899</v>
          </cell>
          <cell r="AX38">
            <v>49261</v>
          </cell>
          <cell r="AY38">
            <v>50729</v>
          </cell>
          <cell r="AZ38">
            <v>52280</v>
          </cell>
          <cell r="BA38">
            <v>53835</v>
          </cell>
          <cell r="BB38">
            <v>55321</v>
          </cell>
          <cell r="BC38">
            <v>56672</v>
          </cell>
          <cell r="BD38">
            <v>57877</v>
          </cell>
          <cell r="BE38">
            <v>58963</v>
          </cell>
          <cell r="BF38">
            <v>59933</v>
          </cell>
          <cell r="BG38">
            <v>60848</v>
          </cell>
          <cell r="BH38">
            <v>61721</v>
          </cell>
          <cell r="BI38">
            <v>62564</v>
          </cell>
          <cell r="BJ38">
            <v>63382</v>
          </cell>
          <cell r="BK38">
            <v>64172</v>
          </cell>
          <cell r="BL38">
            <v>64948</v>
          </cell>
          <cell r="BM38">
            <v>65720</v>
          </cell>
          <cell r="BN38">
            <v>65720</v>
          </cell>
        </row>
        <row r="39">
          <cell r="B39" t="str">
            <v>CAF</v>
          </cell>
          <cell r="C39" t="str">
            <v>Population, total</v>
          </cell>
          <cell r="D39" t="str">
            <v>SP.POP.TOTL</v>
          </cell>
          <cell r="E39">
            <v>1501668</v>
          </cell>
          <cell r="F39">
            <v>1526057</v>
          </cell>
          <cell r="G39">
            <v>1551908</v>
          </cell>
          <cell r="H39">
            <v>1579375</v>
          </cell>
          <cell r="I39">
            <v>1608618</v>
          </cell>
          <cell r="J39">
            <v>1639706</v>
          </cell>
          <cell r="K39">
            <v>1673019</v>
          </cell>
          <cell r="L39">
            <v>1708306</v>
          </cell>
          <cell r="M39">
            <v>1744198</v>
          </cell>
          <cell r="N39">
            <v>1778870</v>
          </cell>
          <cell r="O39">
            <v>1811157</v>
          </cell>
          <cell r="P39">
            <v>1840517</v>
          </cell>
          <cell r="Q39">
            <v>1867786</v>
          </cell>
          <cell r="R39">
            <v>1894850</v>
          </cell>
          <cell r="S39">
            <v>1924386</v>
          </cell>
          <cell r="T39">
            <v>1958367</v>
          </cell>
          <cell r="U39">
            <v>1997017</v>
          </cell>
          <cell r="V39">
            <v>2039914</v>
          </cell>
          <cell r="W39">
            <v>2087662</v>
          </cell>
          <cell r="X39">
            <v>2140778</v>
          </cell>
          <cell r="Y39">
            <v>2199359</v>
          </cell>
          <cell r="Z39">
            <v>2264441</v>
          </cell>
          <cell r="AA39">
            <v>2335339</v>
          </cell>
          <cell r="AB39">
            <v>2408322</v>
          </cell>
          <cell r="AC39">
            <v>2478382</v>
          </cell>
          <cell r="AD39">
            <v>2542170</v>
          </cell>
          <cell r="AE39">
            <v>2597765</v>
          </cell>
          <cell r="AF39">
            <v>2646836</v>
          </cell>
          <cell r="AG39">
            <v>2693974</v>
          </cell>
          <cell r="AH39">
            <v>2745735</v>
          </cell>
          <cell r="AI39">
            <v>2806740</v>
          </cell>
          <cell r="AJ39">
            <v>2878507</v>
          </cell>
          <cell r="AK39">
            <v>2959236</v>
          </cell>
          <cell r="AL39">
            <v>3046148</v>
          </cell>
          <cell r="AM39">
            <v>3135017</v>
          </cell>
          <cell r="AN39">
            <v>3222662</v>
          </cell>
          <cell r="AO39">
            <v>3308235</v>
          </cell>
          <cell r="AP39">
            <v>3392432</v>
          </cell>
          <cell r="AQ39">
            <v>3475485</v>
          </cell>
          <cell r="AR39">
            <v>3558019</v>
          </cell>
          <cell r="AS39">
            <v>3640421</v>
          </cell>
          <cell r="AT39">
            <v>3722016</v>
          </cell>
          <cell r="AU39">
            <v>3802129</v>
          </cell>
          <cell r="AV39">
            <v>3881185</v>
          </cell>
          <cell r="AW39">
            <v>3959883</v>
          </cell>
          <cell r="AX39">
            <v>4038380</v>
          </cell>
          <cell r="AY39">
            <v>4118075</v>
          </cell>
          <cell r="AZ39">
            <v>4198004</v>
          </cell>
          <cell r="BA39">
            <v>4273368</v>
          </cell>
          <cell r="BB39">
            <v>4337623</v>
          </cell>
          <cell r="BC39">
            <v>4386765</v>
          </cell>
          <cell r="BD39">
            <v>4418639</v>
          </cell>
          <cell r="BE39">
            <v>4436411</v>
          </cell>
          <cell r="BF39">
            <v>4447945</v>
          </cell>
          <cell r="BG39">
            <v>4464171</v>
          </cell>
          <cell r="BH39">
            <v>4493171</v>
          </cell>
          <cell r="BI39">
            <v>4537683</v>
          </cell>
          <cell r="BJ39">
            <v>4596023</v>
          </cell>
          <cell r="BK39">
            <v>4666375</v>
          </cell>
          <cell r="BL39">
            <v>4745179</v>
          </cell>
          <cell r="BM39">
            <v>4829764</v>
          </cell>
          <cell r="BN39">
            <v>4829764</v>
          </cell>
        </row>
        <row r="40">
          <cell r="B40" t="str">
            <v>TCD</v>
          </cell>
          <cell r="C40" t="str">
            <v>Population, total</v>
          </cell>
          <cell r="D40" t="str">
            <v>SP.POP.TOTL</v>
          </cell>
          <cell r="E40">
            <v>3001604</v>
          </cell>
          <cell r="F40">
            <v>3060365</v>
          </cell>
          <cell r="G40">
            <v>3121226</v>
          </cell>
          <cell r="H40">
            <v>3183576</v>
          </cell>
          <cell r="I40">
            <v>3246527</v>
          </cell>
          <cell r="J40">
            <v>3309583</v>
          </cell>
          <cell r="K40">
            <v>3372182</v>
          </cell>
          <cell r="L40">
            <v>3434817</v>
          </cell>
          <cell r="M40">
            <v>3499370</v>
          </cell>
          <cell r="N40">
            <v>3568402</v>
          </cell>
          <cell r="O40">
            <v>3643608</v>
          </cell>
          <cell r="P40">
            <v>3726189</v>
          </cell>
          <cell r="Q40">
            <v>3815253</v>
          </cell>
          <cell r="R40">
            <v>3907891</v>
          </cell>
          <cell r="S40">
            <v>3999918</v>
          </cell>
          <cell r="T40">
            <v>4088568</v>
          </cell>
          <cell r="U40">
            <v>4173131</v>
          </cell>
          <cell r="V40">
            <v>4255242</v>
          </cell>
          <cell r="W40">
            <v>4337292</v>
          </cell>
          <cell r="X40">
            <v>4422743</v>
          </cell>
          <cell r="Y40">
            <v>4514427</v>
          </cell>
          <cell r="Z40">
            <v>4612858</v>
          </cell>
          <cell r="AA40">
            <v>4718157</v>
          </cell>
          <cell r="AB40">
            <v>4832316</v>
          </cell>
          <cell r="AC40">
            <v>4957561</v>
          </cell>
          <cell r="AD40">
            <v>5095400</v>
          </cell>
          <cell r="AE40">
            <v>5247281</v>
          </cell>
          <cell r="AF40">
            <v>5412844</v>
          </cell>
          <cell r="AG40">
            <v>5589624</v>
          </cell>
          <cell r="AH40">
            <v>5773930</v>
          </cell>
          <cell r="AI40">
            <v>5963250</v>
          </cell>
          <cell r="AJ40">
            <v>6157085</v>
          </cell>
          <cell r="AK40">
            <v>6356741</v>
          </cell>
          <cell r="AL40">
            <v>6563925</v>
          </cell>
          <cell r="AM40">
            <v>6781057</v>
          </cell>
          <cell r="AN40">
            <v>7010159</v>
          </cell>
          <cell r="AO40">
            <v>7250974</v>
          </cell>
          <cell r="AP40">
            <v>7503494</v>
          </cell>
          <cell r="AQ40">
            <v>7770053</v>
          </cell>
          <cell r="AR40">
            <v>8053532</v>
          </cell>
          <cell r="AS40">
            <v>8355654</v>
          </cell>
          <cell r="AT40">
            <v>8678049</v>
          </cell>
          <cell r="AU40">
            <v>9019226</v>
          </cell>
          <cell r="AV40">
            <v>9373913</v>
          </cell>
          <cell r="AW40">
            <v>9734761</v>
          </cell>
          <cell r="AX40">
            <v>10096630</v>
          </cell>
          <cell r="AY40">
            <v>10457122</v>
          </cell>
          <cell r="AZ40">
            <v>10818031</v>
          </cell>
          <cell r="BA40">
            <v>11183589</v>
          </cell>
          <cell r="BB40">
            <v>11560142</v>
          </cell>
          <cell r="BC40">
            <v>11952134</v>
          </cell>
          <cell r="BD40">
            <v>12360986</v>
          </cell>
          <cell r="BE40">
            <v>12784748</v>
          </cell>
          <cell r="BF40">
            <v>13220433</v>
          </cell>
          <cell r="BG40">
            <v>13663562</v>
          </cell>
          <cell r="BH40">
            <v>14110971</v>
          </cell>
          <cell r="BI40">
            <v>14561658</v>
          </cell>
          <cell r="BJ40">
            <v>15016761</v>
          </cell>
          <cell r="BK40">
            <v>15477727</v>
          </cell>
          <cell r="BL40">
            <v>15946882</v>
          </cell>
          <cell r="BM40">
            <v>16425859</v>
          </cell>
          <cell r="BN40">
            <v>16425859</v>
          </cell>
        </row>
        <row r="41">
          <cell r="B41" t="str">
            <v>CHI</v>
          </cell>
          <cell r="C41" t="str">
            <v>Population, total</v>
          </cell>
          <cell r="D41" t="str">
            <v>SP.POP.TOTL</v>
          </cell>
          <cell r="E41">
            <v>109419</v>
          </cell>
          <cell r="F41">
            <v>110398</v>
          </cell>
          <cell r="G41">
            <v>111464</v>
          </cell>
          <cell r="H41">
            <v>112591</v>
          </cell>
          <cell r="I41">
            <v>113777</v>
          </cell>
          <cell r="J41">
            <v>114989</v>
          </cell>
          <cell r="K41">
            <v>116229</v>
          </cell>
          <cell r="L41">
            <v>117469</v>
          </cell>
          <cell r="M41">
            <v>118725</v>
          </cell>
          <cell r="N41">
            <v>119975</v>
          </cell>
          <cell r="O41">
            <v>121200</v>
          </cell>
          <cell r="P41">
            <v>122405</v>
          </cell>
          <cell r="Q41">
            <v>123611</v>
          </cell>
          <cell r="R41">
            <v>124722</v>
          </cell>
          <cell r="S41">
            <v>125680</v>
          </cell>
          <cell r="T41">
            <v>126420</v>
          </cell>
          <cell r="U41">
            <v>126908</v>
          </cell>
          <cell r="V41">
            <v>127186</v>
          </cell>
          <cell r="W41">
            <v>127395</v>
          </cell>
          <cell r="X41">
            <v>127691</v>
          </cell>
          <cell r="Y41">
            <v>128204</v>
          </cell>
          <cell r="Z41">
            <v>128986</v>
          </cell>
          <cell r="AA41">
            <v>129976</v>
          </cell>
          <cell r="AB41">
            <v>131153</v>
          </cell>
          <cell r="AC41">
            <v>132445</v>
          </cell>
          <cell r="AD41">
            <v>133800</v>
          </cell>
          <cell r="AE41">
            <v>135242</v>
          </cell>
          <cell r="AF41">
            <v>136762</v>
          </cell>
          <cell r="AG41">
            <v>138250</v>
          </cell>
          <cell r="AH41">
            <v>139580</v>
          </cell>
          <cell r="AI41">
            <v>140677</v>
          </cell>
          <cell r="AJ41">
            <v>141469</v>
          </cell>
          <cell r="AK41">
            <v>142006</v>
          </cell>
          <cell r="AL41">
            <v>142407</v>
          </cell>
          <cell r="AM41">
            <v>142867</v>
          </cell>
          <cell r="AN41">
            <v>143480</v>
          </cell>
          <cell r="AO41">
            <v>144348</v>
          </cell>
          <cell r="AP41">
            <v>145387</v>
          </cell>
          <cell r="AQ41">
            <v>146500</v>
          </cell>
          <cell r="AR41">
            <v>147553</v>
          </cell>
          <cell r="AS41">
            <v>148439</v>
          </cell>
          <cell r="AT41">
            <v>149097</v>
          </cell>
          <cell r="AU41">
            <v>149591</v>
          </cell>
          <cell r="AV41">
            <v>150070</v>
          </cell>
          <cell r="AW41">
            <v>150722</v>
          </cell>
          <cell r="AX41">
            <v>151674</v>
          </cell>
          <cell r="AY41">
            <v>152999</v>
          </cell>
          <cell r="AZ41">
            <v>154644</v>
          </cell>
          <cell r="BA41">
            <v>156441</v>
          </cell>
          <cell r="BB41">
            <v>158187</v>
          </cell>
          <cell r="BC41">
            <v>159718</v>
          </cell>
          <cell r="BD41">
            <v>160990</v>
          </cell>
          <cell r="BE41">
            <v>162051</v>
          </cell>
          <cell r="BF41">
            <v>163039</v>
          </cell>
          <cell r="BG41">
            <v>164107</v>
          </cell>
          <cell r="BH41">
            <v>165387</v>
          </cell>
          <cell r="BI41">
            <v>166922</v>
          </cell>
          <cell r="BJ41">
            <v>168666</v>
          </cell>
          <cell r="BK41">
            <v>170496</v>
          </cell>
          <cell r="BL41">
            <v>172264</v>
          </cell>
          <cell r="BM41">
            <v>173859</v>
          </cell>
          <cell r="BN41">
            <v>173859</v>
          </cell>
        </row>
        <row r="42">
          <cell r="B42" t="str">
            <v>CHL</v>
          </cell>
          <cell r="C42" t="str">
            <v>Population, total</v>
          </cell>
          <cell r="D42" t="str">
            <v>SP.POP.TOTL</v>
          </cell>
          <cell r="E42">
            <v>8132988</v>
          </cell>
          <cell r="F42">
            <v>8303804</v>
          </cell>
          <cell r="G42">
            <v>8476895</v>
          </cell>
          <cell r="H42">
            <v>8650390</v>
          </cell>
          <cell r="I42">
            <v>8821855</v>
          </cell>
          <cell r="J42">
            <v>8989607</v>
          </cell>
          <cell r="K42">
            <v>9152848</v>
          </cell>
          <cell r="L42">
            <v>9312091</v>
          </cell>
          <cell r="M42">
            <v>9468851</v>
          </cell>
          <cell r="N42">
            <v>9625304</v>
          </cell>
          <cell r="O42">
            <v>9783134</v>
          </cell>
          <cell r="P42">
            <v>9942716</v>
          </cell>
          <cell r="Q42">
            <v>10103675</v>
          </cell>
          <cell r="R42">
            <v>10265827</v>
          </cell>
          <cell r="S42">
            <v>10428803</v>
          </cell>
          <cell r="T42">
            <v>10592310</v>
          </cell>
          <cell r="U42">
            <v>10756876</v>
          </cell>
          <cell r="V42">
            <v>10922777</v>
          </cell>
          <cell r="W42">
            <v>11089165</v>
          </cell>
          <cell r="X42">
            <v>11254877</v>
          </cell>
          <cell r="Y42">
            <v>11419350</v>
          </cell>
          <cell r="Z42">
            <v>11582020</v>
          </cell>
          <cell r="AA42">
            <v>11743909</v>
          </cell>
          <cell r="AB42">
            <v>11907955</v>
          </cell>
          <cell r="AC42">
            <v>12078137</v>
          </cell>
          <cell r="AD42">
            <v>12257238</v>
          </cell>
          <cell r="AE42">
            <v>12445833</v>
          </cell>
          <cell r="AF42">
            <v>12642917</v>
          </cell>
          <cell r="AG42">
            <v>12847712</v>
          </cell>
          <cell r="AH42">
            <v>13058758</v>
          </cell>
          <cell r="AI42">
            <v>13274617</v>
          </cell>
          <cell r="AJ42">
            <v>13495255</v>
          </cell>
          <cell r="AK42">
            <v>13719818</v>
          </cell>
          <cell r="AL42">
            <v>13944934</v>
          </cell>
          <cell r="AM42">
            <v>14166346</v>
          </cell>
          <cell r="AN42">
            <v>14380864</v>
          </cell>
          <cell r="AO42">
            <v>14587367</v>
          </cell>
          <cell r="AP42">
            <v>14786227</v>
          </cell>
          <cell r="AQ42">
            <v>14977736</v>
          </cell>
          <cell r="AR42">
            <v>15162801</v>
          </cell>
          <cell r="AS42">
            <v>15342350</v>
          </cell>
          <cell r="AT42">
            <v>15516112</v>
          </cell>
          <cell r="AU42">
            <v>15684413</v>
          </cell>
          <cell r="AV42">
            <v>15849649</v>
          </cell>
          <cell r="AW42">
            <v>16014972</v>
          </cell>
          <cell r="AX42">
            <v>16182713</v>
          </cell>
          <cell r="AY42">
            <v>16354507</v>
          </cell>
          <cell r="AZ42">
            <v>16530201</v>
          </cell>
          <cell r="BA42">
            <v>16708255</v>
          </cell>
          <cell r="BB42">
            <v>16886184</v>
          </cell>
          <cell r="BC42">
            <v>17062531</v>
          </cell>
          <cell r="BD42">
            <v>17233584</v>
          </cell>
          <cell r="BE42">
            <v>17400359</v>
          </cell>
          <cell r="BF42">
            <v>17571511</v>
          </cell>
          <cell r="BG42">
            <v>17758969</v>
          </cell>
          <cell r="BH42">
            <v>17969356</v>
          </cell>
          <cell r="BI42">
            <v>18209072</v>
          </cell>
          <cell r="BJ42">
            <v>18470435</v>
          </cell>
          <cell r="BK42">
            <v>18729166</v>
          </cell>
          <cell r="BL42">
            <v>18952035</v>
          </cell>
          <cell r="BM42">
            <v>19116209</v>
          </cell>
          <cell r="BN42">
            <v>19116209</v>
          </cell>
        </row>
        <row r="43">
          <cell r="B43" t="str">
            <v>CHN</v>
          </cell>
          <cell r="C43" t="str">
            <v>Population, total</v>
          </cell>
          <cell r="D43" t="str">
            <v>SP.POP.TOTL</v>
          </cell>
          <cell r="E43">
            <v>667070000</v>
          </cell>
          <cell r="F43">
            <v>660330000</v>
          </cell>
          <cell r="G43">
            <v>665770000</v>
          </cell>
          <cell r="H43">
            <v>682335000</v>
          </cell>
          <cell r="I43">
            <v>698355000</v>
          </cell>
          <cell r="J43">
            <v>715185000</v>
          </cell>
          <cell r="K43">
            <v>735400000</v>
          </cell>
          <cell r="L43">
            <v>754550000</v>
          </cell>
          <cell r="M43">
            <v>774510000</v>
          </cell>
          <cell r="N43">
            <v>796025000</v>
          </cell>
          <cell r="O43">
            <v>818315000</v>
          </cell>
          <cell r="P43">
            <v>841105000</v>
          </cell>
          <cell r="Q43">
            <v>862030000</v>
          </cell>
          <cell r="R43">
            <v>881940000</v>
          </cell>
          <cell r="S43">
            <v>900350000</v>
          </cell>
          <cell r="T43">
            <v>916395000</v>
          </cell>
          <cell r="U43">
            <v>930685000</v>
          </cell>
          <cell r="V43">
            <v>943455000</v>
          </cell>
          <cell r="W43">
            <v>956165000</v>
          </cell>
          <cell r="X43">
            <v>969005000</v>
          </cell>
          <cell r="Y43">
            <v>981235000</v>
          </cell>
          <cell r="Z43">
            <v>993885000</v>
          </cell>
          <cell r="AA43">
            <v>1008630000</v>
          </cell>
          <cell r="AB43">
            <v>1023310000</v>
          </cell>
          <cell r="AC43">
            <v>1036825000</v>
          </cell>
          <cell r="AD43">
            <v>1051040000</v>
          </cell>
          <cell r="AE43">
            <v>1066790000</v>
          </cell>
          <cell r="AF43">
            <v>1084035000</v>
          </cell>
          <cell r="AG43">
            <v>1101630000</v>
          </cell>
          <cell r="AH43">
            <v>1118650000</v>
          </cell>
          <cell r="AI43">
            <v>1135185000</v>
          </cell>
          <cell r="AJ43">
            <v>1150780000</v>
          </cell>
          <cell r="AK43">
            <v>1164970000</v>
          </cell>
          <cell r="AL43">
            <v>1178440000</v>
          </cell>
          <cell r="AM43">
            <v>1191835000</v>
          </cell>
          <cell r="AN43">
            <v>1204855000</v>
          </cell>
          <cell r="AO43">
            <v>1217550000</v>
          </cell>
          <cell r="AP43">
            <v>1230075000</v>
          </cell>
          <cell r="AQ43">
            <v>1241935000</v>
          </cell>
          <cell r="AR43">
            <v>1252735000</v>
          </cell>
          <cell r="AS43">
            <v>1262645000</v>
          </cell>
          <cell r="AT43">
            <v>1271850000</v>
          </cell>
          <cell r="AU43">
            <v>1280400000</v>
          </cell>
          <cell r="AV43">
            <v>1288400000</v>
          </cell>
          <cell r="AW43">
            <v>1296075000</v>
          </cell>
          <cell r="AX43">
            <v>1303720000</v>
          </cell>
          <cell r="AY43">
            <v>1311020000</v>
          </cell>
          <cell r="AZ43">
            <v>1317885000</v>
          </cell>
          <cell r="BA43">
            <v>1324655000</v>
          </cell>
          <cell r="BB43">
            <v>1331260000</v>
          </cell>
          <cell r="BC43">
            <v>1337705000</v>
          </cell>
          <cell r="BD43">
            <v>1345035000</v>
          </cell>
          <cell r="BE43">
            <v>1354190000</v>
          </cell>
          <cell r="BF43">
            <v>1363240000</v>
          </cell>
          <cell r="BG43">
            <v>1371860000</v>
          </cell>
          <cell r="BH43">
            <v>1379860000</v>
          </cell>
          <cell r="BI43">
            <v>1387790000</v>
          </cell>
          <cell r="BJ43">
            <v>1396215000</v>
          </cell>
          <cell r="BK43">
            <v>1402760000</v>
          </cell>
          <cell r="BL43">
            <v>1407745000</v>
          </cell>
          <cell r="BM43">
            <v>1410929362</v>
          </cell>
          <cell r="BN43">
            <v>1410929362</v>
          </cell>
        </row>
        <row r="44">
          <cell r="B44" t="str">
            <v>COL</v>
          </cell>
          <cell r="C44" t="str">
            <v>Population, total</v>
          </cell>
          <cell r="D44" t="str">
            <v>SP.POP.TOTL</v>
          </cell>
          <cell r="E44">
            <v>16057714</v>
          </cell>
          <cell r="F44">
            <v>16567817</v>
          </cell>
          <cell r="G44">
            <v>17092919</v>
          </cell>
          <cell r="H44">
            <v>17629978</v>
          </cell>
          <cell r="I44">
            <v>18175187</v>
          </cell>
          <cell r="J44">
            <v>18725242</v>
          </cell>
          <cell r="K44">
            <v>19279734</v>
          </cell>
          <cell r="L44">
            <v>19837508</v>
          </cell>
          <cell r="M44">
            <v>20393704</v>
          </cell>
          <cell r="N44">
            <v>20942453</v>
          </cell>
          <cell r="O44">
            <v>21480064</v>
          </cell>
          <cell r="P44">
            <v>22003983</v>
          </cell>
          <cell r="Q44">
            <v>22516429</v>
          </cell>
          <cell r="R44">
            <v>23024512</v>
          </cell>
          <cell r="S44">
            <v>23538390</v>
          </cell>
          <cell r="T44">
            <v>24065502</v>
          </cell>
          <cell r="U44">
            <v>24608102</v>
          </cell>
          <cell r="V44">
            <v>25164544</v>
          </cell>
          <cell r="W44">
            <v>25733669</v>
          </cell>
          <cell r="X44">
            <v>26312996</v>
          </cell>
          <cell r="Y44">
            <v>26900508</v>
          </cell>
          <cell r="Z44">
            <v>27496608</v>
          </cell>
          <cell r="AA44">
            <v>28101824</v>
          </cell>
          <cell r="AB44">
            <v>28714183</v>
          </cell>
          <cell r="AC44">
            <v>29331230</v>
          </cell>
          <cell r="AD44">
            <v>29951194</v>
          </cell>
          <cell r="AE44">
            <v>30572479</v>
          </cell>
          <cell r="AF44">
            <v>31195417</v>
          </cell>
          <cell r="AG44">
            <v>31822527</v>
          </cell>
          <cell r="AH44">
            <v>32457497</v>
          </cell>
          <cell r="AI44">
            <v>33102569</v>
          </cell>
          <cell r="AJ44">
            <v>33758328</v>
          </cell>
          <cell r="AK44">
            <v>34422568</v>
          </cell>
          <cell r="AL44">
            <v>35091272</v>
          </cell>
          <cell r="AM44">
            <v>35758978</v>
          </cell>
          <cell r="AN44">
            <v>36421438</v>
          </cell>
          <cell r="AO44">
            <v>37076387</v>
          </cell>
          <cell r="AP44">
            <v>37723803</v>
          </cell>
          <cell r="AQ44">
            <v>38364307</v>
          </cell>
          <cell r="AR44">
            <v>38999468</v>
          </cell>
          <cell r="AS44">
            <v>39629965</v>
          </cell>
          <cell r="AT44">
            <v>40255956</v>
          </cell>
          <cell r="AU44">
            <v>40875363</v>
          </cell>
          <cell r="AV44">
            <v>41483872</v>
          </cell>
          <cell r="AW44">
            <v>42075953</v>
          </cell>
          <cell r="AX44">
            <v>42647731</v>
          </cell>
          <cell r="AY44">
            <v>43200901</v>
          </cell>
          <cell r="AZ44">
            <v>43737512</v>
          </cell>
          <cell r="BA44">
            <v>44254972</v>
          </cell>
          <cell r="BB44">
            <v>44750054</v>
          </cell>
          <cell r="BC44">
            <v>45222699</v>
          </cell>
          <cell r="BD44">
            <v>45662747</v>
          </cell>
          <cell r="BE44">
            <v>46075721</v>
          </cell>
          <cell r="BF44">
            <v>46495492</v>
          </cell>
          <cell r="BG44">
            <v>46967706</v>
          </cell>
          <cell r="BH44">
            <v>47520667</v>
          </cell>
          <cell r="BI44">
            <v>48175048</v>
          </cell>
          <cell r="BJ44">
            <v>48909844</v>
          </cell>
          <cell r="BK44">
            <v>49661056</v>
          </cell>
          <cell r="BL44">
            <v>50339443</v>
          </cell>
          <cell r="BM44">
            <v>50882884</v>
          </cell>
          <cell r="BN44">
            <v>50882884</v>
          </cell>
        </row>
        <row r="45">
          <cell r="B45" t="str">
            <v>COM</v>
          </cell>
          <cell r="C45" t="str">
            <v>Population, total</v>
          </cell>
          <cell r="D45" t="str">
            <v>SP.POP.TOTL</v>
          </cell>
          <cell r="E45">
            <v>191122</v>
          </cell>
          <cell r="F45">
            <v>194149</v>
          </cell>
          <cell r="G45">
            <v>197202</v>
          </cell>
          <cell r="H45">
            <v>200371</v>
          </cell>
          <cell r="I45">
            <v>203762</v>
          </cell>
          <cell r="J45">
            <v>207429</v>
          </cell>
          <cell r="K45">
            <v>211477</v>
          </cell>
          <cell r="L45">
            <v>215900</v>
          </cell>
          <cell r="M45">
            <v>220574</v>
          </cell>
          <cell r="N45">
            <v>225324</v>
          </cell>
          <cell r="O45">
            <v>230055</v>
          </cell>
          <cell r="P45">
            <v>234645</v>
          </cell>
          <cell r="Q45">
            <v>239229</v>
          </cell>
          <cell r="R45">
            <v>244207</v>
          </cell>
          <cell r="S45">
            <v>250107</v>
          </cell>
          <cell r="T45">
            <v>257285</v>
          </cell>
          <cell r="U45">
            <v>265958</v>
          </cell>
          <cell r="V45">
            <v>275903</v>
          </cell>
          <cell r="W45">
            <v>286628</v>
          </cell>
          <cell r="X45">
            <v>297451</v>
          </cell>
          <cell r="Y45">
            <v>307831</v>
          </cell>
          <cell r="Z45">
            <v>317617</v>
          </cell>
          <cell r="AA45">
            <v>326944</v>
          </cell>
          <cell r="AB45">
            <v>336088</v>
          </cell>
          <cell r="AC45">
            <v>345455</v>
          </cell>
          <cell r="AD45">
            <v>355337</v>
          </cell>
          <cell r="AE45">
            <v>365765</v>
          </cell>
          <cell r="AF45">
            <v>376647</v>
          </cell>
          <cell r="AG45">
            <v>387964</v>
          </cell>
          <cell r="AH45">
            <v>399638</v>
          </cell>
          <cell r="AI45">
            <v>411598</v>
          </cell>
          <cell r="AJ45">
            <v>423873</v>
          </cell>
          <cell r="AK45">
            <v>436454</v>
          </cell>
          <cell r="AL45">
            <v>449270</v>
          </cell>
          <cell r="AM45">
            <v>462280</v>
          </cell>
          <cell r="AN45">
            <v>475394</v>
          </cell>
          <cell r="AO45">
            <v>488625</v>
          </cell>
          <cell r="AP45">
            <v>501955</v>
          </cell>
          <cell r="AQ45">
            <v>515382</v>
          </cell>
          <cell r="AR45">
            <v>528853</v>
          </cell>
          <cell r="AS45">
            <v>542358</v>
          </cell>
          <cell r="AT45">
            <v>555895</v>
          </cell>
          <cell r="AU45">
            <v>569480</v>
          </cell>
          <cell r="AV45">
            <v>583213</v>
          </cell>
          <cell r="AW45">
            <v>597230</v>
          </cell>
          <cell r="AX45">
            <v>611625</v>
          </cell>
          <cell r="AY45">
            <v>626427</v>
          </cell>
          <cell r="AZ45">
            <v>641624</v>
          </cell>
          <cell r="BA45">
            <v>657227</v>
          </cell>
          <cell r="BB45">
            <v>673251</v>
          </cell>
          <cell r="BC45">
            <v>689696</v>
          </cell>
          <cell r="BD45">
            <v>706578</v>
          </cell>
          <cell r="BE45">
            <v>723865</v>
          </cell>
          <cell r="BF45">
            <v>741511</v>
          </cell>
          <cell r="BG45">
            <v>759390</v>
          </cell>
          <cell r="BH45">
            <v>777435</v>
          </cell>
          <cell r="BI45">
            <v>795597</v>
          </cell>
          <cell r="BJ45">
            <v>813890</v>
          </cell>
          <cell r="BK45">
            <v>832322</v>
          </cell>
          <cell r="BL45">
            <v>850891</v>
          </cell>
          <cell r="BM45">
            <v>869595</v>
          </cell>
          <cell r="BN45">
            <v>869595</v>
          </cell>
        </row>
        <row r="46">
          <cell r="B46" t="str">
            <v>COD</v>
          </cell>
          <cell r="C46" t="str">
            <v>Population, total</v>
          </cell>
          <cell r="D46" t="str">
            <v>SP.POP.TOTL</v>
          </cell>
          <cell r="E46">
            <v>15248256</v>
          </cell>
          <cell r="F46">
            <v>15637700</v>
          </cell>
          <cell r="G46">
            <v>16041187</v>
          </cell>
          <cell r="H46">
            <v>16461828</v>
          </cell>
          <cell r="I46">
            <v>16903830</v>
          </cell>
          <cell r="J46">
            <v>17369882</v>
          </cell>
          <cell r="K46">
            <v>17862052</v>
          </cell>
          <cell r="L46">
            <v>18378620</v>
          </cell>
          <cell r="M46">
            <v>18913874</v>
          </cell>
          <cell r="N46">
            <v>19459818</v>
          </cell>
          <cell r="O46">
            <v>20011033</v>
          </cell>
          <cell r="P46">
            <v>20564062</v>
          </cell>
          <cell r="Q46">
            <v>21121360</v>
          </cell>
          <cell r="R46">
            <v>21690448</v>
          </cell>
          <cell r="S46">
            <v>22282127</v>
          </cell>
          <cell r="T46">
            <v>22903587</v>
          </cell>
          <cell r="U46">
            <v>23560470</v>
          </cell>
          <cell r="V46">
            <v>24249127</v>
          </cell>
          <cell r="W46">
            <v>24956387</v>
          </cell>
          <cell r="X46">
            <v>25663598</v>
          </cell>
          <cell r="Y46">
            <v>26358905</v>
          </cell>
          <cell r="Z46">
            <v>27040329</v>
          </cell>
          <cell r="AA46">
            <v>27717293</v>
          </cell>
          <cell r="AB46">
            <v>28403858</v>
          </cell>
          <cell r="AC46">
            <v>29119663</v>
          </cell>
          <cell r="AD46">
            <v>29881222</v>
          </cell>
          <cell r="AE46">
            <v>30683877</v>
          </cell>
          <cell r="AF46">
            <v>31528702</v>
          </cell>
          <cell r="AG46">
            <v>32443784</v>
          </cell>
          <cell r="AH46">
            <v>33464767</v>
          </cell>
          <cell r="AI46">
            <v>34612023</v>
          </cell>
          <cell r="AJ46">
            <v>35908240</v>
          </cell>
          <cell r="AK46">
            <v>37333917</v>
          </cell>
          <cell r="AL46">
            <v>38815835</v>
          </cell>
          <cell r="AM46">
            <v>40252973</v>
          </cell>
          <cell r="AN46">
            <v>41576239</v>
          </cell>
          <cell r="AO46">
            <v>42757239</v>
          </cell>
          <cell r="AP46">
            <v>43827191</v>
          </cell>
          <cell r="AQ46">
            <v>44849968</v>
          </cell>
          <cell r="AR46">
            <v>45919615</v>
          </cell>
          <cell r="AS46">
            <v>47105830</v>
          </cell>
          <cell r="AT46">
            <v>48428534</v>
          </cell>
          <cell r="AU46">
            <v>49871670</v>
          </cell>
          <cell r="AV46">
            <v>51425583</v>
          </cell>
          <cell r="AW46">
            <v>53068869</v>
          </cell>
          <cell r="AX46">
            <v>54785894</v>
          </cell>
          <cell r="AY46">
            <v>56578046</v>
          </cell>
          <cell r="AZ46">
            <v>58453687</v>
          </cell>
          <cell r="BA46">
            <v>60411195</v>
          </cell>
          <cell r="BB46">
            <v>62448572</v>
          </cell>
          <cell r="BC46">
            <v>64563853</v>
          </cell>
          <cell r="BD46">
            <v>66755151</v>
          </cell>
          <cell r="BE46">
            <v>69020749</v>
          </cell>
          <cell r="BF46">
            <v>71358804</v>
          </cell>
          <cell r="BG46">
            <v>73767445</v>
          </cell>
          <cell r="BH46">
            <v>76244532</v>
          </cell>
          <cell r="BI46">
            <v>78789130</v>
          </cell>
          <cell r="BJ46">
            <v>81398765</v>
          </cell>
          <cell r="BK46">
            <v>84068092</v>
          </cell>
          <cell r="BL46">
            <v>86790568</v>
          </cell>
          <cell r="BM46">
            <v>89561404</v>
          </cell>
          <cell r="BN46">
            <v>89561404</v>
          </cell>
        </row>
        <row r="47">
          <cell r="B47" t="str">
            <v>COG</v>
          </cell>
          <cell r="C47" t="str">
            <v>Population, total</v>
          </cell>
          <cell r="D47" t="str">
            <v>SP.POP.TOTL</v>
          </cell>
          <cell r="E47">
            <v>1018254</v>
          </cell>
          <cell r="F47">
            <v>1043119</v>
          </cell>
          <cell r="G47">
            <v>1069236</v>
          </cell>
          <cell r="H47">
            <v>1096638</v>
          </cell>
          <cell r="I47">
            <v>1125354</v>
          </cell>
          <cell r="J47">
            <v>1155389</v>
          </cell>
          <cell r="K47">
            <v>1186782</v>
          </cell>
          <cell r="L47">
            <v>1219547</v>
          </cell>
          <cell r="M47">
            <v>1253761</v>
          </cell>
          <cell r="N47">
            <v>1289519</v>
          </cell>
          <cell r="O47">
            <v>1326894</v>
          </cell>
          <cell r="P47">
            <v>1365891</v>
          </cell>
          <cell r="Q47">
            <v>1406510</v>
          </cell>
          <cell r="R47">
            <v>1448632</v>
          </cell>
          <cell r="S47">
            <v>1492055</v>
          </cell>
          <cell r="T47">
            <v>1536658</v>
          </cell>
          <cell r="U47">
            <v>1582361</v>
          </cell>
          <cell r="V47">
            <v>1629218</v>
          </cell>
          <cell r="W47">
            <v>1677326</v>
          </cell>
          <cell r="X47">
            <v>1726865</v>
          </cell>
          <cell r="Y47">
            <v>1777932</v>
          </cell>
          <cell r="Z47">
            <v>1830629</v>
          </cell>
          <cell r="AA47">
            <v>1884873</v>
          </cell>
          <cell r="AB47">
            <v>1940454</v>
          </cell>
          <cell r="AC47">
            <v>1996994</v>
          </cell>
          <cell r="AD47">
            <v>2054308</v>
          </cell>
          <cell r="AE47">
            <v>2112359</v>
          </cell>
          <cell r="AF47">
            <v>2171319</v>
          </cell>
          <cell r="AG47">
            <v>2231462</v>
          </cell>
          <cell r="AH47">
            <v>2293161</v>
          </cell>
          <cell r="AI47">
            <v>2356740</v>
          </cell>
          <cell r="AJ47">
            <v>2422312</v>
          </cell>
          <cell r="AK47">
            <v>2489945</v>
          </cell>
          <cell r="AL47">
            <v>2559880</v>
          </cell>
          <cell r="AM47">
            <v>2632345</v>
          </cell>
          <cell r="AN47">
            <v>2707532</v>
          </cell>
          <cell r="AO47">
            <v>2785815</v>
          </cell>
          <cell r="AP47">
            <v>2867283</v>
          </cell>
          <cell r="AQ47">
            <v>2951651</v>
          </cell>
          <cell r="AR47">
            <v>3038432</v>
          </cell>
          <cell r="AS47">
            <v>3127420</v>
          </cell>
          <cell r="AT47">
            <v>3217930</v>
          </cell>
          <cell r="AU47">
            <v>3310376</v>
          </cell>
          <cell r="AV47">
            <v>3406915</v>
          </cell>
          <cell r="AW47">
            <v>3510468</v>
          </cell>
          <cell r="AX47">
            <v>3622775</v>
          </cell>
          <cell r="AY47">
            <v>3745143</v>
          </cell>
          <cell r="AZ47">
            <v>3876123</v>
          </cell>
          <cell r="BA47">
            <v>4011487</v>
          </cell>
          <cell r="BB47">
            <v>4145400</v>
          </cell>
          <cell r="BC47">
            <v>4273738</v>
          </cell>
          <cell r="BD47">
            <v>4394842</v>
          </cell>
          <cell r="BE47">
            <v>4510197</v>
          </cell>
          <cell r="BF47">
            <v>4622757</v>
          </cell>
          <cell r="BG47">
            <v>4736965</v>
          </cell>
          <cell r="BH47">
            <v>4856093</v>
          </cell>
          <cell r="BI47">
            <v>4980996</v>
          </cell>
          <cell r="BJ47">
            <v>5110701</v>
          </cell>
          <cell r="BK47">
            <v>5244363</v>
          </cell>
          <cell r="BL47">
            <v>5380504</v>
          </cell>
          <cell r="BM47">
            <v>5518092</v>
          </cell>
          <cell r="BN47">
            <v>5518092</v>
          </cell>
        </row>
        <row r="48">
          <cell r="B48" t="str">
            <v>CRI</v>
          </cell>
          <cell r="C48" t="str">
            <v>Population, total</v>
          </cell>
          <cell r="D48" t="str">
            <v>SP.POP.TOTL</v>
          </cell>
          <cell r="E48">
            <v>1330787</v>
          </cell>
          <cell r="F48">
            <v>1381187</v>
          </cell>
          <cell r="G48">
            <v>1433346</v>
          </cell>
          <cell r="H48">
            <v>1486555</v>
          </cell>
          <cell r="I48">
            <v>1539942</v>
          </cell>
          <cell r="J48">
            <v>1592834</v>
          </cell>
          <cell r="K48">
            <v>1645076</v>
          </cell>
          <cell r="L48">
            <v>1696742</v>
          </cell>
          <cell r="M48">
            <v>1747690</v>
          </cell>
          <cell r="N48">
            <v>1797891</v>
          </cell>
          <cell r="O48">
            <v>1847394</v>
          </cell>
          <cell r="P48">
            <v>1896074</v>
          </cell>
          <cell r="Q48">
            <v>1944170</v>
          </cell>
          <cell r="R48">
            <v>1992522</v>
          </cell>
          <cell r="S48">
            <v>2042242</v>
          </cell>
          <cell r="T48">
            <v>2094186</v>
          </cell>
          <cell r="U48">
            <v>2148681</v>
          </cell>
          <cell r="V48">
            <v>2205618</v>
          </cell>
          <cell r="W48">
            <v>2264942</v>
          </cell>
          <cell r="X48">
            <v>2326460</v>
          </cell>
          <cell r="Y48">
            <v>2389973</v>
          </cell>
          <cell r="Z48">
            <v>2455593</v>
          </cell>
          <cell r="AA48">
            <v>2523358</v>
          </cell>
          <cell r="AB48">
            <v>2593015</v>
          </cell>
          <cell r="AC48">
            <v>2664220</v>
          </cell>
          <cell r="AD48">
            <v>2736719</v>
          </cell>
          <cell r="AE48">
            <v>2810245</v>
          </cell>
          <cell r="AF48">
            <v>2884856</v>
          </cell>
          <cell r="AG48">
            <v>2960932</v>
          </cell>
          <cell r="AH48">
            <v>3039015</v>
          </cell>
          <cell r="AI48">
            <v>3119436</v>
          </cell>
          <cell r="AJ48">
            <v>3202083</v>
          </cell>
          <cell r="AK48">
            <v>3286525</v>
          </cell>
          <cell r="AL48">
            <v>3372298</v>
          </cell>
          <cell r="AM48">
            <v>3458829</v>
          </cell>
          <cell r="AN48">
            <v>3545524</v>
          </cell>
          <cell r="AO48">
            <v>3632361</v>
          </cell>
          <cell r="AP48">
            <v>3718952</v>
          </cell>
          <cell r="AQ48">
            <v>3803893</v>
          </cell>
          <cell r="AR48">
            <v>3885428</v>
          </cell>
          <cell r="AS48">
            <v>3962369</v>
          </cell>
          <cell r="AT48">
            <v>4034074</v>
          </cell>
          <cell r="AU48">
            <v>4100922</v>
          </cell>
          <cell r="AV48">
            <v>4164053</v>
          </cell>
          <cell r="AW48">
            <v>4225156</v>
          </cell>
          <cell r="AX48">
            <v>4285504</v>
          </cell>
          <cell r="AY48">
            <v>4345421</v>
          </cell>
          <cell r="AZ48">
            <v>4404626</v>
          </cell>
          <cell r="BA48">
            <v>4463123</v>
          </cell>
          <cell r="BB48">
            <v>4520739</v>
          </cell>
          <cell r="BC48">
            <v>4577371</v>
          </cell>
          <cell r="BD48">
            <v>4633086</v>
          </cell>
          <cell r="BE48">
            <v>4688003</v>
          </cell>
          <cell r="BF48">
            <v>4742111</v>
          </cell>
          <cell r="BG48">
            <v>4795390</v>
          </cell>
          <cell r="BH48">
            <v>4847805</v>
          </cell>
          <cell r="BI48">
            <v>4899336</v>
          </cell>
          <cell r="BJ48">
            <v>4949955</v>
          </cell>
          <cell r="BK48">
            <v>4999443</v>
          </cell>
          <cell r="BL48">
            <v>5047561</v>
          </cell>
          <cell r="BM48">
            <v>5094114</v>
          </cell>
          <cell r="BN48">
            <v>5094114</v>
          </cell>
        </row>
        <row r="49">
          <cell r="B49" t="str">
            <v>CIV</v>
          </cell>
          <cell r="C49" t="str">
            <v>Population, total</v>
          </cell>
          <cell r="D49" t="str">
            <v>SP.POP.TOTL</v>
          </cell>
          <cell r="E49">
            <v>3503559</v>
          </cell>
          <cell r="F49">
            <v>3631547</v>
          </cell>
          <cell r="G49">
            <v>3770756</v>
          </cell>
          <cell r="H49">
            <v>3918630</v>
          </cell>
          <cell r="I49">
            <v>4071411</v>
          </cell>
          <cell r="J49">
            <v>4226843</v>
          </cell>
          <cell r="K49">
            <v>4383723</v>
          </cell>
          <cell r="L49">
            <v>4544168</v>
          </cell>
          <cell r="M49">
            <v>4713134</v>
          </cell>
          <cell r="N49">
            <v>4897470</v>
          </cell>
          <cell r="O49">
            <v>5102070</v>
          </cell>
          <cell r="P49">
            <v>5328735</v>
          </cell>
          <cell r="Q49">
            <v>5576026</v>
          </cell>
          <cell r="R49">
            <v>5841513</v>
          </cell>
          <cell r="S49">
            <v>6121295</v>
          </cell>
          <cell r="T49">
            <v>6412409</v>
          </cell>
          <cell r="U49">
            <v>6713949</v>
          </cell>
          <cell r="V49">
            <v>7026497</v>
          </cell>
          <cell r="W49">
            <v>7350269</v>
          </cell>
          <cell r="X49">
            <v>7685927</v>
          </cell>
          <cell r="Y49">
            <v>8033652</v>
          </cell>
          <cell r="Z49">
            <v>8393689</v>
          </cell>
          <cell r="AA49">
            <v>8764991</v>
          </cell>
          <cell r="AB49">
            <v>9144940</v>
          </cell>
          <cell r="AC49">
            <v>9530103</v>
          </cell>
          <cell r="AD49">
            <v>9918204</v>
          </cell>
          <cell r="AE49">
            <v>10307268</v>
          </cell>
          <cell r="AF49">
            <v>10698188</v>
          </cell>
          <cell r="AG49">
            <v>11094740</v>
          </cell>
          <cell r="AH49">
            <v>11502453</v>
          </cell>
          <cell r="AI49">
            <v>11924873</v>
          </cell>
          <cell r="AJ49">
            <v>12362404</v>
          </cell>
          <cell r="AK49">
            <v>12812428</v>
          </cell>
          <cell r="AL49">
            <v>13271638</v>
          </cell>
          <cell r="AM49">
            <v>13735438</v>
          </cell>
          <cell r="AN49">
            <v>14199759</v>
          </cell>
          <cell r="AO49">
            <v>14665125</v>
          </cell>
          <cell r="AP49">
            <v>15130674</v>
          </cell>
          <cell r="AQ49">
            <v>15589407</v>
          </cell>
          <cell r="AR49">
            <v>16032573</v>
          </cell>
          <cell r="AS49">
            <v>16454660</v>
          </cell>
          <cell r="AT49">
            <v>16853027</v>
          </cell>
          <cell r="AU49">
            <v>17231539</v>
          </cell>
          <cell r="AV49">
            <v>17599613</v>
          </cell>
          <cell r="AW49">
            <v>17970493</v>
          </cell>
          <cell r="AX49">
            <v>18354513</v>
          </cell>
          <cell r="AY49">
            <v>18754914</v>
          </cell>
          <cell r="AZ49">
            <v>19171250</v>
          </cell>
          <cell r="BA49">
            <v>19605568</v>
          </cell>
          <cell r="BB49">
            <v>20059147</v>
          </cell>
          <cell r="BC49">
            <v>20532944</v>
          </cell>
          <cell r="BD49">
            <v>21028652</v>
          </cell>
          <cell r="BE49">
            <v>21547188</v>
          </cell>
          <cell r="BF49">
            <v>22087506</v>
          </cell>
          <cell r="BG49">
            <v>22647672</v>
          </cell>
          <cell r="BH49">
            <v>23226148</v>
          </cell>
          <cell r="BI49">
            <v>23822726</v>
          </cell>
          <cell r="BJ49">
            <v>24437475</v>
          </cell>
          <cell r="BK49">
            <v>25069226</v>
          </cell>
          <cell r="BL49">
            <v>25716554</v>
          </cell>
          <cell r="BM49">
            <v>26378275</v>
          </cell>
          <cell r="BN49">
            <v>26378275</v>
          </cell>
        </row>
        <row r="50">
          <cell r="B50" t="str">
            <v>HRV</v>
          </cell>
          <cell r="C50" t="str">
            <v>Population, total</v>
          </cell>
          <cell r="D50" t="str">
            <v>SP.POP.TOTL</v>
          </cell>
          <cell r="E50">
            <v>4140181</v>
          </cell>
          <cell r="F50">
            <v>4167292</v>
          </cell>
          <cell r="G50">
            <v>4196712</v>
          </cell>
          <cell r="H50">
            <v>4225675</v>
          </cell>
          <cell r="I50">
            <v>4252876</v>
          </cell>
          <cell r="J50">
            <v>4280923</v>
          </cell>
          <cell r="K50">
            <v>4310701</v>
          </cell>
          <cell r="L50">
            <v>4338683</v>
          </cell>
          <cell r="M50">
            <v>4365628</v>
          </cell>
          <cell r="N50">
            <v>4391490</v>
          </cell>
          <cell r="O50">
            <v>4412252</v>
          </cell>
          <cell r="P50">
            <v>4431275</v>
          </cell>
          <cell r="Q50">
            <v>4450564</v>
          </cell>
          <cell r="R50">
            <v>4470161</v>
          </cell>
          <cell r="S50">
            <v>4490660</v>
          </cell>
          <cell r="T50">
            <v>4512082</v>
          </cell>
          <cell r="U50">
            <v>4535934</v>
          </cell>
          <cell r="V50">
            <v>4559571</v>
          </cell>
          <cell r="W50">
            <v>4581085</v>
          </cell>
          <cell r="X50">
            <v>4594778</v>
          </cell>
          <cell r="Y50">
            <v>4599782</v>
          </cell>
          <cell r="Z50">
            <v>4611509</v>
          </cell>
          <cell r="AA50">
            <v>4634234</v>
          </cell>
          <cell r="AB50">
            <v>4658254</v>
          </cell>
          <cell r="AC50">
            <v>4680285</v>
          </cell>
          <cell r="AD50">
            <v>4701417</v>
          </cell>
          <cell r="AE50">
            <v>4721446</v>
          </cell>
          <cell r="AF50">
            <v>4739745</v>
          </cell>
          <cell r="AG50">
            <v>4755207</v>
          </cell>
          <cell r="AH50">
            <v>4767260</v>
          </cell>
          <cell r="AI50">
            <v>4777368</v>
          </cell>
          <cell r="AJ50">
            <v>4689022</v>
          </cell>
          <cell r="AK50">
            <v>4575818</v>
          </cell>
          <cell r="AL50">
            <v>4600463</v>
          </cell>
          <cell r="AM50">
            <v>4652024</v>
          </cell>
          <cell r="AN50">
            <v>4620030</v>
          </cell>
          <cell r="AO50">
            <v>4557097</v>
          </cell>
          <cell r="AP50">
            <v>4534920</v>
          </cell>
          <cell r="AQ50">
            <v>4532135</v>
          </cell>
          <cell r="AR50">
            <v>4512597</v>
          </cell>
          <cell r="AS50">
            <v>4468302</v>
          </cell>
          <cell r="AT50">
            <v>4299642</v>
          </cell>
          <cell r="AU50">
            <v>4302174</v>
          </cell>
          <cell r="AV50">
            <v>4303399</v>
          </cell>
          <cell r="AW50">
            <v>4304600</v>
          </cell>
          <cell r="AX50">
            <v>4310145</v>
          </cell>
          <cell r="AY50">
            <v>4311159</v>
          </cell>
          <cell r="AZ50">
            <v>4310217</v>
          </cell>
          <cell r="BA50">
            <v>4309705</v>
          </cell>
          <cell r="BB50">
            <v>4305181</v>
          </cell>
          <cell r="BC50">
            <v>4295427</v>
          </cell>
          <cell r="BD50">
            <v>4280622</v>
          </cell>
          <cell r="BE50">
            <v>4267558</v>
          </cell>
          <cell r="BF50">
            <v>4255689</v>
          </cell>
          <cell r="BG50">
            <v>4238389</v>
          </cell>
          <cell r="BH50">
            <v>4203604</v>
          </cell>
          <cell r="BI50">
            <v>4174349</v>
          </cell>
          <cell r="BJ50">
            <v>4124531</v>
          </cell>
          <cell r="BK50">
            <v>4087843</v>
          </cell>
          <cell r="BL50">
            <v>4065253</v>
          </cell>
          <cell r="BM50">
            <v>4047200</v>
          </cell>
          <cell r="BN50">
            <v>4047200</v>
          </cell>
        </row>
        <row r="51">
          <cell r="B51" t="str">
            <v>CUB</v>
          </cell>
          <cell r="C51" t="str">
            <v>Population, total</v>
          </cell>
          <cell r="D51" t="str">
            <v>SP.POP.TOTL</v>
          </cell>
          <cell r="E51">
            <v>7141241</v>
          </cell>
          <cell r="F51">
            <v>7291201</v>
          </cell>
          <cell r="G51">
            <v>7453535</v>
          </cell>
          <cell r="H51">
            <v>7623300</v>
          </cell>
          <cell r="I51">
            <v>7793258</v>
          </cell>
          <cell r="J51">
            <v>7958171</v>
          </cell>
          <cell r="K51">
            <v>8115487</v>
          </cell>
          <cell r="L51">
            <v>8266373</v>
          </cell>
          <cell r="M51">
            <v>8413549</v>
          </cell>
          <cell r="N51">
            <v>8561391</v>
          </cell>
          <cell r="O51">
            <v>8712535</v>
          </cell>
          <cell r="P51">
            <v>8868087</v>
          </cell>
          <cell r="Q51">
            <v>9025347</v>
          </cell>
          <cell r="R51">
            <v>9178809</v>
          </cell>
          <cell r="S51">
            <v>9320943</v>
          </cell>
          <cell r="T51">
            <v>9446441</v>
          </cell>
          <cell r="U51">
            <v>9554186</v>
          </cell>
          <cell r="V51">
            <v>9646142</v>
          </cell>
          <cell r="W51">
            <v>9724044</v>
          </cell>
          <cell r="X51">
            <v>9790850</v>
          </cell>
          <cell r="Y51">
            <v>9849457</v>
          </cell>
          <cell r="Z51">
            <v>9898891</v>
          </cell>
          <cell r="AA51">
            <v>9940314</v>
          </cell>
          <cell r="AB51">
            <v>9981303</v>
          </cell>
          <cell r="AC51">
            <v>10031651</v>
          </cell>
          <cell r="AD51">
            <v>10097910</v>
          </cell>
          <cell r="AE51">
            <v>10183894</v>
          </cell>
          <cell r="AF51">
            <v>10286645</v>
          </cell>
          <cell r="AG51">
            <v>10397519</v>
          </cell>
          <cell r="AH51">
            <v>10503967</v>
          </cell>
          <cell r="AI51">
            <v>10596986</v>
          </cell>
          <cell r="AJ51">
            <v>10673534</v>
          </cell>
          <cell r="AK51">
            <v>10736386</v>
          </cell>
          <cell r="AL51">
            <v>10789312</v>
          </cell>
          <cell r="AM51">
            <v>10838461</v>
          </cell>
          <cell r="AN51">
            <v>10888246</v>
          </cell>
          <cell r="AO51">
            <v>10939285</v>
          </cell>
          <cell r="AP51">
            <v>10989730</v>
          </cell>
          <cell r="AQ51">
            <v>11038706</v>
          </cell>
          <cell r="AR51">
            <v>11084673</v>
          </cell>
          <cell r="AS51">
            <v>11126423</v>
          </cell>
          <cell r="AT51">
            <v>11164676</v>
          </cell>
          <cell r="AU51">
            <v>11199664</v>
          </cell>
          <cell r="AV51">
            <v>11229185</v>
          </cell>
          <cell r="AW51">
            <v>11250369</v>
          </cell>
          <cell r="AX51">
            <v>11261586</v>
          </cell>
          <cell r="AY51">
            <v>11261241</v>
          </cell>
          <cell r="AZ51">
            <v>11251117</v>
          </cell>
          <cell r="BA51">
            <v>11236975</v>
          </cell>
          <cell r="BB51">
            <v>11226711</v>
          </cell>
          <cell r="BC51">
            <v>11225833</v>
          </cell>
          <cell r="BD51">
            <v>11236671</v>
          </cell>
          <cell r="BE51">
            <v>11257112</v>
          </cell>
          <cell r="BF51">
            <v>11282722</v>
          </cell>
          <cell r="BG51">
            <v>11306909</v>
          </cell>
          <cell r="BH51">
            <v>11324777</v>
          </cell>
          <cell r="BI51">
            <v>11335108</v>
          </cell>
          <cell r="BJ51">
            <v>11339255</v>
          </cell>
          <cell r="BK51">
            <v>11338146</v>
          </cell>
          <cell r="BL51">
            <v>11333484</v>
          </cell>
          <cell r="BM51">
            <v>11326616</v>
          </cell>
          <cell r="BN51">
            <v>11326616</v>
          </cell>
        </row>
        <row r="52">
          <cell r="B52" t="str">
            <v>CUW</v>
          </cell>
          <cell r="C52" t="str">
            <v>Population, total</v>
          </cell>
          <cell r="D52" t="str">
            <v>SP.POP.TOTL</v>
          </cell>
          <cell r="E52">
            <v>124826</v>
          </cell>
          <cell r="F52">
            <v>126125</v>
          </cell>
          <cell r="G52">
            <v>128414</v>
          </cell>
          <cell r="H52">
            <v>130860</v>
          </cell>
          <cell r="I52">
            <v>133148</v>
          </cell>
          <cell r="J52">
            <v>135266</v>
          </cell>
          <cell r="K52">
            <v>136682</v>
          </cell>
          <cell r="L52">
            <v>138140</v>
          </cell>
          <cell r="M52">
            <v>140298</v>
          </cell>
          <cell r="N52">
            <v>142581</v>
          </cell>
          <cell r="O52">
            <v>144739</v>
          </cell>
          <cell r="P52">
            <v>147389</v>
          </cell>
          <cell r="Q52">
            <v>147710</v>
          </cell>
          <cell r="R52">
            <v>146912</v>
          </cell>
          <cell r="S52">
            <v>148351</v>
          </cell>
          <cell r="T52">
            <v>149129</v>
          </cell>
          <cell r="U52">
            <v>149399</v>
          </cell>
          <cell r="V52">
            <v>149459</v>
          </cell>
          <cell r="W52">
            <v>148341</v>
          </cell>
          <cell r="X52">
            <v>147851</v>
          </cell>
          <cell r="Y52">
            <v>148041</v>
          </cell>
          <cell r="Z52">
            <v>148629</v>
          </cell>
          <cell r="AA52">
            <v>150101</v>
          </cell>
          <cell r="AB52">
            <v>151159</v>
          </cell>
          <cell r="AC52">
            <v>151940</v>
          </cell>
          <cell r="AD52">
            <v>152711</v>
          </cell>
          <cell r="AE52">
            <v>152662</v>
          </cell>
          <cell r="AF52">
            <v>151456</v>
          </cell>
          <cell r="AG52">
            <v>149254</v>
          </cell>
          <cell r="AH52">
            <v>146937</v>
          </cell>
          <cell r="AI52">
            <v>145400</v>
          </cell>
          <cell r="AJ52">
            <v>144403</v>
          </cell>
          <cell r="AK52">
            <v>143912</v>
          </cell>
          <cell r="AL52">
            <v>144299</v>
          </cell>
          <cell r="AM52">
            <v>144630</v>
          </cell>
          <cell r="AN52">
            <v>145139</v>
          </cell>
          <cell r="AO52">
            <v>146306</v>
          </cell>
          <cell r="AP52">
            <v>146956</v>
          </cell>
          <cell r="AQ52">
            <v>144472</v>
          </cell>
          <cell r="AR52">
            <v>139428</v>
          </cell>
          <cell r="AS52">
            <v>133860</v>
          </cell>
          <cell r="AT52">
            <v>129047</v>
          </cell>
          <cell r="AU52">
            <v>129205</v>
          </cell>
          <cell r="AV52">
            <v>131897</v>
          </cell>
          <cell r="AW52">
            <v>134192</v>
          </cell>
          <cell r="AX52">
            <v>137658</v>
          </cell>
          <cell r="AY52">
            <v>141239</v>
          </cell>
          <cell r="AZ52">
            <v>144056</v>
          </cell>
          <cell r="BA52">
            <v>145880</v>
          </cell>
          <cell r="BB52">
            <v>146833</v>
          </cell>
          <cell r="BC52">
            <v>148703</v>
          </cell>
          <cell r="BD52">
            <v>150831</v>
          </cell>
          <cell r="BE52">
            <v>152088</v>
          </cell>
          <cell r="BF52">
            <v>153822</v>
          </cell>
          <cell r="BG52">
            <v>155909</v>
          </cell>
          <cell r="BH52">
            <v>157980</v>
          </cell>
          <cell r="BI52">
            <v>159664</v>
          </cell>
          <cell r="BJ52">
            <v>160175</v>
          </cell>
          <cell r="BK52">
            <v>159336</v>
          </cell>
          <cell r="BL52">
            <v>157441</v>
          </cell>
          <cell r="BM52">
            <v>155014</v>
          </cell>
          <cell r="BN52">
            <v>155014</v>
          </cell>
        </row>
        <row r="53">
          <cell r="B53" t="str">
            <v>CYP</v>
          </cell>
          <cell r="C53" t="str">
            <v>Population, total</v>
          </cell>
          <cell r="D53" t="str">
            <v>SP.POP.TOTL</v>
          </cell>
          <cell r="E53">
            <v>572933</v>
          </cell>
          <cell r="F53">
            <v>576402</v>
          </cell>
          <cell r="G53">
            <v>577696</v>
          </cell>
          <cell r="H53">
            <v>577918</v>
          </cell>
          <cell r="I53">
            <v>578628</v>
          </cell>
          <cell r="J53">
            <v>580972</v>
          </cell>
          <cell r="K53">
            <v>585313</v>
          </cell>
          <cell r="L53">
            <v>591301</v>
          </cell>
          <cell r="M53">
            <v>598495</v>
          </cell>
          <cell r="N53">
            <v>606121</v>
          </cell>
          <cell r="O53">
            <v>613618</v>
          </cell>
          <cell r="P53">
            <v>620860</v>
          </cell>
          <cell r="Q53">
            <v>628002</v>
          </cell>
          <cell r="R53">
            <v>635105</v>
          </cell>
          <cell r="S53">
            <v>642322</v>
          </cell>
          <cell r="T53">
            <v>649753</v>
          </cell>
          <cell r="U53">
            <v>657524</v>
          </cell>
          <cell r="V53">
            <v>665521</v>
          </cell>
          <cell r="W53">
            <v>673253</v>
          </cell>
          <cell r="X53">
            <v>680010</v>
          </cell>
          <cell r="Y53">
            <v>685408</v>
          </cell>
          <cell r="Z53">
            <v>689170</v>
          </cell>
          <cell r="AA53">
            <v>691716</v>
          </cell>
          <cell r="AB53">
            <v>694076</v>
          </cell>
          <cell r="AC53">
            <v>697715</v>
          </cell>
          <cell r="AD53">
            <v>703694</v>
          </cell>
          <cell r="AE53">
            <v>712335</v>
          </cell>
          <cell r="AF53">
            <v>723384</v>
          </cell>
          <cell r="AG53">
            <v>736476</v>
          </cell>
          <cell r="AH53">
            <v>751043</v>
          </cell>
          <cell r="AI53">
            <v>766616</v>
          </cell>
          <cell r="AJ53">
            <v>783121</v>
          </cell>
          <cell r="AK53">
            <v>800610</v>
          </cell>
          <cell r="AL53">
            <v>818750</v>
          </cell>
          <cell r="AM53">
            <v>837104</v>
          </cell>
          <cell r="AN53">
            <v>855391</v>
          </cell>
          <cell r="AO53">
            <v>873426</v>
          </cell>
          <cell r="AP53">
            <v>891190</v>
          </cell>
          <cell r="AQ53">
            <v>908710</v>
          </cell>
          <cell r="AR53">
            <v>926049</v>
          </cell>
          <cell r="AS53">
            <v>943288</v>
          </cell>
          <cell r="AT53">
            <v>960274</v>
          </cell>
          <cell r="AU53">
            <v>976968</v>
          </cell>
          <cell r="AV53">
            <v>993562</v>
          </cell>
          <cell r="AW53">
            <v>1010410</v>
          </cell>
          <cell r="AX53">
            <v>1027657</v>
          </cell>
          <cell r="AY53">
            <v>1045508</v>
          </cell>
          <cell r="AZ53">
            <v>1063708</v>
          </cell>
          <cell r="BA53">
            <v>1081568</v>
          </cell>
          <cell r="BB53">
            <v>1098089</v>
          </cell>
          <cell r="BC53">
            <v>1112617</v>
          </cell>
          <cell r="BD53">
            <v>1124837</v>
          </cell>
          <cell r="BE53">
            <v>1135046</v>
          </cell>
          <cell r="BF53">
            <v>1143866</v>
          </cell>
          <cell r="BG53">
            <v>1152297</v>
          </cell>
          <cell r="BH53">
            <v>1160987</v>
          </cell>
          <cell r="BI53">
            <v>1170189</v>
          </cell>
          <cell r="BJ53">
            <v>1179685</v>
          </cell>
          <cell r="BK53">
            <v>1189262</v>
          </cell>
          <cell r="BL53">
            <v>1198574</v>
          </cell>
          <cell r="BM53">
            <v>1207361</v>
          </cell>
          <cell r="BN53">
            <v>1207361</v>
          </cell>
        </row>
        <row r="54">
          <cell r="B54" t="str">
            <v>CZE</v>
          </cell>
          <cell r="C54" t="str">
            <v>Population, total</v>
          </cell>
          <cell r="D54" t="str">
            <v>SP.POP.TOTL</v>
          </cell>
          <cell r="E54">
            <v>9602006</v>
          </cell>
          <cell r="F54">
            <v>9586651</v>
          </cell>
          <cell r="G54">
            <v>9624660</v>
          </cell>
          <cell r="H54">
            <v>9670685</v>
          </cell>
          <cell r="I54">
            <v>9727804</v>
          </cell>
          <cell r="J54">
            <v>9779358</v>
          </cell>
          <cell r="K54">
            <v>9821040</v>
          </cell>
          <cell r="L54">
            <v>9852899</v>
          </cell>
          <cell r="M54">
            <v>9876346</v>
          </cell>
          <cell r="N54">
            <v>9896580</v>
          </cell>
          <cell r="O54">
            <v>9858071</v>
          </cell>
          <cell r="P54">
            <v>9826815</v>
          </cell>
          <cell r="Q54">
            <v>9867632</v>
          </cell>
          <cell r="R54">
            <v>9922266</v>
          </cell>
          <cell r="S54">
            <v>9988459</v>
          </cell>
          <cell r="T54">
            <v>10058620</v>
          </cell>
          <cell r="U54">
            <v>10125939</v>
          </cell>
          <cell r="V54">
            <v>10186755</v>
          </cell>
          <cell r="W54">
            <v>10242098</v>
          </cell>
          <cell r="X54">
            <v>10292341</v>
          </cell>
          <cell r="Y54">
            <v>10304193</v>
          </cell>
          <cell r="Z54">
            <v>10300591</v>
          </cell>
          <cell r="AA54">
            <v>10314826</v>
          </cell>
          <cell r="AB54">
            <v>10323856</v>
          </cell>
          <cell r="AC54">
            <v>10330213</v>
          </cell>
          <cell r="AD54">
            <v>10337118</v>
          </cell>
          <cell r="AE54">
            <v>10342227</v>
          </cell>
          <cell r="AF54">
            <v>10347318</v>
          </cell>
          <cell r="AG54">
            <v>10355276</v>
          </cell>
          <cell r="AH54">
            <v>10361068</v>
          </cell>
          <cell r="AI54">
            <v>10333355</v>
          </cell>
          <cell r="AJ54">
            <v>10308578</v>
          </cell>
          <cell r="AK54">
            <v>10319123</v>
          </cell>
          <cell r="AL54">
            <v>10329855</v>
          </cell>
          <cell r="AM54">
            <v>10333587</v>
          </cell>
          <cell r="AN54">
            <v>10327253</v>
          </cell>
          <cell r="AO54">
            <v>10315241</v>
          </cell>
          <cell r="AP54">
            <v>10304131</v>
          </cell>
          <cell r="AQ54">
            <v>10294373</v>
          </cell>
          <cell r="AR54">
            <v>10283860</v>
          </cell>
          <cell r="AS54">
            <v>10255063</v>
          </cell>
          <cell r="AT54">
            <v>10216605</v>
          </cell>
          <cell r="AU54">
            <v>10196916</v>
          </cell>
          <cell r="AV54">
            <v>10193998</v>
          </cell>
          <cell r="AW54">
            <v>10197101</v>
          </cell>
          <cell r="AX54">
            <v>10211216</v>
          </cell>
          <cell r="AY54">
            <v>10238905</v>
          </cell>
          <cell r="AZ54">
            <v>10298828</v>
          </cell>
          <cell r="BA54">
            <v>10384603</v>
          </cell>
          <cell r="BB54">
            <v>10443936</v>
          </cell>
          <cell r="BC54">
            <v>10474410</v>
          </cell>
          <cell r="BD54">
            <v>10496088</v>
          </cell>
          <cell r="BE54">
            <v>10510785</v>
          </cell>
          <cell r="BF54">
            <v>10514272</v>
          </cell>
          <cell r="BG54">
            <v>10525347</v>
          </cell>
          <cell r="BH54">
            <v>10546059</v>
          </cell>
          <cell r="BI54">
            <v>10566332</v>
          </cell>
          <cell r="BJ54">
            <v>10594438</v>
          </cell>
          <cell r="BK54">
            <v>10629928</v>
          </cell>
          <cell r="BL54">
            <v>10671870</v>
          </cell>
          <cell r="BM54">
            <v>10698896</v>
          </cell>
          <cell r="BN54">
            <v>10698896</v>
          </cell>
        </row>
        <row r="55">
          <cell r="B55" t="str">
            <v>DNK</v>
          </cell>
          <cell r="C55" t="str">
            <v>Population, total</v>
          </cell>
          <cell r="D55" t="str">
            <v>SP.POP.TOTL</v>
          </cell>
          <cell r="E55">
            <v>4579603</v>
          </cell>
          <cell r="F55">
            <v>4611687</v>
          </cell>
          <cell r="G55">
            <v>4647727</v>
          </cell>
          <cell r="H55">
            <v>4684483</v>
          </cell>
          <cell r="I55">
            <v>4722072</v>
          </cell>
          <cell r="J55">
            <v>4759012</v>
          </cell>
          <cell r="K55">
            <v>4797381</v>
          </cell>
          <cell r="L55">
            <v>4835354</v>
          </cell>
          <cell r="M55">
            <v>4864883</v>
          </cell>
          <cell r="N55">
            <v>4891860</v>
          </cell>
          <cell r="O55">
            <v>4928757</v>
          </cell>
          <cell r="P55">
            <v>4963126</v>
          </cell>
          <cell r="Q55">
            <v>4991596</v>
          </cell>
          <cell r="R55">
            <v>5021861</v>
          </cell>
          <cell r="S55">
            <v>5045297</v>
          </cell>
          <cell r="T55">
            <v>5059862</v>
          </cell>
          <cell r="U55">
            <v>5072596</v>
          </cell>
          <cell r="V55">
            <v>5088419</v>
          </cell>
          <cell r="W55">
            <v>5104248</v>
          </cell>
          <cell r="X55">
            <v>5116801</v>
          </cell>
          <cell r="Y55">
            <v>5123027</v>
          </cell>
          <cell r="Z55">
            <v>5121572</v>
          </cell>
          <cell r="AA55">
            <v>5117810</v>
          </cell>
          <cell r="AB55">
            <v>5114297</v>
          </cell>
          <cell r="AC55">
            <v>5111619</v>
          </cell>
          <cell r="AD55">
            <v>5113691</v>
          </cell>
          <cell r="AE55">
            <v>5120534</v>
          </cell>
          <cell r="AF55">
            <v>5127024</v>
          </cell>
          <cell r="AG55">
            <v>5129516</v>
          </cell>
          <cell r="AH55">
            <v>5132594</v>
          </cell>
          <cell r="AI55">
            <v>5140939</v>
          </cell>
          <cell r="AJ55">
            <v>5154298</v>
          </cell>
          <cell r="AK55">
            <v>5171370</v>
          </cell>
          <cell r="AL55">
            <v>5188628</v>
          </cell>
          <cell r="AM55">
            <v>5206180</v>
          </cell>
          <cell r="AN55">
            <v>5233373</v>
          </cell>
          <cell r="AO55">
            <v>5263074</v>
          </cell>
          <cell r="AP55">
            <v>5284991</v>
          </cell>
          <cell r="AQ55">
            <v>5304219</v>
          </cell>
          <cell r="AR55">
            <v>5321799</v>
          </cell>
          <cell r="AS55">
            <v>5339616</v>
          </cell>
          <cell r="AT55">
            <v>5358783</v>
          </cell>
          <cell r="AU55">
            <v>5375931</v>
          </cell>
          <cell r="AV55">
            <v>5390574</v>
          </cell>
          <cell r="AW55">
            <v>5404523</v>
          </cell>
          <cell r="AX55">
            <v>5419432</v>
          </cell>
          <cell r="AY55">
            <v>5437272</v>
          </cell>
          <cell r="AZ55">
            <v>5461438</v>
          </cell>
          <cell r="BA55">
            <v>5493621</v>
          </cell>
          <cell r="BB55">
            <v>5523095</v>
          </cell>
          <cell r="BC55">
            <v>5547683</v>
          </cell>
          <cell r="BD55">
            <v>5570572</v>
          </cell>
          <cell r="BE55">
            <v>5591572</v>
          </cell>
          <cell r="BF55">
            <v>5614932</v>
          </cell>
          <cell r="BG55">
            <v>5643475</v>
          </cell>
          <cell r="BH55">
            <v>5683483</v>
          </cell>
          <cell r="BI55">
            <v>5728010</v>
          </cell>
          <cell r="BJ55">
            <v>5764980</v>
          </cell>
          <cell r="BK55">
            <v>5793636</v>
          </cell>
          <cell r="BL55">
            <v>5814422</v>
          </cell>
          <cell r="BM55">
            <v>5831404</v>
          </cell>
          <cell r="BN55">
            <v>5831404</v>
          </cell>
        </row>
        <row r="56">
          <cell r="B56" t="str">
            <v>DJI</v>
          </cell>
          <cell r="C56" t="str">
            <v>Population, total</v>
          </cell>
          <cell r="D56" t="str">
            <v>SP.POP.TOTL</v>
          </cell>
          <cell r="E56">
            <v>83634</v>
          </cell>
          <cell r="F56">
            <v>88503</v>
          </cell>
          <cell r="G56">
            <v>94203</v>
          </cell>
          <cell r="H56">
            <v>100618</v>
          </cell>
          <cell r="I56">
            <v>107582</v>
          </cell>
          <cell r="J56">
            <v>114976</v>
          </cell>
          <cell r="K56">
            <v>122876</v>
          </cell>
          <cell r="L56">
            <v>131405</v>
          </cell>
          <cell r="M56">
            <v>140462</v>
          </cell>
          <cell r="N56">
            <v>149889</v>
          </cell>
          <cell r="O56">
            <v>159662</v>
          </cell>
          <cell r="P56">
            <v>169372</v>
          </cell>
          <cell r="Q56">
            <v>179237</v>
          </cell>
          <cell r="R56">
            <v>190569</v>
          </cell>
          <cell r="S56">
            <v>205180</v>
          </cell>
          <cell r="T56">
            <v>224177</v>
          </cell>
          <cell r="U56">
            <v>248556</v>
          </cell>
          <cell r="V56">
            <v>277472</v>
          </cell>
          <cell r="W56">
            <v>308008</v>
          </cell>
          <cell r="X56">
            <v>336080</v>
          </cell>
          <cell r="Y56">
            <v>358960</v>
          </cell>
          <cell r="Z56">
            <v>374934</v>
          </cell>
          <cell r="AA56">
            <v>385268</v>
          </cell>
          <cell r="AB56">
            <v>393800</v>
          </cell>
          <cell r="AC56">
            <v>406018</v>
          </cell>
          <cell r="AD56">
            <v>425608</v>
          </cell>
          <cell r="AE56">
            <v>454359</v>
          </cell>
          <cell r="AF56">
            <v>490337</v>
          </cell>
          <cell r="AG56">
            <v>528993</v>
          </cell>
          <cell r="AH56">
            <v>563855</v>
          </cell>
          <cell r="AI56">
            <v>590393</v>
          </cell>
          <cell r="AJ56">
            <v>606843</v>
          </cell>
          <cell r="AK56">
            <v>615050</v>
          </cell>
          <cell r="AL56">
            <v>618504</v>
          </cell>
          <cell r="AM56">
            <v>622364</v>
          </cell>
          <cell r="AN56">
            <v>630385</v>
          </cell>
          <cell r="AO56">
            <v>643649</v>
          </cell>
          <cell r="AP56">
            <v>660858</v>
          </cell>
          <cell r="AQ56">
            <v>680465</v>
          </cell>
          <cell r="AR56">
            <v>699973</v>
          </cell>
          <cell r="AS56">
            <v>717577</v>
          </cell>
          <cell r="AT56">
            <v>733019</v>
          </cell>
          <cell r="AU56">
            <v>746947</v>
          </cell>
          <cell r="AV56">
            <v>759639</v>
          </cell>
          <cell r="AW56">
            <v>771599</v>
          </cell>
          <cell r="AX56">
            <v>783248</v>
          </cell>
          <cell r="AY56">
            <v>794554</v>
          </cell>
          <cell r="AZ56">
            <v>805456</v>
          </cell>
          <cell r="BA56">
            <v>816361</v>
          </cell>
          <cell r="BB56">
            <v>827820</v>
          </cell>
          <cell r="BC56">
            <v>840194</v>
          </cell>
          <cell r="BD56">
            <v>853671</v>
          </cell>
          <cell r="BE56">
            <v>868136</v>
          </cell>
          <cell r="BF56">
            <v>883296</v>
          </cell>
          <cell r="BG56">
            <v>898707</v>
          </cell>
          <cell r="BH56">
            <v>913998</v>
          </cell>
          <cell r="BI56">
            <v>929117</v>
          </cell>
          <cell r="BJ56">
            <v>944100</v>
          </cell>
          <cell r="BK56">
            <v>958923</v>
          </cell>
          <cell r="BL56">
            <v>973557</v>
          </cell>
          <cell r="BM56">
            <v>988002</v>
          </cell>
          <cell r="BN56">
            <v>988002</v>
          </cell>
        </row>
        <row r="57">
          <cell r="B57" t="str">
            <v>DMA</v>
          </cell>
          <cell r="C57" t="str">
            <v>Population, total</v>
          </cell>
          <cell r="D57" t="str">
            <v>SP.POP.TOTL</v>
          </cell>
          <cell r="E57">
            <v>60020</v>
          </cell>
          <cell r="F57">
            <v>61036</v>
          </cell>
          <cell r="G57">
            <v>61978</v>
          </cell>
          <cell r="H57">
            <v>62917</v>
          </cell>
          <cell r="I57">
            <v>63921</v>
          </cell>
          <cell r="J57">
            <v>65044</v>
          </cell>
          <cell r="K57">
            <v>66300</v>
          </cell>
          <cell r="L57">
            <v>67687</v>
          </cell>
          <cell r="M57">
            <v>69034</v>
          </cell>
          <cell r="N57">
            <v>70214</v>
          </cell>
          <cell r="O57">
            <v>71084</v>
          </cell>
          <cell r="P57">
            <v>71569</v>
          </cell>
          <cell r="Q57">
            <v>71731</v>
          </cell>
          <cell r="R57">
            <v>71739</v>
          </cell>
          <cell r="S57">
            <v>71814</v>
          </cell>
          <cell r="T57">
            <v>72088</v>
          </cell>
          <cell r="U57">
            <v>72662</v>
          </cell>
          <cell r="V57">
            <v>73443</v>
          </cell>
          <cell r="W57">
            <v>74280</v>
          </cell>
          <cell r="X57">
            <v>74960</v>
          </cell>
          <cell r="Y57">
            <v>75318</v>
          </cell>
          <cell r="Z57">
            <v>75314</v>
          </cell>
          <cell r="AA57">
            <v>75012</v>
          </cell>
          <cell r="AB57">
            <v>74484</v>
          </cell>
          <cell r="AC57">
            <v>73846</v>
          </cell>
          <cell r="AD57">
            <v>73207</v>
          </cell>
          <cell r="AE57">
            <v>72531</v>
          </cell>
          <cell r="AF57">
            <v>71842</v>
          </cell>
          <cell r="AG57">
            <v>71212</v>
          </cell>
          <cell r="AH57">
            <v>70722</v>
          </cell>
          <cell r="AI57">
            <v>70422</v>
          </cell>
          <cell r="AJ57">
            <v>70377</v>
          </cell>
          <cell r="AK57">
            <v>70546</v>
          </cell>
          <cell r="AL57">
            <v>70818</v>
          </cell>
          <cell r="AM57">
            <v>71044</v>
          </cell>
          <cell r="AN57">
            <v>71105</v>
          </cell>
          <cell r="AO57">
            <v>70933</v>
          </cell>
          <cell r="AP57">
            <v>70592</v>
          </cell>
          <cell r="AQ57">
            <v>70183</v>
          </cell>
          <cell r="AR57">
            <v>69828</v>
          </cell>
          <cell r="AS57">
            <v>69650</v>
          </cell>
          <cell r="AT57">
            <v>69671</v>
          </cell>
          <cell r="AU57">
            <v>69840</v>
          </cell>
          <cell r="AV57">
            <v>70102</v>
          </cell>
          <cell r="AW57">
            <v>70387</v>
          </cell>
          <cell r="AX57">
            <v>70580</v>
          </cell>
          <cell r="AY57">
            <v>70718</v>
          </cell>
          <cell r="AZ57">
            <v>70797</v>
          </cell>
          <cell r="BA57">
            <v>70829</v>
          </cell>
          <cell r="BB57">
            <v>70848</v>
          </cell>
          <cell r="BC57">
            <v>70877</v>
          </cell>
          <cell r="BD57">
            <v>70912</v>
          </cell>
          <cell r="BE57">
            <v>70954</v>
          </cell>
          <cell r="BF57">
            <v>71019</v>
          </cell>
          <cell r="BG57">
            <v>71091</v>
          </cell>
          <cell r="BH57">
            <v>71175</v>
          </cell>
          <cell r="BI57">
            <v>71307</v>
          </cell>
          <cell r="BJ57">
            <v>71460</v>
          </cell>
          <cell r="BK57">
            <v>71626</v>
          </cell>
          <cell r="BL57">
            <v>71808</v>
          </cell>
          <cell r="BM57">
            <v>71991</v>
          </cell>
          <cell r="BN57">
            <v>71991</v>
          </cell>
        </row>
        <row r="58">
          <cell r="B58" t="str">
            <v>DOM</v>
          </cell>
          <cell r="C58" t="str">
            <v>Population, total</v>
          </cell>
          <cell r="D58" t="str">
            <v>SP.POP.TOTL</v>
          </cell>
          <cell r="E58">
            <v>3294222</v>
          </cell>
          <cell r="F58">
            <v>3406282</v>
          </cell>
          <cell r="G58">
            <v>3521018</v>
          </cell>
          <cell r="H58">
            <v>3638110</v>
          </cell>
          <cell r="I58">
            <v>3757123</v>
          </cell>
          <cell r="J58">
            <v>3877768</v>
          </cell>
          <cell r="K58">
            <v>3999796</v>
          </cell>
          <cell r="L58">
            <v>4123100</v>
          </cell>
          <cell r="M58">
            <v>4247559</v>
          </cell>
          <cell r="N58">
            <v>4373127</v>
          </cell>
          <cell r="O58">
            <v>4499722</v>
          </cell>
          <cell r="P58">
            <v>4627202</v>
          </cell>
          <cell r="Q58">
            <v>4755464</v>
          </cell>
          <cell r="R58">
            <v>4884460</v>
          </cell>
          <cell r="S58">
            <v>5014187</v>
          </cell>
          <cell r="T58">
            <v>5144632</v>
          </cell>
          <cell r="U58">
            <v>5275767</v>
          </cell>
          <cell r="V58">
            <v>5407496</v>
          </cell>
          <cell r="W58">
            <v>5539596</v>
          </cell>
          <cell r="X58">
            <v>5671801</v>
          </cell>
          <cell r="Y58">
            <v>5803929</v>
          </cell>
          <cell r="Z58">
            <v>5935895</v>
          </cell>
          <cell r="AA58">
            <v>6067769</v>
          </cell>
          <cell r="AB58">
            <v>6199657</v>
          </cell>
          <cell r="AC58">
            <v>6331760</v>
          </cell>
          <cell r="AD58">
            <v>6464229</v>
          </cell>
          <cell r="AE58">
            <v>6596967</v>
          </cell>
          <cell r="AF58">
            <v>6729930</v>
          </cell>
          <cell r="AG58">
            <v>6863438</v>
          </cell>
          <cell r="AH58">
            <v>6997877</v>
          </cell>
          <cell r="AI58">
            <v>7133491</v>
          </cell>
          <cell r="AJ58">
            <v>7270413</v>
          </cell>
          <cell r="AK58">
            <v>7408339</v>
          </cell>
          <cell r="AL58">
            <v>7546467</v>
          </cell>
          <cell r="AM58">
            <v>7683707</v>
          </cell>
          <cell r="AN58">
            <v>7819239</v>
          </cell>
          <cell r="AO58">
            <v>7952766</v>
          </cell>
          <cell r="AP58">
            <v>8084407</v>
          </cell>
          <cell r="AQ58">
            <v>8214427</v>
          </cell>
          <cell r="AR58">
            <v>8343288</v>
          </cell>
          <cell r="AS58">
            <v>8471317</v>
          </cell>
          <cell r="AT58">
            <v>8598599</v>
          </cell>
          <cell r="AU58">
            <v>8724974</v>
          </cell>
          <cell r="AV58">
            <v>8850317</v>
          </cell>
          <cell r="AW58">
            <v>8974444</v>
          </cell>
          <cell r="AX58">
            <v>9097262</v>
          </cell>
          <cell r="AY58">
            <v>9218681</v>
          </cell>
          <cell r="AZ58">
            <v>9338856</v>
          </cell>
          <cell r="BA58">
            <v>9458079</v>
          </cell>
          <cell r="BB58">
            <v>9576736</v>
          </cell>
          <cell r="BC58">
            <v>9695117</v>
          </cell>
          <cell r="BD58">
            <v>9813219</v>
          </cell>
          <cell r="BE58">
            <v>9930916</v>
          </cell>
          <cell r="BF58">
            <v>10048226</v>
          </cell>
          <cell r="BG58">
            <v>10165182</v>
          </cell>
          <cell r="BH58">
            <v>10281675</v>
          </cell>
          <cell r="BI58">
            <v>10397738</v>
          </cell>
          <cell r="BJ58">
            <v>10513111</v>
          </cell>
          <cell r="BK58">
            <v>10627147</v>
          </cell>
          <cell r="BL58">
            <v>10738957</v>
          </cell>
          <cell r="BM58">
            <v>10847904</v>
          </cell>
          <cell r="BN58">
            <v>10847904</v>
          </cell>
        </row>
        <row r="59">
          <cell r="B59" t="str">
            <v>ECU</v>
          </cell>
          <cell r="C59" t="str">
            <v>Population, total</v>
          </cell>
          <cell r="D59" t="str">
            <v>SP.POP.TOTL</v>
          </cell>
          <cell r="E59">
            <v>4543658</v>
          </cell>
          <cell r="F59">
            <v>4674176</v>
          </cell>
          <cell r="G59">
            <v>4809194</v>
          </cell>
          <cell r="H59">
            <v>4948991</v>
          </cell>
          <cell r="I59">
            <v>5093848</v>
          </cell>
          <cell r="J59">
            <v>5243980</v>
          </cell>
          <cell r="K59">
            <v>5399423</v>
          </cell>
          <cell r="L59">
            <v>5560013</v>
          </cell>
          <cell r="M59">
            <v>5725462</v>
          </cell>
          <cell r="N59">
            <v>5895368</v>
          </cell>
          <cell r="O59">
            <v>6069375</v>
          </cell>
          <cell r="P59">
            <v>6247421</v>
          </cell>
          <cell r="Q59">
            <v>6429377</v>
          </cell>
          <cell r="R59">
            <v>6614840</v>
          </cell>
          <cell r="S59">
            <v>6803271</v>
          </cell>
          <cell r="T59">
            <v>6994331</v>
          </cell>
          <cell r="U59">
            <v>7187794</v>
          </cell>
          <cell r="V59">
            <v>7383713</v>
          </cell>
          <cell r="W59">
            <v>7582357</v>
          </cell>
          <cell r="X59">
            <v>7784074</v>
          </cell>
          <cell r="Y59">
            <v>7989178</v>
          </cell>
          <cell r="Z59">
            <v>8197648</v>
          </cell>
          <cell r="AA59">
            <v>8409396</v>
          </cell>
          <cell r="AB59">
            <v>8624594</v>
          </cell>
          <cell r="AC59">
            <v>8843463</v>
          </cell>
          <cell r="AD59">
            <v>9066100</v>
          </cell>
          <cell r="AE59">
            <v>9292481</v>
          </cell>
          <cell r="AF59">
            <v>9522362</v>
          </cell>
          <cell r="AG59">
            <v>9755576</v>
          </cell>
          <cell r="AH59">
            <v>9991870</v>
          </cell>
          <cell r="AI59">
            <v>10230931</v>
          </cell>
          <cell r="AJ59">
            <v>10472476</v>
          </cell>
          <cell r="AK59">
            <v>10716131</v>
          </cell>
          <cell r="AL59">
            <v>10961460</v>
          </cell>
          <cell r="AM59">
            <v>11207999</v>
          </cell>
          <cell r="AN59">
            <v>11455205</v>
          </cell>
          <cell r="AO59">
            <v>11703169</v>
          </cell>
          <cell r="AP59">
            <v>11951457</v>
          </cell>
          <cell r="AQ59">
            <v>12198449</v>
          </cell>
          <cell r="AR59">
            <v>12442109</v>
          </cell>
          <cell r="AS59">
            <v>12681123</v>
          </cell>
          <cell r="AT59">
            <v>12914660</v>
          </cell>
          <cell r="AU59">
            <v>13143465</v>
          </cell>
          <cell r="AV59">
            <v>13369678</v>
          </cell>
          <cell r="AW59">
            <v>13596390</v>
          </cell>
          <cell r="AX59">
            <v>13825839</v>
          </cell>
          <cell r="AY59">
            <v>14059379</v>
          </cell>
          <cell r="AZ59">
            <v>14296554</v>
          </cell>
          <cell r="BA59">
            <v>14535740</v>
          </cell>
          <cell r="BB59">
            <v>14774412</v>
          </cell>
          <cell r="BC59">
            <v>15011114</v>
          </cell>
          <cell r="BD59">
            <v>15243885</v>
          </cell>
          <cell r="BE59">
            <v>15474099</v>
          </cell>
          <cell r="BF59">
            <v>15707473</v>
          </cell>
          <cell r="BG59">
            <v>15951832</v>
          </cell>
          <cell r="BH59">
            <v>16212022</v>
          </cell>
          <cell r="BI59">
            <v>16491116</v>
          </cell>
          <cell r="BJ59">
            <v>16785356</v>
          </cell>
          <cell r="BK59">
            <v>17084359</v>
          </cell>
          <cell r="BL59">
            <v>17373657</v>
          </cell>
          <cell r="BM59">
            <v>17643060</v>
          </cell>
          <cell r="BN59">
            <v>17643060</v>
          </cell>
        </row>
        <row r="60">
          <cell r="B60" t="str">
            <v>EGY</v>
          </cell>
          <cell r="C60" t="str">
            <v>Population, total</v>
          </cell>
          <cell r="D60" t="str">
            <v>SP.POP.TOTL</v>
          </cell>
          <cell r="E60">
            <v>26632891</v>
          </cell>
          <cell r="F60">
            <v>27366239</v>
          </cell>
          <cell r="G60">
            <v>28112258</v>
          </cell>
          <cell r="H60">
            <v>28871383</v>
          </cell>
          <cell r="I60">
            <v>29644875</v>
          </cell>
          <cell r="J60">
            <v>30433024</v>
          </cell>
          <cell r="K60">
            <v>31237597</v>
          </cell>
          <cell r="L60">
            <v>32056506</v>
          </cell>
          <cell r="M60">
            <v>32881852</v>
          </cell>
          <cell r="N60">
            <v>33703127</v>
          </cell>
          <cell r="O60">
            <v>34513851</v>
          </cell>
          <cell r="P60">
            <v>35311905</v>
          </cell>
          <cell r="Q60">
            <v>36102670</v>
          </cell>
          <cell r="R60">
            <v>36896551</v>
          </cell>
          <cell r="S60">
            <v>37708144</v>
          </cell>
          <cell r="T60">
            <v>38549133</v>
          </cell>
          <cell r="U60">
            <v>39422731</v>
          </cell>
          <cell r="V60">
            <v>40329589</v>
          </cell>
          <cell r="W60">
            <v>41275728</v>
          </cell>
          <cell r="X60">
            <v>42267429</v>
          </cell>
          <cell r="Y60">
            <v>43309063</v>
          </cell>
          <cell r="Z60">
            <v>44400113</v>
          </cell>
          <cell r="AA60">
            <v>45539295</v>
          </cell>
          <cell r="AB60">
            <v>46728284</v>
          </cell>
          <cell r="AC60">
            <v>47968643</v>
          </cell>
          <cell r="AD60">
            <v>49258726</v>
          </cell>
          <cell r="AE60">
            <v>50602360</v>
          </cell>
          <cell r="AF60">
            <v>51991696</v>
          </cell>
          <cell r="AG60">
            <v>53399243</v>
          </cell>
          <cell r="AH60">
            <v>54788680</v>
          </cell>
          <cell r="AI60">
            <v>56134478</v>
          </cell>
          <cell r="AJ60">
            <v>57424552</v>
          </cell>
          <cell r="AK60">
            <v>58666812</v>
          </cell>
          <cell r="AL60">
            <v>59880656</v>
          </cell>
          <cell r="AM60">
            <v>61095804</v>
          </cell>
          <cell r="AN60">
            <v>62334025</v>
          </cell>
          <cell r="AO60">
            <v>63601632</v>
          </cell>
          <cell r="AP60">
            <v>64892269</v>
          </cell>
          <cell r="AQ60">
            <v>66200259</v>
          </cell>
          <cell r="AR60">
            <v>67515591</v>
          </cell>
          <cell r="AS60">
            <v>68831561</v>
          </cell>
          <cell r="AT60">
            <v>70152662</v>
          </cell>
          <cell r="AU60">
            <v>71485044</v>
          </cell>
          <cell r="AV60">
            <v>72826102</v>
          </cell>
          <cell r="AW60">
            <v>74172073</v>
          </cell>
          <cell r="AX60">
            <v>75523576</v>
          </cell>
          <cell r="AY60">
            <v>76873670</v>
          </cell>
          <cell r="AZ60">
            <v>78232124</v>
          </cell>
          <cell r="BA60">
            <v>79636081</v>
          </cell>
          <cell r="BB60">
            <v>81134789</v>
          </cell>
          <cell r="BC60">
            <v>82761244</v>
          </cell>
          <cell r="BD60">
            <v>84529251</v>
          </cell>
          <cell r="BE60">
            <v>86422240</v>
          </cell>
          <cell r="BF60">
            <v>88404652</v>
          </cell>
          <cell r="BG60">
            <v>90424668</v>
          </cell>
          <cell r="BH60">
            <v>92442549</v>
          </cell>
          <cell r="BI60">
            <v>94447071</v>
          </cell>
          <cell r="BJ60">
            <v>96442590</v>
          </cell>
          <cell r="BK60">
            <v>98423602</v>
          </cell>
          <cell r="BL60">
            <v>100388076</v>
          </cell>
          <cell r="BM60">
            <v>102334403</v>
          </cell>
          <cell r="BN60">
            <v>102334403</v>
          </cell>
        </row>
        <row r="61">
          <cell r="B61" t="str">
            <v>SLV</v>
          </cell>
          <cell r="C61" t="str">
            <v>Population, total</v>
          </cell>
          <cell r="D61" t="str">
            <v>SP.POP.TOTL</v>
          </cell>
          <cell r="E61">
            <v>2766319</v>
          </cell>
          <cell r="F61">
            <v>2846601</v>
          </cell>
          <cell r="G61">
            <v>2931187</v>
          </cell>
          <cell r="H61">
            <v>3019224</v>
          </cell>
          <cell r="I61">
            <v>3109571</v>
          </cell>
          <cell r="J61">
            <v>3201310</v>
          </cell>
          <cell r="K61">
            <v>3293954</v>
          </cell>
          <cell r="L61">
            <v>3387384</v>
          </cell>
          <cell r="M61">
            <v>3481624</v>
          </cell>
          <cell r="N61">
            <v>3576834</v>
          </cell>
          <cell r="O61">
            <v>3673066</v>
          </cell>
          <cell r="P61">
            <v>3770060</v>
          </cell>
          <cell r="Q61">
            <v>3867310</v>
          </cell>
          <cell r="R61">
            <v>3964273</v>
          </cell>
          <cell r="S61">
            <v>4060255</v>
          </cell>
          <cell r="T61">
            <v>4154689</v>
          </cell>
          <cell r="U61">
            <v>4247508</v>
          </cell>
          <cell r="V61">
            <v>4338451</v>
          </cell>
          <cell r="W61">
            <v>4426679</v>
          </cell>
          <cell r="X61">
            <v>4511127</v>
          </cell>
          <cell r="Y61">
            <v>4591135</v>
          </cell>
          <cell r="Z61">
            <v>4666361</v>
          </cell>
          <cell r="AA61">
            <v>4737256</v>
          </cell>
          <cell r="AB61">
            <v>4804936</v>
          </cell>
          <cell r="AC61">
            <v>4871041</v>
          </cell>
          <cell r="AD61">
            <v>4936803</v>
          </cell>
          <cell r="AE61">
            <v>5002339</v>
          </cell>
          <cell r="AF61">
            <v>5067531</v>
          </cell>
          <cell r="AG61">
            <v>5133273</v>
          </cell>
          <cell r="AH61">
            <v>5200608</v>
          </cell>
          <cell r="AI61">
            <v>5270074</v>
          </cell>
          <cell r="AJ61">
            <v>5342190</v>
          </cell>
          <cell r="AK61">
            <v>5416327</v>
          </cell>
          <cell r="AL61">
            <v>5490478</v>
          </cell>
          <cell r="AM61">
            <v>5561916</v>
          </cell>
          <cell r="AN61">
            <v>5628602</v>
          </cell>
          <cell r="AO61">
            <v>5689943</v>
          </cell>
          <cell r="AP61">
            <v>5746288</v>
          </cell>
          <cell r="AQ61">
            <v>5797764</v>
          </cell>
          <cell r="AR61">
            <v>5844834</v>
          </cell>
          <cell r="AS61">
            <v>5887930</v>
          </cell>
          <cell r="AT61">
            <v>5927001</v>
          </cell>
          <cell r="AU61">
            <v>5962139</v>
          </cell>
          <cell r="AV61">
            <v>5994075</v>
          </cell>
          <cell r="AW61">
            <v>6023801</v>
          </cell>
          <cell r="AX61">
            <v>6052124</v>
          </cell>
          <cell r="AY61">
            <v>6079395</v>
          </cell>
          <cell r="AZ61">
            <v>6105810</v>
          </cell>
          <cell r="BA61">
            <v>6131767</v>
          </cell>
          <cell r="BB61">
            <v>6157678</v>
          </cell>
          <cell r="BC61">
            <v>6183877</v>
          </cell>
          <cell r="BD61">
            <v>6210567</v>
          </cell>
          <cell r="BE61">
            <v>6237922</v>
          </cell>
          <cell r="BF61">
            <v>6266076</v>
          </cell>
          <cell r="BG61">
            <v>6295124</v>
          </cell>
          <cell r="BH61">
            <v>6325121</v>
          </cell>
          <cell r="BI61">
            <v>6356137</v>
          </cell>
          <cell r="BJ61">
            <v>6388124</v>
          </cell>
          <cell r="BK61">
            <v>6420740</v>
          </cell>
          <cell r="BL61">
            <v>6453550</v>
          </cell>
          <cell r="BM61">
            <v>6486201</v>
          </cell>
          <cell r="BN61">
            <v>6486201</v>
          </cell>
        </row>
        <row r="62">
          <cell r="B62" t="str">
            <v>GNQ</v>
          </cell>
          <cell r="C62" t="str">
            <v>Population, total</v>
          </cell>
          <cell r="D62" t="str">
            <v>SP.POP.TOTL</v>
          </cell>
          <cell r="E62">
            <v>255338</v>
          </cell>
          <cell r="F62">
            <v>258786</v>
          </cell>
          <cell r="G62">
            <v>262219</v>
          </cell>
          <cell r="H62">
            <v>266005</v>
          </cell>
          <cell r="I62">
            <v>270616</v>
          </cell>
          <cell r="J62">
            <v>276296</v>
          </cell>
          <cell r="K62">
            <v>283506</v>
          </cell>
          <cell r="L62">
            <v>291786</v>
          </cell>
          <cell r="M62">
            <v>299416</v>
          </cell>
          <cell r="N62">
            <v>304000</v>
          </cell>
          <cell r="O62">
            <v>303986</v>
          </cell>
          <cell r="P62">
            <v>298852</v>
          </cell>
          <cell r="Q62">
            <v>289508</v>
          </cell>
          <cell r="R62">
            <v>277656</v>
          </cell>
          <cell r="S62">
            <v>265762</v>
          </cell>
          <cell r="T62">
            <v>255808</v>
          </cell>
          <cell r="U62">
            <v>247969</v>
          </cell>
          <cell r="V62">
            <v>242160</v>
          </cell>
          <cell r="W62">
            <v>239681</v>
          </cell>
          <cell r="X62">
            <v>241977</v>
          </cell>
          <cell r="Y62">
            <v>249931</v>
          </cell>
          <cell r="Z62">
            <v>264370</v>
          </cell>
          <cell r="AA62">
            <v>284638</v>
          </cell>
          <cell r="AB62">
            <v>308208</v>
          </cell>
          <cell r="AC62">
            <v>331554</v>
          </cell>
          <cell r="AD62">
            <v>352116</v>
          </cell>
          <cell r="AE62">
            <v>369024</v>
          </cell>
          <cell r="AF62">
            <v>382977</v>
          </cell>
          <cell r="AG62">
            <v>394973</v>
          </cell>
          <cell r="AH62">
            <v>406620</v>
          </cell>
          <cell r="AI62">
            <v>419188</v>
          </cell>
          <cell r="AJ62">
            <v>432844</v>
          </cell>
          <cell r="AK62">
            <v>447269</v>
          </cell>
          <cell r="AL62">
            <v>462637</v>
          </cell>
          <cell r="AM62">
            <v>479099</v>
          </cell>
          <cell r="AN62">
            <v>496768</v>
          </cell>
          <cell r="AO62">
            <v>515844</v>
          </cell>
          <cell r="AP62">
            <v>536459</v>
          </cell>
          <cell r="AQ62">
            <v>558496</v>
          </cell>
          <cell r="AR62">
            <v>581765</v>
          </cell>
          <cell r="AS62">
            <v>606180</v>
          </cell>
          <cell r="AT62">
            <v>631662</v>
          </cell>
          <cell r="AU62">
            <v>658388</v>
          </cell>
          <cell r="AV62">
            <v>686670</v>
          </cell>
          <cell r="AW62">
            <v>716949</v>
          </cell>
          <cell r="AX62">
            <v>749527</v>
          </cell>
          <cell r="AY62">
            <v>784494</v>
          </cell>
          <cell r="AZ62">
            <v>821686</v>
          </cell>
          <cell r="BA62">
            <v>860839</v>
          </cell>
          <cell r="BB62">
            <v>901589</v>
          </cell>
          <cell r="BC62">
            <v>943640</v>
          </cell>
          <cell r="BD62">
            <v>986861</v>
          </cell>
          <cell r="BE62">
            <v>1031191</v>
          </cell>
          <cell r="BF62">
            <v>1076412</v>
          </cell>
          <cell r="BG62">
            <v>1122273</v>
          </cell>
          <cell r="BH62">
            <v>1168575</v>
          </cell>
          <cell r="BI62">
            <v>1215181</v>
          </cell>
          <cell r="BJ62">
            <v>1262008</v>
          </cell>
          <cell r="BK62">
            <v>1308966</v>
          </cell>
          <cell r="BL62">
            <v>1355982</v>
          </cell>
          <cell r="BM62">
            <v>1402985</v>
          </cell>
          <cell r="BN62">
            <v>1402985</v>
          </cell>
        </row>
        <row r="63">
          <cell r="B63" t="str">
            <v>ERI</v>
          </cell>
          <cell r="C63" t="str">
            <v>Population, total</v>
          </cell>
          <cell r="D63" t="str">
            <v>SP.POP.TOTL</v>
          </cell>
          <cell r="E63">
            <v>1007586</v>
          </cell>
          <cell r="F63">
            <v>1033320</v>
          </cell>
          <cell r="G63">
            <v>1060489</v>
          </cell>
          <cell r="H63">
            <v>1088859</v>
          </cell>
          <cell r="I63">
            <v>1118152</v>
          </cell>
          <cell r="J63">
            <v>1148188</v>
          </cell>
          <cell r="K63">
            <v>1178875</v>
          </cell>
          <cell r="L63">
            <v>1210304</v>
          </cell>
          <cell r="M63">
            <v>1242633</v>
          </cell>
          <cell r="N63">
            <v>1276122</v>
          </cell>
          <cell r="O63">
            <v>1310947</v>
          </cell>
          <cell r="P63">
            <v>1347180</v>
          </cell>
          <cell r="Q63">
            <v>1384789</v>
          </cell>
          <cell r="R63">
            <v>1423749</v>
          </cell>
          <cell r="S63">
            <v>1463986</v>
          </cell>
          <cell r="T63">
            <v>1505438</v>
          </cell>
          <cell r="U63">
            <v>1547978</v>
          </cell>
          <cell r="V63">
            <v>1591622</v>
          </cell>
          <cell r="W63">
            <v>1636771</v>
          </cell>
          <cell r="X63">
            <v>1683932</v>
          </cell>
          <cell r="Y63">
            <v>1733423</v>
          </cell>
          <cell r="Z63">
            <v>1784557</v>
          </cell>
          <cell r="AA63">
            <v>1836825</v>
          </cell>
          <cell r="AB63">
            <v>1890556</v>
          </cell>
          <cell r="AC63">
            <v>1946299</v>
          </cell>
          <cell r="AD63">
            <v>2003942</v>
          </cell>
          <cell r="AE63">
            <v>2064803</v>
          </cell>
          <cell r="AF63">
            <v>2127421</v>
          </cell>
          <cell r="AG63">
            <v>2185607</v>
          </cell>
          <cell r="AH63">
            <v>2231144</v>
          </cell>
          <cell r="AI63">
            <v>2258649</v>
          </cell>
          <cell r="AJ63">
            <v>2266356</v>
          </cell>
          <cell r="AK63">
            <v>2257593</v>
          </cell>
          <cell r="AL63">
            <v>2238631</v>
          </cell>
          <cell r="AM63">
            <v>2218436</v>
          </cell>
          <cell r="AN63">
            <v>2204227</v>
          </cell>
          <cell r="AO63">
            <v>2196467</v>
          </cell>
          <cell r="AP63">
            <v>2195192</v>
          </cell>
          <cell r="AQ63">
            <v>2206439</v>
          </cell>
          <cell r="AR63">
            <v>2237412</v>
          </cell>
          <cell r="AS63">
            <v>2292413</v>
          </cell>
          <cell r="AT63">
            <v>2374721</v>
          </cell>
          <cell r="AU63">
            <v>2481059</v>
          </cell>
          <cell r="AV63">
            <v>2600972</v>
          </cell>
          <cell r="AW63">
            <v>2719809</v>
          </cell>
          <cell r="AX63">
            <v>2826653</v>
          </cell>
          <cell r="AY63">
            <v>2918209</v>
          </cell>
          <cell r="AZ63">
            <v>2996540</v>
          </cell>
          <cell r="BA63">
            <v>3062782</v>
          </cell>
          <cell r="BB63">
            <v>3119920</v>
          </cell>
          <cell r="BC63">
            <v>3170437</v>
          </cell>
          <cell r="BD63">
            <v>3213969</v>
          </cell>
          <cell r="BE63" t="str">
            <v>..</v>
          </cell>
          <cell r="BF63" t="str">
            <v>..</v>
          </cell>
          <cell r="BG63" t="str">
            <v>..</v>
          </cell>
          <cell r="BH63" t="str">
            <v>..</v>
          </cell>
          <cell r="BI63" t="str">
            <v>..</v>
          </cell>
          <cell r="BJ63" t="str">
            <v>..</v>
          </cell>
          <cell r="BK63" t="str">
            <v>..</v>
          </cell>
          <cell r="BL63" t="str">
            <v>..</v>
          </cell>
          <cell r="BM63" t="str">
            <v>..</v>
          </cell>
          <cell r="BN63" t="str">
            <v/>
          </cell>
        </row>
        <row r="64">
          <cell r="B64" t="str">
            <v>EST</v>
          </cell>
          <cell r="C64" t="str">
            <v>Population, total</v>
          </cell>
          <cell r="D64" t="str">
            <v>SP.POP.TOTL</v>
          </cell>
          <cell r="E64">
            <v>1211537</v>
          </cell>
          <cell r="F64">
            <v>1225077</v>
          </cell>
          <cell r="G64">
            <v>1241623</v>
          </cell>
          <cell r="H64">
            <v>1258857</v>
          </cell>
          <cell r="I64">
            <v>1277086</v>
          </cell>
          <cell r="J64">
            <v>1294566</v>
          </cell>
          <cell r="K64">
            <v>1308597</v>
          </cell>
          <cell r="L64">
            <v>1318946</v>
          </cell>
          <cell r="M64">
            <v>1331214</v>
          </cell>
          <cell r="N64">
            <v>1345249</v>
          </cell>
          <cell r="O64">
            <v>1360076</v>
          </cell>
          <cell r="P64">
            <v>1376955</v>
          </cell>
          <cell r="Q64">
            <v>1392518</v>
          </cell>
          <cell r="R64">
            <v>1405951</v>
          </cell>
          <cell r="S64">
            <v>1418169</v>
          </cell>
          <cell r="T64">
            <v>1429352</v>
          </cell>
          <cell r="U64">
            <v>1439576</v>
          </cell>
          <cell r="V64">
            <v>1450211</v>
          </cell>
          <cell r="W64">
            <v>1460188</v>
          </cell>
          <cell r="X64">
            <v>1468333</v>
          </cell>
          <cell r="Y64">
            <v>1477219</v>
          </cell>
          <cell r="Z64">
            <v>1487666</v>
          </cell>
          <cell r="AA64">
            <v>1498414</v>
          </cell>
          <cell r="AB64">
            <v>1508745</v>
          </cell>
          <cell r="AC64">
            <v>1518617</v>
          </cell>
          <cell r="AD64">
            <v>1528781</v>
          </cell>
          <cell r="AE64">
            <v>1540190</v>
          </cell>
          <cell r="AF64">
            <v>1552221</v>
          </cell>
          <cell r="AG64">
            <v>1561900</v>
          </cell>
          <cell r="AH64">
            <v>1568131</v>
          </cell>
          <cell r="AI64">
            <v>1569174</v>
          </cell>
          <cell r="AJ64">
            <v>1561314</v>
          </cell>
          <cell r="AK64">
            <v>1533091</v>
          </cell>
          <cell r="AL64">
            <v>1494128</v>
          </cell>
          <cell r="AM64">
            <v>1462514</v>
          </cell>
          <cell r="AN64">
            <v>1436634</v>
          </cell>
          <cell r="AO64">
            <v>1415594</v>
          </cell>
          <cell r="AP64">
            <v>1399535</v>
          </cell>
          <cell r="AQ64">
            <v>1386156</v>
          </cell>
          <cell r="AR64">
            <v>1390244</v>
          </cell>
          <cell r="AS64">
            <v>1396985</v>
          </cell>
          <cell r="AT64">
            <v>1388115</v>
          </cell>
          <cell r="AU64">
            <v>1379350</v>
          </cell>
          <cell r="AV64">
            <v>1370720</v>
          </cell>
          <cell r="AW64">
            <v>1362550</v>
          </cell>
          <cell r="AX64">
            <v>1354775</v>
          </cell>
          <cell r="AY64">
            <v>1346810</v>
          </cell>
          <cell r="AZ64">
            <v>1340680</v>
          </cell>
          <cell r="BA64">
            <v>1337090</v>
          </cell>
          <cell r="BB64">
            <v>1334515</v>
          </cell>
          <cell r="BC64">
            <v>1331475</v>
          </cell>
          <cell r="BD64">
            <v>1327439</v>
          </cell>
          <cell r="BE64">
            <v>1322696</v>
          </cell>
          <cell r="BF64">
            <v>1317997</v>
          </cell>
          <cell r="BG64">
            <v>1314545</v>
          </cell>
          <cell r="BH64">
            <v>1315407</v>
          </cell>
          <cell r="BI64">
            <v>1315790</v>
          </cell>
          <cell r="BJ64">
            <v>1317384</v>
          </cell>
          <cell r="BK64">
            <v>1321977</v>
          </cell>
          <cell r="BL64">
            <v>1326898</v>
          </cell>
          <cell r="BM64">
            <v>1331057</v>
          </cell>
          <cell r="BN64">
            <v>1331057</v>
          </cell>
        </row>
        <row r="65">
          <cell r="B65" t="str">
            <v>SWZ</v>
          </cell>
          <cell r="C65" t="str">
            <v>Population, total</v>
          </cell>
          <cell r="D65" t="str">
            <v>SP.POP.TOTL</v>
          </cell>
          <cell r="E65">
            <v>336578</v>
          </cell>
          <cell r="F65">
            <v>343346</v>
          </cell>
          <cell r="G65">
            <v>350155</v>
          </cell>
          <cell r="H65">
            <v>357279</v>
          </cell>
          <cell r="I65">
            <v>365120</v>
          </cell>
          <cell r="J65">
            <v>373925</v>
          </cell>
          <cell r="K65">
            <v>383820</v>
          </cell>
          <cell r="L65">
            <v>394760</v>
          </cell>
          <cell r="M65">
            <v>406508</v>
          </cell>
          <cell r="N65">
            <v>418739</v>
          </cell>
          <cell r="O65">
            <v>431251</v>
          </cell>
          <cell r="P65">
            <v>443979</v>
          </cell>
          <cell r="Q65">
            <v>457039</v>
          </cell>
          <cell r="R65">
            <v>470561</v>
          </cell>
          <cell r="S65">
            <v>484747</v>
          </cell>
          <cell r="T65">
            <v>499759</v>
          </cell>
          <cell r="U65">
            <v>515602</v>
          </cell>
          <cell r="V65">
            <v>532253</v>
          </cell>
          <cell r="W65">
            <v>549787</v>
          </cell>
          <cell r="X65">
            <v>568316</v>
          </cell>
          <cell r="Y65">
            <v>587852</v>
          </cell>
          <cell r="Z65">
            <v>608374</v>
          </cell>
          <cell r="AA65">
            <v>629812</v>
          </cell>
          <cell r="AB65">
            <v>652112</v>
          </cell>
          <cell r="AC65">
            <v>675240</v>
          </cell>
          <cell r="AD65">
            <v>699077</v>
          </cell>
          <cell r="AE65">
            <v>723599</v>
          </cell>
          <cell r="AF65">
            <v>748634</v>
          </cell>
          <cell r="AG65">
            <v>773774</v>
          </cell>
          <cell r="AH65">
            <v>798498</v>
          </cell>
          <cell r="AI65">
            <v>822423</v>
          </cell>
          <cell r="AJ65">
            <v>845267</v>
          </cell>
          <cell r="AK65">
            <v>866995</v>
          </cell>
          <cell r="AL65">
            <v>887706</v>
          </cell>
          <cell r="AM65">
            <v>907622</v>
          </cell>
          <cell r="AN65">
            <v>926836</v>
          </cell>
          <cell r="AO65">
            <v>945506</v>
          </cell>
          <cell r="AP65">
            <v>963416</v>
          </cell>
          <cell r="AQ65">
            <v>979922</v>
          </cell>
          <cell r="AR65">
            <v>994105</v>
          </cell>
          <cell r="AS65">
            <v>1005432</v>
          </cell>
          <cell r="AT65">
            <v>1013608</v>
          </cell>
          <cell r="AU65">
            <v>1019054</v>
          </cell>
          <cell r="AV65">
            <v>1022796</v>
          </cell>
          <cell r="AW65">
            <v>1026287</v>
          </cell>
          <cell r="AX65">
            <v>1030575</v>
          </cell>
          <cell r="AY65">
            <v>1036095</v>
          </cell>
          <cell r="AZ65">
            <v>1042651</v>
          </cell>
          <cell r="BA65">
            <v>1049948</v>
          </cell>
          <cell r="BB65">
            <v>1057462</v>
          </cell>
          <cell r="BC65">
            <v>1064841</v>
          </cell>
          <cell r="BD65">
            <v>1072029</v>
          </cell>
          <cell r="BE65">
            <v>1079285</v>
          </cell>
          <cell r="BF65">
            <v>1086843</v>
          </cell>
          <cell r="BG65">
            <v>1095022</v>
          </cell>
          <cell r="BH65">
            <v>1104038</v>
          </cell>
          <cell r="BI65">
            <v>1113994</v>
          </cell>
          <cell r="BJ65">
            <v>1124808</v>
          </cell>
          <cell r="BK65">
            <v>1136274</v>
          </cell>
          <cell r="BL65">
            <v>1148133</v>
          </cell>
          <cell r="BM65">
            <v>1160164</v>
          </cell>
          <cell r="BN65">
            <v>1160164</v>
          </cell>
        </row>
        <row r="66">
          <cell r="B66" t="str">
            <v>ETH</v>
          </cell>
          <cell r="C66" t="str">
            <v>Population, total</v>
          </cell>
          <cell r="D66" t="str">
            <v>SP.POP.TOTL</v>
          </cell>
          <cell r="E66">
            <v>22151284</v>
          </cell>
          <cell r="F66">
            <v>22671193</v>
          </cell>
          <cell r="G66">
            <v>23221385</v>
          </cell>
          <cell r="H66">
            <v>23798418</v>
          </cell>
          <cell r="I66">
            <v>24397010</v>
          </cell>
          <cell r="J66">
            <v>25013634</v>
          </cell>
          <cell r="K66">
            <v>25641040</v>
          </cell>
          <cell r="L66">
            <v>26280135</v>
          </cell>
          <cell r="M66">
            <v>26944386</v>
          </cell>
          <cell r="N66">
            <v>27652715</v>
          </cell>
          <cell r="O66">
            <v>28415080</v>
          </cell>
          <cell r="P66">
            <v>29248650</v>
          </cell>
          <cell r="Q66">
            <v>30140799</v>
          </cell>
          <cell r="R66">
            <v>31036670</v>
          </cell>
          <cell r="S66">
            <v>31861353</v>
          </cell>
          <cell r="T66">
            <v>32566855</v>
          </cell>
          <cell r="U66">
            <v>33128151</v>
          </cell>
          <cell r="V66">
            <v>33577240</v>
          </cell>
          <cell r="W66">
            <v>33993301</v>
          </cell>
          <cell r="X66">
            <v>34487806</v>
          </cell>
          <cell r="Y66">
            <v>35141703</v>
          </cell>
          <cell r="Z66">
            <v>35984531</v>
          </cell>
          <cell r="AA66">
            <v>36995246</v>
          </cell>
          <cell r="AB66">
            <v>38142679</v>
          </cell>
          <cell r="AC66">
            <v>39374346</v>
          </cell>
          <cell r="AD66">
            <v>40652146</v>
          </cell>
          <cell r="AE66">
            <v>41965696</v>
          </cell>
          <cell r="AF66">
            <v>43329238</v>
          </cell>
          <cell r="AG66">
            <v>44757205</v>
          </cell>
          <cell r="AH66">
            <v>46272308</v>
          </cell>
          <cell r="AI66">
            <v>47887864</v>
          </cell>
          <cell r="AJ66">
            <v>49609976</v>
          </cell>
          <cell r="AK66">
            <v>51423591</v>
          </cell>
          <cell r="AL66">
            <v>53295556</v>
          </cell>
          <cell r="AM66">
            <v>55180993</v>
          </cell>
          <cell r="AN66">
            <v>57047906</v>
          </cell>
          <cell r="AO66">
            <v>58883531</v>
          </cell>
          <cell r="AP66">
            <v>60697443</v>
          </cell>
          <cell r="AQ66">
            <v>62507724</v>
          </cell>
          <cell r="AR66">
            <v>64343008</v>
          </cell>
          <cell r="AS66">
            <v>66224809</v>
          </cell>
          <cell r="AT66">
            <v>68159422</v>
          </cell>
          <cell r="AU66">
            <v>70142090</v>
          </cell>
          <cell r="AV66">
            <v>72170581</v>
          </cell>
          <cell r="AW66">
            <v>74239508</v>
          </cell>
          <cell r="AX66">
            <v>76346310</v>
          </cell>
          <cell r="AY66">
            <v>78489205</v>
          </cell>
          <cell r="AZ66">
            <v>80674343</v>
          </cell>
          <cell r="BA66">
            <v>82916236</v>
          </cell>
          <cell r="BB66">
            <v>85233923</v>
          </cell>
          <cell r="BC66">
            <v>87639962</v>
          </cell>
          <cell r="BD66">
            <v>90139928</v>
          </cell>
          <cell r="BE66">
            <v>92726982</v>
          </cell>
          <cell r="BF66">
            <v>95385793</v>
          </cell>
          <cell r="BG66">
            <v>98094264</v>
          </cell>
          <cell r="BH66">
            <v>100835453</v>
          </cell>
          <cell r="BI66">
            <v>103603461</v>
          </cell>
          <cell r="BJ66">
            <v>106399926</v>
          </cell>
          <cell r="BK66">
            <v>109224410</v>
          </cell>
          <cell r="BL66">
            <v>112078727</v>
          </cell>
          <cell r="BM66">
            <v>114963583</v>
          </cell>
          <cell r="BN66">
            <v>114963583</v>
          </cell>
        </row>
        <row r="67">
          <cell r="B67" t="str">
            <v>FRO</v>
          </cell>
          <cell r="C67" t="str">
            <v>Population, total</v>
          </cell>
          <cell r="D67" t="str">
            <v>SP.POP.TOTL</v>
          </cell>
          <cell r="E67">
            <v>34624</v>
          </cell>
          <cell r="F67">
            <v>35074</v>
          </cell>
          <cell r="G67">
            <v>35521</v>
          </cell>
          <cell r="H67">
            <v>35965</v>
          </cell>
          <cell r="I67">
            <v>36409</v>
          </cell>
          <cell r="J67">
            <v>36843</v>
          </cell>
          <cell r="K67">
            <v>37283</v>
          </cell>
          <cell r="L67">
            <v>37705</v>
          </cell>
          <cell r="M67">
            <v>38131</v>
          </cell>
          <cell r="N67">
            <v>38560</v>
          </cell>
          <cell r="O67">
            <v>39008</v>
          </cell>
          <cell r="P67">
            <v>39456</v>
          </cell>
          <cell r="Q67">
            <v>39915</v>
          </cell>
          <cell r="R67">
            <v>40395</v>
          </cell>
          <cell r="S67">
            <v>40847</v>
          </cell>
          <cell r="T67">
            <v>41292</v>
          </cell>
          <cell r="U67">
            <v>41724</v>
          </cell>
          <cell r="V67">
            <v>42133</v>
          </cell>
          <cell r="W67">
            <v>42539</v>
          </cell>
          <cell r="X67">
            <v>42941</v>
          </cell>
          <cell r="Y67">
            <v>43339</v>
          </cell>
          <cell r="Z67">
            <v>43725</v>
          </cell>
          <cell r="AA67">
            <v>44101</v>
          </cell>
          <cell r="AB67">
            <v>44483</v>
          </cell>
          <cell r="AC67">
            <v>44895</v>
          </cell>
          <cell r="AD67">
            <v>45328</v>
          </cell>
          <cell r="AE67">
            <v>45812</v>
          </cell>
          <cell r="AF67">
            <v>46340</v>
          </cell>
          <cell r="AG67">
            <v>46833</v>
          </cell>
          <cell r="AH67">
            <v>47159</v>
          </cell>
          <cell r="AI67">
            <v>47276</v>
          </cell>
          <cell r="AJ67">
            <v>47123</v>
          </cell>
          <cell r="AK67">
            <v>46746</v>
          </cell>
          <cell r="AL67">
            <v>46277</v>
          </cell>
          <cell r="AM67">
            <v>45848</v>
          </cell>
          <cell r="AN67">
            <v>45625</v>
          </cell>
          <cell r="AO67">
            <v>45624</v>
          </cell>
          <cell r="AP67">
            <v>45789</v>
          </cell>
          <cell r="AQ67">
            <v>46094</v>
          </cell>
          <cell r="AR67">
            <v>46428</v>
          </cell>
          <cell r="AS67">
            <v>46738</v>
          </cell>
          <cell r="AT67">
            <v>46999</v>
          </cell>
          <cell r="AU67">
            <v>47235</v>
          </cell>
          <cell r="AV67">
            <v>47439</v>
          </cell>
          <cell r="AW67">
            <v>47600</v>
          </cell>
          <cell r="AX67">
            <v>47731</v>
          </cell>
          <cell r="AY67">
            <v>47793</v>
          </cell>
          <cell r="AZ67">
            <v>47825</v>
          </cell>
          <cell r="BA67">
            <v>47822</v>
          </cell>
          <cell r="BB67">
            <v>47814</v>
          </cell>
          <cell r="BC67">
            <v>47803</v>
          </cell>
          <cell r="BD67">
            <v>47815</v>
          </cell>
          <cell r="BE67">
            <v>47843</v>
          </cell>
          <cell r="BF67">
            <v>47901</v>
          </cell>
          <cell r="BG67">
            <v>47965</v>
          </cell>
          <cell r="BH67">
            <v>48055</v>
          </cell>
          <cell r="BI67">
            <v>48173</v>
          </cell>
          <cell r="BJ67">
            <v>48326</v>
          </cell>
          <cell r="BK67">
            <v>48497</v>
          </cell>
          <cell r="BL67">
            <v>48677</v>
          </cell>
          <cell r="BM67">
            <v>48865</v>
          </cell>
          <cell r="BN67">
            <v>48865</v>
          </cell>
        </row>
        <row r="68">
          <cell r="B68" t="str">
            <v>FJI</v>
          </cell>
          <cell r="C68" t="str">
            <v>Population, total</v>
          </cell>
          <cell r="D68" t="str">
            <v>SP.POP.TOTL</v>
          </cell>
          <cell r="E68">
            <v>393480</v>
          </cell>
          <cell r="F68">
            <v>407244</v>
          </cell>
          <cell r="G68">
            <v>421673</v>
          </cell>
          <cell r="H68">
            <v>436303</v>
          </cell>
          <cell r="I68">
            <v>450538</v>
          </cell>
          <cell r="J68">
            <v>463960</v>
          </cell>
          <cell r="K68">
            <v>476399</v>
          </cell>
          <cell r="L68">
            <v>487973</v>
          </cell>
          <cell r="M68">
            <v>498944</v>
          </cell>
          <cell r="N68">
            <v>509708</v>
          </cell>
          <cell r="O68">
            <v>520561</v>
          </cell>
          <cell r="P68">
            <v>531622</v>
          </cell>
          <cell r="Q68">
            <v>542843</v>
          </cell>
          <cell r="R68">
            <v>554143</v>
          </cell>
          <cell r="S68">
            <v>565418</v>
          </cell>
          <cell r="T68">
            <v>576626</v>
          </cell>
          <cell r="U68">
            <v>587561</v>
          </cell>
          <cell r="V68">
            <v>598299</v>
          </cell>
          <cell r="W68">
            <v>609383</v>
          </cell>
          <cell r="X68">
            <v>621584</v>
          </cell>
          <cell r="Y68">
            <v>635312</v>
          </cell>
          <cell r="Z68">
            <v>651032</v>
          </cell>
          <cell r="AA68">
            <v>668281</v>
          </cell>
          <cell r="AB68">
            <v>685497</v>
          </cell>
          <cell r="AC68">
            <v>700478</v>
          </cell>
          <cell r="AD68">
            <v>711770</v>
          </cell>
          <cell r="AE68">
            <v>718642</v>
          </cell>
          <cell r="AF68">
            <v>721776</v>
          </cell>
          <cell r="AG68">
            <v>722924</v>
          </cell>
          <cell r="AH68">
            <v>724602</v>
          </cell>
          <cell r="AI68">
            <v>728575</v>
          </cell>
          <cell r="AJ68">
            <v>735398</v>
          </cell>
          <cell r="AK68">
            <v>744470</v>
          </cell>
          <cell r="AL68">
            <v>754962</v>
          </cell>
          <cell r="AM68">
            <v>765607</v>
          </cell>
          <cell r="AN68">
            <v>775428</v>
          </cell>
          <cell r="AO68">
            <v>784389</v>
          </cell>
          <cell r="AP68">
            <v>792736</v>
          </cell>
          <cell r="AQ68">
            <v>800148</v>
          </cell>
          <cell r="AR68">
            <v>806302</v>
          </cell>
          <cell r="AS68">
            <v>811011</v>
          </cell>
          <cell r="AT68">
            <v>813923</v>
          </cell>
          <cell r="AU68">
            <v>815257</v>
          </cell>
          <cell r="AV68">
            <v>816078</v>
          </cell>
          <cell r="AW68">
            <v>817864</v>
          </cell>
          <cell r="AX68">
            <v>821606</v>
          </cell>
          <cell r="AY68">
            <v>827869</v>
          </cell>
          <cell r="AZ68">
            <v>836185</v>
          </cell>
          <cell r="BA68">
            <v>845356</v>
          </cell>
          <cell r="BB68">
            <v>853636</v>
          </cell>
          <cell r="BC68">
            <v>859816</v>
          </cell>
          <cell r="BD68">
            <v>863451</v>
          </cell>
          <cell r="BE68">
            <v>865065</v>
          </cell>
          <cell r="BF68">
            <v>865602</v>
          </cell>
          <cell r="BG68">
            <v>866447</v>
          </cell>
          <cell r="BH68">
            <v>868632</v>
          </cell>
          <cell r="BI68">
            <v>872406</v>
          </cell>
          <cell r="BJ68">
            <v>877460</v>
          </cell>
          <cell r="BK68">
            <v>883490</v>
          </cell>
          <cell r="BL68">
            <v>889955</v>
          </cell>
          <cell r="BM68">
            <v>896444</v>
          </cell>
          <cell r="BN68">
            <v>896444</v>
          </cell>
        </row>
        <row r="69">
          <cell r="B69" t="str">
            <v>FIN</v>
          </cell>
          <cell r="C69" t="str">
            <v>Population, total</v>
          </cell>
          <cell r="D69" t="str">
            <v>SP.POP.TOTL</v>
          </cell>
          <cell r="E69">
            <v>4429634</v>
          </cell>
          <cell r="F69">
            <v>4461005</v>
          </cell>
          <cell r="G69">
            <v>4491443</v>
          </cell>
          <cell r="H69">
            <v>4523309</v>
          </cell>
          <cell r="I69">
            <v>4548543</v>
          </cell>
          <cell r="J69">
            <v>4563732</v>
          </cell>
          <cell r="K69">
            <v>4580869</v>
          </cell>
          <cell r="L69">
            <v>4605744</v>
          </cell>
          <cell r="M69">
            <v>4626469</v>
          </cell>
          <cell r="N69">
            <v>4623785</v>
          </cell>
          <cell r="O69">
            <v>4606307</v>
          </cell>
          <cell r="P69">
            <v>4612124</v>
          </cell>
          <cell r="Q69">
            <v>4639657</v>
          </cell>
          <cell r="R69">
            <v>4666081</v>
          </cell>
          <cell r="S69">
            <v>4690574</v>
          </cell>
          <cell r="T69">
            <v>4711440</v>
          </cell>
          <cell r="U69">
            <v>4725664</v>
          </cell>
          <cell r="V69">
            <v>4738902</v>
          </cell>
          <cell r="W69">
            <v>4752528</v>
          </cell>
          <cell r="X69">
            <v>4764690</v>
          </cell>
          <cell r="Y69">
            <v>4779535</v>
          </cell>
          <cell r="Z69">
            <v>4799964</v>
          </cell>
          <cell r="AA69">
            <v>4826933</v>
          </cell>
          <cell r="AB69">
            <v>4855787</v>
          </cell>
          <cell r="AC69">
            <v>4881803</v>
          </cell>
          <cell r="AD69">
            <v>4902206</v>
          </cell>
          <cell r="AE69">
            <v>4918154</v>
          </cell>
          <cell r="AF69">
            <v>4932123</v>
          </cell>
          <cell r="AG69">
            <v>4946481</v>
          </cell>
          <cell r="AH69">
            <v>4964371</v>
          </cell>
          <cell r="AI69">
            <v>4986431</v>
          </cell>
          <cell r="AJ69">
            <v>5013740</v>
          </cell>
          <cell r="AK69">
            <v>5041992</v>
          </cell>
          <cell r="AL69">
            <v>5066447</v>
          </cell>
          <cell r="AM69">
            <v>5088333</v>
          </cell>
          <cell r="AN69">
            <v>5107790</v>
          </cell>
          <cell r="AO69">
            <v>5124573</v>
          </cell>
          <cell r="AP69">
            <v>5139835</v>
          </cell>
          <cell r="AQ69">
            <v>5153498</v>
          </cell>
          <cell r="AR69">
            <v>5165474</v>
          </cell>
          <cell r="AS69">
            <v>5176209</v>
          </cell>
          <cell r="AT69">
            <v>5188008</v>
          </cell>
          <cell r="AU69">
            <v>5200598</v>
          </cell>
          <cell r="AV69">
            <v>5213014</v>
          </cell>
          <cell r="AW69">
            <v>5228172</v>
          </cell>
          <cell r="AX69">
            <v>5246096</v>
          </cell>
          <cell r="AY69">
            <v>5266268</v>
          </cell>
          <cell r="AZ69">
            <v>5288720</v>
          </cell>
          <cell r="BA69">
            <v>5313399</v>
          </cell>
          <cell r="BB69">
            <v>5338871</v>
          </cell>
          <cell r="BC69">
            <v>5363352</v>
          </cell>
          <cell r="BD69">
            <v>5388272</v>
          </cell>
          <cell r="BE69">
            <v>5413971</v>
          </cell>
          <cell r="BF69">
            <v>5438972</v>
          </cell>
          <cell r="BG69">
            <v>5461512</v>
          </cell>
          <cell r="BH69">
            <v>5479531</v>
          </cell>
          <cell r="BI69">
            <v>5495303</v>
          </cell>
          <cell r="BJ69">
            <v>5508214</v>
          </cell>
          <cell r="BK69">
            <v>5515525</v>
          </cell>
          <cell r="BL69">
            <v>5521606</v>
          </cell>
          <cell r="BM69">
            <v>5530719</v>
          </cell>
          <cell r="BN69">
            <v>5530719</v>
          </cell>
        </row>
        <row r="70">
          <cell r="B70" t="str">
            <v>FRA</v>
          </cell>
          <cell r="C70" t="str">
            <v>Population, total</v>
          </cell>
          <cell r="D70" t="str">
            <v>SP.POP.TOTL</v>
          </cell>
          <cell r="E70">
            <v>46621688</v>
          </cell>
          <cell r="F70">
            <v>47240526</v>
          </cell>
          <cell r="G70">
            <v>47904879</v>
          </cell>
          <cell r="H70">
            <v>48582624</v>
          </cell>
          <cell r="I70">
            <v>49230585</v>
          </cell>
          <cell r="J70">
            <v>49818019</v>
          </cell>
          <cell r="K70">
            <v>50330268</v>
          </cell>
          <cell r="L70">
            <v>50775788</v>
          </cell>
          <cell r="M70">
            <v>51175507</v>
          </cell>
          <cell r="N70">
            <v>51561833</v>
          </cell>
          <cell r="O70">
            <v>51957747</v>
          </cell>
          <cell r="P70">
            <v>52371320</v>
          </cell>
          <cell r="Q70">
            <v>52793151</v>
          </cell>
          <cell r="R70">
            <v>53207744</v>
          </cell>
          <cell r="S70">
            <v>53592235</v>
          </cell>
          <cell r="T70">
            <v>53931390</v>
          </cell>
          <cell r="U70">
            <v>54220033</v>
          </cell>
          <cell r="V70">
            <v>54467709</v>
          </cell>
          <cell r="W70">
            <v>54691866</v>
          </cell>
          <cell r="X70">
            <v>54917110</v>
          </cell>
          <cell r="Y70">
            <v>55161510</v>
          </cell>
          <cell r="Z70">
            <v>55430278</v>
          </cell>
          <cell r="AA70">
            <v>55718940</v>
          </cell>
          <cell r="AB70">
            <v>56023775</v>
          </cell>
          <cell r="AC70">
            <v>56337675</v>
          </cell>
          <cell r="AD70">
            <v>56654703</v>
          </cell>
          <cell r="AE70">
            <v>56976126</v>
          </cell>
          <cell r="AF70">
            <v>57302642</v>
          </cell>
          <cell r="AG70">
            <v>57627106</v>
          </cell>
          <cell r="AH70">
            <v>57940199</v>
          </cell>
          <cell r="AI70">
            <v>58235716</v>
          </cell>
          <cell r="AJ70">
            <v>58559309</v>
          </cell>
          <cell r="AK70">
            <v>58851216</v>
          </cell>
          <cell r="AL70">
            <v>59106758</v>
          </cell>
          <cell r="AM70">
            <v>59327200</v>
          </cell>
          <cell r="AN70">
            <v>59541904</v>
          </cell>
          <cell r="AO70">
            <v>59753095</v>
          </cell>
          <cell r="AP70">
            <v>59964841</v>
          </cell>
          <cell r="AQ70">
            <v>60186284</v>
          </cell>
          <cell r="AR70">
            <v>60496708</v>
          </cell>
          <cell r="AS70">
            <v>60912500</v>
          </cell>
          <cell r="AT70">
            <v>61357432</v>
          </cell>
          <cell r="AU70">
            <v>61805266</v>
          </cell>
          <cell r="AV70">
            <v>62244880</v>
          </cell>
          <cell r="AW70">
            <v>62704901</v>
          </cell>
          <cell r="AX70">
            <v>63179356</v>
          </cell>
          <cell r="AY70">
            <v>63621376</v>
          </cell>
          <cell r="AZ70">
            <v>64016227</v>
          </cell>
          <cell r="BA70">
            <v>64374979</v>
          </cell>
          <cell r="BB70">
            <v>64707035</v>
          </cell>
          <cell r="BC70">
            <v>65027505</v>
          </cell>
          <cell r="BD70">
            <v>65342789</v>
          </cell>
          <cell r="BE70">
            <v>65659814</v>
          </cell>
          <cell r="BF70">
            <v>65998685</v>
          </cell>
          <cell r="BG70">
            <v>66312067</v>
          </cell>
          <cell r="BH70">
            <v>66548272</v>
          </cell>
          <cell r="BI70">
            <v>66724104</v>
          </cell>
          <cell r="BJ70">
            <v>66918020</v>
          </cell>
          <cell r="BK70">
            <v>67101930</v>
          </cell>
          <cell r="BL70">
            <v>67248926</v>
          </cell>
          <cell r="BM70">
            <v>67391582</v>
          </cell>
          <cell r="BN70">
            <v>67391582</v>
          </cell>
        </row>
        <row r="71">
          <cell r="B71" t="str">
            <v>PYF</v>
          </cell>
          <cell r="C71" t="str">
            <v>Population, total</v>
          </cell>
          <cell r="D71" t="str">
            <v>SP.POP.TOTL</v>
          </cell>
          <cell r="E71">
            <v>78080</v>
          </cell>
          <cell r="F71">
            <v>80705</v>
          </cell>
          <cell r="G71">
            <v>83652</v>
          </cell>
          <cell r="H71">
            <v>86847</v>
          </cell>
          <cell r="I71">
            <v>90132</v>
          </cell>
          <cell r="J71">
            <v>93442</v>
          </cell>
          <cell r="K71">
            <v>96719</v>
          </cell>
          <cell r="L71">
            <v>99990</v>
          </cell>
          <cell r="M71">
            <v>103329</v>
          </cell>
          <cell r="N71">
            <v>106814</v>
          </cell>
          <cell r="O71">
            <v>110490</v>
          </cell>
          <cell r="P71">
            <v>114385</v>
          </cell>
          <cell r="Q71">
            <v>118438</v>
          </cell>
          <cell r="R71">
            <v>122641</v>
          </cell>
          <cell r="S71">
            <v>126919</v>
          </cell>
          <cell r="T71">
            <v>131229</v>
          </cell>
          <cell r="U71">
            <v>135559</v>
          </cell>
          <cell r="V71">
            <v>139893</v>
          </cell>
          <cell r="W71">
            <v>144273</v>
          </cell>
          <cell r="X71">
            <v>148734</v>
          </cell>
          <cell r="Y71">
            <v>153298</v>
          </cell>
          <cell r="Z71">
            <v>157954</v>
          </cell>
          <cell r="AA71">
            <v>162679</v>
          </cell>
          <cell r="AB71">
            <v>167456</v>
          </cell>
          <cell r="AC71">
            <v>172249</v>
          </cell>
          <cell r="AD71">
            <v>177024</v>
          </cell>
          <cell r="AE71">
            <v>181807</v>
          </cell>
          <cell r="AF71">
            <v>186588</v>
          </cell>
          <cell r="AG71">
            <v>191260</v>
          </cell>
          <cell r="AH71">
            <v>195728</v>
          </cell>
          <cell r="AI71">
            <v>199906</v>
          </cell>
          <cell r="AJ71">
            <v>203716</v>
          </cell>
          <cell r="AK71">
            <v>207238</v>
          </cell>
          <cell r="AL71">
            <v>210644</v>
          </cell>
          <cell r="AM71">
            <v>214196</v>
          </cell>
          <cell r="AN71">
            <v>218064</v>
          </cell>
          <cell r="AO71">
            <v>222323</v>
          </cell>
          <cell r="AP71">
            <v>226854</v>
          </cell>
          <cell r="AQ71">
            <v>231562</v>
          </cell>
          <cell r="AR71">
            <v>236217</v>
          </cell>
          <cell r="AS71">
            <v>240681</v>
          </cell>
          <cell r="AT71">
            <v>244929</v>
          </cell>
          <cell r="AU71">
            <v>248976</v>
          </cell>
          <cell r="AV71">
            <v>252707</v>
          </cell>
          <cell r="AW71">
            <v>255995</v>
          </cell>
          <cell r="AX71">
            <v>258780</v>
          </cell>
          <cell r="AY71">
            <v>261007</v>
          </cell>
          <cell r="AZ71">
            <v>262717</v>
          </cell>
          <cell r="BA71">
            <v>264064</v>
          </cell>
          <cell r="BB71">
            <v>265256</v>
          </cell>
          <cell r="BC71">
            <v>266449</v>
          </cell>
          <cell r="BD71">
            <v>267702</v>
          </cell>
          <cell r="BE71">
            <v>268995</v>
          </cell>
          <cell r="BF71">
            <v>270332</v>
          </cell>
          <cell r="BG71">
            <v>271713</v>
          </cell>
          <cell r="BH71">
            <v>273119</v>
          </cell>
          <cell r="BI71">
            <v>274576</v>
          </cell>
          <cell r="BJ71">
            <v>276108</v>
          </cell>
          <cell r="BK71">
            <v>277673</v>
          </cell>
          <cell r="BL71">
            <v>279285</v>
          </cell>
          <cell r="BM71">
            <v>280904</v>
          </cell>
          <cell r="BN71">
            <v>280904</v>
          </cell>
        </row>
        <row r="72">
          <cell r="B72" t="str">
            <v>GAB</v>
          </cell>
          <cell r="C72" t="str">
            <v>Population, total</v>
          </cell>
          <cell r="D72" t="str">
            <v>SP.POP.TOTL</v>
          </cell>
          <cell r="E72">
            <v>500922</v>
          </cell>
          <cell r="F72">
            <v>505793</v>
          </cell>
          <cell r="G72">
            <v>511285</v>
          </cell>
          <cell r="H72">
            <v>517573</v>
          </cell>
          <cell r="I72">
            <v>524891</v>
          </cell>
          <cell r="J72">
            <v>533357</v>
          </cell>
          <cell r="K72">
            <v>543119</v>
          </cell>
          <cell r="L72">
            <v>554054</v>
          </cell>
          <cell r="M72">
            <v>565763</v>
          </cell>
          <cell r="N72">
            <v>577644</v>
          </cell>
          <cell r="O72">
            <v>589317</v>
          </cell>
          <cell r="P72">
            <v>600608</v>
          </cell>
          <cell r="Q72">
            <v>611705</v>
          </cell>
          <cell r="R72">
            <v>622914</v>
          </cell>
          <cell r="S72">
            <v>634739</v>
          </cell>
          <cell r="T72">
            <v>647538</v>
          </cell>
          <cell r="U72">
            <v>661398</v>
          </cell>
          <cell r="V72">
            <v>676264</v>
          </cell>
          <cell r="W72">
            <v>692078</v>
          </cell>
          <cell r="X72">
            <v>708788</v>
          </cell>
          <cell r="Y72">
            <v>726335</v>
          </cell>
          <cell r="Z72">
            <v>744695</v>
          </cell>
          <cell r="AA72">
            <v>763932</v>
          </cell>
          <cell r="AB72">
            <v>784056</v>
          </cell>
          <cell r="AC72">
            <v>805117</v>
          </cell>
          <cell r="AD72">
            <v>827107</v>
          </cell>
          <cell r="AE72">
            <v>850052</v>
          </cell>
          <cell r="AF72">
            <v>873871</v>
          </cell>
          <cell r="AG72">
            <v>898472</v>
          </cell>
          <cell r="AH72">
            <v>923714</v>
          </cell>
          <cell r="AI72">
            <v>949493</v>
          </cell>
          <cell r="AJ72">
            <v>975785</v>
          </cell>
          <cell r="AK72">
            <v>1002573</v>
          </cell>
          <cell r="AL72">
            <v>1029769</v>
          </cell>
          <cell r="AM72">
            <v>1057252</v>
          </cell>
          <cell r="AN72">
            <v>1084951</v>
          </cell>
          <cell r="AO72">
            <v>1112944</v>
          </cell>
          <cell r="AP72">
            <v>1141332</v>
          </cell>
          <cell r="AQ72">
            <v>1170061</v>
          </cell>
          <cell r="AR72">
            <v>1199058</v>
          </cell>
          <cell r="AS72">
            <v>1228359</v>
          </cell>
          <cell r="AT72">
            <v>1258008</v>
          </cell>
          <cell r="AU72">
            <v>1288310</v>
          </cell>
          <cell r="AV72">
            <v>1319946</v>
          </cell>
          <cell r="AW72">
            <v>1353788</v>
          </cell>
          <cell r="AX72">
            <v>1390550</v>
          </cell>
          <cell r="AY72">
            <v>1430144</v>
          </cell>
          <cell r="AZ72">
            <v>1472565</v>
          </cell>
          <cell r="BA72">
            <v>1518538</v>
          </cell>
          <cell r="BB72">
            <v>1568925</v>
          </cell>
          <cell r="BC72">
            <v>1624146</v>
          </cell>
          <cell r="BD72">
            <v>1684629</v>
          </cell>
          <cell r="BE72">
            <v>1749677</v>
          </cell>
          <cell r="BF72">
            <v>1817070</v>
          </cell>
          <cell r="BG72">
            <v>1883801</v>
          </cell>
          <cell r="BH72">
            <v>1947690</v>
          </cell>
          <cell r="BI72">
            <v>2007882</v>
          </cell>
          <cell r="BJ72">
            <v>2064812</v>
          </cell>
          <cell r="BK72">
            <v>2119275</v>
          </cell>
          <cell r="BL72">
            <v>2172578</v>
          </cell>
          <cell r="BM72">
            <v>2225728</v>
          </cell>
          <cell r="BN72">
            <v>2225728</v>
          </cell>
        </row>
        <row r="73">
          <cell r="B73" t="str">
            <v>GMB</v>
          </cell>
          <cell r="C73" t="str">
            <v>Population, total</v>
          </cell>
          <cell r="D73" t="str">
            <v>SP.POP.TOTL</v>
          </cell>
          <cell r="E73">
            <v>365049</v>
          </cell>
          <cell r="F73">
            <v>372436</v>
          </cell>
          <cell r="G73">
            <v>379886</v>
          </cell>
          <cell r="H73">
            <v>387635</v>
          </cell>
          <cell r="I73">
            <v>396012</v>
          </cell>
          <cell r="J73">
            <v>405258</v>
          </cell>
          <cell r="K73">
            <v>415478</v>
          </cell>
          <cell r="L73">
            <v>426622</v>
          </cell>
          <cell r="M73">
            <v>438590</v>
          </cell>
          <cell r="N73">
            <v>451228</v>
          </cell>
          <cell r="O73">
            <v>464404</v>
          </cell>
          <cell r="P73">
            <v>478106</v>
          </cell>
          <cell r="Q73">
            <v>492424</v>
          </cell>
          <cell r="R73">
            <v>507428</v>
          </cell>
          <cell r="S73">
            <v>523250</v>
          </cell>
          <cell r="T73">
            <v>539985</v>
          </cell>
          <cell r="U73">
            <v>557810</v>
          </cell>
          <cell r="V73">
            <v>576755</v>
          </cell>
          <cell r="W73">
            <v>596540</v>
          </cell>
          <cell r="X73">
            <v>616770</v>
          </cell>
          <cell r="Y73">
            <v>637252</v>
          </cell>
          <cell r="Z73">
            <v>657581</v>
          </cell>
          <cell r="AA73">
            <v>678111</v>
          </cell>
          <cell r="AB73">
            <v>700198</v>
          </cell>
          <cell r="AC73">
            <v>725688</v>
          </cell>
          <cell r="AD73">
            <v>755791</v>
          </cell>
          <cell r="AE73">
            <v>791141</v>
          </cell>
          <cell r="AF73">
            <v>831011</v>
          </cell>
          <cell r="AG73">
            <v>873440</v>
          </cell>
          <cell r="AH73">
            <v>915631</v>
          </cell>
          <cell r="AI73">
            <v>955595</v>
          </cell>
          <cell r="AJ73">
            <v>992671</v>
          </cell>
          <cell r="AK73">
            <v>1027476</v>
          </cell>
          <cell r="AL73">
            <v>1060861</v>
          </cell>
          <cell r="AM73">
            <v>1094219</v>
          </cell>
          <cell r="AN73">
            <v>1128577</v>
          </cell>
          <cell r="AO73">
            <v>1164091</v>
          </cell>
          <cell r="AP73">
            <v>1200522</v>
          </cell>
          <cell r="AQ73">
            <v>1238124</v>
          </cell>
          <cell r="AR73">
            <v>1277118</v>
          </cell>
          <cell r="AS73">
            <v>1317708</v>
          </cell>
          <cell r="AT73">
            <v>1360070</v>
          </cell>
          <cell r="AU73">
            <v>1404263</v>
          </cell>
          <cell r="AV73">
            <v>1449925</v>
          </cell>
          <cell r="AW73">
            <v>1496524</v>
          </cell>
          <cell r="AX73">
            <v>1543745</v>
          </cell>
          <cell r="AY73">
            <v>1591444</v>
          </cell>
          <cell r="AZ73">
            <v>1639846</v>
          </cell>
          <cell r="BA73">
            <v>1689288</v>
          </cell>
          <cell r="BB73">
            <v>1740277</v>
          </cell>
          <cell r="BC73">
            <v>1793199</v>
          </cell>
          <cell r="BD73">
            <v>1848142</v>
          </cell>
          <cell r="BE73">
            <v>1905020</v>
          </cell>
          <cell r="BF73">
            <v>1963708</v>
          </cell>
          <cell r="BG73">
            <v>2024037</v>
          </cell>
          <cell r="BH73">
            <v>2085860</v>
          </cell>
          <cell r="BI73">
            <v>2149134</v>
          </cell>
          <cell r="BJ73">
            <v>2213900</v>
          </cell>
          <cell r="BK73">
            <v>2280092</v>
          </cell>
          <cell r="BL73">
            <v>2347696</v>
          </cell>
          <cell r="BM73">
            <v>2416664</v>
          </cell>
          <cell r="BN73">
            <v>2416664</v>
          </cell>
        </row>
        <row r="74">
          <cell r="B74" t="str">
            <v>GEO</v>
          </cell>
          <cell r="C74" t="str">
            <v>Population, total</v>
          </cell>
          <cell r="D74" t="str">
            <v>SP.POP.TOTL</v>
          </cell>
          <cell r="E74">
            <v>3645600</v>
          </cell>
          <cell r="F74">
            <v>3703600</v>
          </cell>
          <cell r="G74">
            <v>3760300</v>
          </cell>
          <cell r="H74">
            <v>3816100</v>
          </cell>
          <cell r="I74">
            <v>3870300</v>
          </cell>
          <cell r="J74">
            <v>3921600</v>
          </cell>
          <cell r="K74">
            <v>3966700</v>
          </cell>
          <cell r="L74">
            <v>4005800</v>
          </cell>
          <cell r="M74">
            <v>4042300</v>
          </cell>
          <cell r="N74">
            <v>4080300</v>
          </cell>
          <cell r="O74">
            <v>4119900</v>
          </cell>
          <cell r="P74">
            <v>4163000</v>
          </cell>
          <cell r="Q74">
            <v>4205300</v>
          </cell>
          <cell r="R74">
            <v>4242500</v>
          </cell>
          <cell r="S74">
            <v>4279500</v>
          </cell>
          <cell r="T74">
            <v>4311200</v>
          </cell>
          <cell r="U74">
            <v>4342400</v>
          </cell>
          <cell r="V74">
            <v>4372100</v>
          </cell>
          <cell r="W74">
            <v>4397700</v>
          </cell>
          <cell r="X74">
            <v>4430200</v>
          </cell>
          <cell r="Y74">
            <v>4467700</v>
          </cell>
          <cell r="Z74">
            <v>4504500</v>
          </cell>
          <cell r="AA74">
            <v>4542800</v>
          </cell>
          <cell r="AB74">
            <v>4582900</v>
          </cell>
          <cell r="AC74">
            <v>4622200</v>
          </cell>
          <cell r="AD74">
            <v>4662900</v>
          </cell>
          <cell r="AE74">
            <v>4704500</v>
          </cell>
          <cell r="AF74">
            <v>4743500</v>
          </cell>
          <cell r="AG74">
            <v>4790700</v>
          </cell>
          <cell r="AH74">
            <v>4803300</v>
          </cell>
          <cell r="AI74">
            <v>4802000</v>
          </cell>
          <cell r="AJ74">
            <v>4835900</v>
          </cell>
          <cell r="AK74">
            <v>4873500</v>
          </cell>
          <cell r="AL74">
            <v>4911100</v>
          </cell>
          <cell r="AM74">
            <v>4836076</v>
          </cell>
          <cell r="AN74">
            <v>4657722</v>
          </cell>
          <cell r="AO74">
            <v>4491699</v>
          </cell>
          <cell r="AP74">
            <v>4349913</v>
          </cell>
          <cell r="AQ74">
            <v>4243607</v>
          </cell>
          <cell r="AR74">
            <v>4157192</v>
          </cell>
          <cell r="AS74">
            <v>4077131</v>
          </cell>
          <cell r="AT74">
            <v>4014373</v>
          </cell>
          <cell r="AU74">
            <v>3978515</v>
          </cell>
          <cell r="AV74">
            <v>3951736</v>
          </cell>
          <cell r="AW74">
            <v>3927340</v>
          </cell>
          <cell r="AX74">
            <v>3902469</v>
          </cell>
          <cell r="AY74">
            <v>3880347</v>
          </cell>
          <cell r="AZ74">
            <v>3860158</v>
          </cell>
          <cell r="BA74">
            <v>3848449</v>
          </cell>
          <cell r="BB74">
            <v>3814419</v>
          </cell>
          <cell r="BC74">
            <v>3786695</v>
          </cell>
          <cell r="BD74">
            <v>3756441</v>
          </cell>
          <cell r="BE74">
            <v>3728874</v>
          </cell>
          <cell r="BF74">
            <v>3717668</v>
          </cell>
          <cell r="BG74">
            <v>3719414</v>
          </cell>
          <cell r="BH74">
            <v>3725276</v>
          </cell>
          <cell r="BI74">
            <v>3727505</v>
          </cell>
          <cell r="BJ74">
            <v>3728004</v>
          </cell>
          <cell r="BK74">
            <v>3726549</v>
          </cell>
          <cell r="BL74">
            <v>3720161</v>
          </cell>
          <cell r="BM74">
            <v>3714000</v>
          </cell>
          <cell r="BN74">
            <v>3714000</v>
          </cell>
        </row>
        <row r="75">
          <cell r="B75" t="str">
            <v>DEU</v>
          </cell>
          <cell r="C75" t="str">
            <v>Population, total</v>
          </cell>
          <cell r="D75" t="str">
            <v>SP.POP.TOTL</v>
          </cell>
          <cell r="E75">
            <v>72814900</v>
          </cell>
          <cell r="F75">
            <v>73377632</v>
          </cell>
          <cell r="G75">
            <v>74025784</v>
          </cell>
          <cell r="H75">
            <v>74714353</v>
          </cell>
          <cell r="I75">
            <v>75318337</v>
          </cell>
          <cell r="J75">
            <v>75963695</v>
          </cell>
          <cell r="K75">
            <v>76600311</v>
          </cell>
          <cell r="L75">
            <v>76951336</v>
          </cell>
          <cell r="M75">
            <v>77294314</v>
          </cell>
          <cell r="N75">
            <v>77909682</v>
          </cell>
          <cell r="O75">
            <v>78169289</v>
          </cell>
          <cell r="P75">
            <v>78312842</v>
          </cell>
          <cell r="Q75">
            <v>78688452</v>
          </cell>
          <cell r="R75">
            <v>78936666</v>
          </cell>
          <cell r="S75">
            <v>78967433</v>
          </cell>
          <cell r="T75">
            <v>78673554</v>
          </cell>
          <cell r="U75">
            <v>78336950</v>
          </cell>
          <cell r="V75">
            <v>78159814</v>
          </cell>
          <cell r="W75">
            <v>78091820</v>
          </cell>
          <cell r="X75">
            <v>78126350</v>
          </cell>
          <cell r="Y75">
            <v>78288576</v>
          </cell>
          <cell r="Z75">
            <v>78407907</v>
          </cell>
          <cell r="AA75">
            <v>78333366</v>
          </cell>
          <cell r="AB75">
            <v>78128282</v>
          </cell>
          <cell r="AC75">
            <v>77858685</v>
          </cell>
          <cell r="AD75">
            <v>77684873</v>
          </cell>
          <cell r="AE75">
            <v>77720436</v>
          </cell>
          <cell r="AF75">
            <v>77839920</v>
          </cell>
          <cell r="AG75">
            <v>78144619</v>
          </cell>
          <cell r="AH75">
            <v>78751283</v>
          </cell>
          <cell r="AI75">
            <v>79433029</v>
          </cell>
          <cell r="AJ75">
            <v>80013896</v>
          </cell>
          <cell r="AK75">
            <v>80624598</v>
          </cell>
          <cell r="AL75">
            <v>81156363</v>
          </cell>
          <cell r="AM75">
            <v>81438348</v>
          </cell>
          <cell r="AN75">
            <v>81678051</v>
          </cell>
          <cell r="AO75">
            <v>81914831</v>
          </cell>
          <cell r="AP75">
            <v>82034771</v>
          </cell>
          <cell r="AQ75">
            <v>82047195</v>
          </cell>
          <cell r="AR75">
            <v>82100243</v>
          </cell>
          <cell r="AS75">
            <v>82211508</v>
          </cell>
          <cell r="AT75">
            <v>82349925</v>
          </cell>
          <cell r="AU75">
            <v>82488495</v>
          </cell>
          <cell r="AV75">
            <v>82534176</v>
          </cell>
          <cell r="AW75">
            <v>82516260</v>
          </cell>
          <cell r="AX75">
            <v>82469422</v>
          </cell>
          <cell r="AY75">
            <v>82376451</v>
          </cell>
          <cell r="AZ75">
            <v>82266372</v>
          </cell>
          <cell r="BA75">
            <v>82110097</v>
          </cell>
          <cell r="BB75">
            <v>81902307</v>
          </cell>
          <cell r="BC75">
            <v>81776930</v>
          </cell>
          <cell r="BD75">
            <v>80274983</v>
          </cell>
          <cell r="BE75">
            <v>80425823</v>
          </cell>
          <cell r="BF75">
            <v>80645605</v>
          </cell>
          <cell r="BG75">
            <v>80982500</v>
          </cell>
          <cell r="BH75">
            <v>81686611</v>
          </cell>
          <cell r="BI75">
            <v>82348669</v>
          </cell>
          <cell r="BJ75">
            <v>82657002</v>
          </cell>
          <cell r="BK75">
            <v>82905782</v>
          </cell>
          <cell r="BL75">
            <v>83092962</v>
          </cell>
          <cell r="BM75">
            <v>83240525</v>
          </cell>
          <cell r="BN75">
            <v>83240525</v>
          </cell>
        </row>
        <row r="76">
          <cell r="B76" t="str">
            <v>GHA</v>
          </cell>
          <cell r="C76" t="str">
            <v>Population, total</v>
          </cell>
          <cell r="D76" t="str">
            <v>SP.POP.TOTL</v>
          </cell>
          <cell r="E76">
            <v>6635229</v>
          </cell>
          <cell r="F76">
            <v>6848291</v>
          </cell>
          <cell r="G76">
            <v>7071966</v>
          </cell>
          <cell r="H76">
            <v>7300124</v>
          </cell>
          <cell r="I76">
            <v>7524470</v>
          </cell>
          <cell r="J76">
            <v>7739463</v>
          </cell>
          <cell r="K76">
            <v>7941418</v>
          </cell>
          <cell r="L76">
            <v>8132803</v>
          </cell>
          <cell r="M76">
            <v>8321773</v>
          </cell>
          <cell r="N76">
            <v>8520018</v>
          </cell>
          <cell r="O76">
            <v>8735493</v>
          </cell>
          <cell r="P76">
            <v>8973247</v>
          </cell>
          <cell r="Q76">
            <v>9229640</v>
          </cell>
          <cell r="R76">
            <v>9493552</v>
          </cell>
          <cell r="S76">
            <v>9749098</v>
          </cell>
          <cell r="T76">
            <v>9985946</v>
          </cell>
          <cell r="U76">
            <v>10199164</v>
          </cell>
          <cell r="V76">
            <v>10395453</v>
          </cell>
          <cell r="W76">
            <v>10590265</v>
          </cell>
          <cell r="X76">
            <v>10805318</v>
          </cell>
          <cell r="Y76">
            <v>11056112</v>
          </cell>
          <cell r="Z76">
            <v>11348287</v>
          </cell>
          <cell r="AA76">
            <v>11676828</v>
          </cell>
          <cell r="AB76">
            <v>12033559</v>
          </cell>
          <cell r="AC76">
            <v>12405659</v>
          </cell>
          <cell r="AD76">
            <v>12783617</v>
          </cell>
          <cell r="AE76">
            <v>13164839</v>
          </cell>
          <cell r="AF76">
            <v>13552021</v>
          </cell>
          <cell r="AG76">
            <v>13947047</v>
          </cell>
          <cell r="AH76">
            <v>14353409</v>
          </cell>
          <cell r="AI76">
            <v>14773274</v>
          </cell>
          <cell r="AJ76">
            <v>15207360</v>
          </cell>
          <cell r="AK76">
            <v>15653345</v>
          </cell>
          <cell r="AL76">
            <v>16106756</v>
          </cell>
          <cell r="AM76">
            <v>16561677</v>
          </cell>
          <cell r="AN76">
            <v>17014058</v>
          </cell>
          <cell r="AO76">
            <v>17462504</v>
          </cell>
          <cell r="AP76">
            <v>17908977</v>
          </cell>
          <cell r="AQ76">
            <v>18357159</v>
          </cell>
          <cell r="AR76">
            <v>18812369</v>
          </cell>
          <cell r="AS76">
            <v>19278850</v>
          </cell>
          <cell r="AT76">
            <v>19756929</v>
          </cell>
          <cell r="AU76">
            <v>20246376</v>
          </cell>
          <cell r="AV76">
            <v>20750308</v>
          </cell>
          <cell r="AW76">
            <v>21272328</v>
          </cell>
          <cell r="AX76">
            <v>21814648</v>
          </cell>
          <cell r="AY76">
            <v>22379057</v>
          </cell>
          <cell r="AZ76">
            <v>22963946</v>
          </cell>
          <cell r="BA76">
            <v>23563832</v>
          </cell>
          <cell r="BB76">
            <v>24170943</v>
          </cell>
          <cell r="BC76">
            <v>24779614</v>
          </cell>
          <cell r="BD76">
            <v>25387713</v>
          </cell>
          <cell r="BE76">
            <v>25996454</v>
          </cell>
          <cell r="BF76">
            <v>26607641</v>
          </cell>
          <cell r="BG76">
            <v>27224480</v>
          </cell>
          <cell r="BH76">
            <v>27849203</v>
          </cell>
          <cell r="BI76">
            <v>28481947</v>
          </cell>
          <cell r="BJ76">
            <v>29121464</v>
          </cell>
          <cell r="BK76">
            <v>29767108</v>
          </cell>
          <cell r="BL76">
            <v>30417858</v>
          </cell>
          <cell r="BM76">
            <v>31072945</v>
          </cell>
          <cell r="BN76">
            <v>31072945</v>
          </cell>
        </row>
        <row r="77">
          <cell r="B77" t="str">
            <v>GIB</v>
          </cell>
          <cell r="C77" t="str">
            <v>Population, total</v>
          </cell>
          <cell r="D77" t="str">
            <v>SP.POP.TOTL</v>
          </cell>
          <cell r="E77">
            <v>23420</v>
          </cell>
          <cell r="F77">
            <v>23808</v>
          </cell>
          <cell r="G77">
            <v>24307</v>
          </cell>
          <cell r="H77">
            <v>24889</v>
          </cell>
          <cell r="I77">
            <v>25478</v>
          </cell>
          <cell r="J77">
            <v>26079</v>
          </cell>
          <cell r="K77">
            <v>26631</v>
          </cell>
          <cell r="L77">
            <v>27172</v>
          </cell>
          <cell r="M77">
            <v>27693</v>
          </cell>
          <cell r="N77">
            <v>28165</v>
          </cell>
          <cell r="O77">
            <v>28601</v>
          </cell>
          <cell r="P77">
            <v>29007</v>
          </cell>
          <cell r="Q77">
            <v>29353</v>
          </cell>
          <cell r="R77">
            <v>29657</v>
          </cell>
          <cell r="S77">
            <v>29886</v>
          </cell>
          <cell r="T77">
            <v>30062</v>
          </cell>
          <cell r="U77">
            <v>30179</v>
          </cell>
          <cell r="V77">
            <v>30228</v>
          </cell>
          <cell r="W77">
            <v>30224</v>
          </cell>
          <cell r="X77">
            <v>30172</v>
          </cell>
          <cell r="Y77">
            <v>30068</v>
          </cell>
          <cell r="Z77">
            <v>29902</v>
          </cell>
          <cell r="AA77">
            <v>29698</v>
          </cell>
          <cell r="AB77">
            <v>29481</v>
          </cell>
          <cell r="AC77">
            <v>29284</v>
          </cell>
          <cell r="AD77">
            <v>29151</v>
          </cell>
          <cell r="AE77">
            <v>29096</v>
          </cell>
          <cell r="AF77">
            <v>29114</v>
          </cell>
          <cell r="AG77">
            <v>29164</v>
          </cell>
          <cell r="AH77">
            <v>29187</v>
          </cell>
          <cell r="AI77">
            <v>29149</v>
          </cell>
          <cell r="AJ77">
            <v>29021</v>
          </cell>
          <cell r="AK77">
            <v>28844</v>
          </cell>
          <cell r="AL77">
            <v>28680</v>
          </cell>
          <cell r="AM77">
            <v>28605</v>
          </cell>
          <cell r="AN77">
            <v>28688</v>
          </cell>
          <cell r="AO77">
            <v>28970</v>
          </cell>
          <cell r="AP77">
            <v>29404</v>
          </cell>
          <cell r="AQ77">
            <v>29945</v>
          </cell>
          <cell r="AR77">
            <v>30526</v>
          </cell>
          <cell r="AS77">
            <v>31081</v>
          </cell>
          <cell r="AT77">
            <v>31604</v>
          </cell>
          <cell r="AU77">
            <v>32097</v>
          </cell>
          <cell r="AV77">
            <v>32556</v>
          </cell>
          <cell r="AW77">
            <v>32930</v>
          </cell>
          <cell r="AX77">
            <v>33222</v>
          </cell>
          <cell r="AY77">
            <v>33420</v>
          </cell>
          <cell r="AZ77">
            <v>33524</v>
          </cell>
          <cell r="BA77">
            <v>33570</v>
          </cell>
          <cell r="BB77">
            <v>33562</v>
          </cell>
          <cell r="BC77">
            <v>33585</v>
          </cell>
          <cell r="BD77">
            <v>33608</v>
          </cell>
          <cell r="BE77">
            <v>33653</v>
          </cell>
          <cell r="BF77">
            <v>33694</v>
          </cell>
          <cell r="BG77">
            <v>33726</v>
          </cell>
          <cell r="BH77">
            <v>33742</v>
          </cell>
          <cell r="BI77">
            <v>33738</v>
          </cell>
          <cell r="BJ77">
            <v>33723</v>
          </cell>
          <cell r="BK77">
            <v>33715</v>
          </cell>
          <cell r="BL77">
            <v>33706</v>
          </cell>
          <cell r="BM77">
            <v>33691</v>
          </cell>
          <cell r="BN77">
            <v>33691</v>
          </cell>
        </row>
        <row r="78">
          <cell r="B78" t="str">
            <v>GRC</v>
          </cell>
          <cell r="C78" t="str">
            <v>Population, total</v>
          </cell>
          <cell r="D78" t="str">
            <v>SP.POP.TOTL</v>
          </cell>
          <cell r="E78">
            <v>8331725</v>
          </cell>
          <cell r="F78">
            <v>8398050</v>
          </cell>
          <cell r="G78">
            <v>8448233</v>
          </cell>
          <cell r="H78">
            <v>8479625</v>
          </cell>
          <cell r="I78">
            <v>8510429</v>
          </cell>
          <cell r="J78">
            <v>8550333</v>
          </cell>
          <cell r="K78">
            <v>8613651</v>
          </cell>
          <cell r="L78">
            <v>8684088</v>
          </cell>
          <cell r="M78">
            <v>8740765</v>
          </cell>
          <cell r="N78">
            <v>8772764</v>
          </cell>
          <cell r="O78">
            <v>8792806</v>
          </cell>
          <cell r="P78">
            <v>8831036</v>
          </cell>
          <cell r="Q78">
            <v>8888628</v>
          </cell>
          <cell r="R78">
            <v>8929086</v>
          </cell>
          <cell r="S78">
            <v>8962022</v>
          </cell>
          <cell r="T78">
            <v>9046541</v>
          </cell>
          <cell r="U78">
            <v>9188150</v>
          </cell>
          <cell r="V78">
            <v>9308479</v>
          </cell>
          <cell r="W78">
            <v>9429959</v>
          </cell>
          <cell r="X78">
            <v>9548258</v>
          </cell>
          <cell r="Y78">
            <v>9642505</v>
          </cell>
          <cell r="Z78">
            <v>9729350</v>
          </cell>
          <cell r="AA78">
            <v>9789513</v>
          </cell>
          <cell r="AB78">
            <v>9846627</v>
          </cell>
          <cell r="AC78">
            <v>9895801</v>
          </cell>
          <cell r="AD78">
            <v>9934300</v>
          </cell>
          <cell r="AE78">
            <v>9967213</v>
          </cell>
          <cell r="AF78">
            <v>10000595</v>
          </cell>
          <cell r="AG78">
            <v>10036983</v>
          </cell>
          <cell r="AH78">
            <v>10089498</v>
          </cell>
          <cell r="AI78">
            <v>10196792</v>
          </cell>
          <cell r="AJ78">
            <v>10319927</v>
          </cell>
          <cell r="AK78">
            <v>10399061</v>
          </cell>
          <cell r="AL78">
            <v>10460415</v>
          </cell>
          <cell r="AM78">
            <v>10512922</v>
          </cell>
          <cell r="AN78">
            <v>10562153</v>
          </cell>
          <cell r="AO78">
            <v>10608800</v>
          </cell>
          <cell r="AP78">
            <v>10661259</v>
          </cell>
          <cell r="AQ78">
            <v>10720509</v>
          </cell>
          <cell r="AR78">
            <v>10761698</v>
          </cell>
          <cell r="AS78">
            <v>10805808</v>
          </cell>
          <cell r="AT78">
            <v>10862132</v>
          </cell>
          <cell r="AU78">
            <v>10902022</v>
          </cell>
          <cell r="AV78">
            <v>10928070</v>
          </cell>
          <cell r="AW78">
            <v>10955141</v>
          </cell>
          <cell r="AX78">
            <v>10987314</v>
          </cell>
          <cell r="AY78">
            <v>11020362</v>
          </cell>
          <cell r="AZ78">
            <v>11048473</v>
          </cell>
          <cell r="BA78">
            <v>11077841</v>
          </cell>
          <cell r="BB78">
            <v>11107017</v>
          </cell>
          <cell r="BC78">
            <v>11121341</v>
          </cell>
          <cell r="BD78">
            <v>11104899</v>
          </cell>
          <cell r="BE78">
            <v>11045011</v>
          </cell>
          <cell r="BF78">
            <v>10965211</v>
          </cell>
          <cell r="BG78">
            <v>10892413</v>
          </cell>
          <cell r="BH78">
            <v>10820883</v>
          </cell>
          <cell r="BI78">
            <v>10775971</v>
          </cell>
          <cell r="BJ78">
            <v>10754679</v>
          </cell>
          <cell r="BK78">
            <v>10732882</v>
          </cell>
          <cell r="BL78">
            <v>10721582</v>
          </cell>
          <cell r="BM78">
            <v>10715549</v>
          </cell>
          <cell r="BN78">
            <v>10715549</v>
          </cell>
        </row>
        <row r="79">
          <cell r="B79" t="str">
            <v>GRL</v>
          </cell>
          <cell r="C79" t="str">
            <v>Population, total</v>
          </cell>
          <cell r="D79" t="str">
            <v>SP.POP.TOTL</v>
          </cell>
          <cell r="E79">
            <v>32500</v>
          </cell>
          <cell r="F79">
            <v>33700</v>
          </cell>
          <cell r="G79">
            <v>35000</v>
          </cell>
          <cell r="H79">
            <v>36400</v>
          </cell>
          <cell r="I79">
            <v>37600</v>
          </cell>
          <cell r="J79">
            <v>39200</v>
          </cell>
          <cell r="K79">
            <v>40500</v>
          </cell>
          <cell r="L79">
            <v>41900</v>
          </cell>
          <cell r="M79">
            <v>43400</v>
          </cell>
          <cell r="N79">
            <v>44900</v>
          </cell>
          <cell r="O79">
            <v>46400</v>
          </cell>
          <cell r="P79">
            <v>47200</v>
          </cell>
          <cell r="Q79">
            <v>48300</v>
          </cell>
          <cell r="R79">
            <v>49000</v>
          </cell>
          <cell r="S79">
            <v>49500</v>
          </cell>
          <cell r="T79">
            <v>49600</v>
          </cell>
          <cell r="U79">
            <v>49700</v>
          </cell>
          <cell r="V79">
            <v>49400</v>
          </cell>
          <cell r="W79">
            <v>49200</v>
          </cell>
          <cell r="X79">
            <v>49600</v>
          </cell>
          <cell r="Y79">
            <v>50200</v>
          </cell>
          <cell r="Z79">
            <v>51000</v>
          </cell>
          <cell r="AA79">
            <v>51500</v>
          </cell>
          <cell r="AB79">
            <v>52100</v>
          </cell>
          <cell r="AC79">
            <v>52700</v>
          </cell>
          <cell r="AD79">
            <v>53200</v>
          </cell>
          <cell r="AE79">
            <v>53500</v>
          </cell>
          <cell r="AF79">
            <v>54100</v>
          </cell>
          <cell r="AG79">
            <v>54800</v>
          </cell>
          <cell r="AH79">
            <v>55300</v>
          </cell>
          <cell r="AI79">
            <v>55600</v>
          </cell>
          <cell r="AJ79">
            <v>55500</v>
          </cell>
          <cell r="AK79">
            <v>55300</v>
          </cell>
          <cell r="AL79">
            <v>55200</v>
          </cell>
          <cell r="AM79">
            <v>55500</v>
          </cell>
          <cell r="AN79">
            <v>55800</v>
          </cell>
          <cell r="AO79">
            <v>55900</v>
          </cell>
          <cell r="AP79">
            <v>56000</v>
          </cell>
          <cell r="AQ79">
            <v>56100</v>
          </cell>
          <cell r="AR79">
            <v>56100</v>
          </cell>
          <cell r="AS79">
            <v>56200</v>
          </cell>
          <cell r="AT79">
            <v>56350</v>
          </cell>
          <cell r="AU79">
            <v>56609</v>
          </cell>
          <cell r="AV79">
            <v>56765</v>
          </cell>
          <cell r="AW79">
            <v>56911</v>
          </cell>
          <cell r="AX79">
            <v>56935</v>
          </cell>
          <cell r="AY79">
            <v>56774</v>
          </cell>
          <cell r="AZ79">
            <v>56555</v>
          </cell>
          <cell r="BA79">
            <v>56328</v>
          </cell>
          <cell r="BB79">
            <v>56323</v>
          </cell>
          <cell r="BC79">
            <v>56905</v>
          </cell>
          <cell r="BD79">
            <v>56890</v>
          </cell>
          <cell r="BE79">
            <v>56810</v>
          </cell>
          <cell r="BF79">
            <v>56483</v>
          </cell>
          <cell r="BG79">
            <v>56295</v>
          </cell>
          <cell r="BH79">
            <v>56114</v>
          </cell>
          <cell r="BI79">
            <v>56186</v>
          </cell>
          <cell r="BJ79">
            <v>56172</v>
          </cell>
          <cell r="BK79">
            <v>56023</v>
          </cell>
          <cell r="BL79">
            <v>56225</v>
          </cell>
          <cell r="BM79">
            <v>56367</v>
          </cell>
          <cell r="BN79">
            <v>56367</v>
          </cell>
        </row>
        <row r="80">
          <cell r="B80" t="str">
            <v>GRD</v>
          </cell>
          <cell r="C80" t="str">
            <v>Population, total</v>
          </cell>
          <cell r="D80" t="str">
            <v>SP.POP.TOTL</v>
          </cell>
          <cell r="E80">
            <v>89927</v>
          </cell>
          <cell r="F80">
            <v>91324</v>
          </cell>
          <cell r="G80">
            <v>92481</v>
          </cell>
          <cell r="H80">
            <v>93409</v>
          </cell>
          <cell r="I80">
            <v>94122</v>
          </cell>
          <cell r="J80">
            <v>94634</v>
          </cell>
          <cell r="K80">
            <v>94936</v>
          </cell>
          <cell r="L80">
            <v>95012</v>
          </cell>
          <cell r="M80">
            <v>94929</v>
          </cell>
          <cell r="N80">
            <v>94723</v>
          </cell>
          <cell r="O80">
            <v>94476</v>
          </cell>
          <cell r="P80">
            <v>94212</v>
          </cell>
          <cell r="Q80">
            <v>93984</v>
          </cell>
          <cell r="R80">
            <v>93661</v>
          </cell>
          <cell r="S80">
            <v>93190</v>
          </cell>
          <cell r="T80">
            <v>92494</v>
          </cell>
          <cell r="U80">
            <v>91469</v>
          </cell>
          <cell r="V80">
            <v>90219</v>
          </cell>
          <cell r="W80">
            <v>89104</v>
          </cell>
          <cell r="X80">
            <v>88603</v>
          </cell>
          <cell r="Y80">
            <v>89032</v>
          </cell>
          <cell r="Z80">
            <v>90610</v>
          </cell>
          <cell r="AA80">
            <v>93132</v>
          </cell>
          <cell r="AB80">
            <v>96020</v>
          </cell>
          <cell r="AC80">
            <v>98472</v>
          </cell>
          <cell r="AD80">
            <v>99953</v>
          </cell>
          <cell r="AE80">
            <v>100183</v>
          </cell>
          <cell r="AF80">
            <v>99425</v>
          </cell>
          <cell r="AG80">
            <v>98126</v>
          </cell>
          <cell r="AH80">
            <v>96932</v>
          </cell>
          <cell r="AI80">
            <v>96328</v>
          </cell>
          <cell r="AJ80">
            <v>96462</v>
          </cell>
          <cell r="AK80">
            <v>97161</v>
          </cell>
          <cell r="AL80">
            <v>98234</v>
          </cell>
          <cell r="AM80">
            <v>99345</v>
          </cell>
          <cell r="AN80">
            <v>100286</v>
          </cell>
          <cell r="AO80">
            <v>101003</v>
          </cell>
          <cell r="AP80">
            <v>101567</v>
          </cell>
          <cell r="AQ80">
            <v>102023</v>
          </cell>
          <cell r="AR80">
            <v>102429</v>
          </cell>
          <cell r="AS80">
            <v>102837</v>
          </cell>
          <cell r="AT80">
            <v>103242</v>
          </cell>
          <cell r="AU80">
            <v>103636</v>
          </cell>
          <cell r="AV80">
            <v>104003</v>
          </cell>
          <cell r="AW80">
            <v>104346</v>
          </cell>
          <cell r="AX80">
            <v>104658</v>
          </cell>
          <cell r="AY80">
            <v>104938</v>
          </cell>
          <cell r="AZ80">
            <v>105183</v>
          </cell>
          <cell r="BA80">
            <v>105457</v>
          </cell>
          <cell r="BB80">
            <v>105787</v>
          </cell>
          <cell r="BC80">
            <v>106227</v>
          </cell>
          <cell r="BD80">
            <v>106786</v>
          </cell>
          <cell r="BE80">
            <v>107452</v>
          </cell>
          <cell r="BF80">
            <v>108172</v>
          </cell>
          <cell r="BG80">
            <v>108900</v>
          </cell>
          <cell r="BH80">
            <v>109603</v>
          </cell>
          <cell r="BI80">
            <v>110263</v>
          </cell>
          <cell r="BJ80">
            <v>110874</v>
          </cell>
          <cell r="BK80">
            <v>111449</v>
          </cell>
          <cell r="BL80">
            <v>112002</v>
          </cell>
          <cell r="BM80">
            <v>112519</v>
          </cell>
          <cell r="BN80">
            <v>112519</v>
          </cell>
        </row>
        <row r="81">
          <cell r="B81" t="str">
            <v>GUM</v>
          </cell>
          <cell r="C81" t="str">
            <v>Population, total</v>
          </cell>
          <cell r="D81" t="str">
            <v>SP.POP.TOTL</v>
          </cell>
          <cell r="E81">
            <v>66733</v>
          </cell>
          <cell r="F81">
            <v>68065</v>
          </cell>
          <cell r="G81">
            <v>69605</v>
          </cell>
          <cell r="H81">
            <v>71289</v>
          </cell>
          <cell r="I81">
            <v>73047</v>
          </cell>
          <cell r="J81">
            <v>74828</v>
          </cell>
          <cell r="K81">
            <v>76611</v>
          </cell>
          <cell r="L81">
            <v>78412</v>
          </cell>
          <cell r="M81">
            <v>80212</v>
          </cell>
          <cell r="N81">
            <v>82040</v>
          </cell>
          <cell r="O81">
            <v>83875</v>
          </cell>
          <cell r="P81">
            <v>85729</v>
          </cell>
          <cell r="Q81">
            <v>87580</v>
          </cell>
          <cell r="R81">
            <v>89459</v>
          </cell>
          <cell r="S81">
            <v>91378</v>
          </cell>
          <cell r="T81">
            <v>93351</v>
          </cell>
          <cell r="U81">
            <v>95380</v>
          </cell>
          <cell r="V81">
            <v>97477</v>
          </cell>
          <cell r="W81">
            <v>99629</v>
          </cell>
          <cell r="X81">
            <v>101837</v>
          </cell>
          <cell r="Y81">
            <v>104134</v>
          </cell>
          <cell r="Z81">
            <v>106482</v>
          </cell>
          <cell r="AA81">
            <v>108901</v>
          </cell>
          <cell r="AB81">
            <v>111403</v>
          </cell>
          <cell r="AC81">
            <v>113953</v>
          </cell>
          <cell r="AD81">
            <v>116576</v>
          </cell>
          <cell r="AE81">
            <v>119228</v>
          </cell>
          <cell r="AF81">
            <v>121923</v>
          </cell>
          <cell r="AG81">
            <v>124674</v>
          </cell>
          <cell r="AH81">
            <v>127525</v>
          </cell>
          <cell r="AI81">
            <v>130480</v>
          </cell>
          <cell r="AJ81">
            <v>133553</v>
          </cell>
          <cell r="AK81">
            <v>136693</v>
          </cell>
          <cell r="AL81">
            <v>139813</v>
          </cell>
          <cell r="AM81">
            <v>142806</v>
          </cell>
          <cell r="AN81">
            <v>145559</v>
          </cell>
          <cell r="AO81">
            <v>148061</v>
          </cell>
          <cell r="AP81">
            <v>150303</v>
          </cell>
          <cell r="AQ81">
            <v>152274</v>
          </cell>
          <cell r="AR81">
            <v>153955</v>
          </cell>
          <cell r="AS81">
            <v>155323</v>
          </cell>
          <cell r="AT81">
            <v>156395</v>
          </cell>
          <cell r="AU81">
            <v>157173</v>
          </cell>
          <cell r="AV81">
            <v>157723</v>
          </cell>
          <cell r="AW81">
            <v>158094</v>
          </cell>
          <cell r="AX81">
            <v>158406</v>
          </cell>
          <cell r="AY81">
            <v>158649</v>
          </cell>
          <cell r="AZ81">
            <v>158848</v>
          </cell>
          <cell r="BA81">
            <v>159037</v>
          </cell>
          <cell r="BB81">
            <v>159232</v>
          </cell>
          <cell r="BC81">
            <v>159439</v>
          </cell>
          <cell r="BD81">
            <v>159690</v>
          </cell>
          <cell r="BE81">
            <v>159990</v>
          </cell>
          <cell r="BF81">
            <v>160415</v>
          </cell>
          <cell r="BG81">
            <v>161007</v>
          </cell>
          <cell r="BH81">
            <v>161851</v>
          </cell>
          <cell r="BI81">
            <v>162948</v>
          </cell>
          <cell r="BJ81">
            <v>164281</v>
          </cell>
          <cell r="BK81">
            <v>165770</v>
          </cell>
          <cell r="BL81">
            <v>167295</v>
          </cell>
          <cell r="BM81">
            <v>168783</v>
          </cell>
          <cell r="BN81">
            <v>168783</v>
          </cell>
        </row>
        <row r="82">
          <cell r="B82" t="str">
            <v>GTM</v>
          </cell>
          <cell r="C82" t="str">
            <v>Population, total</v>
          </cell>
          <cell r="D82" t="str">
            <v>SP.POP.TOTL</v>
          </cell>
          <cell r="E82">
            <v>4128880</v>
          </cell>
          <cell r="F82">
            <v>4251911</v>
          </cell>
          <cell r="G82">
            <v>4378604</v>
          </cell>
          <cell r="H82">
            <v>4508444</v>
          </cell>
          <cell r="I82">
            <v>4640795</v>
          </cell>
          <cell r="J82">
            <v>4774984</v>
          </cell>
          <cell r="K82">
            <v>4910790</v>
          </cell>
          <cell r="L82">
            <v>5047435</v>
          </cell>
          <cell r="M82">
            <v>5184095</v>
          </cell>
          <cell r="N82">
            <v>5320100</v>
          </cell>
          <cell r="O82">
            <v>5455197</v>
          </cell>
          <cell r="P82">
            <v>5589563</v>
          </cell>
          <cell r="Q82">
            <v>5723759</v>
          </cell>
          <cell r="R82">
            <v>5858466</v>
          </cell>
          <cell r="S82">
            <v>5994300</v>
          </cell>
          <cell r="T82">
            <v>6131151</v>
          </cell>
          <cell r="U82">
            <v>6269983</v>
          </cell>
          <cell r="V82">
            <v>6412667</v>
          </cell>
          <cell r="W82">
            <v>6561919</v>
          </cell>
          <cell r="X82">
            <v>6720582</v>
          </cell>
          <cell r="Y82">
            <v>6890346</v>
          </cell>
          <cell r="Z82">
            <v>7071186</v>
          </cell>
          <cell r="AA82">
            <v>7262658</v>
          </cell>
          <cell r="AB82">
            <v>7462585</v>
          </cell>
          <cell r="AC82">
            <v>7669863</v>
          </cell>
          <cell r="AD82">
            <v>7884034</v>
          </cell>
          <cell r="AE82">
            <v>8104921</v>
          </cell>
          <cell r="AF82">
            <v>8332446</v>
          </cell>
          <cell r="AG82">
            <v>8566331</v>
          </cell>
          <cell r="AH82">
            <v>8805995</v>
          </cell>
          <cell r="AI82">
            <v>9050115</v>
          </cell>
          <cell r="AJ82">
            <v>9296814</v>
          </cell>
          <cell r="AK82">
            <v>9544055</v>
          </cell>
          <cell r="AL82">
            <v>9790619</v>
          </cell>
          <cell r="AM82">
            <v>10037522</v>
          </cell>
          <cell r="AN82">
            <v>10286786</v>
          </cell>
          <cell r="AO82">
            <v>10536942</v>
          </cell>
          <cell r="AP82">
            <v>10788362</v>
          </cell>
          <cell r="AQ82">
            <v>11046215</v>
          </cell>
          <cell r="AR82">
            <v>11311078</v>
          </cell>
          <cell r="AS82">
            <v>11589761</v>
          </cell>
          <cell r="AT82">
            <v>11871565</v>
          </cell>
          <cell r="AU82">
            <v>12147518</v>
          </cell>
          <cell r="AV82">
            <v>12415334</v>
          </cell>
          <cell r="AW82">
            <v>12682108</v>
          </cell>
          <cell r="AX82">
            <v>12948292</v>
          </cell>
          <cell r="AY82">
            <v>13213330</v>
          </cell>
          <cell r="AZ82">
            <v>13477017</v>
          </cell>
          <cell r="BA82">
            <v>13739299</v>
          </cell>
          <cell r="BB82">
            <v>14000190</v>
          </cell>
          <cell r="BC82">
            <v>14259687</v>
          </cell>
          <cell r="BD82">
            <v>14521515</v>
          </cell>
          <cell r="BE82">
            <v>14781942</v>
          </cell>
          <cell r="BF82">
            <v>15043981</v>
          </cell>
          <cell r="BG82">
            <v>15306316</v>
          </cell>
          <cell r="BH82">
            <v>15567419</v>
          </cell>
          <cell r="BI82">
            <v>15827690</v>
          </cell>
          <cell r="BJ82">
            <v>16087418</v>
          </cell>
          <cell r="BK82">
            <v>16346950</v>
          </cell>
          <cell r="BL82">
            <v>16604026</v>
          </cell>
          <cell r="BM82">
            <v>16858333</v>
          </cell>
          <cell r="BN82">
            <v>16858333</v>
          </cell>
        </row>
        <row r="83">
          <cell r="B83" t="str">
            <v>GIN</v>
          </cell>
          <cell r="C83" t="str">
            <v>Population, total</v>
          </cell>
          <cell r="D83" t="str">
            <v>SP.POP.TOTL</v>
          </cell>
          <cell r="E83">
            <v>3494164</v>
          </cell>
          <cell r="F83">
            <v>3552068</v>
          </cell>
          <cell r="G83">
            <v>3611428</v>
          </cell>
          <cell r="H83">
            <v>3672560</v>
          </cell>
          <cell r="I83">
            <v>3735912</v>
          </cell>
          <cell r="J83">
            <v>3801711</v>
          </cell>
          <cell r="K83">
            <v>3870204</v>
          </cell>
          <cell r="L83">
            <v>3941046</v>
          </cell>
          <cell r="M83">
            <v>4013050</v>
          </cell>
          <cell r="N83">
            <v>4084601</v>
          </cell>
          <cell r="O83">
            <v>4154606</v>
          </cell>
          <cell r="P83">
            <v>4223056</v>
          </cell>
          <cell r="Q83">
            <v>4290544</v>
          </cell>
          <cell r="R83">
            <v>4357357</v>
          </cell>
          <cell r="S83">
            <v>4424030</v>
          </cell>
          <cell r="T83">
            <v>4491248</v>
          </cell>
          <cell r="U83">
            <v>4559239</v>
          </cell>
          <cell r="V83">
            <v>4628881</v>
          </cell>
          <cell r="W83">
            <v>4702371</v>
          </cell>
          <cell r="X83">
            <v>4782491</v>
          </cell>
          <cell r="Y83">
            <v>4871446</v>
          </cell>
          <cell r="Z83">
            <v>4969595</v>
          </cell>
          <cell r="AA83">
            <v>5077073</v>
          </cell>
          <cell r="AB83">
            <v>5195443</v>
          </cell>
          <cell r="AC83">
            <v>5326369</v>
          </cell>
          <cell r="AD83">
            <v>5470716</v>
          </cell>
          <cell r="AE83">
            <v>5629420</v>
          </cell>
          <cell r="AF83">
            <v>5801323</v>
          </cell>
          <cell r="AG83">
            <v>5982484</v>
          </cell>
          <cell r="AH83">
            <v>6167480</v>
          </cell>
          <cell r="AI83">
            <v>6352282</v>
          </cell>
          <cell r="AJ83">
            <v>6534936</v>
          </cell>
          <cell r="AK83">
            <v>6716032</v>
          </cell>
          <cell r="AL83">
            <v>6897171</v>
          </cell>
          <cell r="AM83">
            <v>7081119</v>
          </cell>
          <cell r="AN83">
            <v>7269631</v>
          </cell>
          <cell r="AO83">
            <v>7463782</v>
          </cell>
          <cell r="AP83">
            <v>7662071</v>
          </cell>
          <cell r="AQ83">
            <v>7860772</v>
          </cell>
          <cell r="AR83">
            <v>8054745</v>
          </cell>
          <cell r="AS83">
            <v>8240735</v>
          </cell>
          <cell r="AT83">
            <v>8417082</v>
          </cell>
          <cell r="AU83">
            <v>8586077</v>
          </cell>
          <cell r="AV83">
            <v>8753097</v>
          </cell>
          <cell r="AW83">
            <v>8925729</v>
          </cell>
          <cell r="AX83">
            <v>9109585</v>
          </cell>
          <cell r="AY83">
            <v>9307421</v>
          </cell>
          <cell r="AZ83">
            <v>9518159</v>
          </cell>
          <cell r="BA83">
            <v>9738796</v>
          </cell>
          <cell r="BB83">
            <v>9964470</v>
          </cell>
          <cell r="BC83">
            <v>10192168</v>
          </cell>
          <cell r="BD83">
            <v>10420459</v>
          </cell>
          <cell r="BE83">
            <v>10652032</v>
          </cell>
          <cell r="BF83">
            <v>10892821</v>
          </cell>
          <cell r="BG83">
            <v>11150970</v>
          </cell>
          <cell r="BH83">
            <v>11432096</v>
          </cell>
          <cell r="BI83">
            <v>11738434</v>
          </cell>
          <cell r="BJ83">
            <v>12067516</v>
          </cell>
          <cell r="BK83">
            <v>12414292</v>
          </cell>
          <cell r="BL83">
            <v>12771246</v>
          </cell>
          <cell r="BM83">
            <v>13132792</v>
          </cell>
          <cell r="BN83">
            <v>13132792</v>
          </cell>
        </row>
        <row r="84">
          <cell r="B84" t="str">
            <v>GNB</v>
          </cell>
          <cell r="C84" t="str">
            <v>Population, total</v>
          </cell>
          <cell r="D84" t="str">
            <v>SP.POP.TOTL</v>
          </cell>
          <cell r="E84">
            <v>616140</v>
          </cell>
          <cell r="F84">
            <v>622754</v>
          </cell>
          <cell r="G84">
            <v>628877</v>
          </cell>
          <cell r="H84">
            <v>635008</v>
          </cell>
          <cell r="I84">
            <v>641821</v>
          </cell>
          <cell r="J84">
            <v>649795</v>
          </cell>
          <cell r="K84">
            <v>658998</v>
          </cell>
          <cell r="L84">
            <v>669243</v>
          </cell>
          <cell r="M84">
            <v>680431</v>
          </cell>
          <cell r="N84">
            <v>692407</v>
          </cell>
          <cell r="O84">
            <v>704937</v>
          </cell>
          <cell r="P84">
            <v>718359</v>
          </cell>
          <cell r="Q84">
            <v>732516</v>
          </cell>
          <cell r="R84">
            <v>746178</v>
          </cell>
          <cell r="S84">
            <v>757668</v>
          </cell>
          <cell r="T84">
            <v>765985</v>
          </cell>
          <cell r="U84">
            <v>770415</v>
          </cell>
          <cell r="V84">
            <v>771732</v>
          </cell>
          <cell r="W84">
            <v>772137</v>
          </cell>
          <cell r="X84">
            <v>774726</v>
          </cell>
          <cell r="Y84">
            <v>781678</v>
          </cell>
          <cell r="Z84">
            <v>793804</v>
          </cell>
          <cell r="AA84">
            <v>810402</v>
          </cell>
          <cell r="AB84">
            <v>830212</v>
          </cell>
          <cell r="AC84">
            <v>851276</v>
          </cell>
          <cell r="AD84">
            <v>872163</v>
          </cell>
          <cell r="AE84">
            <v>892530</v>
          </cell>
          <cell r="AF84">
            <v>912755</v>
          </cell>
          <cell r="AG84">
            <v>933046</v>
          </cell>
          <cell r="AH84">
            <v>953782</v>
          </cell>
          <cell r="AI84">
            <v>975265</v>
          </cell>
          <cell r="AJ84">
            <v>997522</v>
          </cell>
          <cell r="AK84">
            <v>1020353</v>
          </cell>
          <cell r="AL84">
            <v>1043421</v>
          </cell>
          <cell r="AM84">
            <v>1066345</v>
          </cell>
          <cell r="AN84">
            <v>1088850</v>
          </cell>
          <cell r="AO84">
            <v>1110835</v>
          </cell>
          <cell r="AP84">
            <v>1132505</v>
          </cell>
          <cell r="AQ84">
            <v>1154372</v>
          </cell>
          <cell r="AR84">
            <v>1177133</v>
          </cell>
          <cell r="AS84">
            <v>1201305</v>
          </cell>
          <cell r="AT84">
            <v>1227105</v>
          </cell>
          <cell r="AU84">
            <v>1254454</v>
          </cell>
          <cell r="AV84">
            <v>1283297</v>
          </cell>
          <cell r="AW84">
            <v>1313492</v>
          </cell>
          <cell r="AX84">
            <v>1344931</v>
          </cell>
          <cell r="AY84">
            <v>1377582</v>
          </cell>
          <cell r="AZ84">
            <v>1411545</v>
          </cell>
          <cell r="BA84">
            <v>1446936</v>
          </cell>
          <cell r="BB84">
            <v>1483920</v>
          </cell>
          <cell r="BC84">
            <v>1522603</v>
          </cell>
          <cell r="BD84">
            <v>1562996</v>
          </cell>
          <cell r="BE84">
            <v>1604981</v>
          </cell>
          <cell r="BF84">
            <v>1648259</v>
          </cell>
          <cell r="BG84">
            <v>1692433</v>
          </cell>
          <cell r="BH84">
            <v>1737207</v>
          </cell>
          <cell r="BI84">
            <v>1782434</v>
          </cell>
          <cell r="BJ84">
            <v>1828146</v>
          </cell>
          <cell r="BK84">
            <v>1874304</v>
          </cell>
          <cell r="BL84">
            <v>1920917</v>
          </cell>
          <cell r="BM84">
            <v>1967998</v>
          </cell>
          <cell r="BN84">
            <v>1967998</v>
          </cell>
        </row>
        <row r="85">
          <cell r="B85" t="str">
            <v>GUY</v>
          </cell>
          <cell r="C85" t="str">
            <v>Population, total</v>
          </cell>
          <cell r="D85" t="str">
            <v>SP.POP.TOTL</v>
          </cell>
          <cell r="E85">
            <v>571813</v>
          </cell>
          <cell r="F85">
            <v>589274</v>
          </cell>
          <cell r="G85">
            <v>606286</v>
          </cell>
          <cell r="H85">
            <v>622580</v>
          </cell>
          <cell r="I85">
            <v>637835</v>
          </cell>
          <cell r="J85">
            <v>651865</v>
          </cell>
          <cell r="K85">
            <v>664518</v>
          </cell>
          <cell r="L85">
            <v>675861</v>
          </cell>
          <cell r="M85">
            <v>686144</v>
          </cell>
          <cell r="N85">
            <v>695743</v>
          </cell>
          <cell r="O85">
            <v>704930</v>
          </cell>
          <cell r="P85">
            <v>713684</v>
          </cell>
          <cell r="Q85">
            <v>721949</v>
          </cell>
          <cell r="R85">
            <v>729909</v>
          </cell>
          <cell r="S85">
            <v>737846</v>
          </cell>
          <cell r="T85">
            <v>745847</v>
          </cell>
          <cell r="U85">
            <v>754101</v>
          </cell>
          <cell r="V85">
            <v>762424</v>
          </cell>
          <cell r="W85">
            <v>770128</v>
          </cell>
          <cell r="X85">
            <v>776257</v>
          </cell>
          <cell r="Y85">
            <v>780153</v>
          </cell>
          <cell r="Z85">
            <v>781734</v>
          </cell>
          <cell r="AA85">
            <v>781249</v>
          </cell>
          <cell r="AB85">
            <v>778953</v>
          </cell>
          <cell r="AC85">
            <v>775217</v>
          </cell>
          <cell r="AD85">
            <v>770439</v>
          </cell>
          <cell r="AE85">
            <v>764447</v>
          </cell>
          <cell r="AF85">
            <v>757451</v>
          </cell>
          <cell r="AG85">
            <v>750641</v>
          </cell>
          <cell r="AH85">
            <v>745581</v>
          </cell>
          <cell r="AI85">
            <v>743306</v>
          </cell>
          <cell r="AJ85">
            <v>744477</v>
          </cell>
          <cell r="AK85">
            <v>748596</v>
          </cell>
          <cell r="AL85">
            <v>754141</v>
          </cell>
          <cell r="AM85">
            <v>758896</v>
          </cell>
          <cell r="AN85">
            <v>761298</v>
          </cell>
          <cell r="AO85">
            <v>760801</v>
          </cell>
          <cell r="AP85">
            <v>757975</v>
          </cell>
          <cell r="AQ85">
            <v>753778</v>
          </cell>
          <cell r="AR85">
            <v>749676</v>
          </cell>
          <cell r="AS85">
            <v>746718</v>
          </cell>
          <cell r="AT85">
            <v>745206</v>
          </cell>
          <cell r="AU85">
            <v>744789</v>
          </cell>
          <cell r="AV85">
            <v>745142</v>
          </cell>
          <cell r="AW85">
            <v>745737</v>
          </cell>
          <cell r="AX85">
            <v>746156</v>
          </cell>
          <cell r="AY85">
            <v>746335</v>
          </cell>
          <cell r="AZ85">
            <v>746477</v>
          </cell>
          <cell r="BA85">
            <v>746815</v>
          </cell>
          <cell r="BB85">
            <v>747718</v>
          </cell>
          <cell r="BC85">
            <v>749430</v>
          </cell>
          <cell r="BD85">
            <v>752029</v>
          </cell>
          <cell r="BE85">
            <v>755388</v>
          </cell>
          <cell r="BF85">
            <v>759281</v>
          </cell>
          <cell r="BG85">
            <v>763371</v>
          </cell>
          <cell r="BH85">
            <v>767433</v>
          </cell>
          <cell r="BI85">
            <v>771363</v>
          </cell>
          <cell r="BJ85">
            <v>775218</v>
          </cell>
          <cell r="BK85">
            <v>779007</v>
          </cell>
          <cell r="BL85">
            <v>782775</v>
          </cell>
          <cell r="BM85">
            <v>786559</v>
          </cell>
          <cell r="BN85">
            <v>786559</v>
          </cell>
        </row>
        <row r="86">
          <cell r="B86" t="str">
            <v>HTI</v>
          </cell>
          <cell r="C86" t="str">
            <v>Population, total</v>
          </cell>
          <cell r="D86" t="str">
            <v>SP.POP.TOTL</v>
          </cell>
          <cell r="E86">
            <v>3866162</v>
          </cell>
          <cell r="F86">
            <v>3941956</v>
          </cell>
          <cell r="G86">
            <v>4019171</v>
          </cell>
          <cell r="H86">
            <v>4097755</v>
          </cell>
          <cell r="I86">
            <v>4177631</v>
          </cell>
          <cell r="J86">
            <v>4258734</v>
          </cell>
          <cell r="K86">
            <v>4341325</v>
          </cell>
          <cell r="L86">
            <v>4425318</v>
          </cell>
          <cell r="M86">
            <v>4509811</v>
          </cell>
          <cell r="N86">
            <v>4593666</v>
          </cell>
          <cell r="O86">
            <v>4676237</v>
          </cell>
          <cell r="P86">
            <v>4757175</v>
          </cell>
          <cell r="Q86">
            <v>4837334</v>
          </cell>
          <cell r="R86">
            <v>4918625</v>
          </cell>
          <cell r="S86">
            <v>5003708</v>
          </cell>
          <cell r="T86">
            <v>5094570</v>
          </cell>
          <cell r="U86">
            <v>5191637</v>
          </cell>
          <cell r="V86">
            <v>5294625</v>
          </cell>
          <cell r="W86">
            <v>5404020</v>
          </cell>
          <cell r="X86">
            <v>5520187</v>
          </cell>
          <cell r="Y86">
            <v>5643175</v>
          </cell>
          <cell r="Z86">
            <v>5773367</v>
          </cell>
          <cell r="AA86">
            <v>5910223</v>
          </cell>
          <cell r="AB86">
            <v>6051617</v>
          </cell>
          <cell r="AC86">
            <v>6194686</v>
          </cell>
          <cell r="AD86">
            <v>6337275</v>
          </cell>
          <cell r="AE86">
            <v>6478537</v>
          </cell>
          <cell r="AF86">
            <v>6618742</v>
          </cell>
          <cell r="AG86">
            <v>6758222</v>
          </cell>
          <cell r="AH86">
            <v>6897755</v>
          </cell>
          <cell r="AI86">
            <v>7037915</v>
          </cell>
          <cell r="AJ86">
            <v>7178611</v>
          </cell>
          <cell r="AK86">
            <v>7319491</v>
          </cell>
          <cell r="AL86">
            <v>7460684</v>
          </cell>
          <cell r="AM86">
            <v>7602318</v>
          </cell>
          <cell r="AN86">
            <v>7744509</v>
          </cell>
          <cell r="AO86">
            <v>7887312</v>
          </cell>
          <cell r="AP86">
            <v>8030721</v>
          </cell>
          <cell r="AQ86">
            <v>8174680</v>
          </cell>
          <cell r="AR86">
            <v>8319070</v>
          </cell>
          <cell r="AS86">
            <v>8463802</v>
          </cell>
          <cell r="AT86">
            <v>8608810</v>
          </cell>
          <cell r="AU86">
            <v>8754148</v>
          </cell>
          <cell r="AV86">
            <v>8900108</v>
          </cell>
          <cell r="AW86">
            <v>9047082</v>
          </cell>
          <cell r="AX86">
            <v>9195289</v>
          </cell>
          <cell r="AY86">
            <v>9344784</v>
          </cell>
          <cell r="AZ86">
            <v>9495336</v>
          </cell>
          <cell r="BA86">
            <v>9646570</v>
          </cell>
          <cell r="BB86">
            <v>9798046</v>
          </cell>
          <cell r="BC86">
            <v>9949318</v>
          </cell>
          <cell r="BD86">
            <v>10100320</v>
          </cell>
          <cell r="BE86">
            <v>10250922</v>
          </cell>
          <cell r="BF86">
            <v>10400672</v>
          </cell>
          <cell r="BG86">
            <v>10549007</v>
          </cell>
          <cell r="BH86">
            <v>10695540</v>
          </cell>
          <cell r="BI86">
            <v>10839976</v>
          </cell>
          <cell r="BJ86">
            <v>10982367</v>
          </cell>
          <cell r="BK86">
            <v>11123183</v>
          </cell>
          <cell r="BL86">
            <v>11263079</v>
          </cell>
          <cell r="BM86">
            <v>11402533</v>
          </cell>
          <cell r="BN86">
            <v>11402533</v>
          </cell>
        </row>
        <row r="87">
          <cell r="B87" t="str">
            <v>HND</v>
          </cell>
          <cell r="C87" t="str">
            <v>Population, total</v>
          </cell>
          <cell r="D87" t="str">
            <v>SP.POP.TOTL</v>
          </cell>
          <cell r="E87">
            <v>2038636</v>
          </cell>
          <cell r="F87">
            <v>2096407</v>
          </cell>
          <cell r="G87">
            <v>2155648</v>
          </cell>
          <cell r="H87">
            <v>2216712</v>
          </cell>
          <cell r="I87">
            <v>2280044</v>
          </cell>
          <cell r="J87">
            <v>2346005</v>
          </cell>
          <cell r="K87">
            <v>2414805</v>
          </cell>
          <cell r="L87">
            <v>2486418</v>
          </cell>
          <cell r="M87">
            <v>2560723</v>
          </cell>
          <cell r="N87">
            <v>2637515</v>
          </cell>
          <cell r="O87">
            <v>2716652</v>
          </cell>
          <cell r="P87">
            <v>2798125</v>
          </cell>
          <cell r="Q87">
            <v>2882102</v>
          </cell>
          <cell r="R87">
            <v>2968978</v>
          </cell>
          <cell r="S87">
            <v>3059245</v>
          </cell>
          <cell r="T87">
            <v>3153252</v>
          </cell>
          <cell r="U87">
            <v>3251145</v>
          </cell>
          <cell r="V87">
            <v>3352825</v>
          </cell>
          <cell r="W87">
            <v>3458102</v>
          </cell>
          <cell r="X87">
            <v>3566661</v>
          </cell>
          <cell r="Y87">
            <v>3678274</v>
          </cell>
          <cell r="Z87">
            <v>3792922</v>
          </cell>
          <cell r="AA87">
            <v>3910642</v>
          </cell>
          <cell r="AB87">
            <v>4031333</v>
          </cell>
          <cell r="AC87">
            <v>4154864</v>
          </cell>
          <cell r="AD87">
            <v>4281167</v>
          </cell>
          <cell r="AE87">
            <v>4410270</v>
          </cell>
          <cell r="AF87">
            <v>4542218</v>
          </cell>
          <cell r="AG87">
            <v>4677023</v>
          </cell>
          <cell r="AH87">
            <v>4814696</v>
          </cell>
          <cell r="AI87">
            <v>4955302</v>
          </cell>
          <cell r="AJ87">
            <v>5098594</v>
          </cell>
          <cell r="AK87">
            <v>5244677</v>
          </cell>
          <cell r="AL87">
            <v>5394416</v>
          </cell>
          <cell r="AM87">
            <v>5548969</v>
          </cell>
          <cell r="AN87">
            <v>5709010</v>
          </cell>
          <cell r="AO87">
            <v>5874814</v>
          </cell>
          <cell r="AP87">
            <v>6045704</v>
          </cell>
          <cell r="AQ87">
            <v>6220405</v>
          </cell>
          <cell r="AR87">
            <v>6397140</v>
          </cell>
          <cell r="AS87">
            <v>6574510</v>
          </cell>
          <cell r="AT87">
            <v>6751912</v>
          </cell>
          <cell r="AU87">
            <v>6929267</v>
          </cell>
          <cell r="AV87">
            <v>7106323</v>
          </cell>
          <cell r="AW87">
            <v>7282953</v>
          </cell>
          <cell r="AX87">
            <v>7458982</v>
          </cell>
          <cell r="AY87">
            <v>7634295</v>
          </cell>
          <cell r="AZ87">
            <v>7808520</v>
          </cell>
          <cell r="BA87">
            <v>7980955</v>
          </cell>
          <cell r="BB87">
            <v>8150780</v>
          </cell>
          <cell r="BC87">
            <v>8317467</v>
          </cell>
          <cell r="BD87">
            <v>8480670</v>
          </cell>
          <cell r="BE87">
            <v>8640692</v>
          </cell>
          <cell r="BF87">
            <v>8798524</v>
          </cell>
          <cell r="BG87">
            <v>8955579</v>
          </cell>
          <cell r="BH87">
            <v>9112904</v>
          </cell>
          <cell r="BI87">
            <v>9270794</v>
          </cell>
          <cell r="BJ87">
            <v>9429016</v>
          </cell>
          <cell r="BK87">
            <v>9587523</v>
          </cell>
          <cell r="BL87">
            <v>9746115</v>
          </cell>
          <cell r="BM87">
            <v>9904608</v>
          </cell>
          <cell r="BN87">
            <v>9904608</v>
          </cell>
        </row>
        <row r="88">
          <cell r="B88" t="str">
            <v>HKG</v>
          </cell>
          <cell r="C88" t="str">
            <v>Population, total</v>
          </cell>
          <cell r="D88" t="str">
            <v>SP.POP.TOTL</v>
          </cell>
          <cell r="E88">
            <v>3075605</v>
          </cell>
          <cell r="F88">
            <v>3168100</v>
          </cell>
          <cell r="G88">
            <v>3305200</v>
          </cell>
          <cell r="H88">
            <v>3420900</v>
          </cell>
          <cell r="I88">
            <v>3504600</v>
          </cell>
          <cell r="J88">
            <v>3597900</v>
          </cell>
          <cell r="K88">
            <v>3629900</v>
          </cell>
          <cell r="L88">
            <v>3722800</v>
          </cell>
          <cell r="M88">
            <v>3802700</v>
          </cell>
          <cell r="N88">
            <v>3863900</v>
          </cell>
          <cell r="O88">
            <v>3959000</v>
          </cell>
          <cell r="P88">
            <v>4045300</v>
          </cell>
          <cell r="Q88">
            <v>4123600</v>
          </cell>
          <cell r="R88">
            <v>4241600</v>
          </cell>
          <cell r="S88">
            <v>4377800</v>
          </cell>
          <cell r="T88">
            <v>4461600</v>
          </cell>
          <cell r="U88">
            <v>4518000</v>
          </cell>
          <cell r="V88">
            <v>4583700</v>
          </cell>
          <cell r="W88">
            <v>4667500</v>
          </cell>
          <cell r="X88">
            <v>4929700</v>
          </cell>
          <cell r="Y88">
            <v>5063100</v>
          </cell>
          <cell r="Z88">
            <v>5183400</v>
          </cell>
          <cell r="AA88">
            <v>5264500</v>
          </cell>
          <cell r="AB88">
            <v>5345100</v>
          </cell>
          <cell r="AC88">
            <v>5397900</v>
          </cell>
          <cell r="AD88">
            <v>5456200</v>
          </cell>
          <cell r="AE88">
            <v>5524600</v>
          </cell>
          <cell r="AF88">
            <v>5580500</v>
          </cell>
          <cell r="AG88">
            <v>5627600</v>
          </cell>
          <cell r="AH88">
            <v>5686200</v>
          </cell>
          <cell r="AI88">
            <v>5704500</v>
          </cell>
          <cell r="AJ88">
            <v>5752000</v>
          </cell>
          <cell r="AK88">
            <v>5800500</v>
          </cell>
          <cell r="AL88">
            <v>5901000</v>
          </cell>
          <cell r="AM88">
            <v>6035400</v>
          </cell>
          <cell r="AN88">
            <v>6156100</v>
          </cell>
          <cell r="AO88">
            <v>6435500</v>
          </cell>
          <cell r="AP88">
            <v>6489300</v>
          </cell>
          <cell r="AQ88">
            <v>6543700</v>
          </cell>
          <cell r="AR88">
            <v>6606500</v>
          </cell>
          <cell r="AS88">
            <v>6665000</v>
          </cell>
          <cell r="AT88">
            <v>6714300</v>
          </cell>
          <cell r="AU88">
            <v>6744100</v>
          </cell>
          <cell r="AV88">
            <v>6730800</v>
          </cell>
          <cell r="AW88">
            <v>6783500</v>
          </cell>
          <cell r="AX88">
            <v>6813200</v>
          </cell>
          <cell r="AY88">
            <v>6857100</v>
          </cell>
          <cell r="AZ88">
            <v>6916300</v>
          </cell>
          <cell r="BA88">
            <v>6957800</v>
          </cell>
          <cell r="BB88">
            <v>6972800</v>
          </cell>
          <cell r="BC88">
            <v>7024200</v>
          </cell>
          <cell r="BD88">
            <v>7071600</v>
          </cell>
          <cell r="BE88">
            <v>7150100</v>
          </cell>
          <cell r="BF88">
            <v>7178900</v>
          </cell>
          <cell r="BG88">
            <v>7229500</v>
          </cell>
          <cell r="BH88">
            <v>7291300</v>
          </cell>
          <cell r="BI88">
            <v>7336600</v>
          </cell>
          <cell r="BJ88">
            <v>7391700</v>
          </cell>
          <cell r="BK88">
            <v>7451000</v>
          </cell>
          <cell r="BL88">
            <v>7507400</v>
          </cell>
          <cell r="BM88">
            <v>7481800</v>
          </cell>
          <cell r="BN88">
            <v>7481800</v>
          </cell>
        </row>
        <row r="89">
          <cell r="B89" t="str">
            <v>HUN</v>
          </cell>
          <cell r="C89" t="str">
            <v>Population, total</v>
          </cell>
          <cell r="D89" t="str">
            <v>SP.POP.TOTL</v>
          </cell>
          <cell r="E89">
            <v>9983967</v>
          </cell>
          <cell r="F89">
            <v>10029321</v>
          </cell>
          <cell r="G89">
            <v>10061734</v>
          </cell>
          <cell r="H89">
            <v>10087947</v>
          </cell>
          <cell r="I89">
            <v>10119835</v>
          </cell>
          <cell r="J89">
            <v>10147935</v>
          </cell>
          <cell r="K89">
            <v>10178653</v>
          </cell>
          <cell r="L89">
            <v>10216604</v>
          </cell>
          <cell r="M89">
            <v>10255815</v>
          </cell>
          <cell r="N89">
            <v>10298723</v>
          </cell>
          <cell r="O89">
            <v>10337910</v>
          </cell>
          <cell r="P89">
            <v>10367537</v>
          </cell>
          <cell r="Q89">
            <v>10398489</v>
          </cell>
          <cell r="R89">
            <v>10432055</v>
          </cell>
          <cell r="S89">
            <v>10478720</v>
          </cell>
          <cell r="T89">
            <v>10540525</v>
          </cell>
          <cell r="U89">
            <v>10598677</v>
          </cell>
          <cell r="V89">
            <v>10648031</v>
          </cell>
          <cell r="W89">
            <v>10684822</v>
          </cell>
          <cell r="X89">
            <v>10704152</v>
          </cell>
          <cell r="Y89">
            <v>10711122</v>
          </cell>
          <cell r="Z89">
            <v>10711848</v>
          </cell>
          <cell r="AA89">
            <v>10705535</v>
          </cell>
          <cell r="AB89">
            <v>10689463</v>
          </cell>
          <cell r="AC89">
            <v>10668095</v>
          </cell>
          <cell r="AD89">
            <v>10648713</v>
          </cell>
          <cell r="AE89">
            <v>10630564</v>
          </cell>
          <cell r="AF89">
            <v>10612741</v>
          </cell>
          <cell r="AG89">
            <v>10596487</v>
          </cell>
          <cell r="AH89">
            <v>10481719</v>
          </cell>
          <cell r="AI89">
            <v>10373988</v>
          </cell>
          <cell r="AJ89">
            <v>10373400</v>
          </cell>
          <cell r="AK89">
            <v>10369341</v>
          </cell>
          <cell r="AL89">
            <v>10357523</v>
          </cell>
          <cell r="AM89">
            <v>10343355</v>
          </cell>
          <cell r="AN89">
            <v>10328965</v>
          </cell>
          <cell r="AO89">
            <v>10311238</v>
          </cell>
          <cell r="AP89">
            <v>10290486</v>
          </cell>
          <cell r="AQ89">
            <v>10266570</v>
          </cell>
          <cell r="AR89">
            <v>10237530</v>
          </cell>
          <cell r="AS89">
            <v>10210971</v>
          </cell>
          <cell r="AT89">
            <v>10187576</v>
          </cell>
          <cell r="AU89">
            <v>10158608</v>
          </cell>
          <cell r="AV89">
            <v>10129552</v>
          </cell>
          <cell r="AW89">
            <v>10107146</v>
          </cell>
          <cell r="AX89">
            <v>10087065</v>
          </cell>
          <cell r="AY89">
            <v>10071370</v>
          </cell>
          <cell r="AZ89">
            <v>10055780</v>
          </cell>
          <cell r="BA89">
            <v>10038188</v>
          </cell>
          <cell r="BB89">
            <v>10022650</v>
          </cell>
          <cell r="BC89">
            <v>10000023</v>
          </cell>
          <cell r="BD89">
            <v>9971727</v>
          </cell>
          <cell r="BE89">
            <v>9920362</v>
          </cell>
          <cell r="BF89">
            <v>9893082</v>
          </cell>
          <cell r="BG89">
            <v>9866468</v>
          </cell>
          <cell r="BH89">
            <v>9843028</v>
          </cell>
          <cell r="BI89">
            <v>9814023</v>
          </cell>
          <cell r="BJ89">
            <v>9787966</v>
          </cell>
          <cell r="BK89">
            <v>9775564</v>
          </cell>
          <cell r="BL89">
            <v>9771141</v>
          </cell>
          <cell r="BM89">
            <v>9749763</v>
          </cell>
          <cell r="BN89">
            <v>9749763</v>
          </cell>
        </row>
        <row r="90">
          <cell r="B90" t="str">
            <v>ISL</v>
          </cell>
          <cell r="C90" t="str">
            <v>Population, total</v>
          </cell>
          <cell r="D90" t="str">
            <v>SP.POP.TOTL</v>
          </cell>
          <cell r="E90">
            <v>175574</v>
          </cell>
          <cell r="F90">
            <v>179029</v>
          </cell>
          <cell r="G90">
            <v>182378</v>
          </cell>
          <cell r="H90">
            <v>185653</v>
          </cell>
          <cell r="I90">
            <v>188983</v>
          </cell>
          <cell r="J90">
            <v>192286</v>
          </cell>
          <cell r="K90">
            <v>195570</v>
          </cell>
          <cell r="L90">
            <v>198751</v>
          </cell>
          <cell r="M90">
            <v>201488</v>
          </cell>
          <cell r="N90">
            <v>203369</v>
          </cell>
          <cell r="O90">
            <v>204438</v>
          </cell>
          <cell r="P90">
            <v>206098</v>
          </cell>
          <cell r="Q90">
            <v>209137</v>
          </cell>
          <cell r="R90">
            <v>212317</v>
          </cell>
          <cell r="S90">
            <v>215209</v>
          </cell>
          <cell r="T90">
            <v>217979</v>
          </cell>
          <cell r="U90">
            <v>220154</v>
          </cell>
          <cell r="V90">
            <v>221799</v>
          </cell>
          <cell r="W90">
            <v>223537</v>
          </cell>
          <cell r="X90">
            <v>225735</v>
          </cell>
          <cell r="Y90">
            <v>228138</v>
          </cell>
          <cell r="Z90">
            <v>230755</v>
          </cell>
          <cell r="AA90">
            <v>233860</v>
          </cell>
          <cell r="AB90">
            <v>236977</v>
          </cell>
          <cell r="AC90">
            <v>239511</v>
          </cell>
          <cell r="AD90">
            <v>241405</v>
          </cell>
          <cell r="AE90">
            <v>243180</v>
          </cell>
          <cell r="AF90">
            <v>245859</v>
          </cell>
          <cell r="AG90">
            <v>249740</v>
          </cell>
          <cell r="AH90">
            <v>252852</v>
          </cell>
          <cell r="AI90">
            <v>254826</v>
          </cell>
          <cell r="AJ90">
            <v>257797</v>
          </cell>
          <cell r="AK90">
            <v>261057</v>
          </cell>
          <cell r="AL90">
            <v>263725</v>
          </cell>
          <cell r="AM90">
            <v>266021</v>
          </cell>
          <cell r="AN90">
            <v>267468</v>
          </cell>
          <cell r="AO90">
            <v>268916</v>
          </cell>
          <cell r="AP90">
            <v>271128</v>
          </cell>
          <cell r="AQ90">
            <v>274047</v>
          </cell>
          <cell r="AR90">
            <v>277381</v>
          </cell>
          <cell r="AS90">
            <v>281205</v>
          </cell>
          <cell r="AT90">
            <v>284968</v>
          </cell>
          <cell r="AU90">
            <v>287523</v>
          </cell>
          <cell r="AV90">
            <v>289521</v>
          </cell>
          <cell r="AW90">
            <v>292074</v>
          </cell>
          <cell r="AX90">
            <v>296734</v>
          </cell>
          <cell r="AY90">
            <v>303782</v>
          </cell>
          <cell r="AZ90">
            <v>311566</v>
          </cell>
          <cell r="BA90">
            <v>317414</v>
          </cell>
          <cell r="BB90">
            <v>318499</v>
          </cell>
          <cell r="BC90">
            <v>318041</v>
          </cell>
          <cell r="BD90">
            <v>319014</v>
          </cell>
          <cell r="BE90">
            <v>320716</v>
          </cell>
          <cell r="BF90">
            <v>323764</v>
          </cell>
          <cell r="BG90">
            <v>327386</v>
          </cell>
          <cell r="BH90">
            <v>330815</v>
          </cell>
          <cell r="BI90">
            <v>335439</v>
          </cell>
          <cell r="BJ90">
            <v>343400</v>
          </cell>
          <cell r="BK90">
            <v>352721</v>
          </cell>
          <cell r="BL90">
            <v>360563</v>
          </cell>
          <cell r="BM90">
            <v>366425</v>
          </cell>
          <cell r="BN90">
            <v>366425</v>
          </cell>
        </row>
        <row r="91">
          <cell r="B91" t="str">
            <v>IND</v>
          </cell>
          <cell r="C91" t="str">
            <v>Population, total</v>
          </cell>
          <cell r="D91" t="str">
            <v>SP.POP.TOTL</v>
          </cell>
          <cell r="E91">
            <v>450547675</v>
          </cell>
          <cell r="F91">
            <v>459642166</v>
          </cell>
          <cell r="G91">
            <v>469077191</v>
          </cell>
          <cell r="H91">
            <v>478825602</v>
          </cell>
          <cell r="I91">
            <v>488848139</v>
          </cell>
          <cell r="J91">
            <v>499123328</v>
          </cell>
          <cell r="K91">
            <v>509631509</v>
          </cell>
          <cell r="L91">
            <v>520400577</v>
          </cell>
          <cell r="M91">
            <v>531513834</v>
          </cell>
          <cell r="N91">
            <v>543084333</v>
          </cell>
          <cell r="O91">
            <v>555189797</v>
          </cell>
          <cell r="P91">
            <v>567868021</v>
          </cell>
          <cell r="Q91">
            <v>581087255</v>
          </cell>
          <cell r="R91">
            <v>594770136</v>
          </cell>
          <cell r="S91">
            <v>608802595</v>
          </cell>
          <cell r="T91">
            <v>623102900</v>
          </cell>
          <cell r="U91">
            <v>637630085</v>
          </cell>
          <cell r="V91">
            <v>652408766</v>
          </cell>
          <cell r="W91">
            <v>667499815</v>
          </cell>
          <cell r="X91">
            <v>682995348</v>
          </cell>
          <cell r="Y91">
            <v>698952837</v>
          </cell>
          <cell r="Z91">
            <v>715384997</v>
          </cell>
          <cell r="AA91">
            <v>732239498</v>
          </cell>
          <cell r="AB91">
            <v>749428958</v>
          </cell>
          <cell r="AC91">
            <v>766833411</v>
          </cell>
          <cell r="AD91">
            <v>784360012</v>
          </cell>
          <cell r="AE91">
            <v>801975250</v>
          </cell>
          <cell r="AF91">
            <v>819682095</v>
          </cell>
          <cell r="AG91">
            <v>837468938</v>
          </cell>
          <cell r="AH91">
            <v>855334675</v>
          </cell>
          <cell r="AI91">
            <v>873277799</v>
          </cell>
          <cell r="AJ91">
            <v>891273202</v>
          </cell>
          <cell r="AK91">
            <v>909307018</v>
          </cell>
          <cell r="AL91">
            <v>927403866</v>
          </cell>
          <cell r="AM91">
            <v>945601828</v>
          </cell>
          <cell r="AN91">
            <v>963922586</v>
          </cell>
          <cell r="AO91">
            <v>982365248</v>
          </cell>
          <cell r="AP91">
            <v>1000900028</v>
          </cell>
          <cell r="AQ91">
            <v>1019483586</v>
          </cell>
          <cell r="AR91">
            <v>1038058154</v>
          </cell>
          <cell r="AS91">
            <v>1056575548</v>
          </cell>
          <cell r="AT91">
            <v>1075000094</v>
          </cell>
          <cell r="AU91">
            <v>1093317187</v>
          </cell>
          <cell r="AV91">
            <v>1111523146</v>
          </cell>
          <cell r="AW91">
            <v>1129623466</v>
          </cell>
          <cell r="AX91">
            <v>1147609924</v>
          </cell>
          <cell r="AY91">
            <v>1165486291</v>
          </cell>
          <cell r="AZ91">
            <v>1183209471</v>
          </cell>
          <cell r="BA91">
            <v>1200669762</v>
          </cell>
          <cell r="BB91">
            <v>1217726217</v>
          </cell>
          <cell r="BC91">
            <v>1234281163</v>
          </cell>
          <cell r="BD91">
            <v>1250287939</v>
          </cell>
          <cell r="BE91">
            <v>1265780243</v>
          </cell>
          <cell r="BF91">
            <v>1280842119</v>
          </cell>
          <cell r="BG91">
            <v>1295600768</v>
          </cell>
          <cell r="BH91">
            <v>1310152392</v>
          </cell>
          <cell r="BI91">
            <v>1324517250</v>
          </cell>
          <cell r="BJ91">
            <v>1338676779</v>
          </cell>
          <cell r="BK91">
            <v>1352642283</v>
          </cell>
          <cell r="BL91">
            <v>1366417756</v>
          </cell>
          <cell r="BM91">
            <v>1380004385</v>
          </cell>
          <cell r="BN91">
            <v>1380004385</v>
          </cell>
        </row>
        <row r="92">
          <cell r="B92" t="str">
            <v>IDN</v>
          </cell>
          <cell r="C92" t="str">
            <v>Population, total</v>
          </cell>
          <cell r="D92" t="str">
            <v>SP.POP.TOTL</v>
          </cell>
          <cell r="E92">
            <v>87751066</v>
          </cell>
          <cell r="F92">
            <v>90098396</v>
          </cell>
          <cell r="G92">
            <v>92518373</v>
          </cell>
          <cell r="H92">
            <v>95015295</v>
          </cell>
          <cell r="I92">
            <v>97596728</v>
          </cell>
          <cell r="J92">
            <v>100267070</v>
          </cell>
          <cell r="K92">
            <v>103025423</v>
          </cell>
          <cell r="L92">
            <v>105865576</v>
          </cell>
          <cell r="M92">
            <v>108779926</v>
          </cell>
          <cell r="N92">
            <v>111758566</v>
          </cell>
          <cell r="O92">
            <v>114793179</v>
          </cell>
          <cell r="P92">
            <v>117880146</v>
          </cell>
          <cell r="Q92">
            <v>121017316</v>
          </cell>
          <cell r="R92">
            <v>124199693</v>
          </cell>
          <cell r="S92">
            <v>127422198</v>
          </cell>
          <cell r="T92">
            <v>130680730</v>
          </cell>
          <cell r="U92">
            <v>133966940</v>
          </cell>
          <cell r="V92">
            <v>137278057</v>
          </cell>
          <cell r="W92">
            <v>140621731</v>
          </cell>
          <cell r="X92">
            <v>144009844</v>
          </cell>
          <cell r="Y92">
            <v>147447834</v>
          </cell>
          <cell r="Z92">
            <v>150938222</v>
          </cell>
          <cell r="AA92">
            <v>154468235</v>
          </cell>
          <cell r="AB92">
            <v>158009248</v>
          </cell>
          <cell r="AC92">
            <v>161523353</v>
          </cell>
          <cell r="AD92">
            <v>164982452</v>
          </cell>
          <cell r="AE92">
            <v>168374287</v>
          </cell>
          <cell r="AF92">
            <v>171702756</v>
          </cell>
          <cell r="AG92">
            <v>174975953</v>
          </cell>
          <cell r="AH92">
            <v>178209147</v>
          </cell>
          <cell r="AI92">
            <v>181413398</v>
          </cell>
          <cell r="AJ92">
            <v>184591897</v>
          </cell>
          <cell r="AK92">
            <v>187739786</v>
          </cell>
          <cell r="AL92">
            <v>190851184</v>
          </cell>
          <cell r="AM92">
            <v>193917458</v>
          </cell>
          <cell r="AN92">
            <v>196934257</v>
          </cell>
          <cell r="AO92">
            <v>199901231</v>
          </cell>
          <cell r="AP92">
            <v>202826444</v>
          </cell>
          <cell r="AQ92">
            <v>205724597</v>
          </cell>
          <cell r="AR92">
            <v>208615171</v>
          </cell>
          <cell r="AS92">
            <v>211513822</v>
          </cell>
          <cell r="AT92">
            <v>214427419</v>
          </cell>
          <cell r="AU92">
            <v>217357790</v>
          </cell>
          <cell r="AV92">
            <v>220309473</v>
          </cell>
          <cell r="AW92">
            <v>223285666</v>
          </cell>
          <cell r="AX92">
            <v>226289468</v>
          </cell>
          <cell r="AY92">
            <v>229318262</v>
          </cell>
          <cell r="AZ92">
            <v>232374239</v>
          </cell>
          <cell r="BA92">
            <v>235469755</v>
          </cell>
          <cell r="BB92">
            <v>238620554</v>
          </cell>
          <cell r="BC92">
            <v>241834226</v>
          </cell>
          <cell r="BD92">
            <v>245115988</v>
          </cell>
          <cell r="BE92">
            <v>248451714</v>
          </cell>
          <cell r="BF92">
            <v>251805314</v>
          </cell>
          <cell r="BG92">
            <v>255128076</v>
          </cell>
          <cell r="BH92">
            <v>258383257</v>
          </cell>
          <cell r="BI92">
            <v>261556386</v>
          </cell>
          <cell r="BJ92">
            <v>264650969</v>
          </cell>
          <cell r="BK92">
            <v>267670549</v>
          </cell>
          <cell r="BL92">
            <v>270625567</v>
          </cell>
          <cell r="BM92">
            <v>273523621</v>
          </cell>
          <cell r="BN92">
            <v>273523621</v>
          </cell>
        </row>
        <row r="93">
          <cell r="B93" t="str">
            <v>IRN</v>
          </cell>
          <cell r="C93" t="str">
            <v>Population, total</v>
          </cell>
          <cell r="D93" t="str">
            <v>SP.POP.TOTL</v>
          </cell>
          <cell r="E93">
            <v>21906909</v>
          </cell>
          <cell r="F93">
            <v>22480371</v>
          </cell>
          <cell r="G93">
            <v>23071309</v>
          </cell>
          <cell r="H93">
            <v>23680246</v>
          </cell>
          <cell r="I93">
            <v>24307855</v>
          </cell>
          <cell r="J93">
            <v>24954865</v>
          </cell>
          <cell r="K93">
            <v>25624380</v>
          </cell>
          <cell r="L93">
            <v>26317776</v>
          </cell>
          <cell r="M93">
            <v>27032576</v>
          </cell>
          <cell r="N93">
            <v>27764928</v>
          </cell>
          <cell r="O93">
            <v>28513872</v>
          </cell>
          <cell r="P93">
            <v>29281583</v>
          </cell>
          <cell r="Q93">
            <v>30075295</v>
          </cell>
          <cell r="R93">
            <v>30905721</v>
          </cell>
          <cell r="S93">
            <v>31786481</v>
          </cell>
          <cell r="T93">
            <v>32729772</v>
          </cell>
          <cell r="U93">
            <v>33733975</v>
          </cell>
          <cell r="V93">
            <v>34803041</v>
          </cell>
          <cell r="W93">
            <v>35960811</v>
          </cell>
          <cell r="X93">
            <v>37237145</v>
          </cell>
          <cell r="Y93">
            <v>38650244</v>
          </cell>
          <cell r="Z93">
            <v>40199911</v>
          </cell>
          <cell r="AA93">
            <v>41869231</v>
          </cell>
          <cell r="AB93">
            <v>43636838</v>
          </cell>
          <cell r="AC93">
            <v>45472792</v>
          </cell>
          <cell r="AD93">
            <v>47347197</v>
          </cell>
          <cell r="AE93">
            <v>49260263</v>
          </cell>
          <cell r="AF93">
            <v>51193782</v>
          </cell>
          <cell r="AG93">
            <v>53077312</v>
          </cell>
          <cell r="AH93">
            <v>54822005</v>
          </cell>
          <cell r="AI93">
            <v>56366212</v>
          </cell>
          <cell r="AJ93">
            <v>57679025</v>
          </cell>
          <cell r="AK93">
            <v>58780376</v>
          </cell>
          <cell r="AL93">
            <v>59723761</v>
          </cell>
          <cell r="AM93">
            <v>60590608</v>
          </cell>
          <cell r="AN93">
            <v>61442658</v>
          </cell>
          <cell r="AO93">
            <v>62294919</v>
          </cell>
          <cell r="AP93">
            <v>63136309</v>
          </cell>
          <cell r="AQ93">
            <v>63971836</v>
          </cell>
          <cell r="AR93">
            <v>64800875</v>
          </cell>
          <cell r="AS93">
            <v>65623397</v>
          </cell>
          <cell r="AT93">
            <v>66449111</v>
          </cell>
          <cell r="AU93">
            <v>67284801</v>
          </cell>
          <cell r="AV93">
            <v>68122947</v>
          </cell>
          <cell r="AW93">
            <v>68951279</v>
          </cell>
          <cell r="AX93">
            <v>69762345</v>
          </cell>
          <cell r="AY93">
            <v>70554756</v>
          </cell>
          <cell r="AZ93">
            <v>71336476</v>
          </cell>
          <cell r="BA93">
            <v>72120608</v>
          </cell>
          <cell r="BB93">
            <v>72924833</v>
          </cell>
          <cell r="BC93">
            <v>73762519</v>
          </cell>
          <cell r="BD93">
            <v>74634959</v>
          </cell>
          <cell r="BE93">
            <v>75539881</v>
          </cell>
          <cell r="BF93">
            <v>76481963</v>
          </cell>
          <cell r="BG93">
            <v>77465769</v>
          </cell>
          <cell r="BH93">
            <v>78492208</v>
          </cell>
          <cell r="BI93">
            <v>79563991</v>
          </cell>
          <cell r="BJ93">
            <v>80673888</v>
          </cell>
          <cell r="BK93">
            <v>81800204</v>
          </cell>
          <cell r="BL93">
            <v>82913893</v>
          </cell>
          <cell r="BM93">
            <v>83992953</v>
          </cell>
          <cell r="BN93">
            <v>83992953</v>
          </cell>
        </row>
        <row r="94">
          <cell r="B94" t="str">
            <v>IRQ</v>
          </cell>
          <cell r="C94" t="str">
            <v>Population, total</v>
          </cell>
          <cell r="D94" t="str">
            <v>SP.POP.TOTL</v>
          </cell>
          <cell r="E94">
            <v>7289753</v>
          </cell>
          <cell r="F94">
            <v>7475349</v>
          </cell>
          <cell r="G94">
            <v>7674217</v>
          </cell>
          <cell r="H94">
            <v>7888910</v>
          </cell>
          <cell r="I94">
            <v>8122199</v>
          </cell>
          <cell r="J94">
            <v>8375795</v>
          </cell>
          <cell r="K94">
            <v>8651162</v>
          </cell>
          <cell r="L94">
            <v>8947397</v>
          </cell>
          <cell r="M94">
            <v>9260687</v>
          </cell>
          <cell r="N94">
            <v>9585585</v>
          </cell>
          <cell r="O94">
            <v>9917978</v>
          </cell>
          <cell r="P94">
            <v>10255853</v>
          </cell>
          <cell r="Q94">
            <v>10599661</v>
          </cell>
          <cell r="R94">
            <v>10950888</v>
          </cell>
          <cell r="S94">
            <v>11312062</v>
          </cell>
          <cell r="T94">
            <v>11684579</v>
          </cell>
          <cell r="U94">
            <v>12068675</v>
          </cell>
          <cell r="V94">
            <v>12462059</v>
          </cell>
          <cell r="W94">
            <v>12860678</v>
          </cell>
          <cell r="X94">
            <v>13259107</v>
          </cell>
          <cell r="Y94">
            <v>13653348</v>
          </cell>
          <cell r="Z94">
            <v>14044115</v>
          </cell>
          <cell r="AA94">
            <v>14432466</v>
          </cell>
          <cell r="AB94">
            <v>14815653</v>
          </cell>
          <cell r="AC94">
            <v>15190396</v>
          </cell>
          <cell r="AD94">
            <v>15555807</v>
          </cell>
          <cell r="AE94">
            <v>15909764</v>
          </cell>
          <cell r="AF94">
            <v>16257072</v>
          </cell>
          <cell r="AG94">
            <v>16612319</v>
          </cell>
          <cell r="AH94">
            <v>16994942</v>
          </cell>
          <cell r="AI94">
            <v>17419113</v>
          </cell>
          <cell r="AJ94">
            <v>17889457</v>
          </cell>
          <cell r="AK94">
            <v>18402740</v>
          </cell>
          <cell r="AL94">
            <v>18955087</v>
          </cell>
          <cell r="AM94">
            <v>19539348</v>
          </cell>
          <cell r="AN94">
            <v>20149342</v>
          </cell>
          <cell r="AO94">
            <v>20783073</v>
          </cell>
          <cell r="AP94">
            <v>21439579</v>
          </cell>
          <cell r="AQ94">
            <v>22114330</v>
          </cell>
          <cell r="AR94">
            <v>22802061</v>
          </cell>
          <cell r="AS94">
            <v>23497589</v>
          </cell>
          <cell r="AT94">
            <v>24208178</v>
          </cell>
          <cell r="AU94">
            <v>24931922</v>
          </cell>
          <cell r="AV94">
            <v>25644503</v>
          </cell>
          <cell r="AW94">
            <v>26313838</v>
          </cell>
          <cell r="AX94">
            <v>26922279</v>
          </cell>
          <cell r="AY94">
            <v>27448124</v>
          </cell>
          <cell r="AZ94">
            <v>27911242</v>
          </cell>
          <cell r="BA94">
            <v>28385739</v>
          </cell>
          <cell r="BB94">
            <v>28973157</v>
          </cell>
          <cell r="BC94">
            <v>29741977</v>
          </cell>
          <cell r="BD94">
            <v>30725305</v>
          </cell>
          <cell r="BE94">
            <v>31890012</v>
          </cell>
          <cell r="BF94">
            <v>33157061</v>
          </cell>
          <cell r="BG94">
            <v>34411949</v>
          </cell>
          <cell r="BH94">
            <v>35572269</v>
          </cell>
          <cell r="BI94">
            <v>36610632</v>
          </cell>
          <cell r="BJ94">
            <v>37552789</v>
          </cell>
          <cell r="BK94">
            <v>38433604</v>
          </cell>
          <cell r="BL94">
            <v>39309789</v>
          </cell>
          <cell r="BM94">
            <v>40222503</v>
          </cell>
          <cell r="BN94">
            <v>40222503</v>
          </cell>
        </row>
        <row r="95">
          <cell r="B95" t="str">
            <v>IRL</v>
          </cell>
          <cell r="C95" t="str">
            <v>Population, total</v>
          </cell>
          <cell r="D95" t="str">
            <v>SP.POP.TOTL</v>
          </cell>
          <cell r="E95">
            <v>2828600</v>
          </cell>
          <cell r="F95">
            <v>2824400</v>
          </cell>
          <cell r="G95">
            <v>2836050</v>
          </cell>
          <cell r="H95">
            <v>2852650</v>
          </cell>
          <cell r="I95">
            <v>2866550</v>
          </cell>
          <cell r="J95">
            <v>2877300</v>
          </cell>
          <cell r="K95">
            <v>2888800</v>
          </cell>
          <cell r="L95">
            <v>2902450</v>
          </cell>
          <cell r="M95">
            <v>2915550</v>
          </cell>
          <cell r="N95">
            <v>2932650</v>
          </cell>
          <cell r="O95">
            <v>2957250</v>
          </cell>
          <cell r="P95">
            <v>2992050</v>
          </cell>
          <cell r="Q95">
            <v>3036850</v>
          </cell>
          <cell r="R95">
            <v>3085950</v>
          </cell>
          <cell r="S95">
            <v>3137500</v>
          </cell>
          <cell r="T95">
            <v>3189550</v>
          </cell>
          <cell r="U95">
            <v>3238050</v>
          </cell>
          <cell r="V95">
            <v>3282200</v>
          </cell>
          <cell r="W95">
            <v>3329100</v>
          </cell>
          <cell r="X95">
            <v>3373750</v>
          </cell>
          <cell r="Y95">
            <v>3412800</v>
          </cell>
          <cell r="Z95">
            <v>3453000</v>
          </cell>
          <cell r="AA95">
            <v>3485800</v>
          </cell>
          <cell r="AB95">
            <v>3510600</v>
          </cell>
          <cell r="AC95">
            <v>3532423</v>
          </cell>
          <cell r="AD95">
            <v>3538082</v>
          </cell>
          <cell r="AE95">
            <v>3539690</v>
          </cell>
          <cell r="AF95">
            <v>3540057</v>
          </cell>
          <cell r="AG95">
            <v>3524949</v>
          </cell>
          <cell r="AH95">
            <v>3511009</v>
          </cell>
          <cell r="AI95">
            <v>3513974</v>
          </cell>
          <cell r="AJ95">
            <v>3534235</v>
          </cell>
          <cell r="AK95">
            <v>3558430</v>
          </cell>
          <cell r="AL95">
            <v>3576261</v>
          </cell>
          <cell r="AM95">
            <v>3590386</v>
          </cell>
          <cell r="AN95">
            <v>3608841</v>
          </cell>
          <cell r="AO95">
            <v>3637510</v>
          </cell>
          <cell r="AP95">
            <v>3674171</v>
          </cell>
          <cell r="AQ95">
            <v>3712696</v>
          </cell>
          <cell r="AR95">
            <v>3754786</v>
          </cell>
          <cell r="AS95">
            <v>3805174</v>
          </cell>
          <cell r="AT95">
            <v>3866243</v>
          </cell>
          <cell r="AU95">
            <v>3931947</v>
          </cell>
          <cell r="AV95">
            <v>3996521</v>
          </cell>
          <cell r="AW95">
            <v>4070262</v>
          </cell>
          <cell r="AX95">
            <v>4159914</v>
          </cell>
          <cell r="AY95">
            <v>4273591</v>
          </cell>
          <cell r="AZ95">
            <v>4398942</v>
          </cell>
          <cell r="BA95">
            <v>4489544</v>
          </cell>
          <cell r="BB95">
            <v>4535375</v>
          </cell>
          <cell r="BC95">
            <v>4560155</v>
          </cell>
          <cell r="BD95">
            <v>4580084</v>
          </cell>
          <cell r="BE95">
            <v>4599533</v>
          </cell>
          <cell r="BF95">
            <v>4623816</v>
          </cell>
          <cell r="BG95">
            <v>4657740</v>
          </cell>
          <cell r="BH95">
            <v>4701957</v>
          </cell>
          <cell r="BI95">
            <v>4755335</v>
          </cell>
          <cell r="BJ95">
            <v>4807388</v>
          </cell>
          <cell r="BK95">
            <v>4867316</v>
          </cell>
          <cell r="BL95">
            <v>4934340</v>
          </cell>
          <cell r="BM95">
            <v>4994724</v>
          </cell>
          <cell r="BN95">
            <v>4994724</v>
          </cell>
        </row>
        <row r="96">
          <cell r="B96" t="str">
            <v>IMN</v>
          </cell>
          <cell r="C96" t="str">
            <v>Population, total</v>
          </cell>
          <cell r="D96" t="str">
            <v>SP.POP.TOTL</v>
          </cell>
          <cell r="E96">
            <v>48444</v>
          </cell>
          <cell r="F96">
            <v>48286</v>
          </cell>
          <cell r="G96">
            <v>48421</v>
          </cell>
          <cell r="H96">
            <v>48800</v>
          </cell>
          <cell r="I96">
            <v>49396</v>
          </cell>
          <cell r="J96">
            <v>50145</v>
          </cell>
          <cell r="K96">
            <v>51051</v>
          </cell>
          <cell r="L96">
            <v>52117</v>
          </cell>
          <cell r="M96">
            <v>53252</v>
          </cell>
          <cell r="N96">
            <v>54378</v>
          </cell>
          <cell r="O96">
            <v>55431</v>
          </cell>
          <cell r="P96">
            <v>56352</v>
          </cell>
          <cell r="Q96">
            <v>57166</v>
          </cell>
          <cell r="R96">
            <v>57919</v>
          </cell>
          <cell r="S96">
            <v>58673</v>
          </cell>
          <cell r="T96">
            <v>59482</v>
          </cell>
          <cell r="U96">
            <v>60374</v>
          </cell>
          <cell r="V96">
            <v>61335</v>
          </cell>
          <cell r="W96">
            <v>62260</v>
          </cell>
          <cell r="X96">
            <v>63026</v>
          </cell>
          <cell r="Y96">
            <v>63546</v>
          </cell>
          <cell r="Z96">
            <v>63778</v>
          </cell>
          <cell r="AA96">
            <v>63765</v>
          </cell>
          <cell r="AB96">
            <v>63697</v>
          </cell>
          <cell r="AC96">
            <v>63812</v>
          </cell>
          <cell r="AD96">
            <v>64277</v>
          </cell>
          <cell r="AE96">
            <v>65200</v>
          </cell>
          <cell r="AF96">
            <v>66476</v>
          </cell>
          <cell r="AG96">
            <v>67927</v>
          </cell>
          <cell r="AH96">
            <v>69263</v>
          </cell>
          <cell r="AI96">
            <v>70292</v>
          </cell>
          <cell r="AJ96">
            <v>70928</v>
          </cell>
          <cell r="AK96">
            <v>71262</v>
          </cell>
          <cell r="AL96">
            <v>71431</v>
          </cell>
          <cell r="AM96">
            <v>71662</v>
          </cell>
          <cell r="AN96">
            <v>72133</v>
          </cell>
          <cell r="AO96">
            <v>72884</v>
          </cell>
          <cell r="AP96">
            <v>73851</v>
          </cell>
          <cell r="AQ96">
            <v>74936</v>
          </cell>
          <cell r="AR96">
            <v>75996</v>
          </cell>
          <cell r="AS96">
            <v>76942</v>
          </cell>
          <cell r="AT96">
            <v>77707</v>
          </cell>
          <cell r="AU96">
            <v>78318</v>
          </cell>
          <cell r="AV96">
            <v>78878</v>
          </cell>
          <cell r="AW96">
            <v>79515</v>
          </cell>
          <cell r="AX96">
            <v>80293</v>
          </cell>
          <cell r="AY96">
            <v>81283</v>
          </cell>
          <cell r="AZ96">
            <v>82406</v>
          </cell>
          <cell r="BA96">
            <v>83515</v>
          </cell>
          <cell r="BB96">
            <v>84379</v>
          </cell>
          <cell r="BC96">
            <v>84856</v>
          </cell>
          <cell r="BD96">
            <v>84889</v>
          </cell>
          <cell r="BE96">
            <v>84534</v>
          </cell>
          <cell r="BF96">
            <v>83985</v>
          </cell>
          <cell r="BG96">
            <v>83488</v>
          </cell>
          <cell r="BH96">
            <v>83232</v>
          </cell>
          <cell r="BI96">
            <v>83296</v>
          </cell>
          <cell r="BJ96">
            <v>83610</v>
          </cell>
          <cell r="BK96">
            <v>84073</v>
          </cell>
          <cell r="BL96">
            <v>84589</v>
          </cell>
          <cell r="BM96">
            <v>85032</v>
          </cell>
          <cell r="BN96">
            <v>85032</v>
          </cell>
        </row>
        <row r="97">
          <cell r="B97" t="str">
            <v>ISR</v>
          </cell>
          <cell r="C97" t="str">
            <v>Population, total</v>
          </cell>
          <cell r="D97" t="str">
            <v>SP.POP.TOTL</v>
          </cell>
          <cell r="E97">
            <v>2114020</v>
          </cell>
          <cell r="F97">
            <v>2185000</v>
          </cell>
          <cell r="G97">
            <v>2293000</v>
          </cell>
          <cell r="H97">
            <v>2379000</v>
          </cell>
          <cell r="I97">
            <v>2475000</v>
          </cell>
          <cell r="J97">
            <v>2563000</v>
          </cell>
          <cell r="K97">
            <v>2629000</v>
          </cell>
          <cell r="L97">
            <v>2745000</v>
          </cell>
          <cell r="M97">
            <v>2803000</v>
          </cell>
          <cell r="N97">
            <v>2877000</v>
          </cell>
          <cell r="O97">
            <v>2974000</v>
          </cell>
          <cell r="P97">
            <v>3069000</v>
          </cell>
          <cell r="Q97">
            <v>3148000</v>
          </cell>
          <cell r="R97">
            <v>3278000</v>
          </cell>
          <cell r="S97">
            <v>3377000</v>
          </cell>
          <cell r="T97">
            <v>3455000</v>
          </cell>
          <cell r="U97">
            <v>3533000</v>
          </cell>
          <cell r="V97">
            <v>3613000</v>
          </cell>
          <cell r="W97">
            <v>3690000</v>
          </cell>
          <cell r="X97">
            <v>3786000</v>
          </cell>
          <cell r="Y97">
            <v>3878000</v>
          </cell>
          <cell r="Z97">
            <v>3956000</v>
          </cell>
          <cell r="AA97">
            <v>4031000</v>
          </cell>
          <cell r="AB97">
            <v>4105000</v>
          </cell>
          <cell r="AC97">
            <v>4159000</v>
          </cell>
          <cell r="AD97">
            <v>4233000</v>
          </cell>
          <cell r="AE97">
            <v>4299000</v>
          </cell>
          <cell r="AF97">
            <v>4369000</v>
          </cell>
          <cell r="AG97">
            <v>4442000</v>
          </cell>
          <cell r="AH97">
            <v>4518000</v>
          </cell>
          <cell r="AI97">
            <v>4660000</v>
          </cell>
          <cell r="AJ97">
            <v>4949000</v>
          </cell>
          <cell r="AK97">
            <v>5123000</v>
          </cell>
          <cell r="AL97">
            <v>5261000</v>
          </cell>
          <cell r="AM97">
            <v>5399000</v>
          </cell>
          <cell r="AN97">
            <v>5545000</v>
          </cell>
          <cell r="AO97">
            <v>5692000</v>
          </cell>
          <cell r="AP97">
            <v>5836000</v>
          </cell>
          <cell r="AQ97">
            <v>5971000</v>
          </cell>
          <cell r="AR97">
            <v>6125000</v>
          </cell>
          <cell r="AS97">
            <v>6289000</v>
          </cell>
          <cell r="AT97">
            <v>6439000</v>
          </cell>
          <cell r="AU97">
            <v>6570000</v>
          </cell>
          <cell r="AV97">
            <v>6689700</v>
          </cell>
          <cell r="AW97">
            <v>6809000</v>
          </cell>
          <cell r="AX97">
            <v>6930100</v>
          </cell>
          <cell r="AY97">
            <v>7053700</v>
          </cell>
          <cell r="AZ97">
            <v>7180100</v>
          </cell>
          <cell r="BA97">
            <v>7308800</v>
          </cell>
          <cell r="BB97">
            <v>7485600</v>
          </cell>
          <cell r="BC97">
            <v>7623600</v>
          </cell>
          <cell r="BD97">
            <v>7765800</v>
          </cell>
          <cell r="BE97">
            <v>7910500</v>
          </cell>
          <cell r="BF97">
            <v>8059500</v>
          </cell>
          <cell r="BG97">
            <v>8215700</v>
          </cell>
          <cell r="BH97">
            <v>8380100</v>
          </cell>
          <cell r="BI97">
            <v>8546000</v>
          </cell>
          <cell r="BJ97">
            <v>8713300</v>
          </cell>
          <cell r="BK97">
            <v>8882800</v>
          </cell>
          <cell r="BL97">
            <v>9054000</v>
          </cell>
          <cell r="BM97">
            <v>9216900</v>
          </cell>
          <cell r="BN97">
            <v>9216900</v>
          </cell>
        </row>
        <row r="98">
          <cell r="B98" t="str">
            <v>ITA</v>
          </cell>
          <cell r="C98" t="str">
            <v>Population, total</v>
          </cell>
          <cell r="D98" t="str">
            <v>SP.POP.TOTL</v>
          </cell>
          <cell r="E98">
            <v>50199700</v>
          </cell>
          <cell r="F98">
            <v>50536350</v>
          </cell>
          <cell r="G98">
            <v>50879450</v>
          </cell>
          <cell r="H98">
            <v>51252000</v>
          </cell>
          <cell r="I98">
            <v>51675350</v>
          </cell>
          <cell r="J98">
            <v>52112350</v>
          </cell>
          <cell r="K98">
            <v>52519000</v>
          </cell>
          <cell r="L98">
            <v>52900500</v>
          </cell>
          <cell r="M98">
            <v>53235750</v>
          </cell>
          <cell r="N98">
            <v>53537950</v>
          </cell>
          <cell r="O98">
            <v>53821850</v>
          </cell>
          <cell r="P98">
            <v>54073490</v>
          </cell>
          <cell r="Q98">
            <v>54381345</v>
          </cell>
          <cell r="R98">
            <v>54751406</v>
          </cell>
          <cell r="S98">
            <v>55110868</v>
          </cell>
          <cell r="T98">
            <v>55441001</v>
          </cell>
          <cell r="U98">
            <v>55718260</v>
          </cell>
          <cell r="V98">
            <v>55955411</v>
          </cell>
          <cell r="W98">
            <v>56155143</v>
          </cell>
          <cell r="X98">
            <v>56317749</v>
          </cell>
          <cell r="Y98">
            <v>56433883</v>
          </cell>
          <cell r="Z98">
            <v>56501675</v>
          </cell>
          <cell r="AA98">
            <v>56543548</v>
          </cell>
          <cell r="AB98">
            <v>56564074</v>
          </cell>
          <cell r="AC98">
            <v>56576718</v>
          </cell>
          <cell r="AD98">
            <v>56593071</v>
          </cell>
          <cell r="AE98">
            <v>56596155</v>
          </cell>
          <cell r="AF98">
            <v>56601931</v>
          </cell>
          <cell r="AG98">
            <v>56629288</v>
          </cell>
          <cell r="AH98">
            <v>56671781</v>
          </cell>
          <cell r="AI98">
            <v>56719240</v>
          </cell>
          <cell r="AJ98">
            <v>56758521</v>
          </cell>
          <cell r="AK98">
            <v>56797087</v>
          </cell>
          <cell r="AL98">
            <v>56831821</v>
          </cell>
          <cell r="AM98">
            <v>56843400</v>
          </cell>
          <cell r="AN98">
            <v>56844303</v>
          </cell>
          <cell r="AO98">
            <v>56860281</v>
          </cell>
          <cell r="AP98">
            <v>56890372</v>
          </cell>
          <cell r="AQ98">
            <v>56906744</v>
          </cell>
          <cell r="AR98">
            <v>56916317</v>
          </cell>
          <cell r="AS98">
            <v>56942108</v>
          </cell>
          <cell r="AT98">
            <v>56974100</v>
          </cell>
          <cell r="AU98">
            <v>57059007</v>
          </cell>
          <cell r="AV98">
            <v>57313203</v>
          </cell>
          <cell r="AW98">
            <v>57685327</v>
          </cell>
          <cell r="AX98">
            <v>57969484</v>
          </cell>
          <cell r="AY98">
            <v>58143979</v>
          </cell>
          <cell r="AZ98">
            <v>58438310</v>
          </cell>
          <cell r="BA98">
            <v>58826731</v>
          </cell>
          <cell r="BB98">
            <v>59095365</v>
          </cell>
          <cell r="BC98">
            <v>59277417</v>
          </cell>
          <cell r="BD98">
            <v>59379449</v>
          </cell>
          <cell r="BE98">
            <v>59539717</v>
          </cell>
          <cell r="BF98">
            <v>60233948</v>
          </cell>
          <cell r="BG98">
            <v>60789140</v>
          </cell>
          <cell r="BH98">
            <v>60730582</v>
          </cell>
          <cell r="BI98">
            <v>60627498</v>
          </cell>
          <cell r="BJ98">
            <v>60536709</v>
          </cell>
          <cell r="BK98">
            <v>60421760</v>
          </cell>
          <cell r="BL98">
            <v>59729081</v>
          </cell>
          <cell r="BM98">
            <v>59554023</v>
          </cell>
          <cell r="BN98">
            <v>59554023</v>
          </cell>
        </row>
        <row r="99">
          <cell r="B99" t="str">
            <v>JAM</v>
          </cell>
          <cell r="C99" t="str">
            <v>Population, total</v>
          </cell>
          <cell r="D99" t="str">
            <v>SP.POP.TOTL</v>
          </cell>
          <cell r="E99">
            <v>1628524</v>
          </cell>
          <cell r="F99">
            <v>1651067</v>
          </cell>
          <cell r="G99">
            <v>1676500</v>
          </cell>
          <cell r="H99">
            <v>1703660</v>
          </cell>
          <cell r="I99">
            <v>1730739</v>
          </cell>
          <cell r="J99">
            <v>1756508</v>
          </cell>
          <cell r="K99">
            <v>1780522</v>
          </cell>
          <cell r="L99">
            <v>1803324</v>
          </cell>
          <cell r="M99">
            <v>1825873</v>
          </cell>
          <cell r="N99">
            <v>1849658</v>
          </cell>
          <cell r="O99">
            <v>1875637</v>
          </cell>
          <cell r="P99">
            <v>1904281</v>
          </cell>
          <cell r="Q99">
            <v>1935089</v>
          </cell>
          <cell r="R99">
            <v>1966978</v>
          </cell>
          <cell r="S99">
            <v>1998313</v>
          </cell>
          <cell r="T99">
            <v>2028019</v>
          </cell>
          <cell r="U99">
            <v>2055371</v>
          </cell>
          <cell r="V99">
            <v>2080824</v>
          </cell>
          <cell r="W99">
            <v>2105903</v>
          </cell>
          <cell r="X99">
            <v>2132784</v>
          </cell>
          <cell r="Y99">
            <v>2162839</v>
          </cell>
          <cell r="Z99">
            <v>2196921</v>
          </cell>
          <cell r="AA99">
            <v>2234062</v>
          </cell>
          <cell r="AB99">
            <v>2271735</v>
          </cell>
          <cell r="AC99">
            <v>2306367</v>
          </cell>
          <cell r="AD99">
            <v>2335510</v>
          </cell>
          <cell r="AE99">
            <v>2358165</v>
          </cell>
          <cell r="AF99">
            <v>2375400</v>
          </cell>
          <cell r="AG99">
            <v>2389415</v>
          </cell>
          <cell r="AH99">
            <v>2403464</v>
          </cell>
          <cell r="AI99">
            <v>2419901</v>
          </cell>
          <cell r="AJ99">
            <v>2439329</v>
          </cell>
          <cell r="AK99">
            <v>2461047</v>
          </cell>
          <cell r="AL99">
            <v>2484583</v>
          </cell>
          <cell r="AM99">
            <v>2509042</v>
          </cell>
          <cell r="AN99">
            <v>2533705</v>
          </cell>
          <cell r="AO99">
            <v>2558631</v>
          </cell>
          <cell r="AP99">
            <v>2583914</v>
          </cell>
          <cell r="AQ99">
            <v>2608874</v>
          </cell>
          <cell r="AR99">
            <v>2632677</v>
          </cell>
          <cell r="AS99">
            <v>2654698</v>
          </cell>
          <cell r="AT99">
            <v>2674706</v>
          </cell>
          <cell r="AU99">
            <v>2692843</v>
          </cell>
          <cell r="AV99">
            <v>2709438</v>
          </cell>
          <cell r="AW99">
            <v>2725017</v>
          </cell>
          <cell r="AX99">
            <v>2740000</v>
          </cell>
          <cell r="AY99">
            <v>2754414</v>
          </cell>
          <cell r="AZ99">
            <v>2768229</v>
          </cell>
          <cell r="BA99">
            <v>2781869</v>
          </cell>
          <cell r="BB99">
            <v>2795839</v>
          </cell>
          <cell r="BC99">
            <v>2810464</v>
          </cell>
          <cell r="BD99">
            <v>2825932</v>
          </cell>
          <cell r="BE99">
            <v>2842128</v>
          </cell>
          <cell r="BF99">
            <v>2858710</v>
          </cell>
          <cell r="BG99">
            <v>2875137</v>
          </cell>
          <cell r="BH99">
            <v>2891024</v>
          </cell>
          <cell r="BI99">
            <v>2906242</v>
          </cell>
          <cell r="BJ99">
            <v>2920848</v>
          </cell>
          <cell r="BK99">
            <v>2934853</v>
          </cell>
          <cell r="BL99">
            <v>2948277</v>
          </cell>
          <cell r="BM99">
            <v>2961161</v>
          </cell>
          <cell r="BN99">
            <v>2961161</v>
          </cell>
        </row>
        <row r="100">
          <cell r="B100" t="str">
            <v>JPN</v>
          </cell>
          <cell r="C100" t="str">
            <v>Population, total</v>
          </cell>
          <cell r="D100" t="str">
            <v>SP.POP.TOTL</v>
          </cell>
          <cell r="E100">
            <v>93216000</v>
          </cell>
          <cell r="F100">
            <v>94055000</v>
          </cell>
          <cell r="G100">
            <v>94933000</v>
          </cell>
          <cell r="H100">
            <v>95900000</v>
          </cell>
          <cell r="I100">
            <v>96903000</v>
          </cell>
          <cell r="J100">
            <v>97952000</v>
          </cell>
          <cell r="K100">
            <v>98851000</v>
          </cell>
          <cell r="L100">
            <v>99879000</v>
          </cell>
          <cell r="M100">
            <v>101011000</v>
          </cell>
          <cell r="N100">
            <v>102219000</v>
          </cell>
          <cell r="O100">
            <v>103403000</v>
          </cell>
          <cell r="P100">
            <v>105697000</v>
          </cell>
          <cell r="Q100">
            <v>107188000</v>
          </cell>
          <cell r="R100">
            <v>108707000</v>
          </cell>
          <cell r="S100">
            <v>110162000</v>
          </cell>
          <cell r="T100">
            <v>111573000</v>
          </cell>
          <cell r="U100">
            <v>112775000</v>
          </cell>
          <cell r="V100">
            <v>113872000</v>
          </cell>
          <cell r="W100">
            <v>114913000</v>
          </cell>
          <cell r="X100">
            <v>115890000</v>
          </cell>
          <cell r="Y100">
            <v>116807000</v>
          </cell>
          <cell r="Z100">
            <v>117661000</v>
          </cell>
          <cell r="AA100">
            <v>118480000</v>
          </cell>
          <cell r="AB100">
            <v>119307000</v>
          </cell>
          <cell r="AC100">
            <v>120083000</v>
          </cell>
          <cell r="AD100">
            <v>120837000</v>
          </cell>
          <cell r="AE100">
            <v>121482000</v>
          </cell>
          <cell r="AF100">
            <v>122069000</v>
          </cell>
          <cell r="AG100">
            <v>122578000</v>
          </cell>
          <cell r="AH100">
            <v>123069000</v>
          </cell>
          <cell r="AI100">
            <v>123478000</v>
          </cell>
          <cell r="AJ100">
            <v>123964000</v>
          </cell>
          <cell r="AK100">
            <v>124425000</v>
          </cell>
          <cell r="AL100">
            <v>124829000</v>
          </cell>
          <cell r="AM100">
            <v>125178000</v>
          </cell>
          <cell r="AN100">
            <v>125472000</v>
          </cell>
          <cell r="AO100">
            <v>125757000</v>
          </cell>
          <cell r="AP100">
            <v>126057000</v>
          </cell>
          <cell r="AQ100">
            <v>126400000</v>
          </cell>
          <cell r="AR100">
            <v>126631000</v>
          </cell>
          <cell r="AS100">
            <v>126843000</v>
          </cell>
          <cell r="AT100">
            <v>127149000</v>
          </cell>
          <cell r="AU100">
            <v>127445000</v>
          </cell>
          <cell r="AV100">
            <v>127718000</v>
          </cell>
          <cell r="AW100">
            <v>127761000</v>
          </cell>
          <cell r="AX100">
            <v>127773000</v>
          </cell>
          <cell r="AY100">
            <v>127854000</v>
          </cell>
          <cell r="AZ100">
            <v>128001000</v>
          </cell>
          <cell r="BA100">
            <v>128063000</v>
          </cell>
          <cell r="BB100">
            <v>128047000</v>
          </cell>
          <cell r="BC100">
            <v>128070000</v>
          </cell>
          <cell r="BD100">
            <v>127833000</v>
          </cell>
          <cell r="BE100">
            <v>127629000</v>
          </cell>
          <cell r="BF100">
            <v>127445000</v>
          </cell>
          <cell r="BG100">
            <v>127276000</v>
          </cell>
          <cell r="BH100">
            <v>127141000</v>
          </cell>
          <cell r="BI100">
            <v>126994511</v>
          </cell>
          <cell r="BJ100">
            <v>126785797</v>
          </cell>
          <cell r="BK100">
            <v>126529100</v>
          </cell>
          <cell r="BL100">
            <v>126264931</v>
          </cell>
          <cell r="BM100">
            <v>125836021</v>
          </cell>
          <cell r="BN100">
            <v>125836021</v>
          </cell>
        </row>
        <row r="101">
          <cell r="B101" t="str">
            <v>JOR</v>
          </cell>
          <cell r="C101" t="str">
            <v>Population, total</v>
          </cell>
          <cell r="D101" t="str">
            <v>SP.POP.TOTL</v>
          </cell>
          <cell r="E101">
            <v>933102</v>
          </cell>
          <cell r="F101">
            <v>973983</v>
          </cell>
          <cell r="G101">
            <v>1010647</v>
          </cell>
          <cell r="H101">
            <v>1050212</v>
          </cell>
          <cell r="I101">
            <v>1102404</v>
          </cell>
          <cell r="J101">
            <v>1173603</v>
          </cell>
          <cell r="K101">
            <v>1267063</v>
          </cell>
          <cell r="L101">
            <v>1378995</v>
          </cell>
          <cell r="M101">
            <v>1500168</v>
          </cell>
          <cell r="N101">
            <v>1617427</v>
          </cell>
          <cell r="O101">
            <v>1721315</v>
          </cell>
          <cell r="P101">
            <v>1809193</v>
          </cell>
          <cell r="Q101">
            <v>1883923</v>
          </cell>
          <cell r="R101">
            <v>1948443</v>
          </cell>
          <cell r="S101">
            <v>2007735</v>
          </cell>
          <cell r="T101">
            <v>2065916</v>
          </cell>
          <cell r="U101">
            <v>2123180</v>
          </cell>
          <cell r="V101">
            <v>2179361</v>
          </cell>
          <cell r="W101">
            <v>2237936</v>
          </cell>
          <cell r="X101">
            <v>2303116</v>
          </cell>
          <cell r="Y101">
            <v>2377997</v>
          </cell>
          <cell r="Z101">
            <v>2464870</v>
          </cell>
          <cell r="AA101">
            <v>2563525</v>
          </cell>
          <cell r="AB101">
            <v>2671413</v>
          </cell>
          <cell r="AC101">
            <v>2784457</v>
          </cell>
          <cell r="AD101">
            <v>2900055</v>
          </cell>
          <cell r="AE101">
            <v>3015294</v>
          </cell>
          <cell r="AF101">
            <v>3131800</v>
          </cell>
          <cell r="AG101">
            <v>3256552</v>
          </cell>
          <cell r="AH101">
            <v>3399333</v>
          </cell>
          <cell r="AI101">
            <v>3565888</v>
          </cell>
          <cell r="AJ101">
            <v>3760493</v>
          </cell>
          <cell r="AK101">
            <v>3977667</v>
          </cell>
          <cell r="AL101">
            <v>4201559</v>
          </cell>
          <cell r="AM101">
            <v>4410357</v>
          </cell>
          <cell r="AN101">
            <v>4588842</v>
          </cell>
          <cell r="AO101">
            <v>4732848</v>
          </cell>
          <cell r="AP101">
            <v>4848536</v>
          </cell>
          <cell r="AQ101">
            <v>4943975</v>
          </cell>
          <cell r="AR101">
            <v>5031754</v>
          </cell>
          <cell r="AS101">
            <v>5122495</v>
          </cell>
          <cell r="AT101">
            <v>5217328</v>
          </cell>
          <cell r="AU101">
            <v>5317514</v>
          </cell>
          <cell r="AV101">
            <v>5434036</v>
          </cell>
          <cell r="AW101">
            <v>5580241</v>
          </cell>
          <cell r="AX101">
            <v>5765639</v>
          </cell>
          <cell r="AY101">
            <v>5991547</v>
          </cell>
          <cell r="AZ101">
            <v>6255290</v>
          </cell>
          <cell r="BA101">
            <v>6556473</v>
          </cell>
          <cell r="BB101">
            <v>6893258</v>
          </cell>
          <cell r="BC101">
            <v>7261541</v>
          </cell>
          <cell r="BD101">
            <v>7662858</v>
          </cell>
          <cell r="BE101">
            <v>8089963</v>
          </cell>
          <cell r="BF101">
            <v>8518992</v>
          </cell>
          <cell r="BG101">
            <v>8918822</v>
          </cell>
          <cell r="BH101">
            <v>9266573</v>
          </cell>
          <cell r="BI101">
            <v>9554286</v>
          </cell>
          <cell r="BJ101">
            <v>9785840</v>
          </cell>
          <cell r="BK101">
            <v>9965322</v>
          </cell>
          <cell r="BL101">
            <v>10101697</v>
          </cell>
          <cell r="BM101">
            <v>10203140</v>
          </cell>
          <cell r="BN101">
            <v>10203140</v>
          </cell>
        </row>
        <row r="102">
          <cell r="B102" t="str">
            <v>KAZ</v>
          </cell>
          <cell r="C102" t="str">
            <v>Population, total</v>
          </cell>
          <cell r="D102" t="str">
            <v>SP.POP.TOTL</v>
          </cell>
          <cell r="E102">
            <v>9934564</v>
          </cell>
          <cell r="F102">
            <v>10349422</v>
          </cell>
          <cell r="G102">
            <v>10756931</v>
          </cell>
          <cell r="H102">
            <v>11147860</v>
          </cell>
          <cell r="I102">
            <v>11511856</v>
          </cell>
          <cell r="J102">
            <v>11841926</v>
          </cell>
          <cell r="K102">
            <v>12132560</v>
          </cell>
          <cell r="L102">
            <v>12385706</v>
          </cell>
          <cell r="M102">
            <v>12611432</v>
          </cell>
          <cell r="N102">
            <v>12824614</v>
          </cell>
          <cell r="O102">
            <v>13036140</v>
          </cell>
          <cell r="P102">
            <v>13250211</v>
          </cell>
          <cell r="Q102">
            <v>13463985</v>
          </cell>
          <cell r="R102">
            <v>13673014</v>
          </cell>
          <cell r="S102">
            <v>13869975</v>
          </cell>
          <cell r="T102">
            <v>14050227</v>
          </cell>
          <cell r="U102">
            <v>14212145</v>
          </cell>
          <cell r="V102">
            <v>14359629</v>
          </cell>
          <cell r="W102">
            <v>14499957</v>
          </cell>
          <cell r="X102">
            <v>14643133</v>
          </cell>
          <cell r="Y102">
            <v>14796175</v>
          </cell>
          <cell r="Z102">
            <v>14958897</v>
          </cell>
          <cell r="AA102">
            <v>15128090</v>
          </cell>
          <cell r="AB102">
            <v>15303316</v>
          </cell>
          <cell r="AC102">
            <v>15483411</v>
          </cell>
          <cell r="AD102">
            <v>15665594</v>
          </cell>
          <cell r="AE102">
            <v>15852524</v>
          </cell>
          <cell r="AF102">
            <v>16039253</v>
          </cell>
          <cell r="AG102">
            <v>16205998</v>
          </cell>
          <cell r="AH102">
            <v>16249500</v>
          </cell>
          <cell r="AI102">
            <v>16348000</v>
          </cell>
          <cell r="AJ102">
            <v>16451711</v>
          </cell>
          <cell r="AK102">
            <v>16439095</v>
          </cell>
          <cell r="AL102">
            <v>16380672</v>
          </cell>
          <cell r="AM102">
            <v>16145766</v>
          </cell>
          <cell r="AN102">
            <v>15816243</v>
          </cell>
          <cell r="AO102">
            <v>15578227</v>
          </cell>
          <cell r="AP102">
            <v>15334405</v>
          </cell>
          <cell r="AQ102">
            <v>15071640</v>
          </cell>
          <cell r="AR102">
            <v>14928374</v>
          </cell>
          <cell r="AS102">
            <v>14883626</v>
          </cell>
          <cell r="AT102">
            <v>14858335</v>
          </cell>
          <cell r="AU102">
            <v>14858948</v>
          </cell>
          <cell r="AV102">
            <v>14909019</v>
          </cell>
          <cell r="AW102">
            <v>15012984</v>
          </cell>
          <cell r="AX102">
            <v>15147029</v>
          </cell>
          <cell r="AY102">
            <v>15308085</v>
          </cell>
          <cell r="AZ102">
            <v>15484192</v>
          </cell>
          <cell r="BA102">
            <v>15776938</v>
          </cell>
          <cell r="BB102">
            <v>16092822</v>
          </cell>
          <cell r="BC102">
            <v>16321872</v>
          </cell>
          <cell r="BD102">
            <v>16557202</v>
          </cell>
          <cell r="BE102">
            <v>16792090</v>
          </cell>
          <cell r="BF102">
            <v>17035551</v>
          </cell>
          <cell r="BG102">
            <v>17288285</v>
          </cell>
          <cell r="BH102">
            <v>17542806</v>
          </cell>
          <cell r="BI102">
            <v>17794055</v>
          </cell>
          <cell r="BJ102">
            <v>18037776</v>
          </cell>
          <cell r="BK102">
            <v>18276452</v>
          </cell>
          <cell r="BL102">
            <v>18513673</v>
          </cell>
          <cell r="BM102">
            <v>18754440</v>
          </cell>
          <cell r="BN102">
            <v>18754440</v>
          </cell>
        </row>
        <row r="103">
          <cell r="B103" t="str">
            <v>KEN</v>
          </cell>
          <cell r="C103" t="str">
            <v>Population, total</v>
          </cell>
          <cell r="D103" t="str">
            <v>SP.POP.TOTL</v>
          </cell>
          <cell r="E103">
            <v>8120082</v>
          </cell>
          <cell r="F103">
            <v>8377693</v>
          </cell>
          <cell r="G103">
            <v>8647002</v>
          </cell>
          <cell r="H103">
            <v>8928510</v>
          </cell>
          <cell r="I103">
            <v>9222692</v>
          </cell>
          <cell r="J103">
            <v>9530163</v>
          </cell>
          <cell r="K103">
            <v>9851453</v>
          </cell>
          <cell r="L103">
            <v>10187487</v>
          </cell>
          <cell r="M103">
            <v>10539909</v>
          </cell>
          <cell r="N103">
            <v>10910677</v>
          </cell>
          <cell r="O103">
            <v>11301394</v>
          </cell>
          <cell r="P103">
            <v>11713046</v>
          </cell>
          <cell r="Q103">
            <v>12146070</v>
          </cell>
          <cell r="R103">
            <v>12600799</v>
          </cell>
          <cell r="S103">
            <v>13077341</v>
          </cell>
          <cell r="T103">
            <v>13575898</v>
          </cell>
          <cell r="U103">
            <v>14096258</v>
          </cell>
          <cell r="V103">
            <v>14638887</v>
          </cell>
          <cell r="W103">
            <v>15205381</v>
          </cell>
          <cell r="X103">
            <v>15797771</v>
          </cell>
          <cell r="Y103">
            <v>16417203</v>
          </cell>
          <cell r="Z103">
            <v>17063870</v>
          </cell>
          <cell r="AA103">
            <v>17736326</v>
          </cell>
          <cell r="AB103">
            <v>18431760</v>
          </cell>
          <cell r="AC103">
            <v>19146403</v>
          </cell>
          <cell r="AD103">
            <v>19877078</v>
          </cell>
          <cell r="AE103">
            <v>20622560</v>
          </cell>
          <cell r="AF103">
            <v>21382111</v>
          </cell>
          <cell r="AG103">
            <v>22153685</v>
          </cell>
          <cell r="AH103">
            <v>22935088</v>
          </cell>
          <cell r="AI103">
            <v>23724574</v>
          </cell>
          <cell r="AJ103">
            <v>24521714</v>
          </cell>
          <cell r="AK103">
            <v>25326080</v>
          </cell>
          <cell r="AL103">
            <v>26136217</v>
          </cell>
          <cell r="AM103">
            <v>26950508</v>
          </cell>
          <cell r="AN103">
            <v>27768297</v>
          </cell>
          <cell r="AO103">
            <v>28589456</v>
          </cell>
          <cell r="AP103">
            <v>29415660</v>
          </cell>
          <cell r="AQ103">
            <v>30250488</v>
          </cell>
          <cell r="AR103">
            <v>31098763</v>
          </cell>
          <cell r="AS103">
            <v>31964557</v>
          </cell>
          <cell r="AT103">
            <v>32848569</v>
          </cell>
          <cell r="AU103">
            <v>33751746</v>
          </cell>
          <cell r="AV103">
            <v>34678781</v>
          </cell>
          <cell r="AW103">
            <v>35635267</v>
          </cell>
          <cell r="AX103">
            <v>36624897</v>
          </cell>
          <cell r="AY103">
            <v>37649039</v>
          </cell>
          <cell r="AZ103">
            <v>38705934</v>
          </cell>
          <cell r="BA103">
            <v>39791984</v>
          </cell>
          <cell r="BB103">
            <v>40901798</v>
          </cell>
          <cell r="BC103">
            <v>42030684</v>
          </cell>
          <cell r="BD103">
            <v>43178270</v>
          </cell>
          <cell r="BE103">
            <v>44343469</v>
          </cell>
          <cell r="BF103">
            <v>45519986</v>
          </cell>
          <cell r="BG103">
            <v>46700063</v>
          </cell>
          <cell r="BH103">
            <v>47878339</v>
          </cell>
          <cell r="BI103">
            <v>49051531</v>
          </cell>
          <cell r="BJ103">
            <v>50221146</v>
          </cell>
          <cell r="BK103">
            <v>51392570</v>
          </cell>
          <cell r="BL103">
            <v>52573967</v>
          </cell>
          <cell r="BM103">
            <v>53771300</v>
          </cell>
          <cell r="BN103">
            <v>53771300</v>
          </cell>
        </row>
        <row r="104">
          <cell r="B104" t="str">
            <v>KIR</v>
          </cell>
          <cell r="C104" t="str">
            <v>Population, total</v>
          </cell>
          <cell r="D104" t="str">
            <v>SP.POP.TOTL</v>
          </cell>
          <cell r="E104">
            <v>41196</v>
          </cell>
          <cell r="F104">
            <v>42234</v>
          </cell>
          <cell r="G104">
            <v>43283</v>
          </cell>
          <cell r="H104">
            <v>44342</v>
          </cell>
          <cell r="I104">
            <v>45392</v>
          </cell>
          <cell r="J104">
            <v>46429</v>
          </cell>
          <cell r="K104">
            <v>47429</v>
          </cell>
          <cell r="L104">
            <v>48403</v>
          </cell>
          <cell r="M104">
            <v>49354</v>
          </cell>
          <cell r="N104">
            <v>50267</v>
          </cell>
          <cell r="O104">
            <v>51142</v>
          </cell>
          <cell r="P104">
            <v>51979</v>
          </cell>
          <cell r="Q104">
            <v>52775</v>
          </cell>
          <cell r="R104">
            <v>53558</v>
          </cell>
          <cell r="S104">
            <v>54334</v>
          </cell>
          <cell r="T104">
            <v>55114</v>
          </cell>
          <cell r="U104">
            <v>55922</v>
          </cell>
          <cell r="V104">
            <v>56759</v>
          </cell>
          <cell r="W104">
            <v>57613</v>
          </cell>
          <cell r="X104">
            <v>58469</v>
          </cell>
          <cell r="Y104">
            <v>59296</v>
          </cell>
          <cell r="Z104">
            <v>60101</v>
          </cell>
          <cell r="AA104">
            <v>60887</v>
          </cell>
          <cell r="AB104">
            <v>61736</v>
          </cell>
          <cell r="AC104">
            <v>62745</v>
          </cell>
          <cell r="AD104">
            <v>63989</v>
          </cell>
          <cell r="AE104">
            <v>65504</v>
          </cell>
          <cell r="AF104">
            <v>67244</v>
          </cell>
          <cell r="AG104">
            <v>69087</v>
          </cell>
          <cell r="AH104">
            <v>70849</v>
          </cell>
          <cell r="AI104">
            <v>72394</v>
          </cell>
          <cell r="AJ104">
            <v>73692</v>
          </cell>
          <cell r="AK104">
            <v>74767</v>
          </cell>
          <cell r="AL104">
            <v>75711</v>
          </cell>
          <cell r="AM104">
            <v>76668</v>
          </cell>
          <cell r="AN104">
            <v>77716</v>
          </cell>
          <cell r="AO104">
            <v>78904</v>
          </cell>
          <cell r="AP104">
            <v>80188</v>
          </cell>
          <cell r="AQ104">
            <v>81558</v>
          </cell>
          <cell r="AR104">
            <v>82969</v>
          </cell>
          <cell r="AS104">
            <v>84405</v>
          </cell>
          <cell r="AT104">
            <v>85844</v>
          </cell>
          <cell r="AU104">
            <v>87308</v>
          </cell>
          <cell r="AV104">
            <v>88840</v>
          </cell>
          <cell r="AW104">
            <v>90498</v>
          </cell>
          <cell r="AX104">
            <v>92319</v>
          </cell>
          <cell r="AY104">
            <v>94341</v>
          </cell>
          <cell r="AZ104">
            <v>96531</v>
          </cell>
          <cell r="BA104">
            <v>98760</v>
          </cell>
          <cell r="BB104">
            <v>100928</v>
          </cell>
          <cell r="BC104">
            <v>102930</v>
          </cell>
          <cell r="BD104">
            <v>104735</v>
          </cell>
          <cell r="BE104">
            <v>106359</v>
          </cell>
          <cell r="BF104">
            <v>107887</v>
          </cell>
          <cell r="BG104">
            <v>109387</v>
          </cell>
          <cell r="BH104">
            <v>110927</v>
          </cell>
          <cell r="BI104">
            <v>112529</v>
          </cell>
          <cell r="BJ104">
            <v>114153</v>
          </cell>
          <cell r="BK104">
            <v>115842</v>
          </cell>
          <cell r="BL104">
            <v>117608</v>
          </cell>
          <cell r="BM104">
            <v>119446</v>
          </cell>
          <cell r="BN104">
            <v>119446</v>
          </cell>
        </row>
        <row r="105">
          <cell r="B105" t="str">
            <v>PRK</v>
          </cell>
          <cell r="C105" t="str">
            <v>Population, total</v>
          </cell>
          <cell r="D105" t="str">
            <v>SP.POP.TOTL</v>
          </cell>
          <cell r="E105">
            <v>11424189</v>
          </cell>
          <cell r="F105">
            <v>11665592</v>
          </cell>
          <cell r="G105">
            <v>11871726</v>
          </cell>
          <cell r="H105">
            <v>12065468</v>
          </cell>
          <cell r="I105">
            <v>12282417</v>
          </cell>
          <cell r="J105">
            <v>12547524</v>
          </cell>
          <cell r="K105">
            <v>12864947</v>
          </cell>
          <cell r="L105">
            <v>13222703</v>
          </cell>
          <cell r="M105">
            <v>13609976</v>
          </cell>
          <cell r="N105">
            <v>14010339</v>
          </cell>
          <cell r="O105">
            <v>14410391</v>
          </cell>
          <cell r="P105">
            <v>14809518</v>
          </cell>
          <cell r="Q105">
            <v>15207765</v>
          </cell>
          <cell r="R105">
            <v>15593353</v>
          </cell>
          <cell r="S105">
            <v>15952077</v>
          </cell>
          <cell r="T105">
            <v>16274737</v>
          </cell>
          <cell r="U105">
            <v>16554744</v>
          </cell>
          <cell r="V105">
            <v>16796568</v>
          </cell>
          <cell r="W105">
            <v>17015984</v>
          </cell>
          <cell r="X105">
            <v>17235668</v>
          </cell>
          <cell r="Y105">
            <v>17472144</v>
          </cell>
          <cell r="Z105">
            <v>17731229</v>
          </cell>
          <cell r="AA105">
            <v>18008568</v>
          </cell>
          <cell r="AB105">
            <v>18298212</v>
          </cell>
          <cell r="AC105">
            <v>18590142</v>
          </cell>
          <cell r="AD105">
            <v>18877226</v>
          </cell>
          <cell r="AE105">
            <v>19156791</v>
          </cell>
          <cell r="AF105">
            <v>19431992</v>
          </cell>
          <cell r="AG105">
            <v>19708316</v>
          </cell>
          <cell r="AH105">
            <v>19993757</v>
          </cell>
          <cell r="AI105">
            <v>20293057</v>
          </cell>
          <cell r="AJ105">
            <v>20609151</v>
          </cell>
          <cell r="AK105">
            <v>20937407</v>
          </cell>
          <cell r="AL105">
            <v>21265832</v>
          </cell>
          <cell r="AM105">
            <v>21577979</v>
          </cell>
          <cell r="AN105">
            <v>21862300</v>
          </cell>
          <cell r="AO105">
            <v>22113428</v>
          </cell>
          <cell r="AP105">
            <v>22335263</v>
          </cell>
          <cell r="AQ105">
            <v>22536754</v>
          </cell>
          <cell r="AR105">
            <v>22731470</v>
          </cell>
          <cell r="AS105">
            <v>22929078</v>
          </cell>
          <cell r="AT105">
            <v>23132982</v>
          </cell>
          <cell r="AU105">
            <v>23339453</v>
          </cell>
          <cell r="AV105">
            <v>23542434</v>
          </cell>
          <cell r="AW105">
            <v>23732740</v>
          </cell>
          <cell r="AX105">
            <v>23904167</v>
          </cell>
          <cell r="AY105">
            <v>24054866</v>
          </cell>
          <cell r="AZ105">
            <v>24188330</v>
          </cell>
          <cell r="BA105">
            <v>24310143</v>
          </cell>
          <cell r="BB105">
            <v>24428340</v>
          </cell>
          <cell r="BC105">
            <v>24548840</v>
          </cell>
          <cell r="BD105">
            <v>24673392</v>
          </cell>
          <cell r="BE105">
            <v>24800638</v>
          </cell>
          <cell r="BF105">
            <v>24929500</v>
          </cell>
          <cell r="BG105">
            <v>25057793</v>
          </cell>
          <cell r="BH105">
            <v>25183832</v>
          </cell>
          <cell r="BI105">
            <v>25307665</v>
          </cell>
          <cell r="BJ105">
            <v>25429816</v>
          </cell>
          <cell r="BK105">
            <v>25549606</v>
          </cell>
          <cell r="BL105">
            <v>25666158</v>
          </cell>
          <cell r="BM105">
            <v>25778815</v>
          </cell>
          <cell r="BN105">
            <v>25778815</v>
          </cell>
        </row>
        <row r="106">
          <cell r="B106" t="str">
            <v>KOR</v>
          </cell>
          <cell r="C106" t="str">
            <v>Population, total</v>
          </cell>
          <cell r="D106" t="str">
            <v>SP.POP.TOTL</v>
          </cell>
          <cell r="E106">
            <v>25012374</v>
          </cell>
          <cell r="F106">
            <v>25765673</v>
          </cell>
          <cell r="G106">
            <v>26513030</v>
          </cell>
          <cell r="H106">
            <v>27261747</v>
          </cell>
          <cell r="I106">
            <v>27984155</v>
          </cell>
          <cell r="J106">
            <v>28704674</v>
          </cell>
          <cell r="K106">
            <v>29435571</v>
          </cell>
          <cell r="L106">
            <v>30130983</v>
          </cell>
          <cell r="M106">
            <v>30838302</v>
          </cell>
          <cell r="N106">
            <v>31544266</v>
          </cell>
          <cell r="O106">
            <v>32240827</v>
          </cell>
          <cell r="P106">
            <v>32882704</v>
          </cell>
          <cell r="Q106">
            <v>33505406</v>
          </cell>
          <cell r="R106">
            <v>34103149</v>
          </cell>
          <cell r="S106">
            <v>34692266</v>
          </cell>
          <cell r="T106">
            <v>35280725</v>
          </cell>
          <cell r="U106">
            <v>35848523</v>
          </cell>
          <cell r="V106">
            <v>36411795</v>
          </cell>
          <cell r="W106">
            <v>36969185</v>
          </cell>
          <cell r="X106">
            <v>37534236</v>
          </cell>
          <cell r="Y106">
            <v>38123775</v>
          </cell>
          <cell r="Z106">
            <v>38723248</v>
          </cell>
          <cell r="AA106">
            <v>39326352</v>
          </cell>
          <cell r="AB106">
            <v>39910403</v>
          </cell>
          <cell r="AC106">
            <v>40405956</v>
          </cell>
          <cell r="AD106">
            <v>40805744</v>
          </cell>
          <cell r="AE106">
            <v>41213674</v>
          </cell>
          <cell r="AF106">
            <v>41621690</v>
          </cell>
          <cell r="AG106">
            <v>42031247</v>
          </cell>
          <cell r="AH106">
            <v>42449038</v>
          </cell>
          <cell r="AI106">
            <v>42869283</v>
          </cell>
          <cell r="AJ106">
            <v>43295704</v>
          </cell>
          <cell r="AK106">
            <v>43747962</v>
          </cell>
          <cell r="AL106">
            <v>44194628</v>
          </cell>
          <cell r="AM106">
            <v>44641540</v>
          </cell>
          <cell r="AN106">
            <v>45092991</v>
          </cell>
          <cell r="AO106">
            <v>45524681</v>
          </cell>
          <cell r="AP106">
            <v>45953580</v>
          </cell>
          <cell r="AQ106">
            <v>46286503</v>
          </cell>
          <cell r="AR106">
            <v>46616677</v>
          </cell>
          <cell r="AS106">
            <v>47008111</v>
          </cell>
          <cell r="AT106">
            <v>47370164</v>
          </cell>
          <cell r="AU106">
            <v>47644736</v>
          </cell>
          <cell r="AV106">
            <v>47892330</v>
          </cell>
          <cell r="AW106">
            <v>48082519</v>
          </cell>
          <cell r="AX106">
            <v>48184561</v>
          </cell>
          <cell r="AY106">
            <v>48438292</v>
          </cell>
          <cell r="AZ106">
            <v>48683638</v>
          </cell>
          <cell r="BA106">
            <v>49054708</v>
          </cell>
          <cell r="BB106">
            <v>49307835</v>
          </cell>
          <cell r="BC106">
            <v>49554112</v>
          </cell>
          <cell r="BD106">
            <v>49936638</v>
          </cell>
          <cell r="BE106">
            <v>50199853</v>
          </cell>
          <cell r="BF106">
            <v>50428893</v>
          </cell>
          <cell r="BG106">
            <v>50746659</v>
          </cell>
          <cell r="BH106">
            <v>51014947</v>
          </cell>
          <cell r="BI106">
            <v>51217803</v>
          </cell>
          <cell r="BJ106">
            <v>51361911</v>
          </cell>
          <cell r="BK106">
            <v>51606633</v>
          </cell>
          <cell r="BL106">
            <v>51709098</v>
          </cell>
          <cell r="BM106">
            <v>51780579</v>
          </cell>
          <cell r="BN106">
            <v>51780579</v>
          </cell>
        </row>
        <row r="107">
          <cell r="B107" t="str">
            <v>XKX</v>
          </cell>
          <cell r="C107" t="str">
            <v>Population, total</v>
          </cell>
          <cell r="D107" t="str">
            <v>SP.POP.TOTL</v>
          </cell>
          <cell r="E107">
            <v>947000</v>
          </cell>
          <cell r="F107">
            <v>966000</v>
          </cell>
          <cell r="G107">
            <v>994000</v>
          </cell>
          <cell r="H107">
            <v>1022000</v>
          </cell>
          <cell r="I107">
            <v>1050000</v>
          </cell>
          <cell r="J107">
            <v>1078000</v>
          </cell>
          <cell r="K107">
            <v>1106000</v>
          </cell>
          <cell r="L107">
            <v>1135000</v>
          </cell>
          <cell r="M107">
            <v>1163000</v>
          </cell>
          <cell r="N107">
            <v>1191000</v>
          </cell>
          <cell r="O107">
            <v>1219000</v>
          </cell>
          <cell r="P107">
            <v>1247000</v>
          </cell>
          <cell r="Q107">
            <v>1278000</v>
          </cell>
          <cell r="R107">
            <v>1308000</v>
          </cell>
          <cell r="S107">
            <v>1339000</v>
          </cell>
          <cell r="T107">
            <v>1369000</v>
          </cell>
          <cell r="U107">
            <v>1400000</v>
          </cell>
          <cell r="V107">
            <v>1430000</v>
          </cell>
          <cell r="W107">
            <v>1460000</v>
          </cell>
          <cell r="X107">
            <v>1491000</v>
          </cell>
          <cell r="Y107">
            <v>1521000</v>
          </cell>
          <cell r="Z107">
            <v>1552000</v>
          </cell>
          <cell r="AA107">
            <v>1582000</v>
          </cell>
          <cell r="AB107">
            <v>1614000</v>
          </cell>
          <cell r="AC107">
            <v>1647000</v>
          </cell>
          <cell r="AD107">
            <v>1682000</v>
          </cell>
          <cell r="AE107">
            <v>1717000</v>
          </cell>
          <cell r="AF107">
            <v>1753000</v>
          </cell>
          <cell r="AG107">
            <v>1791000</v>
          </cell>
          <cell r="AH107">
            <v>1827000</v>
          </cell>
          <cell r="AI107">
            <v>1862000</v>
          </cell>
          <cell r="AJ107">
            <v>1898000</v>
          </cell>
          <cell r="AK107">
            <v>1932000</v>
          </cell>
          <cell r="AL107">
            <v>1965000</v>
          </cell>
          <cell r="AM107">
            <v>1997000</v>
          </cell>
          <cell r="AN107">
            <v>2029000</v>
          </cell>
          <cell r="AO107">
            <v>2059000</v>
          </cell>
          <cell r="AP107">
            <v>2086000</v>
          </cell>
          <cell r="AQ107">
            <v>1966000</v>
          </cell>
          <cell r="AR107">
            <v>1762000</v>
          </cell>
          <cell r="AS107">
            <v>1700000</v>
          </cell>
          <cell r="AT107">
            <v>1701154</v>
          </cell>
          <cell r="AU107">
            <v>1702310</v>
          </cell>
          <cell r="AV107">
            <v>1703466</v>
          </cell>
          <cell r="AW107">
            <v>1704622</v>
          </cell>
          <cell r="AX107">
            <v>1705780</v>
          </cell>
          <cell r="AY107">
            <v>1719536</v>
          </cell>
          <cell r="AZ107">
            <v>1733404</v>
          </cell>
          <cell r="BA107">
            <v>1747383</v>
          </cell>
          <cell r="BB107">
            <v>1761474</v>
          </cell>
          <cell r="BC107">
            <v>1775680</v>
          </cell>
          <cell r="BD107">
            <v>1791000</v>
          </cell>
          <cell r="BE107">
            <v>1807106</v>
          </cell>
          <cell r="BF107">
            <v>1818117</v>
          </cell>
          <cell r="BG107">
            <v>1812771</v>
          </cell>
          <cell r="BH107">
            <v>1788196</v>
          </cell>
          <cell r="BI107">
            <v>1777557</v>
          </cell>
          <cell r="BJ107">
            <v>1791003</v>
          </cell>
          <cell r="BK107">
            <v>1797085</v>
          </cell>
          <cell r="BL107">
            <v>1788878</v>
          </cell>
          <cell r="BM107">
            <v>1775378</v>
          </cell>
          <cell r="BN107">
            <v>1775378</v>
          </cell>
        </row>
        <row r="108">
          <cell r="B108" t="str">
            <v>KWT</v>
          </cell>
          <cell r="C108" t="str">
            <v>Population, total</v>
          </cell>
          <cell r="D108" t="str">
            <v>SP.POP.TOTL</v>
          </cell>
          <cell r="E108">
            <v>269026</v>
          </cell>
          <cell r="F108">
            <v>300581</v>
          </cell>
          <cell r="G108">
            <v>337346</v>
          </cell>
          <cell r="H108">
            <v>378756</v>
          </cell>
          <cell r="I108">
            <v>423900</v>
          </cell>
          <cell r="J108">
            <v>472032</v>
          </cell>
          <cell r="K108">
            <v>523169</v>
          </cell>
          <cell r="L108">
            <v>577164</v>
          </cell>
          <cell r="M108">
            <v>632911</v>
          </cell>
          <cell r="N108">
            <v>688972</v>
          </cell>
          <cell r="O108">
            <v>744444</v>
          </cell>
          <cell r="P108">
            <v>798639</v>
          </cell>
          <cell r="Q108">
            <v>851918</v>
          </cell>
          <cell r="R108">
            <v>905639</v>
          </cell>
          <cell r="S108">
            <v>961773</v>
          </cell>
          <cell r="T108">
            <v>1021725</v>
          </cell>
          <cell r="U108">
            <v>1085866</v>
          </cell>
          <cell r="V108">
            <v>1153573</v>
          </cell>
          <cell r="W108">
            <v>1224063</v>
          </cell>
          <cell r="X108">
            <v>1296077</v>
          </cell>
          <cell r="Y108">
            <v>1368680</v>
          </cell>
          <cell r="Z108">
            <v>1439334</v>
          </cell>
          <cell r="AA108">
            <v>1507636</v>
          </cell>
          <cell r="AB108">
            <v>1576975</v>
          </cell>
          <cell r="AC108">
            <v>1652150</v>
          </cell>
          <cell r="AD108">
            <v>1735278</v>
          </cell>
          <cell r="AE108">
            <v>1832302</v>
          </cell>
          <cell r="AF108">
            <v>1938916</v>
          </cell>
          <cell r="AG108">
            <v>2034850</v>
          </cell>
          <cell r="AH108">
            <v>2092786</v>
          </cell>
          <cell r="AI108">
            <v>2095350</v>
          </cell>
          <cell r="AJ108">
            <v>2031297</v>
          </cell>
          <cell r="AK108" t="str">
            <v>..</v>
          </cell>
          <cell r="AL108" t="str">
            <v>..</v>
          </cell>
          <cell r="AM108" t="str">
            <v>..</v>
          </cell>
          <cell r="AN108">
            <v>1605907</v>
          </cell>
          <cell r="AO108">
            <v>1626858</v>
          </cell>
          <cell r="AP108">
            <v>1710257</v>
          </cell>
          <cell r="AQ108">
            <v>1831121</v>
          </cell>
          <cell r="AR108">
            <v>1951642</v>
          </cell>
          <cell r="AS108">
            <v>2045123</v>
          </cell>
          <cell r="AT108">
            <v>2103273</v>
          </cell>
          <cell r="AU108">
            <v>2136991</v>
          </cell>
          <cell r="AV108">
            <v>2161626</v>
          </cell>
          <cell r="AW108">
            <v>2200498</v>
          </cell>
          <cell r="AX108">
            <v>2270196</v>
          </cell>
          <cell r="AY108">
            <v>2373661</v>
          </cell>
          <cell r="AZ108">
            <v>2504026</v>
          </cell>
          <cell r="BA108">
            <v>2656010</v>
          </cell>
          <cell r="BB108">
            <v>2821041</v>
          </cell>
          <cell r="BC108">
            <v>2991884</v>
          </cell>
          <cell r="BD108">
            <v>3168054</v>
          </cell>
          <cell r="BE108">
            <v>3348852</v>
          </cell>
          <cell r="BF108">
            <v>3526382</v>
          </cell>
          <cell r="BG108">
            <v>3690939</v>
          </cell>
          <cell r="BH108">
            <v>3835588</v>
          </cell>
          <cell r="BI108">
            <v>3956862</v>
          </cell>
          <cell r="BJ108">
            <v>4056102</v>
          </cell>
          <cell r="BK108">
            <v>4137314</v>
          </cell>
          <cell r="BL108">
            <v>4207077</v>
          </cell>
          <cell r="BM108">
            <v>4270563</v>
          </cell>
          <cell r="BN108">
            <v>4270563</v>
          </cell>
        </row>
        <row r="109">
          <cell r="B109" t="str">
            <v>KGZ</v>
          </cell>
          <cell r="C109" t="str">
            <v>Population, total</v>
          </cell>
          <cell r="D109" t="str">
            <v>SP.POP.TOTL</v>
          </cell>
          <cell r="E109">
            <v>2172300</v>
          </cell>
          <cell r="F109">
            <v>2255900</v>
          </cell>
          <cell r="G109">
            <v>2333400</v>
          </cell>
          <cell r="H109">
            <v>2413700</v>
          </cell>
          <cell r="I109">
            <v>2495300</v>
          </cell>
          <cell r="J109">
            <v>2573300</v>
          </cell>
          <cell r="K109">
            <v>2655300</v>
          </cell>
          <cell r="L109">
            <v>2736500</v>
          </cell>
          <cell r="M109">
            <v>2818300</v>
          </cell>
          <cell r="N109">
            <v>2894800</v>
          </cell>
          <cell r="O109">
            <v>2959900</v>
          </cell>
          <cell r="P109">
            <v>3022300</v>
          </cell>
          <cell r="Q109">
            <v>3088200</v>
          </cell>
          <cell r="R109">
            <v>3153800</v>
          </cell>
          <cell r="S109">
            <v>3223900</v>
          </cell>
          <cell r="T109">
            <v>3292400</v>
          </cell>
          <cell r="U109">
            <v>3358700</v>
          </cell>
          <cell r="V109">
            <v>3423900</v>
          </cell>
          <cell r="W109">
            <v>3487100</v>
          </cell>
          <cell r="X109">
            <v>3552000</v>
          </cell>
          <cell r="Y109">
            <v>3617400</v>
          </cell>
          <cell r="Z109">
            <v>3685800</v>
          </cell>
          <cell r="AA109">
            <v>3759300</v>
          </cell>
          <cell r="AB109">
            <v>3838300</v>
          </cell>
          <cell r="AC109">
            <v>3916400</v>
          </cell>
          <cell r="AD109">
            <v>3990300</v>
          </cell>
          <cell r="AE109">
            <v>4066500</v>
          </cell>
          <cell r="AF109">
            <v>4144600</v>
          </cell>
          <cell r="AG109">
            <v>4218400</v>
          </cell>
          <cell r="AH109">
            <v>4307500</v>
          </cell>
          <cell r="AI109">
            <v>4391200</v>
          </cell>
          <cell r="AJ109">
            <v>4463600</v>
          </cell>
          <cell r="AK109">
            <v>4515400</v>
          </cell>
          <cell r="AL109">
            <v>4516700</v>
          </cell>
          <cell r="AM109">
            <v>4515100</v>
          </cell>
          <cell r="AN109">
            <v>4560400</v>
          </cell>
          <cell r="AO109">
            <v>4628400</v>
          </cell>
          <cell r="AP109">
            <v>4696400</v>
          </cell>
          <cell r="AQ109">
            <v>4769000</v>
          </cell>
          <cell r="AR109">
            <v>4840400</v>
          </cell>
          <cell r="AS109">
            <v>4898400</v>
          </cell>
          <cell r="AT109">
            <v>4945100</v>
          </cell>
          <cell r="AU109">
            <v>4990700</v>
          </cell>
          <cell r="AV109">
            <v>5043300</v>
          </cell>
          <cell r="AW109">
            <v>5104700</v>
          </cell>
          <cell r="AX109">
            <v>5162600</v>
          </cell>
          <cell r="AY109">
            <v>5218400</v>
          </cell>
          <cell r="AZ109">
            <v>5268400</v>
          </cell>
          <cell r="BA109">
            <v>5318700</v>
          </cell>
          <cell r="BB109">
            <v>5383300</v>
          </cell>
          <cell r="BC109">
            <v>5447900</v>
          </cell>
          <cell r="BD109">
            <v>5514600</v>
          </cell>
          <cell r="BE109">
            <v>5607200</v>
          </cell>
          <cell r="BF109">
            <v>5719600</v>
          </cell>
          <cell r="BG109">
            <v>5835500</v>
          </cell>
          <cell r="BH109">
            <v>5956900</v>
          </cell>
          <cell r="BI109">
            <v>6079500</v>
          </cell>
          <cell r="BJ109">
            <v>6198200</v>
          </cell>
          <cell r="BK109">
            <v>6322800</v>
          </cell>
          <cell r="BL109">
            <v>6456200</v>
          </cell>
          <cell r="BM109">
            <v>6591600</v>
          </cell>
          <cell r="BN109">
            <v>6591600</v>
          </cell>
        </row>
        <row r="110">
          <cell r="B110" t="str">
            <v>LAO</v>
          </cell>
          <cell r="C110" t="str">
            <v>Population, total</v>
          </cell>
          <cell r="D110" t="str">
            <v>SP.POP.TOTL</v>
          </cell>
          <cell r="E110">
            <v>2120892</v>
          </cell>
          <cell r="F110">
            <v>2170340</v>
          </cell>
          <cell r="G110">
            <v>2221123</v>
          </cell>
          <cell r="H110">
            <v>2273352</v>
          </cell>
          <cell r="I110">
            <v>2327137</v>
          </cell>
          <cell r="J110">
            <v>2382586</v>
          </cell>
          <cell r="K110">
            <v>2439197</v>
          </cell>
          <cell r="L110">
            <v>2496927</v>
          </cell>
          <cell r="M110">
            <v>2556845</v>
          </cell>
          <cell r="N110">
            <v>2620448</v>
          </cell>
          <cell r="O110">
            <v>2688429</v>
          </cell>
          <cell r="P110">
            <v>2762264</v>
          </cell>
          <cell r="Q110">
            <v>2840842</v>
          </cell>
          <cell r="R110">
            <v>2919288</v>
          </cell>
          <cell r="S110">
            <v>2990963</v>
          </cell>
          <cell r="T110">
            <v>3051583</v>
          </cell>
          <cell r="U110">
            <v>3098962</v>
          </cell>
          <cell r="V110">
            <v>3135839</v>
          </cell>
          <cell r="W110">
            <v>3168838</v>
          </cell>
          <cell r="X110">
            <v>3207331</v>
          </cell>
          <cell r="Y110">
            <v>3258149</v>
          </cell>
          <cell r="Z110">
            <v>3323353</v>
          </cell>
          <cell r="AA110">
            <v>3401193</v>
          </cell>
          <cell r="AB110">
            <v>3489910</v>
          </cell>
          <cell r="AC110">
            <v>3586315</v>
          </cell>
          <cell r="AD110">
            <v>3687889</v>
          </cell>
          <cell r="AE110">
            <v>3794204</v>
          </cell>
          <cell r="AF110">
            <v>3905530</v>
          </cell>
          <cell r="AG110">
            <v>4020817</v>
          </cell>
          <cell r="AH110">
            <v>4138845</v>
          </cell>
          <cell r="AI110">
            <v>4258471</v>
          </cell>
          <cell r="AJ110">
            <v>4379234</v>
          </cell>
          <cell r="AK110">
            <v>4500346</v>
          </cell>
          <cell r="AL110">
            <v>4619946</v>
          </cell>
          <cell r="AM110">
            <v>4735837</v>
          </cell>
          <cell r="AN110">
            <v>4846477</v>
          </cell>
          <cell r="AO110">
            <v>4951189</v>
          </cell>
          <cell r="AP110">
            <v>5050308</v>
          </cell>
          <cell r="AQ110">
            <v>5144601</v>
          </cell>
          <cell r="AR110">
            <v>5235339</v>
          </cell>
          <cell r="AS110">
            <v>5323701</v>
          </cell>
          <cell r="AT110">
            <v>5409584</v>
          </cell>
          <cell r="AU110">
            <v>5493247</v>
          </cell>
          <cell r="AV110">
            <v>5576640</v>
          </cell>
          <cell r="AW110">
            <v>5662199</v>
          </cell>
          <cell r="AX110">
            <v>5751675</v>
          </cell>
          <cell r="AY110">
            <v>5846075</v>
          </cell>
          <cell r="AZ110">
            <v>5944950</v>
          </cell>
          <cell r="BA110">
            <v>6046630</v>
          </cell>
          <cell r="BB110">
            <v>6148621</v>
          </cell>
          <cell r="BC110">
            <v>6249168</v>
          </cell>
          <cell r="BD110">
            <v>6347564</v>
          </cell>
          <cell r="BE110">
            <v>6444527</v>
          </cell>
          <cell r="BF110">
            <v>6541302</v>
          </cell>
          <cell r="BG110">
            <v>6639763</v>
          </cell>
          <cell r="BH110">
            <v>6741160</v>
          </cell>
          <cell r="BI110">
            <v>6845848</v>
          </cell>
          <cell r="BJ110">
            <v>6953031</v>
          </cell>
          <cell r="BK110">
            <v>7061498</v>
          </cell>
          <cell r="BL110">
            <v>7169456</v>
          </cell>
          <cell r="BM110">
            <v>7275556</v>
          </cell>
          <cell r="BN110">
            <v>7275556</v>
          </cell>
        </row>
        <row r="111">
          <cell r="B111" t="str">
            <v>LVA</v>
          </cell>
          <cell r="C111" t="str">
            <v>Population, total</v>
          </cell>
          <cell r="D111" t="str">
            <v>SP.POP.TOTL</v>
          </cell>
          <cell r="E111">
            <v>2120979</v>
          </cell>
          <cell r="F111">
            <v>2152681</v>
          </cell>
          <cell r="G111">
            <v>2181586</v>
          </cell>
          <cell r="H111">
            <v>2210919</v>
          </cell>
          <cell r="I111">
            <v>2240623</v>
          </cell>
          <cell r="J111">
            <v>2265919</v>
          </cell>
          <cell r="K111">
            <v>2283217</v>
          </cell>
          <cell r="L111">
            <v>2301220</v>
          </cell>
          <cell r="M111">
            <v>2323619</v>
          </cell>
          <cell r="N111">
            <v>2343173</v>
          </cell>
          <cell r="O111">
            <v>2359164</v>
          </cell>
          <cell r="P111">
            <v>2376389</v>
          </cell>
          <cell r="Q111">
            <v>2395674</v>
          </cell>
          <cell r="R111">
            <v>2415819</v>
          </cell>
          <cell r="S111">
            <v>2437186</v>
          </cell>
          <cell r="T111">
            <v>2456130</v>
          </cell>
          <cell r="U111">
            <v>2470989</v>
          </cell>
          <cell r="V111">
            <v>2485073</v>
          </cell>
          <cell r="W111">
            <v>2497921</v>
          </cell>
          <cell r="X111">
            <v>2505953</v>
          </cell>
          <cell r="Y111">
            <v>2511701</v>
          </cell>
          <cell r="Z111">
            <v>2519421</v>
          </cell>
          <cell r="AA111">
            <v>2531080</v>
          </cell>
          <cell r="AB111">
            <v>2546011</v>
          </cell>
          <cell r="AC111">
            <v>2562047</v>
          </cell>
          <cell r="AD111">
            <v>2578873</v>
          </cell>
          <cell r="AE111">
            <v>2599892</v>
          </cell>
          <cell r="AF111">
            <v>2626583</v>
          </cell>
          <cell r="AG111">
            <v>2653434</v>
          </cell>
          <cell r="AH111">
            <v>2666955</v>
          </cell>
          <cell r="AI111">
            <v>2663151</v>
          </cell>
          <cell r="AJ111">
            <v>2650581</v>
          </cell>
          <cell r="AK111">
            <v>2614338</v>
          </cell>
          <cell r="AL111">
            <v>2563290</v>
          </cell>
          <cell r="AM111">
            <v>2520742</v>
          </cell>
          <cell r="AN111">
            <v>2485056</v>
          </cell>
          <cell r="AO111">
            <v>2457222</v>
          </cell>
          <cell r="AP111">
            <v>2432851</v>
          </cell>
          <cell r="AQ111">
            <v>2410019</v>
          </cell>
          <cell r="AR111">
            <v>2390482</v>
          </cell>
          <cell r="AS111">
            <v>2367550</v>
          </cell>
          <cell r="AT111">
            <v>2337170</v>
          </cell>
          <cell r="AU111">
            <v>2310173</v>
          </cell>
          <cell r="AV111">
            <v>2287955</v>
          </cell>
          <cell r="AW111">
            <v>2263122</v>
          </cell>
          <cell r="AX111">
            <v>2238799</v>
          </cell>
          <cell r="AY111">
            <v>2218357</v>
          </cell>
          <cell r="AZ111">
            <v>2200325</v>
          </cell>
          <cell r="BA111">
            <v>2177322</v>
          </cell>
          <cell r="BB111">
            <v>2141669</v>
          </cell>
          <cell r="BC111">
            <v>2097555</v>
          </cell>
          <cell r="BD111">
            <v>2059709</v>
          </cell>
          <cell r="BE111">
            <v>2034319</v>
          </cell>
          <cell r="BF111">
            <v>2012647</v>
          </cell>
          <cell r="BG111">
            <v>1993782</v>
          </cell>
          <cell r="BH111">
            <v>1977527</v>
          </cell>
          <cell r="BI111">
            <v>1959537</v>
          </cell>
          <cell r="BJ111">
            <v>1942248</v>
          </cell>
          <cell r="BK111">
            <v>1927174</v>
          </cell>
          <cell r="BL111">
            <v>1913822</v>
          </cell>
          <cell r="BM111">
            <v>1901548</v>
          </cell>
          <cell r="BN111">
            <v>1901548</v>
          </cell>
        </row>
        <row r="112">
          <cell r="B112" t="str">
            <v>LBN</v>
          </cell>
          <cell r="C112" t="str">
            <v>Population, total</v>
          </cell>
          <cell r="D112" t="str">
            <v>SP.POP.TOTL</v>
          </cell>
          <cell r="E112">
            <v>1804935</v>
          </cell>
          <cell r="F112">
            <v>1864613</v>
          </cell>
          <cell r="G112">
            <v>1925295</v>
          </cell>
          <cell r="H112">
            <v>1984999</v>
          </cell>
          <cell r="I112">
            <v>2041231</v>
          </cell>
          <cell r="J112">
            <v>2092374</v>
          </cell>
          <cell r="K112">
            <v>2136617</v>
          </cell>
          <cell r="L112">
            <v>2174732</v>
          </cell>
          <cell r="M112">
            <v>2210769</v>
          </cell>
          <cell r="N112">
            <v>2250454</v>
          </cell>
          <cell r="O112">
            <v>2297436</v>
          </cell>
          <cell r="P112">
            <v>2354046</v>
          </cell>
          <cell r="Q112">
            <v>2417837</v>
          </cell>
          <cell r="R112">
            <v>2481943</v>
          </cell>
          <cell r="S112">
            <v>2536772</v>
          </cell>
          <cell r="T112">
            <v>2575746</v>
          </cell>
          <cell r="U112">
            <v>2596409</v>
          </cell>
          <cell r="V112">
            <v>2601734</v>
          </cell>
          <cell r="W112">
            <v>2597202</v>
          </cell>
          <cell r="X112">
            <v>2590911</v>
          </cell>
          <cell r="Y112">
            <v>2588928</v>
          </cell>
          <cell r="Z112">
            <v>2594299</v>
          </cell>
          <cell r="AA112">
            <v>2606148</v>
          </cell>
          <cell r="AB112">
            <v>2622072</v>
          </cell>
          <cell r="AC112">
            <v>2638056</v>
          </cell>
          <cell r="AD112">
            <v>2651992</v>
          </cell>
          <cell r="AE112">
            <v>2660873</v>
          </cell>
          <cell r="AF112">
            <v>2667957</v>
          </cell>
          <cell r="AG112">
            <v>2684682</v>
          </cell>
          <cell r="AH112">
            <v>2726438</v>
          </cell>
          <cell r="AI112">
            <v>2803032</v>
          </cell>
          <cell r="AJ112">
            <v>2921700</v>
          </cell>
          <cell r="AK112">
            <v>3076133</v>
          </cell>
          <cell r="AL112">
            <v>3246129</v>
          </cell>
          <cell r="AM112">
            <v>3403359</v>
          </cell>
          <cell r="AN112">
            <v>3528379</v>
          </cell>
          <cell r="AO112">
            <v>3610663</v>
          </cell>
          <cell r="AP112">
            <v>3658425</v>
          </cell>
          <cell r="AQ112">
            <v>3693514</v>
          </cell>
          <cell r="AR112">
            <v>3747762</v>
          </cell>
          <cell r="AS112">
            <v>3842774</v>
          </cell>
          <cell r="AT112">
            <v>3990999</v>
          </cell>
          <cell r="AU112">
            <v>4182205</v>
          </cell>
          <cell r="AV112">
            <v>4388378</v>
          </cell>
          <cell r="AW112">
            <v>4569377</v>
          </cell>
          <cell r="AX112">
            <v>4698761</v>
          </cell>
          <cell r="AY112">
            <v>4759760</v>
          </cell>
          <cell r="AZ112">
            <v>4767347</v>
          </cell>
          <cell r="BA112">
            <v>4764745</v>
          </cell>
          <cell r="BB112">
            <v>4813026</v>
          </cell>
          <cell r="BC112">
            <v>4953064</v>
          </cell>
          <cell r="BD112">
            <v>5202022</v>
          </cell>
          <cell r="BE112">
            <v>5537620</v>
          </cell>
          <cell r="BF112">
            <v>5913016</v>
          </cell>
          <cell r="BG112">
            <v>6261046</v>
          </cell>
          <cell r="BH112">
            <v>6532681</v>
          </cell>
          <cell r="BI112">
            <v>6714281</v>
          </cell>
          <cell r="BJ112">
            <v>6819373</v>
          </cell>
          <cell r="BK112">
            <v>6859408</v>
          </cell>
          <cell r="BL112">
            <v>6855709</v>
          </cell>
          <cell r="BM112">
            <v>6825442</v>
          </cell>
          <cell r="BN112">
            <v>6825442</v>
          </cell>
        </row>
        <row r="113">
          <cell r="B113" t="str">
            <v>LSO</v>
          </cell>
          <cell r="C113" t="str">
            <v>Population, total</v>
          </cell>
          <cell r="D113" t="str">
            <v>SP.POP.TOTL</v>
          </cell>
          <cell r="E113">
            <v>837264</v>
          </cell>
          <cell r="F113">
            <v>852892</v>
          </cell>
          <cell r="G113">
            <v>869132</v>
          </cell>
          <cell r="H113">
            <v>886061</v>
          </cell>
          <cell r="I113">
            <v>903757</v>
          </cell>
          <cell r="J113">
            <v>922307</v>
          </cell>
          <cell r="K113">
            <v>941798</v>
          </cell>
          <cell r="L113">
            <v>962279</v>
          </cell>
          <cell r="M113">
            <v>983683</v>
          </cell>
          <cell r="N113">
            <v>1005911</v>
          </cell>
          <cell r="O113">
            <v>1028930</v>
          </cell>
          <cell r="P113">
            <v>1052619</v>
          </cell>
          <cell r="Q113">
            <v>1077102</v>
          </cell>
          <cell r="R113">
            <v>1102885</v>
          </cell>
          <cell r="S113">
            <v>1130634</v>
          </cell>
          <cell r="T113">
            <v>1160795</v>
          </cell>
          <cell r="U113">
            <v>1193517</v>
          </cell>
          <cell r="V113">
            <v>1228527</v>
          </cell>
          <cell r="W113">
            <v>1265211</v>
          </cell>
          <cell r="X113">
            <v>1302670</v>
          </cell>
          <cell r="Y113">
            <v>1340258</v>
          </cell>
          <cell r="Z113">
            <v>1377808</v>
          </cell>
          <cell r="AA113">
            <v>1415362</v>
          </cell>
          <cell r="AB113">
            <v>1452727</v>
          </cell>
          <cell r="AC113">
            <v>1489685</v>
          </cell>
          <cell r="AD113">
            <v>1526132</v>
          </cell>
          <cell r="AE113">
            <v>1561687</v>
          </cell>
          <cell r="AF113">
            <v>1596395</v>
          </cell>
          <cell r="AG113">
            <v>1630993</v>
          </cell>
          <cell r="AH113">
            <v>1666564</v>
          </cell>
          <cell r="AI113">
            <v>1703757</v>
          </cell>
          <cell r="AJ113">
            <v>1742534</v>
          </cell>
          <cell r="AK113">
            <v>1782284</v>
          </cell>
          <cell r="AL113">
            <v>1822237</v>
          </cell>
          <cell r="AM113">
            <v>1861323</v>
          </cell>
          <cell r="AN113">
            <v>1898598</v>
          </cell>
          <cell r="AO113">
            <v>1934294</v>
          </cell>
          <cell r="AP113">
            <v>1968054</v>
          </cell>
          <cell r="AQ113">
            <v>1997524</v>
          </cell>
          <cell r="AR113">
            <v>2019732</v>
          </cell>
          <cell r="AS113">
            <v>2032805</v>
          </cell>
          <cell r="AT113">
            <v>2035738</v>
          </cell>
          <cell r="AU113">
            <v>2029832</v>
          </cell>
          <cell r="AV113">
            <v>2018355</v>
          </cell>
          <cell r="AW113">
            <v>2005953</v>
          </cell>
          <cell r="AX113">
            <v>1996115</v>
          </cell>
          <cell r="AY113">
            <v>1989933</v>
          </cell>
          <cell r="AZ113">
            <v>1986926</v>
          </cell>
          <cell r="BA113">
            <v>1987130</v>
          </cell>
          <cell r="BB113">
            <v>1990135</v>
          </cell>
          <cell r="BC113">
            <v>1995575</v>
          </cell>
          <cell r="BD113">
            <v>2003793</v>
          </cell>
          <cell r="BE113">
            <v>2014988</v>
          </cell>
          <cell r="BF113">
            <v>2028528</v>
          </cell>
          <cell r="BG113">
            <v>2043448</v>
          </cell>
          <cell r="BH113">
            <v>2059011</v>
          </cell>
          <cell r="BI113">
            <v>2075041</v>
          </cell>
          <cell r="BJ113">
            <v>2091532</v>
          </cell>
          <cell r="BK113">
            <v>2108327</v>
          </cell>
          <cell r="BL113">
            <v>2125267</v>
          </cell>
          <cell r="BM113">
            <v>2142252</v>
          </cell>
          <cell r="BN113">
            <v>2142252</v>
          </cell>
        </row>
        <row r="114">
          <cell r="B114" t="str">
            <v>LBR</v>
          </cell>
          <cell r="C114" t="str">
            <v>Population, total</v>
          </cell>
          <cell r="D114" t="str">
            <v>SP.POP.TOTL</v>
          </cell>
          <cell r="E114">
            <v>1118655</v>
          </cell>
          <cell r="F114">
            <v>1142304</v>
          </cell>
          <cell r="G114">
            <v>1166651</v>
          </cell>
          <cell r="H114">
            <v>1191796</v>
          </cell>
          <cell r="I114">
            <v>1217905</v>
          </cell>
          <cell r="J114">
            <v>1245104</v>
          </cell>
          <cell r="K114">
            <v>1273458</v>
          </cell>
          <cell r="L114">
            <v>1303032</v>
          </cell>
          <cell r="M114">
            <v>1333980</v>
          </cell>
          <cell r="N114">
            <v>1366500</v>
          </cell>
          <cell r="O114">
            <v>1400730</v>
          </cell>
          <cell r="P114">
            <v>1436740</v>
          </cell>
          <cell r="Q114">
            <v>1474567</v>
          </cell>
          <cell r="R114">
            <v>1514364</v>
          </cell>
          <cell r="S114">
            <v>1556288</v>
          </cell>
          <cell r="T114">
            <v>1600454</v>
          </cell>
          <cell r="U114">
            <v>1645833</v>
          </cell>
          <cell r="V114">
            <v>1692155</v>
          </cell>
          <cell r="W114">
            <v>1740919</v>
          </cell>
          <cell r="X114">
            <v>1794251</v>
          </cell>
          <cell r="Y114">
            <v>1852991</v>
          </cell>
          <cell r="Z114">
            <v>1918832</v>
          </cell>
          <cell r="AA114">
            <v>1989477</v>
          </cell>
          <cell r="AB114">
            <v>2057232</v>
          </cell>
          <cell r="AC114">
            <v>2111667</v>
          </cell>
          <cell r="AD114">
            <v>2145756</v>
          </cell>
          <cell r="AE114">
            <v>2158434</v>
          </cell>
          <cell r="AF114">
            <v>2153312</v>
          </cell>
          <cell r="AG114">
            <v>2134105</v>
          </cell>
          <cell r="AH114">
            <v>2106429</v>
          </cell>
          <cell r="AI114">
            <v>2075917</v>
          </cell>
          <cell r="AJ114">
            <v>2040141</v>
          </cell>
          <cell r="AK114">
            <v>2001612</v>
          </cell>
          <cell r="AL114">
            <v>1976701</v>
          </cell>
          <cell r="AM114">
            <v>1986491</v>
          </cell>
          <cell r="AN114">
            <v>2044657</v>
          </cell>
          <cell r="AO114">
            <v>2160480</v>
          </cell>
          <cell r="AP114">
            <v>2326210</v>
          </cell>
          <cell r="AQ114">
            <v>2517472</v>
          </cell>
          <cell r="AR114">
            <v>2699708</v>
          </cell>
          <cell r="AS114">
            <v>2848447</v>
          </cell>
          <cell r="AT114">
            <v>2953928</v>
          </cell>
          <cell r="AU114">
            <v>3024727</v>
          </cell>
          <cell r="AV114">
            <v>3077055</v>
          </cell>
          <cell r="AW114">
            <v>3135654</v>
          </cell>
          <cell r="AX114">
            <v>3218114</v>
          </cell>
          <cell r="AY114">
            <v>3329211</v>
          </cell>
          <cell r="AZ114">
            <v>3461911</v>
          </cell>
          <cell r="BA114">
            <v>3607863</v>
          </cell>
          <cell r="BB114">
            <v>3754129</v>
          </cell>
          <cell r="BC114">
            <v>3891357</v>
          </cell>
          <cell r="BD114">
            <v>4017446</v>
          </cell>
          <cell r="BE114">
            <v>4135662</v>
          </cell>
          <cell r="BF114">
            <v>4248337</v>
          </cell>
          <cell r="BG114">
            <v>4359508</v>
          </cell>
          <cell r="BH114">
            <v>4472229</v>
          </cell>
          <cell r="BI114">
            <v>4586788</v>
          </cell>
          <cell r="BJ114">
            <v>4702224</v>
          </cell>
          <cell r="BK114">
            <v>4818976</v>
          </cell>
          <cell r="BL114">
            <v>4937374</v>
          </cell>
          <cell r="BM114">
            <v>5057677</v>
          </cell>
          <cell r="BN114">
            <v>5057677</v>
          </cell>
        </row>
        <row r="115">
          <cell r="B115" t="str">
            <v>LBY</v>
          </cell>
          <cell r="C115" t="str">
            <v>Population, total</v>
          </cell>
          <cell r="D115" t="str">
            <v>SP.POP.TOTL</v>
          </cell>
          <cell r="E115">
            <v>1448416</v>
          </cell>
          <cell r="F115">
            <v>1498076</v>
          </cell>
          <cell r="G115">
            <v>1550815</v>
          </cell>
          <cell r="H115">
            <v>1607168</v>
          </cell>
          <cell r="I115">
            <v>1667822</v>
          </cell>
          <cell r="J115">
            <v>1733307</v>
          </cell>
          <cell r="K115">
            <v>1803689</v>
          </cell>
          <cell r="L115">
            <v>1878869</v>
          </cell>
          <cell r="M115">
            <v>1958909</v>
          </cell>
          <cell r="N115">
            <v>2043820</v>
          </cell>
          <cell r="O115">
            <v>2133527</v>
          </cell>
          <cell r="P115">
            <v>2228142</v>
          </cell>
          <cell r="Q115">
            <v>2327487</v>
          </cell>
          <cell r="R115">
            <v>2430754</v>
          </cell>
          <cell r="S115">
            <v>2536895</v>
          </cell>
          <cell r="T115">
            <v>2645136</v>
          </cell>
          <cell r="U115">
            <v>2754698</v>
          </cell>
          <cell r="V115">
            <v>2865639</v>
          </cell>
          <cell r="W115">
            <v>2979102</v>
          </cell>
          <cell r="X115">
            <v>3096724</v>
          </cell>
          <cell r="Y115">
            <v>3219462</v>
          </cell>
          <cell r="Z115">
            <v>3347779</v>
          </cell>
          <cell r="AA115">
            <v>3480443</v>
          </cell>
          <cell r="AB115">
            <v>3614682</v>
          </cell>
          <cell r="AC115">
            <v>3746712</v>
          </cell>
          <cell r="AD115">
            <v>3873781</v>
          </cell>
          <cell r="AE115">
            <v>3994601</v>
          </cell>
          <cell r="AF115">
            <v>4109717</v>
          </cell>
          <cell r="AG115">
            <v>4220451</v>
          </cell>
          <cell r="AH115">
            <v>4328935</v>
          </cell>
          <cell r="AI115">
            <v>4436663</v>
          </cell>
          <cell r="AJ115">
            <v>4544245</v>
          </cell>
          <cell r="AK115">
            <v>4650896</v>
          </cell>
          <cell r="AL115">
            <v>4755134</v>
          </cell>
          <cell r="AM115">
            <v>4854871</v>
          </cell>
          <cell r="AN115">
            <v>4948796</v>
          </cell>
          <cell r="AO115">
            <v>5036173</v>
          </cell>
          <cell r="AP115">
            <v>5118008</v>
          </cell>
          <cell r="AQ115">
            <v>5196774</v>
          </cell>
          <cell r="AR115">
            <v>5275921</v>
          </cell>
          <cell r="AS115">
            <v>5357893</v>
          </cell>
          <cell r="AT115">
            <v>5443249</v>
          </cell>
          <cell r="AU115">
            <v>5531097</v>
          </cell>
          <cell r="AV115">
            <v>5620545</v>
          </cell>
          <cell r="AW115">
            <v>5710163</v>
          </cell>
          <cell r="AX115">
            <v>5798615</v>
          </cell>
          <cell r="AY115">
            <v>5886874</v>
          </cell>
          <cell r="AZ115">
            <v>5974786</v>
          </cell>
          <cell r="BA115">
            <v>6058740</v>
          </cell>
          <cell r="BB115">
            <v>6133987</v>
          </cell>
          <cell r="BC115">
            <v>6197667</v>
          </cell>
          <cell r="BD115">
            <v>6247438</v>
          </cell>
          <cell r="BE115">
            <v>6285751</v>
          </cell>
          <cell r="BF115">
            <v>6320350</v>
          </cell>
          <cell r="BG115">
            <v>6362039</v>
          </cell>
          <cell r="BH115">
            <v>6418315</v>
          </cell>
          <cell r="BI115">
            <v>6492160</v>
          </cell>
          <cell r="BJ115">
            <v>6580723</v>
          </cell>
          <cell r="BK115">
            <v>6678565</v>
          </cell>
          <cell r="BL115">
            <v>6777453</v>
          </cell>
          <cell r="BM115">
            <v>6871287</v>
          </cell>
          <cell r="BN115">
            <v>6871287</v>
          </cell>
        </row>
        <row r="116">
          <cell r="B116" t="str">
            <v>LIE</v>
          </cell>
          <cell r="C116" t="str">
            <v>Population, total</v>
          </cell>
          <cell r="D116" t="str">
            <v>SP.POP.TOTL</v>
          </cell>
          <cell r="E116">
            <v>16501</v>
          </cell>
          <cell r="F116">
            <v>16894</v>
          </cell>
          <cell r="G116">
            <v>17300</v>
          </cell>
          <cell r="H116">
            <v>17724</v>
          </cell>
          <cell r="I116">
            <v>18170</v>
          </cell>
          <cell r="J116">
            <v>18642</v>
          </cell>
          <cell r="K116">
            <v>19160</v>
          </cell>
          <cell r="L116">
            <v>19688</v>
          </cell>
          <cell r="M116">
            <v>20237</v>
          </cell>
          <cell r="N116">
            <v>20766</v>
          </cell>
          <cell r="O116">
            <v>21268</v>
          </cell>
          <cell r="P116">
            <v>21729</v>
          </cell>
          <cell r="Q116">
            <v>22161</v>
          </cell>
          <cell r="R116">
            <v>22560</v>
          </cell>
          <cell r="S116">
            <v>22985</v>
          </cell>
          <cell r="T116">
            <v>23436</v>
          </cell>
          <cell r="U116">
            <v>23933</v>
          </cell>
          <cell r="V116">
            <v>24451</v>
          </cell>
          <cell r="W116">
            <v>24968</v>
          </cell>
          <cell r="X116">
            <v>25463</v>
          </cell>
          <cell r="Y116">
            <v>25881</v>
          </cell>
          <cell r="Z116">
            <v>26229</v>
          </cell>
          <cell r="AA116">
            <v>26533</v>
          </cell>
          <cell r="AB116">
            <v>26790</v>
          </cell>
          <cell r="AC116">
            <v>27028</v>
          </cell>
          <cell r="AD116">
            <v>27286</v>
          </cell>
          <cell r="AE116">
            <v>27552</v>
          </cell>
          <cell r="AF116">
            <v>27835</v>
          </cell>
          <cell r="AG116">
            <v>28135</v>
          </cell>
          <cell r="AH116">
            <v>28449</v>
          </cell>
          <cell r="AI116">
            <v>28790</v>
          </cell>
          <cell r="AJ116">
            <v>29166</v>
          </cell>
          <cell r="AK116">
            <v>29552</v>
          </cell>
          <cell r="AL116">
            <v>29987</v>
          </cell>
          <cell r="AM116">
            <v>30415</v>
          </cell>
          <cell r="AN116">
            <v>30884</v>
          </cell>
          <cell r="AO116">
            <v>31354</v>
          </cell>
          <cell r="AP116">
            <v>31830</v>
          </cell>
          <cell r="AQ116">
            <v>32306</v>
          </cell>
          <cell r="AR116">
            <v>32765</v>
          </cell>
          <cell r="AS116">
            <v>33184</v>
          </cell>
          <cell r="AT116">
            <v>33543</v>
          </cell>
          <cell r="AU116">
            <v>33885</v>
          </cell>
          <cell r="AV116">
            <v>34172</v>
          </cell>
          <cell r="AW116">
            <v>34444</v>
          </cell>
          <cell r="AX116">
            <v>34718</v>
          </cell>
          <cell r="AY116">
            <v>34975</v>
          </cell>
          <cell r="AZ116">
            <v>35217</v>
          </cell>
          <cell r="BA116">
            <v>35469</v>
          </cell>
          <cell r="BB116">
            <v>35723</v>
          </cell>
          <cell r="BC116">
            <v>35996</v>
          </cell>
          <cell r="BD116">
            <v>36299</v>
          </cell>
          <cell r="BE116">
            <v>36615</v>
          </cell>
          <cell r="BF116">
            <v>36940</v>
          </cell>
          <cell r="BG116">
            <v>37219</v>
          </cell>
          <cell r="BH116">
            <v>37465</v>
          </cell>
          <cell r="BI116">
            <v>37655</v>
          </cell>
          <cell r="BJ116">
            <v>37805</v>
          </cell>
          <cell r="BK116">
            <v>37918</v>
          </cell>
          <cell r="BL116">
            <v>38020</v>
          </cell>
          <cell r="BM116">
            <v>38137</v>
          </cell>
          <cell r="BN116">
            <v>38137</v>
          </cell>
        </row>
        <row r="117">
          <cell r="B117" t="str">
            <v>LTU</v>
          </cell>
          <cell r="C117" t="str">
            <v>Population, total</v>
          </cell>
          <cell r="D117" t="str">
            <v>SP.POP.TOTL</v>
          </cell>
          <cell r="E117">
            <v>2778550</v>
          </cell>
          <cell r="F117">
            <v>2823550</v>
          </cell>
          <cell r="G117">
            <v>2863350</v>
          </cell>
          <cell r="H117">
            <v>2898950</v>
          </cell>
          <cell r="I117">
            <v>2935200</v>
          </cell>
          <cell r="J117">
            <v>2971450</v>
          </cell>
          <cell r="K117">
            <v>3008050</v>
          </cell>
          <cell r="L117">
            <v>3044400</v>
          </cell>
          <cell r="M117">
            <v>3078850</v>
          </cell>
          <cell r="N117">
            <v>3107321</v>
          </cell>
          <cell r="O117">
            <v>3139689</v>
          </cell>
          <cell r="P117">
            <v>3179041</v>
          </cell>
          <cell r="Q117">
            <v>3213622</v>
          </cell>
          <cell r="R117">
            <v>3244438</v>
          </cell>
          <cell r="S117">
            <v>3273894</v>
          </cell>
          <cell r="T117">
            <v>3301652</v>
          </cell>
          <cell r="U117">
            <v>3328664</v>
          </cell>
          <cell r="V117">
            <v>3355036</v>
          </cell>
          <cell r="W117">
            <v>3379514</v>
          </cell>
          <cell r="X117">
            <v>3397842</v>
          </cell>
          <cell r="Y117">
            <v>3413202</v>
          </cell>
          <cell r="Z117">
            <v>3432947</v>
          </cell>
          <cell r="AA117">
            <v>3457179</v>
          </cell>
          <cell r="AB117">
            <v>3485192</v>
          </cell>
          <cell r="AC117">
            <v>3514205</v>
          </cell>
          <cell r="AD117">
            <v>3544543</v>
          </cell>
          <cell r="AE117">
            <v>3578914</v>
          </cell>
          <cell r="AF117">
            <v>3616367</v>
          </cell>
          <cell r="AG117">
            <v>3655049</v>
          </cell>
          <cell r="AH117">
            <v>3684255</v>
          </cell>
          <cell r="AI117">
            <v>3697838</v>
          </cell>
          <cell r="AJ117">
            <v>3704134</v>
          </cell>
          <cell r="AK117">
            <v>3700114</v>
          </cell>
          <cell r="AL117">
            <v>3682613</v>
          </cell>
          <cell r="AM117">
            <v>3657144</v>
          </cell>
          <cell r="AN117">
            <v>3629102</v>
          </cell>
          <cell r="AO117">
            <v>3601613</v>
          </cell>
          <cell r="AP117">
            <v>3575137</v>
          </cell>
          <cell r="AQ117">
            <v>3549331</v>
          </cell>
          <cell r="AR117">
            <v>3524238</v>
          </cell>
          <cell r="AS117">
            <v>3499536</v>
          </cell>
          <cell r="AT117">
            <v>3470818</v>
          </cell>
          <cell r="AU117">
            <v>3443067</v>
          </cell>
          <cell r="AV117">
            <v>3415213</v>
          </cell>
          <cell r="AW117">
            <v>3377075</v>
          </cell>
          <cell r="AX117">
            <v>3322528</v>
          </cell>
          <cell r="AY117">
            <v>3269909</v>
          </cell>
          <cell r="AZ117">
            <v>3231294</v>
          </cell>
          <cell r="BA117">
            <v>3198231</v>
          </cell>
          <cell r="BB117">
            <v>3162916</v>
          </cell>
          <cell r="BC117">
            <v>3097282</v>
          </cell>
          <cell r="BD117">
            <v>3028115</v>
          </cell>
          <cell r="BE117">
            <v>2987773</v>
          </cell>
          <cell r="BF117">
            <v>2957689</v>
          </cell>
          <cell r="BG117">
            <v>2932367</v>
          </cell>
          <cell r="BH117">
            <v>2904910</v>
          </cell>
          <cell r="BI117">
            <v>2868231</v>
          </cell>
          <cell r="BJ117">
            <v>2828403</v>
          </cell>
          <cell r="BK117">
            <v>2801543</v>
          </cell>
          <cell r="BL117">
            <v>2794137</v>
          </cell>
          <cell r="BM117">
            <v>2794700</v>
          </cell>
          <cell r="BN117">
            <v>2794700</v>
          </cell>
        </row>
        <row r="118">
          <cell r="B118" t="str">
            <v>LUX</v>
          </cell>
          <cell r="C118" t="str">
            <v>Population, total</v>
          </cell>
          <cell r="D118" t="str">
            <v>SP.POP.TOTL</v>
          </cell>
          <cell r="E118">
            <v>313970</v>
          </cell>
          <cell r="F118">
            <v>316845</v>
          </cell>
          <cell r="G118">
            <v>320750</v>
          </cell>
          <cell r="H118">
            <v>324100</v>
          </cell>
          <cell r="I118">
            <v>327750</v>
          </cell>
          <cell r="J118">
            <v>331500</v>
          </cell>
          <cell r="K118">
            <v>333895</v>
          </cell>
          <cell r="L118">
            <v>334995</v>
          </cell>
          <cell r="M118">
            <v>335850</v>
          </cell>
          <cell r="N118">
            <v>337500</v>
          </cell>
          <cell r="O118">
            <v>339171</v>
          </cell>
          <cell r="P118">
            <v>342421</v>
          </cell>
          <cell r="Q118">
            <v>346600</v>
          </cell>
          <cell r="R118">
            <v>350450</v>
          </cell>
          <cell r="S118">
            <v>355050</v>
          </cell>
          <cell r="T118">
            <v>358950</v>
          </cell>
          <cell r="U118">
            <v>360731</v>
          </cell>
          <cell r="V118">
            <v>361358</v>
          </cell>
          <cell r="W118">
            <v>362007</v>
          </cell>
          <cell r="X118">
            <v>362856</v>
          </cell>
          <cell r="Y118">
            <v>364150</v>
          </cell>
          <cell r="Z118">
            <v>365225</v>
          </cell>
          <cell r="AA118">
            <v>365525</v>
          </cell>
          <cell r="AB118">
            <v>365622</v>
          </cell>
          <cell r="AC118">
            <v>365998</v>
          </cell>
          <cell r="AD118">
            <v>366706</v>
          </cell>
          <cell r="AE118">
            <v>368355</v>
          </cell>
          <cell r="AF118">
            <v>370750</v>
          </cell>
          <cell r="AG118">
            <v>373450</v>
          </cell>
          <cell r="AH118">
            <v>377100</v>
          </cell>
          <cell r="AI118">
            <v>381850</v>
          </cell>
          <cell r="AJ118">
            <v>387000</v>
          </cell>
          <cell r="AK118">
            <v>392175</v>
          </cell>
          <cell r="AL118">
            <v>397475</v>
          </cell>
          <cell r="AM118">
            <v>402925</v>
          </cell>
          <cell r="AN118">
            <v>408625</v>
          </cell>
          <cell r="AO118">
            <v>414225</v>
          </cell>
          <cell r="AP118">
            <v>419450</v>
          </cell>
          <cell r="AQ118">
            <v>424700</v>
          </cell>
          <cell r="AR118">
            <v>430475</v>
          </cell>
          <cell r="AS118">
            <v>436300</v>
          </cell>
          <cell r="AT118">
            <v>441525</v>
          </cell>
          <cell r="AU118">
            <v>446175</v>
          </cell>
          <cell r="AV118">
            <v>451630</v>
          </cell>
          <cell r="AW118">
            <v>458095</v>
          </cell>
          <cell r="AX118">
            <v>465158</v>
          </cell>
          <cell r="AY118">
            <v>472637</v>
          </cell>
          <cell r="AZ118">
            <v>479993</v>
          </cell>
          <cell r="BA118">
            <v>488650</v>
          </cell>
          <cell r="BB118">
            <v>497783</v>
          </cell>
          <cell r="BC118">
            <v>506953</v>
          </cell>
          <cell r="BD118">
            <v>518347</v>
          </cell>
          <cell r="BE118">
            <v>530946</v>
          </cell>
          <cell r="BF118">
            <v>543360</v>
          </cell>
          <cell r="BG118">
            <v>556319</v>
          </cell>
          <cell r="BH118">
            <v>569604</v>
          </cell>
          <cell r="BI118">
            <v>582014</v>
          </cell>
          <cell r="BJ118">
            <v>596336</v>
          </cell>
          <cell r="BK118">
            <v>607950</v>
          </cell>
          <cell r="BL118">
            <v>620001</v>
          </cell>
          <cell r="BM118">
            <v>632275</v>
          </cell>
          <cell r="BN118">
            <v>632275</v>
          </cell>
        </row>
        <row r="119">
          <cell r="B119" t="str">
            <v>MAC</v>
          </cell>
          <cell r="C119" t="str">
            <v>Population, total</v>
          </cell>
          <cell r="D119" t="str">
            <v>SP.POP.TOTL</v>
          </cell>
          <cell r="E119">
            <v>167795</v>
          </cell>
          <cell r="F119">
            <v>170466</v>
          </cell>
          <cell r="G119">
            <v>176188</v>
          </cell>
          <cell r="H119">
            <v>184245</v>
          </cell>
          <cell r="I119">
            <v>193556</v>
          </cell>
          <cell r="J119">
            <v>203224</v>
          </cell>
          <cell r="K119">
            <v>213189</v>
          </cell>
          <cell r="L119">
            <v>223416</v>
          </cell>
          <cell r="M119">
            <v>233002</v>
          </cell>
          <cell r="N119">
            <v>240837</v>
          </cell>
          <cell r="O119">
            <v>246193</v>
          </cell>
          <cell r="P119">
            <v>248745</v>
          </cell>
          <cell r="Q119">
            <v>248770</v>
          </cell>
          <cell r="R119">
            <v>246945</v>
          </cell>
          <cell r="S119">
            <v>244289</v>
          </cell>
          <cell r="T119">
            <v>241631</v>
          </cell>
          <cell r="U119">
            <v>239074</v>
          </cell>
          <cell r="V119">
            <v>236669</v>
          </cell>
          <cell r="W119">
            <v>235175</v>
          </cell>
          <cell r="X119">
            <v>235440</v>
          </cell>
          <cell r="Y119">
            <v>238085</v>
          </cell>
          <cell r="Z119">
            <v>243373</v>
          </cell>
          <cell r="AA119">
            <v>251154</v>
          </cell>
          <cell r="AB119">
            <v>260921</v>
          </cell>
          <cell r="AC119">
            <v>271914</v>
          </cell>
          <cell r="AD119">
            <v>283490</v>
          </cell>
          <cell r="AE119">
            <v>295597</v>
          </cell>
          <cell r="AF119">
            <v>308181</v>
          </cell>
          <cell r="AG119">
            <v>320774</v>
          </cell>
          <cell r="AH119">
            <v>332783</v>
          </cell>
          <cell r="AI119">
            <v>343816</v>
          </cell>
          <cell r="AJ119">
            <v>353623</v>
          </cell>
          <cell r="AK119">
            <v>362308</v>
          </cell>
          <cell r="AL119">
            <v>370195</v>
          </cell>
          <cell r="AM119">
            <v>377805</v>
          </cell>
          <cell r="AN119">
            <v>385517</v>
          </cell>
          <cell r="AO119">
            <v>393376</v>
          </cell>
          <cell r="AP119">
            <v>401353</v>
          </cell>
          <cell r="AQ119">
            <v>409620</v>
          </cell>
          <cell r="AR119">
            <v>418388</v>
          </cell>
          <cell r="AS119">
            <v>427772</v>
          </cell>
          <cell r="AT119">
            <v>437928</v>
          </cell>
          <cell r="AU119">
            <v>448813</v>
          </cell>
          <cell r="AV119">
            <v>460157</v>
          </cell>
          <cell r="AW119">
            <v>471600</v>
          </cell>
          <cell r="AX119">
            <v>482863</v>
          </cell>
          <cell r="AY119">
            <v>493804</v>
          </cell>
          <cell r="AZ119">
            <v>504504</v>
          </cell>
          <cell r="BA119">
            <v>515232</v>
          </cell>
          <cell r="BB119">
            <v>526401</v>
          </cell>
          <cell r="BC119">
            <v>538215</v>
          </cell>
          <cell r="BD119">
            <v>550833</v>
          </cell>
          <cell r="BE119">
            <v>564037</v>
          </cell>
          <cell r="BF119">
            <v>577368</v>
          </cell>
          <cell r="BG119">
            <v>590210</v>
          </cell>
          <cell r="BH119">
            <v>602093</v>
          </cell>
          <cell r="BI119">
            <v>612824</v>
          </cell>
          <cell r="BJ119">
            <v>622578</v>
          </cell>
          <cell r="BK119">
            <v>631633</v>
          </cell>
          <cell r="BL119">
            <v>640446</v>
          </cell>
          <cell r="BM119">
            <v>649342</v>
          </cell>
          <cell r="BN119">
            <v>649342</v>
          </cell>
        </row>
        <row r="120">
          <cell r="B120" t="str">
            <v>MDG</v>
          </cell>
          <cell r="C120" t="str">
            <v>Population, total</v>
          </cell>
          <cell r="D120" t="str">
            <v>SP.POP.TOTL</v>
          </cell>
          <cell r="E120">
            <v>5099368</v>
          </cell>
          <cell r="F120">
            <v>5223561</v>
          </cell>
          <cell r="G120">
            <v>5352497</v>
          </cell>
          <cell r="H120">
            <v>5486319</v>
          </cell>
          <cell r="I120">
            <v>5625164</v>
          </cell>
          <cell r="J120">
            <v>5769215</v>
          </cell>
          <cell r="K120">
            <v>5918592</v>
          </cell>
          <cell r="L120">
            <v>6073529</v>
          </cell>
          <cell r="M120">
            <v>6234468</v>
          </cell>
          <cell r="N120">
            <v>6401920</v>
          </cell>
          <cell r="O120">
            <v>6576305</v>
          </cell>
          <cell r="P120">
            <v>6757853</v>
          </cell>
          <cell r="Q120">
            <v>6946619</v>
          </cell>
          <cell r="R120">
            <v>7142634</v>
          </cell>
          <cell r="S120">
            <v>7345773</v>
          </cell>
          <cell r="T120">
            <v>7556032</v>
          </cell>
          <cell r="U120">
            <v>7773452</v>
          </cell>
          <cell r="V120">
            <v>7998157</v>
          </cell>
          <cell r="W120">
            <v>8230214</v>
          </cell>
          <cell r="X120">
            <v>8469677</v>
          </cell>
          <cell r="Y120">
            <v>8716549</v>
          </cell>
          <cell r="Z120">
            <v>8971339</v>
          </cell>
          <cell r="AA120">
            <v>9234137</v>
          </cell>
          <cell r="AB120">
            <v>9504283</v>
          </cell>
          <cell r="AC120">
            <v>9780869</v>
          </cell>
          <cell r="AD120">
            <v>10063493</v>
          </cell>
          <cell r="AE120">
            <v>10352117</v>
          </cell>
          <cell r="AF120">
            <v>10647753</v>
          </cell>
          <cell r="AG120">
            <v>10952396</v>
          </cell>
          <cell r="AH120">
            <v>11268653</v>
          </cell>
          <cell r="AI120">
            <v>11598647</v>
          </cell>
          <cell r="AJ120">
            <v>11942809</v>
          </cell>
          <cell r="AK120">
            <v>12301338</v>
          </cell>
          <cell r="AL120">
            <v>12675469</v>
          </cell>
          <cell r="AM120">
            <v>13066544</v>
          </cell>
          <cell r="AN120">
            <v>13475403</v>
          </cell>
          <cell r="AO120">
            <v>13902697</v>
          </cell>
          <cell r="AP120">
            <v>14347860</v>
          </cell>
          <cell r="AQ120">
            <v>14808791</v>
          </cell>
          <cell r="AR120">
            <v>15282524</v>
          </cell>
          <cell r="AS120">
            <v>15766806</v>
          </cell>
          <cell r="AT120">
            <v>16260933</v>
          </cell>
          <cell r="AU120">
            <v>16765122</v>
          </cell>
          <cell r="AV120">
            <v>17279139</v>
          </cell>
          <cell r="AW120">
            <v>17802992</v>
          </cell>
          <cell r="AX120">
            <v>18336722</v>
          </cell>
          <cell r="AY120">
            <v>18880265</v>
          </cell>
          <cell r="AZ120">
            <v>19433520</v>
          </cell>
          <cell r="BA120">
            <v>19996476</v>
          </cell>
          <cell r="BB120">
            <v>20569115</v>
          </cell>
          <cell r="BC120">
            <v>21151640</v>
          </cell>
          <cell r="BD120">
            <v>21743970</v>
          </cell>
          <cell r="BE120">
            <v>22346641</v>
          </cell>
          <cell r="BF120">
            <v>22961259</v>
          </cell>
          <cell r="BG120">
            <v>23589897</v>
          </cell>
          <cell r="BH120">
            <v>24234080</v>
          </cell>
          <cell r="BI120">
            <v>24894370</v>
          </cell>
          <cell r="BJ120">
            <v>25570511</v>
          </cell>
          <cell r="BK120">
            <v>26262313</v>
          </cell>
          <cell r="BL120">
            <v>26969306</v>
          </cell>
          <cell r="BM120">
            <v>27691019</v>
          </cell>
          <cell r="BN120">
            <v>27691019</v>
          </cell>
        </row>
        <row r="121">
          <cell r="B121" t="str">
            <v>MWI</v>
          </cell>
          <cell r="C121" t="str">
            <v>Population, total</v>
          </cell>
          <cell r="D121" t="str">
            <v>SP.POP.TOTL</v>
          </cell>
          <cell r="E121">
            <v>3659980</v>
          </cell>
          <cell r="F121">
            <v>3747758</v>
          </cell>
          <cell r="G121">
            <v>3839047</v>
          </cell>
          <cell r="H121">
            <v>3933914</v>
          </cell>
          <cell r="I121">
            <v>4032364</v>
          </cell>
          <cell r="J121">
            <v>4134464</v>
          </cell>
          <cell r="K121">
            <v>4240430</v>
          </cell>
          <cell r="L121">
            <v>4350456</v>
          </cell>
          <cell r="M121">
            <v>4464427</v>
          </cell>
          <cell r="N121">
            <v>4582197</v>
          </cell>
          <cell r="O121">
            <v>4703783</v>
          </cell>
          <cell r="P121">
            <v>4829092</v>
          </cell>
          <cell r="Q121">
            <v>4958556</v>
          </cell>
          <cell r="R121">
            <v>5093368</v>
          </cell>
          <cell r="S121">
            <v>5235074</v>
          </cell>
          <cell r="T121">
            <v>5384798</v>
          </cell>
          <cell r="U121">
            <v>5545653</v>
          </cell>
          <cell r="V121">
            <v>5717954</v>
          </cell>
          <cell r="W121">
            <v>5896864</v>
          </cell>
          <cell r="X121">
            <v>6075485</v>
          </cell>
          <cell r="Y121">
            <v>6250434</v>
          </cell>
          <cell r="Z121">
            <v>6412380</v>
          </cell>
          <cell r="AA121">
            <v>6565985</v>
          </cell>
          <cell r="AB121">
            <v>6737924</v>
          </cell>
          <cell r="AC121">
            <v>6964613</v>
          </cell>
          <cell r="AD121">
            <v>7268271</v>
          </cell>
          <cell r="AE121">
            <v>7666390</v>
          </cell>
          <cell r="AF121">
            <v>8141140</v>
          </cell>
          <cell r="AG121">
            <v>8636686</v>
          </cell>
          <cell r="AH121">
            <v>9075568</v>
          </cell>
          <cell r="AI121">
            <v>9404499</v>
          </cell>
          <cell r="AJ121">
            <v>9600361</v>
          </cell>
          <cell r="AK121">
            <v>9685974</v>
          </cell>
          <cell r="AL121">
            <v>9710335</v>
          </cell>
          <cell r="AM121">
            <v>9745695</v>
          </cell>
          <cell r="AN121">
            <v>9844418</v>
          </cell>
          <cell r="AO121">
            <v>10022783</v>
          </cell>
          <cell r="AP121">
            <v>10264906</v>
          </cell>
          <cell r="AQ121">
            <v>10552345</v>
          </cell>
          <cell r="AR121">
            <v>10854325</v>
          </cell>
          <cell r="AS121">
            <v>11148751</v>
          </cell>
          <cell r="AT121">
            <v>11432001</v>
          </cell>
          <cell r="AU121">
            <v>11713663</v>
          </cell>
          <cell r="AV121">
            <v>12000183</v>
          </cell>
          <cell r="AW121">
            <v>12301837</v>
          </cell>
          <cell r="AX121">
            <v>12625950</v>
          </cell>
          <cell r="AY121">
            <v>12973693</v>
          </cell>
          <cell r="AZ121">
            <v>13341808</v>
          </cell>
          <cell r="BA121">
            <v>13727899</v>
          </cell>
          <cell r="BB121">
            <v>14128161</v>
          </cell>
          <cell r="BC121">
            <v>14539609</v>
          </cell>
          <cell r="BD121">
            <v>14962118</v>
          </cell>
          <cell r="BE121">
            <v>15396010</v>
          </cell>
          <cell r="BF121">
            <v>15839287</v>
          </cell>
          <cell r="BG121">
            <v>16289550</v>
          </cell>
          <cell r="BH121">
            <v>16745305</v>
          </cell>
          <cell r="BI121">
            <v>17205253</v>
          </cell>
          <cell r="BJ121">
            <v>17670193</v>
          </cell>
          <cell r="BK121">
            <v>18143215</v>
          </cell>
          <cell r="BL121">
            <v>18628749</v>
          </cell>
          <cell r="BM121">
            <v>19129955</v>
          </cell>
          <cell r="BN121">
            <v>19129955</v>
          </cell>
        </row>
        <row r="122">
          <cell r="B122" t="str">
            <v>MYS</v>
          </cell>
          <cell r="C122" t="str">
            <v>Population, total</v>
          </cell>
          <cell r="D122" t="str">
            <v>SP.POP.TOTL</v>
          </cell>
          <cell r="E122">
            <v>8156342</v>
          </cell>
          <cell r="F122">
            <v>8417821</v>
          </cell>
          <cell r="G122">
            <v>8692337</v>
          </cell>
          <cell r="H122">
            <v>8973791</v>
          </cell>
          <cell r="I122">
            <v>9253827</v>
          </cell>
          <cell r="J122">
            <v>9526558</v>
          </cell>
          <cell r="K122">
            <v>9790083</v>
          </cell>
          <cell r="L122">
            <v>10046321</v>
          </cell>
          <cell r="M122">
            <v>10297983</v>
          </cell>
          <cell r="N122">
            <v>10549395</v>
          </cell>
          <cell r="O122">
            <v>10804131</v>
          </cell>
          <cell r="P122">
            <v>11062434</v>
          </cell>
          <cell r="Q122">
            <v>11324277</v>
          </cell>
          <cell r="R122">
            <v>11592638</v>
          </cell>
          <cell r="S122">
            <v>11871102</v>
          </cell>
          <cell r="T122">
            <v>12162189</v>
          </cell>
          <cell r="U122">
            <v>12468688</v>
          </cell>
          <cell r="V122">
            <v>12790313</v>
          </cell>
          <cell r="W122">
            <v>13122833</v>
          </cell>
          <cell r="X122">
            <v>13460035</v>
          </cell>
          <cell r="Y122">
            <v>13798094</v>
          </cell>
          <cell r="Z122">
            <v>14134060</v>
          </cell>
          <cell r="AA122">
            <v>14471215</v>
          </cell>
          <cell r="AB122">
            <v>14819430</v>
          </cell>
          <cell r="AC122">
            <v>15192300</v>
          </cell>
          <cell r="AD122">
            <v>15598924</v>
          </cell>
          <cell r="AE122">
            <v>16043736</v>
          </cell>
          <cell r="AF122">
            <v>16522004</v>
          </cell>
          <cell r="AG122">
            <v>17022470</v>
          </cell>
          <cell r="AH122">
            <v>17528961</v>
          </cell>
          <cell r="AI122">
            <v>18029824</v>
          </cell>
          <cell r="AJ122">
            <v>18519941</v>
          </cell>
          <cell r="AK122">
            <v>19002660</v>
          </cell>
          <cell r="AL122">
            <v>19484901</v>
          </cell>
          <cell r="AM122">
            <v>19977508</v>
          </cell>
          <cell r="AN122">
            <v>20487604</v>
          </cell>
          <cell r="AO122">
            <v>21017619</v>
          </cell>
          <cell r="AP122">
            <v>21562790</v>
          </cell>
          <cell r="AQ122">
            <v>22114647</v>
          </cell>
          <cell r="AR122">
            <v>22661293</v>
          </cell>
          <cell r="AS122">
            <v>23194252</v>
          </cell>
          <cell r="AT122">
            <v>23709115</v>
          </cell>
          <cell r="AU122">
            <v>24208391</v>
          </cell>
          <cell r="AV122">
            <v>24698821</v>
          </cell>
          <cell r="AW122">
            <v>25190647</v>
          </cell>
          <cell r="AX122">
            <v>25690615</v>
          </cell>
          <cell r="AY122">
            <v>26201954</v>
          </cell>
          <cell r="AZ122">
            <v>26720367</v>
          </cell>
          <cell r="BA122">
            <v>27236003</v>
          </cell>
          <cell r="BB122">
            <v>27735038</v>
          </cell>
          <cell r="BC122">
            <v>28208028</v>
          </cell>
          <cell r="BD122">
            <v>28650962</v>
          </cell>
          <cell r="BE122">
            <v>29068189</v>
          </cell>
          <cell r="BF122">
            <v>29468923</v>
          </cell>
          <cell r="BG122">
            <v>29866606</v>
          </cell>
          <cell r="BH122">
            <v>30270965</v>
          </cell>
          <cell r="BI122">
            <v>30684652</v>
          </cell>
          <cell r="BJ122">
            <v>31104655</v>
          </cell>
          <cell r="BK122">
            <v>31528033</v>
          </cell>
          <cell r="BL122">
            <v>31949789</v>
          </cell>
          <cell r="BM122">
            <v>32365998</v>
          </cell>
          <cell r="BN122">
            <v>32365998</v>
          </cell>
        </row>
        <row r="123">
          <cell r="B123" t="str">
            <v>MDV</v>
          </cell>
          <cell r="C123" t="str">
            <v>Population, total</v>
          </cell>
          <cell r="D123" t="str">
            <v>SP.POP.TOTL</v>
          </cell>
          <cell r="E123">
            <v>89873</v>
          </cell>
          <cell r="F123">
            <v>92328</v>
          </cell>
          <cell r="G123">
            <v>94902</v>
          </cell>
          <cell r="H123">
            <v>97540</v>
          </cell>
          <cell r="I123">
            <v>100177</v>
          </cell>
          <cell r="J123">
            <v>102710</v>
          </cell>
          <cell r="K123">
            <v>105129</v>
          </cell>
          <cell r="L123">
            <v>107481</v>
          </cell>
          <cell r="M123">
            <v>109893</v>
          </cell>
          <cell r="N123">
            <v>112582</v>
          </cell>
          <cell r="O123">
            <v>115688</v>
          </cell>
          <cell r="P123">
            <v>119303</v>
          </cell>
          <cell r="Q123">
            <v>123347</v>
          </cell>
          <cell r="R123">
            <v>127700</v>
          </cell>
          <cell r="S123">
            <v>132102</v>
          </cell>
          <cell r="T123">
            <v>136418</v>
          </cell>
          <cell r="U123">
            <v>140563</v>
          </cell>
          <cell r="V123">
            <v>144625</v>
          </cell>
          <cell r="W123">
            <v>148774</v>
          </cell>
          <cell r="X123">
            <v>153276</v>
          </cell>
          <cell r="Y123">
            <v>158271</v>
          </cell>
          <cell r="Z123">
            <v>163821</v>
          </cell>
          <cell r="AA123">
            <v>169849</v>
          </cell>
          <cell r="AB123">
            <v>176255</v>
          </cell>
          <cell r="AC123">
            <v>182848</v>
          </cell>
          <cell r="AD123">
            <v>189540</v>
          </cell>
          <cell r="AE123">
            <v>196262</v>
          </cell>
          <cell r="AF123">
            <v>203024</v>
          </cell>
          <cell r="AG123">
            <v>209787</v>
          </cell>
          <cell r="AH123">
            <v>216502</v>
          </cell>
          <cell r="AI123">
            <v>223159</v>
          </cell>
          <cell r="AJ123">
            <v>229743</v>
          </cell>
          <cell r="AK123">
            <v>236271</v>
          </cell>
          <cell r="AL123">
            <v>242596</v>
          </cell>
          <cell r="AM123">
            <v>248582</v>
          </cell>
          <cell r="AN123">
            <v>254144</v>
          </cell>
          <cell r="AO123">
            <v>259178</v>
          </cell>
          <cell r="AP123">
            <v>263836</v>
          </cell>
          <cell r="AQ123">
            <v>268445</v>
          </cell>
          <cell r="AR123">
            <v>273522</v>
          </cell>
          <cell r="AS123">
            <v>279396</v>
          </cell>
          <cell r="AT123">
            <v>286309</v>
          </cell>
          <cell r="AU123">
            <v>294185</v>
          </cell>
          <cell r="AV123">
            <v>302681</v>
          </cell>
          <cell r="AW123">
            <v>311265</v>
          </cell>
          <cell r="AX123">
            <v>319604</v>
          </cell>
          <cell r="AY123">
            <v>327489</v>
          </cell>
          <cell r="AZ123">
            <v>335172</v>
          </cell>
          <cell r="BA123">
            <v>343448</v>
          </cell>
          <cell r="BB123">
            <v>353391</v>
          </cell>
          <cell r="BC123">
            <v>365730</v>
          </cell>
          <cell r="BD123">
            <v>380493</v>
          </cell>
          <cell r="BE123">
            <v>397231</v>
          </cell>
          <cell r="BF123">
            <v>415592</v>
          </cell>
          <cell r="BG123">
            <v>435018</v>
          </cell>
          <cell r="BH123">
            <v>454914</v>
          </cell>
          <cell r="BI123">
            <v>475505</v>
          </cell>
          <cell r="BJ123">
            <v>496398</v>
          </cell>
          <cell r="BK123">
            <v>515704</v>
          </cell>
          <cell r="BL123">
            <v>530957</v>
          </cell>
          <cell r="BM123">
            <v>540542</v>
          </cell>
          <cell r="BN123">
            <v>540542</v>
          </cell>
        </row>
        <row r="124">
          <cell r="B124" t="str">
            <v>MLI</v>
          </cell>
          <cell r="C124" t="str">
            <v>Population, total</v>
          </cell>
          <cell r="D124" t="str">
            <v>SP.POP.TOTL</v>
          </cell>
          <cell r="E124">
            <v>5263727</v>
          </cell>
          <cell r="F124">
            <v>5322269</v>
          </cell>
          <cell r="G124">
            <v>5381367</v>
          </cell>
          <cell r="H124">
            <v>5441618</v>
          </cell>
          <cell r="I124">
            <v>5503750</v>
          </cell>
          <cell r="J124">
            <v>5568495</v>
          </cell>
          <cell r="K124">
            <v>5635864</v>
          </cell>
          <cell r="L124">
            <v>5706192</v>
          </cell>
          <cell r="M124">
            <v>5780836</v>
          </cell>
          <cell r="N124">
            <v>5861417</v>
          </cell>
          <cell r="O124">
            <v>5949042</v>
          </cell>
          <cell r="P124">
            <v>6044524</v>
          </cell>
          <cell r="Q124">
            <v>6147464</v>
          </cell>
          <cell r="R124">
            <v>6256191</v>
          </cell>
          <cell r="S124">
            <v>6368346</v>
          </cell>
          <cell r="T124">
            <v>6482282</v>
          </cell>
          <cell r="U124">
            <v>6596721</v>
          </cell>
          <cell r="V124">
            <v>6712267</v>
          </cell>
          <cell r="W124">
            <v>6831090</v>
          </cell>
          <cell r="X124">
            <v>6956409</v>
          </cell>
          <cell r="Y124">
            <v>7090124</v>
          </cell>
          <cell r="Z124">
            <v>7234725</v>
          </cell>
          <cell r="AA124">
            <v>7388670</v>
          </cell>
          <cell r="AB124">
            <v>7545163</v>
          </cell>
          <cell r="AC124">
            <v>7694857</v>
          </cell>
          <cell r="AD124">
            <v>7831888</v>
          </cell>
          <cell r="AE124">
            <v>7952863</v>
          </cell>
          <cell r="AF124">
            <v>8062216</v>
          </cell>
          <cell r="AG124">
            <v>8171525</v>
          </cell>
          <cell r="AH124">
            <v>8296919</v>
          </cell>
          <cell r="AI124">
            <v>8449915</v>
          </cell>
          <cell r="AJ124">
            <v>8635528</v>
          </cell>
          <cell r="AK124">
            <v>8850334</v>
          </cell>
          <cell r="AL124">
            <v>9087173</v>
          </cell>
          <cell r="AM124">
            <v>9334893</v>
          </cell>
          <cell r="AN124">
            <v>9585660</v>
          </cell>
          <cell r="AO124">
            <v>9837575</v>
          </cell>
          <cell r="AP124">
            <v>10094363</v>
          </cell>
          <cell r="AQ124">
            <v>10360564</v>
          </cell>
          <cell r="AR124">
            <v>10642937</v>
          </cell>
          <cell r="AS124">
            <v>10946448</v>
          </cell>
          <cell r="AT124">
            <v>11271603</v>
          </cell>
          <cell r="AU124">
            <v>11616890</v>
          </cell>
          <cell r="AV124">
            <v>11982692</v>
          </cell>
          <cell r="AW124">
            <v>12369078</v>
          </cell>
          <cell r="AX124">
            <v>12775509</v>
          </cell>
          <cell r="AY124">
            <v>13203378</v>
          </cell>
          <cell r="AZ124">
            <v>13651455</v>
          </cell>
          <cell r="BA124">
            <v>14113578</v>
          </cell>
          <cell r="BB124">
            <v>14581427</v>
          </cell>
          <cell r="BC124">
            <v>15049352</v>
          </cell>
          <cell r="BD124">
            <v>15514593</v>
          </cell>
          <cell r="BE124">
            <v>15979492</v>
          </cell>
          <cell r="BF124">
            <v>16449854</v>
          </cell>
          <cell r="BG124">
            <v>16934213</v>
          </cell>
          <cell r="BH124">
            <v>17438772</v>
          </cell>
          <cell r="BI124">
            <v>17965448</v>
          </cell>
          <cell r="BJ124">
            <v>18512429</v>
          </cell>
          <cell r="BK124">
            <v>19077755</v>
          </cell>
          <cell r="BL124">
            <v>19658023</v>
          </cell>
          <cell r="BM124">
            <v>20250834</v>
          </cell>
          <cell r="BN124">
            <v>20250834</v>
          </cell>
        </row>
        <row r="125">
          <cell r="B125" t="str">
            <v>MLT</v>
          </cell>
          <cell r="C125" t="str">
            <v>Population, total</v>
          </cell>
          <cell r="D125" t="str">
            <v>SP.POP.TOTL</v>
          </cell>
          <cell r="E125">
            <v>326550</v>
          </cell>
          <cell r="F125">
            <v>325250</v>
          </cell>
          <cell r="G125">
            <v>323900</v>
          </cell>
          <cell r="H125">
            <v>322550</v>
          </cell>
          <cell r="I125">
            <v>321250</v>
          </cell>
          <cell r="J125">
            <v>318800</v>
          </cell>
          <cell r="K125">
            <v>315200</v>
          </cell>
          <cell r="L125">
            <v>311550</v>
          </cell>
          <cell r="M125">
            <v>307900</v>
          </cell>
          <cell r="N125">
            <v>304300</v>
          </cell>
          <cell r="O125">
            <v>302650</v>
          </cell>
          <cell r="P125">
            <v>302700</v>
          </cell>
          <cell r="Q125">
            <v>302450</v>
          </cell>
          <cell r="R125">
            <v>302200</v>
          </cell>
          <cell r="S125">
            <v>301996</v>
          </cell>
          <cell r="T125">
            <v>304222</v>
          </cell>
          <cell r="U125">
            <v>305774</v>
          </cell>
          <cell r="V125">
            <v>306970</v>
          </cell>
          <cell r="W125">
            <v>310182</v>
          </cell>
          <cell r="X125">
            <v>313342</v>
          </cell>
          <cell r="Y125">
            <v>316645</v>
          </cell>
          <cell r="Z125">
            <v>318982</v>
          </cell>
          <cell r="AA125">
            <v>325898</v>
          </cell>
          <cell r="AB125">
            <v>330524</v>
          </cell>
          <cell r="AC125">
            <v>330593</v>
          </cell>
          <cell r="AD125">
            <v>336452</v>
          </cell>
          <cell r="AE125">
            <v>342121</v>
          </cell>
          <cell r="AF125">
            <v>344485</v>
          </cell>
          <cell r="AG125">
            <v>347325</v>
          </cell>
          <cell r="AH125">
            <v>350722</v>
          </cell>
          <cell r="AI125">
            <v>354170</v>
          </cell>
          <cell r="AJ125">
            <v>363845</v>
          </cell>
          <cell r="AK125">
            <v>367618</v>
          </cell>
          <cell r="AL125">
            <v>371308</v>
          </cell>
          <cell r="AM125">
            <v>374797</v>
          </cell>
          <cell r="AN125">
            <v>377419</v>
          </cell>
          <cell r="AO125">
            <v>379905</v>
          </cell>
          <cell r="AP125">
            <v>382791</v>
          </cell>
          <cell r="AQ125">
            <v>385287</v>
          </cell>
          <cell r="AR125">
            <v>387578</v>
          </cell>
          <cell r="AS125">
            <v>390087</v>
          </cell>
          <cell r="AT125">
            <v>393028</v>
          </cell>
          <cell r="AU125">
            <v>395969</v>
          </cell>
          <cell r="AV125">
            <v>398582</v>
          </cell>
          <cell r="AW125">
            <v>401268</v>
          </cell>
          <cell r="AX125">
            <v>403834</v>
          </cell>
          <cell r="AY125">
            <v>405308</v>
          </cell>
          <cell r="AZ125">
            <v>406724</v>
          </cell>
          <cell r="BA125">
            <v>409379</v>
          </cell>
          <cell r="BB125">
            <v>412477</v>
          </cell>
          <cell r="BC125">
            <v>414508</v>
          </cell>
          <cell r="BD125">
            <v>416268</v>
          </cell>
          <cell r="BE125">
            <v>420028</v>
          </cell>
          <cell r="BF125">
            <v>425967</v>
          </cell>
          <cell r="BG125">
            <v>434558</v>
          </cell>
          <cell r="BH125">
            <v>445053</v>
          </cell>
          <cell r="BI125">
            <v>455356</v>
          </cell>
          <cell r="BJ125">
            <v>467999</v>
          </cell>
          <cell r="BK125">
            <v>484630</v>
          </cell>
          <cell r="BL125">
            <v>504062</v>
          </cell>
          <cell r="BM125">
            <v>525285</v>
          </cell>
          <cell r="BN125">
            <v>525285</v>
          </cell>
        </row>
        <row r="126">
          <cell r="B126" t="str">
            <v>MHL</v>
          </cell>
          <cell r="C126" t="str">
            <v>Population, total</v>
          </cell>
          <cell r="D126" t="str">
            <v>SP.POP.TOTL</v>
          </cell>
          <cell r="E126">
            <v>14674</v>
          </cell>
          <cell r="F126">
            <v>15056</v>
          </cell>
          <cell r="G126">
            <v>15547</v>
          </cell>
          <cell r="H126">
            <v>16111</v>
          </cell>
          <cell r="I126">
            <v>16710</v>
          </cell>
          <cell r="J126">
            <v>17282</v>
          </cell>
          <cell r="K126">
            <v>17834</v>
          </cell>
          <cell r="L126">
            <v>18383</v>
          </cell>
          <cell r="M126">
            <v>18966</v>
          </cell>
          <cell r="N126">
            <v>19617</v>
          </cell>
          <cell r="O126">
            <v>20394</v>
          </cell>
          <cell r="P126">
            <v>21305</v>
          </cell>
          <cell r="Q126">
            <v>22335</v>
          </cell>
          <cell r="R126">
            <v>23440</v>
          </cell>
          <cell r="S126">
            <v>24530</v>
          </cell>
          <cell r="T126">
            <v>25579</v>
          </cell>
          <cell r="U126">
            <v>26548</v>
          </cell>
          <cell r="V126">
            <v>27479</v>
          </cell>
          <cell r="W126">
            <v>28400</v>
          </cell>
          <cell r="X126">
            <v>29417</v>
          </cell>
          <cell r="Y126">
            <v>30574</v>
          </cell>
          <cell r="Z126">
            <v>31883</v>
          </cell>
          <cell r="AA126">
            <v>33330</v>
          </cell>
          <cell r="AB126">
            <v>34881</v>
          </cell>
          <cell r="AC126">
            <v>36564</v>
          </cell>
          <cell r="AD126">
            <v>38331</v>
          </cell>
          <cell r="AE126">
            <v>40212</v>
          </cell>
          <cell r="AF126">
            <v>42168</v>
          </cell>
          <cell r="AG126">
            <v>44092</v>
          </cell>
          <cell r="AH126">
            <v>45827</v>
          </cell>
          <cell r="AI126">
            <v>47265</v>
          </cell>
          <cell r="AJ126">
            <v>48403</v>
          </cell>
          <cell r="AK126">
            <v>49242</v>
          </cell>
          <cell r="AL126">
            <v>49828</v>
          </cell>
          <cell r="AM126">
            <v>50214</v>
          </cell>
          <cell r="AN126">
            <v>50454</v>
          </cell>
          <cell r="AO126">
            <v>50523</v>
          </cell>
          <cell r="AP126">
            <v>50453</v>
          </cell>
          <cell r="AQ126">
            <v>50356</v>
          </cell>
          <cell r="AR126">
            <v>50418</v>
          </cell>
          <cell r="AS126">
            <v>50754</v>
          </cell>
          <cell r="AT126">
            <v>51411</v>
          </cell>
          <cell r="AU126">
            <v>52368</v>
          </cell>
          <cell r="AV126">
            <v>53465</v>
          </cell>
          <cell r="AW126">
            <v>54476</v>
          </cell>
          <cell r="AX126">
            <v>55257</v>
          </cell>
          <cell r="AY126">
            <v>55765</v>
          </cell>
          <cell r="AZ126">
            <v>56046</v>
          </cell>
          <cell r="BA126">
            <v>56166</v>
          </cell>
          <cell r="BB126">
            <v>56255</v>
          </cell>
          <cell r="BC126">
            <v>56361</v>
          </cell>
          <cell r="BD126">
            <v>56524</v>
          </cell>
          <cell r="BE126">
            <v>56712</v>
          </cell>
          <cell r="BF126">
            <v>56933</v>
          </cell>
          <cell r="BG126">
            <v>57183</v>
          </cell>
          <cell r="BH126">
            <v>57444</v>
          </cell>
          <cell r="BI126">
            <v>57723</v>
          </cell>
          <cell r="BJ126">
            <v>58053</v>
          </cell>
          <cell r="BK126">
            <v>58412</v>
          </cell>
          <cell r="BL126">
            <v>58791</v>
          </cell>
          <cell r="BM126">
            <v>59194</v>
          </cell>
          <cell r="BN126">
            <v>59194</v>
          </cell>
        </row>
        <row r="127">
          <cell r="B127" t="str">
            <v>MRT</v>
          </cell>
          <cell r="C127" t="str">
            <v>Population, total</v>
          </cell>
          <cell r="D127" t="str">
            <v>SP.POP.TOTL</v>
          </cell>
          <cell r="E127">
            <v>850377</v>
          </cell>
          <cell r="F127">
            <v>875586</v>
          </cell>
          <cell r="G127">
            <v>901690</v>
          </cell>
          <cell r="H127">
            <v>928742</v>
          </cell>
          <cell r="I127">
            <v>956794</v>
          </cell>
          <cell r="J127">
            <v>985907</v>
          </cell>
          <cell r="K127">
            <v>1016093</v>
          </cell>
          <cell r="L127">
            <v>1047345</v>
          </cell>
          <cell r="M127">
            <v>1079580</v>
          </cell>
          <cell r="N127">
            <v>1112749</v>
          </cell>
          <cell r="O127">
            <v>1146776</v>
          </cell>
          <cell r="P127">
            <v>1181659</v>
          </cell>
          <cell r="Q127">
            <v>1217443</v>
          </cell>
          <cell r="R127">
            <v>1254156</v>
          </cell>
          <cell r="S127">
            <v>1291857</v>
          </cell>
          <cell r="T127">
            <v>1330594</v>
          </cell>
          <cell r="U127">
            <v>1370364</v>
          </cell>
          <cell r="V127">
            <v>1411139</v>
          </cell>
          <cell r="W127">
            <v>1453028</v>
          </cell>
          <cell r="X127">
            <v>1496174</v>
          </cell>
          <cell r="Y127">
            <v>1540644</v>
          </cell>
          <cell r="Z127">
            <v>1586496</v>
          </cell>
          <cell r="AA127">
            <v>1633655</v>
          </cell>
          <cell r="AB127">
            <v>1681859</v>
          </cell>
          <cell r="AC127">
            <v>1730737</v>
          </cell>
          <cell r="AD127">
            <v>1780033</v>
          </cell>
          <cell r="AE127">
            <v>1829678</v>
          </cell>
          <cell r="AF127">
            <v>1879756</v>
          </cell>
          <cell r="AG127">
            <v>1930427</v>
          </cell>
          <cell r="AH127">
            <v>1981902</v>
          </cell>
          <cell r="AI127">
            <v>2034347</v>
          </cell>
          <cell r="AJ127">
            <v>2087914</v>
          </cell>
          <cell r="AK127">
            <v>2142645</v>
          </cell>
          <cell r="AL127">
            <v>2198538</v>
          </cell>
          <cell r="AM127">
            <v>2255520</v>
          </cell>
          <cell r="AN127">
            <v>2313630</v>
          </cell>
          <cell r="AO127">
            <v>2372900</v>
          </cell>
          <cell r="AP127">
            <v>2433567</v>
          </cell>
          <cell r="AQ127">
            <v>2496217</v>
          </cell>
          <cell r="AR127">
            <v>2561584</v>
          </cell>
          <cell r="AS127">
            <v>2630217</v>
          </cell>
          <cell r="AT127">
            <v>2702405</v>
          </cell>
          <cell r="AU127">
            <v>2778097</v>
          </cell>
          <cell r="AV127">
            <v>2857150</v>
          </cell>
          <cell r="AW127">
            <v>2939246</v>
          </cell>
          <cell r="AX127">
            <v>3024198</v>
          </cell>
          <cell r="AY127">
            <v>3111908</v>
          </cell>
          <cell r="AZ127">
            <v>3202512</v>
          </cell>
          <cell r="BA127">
            <v>3296237</v>
          </cell>
          <cell r="BB127">
            <v>3393408</v>
          </cell>
          <cell r="BC127">
            <v>3494200</v>
          </cell>
          <cell r="BD127">
            <v>3598646</v>
          </cell>
          <cell r="BE127">
            <v>3706555</v>
          </cell>
          <cell r="BF127">
            <v>3817497</v>
          </cell>
          <cell r="BG127">
            <v>3930894</v>
          </cell>
          <cell r="BH127">
            <v>4046304</v>
          </cell>
          <cell r="BI127">
            <v>4163532</v>
          </cell>
          <cell r="BJ127">
            <v>4282582</v>
          </cell>
          <cell r="BK127">
            <v>4403312</v>
          </cell>
          <cell r="BL127">
            <v>4525698</v>
          </cell>
          <cell r="BM127">
            <v>4649660</v>
          </cell>
          <cell r="BN127">
            <v>4649660</v>
          </cell>
        </row>
        <row r="128">
          <cell r="B128" t="str">
            <v>MUS</v>
          </cell>
          <cell r="C128" t="str">
            <v>Population, total</v>
          </cell>
          <cell r="D128" t="str">
            <v>SP.POP.TOTL</v>
          </cell>
          <cell r="E128">
            <v>659351</v>
          </cell>
          <cell r="F128">
            <v>680757</v>
          </cell>
          <cell r="G128">
            <v>700349</v>
          </cell>
          <cell r="H128">
            <v>718861</v>
          </cell>
          <cell r="I128">
            <v>736381</v>
          </cell>
          <cell r="J128">
            <v>753000</v>
          </cell>
          <cell r="K128">
            <v>768813</v>
          </cell>
          <cell r="L128">
            <v>783917</v>
          </cell>
          <cell r="M128">
            <v>798413</v>
          </cell>
          <cell r="N128">
            <v>812405</v>
          </cell>
          <cell r="O128">
            <v>826000</v>
          </cell>
          <cell r="P128">
            <v>839230</v>
          </cell>
          <cell r="Q128">
            <v>852053</v>
          </cell>
          <cell r="R128">
            <v>864819</v>
          </cell>
          <cell r="S128">
            <v>878042</v>
          </cell>
          <cell r="T128">
            <v>892000</v>
          </cell>
          <cell r="U128">
            <v>906507</v>
          </cell>
          <cell r="V128">
            <v>921379</v>
          </cell>
          <cell r="W128">
            <v>933499</v>
          </cell>
          <cell r="X128">
            <v>949888</v>
          </cell>
          <cell r="Y128">
            <v>966039</v>
          </cell>
          <cell r="Z128">
            <v>980462</v>
          </cell>
          <cell r="AA128">
            <v>992521</v>
          </cell>
          <cell r="AB128">
            <v>1001691</v>
          </cell>
          <cell r="AC128">
            <v>1012221</v>
          </cell>
          <cell r="AD128">
            <v>1020528</v>
          </cell>
          <cell r="AE128">
            <v>1028360</v>
          </cell>
          <cell r="AF128">
            <v>1036082</v>
          </cell>
          <cell r="AG128">
            <v>1043239</v>
          </cell>
          <cell r="AH128">
            <v>1051260</v>
          </cell>
          <cell r="AI128">
            <v>1058775</v>
          </cell>
          <cell r="AJ128">
            <v>1070266</v>
          </cell>
          <cell r="AK128">
            <v>1084441</v>
          </cell>
          <cell r="AL128">
            <v>1097374</v>
          </cell>
          <cell r="AM128">
            <v>1112846</v>
          </cell>
          <cell r="AN128">
            <v>1122457</v>
          </cell>
          <cell r="AO128">
            <v>1133996</v>
          </cell>
          <cell r="AP128">
            <v>1148284</v>
          </cell>
          <cell r="AQ128">
            <v>1160421</v>
          </cell>
          <cell r="AR128">
            <v>1175267</v>
          </cell>
          <cell r="AS128">
            <v>1186873</v>
          </cell>
          <cell r="AT128">
            <v>1196287</v>
          </cell>
          <cell r="AU128">
            <v>1204621</v>
          </cell>
          <cell r="AV128">
            <v>1213370</v>
          </cell>
          <cell r="AW128">
            <v>1221003</v>
          </cell>
          <cell r="AX128">
            <v>1228254</v>
          </cell>
          <cell r="AY128">
            <v>1233996</v>
          </cell>
          <cell r="AZ128">
            <v>1239630</v>
          </cell>
          <cell r="BA128">
            <v>1244121</v>
          </cell>
          <cell r="BB128">
            <v>1247429</v>
          </cell>
          <cell r="BC128">
            <v>1250400</v>
          </cell>
          <cell r="BD128">
            <v>1252404</v>
          </cell>
          <cell r="BE128">
            <v>1255882</v>
          </cell>
          <cell r="BF128">
            <v>1258653</v>
          </cell>
          <cell r="BG128">
            <v>1260934</v>
          </cell>
          <cell r="BH128">
            <v>1262605</v>
          </cell>
          <cell r="BI128">
            <v>1263473</v>
          </cell>
          <cell r="BJ128">
            <v>1264613</v>
          </cell>
          <cell r="BK128">
            <v>1265303</v>
          </cell>
          <cell r="BL128">
            <v>1265711</v>
          </cell>
          <cell r="BM128">
            <v>1265740</v>
          </cell>
          <cell r="BN128">
            <v>1265740</v>
          </cell>
        </row>
        <row r="129">
          <cell r="B129" t="str">
            <v>MEX</v>
          </cell>
          <cell r="C129" t="str">
            <v>Population, total</v>
          </cell>
          <cell r="D129" t="str">
            <v>SP.POP.TOTL</v>
          </cell>
          <cell r="E129">
            <v>37771861</v>
          </cell>
          <cell r="F129">
            <v>38966049</v>
          </cell>
          <cell r="G129">
            <v>40195318</v>
          </cell>
          <cell r="H129">
            <v>41462373</v>
          </cell>
          <cell r="I129">
            <v>42771077</v>
          </cell>
          <cell r="J129">
            <v>44123863</v>
          </cell>
          <cell r="K129">
            <v>45519746</v>
          </cell>
          <cell r="L129">
            <v>46956208</v>
          </cell>
          <cell r="M129">
            <v>48431971</v>
          </cell>
          <cell r="N129">
            <v>49945278</v>
          </cell>
          <cell r="O129">
            <v>51493565</v>
          </cell>
          <cell r="P129">
            <v>53076366</v>
          </cell>
          <cell r="Q129">
            <v>54689944</v>
          </cell>
          <cell r="R129">
            <v>56324310</v>
          </cell>
          <cell r="S129">
            <v>57966812</v>
          </cell>
          <cell r="T129">
            <v>59607947</v>
          </cell>
          <cell r="U129">
            <v>61242189</v>
          </cell>
          <cell r="V129">
            <v>62869908</v>
          </cell>
          <cell r="W129">
            <v>64494872</v>
          </cell>
          <cell r="X129">
            <v>66123908</v>
          </cell>
          <cell r="Y129">
            <v>67761367</v>
          </cell>
          <cell r="Z129">
            <v>69407623</v>
          </cell>
          <cell r="AA129">
            <v>71058650</v>
          </cell>
          <cell r="AB129">
            <v>72709306</v>
          </cell>
          <cell r="AC129">
            <v>74352631</v>
          </cell>
          <cell r="AD129">
            <v>75983486</v>
          </cell>
          <cell r="AE129">
            <v>77599105</v>
          </cell>
          <cell r="AF129">
            <v>79200081</v>
          </cell>
          <cell r="AG129">
            <v>80788725</v>
          </cell>
          <cell r="AH129">
            <v>82368930</v>
          </cell>
          <cell r="AI129">
            <v>83943135</v>
          </cell>
          <cell r="AJ129">
            <v>85512621</v>
          </cell>
          <cell r="AK129">
            <v>87075136</v>
          </cell>
          <cell r="AL129">
            <v>88625440</v>
          </cell>
          <cell r="AM129">
            <v>90156396</v>
          </cell>
          <cell r="AN129">
            <v>91663290</v>
          </cell>
          <cell r="AO129">
            <v>93147045</v>
          </cell>
          <cell r="AP129">
            <v>94611008</v>
          </cell>
          <cell r="AQ129">
            <v>96056313</v>
          </cell>
          <cell r="AR129">
            <v>97484823</v>
          </cell>
          <cell r="AS129">
            <v>98899845</v>
          </cell>
          <cell r="AT129">
            <v>100298152</v>
          </cell>
          <cell r="AU129">
            <v>101684764</v>
          </cell>
          <cell r="AV129">
            <v>103081020</v>
          </cell>
          <cell r="AW129">
            <v>104514934</v>
          </cell>
          <cell r="AX129">
            <v>106005199</v>
          </cell>
          <cell r="AY129">
            <v>107560155</v>
          </cell>
          <cell r="AZ129">
            <v>109170503</v>
          </cell>
          <cell r="BA129">
            <v>110815272</v>
          </cell>
          <cell r="BB129">
            <v>112463886</v>
          </cell>
          <cell r="BC129">
            <v>114092961</v>
          </cell>
          <cell r="BD129">
            <v>115695468</v>
          </cell>
          <cell r="BE129">
            <v>117274156</v>
          </cell>
          <cell r="BF129">
            <v>118827158</v>
          </cell>
          <cell r="BG129">
            <v>120355137</v>
          </cell>
          <cell r="BH129">
            <v>121858251</v>
          </cell>
          <cell r="BI129">
            <v>123333379</v>
          </cell>
          <cell r="BJ129">
            <v>124777326</v>
          </cell>
          <cell r="BK129">
            <v>126190782</v>
          </cell>
          <cell r="BL129">
            <v>127575529</v>
          </cell>
          <cell r="BM129">
            <v>128932753</v>
          </cell>
          <cell r="BN129">
            <v>128932753</v>
          </cell>
        </row>
        <row r="130">
          <cell r="B130" t="str">
            <v>FSM</v>
          </cell>
          <cell r="C130" t="str">
            <v>Population, total</v>
          </cell>
          <cell r="D130" t="str">
            <v>SP.POP.TOTL</v>
          </cell>
          <cell r="E130">
            <v>44510</v>
          </cell>
          <cell r="F130">
            <v>45939</v>
          </cell>
          <cell r="G130">
            <v>47372</v>
          </cell>
          <cell r="H130">
            <v>48856</v>
          </cell>
          <cell r="I130">
            <v>50476</v>
          </cell>
          <cell r="J130">
            <v>52224</v>
          </cell>
          <cell r="K130">
            <v>54192</v>
          </cell>
          <cell r="L130">
            <v>56308</v>
          </cell>
          <cell r="M130">
            <v>58386</v>
          </cell>
          <cell r="N130">
            <v>60146</v>
          </cell>
          <cell r="O130">
            <v>61415</v>
          </cell>
          <cell r="P130">
            <v>62089</v>
          </cell>
          <cell r="Q130">
            <v>62275</v>
          </cell>
          <cell r="R130">
            <v>62268</v>
          </cell>
          <cell r="S130">
            <v>62456</v>
          </cell>
          <cell r="T130">
            <v>63122</v>
          </cell>
          <cell r="U130">
            <v>64360</v>
          </cell>
          <cell r="V130">
            <v>66079</v>
          </cell>
          <cell r="W130">
            <v>68196</v>
          </cell>
          <cell r="X130">
            <v>70515</v>
          </cell>
          <cell r="Y130">
            <v>72936</v>
          </cell>
          <cell r="Z130">
            <v>75422</v>
          </cell>
          <cell r="AA130">
            <v>78015</v>
          </cell>
          <cell r="AB130">
            <v>80630</v>
          </cell>
          <cell r="AC130">
            <v>83192</v>
          </cell>
          <cell r="AD130">
            <v>85641</v>
          </cell>
          <cell r="AE130">
            <v>87904</v>
          </cell>
          <cell r="AF130">
            <v>89985</v>
          </cell>
          <cell r="AG130">
            <v>91984</v>
          </cell>
          <cell r="AH130">
            <v>94062</v>
          </cell>
          <cell r="AI130">
            <v>96304</v>
          </cell>
          <cell r="AJ130">
            <v>98779</v>
          </cell>
          <cell r="AK130">
            <v>101386</v>
          </cell>
          <cell r="AL130">
            <v>103901</v>
          </cell>
          <cell r="AM130">
            <v>106030</v>
          </cell>
          <cell r="AN130">
            <v>107535</v>
          </cell>
          <cell r="AO130">
            <v>108311</v>
          </cell>
          <cell r="AP130">
            <v>108473</v>
          </cell>
          <cell r="AQ130">
            <v>108206</v>
          </cell>
          <cell r="AR130">
            <v>107769</v>
          </cell>
          <cell r="AS130">
            <v>107405</v>
          </cell>
          <cell r="AT130">
            <v>107170</v>
          </cell>
          <cell r="AU130">
            <v>107027</v>
          </cell>
          <cell r="AV130">
            <v>106902</v>
          </cell>
          <cell r="AW130">
            <v>106624</v>
          </cell>
          <cell r="AX130">
            <v>106135</v>
          </cell>
          <cell r="AY130">
            <v>105374</v>
          </cell>
          <cell r="AZ130">
            <v>104442</v>
          </cell>
          <cell r="BA130">
            <v>103549</v>
          </cell>
          <cell r="BB130">
            <v>102971</v>
          </cell>
          <cell r="BC130">
            <v>102916</v>
          </cell>
          <cell r="BD130">
            <v>103448</v>
          </cell>
          <cell r="BE130">
            <v>104506</v>
          </cell>
          <cell r="BF130">
            <v>105922</v>
          </cell>
          <cell r="BG130">
            <v>107444</v>
          </cell>
          <cell r="BH130">
            <v>108886</v>
          </cell>
          <cell r="BI130">
            <v>110215</v>
          </cell>
          <cell r="BJ130">
            <v>111461</v>
          </cell>
          <cell r="BK130">
            <v>112640</v>
          </cell>
          <cell r="BL130">
            <v>113811</v>
          </cell>
          <cell r="BM130">
            <v>115021</v>
          </cell>
          <cell r="BN130">
            <v>115021</v>
          </cell>
        </row>
        <row r="131">
          <cell r="B131" t="str">
            <v>MDA</v>
          </cell>
          <cell r="C131" t="str">
            <v>Population, total</v>
          </cell>
          <cell r="D131" t="str">
            <v>SP.POP.TOTL</v>
          </cell>
          <cell r="E131">
            <v>2043664</v>
          </cell>
          <cell r="F131">
            <v>2092667</v>
          </cell>
          <cell r="G131">
            <v>2140063</v>
          </cell>
          <cell r="H131">
            <v>2185050</v>
          </cell>
          <cell r="I131">
            <v>2228429</v>
          </cell>
          <cell r="J131">
            <v>2269399</v>
          </cell>
          <cell r="K131">
            <v>2307959</v>
          </cell>
          <cell r="L131">
            <v>2344108</v>
          </cell>
          <cell r="M131">
            <v>2377848</v>
          </cell>
          <cell r="N131">
            <v>2411588</v>
          </cell>
          <cell r="O131">
            <v>2445328</v>
          </cell>
          <cell r="P131">
            <v>2479871</v>
          </cell>
          <cell r="Q131">
            <v>2515217</v>
          </cell>
          <cell r="R131">
            <v>2549760</v>
          </cell>
          <cell r="S131">
            <v>2582697</v>
          </cell>
          <cell r="T131">
            <v>2611616</v>
          </cell>
          <cell r="U131">
            <v>2638126</v>
          </cell>
          <cell r="V131">
            <v>2660619</v>
          </cell>
          <cell r="W131">
            <v>2682309</v>
          </cell>
          <cell r="X131">
            <v>2703999</v>
          </cell>
          <cell r="Y131">
            <v>2728099</v>
          </cell>
          <cell r="Z131">
            <v>2754609</v>
          </cell>
          <cell r="AA131">
            <v>2782725</v>
          </cell>
          <cell r="AB131">
            <v>2811645</v>
          </cell>
          <cell r="AC131">
            <v>2840565</v>
          </cell>
          <cell r="AD131">
            <v>2867878</v>
          </cell>
          <cell r="AE131">
            <v>2893584</v>
          </cell>
          <cell r="AF131">
            <v>2918487</v>
          </cell>
          <cell r="AG131">
            <v>2940177</v>
          </cell>
          <cell r="AH131">
            <v>2957047</v>
          </cell>
          <cell r="AI131">
            <v>2969097</v>
          </cell>
          <cell r="AJ131">
            <v>2975523</v>
          </cell>
          <cell r="AK131">
            <v>2977130</v>
          </cell>
          <cell r="AL131">
            <v>2973114</v>
          </cell>
          <cell r="AM131">
            <v>2964277</v>
          </cell>
          <cell r="AN131">
            <v>2952307</v>
          </cell>
          <cell r="AO131">
            <v>2946401</v>
          </cell>
          <cell r="AP131">
            <v>2935524</v>
          </cell>
          <cell r="AQ131">
            <v>2934339</v>
          </cell>
          <cell r="AR131">
            <v>2929735</v>
          </cell>
          <cell r="AS131">
            <v>2923783</v>
          </cell>
          <cell r="AT131">
            <v>2917252</v>
          </cell>
          <cell r="AU131">
            <v>2910504</v>
          </cell>
          <cell r="AV131">
            <v>2902320</v>
          </cell>
          <cell r="AW131">
            <v>2895147</v>
          </cell>
          <cell r="AX131">
            <v>2888111</v>
          </cell>
          <cell r="AY131">
            <v>2880095</v>
          </cell>
          <cell r="AZ131">
            <v>2873429</v>
          </cell>
          <cell r="BA131">
            <v>2867964</v>
          </cell>
          <cell r="BB131">
            <v>2864346</v>
          </cell>
          <cell r="BC131">
            <v>2861487</v>
          </cell>
          <cell r="BD131">
            <v>2859833</v>
          </cell>
          <cell r="BE131">
            <v>2859458</v>
          </cell>
          <cell r="BF131">
            <v>2858692</v>
          </cell>
          <cell r="BG131">
            <v>2856950</v>
          </cell>
          <cell r="BH131">
            <v>2834530</v>
          </cell>
          <cell r="BI131">
            <v>2802170</v>
          </cell>
          <cell r="BJ131">
            <v>2755158</v>
          </cell>
          <cell r="BK131">
            <v>2708214</v>
          </cell>
          <cell r="BL131">
            <v>2664974</v>
          </cell>
          <cell r="BM131">
            <v>2620495</v>
          </cell>
          <cell r="BN131">
            <v>2620495</v>
          </cell>
        </row>
        <row r="132">
          <cell r="B132" t="str">
            <v>MCO</v>
          </cell>
          <cell r="C132" t="str">
            <v>Population, total</v>
          </cell>
          <cell r="D132" t="str">
            <v>SP.POP.TOTL</v>
          </cell>
          <cell r="E132">
            <v>22461</v>
          </cell>
          <cell r="F132">
            <v>22813</v>
          </cell>
          <cell r="G132">
            <v>23043</v>
          </cell>
          <cell r="H132">
            <v>23165</v>
          </cell>
          <cell r="I132">
            <v>23236</v>
          </cell>
          <cell r="J132">
            <v>23289</v>
          </cell>
          <cell r="K132">
            <v>23302</v>
          </cell>
          <cell r="L132">
            <v>23292</v>
          </cell>
          <cell r="M132">
            <v>23295</v>
          </cell>
          <cell r="N132">
            <v>23348</v>
          </cell>
          <cell r="O132">
            <v>23487</v>
          </cell>
          <cell r="P132">
            <v>23721</v>
          </cell>
          <cell r="Q132">
            <v>24049</v>
          </cell>
          <cell r="R132">
            <v>24445</v>
          </cell>
          <cell r="S132">
            <v>24829</v>
          </cell>
          <cell r="T132">
            <v>25203</v>
          </cell>
          <cell r="U132">
            <v>25523</v>
          </cell>
          <cell r="V132">
            <v>25811</v>
          </cell>
          <cell r="W132">
            <v>26090</v>
          </cell>
          <cell r="X132">
            <v>26391</v>
          </cell>
          <cell r="Y132">
            <v>26752</v>
          </cell>
          <cell r="Z132">
            <v>27162</v>
          </cell>
          <cell r="AA132">
            <v>27633</v>
          </cell>
          <cell r="AB132">
            <v>28091</v>
          </cell>
          <cell r="AC132">
            <v>28511</v>
          </cell>
          <cell r="AD132">
            <v>28836</v>
          </cell>
          <cell r="AE132">
            <v>29050</v>
          </cell>
          <cell r="AF132">
            <v>29156</v>
          </cell>
          <cell r="AG132">
            <v>29232</v>
          </cell>
          <cell r="AH132">
            <v>29309</v>
          </cell>
          <cell r="AI132">
            <v>29433</v>
          </cell>
          <cell r="AJ132">
            <v>29629</v>
          </cell>
          <cell r="AK132">
            <v>29859</v>
          </cell>
          <cell r="AL132">
            <v>30145</v>
          </cell>
          <cell r="AM132">
            <v>30436</v>
          </cell>
          <cell r="AN132">
            <v>30731</v>
          </cell>
          <cell r="AO132">
            <v>31001</v>
          </cell>
          <cell r="AP132">
            <v>31268</v>
          </cell>
          <cell r="AQ132">
            <v>31554</v>
          </cell>
          <cell r="AR132">
            <v>31836</v>
          </cell>
          <cell r="AS132">
            <v>32148</v>
          </cell>
          <cell r="AT132">
            <v>32474</v>
          </cell>
          <cell r="AU132">
            <v>32804</v>
          </cell>
          <cell r="AV132">
            <v>33144</v>
          </cell>
          <cell r="AW132">
            <v>33499</v>
          </cell>
          <cell r="AX132">
            <v>33842</v>
          </cell>
          <cell r="AY132">
            <v>34189</v>
          </cell>
          <cell r="AZ132">
            <v>34524</v>
          </cell>
          <cell r="BA132">
            <v>34860</v>
          </cell>
          <cell r="BB132">
            <v>35223</v>
          </cell>
          <cell r="BC132">
            <v>35609</v>
          </cell>
          <cell r="BD132">
            <v>36025</v>
          </cell>
          <cell r="BE132">
            <v>36459</v>
          </cell>
          <cell r="BF132">
            <v>36899</v>
          </cell>
          <cell r="BG132">
            <v>37320</v>
          </cell>
          <cell r="BH132">
            <v>37723</v>
          </cell>
          <cell r="BI132">
            <v>38070</v>
          </cell>
          <cell r="BJ132">
            <v>38392</v>
          </cell>
          <cell r="BK132">
            <v>38682</v>
          </cell>
          <cell r="BL132">
            <v>38967</v>
          </cell>
          <cell r="BM132">
            <v>39244</v>
          </cell>
          <cell r="BN132">
            <v>39244</v>
          </cell>
        </row>
        <row r="133">
          <cell r="B133" t="str">
            <v>MNG</v>
          </cell>
          <cell r="C133" t="str">
            <v>Population, total</v>
          </cell>
          <cell r="D133" t="str">
            <v>SP.POP.TOTL</v>
          </cell>
          <cell r="E133">
            <v>955514</v>
          </cell>
          <cell r="F133">
            <v>982181</v>
          </cell>
          <cell r="G133">
            <v>1011327</v>
          </cell>
          <cell r="H133">
            <v>1042387</v>
          </cell>
          <cell r="I133">
            <v>1074518</v>
          </cell>
          <cell r="J133">
            <v>1107121</v>
          </cell>
          <cell r="K133">
            <v>1139962</v>
          </cell>
          <cell r="L133">
            <v>1173186</v>
          </cell>
          <cell r="M133">
            <v>1207104</v>
          </cell>
          <cell r="N133">
            <v>1242213</v>
          </cell>
          <cell r="O133">
            <v>1278819</v>
          </cell>
          <cell r="P133">
            <v>1317042</v>
          </cell>
          <cell r="Q133">
            <v>1356673</v>
          </cell>
          <cell r="R133">
            <v>1397305</v>
          </cell>
          <cell r="S133">
            <v>1438421</v>
          </cell>
          <cell r="T133">
            <v>1479646</v>
          </cell>
          <cell r="U133">
            <v>1520868</v>
          </cell>
          <cell r="V133">
            <v>1562207</v>
          </cell>
          <cell r="W133">
            <v>1603910</v>
          </cell>
          <cell r="X133">
            <v>1646290</v>
          </cell>
          <cell r="Y133">
            <v>1689622</v>
          </cell>
          <cell r="Z133">
            <v>1733475</v>
          </cell>
          <cell r="AA133">
            <v>1777727</v>
          </cell>
          <cell r="AB133">
            <v>1823214</v>
          </cell>
          <cell r="AC133">
            <v>1871089</v>
          </cell>
          <cell r="AD133">
            <v>1921889</v>
          </cell>
          <cell r="AE133">
            <v>1976313</v>
          </cell>
          <cell r="AF133">
            <v>2033351</v>
          </cell>
          <cell r="AG133">
            <v>2089709</v>
          </cell>
          <cell r="AH133">
            <v>2141005</v>
          </cell>
          <cell r="AI133">
            <v>2184139</v>
          </cell>
          <cell r="AJ133">
            <v>2217918</v>
          </cell>
          <cell r="AK133">
            <v>2243495</v>
          </cell>
          <cell r="AL133">
            <v>2263196</v>
          </cell>
          <cell r="AM133">
            <v>2280475</v>
          </cell>
          <cell r="AN133">
            <v>2298017</v>
          </cell>
          <cell r="AO133">
            <v>2316571</v>
          </cell>
          <cell r="AP133">
            <v>2335744</v>
          </cell>
          <cell r="AQ133">
            <v>2355667</v>
          </cell>
          <cell r="AR133">
            <v>2376228</v>
          </cell>
          <cell r="AS133">
            <v>2397417</v>
          </cell>
          <cell r="AT133">
            <v>2419594</v>
          </cell>
          <cell r="AU133">
            <v>2443261</v>
          </cell>
          <cell r="AV133">
            <v>2468765</v>
          </cell>
          <cell r="AW133">
            <v>2496394</v>
          </cell>
          <cell r="AX133">
            <v>2526429</v>
          </cell>
          <cell r="AY133">
            <v>2558854</v>
          </cell>
          <cell r="AZ133">
            <v>2593819</v>
          </cell>
          <cell r="BA133">
            <v>2631899</v>
          </cell>
          <cell r="BB133">
            <v>2673794</v>
          </cell>
          <cell r="BC133">
            <v>2719902</v>
          </cell>
          <cell r="BD133">
            <v>2770357</v>
          </cell>
          <cell r="BE133">
            <v>2824698</v>
          </cell>
          <cell r="BF133">
            <v>2881783</v>
          </cell>
          <cell r="BG133">
            <v>2940111</v>
          </cell>
          <cell r="BH133">
            <v>2998433</v>
          </cell>
          <cell r="BI133">
            <v>3056358</v>
          </cell>
          <cell r="BJ133">
            <v>3113788</v>
          </cell>
          <cell r="BK133">
            <v>3170214</v>
          </cell>
          <cell r="BL133">
            <v>3225166</v>
          </cell>
          <cell r="BM133">
            <v>3278292</v>
          </cell>
          <cell r="BN133">
            <v>3278292</v>
          </cell>
        </row>
        <row r="134">
          <cell r="B134" t="str">
            <v>MNE</v>
          </cell>
          <cell r="C134" t="str">
            <v>Population, total</v>
          </cell>
          <cell r="D134" t="str">
            <v>SP.POP.TOTL</v>
          </cell>
          <cell r="E134">
            <v>480579</v>
          </cell>
          <cell r="F134">
            <v>491140</v>
          </cell>
          <cell r="G134">
            <v>502558</v>
          </cell>
          <cell r="H134">
            <v>513409</v>
          </cell>
          <cell r="I134">
            <v>521753</v>
          </cell>
          <cell r="J134">
            <v>526327</v>
          </cell>
          <cell r="K134">
            <v>526419</v>
          </cell>
          <cell r="L134">
            <v>522796</v>
          </cell>
          <cell r="M134">
            <v>517481</v>
          </cell>
          <cell r="N134">
            <v>513340</v>
          </cell>
          <cell r="O134">
            <v>512407</v>
          </cell>
          <cell r="P134">
            <v>515449</v>
          </cell>
          <cell r="Q134">
            <v>521785</v>
          </cell>
          <cell r="R134">
            <v>530220</v>
          </cell>
          <cell r="S134">
            <v>538902</v>
          </cell>
          <cell r="T134">
            <v>546487</v>
          </cell>
          <cell r="U134">
            <v>552562</v>
          </cell>
          <cell r="V134">
            <v>557576</v>
          </cell>
          <cell r="W134">
            <v>562065</v>
          </cell>
          <cell r="X134">
            <v>566888</v>
          </cell>
          <cell r="Y134">
            <v>572608</v>
          </cell>
          <cell r="Z134">
            <v>579445</v>
          </cell>
          <cell r="AA134">
            <v>587001</v>
          </cell>
          <cell r="AB134">
            <v>594506</v>
          </cell>
          <cell r="AC134">
            <v>600884</v>
          </cell>
          <cell r="AD134">
            <v>605398</v>
          </cell>
          <cell r="AE134">
            <v>607711</v>
          </cell>
          <cell r="AF134">
            <v>608144</v>
          </cell>
          <cell r="AG134">
            <v>607413</v>
          </cell>
          <cell r="AH134">
            <v>606571</v>
          </cell>
          <cell r="AI134">
            <v>606372</v>
          </cell>
          <cell r="AJ134">
            <v>607105</v>
          </cell>
          <cell r="AK134">
            <v>608516</v>
          </cell>
          <cell r="AL134">
            <v>610170</v>
          </cell>
          <cell r="AM134">
            <v>611389</v>
          </cell>
          <cell r="AN134">
            <v>611712</v>
          </cell>
          <cell r="AO134">
            <v>611003</v>
          </cell>
          <cell r="AP134">
            <v>609520</v>
          </cell>
          <cell r="AQ134">
            <v>607662</v>
          </cell>
          <cell r="AR134">
            <v>606001</v>
          </cell>
          <cell r="AS134">
            <v>604950</v>
          </cell>
          <cell r="AT134">
            <v>607389</v>
          </cell>
          <cell r="AU134">
            <v>609828</v>
          </cell>
          <cell r="AV134">
            <v>612267</v>
          </cell>
          <cell r="AW134">
            <v>613353</v>
          </cell>
          <cell r="AX134">
            <v>614261</v>
          </cell>
          <cell r="AY134">
            <v>615025</v>
          </cell>
          <cell r="AZ134">
            <v>615875</v>
          </cell>
          <cell r="BA134">
            <v>616969</v>
          </cell>
          <cell r="BB134">
            <v>618294</v>
          </cell>
          <cell r="BC134">
            <v>619428</v>
          </cell>
          <cell r="BD134">
            <v>620079</v>
          </cell>
          <cell r="BE134">
            <v>620601</v>
          </cell>
          <cell r="BF134">
            <v>621207</v>
          </cell>
          <cell r="BG134">
            <v>621810</v>
          </cell>
          <cell r="BH134">
            <v>622159</v>
          </cell>
          <cell r="BI134">
            <v>622303</v>
          </cell>
          <cell r="BJ134">
            <v>622373</v>
          </cell>
          <cell r="BK134">
            <v>622227</v>
          </cell>
          <cell r="BL134">
            <v>622028</v>
          </cell>
          <cell r="BM134">
            <v>621306</v>
          </cell>
          <cell r="BN134">
            <v>621306</v>
          </cell>
        </row>
        <row r="135">
          <cell r="B135" t="str">
            <v>MAR</v>
          </cell>
          <cell r="C135" t="str">
            <v>Population, total</v>
          </cell>
          <cell r="D135" t="str">
            <v>SP.POP.TOTL</v>
          </cell>
          <cell r="E135">
            <v>12328532</v>
          </cell>
          <cell r="F135">
            <v>12710587</v>
          </cell>
          <cell r="G135">
            <v>13094890</v>
          </cell>
          <cell r="H135">
            <v>13478425</v>
          </cell>
          <cell r="I135">
            <v>13857656</v>
          </cell>
          <cell r="J135">
            <v>14230163</v>
          </cell>
          <cell r="K135">
            <v>14595351</v>
          </cell>
          <cell r="L135">
            <v>14954037</v>
          </cell>
          <cell r="M135">
            <v>15307267</v>
          </cell>
          <cell r="N135">
            <v>15656846</v>
          </cell>
          <cell r="O135">
            <v>16004732</v>
          </cell>
          <cell r="P135">
            <v>16350883</v>
          </cell>
          <cell r="Q135">
            <v>16696890</v>
          </cell>
          <cell r="R135">
            <v>17048525</v>
          </cell>
          <cell r="S135">
            <v>17413149</v>
          </cell>
          <cell r="T135">
            <v>17796171</v>
          </cell>
          <cell r="U135">
            <v>18198836</v>
          </cell>
          <cell r="V135">
            <v>18620087</v>
          </cell>
          <cell r="W135">
            <v>19059773</v>
          </cell>
          <cell r="X135">
            <v>19516942</v>
          </cell>
          <cell r="Y135">
            <v>19990006</v>
          </cell>
          <cell r="Z135">
            <v>20479709</v>
          </cell>
          <cell r="AA135">
            <v>20984023</v>
          </cell>
          <cell r="AB135">
            <v>21495088</v>
          </cell>
          <cell r="AC135">
            <v>22002641</v>
          </cell>
          <cell r="AD135">
            <v>22499111</v>
          </cell>
          <cell r="AE135">
            <v>22980334</v>
          </cell>
          <cell r="AF135">
            <v>23447256</v>
          </cell>
          <cell r="AG135">
            <v>23903592</v>
          </cell>
          <cell r="AH135">
            <v>24355624</v>
          </cell>
          <cell r="AI135">
            <v>24807461</v>
          </cell>
          <cell r="AJ135">
            <v>25260407</v>
          </cell>
          <cell r="AK135">
            <v>25711410</v>
          </cell>
          <cell r="AL135">
            <v>26155204</v>
          </cell>
          <cell r="AM135">
            <v>26584473</v>
          </cell>
          <cell r="AN135">
            <v>26994255</v>
          </cell>
          <cell r="AO135">
            <v>27383472</v>
          </cell>
          <cell r="AP135">
            <v>27754573</v>
          </cell>
          <cell r="AQ135">
            <v>28110447</v>
          </cell>
          <cell r="AR135">
            <v>28455504</v>
          </cell>
          <cell r="AS135">
            <v>28793672</v>
          </cell>
          <cell r="AT135">
            <v>29126323</v>
          </cell>
          <cell r="AU135">
            <v>29454765</v>
          </cell>
          <cell r="AV135">
            <v>29782884</v>
          </cell>
          <cell r="AW135">
            <v>30115196</v>
          </cell>
          <cell r="AX135">
            <v>30455563</v>
          </cell>
          <cell r="AY135">
            <v>30804689</v>
          </cell>
          <cell r="AZ135">
            <v>31163670</v>
          </cell>
          <cell r="BA135">
            <v>31536807</v>
          </cell>
          <cell r="BB135">
            <v>31929087</v>
          </cell>
          <cell r="BC135">
            <v>32343384</v>
          </cell>
          <cell r="BD135">
            <v>32781860</v>
          </cell>
          <cell r="BE135">
            <v>33241898</v>
          </cell>
          <cell r="BF135">
            <v>33715705</v>
          </cell>
          <cell r="BG135">
            <v>34192358</v>
          </cell>
          <cell r="BH135">
            <v>34663608</v>
          </cell>
          <cell r="BI135">
            <v>35126274</v>
          </cell>
          <cell r="BJ135">
            <v>35581257</v>
          </cell>
          <cell r="BK135">
            <v>36029089</v>
          </cell>
          <cell r="BL135">
            <v>36471766</v>
          </cell>
          <cell r="BM135">
            <v>36910558</v>
          </cell>
          <cell r="BN135">
            <v>36910558</v>
          </cell>
        </row>
        <row r="136">
          <cell r="B136" t="str">
            <v>MOZ</v>
          </cell>
          <cell r="C136" t="str">
            <v>Population, total</v>
          </cell>
          <cell r="D136" t="str">
            <v>SP.POP.TOTL</v>
          </cell>
          <cell r="E136">
            <v>7184870</v>
          </cell>
          <cell r="F136">
            <v>7342117</v>
          </cell>
          <cell r="G136">
            <v>7507309</v>
          </cell>
          <cell r="H136">
            <v>7679465</v>
          </cell>
          <cell r="I136">
            <v>7857107</v>
          </cell>
          <cell r="J136">
            <v>8039217</v>
          </cell>
          <cell r="K136">
            <v>8225919</v>
          </cell>
          <cell r="L136">
            <v>8417698</v>
          </cell>
          <cell r="M136">
            <v>8614445</v>
          </cell>
          <cell r="N136">
            <v>8816056</v>
          </cell>
          <cell r="O136">
            <v>9022747</v>
          </cell>
          <cell r="P136">
            <v>9232655</v>
          </cell>
          <cell r="Q136">
            <v>9446235</v>
          </cell>
          <cell r="R136">
            <v>9668655</v>
          </cell>
          <cell r="S136">
            <v>9906963</v>
          </cell>
          <cell r="T136">
            <v>10165216</v>
          </cell>
          <cell r="U136">
            <v>10443954</v>
          </cell>
          <cell r="V136">
            <v>10738534</v>
          </cell>
          <cell r="W136">
            <v>11041206</v>
          </cell>
          <cell r="X136">
            <v>11341405</v>
          </cell>
          <cell r="Y136">
            <v>11630194</v>
          </cell>
          <cell r="Z136">
            <v>11913085</v>
          </cell>
          <cell r="AA136">
            <v>12189817</v>
          </cell>
          <cell r="AB136">
            <v>12439773</v>
          </cell>
          <cell r="AC136">
            <v>12636120</v>
          </cell>
          <cell r="AD136">
            <v>12764385</v>
          </cell>
          <cell r="AE136">
            <v>12808566</v>
          </cell>
          <cell r="AF136">
            <v>12786353</v>
          </cell>
          <cell r="AG136">
            <v>12758003</v>
          </cell>
          <cell r="AH136">
            <v>12805950</v>
          </cell>
          <cell r="AI136">
            <v>12987292</v>
          </cell>
          <cell r="AJ136">
            <v>13328029</v>
          </cell>
          <cell r="AK136">
            <v>13805999</v>
          </cell>
          <cell r="AL136">
            <v>14370950</v>
          </cell>
          <cell r="AM136">
            <v>14948050</v>
          </cell>
          <cell r="AN136">
            <v>15483277</v>
          </cell>
          <cell r="AO136">
            <v>15960445</v>
          </cell>
          <cell r="AP136">
            <v>16397175</v>
          </cell>
          <cell r="AQ136">
            <v>16813946</v>
          </cell>
          <cell r="AR136">
            <v>17244176</v>
          </cell>
          <cell r="AS136">
            <v>17711925</v>
          </cell>
          <cell r="AT136">
            <v>18221884</v>
          </cell>
          <cell r="AU136">
            <v>18764147</v>
          </cell>
          <cell r="AV136">
            <v>19331097</v>
          </cell>
          <cell r="AW136">
            <v>19910549</v>
          </cell>
          <cell r="AX136">
            <v>20493927</v>
          </cell>
          <cell r="AY136">
            <v>21080108</v>
          </cell>
          <cell r="AZ136">
            <v>21673319</v>
          </cell>
          <cell r="BA136">
            <v>22276596</v>
          </cell>
          <cell r="BB136">
            <v>22894718</v>
          </cell>
          <cell r="BC136">
            <v>23531567</v>
          </cell>
          <cell r="BD136">
            <v>24187500</v>
          </cell>
          <cell r="BE136">
            <v>24862673</v>
          </cell>
          <cell r="BF136">
            <v>25560752</v>
          </cell>
          <cell r="BG136">
            <v>26286192</v>
          </cell>
          <cell r="BH136">
            <v>27042001</v>
          </cell>
          <cell r="BI136">
            <v>27829930</v>
          </cell>
          <cell r="BJ136">
            <v>28649007</v>
          </cell>
          <cell r="BK136">
            <v>29496009</v>
          </cell>
          <cell r="BL136">
            <v>30366043</v>
          </cell>
          <cell r="BM136">
            <v>31255435</v>
          </cell>
          <cell r="BN136">
            <v>31255435</v>
          </cell>
        </row>
        <row r="137">
          <cell r="B137" t="str">
            <v>MMR</v>
          </cell>
          <cell r="C137" t="str">
            <v>Population, total</v>
          </cell>
          <cell r="D137" t="str">
            <v>SP.POP.TOTL</v>
          </cell>
          <cell r="E137">
            <v>21736947</v>
          </cell>
          <cell r="F137">
            <v>22211626</v>
          </cell>
          <cell r="G137">
            <v>22697664</v>
          </cell>
          <cell r="H137">
            <v>23198238</v>
          </cell>
          <cell r="I137">
            <v>23717785</v>
          </cell>
          <cell r="J137">
            <v>24259356</v>
          </cell>
          <cell r="K137">
            <v>24823937</v>
          </cell>
          <cell r="L137">
            <v>25410054</v>
          </cell>
          <cell r="M137">
            <v>26015239</v>
          </cell>
          <cell r="N137">
            <v>26635852</v>
          </cell>
          <cell r="O137">
            <v>27269063</v>
          </cell>
          <cell r="P137">
            <v>27913749</v>
          </cell>
          <cell r="Q137">
            <v>28570093</v>
          </cell>
          <cell r="R137">
            <v>29238168</v>
          </cell>
          <cell r="S137">
            <v>29918469</v>
          </cell>
          <cell r="T137">
            <v>30611093</v>
          </cell>
          <cell r="U137">
            <v>31314347</v>
          </cell>
          <cell r="V137">
            <v>32026748</v>
          </cell>
          <cell r="W137">
            <v>32748782</v>
          </cell>
          <cell r="X137">
            <v>33481397</v>
          </cell>
          <cell r="Y137">
            <v>34224316</v>
          </cell>
          <cell r="Z137">
            <v>34976465</v>
          </cell>
          <cell r="AA137">
            <v>35734273</v>
          </cell>
          <cell r="AB137">
            <v>36491804</v>
          </cell>
          <cell r="AC137">
            <v>37241530</v>
          </cell>
          <cell r="AD137">
            <v>37977087</v>
          </cell>
          <cell r="AE137">
            <v>38698484</v>
          </cell>
          <cell r="AF137">
            <v>39404350</v>
          </cell>
          <cell r="AG137">
            <v>40085653</v>
          </cell>
          <cell r="AH137">
            <v>40731439</v>
          </cell>
          <cell r="AI137">
            <v>41335188</v>
          </cell>
          <cell r="AJ137">
            <v>41890192</v>
          </cell>
          <cell r="AK137">
            <v>42401686</v>
          </cell>
          <cell r="AL137">
            <v>42889992</v>
          </cell>
          <cell r="AM137">
            <v>43383421</v>
          </cell>
          <cell r="AN137">
            <v>43901598</v>
          </cell>
          <cell r="AO137">
            <v>44452203</v>
          </cell>
          <cell r="AP137">
            <v>45027223</v>
          </cell>
          <cell r="AQ137">
            <v>45611220</v>
          </cell>
          <cell r="AR137">
            <v>46181075</v>
          </cell>
          <cell r="AS137">
            <v>46719698</v>
          </cell>
          <cell r="AT137">
            <v>47225119</v>
          </cell>
          <cell r="AU137">
            <v>47702163</v>
          </cell>
          <cell r="AV137">
            <v>48148907</v>
          </cell>
          <cell r="AW137">
            <v>48564489</v>
          </cell>
          <cell r="AX137">
            <v>48949931</v>
          </cell>
          <cell r="AY137">
            <v>49301049</v>
          </cell>
          <cell r="AZ137">
            <v>49621479</v>
          </cell>
          <cell r="BA137">
            <v>49929642</v>
          </cell>
          <cell r="BB137">
            <v>50250366</v>
          </cell>
          <cell r="BC137">
            <v>50600827</v>
          </cell>
          <cell r="BD137">
            <v>50990612</v>
          </cell>
          <cell r="BE137">
            <v>51413703</v>
          </cell>
          <cell r="BF137">
            <v>51852464</v>
          </cell>
          <cell r="BG137">
            <v>52280816</v>
          </cell>
          <cell r="BH137">
            <v>52680724</v>
          </cell>
          <cell r="BI137">
            <v>53045199</v>
          </cell>
          <cell r="BJ137">
            <v>53382521</v>
          </cell>
          <cell r="BK137">
            <v>53708318</v>
          </cell>
          <cell r="BL137">
            <v>54045422</v>
          </cell>
          <cell r="BM137">
            <v>54409794</v>
          </cell>
          <cell r="BN137">
            <v>54409794</v>
          </cell>
        </row>
        <row r="138">
          <cell r="B138" t="str">
            <v>NAM</v>
          </cell>
          <cell r="C138" t="str">
            <v>Population, total</v>
          </cell>
          <cell r="D138" t="str">
            <v>SP.POP.TOTL</v>
          </cell>
          <cell r="E138">
            <v>634138</v>
          </cell>
          <cell r="F138">
            <v>649274</v>
          </cell>
          <cell r="G138">
            <v>665119</v>
          </cell>
          <cell r="H138">
            <v>681633</v>
          </cell>
          <cell r="I138">
            <v>698797</v>
          </cell>
          <cell r="J138">
            <v>716588</v>
          </cell>
          <cell r="K138">
            <v>734866</v>
          </cell>
          <cell r="L138">
            <v>753683</v>
          </cell>
          <cell r="M138">
            <v>773428</v>
          </cell>
          <cell r="N138">
            <v>794588</v>
          </cell>
          <cell r="O138">
            <v>817474</v>
          </cell>
          <cell r="P138">
            <v>842353</v>
          </cell>
          <cell r="Q138">
            <v>868954</v>
          </cell>
          <cell r="R138">
            <v>896264</v>
          </cell>
          <cell r="S138">
            <v>922900</v>
          </cell>
          <cell r="T138">
            <v>947925</v>
          </cell>
          <cell r="U138">
            <v>971117</v>
          </cell>
          <cell r="V138">
            <v>992955</v>
          </cell>
          <cell r="W138">
            <v>1014055</v>
          </cell>
          <cell r="X138">
            <v>1035379</v>
          </cell>
          <cell r="Y138">
            <v>1057723</v>
          </cell>
          <cell r="Z138">
            <v>1080938</v>
          </cell>
          <cell r="AA138">
            <v>1105103</v>
          </cell>
          <cell r="AB138">
            <v>1131624</v>
          </cell>
          <cell r="AC138">
            <v>1162282</v>
          </cell>
          <cell r="AD138">
            <v>1198149</v>
          </cell>
          <cell r="AE138">
            <v>1239923</v>
          </cell>
          <cell r="AF138">
            <v>1286796</v>
          </cell>
          <cell r="AG138">
            <v>1336545</v>
          </cell>
          <cell r="AH138">
            <v>1386011</v>
          </cell>
          <cell r="AI138">
            <v>1432899</v>
          </cell>
          <cell r="AJ138">
            <v>1476399</v>
          </cell>
          <cell r="AK138">
            <v>1516951</v>
          </cell>
          <cell r="AL138">
            <v>1555098</v>
          </cell>
          <cell r="AM138">
            <v>1591826</v>
          </cell>
          <cell r="AN138">
            <v>1627866</v>
          </cell>
          <cell r="AO138">
            <v>1663378</v>
          </cell>
          <cell r="AP138">
            <v>1698029</v>
          </cell>
          <cell r="AQ138">
            <v>1731635</v>
          </cell>
          <cell r="AR138">
            <v>1763861</v>
          </cell>
          <cell r="AS138">
            <v>1794583</v>
          </cell>
          <cell r="AT138">
            <v>1823667</v>
          </cell>
          <cell r="AU138">
            <v>1851519</v>
          </cell>
          <cell r="AV138">
            <v>1879113</v>
          </cell>
          <cell r="AW138">
            <v>1907737</v>
          </cell>
          <cell r="AX138">
            <v>1938316</v>
          </cell>
          <cell r="AY138">
            <v>1971318</v>
          </cell>
          <cell r="AZ138">
            <v>2006516</v>
          </cell>
          <cell r="BA138">
            <v>2043382</v>
          </cell>
          <cell r="BB138">
            <v>2081039</v>
          </cell>
          <cell r="BC138">
            <v>2118877</v>
          </cell>
          <cell r="BD138">
            <v>2156698</v>
          </cell>
          <cell r="BE138">
            <v>2194777</v>
          </cell>
          <cell r="BF138">
            <v>2233506</v>
          </cell>
          <cell r="BG138">
            <v>2273426</v>
          </cell>
          <cell r="BH138">
            <v>2314901</v>
          </cell>
          <cell r="BI138">
            <v>2358044</v>
          </cell>
          <cell r="BJ138">
            <v>2402623</v>
          </cell>
          <cell r="BK138">
            <v>2448300</v>
          </cell>
          <cell r="BL138">
            <v>2494524</v>
          </cell>
          <cell r="BM138">
            <v>2540916</v>
          </cell>
          <cell r="BN138">
            <v>2540916</v>
          </cell>
        </row>
        <row r="139">
          <cell r="B139" t="str">
            <v>NRU</v>
          </cell>
          <cell r="C139" t="str">
            <v>Population, total</v>
          </cell>
          <cell r="D139" t="str">
            <v>SP.POP.TOTL</v>
          </cell>
          <cell r="E139">
            <v>4377</v>
          </cell>
          <cell r="F139">
            <v>4627</v>
          </cell>
          <cell r="G139">
            <v>4942</v>
          </cell>
          <cell r="H139">
            <v>5270</v>
          </cell>
          <cell r="I139">
            <v>5590</v>
          </cell>
          <cell r="J139">
            <v>5859</v>
          </cell>
          <cell r="K139">
            <v>6065</v>
          </cell>
          <cell r="L139">
            <v>6221</v>
          </cell>
          <cell r="M139">
            <v>6343</v>
          </cell>
          <cell r="N139">
            <v>6445</v>
          </cell>
          <cell r="O139">
            <v>6553</v>
          </cell>
          <cell r="P139">
            <v>6669</v>
          </cell>
          <cell r="Q139">
            <v>6798</v>
          </cell>
          <cell r="R139">
            <v>6929</v>
          </cell>
          <cell r="S139">
            <v>7062</v>
          </cell>
          <cell r="T139">
            <v>7178</v>
          </cell>
          <cell r="U139">
            <v>7284</v>
          </cell>
          <cell r="V139">
            <v>7396</v>
          </cell>
          <cell r="W139">
            <v>7505</v>
          </cell>
          <cell r="X139">
            <v>7626</v>
          </cell>
          <cell r="Y139">
            <v>7751</v>
          </cell>
          <cell r="Z139">
            <v>7871</v>
          </cell>
          <cell r="AA139">
            <v>8016</v>
          </cell>
          <cell r="AB139">
            <v>8163</v>
          </cell>
          <cell r="AC139">
            <v>8331</v>
          </cell>
          <cell r="AD139">
            <v>8501</v>
          </cell>
          <cell r="AE139">
            <v>8679</v>
          </cell>
          <cell r="AF139">
            <v>8868</v>
          </cell>
          <cell r="AG139">
            <v>9058</v>
          </cell>
          <cell r="AH139">
            <v>9275</v>
          </cell>
          <cell r="AI139">
            <v>9506</v>
          </cell>
          <cell r="AJ139">
            <v>9766</v>
          </cell>
          <cell r="AK139">
            <v>10030</v>
          </cell>
          <cell r="AL139">
            <v>10287</v>
          </cell>
          <cell r="AM139">
            <v>10496</v>
          </cell>
          <cell r="AN139">
            <v>10626</v>
          </cell>
          <cell r="AO139">
            <v>10677</v>
          </cell>
          <cell r="AP139">
            <v>10643</v>
          </cell>
          <cell r="AQ139">
            <v>10567</v>
          </cell>
          <cell r="AR139">
            <v>10449</v>
          </cell>
          <cell r="AS139">
            <v>10335</v>
          </cell>
          <cell r="AT139">
            <v>10219</v>
          </cell>
          <cell r="AU139">
            <v>10102</v>
          </cell>
          <cell r="AV139">
            <v>9990</v>
          </cell>
          <cell r="AW139">
            <v>9906</v>
          </cell>
          <cell r="AX139">
            <v>9848</v>
          </cell>
          <cell r="AY139">
            <v>9827</v>
          </cell>
          <cell r="AZ139">
            <v>9846</v>
          </cell>
          <cell r="BA139">
            <v>9880</v>
          </cell>
          <cell r="BB139">
            <v>9945</v>
          </cell>
          <cell r="BC139">
            <v>10009</v>
          </cell>
          <cell r="BD139">
            <v>10069</v>
          </cell>
          <cell r="BE139">
            <v>10136</v>
          </cell>
          <cell r="BF139">
            <v>10208</v>
          </cell>
          <cell r="BG139">
            <v>10289</v>
          </cell>
          <cell r="BH139">
            <v>10374</v>
          </cell>
          <cell r="BI139">
            <v>10474</v>
          </cell>
          <cell r="BJ139">
            <v>10577</v>
          </cell>
          <cell r="BK139">
            <v>10678</v>
          </cell>
          <cell r="BL139">
            <v>10764</v>
          </cell>
          <cell r="BM139">
            <v>10834</v>
          </cell>
          <cell r="BN139">
            <v>10834</v>
          </cell>
        </row>
        <row r="140">
          <cell r="B140" t="str">
            <v>NPL</v>
          </cell>
          <cell r="C140" t="str">
            <v>Population, total</v>
          </cell>
          <cell r="D140" t="str">
            <v>SP.POP.TOTL</v>
          </cell>
          <cell r="E140">
            <v>10105060</v>
          </cell>
          <cell r="F140">
            <v>10267260</v>
          </cell>
          <cell r="G140">
            <v>10433147</v>
          </cell>
          <cell r="H140">
            <v>10604620</v>
          </cell>
          <cell r="I140">
            <v>10783958</v>
          </cell>
          <cell r="J140">
            <v>10972912</v>
          </cell>
          <cell r="K140">
            <v>11172530</v>
          </cell>
          <cell r="L140">
            <v>11382965</v>
          </cell>
          <cell r="M140">
            <v>11603921</v>
          </cell>
          <cell r="N140">
            <v>11834657</v>
          </cell>
          <cell r="O140">
            <v>12074628</v>
          </cell>
          <cell r="P140">
            <v>12323984</v>
          </cell>
          <cell r="Q140">
            <v>12583142</v>
          </cell>
          <cell r="R140">
            <v>12852205</v>
          </cell>
          <cell r="S140">
            <v>13131260</v>
          </cell>
          <cell r="T140">
            <v>13420367</v>
          </cell>
          <cell r="U140">
            <v>13719466</v>
          </cell>
          <cell r="V140">
            <v>14028535</v>
          </cell>
          <cell r="W140">
            <v>14347653</v>
          </cell>
          <cell r="X140">
            <v>14676932</v>
          </cell>
          <cell r="Y140">
            <v>15016408</v>
          </cell>
          <cell r="Z140">
            <v>15367229</v>
          </cell>
          <cell r="AA140">
            <v>15729431</v>
          </cell>
          <cell r="AB140">
            <v>16100623</v>
          </cell>
          <cell r="AC140">
            <v>16477488</v>
          </cell>
          <cell r="AD140">
            <v>16858315</v>
          </cell>
          <cell r="AE140">
            <v>17239677</v>
          </cell>
          <cell r="AF140">
            <v>17623697</v>
          </cell>
          <cell r="AG140">
            <v>18020755</v>
          </cell>
          <cell r="AH140">
            <v>18445021</v>
          </cell>
          <cell r="AI140">
            <v>18905480</v>
          </cell>
          <cell r="AJ140">
            <v>19405506</v>
          </cell>
          <cell r="AK140">
            <v>19938322</v>
          </cell>
          <cell r="AL140">
            <v>20489973</v>
          </cell>
          <cell r="AM140">
            <v>21040899</v>
          </cell>
          <cell r="AN140">
            <v>21576074</v>
          </cell>
          <cell r="AO140">
            <v>22090352</v>
          </cell>
          <cell r="AP140">
            <v>22584772</v>
          </cell>
          <cell r="AQ140">
            <v>23057875</v>
          </cell>
          <cell r="AR140">
            <v>23509971</v>
          </cell>
          <cell r="AS140">
            <v>23941099</v>
          </cell>
          <cell r="AT140">
            <v>24347113</v>
          </cell>
          <cell r="AU140">
            <v>24725625</v>
          </cell>
          <cell r="AV140">
            <v>25080880</v>
          </cell>
          <cell r="AW140">
            <v>25419337</v>
          </cell>
          <cell r="AX140">
            <v>25744500</v>
          </cell>
          <cell r="AY140">
            <v>26066687</v>
          </cell>
          <cell r="AZ140">
            <v>26382586</v>
          </cell>
          <cell r="BA140">
            <v>26666581</v>
          </cell>
          <cell r="BB140">
            <v>26883531</v>
          </cell>
          <cell r="BC140">
            <v>27013207</v>
          </cell>
          <cell r="BD140">
            <v>27041220</v>
          </cell>
          <cell r="BE140">
            <v>26989160</v>
          </cell>
          <cell r="BF140">
            <v>26916795</v>
          </cell>
          <cell r="BG140">
            <v>26905982</v>
          </cell>
          <cell r="BH140">
            <v>27015033</v>
          </cell>
          <cell r="BI140">
            <v>27263430</v>
          </cell>
          <cell r="BJ140">
            <v>27632682</v>
          </cell>
          <cell r="BK140">
            <v>28095712</v>
          </cell>
          <cell r="BL140">
            <v>28608715</v>
          </cell>
          <cell r="BM140">
            <v>29136808</v>
          </cell>
          <cell r="BN140">
            <v>29136808</v>
          </cell>
        </row>
        <row r="141">
          <cell r="B141" t="str">
            <v>NLD</v>
          </cell>
          <cell r="C141" t="str">
            <v>Population, total</v>
          </cell>
          <cell r="D141" t="str">
            <v>SP.POP.TOTL</v>
          </cell>
          <cell r="E141">
            <v>11486631</v>
          </cell>
          <cell r="F141">
            <v>11638712</v>
          </cell>
          <cell r="G141">
            <v>11805689</v>
          </cell>
          <cell r="H141">
            <v>11965966</v>
          </cell>
          <cell r="I141">
            <v>12127120</v>
          </cell>
          <cell r="J141">
            <v>12294732</v>
          </cell>
          <cell r="K141">
            <v>12456251</v>
          </cell>
          <cell r="L141">
            <v>12598201</v>
          </cell>
          <cell r="M141">
            <v>12729721</v>
          </cell>
          <cell r="N141">
            <v>12877984</v>
          </cell>
          <cell r="O141">
            <v>13038526</v>
          </cell>
          <cell r="P141">
            <v>13194497</v>
          </cell>
          <cell r="Q141">
            <v>13328593</v>
          </cell>
          <cell r="R141">
            <v>13439322</v>
          </cell>
          <cell r="S141">
            <v>13545056</v>
          </cell>
          <cell r="T141">
            <v>13666335</v>
          </cell>
          <cell r="U141">
            <v>13774037</v>
          </cell>
          <cell r="V141">
            <v>13856185</v>
          </cell>
          <cell r="W141">
            <v>13941700</v>
          </cell>
          <cell r="X141">
            <v>14038270</v>
          </cell>
          <cell r="Y141">
            <v>14149800</v>
          </cell>
          <cell r="Z141">
            <v>14247208</v>
          </cell>
          <cell r="AA141">
            <v>14312690</v>
          </cell>
          <cell r="AB141">
            <v>14367070</v>
          </cell>
          <cell r="AC141">
            <v>14424211</v>
          </cell>
          <cell r="AD141">
            <v>14491632</v>
          </cell>
          <cell r="AE141">
            <v>14572278</v>
          </cell>
          <cell r="AF141">
            <v>14665037</v>
          </cell>
          <cell r="AG141">
            <v>14760094</v>
          </cell>
          <cell r="AH141">
            <v>14848907</v>
          </cell>
          <cell r="AI141">
            <v>14951510</v>
          </cell>
          <cell r="AJ141">
            <v>15069798</v>
          </cell>
          <cell r="AK141">
            <v>15184166</v>
          </cell>
          <cell r="AL141">
            <v>15290368</v>
          </cell>
          <cell r="AM141">
            <v>15382838</v>
          </cell>
          <cell r="AN141">
            <v>15459006</v>
          </cell>
          <cell r="AO141">
            <v>15530498</v>
          </cell>
          <cell r="AP141">
            <v>15610650</v>
          </cell>
          <cell r="AQ141">
            <v>15707209</v>
          </cell>
          <cell r="AR141">
            <v>15812088</v>
          </cell>
          <cell r="AS141">
            <v>15925513</v>
          </cell>
          <cell r="AT141">
            <v>16046180</v>
          </cell>
          <cell r="AU141">
            <v>16148929</v>
          </cell>
          <cell r="AV141">
            <v>16225302</v>
          </cell>
          <cell r="AW141">
            <v>16281779</v>
          </cell>
          <cell r="AX141">
            <v>16319868</v>
          </cell>
          <cell r="AY141">
            <v>16346101</v>
          </cell>
          <cell r="AZ141">
            <v>16381696</v>
          </cell>
          <cell r="BA141">
            <v>16445593</v>
          </cell>
          <cell r="BB141">
            <v>16530388</v>
          </cell>
          <cell r="BC141">
            <v>16615394</v>
          </cell>
          <cell r="BD141">
            <v>16693074</v>
          </cell>
          <cell r="BE141">
            <v>16754962</v>
          </cell>
          <cell r="BF141">
            <v>16804432</v>
          </cell>
          <cell r="BG141">
            <v>16865008</v>
          </cell>
          <cell r="BH141">
            <v>16939923</v>
          </cell>
          <cell r="BI141">
            <v>17030314</v>
          </cell>
          <cell r="BJ141">
            <v>17131296</v>
          </cell>
          <cell r="BK141">
            <v>17231624</v>
          </cell>
          <cell r="BL141">
            <v>17344874</v>
          </cell>
          <cell r="BM141">
            <v>17441139</v>
          </cell>
          <cell r="BN141">
            <v>17441139</v>
          </cell>
        </row>
        <row r="142">
          <cell r="B142" t="str">
            <v>NCL</v>
          </cell>
          <cell r="C142" t="str">
            <v>Population, total</v>
          </cell>
          <cell r="D142" t="str">
            <v>SP.POP.TOTL</v>
          </cell>
          <cell r="E142">
            <v>79000</v>
          </cell>
          <cell r="F142">
            <v>81200</v>
          </cell>
          <cell r="G142">
            <v>83400</v>
          </cell>
          <cell r="H142">
            <v>85700</v>
          </cell>
          <cell r="I142">
            <v>88100</v>
          </cell>
          <cell r="J142">
            <v>90500</v>
          </cell>
          <cell r="K142">
            <v>93500</v>
          </cell>
          <cell r="L142">
            <v>96500</v>
          </cell>
          <cell r="M142">
            <v>99500</v>
          </cell>
          <cell r="N142">
            <v>104000</v>
          </cell>
          <cell r="O142">
            <v>112000</v>
          </cell>
          <cell r="P142">
            <v>120000</v>
          </cell>
          <cell r="Q142">
            <v>125500</v>
          </cell>
          <cell r="R142">
            <v>128500</v>
          </cell>
          <cell r="S142">
            <v>131000</v>
          </cell>
          <cell r="T142">
            <v>132500</v>
          </cell>
          <cell r="U142">
            <v>134000</v>
          </cell>
          <cell r="V142">
            <v>136000</v>
          </cell>
          <cell r="W142">
            <v>137500</v>
          </cell>
          <cell r="X142">
            <v>138500</v>
          </cell>
          <cell r="Y142">
            <v>140050</v>
          </cell>
          <cell r="Z142">
            <v>142650</v>
          </cell>
          <cell r="AA142">
            <v>145700</v>
          </cell>
          <cell r="AB142">
            <v>148700</v>
          </cell>
          <cell r="AC142">
            <v>151650</v>
          </cell>
          <cell r="AD142">
            <v>154450</v>
          </cell>
          <cell r="AE142">
            <v>157350</v>
          </cell>
          <cell r="AF142">
            <v>160500</v>
          </cell>
          <cell r="AG142">
            <v>163650</v>
          </cell>
          <cell r="AH142">
            <v>166898</v>
          </cell>
          <cell r="AI142">
            <v>170899</v>
          </cell>
          <cell r="AJ142">
            <v>175362</v>
          </cell>
          <cell r="AK142">
            <v>179799</v>
          </cell>
          <cell r="AL142">
            <v>184496</v>
          </cell>
          <cell r="AM142">
            <v>189482</v>
          </cell>
          <cell r="AN142">
            <v>193816</v>
          </cell>
          <cell r="AO142">
            <v>197564</v>
          </cell>
          <cell r="AP142">
            <v>201418</v>
          </cell>
          <cell r="AQ142">
            <v>205279</v>
          </cell>
          <cell r="AR142">
            <v>209214</v>
          </cell>
          <cell r="AS142">
            <v>213230</v>
          </cell>
          <cell r="AT142">
            <v>217324</v>
          </cell>
          <cell r="AU142">
            <v>221490</v>
          </cell>
          <cell r="AV142">
            <v>225296</v>
          </cell>
          <cell r="AW142">
            <v>228750</v>
          </cell>
          <cell r="AX142">
            <v>232250</v>
          </cell>
          <cell r="AY142">
            <v>235750</v>
          </cell>
          <cell r="AZ142">
            <v>239250</v>
          </cell>
          <cell r="BA142">
            <v>242750</v>
          </cell>
          <cell r="BB142">
            <v>245950</v>
          </cell>
          <cell r="BC142">
            <v>249750</v>
          </cell>
          <cell r="BD142">
            <v>254350</v>
          </cell>
          <cell r="BE142">
            <v>259000</v>
          </cell>
          <cell r="BF142">
            <v>263650</v>
          </cell>
          <cell r="BG142">
            <v>268050</v>
          </cell>
          <cell r="BH142">
            <v>268700</v>
          </cell>
          <cell r="BI142">
            <v>269350</v>
          </cell>
          <cell r="BJ142">
            <v>270000</v>
          </cell>
          <cell r="BK142">
            <v>270650</v>
          </cell>
          <cell r="BL142">
            <v>271300</v>
          </cell>
          <cell r="BM142">
            <v>271960</v>
          </cell>
          <cell r="BN142">
            <v>271960</v>
          </cell>
        </row>
        <row r="143">
          <cell r="B143" t="str">
            <v>NZL</v>
          </cell>
          <cell r="C143" t="str">
            <v>Population, total</v>
          </cell>
          <cell r="D143" t="str">
            <v>SP.POP.TOTL</v>
          </cell>
          <cell r="E143">
            <v>2371800</v>
          </cell>
          <cell r="F143">
            <v>2419700</v>
          </cell>
          <cell r="G143">
            <v>2482000</v>
          </cell>
          <cell r="H143">
            <v>2531800</v>
          </cell>
          <cell r="I143">
            <v>2585400</v>
          </cell>
          <cell r="J143">
            <v>2628400</v>
          </cell>
          <cell r="K143">
            <v>2675900</v>
          </cell>
          <cell r="L143">
            <v>2724100</v>
          </cell>
          <cell r="M143">
            <v>2748100</v>
          </cell>
          <cell r="N143">
            <v>2772800</v>
          </cell>
          <cell r="O143">
            <v>2810700</v>
          </cell>
          <cell r="P143">
            <v>2853000</v>
          </cell>
          <cell r="Q143">
            <v>2903900</v>
          </cell>
          <cell r="R143">
            <v>2961300</v>
          </cell>
          <cell r="S143">
            <v>3023700</v>
          </cell>
          <cell r="T143">
            <v>3083100</v>
          </cell>
          <cell r="U143">
            <v>3110500</v>
          </cell>
          <cell r="V143">
            <v>3120200</v>
          </cell>
          <cell r="W143">
            <v>3121200</v>
          </cell>
          <cell r="X143">
            <v>3109000</v>
          </cell>
          <cell r="Y143">
            <v>3112900</v>
          </cell>
          <cell r="Z143">
            <v>3124900</v>
          </cell>
          <cell r="AA143">
            <v>3156100</v>
          </cell>
          <cell r="AB143">
            <v>3199300</v>
          </cell>
          <cell r="AC143">
            <v>3227100</v>
          </cell>
          <cell r="AD143">
            <v>3247100</v>
          </cell>
          <cell r="AE143">
            <v>3246300</v>
          </cell>
          <cell r="AF143">
            <v>3274400</v>
          </cell>
          <cell r="AG143">
            <v>3283400</v>
          </cell>
          <cell r="AH143">
            <v>3299200</v>
          </cell>
          <cell r="AI143">
            <v>3329800</v>
          </cell>
          <cell r="AJ143">
            <v>3495100</v>
          </cell>
          <cell r="AK143">
            <v>3531700</v>
          </cell>
          <cell r="AL143">
            <v>3572200</v>
          </cell>
          <cell r="AM143">
            <v>3620000</v>
          </cell>
          <cell r="AN143">
            <v>3673400</v>
          </cell>
          <cell r="AO143">
            <v>3732000</v>
          </cell>
          <cell r="AP143">
            <v>3781300</v>
          </cell>
          <cell r="AQ143">
            <v>3815000</v>
          </cell>
          <cell r="AR143">
            <v>3835100</v>
          </cell>
          <cell r="AS143">
            <v>3857700</v>
          </cell>
          <cell r="AT143">
            <v>3880500</v>
          </cell>
          <cell r="AU143">
            <v>3948500</v>
          </cell>
          <cell r="AV143">
            <v>4027200</v>
          </cell>
          <cell r="AW143">
            <v>4087500</v>
          </cell>
          <cell r="AX143">
            <v>4133900</v>
          </cell>
          <cell r="AY143">
            <v>4184600</v>
          </cell>
          <cell r="AZ143">
            <v>4223800</v>
          </cell>
          <cell r="BA143">
            <v>4259800</v>
          </cell>
          <cell r="BB143">
            <v>4302600</v>
          </cell>
          <cell r="BC143">
            <v>4350700</v>
          </cell>
          <cell r="BD143">
            <v>4384000</v>
          </cell>
          <cell r="BE143">
            <v>4408100</v>
          </cell>
          <cell r="BF143">
            <v>4442100</v>
          </cell>
          <cell r="BG143">
            <v>4516500</v>
          </cell>
          <cell r="BH143">
            <v>4609400</v>
          </cell>
          <cell r="BI143">
            <v>4714100</v>
          </cell>
          <cell r="BJ143">
            <v>4813600</v>
          </cell>
          <cell r="BK143">
            <v>4900600</v>
          </cell>
          <cell r="BL143">
            <v>4979300</v>
          </cell>
          <cell r="BM143">
            <v>5084300</v>
          </cell>
          <cell r="BN143">
            <v>5084300</v>
          </cell>
        </row>
        <row r="144">
          <cell r="B144" t="str">
            <v>NIC</v>
          </cell>
          <cell r="C144" t="str">
            <v>Population, total</v>
          </cell>
          <cell r="D144" t="str">
            <v>SP.POP.TOTL</v>
          </cell>
          <cell r="E144">
            <v>1773132</v>
          </cell>
          <cell r="F144">
            <v>1829772</v>
          </cell>
          <cell r="G144">
            <v>1887426</v>
          </cell>
          <cell r="H144">
            <v>1946240</v>
          </cell>
          <cell r="I144">
            <v>2006478</v>
          </cell>
          <cell r="J144">
            <v>2068379</v>
          </cell>
          <cell r="K144">
            <v>2131973</v>
          </cell>
          <cell r="L144">
            <v>2197303</v>
          </cell>
          <cell r="M144">
            <v>2264623</v>
          </cell>
          <cell r="N144">
            <v>2334285</v>
          </cell>
          <cell r="O144">
            <v>2406523</v>
          </cell>
          <cell r="P144">
            <v>2481345</v>
          </cell>
          <cell r="Q144">
            <v>2558705</v>
          </cell>
          <cell r="R144">
            <v>2638699</v>
          </cell>
          <cell r="S144">
            <v>2721417</v>
          </cell>
          <cell r="T144">
            <v>2806859</v>
          </cell>
          <cell r="U144">
            <v>2894967</v>
          </cell>
          <cell r="V144">
            <v>2985480</v>
          </cell>
          <cell r="W144">
            <v>3077861</v>
          </cell>
          <cell r="X144">
            <v>3171404</v>
          </cell>
          <cell r="Y144">
            <v>3265520</v>
          </cell>
          <cell r="Z144">
            <v>3360142</v>
          </cell>
          <cell r="AA144">
            <v>3455129</v>
          </cell>
          <cell r="AB144">
            <v>3549711</v>
          </cell>
          <cell r="AC144">
            <v>3642978</v>
          </cell>
          <cell r="AD144">
            <v>3734343</v>
          </cell>
          <cell r="AE144">
            <v>3823133</v>
          </cell>
          <cell r="AF144">
            <v>3909672</v>
          </cell>
          <cell r="AG144">
            <v>3995529</v>
          </cell>
          <cell r="AH144">
            <v>4082958</v>
          </cell>
          <cell r="AI144">
            <v>4173435</v>
          </cell>
          <cell r="AJ144">
            <v>4267570</v>
          </cell>
          <cell r="AK144">
            <v>4364514</v>
          </cell>
          <cell r="AL144">
            <v>4462496</v>
          </cell>
          <cell r="AM144">
            <v>4559010</v>
          </cell>
          <cell r="AN144">
            <v>4652185</v>
          </cell>
          <cell r="AO144">
            <v>4741571</v>
          </cell>
          <cell r="AP144">
            <v>4827658</v>
          </cell>
          <cell r="AQ144">
            <v>4910642</v>
          </cell>
          <cell r="AR144">
            <v>4991041</v>
          </cell>
          <cell r="AS144">
            <v>5069310</v>
          </cell>
          <cell r="AT144">
            <v>5145367</v>
          </cell>
          <cell r="AU144">
            <v>5219324</v>
          </cell>
          <cell r="AV144">
            <v>5292115</v>
          </cell>
          <cell r="AW144">
            <v>5364930</v>
          </cell>
          <cell r="AX144">
            <v>5438692</v>
          </cell>
          <cell r="AY144">
            <v>5513757</v>
          </cell>
          <cell r="AZ144">
            <v>5590066</v>
          </cell>
          <cell r="BA144">
            <v>5667436</v>
          </cell>
          <cell r="BB144">
            <v>5745538</v>
          </cell>
          <cell r="BC144">
            <v>5824058</v>
          </cell>
          <cell r="BD144">
            <v>5903035</v>
          </cell>
          <cell r="BE144">
            <v>5982530</v>
          </cell>
          <cell r="BF144">
            <v>6062462</v>
          </cell>
          <cell r="BG144">
            <v>6142734</v>
          </cell>
          <cell r="BH144">
            <v>6223234</v>
          </cell>
          <cell r="BI144">
            <v>6303970</v>
          </cell>
          <cell r="BJ144">
            <v>6384843</v>
          </cell>
          <cell r="BK144">
            <v>6465502</v>
          </cell>
          <cell r="BL144">
            <v>6545503</v>
          </cell>
          <cell r="BM144">
            <v>6624554</v>
          </cell>
          <cell r="BN144">
            <v>6624554</v>
          </cell>
        </row>
        <row r="145">
          <cell r="B145" t="str">
            <v>NER</v>
          </cell>
          <cell r="C145" t="str">
            <v>Population, total</v>
          </cell>
          <cell r="D145" t="str">
            <v>SP.POP.TOTL</v>
          </cell>
          <cell r="E145">
            <v>3388774</v>
          </cell>
          <cell r="F145">
            <v>3486322</v>
          </cell>
          <cell r="G145">
            <v>3588228</v>
          </cell>
          <cell r="H145">
            <v>3693985</v>
          </cell>
          <cell r="I145">
            <v>3802802</v>
          </cell>
          <cell r="J145">
            <v>3914118</v>
          </cell>
          <cell r="K145">
            <v>4027969</v>
          </cell>
          <cell r="L145">
            <v>4144588</v>
          </cell>
          <cell r="M145">
            <v>4263925</v>
          </cell>
          <cell r="N145">
            <v>4385925</v>
          </cell>
          <cell r="O145">
            <v>4510645</v>
          </cell>
          <cell r="P145">
            <v>4637984</v>
          </cell>
          <cell r="Q145">
            <v>4768225</v>
          </cell>
          <cell r="R145">
            <v>4902151</v>
          </cell>
          <cell r="S145">
            <v>5040795</v>
          </cell>
          <cell r="T145">
            <v>5184940</v>
          </cell>
          <cell r="U145">
            <v>5335083</v>
          </cell>
          <cell r="V145">
            <v>5491158</v>
          </cell>
          <cell r="W145">
            <v>5652655</v>
          </cell>
          <cell r="X145">
            <v>5818763</v>
          </cell>
          <cell r="Y145">
            <v>5989000</v>
          </cell>
          <cell r="Z145">
            <v>6163711</v>
          </cell>
          <cell r="AA145">
            <v>6343530</v>
          </cell>
          <cell r="AB145">
            <v>6528646</v>
          </cell>
          <cell r="AC145">
            <v>6719310</v>
          </cell>
          <cell r="AD145">
            <v>6915994</v>
          </cell>
          <cell r="AE145">
            <v>7118885</v>
          </cell>
          <cell r="AF145">
            <v>7328934</v>
          </cell>
          <cell r="AG145">
            <v>7548429</v>
          </cell>
          <cell r="AH145">
            <v>7780242</v>
          </cell>
          <cell r="AI145">
            <v>8026592</v>
          </cell>
          <cell r="AJ145">
            <v>8288739</v>
          </cell>
          <cell r="AK145">
            <v>8566773</v>
          </cell>
          <cell r="AL145">
            <v>8860297</v>
          </cell>
          <cell r="AM145">
            <v>9168316</v>
          </cell>
          <cell r="AN145">
            <v>9490289</v>
          </cell>
          <cell r="AO145">
            <v>9826600</v>
          </cell>
          <cell r="AP145">
            <v>10178196</v>
          </cell>
          <cell r="AQ145">
            <v>10545720</v>
          </cell>
          <cell r="AR145">
            <v>10929922</v>
          </cell>
          <cell r="AS145">
            <v>11331561</v>
          </cell>
          <cell r="AT145">
            <v>11751364</v>
          </cell>
          <cell r="AU145">
            <v>12189988</v>
          </cell>
          <cell r="AV145">
            <v>12647983</v>
          </cell>
          <cell r="AW145">
            <v>13125914</v>
          </cell>
          <cell r="AX145">
            <v>13624474</v>
          </cell>
          <cell r="AY145">
            <v>14143969</v>
          </cell>
          <cell r="AZ145">
            <v>14685404</v>
          </cell>
          <cell r="BA145">
            <v>15250913</v>
          </cell>
          <cell r="BB145">
            <v>15843131</v>
          </cell>
          <cell r="BC145">
            <v>16464025</v>
          </cell>
          <cell r="BD145">
            <v>17114770</v>
          </cell>
          <cell r="BE145">
            <v>17795209</v>
          </cell>
          <cell r="BF145">
            <v>18504287</v>
          </cell>
          <cell r="BG145">
            <v>19240182</v>
          </cell>
          <cell r="BH145">
            <v>20001663</v>
          </cell>
          <cell r="BI145">
            <v>20788789</v>
          </cell>
          <cell r="BJ145">
            <v>21602388</v>
          </cell>
          <cell r="BK145">
            <v>22442831</v>
          </cell>
          <cell r="BL145">
            <v>23310719</v>
          </cell>
          <cell r="BM145">
            <v>24206636</v>
          </cell>
          <cell r="BN145">
            <v>24206636</v>
          </cell>
        </row>
        <row r="146">
          <cell r="B146" t="str">
            <v>NGA</v>
          </cell>
          <cell r="C146" t="str">
            <v>Population, total</v>
          </cell>
          <cell r="D146" t="str">
            <v>SP.POP.TOTL</v>
          </cell>
          <cell r="E146">
            <v>45138460</v>
          </cell>
          <cell r="F146">
            <v>46063570</v>
          </cell>
          <cell r="G146">
            <v>47029818</v>
          </cell>
          <cell r="H146">
            <v>48032932</v>
          </cell>
          <cell r="I146">
            <v>49066762</v>
          </cell>
          <cell r="J146">
            <v>50127920</v>
          </cell>
          <cell r="K146">
            <v>51217969</v>
          </cell>
          <cell r="L146">
            <v>52342231</v>
          </cell>
          <cell r="M146">
            <v>53506201</v>
          </cell>
          <cell r="N146">
            <v>54717035</v>
          </cell>
          <cell r="O146">
            <v>55982142</v>
          </cell>
          <cell r="P146">
            <v>57296988</v>
          </cell>
          <cell r="Q146">
            <v>58665813</v>
          </cell>
          <cell r="R146">
            <v>60114615</v>
          </cell>
          <cell r="S146">
            <v>61677167</v>
          </cell>
          <cell r="T146">
            <v>63374289</v>
          </cell>
          <cell r="U146">
            <v>65221379</v>
          </cell>
          <cell r="V146">
            <v>67203134</v>
          </cell>
          <cell r="W146">
            <v>69271915</v>
          </cell>
          <cell r="X146">
            <v>71361141</v>
          </cell>
          <cell r="Y146">
            <v>73423646</v>
          </cell>
          <cell r="Z146">
            <v>75440505</v>
          </cell>
          <cell r="AA146">
            <v>77427539</v>
          </cell>
          <cell r="AB146">
            <v>79414841</v>
          </cell>
          <cell r="AC146">
            <v>81448757</v>
          </cell>
          <cell r="AD146">
            <v>83562776</v>
          </cell>
          <cell r="AE146">
            <v>85766396</v>
          </cell>
          <cell r="AF146">
            <v>88048029</v>
          </cell>
          <cell r="AG146">
            <v>90395278</v>
          </cell>
          <cell r="AH146">
            <v>92788039</v>
          </cell>
          <cell r="AI146">
            <v>95212454</v>
          </cell>
          <cell r="AJ146">
            <v>97667632</v>
          </cell>
          <cell r="AK146">
            <v>100161708</v>
          </cell>
          <cell r="AL146">
            <v>102700751</v>
          </cell>
          <cell r="AM146">
            <v>105293701</v>
          </cell>
          <cell r="AN146">
            <v>107948339</v>
          </cell>
          <cell r="AO146">
            <v>110668784</v>
          </cell>
          <cell r="AP146">
            <v>113457661</v>
          </cell>
          <cell r="AQ146">
            <v>116319763</v>
          </cell>
          <cell r="AR146">
            <v>119260055</v>
          </cell>
          <cell r="AS146">
            <v>122283853</v>
          </cell>
          <cell r="AT146">
            <v>125394046</v>
          </cell>
          <cell r="AU146">
            <v>128596079</v>
          </cell>
          <cell r="AV146">
            <v>131900634</v>
          </cell>
          <cell r="AW146">
            <v>135320420</v>
          </cell>
          <cell r="AX146">
            <v>138865014</v>
          </cell>
          <cell r="AY146">
            <v>142538305</v>
          </cell>
          <cell r="AZ146">
            <v>146339971</v>
          </cell>
          <cell r="BA146">
            <v>150269622</v>
          </cell>
          <cell r="BB146">
            <v>154324939</v>
          </cell>
          <cell r="BC146">
            <v>158503203</v>
          </cell>
          <cell r="BD146">
            <v>162805080</v>
          </cell>
          <cell r="BE146">
            <v>167228803</v>
          </cell>
          <cell r="BF146">
            <v>171765819</v>
          </cell>
          <cell r="BG146">
            <v>176404931</v>
          </cell>
          <cell r="BH146">
            <v>181137454</v>
          </cell>
          <cell r="BI146">
            <v>185960244</v>
          </cell>
          <cell r="BJ146">
            <v>190873247</v>
          </cell>
          <cell r="BK146">
            <v>195874685</v>
          </cell>
          <cell r="BL146">
            <v>200963603</v>
          </cell>
          <cell r="BM146">
            <v>206139587</v>
          </cell>
          <cell r="BN146">
            <v>206139587</v>
          </cell>
        </row>
        <row r="147">
          <cell r="B147" t="str">
            <v>MKD</v>
          </cell>
          <cell r="C147" t="str">
            <v>Population, total</v>
          </cell>
          <cell r="D147" t="str">
            <v>SP.POP.TOTL</v>
          </cell>
          <cell r="E147">
            <v>1488670</v>
          </cell>
          <cell r="F147">
            <v>1507647</v>
          </cell>
          <cell r="G147">
            <v>1527109</v>
          </cell>
          <cell r="H147">
            <v>1547449</v>
          </cell>
          <cell r="I147">
            <v>1569139</v>
          </cell>
          <cell r="J147">
            <v>1592437</v>
          </cell>
          <cell r="K147">
            <v>1617797</v>
          </cell>
          <cell r="L147">
            <v>1644949</v>
          </cell>
          <cell r="M147">
            <v>1672399</v>
          </cell>
          <cell r="N147">
            <v>1698150</v>
          </cell>
          <cell r="O147">
            <v>1720805</v>
          </cell>
          <cell r="P147">
            <v>1739529</v>
          </cell>
          <cell r="Q147">
            <v>1754951</v>
          </cell>
          <cell r="R147">
            <v>1769002</v>
          </cell>
          <cell r="S147">
            <v>1784400</v>
          </cell>
          <cell r="T147">
            <v>1803008</v>
          </cell>
          <cell r="U147">
            <v>1825559</v>
          </cell>
          <cell r="V147">
            <v>1851070</v>
          </cell>
          <cell r="W147">
            <v>1877690</v>
          </cell>
          <cell r="X147">
            <v>1902718</v>
          </cell>
          <cell r="Y147">
            <v>1924203</v>
          </cell>
          <cell r="Z147">
            <v>1941527</v>
          </cell>
          <cell r="AA147">
            <v>1955247</v>
          </cell>
          <cell r="AB147">
            <v>1965892</v>
          </cell>
          <cell r="AC147">
            <v>1974413</v>
          </cell>
          <cell r="AD147">
            <v>1981536</v>
          </cell>
          <cell r="AE147">
            <v>1987538</v>
          </cell>
          <cell r="AF147">
            <v>1992278</v>
          </cell>
          <cell r="AG147">
            <v>1995508</v>
          </cell>
          <cell r="AH147">
            <v>1996863</v>
          </cell>
          <cell r="AI147">
            <v>1996218</v>
          </cell>
          <cell r="AJ147">
            <v>1993304</v>
          </cell>
          <cell r="AK147">
            <v>1988659</v>
          </cell>
          <cell r="AL147">
            <v>1984024</v>
          </cell>
          <cell r="AM147">
            <v>1981713</v>
          </cell>
          <cell r="AN147">
            <v>1983259</v>
          </cell>
          <cell r="AO147">
            <v>1989441</v>
          </cell>
          <cell r="AP147">
            <v>1996869</v>
          </cell>
          <cell r="AQ147">
            <v>2007523</v>
          </cell>
          <cell r="AR147">
            <v>2017142</v>
          </cell>
          <cell r="AS147">
            <v>2026350</v>
          </cell>
          <cell r="AT147">
            <v>2034882</v>
          </cell>
          <cell r="AU147">
            <v>2020157</v>
          </cell>
          <cell r="AV147">
            <v>2026773</v>
          </cell>
          <cell r="AW147">
            <v>2032544</v>
          </cell>
          <cell r="AX147">
            <v>2036855</v>
          </cell>
          <cell r="AY147">
            <v>2040228</v>
          </cell>
          <cell r="AZ147">
            <v>2043559</v>
          </cell>
          <cell r="BA147">
            <v>2046898</v>
          </cell>
          <cell r="BB147">
            <v>2050671</v>
          </cell>
          <cell r="BC147">
            <v>2055004</v>
          </cell>
          <cell r="BD147">
            <v>2058539</v>
          </cell>
          <cell r="BE147">
            <v>2061044</v>
          </cell>
          <cell r="BF147">
            <v>2064032</v>
          </cell>
          <cell r="BG147">
            <v>2067471</v>
          </cell>
          <cell r="BH147">
            <v>2070226</v>
          </cell>
          <cell r="BI147">
            <v>2072490</v>
          </cell>
          <cell r="BJ147">
            <v>2074502</v>
          </cell>
          <cell r="BK147">
            <v>2076217</v>
          </cell>
          <cell r="BL147">
            <v>2076694</v>
          </cell>
          <cell r="BM147">
            <v>2072531</v>
          </cell>
          <cell r="BN147">
            <v>2072531</v>
          </cell>
        </row>
        <row r="148">
          <cell r="B148" t="str">
            <v>MNP</v>
          </cell>
          <cell r="C148" t="str">
            <v>Population, total</v>
          </cell>
          <cell r="D148" t="str">
            <v>SP.POP.TOTL</v>
          </cell>
          <cell r="E148">
            <v>9980</v>
          </cell>
          <cell r="F148">
            <v>10243</v>
          </cell>
          <cell r="G148">
            <v>10438</v>
          </cell>
          <cell r="H148">
            <v>10591</v>
          </cell>
          <cell r="I148">
            <v>10780</v>
          </cell>
          <cell r="J148">
            <v>11023</v>
          </cell>
          <cell r="K148">
            <v>11341</v>
          </cell>
          <cell r="L148">
            <v>11723</v>
          </cell>
          <cell r="M148">
            <v>12135</v>
          </cell>
          <cell r="N148">
            <v>12577</v>
          </cell>
          <cell r="O148">
            <v>13000</v>
          </cell>
          <cell r="P148">
            <v>13423</v>
          </cell>
          <cell r="Q148">
            <v>13884</v>
          </cell>
          <cell r="R148">
            <v>14322</v>
          </cell>
          <cell r="S148">
            <v>14672</v>
          </cell>
          <cell r="T148">
            <v>14917</v>
          </cell>
          <cell r="U148">
            <v>15024</v>
          </cell>
          <cell r="V148">
            <v>15049</v>
          </cell>
          <cell r="W148">
            <v>15167</v>
          </cell>
          <cell r="X148">
            <v>15640</v>
          </cell>
          <cell r="Y148">
            <v>16633</v>
          </cell>
          <cell r="Z148">
            <v>18168</v>
          </cell>
          <cell r="AA148">
            <v>20163</v>
          </cell>
          <cell r="AB148">
            <v>22622</v>
          </cell>
          <cell r="AC148">
            <v>25496</v>
          </cell>
          <cell r="AD148">
            <v>28719</v>
          </cell>
          <cell r="AE148">
            <v>32377</v>
          </cell>
          <cell r="AF148">
            <v>36371</v>
          </cell>
          <cell r="AG148">
            <v>40294</v>
          </cell>
          <cell r="AH148">
            <v>43542</v>
          </cell>
          <cell r="AI148">
            <v>45752</v>
          </cell>
          <cell r="AJ148">
            <v>46662</v>
          </cell>
          <cell r="AK148">
            <v>46473</v>
          </cell>
          <cell r="AL148">
            <v>45763</v>
          </cell>
          <cell r="AM148">
            <v>45361</v>
          </cell>
          <cell r="AN148">
            <v>45872</v>
          </cell>
          <cell r="AO148">
            <v>47518</v>
          </cell>
          <cell r="AP148">
            <v>50052</v>
          </cell>
          <cell r="AQ148">
            <v>52999</v>
          </cell>
          <cell r="AR148">
            <v>55633</v>
          </cell>
          <cell r="AS148">
            <v>57453</v>
          </cell>
          <cell r="AT148">
            <v>58319</v>
          </cell>
          <cell r="AU148">
            <v>58412</v>
          </cell>
          <cell r="AV148">
            <v>57954</v>
          </cell>
          <cell r="AW148">
            <v>57240</v>
          </cell>
          <cell r="AX148">
            <v>56547</v>
          </cell>
          <cell r="AY148">
            <v>55886</v>
          </cell>
          <cell r="AZ148">
            <v>55215</v>
          </cell>
          <cell r="BA148">
            <v>54621</v>
          </cell>
          <cell r="BB148">
            <v>54194</v>
          </cell>
          <cell r="BC148">
            <v>53971</v>
          </cell>
          <cell r="BD148">
            <v>54013</v>
          </cell>
          <cell r="BE148">
            <v>54306</v>
          </cell>
          <cell r="BF148">
            <v>54786</v>
          </cell>
          <cell r="BG148">
            <v>55301</v>
          </cell>
          <cell r="BH148">
            <v>55779</v>
          </cell>
          <cell r="BI148">
            <v>56187</v>
          </cell>
          <cell r="BJ148">
            <v>56553</v>
          </cell>
          <cell r="BK148">
            <v>56889</v>
          </cell>
          <cell r="BL148">
            <v>57213</v>
          </cell>
          <cell r="BM148">
            <v>57557</v>
          </cell>
          <cell r="BN148">
            <v>57557</v>
          </cell>
        </row>
        <row r="149">
          <cell r="B149" t="str">
            <v>NOR</v>
          </cell>
          <cell r="C149" t="str">
            <v>Population, total</v>
          </cell>
          <cell r="D149" t="str">
            <v>SP.POP.TOTL</v>
          </cell>
          <cell r="E149">
            <v>3581239</v>
          </cell>
          <cell r="F149">
            <v>3609800</v>
          </cell>
          <cell r="G149">
            <v>3638918</v>
          </cell>
          <cell r="H149">
            <v>3666537</v>
          </cell>
          <cell r="I149">
            <v>3694339</v>
          </cell>
          <cell r="J149">
            <v>3723168</v>
          </cell>
          <cell r="K149">
            <v>3753012</v>
          </cell>
          <cell r="L149">
            <v>3784539</v>
          </cell>
          <cell r="M149">
            <v>3816486</v>
          </cell>
          <cell r="N149">
            <v>3847707</v>
          </cell>
          <cell r="O149">
            <v>3875763</v>
          </cell>
          <cell r="P149">
            <v>3903039</v>
          </cell>
          <cell r="Q149">
            <v>3933004</v>
          </cell>
          <cell r="R149">
            <v>3960612</v>
          </cell>
          <cell r="S149">
            <v>3985258</v>
          </cell>
          <cell r="T149">
            <v>4007313</v>
          </cell>
          <cell r="U149">
            <v>4026152</v>
          </cell>
          <cell r="V149">
            <v>4043205</v>
          </cell>
          <cell r="W149">
            <v>4058671</v>
          </cell>
          <cell r="X149">
            <v>4072517</v>
          </cell>
          <cell r="Y149">
            <v>4085620</v>
          </cell>
          <cell r="Z149">
            <v>4099702</v>
          </cell>
          <cell r="AA149">
            <v>4114787</v>
          </cell>
          <cell r="AB149">
            <v>4128432</v>
          </cell>
          <cell r="AC149">
            <v>4140099</v>
          </cell>
          <cell r="AD149">
            <v>4152516</v>
          </cell>
          <cell r="AE149">
            <v>4167354</v>
          </cell>
          <cell r="AF149">
            <v>4186905</v>
          </cell>
          <cell r="AG149">
            <v>4209488</v>
          </cell>
          <cell r="AH149">
            <v>4226901</v>
          </cell>
          <cell r="AI149">
            <v>4241473</v>
          </cell>
          <cell r="AJ149">
            <v>4261732</v>
          </cell>
          <cell r="AK149">
            <v>4286401</v>
          </cell>
          <cell r="AL149">
            <v>4311991</v>
          </cell>
          <cell r="AM149">
            <v>4336613</v>
          </cell>
          <cell r="AN149">
            <v>4359184</v>
          </cell>
          <cell r="AO149">
            <v>4381336</v>
          </cell>
          <cell r="AP149">
            <v>4405157</v>
          </cell>
          <cell r="AQ149">
            <v>4431464</v>
          </cell>
          <cell r="AR149">
            <v>4461913</v>
          </cell>
          <cell r="AS149">
            <v>4490967</v>
          </cell>
          <cell r="AT149">
            <v>4513751</v>
          </cell>
          <cell r="AU149">
            <v>4538159</v>
          </cell>
          <cell r="AV149">
            <v>4564855</v>
          </cell>
          <cell r="AW149">
            <v>4591910</v>
          </cell>
          <cell r="AX149">
            <v>4623291</v>
          </cell>
          <cell r="AY149">
            <v>4660677</v>
          </cell>
          <cell r="AZ149">
            <v>4709153</v>
          </cell>
          <cell r="BA149">
            <v>4768212</v>
          </cell>
          <cell r="BB149">
            <v>4828726</v>
          </cell>
          <cell r="BC149">
            <v>4889252</v>
          </cell>
          <cell r="BD149">
            <v>4953088</v>
          </cell>
          <cell r="BE149">
            <v>5018573</v>
          </cell>
          <cell r="BF149">
            <v>5079623</v>
          </cell>
          <cell r="BG149">
            <v>5137232</v>
          </cell>
          <cell r="BH149">
            <v>5188607</v>
          </cell>
          <cell r="BI149">
            <v>5234519</v>
          </cell>
          <cell r="BJ149">
            <v>5276968</v>
          </cell>
          <cell r="BK149">
            <v>5311916</v>
          </cell>
          <cell r="BL149">
            <v>5347896</v>
          </cell>
          <cell r="BM149">
            <v>5379475</v>
          </cell>
          <cell r="BN149">
            <v>5379475</v>
          </cell>
        </row>
        <row r="150">
          <cell r="B150" t="str">
            <v>OMN</v>
          </cell>
          <cell r="C150" t="str">
            <v>Population, total</v>
          </cell>
          <cell r="D150" t="str">
            <v>SP.POP.TOTL</v>
          </cell>
          <cell r="E150">
            <v>551735</v>
          </cell>
          <cell r="F150">
            <v>564891</v>
          </cell>
          <cell r="G150">
            <v>578827</v>
          </cell>
          <cell r="H150">
            <v>593498</v>
          </cell>
          <cell r="I150">
            <v>608890</v>
          </cell>
          <cell r="J150">
            <v>625006</v>
          </cell>
          <cell r="K150">
            <v>642007</v>
          </cell>
          <cell r="L150">
            <v>660117</v>
          </cell>
          <cell r="M150">
            <v>679592</v>
          </cell>
          <cell r="N150">
            <v>700725</v>
          </cell>
          <cell r="O150">
            <v>723842</v>
          </cell>
          <cell r="P150">
            <v>748968</v>
          </cell>
          <cell r="Q150">
            <v>776385</v>
          </cell>
          <cell r="R150">
            <v>806985</v>
          </cell>
          <cell r="S150">
            <v>841952</v>
          </cell>
          <cell r="T150">
            <v>882038</v>
          </cell>
          <cell r="U150">
            <v>927434</v>
          </cell>
          <cell r="V150">
            <v>977804</v>
          </cell>
          <cell r="W150">
            <v>1032797</v>
          </cell>
          <cell r="X150">
            <v>1091858</v>
          </cell>
          <cell r="Y150">
            <v>1154373</v>
          </cell>
          <cell r="Z150">
            <v>1220578</v>
          </cell>
          <cell r="AA150">
            <v>1290121</v>
          </cell>
          <cell r="AB150">
            <v>1361085</v>
          </cell>
          <cell r="AC150">
            <v>1431066</v>
          </cell>
          <cell r="AD150">
            <v>1498413</v>
          </cell>
          <cell r="AE150">
            <v>1561180</v>
          </cell>
          <cell r="AF150">
            <v>1619871</v>
          </cell>
          <cell r="AG150">
            <v>1678119</v>
          </cell>
          <cell r="AH150">
            <v>1741155</v>
          </cell>
          <cell r="AI150">
            <v>1812158</v>
          </cell>
          <cell r="AJ150">
            <v>1893761</v>
          </cell>
          <cell r="AK150">
            <v>1983272</v>
          </cell>
          <cell r="AL150">
            <v>2072106</v>
          </cell>
          <cell r="AM150">
            <v>2148416</v>
          </cell>
          <cell r="AN150">
            <v>2204267</v>
          </cell>
          <cell r="AO150">
            <v>2236652</v>
          </cell>
          <cell r="AP150">
            <v>2249759</v>
          </cell>
          <cell r="AQ150">
            <v>2251859</v>
          </cell>
          <cell r="AR150">
            <v>2254898</v>
          </cell>
          <cell r="AS150">
            <v>2267973</v>
          </cell>
          <cell r="AT150">
            <v>2294959</v>
          </cell>
          <cell r="AU150">
            <v>2334860</v>
          </cell>
          <cell r="AV150">
            <v>2386164</v>
          </cell>
          <cell r="AW150">
            <v>2445524</v>
          </cell>
          <cell r="AX150">
            <v>2511254</v>
          </cell>
          <cell r="AY150">
            <v>2580753</v>
          </cell>
          <cell r="AZ150">
            <v>2657162</v>
          </cell>
          <cell r="BA150">
            <v>2750956</v>
          </cell>
          <cell r="BB150">
            <v>2876186</v>
          </cell>
          <cell r="BC150">
            <v>3041435</v>
          </cell>
          <cell r="BD150">
            <v>3251102</v>
          </cell>
          <cell r="BE150">
            <v>3498031</v>
          </cell>
          <cell r="BF150">
            <v>3764805</v>
          </cell>
          <cell r="BG150">
            <v>4027255</v>
          </cell>
          <cell r="BH150">
            <v>4267341</v>
          </cell>
          <cell r="BI150">
            <v>4479217</v>
          </cell>
          <cell r="BJ150">
            <v>4665926</v>
          </cell>
          <cell r="BK150">
            <v>4829476</v>
          </cell>
          <cell r="BL150">
            <v>4974992</v>
          </cell>
          <cell r="BM150">
            <v>5106622</v>
          </cell>
          <cell r="BN150">
            <v>5106622</v>
          </cell>
        </row>
        <row r="151">
          <cell r="B151" t="str">
            <v>PAK</v>
          </cell>
          <cell r="C151" t="str">
            <v>Population, total</v>
          </cell>
          <cell r="D151" t="str">
            <v>SP.POP.TOTL</v>
          </cell>
          <cell r="E151">
            <v>44988690</v>
          </cell>
          <cell r="F151">
            <v>46065229</v>
          </cell>
          <cell r="G151">
            <v>47198886</v>
          </cell>
          <cell r="H151">
            <v>48387293</v>
          </cell>
          <cell r="I151">
            <v>49627623</v>
          </cell>
          <cell r="J151">
            <v>50917975</v>
          </cell>
          <cell r="K151">
            <v>52260183</v>
          </cell>
          <cell r="L151">
            <v>53655783</v>
          </cell>
          <cell r="M151">
            <v>55102690</v>
          </cell>
          <cell r="N151">
            <v>56598148</v>
          </cell>
          <cell r="O151">
            <v>58142062</v>
          </cell>
          <cell r="P151">
            <v>59734479</v>
          </cell>
          <cell r="Q151">
            <v>61381982</v>
          </cell>
          <cell r="R151">
            <v>63099404</v>
          </cell>
          <cell r="S151">
            <v>64905996</v>
          </cell>
          <cell r="T151">
            <v>66816875</v>
          </cell>
          <cell r="U151">
            <v>68834324</v>
          </cell>
          <cell r="V151">
            <v>70958168</v>
          </cell>
          <cell r="W151">
            <v>73197254</v>
          </cell>
          <cell r="X151">
            <v>75561128</v>
          </cell>
          <cell r="Y151">
            <v>78054346</v>
          </cell>
          <cell r="Z151">
            <v>80680461</v>
          </cell>
          <cell r="AA151">
            <v>83431597</v>
          </cell>
          <cell r="AB151">
            <v>86285936</v>
          </cell>
          <cell r="AC151">
            <v>89213708</v>
          </cell>
          <cell r="AD151">
            <v>92191505</v>
          </cell>
          <cell r="AE151">
            <v>95215375</v>
          </cell>
          <cell r="AF151">
            <v>98285762</v>
          </cell>
          <cell r="AG151">
            <v>101389603</v>
          </cell>
          <cell r="AH151">
            <v>104512874</v>
          </cell>
          <cell r="AI151">
            <v>107647918</v>
          </cell>
          <cell r="AJ151">
            <v>110778655</v>
          </cell>
          <cell r="AK151">
            <v>113911126</v>
          </cell>
          <cell r="AL151">
            <v>117086680</v>
          </cell>
          <cell r="AM151">
            <v>120362764</v>
          </cell>
          <cell r="AN151">
            <v>123776835</v>
          </cell>
          <cell r="AO151">
            <v>127349293</v>
          </cell>
          <cell r="AP151">
            <v>131057432</v>
          </cell>
          <cell r="AQ151">
            <v>134843233</v>
          </cell>
          <cell r="AR151">
            <v>138624625</v>
          </cell>
          <cell r="AS151">
            <v>142343583</v>
          </cell>
          <cell r="AT151">
            <v>145978408</v>
          </cell>
          <cell r="AU151">
            <v>149549695</v>
          </cell>
          <cell r="AV151">
            <v>153093371</v>
          </cell>
          <cell r="AW151">
            <v>156664698</v>
          </cell>
          <cell r="AX151">
            <v>160304007</v>
          </cell>
          <cell r="AY151">
            <v>164022626</v>
          </cell>
          <cell r="AZ151">
            <v>167808106</v>
          </cell>
          <cell r="BA151">
            <v>171648984</v>
          </cell>
          <cell r="BB151">
            <v>175525610</v>
          </cell>
          <cell r="BC151">
            <v>179424643</v>
          </cell>
          <cell r="BD151">
            <v>183340168</v>
          </cell>
          <cell r="BE151">
            <v>187280125</v>
          </cell>
          <cell r="BF151">
            <v>191260799</v>
          </cell>
          <cell r="BG151">
            <v>195305012</v>
          </cell>
          <cell r="BH151">
            <v>199426953</v>
          </cell>
          <cell r="BI151">
            <v>203631356</v>
          </cell>
          <cell r="BJ151">
            <v>207906210</v>
          </cell>
          <cell r="BK151">
            <v>212228288</v>
          </cell>
          <cell r="BL151">
            <v>216565317</v>
          </cell>
          <cell r="BM151">
            <v>220892331</v>
          </cell>
          <cell r="BN151">
            <v>220892331</v>
          </cell>
        </row>
        <row r="152">
          <cell r="B152" t="str">
            <v>PLW</v>
          </cell>
          <cell r="C152" t="str">
            <v>Population, total</v>
          </cell>
          <cell r="D152" t="str">
            <v>SP.POP.TOTL</v>
          </cell>
          <cell r="E152">
            <v>9769</v>
          </cell>
          <cell r="F152">
            <v>10046</v>
          </cell>
          <cell r="G152">
            <v>10329</v>
          </cell>
          <cell r="H152">
            <v>10566</v>
          </cell>
          <cell r="I152">
            <v>10792</v>
          </cell>
          <cell r="J152">
            <v>11005</v>
          </cell>
          <cell r="K152">
            <v>11178</v>
          </cell>
          <cell r="L152">
            <v>11329</v>
          </cell>
          <cell r="M152">
            <v>11460</v>
          </cell>
          <cell r="N152">
            <v>11617</v>
          </cell>
          <cell r="O152">
            <v>11803</v>
          </cell>
          <cell r="P152">
            <v>12051</v>
          </cell>
          <cell r="Q152">
            <v>12342</v>
          </cell>
          <cell r="R152">
            <v>12625</v>
          </cell>
          <cell r="S152">
            <v>12823</v>
          </cell>
          <cell r="T152">
            <v>12898</v>
          </cell>
          <cell r="U152">
            <v>12835</v>
          </cell>
          <cell r="V152">
            <v>12646</v>
          </cell>
          <cell r="W152">
            <v>12409</v>
          </cell>
          <cell r="X152">
            <v>12231</v>
          </cell>
          <cell r="Y152">
            <v>12178</v>
          </cell>
          <cell r="Z152">
            <v>12281</v>
          </cell>
          <cell r="AA152">
            <v>12519</v>
          </cell>
          <cell r="AB152">
            <v>12842</v>
          </cell>
          <cell r="AC152">
            <v>13190</v>
          </cell>
          <cell r="AD152">
            <v>13534</v>
          </cell>
          <cell r="AE152">
            <v>13835</v>
          </cell>
          <cell r="AF152">
            <v>14121</v>
          </cell>
          <cell r="AG152">
            <v>14400</v>
          </cell>
          <cell r="AH152">
            <v>14704</v>
          </cell>
          <cell r="AI152">
            <v>15063</v>
          </cell>
          <cell r="AJ152">
            <v>15442</v>
          </cell>
          <cell r="AK152">
            <v>15859</v>
          </cell>
          <cell r="AL152">
            <v>16285</v>
          </cell>
          <cell r="AM152">
            <v>16735</v>
          </cell>
          <cell r="AN152">
            <v>17158</v>
          </cell>
          <cell r="AO152">
            <v>17599</v>
          </cell>
          <cell r="AP152">
            <v>18016</v>
          </cell>
          <cell r="AQ152">
            <v>18409</v>
          </cell>
          <cell r="AR152">
            <v>18773</v>
          </cell>
          <cell r="AS152">
            <v>19104</v>
          </cell>
          <cell r="AT152">
            <v>19390</v>
          </cell>
          <cell r="AU152">
            <v>19642</v>
          </cell>
          <cell r="AV152">
            <v>19812</v>
          </cell>
          <cell r="AW152">
            <v>19861</v>
          </cell>
          <cell r="AX152">
            <v>19784</v>
          </cell>
          <cell r="AY152">
            <v>19545</v>
          </cell>
          <cell r="AZ152">
            <v>19159</v>
          </cell>
          <cell r="BA152">
            <v>18708</v>
          </cell>
          <cell r="BB152">
            <v>18290</v>
          </cell>
          <cell r="BC152">
            <v>17954</v>
          </cell>
          <cell r="BD152">
            <v>17748</v>
          </cell>
          <cell r="BE152">
            <v>17635</v>
          </cell>
          <cell r="BF152">
            <v>17603</v>
          </cell>
          <cell r="BG152">
            <v>17625</v>
          </cell>
          <cell r="BH152">
            <v>17665</v>
          </cell>
          <cell r="BI152">
            <v>17718</v>
          </cell>
          <cell r="BJ152">
            <v>17809</v>
          </cell>
          <cell r="BK152">
            <v>17911</v>
          </cell>
          <cell r="BL152">
            <v>18001</v>
          </cell>
          <cell r="BM152">
            <v>18092</v>
          </cell>
          <cell r="BN152">
            <v>18092</v>
          </cell>
        </row>
        <row r="153">
          <cell r="B153" t="str">
            <v>PAN</v>
          </cell>
          <cell r="C153" t="str">
            <v>Population, total</v>
          </cell>
          <cell r="D153" t="str">
            <v>SP.POP.TOTL</v>
          </cell>
          <cell r="E153">
            <v>1133005</v>
          </cell>
          <cell r="F153">
            <v>1167120</v>
          </cell>
          <cell r="G153">
            <v>1202447</v>
          </cell>
          <cell r="H153">
            <v>1238893</v>
          </cell>
          <cell r="I153">
            <v>1276331</v>
          </cell>
          <cell r="J153">
            <v>1314679</v>
          </cell>
          <cell r="K153">
            <v>1353847</v>
          </cell>
          <cell r="L153">
            <v>1393824</v>
          </cell>
          <cell r="M153">
            <v>1434676</v>
          </cell>
          <cell r="N153">
            <v>1476481</v>
          </cell>
          <cell r="O153">
            <v>1519286</v>
          </cell>
          <cell r="P153">
            <v>1563093</v>
          </cell>
          <cell r="Q153">
            <v>1607797</v>
          </cell>
          <cell r="R153">
            <v>1653208</v>
          </cell>
          <cell r="S153">
            <v>1699056</v>
          </cell>
          <cell r="T153">
            <v>1745142</v>
          </cell>
          <cell r="U153">
            <v>1791389</v>
          </cell>
          <cell r="V153">
            <v>1837804</v>
          </cell>
          <cell r="W153">
            <v>1884427</v>
          </cell>
          <cell r="X153">
            <v>1931302</v>
          </cell>
          <cell r="Y153">
            <v>1978489</v>
          </cell>
          <cell r="Z153">
            <v>2025965</v>
          </cell>
          <cell r="AA153">
            <v>2073748</v>
          </cell>
          <cell r="AB153">
            <v>2121863</v>
          </cell>
          <cell r="AC153">
            <v>2170330</v>
          </cell>
          <cell r="AD153">
            <v>2219200</v>
          </cell>
          <cell r="AE153">
            <v>2268500</v>
          </cell>
          <cell r="AF153">
            <v>2318259</v>
          </cell>
          <cell r="AG153">
            <v>2368556</v>
          </cell>
          <cell r="AH153">
            <v>2419424</v>
          </cell>
          <cell r="AI153">
            <v>2470946</v>
          </cell>
          <cell r="AJ153">
            <v>2523115</v>
          </cell>
          <cell r="AK153">
            <v>2575949</v>
          </cell>
          <cell r="AL153">
            <v>2629584</v>
          </cell>
          <cell r="AM153">
            <v>2684117</v>
          </cell>
          <cell r="AN153">
            <v>2739667</v>
          </cell>
          <cell r="AO153">
            <v>2796291</v>
          </cell>
          <cell r="AP153">
            <v>2853907</v>
          </cell>
          <cell r="AQ153">
            <v>2912318</v>
          </cell>
          <cell r="AR153">
            <v>2971197</v>
          </cell>
          <cell r="AS153">
            <v>3030333</v>
          </cell>
          <cell r="AT153">
            <v>3089641</v>
          </cell>
          <cell r="AU153">
            <v>3149195</v>
          </cell>
          <cell r="AV153">
            <v>3209056</v>
          </cell>
          <cell r="AW153">
            <v>3269356</v>
          </cell>
          <cell r="AX153">
            <v>3330222</v>
          </cell>
          <cell r="AY153">
            <v>3391673</v>
          </cell>
          <cell r="AZ153">
            <v>3453671</v>
          </cell>
          <cell r="BA153">
            <v>3516204</v>
          </cell>
          <cell r="BB153">
            <v>3579215</v>
          </cell>
          <cell r="BC153">
            <v>3642691</v>
          </cell>
          <cell r="BD153">
            <v>3706479</v>
          </cell>
          <cell r="BE153">
            <v>3770635</v>
          </cell>
          <cell r="BF153">
            <v>3835447</v>
          </cell>
          <cell r="BG153">
            <v>3901311</v>
          </cell>
          <cell r="BH153">
            <v>3968490</v>
          </cell>
          <cell r="BI153">
            <v>4037073</v>
          </cell>
          <cell r="BJ153">
            <v>4106764</v>
          </cell>
          <cell r="BK153">
            <v>4176868</v>
          </cell>
          <cell r="BL153">
            <v>4246440</v>
          </cell>
          <cell r="BM153">
            <v>4314768</v>
          </cell>
          <cell r="BN153">
            <v>4314768</v>
          </cell>
        </row>
        <row r="154">
          <cell r="B154" t="str">
            <v>PNG</v>
          </cell>
          <cell r="C154" t="str">
            <v>Population, total</v>
          </cell>
          <cell r="D154" t="str">
            <v>SP.POP.TOTL</v>
          </cell>
          <cell r="E154">
            <v>2255858</v>
          </cell>
          <cell r="F154">
            <v>2297052</v>
          </cell>
          <cell r="G154">
            <v>2340349</v>
          </cell>
          <cell r="H154">
            <v>2385943</v>
          </cell>
          <cell r="I154">
            <v>2434220</v>
          </cell>
          <cell r="J154">
            <v>2485433</v>
          </cell>
          <cell r="K154">
            <v>2539683</v>
          </cell>
          <cell r="L154">
            <v>2596820</v>
          </cell>
          <cell r="M154">
            <v>2656636</v>
          </cell>
          <cell r="N154">
            <v>2718805</v>
          </cell>
          <cell r="O154">
            <v>2783132</v>
          </cell>
          <cell r="P154">
            <v>2849522</v>
          </cell>
          <cell r="Q154">
            <v>2918138</v>
          </cell>
          <cell r="R154">
            <v>2989201</v>
          </cell>
          <cell r="S154">
            <v>3063051</v>
          </cell>
          <cell r="T154">
            <v>3139944</v>
          </cell>
          <cell r="U154">
            <v>3219825</v>
          </cell>
          <cell r="V154">
            <v>3302636</v>
          </cell>
          <cell r="W154">
            <v>3388631</v>
          </cell>
          <cell r="X154">
            <v>3478093</v>
          </cell>
          <cell r="Y154">
            <v>3571209</v>
          </cell>
          <cell r="Z154">
            <v>3668102</v>
          </cell>
          <cell r="AA154">
            <v>3768489</v>
          </cell>
          <cell r="AB154">
            <v>3871490</v>
          </cell>
          <cell r="AC154">
            <v>3975950</v>
          </cell>
          <cell r="AD154">
            <v>4081022</v>
          </cell>
          <cell r="AE154">
            <v>4186499</v>
          </cell>
          <cell r="AF154">
            <v>4292575</v>
          </cell>
          <cell r="AG154">
            <v>4399320</v>
          </cell>
          <cell r="AH154">
            <v>4506996</v>
          </cell>
          <cell r="AI154">
            <v>4615843</v>
          </cell>
          <cell r="AJ154">
            <v>4725543</v>
          </cell>
          <cell r="AK154">
            <v>4836216</v>
          </cell>
          <cell r="AL154">
            <v>4949053</v>
          </cell>
          <cell r="AM154">
            <v>5065664</v>
          </cell>
          <cell r="AN154">
            <v>5187063</v>
          </cell>
          <cell r="AO154">
            <v>5314258</v>
          </cell>
          <cell r="AP154">
            <v>5446633</v>
          </cell>
          <cell r="AQ154">
            <v>5581767</v>
          </cell>
          <cell r="AR154">
            <v>5716166</v>
          </cell>
          <cell r="AS154">
            <v>5847590</v>
          </cell>
          <cell r="AT154">
            <v>5974627</v>
          </cell>
          <cell r="AU154">
            <v>6098621</v>
          </cell>
          <cell r="AV154">
            <v>6223378</v>
          </cell>
          <cell r="AW154">
            <v>6354247</v>
          </cell>
          <cell r="AX154">
            <v>6494902</v>
          </cell>
          <cell r="AY154">
            <v>6646891</v>
          </cell>
          <cell r="AZ154">
            <v>6808503</v>
          </cell>
          <cell r="BA154">
            <v>6976200</v>
          </cell>
          <cell r="BB154">
            <v>7144774</v>
          </cell>
          <cell r="BC154">
            <v>7310512</v>
          </cell>
          <cell r="BD154">
            <v>7472196</v>
          </cell>
          <cell r="BE154">
            <v>7631003</v>
          </cell>
          <cell r="BF154">
            <v>7788388</v>
          </cell>
          <cell r="BG154">
            <v>7946733</v>
          </cell>
          <cell r="BH154">
            <v>8107772</v>
          </cell>
          <cell r="BI154">
            <v>8271766</v>
          </cell>
          <cell r="BJ154">
            <v>8438038</v>
          </cell>
          <cell r="BK154">
            <v>8606324</v>
          </cell>
          <cell r="BL154">
            <v>8776119</v>
          </cell>
          <cell r="BM154">
            <v>8947027</v>
          </cell>
          <cell r="BN154">
            <v>8947027</v>
          </cell>
        </row>
        <row r="155">
          <cell r="B155" t="str">
            <v>PRY</v>
          </cell>
          <cell r="C155" t="str">
            <v>Population, total</v>
          </cell>
          <cell r="D155" t="str">
            <v>SP.POP.TOTL</v>
          </cell>
          <cell r="E155">
            <v>1903990</v>
          </cell>
          <cell r="F155">
            <v>1954552</v>
          </cell>
          <cell r="G155">
            <v>2006675</v>
          </cell>
          <cell r="H155">
            <v>2060340</v>
          </cell>
          <cell r="I155">
            <v>2115573</v>
          </cell>
          <cell r="J155">
            <v>2172309</v>
          </cell>
          <cell r="K155">
            <v>2230733</v>
          </cell>
          <cell r="L155">
            <v>2290797</v>
          </cell>
          <cell r="M155">
            <v>2351926</v>
          </cell>
          <cell r="N155">
            <v>2413396</v>
          </cell>
          <cell r="O155">
            <v>2474757</v>
          </cell>
          <cell r="P155">
            <v>2535877</v>
          </cell>
          <cell r="Q155">
            <v>2597149</v>
          </cell>
          <cell r="R155">
            <v>2659418</v>
          </cell>
          <cell r="S155">
            <v>2723816</v>
          </cell>
          <cell r="T155">
            <v>2791236</v>
          </cell>
          <cell r="U155">
            <v>2861868</v>
          </cell>
          <cell r="V155">
            <v>2935710</v>
          </cell>
          <cell r="W155">
            <v>3013281</v>
          </cell>
          <cell r="X155">
            <v>3095151</v>
          </cell>
          <cell r="Y155">
            <v>3181627</v>
          </cell>
          <cell r="Z155">
            <v>3272922</v>
          </cell>
          <cell r="AA155">
            <v>3368763</v>
          </cell>
          <cell r="AB155">
            <v>3468533</v>
          </cell>
          <cell r="AC155">
            <v>3571275</v>
          </cell>
          <cell r="AD155">
            <v>3676206</v>
          </cell>
          <cell r="AE155">
            <v>3783074</v>
          </cell>
          <cell r="AF155">
            <v>3891725</v>
          </cell>
          <cell r="AG155">
            <v>4001678</v>
          </cell>
          <cell r="AH155">
            <v>4112396</v>
          </cell>
          <cell r="AI155">
            <v>4223413</v>
          </cell>
          <cell r="AJ155">
            <v>4334348</v>
          </cell>
          <cell r="AK155">
            <v>4445019</v>
          </cell>
          <cell r="AL155">
            <v>4555518</v>
          </cell>
          <cell r="AM155">
            <v>4666096</v>
          </cell>
          <cell r="AN155">
            <v>4776838</v>
          </cell>
          <cell r="AO155">
            <v>4887638</v>
          </cell>
          <cell r="AP155">
            <v>4998096</v>
          </cell>
          <cell r="AQ155">
            <v>5107840</v>
          </cell>
          <cell r="AR155">
            <v>5216346</v>
          </cell>
          <cell r="AS155">
            <v>5323202</v>
          </cell>
          <cell r="AT155">
            <v>5428442</v>
          </cell>
          <cell r="AU155">
            <v>5531958</v>
          </cell>
          <cell r="AV155">
            <v>5632983</v>
          </cell>
          <cell r="AW155">
            <v>5730556</v>
          </cell>
          <cell r="AX155">
            <v>5824095</v>
          </cell>
          <cell r="AY155">
            <v>5913212</v>
          </cell>
          <cell r="AZ155">
            <v>5998430</v>
          </cell>
          <cell r="BA155">
            <v>6081296</v>
          </cell>
          <cell r="BB155">
            <v>6163970</v>
          </cell>
          <cell r="BC155">
            <v>6248017</v>
          </cell>
          <cell r="BD155">
            <v>6333981</v>
          </cell>
          <cell r="BE155">
            <v>6421510</v>
          </cell>
          <cell r="BF155">
            <v>6510273</v>
          </cell>
          <cell r="BG155">
            <v>6599524</v>
          </cell>
          <cell r="BH155">
            <v>6688746</v>
          </cell>
          <cell r="BI155">
            <v>6777878</v>
          </cell>
          <cell r="BJ155">
            <v>6867058</v>
          </cell>
          <cell r="BK155">
            <v>6956069</v>
          </cell>
          <cell r="BL155">
            <v>7044639</v>
          </cell>
          <cell r="BM155">
            <v>7132530</v>
          </cell>
          <cell r="BN155">
            <v>7132530</v>
          </cell>
        </row>
        <row r="156">
          <cell r="B156" t="str">
            <v>PER</v>
          </cell>
          <cell r="C156" t="str">
            <v>Population, total</v>
          </cell>
          <cell r="D156" t="str">
            <v>SP.POP.TOTL</v>
          </cell>
          <cell r="E156">
            <v>10155011</v>
          </cell>
          <cell r="F156">
            <v>10446618</v>
          </cell>
          <cell r="G156">
            <v>10749463</v>
          </cell>
          <cell r="H156">
            <v>11062295</v>
          </cell>
          <cell r="I156">
            <v>11383364</v>
          </cell>
          <cell r="J156">
            <v>11711402</v>
          </cell>
          <cell r="K156">
            <v>12045783</v>
          </cell>
          <cell r="L156">
            <v>12386868</v>
          </cell>
          <cell r="M156">
            <v>12735491</v>
          </cell>
          <cell r="N156">
            <v>13092846</v>
          </cell>
          <cell r="O156">
            <v>13459789</v>
          </cell>
          <cell r="P156">
            <v>13836365</v>
          </cell>
          <cell r="Q156">
            <v>14221954</v>
          </cell>
          <cell r="R156">
            <v>14615847</v>
          </cell>
          <cell r="S156">
            <v>15017060</v>
          </cell>
          <cell r="T156">
            <v>15424745</v>
          </cell>
          <cell r="U156">
            <v>15838568</v>
          </cell>
          <cell r="V156">
            <v>16258323</v>
          </cell>
          <cell r="W156">
            <v>16683451</v>
          </cell>
          <cell r="X156">
            <v>17113393</v>
          </cell>
          <cell r="Y156">
            <v>17547612</v>
          </cell>
          <cell r="Z156">
            <v>17985398</v>
          </cell>
          <cell r="AA156">
            <v>18426420</v>
          </cell>
          <cell r="AB156">
            <v>18870988</v>
          </cell>
          <cell r="AC156">
            <v>19319746</v>
          </cell>
          <cell r="AD156">
            <v>19772871</v>
          </cell>
          <cell r="AE156">
            <v>20230385</v>
          </cell>
          <cell r="AF156">
            <v>20691285</v>
          </cell>
          <cell r="AG156">
            <v>21153462</v>
          </cell>
          <cell r="AH156">
            <v>21614193</v>
          </cell>
          <cell r="AI156">
            <v>22071433</v>
          </cell>
          <cell r="AJ156">
            <v>22522383</v>
          </cell>
          <cell r="AK156">
            <v>22966822</v>
          </cell>
          <cell r="AL156">
            <v>23408135</v>
          </cell>
          <cell r="AM156">
            <v>23851405</v>
          </cell>
          <cell r="AN156">
            <v>24299168</v>
          </cell>
          <cell r="AO156">
            <v>24753825</v>
          </cell>
          <cell r="AP156">
            <v>25210957</v>
          </cell>
          <cell r="AQ156">
            <v>25658070</v>
          </cell>
          <cell r="AR156">
            <v>26078295</v>
          </cell>
          <cell r="AS156">
            <v>26459944</v>
          </cell>
          <cell r="AT156">
            <v>26799289</v>
          </cell>
          <cell r="AU156">
            <v>27100964</v>
          </cell>
          <cell r="AV156">
            <v>27372217</v>
          </cell>
          <cell r="AW156">
            <v>27624226</v>
          </cell>
          <cell r="AX156">
            <v>27866140</v>
          </cell>
          <cell r="AY156">
            <v>28102055</v>
          </cell>
          <cell r="AZ156">
            <v>28333050</v>
          </cell>
          <cell r="BA156">
            <v>28562321</v>
          </cell>
          <cell r="BB156">
            <v>28792663</v>
          </cell>
          <cell r="BC156">
            <v>29027680</v>
          </cell>
          <cell r="BD156">
            <v>29264314</v>
          </cell>
          <cell r="BE156">
            <v>29506790</v>
          </cell>
          <cell r="BF156">
            <v>29773986</v>
          </cell>
          <cell r="BG156">
            <v>30090372</v>
          </cell>
          <cell r="BH156">
            <v>30470739</v>
          </cell>
          <cell r="BI156">
            <v>30926036</v>
          </cell>
          <cell r="BJ156">
            <v>31444299</v>
          </cell>
          <cell r="BK156">
            <v>31989265</v>
          </cell>
          <cell r="BL156">
            <v>32510462</v>
          </cell>
          <cell r="BM156">
            <v>32971846</v>
          </cell>
          <cell r="BN156">
            <v>32971846</v>
          </cell>
        </row>
        <row r="157">
          <cell r="B157" t="str">
            <v>PHL</v>
          </cell>
          <cell r="C157" t="str">
            <v>Population, total</v>
          </cell>
          <cell r="D157" t="str">
            <v>SP.POP.TOTL</v>
          </cell>
          <cell r="E157">
            <v>26269741</v>
          </cell>
          <cell r="F157">
            <v>27161052</v>
          </cell>
          <cell r="G157">
            <v>28077345</v>
          </cell>
          <cell r="H157">
            <v>29012630</v>
          </cell>
          <cell r="I157">
            <v>29958687</v>
          </cell>
          <cell r="J157">
            <v>30909997</v>
          </cell>
          <cell r="K157">
            <v>31864175</v>
          </cell>
          <cell r="L157">
            <v>32823970</v>
          </cell>
          <cell r="M157">
            <v>33795203</v>
          </cell>
          <cell r="N157">
            <v>34786309</v>
          </cell>
          <cell r="O157">
            <v>35803591</v>
          </cell>
          <cell r="P157">
            <v>36849678</v>
          </cell>
          <cell r="Q157">
            <v>37923400</v>
          </cell>
          <cell r="R157">
            <v>39022759</v>
          </cell>
          <cell r="S157">
            <v>40144250</v>
          </cell>
          <cell r="T157">
            <v>41285741</v>
          </cell>
          <cell r="U157">
            <v>42446659</v>
          </cell>
          <cell r="V157">
            <v>43629415</v>
          </cell>
          <cell r="W157">
            <v>44838485</v>
          </cell>
          <cell r="X157">
            <v>46079844</v>
          </cell>
          <cell r="Y157">
            <v>47357741</v>
          </cell>
          <cell r="Z157">
            <v>48672831</v>
          </cell>
          <cell r="AA157">
            <v>50023564</v>
          </cell>
          <cell r="AB157">
            <v>51408910</v>
          </cell>
          <cell r="AC157">
            <v>52827047</v>
          </cell>
          <cell r="AD157">
            <v>54275836</v>
          </cell>
          <cell r="AE157">
            <v>55755346</v>
          </cell>
          <cell r="AF157">
            <v>57263835</v>
          </cell>
          <cell r="AG157">
            <v>58794999</v>
          </cell>
          <cell r="AH157">
            <v>60340768</v>
          </cell>
          <cell r="AI157">
            <v>61895169</v>
          </cell>
          <cell r="AJ157">
            <v>63454785</v>
          </cell>
          <cell r="AK157">
            <v>65020124</v>
          </cell>
          <cell r="AL157">
            <v>66593904</v>
          </cell>
          <cell r="AM157">
            <v>68180846</v>
          </cell>
          <cell r="AN157">
            <v>69784087</v>
          </cell>
          <cell r="AO157">
            <v>71401743</v>
          </cell>
          <cell r="AP157">
            <v>73030879</v>
          </cell>
          <cell r="AQ157">
            <v>74672009</v>
          </cell>
          <cell r="AR157">
            <v>76325927</v>
          </cell>
          <cell r="AS157">
            <v>77991757</v>
          </cell>
          <cell r="AT157">
            <v>79672869</v>
          </cell>
          <cell r="AU157">
            <v>81365260</v>
          </cell>
          <cell r="AV157">
            <v>83051970</v>
          </cell>
          <cell r="AW157">
            <v>84710544</v>
          </cell>
          <cell r="AX157">
            <v>86326251</v>
          </cell>
          <cell r="AY157">
            <v>87888675</v>
          </cell>
          <cell r="AZ157">
            <v>89405482</v>
          </cell>
          <cell r="BA157">
            <v>90901967</v>
          </cell>
          <cell r="BB157">
            <v>92414161</v>
          </cell>
          <cell r="BC157">
            <v>93966784</v>
          </cell>
          <cell r="BD157">
            <v>95570049</v>
          </cell>
          <cell r="BE157">
            <v>97212639</v>
          </cell>
          <cell r="BF157">
            <v>98871558</v>
          </cell>
          <cell r="BG157">
            <v>100513137</v>
          </cell>
          <cell r="BH157">
            <v>102113206</v>
          </cell>
          <cell r="BI157">
            <v>103663812</v>
          </cell>
          <cell r="BJ157">
            <v>105172921</v>
          </cell>
          <cell r="BK157">
            <v>106651394</v>
          </cell>
          <cell r="BL157">
            <v>108116622</v>
          </cell>
          <cell r="BM157">
            <v>109581085</v>
          </cell>
          <cell r="BN157">
            <v>109581085</v>
          </cell>
        </row>
        <row r="158">
          <cell r="B158" t="str">
            <v>POL</v>
          </cell>
          <cell r="C158" t="str">
            <v>Population, total</v>
          </cell>
          <cell r="D158" t="str">
            <v>SP.POP.TOTL</v>
          </cell>
          <cell r="E158">
            <v>29637450</v>
          </cell>
          <cell r="F158">
            <v>29964000</v>
          </cell>
          <cell r="G158">
            <v>30308500</v>
          </cell>
          <cell r="H158">
            <v>30712000</v>
          </cell>
          <cell r="I158">
            <v>31139450</v>
          </cell>
          <cell r="J158">
            <v>31444950</v>
          </cell>
          <cell r="K158">
            <v>31681000</v>
          </cell>
          <cell r="L158">
            <v>31987155</v>
          </cell>
          <cell r="M158">
            <v>32294655</v>
          </cell>
          <cell r="N158">
            <v>32548300</v>
          </cell>
          <cell r="O158">
            <v>32664300</v>
          </cell>
          <cell r="P158">
            <v>32783500</v>
          </cell>
          <cell r="Q158">
            <v>33055650</v>
          </cell>
          <cell r="R158">
            <v>33357200</v>
          </cell>
          <cell r="S158">
            <v>33678899</v>
          </cell>
          <cell r="T158">
            <v>34015199</v>
          </cell>
          <cell r="U158">
            <v>34356300</v>
          </cell>
          <cell r="V158">
            <v>34689050</v>
          </cell>
          <cell r="W158">
            <v>34965600</v>
          </cell>
          <cell r="X158">
            <v>35247217</v>
          </cell>
          <cell r="Y158">
            <v>35574150</v>
          </cell>
          <cell r="Z158">
            <v>35898587</v>
          </cell>
          <cell r="AA158">
            <v>36230481</v>
          </cell>
          <cell r="AB158">
            <v>36571808</v>
          </cell>
          <cell r="AC158">
            <v>36904134</v>
          </cell>
          <cell r="AD158">
            <v>37201885</v>
          </cell>
          <cell r="AE158">
            <v>37456119</v>
          </cell>
          <cell r="AF158">
            <v>37668045</v>
          </cell>
          <cell r="AG158">
            <v>37824487</v>
          </cell>
          <cell r="AH158">
            <v>37961529</v>
          </cell>
          <cell r="AI158">
            <v>38110782</v>
          </cell>
          <cell r="AJ158">
            <v>38246193</v>
          </cell>
          <cell r="AK158">
            <v>38363667</v>
          </cell>
          <cell r="AL158">
            <v>38461408</v>
          </cell>
          <cell r="AM158">
            <v>38542652</v>
          </cell>
          <cell r="AN158">
            <v>38594998</v>
          </cell>
          <cell r="AO158">
            <v>38624370</v>
          </cell>
          <cell r="AP158">
            <v>38649660</v>
          </cell>
          <cell r="AQ158">
            <v>38663481</v>
          </cell>
          <cell r="AR158">
            <v>38660271</v>
          </cell>
          <cell r="AS158">
            <v>38258629</v>
          </cell>
          <cell r="AT158">
            <v>38248076</v>
          </cell>
          <cell r="AU158">
            <v>38230364</v>
          </cell>
          <cell r="AV158">
            <v>38204570</v>
          </cell>
          <cell r="AW158">
            <v>38182222</v>
          </cell>
          <cell r="AX158">
            <v>38165445</v>
          </cell>
          <cell r="AY158">
            <v>38141267</v>
          </cell>
          <cell r="AZ158">
            <v>38120560</v>
          </cell>
          <cell r="BA158">
            <v>38125759</v>
          </cell>
          <cell r="BB158">
            <v>38151603</v>
          </cell>
          <cell r="BC158">
            <v>38042794</v>
          </cell>
          <cell r="BD158">
            <v>38063255</v>
          </cell>
          <cell r="BE158">
            <v>38063164</v>
          </cell>
          <cell r="BF158">
            <v>38040196</v>
          </cell>
          <cell r="BG158">
            <v>38011735</v>
          </cell>
          <cell r="BH158">
            <v>37986412</v>
          </cell>
          <cell r="BI158">
            <v>37970087</v>
          </cell>
          <cell r="BJ158">
            <v>37974826</v>
          </cell>
          <cell r="BK158">
            <v>37974750</v>
          </cell>
          <cell r="BL158">
            <v>37965475</v>
          </cell>
          <cell r="BM158">
            <v>37950802</v>
          </cell>
          <cell r="BN158">
            <v>37950802</v>
          </cell>
        </row>
        <row r="159">
          <cell r="B159" t="str">
            <v>PRT</v>
          </cell>
          <cell r="C159" t="str">
            <v>Population, total</v>
          </cell>
          <cell r="D159" t="str">
            <v>SP.POP.TOTL</v>
          </cell>
          <cell r="E159">
            <v>8857716</v>
          </cell>
          <cell r="F159">
            <v>8929316</v>
          </cell>
          <cell r="G159">
            <v>8993985</v>
          </cell>
          <cell r="H159">
            <v>9030355</v>
          </cell>
          <cell r="I159">
            <v>9035365</v>
          </cell>
          <cell r="J159">
            <v>8998595</v>
          </cell>
          <cell r="K159">
            <v>8930990</v>
          </cell>
          <cell r="L159">
            <v>8874520</v>
          </cell>
          <cell r="M159">
            <v>8836650</v>
          </cell>
          <cell r="N159">
            <v>8757705</v>
          </cell>
          <cell r="O159">
            <v>8680431</v>
          </cell>
          <cell r="P159">
            <v>8643756</v>
          </cell>
          <cell r="Q159">
            <v>8630430</v>
          </cell>
          <cell r="R159">
            <v>8633100</v>
          </cell>
          <cell r="S159">
            <v>8754365</v>
          </cell>
          <cell r="T159">
            <v>9093470</v>
          </cell>
          <cell r="U159">
            <v>9355810</v>
          </cell>
          <cell r="V159">
            <v>9455675</v>
          </cell>
          <cell r="W159">
            <v>9558250</v>
          </cell>
          <cell r="X159">
            <v>9661265</v>
          </cell>
          <cell r="Y159">
            <v>9766312</v>
          </cell>
          <cell r="Z159">
            <v>9851362</v>
          </cell>
          <cell r="AA159">
            <v>9911771</v>
          </cell>
          <cell r="AB159">
            <v>9957865</v>
          </cell>
          <cell r="AC159">
            <v>9996232</v>
          </cell>
          <cell r="AD159">
            <v>10023613</v>
          </cell>
          <cell r="AE159">
            <v>10032734</v>
          </cell>
          <cell r="AF159">
            <v>10030031</v>
          </cell>
          <cell r="AG159">
            <v>10019610</v>
          </cell>
          <cell r="AH159">
            <v>10005000</v>
          </cell>
          <cell r="AI159">
            <v>9983218</v>
          </cell>
          <cell r="AJ159">
            <v>9960235</v>
          </cell>
          <cell r="AK159">
            <v>9952494</v>
          </cell>
          <cell r="AL159">
            <v>9964675</v>
          </cell>
          <cell r="AM159">
            <v>9991525</v>
          </cell>
          <cell r="AN159">
            <v>10026176</v>
          </cell>
          <cell r="AO159">
            <v>10063945</v>
          </cell>
          <cell r="AP159">
            <v>10108977</v>
          </cell>
          <cell r="AQ159">
            <v>10160196</v>
          </cell>
          <cell r="AR159">
            <v>10217828</v>
          </cell>
          <cell r="AS159">
            <v>10289898</v>
          </cell>
          <cell r="AT159">
            <v>10362722</v>
          </cell>
          <cell r="AU159">
            <v>10419631</v>
          </cell>
          <cell r="AV159">
            <v>10458821</v>
          </cell>
          <cell r="AW159">
            <v>10483861</v>
          </cell>
          <cell r="AX159">
            <v>10503330</v>
          </cell>
          <cell r="AY159">
            <v>10522288</v>
          </cell>
          <cell r="AZ159">
            <v>10542964</v>
          </cell>
          <cell r="BA159">
            <v>10558177</v>
          </cell>
          <cell r="BB159">
            <v>10568247</v>
          </cell>
          <cell r="BC159">
            <v>10573100</v>
          </cell>
          <cell r="BD159">
            <v>10557560</v>
          </cell>
          <cell r="BE159">
            <v>10514844</v>
          </cell>
          <cell r="BF159">
            <v>10457295</v>
          </cell>
          <cell r="BG159">
            <v>10401062</v>
          </cell>
          <cell r="BH159">
            <v>10358076</v>
          </cell>
          <cell r="BI159">
            <v>10325452</v>
          </cell>
          <cell r="BJ159">
            <v>10300300</v>
          </cell>
          <cell r="BK159">
            <v>10283822</v>
          </cell>
          <cell r="BL159">
            <v>10286263</v>
          </cell>
          <cell r="BM159">
            <v>10305564</v>
          </cell>
          <cell r="BN159">
            <v>10305564</v>
          </cell>
        </row>
        <row r="160">
          <cell r="B160" t="str">
            <v>PRI</v>
          </cell>
          <cell r="C160" t="str">
            <v>Population, total</v>
          </cell>
          <cell r="D160" t="str">
            <v>SP.POP.TOTL</v>
          </cell>
          <cell r="E160">
            <v>2358000</v>
          </cell>
          <cell r="F160">
            <v>2399722</v>
          </cell>
          <cell r="G160">
            <v>2450322</v>
          </cell>
          <cell r="H160">
            <v>2504530</v>
          </cell>
          <cell r="I160">
            <v>2554066</v>
          </cell>
          <cell r="J160">
            <v>2594000</v>
          </cell>
          <cell r="K160">
            <v>2624995</v>
          </cell>
          <cell r="L160">
            <v>2645674</v>
          </cell>
          <cell r="M160">
            <v>2662064</v>
          </cell>
          <cell r="N160">
            <v>2684150</v>
          </cell>
          <cell r="O160">
            <v>2718000</v>
          </cell>
          <cell r="P160">
            <v>2762190</v>
          </cell>
          <cell r="Q160">
            <v>2817256</v>
          </cell>
          <cell r="R160">
            <v>2878786</v>
          </cell>
          <cell r="S160">
            <v>2939299</v>
          </cell>
          <cell r="T160">
            <v>2994000</v>
          </cell>
          <cell r="U160">
            <v>3043854</v>
          </cell>
          <cell r="V160">
            <v>3088690</v>
          </cell>
          <cell r="W160">
            <v>3129421</v>
          </cell>
          <cell r="X160">
            <v>3168088</v>
          </cell>
          <cell r="Y160">
            <v>3206000</v>
          </cell>
          <cell r="Z160">
            <v>3242552</v>
          </cell>
          <cell r="AA160">
            <v>3277453</v>
          </cell>
          <cell r="AB160">
            <v>3311138</v>
          </cell>
          <cell r="AC160">
            <v>3344190</v>
          </cell>
          <cell r="AD160">
            <v>3377000</v>
          </cell>
          <cell r="AE160">
            <v>3409554</v>
          </cell>
          <cell r="AF160">
            <v>3441850</v>
          </cell>
          <cell r="AG160">
            <v>3473898</v>
          </cell>
          <cell r="AH160">
            <v>3505650</v>
          </cell>
          <cell r="AI160">
            <v>3537000</v>
          </cell>
          <cell r="AJ160">
            <v>3562110</v>
          </cell>
          <cell r="AK160">
            <v>3585176</v>
          </cell>
          <cell r="AL160">
            <v>3615497</v>
          </cell>
          <cell r="AM160">
            <v>3649237</v>
          </cell>
          <cell r="AN160">
            <v>3683103</v>
          </cell>
          <cell r="AO160">
            <v>3724655</v>
          </cell>
          <cell r="AP160">
            <v>3759430</v>
          </cell>
          <cell r="AQ160">
            <v>3781101</v>
          </cell>
          <cell r="AR160">
            <v>3800081</v>
          </cell>
          <cell r="AS160">
            <v>3810605</v>
          </cell>
          <cell r="AT160">
            <v>3818774</v>
          </cell>
          <cell r="AU160">
            <v>3823701</v>
          </cell>
          <cell r="AV160">
            <v>3826095</v>
          </cell>
          <cell r="AW160">
            <v>3826878</v>
          </cell>
          <cell r="AX160">
            <v>3821362</v>
          </cell>
          <cell r="AY160">
            <v>3805214</v>
          </cell>
          <cell r="AZ160">
            <v>3782995</v>
          </cell>
          <cell r="BA160">
            <v>3760866</v>
          </cell>
          <cell r="BB160">
            <v>3740410</v>
          </cell>
          <cell r="BC160">
            <v>3721525</v>
          </cell>
          <cell r="BD160">
            <v>3678732</v>
          </cell>
          <cell r="BE160">
            <v>3634488</v>
          </cell>
          <cell r="BF160">
            <v>3593077</v>
          </cell>
          <cell r="BG160">
            <v>3534874</v>
          </cell>
          <cell r="BH160">
            <v>3473232</v>
          </cell>
          <cell r="BI160">
            <v>3406672</v>
          </cell>
          <cell r="BJ160">
            <v>3325286</v>
          </cell>
          <cell r="BK160">
            <v>3193354</v>
          </cell>
          <cell r="BL160">
            <v>3193694</v>
          </cell>
          <cell r="BM160">
            <v>3194034</v>
          </cell>
          <cell r="BN160">
            <v>3194034</v>
          </cell>
        </row>
        <row r="161">
          <cell r="B161" t="str">
            <v>QAT</v>
          </cell>
          <cell r="C161" t="str">
            <v>Population, total</v>
          </cell>
          <cell r="D161" t="str">
            <v>SP.POP.TOTL</v>
          </cell>
          <cell r="E161">
            <v>47383</v>
          </cell>
          <cell r="F161">
            <v>51427</v>
          </cell>
          <cell r="G161">
            <v>56266</v>
          </cell>
          <cell r="H161">
            <v>61721</v>
          </cell>
          <cell r="I161">
            <v>67562</v>
          </cell>
          <cell r="J161">
            <v>73631</v>
          </cell>
          <cell r="K161">
            <v>79850</v>
          </cell>
          <cell r="L161">
            <v>86298</v>
          </cell>
          <cell r="M161">
            <v>93206</v>
          </cell>
          <cell r="N161">
            <v>100880</v>
          </cell>
          <cell r="O161">
            <v>109521</v>
          </cell>
          <cell r="P161">
            <v>119413</v>
          </cell>
          <cell r="Q161">
            <v>130505</v>
          </cell>
          <cell r="R161">
            <v>142181</v>
          </cell>
          <cell r="S161">
            <v>153624</v>
          </cell>
          <cell r="T161">
            <v>164314</v>
          </cell>
          <cell r="U161">
            <v>173716</v>
          </cell>
          <cell r="V161">
            <v>182319</v>
          </cell>
          <cell r="W161">
            <v>191947</v>
          </cell>
          <cell r="X161">
            <v>205172</v>
          </cell>
          <cell r="Y161">
            <v>223622</v>
          </cell>
          <cell r="Z161">
            <v>247984</v>
          </cell>
          <cell r="AA161">
            <v>277229</v>
          </cell>
          <cell r="AB161">
            <v>309299</v>
          </cell>
          <cell r="AC161">
            <v>341272</v>
          </cell>
          <cell r="AD161">
            <v>370886</v>
          </cell>
          <cell r="AE161">
            <v>397739</v>
          </cell>
          <cell r="AF161">
            <v>422154</v>
          </cell>
          <cell r="AG161">
            <v>443611</v>
          </cell>
          <cell r="AH161">
            <v>461688</v>
          </cell>
          <cell r="AI161">
            <v>476275</v>
          </cell>
          <cell r="AJ161">
            <v>487354</v>
          </cell>
          <cell r="AK161">
            <v>495403</v>
          </cell>
          <cell r="AL161">
            <v>501479</v>
          </cell>
          <cell r="AM161">
            <v>507044</v>
          </cell>
          <cell r="AN161">
            <v>513447</v>
          </cell>
          <cell r="AO161">
            <v>522531</v>
          </cell>
          <cell r="AP161">
            <v>535320</v>
          </cell>
          <cell r="AQ161">
            <v>551566</v>
          </cell>
          <cell r="AR161">
            <v>570486</v>
          </cell>
          <cell r="AS161">
            <v>592467</v>
          </cell>
          <cell r="AT161">
            <v>615013</v>
          </cell>
          <cell r="AU161">
            <v>640872</v>
          </cell>
          <cell r="AV161">
            <v>681791</v>
          </cell>
          <cell r="AW161">
            <v>753332</v>
          </cell>
          <cell r="AX161">
            <v>865410</v>
          </cell>
          <cell r="AY161">
            <v>1022704</v>
          </cell>
          <cell r="AZ161">
            <v>1218441</v>
          </cell>
          <cell r="BA161">
            <v>1436670</v>
          </cell>
          <cell r="BB161">
            <v>1654944</v>
          </cell>
          <cell r="BC161">
            <v>1856329</v>
          </cell>
          <cell r="BD161">
            <v>2035862</v>
          </cell>
          <cell r="BE161">
            <v>2196078</v>
          </cell>
          <cell r="BF161">
            <v>2336579</v>
          </cell>
          <cell r="BG161">
            <v>2459202</v>
          </cell>
          <cell r="BH161">
            <v>2565708</v>
          </cell>
          <cell r="BI161">
            <v>2654379</v>
          </cell>
          <cell r="BJ161">
            <v>2724727</v>
          </cell>
          <cell r="BK161">
            <v>2781682</v>
          </cell>
          <cell r="BL161">
            <v>2832071</v>
          </cell>
          <cell r="BM161">
            <v>2881060</v>
          </cell>
          <cell r="BN161">
            <v>2881060</v>
          </cell>
        </row>
        <row r="162">
          <cell r="B162" t="str">
            <v>ROU</v>
          </cell>
          <cell r="C162" t="str">
            <v>Population, total</v>
          </cell>
          <cell r="D162" t="str">
            <v>SP.POP.TOTL</v>
          </cell>
          <cell r="E162">
            <v>18406905</v>
          </cell>
          <cell r="F162">
            <v>18555250</v>
          </cell>
          <cell r="G162">
            <v>18676550</v>
          </cell>
          <cell r="H162">
            <v>18797850</v>
          </cell>
          <cell r="I162">
            <v>18919126</v>
          </cell>
          <cell r="J162">
            <v>19031576</v>
          </cell>
          <cell r="K162">
            <v>19215450</v>
          </cell>
          <cell r="L162">
            <v>19534242</v>
          </cell>
          <cell r="M162">
            <v>19799831</v>
          </cell>
          <cell r="N162">
            <v>20009141</v>
          </cell>
          <cell r="O162">
            <v>20250398</v>
          </cell>
          <cell r="P162">
            <v>20461567</v>
          </cell>
          <cell r="Q162">
            <v>20657957</v>
          </cell>
          <cell r="R162">
            <v>20835681</v>
          </cell>
          <cell r="S162">
            <v>21029429</v>
          </cell>
          <cell r="T162">
            <v>21293583</v>
          </cell>
          <cell r="U162">
            <v>21551634</v>
          </cell>
          <cell r="V162">
            <v>21756096</v>
          </cell>
          <cell r="W162">
            <v>21951464</v>
          </cell>
          <cell r="X162">
            <v>22090488</v>
          </cell>
          <cell r="Y162">
            <v>22207282</v>
          </cell>
          <cell r="Z162">
            <v>22353070</v>
          </cell>
          <cell r="AA162">
            <v>22475741</v>
          </cell>
          <cell r="AB162">
            <v>22560478</v>
          </cell>
          <cell r="AC162">
            <v>22640547</v>
          </cell>
          <cell r="AD162">
            <v>22732999</v>
          </cell>
          <cell r="AE162">
            <v>22836841</v>
          </cell>
          <cell r="AF162">
            <v>22949430</v>
          </cell>
          <cell r="AG162">
            <v>23057662</v>
          </cell>
          <cell r="AH162">
            <v>23161458</v>
          </cell>
          <cell r="AI162">
            <v>23201835</v>
          </cell>
          <cell r="AJ162">
            <v>23001155</v>
          </cell>
          <cell r="AK162">
            <v>22794284</v>
          </cell>
          <cell r="AL162">
            <v>22763280</v>
          </cell>
          <cell r="AM162">
            <v>22730211</v>
          </cell>
          <cell r="AN162">
            <v>22684270</v>
          </cell>
          <cell r="AO162">
            <v>22619004</v>
          </cell>
          <cell r="AP162">
            <v>22553978</v>
          </cell>
          <cell r="AQ162">
            <v>22507344</v>
          </cell>
          <cell r="AR162">
            <v>22472040</v>
          </cell>
          <cell r="AS162">
            <v>22442971</v>
          </cell>
          <cell r="AT162">
            <v>22131970</v>
          </cell>
          <cell r="AU162">
            <v>21730496</v>
          </cell>
          <cell r="AV162">
            <v>21574326</v>
          </cell>
          <cell r="AW162">
            <v>21451748</v>
          </cell>
          <cell r="AX162">
            <v>21319685</v>
          </cell>
          <cell r="AY162">
            <v>21193760</v>
          </cell>
          <cell r="AZ162">
            <v>20882982</v>
          </cell>
          <cell r="BA162">
            <v>20537875</v>
          </cell>
          <cell r="BB162">
            <v>20367487</v>
          </cell>
          <cell r="BC162">
            <v>20246871</v>
          </cell>
          <cell r="BD162">
            <v>20147528</v>
          </cell>
          <cell r="BE162">
            <v>20058035</v>
          </cell>
          <cell r="BF162">
            <v>19983693</v>
          </cell>
          <cell r="BG162">
            <v>19908979</v>
          </cell>
          <cell r="BH162">
            <v>19815616</v>
          </cell>
          <cell r="BI162">
            <v>19702267</v>
          </cell>
          <cell r="BJ162">
            <v>19588715</v>
          </cell>
          <cell r="BK162">
            <v>19473970</v>
          </cell>
          <cell r="BL162">
            <v>19371648</v>
          </cell>
          <cell r="BM162">
            <v>19286123</v>
          </cell>
          <cell r="BN162">
            <v>19286123</v>
          </cell>
        </row>
        <row r="163">
          <cell r="B163" t="str">
            <v>RUS</v>
          </cell>
          <cell r="C163" t="str">
            <v>Population, total</v>
          </cell>
          <cell r="D163" t="str">
            <v>SP.POP.TOTL</v>
          </cell>
          <cell r="E163">
            <v>119897000</v>
          </cell>
          <cell r="F163">
            <v>121236000</v>
          </cell>
          <cell r="G163">
            <v>122591000</v>
          </cell>
          <cell r="H163">
            <v>123960000</v>
          </cell>
          <cell r="I163">
            <v>125345000</v>
          </cell>
          <cell r="J163">
            <v>126745000</v>
          </cell>
          <cell r="K163">
            <v>127468000</v>
          </cell>
          <cell r="L163">
            <v>128196000</v>
          </cell>
          <cell r="M163">
            <v>128928000</v>
          </cell>
          <cell r="N163">
            <v>129664000</v>
          </cell>
          <cell r="O163">
            <v>130404000</v>
          </cell>
          <cell r="P163">
            <v>131155000</v>
          </cell>
          <cell r="Q163">
            <v>131909000</v>
          </cell>
          <cell r="R163">
            <v>132669000</v>
          </cell>
          <cell r="S163">
            <v>133432000</v>
          </cell>
          <cell r="T163">
            <v>134200000</v>
          </cell>
          <cell r="U163">
            <v>135147000</v>
          </cell>
          <cell r="V163">
            <v>136100000</v>
          </cell>
          <cell r="W163">
            <v>137060000</v>
          </cell>
          <cell r="X163">
            <v>138027000</v>
          </cell>
          <cell r="Y163">
            <v>139010000</v>
          </cell>
          <cell r="Z163">
            <v>139941000</v>
          </cell>
          <cell r="AA163">
            <v>140823000</v>
          </cell>
          <cell r="AB163">
            <v>141668000</v>
          </cell>
          <cell r="AC163">
            <v>142745000</v>
          </cell>
          <cell r="AD163">
            <v>143858000</v>
          </cell>
          <cell r="AE163">
            <v>144894000</v>
          </cell>
          <cell r="AF163">
            <v>145908000</v>
          </cell>
          <cell r="AG163">
            <v>146857000</v>
          </cell>
          <cell r="AH163">
            <v>147721000</v>
          </cell>
          <cell r="AI163">
            <v>147969407</v>
          </cell>
          <cell r="AJ163">
            <v>148394216</v>
          </cell>
          <cell r="AK163">
            <v>148538197</v>
          </cell>
          <cell r="AL163">
            <v>148458777</v>
          </cell>
          <cell r="AM163">
            <v>148407912</v>
          </cell>
          <cell r="AN163">
            <v>148375787</v>
          </cell>
          <cell r="AO163">
            <v>148160129</v>
          </cell>
          <cell r="AP163">
            <v>147915361</v>
          </cell>
          <cell r="AQ163">
            <v>147670784</v>
          </cell>
          <cell r="AR163">
            <v>147214776</v>
          </cell>
          <cell r="AS163">
            <v>146596869</v>
          </cell>
          <cell r="AT163">
            <v>145976482</v>
          </cell>
          <cell r="AU163">
            <v>145306497</v>
          </cell>
          <cell r="AV163">
            <v>144648618</v>
          </cell>
          <cell r="AW163">
            <v>144067316</v>
          </cell>
          <cell r="AX163">
            <v>143518814</v>
          </cell>
          <cell r="AY163">
            <v>143049637</v>
          </cell>
          <cell r="AZ163">
            <v>142805114</v>
          </cell>
          <cell r="BA163">
            <v>142742366</v>
          </cell>
          <cell r="BB163">
            <v>142785349</v>
          </cell>
          <cell r="BC163">
            <v>142849468</v>
          </cell>
          <cell r="BD163">
            <v>142960908</v>
          </cell>
          <cell r="BE163">
            <v>143201721</v>
          </cell>
          <cell r="BF163">
            <v>143506995</v>
          </cell>
          <cell r="BG163">
            <v>143819667</v>
          </cell>
          <cell r="BH163">
            <v>144096870</v>
          </cell>
          <cell r="BI163">
            <v>144342397</v>
          </cell>
          <cell r="BJ163">
            <v>144496739</v>
          </cell>
          <cell r="BK163">
            <v>144477859</v>
          </cell>
          <cell r="BL163">
            <v>144406261</v>
          </cell>
          <cell r="BM163">
            <v>144104080</v>
          </cell>
          <cell r="BN163">
            <v>144104080</v>
          </cell>
        </row>
        <row r="164">
          <cell r="B164" t="str">
            <v>RWA</v>
          </cell>
          <cell r="C164" t="str">
            <v>Population, total</v>
          </cell>
          <cell r="D164" t="str">
            <v>SP.POP.TOTL</v>
          </cell>
          <cell r="E164">
            <v>2935575</v>
          </cell>
          <cell r="F164">
            <v>2998334</v>
          </cell>
          <cell r="G164">
            <v>3052937</v>
          </cell>
          <cell r="H164">
            <v>3105417</v>
          </cell>
          <cell r="I164">
            <v>3164258</v>
          </cell>
          <cell r="J164">
            <v>3235536</v>
          </cell>
          <cell r="K164">
            <v>3321674</v>
          </cell>
          <cell r="L164">
            <v>3420897</v>
          </cell>
          <cell r="M164">
            <v>3529839</v>
          </cell>
          <cell r="N164">
            <v>3643237</v>
          </cell>
          <cell r="O164">
            <v>3757351</v>
          </cell>
          <cell r="P164">
            <v>3871428</v>
          </cell>
          <cell r="Q164">
            <v>3987223</v>
          </cell>
          <cell r="R164">
            <v>4106411</v>
          </cell>
          <cell r="S164">
            <v>4231579</v>
          </cell>
          <cell r="T164">
            <v>4364709</v>
          </cell>
          <cell r="U164">
            <v>4506109</v>
          </cell>
          <cell r="V164">
            <v>4655386</v>
          </cell>
          <cell r="W164">
            <v>4812872</v>
          </cell>
          <cell r="X164">
            <v>4978812</v>
          </cell>
          <cell r="Y164">
            <v>5153314</v>
          </cell>
          <cell r="Z164">
            <v>5329250</v>
          </cell>
          <cell r="AA164">
            <v>5504847</v>
          </cell>
          <cell r="AB164">
            <v>5690989</v>
          </cell>
          <cell r="AC164">
            <v>5902847</v>
          </cell>
          <cell r="AD164">
            <v>6146884</v>
          </cell>
          <cell r="AE164">
            <v>6443748</v>
          </cell>
          <cell r="AF164">
            <v>6779981</v>
          </cell>
          <cell r="AG164">
            <v>7088194</v>
          </cell>
          <cell r="AH164">
            <v>7276983</v>
          </cell>
          <cell r="AI164">
            <v>7288883</v>
          </cell>
          <cell r="AJ164">
            <v>7083928</v>
          </cell>
          <cell r="AK164">
            <v>6702239</v>
          </cell>
          <cell r="AL164">
            <v>6263758</v>
          </cell>
          <cell r="AM164">
            <v>5936253</v>
          </cell>
          <cell r="AN164">
            <v>5836490</v>
          </cell>
          <cell r="AO164">
            <v>6013112</v>
          </cell>
          <cell r="AP164">
            <v>6419898</v>
          </cell>
          <cell r="AQ164">
            <v>6962800</v>
          </cell>
          <cell r="AR164">
            <v>7501238</v>
          </cell>
          <cell r="AS164">
            <v>7933688</v>
          </cell>
          <cell r="AT164">
            <v>8231150</v>
          </cell>
          <cell r="AU164">
            <v>8427061</v>
          </cell>
          <cell r="AV164">
            <v>8557160</v>
          </cell>
          <cell r="AW164">
            <v>8680516</v>
          </cell>
          <cell r="AX164">
            <v>8840220</v>
          </cell>
          <cell r="AY164">
            <v>9043342</v>
          </cell>
          <cell r="AZ164">
            <v>9273759</v>
          </cell>
          <cell r="BA164">
            <v>9524532</v>
          </cell>
          <cell r="BB164">
            <v>9782770</v>
          </cell>
          <cell r="BC164">
            <v>10039338</v>
          </cell>
          <cell r="BD164">
            <v>10293333</v>
          </cell>
          <cell r="BE164">
            <v>10549668</v>
          </cell>
          <cell r="BF164">
            <v>10811538</v>
          </cell>
          <cell r="BG164">
            <v>11083629</v>
          </cell>
          <cell r="BH164">
            <v>11369066</v>
          </cell>
          <cell r="BI164">
            <v>11668829</v>
          </cell>
          <cell r="BJ164">
            <v>11980960</v>
          </cell>
          <cell r="BK164">
            <v>12301969</v>
          </cell>
          <cell r="BL164">
            <v>12626938</v>
          </cell>
          <cell r="BM164">
            <v>12952209</v>
          </cell>
          <cell r="BN164">
            <v>12952209</v>
          </cell>
        </row>
        <row r="165">
          <cell r="B165" t="str">
            <v>WSM</v>
          </cell>
          <cell r="C165" t="str">
            <v>Population, total</v>
          </cell>
          <cell r="D165" t="str">
            <v>SP.POP.TOTL</v>
          </cell>
          <cell r="E165">
            <v>108627</v>
          </cell>
          <cell r="F165">
            <v>112112</v>
          </cell>
          <cell r="G165">
            <v>115768</v>
          </cell>
          <cell r="H165">
            <v>119552</v>
          </cell>
          <cell r="I165">
            <v>123346</v>
          </cell>
          <cell r="J165">
            <v>127055</v>
          </cell>
          <cell r="K165">
            <v>130672</v>
          </cell>
          <cell r="L165">
            <v>134181</v>
          </cell>
          <cell r="M165">
            <v>137484</v>
          </cell>
          <cell r="N165">
            <v>140495</v>
          </cell>
          <cell r="O165">
            <v>143146</v>
          </cell>
          <cell r="P165">
            <v>145407</v>
          </cell>
          <cell r="Q165">
            <v>147295</v>
          </cell>
          <cell r="R165">
            <v>148858</v>
          </cell>
          <cell r="S165">
            <v>150191</v>
          </cell>
          <cell r="T165">
            <v>151353</v>
          </cell>
          <cell r="U165">
            <v>152362</v>
          </cell>
          <cell r="V165">
            <v>153218</v>
          </cell>
          <cell r="W165">
            <v>153986</v>
          </cell>
          <cell r="X165">
            <v>154740</v>
          </cell>
          <cell r="Y165">
            <v>155522</v>
          </cell>
          <cell r="Z165">
            <v>156410</v>
          </cell>
          <cell r="AA165">
            <v>157365</v>
          </cell>
          <cell r="AB165">
            <v>158345</v>
          </cell>
          <cell r="AC165">
            <v>159243</v>
          </cell>
          <cell r="AD165">
            <v>159995</v>
          </cell>
          <cell r="AE165">
            <v>160552</v>
          </cell>
          <cell r="AF165">
            <v>160962</v>
          </cell>
          <cell r="AG165">
            <v>161369</v>
          </cell>
          <cell r="AH165">
            <v>161935</v>
          </cell>
          <cell r="AI165">
            <v>162797</v>
          </cell>
          <cell r="AJ165">
            <v>164000</v>
          </cell>
          <cell r="AK165">
            <v>165490</v>
          </cell>
          <cell r="AL165">
            <v>167117</v>
          </cell>
          <cell r="AM165">
            <v>168689</v>
          </cell>
          <cell r="AN165">
            <v>170050</v>
          </cell>
          <cell r="AO165">
            <v>171165</v>
          </cell>
          <cell r="AP165">
            <v>172065</v>
          </cell>
          <cell r="AQ165">
            <v>172839</v>
          </cell>
          <cell r="AR165">
            <v>173606</v>
          </cell>
          <cell r="AS165">
            <v>174454</v>
          </cell>
          <cell r="AT165">
            <v>175394</v>
          </cell>
          <cell r="AU165">
            <v>176410</v>
          </cell>
          <cell r="AV165">
            <v>177481</v>
          </cell>
          <cell r="AW165">
            <v>178597</v>
          </cell>
          <cell r="AX165">
            <v>179722</v>
          </cell>
          <cell r="AY165">
            <v>180874</v>
          </cell>
          <cell r="AZ165">
            <v>182045</v>
          </cell>
          <cell r="BA165">
            <v>183270</v>
          </cell>
          <cell r="BB165">
            <v>184553</v>
          </cell>
          <cell r="BC165">
            <v>185944</v>
          </cell>
          <cell r="BD165">
            <v>187469</v>
          </cell>
          <cell r="BE165">
            <v>189089</v>
          </cell>
          <cell r="BF165">
            <v>190712</v>
          </cell>
          <cell r="BG165">
            <v>192220</v>
          </cell>
          <cell r="BH165">
            <v>193510</v>
          </cell>
          <cell r="BI165">
            <v>194540</v>
          </cell>
          <cell r="BJ165">
            <v>195358</v>
          </cell>
          <cell r="BK165">
            <v>196128</v>
          </cell>
          <cell r="BL165">
            <v>197093</v>
          </cell>
          <cell r="BM165">
            <v>198410</v>
          </cell>
          <cell r="BN165">
            <v>198410</v>
          </cell>
        </row>
        <row r="166">
          <cell r="B166" t="str">
            <v>SMR</v>
          </cell>
          <cell r="C166" t="str">
            <v>Population, total</v>
          </cell>
          <cell r="D166" t="str">
            <v>SP.POP.TOTL</v>
          </cell>
          <cell r="E166">
            <v>15440</v>
          </cell>
          <cell r="F166">
            <v>15836</v>
          </cell>
          <cell r="G166">
            <v>16255</v>
          </cell>
          <cell r="H166">
            <v>16669</v>
          </cell>
          <cell r="I166">
            <v>17101</v>
          </cell>
          <cell r="J166">
            <v>17508</v>
          </cell>
          <cell r="K166">
            <v>17919</v>
          </cell>
          <cell r="L166">
            <v>18309</v>
          </cell>
          <cell r="M166">
            <v>18668</v>
          </cell>
          <cell r="N166">
            <v>18980</v>
          </cell>
          <cell r="O166">
            <v>19224</v>
          </cell>
          <cell r="P166">
            <v>19393</v>
          </cell>
          <cell r="Q166">
            <v>19490</v>
          </cell>
          <cell r="R166">
            <v>19561</v>
          </cell>
          <cell r="S166">
            <v>19661</v>
          </cell>
          <cell r="T166">
            <v>19829</v>
          </cell>
          <cell r="U166">
            <v>20086</v>
          </cell>
          <cell r="V166">
            <v>20397</v>
          </cell>
          <cell r="W166">
            <v>20764</v>
          </cell>
          <cell r="X166">
            <v>21122</v>
          </cell>
          <cell r="Y166">
            <v>21453</v>
          </cell>
          <cell r="Z166">
            <v>21761</v>
          </cell>
          <cell r="AA166">
            <v>22043</v>
          </cell>
          <cell r="AB166">
            <v>22295</v>
          </cell>
          <cell r="AC166">
            <v>22546</v>
          </cell>
          <cell r="AD166">
            <v>22794</v>
          </cell>
          <cell r="AE166">
            <v>23046</v>
          </cell>
          <cell r="AF166">
            <v>23297</v>
          </cell>
          <cell r="AG166">
            <v>23548</v>
          </cell>
          <cell r="AH166">
            <v>23833</v>
          </cell>
          <cell r="AI166">
            <v>24124</v>
          </cell>
          <cell r="AJ166">
            <v>24454</v>
          </cell>
          <cell r="AK166">
            <v>24830</v>
          </cell>
          <cell r="AL166">
            <v>25208</v>
          </cell>
          <cell r="AM166">
            <v>25588</v>
          </cell>
          <cell r="AN166">
            <v>25925</v>
          </cell>
          <cell r="AO166">
            <v>26253</v>
          </cell>
          <cell r="AP166">
            <v>26563</v>
          </cell>
          <cell r="AQ166">
            <v>26851</v>
          </cell>
          <cell r="AR166">
            <v>27141</v>
          </cell>
          <cell r="AS166">
            <v>27460</v>
          </cell>
          <cell r="AT166">
            <v>27818</v>
          </cell>
          <cell r="AU166">
            <v>28175</v>
          </cell>
          <cell r="AV166">
            <v>28561</v>
          </cell>
          <cell r="AW166">
            <v>28942</v>
          </cell>
          <cell r="AX166">
            <v>29324</v>
          </cell>
          <cell r="AY166">
            <v>29694</v>
          </cell>
          <cell r="AZ166">
            <v>30068</v>
          </cell>
          <cell r="BA166">
            <v>30434</v>
          </cell>
          <cell r="BB166">
            <v>30825</v>
          </cell>
          <cell r="BC166">
            <v>31221</v>
          </cell>
          <cell r="BD166">
            <v>31655</v>
          </cell>
          <cell r="BE166">
            <v>32103</v>
          </cell>
          <cell r="BF166">
            <v>32554</v>
          </cell>
          <cell r="BG166">
            <v>32941</v>
          </cell>
          <cell r="BH166">
            <v>33270</v>
          </cell>
          <cell r="BI166">
            <v>33503</v>
          </cell>
          <cell r="BJ166">
            <v>33671</v>
          </cell>
          <cell r="BK166">
            <v>33784</v>
          </cell>
          <cell r="BL166">
            <v>33864</v>
          </cell>
          <cell r="BM166">
            <v>33938</v>
          </cell>
          <cell r="BN166">
            <v>33938</v>
          </cell>
        </row>
        <row r="167">
          <cell r="B167" t="str">
            <v>STP</v>
          </cell>
          <cell r="C167" t="str">
            <v>Population, total</v>
          </cell>
          <cell r="D167" t="str">
            <v>SP.POP.TOTL</v>
          </cell>
          <cell r="E167">
            <v>64294</v>
          </cell>
          <cell r="F167">
            <v>64597</v>
          </cell>
          <cell r="G167">
            <v>64478</v>
          </cell>
          <cell r="H167">
            <v>64237</v>
          </cell>
          <cell r="I167">
            <v>64278</v>
          </cell>
          <cell r="J167">
            <v>64884</v>
          </cell>
          <cell r="K167">
            <v>66172</v>
          </cell>
          <cell r="L167">
            <v>68039</v>
          </cell>
          <cell r="M167">
            <v>70258</v>
          </cell>
          <cell r="N167">
            <v>72501</v>
          </cell>
          <cell r="O167">
            <v>74570</v>
          </cell>
          <cell r="P167">
            <v>76344</v>
          </cell>
          <cell r="Q167">
            <v>77930</v>
          </cell>
          <cell r="R167">
            <v>79463</v>
          </cell>
          <cell r="S167">
            <v>81148</v>
          </cell>
          <cell r="T167">
            <v>83134</v>
          </cell>
          <cell r="U167">
            <v>85475</v>
          </cell>
          <cell r="V167">
            <v>88102</v>
          </cell>
          <cell r="W167">
            <v>90846</v>
          </cell>
          <cell r="X167">
            <v>93458</v>
          </cell>
          <cell r="Y167">
            <v>95788</v>
          </cell>
          <cell r="Z167">
            <v>97767</v>
          </cell>
          <cell r="AA167">
            <v>99478</v>
          </cell>
          <cell r="AB167">
            <v>101064</v>
          </cell>
          <cell r="AC167">
            <v>102826</v>
          </cell>
          <cell r="AD167">
            <v>104926</v>
          </cell>
          <cell r="AE167">
            <v>107429</v>
          </cell>
          <cell r="AF167">
            <v>110259</v>
          </cell>
          <cell r="AG167">
            <v>113288</v>
          </cell>
          <cell r="AH167">
            <v>116313</v>
          </cell>
          <cell r="AI167">
            <v>119211</v>
          </cell>
          <cell r="AJ167">
            <v>121949</v>
          </cell>
          <cell r="AK167">
            <v>124574</v>
          </cell>
          <cell r="AL167">
            <v>127066</v>
          </cell>
          <cell r="AM167">
            <v>129426</v>
          </cell>
          <cell r="AN167">
            <v>131679</v>
          </cell>
          <cell r="AO167">
            <v>133799</v>
          </cell>
          <cell r="AP167">
            <v>135831</v>
          </cell>
          <cell r="AQ167">
            <v>137855</v>
          </cell>
          <cell r="AR167">
            <v>139964</v>
          </cell>
          <cell r="AS167">
            <v>142264</v>
          </cell>
          <cell r="AT167">
            <v>144760</v>
          </cell>
          <cell r="AU167">
            <v>147450</v>
          </cell>
          <cell r="AV167">
            <v>150405</v>
          </cell>
          <cell r="AW167">
            <v>153736</v>
          </cell>
          <cell r="AX167">
            <v>157472</v>
          </cell>
          <cell r="AY167">
            <v>161676</v>
          </cell>
          <cell r="AZ167">
            <v>166297</v>
          </cell>
          <cell r="BA167">
            <v>171122</v>
          </cell>
          <cell r="BB167">
            <v>175877</v>
          </cell>
          <cell r="BC167">
            <v>180372</v>
          </cell>
          <cell r="BD167">
            <v>184521</v>
          </cell>
          <cell r="BE167">
            <v>188394</v>
          </cell>
          <cell r="BF167">
            <v>192076</v>
          </cell>
          <cell r="BG167">
            <v>195727</v>
          </cell>
          <cell r="BH167">
            <v>199439</v>
          </cell>
          <cell r="BI167">
            <v>203221</v>
          </cell>
          <cell r="BJ167">
            <v>207086</v>
          </cell>
          <cell r="BK167">
            <v>211032</v>
          </cell>
          <cell r="BL167">
            <v>215048</v>
          </cell>
          <cell r="BM167">
            <v>219161</v>
          </cell>
          <cell r="BN167">
            <v>219161</v>
          </cell>
        </row>
        <row r="168">
          <cell r="B168" t="str">
            <v>SAU</v>
          </cell>
          <cell r="C168" t="str">
            <v>Population, total</v>
          </cell>
          <cell r="D168" t="str">
            <v>SP.POP.TOTL</v>
          </cell>
          <cell r="E168">
            <v>4086534</v>
          </cell>
          <cell r="F168">
            <v>4218852</v>
          </cell>
          <cell r="G168">
            <v>4362788</v>
          </cell>
          <cell r="H168">
            <v>4516540</v>
          </cell>
          <cell r="I168">
            <v>4677304</v>
          </cell>
          <cell r="J168">
            <v>4843632</v>
          </cell>
          <cell r="K168">
            <v>5015353</v>
          </cell>
          <cell r="L168">
            <v>5195124</v>
          </cell>
          <cell r="M168">
            <v>5387822</v>
          </cell>
          <cell r="N168">
            <v>5599909</v>
          </cell>
          <cell r="O168">
            <v>5836388</v>
          </cell>
          <cell r="P168">
            <v>6100631</v>
          </cell>
          <cell r="Q168">
            <v>6392973</v>
          </cell>
          <cell r="R168">
            <v>6711922</v>
          </cell>
          <cell r="S168">
            <v>7054532</v>
          </cell>
          <cell r="T168">
            <v>7419486</v>
          </cell>
          <cell r="U168">
            <v>7802928</v>
          </cell>
          <cell r="V168">
            <v>8207695</v>
          </cell>
          <cell r="W168">
            <v>8646845</v>
          </cell>
          <cell r="X168">
            <v>9137928</v>
          </cell>
          <cell r="Y168">
            <v>9691471</v>
          </cell>
          <cell r="Z168">
            <v>10311771</v>
          </cell>
          <cell r="AA168">
            <v>10988851</v>
          </cell>
          <cell r="AB168">
            <v>11701132</v>
          </cell>
          <cell r="AC168">
            <v>12418836</v>
          </cell>
          <cell r="AD168">
            <v>13118998</v>
          </cell>
          <cell r="AE168">
            <v>13794167</v>
          </cell>
          <cell r="AF168">
            <v>14445663</v>
          </cell>
          <cell r="AG168">
            <v>15070082</v>
          </cell>
          <cell r="AH168">
            <v>15666289</v>
          </cell>
          <cell r="AI168">
            <v>16233786</v>
          </cell>
          <cell r="AJ168">
            <v>16772695</v>
          </cell>
          <cell r="AK168">
            <v>17282686</v>
          </cell>
          <cell r="AL168">
            <v>17763297</v>
          </cell>
          <cell r="AM168">
            <v>18214475</v>
          </cell>
          <cell r="AN168">
            <v>18638790</v>
          </cell>
          <cell r="AO168">
            <v>19033843</v>
          </cell>
          <cell r="AP168">
            <v>19407138</v>
          </cell>
          <cell r="AQ168">
            <v>19783301</v>
          </cell>
          <cell r="AR168">
            <v>20194531</v>
          </cell>
          <cell r="AS168">
            <v>20663840</v>
          </cell>
          <cell r="AT168">
            <v>21202646</v>
          </cell>
          <cell r="AU168">
            <v>21805322</v>
          </cell>
          <cell r="AV168">
            <v>22456645</v>
          </cell>
          <cell r="AW168">
            <v>23132686</v>
          </cell>
          <cell r="AX168">
            <v>23816175</v>
          </cell>
          <cell r="AY168">
            <v>24498313</v>
          </cell>
          <cell r="AZ168">
            <v>25184589</v>
          </cell>
          <cell r="BA168">
            <v>25888535</v>
          </cell>
          <cell r="BB168">
            <v>26630303</v>
          </cell>
          <cell r="BC168">
            <v>27421468</v>
          </cell>
          <cell r="BD168">
            <v>28267591</v>
          </cell>
          <cell r="BE168">
            <v>29154906</v>
          </cell>
          <cell r="BF168">
            <v>30052058</v>
          </cell>
          <cell r="BG168">
            <v>30916603</v>
          </cell>
          <cell r="BH168">
            <v>31717676</v>
          </cell>
          <cell r="BI168">
            <v>32443443</v>
          </cell>
          <cell r="BJ168">
            <v>33101183</v>
          </cell>
          <cell r="BK168">
            <v>33702757</v>
          </cell>
          <cell r="BL168">
            <v>34268529</v>
          </cell>
          <cell r="BM168">
            <v>34813867</v>
          </cell>
          <cell r="BN168">
            <v>34813867</v>
          </cell>
        </row>
        <row r="169">
          <cell r="B169" t="str">
            <v>SEN</v>
          </cell>
          <cell r="C169" t="str">
            <v>Population, total</v>
          </cell>
          <cell r="D169" t="str">
            <v>SP.POP.TOTL</v>
          </cell>
          <cell r="E169">
            <v>3206757</v>
          </cell>
          <cell r="F169">
            <v>3295280</v>
          </cell>
          <cell r="G169">
            <v>3386803</v>
          </cell>
          <cell r="H169">
            <v>3481654</v>
          </cell>
          <cell r="I169">
            <v>3580241</v>
          </cell>
          <cell r="J169">
            <v>3682879</v>
          </cell>
          <cell r="K169">
            <v>3789381</v>
          </cell>
          <cell r="L169">
            <v>3899648</v>
          </cell>
          <cell r="M169">
            <v>4014107</v>
          </cell>
          <cell r="N169">
            <v>4133324</v>
          </cell>
          <cell r="O169">
            <v>4257508</v>
          </cell>
          <cell r="P169">
            <v>4387532</v>
          </cell>
          <cell r="Q169">
            <v>4522886</v>
          </cell>
          <cell r="R169">
            <v>4660726</v>
          </cell>
          <cell r="S169">
            <v>4797188</v>
          </cell>
          <cell r="T169">
            <v>4929846</v>
          </cell>
          <cell r="U169">
            <v>5057375</v>
          </cell>
          <cell r="V169">
            <v>5181505</v>
          </cell>
          <cell r="W169">
            <v>5306685</v>
          </cell>
          <cell r="X169">
            <v>5439069</v>
          </cell>
          <cell r="Y169">
            <v>5583157</v>
          </cell>
          <cell r="Z169">
            <v>5740441</v>
          </cell>
          <cell r="AA169">
            <v>5909734</v>
          </cell>
          <cell r="AB169">
            <v>6089567</v>
          </cell>
          <cell r="AC169">
            <v>6277420</v>
          </cell>
          <cell r="AD169">
            <v>6471329</v>
          </cell>
          <cell r="AE169">
            <v>6670665</v>
          </cell>
          <cell r="AF169">
            <v>6875746</v>
          </cell>
          <cell r="AG169">
            <v>7086624</v>
          </cell>
          <cell r="AH169">
            <v>7303511</v>
          </cell>
          <cell r="AI169">
            <v>7526306</v>
          </cell>
          <cell r="AJ169">
            <v>7755503</v>
          </cell>
          <cell r="AK169">
            <v>7990090</v>
          </cell>
          <cell r="AL169">
            <v>8226749</v>
          </cell>
          <cell r="AM169">
            <v>8461066</v>
          </cell>
          <cell r="AN169">
            <v>8690155</v>
          </cell>
          <cell r="AO169">
            <v>8912872</v>
          </cell>
          <cell r="AP169">
            <v>9130876</v>
          </cell>
          <cell r="AQ169">
            <v>9347777</v>
          </cell>
          <cell r="AR169">
            <v>9568717</v>
          </cell>
          <cell r="AS169">
            <v>9797731</v>
          </cell>
          <cell r="AT169">
            <v>10036102</v>
          </cell>
          <cell r="AU169">
            <v>10283694</v>
          </cell>
          <cell r="AV169">
            <v>10541470</v>
          </cell>
          <cell r="AW169">
            <v>10810086</v>
          </cell>
          <cell r="AX169">
            <v>11090123</v>
          </cell>
          <cell r="AY169">
            <v>11382272</v>
          </cell>
          <cell r="AZ169">
            <v>11687078</v>
          </cell>
          <cell r="BA169">
            <v>12004700</v>
          </cell>
          <cell r="BB169">
            <v>12335092</v>
          </cell>
          <cell r="BC169">
            <v>12678143</v>
          </cell>
          <cell r="BD169">
            <v>13033814</v>
          </cell>
          <cell r="BE169">
            <v>13401990</v>
          </cell>
          <cell r="BF169">
            <v>13782429</v>
          </cell>
          <cell r="BG169">
            <v>14174740</v>
          </cell>
          <cell r="BH169">
            <v>14578450</v>
          </cell>
          <cell r="BI169">
            <v>14993514</v>
          </cell>
          <cell r="BJ169">
            <v>15419354</v>
          </cell>
          <cell r="BK169">
            <v>15854324</v>
          </cell>
          <cell r="BL169">
            <v>16296362</v>
          </cell>
          <cell r="BM169">
            <v>16743930</v>
          </cell>
          <cell r="BN169">
            <v>16743930</v>
          </cell>
        </row>
        <row r="170">
          <cell r="B170" t="str">
            <v>SRB</v>
          </cell>
          <cell r="C170" t="str">
            <v>Population, total</v>
          </cell>
          <cell r="D170" t="str">
            <v>SP.POP.TOTL</v>
          </cell>
          <cell r="E170">
            <v>6608000</v>
          </cell>
          <cell r="F170">
            <v>6655000</v>
          </cell>
          <cell r="G170">
            <v>6696000</v>
          </cell>
          <cell r="H170">
            <v>6732000</v>
          </cell>
          <cell r="I170">
            <v>6765000</v>
          </cell>
          <cell r="J170">
            <v>6794000</v>
          </cell>
          <cell r="K170">
            <v>6841000</v>
          </cell>
          <cell r="L170">
            <v>6880000</v>
          </cell>
          <cell r="M170">
            <v>6915000</v>
          </cell>
          <cell r="N170">
            <v>6945000</v>
          </cell>
          <cell r="O170">
            <v>6972000</v>
          </cell>
          <cell r="P170">
            <v>7013000</v>
          </cell>
          <cell r="Q170">
            <v>7053000</v>
          </cell>
          <cell r="R170">
            <v>7091000</v>
          </cell>
          <cell r="S170">
            <v>7128000</v>
          </cell>
          <cell r="T170">
            <v>7163000</v>
          </cell>
          <cell r="U170">
            <v>7214000</v>
          </cell>
          <cell r="V170">
            <v>7258000</v>
          </cell>
          <cell r="W170">
            <v>7297000</v>
          </cell>
          <cell r="X170">
            <v>7332000</v>
          </cell>
          <cell r="Y170">
            <v>7362000</v>
          </cell>
          <cell r="Z170">
            <v>7405000</v>
          </cell>
          <cell r="AA170">
            <v>7440000</v>
          </cell>
          <cell r="AB170">
            <v>7468000</v>
          </cell>
          <cell r="AC170">
            <v>7489000</v>
          </cell>
          <cell r="AD170">
            <v>7504000</v>
          </cell>
          <cell r="AE170">
            <v>7536000</v>
          </cell>
          <cell r="AF170">
            <v>7558000</v>
          </cell>
          <cell r="AG170">
            <v>7572000</v>
          </cell>
          <cell r="AH170">
            <v>7581000</v>
          </cell>
          <cell r="AI170">
            <v>7586000</v>
          </cell>
          <cell r="AJ170">
            <v>7595636</v>
          </cell>
          <cell r="AK170">
            <v>7646424</v>
          </cell>
          <cell r="AL170">
            <v>7699307</v>
          </cell>
          <cell r="AM170">
            <v>7734639</v>
          </cell>
          <cell r="AN170">
            <v>7625357</v>
          </cell>
          <cell r="AO170">
            <v>7617794</v>
          </cell>
          <cell r="AP170">
            <v>7596501</v>
          </cell>
          <cell r="AQ170">
            <v>7567745</v>
          </cell>
          <cell r="AR170">
            <v>7540401</v>
          </cell>
          <cell r="AS170">
            <v>7516346</v>
          </cell>
          <cell r="AT170">
            <v>7503433</v>
          </cell>
          <cell r="AU170">
            <v>7496522</v>
          </cell>
          <cell r="AV170">
            <v>7480591</v>
          </cell>
          <cell r="AW170">
            <v>7463157</v>
          </cell>
          <cell r="AX170">
            <v>7440769</v>
          </cell>
          <cell r="AY170">
            <v>7411569</v>
          </cell>
          <cell r="AZ170">
            <v>7381579</v>
          </cell>
          <cell r="BA170">
            <v>7350222</v>
          </cell>
          <cell r="BB170">
            <v>7320807</v>
          </cell>
          <cell r="BC170">
            <v>7291436</v>
          </cell>
          <cell r="BD170">
            <v>7234099</v>
          </cell>
          <cell r="BE170">
            <v>7199077</v>
          </cell>
          <cell r="BF170">
            <v>7164132</v>
          </cell>
          <cell r="BG170">
            <v>7130576</v>
          </cell>
          <cell r="BH170">
            <v>7095383</v>
          </cell>
          <cell r="BI170">
            <v>7058322</v>
          </cell>
          <cell r="BJ170">
            <v>7020858</v>
          </cell>
          <cell r="BK170">
            <v>6982604</v>
          </cell>
          <cell r="BL170">
            <v>6945235</v>
          </cell>
          <cell r="BM170">
            <v>6908224</v>
          </cell>
          <cell r="BN170">
            <v>6908224</v>
          </cell>
        </row>
        <row r="171">
          <cell r="B171" t="str">
            <v>SYC</v>
          </cell>
          <cell r="C171" t="str">
            <v>Population, total</v>
          </cell>
          <cell r="D171" t="str">
            <v>SP.POP.TOTL</v>
          </cell>
          <cell r="E171">
            <v>41700</v>
          </cell>
          <cell r="F171">
            <v>42889</v>
          </cell>
          <cell r="G171">
            <v>44042</v>
          </cell>
          <cell r="H171">
            <v>45176</v>
          </cell>
          <cell r="I171">
            <v>46322</v>
          </cell>
          <cell r="J171">
            <v>47500</v>
          </cell>
          <cell r="K171">
            <v>48699</v>
          </cell>
          <cell r="L171">
            <v>49911</v>
          </cell>
          <cell r="M171">
            <v>51134</v>
          </cell>
          <cell r="N171">
            <v>52365</v>
          </cell>
          <cell r="O171">
            <v>53600</v>
          </cell>
          <cell r="P171">
            <v>54695</v>
          </cell>
          <cell r="Q171">
            <v>56029</v>
          </cell>
          <cell r="R171">
            <v>56892</v>
          </cell>
          <cell r="S171">
            <v>57937</v>
          </cell>
          <cell r="T171">
            <v>59292</v>
          </cell>
          <cell r="U171">
            <v>60504</v>
          </cell>
          <cell r="V171">
            <v>61786</v>
          </cell>
          <cell r="W171">
            <v>62150</v>
          </cell>
          <cell r="X171">
            <v>62686</v>
          </cell>
          <cell r="Y171">
            <v>63261</v>
          </cell>
          <cell r="Z171">
            <v>64035</v>
          </cell>
          <cell r="AA171">
            <v>64413</v>
          </cell>
          <cell r="AB171">
            <v>64335</v>
          </cell>
          <cell r="AC171">
            <v>64717</v>
          </cell>
          <cell r="AD171">
            <v>65244</v>
          </cell>
          <cell r="AE171">
            <v>65652</v>
          </cell>
          <cell r="AF171">
            <v>68499</v>
          </cell>
          <cell r="AG171">
            <v>68755</v>
          </cell>
          <cell r="AH171">
            <v>69167</v>
          </cell>
          <cell r="AI171">
            <v>69507</v>
          </cell>
          <cell r="AJ171">
            <v>70439</v>
          </cell>
          <cell r="AK171">
            <v>70763</v>
          </cell>
          <cell r="AL171">
            <v>72253</v>
          </cell>
          <cell r="AM171">
            <v>74205</v>
          </cell>
          <cell r="AN171">
            <v>75304</v>
          </cell>
          <cell r="AO171">
            <v>76417</v>
          </cell>
          <cell r="AP171">
            <v>77319</v>
          </cell>
          <cell r="AQ171">
            <v>78846</v>
          </cell>
          <cell r="AR171">
            <v>80410</v>
          </cell>
          <cell r="AS171">
            <v>81131</v>
          </cell>
          <cell r="AT171">
            <v>81202</v>
          </cell>
          <cell r="AU171">
            <v>83723</v>
          </cell>
          <cell r="AV171">
            <v>82781</v>
          </cell>
          <cell r="AW171">
            <v>82475</v>
          </cell>
          <cell r="AX171">
            <v>82858</v>
          </cell>
          <cell r="AY171">
            <v>84600</v>
          </cell>
          <cell r="AZ171">
            <v>85033</v>
          </cell>
          <cell r="BA171">
            <v>86956</v>
          </cell>
          <cell r="BB171">
            <v>87298</v>
          </cell>
          <cell r="BC171">
            <v>89770</v>
          </cell>
          <cell r="BD171">
            <v>87441</v>
          </cell>
          <cell r="BE171">
            <v>88303</v>
          </cell>
          <cell r="BF171">
            <v>89949</v>
          </cell>
          <cell r="BG171">
            <v>91359</v>
          </cell>
          <cell r="BH171">
            <v>93419</v>
          </cell>
          <cell r="BI171">
            <v>94677</v>
          </cell>
          <cell r="BJ171">
            <v>95843</v>
          </cell>
          <cell r="BK171">
            <v>96762</v>
          </cell>
          <cell r="BL171">
            <v>97625</v>
          </cell>
          <cell r="BM171">
            <v>98462</v>
          </cell>
          <cell r="BN171">
            <v>98462</v>
          </cell>
        </row>
        <row r="172">
          <cell r="B172" t="str">
            <v>SLE</v>
          </cell>
          <cell r="C172" t="str">
            <v>Population, total</v>
          </cell>
          <cell r="D172" t="str">
            <v>SP.POP.TOTL</v>
          </cell>
          <cell r="E172">
            <v>2317638</v>
          </cell>
          <cell r="F172">
            <v>2352370</v>
          </cell>
          <cell r="G172">
            <v>2388759</v>
          </cell>
          <cell r="H172">
            <v>2426864</v>
          </cell>
          <cell r="I172">
            <v>2466671</v>
          </cell>
          <cell r="J172">
            <v>2508226</v>
          </cell>
          <cell r="K172">
            <v>2551580</v>
          </cell>
          <cell r="L172">
            <v>2596798</v>
          </cell>
          <cell r="M172">
            <v>2644011</v>
          </cell>
          <cell r="N172">
            <v>2693344</v>
          </cell>
          <cell r="O172">
            <v>2744890</v>
          </cell>
          <cell r="P172">
            <v>2798727</v>
          </cell>
          <cell r="Q172">
            <v>2854866</v>
          </cell>
          <cell r="R172">
            <v>2913347</v>
          </cell>
          <cell r="S172">
            <v>2974105</v>
          </cell>
          <cell r="T172">
            <v>3037158</v>
          </cell>
          <cell r="U172">
            <v>3102595</v>
          </cell>
          <cell r="V172">
            <v>3170503</v>
          </cell>
          <cell r="W172">
            <v>3240841</v>
          </cell>
          <cell r="X172">
            <v>3313506</v>
          </cell>
          <cell r="Y172">
            <v>3388494</v>
          </cell>
          <cell r="Z172">
            <v>3464113</v>
          </cell>
          <cell r="AA172">
            <v>3540164</v>
          </cell>
          <cell r="AB172">
            <v>3619854</v>
          </cell>
          <cell r="AC172">
            <v>3707513</v>
          </cell>
          <cell r="AD172">
            <v>3805304</v>
          </cell>
          <cell r="AE172">
            <v>3916685</v>
          </cell>
          <cell r="AF172">
            <v>4038154</v>
          </cell>
          <cell r="AG172">
            <v>4156636</v>
          </cell>
          <cell r="AH172">
            <v>4254434</v>
          </cell>
          <cell r="AI172">
            <v>4319763</v>
          </cell>
          <cell r="AJ172">
            <v>4348663</v>
          </cell>
          <cell r="AK172">
            <v>4347727</v>
          </cell>
          <cell r="AL172">
            <v>4328965</v>
          </cell>
          <cell r="AM172">
            <v>4309780</v>
          </cell>
          <cell r="AN172">
            <v>4303953</v>
          </cell>
          <cell r="AO172">
            <v>4312660</v>
          </cell>
          <cell r="AP172">
            <v>4335295</v>
          </cell>
          <cell r="AQ172">
            <v>4381484</v>
          </cell>
          <cell r="AR172">
            <v>4462374</v>
          </cell>
          <cell r="AS172">
            <v>4584570</v>
          </cell>
          <cell r="AT172">
            <v>4754069</v>
          </cell>
          <cell r="AU172">
            <v>4965770</v>
          </cell>
          <cell r="AV172">
            <v>5201074</v>
          </cell>
          <cell r="AW172">
            <v>5433995</v>
          </cell>
          <cell r="AX172">
            <v>5645629</v>
          </cell>
          <cell r="AY172">
            <v>5829240</v>
          </cell>
          <cell r="AZ172">
            <v>5989641</v>
          </cell>
          <cell r="BA172">
            <v>6133599</v>
          </cell>
          <cell r="BB172">
            <v>6272735</v>
          </cell>
          <cell r="BC172">
            <v>6415636</v>
          </cell>
          <cell r="BD172">
            <v>6563238</v>
          </cell>
          <cell r="BE172">
            <v>6712586</v>
          </cell>
          <cell r="BF172">
            <v>6863975</v>
          </cell>
          <cell r="BG172">
            <v>7017153</v>
          </cell>
          <cell r="BH172">
            <v>7171909</v>
          </cell>
          <cell r="BI172">
            <v>7328846</v>
          </cell>
          <cell r="BJ172">
            <v>7488427</v>
          </cell>
          <cell r="BK172">
            <v>7650149</v>
          </cell>
          <cell r="BL172">
            <v>7813207</v>
          </cell>
          <cell r="BM172">
            <v>7976985</v>
          </cell>
          <cell r="BN172">
            <v>7976985</v>
          </cell>
        </row>
        <row r="173">
          <cell r="B173" t="str">
            <v>SGP</v>
          </cell>
          <cell r="C173" t="str">
            <v>Population, total</v>
          </cell>
          <cell r="D173" t="str">
            <v>SP.POP.TOTL</v>
          </cell>
          <cell r="E173">
            <v>1646400</v>
          </cell>
          <cell r="F173">
            <v>1702400</v>
          </cell>
          <cell r="G173">
            <v>1750200</v>
          </cell>
          <cell r="H173">
            <v>1795000</v>
          </cell>
          <cell r="I173">
            <v>1841600</v>
          </cell>
          <cell r="J173">
            <v>1886900</v>
          </cell>
          <cell r="K173">
            <v>1934400</v>
          </cell>
          <cell r="L173">
            <v>1977600</v>
          </cell>
          <cell r="M173">
            <v>2012000</v>
          </cell>
          <cell r="N173">
            <v>2042500</v>
          </cell>
          <cell r="O173">
            <v>2074507</v>
          </cell>
          <cell r="P173">
            <v>2112900</v>
          </cell>
          <cell r="Q173">
            <v>2152400</v>
          </cell>
          <cell r="R173">
            <v>2193000</v>
          </cell>
          <cell r="S173">
            <v>2229800</v>
          </cell>
          <cell r="T173">
            <v>2262600</v>
          </cell>
          <cell r="U173">
            <v>2293300</v>
          </cell>
          <cell r="V173">
            <v>2325300</v>
          </cell>
          <cell r="W173">
            <v>2353600</v>
          </cell>
          <cell r="X173">
            <v>2383500</v>
          </cell>
          <cell r="Y173">
            <v>2413945</v>
          </cell>
          <cell r="Z173">
            <v>2532835</v>
          </cell>
          <cell r="AA173">
            <v>2646466</v>
          </cell>
          <cell r="AB173">
            <v>2681061</v>
          </cell>
          <cell r="AC173">
            <v>2732221</v>
          </cell>
          <cell r="AD173">
            <v>2735957</v>
          </cell>
          <cell r="AE173">
            <v>2733373</v>
          </cell>
          <cell r="AF173">
            <v>2774789</v>
          </cell>
          <cell r="AG173">
            <v>2846108</v>
          </cell>
          <cell r="AH173">
            <v>2930901</v>
          </cell>
          <cell r="AI173">
            <v>3047132</v>
          </cell>
          <cell r="AJ173">
            <v>3135083</v>
          </cell>
          <cell r="AK173">
            <v>3230698</v>
          </cell>
          <cell r="AL173">
            <v>3313471</v>
          </cell>
          <cell r="AM173">
            <v>3419048</v>
          </cell>
          <cell r="AN173">
            <v>3524506</v>
          </cell>
          <cell r="AO173">
            <v>3670704</v>
          </cell>
          <cell r="AP173">
            <v>3796038</v>
          </cell>
          <cell r="AQ173">
            <v>3927213</v>
          </cell>
          <cell r="AR173">
            <v>3958723</v>
          </cell>
          <cell r="AS173">
            <v>4027887</v>
          </cell>
          <cell r="AT173">
            <v>4138012</v>
          </cell>
          <cell r="AU173">
            <v>4175950</v>
          </cell>
          <cell r="AV173">
            <v>4114826</v>
          </cell>
          <cell r="AW173">
            <v>4166664</v>
          </cell>
          <cell r="AX173">
            <v>4265762</v>
          </cell>
          <cell r="AY173">
            <v>4401365</v>
          </cell>
          <cell r="AZ173">
            <v>4588599</v>
          </cell>
          <cell r="BA173">
            <v>4839396</v>
          </cell>
          <cell r="BB173">
            <v>4987573</v>
          </cell>
          <cell r="BC173">
            <v>5076732</v>
          </cell>
          <cell r="BD173">
            <v>5183688</v>
          </cell>
          <cell r="BE173">
            <v>5312437</v>
          </cell>
          <cell r="BF173">
            <v>5399162</v>
          </cell>
          <cell r="BG173">
            <v>5469724</v>
          </cell>
          <cell r="BH173">
            <v>5535002</v>
          </cell>
          <cell r="BI173">
            <v>5607283</v>
          </cell>
          <cell r="BJ173">
            <v>5612253</v>
          </cell>
          <cell r="BK173">
            <v>5638676</v>
          </cell>
          <cell r="BL173">
            <v>5703569</v>
          </cell>
          <cell r="BM173">
            <v>5685807</v>
          </cell>
          <cell r="BN173">
            <v>5685807</v>
          </cell>
        </row>
        <row r="174">
          <cell r="B174" t="str">
            <v>SXM</v>
          </cell>
          <cell r="C174" t="str">
            <v>Population, total</v>
          </cell>
          <cell r="D174" t="str">
            <v>SP.POP.TOTL</v>
          </cell>
          <cell r="E174">
            <v>2833</v>
          </cell>
          <cell r="F174">
            <v>3077</v>
          </cell>
          <cell r="G174">
            <v>3367</v>
          </cell>
          <cell r="H174">
            <v>3703</v>
          </cell>
          <cell r="I174">
            <v>4063</v>
          </cell>
          <cell r="J174">
            <v>4460</v>
          </cell>
          <cell r="K174">
            <v>4895</v>
          </cell>
          <cell r="L174">
            <v>5362</v>
          </cell>
          <cell r="M174">
            <v>5857</v>
          </cell>
          <cell r="N174">
            <v>6354</v>
          </cell>
          <cell r="O174">
            <v>6854</v>
          </cell>
          <cell r="P174">
            <v>7372</v>
          </cell>
          <cell r="Q174">
            <v>7892</v>
          </cell>
          <cell r="R174">
            <v>8429</v>
          </cell>
          <cell r="S174">
            <v>8977</v>
          </cell>
          <cell r="T174">
            <v>9556</v>
          </cell>
          <cell r="U174">
            <v>10147</v>
          </cell>
          <cell r="V174">
            <v>10791</v>
          </cell>
          <cell r="W174">
            <v>11481</v>
          </cell>
          <cell r="X174">
            <v>12244</v>
          </cell>
          <cell r="Y174">
            <v>13097</v>
          </cell>
          <cell r="Z174">
            <v>14030</v>
          </cell>
          <cell r="AA174">
            <v>15032</v>
          </cell>
          <cell r="AB174">
            <v>16175</v>
          </cell>
          <cell r="AC174">
            <v>17517</v>
          </cell>
          <cell r="AD174">
            <v>19127</v>
          </cell>
          <cell r="AE174">
            <v>21028</v>
          </cell>
          <cell r="AF174">
            <v>23157</v>
          </cell>
          <cell r="AG174">
            <v>25334</v>
          </cell>
          <cell r="AH174">
            <v>27280</v>
          </cell>
          <cell r="AI174">
            <v>28814</v>
          </cell>
          <cell r="AJ174">
            <v>29852</v>
          </cell>
          <cell r="AK174">
            <v>30458</v>
          </cell>
          <cell r="AL174">
            <v>30765</v>
          </cell>
          <cell r="AM174">
            <v>30950</v>
          </cell>
          <cell r="AN174">
            <v>31164</v>
          </cell>
          <cell r="AO174">
            <v>31434</v>
          </cell>
          <cell r="AP174">
            <v>31731</v>
          </cell>
          <cell r="AQ174">
            <v>31240</v>
          </cell>
          <cell r="AR174">
            <v>31084</v>
          </cell>
          <cell r="AS174">
            <v>30519</v>
          </cell>
          <cell r="AT174">
            <v>30600</v>
          </cell>
          <cell r="AU174">
            <v>30777</v>
          </cell>
          <cell r="AV174">
            <v>31472</v>
          </cell>
          <cell r="AW174">
            <v>32488</v>
          </cell>
          <cell r="AX174">
            <v>33011</v>
          </cell>
          <cell r="AY174">
            <v>33441</v>
          </cell>
          <cell r="AZ174">
            <v>33811</v>
          </cell>
          <cell r="BA174">
            <v>33964</v>
          </cell>
          <cell r="BB174">
            <v>34238</v>
          </cell>
          <cell r="BC174">
            <v>34056</v>
          </cell>
          <cell r="BD174">
            <v>33435</v>
          </cell>
          <cell r="BE174">
            <v>34640</v>
          </cell>
          <cell r="BF174">
            <v>36607</v>
          </cell>
          <cell r="BG174">
            <v>37685</v>
          </cell>
          <cell r="BH174">
            <v>38825</v>
          </cell>
          <cell r="BI174">
            <v>39969</v>
          </cell>
          <cell r="BJ174">
            <v>40574</v>
          </cell>
          <cell r="BK174">
            <v>40654</v>
          </cell>
          <cell r="BL174">
            <v>40733</v>
          </cell>
          <cell r="BM174">
            <v>40812</v>
          </cell>
          <cell r="BN174">
            <v>40812</v>
          </cell>
        </row>
        <row r="175">
          <cell r="B175" t="str">
            <v>SVK</v>
          </cell>
          <cell r="C175" t="str">
            <v>Population, total</v>
          </cell>
          <cell r="D175" t="str">
            <v>SP.POP.TOTL</v>
          </cell>
          <cell r="E175">
            <v>4068095</v>
          </cell>
          <cell r="F175">
            <v>4191667</v>
          </cell>
          <cell r="G175">
            <v>4238188</v>
          </cell>
          <cell r="H175">
            <v>4282017</v>
          </cell>
          <cell r="I175">
            <v>4327341</v>
          </cell>
          <cell r="J175">
            <v>4370983</v>
          </cell>
          <cell r="K175">
            <v>4411666</v>
          </cell>
          <cell r="L175">
            <v>4449367</v>
          </cell>
          <cell r="M175">
            <v>4483915</v>
          </cell>
          <cell r="N175">
            <v>4518607</v>
          </cell>
          <cell r="O175">
            <v>4538223</v>
          </cell>
          <cell r="P175">
            <v>4557449</v>
          </cell>
          <cell r="Q175">
            <v>4596622</v>
          </cell>
          <cell r="R175">
            <v>4641445</v>
          </cell>
          <cell r="S175">
            <v>4689623</v>
          </cell>
          <cell r="T175">
            <v>4739105</v>
          </cell>
          <cell r="U175">
            <v>4789507</v>
          </cell>
          <cell r="V175">
            <v>4840501</v>
          </cell>
          <cell r="W175">
            <v>4890125</v>
          </cell>
          <cell r="X175">
            <v>4938973</v>
          </cell>
          <cell r="Y175">
            <v>4979815</v>
          </cell>
          <cell r="Z175">
            <v>5016105</v>
          </cell>
          <cell r="AA175">
            <v>5055099</v>
          </cell>
          <cell r="AB175">
            <v>5091971</v>
          </cell>
          <cell r="AC175">
            <v>5127097</v>
          </cell>
          <cell r="AD175">
            <v>5161768</v>
          </cell>
          <cell r="AE175">
            <v>5193838</v>
          </cell>
          <cell r="AF175">
            <v>5222840</v>
          </cell>
          <cell r="AG175">
            <v>5250596</v>
          </cell>
          <cell r="AH175">
            <v>5275942</v>
          </cell>
          <cell r="AI175">
            <v>5299187</v>
          </cell>
          <cell r="AJ175">
            <v>5303294</v>
          </cell>
          <cell r="AK175">
            <v>5305016</v>
          </cell>
          <cell r="AL175">
            <v>5325305</v>
          </cell>
          <cell r="AM175">
            <v>5346331</v>
          </cell>
          <cell r="AN175">
            <v>5361999</v>
          </cell>
          <cell r="AO175">
            <v>5373361</v>
          </cell>
          <cell r="AP175">
            <v>5383291</v>
          </cell>
          <cell r="AQ175">
            <v>5390516</v>
          </cell>
          <cell r="AR175">
            <v>5396020</v>
          </cell>
          <cell r="AS175">
            <v>5388720</v>
          </cell>
          <cell r="AT175">
            <v>5378867</v>
          </cell>
          <cell r="AU175">
            <v>5376912</v>
          </cell>
          <cell r="AV175">
            <v>5373374</v>
          </cell>
          <cell r="AW175">
            <v>5372280</v>
          </cell>
          <cell r="AX175">
            <v>5372807</v>
          </cell>
          <cell r="AY175">
            <v>5373054</v>
          </cell>
          <cell r="AZ175">
            <v>5374622</v>
          </cell>
          <cell r="BA175">
            <v>5379233</v>
          </cell>
          <cell r="BB175">
            <v>5386406</v>
          </cell>
          <cell r="BC175">
            <v>5391428</v>
          </cell>
          <cell r="BD175">
            <v>5398384</v>
          </cell>
          <cell r="BE175">
            <v>5407579</v>
          </cell>
          <cell r="BF175">
            <v>5413393</v>
          </cell>
          <cell r="BG175">
            <v>5418649</v>
          </cell>
          <cell r="BH175">
            <v>5423801</v>
          </cell>
          <cell r="BI175">
            <v>5430798</v>
          </cell>
          <cell r="BJ175">
            <v>5439232</v>
          </cell>
          <cell r="BK175">
            <v>5446771</v>
          </cell>
          <cell r="BL175">
            <v>5454147</v>
          </cell>
          <cell r="BM175">
            <v>5458827</v>
          </cell>
          <cell r="BN175">
            <v>5458827</v>
          </cell>
        </row>
        <row r="176">
          <cell r="B176" t="str">
            <v>SVN</v>
          </cell>
          <cell r="C176" t="str">
            <v>Population, total</v>
          </cell>
          <cell r="D176" t="str">
            <v>SP.POP.TOTL</v>
          </cell>
          <cell r="E176">
            <v>1584720</v>
          </cell>
          <cell r="F176">
            <v>1594131</v>
          </cell>
          <cell r="G176">
            <v>1603649</v>
          </cell>
          <cell r="H176">
            <v>1616971</v>
          </cell>
          <cell r="I176">
            <v>1632114</v>
          </cell>
          <cell r="J176">
            <v>1649160</v>
          </cell>
          <cell r="K176">
            <v>1669905</v>
          </cell>
          <cell r="L176">
            <v>1689528</v>
          </cell>
          <cell r="M176">
            <v>1704546</v>
          </cell>
          <cell r="N176">
            <v>1713874</v>
          </cell>
          <cell r="O176">
            <v>1724891</v>
          </cell>
          <cell r="P176">
            <v>1738335</v>
          </cell>
          <cell r="Q176">
            <v>1752233</v>
          </cell>
          <cell r="R176">
            <v>1766697</v>
          </cell>
          <cell r="S176">
            <v>1776132</v>
          </cell>
          <cell r="T176">
            <v>1793581</v>
          </cell>
          <cell r="U176">
            <v>1820249</v>
          </cell>
          <cell r="V176">
            <v>1842377</v>
          </cell>
          <cell r="W176">
            <v>1862548</v>
          </cell>
          <cell r="X176">
            <v>1882599</v>
          </cell>
          <cell r="Y176">
            <v>1901315</v>
          </cell>
          <cell r="Z176">
            <v>1906531</v>
          </cell>
          <cell r="AA176">
            <v>1910334</v>
          </cell>
          <cell r="AB176">
            <v>1922321</v>
          </cell>
          <cell r="AC176">
            <v>1932154</v>
          </cell>
          <cell r="AD176">
            <v>1941641</v>
          </cell>
          <cell r="AE176">
            <v>1965964</v>
          </cell>
          <cell r="AF176">
            <v>1989776</v>
          </cell>
          <cell r="AG176">
            <v>1995196</v>
          </cell>
          <cell r="AH176">
            <v>1996351</v>
          </cell>
          <cell r="AI176">
            <v>1998161</v>
          </cell>
          <cell r="AJ176">
            <v>1999429</v>
          </cell>
          <cell r="AK176">
            <v>1996498</v>
          </cell>
          <cell r="AL176">
            <v>1991746</v>
          </cell>
          <cell r="AM176">
            <v>1989443</v>
          </cell>
          <cell r="AN176">
            <v>1989872</v>
          </cell>
          <cell r="AO176">
            <v>1988628</v>
          </cell>
          <cell r="AP176">
            <v>1985956</v>
          </cell>
          <cell r="AQ176">
            <v>1981629</v>
          </cell>
          <cell r="AR176">
            <v>1983045</v>
          </cell>
          <cell r="AS176">
            <v>1988925</v>
          </cell>
          <cell r="AT176">
            <v>1992060</v>
          </cell>
          <cell r="AU176">
            <v>1994530</v>
          </cell>
          <cell r="AV176">
            <v>1995733</v>
          </cell>
          <cell r="AW176">
            <v>1997012</v>
          </cell>
          <cell r="AX176">
            <v>2000474</v>
          </cell>
          <cell r="AY176">
            <v>2006868</v>
          </cell>
          <cell r="AZ176">
            <v>2018122</v>
          </cell>
          <cell r="BA176">
            <v>2021316</v>
          </cell>
          <cell r="BB176">
            <v>2039669</v>
          </cell>
          <cell r="BC176">
            <v>2048583</v>
          </cell>
          <cell r="BD176">
            <v>2052843</v>
          </cell>
          <cell r="BE176">
            <v>2057159</v>
          </cell>
          <cell r="BF176">
            <v>2059953</v>
          </cell>
          <cell r="BG176">
            <v>2061980</v>
          </cell>
          <cell r="BH176">
            <v>2063531</v>
          </cell>
          <cell r="BI176">
            <v>2065042</v>
          </cell>
          <cell r="BJ176">
            <v>2066388</v>
          </cell>
          <cell r="BK176">
            <v>2073894</v>
          </cell>
          <cell r="BL176">
            <v>2088385</v>
          </cell>
          <cell r="BM176">
            <v>2100126</v>
          </cell>
          <cell r="BN176">
            <v>2100126</v>
          </cell>
        </row>
        <row r="177">
          <cell r="B177" t="str">
            <v>SLB</v>
          </cell>
          <cell r="C177" t="str">
            <v>Population, total</v>
          </cell>
          <cell r="D177" t="str">
            <v>SP.POP.TOTL</v>
          </cell>
          <cell r="E177">
            <v>117847</v>
          </cell>
          <cell r="F177">
            <v>121385</v>
          </cell>
          <cell r="G177">
            <v>125040</v>
          </cell>
          <cell r="H177">
            <v>128838</v>
          </cell>
          <cell r="I177">
            <v>132766</v>
          </cell>
          <cell r="J177">
            <v>136815</v>
          </cell>
          <cell r="K177">
            <v>140995</v>
          </cell>
          <cell r="L177">
            <v>145319</v>
          </cell>
          <cell r="M177">
            <v>149887</v>
          </cell>
          <cell r="N177">
            <v>154830</v>
          </cell>
          <cell r="O177">
            <v>160240</v>
          </cell>
          <cell r="P177">
            <v>166163</v>
          </cell>
          <cell r="Q177">
            <v>172550</v>
          </cell>
          <cell r="R177">
            <v>179306</v>
          </cell>
          <cell r="S177">
            <v>186297</v>
          </cell>
          <cell r="T177">
            <v>193401</v>
          </cell>
          <cell r="U177">
            <v>200602</v>
          </cell>
          <cell r="V177">
            <v>207885</v>
          </cell>
          <cell r="W177">
            <v>215299</v>
          </cell>
          <cell r="X177">
            <v>222841</v>
          </cell>
          <cell r="Y177">
            <v>230550</v>
          </cell>
          <cell r="Z177">
            <v>238423</v>
          </cell>
          <cell r="AA177">
            <v>246451</v>
          </cell>
          <cell r="AB177">
            <v>254566</v>
          </cell>
          <cell r="AC177">
            <v>262691</v>
          </cell>
          <cell r="AD177">
            <v>270787</v>
          </cell>
          <cell r="AE177">
            <v>278834</v>
          </cell>
          <cell r="AF177">
            <v>286871</v>
          </cell>
          <cell r="AG177">
            <v>294976</v>
          </cell>
          <cell r="AH177">
            <v>303272</v>
          </cell>
          <cell r="AI177">
            <v>311869</v>
          </cell>
          <cell r="AJ177">
            <v>320781</v>
          </cell>
          <cell r="AK177">
            <v>330004</v>
          </cell>
          <cell r="AL177">
            <v>339501</v>
          </cell>
          <cell r="AM177">
            <v>349273</v>
          </cell>
          <cell r="AN177">
            <v>359276</v>
          </cell>
          <cell r="AO177">
            <v>369517</v>
          </cell>
          <cell r="AP177">
            <v>379998</v>
          </cell>
          <cell r="AQ177">
            <v>390702</v>
          </cell>
          <cell r="AR177">
            <v>401592</v>
          </cell>
          <cell r="AS177">
            <v>412665</v>
          </cell>
          <cell r="AT177">
            <v>423949</v>
          </cell>
          <cell r="AU177">
            <v>435434</v>
          </cell>
          <cell r="AV177">
            <v>447016</v>
          </cell>
          <cell r="AW177">
            <v>458549</v>
          </cell>
          <cell r="AX177">
            <v>469918</v>
          </cell>
          <cell r="AY177">
            <v>481086</v>
          </cell>
          <cell r="AZ177">
            <v>492133</v>
          </cell>
          <cell r="BA177">
            <v>503366</v>
          </cell>
          <cell r="BB177">
            <v>515182</v>
          </cell>
          <cell r="BC177">
            <v>527861</v>
          </cell>
          <cell r="BD177">
            <v>541522</v>
          </cell>
          <cell r="BE177">
            <v>556066</v>
          </cell>
          <cell r="BF177">
            <v>571329</v>
          </cell>
          <cell r="BG177">
            <v>587079</v>
          </cell>
          <cell r="BH177">
            <v>603133</v>
          </cell>
          <cell r="BI177">
            <v>619438</v>
          </cell>
          <cell r="BJ177">
            <v>636030</v>
          </cell>
          <cell r="BK177">
            <v>652856</v>
          </cell>
          <cell r="BL177">
            <v>669821</v>
          </cell>
          <cell r="BM177">
            <v>686878</v>
          </cell>
          <cell r="BN177">
            <v>686878</v>
          </cell>
        </row>
        <row r="178">
          <cell r="B178" t="str">
            <v>SOM</v>
          </cell>
          <cell r="C178" t="str">
            <v>Population, total</v>
          </cell>
          <cell r="D178" t="str">
            <v>SP.POP.TOTL</v>
          </cell>
          <cell r="E178">
            <v>2755967</v>
          </cell>
          <cell r="F178">
            <v>2814125</v>
          </cell>
          <cell r="G178">
            <v>2874215</v>
          </cell>
          <cell r="H178">
            <v>2936478</v>
          </cell>
          <cell r="I178">
            <v>3001160</v>
          </cell>
          <cell r="J178">
            <v>3068465</v>
          </cell>
          <cell r="K178">
            <v>3143654</v>
          </cell>
          <cell r="L178">
            <v>3227835</v>
          </cell>
          <cell r="M178">
            <v>3312735</v>
          </cell>
          <cell r="N178">
            <v>3386736</v>
          </cell>
          <cell r="O178">
            <v>3444569</v>
          </cell>
          <cell r="P178">
            <v>3472357</v>
          </cell>
          <cell r="Q178">
            <v>3479792</v>
          </cell>
          <cell r="R178">
            <v>3512626</v>
          </cell>
          <cell r="S178">
            <v>3632986</v>
          </cell>
          <cell r="T178">
            <v>3880285</v>
          </cell>
          <cell r="U178">
            <v>4278974</v>
          </cell>
          <cell r="V178">
            <v>4802134</v>
          </cell>
          <cell r="W178">
            <v>5375018</v>
          </cell>
          <cell r="X178">
            <v>5892763</v>
          </cell>
          <cell r="Y178">
            <v>6281138</v>
          </cell>
          <cell r="Z178">
            <v>6511115</v>
          </cell>
          <cell r="AA178">
            <v>6608040</v>
          </cell>
          <cell r="AB178">
            <v>6618594</v>
          </cell>
          <cell r="AC178">
            <v>6614713</v>
          </cell>
          <cell r="AD178">
            <v>6648628</v>
          </cell>
          <cell r="AE178">
            <v>6736751</v>
          </cell>
          <cell r="AF178">
            <v>6862267</v>
          </cell>
          <cell r="AG178">
            <v>7005226</v>
          </cell>
          <cell r="AH178">
            <v>7133263</v>
          </cell>
          <cell r="AI178">
            <v>7225089</v>
          </cell>
          <cell r="AJ178">
            <v>7274026</v>
          </cell>
          <cell r="AK178">
            <v>7295380</v>
          </cell>
          <cell r="AL178">
            <v>7315864</v>
          </cell>
          <cell r="AM178">
            <v>7372592</v>
          </cell>
          <cell r="AN178">
            <v>7491647</v>
          </cell>
          <cell r="AO178">
            <v>7682683</v>
          </cell>
          <cell r="AP178">
            <v>7936122</v>
          </cell>
          <cell r="AQ178">
            <v>8235064</v>
          </cell>
          <cell r="AR178">
            <v>8553595</v>
          </cell>
          <cell r="AS178">
            <v>8872250</v>
          </cell>
          <cell r="AT178">
            <v>9186719</v>
          </cell>
          <cell r="AU178">
            <v>9501335</v>
          </cell>
          <cell r="AV178">
            <v>9815412</v>
          </cell>
          <cell r="AW178">
            <v>10130251</v>
          </cell>
          <cell r="AX178">
            <v>10446856</v>
          </cell>
          <cell r="AY178">
            <v>10763904</v>
          </cell>
          <cell r="AZ178">
            <v>11080122</v>
          </cell>
          <cell r="BA178">
            <v>11397188</v>
          </cell>
          <cell r="BB178">
            <v>11717691</v>
          </cell>
          <cell r="BC178">
            <v>12043886</v>
          </cell>
          <cell r="BD178">
            <v>12376305</v>
          </cell>
          <cell r="BE178">
            <v>12715487</v>
          </cell>
          <cell r="BF178">
            <v>13063711</v>
          </cell>
          <cell r="BG178">
            <v>13423571</v>
          </cell>
          <cell r="BH178">
            <v>13797204</v>
          </cell>
          <cell r="BI178">
            <v>14185635</v>
          </cell>
          <cell r="BJ178">
            <v>14589165</v>
          </cell>
          <cell r="BK178">
            <v>15008225</v>
          </cell>
          <cell r="BL178">
            <v>15442906</v>
          </cell>
          <cell r="BM178">
            <v>15893219</v>
          </cell>
          <cell r="BN178">
            <v>15893219</v>
          </cell>
        </row>
        <row r="179">
          <cell r="B179" t="str">
            <v>ZAF</v>
          </cell>
          <cell r="C179" t="str">
            <v>Population, total</v>
          </cell>
          <cell r="D179" t="str">
            <v>SP.POP.TOTL</v>
          </cell>
          <cell r="E179">
            <v>17099836</v>
          </cell>
          <cell r="F179">
            <v>17524533</v>
          </cell>
          <cell r="G179">
            <v>17965733</v>
          </cell>
          <cell r="H179">
            <v>18423157</v>
          </cell>
          <cell r="I179">
            <v>18896303</v>
          </cell>
          <cell r="J179">
            <v>19384838</v>
          </cell>
          <cell r="K179">
            <v>19888259</v>
          </cell>
          <cell r="L179">
            <v>20406863</v>
          </cell>
          <cell r="M179">
            <v>20942147</v>
          </cell>
          <cell r="N179">
            <v>21496075</v>
          </cell>
          <cell r="O179">
            <v>22069783</v>
          </cell>
          <cell r="P179">
            <v>22665265</v>
          </cell>
          <cell r="Q179">
            <v>23281517</v>
          </cell>
          <cell r="R179">
            <v>23913090</v>
          </cell>
          <cell r="S179">
            <v>24552540</v>
          </cell>
          <cell r="T179">
            <v>25195184</v>
          </cell>
          <cell r="U179">
            <v>25836890</v>
          </cell>
          <cell r="V179">
            <v>26480915</v>
          </cell>
          <cell r="W179">
            <v>27138966</v>
          </cell>
          <cell r="X179">
            <v>27827325</v>
          </cell>
          <cell r="Y179">
            <v>28556771</v>
          </cell>
          <cell r="Z179">
            <v>29333095</v>
          </cell>
          <cell r="AA179">
            <v>30150448</v>
          </cell>
          <cell r="AB179">
            <v>30993762</v>
          </cell>
          <cell r="AC179">
            <v>31841588</v>
          </cell>
          <cell r="AD179">
            <v>32678876</v>
          </cell>
          <cell r="AE179">
            <v>33495956</v>
          </cell>
          <cell r="AF179">
            <v>34297727</v>
          </cell>
          <cell r="AG179">
            <v>35100905</v>
          </cell>
          <cell r="AH179">
            <v>35930056</v>
          </cell>
          <cell r="AI179">
            <v>36800507</v>
          </cell>
          <cell r="AJ179">
            <v>37718952</v>
          </cell>
          <cell r="AK179">
            <v>38672611</v>
          </cell>
          <cell r="AL179">
            <v>39633754</v>
          </cell>
          <cell r="AM179">
            <v>40564061</v>
          </cell>
          <cell r="AN179">
            <v>41435761</v>
          </cell>
          <cell r="AO179">
            <v>42241007</v>
          </cell>
          <cell r="AP179">
            <v>42987456</v>
          </cell>
          <cell r="AQ179">
            <v>43682259</v>
          </cell>
          <cell r="AR179">
            <v>44338551</v>
          </cell>
          <cell r="AS179">
            <v>44967713</v>
          </cell>
          <cell r="AT179">
            <v>45571272</v>
          </cell>
          <cell r="AU179">
            <v>46150913</v>
          </cell>
          <cell r="AV179">
            <v>46719203</v>
          </cell>
          <cell r="AW179">
            <v>47291610</v>
          </cell>
          <cell r="AX179">
            <v>47880595</v>
          </cell>
          <cell r="AY179">
            <v>48489464</v>
          </cell>
          <cell r="AZ179">
            <v>49119766</v>
          </cell>
          <cell r="BA179">
            <v>49779472</v>
          </cell>
          <cell r="BB179">
            <v>50477013</v>
          </cell>
          <cell r="BC179">
            <v>51216967</v>
          </cell>
          <cell r="BD179">
            <v>52003759</v>
          </cell>
          <cell r="BE179">
            <v>52832659</v>
          </cell>
          <cell r="BF179">
            <v>53687125</v>
          </cell>
          <cell r="BG179">
            <v>54544184</v>
          </cell>
          <cell r="BH179">
            <v>55386369</v>
          </cell>
          <cell r="BI179">
            <v>56207649</v>
          </cell>
          <cell r="BJ179">
            <v>57009751</v>
          </cell>
          <cell r="BK179">
            <v>57792520</v>
          </cell>
          <cell r="BL179">
            <v>58558267</v>
          </cell>
          <cell r="BM179">
            <v>59308690</v>
          </cell>
          <cell r="BN179">
            <v>59308690</v>
          </cell>
        </row>
        <row r="180">
          <cell r="B180" t="str">
            <v>SSD</v>
          </cell>
          <cell r="C180" t="str">
            <v>Population, total</v>
          </cell>
          <cell r="D180" t="str">
            <v>SP.POP.TOTL</v>
          </cell>
          <cell r="E180">
            <v>2842718</v>
          </cell>
          <cell r="F180">
            <v>2895609</v>
          </cell>
          <cell r="G180">
            <v>2951041</v>
          </cell>
          <cell r="H180">
            <v>3009061</v>
          </cell>
          <cell r="I180">
            <v>3069735</v>
          </cell>
          <cell r="J180">
            <v>3133155</v>
          </cell>
          <cell r="K180">
            <v>3199348</v>
          </cell>
          <cell r="L180">
            <v>3268392</v>
          </cell>
          <cell r="M180">
            <v>3340426</v>
          </cell>
          <cell r="N180">
            <v>3415572</v>
          </cell>
          <cell r="O180">
            <v>3494011</v>
          </cell>
          <cell r="P180">
            <v>3575896</v>
          </cell>
          <cell r="Q180">
            <v>3661442</v>
          </cell>
          <cell r="R180">
            <v>3750780</v>
          </cell>
          <cell r="S180">
            <v>3844094</v>
          </cell>
          <cell r="T180">
            <v>3941613</v>
          </cell>
          <cell r="U180">
            <v>4041792</v>
          </cell>
          <cell r="V180">
            <v>4144552</v>
          </cell>
          <cell r="W180">
            <v>4253085</v>
          </cell>
          <cell r="X180">
            <v>4371711</v>
          </cell>
          <cell r="Y180">
            <v>4502603</v>
          </cell>
          <cell r="Z180">
            <v>4646478</v>
          </cell>
          <cell r="AA180">
            <v>4799435</v>
          </cell>
          <cell r="AB180">
            <v>4953154</v>
          </cell>
          <cell r="AC180">
            <v>5096478</v>
          </cell>
          <cell r="AD180">
            <v>5220748</v>
          </cell>
          <cell r="AE180">
            <v>5328167</v>
          </cell>
          <cell r="AF180">
            <v>5419808</v>
          </cell>
          <cell r="AG180">
            <v>5485288</v>
          </cell>
          <cell r="AH180">
            <v>5511582</v>
          </cell>
          <cell r="AI180">
            <v>5492620</v>
          </cell>
          <cell r="AJ180">
            <v>5420179</v>
          </cell>
          <cell r="AK180">
            <v>5305449</v>
          </cell>
          <cell r="AL180">
            <v>5185712</v>
          </cell>
          <cell r="AM180">
            <v>5111371</v>
          </cell>
          <cell r="AN180">
            <v>5118084</v>
          </cell>
          <cell r="AO180">
            <v>5221925</v>
          </cell>
          <cell r="AP180">
            <v>5411653</v>
          </cell>
          <cell r="AQ180">
            <v>5661934</v>
          </cell>
          <cell r="AR180">
            <v>5933884</v>
          </cell>
          <cell r="AS180">
            <v>6199396</v>
          </cell>
          <cell r="AT180">
            <v>6447791</v>
          </cell>
          <cell r="AU180">
            <v>6688225</v>
          </cell>
          <cell r="AV180">
            <v>6935665</v>
          </cell>
          <cell r="AW180">
            <v>7213354</v>
          </cell>
          <cell r="AX180">
            <v>7535931</v>
          </cell>
          <cell r="AY180">
            <v>7907407</v>
          </cell>
          <cell r="AZ180">
            <v>8315144</v>
          </cell>
          <cell r="BA180">
            <v>8736932</v>
          </cell>
          <cell r="BB180">
            <v>9142258</v>
          </cell>
          <cell r="BC180">
            <v>9508372</v>
          </cell>
          <cell r="BD180">
            <v>9830695</v>
          </cell>
          <cell r="BE180">
            <v>10113648</v>
          </cell>
          <cell r="BF180">
            <v>10355030</v>
          </cell>
          <cell r="BG180">
            <v>10554882</v>
          </cell>
          <cell r="BH180">
            <v>10715657</v>
          </cell>
          <cell r="BI180">
            <v>10832520</v>
          </cell>
          <cell r="BJ180">
            <v>10910774</v>
          </cell>
          <cell r="BK180">
            <v>10975924</v>
          </cell>
          <cell r="BL180">
            <v>11062114</v>
          </cell>
          <cell r="BM180">
            <v>11193729</v>
          </cell>
          <cell r="BN180">
            <v>11193729</v>
          </cell>
        </row>
        <row r="181">
          <cell r="B181" t="str">
            <v>ESP</v>
          </cell>
          <cell r="C181" t="str">
            <v>Population, total</v>
          </cell>
          <cell r="D181" t="str">
            <v>SP.POP.TOTL</v>
          </cell>
          <cell r="E181">
            <v>30455000</v>
          </cell>
          <cell r="F181">
            <v>30739250</v>
          </cell>
          <cell r="G181">
            <v>31023366</v>
          </cell>
          <cell r="H181">
            <v>31296651</v>
          </cell>
          <cell r="I181">
            <v>31609195</v>
          </cell>
          <cell r="J181">
            <v>31954292</v>
          </cell>
          <cell r="K181">
            <v>32283194</v>
          </cell>
          <cell r="L181">
            <v>32682947</v>
          </cell>
          <cell r="M181">
            <v>33113134</v>
          </cell>
          <cell r="N181">
            <v>33441054</v>
          </cell>
          <cell r="O181">
            <v>33814531</v>
          </cell>
          <cell r="P181">
            <v>34224490</v>
          </cell>
          <cell r="Q181">
            <v>34604469</v>
          </cell>
          <cell r="R181">
            <v>34988947</v>
          </cell>
          <cell r="S181">
            <v>35373335</v>
          </cell>
          <cell r="T181">
            <v>35757900</v>
          </cell>
          <cell r="U181">
            <v>36137812</v>
          </cell>
          <cell r="V181">
            <v>36511638</v>
          </cell>
          <cell r="W181">
            <v>36864898</v>
          </cell>
          <cell r="X181">
            <v>37191330</v>
          </cell>
          <cell r="Y181">
            <v>37491165</v>
          </cell>
          <cell r="Z181">
            <v>37758631</v>
          </cell>
          <cell r="AA181">
            <v>37986012</v>
          </cell>
          <cell r="AB181">
            <v>38171525</v>
          </cell>
          <cell r="AC181">
            <v>38330364</v>
          </cell>
          <cell r="AD181">
            <v>38469512</v>
          </cell>
          <cell r="AE181">
            <v>38584624</v>
          </cell>
          <cell r="AF181">
            <v>38684815</v>
          </cell>
          <cell r="AG181">
            <v>38766939</v>
          </cell>
          <cell r="AH181">
            <v>38827764</v>
          </cell>
          <cell r="AI181">
            <v>38867322</v>
          </cell>
          <cell r="AJ181">
            <v>38966376</v>
          </cell>
          <cell r="AK181">
            <v>39157685</v>
          </cell>
          <cell r="AL181">
            <v>39361262</v>
          </cell>
          <cell r="AM181">
            <v>39549108</v>
          </cell>
          <cell r="AN181">
            <v>39724050</v>
          </cell>
          <cell r="AO181">
            <v>39889852</v>
          </cell>
          <cell r="AP181">
            <v>40057389</v>
          </cell>
          <cell r="AQ181">
            <v>40223509</v>
          </cell>
          <cell r="AR181">
            <v>40386875</v>
          </cell>
          <cell r="AS181">
            <v>40567864</v>
          </cell>
          <cell r="AT181">
            <v>40850412</v>
          </cell>
          <cell r="AU181">
            <v>41431558</v>
          </cell>
          <cell r="AV181">
            <v>42187645</v>
          </cell>
          <cell r="AW181">
            <v>42921895</v>
          </cell>
          <cell r="AX181">
            <v>43653155</v>
          </cell>
          <cell r="AY181">
            <v>44397319</v>
          </cell>
          <cell r="AZ181">
            <v>45226803</v>
          </cell>
          <cell r="BA181">
            <v>45954106</v>
          </cell>
          <cell r="BB181">
            <v>46362946</v>
          </cell>
          <cell r="BC181">
            <v>46576897</v>
          </cell>
          <cell r="BD181">
            <v>46742697</v>
          </cell>
          <cell r="BE181">
            <v>46773055</v>
          </cell>
          <cell r="BF181">
            <v>46620045</v>
          </cell>
          <cell r="BG181">
            <v>46480882</v>
          </cell>
          <cell r="BH181">
            <v>46444832</v>
          </cell>
          <cell r="BI181">
            <v>46484062</v>
          </cell>
          <cell r="BJ181">
            <v>46593236</v>
          </cell>
          <cell r="BK181">
            <v>46797754</v>
          </cell>
          <cell r="BL181">
            <v>47133521</v>
          </cell>
          <cell r="BM181">
            <v>47351567</v>
          </cell>
          <cell r="BN181">
            <v>47351567</v>
          </cell>
        </row>
        <row r="182">
          <cell r="B182" t="str">
            <v>LKA</v>
          </cell>
          <cell r="C182" t="str">
            <v>Population, total</v>
          </cell>
          <cell r="D182" t="str">
            <v>SP.POP.TOTL</v>
          </cell>
          <cell r="E182">
            <v>9874476</v>
          </cell>
          <cell r="F182">
            <v>10111639</v>
          </cell>
          <cell r="G182">
            <v>10352180</v>
          </cell>
          <cell r="H182">
            <v>10597516</v>
          </cell>
          <cell r="I182">
            <v>10849977</v>
          </cell>
          <cell r="J182">
            <v>11110825</v>
          </cell>
          <cell r="K182">
            <v>11380665</v>
          </cell>
          <cell r="L182">
            <v>11657650</v>
          </cell>
          <cell r="M182">
            <v>11937607</v>
          </cell>
          <cell r="N182">
            <v>12214948</v>
          </cell>
          <cell r="O182">
            <v>12485736</v>
          </cell>
          <cell r="P182">
            <v>12747831</v>
          </cell>
          <cell r="Q182">
            <v>13002234</v>
          </cell>
          <cell r="R182">
            <v>13252033</v>
          </cell>
          <cell r="S182">
            <v>13501931</v>
          </cell>
          <cell r="T182">
            <v>13755141</v>
          </cell>
          <cell r="U182">
            <v>14012894</v>
          </cell>
          <cell r="V182">
            <v>14273495</v>
          </cell>
          <cell r="W182">
            <v>14533691</v>
          </cell>
          <cell r="X182">
            <v>14788866</v>
          </cell>
          <cell r="Y182">
            <v>15035840</v>
          </cell>
          <cell r="Z182">
            <v>15272822</v>
          </cell>
          <cell r="AA182">
            <v>15501210</v>
          </cell>
          <cell r="AB182">
            <v>15724641</v>
          </cell>
          <cell r="AC182">
            <v>15948501</v>
          </cell>
          <cell r="AD182">
            <v>16176282</v>
          </cell>
          <cell r="AE182">
            <v>16408861</v>
          </cell>
          <cell r="AF182">
            <v>16643956</v>
          </cell>
          <cell r="AG182">
            <v>16878186</v>
          </cell>
          <cell r="AH182">
            <v>17106752</v>
          </cell>
          <cell r="AI182">
            <v>17325769</v>
          </cell>
          <cell r="AJ182">
            <v>17535732</v>
          </cell>
          <cell r="AK182">
            <v>17736827</v>
          </cell>
          <cell r="AL182">
            <v>17924827</v>
          </cell>
          <cell r="AM182">
            <v>18094474</v>
          </cell>
          <cell r="AN182">
            <v>18242917</v>
          </cell>
          <cell r="AO182">
            <v>18367290</v>
          </cell>
          <cell r="AP182">
            <v>18470897</v>
          </cell>
          <cell r="AQ182">
            <v>18564595</v>
          </cell>
          <cell r="AR182">
            <v>18663293</v>
          </cell>
          <cell r="AS182">
            <v>18777606</v>
          </cell>
          <cell r="AT182">
            <v>18911727</v>
          </cell>
          <cell r="AU182">
            <v>19062476</v>
          </cell>
          <cell r="AV182">
            <v>19224036</v>
          </cell>
          <cell r="AW182">
            <v>19387153</v>
          </cell>
          <cell r="AX182">
            <v>19544988</v>
          </cell>
          <cell r="AY182">
            <v>19695977</v>
          </cell>
          <cell r="AZ182">
            <v>19842044</v>
          </cell>
          <cell r="BA182">
            <v>19983984</v>
          </cell>
          <cell r="BB182">
            <v>20123508</v>
          </cell>
          <cell r="BC182">
            <v>20261738</v>
          </cell>
          <cell r="BD182">
            <v>20398496</v>
          </cell>
          <cell r="BE182">
            <v>20425000</v>
          </cell>
          <cell r="BF182">
            <v>20585000</v>
          </cell>
          <cell r="BG182">
            <v>20778000</v>
          </cell>
          <cell r="BH182">
            <v>20970000</v>
          </cell>
          <cell r="BI182">
            <v>21203000</v>
          </cell>
          <cell r="BJ182">
            <v>21444000</v>
          </cell>
          <cell r="BK182">
            <v>21670000</v>
          </cell>
          <cell r="BL182">
            <v>21803000</v>
          </cell>
          <cell r="BM182">
            <v>21919000</v>
          </cell>
          <cell r="BN182">
            <v>21919000</v>
          </cell>
        </row>
        <row r="183">
          <cell r="B183" t="str">
            <v>KNA</v>
          </cell>
          <cell r="C183" t="str">
            <v>Population, total</v>
          </cell>
          <cell r="D183" t="str">
            <v>SP.POP.TOTL</v>
          </cell>
          <cell r="E183">
            <v>51199</v>
          </cell>
          <cell r="F183">
            <v>51196</v>
          </cell>
          <cell r="G183">
            <v>50961</v>
          </cell>
          <cell r="H183">
            <v>50529</v>
          </cell>
          <cell r="I183">
            <v>49928</v>
          </cell>
          <cell r="J183">
            <v>49209</v>
          </cell>
          <cell r="K183">
            <v>48351</v>
          </cell>
          <cell r="L183">
            <v>47388</v>
          </cell>
          <cell r="M183">
            <v>46399</v>
          </cell>
          <cell r="N183">
            <v>45529</v>
          </cell>
          <cell r="O183">
            <v>44878</v>
          </cell>
          <cell r="P183">
            <v>44489</v>
          </cell>
          <cell r="Q183">
            <v>44318</v>
          </cell>
          <cell r="R183">
            <v>44304</v>
          </cell>
          <cell r="S183">
            <v>44322</v>
          </cell>
          <cell r="T183">
            <v>44271</v>
          </cell>
          <cell r="U183">
            <v>44140</v>
          </cell>
          <cell r="V183">
            <v>43944</v>
          </cell>
          <cell r="W183">
            <v>43703</v>
          </cell>
          <cell r="X183">
            <v>43452</v>
          </cell>
          <cell r="Y183">
            <v>43201</v>
          </cell>
          <cell r="Z183">
            <v>42963</v>
          </cell>
          <cell r="AA183">
            <v>42733</v>
          </cell>
          <cell r="AB183">
            <v>42477</v>
          </cell>
          <cell r="AC183">
            <v>42198</v>
          </cell>
          <cell r="AD183">
            <v>41874</v>
          </cell>
          <cell r="AE183">
            <v>41479</v>
          </cell>
          <cell r="AF183">
            <v>41041</v>
          </cell>
          <cell r="AG183">
            <v>40633</v>
          </cell>
          <cell r="AH183">
            <v>40354</v>
          </cell>
          <cell r="AI183">
            <v>40260</v>
          </cell>
          <cell r="AJ183">
            <v>40381</v>
          </cell>
          <cell r="AK183">
            <v>40691</v>
          </cell>
          <cell r="AL183">
            <v>41141</v>
          </cell>
          <cell r="AM183">
            <v>41618</v>
          </cell>
          <cell r="AN183">
            <v>42077</v>
          </cell>
          <cell r="AO183">
            <v>42472</v>
          </cell>
          <cell r="AP183">
            <v>42857</v>
          </cell>
          <cell r="AQ183">
            <v>43225</v>
          </cell>
          <cell r="AR183">
            <v>43622</v>
          </cell>
          <cell r="AS183">
            <v>44083</v>
          </cell>
          <cell r="AT183">
            <v>44602</v>
          </cell>
          <cell r="AU183">
            <v>45168</v>
          </cell>
          <cell r="AV183">
            <v>45749</v>
          </cell>
          <cell r="AW183">
            <v>46323</v>
          </cell>
          <cell r="AX183">
            <v>46852</v>
          </cell>
          <cell r="AY183">
            <v>47333</v>
          </cell>
          <cell r="AZ183">
            <v>47769</v>
          </cell>
          <cell r="BA183">
            <v>48178</v>
          </cell>
          <cell r="BB183">
            <v>48599</v>
          </cell>
          <cell r="BC183">
            <v>49011</v>
          </cell>
          <cell r="BD183">
            <v>49442</v>
          </cell>
          <cell r="BE183">
            <v>49881</v>
          </cell>
          <cell r="BF183">
            <v>50328</v>
          </cell>
          <cell r="BG183">
            <v>50776</v>
          </cell>
          <cell r="BH183">
            <v>51204</v>
          </cell>
          <cell r="BI183">
            <v>51629</v>
          </cell>
          <cell r="BJ183">
            <v>52036</v>
          </cell>
          <cell r="BK183">
            <v>52438</v>
          </cell>
          <cell r="BL183">
            <v>52834</v>
          </cell>
          <cell r="BM183">
            <v>53192</v>
          </cell>
          <cell r="BN183">
            <v>53192</v>
          </cell>
        </row>
        <row r="184">
          <cell r="B184" t="str">
            <v>LCA</v>
          </cell>
          <cell r="C184" t="str">
            <v>Population, total</v>
          </cell>
          <cell r="D184" t="str">
            <v>SP.POP.TOTL</v>
          </cell>
          <cell r="E184">
            <v>89698</v>
          </cell>
          <cell r="F184">
            <v>90718</v>
          </cell>
          <cell r="G184">
            <v>91892</v>
          </cell>
          <cell r="H184">
            <v>93214</v>
          </cell>
          <cell r="I184">
            <v>94637</v>
          </cell>
          <cell r="J184">
            <v>96138</v>
          </cell>
          <cell r="K184">
            <v>97721</v>
          </cell>
          <cell r="L184">
            <v>99370</v>
          </cell>
          <cell r="M184">
            <v>101028</v>
          </cell>
          <cell r="N184">
            <v>102599</v>
          </cell>
          <cell r="O184">
            <v>104016</v>
          </cell>
          <cell r="P184">
            <v>105244</v>
          </cell>
          <cell r="Q184">
            <v>106303</v>
          </cell>
          <cell r="R184">
            <v>107311</v>
          </cell>
          <cell r="S184">
            <v>108389</v>
          </cell>
          <cell r="T184">
            <v>109634</v>
          </cell>
          <cell r="U184">
            <v>111074</v>
          </cell>
          <cell r="V184">
            <v>112685</v>
          </cell>
          <cell r="W184">
            <v>114398</v>
          </cell>
          <cell r="X184">
            <v>116148</v>
          </cell>
          <cell r="Y184">
            <v>117828</v>
          </cell>
          <cell r="Z184">
            <v>119435</v>
          </cell>
          <cell r="AA184">
            <v>120987</v>
          </cell>
          <cell r="AB184">
            <v>122571</v>
          </cell>
          <cell r="AC184">
            <v>124296</v>
          </cell>
          <cell r="AD184">
            <v>126246</v>
          </cell>
          <cell r="AE184">
            <v>128448</v>
          </cell>
          <cell r="AF184">
            <v>130868</v>
          </cell>
          <cell r="AG184">
            <v>133364</v>
          </cell>
          <cell r="AH184">
            <v>135787</v>
          </cell>
          <cell r="AI184">
            <v>138019</v>
          </cell>
          <cell r="AJ184">
            <v>140001</v>
          </cell>
          <cell r="AK184">
            <v>141758</v>
          </cell>
          <cell r="AL184">
            <v>143402</v>
          </cell>
          <cell r="AM184">
            <v>145080</v>
          </cell>
          <cell r="AN184">
            <v>146871</v>
          </cell>
          <cell r="AO184">
            <v>148837</v>
          </cell>
          <cell r="AP184">
            <v>150920</v>
          </cell>
          <cell r="AQ184">
            <v>153023</v>
          </cell>
          <cell r="AR184">
            <v>154988</v>
          </cell>
          <cell r="AS184">
            <v>156737</v>
          </cell>
          <cell r="AT184">
            <v>158184</v>
          </cell>
          <cell r="AU184">
            <v>159392</v>
          </cell>
          <cell r="AV184">
            <v>160530</v>
          </cell>
          <cell r="AW184">
            <v>161821</v>
          </cell>
          <cell r="AX184">
            <v>163408</v>
          </cell>
          <cell r="AY184">
            <v>165378</v>
          </cell>
          <cell r="AZ184">
            <v>167644</v>
          </cell>
          <cell r="BA184">
            <v>170011</v>
          </cell>
          <cell r="BB184">
            <v>172223</v>
          </cell>
          <cell r="BC184">
            <v>174092</v>
          </cell>
          <cell r="BD184">
            <v>175538</v>
          </cell>
          <cell r="BE184">
            <v>176654</v>
          </cell>
          <cell r="BF184">
            <v>177505</v>
          </cell>
          <cell r="BG184">
            <v>178307</v>
          </cell>
          <cell r="BH184">
            <v>179131</v>
          </cell>
          <cell r="BI184">
            <v>180028</v>
          </cell>
          <cell r="BJ184">
            <v>180955</v>
          </cell>
          <cell r="BK184">
            <v>181890</v>
          </cell>
          <cell r="BL184">
            <v>182795</v>
          </cell>
          <cell r="BM184">
            <v>183629</v>
          </cell>
          <cell r="BN184">
            <v>183629</v>
          </cell>
        </row>
        <row r="185">
          <cell r="B185" t="str">
            <v>MAF</v>
          </cell>
          <cell r="C185" t="str">
            <v>Population, total</v>
          </cell>
          <cell r="D185" t="str">
            <v>SP.POP.TOTL</v>
          </cell>
          <cell r="E185">
            <v>3898</v>
          </cell>
          <cell r="F185">
            <v>3996</v>
          </cell>
          <cell r="G185">
            <v>4078</v>
          </cell>
          <cell r="H185">
            <v>4179</v>
          </cell>
          <cell r="I185">
            <v>4302</v>
          </cell>
          <cell r="J185">
            <v>4471</v>
          </cell>
          <cell r="K185">
            <v>4675</v>
          </cell>
          <cell r="L185">
            <v>4922</v>
          </cell>
          <cell r="M185">
            <v>5194</v>
          </cell>
          <cell r="N185">
            <v>5461</v>
          </cell>
          <cell r="O185">
            <v>5707</v>
          </cell>
          <cell r="P185">
            <v>5945</v>
          </cell>
          <cell r="Q185">
            <v>6156</v>
          </cell>
          <cell r="R185">
            <v>6370</v>
          </cell>
          <cell r="S185">
            <v>6601</v>
          </cell>
          <cell r="T185">
            <v>6882</v>
          </cell>
          <cell r="U185">
            <v>7250</v>
          </cell>
          <cell r="V185">
            <v>7713</v>
          </cell>
          <cell r="W185">
            <v>8191</v>
          </cell>
          <cell r="X185">
            <v>8557</v>
          </cell>
          <cell r="Y185">
            <v>8777</v>
          </cell>
          <cell r="Z185">
            <v>8675</v>
          </cell>
          <cell r="AA185">
            <v>8372</v>
          </cell>
          <cell r="AB185">
            <v>8296</v>
          </cell>
          <cell r="AC185">
            <v>9067</v>
          </cell>
          <cell r="AD185">
            <v>11066</v>
          </cell>
          <cell r="AE185">
            <v>14561</v>
          </cell>
          <cell r="AF185">
            <v>19274</v>
          </cell>
          <cell r="AG185">
            <v>24374</v>
          </cell>
          <cell r="AH185">
            <v>28723</v>
          </cell>
          <cell r="AI185">
            <v>31522</v>
          </cell>
          <cell r="AJ185">
            <v>32441</v>
          </cell>
          <cell r="AK185">
            <v>31816</v>
          </cell>
          <cell r="AL185">
            <v>30194</v>
          </cell>
          <cell r="AM185">
            <v>28482</v>
          </cell>
          <cell r="AN185">
            <v>27320</v>
          </cell>
          <cell r="AO185">
            <v>26854</v>
          </cell>
          <cell r="AP185">
            <v>26910</v>
          </cell>
          <cell r="AQ185">
            <v>27388</v>
          </cell>
          <cell r="AR185">
            <v>28122</v>
          </cell>
          <cell r="AS185">
            <v>28935</v>
          </cell>
          <cell r="AT185">
            <v>29847</v>
          </cell>
          <cell r="AU185">
            <v>30913</v>
          </cell>
          <cell r="AV185">
            <v>32055</v>
          </cell>
          <cell r="AW185">
            <v>33187</v>
          </cell>
          <cell r="AX185">
            <v>34252</v>
          </cell>
          <cell r="AY185">
            <v>35240</v>
          </cell>
          <cell r="AZ185">
            <v>36138</v>
          </cell>
          <cell r="BA185">
            <v>36880</v>
          </cell>
          <cell r="BB185">
            <v>37380</v>
          </cell>
          <cell r="BC185">
            <v>37582</v>
          </cell>
          <cell r="BD185">
            <v>37451</v>
          </cell>
          <cell r="BE185">
            <v>37012</v>
          </cell>
          <cell r="BF185">
            <v>36458</v>
          </cell>
          <cell r="BG185">
            <v>36018</v>
          </cell>
          <cell r="BH185">
            <v>35865</v>
          </cell>
          <cell r="BI185">
            <v>36061</v>
          </cell>
          <cell r="BJ185">
            <v>36569</v>
          </cell>
          <cell r="BK185">
            <v>37264</v>
          </cell>
          <cell r="BL185">
            <v>38002</v>
          </cell>
          <cell r="BM185">
            <v>38659</v>
          </cell>
          <cell r="BN185">
            <v>38659</v>
          </cell>
        </row>
        <row r="186">
          <cell r="B186" t="str">
            <v>VCT</v>
          </cell>
          <cell r="C186" t="str">
            <v>Population, total</v>
          </cell>
          <cell r="D186" t="str">
            <v>SP.POP.TOTL</v>
          </cell>
          <cell r="E186">
            <v>80970</v>
          </cell>
          <cell r="F186">
            <v>82168</v>
          </cell>
          <cell r="G186">
            <v>83239</v>
          </cell>
          <cell r="H186">
            <v>84200</v>
          </cell>
          <cell r="I186">
            <v>85117</v>
          </cell>
          <cell r="J186">
            <v>86009</v>
          </cell>
          <cell r="K186">
            <v>86907</v>
          </cell>
          <cell r="L186">
            <v>87779</v>
          </cell>
          <cell r="M186">
            <v>88663</v>
          </cell>
          <cell r="N186">
            <v>89565</v>
          </cell>
          <cell r="O186">
            <v>90501</v>
          </cell>
          <cell r="P186">
            <v>91490</v>
          </cell>
          <cell r="Q186">
            <v>92511</v>
          </cell>
          <cell r="R186">
            <v>93559</v>
          </cell>
          <cell r="S186">
            <v>94618</v>
          </cell>
          <cell r="T186">
            <v>95665</v>
          </cell>
          <cell r="U186">
            <v>96694</v>
          </cell>
          <cell r="V186">
            <v>97708</v>
          </cell>
          <cell r="W186">
            <v>98688</v>
          </cell>
          <cell r="X186">
            <v>99649</v>
          </cell>
          <cell r="Y186">
            <v>100566</v>
          </cell>
          <cell r="Z186">
            <v>101439</v>
          </cell>
          <cell r="AA186">
            <v>102255</v>
          </cell>
          <cell r="AB186">
            <v>103035</v>
          </cell>
          <cell r="AC186">
            <v>103776</v>
          </cell>
          <cell r="AD186">
            <v>104503</v>
          </cell>
          <cell r="AE186">
            <v>105217</v>
          </cell>
          <cell r="AF186">
            <v>105905</v>
          </cell>
          <cell r="AG186">
            <v>106533</v>
          </cell>
          <cell r="AH186">
            <v>107071</v>
          </cell>
          <cell r="AI186">
            <v>107489</v>
          </cell>
          <cell r="AJ186">
            <v>107772</v>
          </cell>
          <cell r="AK186">
            <v>107941</v>
          </cell>
          <cell r="AL186">
            <v>108036</v>
          </cell>
          <cell r="AM186">
            <v>108059</v>
          </cell>
          <cell r="AN186">
            <v>108043</v>
          </cell>
          <cell r="AO186">
            <v>107983</v>
          </cell>
          <cell r="AP186">
            <v>107895</v>
          </cell>
          <cell r="AQ186">
            <v>107807</v>
          </cell>
          <cell r="AR186">
            <v>107763</v>
          </cell>
          <cell r="AS186">
            <v>107787</v>
          </cell>
          <cell r="AT186">
            <v>107893</v>
          </cell>
          <cell r="AU186">
            <v>108095</v>
          </cell>
          <cell r="AV186">
            <v>108322</v>
          </cell>
          <cell r="AW186">
            <v>108520</v>
          </cell>
          <cell r="AX186">
            <v>108617</v>
          </cell>
          <cell r="AY186">
            <v>108602</v>
          </cell>
          <cell r="AZ186">
            <v>108516</v>
          </cell>
          <cell r="BA186">
            <v>108401</v>
          </cell>
          <cell r="BB186">
            <v>108293</v>
          </cell>
          <cell r="BC186">
            <v>108260</v>
          </cell>
          <cell r="BD186">
            <v>108315</v>
          </cell>
          <cell r="BE186">
            <v>108435</v>
          </cell>
          <cell r="BF186">
            <v>108624</v>
          </cell>
          <cell r="BG186">
            <v>108868</v>
          </cell>
          <cell r="BH186">
            <v>109135</v>
          </cell>
          <cell r="BI186">
            <v>109467</v>
          </cell>
          <cell r="BJ186">
            <v>109826</v>
          </cell>
          <cell r="BK186">
            <v>110210</v>
          </cell>
          <cell r="BL186">
            <v>110593</v>
          </cell>
          <cell r="BM186">
            <v>110947</v>
          </cell>
          <cell r="BN186">
            <v>110947</v>
          </cell>
        </row>
        <row r="187">
          <cell r="B187" t="str">
            <v>SDN</v>
          </cell>
          <cell r="C187" t="str">
            <v>Population, total</v>
          </cell>
          <cell r="D187" t="str">
            <v>SP.POP.TOTL</v>
          </cell>
          <cell r="E187">
            <v>7544498</v>
          </cell>
          <cell r="F187">
            <v>7769475</v>
          </cell>
          <cell r="G187">
            <v>8004122</v>
          </cell>
          <cell r="H187">
            <v>8248818</v>
          </cell>
          <cell r="I187">
            <v>8503989</v>
          </cell>
          <cell r="J187">
            <v>8770094</v>
          </cell>
          <cell r="K187">
            <v>9047803</v>
          </cell>
          <cell r="L187">
            <v>9337662</v>
          </cell>
          <cell r="M187">
            <v>9639846</v>
          </cell>
          <cell r="N187">
            <v>9954411</v>
          </cell>
          <cell r="O187">
            <v>10281695</v>
          </cell>
          <cell r="P187">
            <v>10621471</v>
          </cell>
          <cell r="Q187">
            <v>10974626</v>
          </cell>
          <cell r="R187">
            <v>11343923</v>
          </cell>
          <cell r="S187">
            <v>11732957</v>
          </cell>
          <cell r="T187">
            <v>12144128</v>
          </cell>
          <cell r="U187">
            <v>12578398</v>
          </cell>
          <cell r="V187">
            <v>13034631</v>
          </cell>
          <cell r="W187">
            <v>13510429</v>
          </cell>
          <cell r="X187">
            <v>14002302</v>
          </cell>
          <cell r="Y187">
            <v>14507466</v>
          </cell>
          <cell r="Z187">
            <v>15027254</v>
          </cell>
          <cell r="AA187">
            <v>15562129</v>
          </cell>
          <cell r="AB187">
            <v>16107613</v>
          </cell>
          <cell r="AC187">
            <v>16657956</v>
          </cell>
          <cell r="AD187">
            <v>17210182</v>
          </cell>
          <cell r="AE187">
            <v>17757494</v>
          </cell>
          <cell r="AF187">
            <v>18303430</v>
          </cell>
          <cell r="AG187">
            <v>18867559</v>
          </cell>
          <cell r="AH187">
            <v>19476653</v>
          </cell>
          <cell r="AI187">
            <v>20147592</v>
          </cell>
          <cell r="AJ187">
            <v>20891442</v>
          </cell>
          <cell r="AK187">
            <v>21696240</v>
          </cell>
          <cell r="AL187">
            <v>22527837</v>
          </cell>
          <cell r="AM187">
            <v>23338465</v>
          </cell>
          <cell r="AN187">
            <v>24094741</v>
          </cell>
          <cell r="AO187">
            <v>24782384</v>
          </cell>
          <cell r="AP187">
            <v>25413912</v>
          </cell>
          <cell r="AQ187">
            <v>26015518</v>
          </cell>
          <cell r="AR187">
            <v>26626512</v>
          </cell>
          <cell r="AS187">
            <v>27275019</v>
          </cell>
          <cell r="AT187">
            <v>27971077</v>
          </cell>
          <cell r="AU187">
            <v>28704786</v>
          </cell>
          <cell r="AV187">
            <v>29460517</v>
          </cell>
          <cell r="AW187">
            <v>30214189</v>
          </cell>
          <cell r="AX187">
            <v>30949514</v>
          </cell>
          <cell r="AY187">
            <v>31661824</v>
          </cell>
          <cell r="AZ187">
            <v>32360619</v>
          </cell>
          <cell r="BA187">
            <v>33060844</v>
          </cell>
          <cell r="BB187">
            <v>33783779</v>
          </cell>
          <cell r="BC187">
            <v>34545014</v>
          </cell>
          <cell r="BD187">
            <v>35349676</v>
          </cell>
          <cell r="BE187">
            <v>36193781</v>
          </cell>
          <cell r="BF187">
            <v>37072555</v>
          </cell>
          <cell r="BG187">
            <v>37977657</v>
          </cell>
          <cell r="BH187">
            <v>38902948</v>
          </cell>
          <cell r="BI187">
            <v>39847433</v>
          </cell>
          <cell r="BJ187">
            <v>40813398</v>
          </cell>
          <cell r="BK187">
            <v>41801532</v>
          </cell>
          <cell r="BL187">
            <v>42813237</v>
          </cell>
          <cell r="BM187">
            <v>43849269</v>
          </cell>
          <cell r="BN187">
            <v>43849269</v>
          </cell>
        </row>
        <row r="188">
          <cell r="B188" t="str">
            <v>SUR</v>
          </cell>
          <cell r="C188" t="str">
            <v>Population, total</v>
          </cell>
          <cell r="D188" t="str">
            <v>SP.POP.TOTL</v>
          </cell>
          <cell r="E188">
            <v>287870</v>
          </cell>
          <cell r="F188">
            <v>295913</v>
          </cell>
          <cell r="G188">
            <v>303894</v>
          </cell>
          <cell r="H188">
            <v>311945</v>
          </cell>
          <cell r="I188">
            <v>320267</v>
          </cell>
          <cell r="J188">
            <v>328939</v>
          </cell>
          <cell r="K188">
            <v>338155</v>
          </cell>
          <cell r="L188">
            <v>347673</v>
          </cell>
          <cell r="M188">
            <v>356551</v>
          </cell>
          <cell r="N188">
            <v>363574</v>
          </cell>
          <cell r="O188">
            <v>367926</v>
          </cell>
          <cell r="P188">
            <v>369230</v>
          </cell>
          <cell r="Q188">
            <v>367907</v>
          </cell>
          <cell r="R188">
            <v>364907</v>
          </cell>
          <cell r="S188">
            <v>361665</v>
          </cell>
          <cell r="T188">
            <v>359234</v>
          </cell>
          <cell r="U188">
            <v>357949</v>
          </cell>
          <cell r="V188">
            <v>357649</v>
          </cell>
          <cell r="W188">
            <v>358103</v>
          </cell>
          <cell r="X188">
            <v>358826</v>
          </cell>
          <cell r="Y188">
            <v>359531</v>
          </cell>
          <cell r="Z188">
            <v>360144</v>
          </cell>
          <cell r="AA188">
            <v>360927</v>
          </cell>
          <cell r="AB188">
            <v>362282</v>
          </cell>
          <cell r="AC188">
            <v>364722</v>
          </cell>
          <cell r="AD188">
            <v>368636</v>
          </cell>
          <cell r="AE188">
            <v>374133</v>
          </cell>
          <cell r="AF188">
            <v>381033</v>
          </cell>
          <cell r="AG188">
            <v>388877</v>
          </cell>
          <cell r="AH188">
            <v>397082</v>
          </cell>
          <cell r="AI188">
            <v>405169</v>
          </cell>
          <cell r="AJ188">
            <v>413009</v>
          </cell>
          <cell r="AK188">
            <v>420658</v>
          </cell>
          <cell r="AL188">
            <v>428028</v>
          </cell>
          <cell r="AM188">
            <v>435099</v>
          </cell>
          <cell r="AN188">
            <v>441851</v>
          </cell>
          <cell r="AO188">
            <v>448207</v>
          </cell>
          <cell r="AP188">
            <v>454165</v>
          </cell>
          <cell r="AQ188">
            <v>459838</v>
          </cell>
          <cell r="AR188">
            <v>465380</v>
          </cell>
          <cell r="AS188">
            <v>470944</v>
          </cell>
          <cell r="AT188">
            <v>476574</v>
          </cell>
          <cell r="AU188">
            <v>482228</v>
          </cell>
          <cell r="AV188">
            <v>487938</v>
          </cell>
          <cell r="AW188">
            <v>493680</v>
          </cell>
          <cell r="AX188">
            <v>499461</v>
          </cell>
          <cell r="AY188">
            <v>505292</v>
          </cell>
          <cell r="AZ188">
            <v>511181</v>
          </cell>
          <cell r="BA188">
            <v>517122</v>
          </cell>
          <cell r="BB188">
            <v>523113</v>
          </cell>
          <cell r="BC188">
            <v>529126</v>
          </cell>
          <cell r="BD188">
            <v>535177</v>
          </cell>
          <cell r="BE188">
            <v>541247</v>
          </cell>
          <cell r="BF188">
            <v>547295</v>
          </cell>
          <cell r="BG188">
            <v>553278</v>
          </cell>
          <cell r="BH188">
            <v>559136</v>
          </cell>
          <cell r="BI188">
            <v>564883</v>
          </cell>
          <cell r="BJ188">
            <v>570501</v>
          </cell>
          <cell r="BK188">
            <v>575987</v>
          </cell>
          <cell r="BL188">
            <v>581363</v>
          </cell>
          <cell r="BM188">
            <v>586634</v>
          </cell>
          <cell r="BN188">
            <v>586634</v>
          </cell>
        </row>
        <row r="189">
          <cell r="B189" t="str">
            <v>SWE</v>
          </cell>
          <cell r="C189" t="str">
            <v>Population, total</v>
          </cell>
          <cell r="D189" t="str">
            <v>SP.POP.TOTL</v>
          </cell>
          <cell r="E189">
            <v>7484656</v>
          </cell>
          <cell r="F189">
            <v>7519998</v>
          </cell>
          <cell r="G189">
            <v>7561588</v>
          </cell>
          <cell r="H189">
            <v>7604328</v>
          </cell>
          <cell r="I189">
            <v>7661354</v>
          </cell>
          <cell r="J189">
            <v>7733853</v>
          </cell>
          <cell r="K189">
            <v>7807797</v>
          </cell>
          <cell r="L189">
            <v>7867931</v>
          </cell>
          <cell r="M189">
            <v>7912273</v>
          </cell>
          <cell r="N189">
            <v>7968072</v>
          </cell>
          <cell r="O189">
            <v>8042801</v>
          </cell>
          <cell r="P189">
            <v>8098334</v>
          </cell>
          <cell r="Q189">
            <v>8122300</v>
          </cell>
          <cell r="R189">
            <v>8136312</v>
          </cell>
          <cell r="S189">
            <v>8159955</v>
          </cell>
          <cell r="T189">
            <v>8192437</v>
          </cell>
          <cell r="U189">
            <v>8222286</v>
          </cell>
          <cell r="V189">
            <v>8251540</v>
          </cell>
          <cell r="W189">
            <v>8275599</v>
          </cell>
          <cell r="X189">
            <v>8293678</v>
          </cell>
          <cell r="Y189">
            <v>8310531</v>
          </cell>
          <cell r="Z189">
            <v>8320503</v>
          </cell>
          <cell r="AA189">
            <v>8325263</v>
          </cell>
          <cell r="AB189">
            <v>8329033</v>
          </cell>
          <cell r="AC189">
            <v>8336605</v>
          </cell>
          <cell r="AD189">
            <v>8350386</v>
          </cell>
          <cell r="AE189">
            <v>8369829</v>
          </cell>
          <cell r="AF189">
            <v>8397804</v>
          </cell>
          <cell r="AG189">
            <v>8436489</v>
          </cell>
          <cell r="AH189">
            <v>8492964</v>
          </cell>
          <cell r="AI189">
            <v>8558835</v>
          </cell>
          <cell r="AJ189">
            <v>8617375</v>
          </cell>
          <cell r="AK189">
            <v>8668067</v>
          </cell>
          <cell r="AL189">
            <v>8718561</v>
          </cell>
          <cell r="AM189">
            <v>8780745</v>
          </cell>
          <cell r="AN189">
            <v>8826939</v>
          </cell>
          <cell r="AO189">
            <v>8840998</v>
          </cell>
          <cell r="AP189">
            <v>8846062</v>
          </cell>
          <cell r="AQ189">
            <v>8850974</v>
          </cell>
          <cell r="AR189">
            <v>8857874</v>
          </cell>
          <cell r="AS189">
            <v>8872109</v>
          </cell>
          <cell r="AT189">
            <v>8895960</v>
          </cell>
          <cell r="AU189">
            <v>8924958</v>
          </cell>
          <cell r="AV189">
            <v>8958229</v>
          </cell>
          <cell r="AW189">
            <v>8993531</v>
          </cell>
          <cell r="AX189">
            <v>9029572</v>
          </cell>
          <cell r="AY189">
            <v>9080505</v>
          </cell>
          <cell r="AZ189">
            <v>9148092</v>
          </cell>
          <cell r="BA189">
            <v>9219637</v>
          </cell>
          <cell r="BB189">
            <v>9298515</v>
          </cell>
          <cell r="BC189">
            <v>9378126</v>
          </cell>
          <cell r="BD189">
            <v>9449213</v>
          </cell>
          <cell r="BE189">
            <v>9519374</v>
          </cell>
          <cell r="BF189">
            <v>9600379</v>
          </cell>
          <cell r="BG189">
            <v>9696110</v>
          </cell>
          <cell r="BH189">
            <v>9799186</v>
          </cell>
          <cell r="BI189">
            <v>9923085</v>
          </cell>
          <cell r="BJ189">
            <v>10057698</v>
          </cell>
          <cell r="BK189">
            <v>10175214</v>
          </cell>
          <cell r="BL189">
            <v>10278887</v>
          </cell>
          <cell r="BM189">
            <v>10353442</v>
          </cell>
          <cell r="BN189">
            <v>10353442</v>
          </cell>
        </row>
        <row r="190">
          <cell r="B190" t="str">
            <v>CHE</v>
          </cell>
          <cell r="C190" t="str">
            <v>Population, total</v>
          </cell>
          <cell r="D190" t="str">
            <v>SP.POP.TOTL</v>
          </cell>
          <cell r="E190">
            <v>5327827</v>
          </cell>
          <cell r="F190">
            <v>5434294</v>
          </cell>
          <cell r="G190">
            <v>5573815</v>
          </cell>
          <cell r="H190">
            <v>5694247</v>
          </cell>
          <cell r="I190">
            <v>5789228</v>
          </cell>
          <cell r="J190">
            <v>5856472</v>
          </cell>
          <cell r="K190">
            <v>5918002</v>
          </cell>
          <cell r="L190">
            <v>5991785</v>
          </cell>
          <cell r="M190">
            <v>6067714</v>
          </cell>
          <cell r="N190">
            <v>6136387</v>
          </cell>
          <cell r="O190">
            <v>6180877</v>
          </cell>
          <cell r="P190">
            <v>6213399</v>
          </cell>
          <cell r="Q190">
            <v>6260956</v>
          </cell>
          <cell r="R190">
            <v>6307347</v>
          </cell>
          <cell r="S190">
            <v>6341405</v>
          </cell>
          <cell r="T190">
            <v>6338632</v>
          </cell>
          <cell r="U190">
            <v>6302504</v>
          </cell>
          <cell r="V190">
            <v>6281174</v>
          </cell>
          <cell r="W190">
            <v>6281738</v>
          </cell>
          <cell r="X190">
            <v>6294365</v>
          </cell>
          <cell r="Y190">
            <v>6319408</v>
          </cell>
          <cell r="Z190">
            <v>6354074</v>
          </cell>
          <cell r="AA190">
            <v>6391309</v>
          </cell>
          <cell r="AB190">
            <v>6418773</v>
          </cell>
          <cell r="AC190">
            <v>6441865</v>
          </cell>
          <cell r="AD190">
            <v>6470365</v>
          </cell>
          <cell r="AE190">
            <v>6504124</v>
          </cell>
          <cell r="AF190">
            <v>6545106</v>
          </cell>
          <cell r="AG190">
            <v>6593386</v>
          </cell>
          <cell r="AH190">
            <v>6646912</v>
          </cell>
          <cell r="AI190">
            <v>6715519</v>
          </cell>
          <cell r="AJ190">
            <v>6799978</v>
          </cell>
          <cell r="AK190">
            <v>6875364</v>
          </cell>
          <cell r="AL190">
            <v>6938265</v>
          </cell>
          <cell r="AM190">
            <v>6993795</v>
          </cell>
          <cell r="AN190">
            <v>7040687</v>
          </cell>
          <cell r="AO190">
            <v>7071850</v>
          </cell>
          <cell r="AP190">
            <v>7088906</v>
          </cell>
          <cell r="AQ190">
            <v>7110001</v>
          </cell>
          <cell r="AR190">
            <v>7143991</v>
          </cell>
          <cell r="AS190">
            <v>7184250</v>
          </cell>
          <cell r="AT190">
            <v>7229854</v>
          </cell>
          <cell r="AU190">
            <v>7284753</v>
          </cell>
          <cell r="AV190">
            <v>7339001</v>
          </cell>
          <cell r="AW190">
            <v>7389625</v>
          </cell>
          <cell r="AX190">
            <v>7437115</v>
          </cell>
          <cell r="AY190">
            <v>7483934</v>
          </cell>
          <cell r="AZ190">
            <v>7551117</v>
          </cell>
          <cell r="BA190">
            <v>7647675</v>
          </cell>
          <cell r="BB190">
            <v>7743831</v>
          </cell>
          <cell r="BC190">
            <v>7824909</v>
          </cell>
          <cell r="BD190">
            <v>7912398</v>
          </cell>
          <cell r="BE190">
            <v>7996861</v>
          </cell>
          <cell r="BF190">
            <v>8089346</v>
          </cell>
          <cell r="BG190">
            <v>8188649</v>
          </cell>
          <cell r="BH190">
            <v>8282396</v>
          </cell>
          <cell r="BI190">
            <v>8373338</v>
          </cell>
          <cell r="BJ190">
            <v>8451840</v>
          </cell>
          <cell r="BK190">
            <v>8514329</v>
          </cell>
          <cell r="BL190">
            <v>8575280</v>
          </cell>
          <cell r="BM190">
            <v>8636896</v>
          </cell>
          <cell r="BN190">
            <v>8636896</v>
          </cell>
        </row>
        <row r="191">
          <cell r="B191" t="str">
            <v>SYR</v>
          </cell>
          <cell r="C191" t="str">
            <v>Population, total</v>
          </cell>
          <cell r="D191" t="str">
            <v>SP.POP.TOTL</v>
          </cell>
          <cell r="E191">
            <v>4573514</v>
          </cell>
          <cell r="F191">
            <v>4721893</v>
          </cell>
          <cell r="G191">
            <v>4875429</v>
          </cell>
          <cell r="H191">
            <v>5034639</v>
          </cell>
          <cell r="I191">
            <v>5200341</v>
          </cell>
          <cell r="J191">
            <v>5373137</v>
          </cell>
          <cell r="K191">
            <v>5553247</v>
          </cell>
          <cell r="L191">
            <v>5740702</v>
          </cell>
          <cell r="M191">
            <v>5935850</v>
          </cell>
          <cell r="N191">
            <v>6139054</v>
          </cell>
          <cell r="O191">
            <v>6350544</v>
          </cell>
          <cell r="P191">
            <v>6570859</v>
          </cell>
          <cell r="Q191">
            <v>6800148</v>
          </cell>
          <cell r="R191">
            <v>7037860</v>
          </cell>
          <cell r="S191">
            <v>7283181</v>
          </cell>
          <cell r="T191">
            <v>7535715</v>
          </cell>
          <cell r="U191">
            <v>7794658</v>
          </cell>
          <cell r="V191">
            <v>8060652</v>
          </cell>
          <cell r="W191">
            <v>8336421</v>
          </cell>
          <cell r="X191">
            <v>8625693</v>
          </cell>
          <cell r="Y191">
            <v>8930776</v>
          </cell>
          <cell r="Z191">
            <v>9252854</v>
          </cell>
          <cell r="AA191">
            <v>9590226</v>
          </cell>
          <cell r="AB191">
            <v>9938852</v>
          </cell>
          <cell r="AC191">
            <v>10293048</v>
          </cell>
          <cell r="AD191">
            <v>10648633</v>
          </cell>
          <cell r="AE191">
            <v>11004273</v>
          </cell>
          <cell r="AF191">
            <v>11360848</v>
          </cell>
          <cell r="AG191">
            <v>11719064</v>
          </cell>
          <cell r="AH191">
            <v>12080439</v>
          </cell>
          <cell r="AI191">
            <v>12446168</v>
          </cell>
          <cell r="AJ191">
            <v>12815400</v>
          </cell>
          <cell r="AK191">
            <v>13187669</v>
          </cell>
          <cell r="AL191">
            <v>13565074</v>
          </cell>
          <cell r="AM191">
            <v>13950486</v>
          </cell>
          <cell r="AN191">
            <v>14345491</v>
          </cell>
          <cell r="AO191">
            <v>14754148</v>
          </cell>
          <cell r="AP191">
            <v>15175308</v>
          </cell>
          <cell r="AQ191">
            <v>15599588</v>
          </cell>
          <cell r="AR191">
            <v>16013992</v>
          </cell>
          <cell r="AS191">
            <v>16410847</v>
          </cell>
          <cell r="AT191">
            <v>16766555</v>
          </cell>
          <cell r="AU191">
            <v>17084628</v>
          </cell>
          <cell r="AV191">
            <v>17415214</v>
          </cell>
          <cell r="AW191">
            <v>17827827</v>
          </cell>
          <cell r="AX191">
            <v>18361178</v>
          </cell>
          <cell r="AY191">
            <v>19059257</v>
          </cell>
          <cell r="AZ191">
            <v>19878257</v>
          </cell>
          <cell r="BA191">
            <v>20664037</v>
          </cell>
          <cell r="BB191">
            <v>21205873</v>
          </cell>
          <cell r="BC191">
            <v>21362541</v>
          </cell>
          <cell r="BD191">
            <v>21081814</v>
          </cell>
          <cell r="BE191">
            <v>20438861</v>
          </cell>
          <cell r="BF191">
            <v>19578466</v>
          </cell>
          <cell r="BG191">
            <v>18710711</v>
          </cell>
          <cell r="BH191">
            <v>17997411</v>
          </cell>
          <cell r="BI191">
            <v>17465567</v>
          </cell>
          <cell r="BJ191">
            <v>17095669</v>
          </cell>
          <cell r="BK191">
            <v>16945062</v>
          </cell>
          <cell r="BL191">
            <v>17070132</v>
          </cell>
          <cell r="BM191">
            <v>17500657</v>
          </cell>
          <cell r="BN191">
            <v>17500657</v>
          </cell>
        </row>
        <row r="192">
          <cell r="B192" t="str">
            <v>TJK</v>
          </cell>
          <cell r="C192" t="str">
            <v>Population, total</v>
          </cell>
          <cell r="D192" t="str">
            <v>SP.POP.TOTL</v>
          </cell>
          <cell r="E192">
            <v>2087053</v>
          </cell>
          <cell r="F192">
            <v>2159134</v>
          </cell>
          <cell r="G192">
            <v>2236564</v>
          </cell>
          <cell r="H192">
            <v>2318252</v>
          </cell>
          <cell r="I192">
            <v>2402473</v>
          </cell>
          <cell r="J192">
            <v>2487975</v>
          </cell>
          <cell r="K192">
            <v>2574506</v>
          </cell>
          <cell r="L192">
            <v>2662257</v>
          </cell>
          <cell r="M192">
            <v>2750932</v>
          </cell>
          <cell r="N192">
            <v>2840265</v>
          </cell>
          <cell r="O192">
            <v>2930108</v>
          </cell>
          <cell r="P192">
            <v>3020419</v>
          </cell>
          <cell r="Q192">
            <v>3111284</v>
          </cell>
          <cell r="R192">
            <v>3203035</v>
          </cell>
          <cell r="S192">
            <v>3296092</v>
          </cell>
          <cell r="T192">
            <v>3390941</v>
          </cell>
          <cell r="U192">
            <v>3487658</v>
          </cell>
          <cell r="V192">
            <v>3586516</v>
          </cell>
          <cell r="W192">
            <v>3688411</v>
          </cell>
          <cell r="X192">
            <v>3794457</v>
          </cell>
          <cell r="Y192">
            <v>3905443</v>
          </cell>
          <cell r="Z192">
            <v>4020818</v>
          </cell>
          <cell r="AA192">
            <v>4140297</v>
          </cell>
          <cell r="AB192">
            <v>4265278</v>
          </cell>
          <cell r="AC192">
            <v>4397563</v>
          </cell>
          <cell r="AD192">
            <v>4537820</v>
          </cell>
          <cell r="AE192">
            <v>4687328</v>
          </cell>
          <cell r="AF192">
            <v>4843997</v>
          </cell>
          <cell r="AG192">
            <v>5001172</v>
          </cell>
          <cell r="AH192">
            <v>5149872</v>
          </cell>
          <cell r="AI192">
            <v>5283811</v>
          </cell>
          <cell r="AJ192">
            <v>5400636</v>
          </cell>
          <cell r="AK192">
            <v>5502490</v>
          </cell>
          <cell r="AL192">
            <v>5593317</v>
          </cell>
          <cell r="AM192">
            <v>5679169</v>
          </cell>
          <cell r="AN192">
            <v>5764806</v>
          </cell>
          <cell r="AO192">
            <v>5851354</v>
          </cell>
          <cell r="AP192">
            <v>5938404</v>
          </cell>
          <cell r="AQ192">
            <v>6027395</v>
          </cell>
          <cell r="AR192">
            <v>6119664</v>
          </cell>
          <cell r="AS192">
            <v>6216329</v>
          </cell>
          <cell r="AT192">
            <v>6318510</v>
          </cell>
          <cell r="AU192">
            <v>6426861</v>
          </cell>
          <cell r="AV192">
            <v>6541550</v>
          </cell>
          <cell r="AW192">
            <v>6662391</v>
          </cell>
          <cell r="AX192">
            <v>6789318</v>
          </cell>
          <cell r="AY192">
            <v>6922590</v>
          </cell>
          <cell r="AZ192">
            <v>7062667</v>
          </cell>
          <cell r="BA192">
            <v>7209924</v>
          </cell>
          <cell r="BB192">
            <v>7364752</v>
          </cell>
          <cell r="BC192">
            <v>7527397</v>
          </cell>
          <cell r="BD192">
            <v>7697507</v>
          </cell>
          <cell r="BE192">
            <v>7874838</v>
          </cell>
          <cell r="BF192">
            <v>8059782</v>
          </cell>
          <cell r="BG192">
            <v>8252828</v>
          </cell>
          <cell r="BH192">
            <v>8454019</v>
          </cell>
          <cell r="BI192">
            <v>8663575</v>
          </cell>
          <cell r="BJ192">
            <v>8880270</v>
          </cell>
          <cell r="BK192">
            <v>9100847</v>
          </cell>
          <cell r="BL192">
            <v>9321023</v>
          </cell>
          <cell r="BM192">
            <v>9537642</v>
          </cell>
          <cell r="BN192">
            <v>9537642</v>
          </cell>
        </row>
        <row r="193">
          <cell r="B193" t="str">
            <v>TZA</v>
          </cell>
          <cell r="C193" t="str">
            <v>Population, total</v>
          </cell>
          <cell r="D193" t="str">
            <v>SP.POP.TOTL</v>
          </cell>
          <cell r="E193">
            <v>10052151</v>
          </cell>
          <cell r="F193">
            <v>10346695</v>
          </cell>
          <cell r="G193">
            <v>10651954</v>
          </cell>
          <cell r="H193">
            <v>10968196</v>
          </cell>
          <cell r="I193">
            <v>11295675</v>
          </cell>
          <cell r="J193">
            <v>11634837</v>
          </cell>
          <cell r="K193">
            <v>11985442</v>
          </cell>
          <cell r="L193">
            <v>12348188</v>
          </cell>
          <cell r="M193">
            <v>12725519</v>
          </cell>
          <cell r="N193">
            <v>13120587</v>
          </cell>
          <cell r="O193">
            <v>13535487</v>
          </cell>
          <cell r="P193">
            <v>13971698</v>
          </cell>
          <cell r="Q193">
            <v>14428340</v>
          </cell>
          <cell r="R193">
            <v>14902271</v>
          </cell>
          <cell r="S193">
            <v>15388933</v>
          </cell>
          <cell r="T193">
            <v>15885228</v>
          </cell>
          <cell r="U193">
            <v>16390161</v>
          </cell>
          <cell r="V193">
            <v>16905222</v>
          </cell>
          <cell r="W193">
            <v>17432756</v>
          </cell>
          <cell r="X193">
            <v>17976219</v>
          </cell>
          <cell r="Y193">
            <v>18538263</v>
          </cell>
          <cell r="Z193">
            <v>19120683</v>
          </cell>
          <cell r="AA193">
            <v>19723317</v>
          </cell>
          <cell r="AB193">
            <v>20344550</v>
          </cell>
          <cell r="AC193">
            <v>20981775</v>
          </cell>
          <cell r="AD193">
            <v>21633799</v>
          </cell>
          <cell r="AE193">
            <v>22296282</v>
          </cell>
          <cell r="AF193">
            <v>22971208</v>
          </cell>
          <cell r="AG193">
            <v>23670807</v>
          </cell>
          <cell r="AH193">
            <v>24411744</v>
          </cell>
          <cell r="AI193">
            <v>25203848</v>
          </cell>
          <cell r="AJ193">
            <v>26056605</v>
          </cell>
          <cell r="AK193">
            <v>26961204</v>
          </cell>
          <cell r="AL193">
            <v>27887204</v>
          </cell>
          <cell r="AM193">
            <v>28792649</v>
          </cell>
          <cell r="AN193">
            <v>29649128</v>
          </cell>
          <cell r="AO193">
            <v>30444523</v>
          </cell>
          <cell r="AP193">
            <v>31192853</v>
          </cell>
          <cell r="AQ193">
            <v>31924201</v>
          </cell>
          <cell r="AR193">
            <v>32682240</v>
          </cell>
          <cell r="AS193">
            <v>33499177</v>
          </cell>
          <cell r="AT193">
            <v>34385849</v>
          </cell>
          <cell r="AU193">
            <v>35334790</v>
          </cell>
          <cell r="AV193">
            <v>36337778</v>
          </cell>
          <cell r="AW193">
            <v>37379766</v>
          </cell>
          <cell r="AX193">
            <v>38450323</v>
          </cell>
          <cell r="AY193">
            <v>39548666</v>
          </cell>
          <cell r="AZ193">
            <v>40681416</v>
          </cell>
          <cell r="BA193">
            <v>41853944</v>
          </cell>
          <cell r="BB193">
            <v>43073830</v>
          </cell>
          <cell r="BC193">
            <v>44346532</v>
          </cell>
          <cell r="BD193">
            <v>45673520</v>
          </cell>
          <cell r="BE193">
            <v>47053033</v>
          </cell>
          <cell r="BF193">
            <v>48483132</v>
          </cell>
          <cell r="BG193">
            <v>49960563</v>
          </cell>
          <cell r="BH193">
            <v>51482638</v>
          </cell>
          <cell r="BI193">
            <v>53049231</v>
          </cell>
          <cell r="BJ193">
            <v>54660345</v>
          </cell>
          <cell r="BK193">
            <v>56313444</v>
          </cell>
          <cell r="BL193">
            <v>58005461</v>
          </cell>
          <cell r="BM193">
            <v>59734213</v>
          </cell>
          <cell r="BN193">
            <v>59734213</v>
          </cell>
        </row>
        <row r="194">
          <cell r="B194" t="str">
            <v>THA</v>
          </cell>
          <cell r="C194" t="str">
            <v>Population, total</v>
          </cell>
          <cell r="D194" t="str">
            <v>SP.POP.TOTL</v>
          </cell>
          <cell r="E194">
            <v>27397208</v>
          </cell>
          <cell r="F194">
            <v>28224186</v>
          </cell>
          <cell r="G194">
            <v>29080945</v>
          </cell>
          <cell r="H194">
            <v>29966873</v>
          </cell>
          <cell r="I194">
            <v>30881136</v>
          </cell>
          <cell r="J194">
            <v>31822656</v>
          </cell>
          <cell r="K194">
            <v>32789129</v>
          </cell>
          <cell r="L194">
            <v>33778804</v>
          </cell>
          <cell r="M194">
            <v>34791418</v>
          </cell>
          <cell r="N194">
            <v>35827089</v>
          </cell>
          <cell r="O194">
            <v>36884525</v>
          </cell>
          <cell r="P194">
            <v>37963280</v>
          </cell>
          <cell r="Q194">
            <v>39058594</v>
          </cell>
          <cell r="R194">
            <v>40159581</v>
          </cell>
          <cell r="S194">
            <v>41252320</v>
          </cell>
          <cell r="T194">
            <v>42326307</v>
          </cell>
          <cell r="U194">
            <v>43377270</v>
          </cell>
          <cell r="V194">
            <v>44405903</v>
          </cell>
          <cell r="W194">
            <v>45413082</v>
          </cell>
          <cell r="X194">
            <v>46401750</v>
          </cell>
          <cell r="Y194">
            <v>47374463</v>
          </cell>
          <cell r="Z194">
            <v>48326269</v>
          </cell>
          <cell r="AA194">
            <v>49255889</v>
          </cell>
          <cell r="AB194">
            <v>50173922</v>
          </cell>
          <cell r="AC194">
            <v>51094870</v>
          </cell>
          <cell r="AD194">
            <v>52026901</v>
          </cell>
          <cell r="AE194">
            <v>52980105</v>
          </cell>
          <cell r="AF194">
            <v>53945872</v>
          </cell>
          <cell r="AG194">
            <v>54891520</v>
          </cell>
          <cell r="AH194">
            <v>55772169</v>
          </cell>
          <cell r="AI194">
            <v>56558196</v>
          </cell>
          <cell r="AJ194">
            <v>57232471</v>
          </cell>
          <cell r="AK194">
            <v>57811025</v>
          </cell>
          <cell r="AL194">
            <v>58337773</v>
          </cell>
          <cell r="AM194">
            <v>58875275</v>
          </cell>
          <cell r="AN194">
            <v>59467272</v>
          </cell>
          <cell r="AO194">
            <v>60130190</v>
          </cell>
          <cell r="AP194">
            <v>60846588</v>
          </cell>
          <cell r="AQ194">
            <v>61585103</v>
          </cell>
          <cell r="AR194">
            <v>62298569</v>
          </cell>
          <cell r="AS194">
            <v>62952639</v>
          </cell>
          <cell r="AT194">
            <v>63539190</v>
          </cell>
          <cell r="AU194">
            <v>64069093</v>
          </cell>
          <cell r="AV194">
            <v>64549867</v>
          </cell>
          <cell r="AW194">
            <v>64995303</v>
          </cell>
          <cell r="AX194">
            <v>65416189</v>
          </cell>
          <cell r="AY194">
            <v>65812540</v>
          </cell>
          <cell r="AZ194">
            <v>66182064</v>
          </cell>
          <cell r="BA194">
            <v>66530980</v>
          </cell>
          <cell r="BB194">
            <v>66866834</v>
          </cell>
          <cell r="BC194">
            <v>67195032</v>
          </cell>
          <cell r="BD194">
            <v>67518379</v>
          </cell>
          <cell r="BE194">
            <v>67835969</v>
          </cell>
          <cell r="BF194">
            <v>68144519</v>
          </cell>
          <cell r="BG194">
            <v>68438748</v>
          </cell>
          <cell r="BH194">
            <v>68714519</v>
          </cell>
          <cell r="BI194">
            <v>68971313</v>
          </cell>
          <cell r="BJ194">
            <v>69209817</v>
          </cell>
          <cell r="BK194">
            <v>69428454</v>
          </cell>
          <cell r="BL194">
            <v>69625581</v>
          </cell>
          <cell r="BM194">
            <v>69799978</v>
          </cell>
          <cell r="BN194">
            <v>69799978</v>
          </cell>
        </row>
        <row r="195">
          <cell r="B195" t="str">
            <v>TLS</v>
          </cell>
          <cell r="C195" t="str">
            <v>Population, total</v>
          </cell>
          <cell r="D195" t="str">
            <v>SP.POP.TOTL</v>
          </cell>
          <cell r="E195">
            <v>474535</v>
          </cell>
          <cell r="F195">
            <v>482852</v>
          </cell>
          <cell r="G195">
            <v>491575</v>
          </cell>
          <cell r="H195">
            <v>500652</v>
          </cell>
          <cell r="I195">
            <v>510035</v>
          </cell>
          <cell r="J195">
            <v>519676</v>
          </cell>
          <cell r="K195">
            <v>529328</v>
          </cell>
          <cell r="L195">
            <v>538906</v>
          </cell>
          <cell r="M195">
            <v>548817</v>
          </cell>
          <cell r="N195">
            <v>559620</v>
          </cell>
          <cell r="O195">
            <v>571565</v>
          </cell>
          <cell r="P195">
            <v>585250</v>
          </cell>
          <cell r="Q195">
            <v>600185</v>
          </cell>
          <cell r="R195">
            <v>614264</v>
          </cell>
          <cell r="S195">
            <v>624561</v>
          </cell>
          <cell r="T195">
            <v>629227</v>
          </cell>
          <cell r="U195">
            <v>627255</v>
          </cell>
          <cell r="V195">
            <v>619817</v>
          </cell>
          <cell r="W195">
            <v>610048</v>
          </cell>
          <cell r="X195">
            <v>602363</v>
          </cell>
          <cell r="Y195">
            <v>599907</v>
          </cell>
          <cell r="Z195">
            <v>603837</v>
          </cell>
          <cell r="AA195">
            <v>613233</v>
          </cell>
          <cell r="AB195">
            <v>626677</v>
          </cell>
          <cell r="AC195">
            <v>641845</v>
          </cell>
          <cell r="AD195">
            <v>657061</v>
          </cell>
          <cell r="AE195">
            <v>671747</v>
          </cell>
          <cell r="AF195">
            <v>686475</v>
          </cell>
          <cell r="AG195">
            <v>701812</v>
          </cell>
          <cell r="AH195">
            <v>718736</v>
          </cell>
          <cell r="AI195">
            <v>737814</v>
          </cell>
          <cell r="AJ195">
            <v>759526</v>
          </cell>
          <cell r="AK195">
            <v>783204</v>
          </cell>
          <cell r="AL195">
            <v>806867</v>
          </cell>
          <cell r="AM195">
            <v>827828</v>
          </cell>
          <cell r="AN195">
            <v>844333</v>
          </cell>
          <cell r="AO195">
            <v>855358</v>
          </cell>
          <cell r="AP195">
            <v>861870</v>
          </cell>
          <cell r="AQ195">
            <v>866523</v>
          </cell>
          <cell r="AR195">
            <v>873138</v>
          </cell>
          <cell r="AS195">
            <v>884366</v>
          </cell>
          <cell r="AT195">
            <v>901214</v>
          </cell>
          <cell r="AU195">
            <v>922699</v>
          </cell>
          <cell r="AV195">
            <v>947110</v>
          </cell>
          <cell r="AW195">
            <v>971889</v>
          </cell>
          <cell r="AX195">
            <v>995130</v>
          </cell>
          <cell r="AY195">
            <v>1016437</v>
          </cell>
          <cell r="AZ195">
            <v>1036388</v>
          </cell>
          <cell r="BA195">
            <v>1055428</v>
          </cell>
          <cell r="BB195">
            <v>1074286</v>
          </cell>
          <cell r="BC195">
            <v>1093517</v>
          </cell>
          <cell r="BD195">
            <v>1113154</v>
          </cell>
          <cell r="BE195">
            <v>1133002</v>
          </cell>
          <cell r="BF195">
            <v>1153288</v>
          </cell>
          <cell r="BG195">
            <v>1174333</v>
          </cell>
          <cell r="BH195">
            <v>1196294</v>
          </cell>
          <cell r="BI195">
            <v>1219289</v>
          </cell>
          <cell r="BJ195">
            <v>1243260</v>
          </cell>
          <cell r="BK195">
            <v>1267975</v>
          </cell>
          <cell r="BL195">
            <v>1293120</v>
          </cell>
          <cell r="BM195">
            <v>1318442</v>
          </cell>
          <cell r="BN195">
            <v>1318442</v>
          </cell>
        </row>
        <row r="196">
          <cell r="B196" t="str">
            <v>TGO</v>
          </cell>
          <cell r="C196" t="str">
            <v>Population, total</v>
          </cell>
          <cell r="D196" t="str">
            <v>SP.POP.TOTL</v>
          </cell>
          <cell r="E196">
            <v>1580508</v>
          </cell>
          <cell r="F196">
            <v>1597523</v>
          </cell>
          <cell r="G196">
            <v>1612761</v>
          </cell>
          <cell r="H196">
            <v>1631758</v>
          </cell>
          <cell r="I196">
            <v>1662073</v>
          </cell>
          <cell r="J196">
            <v>1708631</v>
          </cell>
          <cell r="K196">
            <v>1774020</v>
          </cell>
          <cell r="L196">
            <v>1855450</v>
          </cell>
          <cell r="M196">
            <v>1945777</v>
          </cell>
          <cell r="N196">
            <v>2034902</v>
          </cell>
          <cell r="O196">
            <v>2115522</v>
          </cell>
          <cell r="P196">
            <v>2185667</v>
          </cell>
          <cell r="Q196">
            <v>2247578</v>
          </cell>
          <cell r="R196">
            <v>2303344</v>
          </cell>
          <cell r="S196">
            <v>2356620</v>
          </cell>
          <cell r="T196">
            <v>2410451</v>
          </cell>
          <cell r="U196">
            <v>2464424</v>
          </cell>
          <cell r="V196">
            <v>2518454</v>
          </cell>
          <cell r="W196">
            <v>2576293</v>
          </cell>
          <cell r="X196">
            <v>2642693</v>
          </cell>
          <cell r="Y196">
            <v>2720835</v>
          </cell>
          <cell r="Z196">
            <v>2812312</v>
          </cell>
          <cell r="AA196">
            <v>2915618</v>
          </cell>
          <cell r="AB196">
            <v>3026980</v>
          </cell>
          <cell r="AC196">
            <v>3140840</v>
          </cell>
          <cell r="AD196">
            <v>3252997</v>
          </cell>
          <cell r="AE196">
            <v>3363040</v>
          </cell>
          <cell r="AF196">
            <v>3471738</v>
          </cell>
          <cell r="AG196">
            <v>3577469</v>
          </cell>
          <cell r="AH196">
            <v>3678567</v>
          </cell>
          <cell r="AI196">
            <v>3774310</v>
          </cell>
          <cell r="AJ196">
            <v>3862998</v>
          </cell>
          <cell r="AK196">
            <v>3945902</v>
          </cell>
          <cell r="AL196">
            <v>4029044</v>
          </cell>
          <cell r="AM196">
            <v>4120615</v>
          </cell>
          <cell r="AN196">
            <v>4226293</v>
          </cell>
          <cell r="AO196">
            <v>4348808</v>
          </cell>
          <cell r="AP196">
            <v>4485945</v>
          </cell>
          <cell r="AQ196">
            <v>4632451</v>
          </cell>
          <cell r="AR196">
            <v>4780455</v>
          </cell>
          <cell r="AS196">
            <v>4924406</v>
          </cell>
          <cell r="AT196">
            <v>5062571</v>
          </cell>
          <cell r="AU196">
            <v>5197040</v>
          </cell>
          <cell r="AV196">
            <v>5330629</v>
          </cell>
          <cell r="AW196">
            <v>5467770</v>
          </cell>
          <cell r="AX196">
            <v>5611643</v>
          </cell>
          <cell r="AY196">
            <v>5762881</v>
          </cell>
          <cell r="AZ196">
            <v>5920360</v>
          </cell>
          <cell r="BA196">
            <v>6083417</v>
          </cell>
          <cell r="BB196">
            <v>6250840</v>
          </cell>
          <cell r="BC196">
            <v>6421674</v>
          </cell>
          <cell r="BD196">
            <v>6595939</v>
          </cell>
          <cell r="BE196">
            <v>6773807</v>
          </cell>
          <cell r="BF196">
            <v>6954721</v>
          </cell>
          <cell r="BG196">
            <v>7137997</v>
          </cell>
          <cell r="BH196">
            <v>7323162</v>
          </cell>
          <cell r="BI196">
            <v>7509952</v>
          </cell>
          <cell r="BJ196">
            <v>7698476</v>
          </cell>
          <cell r="BK196">
            <v>7889095</v>
          </cell>
          <cell r="BL196">
            <v>8082359</v>
          </cell>
          <cell r="BM196">
            <v>8278737</v>
          </cell>
          <cell r="BN196">
            <v>8278737</v>
          </cell>
        </row>
        <row r="197">
          <cell r="B197" t="str">
            <v>TON</v>
          </cell>
          <cell r="C197" t="str">
            <v>Population, total</v>
          </cell>
          <cell r="D197" t="str">
            <v>SP.POP.TOTL</v>
          </cell>
          <cell r="E197">
            <v>61574</v>
          </cell>
          <cell r="F197">
            <v>63721</v>
          </cell>
          <cell r="G197">
            <v>66233</v>
          </cell>
          <cell r="H197">
            <v>68975</v>
          </cell>
          <cell r="I197">
            <v>71744</v>
          </cell>
          <cell r="J197">
            <v>74348</v>
          </cell>
          <cell r="K197">
            <v>76774</v>
          </cell>
          <cell r="L197">
            <v>79034</v>
          </cell>
          <cell r="M197">
            <v>81076</v>
          </cell>
          <cell r="N197">
            <v>82861</v>
          </cell>
          <cell r="O197">
            <v>84344</v>
          </cell>
          <cell r="P197">
            <v>85492</v>
          </cell>
          <cell r="Q197">
            <v>86327</v>
          </cell>
          <cell r="R197">
            <v>86958</v>
          </cell>
          <cell r="S197">
            <v>87584</v>
          </cell>
          <cell r="T197">
            <v>88321</v>
          </cell>
          <cell r="U197">
            <v>89228</v>
          </cell>
          <cell r="V197">
            <v>90259</v>
          </cell>
          <cell r="W197">
            <v>91336</v>
          </cell>
          <cell r="X197">
            <v>92271</v>
          </cell>
          <cell r="Y197">
            <v>92966</v>
          </cell>
          <cell r="Z197">
            <v>93415</v>
          </cell>
          <cell r="AA197">
            <v>93636</v>
          </cell>
          <cell r="AB197">
            <v>93736</v>
          </cell>
          <cell r="AC197">
            <v>93793</v>
          </cell>
          <cell r="AD197">
            <v>93896</v>
          </cell>
          <cell r="AE197">
            <v>94081</v>
          </cell>
          <cell r="AF197">
            <v>94318</v>
          </cell>
          <cell r="AG197">
            <v>94592</v>
          </cell>
          <cell r="AH197">
            <v>94848</v>
          </cell>
          <cell r="AI197">
            <v>95069</v>
          </cell>
          <cell r="AJ197">
            <v>95243</v>
          </cell>
          <cell r="AK197">
            <v>95398</v>
          </cell>
          <cell r="AL197">
            <v>95556</v>
          </cell>
          <cell r="AM197">
            <v>95739</v>
          </cell>
          <cell r="AN197">
            <v>95972</v>
          </cell>
          <cell r="AO197">
            <v>96267</v>
          </cell>
          <cell r="AP197">
            <v>96621</v>
          </cell>
          <cell r="AQ197">
            <v>97036</v>
          </cell>
          <cell r="AR197">
            <v>97475</v>
          </cell>
          <cell r="AS197">
            <v>97962</v>
          </cell>
          <cell r="AT197">
            <v>98482</v>
          </cell>
          <cell r="AU197">
            <v>99023</v>
          </cell>
          <cell r="AV197">
            <v>99591</v>
          </cell>
          <cell r="AW197">
            <v>100214</v>
          </cell>
          <cell r="AX197">
            <v>100908</v>
          </cell>
          <cell r="AY197">
            <v>101714</v>
          </cell>
          <cell r="AZ197">
            <v>102577</v>
          </cell>
          <cell r="BA197">
            <v>103384</v>
          </cell>
          <cell r="BB197">
            <v>103897</v>
          </cell>
          <cell r="BC197">
            <v>103981</v>
          </cell>
          <cell r="BD197">
            <v>103558</v>
          </cell>
          <cell r="BE197">
            <v>102736</v>
          </cell>
          <cell r="BF197">
            <v>101768</v>
          </cell>
          <cell r="BG197">
            <v>101023</v>
          </cell>
          <cell r="BH197">
            <v>100780</v>
          </cell>
          <cell r="BI197">
            <v>101143</v>
          </cell>
          <cell r="BJ197">
            <v>102002</v>
          </cell>
          <cell r="BK197">
            <v>103199</v>
          </cell>
          <cell r="BL197">
            <v>104497</v>
          </cell>
          <cell r="BM197">
            <v>105697</v>
          </cell>
          <cell r="BN197">
            <v>105697</v>
          </cell>
        </row>
        <row r="198">
          <cell r="B198" t="str">
            <v>TTO</v>
          </cell>
          <cell r="C198" t="str">
            <v>Population, total</v>
          </cell>
          <cell r="D198" t="str">
            <v>SP.POP.TOTL</v>
          </cell>
          <cell r="E198">
            <v>847973</v>
          </cell>
          <cell r="F198">
            <v>864814</v>
          </cell>
          <cell r="G198">
            <v>879436</v>
          </cell>
          <cell r="H198">
            <v>891948</v>
          </cell>
          <cell r="I198">
            <v>902620</v>
          </cell>
          <cell r="J198">
            <v>911742</v>
          </cell>
          <cell r="K198">
            <v>919218</v>
          </cell>
          <cell r="L198">
            <v>925233</v>
          </cell>
          <cell r="M198">
            <v>930792</v>
          </cell>
          <cell r="N198">
            <v>937184</v>
          </cell>
          <cell r="O198">
            <v>945357</v>
          </cell>
          <cell r="P198">
            <v>955753</v>
          </cell>
          <cell r="Q198">
            <v>968136</v>
          </cell>
          <cell r="R198">
            <v>982006</v>
          </cell>
          <cell r="S198">
            <v>996479</v>
          </cell>
          <cell r="T198">
            <v>1010934</v>
          </cell>
          <cell r="U198">
            <v>1025104</v>
          </cell>
          <cell r="V198">
            <v>1039210</v>
          </cell>
          <cell r="W198">
            <v>1053560</v>
          </cell>
          <cell r="X198">
            <v>1068644</v>
          </cell>
          <cell r="Y198">
            <v>1084743</v>
          </cell>
          <cell r="Z198">
            <v>1101983</v>
          </cell>
          <cell r="AA198">
            <v>1120019</v>
          </cell>
          <cell r="AB198">
            <v>1138071</v>
          </cell>
          <cell r="AC198">
            <v>1155083</v>
          </cell>
          <cell r="AD198">
            <v>1170296</v>
          </cell>
          <cell r="AE198">
            <v>1183382</v>
          </cell>
          <cell r="AF198">
            <v>1194532</v>
          </cell>
          <cell r="AG198">
            <v>1204150</v>
          </cell>
          <cell r="AH198">
            <v>1212858</v>
          </cell>
          <cell r="AI198">
            <v>1221121</v>
          </cell>
          <cell r="AJ198">
            <v>1229108</v>
          </cell>
          <cell r="AK198">
            <v>1236685</v>
          </cell>
          <cell r="AL198">
            <v>1243605</v>
          </cell>
          <cell r="AM198">
            <v>1249527</v>
          </cell>
          <cell r="AN198">
            <v>1254200</v>
          </cell>
          <cell r="AO198">
            <v>1257547</v>
          </cell>
          <cell r="AP198">
            <v>1259838</v>
          </cell>
          <cell r="AQ198">
            <v>1261699</v>
          </cell>
          <cell r="AR198">
            <v>1263927</v>
          </cell>
          <cell r="AS198">
            <v>1267159</v>
          </cell>
          <cell r="AT198">
            <v>1271627</v>
          </cell>
          <cell r="AU198">
            <v>1277210</v>
          </cell>
          <cell r="AV198">
            <v>1283564</v>
          </cell>
          <cell r="AW198">
            <v>1290115</v>
          </cell>
          <cell r="AX198">
            <v>1296497</v>
          </cell>
          <cell r="AY198">
            <v>1302552</v>
          </cell>
          <cell r="AZ198">
            <v>1308450</v>
          </cell>
          <cell r="BA198">
            <v>1314449</v>
          </cell>
          <cell r="BB198">
            <v>1320921</v>
          </cell>
          <cell r="BC198">
            <v>1328144</v>
          </cell>
          <cell r="BD198">
            <v>1336180</v>
          </cell>
          <cell r="BE198">
            <v>1344814</v>
          </cell>
          <cell r="BF198">
            <v>1353708</v>
          </cell>
          <cell r="BG198">
            <v>1362337</v>
          </cell>
          <cell r="BH198">
            <v>1370332</v>
          </cell>
          <cell r="BI198">
            <v>1377563</v>
          </cell>
          <cell r="BJ198">
            <v>1384060</v>
          </cell>
          <cell r="BK198">
            <v>1389841</v>
          </cell>
          <cell r="BL198">
            <v>1394969</v>
          </cell>
          <cell r="BM198">
            <v>1399491</v>
          </cell>
          <cell r="BN198">
            <v>1399491</v>
          </cell>
        </row>
        <row r="199">
          <cell r="B199" t="str">
            <v>TUN</v>
          </cell>
          <cell r="C199" t="str">
            <v>Population, total</v>
          </cell>
          <cell r="D199" t="str">
            <v>SP.POP.TOTL</v>
          </cell>
          <cell r="E199">
            <v>4178235</v>
          </cell>
          <cell r="F199">
            <v>4238141</v>
          </cell>
          <cell r="G199">
            <v>4305477</v>
          </cell>
          <cell r="H199">
            <v>4380074</v>
          </cell>
          <cell r="I199">
            <v>4461111</v>
          </cell>
          <cell r="J199">
            <v>4547941</v>
          </cell>
          <cell r="K199">
            <v>4640995</v>
          </cell>
          <cell r="L199">
            <v>4740526</v>
          </cell>
          <cell r="M199">
            <v>4845220</v>
          </cell>
          <cell r="N199">
            <v>4953379</v>
          </cell>
          <cell r="O199">
            <v>5063805</v>
          </cell>
          <cell r="P199">
            <v>5176290</v>
          </cell>
          <cell r="Q199">
            <v>5291335</v>
          </cell>
          <cell r="R199">
            <v>5409338</v>
          </cell>
          <cell r="S199">
            <v>5530978</v>
          </cell>
          <cell r="T199">
            <v>5656912</v>
          </cell>
          <cell r="U199">
            <v>5786482</v>
          </cell>
          <cell r="V199">
            <v>5919958</v>
          </cell>
          <cell r="W199">
            <v>6060158</v>
          </cell>
          <cell r="X199">
            <v>6210756</v>
          </cell>
          <cell r="Y199">
            <v>6374040</v>
          </cell>
          <cell r="Z199">
            <v>6551232</v>
          </cell>
          <cell r="AA199">
            <v>6740520</v>
          </cell>
          <cell r="AB199">
            <v>6937332</v>
          </cell>
          <cell r="AC199">
            <v>7135265</v>
          </cell>
          <cell r="AD199">
            <v>7329590</v>
          </cell>
          <cell r="AE199">
            <v>7517854</v>
          </cell>
          <cell r="AF199">
            <v>7700733</v>
          </cell>
          <cell r="AG199">
            <v>7880333</v>
          </cell>
          <cell r="AH199">
            <v>8060211</v>
          </cell>
          <cell r="AI199">
            <v>8242509</v>
          </cell>
          <cell r="AJ199">
            <v>8427851</v>
          </cell>
          <cell r="AK199">
            <v>8613855</v>
          </cell>
          <cell r="AL199">
            <v>8795934</v>
          </cell>
          <cell r="AM199">
            <v>8967916</v>
          </cell>
          <cell r="AN199">
            <v>9125400</v>
          </cell>
          <cell r="AO199">
            <v>9267335</v>
          </cell>
          <cell r="AP199">
            <v>9395119</v>
          </cell>
          <cell r="AQ199">
            <v>9509862</v>
          </cell>
          <cell r="AR199">
            <v>9613587</v>
          </cell>
          <cell r="AS199">
            <v>9708347</v>
          </cell>
          <cell r="AT199">
            <v>9793915</v>
          </cell>
          <cell r="AU199">
            <v>9871261</v>
          </cell>
          <cell r="AV199">
            <v>9945282</v>
          </cell>
          <cell r="AW199">
            <v>10022278</v>
          </cell>
          <cell r="AX199">
            <v>10106778</v>
          </cell>
          <cell r="AY199">
            <v>10201211</v>
          </cell>
          <cell r="AZ199">
            <v>10304729</v>
          </cell>
          <cell r="BA199">
            <v>10414425</v>
          </cell>
          <cell r="BB199">
            <v>10525691</v>
          </cell>
          <cell r="BC199">
            <v>10635245</v>
          </cell>
          <cell r="BD199">
            <v>10741872</v>
          </cell>
          <cell r="BE199">
            <v>10846993</v>
          </cell>
          <cell r="BF199">
            <v>10952949</v>
          </cell>
          <cell r="BG199">
            <v>11063195</v>
          </cell>
          <cell r="BH199">
            <v>11179951</v>
          </cell>
          <cell r="BI199">
            <v>11303942</v>
          </cell>
          <cell r="BJ199">
            <v>11433438</v>
          </cell>
          <cell r="BK199">
            <v>11565203</v>
          </cell>
          <cell r="BL199">
            <v>11694721</v>
          </cell>
          <cell r="BM199">
            <v>11818618</v>
          </cell>
          <cell r="BN199">
            <v>11818618</v>
          </cell>
        </row>
        <row r="200">
          <cell r="B200" t="str">
            <v>TUR</v>
          </cell>
          <cell r="C200" t="str">
            <v>Population, total</v>
          </cell>
          <cell r="D200" t="str">
            <v>SP.POP.TOTL</v>
          </cell>
          <cell r="E200">
            <v>27472339</v>
          </cell>
          <cell r="F200">
            <v>28146909</v>
          </cell>
          <cell r="G200">
            <v>28832831</v>
          </cell>
          <cell r="H200">
            <v>29531362</v>
          </cell>
          <cell r="I200">
            <v>30244258</v>
          </cell>
          <cell r="J200">
            <v>30972996</v>
          </cell>
          <cell r="K200">
            <v>31717504</v>
          </cell>
          <cell r="L200">
            <v>32477994</v>
          </cell>
          <cell r="M200">
            <v>33256465</v>
          </cell>
          <cell r="N200">
            <v>34055391</v>
          </cell>
          <cell r="O200">
            <v>34876296</v>
          </cell>
          <cell r="P200">
            <v>35720603</v>
          </cell>
          <cell r="Q200">
            <v>36587267</v>
          </cell>
          <cell r="R200">
            <v>37472329</v>
          </cell>
          <cell r="S200">
            <v>38370278</v>
          </cell>
          <cell r="T200">
            <v>39277249</v>
          </cell>
          <cell r="U200">
            <v>40189561</v>
          </cell>
          <cell r="V200">
            <v>41108290</v>
          </cell>
          <cell r="W200">
            <v>42039983</v>
          </cell>
          <cell r="X200">
            <v>42994043</v>
          </cell>
          <cell r="Y200">
            <v>43975972</v>
          </cell>
          <cell r="Z200">
            <v>44988411</v>
          </cell>
          <cell r="AA200">
            <v>46025411</v>
          </cell>
          <cell r="AB200">
            <v>47073470</v>
          </cell>
          <cell r="AC200">
            <v>48114158</v>
          </cell>
          <cell r="AD200">
            <v>49133928</v>
          </cell>
          <cell r="AE200">
            <v>50128548</v>
          </cell>
          <cell r="AF200">
            <v>51100930</v>
          </cell>
          <cell r="AG200">
            <v>52053764</v>
          </cell>
          <cell r="AH200">
            <v>52992479</v>
          </cell>
          <cell r="AI200">
            <v>53921758</v>
          </cell>
          <cell r="AJ200">
            <v>54840595</v>
          </cell>
          <cell r="AK200">
            <v>55748946</v>
          </cell>
          <cell r="AL200">
            <v>56653808</v>
          </cell>
          <cell r="AM200">
            <v>57564209</v>
          </cell>
          <cell r="AN200">
            <v>58486453</v>
          </cell>
          <cell r="AO200">
            <v>59423278</v>
          </cell>
          <cell r="AP200">
            <v>60372571</v>
          </cell>
          <cell r="AQ200">
            <v>61329665</v>
          </cell>
          <cell r="AR200">
            <v>62287391</v>
          </cell>
          <cell r="AS200">
            <v>63240196</v>
          </cell>
          <cell r="AT200">
            <v>64192243</v>
          </cell>
          <cell r="AU200">
            <v>65145357</v>
          </cell>
          <cell r="AV200">
            <v>66089402</v>
          </cell>
          <cell r="AW200">
            <v>67010930</v>
          </cell>
          <cell r="AX200">
            <v>67903461</v>
          </cell>
          <cell r="AY200">
            <v>68756809</v>
          </cell>
          <cell r="AZ200">
            <v>69581854</v>
          </cell>
          <cell r="BA200">
            <v>70418612</v>
          </cell>
          <cell r="BB200">
            <v>71321406</v>
          </cell>
          <cell r="BC200">
            <v>72326992</v>
          </cell>
          <cell r="BD200">
            <v>73443254</v>
          </cell>
          <cell r="BE200">
            <v>74651046</v>
          </cell>
          <cell r="BF200">
            <v>75925454</v>
          </cell>
          <cell r="BG200">
            <v>77229262</v>
          </cell>
          <cell r="BH200">
            <v>78529413</v>
          </cell>
          <cell r="BI200">
            <v>79827868</v>
          </cell>
          <cell r="BJ200">
            <v>81116451</v>
          </cell>
          <cell r="BK200">
            <v>82340090</v>
          </cell>
          <cell r="BL200">
            <v>83429607</v>
          </cell>
          <cell r="BM200">
            <v>84339067</v>
          </cell>
          <cell r="BN200">
            <v>84339067</v>
          </cell>
        </row>
        <row r="201">
          <cell r="B201" t="str">
            <v>TKM</v>
          </cell>
          <cell r="C201" t="str">
            <v>Population, total</v>
          </cell>
          <cell r="D201" t="str">
            <v>SP.POP.TOTL</v>
          </cell>
          <cell r="E201">
            <v>1603254</v>
          </cell>
          <cell r="F201">
            <v>1658364</v>
          </cell>
          <cell r="G201">
            <v>1715408</v>
          </cell>
          <cell r="H201">
            <v>1773854</v>
          </cell>
          <cell r="I201">
            <v>1833065</v>
          </cell>
          <cell r="J201">
            <v>1892596</v>
          </cell>
          <cell r="K201">
            <v>1952144</v>
          </cell>
          <cell r="L201">
            <v>2011762</v>
          </cell>
          <cell r="M201">
            <v>2071793</v>
          </cell>
          <cell r="N201">
            <v>2132800</v>
          </cell>
          <cell r="O201">
            <v>2195165</v>
          </cell>
          <cell r="P201">
            <v>2258965</v>
          </cell>
          <cell r="Q201">
            <v>2324019</v>
          </cell>
          <cell r="R201">
            <v>2390212</v>
          </cell>
          <cell r="S201">
            <v>2457379</v>
          </cell>
          <cell r="T201">
            <v>2525374</v>
          </cell>
          <cell r="U201">
            <v>2594315</v>
          </cell>
          <cell r="V201">
            <v>2664262</v>
          </cell>
          <cell r="W201">
            <v>2734899</v>
          </cell>
          <cell r="X201">
            <v>2805817</v>
          </cell>
          <cell r="Y201">
            <v>2876809</v>
          </cell>
          <cell r="Z201">
            <v>2947783</v>
          </cell>
          <cell r="AA201">
            <v>3019064</v>
          </cell>
          <cell r="AB201">
            <v>3091510</v>
          </cell>
          <cell r="AC201">
            <v>3166215</v>
          </cell>
          <cell r="AD201">
            <v>3244024</v>
          </cell>
          <cell r="AE201">
            <v>3324462</v>
          </cell>
          <cell r="AF201">
            <v>3407310</v>
          </cell>
          <cell r="AG201">
            <v>3493892</v>
          </cell>
          <cell r="AH201">
            <v>3585867</v>
          </cell>
          <cell r="AI201">
            <v>3683978</v>
          </cell>
          <cell r="AJ201">
            <v>3789188</v>
          </cell>
          <cell r="AK201">
            <v>3899843</v>
          </cell>
          <cell r="AL201">
            <v>4010789</v>
          </cell>
          <cell r="AM201">
            <v>4115105</v>
          </cell>
          <cell r="AN201">
            <v>4207841</v>
          </cell>
          <cell r="AO201">
            <v>4287337</v>
          </cell>
          <cell r="AP201">
            <v>4355125</v>
          </cell>
          <cell r="AQ201">
            <v>4413477</v>
          </cell>
          <cell r="AR201">
            <v>4466133</v>
          </cell>
          <cell r="AS201">
            <v>4516128</v>
          </cell>
          <cell r="AT201">
            <v>4564087</v>
          </cell>
          <cell r="AU201">
            <v>4610018</v>
          </cell>
          <cell r="AV201">
            <v>4655752</v>
          </cell>
          <cell r="AW201">
            <v>4703396</v>
          </cell>
          <cell r="AX201">
            <v>4754652</v>
          </cell>
          <cell r="AY201">
            <v>4810114</v>
          </cell>
          <cell r="AZ201">
            <v>4870142</v>
          </cell>
          <cell r="BA201">
            <v>4935765</v>
          </cell>
          <cell r="BB201">
            <v>5007953</v>
          </cell>
          <cell r="BC201">
            <v>5087211</v>
          </cell>
          <cell r="BD201">
            <v>5174076</v>
          </cell>
          <cell r="BE201">
            <v>5267906</v>
          </cell>
          <cell r="BF201">
            <v>5366376</v>
          </cell>
          <cell r="BG201">
            <v>5466324</v>
          </cell>
          <cell r="BH201">
            <v>5565283</v>
          </cell>
          <cell r="BI201">
            <v>5662371</v>
          </cell>
          <cell r="BJ201">
            <v>5757667</v>
          </cell>
          <cell r="BK201">
            <v>5850902</v>
          </cell>
          <cell r="BL201">
            <v>5942094</v>
          </cell>
          <cell r="BM201">
            <v>6031187</v>
          </cell>
          <cell r="BN201">
            <v>6031187</v>
          </cell>
        </row>
        <row r="202">
          <cell r="B202" t="str">
            <v>TCA</v>
          </cell>
          <cell r="C202" t="str">
            <v>Population, total</v>
          </cell>
          <cell r="D202" t="str">
            <v>SP.POP.TOTL</v>
          </cell>
          <cell r="E202">
            <v>5825</v>
          </cell>
          <cell r="F202">
            <v>5867</v>
          </cell>
          <cell r="G202">
            <v>5884</v>
          </cell>
          <cell r="H202">
            <v>5870</v>
          </cell>
          <cell r="I202">
            <v>5851</v>
          </cell>
          <cell r="J202">
            <v>5814</v>
          </cell>
          <cell r="K202">
            <v>5783</v>
          </cell>
          <cell r="L202">
            <v>5766</v>
          </cell>
          <cell r="M202">
            <v>5746</v>
          </cell>
          <cell r="N202">
            <v>5765</v>
          </cell>
          <cell r="O202">
            <v>5837</v>
          </cell>
          <cell r="P202">
            <v>5973</v>
          </cell>
          <cell r="Q202">
            <v>6156</v>
          </cell>
          <cell r="R202">
            <v>6380</v>
          </cell>
          <cell r="S202">
            <v>6610</v>
          </cell>
          <cell r="T202">
            <v>6832</v>
          </cell>
          <cell r="U202">
            <v>7020</v>
          </cell>
          <cell r="V202">
            <v>7193</v>
          </cell>
          <cell r="W202">
            <v>7380</v>
          </cell>
          <cell r="X202">
            <v>7607</v>
          </cell>
          <cell r="Y202">
            <v>7894</v>
          </cell>
          <cell r="Z202">
            <v>8243</v>
          </cell>
          <cell r="AA202">
            <v>8654</v>
          </cell>
          <cell r="AB202">
            <v>9096</v>
          </cell>
          <cell r="AC202">
            <v>9556</v>
          </cell>
          <cell r="AD202">
            <v>9974</v>
          </cell>
          <cell r="AE202">
            <v>10365</v>
          </cell>
          <cell r="AF202">
            <v>10717</v>
          </cell>
          <cell r="AG202">
            <v>11091</v>
          </cell>
          <cell r="AH202">
            <v>11550</v>
          </cell>
          <cell r="AI202">
            <v>12115</v>
          </cell>
          <cell r="AJ202">
            <v>12815</v>
          </cell>
          <cell r="AK202">
            <v>13639</v>
          </cell>
          <cell r="AL202">
            <v>14526</v>
          </cell>
          <cell r="AM202">
            <v>15399</v>
          </cell>
          <cell r="AN202">
            <v>16221</v>
          </cell>
          <cell r="AO202">
            <v>16930</v>
          </cell>
          <cell r="AP202">
            <v>17566</v>
          </cell>
          <cell r="AQ202">
            <v>18228</v>
          </cell>
          <cell r="AR202">
            <v>19069</v>
          </cell>
          <cell r="AS202">
            <v>20171</v>
          </cell>
          <cell r="AT202">
            <v>21578</v>
          </cell>
          <cell r="AU202">
            <v>23230</v>
          </cell>
          <cell r="AV202">
            <v>25008</v>
          </cell>
          <cell r="AW202">
            <v>26709</v>
          </cell>
          <cell r="AX202">
            <v>28181</v>
          </cell>
          <cell r="AY202">
            <v>29394</v>
          </cell>
          <cell r="AZ202">
            <v>30383</v>
          </cell>
          <cell r="BA202">
            <v>31200</v>
          </cell>
          <cell r="BB202">
            <v>31933</v>
          </cell>
          <cell r="BC202">
            <v>32658</v>
          </cell>
          <cell r="BD202">
            <v>33371</v>
          </cell>
          <cell r="BE202">
            <v>34067</v>
          </cell>
          <cell r="BF202">
            <v>34733</v>
          </cell>
          <cell r="BG202">
            <v>35371</v>
          </cell>
          <cell r="BH202">
            <v>35979</v>
          </cell>
          <cell r="BI202">
            <v>36558</v>
          </cell>
          <cell r="BJ202">
            <v>37116</v>
          </cell>
          <cell r="BK202">
            <v>37667</v>
          </cell>
          <cell r="BL202">
            <v>38194</v>
          </cell>
          <cell r="BM202">
            <v>38718</v>
          </cell>
          <cell r="BN202">
            <v>38718</v>
          </cell>
        </row>
        <row r="203">
          <cell r="B203" t="str">
            <v>TUV</v>
          </cell>
          <cell r="C203" t="str">
            <v>Population, total</v>
          </cell>
          <cell r="D203" t="str">
            <v>SP.POP.TOTL</v>
          </cell>
          <cell r="E203">
            <v>5321</v>
          </cell>
          <cell r="F203">
            <v>5330</v>
          </cell>
          <cell r="G203">
            <v>5340</v>
          </cell>
          <cell r="H203">
            <v>5341</v>
          </cell>
          <cell r="I203">
            <v>5354</v>
          </cell>
          <cell r="J203">
            <v>5388</v>
          </cell>
          <cell r="K203">
            <v>5435</v>
          </cell>
          <cell r="L203">
            <v>5510</v>
          </cell>
          <cell r="M203">
            <v>5598</v>
          </cell>
          <cell r="N203">
            <v>5671</v>
          </cell>
          <cell r="O203">
            <v>5740</v>
          </cell>
          <cell r="P203">
            <v>5770</v>
          </cell>
          <cell r="Q203">
            <v>5786</v>
          </cell>
          <cell r="R203">
            <v>5819</v>
          </cell>
          <cell r="S203">
            <v>5903</v>
          </cell>
          <cell r="T203">
            <v>6064</v>
          </cell>
          <cell r="U203">
            <v>6319</v>
          </cell>
          <cell r="V203">
            <v>6650</v>
          </cell>
          <cell r="W203">
            <v>7018</v>
          </cell>
          <cell r="X203">
            <v>7357</v>
          </cell>
          <cell r="Y203">
            <v>7631</v>
          </cell>
          <cell r="Z203">
            <v>7825</v>
          </cell>
          <cell r="AA203">
            <v>7951</v>
          </cell>
          <cell r="AB203">
            <v>8041</v>
          </cell>
          <cell r="AC203">
            <v>8110</v>
          </cell>
          <cell r="AD203">
            <v>8211</v>
          </cell>
          <cell r="AE203">
            <v>8341</v>
          </cell>
          <cell r="AF203">
            <v>8481</v>
          </cell>
          <cell r="AG203">
            <v>8637</v>
          </cell>
          <cell r="AH203">
            <v>8787</v>
          </cell>
          <cell r="AI203">
            <v>8910</v>
          </cell>
          <cell r="AJ203">
            <v>9014</v>
          </cell>
          <cell r="AK203">
            <v>9110</v>
          </cell>
          <cell r="AL203">
            <v>9194</v>
          </cell>
          <cell r="AM203">
            <v>9259</v>
          </cell>
          <cell r="AN203">
            <v>9298</v>
          </cell>
          <cell r="AO203">
            <v>9317</v>
          </cell>
          <cell r="AP203">
            <v>9328</v>
          </cell>
          <cell r="AQ203">
            <v>9332</v>
          </cell>
          <cell r="AR203">
            <v>9344</v>
          </cell>
          <cell r="AS203">
            <v>9392</v>
          </cell>
          <cell r="AT203">
            <v>9478</v>
          </cell>
          <cell r="AU203">
            <v>9593</v>
          </cell>
          <cell r="AV203">
            <v>9724</v>
          </cell>
          <cell r="AW203">
            <v>9871</v>
          </cell>
          <cell r="AX203">
            <v>9997</v>
          </cell>
          <cell r="AY203">
            <v>10118</v>
          </cell>
          <cell r="AZ203">
            <v>10219</v>
          </cell>
          <cell r="BA203">
            <v>10315</v>
          </cell>
          <cell r="BB203">
            <v>10413</v>
          </cell>
          <cell r="BC203">
            <v>10521</v>
          </cell>
          <cell r="BD203">
            <v>10626</v>
          </cell>
          <cell r="BE203">
            <v>10744</v>
          </cell>
          <cell r="BF203">
            <v>10849</v>
          </cell>
          <cell r="BG203">
            <v>10973</v>
          </cell>
          <cell r="BH203">
            <v>11099</v>
          </cell>
          <cell r="BI203">
            <v>11232</v>
          </cell>
          <cell r="BJ203">
            <v>11365</v>
          </cell>
          <cell r="BK203">
            <v>11505</v>
          </cell>
          <cell r="BL203">
            <v>11655</v>
          </cell>
          <cell r="BM203">
            <v>11792</v>
          </cell>
          <cell r="BN203">
            <v>11792</v>
          </cell>
        </row>
        <row r="204">
          <cell r="B204" t="str">
            <v>UGA</v>
          </cell>
          <cell r="C204" t="str">
            <v>Population, total</v>
          </cell>
          <cell r="D204" t="str">
            <v>SP.POP.TOTL</v>
          </cell>
          <cell r="E204">
            <v>6767092</v>
          </cell>
          <cell r="F204">
            <v>6983824</v>
          </cell>
          <cell r="G204">
            <v>7215799</v>
          </cell>
          <cell r="H204">
            <v>7461636</v>
          </cell>
          <cell r="I204">
            <v>7719108</v>
          </cell>
          <cell r="J204">
            <v>7986062</v>
          </cell>
          <cell r="K204">
            <v>8263434</v>
          </cell>
          <cell r="L204">
            <v>8550444</v>
          </cell>
          <cell r="M204">
            <v>8841156</v>
          </cell>
          <cell r="N204">
            <v>9127855</v>
          </cell>
          <cell r="O204">
            <v>9405606</v>
          </cell>
          <cell r="P204">
            <v>9671856</v>
          </cell>
          <cell r="Q204">
            <v>9929644</v>
          </cell>
          <cell r="R204">
            <v>10186452</v>
          </cell>
          <cell r="S204">
            <v>10453029</v>
          </cell>
          <cell r="T204">
            <v>10737403</v>
          </cell>
          <cell r="U204">
            <v>11042975</v>
          </cell>
          <cell r="V204">
            <v>11368618</v>
          </cell>
          <cell r="W204">
            <v>11712540</v>
          </cell>
          <cell r="X204">
            <v>12071140</v>
          </cell>
          <cell r="Y204">
            <v>12442333</v>
          </cell>
          <cell r="Z204">
            <v>12825084</v>
          </cell>
          <cell r="AA204">
            <v>13221991</v>
          </cell>
          <cell r="AB204">
            <v>13638729</v>
          </cell>
          <cell r="AC204">
            <v>14082870</v>
          </cell>
          <cell r="AD204">
            <v>14559357</v>
          </cell>
          <cell r="AE204">
            <v>15070319</v>
          </cell>
          <cell r="AF204">
            <v>15612754</v>
          </cell>
          <cell r="AG204">
            <v>16180129</v>
          </cell>
          <cell r="AH204">
            <v>16763041</v>
          </cell>
          <cell r="AI204">
            <v>17354395</v>
          </cell>
          <cell r="AJ204">
            <v>17953534</v>
          </cell>
          <cell r="AK204">
            <v>18561668</v>
          </cell>
          <cell r="AL204">
            <v>19175986</v>
          </cell>
          <cell r="AM204">
            <v>19793541</v>
          </cell>
          <cell r="AN204">
            <v>20413157</v>
          </cell>
          <cell r="AO204">
            <v>21032817</v>
          </cell>
          <cell r="AP204">
            <v>21655392</v>
          </cell>
          <cell r="AQ204">
            <v>22290787</v>
          </cell>
          <cell r="AR204">
            <v>22952406</v>
          </cell>
          <cell r="AS204">
            <v>23650159</v>
          </cell>
          <cell r="AT204">
            <v>24388974</v>
          </cell>
          <cell r="AU204">
            <v>25167261</v>
          </cell>
          <cell r="AV204">
            <v>25980547</v>
          </cell>
          <cell r="AW204">
            <v>26821300</v>
          </cell>
          <cell r="AX204">
            <v>27684590</v>
          </cell>
          <cell r="AY204">
            <v>28571475</v>
          </cell>
          <cell r="AZ204">
            <v>29486335</v>
          </cell>
          <cell r="BA204">
            <v>30431734</v>
          </cell>
          <cell r="BB204">
            <v>31411096</v>
          </cell>
          <cell r="BC204">
            <v>32428164</v>
          </cell>
          <cell r="BD204">
            <v>33476772</v>
          </cell>
          <cell r="BE204">
            <v>34558700</v>
          </cell>
          <cell r="BF204">
            <v>35694519</v>
          </cell>
          <cell r="BG204">
            <v>36911530</v>
          </cell>
          <cell r="BH204">
            <v>38225447</v>
          </cell>
          <cell r="BI204">
            <v>39649173</v>
          </cell>
          <cell r="BJ204">
            <v>41166588</v>
          </cell>
          <cell r="BK204">
            <v>42729032</v>
          </cell>
          <cell r="BL204">
            <v>44269587</v>
          </cell>
          <cell r="BM204">
            <v>45741000</v>
          </cell>
          <cell r="BN204">
            <v>45741000</v>
          </cell>
        </row>
        <row r="205">
          <cell r="B205" t="str">
            <v>UKR</v>
          </cell>
          <cell r="C205" t="str">
            <v>Population, total</v>
          </cell>
          <cell r="D205" t="str">
            <v>SP.POP.TOTL</v>
          </cell>
          <cell r="E205">
            <v>42664646</v>
          </cell>
          <cell r="F205">
            <v>43206353</v>
          </cell>
          <cell r="G205">
            <v>43752227</v>
          </cell>
          <cell r="H205">
            <v>44288607</v>
          </cell>
          <cell r="I205">
            <v>44796959</v>
          </cell>
          <cell r="J205">
            <v>45264552</v>
          </cell>
          <cell r="K205">
            <v>45684983</v>
          </cell>
          <cell r="L205">
            <v>46063219</v>
          </cell>
          <cell r="M205">
            <v>46411816</v>
          </cell>
          <cell r="N205">
            <v>46749289</v>
          </cell>
          <cell r="O205">
            <v>47088862</v>
          </cell>
          <cell r="P205">
            <v>47435008</v>
          </cell>
          <cell r="Q205">
            <v>47783006</v>
          </cell>
          <cell r="R205">
            <v>48125829</v>
          </cell>
          <cell r="S205">
            <v>48452623</v>
          </cell>
          <cell r="T205">
            <v>48755662</v>
          </cell>
          <cell r="U205">
            <v>49032729</v>
          </cell>
          <cell r="V205">
            <v>49287118</v>
          </cell>
          <cell r="W205">
            <v>49523304</v>
          </cell>
          <cell r="X205">
            <v>49747998</v>
          </cell>
          <cell r="Y205">
            <v>49965872</v>
          </cell>
          <cell r="Z205">
            <v>50221000</v>
          </cell>
          <cell r="AA205">
            <v>50384000</v>
          </cell>
          <cell r="AB205">
            <v>50564000</v>
          </cell>
          <cell r="AC205">
            <v>50754000</v>
          </cell>
          <cell r="AD205">
            <v>50917000</v>
          </cell>
          <cell r="AE205">
            <v>51097000</v>
          </cell>
          <cell r="AF205">
            <v>51293000</v>
          </cell>
          <cell r="AG205">
            <v>51521000</v>
          </cell>
          <cell r="AH205">
            <v>51773000</v>
          </cell>
          <cell r="AI205">
            <v>51891400</v>
          </cell>
          <cell r="AJ205">
            <v>52000500</v>
          </cell>
          <cell r="AK205">
            <v>52150400</v>
          </cell>
          <cell r="AL205">
            <v>52179200</v>
          </cell>
          <cell r="AM205">
            <v>51921400</v>
          </cell>
          <cell r="AN205">
            <v>51512800</v>
          </cell>
          <cell r="AO205">
            <v>51057800</v>
          </cell>
          <cell r="AP205">
            <v>50594600</v>
          </cell>
          <cell r="AQ205">
            <v>50144500</v>
          </cell>
          <cell r="AR205">
            <v>49674000</v>
          </cell>
          <cell r="AS205">
            <v>49176500</v>
          </cell>
          <cell r="AT205">
            <v>48662400</v>
          </cell>
          <cell r="AU205">
            <v>48202470</v>
          </cell>
          <cell r="AV205">
            <v>47812949</v>
          </cell>
          <cell r="AW205">
            <v>47451626</v>
          </cell>
          <cell r="AX205">
            <v>47105171</v>
          </cell>
          <cell r="AY205">
            <v>46787786</v>
          </cell>
          <cell r="AZ205">
            <v>46509355</v>
          </cell>
          <cell r="BA205">
            <v>46258189</v>
          </cell>
          <cell r="BB205">
            <v>46053331</v>
          </cell>
          <cell r="BC205">
            <v>45870741</v>
          </cell>
          <cell r="BD205">
            <v>45706086</v>
          </cell>
          <cell r="BE205">
            <v>45593342</v>
          </cell>
          <cell r="BF205">
            <v>45489648</v>
          </cell>
          <cell r="BG205">
            <v>45272155</v>
          </cell>
          <cell r="BH205">
            <v>45154036</v>
          </cell>
          <cell r="BI205">
            <v>45004673</v>
          </cell>
          <cell r="BJ205">
            <v>44831135</v>
          </cell>
          <cell r="BK205">
            <v>44622518</v>
          </cell>
          <cell r="BL205">
            <v>44386203</v>
          </cell>
          <cell r="BM205">
            <v>44134693</v>
          </cell>
          <cell r="BN205">
            <v>44134693</v>
          </cell>
        </row>
        <row r="206">
          <cell r="B206" t="str">
            <v>ARE</v>
          </cell>
          <cell r="C206" t="str">
            <v>Population, total</v>
          </cell>
          <cell r="D206" t="str">
            <v>SP.POP.TOTL</v>
          </cell>
          <cell r="E206">
            <v>92417</v>
          </cell>
          <cell r="F206">
            <v>100801</v>
          </cell>
          <cell r="G206">
            <v>112112</v>
          </cell>
          <cell r="H206">
            <v>125130</v>
          </cell>
          <cell r="I206">
            <v>138049</v>
          </cell>
          <cell r="J206">
            <v>149855</v>
          </cell>
          <cell r="K206">
            <v>159979</v>
          </cell>
          <cell r="L206">
            <v>169768</v>
          </cell>
          <cell r="M206">
            <v>182620</v>
          </cell>
          <cell r="N206">
            <v>203103</v>
          </cell>
          <cell r="O206">
            <v>234512</v>
          </cell>
          <cell r="P206">
            <v>277463</v>
          </cell>
          <cell r="Q206">
            <v>330968</v>
          </cell>
          <cell r="R206">
            <v>394625</v>
          </cell>
          <cell r="S206">
            <v>467457</v>
          </cell>
          <cell r="T206">
            <v>548295</v>
          </cell>
          <cell r="U206">
            <v>637926</v>
          </cell>
          <cell r="V206">
            <v>735347</v>
          </cell>
          <cell r="W206">
            <v>835498</v>
          </cell>
          <cell r="X206">
            <v>931752</v>
          </cell>
          <cell r="Y206">
            <v>1019507</v>
          </cell>
          <cell r="Z206">
            <v>1096602</v>
          </cell>
          <cell r="AA206">
            <v>1164816</v>
          </cell>
          <cell r="AB206">
            <v>1228457</v>
          </cell>
          <cell r="AC206">
            <v>1293970</v>
          </cell>
          <cell r="AD206">
            <v>1366165</v>
          </cell>
          <cell r="AE206">
            <v>1446386</v>
          </cell>
          <cell r="AF206">
            <v>1533526</v>
          </cell>
          <cell r="AG206">
            <v>1627068</v>
          </cell>
          <cell r="AH206">
            <v>1725676</v>
          </cell>
          <cell r="AI206">
            <v>1828437</v>
          </cell>
          <cell r="AJ206">
            <v>1937159</v>
          </cell>
          <cell r="AK206">
            <v>2052892</v>
          </cell>
          <cell r="AL206">
            <v>2173135</v>
          </cell>
          <cell r="AM206">
            <v>2294377</v>
          </cell>
          <cell r="AN206">
            <v>2415099</v>
          </cell>
          <cell r="AO206">
            <v>2539121</v>
          </cell>
          <cell r="AP206">
            <v>2671361</v>
          </cell>
          <cell r="AQ206">
            <v>2813214</v>
          </cell>
          <cell r="AR206">
            <v>2966029</v>
          </cell>
          <cell r="AS206">
            <v>3134067</v>
          </cell>
          <cell r="AT206">
            <v>3302722</v>
          </cell>
          <cell r="AU206">
            <v>3478769</v>
          </cell>
          <cell r="AV206">
            <v>3711931</v>
          </cell>
          <cell r="AW206">
            <v>4068577</v>
          </cell>
          <cell r="AX206">
            <v>4588222</v>
          </cell>
          <cell r="AY206">
            <v>5300172</v>
          </cell>
          <cell r="AZ206">
            <v>6168846</v>
          </cell>
          <cell r="BA206">
            <v>7089486</v>
          </cell>
          <cell r="BB206">
            <v>7917368</v>
          </cell>
          <cell r="BC206">
            <v>8549998</v>
          </cell>
          <cell r="BD206">
            <v>8946778</v>
          </cell>
          <cell r="BE206">
            <v>9141598</v>
          </cell>
          <cell r="BF206">
            <v>9197908</v>
          </cell>
          <cell r="BG206">
            <v>9214182</v>
          </cell>
          <cell r="BH206">
            <v>9262896</v>
          </cell>
          <cell r="BI206">
            <v>9360975</v>
          </cell>
          <cell r="BJ206">
            <v>9487206</v>
          </cell>
          <cell r="BK206">
            <v>9630966</v>
          </cell>
          <cell r="BL206">
            <v>9770526</v>
          </cell>
          <cell r="BM206">
            <v>9890400</v>
          </cell>
          <cell r="BN206">
            <v>9890400</v>
          </cell>
        </row>
        <row r="207">
          <cell r="B207" t="str">
            <v>GBR</v>
          </cell>
          <cell r="C207" t="str">
            <v>Population, total</v>
          </cell>
          <cell r="D207" t="str">
            <v>SP.POP.TOTL</v>
          </cell>
          <cell r="E207">
            <v>52400000</v>
          </cell>
          <cell r="F207">
            <v>52800000</v>
          </cell>
          <cell r="G207">
            <v>53250000</v>
          </cell>
          <cell r="H207">
            <v>53650000</v>
          </cell>
          <cell r="I207">
            <v>54000000</v>
          </cell>
          <cell r="J207">
            <v>54348050</v>
          </cell>
          <cell r="K207">
            <v>54648500</v>
          </cell>
          <cell r="L207">
            <v>54943600</v>
          </cell>
          <cell r="M207">
            <v>55211700</v>
          </cell>
          <cell r="N207">
            <v>55441750</v>
          </cell>
          <cell r="O207">
            <v>55663250</v>
          </cell>
          <cell r="P207">
            <v>55896223</v>
          </cell>
          <cell r="Q207">
            <v>56086065</v>
          </cell>
          <cell r="R207">
            <v>56194527</v>
          </cell>
          <cell r="S207">
            <v>56229974</v>
          </cell>
          <cell r="T207">
            <v>56225800</v>
          </cell>
          <cell r="U207">
            <v>56211968</v>
          </cell>
          <cell r="V207">
            <v>56193492</v>
          </cell>
          <cell r="W207">
            <v>56196504</v>
          </cell>
          <cell r="X207">
            <v>56246951</v>
          </cell>
          <cell r="Y207">
            <v>56314216</v>
          </cell>
          <cell r="Z207">
            <v>56333829</v>
          </cell>
          <cell r="AA207">
            <v>56313641</v>
          </cell>
          <cell r="AB207">
            <v>56332848</v>
          </cell>
          <cell r="AC207">
            <v>56422072</v>
          </cell>
          <cell r="AD207">
            <v>56550268</v>
          </cell>
          <cell r="AE207">
            <v>56681396</v>
          </cell>
          <cell r="AF207">
            <v>56802050</v>
          </cell>
          <cell r="AG207">
            <v>56928327</v>
          </cell>
          <cell r="AH207">
            <v>57076711</v>
          </cell>
          <cell r="AI207">
            <v>57247586</v>
          </cell>
          <cell r="AJ207">
            <v>57424897</v>
          </cell>
          <cell r="AK207">
            <v>57580402</v>
          </cell>
          <cell r="AL207">
            <v>57718614</v>
          </cell>
          <cell r="AM207">
            <v>57865745</v>
          </cell>
          <cell r="AN207">
            <v>58019030</v>
          </cell>
          <cell r="AO207">
            <v>58166950</v>
          </cell>
          <cell r="AP207">
            <v>58316954</v>
          </cell>
          <cell r="AQ207">
            <v>58487141</v>
          </cell>
          <cell r="AR207">
            <v>58682466</v>
          </cell>
          <cell r="AS207">
            <v>58892514</v>
          </cell>
          <cell r="AT207">
            <v>59119673</v>
          </cell>
          <cell r="AU207">
            <v>59370479</v>
          </cell>
          <cell r="AV207">
            <v>59647577</v>
          </cell>
          <cell r="AW207">
            <v>59987905</v>
          </cell>
          <cell r="AX207">
            <v>60401206</v>
          </cell>
          <cell r="AY207">
            <v>60846820</v>
          </cell>
          <cell r="AZ207">
            <v>61322463</v>
          </cell>
          <cell r="BA207">
            <v>61806995</v>
          </cell>
          <cell r="BB207">
            <v>62276270</v>
          </cell>
          <cell r="BC207">
            <v>62766365</v>
          </cell>
          <cell r="BD207">
            <v>63258810</v>
          </cell>
          <cell r="BE207">
            <v>63700215</v>
          </cell>
          <cell r="BF207">
            <v>64128273</v>
          </cell>
          <cell r="BG207">
            <v>64602298</v>
          </cell>
          <cell r="BH207">
            <v>65116219</v>
          </cell>
          <cell r="BI207">
            <v>65611593</v>
          </cell>
          <cell r="BJ207">
            <v>66058859</v>
          </cell>
          <cell r="BK207">
            <v>66460344</v>
          </cell>
          <cell r="BL207">
            <v>66836327</v>
          </cell>
          <cell r="BM207">
            <v>67215293</v>
          </cell>
          <cell r="BN207">
            <v>67215293</v>
          </cell>
        </row>
        <row r="208">
          <cell r="B208" t="str">
            <v>USA</v>
          </cell>
          <cell r="C208" t="str">
            <v>Population, total</v>
          </cell>
          <cell r="D208" t="str">
            <v>SP.POP.TOTL</v>
          </cell>
          <cell r="E208">
            <v>180671000</v>
          </cell>
          <cell r="F208">
            <v>183691000</v>
          </cell>
          <cell r="G208">
            <v>186538000</v>
          </cell>
          <cell r="H208">
            <v>189242000</v>
          </cell>
          <cell r="I208">
            <v>191889000</v>
          </cell>
          <cell r="J208">
            <v>194303000</v>
          </cell>
          <cell r="K208">
            <v>196560000</v>
          </cell>
          <cell r="L208">
            <v>198712000</v>
          </cell>
          <cell r="M208">
            <v>200706000</v>
          </cell>
          <cell r="N208">
            <v>202677000</v>
          </cell>
          <cell r="O208">
            <v>205052000</v>
          </cell>
          <cell r="P208">
            <v>207661000</v>
          </cell>
          <cell r="Q208">
            <v>209896000</v>
          </cell>
          <cell r="R208">
            <v>211909000</v>
          </cell>
          <cell r="S208">
            <v>213854000</v>
          </cell>
          <cell r="T208">
            <v>215973000</v>
          </cell>
          <cell r="U208">
            <v>218035000</v>
          </cell>
          <cell r="V208">
            <v>220239000</v>
          </cell>
          <cell r="W208">
            <v>222585000</v>
          </cell>
          <cell r="X208">
            <v>225055000</v>
          </cell>
          <cell r="Y208">
            <v>227225000</v>
          </cell>
          <cell r="Z208">
            <v>229466000</v>
          </cell>
          <cell r="AA208">
            <v>231664000</v>
          </cell>
          <cell r="AB208">
            <v>233792000</v>
          </cell>
          <cell r="AC208">
            <v>235825000</v>
          </cell>
          <cell r="AD208">
            <v>237924000</v>
          </cell>
          <cell r="AE208">
            <v>240133000</v>
          </cell>
          <cell r="AF208">
            <v>242289000</v>
          </cell>
          <cell r="AG208">
            <v>244499000</v>
          </cell>
          <cell r="AH208">
            <v>246819000</v>
          </cell>
          <cell r="AI208">
            <v>249623000</v>
          </cell>
          <cell r="AJ208">
            <v>252981000</v>
          </cell>
          <cell r="AK208">
            <v>256514000</v>
          </cell>
          <cell r="AL208">
            <v>259919000</v>
          </cell>
          <cell r="AM208">
            <v>263126000</v>
          </cell>
          <cell r="AN208">
            <v>266278000</v>
          </cell>
          <cell r="AO208">
            <v>269394000</v>
          </cell>
          <cell r="AP208">
            <v>272657000</v>
          </cell>
          <cell r="AQ208">
            <v>275854000</v>
          </cell>
          <cell r="AR208">
            <v>279040000</v>
          </cell>
          <cell r="AS208">
            <v>282162411</v>
          </cell>
          <cell r="AT208">
            <v>284968955</v>
          </cell>
          <cell r="AU208">
            <v>287625193</v>
          </cell>
          <cell r="AV208">
            <v>290107933</v>
          </cell>
          <cell r="AW208">
            <v>292805298</v>
          </cell>
          <cell r="AX208">
            <v>295516599</v>
          </cell>
          <cell r="AY208">
            <v>298379912</v>
          </cell>
          <cell r="AZ208">
            <v>301231207</v>
          </cell>
          <cell r="BA208">
            <v>304093966</v>
          </cell>
          <cell r="BB208">
            <v>306771529</v>
          </cell>
          <cell r="BC208">
            <v>309327143</v>
          </cell>
          <cell r="BD208">
            <v>311583481</v>
          </cell>
          <cell r="BE208">
            <v>313877662</v>
          </cell>
          <cell r="BF208">
            <v>316059947</v>
          </cell>
          <cell r="BG208">
            <v>318386329</v>
          </cell>
          <cell r="BH208">
            <v>320738994</v>
          </cell>
          <cell r="BI208">
            <v>323071755</v>
          </cell>
          <cell r="BJ208">
            <v>325122128</v>
          </cell>
          <cell r="BK208">
            <v>326838199</v>
          </cell>
          <cell r="BL208">
            <v>328329953</v>
          </cell>
          <cell r="BM208">
            <v>329484123</v>
          </cell>
          <cell r="BN208">
            <v>329484123</v>
          </cell>
        </row>
        <row r="209">
          <cell r="B209" t="str">
            <v>URY</v>
          </cell>
          <cell r="C209" t="str">
            <v>Population, total</v>
          </cell>
          <cell r="D209" t="str">
            <v>SP.POP.TOTL</v>
          </cell>
          <cell r="E209">
            <v>2538648</v>
          </cell>
          <cell r="F209">
            <v>2571682</v>
          </cell>
          <cell r="G209">
            <v>2603883</v>
          </cell>
          <cell r="H209">
            <v>2635125</v>
          </cell>
          <cell r="I209">
            <v>2665383</v>
          </cell>
          <cell r="J209">
            <v>2694537</v>
          </cell>
          <cell r="K209">
            <v>2722871</v>
          </cell>
          <cell r="L209">
            <v>2750091</v>
          </cell>
          <cell r="M209">
            <v>2774761</v>
          </cell>
          <cell r="N209">
            <v>2795037</v>
          </cell>
          <cell r="O209">
            <v>2809799</v>
          </cell>
          <cell r="P209">
            <v>2818283</v>
          </cell>
          <cell r="Q209">
            <v>2821458</v>
          </cell>
          <cell r="R209">
            <v>2822112</v>
          </cell>
          <cell r="S209">
            <v>2824095</v>
          </cell>
          <cell r="T209">
            <v>2830172</v>
          </cell>
          <cell r="U209">
            <v>2841371</v>
          </cell>
          <cell r="V209">
            <v>2856958</v>
          </cell>
          <cell r="W209">
            <v>2875724</v>
          </cell>
          <cell r="X209">
            <v>2895683</v>
          </cell>
          <cell r="Y209">
            <v>2915389</v>
          </cell>
          <cell r="Z209">
            <v>2934624</v>
          </cell>
          <cell r="AA209">
            <v>2953852</v>
          </cell>
          <cell r="AB209">
            <v>2973048</v>
          </cell>
          <cell r="AC209">
            <v>2992250</v>
          </cell>
          <cell r="AD209">
            <v>3011519</v>
          </cell>
          <cell r="AE209">
            <v>3030651</v>
          </cell>
          <cell r="AF209">
            <v>3049581</v>
          </cell>
          <cell r="AG209">
            <v>3068714</v>
          </cell>
          <cell r="AH209">
            <v>3088603</v>
          </cell>
          <cell r="AI209">
            <v>3109598</v>
          </cell>
          <cell r="AJ209">
            <v>3131657</v>
          </cell>
          <cell r="AK209">
            <v>3154459</v>
          </cell>
          <cell r="AL209">
            <v>3177734</v>
          </cell>
          <cell r="AM209">
            <v>3201149</v>
          </cell>
          <cell r="AN209">
            <v>3224275</v>
          </cell>
          <cell r="AO209">
            <v>3247383</v>
          </cell>
          <cell r="AP209">
            <v>3270158</v>
          </cell>
          <cell r="AQ209">
            <v>3291053</v>
          </cell>
          <cell r="AR209">
            <v>3308005</v>
          </cell>
          <cell r="AS209">
            <v>3319734</v>
          </cell>
          <cell r="AT209">
            <v>3325471</v>
          </cell>
          <cell r="AU209">
            <v>3326046</v>
          </cell>
          <cell r="AV209">
            <v>3323661</v>
          </cell>
          <cell r="AW209">
            <v>3321486</v>
          </cell>
          <cell r="AX209">
            <v>3321799</v>
          </cell>
          <cell r="AY209">
            <v>3325403</v>
          </cell>
          <cell r="AZ209">
            <v>3331753</v>
          </cell>
          <cell r="BA209">
            <v>3340221</v>
          </cell>
          <cell r="BB209">
            <v>3349676</v>
          </cell>
          <cell r="BC209">
            <v>3359273</v>
          </cell>
          <cell r="BD209">
            <v>3368926</v>
          </cell>
          <cell r="BE209">
            <v>3378975</v>
          </cell>
          <cell r="BF209">
            <v>3389436</v>
          </cell>
          <cell r="BG209">
            <v>3400439</v>
          </cell>
          <cell r="BH209">
            <v>3412013</v>
          </cell>
          <cell r="BI209">
            <v>3424139</v>
          </cell>
          <cell r="BJ209">
            <v>3436645</v>
          </cell>
          <cell r="BK209">
            <v>3449290</v>
          </cell>
          <cell r="BL209">
            <v>3461731</v>
          </cell>
          <cell r="BM209">
            <v>3473727</v>
          </cell>
          <cell r="BN209">
            <v>3473727</v>
          </cell>
        </row>
        <row r="210">
          <cell r="B210" t="str">
            <v>UZB</v>
          </cell>
          <cell r="C210" t="str">
            <v>Population, total</v>
          </cell>
          <cell r="D210" t="str">
            <v>SP.POP.TOTL</v>
          </cell>
          <cell r="E210">
            <v>8526299</v>
          </cell>
          <cell r="F210">
            <v>8813619</v>
          </cell>
          <cell r="G210">
            <v>9113629</v>
          </cell>
          <cell r="H210">
            <v>9428906</v>
          </cell>
          <cell r="I210">
            <v>9762819</v>
          </cell>
          <cell r="J210">
            <v>10116870</v>
          </cell>
          <cell r="K210">
            <v>10493441</v>
          </cell>
          <cell r="L210">
            <v>10889499</v>
          </cell>
          <cell r="M210">
            <v>11294666</v>
          </cell>
          <cell r="N210">
            <v>11694843</v>
          </cell>
          <cell r="O210">
            <v>12080311</v>
          </cell>
          <cell r="P210">
            <v>12446444</v>
          </cell>
          <cell r="Q210">
            <v>12796982</v>
          </cell>
          <cell r="R210">
            <v>13140797</v>
          </cell>
          <cell r="S210">
            <v>13491114</v>
          </cell>
          <cell r="T210">
            <v>13857469</v>
          </cell>
          <cell r="U210">
            <v>14242766</v>
          </cell>
          <cell r="V210">
            <v>14643881</v>
          </cell>
          <cell r="W210">
            <v>15057226</v>
          </cell>
          <cell r="X210">
            <v>15476928</v>
          </cell>
          <cell r="Y210">
            <v>15898760</v>
          </cell>
          <cell r="Z210">
            <v>16321692</v>
          </cell>
          <cell r="AA210">
            <v>16747428</v>
          </cell>
          <cell r="AB210">
            <v>17177663</v>
          </cell>
          <cell r="AC210">
            <v>17615037</v>
          </cell>
          <cell r="AD210">
            <v>18061283</v>
          </cell>
          <cell r="AE210">
            <v>18515579</v>
          </cell>
          <cell r="AF210">
            <v>18976411</v>
          </cell>
          <cell r="AG210">
            <v>19443890</v>
          </cell>
          <cell r="AH210">
            <v>19918119</v>
          </cell>
          <cell r="AI210">
            <v>20510000</v>
          </cell>
          <cell r="AJ210">
            <v>20952000</v>
          </cell>
          <cell r="AK210">
            <v>21449000</v>
          </cell>
          <cell r="AL210">
            <v>21942000</v>
          </cell>
          <cell r="AM210">
            <v>22377000</v>
          </cell>
          <cell r="AN210">
            <v>22785000</v>
          </cell>
          <cell r="AO210">
            <v>23225000</v>
          </cell>
          <cell r="AP210">
            <v>23667000</v>
          </cell>
          <cell r="AQ210">
            <v>24051000</v>
          </cell>
          <cell r="AR210">
            <v>24311650</v>
          </cell>
          <cell r="AS210">
            <v>24650400</v>
          </cell>
          <cell r="AT210">
            <v>24964450</v>
          </cell>
          <cell r="AU210">
            <v>25271850</v>
          </cell>
          <cell r="AV210">
            <v>25567650</v>
          </cell>
          <cell r="AW210">
            <v>25864350</v>
          </cell>
          <cell r="AX210">
            <v>26167000</v>
          </cell>
          <cell r="AY210">
            <v>26488250</v>
          </cell>
          <cell r="AZ210">
            <v>26868000</v>
          </cell>
          <cell r="BA210">
            <v>27302800</v>
          </cell>
          <cell r="BB210">
            <v>27767400</v>
          </cell>
          <cell r="BC210">
            <v>28562400</v>
          </cell>
          <cell r="BD210">
            <v>29339400</v>
          </cell>
          <cell r="BE210">
            <v>29774500</v>
          </cell>
          <cell r="BF210">
            <v>30243200</v>
          </cell>
          <cell r="BG210">
            <v>30757700</v>
          </cell>
          <cell r="BH210">
            <v>31298900</v>
          </cell>
          <cell r="BI210">
            <v>31847900</v>
          </cell>
          <cell r="BJ210">
            <v>32388600</v>
          </cell>
          <cell r="BK210">
            <v>32956100</v>
          </cell>
          <cell r="BL210">
            <v>33580350</v>
          </cell>
          <cell r="BM210">
            <v>34232050</v>
          </cell>
          <cell r="BN210">
            <v>34232050</v>
          </cell>
        </row>
        <row r="211">
          <cell r="B211" t="str">
            <v>VUT</v>
          </cell>
          <cell r="C211" t="str">
            <v>Population, total</v>
          </cell>
          <cell r="D211" t="str">
            <v>SP.POP.TOTL</v>
          </cell>
          <cell r="E211">
            <v>63689</v>
          </cell>
          <cell r="F211">
            <v>65700</v>
          </cell>
          <cell r="G211">
            <v>67793</v>
          </cell>
          <cell r="H211">
            <v>69944</v>
          </cell>
          <cell r="I211">
            <v>72116</v>
          </cell>
          <cell r="J211">
            <v>74268</v>
          </cell>
          <cell r="K211">
            <v>76392</v>
          </cell>
          <cell r="L211">
            <v>78505</v>
          </cell>
          <cell r="M211">
            <v>80653</v>
          </cell>
          <cell r="N211">
            <v>82920</v>
          </cell>
          <cell r="O211">
            <v>85374</v>
          </cell>
          <cell r="P211">
            <v>88012</v>
          </cell>
          <cell r="Q211">
            <v>90802</v>
          </cell>
          <cell r="R211">
            <v>93749</v>
          </cell>
          <cell r="S211">
            <v>96773</v>
          </cell>
          <cell r="T211">
            <v>99863</v>
          </cell>
          <cell r="U211">
            <v>103002</v>
          </cell>
          <cell r="V211">
            <v>106206</v>
          </cell>
          <cell r="W211">
            <v>109397</v>
          </cell>
          <cell r="X211">
            <v>112543</v>
          </cell>
          <cell r="Y211">
            <v>115598</v>
          </cell>
          <cell r="Z211">
            <v>118546</v>
          </cell>
          <cell r="AA211">
            <v>121398</v>
          </cell>
          <cell r="AB211">
            <v>124213</v>
          </cell>
          <cell r="AC211">
            <v>127058</v>
          </cell>
          <cell r="AD211">
            <v>129989</v>
          </cell>
          <cell r="AE211">
            <v>132988</v>
          </cell>
          <cell r="AF211">
            <v>136075</v>
          </cell>
          <cell r="AG211">
            <v>139319</v>
          </cell>
          <cell r="AH211">
            <v>142801</v>
          </cell>
          <cell r="AI211">
            <v>146575</v>
          </cell>
          <cell r="AJ211">
            <v>150718</v>
          </cell>
          <cell r="AK211">
            <v>155176</v>
          </cell>
          <cell r="AL211">
            <v>159743</v>
          </cell>
          <cell r="AM211">
            <v>164128</v>
          </cell>
          <cell r="AN211">
            <v>168161</v>
          </cell>
          <cell r="AO211">
            <v>171721</v>
          </cell>
          <cell r="AP211">
            <v>174917</v>
          </cell>
          <cell r="AQ211">
            <v>177987</v>
          </cell>
          <cell r="AR211">
            <v>181259</v>
          </cell>
          <cell r="AS211">
            <v>184964</v>
          </cell>
          <cell r="AT211">
            <v>189209</v>
          </cell>
          <cell r="AU211">
            <v>193927</v>
          </cell>
          <cell r="AV211">
            <v>198960</v>
          </cell>
          <cell r="AW211">
            <v>204123</v>
          </cell>
          <cell r="AX211">
            <v>209282</v>
          </cell>
          <cell r="AY211">
            <v>214379</v>
          </cell>
          <cell r="AZ211">
            <v>219464</v>
          </cell>
          <cell r="BA211">
            <v>224700</v>
          </cell>
          <cell r="BB211">
            <v>230244</v>
          </cell>
          <cell r="BC211">
            <v>236216</v>
          </cell>
          <cell r="BD211">
            <v>242658</v>
          </cell>
          <cell r="BE211">
            <v>249505</v>
          </cell>
          <cell r="BF211">
            <v>256637</v>
          </cell>
          <cell r="BG211">
            <v>263888</v>
          </cell>
          <cell r="BH211">
            <v>271128</v>
          </cell>
          <cell r="BI211">
            <v>278326</v>
          </cell>
          <cell r="BJ211">
            <v>285499</v>
          </cell>
          <cell r="BK211">
            <v>292675</v>
          </cell>
          <cell r="BL211">
            <v>299882</v>
          </cell>
          <cell r="BM211">
            <v>307150</v>
          </cell>
          <cell r="BN211">
            <v>307150</v>
          </cell>
        </row>
        <row r="212">
          <cell r="B212" t="str">
            <v>VEN</v>
          </cell>
          <cell r="C212" t="str">
            <v>Population, total</v>
          </cell>
          <cell r="D212" t="str">
            <v>SP.POP.TOTL</v>
          </cell>
          <cell r="E212">
            <v>8141839</v>
          </cell>
          <cell r="F212">
            <v>8439261</v>
          </cell>
          <cell r="G212">
            <v>8742780</v>
          </cell>
          <cell r="H212">
            <v>9052632</v>
          </cell>
          <cell r="I212">
            <v>9369101</v>
          </cell>
          <cell r="J212">
            <v>9692281</v>
          </cell>
          <cell r="K212">
            <v>10022592</v>
          </cell>
          <cell r="L212">
            <v>10359741</v>
          </cell>
          <cell r="M212">
            <v>10702281</v>
          </cell>
          <cell r="N212">
            <v>11048256</v>
          </cell>
          <cell r="O212">
            <v>11396396</v>
          </cell>
          <cell r="P212">
            <v>11745952</v>
          </cell>
          <cell r="Q212">
            <v>12097696</v>
          </cell>
          <cell r="R212">
            <v>12453709</v>
          </cell>
          <cell r="S212">
            <v>12816954</v>
          </cell>
          <cell r="T212">
            <v>13189511</v>
          </cell>
          <cell r="U212">
            <v>13572210</v>
          </cell>
          <cell r="V212">
            <v>13964377</v>
          </cell>
          <cell r="W212">
            <v>14364726</v>
          </cell>
          <cell r="X212">
            <v>14771270</v>
          </cell>
          <cell r="Y212">
            <v>15182616</v>
          </cell>
          <cell r="Z212">
            <v>15597878</v>
          </cell>
          <cell r="AA212">
            <v>16017570</v>
          </cell>
          <cell r="AB212">
            <v>16443128</v>
          </cell>
          <cell r="AC212">
            <v>16876703</v>
          </cell>
          <cell r="AD212">
            <v>17319513</v>
          </cell>
          <cell r="AE212">
            <v>17772000</v>
          </cell>
          <cell r="AF212">
            <v>18232733</v>
          </cell>
          <cell r="AG212">
            <v>18698850</v>
          </cell>
          <cell r="AH212">
            <v>19166474</v>
          </cell>
          <cell r="AI212">
            <v>19632665</v>
          </cell>
          <cell r="AJ212">
            <v>20096314</v>
          </cell>
          <cell r="AK212">
            <v>20557694</v>
          </cell>
          <cell r="AL212">
            <v>21016900</v>
          </cell>
          <cell r="AM212">
            <v>21474553</v>
          </cell>
          <cell r="AN212">
            <v>21931087</v>
          </cell>
          <cell r="AO212">
            <v>22385650</v>
          </cell>
          <cell r="AP212">
            <v>22837743</v>
          </cell>
          <cell r="AQ212">
            <v>23288567</v>
          </cell>
          <cell r="AR212">
            <v>23739835</v>
          </cell>
          <cell r="AS212">
            <v>24192449</v>
          </cell>
          <cell r="AT212">
            <v>24646471</v>
          </cell>
          <cell r="AU212">
            <v>25100407</v>
          </cell>
          <cell r="AV212">
            <v>25551624</v>
          </cell>
          <cell r="AW212">
            <v>25996594</v>
          </cell>
          <cell r="AX212">
            <v>26432445</v>
          </cell>
          <cell r="AY212">
            <v>26850190</v>
          </cell>
          <cell r="AZ212">
            <v>27247601</v>
          </cell>
          <cell r="BA212">
            <v>27635827</v>
          </cell>
          <cell r="BB212">
            <v>28031010</v>
          </cell>
          <cell r="BC212">
            <v>28439942</v>
          </cell>
          <cell r="BD212">
            <v>28887873</v>
          </cell>
          <cell r="BE212">
            <v>29360827</v>
          </cell>
          <cell r="BF212">
            <v>29781046</v>
          </cell>
          <cell r="BG212">
            <v>30042973</v>
          </cell>
          <cell r="BH212">
            <v>30081827</v>
          </cell>
          <cell r="BI212">
            <v>29851249</v>
          </cell>
          <cell r="BJ212">
            <v>29402480</v>
          </cell>
          <cell r="BK212">
            <v>28887117</v>
          </cell>
          <cell r="BL212">
            <v>28515829</v>
          </cell>
          <cell r="BM212">
            <v>28435943</v>
          </cell>
          <cell r="BN212">
            <v>28435943</v>
          </cell>
        </row>
        <row r="213">
          <cell r="B213" t="str">
            <v>VNM</v>
          </cell>
          <cell r="C213" t="str">
            <v>Population, total</v>
          </cell>
          <cell r="D213" t="str">
            <v>SP.POP.TOTL</v>
          </cell>
          <cell r="E213">
            <v>32670048</v>
          </cell>
          <cell r="F213">
            <v>33666111</v>
          </cell>
          <cell r="G213">
            <v>34683410</v>
          </cell>
          <cell r="H213">
            <v>35721213</v>
          </cell>
          <cell r="I213">
            <v>36780001</v>
          </cell>
          <cell r="J213">
            <v>37858947</v>
          </cell>
          <cell r="K213">
            <v>38958046</v>
          </cell>
          <cell r="L213">
            <v>40072951</v>
          </cell>
          <cell r="M213">
            <v>41193588</v>
          </cell>
          <cell r="N213">
            <v>42307149</v>
          </cell>
          <cell r="O213">
            <v>43404802</v>
          </cell>
          <cell r="P213">
            <v>44484032</v>
          </cell>
          <cell r="Q213">
            <v>45548476</v>
          </cell>
          <cell r="R213">
            <v>46603522</v>
          </cell>
          <cell r="S213">
            <v>47657554</v>
          </cell>
          <cell r="T213">
            <v>48718190</v>
          </cell>
          <cell r="U213">
            <v>49785278</v>
          </cell>
          <cell r="V213">
            <v>50861166</v>
          </cell>
          <cell r="W213">
            <v>51959021</v>
          </cell>
          <cell r="X213">
            <v>53095406</v>
          </cell>
          <cell r="Y213">
            <v>54281841</v>
          </cell>
          <cell r="Z213">
            <v>55522804</v>
          </cell>
          <cell r="AA213">
            <v>56814309</v>
          </cell>
          <cell r="AB213">
            <v>58148384</v>
          </cell>
          <cell r="AC213">
            <v>59512619</v>
          </cell>
          <cell r="AD213">
            <v>60896732</v>
          </cell>
          <cell r="AE213">
            <v>62293859</v>
          </cell>
          <cell r="AF213">
            <v>63701974</v>
          </cell>
          <cell r="AG213">
            <v>65120432</v>
          </cell>
          <cell r="AH213">
            <v>66550231</v>
          </cell>
          <cell r="AI213">
            <v>67988855</v>
          </cell>
          <cell r="AJ213">
            <v>69436956</v>
          </cell>
          <cell r="AK213">
            <v>70883488</v>
          </cell>
          <cell r="AL213">
            <v>72300308</v>
          </cell>
          <cell r="AM213">
            <v>73651220</v>
          </cell>
          <cell r="AN213">
            <v>74910462</v>
          </cell>
          <cell r="AO213">
            <v>76068739</v>
          </cell>
          <cell r="AP213">
            <v>77133212</v>
          </cell>
          <cell r="AQ213">
            <v>78115712</v>
          </cell>
          <cell r="AR213">
            <v>79035871</v>
          </cell>
          <cell r="AS213">
            <v>79910411</v>
          </cell>
          <cell r="AT213">
            <v>80742500</v>
          </cell>
          <cell r="AU213">
            <v>81534406</v>
          </cell>
          <cell r="AV213">
            <v>82301650</v>
          </cell>
          <cell r="AW213">
            <v>83062819</v>
          </cell>
          <cell r="AX213">
            <v>83832662</v>
          </cell>
          <cell r="AY213">
            <v>84617545</v>
          </cell>
          <cell r="AZ213">
            <v>85419588</v>
          </cell>
          <cell r="BA213">
            <v>86243424</v>
          </cell>
          <cell r="BB213">
            <v>87092250</v>
          </cell>
          <cell r="BC213">
            <v>87967655</v>
          </cell>
          <cell r="BD213">
            <v>88871384</v>
          </cell>
          <cell r="BE213">
            <v>89801926</v>
          </cell>
          <cell r="BF213">
            <v>90752593</v>
          </cell>
          <cell r="BG213">
            <v>91713850</v>
          </cell>
          <cell r="BH213">
            <v>92677082</v>
          </cell>
          <cell r="BI213">
            <v>93640435</v>
          </cell>
          <cell r="BJ213">
            <v>94600643</v>
          </cell>
          <cell r="BK213">
            <v>95545959</v>
          </cell>
          <cell r="BL213">
            <v>96462108</v>
          </cell>
          <cell r="BM213">
            <v>97338583</v>
          </cell>
          <cell r="BN213">
            <v>97338583</v>
          </cell>
        </row>
        <row r="214">
          <cell r="B214" t="str">
            <v>VIR</v>
          </cell>
          <cell r="C214" t="str">
            <v>Population, total</v>
          </cell>
          <cell r="D214" t="str">
            <v>SP.POP.TOTL</v>
          </cell>
          <cell r="E214">
            <v>32500</v>
          </cell>
          <cell r="F214">
            <v>34300</v>
          </cell>
          <cell r="G214">
            <v>35000</v>
          </cell>
          <cell r="H214">
            <v>39800</v>
          </cell>
          <cell r="I214">
            <v>40800</v>
          </cell>
          <cell r="J214">
            <v>43500</v>
          </cell>
          <cell r="K214">
            <v>46200</v>
          </cell>
          <cell r="L214">
            <v>49100</v>
          </cell>
          <cell r="M214">
            <v>55700</v>
          </cell>
          <cell r="N214">
            <v>60300</v>
          </cell>
          <cell r="O214">
            <v>63476</v>
          </cell>
          <cell r="P214">
            <v>70937</v>
          </cell>
          <cell r="Q214">
            <v>76319</v>
          </cell>
          <cell r="R214">
            <v>84121</v>
          </cell>
          <cell r="S214">
            <v>89941</v>
          </cell>
          <cell r="T214">
            <v>94484</v>
          </cell>
          <cell r="U214">
            <v>96166</v>
          </cell>
          <cell r="V214">
            <v>93203</v>
          </cell>
          <cell r="W214">
            <v>95929</v>
          </cell>
          <cell r="X214">
            <v>96183</v>
          </cell>
          <cell r="Y214">
            <v>99636</v>
          </cell>
          <cell r="Z214">
            <v>99853</v>
          </cell>
          <cell r="AA214">
            <v>100068</v>
          </cell>
          <cell r="AB214">
            <v>100348</v>
          </cell>
          <cell r="AC214">
            <v>100600</v>
          </cell>
          <cell r="AD214">
            <v>100760</v>
          </cell>
          <cell r="AE214">
            <v>100842</v>
          </cell>
          <cell r="AF214">
            <v>100901</v>
          </cell>
          <cell r="AG214">
            <v>100952</v>
          </cell>
          <cell r="AH214">
            <v>101041</v>
          </cell>
          <cell r="AI214">
            <v>103963</v>
          </cell>
          <cell r="AJ214">
            <v>104807</v>
          </cell>
          <cell r="AK214">
            <v>105712</v>
          </cell>
          <cell r="AL214">
            <v>106578</v>
          </cell>
          <cell r="AM214">
            <v>107318</v>
          </cell>
          <cell r="AN214">
            <v>107818</v>
          </cell>
          <cell r="AO214">
            <v>108095</v>
          </cell>
          <cell r="AP214">
            <v>108357</v>
          </cell>
          <cell r="AQ214">
            <v>108537</v>
          </cell>
          <cell r="AR214">
            <v>108599</v>
          </cell>
          <cell r="AS214">
            <v>108642</v>
          </cell>
          <cell r="AT214">
            <v>108549</v>
          </cell>
          <cell r="AU214">
            <v>108509</v>
          </cell>
          <cell r="AV214">
            <v>108505</v>
          </cell>
          <cell r="AW214">
            <v>108466</v>
          </cell>
          <cell r="AX214">
            <v>108453</v>
          </cell>
          <cell r="AY214">
            <v>108369</v>
          </cell>
          <cell r="AZ214">
            <v>108337</v>
          </cell>
          <cell r="BA214">
            <v>108397</v>
          </cell>
          <cell r="BB214">
            <v>108404</v>
          </cell>
          <cell r="BC214">
            <v>108357</v>
          </cell>
          <cell r="BD214">
            <v>108290</v>
          </cell>
          <cell r="BE214">
            <v>108188</v>
          </cell>
          <cell r="BF214">
            <v>108041</v>
          </cell>
          <cell r="BG214">
            <v>107882</v>
          </cell>
          <cell r="BH214">
            <v>107712</v>
          </cell>
          <cell r="BI214">
            <v>107516</v>
          </cell>
          <cell r="BJ214">
            <v>107281</v>
          </cell>
          <cell r="BK214">
            <v>107001</v>
          </cell>
          <cell r="BL214">
            <v>106669</v>
          </cell>
          <cell r="BM214">
            <v>106290</v>
          </cell>
          <cell r="BN214">
            <v>106290</v>
          </cell>
        </row>
        <row r="215">
          <cell r="B215" t="str">
            <v>PSE</v>
          </cell>
          <cell r="C215" t="str">
            <v>Population, total</v>
          </cell>
          <cell r="D215" t="str">
            <v>SP.POP.TOTL</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v>1978248</v>
          </cell>
          <cell r="AJ215">
            <v>2068845</v>
          </cell>
          <cell r="AK215">
            <v>2163591</v>
          </cell>
          <cell r="AL215">
            <v>2262676</v>
          </cell>
          <cell r="AM215">
            <v>2366298</v>
          </cell>
          <cell r="AN215">
            <v>2474666</v>
          </cell>
          <cell r="AO215">
            <v>2587997</v>
          </cell>
          <cell r="AP215">
            <v>2706518</v>
          </cell>
          <cell r="AQ215">
            <v>2776568</v>
          </cell>
          <cell r="AR215">
            <v>2848431</v>
          </cell>
          <cell r="AS215">
            <v>2922153</v>
          </cell>
          <cell r="AT215">
            <v>2997784</v>
          </cell>
          <cell r="AU215">
            <v>3075373</v>
          </cell>
          <cell r="AV215">
            <v>3154969</v>
          </cell>
          <cell r="AW215">
            <v>3236626</v>
          </cell>
          <cell r="AX215">
            <v>3320396</v>
          </cell>
          <cell r="AY215">
            <v>3406334</v>
          </cell>
          <cell r="AZ215">
            <v>3494496</v>
          </cell>
          <cell r="BA215">
            <v>3591977</v>
          </cell>
          <cell r="BB215">
            <v>3689099</v>
          </cell>
          <cell r="BC215">
            <v>3786161</v>
          </cell>
          <cell r="BD215">
            <v>3882986</v>
          </cell>
          <cell r="BE215">
            <v>3979998</v>
          </cell>
          <cell r="BF215">
            <v>4076708</v>
          </cell>
          <cell r="BG215">
            <v>4173398</v>
          </cell>
          <cell r="BH215">
            <v>4270092</v>
          </cell>
          <cell r="BI215">
            <v>4367088</v>
          </cell>
          <cell r="BJ215">
            <v>4454805</v>
          </cell>
          <cell r="BK215">
            <v>4569087</v>
          </cell>
          <cell r="BL215">
            <v>4685306</v>
          </cell>
          <cell r="BM215">
            <v>4803269</v>
          </cell>
          <cell r="BN215">
            <v>4803269</v>
          </cell>
        </row>
        <row r="216">
          <cell r="B216" t="str">
            <v>YEM</v>
          </cell>
          <cell r="C216" t="str">
            <v>Population, total</v>
          </cell>
          <cell r="D216" t="str">
            <v>SP.POP.TOTL</v>
          </cell>
          <cell r="E216">
            <v>5315351</v>
          </cell>
          <cell r="F216">
            <v>5393034</v>
          </cell>
          <cell r="G216">
            <v>5473671</v>
          </cell>
          <cell r="H216">
            <v>5556767</v>
          </cell>
          <cell r="I216">
            <v>5641598</v>
          </cell>
          <cell r="J216">
            <v>5727745</v>
          </cell>
          <cell r="K216">
            <v>5816241</v>
          </cell>
          <cell r="L216">
            <v>5907873</v>
          </cell>
          <cell r="M216">
            <v>6001858</v>
          </cell>
          <cell r="N216">
            <v>6097042</v>
          </cell>
          <cell r="O216">
            <v>6193379</v>
          </cell>
          <cell r="P216">
            <v>6290367</v>
          </cell>
          <cell r="Q216">
            <v>6390573</v>
          </cell>
          <cell r="R216">
            <v>6500809</v>
          </cell>
          <cell r="S216">
            <v>6630003</v>
          </cell>
          <cell r="T216">
            <v>6784699</v>
          </cell>
          <cell r="U216">
            <v>6967944</v>
          </cell>
          <cell r="V216">
            <v>7178672</v>
          </cell>
          <cell r="W216">
            <v>7414167</v>
          </cell>
          <cell r="X216">
            <v>7669699</v>
          </cell>
          <cell r="Y216">
            <v>7941903</v>
          </cell>
          <cell r="Z216">
            <v>8231905</v>
          </cell>
          <cell r="AA216">
            <v>8541605</v>
          </cell>
          <cell r="AB216">
            <v>8869363</v>
          </cell>
          <cell r="AC216">
            <v>9213078</v>
          </cell>
          <cell r="AD216">
            <v>9572170</v>
          </cell>
          <cell r="AE216">
            <v>9941102</v>
          </cell>
          <cell r="AF216">
            <v>10322044</v>
          </cell>
          <cell r="AG216">
            <v>10730864</v>
          </cell>
          <cell r="AH216">
            <v>11189185</v>
          </cell>
          <cell r="AI216">
            <v>11709987</v>
          </cell>
          <cell r="AJ216">
            <v>12302127</v>
          </cell>
          <cell r="AK216">
            <v>12954157</v>
          </cell>
          <cell r="AL216">
            <v>13634082</v>
          </cell>
          <cell r="AM216">
            <v>14297617</v>
          </cell>
          <cell r="AN216">
            <v>14913313</v>
          </cell>
          <cell r="AO216">
            <v>15469274</v>
          </cell>
          <cell r="AP216">
            <v>15975676</v>
          </cell>
          <cell r="AQ216">
            <v>16450306</v>
          </cell>
          <cell r="AR216">
            <v>16921157</v>
          </cell>
          <cell r="AS216">
            <v>17409071</v>
          </cell>
          <cell r="AT216">
            <v>17918369</v>
          </cell>
          <cell r="AU216">
            <v>18443684</v>
          </cell>
          <cell r="AV216">
            <v>18985001</v>
          </cell>
          <cell r="AW216">
            <v>19540096</v>
          </cell>
          <cell r="AX216">
            <v>20107416</v>
          </cell>
          <cell r="AY216">
            <v>20687648</v>
          </cell>
          <cell r="AZ216">
            <v>21282514</v>
          </cell>
          <cell r="BA216">
            <v>21892149</v>
          </cell>
          <cell r="BB216">
            <v>22516464</v>
          </cell>
          <cell r="BC216">
            <v>23154854</v>
          </cell>
          <cell r="BD216">
            <v>23807586</v>
          </cell>
          <cell r="BE216">
            <v>24473176</v>
          </cell>
          <cell r="BF216">
            <v>25147112</v>
          </cell>
          <cell r="BG216">
            <v>25823488</v>
          </cell>
          <cell r="BH216">
            <v>26497881</v>
          </cell>
          <cell r="BI216">
            <v>27168210</v>
          </cell>
          <cell r="BJ216">
            <v>27834811</v>
          </cell>
          <cell r="BK216">
            <v>28498683</v>
          </cell>
          <cell r="BL216">
            <v>29161922</v>
          </cell>
          <cell r="BM216">
            <v>29825968</v>
          </cell>
          <cell r="BN216">
            <v>29825968</v>
          </cell>
        </row>
        <row r="217">
          <cell r="B217" t="str">
            <v>ZMB</v>
          </cell>
          <cell r="C217" t="str">
            <v>Population, total</v>
          </cell>
          <cell r="D217" t="str">
            <v>SP.POP.TOTL</v>
          </cell>
          <cell r="E217">
            <v>3070780</v>
          </cell>
          <cell r="F217">
            <v>3164330</v>
          </cell>
          <cell r="G217">
            <v>3260645</v>
          </cell>
          <cell r="H217">
            <v>3360099</v>
          </cell>
          <cell r="I217">
            <v>3463211</v>
          </cell>
          <cell r="J217">
            <v>3570466</v>
          </cell>
          <cell r="K217">
            <v>3681953</v>
          </cell>
          <cell r="L217">
            <v>3797877</v>
          </cell>
          <cell r="M217">
            <v>3918872</v>
          </cell>
          <cell r="N217">
            <v>4045740</v>
          </cell>
          <cell r="O217">
            <v>4179062</v>
          </cell>
          <cell r="P217">
            <v>4319226</v>
          </cell>
          <cell r="Q217">
            <v>4466170</v>
          </cell>
          <cell r="R217">
            <v>4619549</v>
          </cell>
          <cell r="S217">
            <v>4778716</v>
          </cell>
          <cell r="T217">
            <v>4943279</v>
          </cell>
          <cell r="U217">
            <v>5112823</v>
          </cell>
          <cell r="V217">
            <v>5287544</v>
          </cell>
          <cell r="W217">
            <v>5468259</v>
          </cell>
          <cell r="X217">
            <v>5656145</v>
          </cell>
          <cell r="Y217">
            <v>5851818</v>
          </cell>
          <cell r="Z217">
            <v>6055361</v>
          </cell>
          <cell r="AA217">
            <v>6265869</v>
          </cell>
          <cell r="AB217">
            <v>6481907</v>
          </cell>
          <cell r="AC217">
            <v>6701547</v>
          </cell>
          <cell r="AD217">
            <v>6923148</v>
          </cell>
          <cell r="AE217">
            <v>7146965</v>
          </cell>
          <cell r="AF217">
            <v>7372835</v>
          </cell>
          <cell r="AG217">
            <v>7598270</v>
          </cell>
          <cell r="AH217">
            <v>7820199</v>
          </cell>
          <cell r="AI217">
            <v>8036849</v>
          </cell>
          <cell r="AJ217">
            <v>8246662</v>
          </cell>
          <cell r="AK217">
            <v>8451346</v>
          </cell>
          <cell r="AL217">
            <v>8656484</v>
          </cell>
          <cell r="AM217">
            <v>8869745</v>
          </cell>
          <cell r="AN217">
            <v>9096608</v>
          </cell>
          <cell r="AO217">
            <v>9339740</v>
          </cell>
          <cell r="AP217">
            <v>9597610</v>
          </cell>
          <cell r="AQ217">
            <v>9866474</v>
          </cell>
          <cell r="AR217">
            <v>10140564</v>
          </cell>
          <cell r="AS217">
            <v>10415942</v>
          </cell>
          <cell r="AT217">
            <v>10692197</v>
          </cell>
          <cell r="AU217">
            <v>10971704</v>
          </cell>
          <cell r="AV217">
            <v>11256740</v>
          </cell>
          <cell r="AW217">
            <v>11550641</v>
          </cell>
          <cell r="AX217">
            <v>11856244</v>
          </cell>
          <cell r="AY217">
            <v>12173518</v>
          </cell>
          <cell r="AZ217">
            <v>12502958</v>
          </cell>
          <cell r="BA217">
            <v>12848531</v>
          </cell>
          <cell r="BB217">
            <v>13215142</v>
          </cell>
          <cell r="BC217">
            <v>13605986</v>
          </cell>
          <cell r="BD217">
            <v>14023199</v>
          </cell>
          <cell r="BE217">
            <v>14465148</v>
          </cell>
          <cell r="BF217">
            <v>14926551</v>
          </cell>
          <cell r="BG217">
            <v>15399793</v>
          </cell>
          <cell r="BH217">
            <v>15879370</v>
          </cell>
          <cell r="BI217">
            <v>16363449</v>
          </cell>
          <cell r="BJ217">
            <v>16853608</v>
          </cell>
          <cell r="BK217">
            <v>17351714</v>
          </cell>
          <cell r="BL217">
            <v>17861034</v>
          </cell>
          <cell r="BM217">
            <v>18383956</v>
          </cell>
          <cell r="BN217">
            <v>18383956</v>
          </cell>
        </row>
        <row r="218">
          <cell r="B218" t="str">
            <v>ZWE</v>
          </cell>
          <cell r="C218" t="str">
            <v>Population, total</v>
          </cell>
          <cell r="D218" t="str">
            <v>SP.POP.TOTL</v>
          </cell>
          <cell r="E218">
            <v>3776679</v>
          </cell>
          <cell r="F218">
            <v>3905038</v>
          </cell>
          <cell r="G218">
            <v>4039209</v>
          </cell>
          <cell r="H218">
            <v>4178726</v>
          </cell>
          <cell r="I218">
            <v>4322854</v>
          </cell>
          <cell r="J218">
            <v>4471178</v>
          </cell>
          <cell r="K218">
            <v>4623340</v>
          </cell>
          <cell r="L218">
            <v>4779825</v>
          </cell>
          <cell r="M218">
            <v>4941901</v>
          </cell>
          <cell r="N218">
            <v>5111326</v>
          </cell>
          <cell r="O218">
            <v>5289312</v>
          </cell>
          <cell r="P218">
            <v>5476978</v>
          </cell>
          <cell r="Q218">
            <v>5673914</v>
          </cell>
          <cell r="R218">
            <v>5877725</v>
          </cell>
          <cell r="S218">
            <v>6085078</v>
          </cell>
          <cell r="T218">
            <v>6293875</v>
          </cell>
          <cell r="U218">
            <v>6502566</v>
          </cell>
          <cell r="V218">
            <v>6712825</v>
          </cell>
          <cell r="W218">
            <v>6929663</v>
          </cell>
          <cell r="X218">
            <v>7160021</v>
          </cell>
          <cell r="Y218">
            <v>7408630</v>
          </cell>
          <cell r="Z218">
            <v>7675582</v>
          </cell>
          <cell r="AA218">
            <v>7958239</v>
          </cell>
          <cell r="AB218">
            <v>8254746</v>
          </cell>
          <cell r="AC218">
            <v>8562259</v>
          </cell>
          <cell r="AD218">
            <v>8877489</v>
          </cell>
          <cell r="AE218">
            <v>9200150</v>
          </cell>
          <cell r="AF218">
            <v>9527202</v>
          </cell>
          <cell r="AG218">
            <v>9849129</v>
          </cell>
          <cell r="AH218">
            <v>10153852</v>
          </cell>
          <cell r="AI218">
            <v>10432409</v>
          </cell>
          <cell r="AJ218">
            <v>10681008</v>
          </cell>
          <cell r="AK218">
            <v>10900511</v>
          </cell>
          <cell r="AL218">
            <v>11092775</v>
          </cell>
          <cell r="AM218">
            <v>11261752</v>
          </cell>
          <cell r="AN218">
            <v>11410721</v>
          </cell>
          <cell r="AO218">
            <v>11541215</v>
          </cell>
          <cell r="AP218">
            <v>11653254</v>
          </cell>
          <cell r="AQ218">
            <v>11747079</v>
          </cell>
          <cell r="AR218">
            <v>11822722</v>
          </cell>
          <cell r="AS218">
            <v>11881482</v>
          </cell>
          <cell r="AT218">
            <v>11923906</v>
          </cell>
          <cell r="AU218">
            <v>11954293</v>
          </cell>
          <cell r="AV218">
            <v>11982219</v>
          </cell>
          <cell r="AW218">
            <v>12019911</v>
          </cell>
          <cell r="AX218">
            <v>12076697</v>
          </cell>
          <cell r="AY218">
            <v>12155496</v>
          </cell>
          <cell r="AZ218">
            <v>12255920</v>
          </cell>
          <cell r="BA218">
            <v>12379553</v>
          </cell>
          <cell r="BB218">
            <v>12526964</v>
          </cell>
          <cell r="BC218">
            <v>12697728</v>
          </cell>
          <cell r="BD218">
            <v>12894323</v>
          </cell>
          <cell r="BE218">
            <v>13115149</v>
          </cell>
          <cell r="BF218">
            <v>13350378</v>
          </cell>
          <cell r="BG218">
            <v>13586710</v>
          </cell>
          <cell r="BH218">
            <v>13814642</v>
          </cell>
          <cell r="BI218">
            <v>14030338</v>
          </cell>
          <cell r="BJ218">
            <v>14236599</v>
          </cell>
          <cell r="BK218">
            <v>14438812</v>
          </cell>
          <cell r="BL218">
            <v>14645473</v>
          </cell>
          <cell r="BM218">
            <v>14862927</v>
          </cell>
          <cell r="BN218">
            <v>14862927</v>
          </cell>
        </row>
        <row r="219">
          <cell r="B219" t="str">
            <v>AFE</v>
          </cell>
          <cell r="C219" t="str">
            <v>Population, total</v>
          </cell>
          <cell r="D219" t="str">
            <v>SP.POP.TOTL</v>
          </cell>
          <cell r="E219">
            <v>130836765</v>
          </cell>
          <cell r="F219">
            <v>134159786</v>
          </cell>
          <cell r="G219">
            <v>137614644</v>
          </cell>
          <cell r="H219">
            <v>141202036</v>
          </cell>
          <cell r="I219">
            <v>144920186</v>
          </cell>
          <cell r="J219">
            <v>148769974</v>
          </cell>
          <cell r="K219">
            <v>152752671</v>
          </cell>
          <cell r="L219">
            <v>156876454</v>
          </cell>
          <cell r="M219">
            <v>161156430</v>
          </cell>
          <cell r="N219">
            <v>165611760</v>
          </cell>
          <cell r="O219">
            <v>170257189</v>
          </cell>
          <cell r="P219">
            <v>175100167</v>
          </cell>
          <cell r="Q219">
            <v>180141148</v>
          </cell>
          <cell r="R219">
            <v>185376550</v>
          </cell>
          <cell r="S219">
            <v>190800796</v>
          </cell>
          <cell r="T219">
            <v>196409937</v>
          </cell>
          <cell r="U219">
            <v>202205766</v>
          </cell>
          <cell r="V219">
            <v>208193045</v>
          </cell>
          <cell r="W219">
            <v>214368393</v>
          </cell>
          <cell r="X219">
            <v>220740384</v>
          </cell>
          <cell r="Y219">
            <v>227305945</v>
          </cell>
          <cell r="Z219">
            <v>234058404</v>
          </cell>
          <cell r="AA219">
            <v>240999134</v>
          </cell>
          <cell r="AB219">
            <v>248146290</v>
          </cell>
          <cell r="AC219">
            <v>255530063</v>
          </cell>
          <cell r="AD219">
            <v>263161451</v>
          </cell>
          <cell r="AE219">
            <v>271050065</v>
          </cell>
          <cell r="AF219">
            <v>279184536</v>
          </cell>
          <cell r="AG219">
            <v>287524258</v>
          </cell>
          <cell r="AH219">
            <v>296024639</v>
          </cell>
          <cell r="AI219">
            <v>304648010</v>
          </cell>
          <cell r="AJ219">
            <v>313394693</v>
          </cell>
          <cell r="AK219">
            <v>322270073</v>
          </cell>
          <cell r="AL219">
            <v>331265579</v>
          </cell>
          <cell r="AM219">
            <v>340379934</v>
          </cell>
          <cell r="AN219">
            <v>349605660</v>
          </cell>
          <cell r="AO219">
            <v>358953595</v>
          </cell>
          <cell r="AP219">
            <v>368440591</v>
          </cell>
          <cell r="AQ219">
            <v>378098393</v>
          </cell>
          <cell r="AR219">
            <v>387977990</v>
          </cell>
          <cell r="AS219">
            <v>398113044</v>
          </cell>
          <cell r="AT219">
            <v>408522129</v>
          </cell>
          <cell r="AU219">
            <v>419223717</v>
          </cell>
          <cell r="AV219">
            <v>430246635</v>
          </cell>
          <cell r="AW219">
            <v>441630149</v>
          </cell>
          <cell r="AX219">
            <v>453404076</v>
          </cell>
          <cell r="AY219">
            <v>465581372</v>
          </cell>
          <cell r="AZ219">
            <v>478166911</v>
          </cell>
          <cell r="BA219">
            <v>491173160</v>
          </cell>
          <cell r="BB219">
            <v>504604672</v>
          </cell>
          <cell r="BC219">
            <v>518468229</v>
          </cell>
          <cell r="BD219">
            <v>532760424</v>
          </cell>
          <cell r="BE219">
            <v>547482863</v>
          </cell>
          <cell r="BF219">
            <v>562601578</v>
          </cell>
          <cell r="BG219">
            <v>578075373</v>
          </cell>
          <cell r="BH219">
            <v>593871847</v>
          </cell>
          <cell r="BI219">
            <v>609978946</v>
          </cell>
          <cell r="BJ219">
            <v>626392880</v>
          </cell>
          <cell r="BK219">
            <v>643090131</v>
          </cell>
          <cell r="BL219">
            <v>660046272</v>
          </cell>
          <cell r="BM219">
            <v>677243299</v>
          </cell>
          <cell r="BN219">
            <v>677243299</v>
          </cell>
        </row>
        <row r="220">
          <cell r="B220" t="str">
            <v>AFW</v>
          </cell>
          <cell r="C220" t="str">
            <v>Population, total</v>
          </cell>
          <cell r="D220" t="str">
            <v>SP.POP.TOTL</v>
          </cell>
          <cell r="E220">
            <v>96396419</v>
          </cell>
          <cell r="F220">
            <v>98407221</v>
          </cell>
          <cell r="G220">
            <v>100506960</v>
          </cell>
          <cell r="H220">
            <v>102691339</v>
          </cell>
          <cell r="I220">
            <v>104953470</v>
          </cell>
          <cell r="J220">
            <v>107289875</v>
          </cell>
          <cell r="K220">
            <v>109701811</v>
          </cell>
          <cell r="L220">
            <v>112195950</v>
          </cell>
          <cell r="M220">
            <v>114781116</v>
          </cell>
          <cell r="N220">
            <v>117468741</v>
          </cell>
          <cell r="O220">
            <v>120269044</v>
          </cell>
          <cell r="P220">
            <v>123184308</v>
          </cell>
          <cell r="Q220">
            <v>126218502</v>
          </cell>
          <cell r="R220">
            <v>129384954</v>
          </cell>
          <cell r="S220">
            <v>132699537</v>
          </cell>
          <cell r="T220">
            <v>136173544</v>
          </cell>
          <cell r="U220">
            <v>139813171</v>
          </cell>
          <cell r="V220">
            <v>143615715</v>
          </cell>
          <cell r="W220">
            <v>147571063</v>
          </cell>
          <cell r="X220">
            <v>151663853</v>
          </cell>
          <cell r="Y220">
            <v>155882270</v>
          </cell>
          <cell r="Z220">
            <v>160223588</v>
          </cell>
          <cell r="AA220">
            <v>164689764</v>
          </cell>
          <cell r="AB220">
            <v>169279422</v>
          </cell>
          <cell r="AC220">
            <v>173991851</v>
          </cell>
          <cell r="AD220">
            <v>178826553</v>
          </cell>
          <cell r="AE220">
            <v>183785612</v>
          </cell>
          <cell r="AF220">
            <v>188868567</v>
          </cell>
          <cell r="AG220">
            <v>194070079</v>
          </cell>
          <cell r="AH220">
            <v>199382783</v>
          </cell>
          <cell r="AI220">
            <v>204803865</v>
          </cell>
          <cell r="AJ220">
            <v>210332267</v>
          </cell>
          <cell r="AK220">
            <v>215976366</v>
          </cell>
          <cell r="AL220">
            <v>221754806</v>
          </cell>
          <cell r="AM220">
            <v>227692136</v>
          </cell>
          <cell r="AN220">
            <v>233807627</v>
          </cell>
          <cell r="AO220">
            <v>240114179</v>
          </cell>
          <cell r="AP220">
            <v>246613750</v>
          </cell>
          <cell r="AQ220">
            <v>253302310</v>
          </cell>
          <cell r="AR220">
            <v>260170348</v>
          </cell>
          <cell r="AS220">
            <v>267214544</v>
          </cell>
          <cell r="AT220">
            <v>274433894</v>
          </cell>
          <cell r="AU220">
            <v>281842480</v>
          </cell>
          <cell r="AV220">
            <v>289469530</v>
          </cell>
          <cell r="AW220">
            <v>297353098</v>
          </cell>
          <cell r="AX220">
            <v>305520588</v>
          </cell>
          <cell r="AY220">
            <v>313985474</v>
          </cell>
          <cell r="AZ220">
            <v>322741656</v>
          </cell>
          <cell r="BA220">
            <v>331772330</v>
          </cell>
          <cell r="BB220">
            <v>341050537</v>
          </cell>
          <cell r="BC220">
            <v>350556886</v>
          </cell>
          <cell r="BD220">
            <v>360285439</v>
          </cell>
          <cell r="BE220">
            <v>370243017</v>
          </cell>
          <cell r="BF220">
            <v>380437896</v>
          </cell>
          <cell r="BG220">
            <v>390882979</v>
          </cell>
          <cell r="BH220">
            <v>401586651</v>
          </cell>
          <cell r="BI220">
            <v>412551299</v>
          </cell>
          <cell r="BJ220">
            <v>423769930</v>
          </cell>
          <cell r="BK220">
            <v>435229381</v>
          </cell>
          <cell r="BL220">
            <v>446911598</v>
          </cell>
          <cell r="BM220">
            <v>458803476</v>
          </cell>
          <cell r="BN220">
            <v>458803476</v>
          </cell>
        </row>
        <row r="221">
          <cell r="B221" t="str">
            <v>ARB</v>
          </cell>
          <cell r="C221" t="str">
            <v>Population, total</v>
          </cell>
          <cell r="D221" t="str">
            <v>SP.POP.TOTL</v>
          </cell>
          <cell r="E221">
            <v>92197715</v>
          </cell>
          <cell r="F221">
            <v>94724540</v>
          </cell>
          <cell r="G221">
            <v>97334438</v>
          </cell>
          <cell r="H221">
            <v>100034191</v>
          </cell>
          <cell r="I221">
            <v>102832792</v>
          </cell>
          <cell r="J221">
            <v>105736428</v>
          </cell>
          <cell r="K221">
            <v>108758634</v>
          </cell>
          <cell r="L221">
            <v>111899335</v>
          </cell>
          <cell r="M221">
            <v>115136161</v>
          </cell>
          <cell r="N221">
            <v>118437193</v>
          </cell>
          <cell r="O221">
            <v>121785630</v>
          </cell>
          <cell r="P221">
            <v>125164720</v>
          </cell>
          <cell r="Q221">
            <v>128598743</v>
          </cell>
          <cell r="R221">
            <v>132161302</v>
          </cell>
          <cell r="S221">
            <v>135952270</v>
          </cell>
          <cell r="T221">
            <v>140040580</v>
          </cell>
          <cell r="U221">
            <v>144453278</v>
          </cell>
          <cell r="V221">
            <v>149161836</v>
          </cell>
          <cell r="W221">
            <v>154111160</v>
          </cell>
          <cell r="X221">
            <v>159218539</v>
          </cell>
          <cell r="Y221">
            <v>164420771</v>
          </cell>
          <cell r="Z221">
            <v>169698978</v>
          </cell>
          <cell r="AA221">
            <v>175061794</v>
          </cell>
          <cell r="AB221">
            <v>180505967</v>
          </cell>
          <cell r="AC221">
            <v>186035280</v>
          </cell>
          <cell r="AD221">
            <v>191650328</v>
          </cell>
          <cell r="AE221">
            <v>197338140</v>
          </cell>
          <cell r="AF221">
            <v>203084958</v>
          </cell>
          <cell r="AG221">
            <v>208889669</v>
          </cell>
          <cell r="AH221">
            <v>214753965</v>
          </cell>
          <cell r="AI221">
            <v>222653371</v>
          </cell>
          <cell r="AJ221">
            <v>228731671</v>
          </cell>
          <cell r="AK221">
            <v>232956364</v>
          </cell>
          <cell r="AL221">
            <v>239243294</v>
          </cell>
          <cell r="AM221">
            <v>245449429</v>
          </cell>
          <cell r="AN221">
            <v>253107302</v>
          </cell>
          <cell r="AO221">
            <v>259000937</v>
          </cell>
          <cell r="AP221">
            <v>264822167</v>
          </cell>
          <cell r="AQ221">
            <v>270575777</v>
          </cell>
          <cell r="AR221">
            <v>276393809</v>
          </cell>
          <cell r="AS221">
            <v>282344141</v>
          </cell>
          <cell r="AT221">
            <v>288432153</v>
          </cell>
          <cell r="AU221">
            <v>294665202</v>
          </cell>
          <cell r="AV221">
            <v>301113869</v>
          </cell>
          <cell r="AW221">
            <v>307862846</v>
          </cell>
          <cell r="AX221">
            <v>314965776</v>
          </cell>
          <cell r="AY221">
            <v>322452764</v>
          </cell>
          <cell r="AZ221">
            <v>330290752</v>
          </cell>
          <cell r="BA221">
            <v>338395936</v>
          </cell>
          <cell r="BB221">
            <v>346629179</v>
          </cell>
          <cell r="BC221">
            <v>354890097</v>
          </cell>
          <cell r="BD221">
            <v>363156846</v>
          </cell>
          <cell r="BE221">
            <v>371437642</v>
          </cell>
          <cell r="BF221">
            <v>379696477</v>
          </cell>
          <cell r="BG221">
            <v>387899835</v>
          </cell>
          <cell r="BH221">
            <v>396028301</v>
          </cell>
          <cell r="BI221">
            <v>404042892</v>
          </cell>
          <cell r="BJ221">
            <v>411942825</v>
          </cell>
          <cell r="BK221">
            <v>419851989</v>
          </cell>
          <cell r="BL221">
            <v>427870273</v>
          </cell>
          <cell r="BM221">
            <v>436080728</v>
          </cell>
          <cell r="BN221">
            <v>436080728</v>
          </cell>
        </row>
        <row r="222">
          <cell r="B222" t="str">
            <v>CSS</v>
          </cell>
          <cell r="C222" t="str">
            <v>Population, total</v>
          </cell>
          <cell r="D222" t="str">
            <v>SP.POP.TOTL</v>
          </cell>
          <cell r="E222">
            <v>4194711</v>
          </cell>
          <cell r="F222">
            <v>4274052</v>
          </cell>
          <cell r="G222">
            <v>4353623</v>
          </cell>
          <cell r="H222">
            <v>4432240</v>
          </cell>
          <cell r="I222">
            <v>4508189</v>
          </cell>
          <cell r="J222">
            <v>4580382</v>
          </cell>
          <cell r="K222">
            <v>4648353</v>
          </cell>
          <cell r="L222">
            <v>4712556</v>
          </cell>
          <cell r="M222">
            <v>4773890</v>
          </cell>
          <cell r="N222">
            <v>4833839</v>
          </cell>
          <cell r="O222">
            <v>4893444</v>
          </cell>
          <cell r="P222">
            <v>4953088</v>
          </cell>
          <cell r="Q222">
            <v>5012600</v>
          </cell>
          <cell r="R222">
            <v>5071912</v>
          </cell>
          <cell r="S222">
            <v>5130797</v>
          </cell>
          <cell r="T222">
            <v>5189174</v>
          </cell>
          <cell r="U222">
            <v>5246547</v>
          </cell>
          <cell r="V222">
            <v>5303289</v>
          </cell>
          <cell r="W222">
            <v>5360562</v>
          </cell>
          <cell r="X222">
            <v>5419911</v>
          </cell>
          <cell r="Y222">
            <v>5482191</v>
          </cell>
          <cell r="Z222">
            <v>5548521</v>
          </cell>
          <cell r="AA222">
            <v>5617902</v>
          </cell>
          <cell r="AB222">
            <v>5687113</v>
          </cell>
          <cell r="AC222">
            <v>5751508</v>
          </cell>
          <cell r="AD222">
            <v>5808206</v>
          </cell>
          <cell r="AE222">
            <v>5855445</v>
          </cell>
          <cell r="AF222">
            <v>5894820</v>
          </cell>
          <cell r="AG222">
            <v>5930153</v>
          </cell>
          <cell r="AH222">
            <v>5967028</v>
          </cell>
          <cell r="AI222">
            <v>6009262</v>
          </cell>
          <cell r="AJ222">
            <v>6058334</v>
          </cell>
          <cell r="AK222">
            <v>6112784</v>
          </cell>
          <cell r="AL222">
            <v>6170324</v>
          </cell>
          <cell r="AM222">
            <v>6227332</v>
          </cell>
          <cell r="AN222">
            <v>6281204</v>
          </cell>
          <cell r="AO222">
            <v>6331277</v>
          </cell>
          <cell r="AP222">
            <v>6378551</v>
          </cell>
          <cell r="AQ222">
            <v>6423851</v>
          </cell>
          <cell r="AR222">
            <v>6468461</v>
          </cell>
          <cell r="AS222">
            <v>6513486</v>
          </cell>
          <cell r="AT222">
            <v>6559097</v>
          </cell>
          <cell r="AU222">
            <v>6604966</v>
          </cell>
          <cell r="AV222">
            <v>6650981</v>
          </cell>
          <cell r="AW222">
            <v>6696985</v>
          </cell>
          <cell r="AX222">
            <v>6742657</v>
          </cell>
          <cell r="AY222">
            <v>6788122</v>
          </cell>
          <cell r="AZ222">
            <v>6833394</v>
          </cell>
          <cell r="BA222">
            <v>6878973</v>
          </cell>
          <cell r="BB222">
            <v>6925446</v>
          </cell>
          <cell r="BC222">
            <v>6973193</v>
          </cell>
          <cell r="BD222">
            <v>7022367</v>
          </cell>
          <cell r="BE222">
            <v>7072640</v>
          </cell>
          <cell r="BF222">
            <v>7123315</v>
          </cell>
          <cell r="BG222">
            <v>7173443</v>
          </cell>
          <cell r="BH222">
            <v>7222197</v>
          </cell>
          <cell r="BI222">
            <v>7269385</v>
          </cell>
          <cell r="BJ222">
            <v>7314956</v>
          </cell>
          <cell r="BK222">
            <v>7358929</v>
          </cell>
          <cell r="BL222">
            <v>7401389</v>
          </cell>
          <cell r="BM222">
            <v>7442291</v>
          </cell>
          <cell r="BN222">
            <v>7442291</v>
          </cell>
        </row>
        <row r="223">
          <cell r="B223" t="str">
            <v>CEB</v>
          </cell>
          <cell r="C223" t="str">
            <v>Population, total</v>
          </cell>
          <cell r="D223" t="str">
            <v>SP.POP.TOTL</v>
          </cell>
          <cell r="E223">
            <v>91401764</v>
          </cell>
          <cell r="F223">
            <v>92232738</v>
          </cell>
          <cell r="G223">
            <v>93009498</v>
          </cell>
          <cell r="H223">
            <v>93840016</v>
          </cell>
          <cell r="I223">
            <v>94715795</v>
          </cell>
          <cell r="J223">
            <v>95440988</v>
          </cell>
          <cell r="K223">
            <v>96146336</v>
          </cell>
          <cell r="L223">
            <v>97043270</v>
          </cell>
          <cell r="M223">
            <v>97884022</v>
          </cell>
          <cell r="N223">
            <v>98606630</v>
          </cell>
          <cell r="O223">
            <v>99134548</v>
          </cell>
          <cell r="P223">
            <v>99635258</v>
          </cell>
          <cell r="Q223">
            <v>100357161</v>
          </cell>
          <cell r="R223">
            <v>101112680</v>
          </cell>
          <cell r="S223">
            <v>101939916</v>
          </cell>
          <cell r="T223">
            <v>102860571</v>
          </cell>
          <cell r="U223">
            <v>103776068</v>
          </cell>
          <cell r="V223">
            <v>104616884</v>
          </cell>
          <cell r="W223">
            <v>105329397</v>
          </cell>
          <cell r="X223">
            <v>105948616</v>
          </cell>
          <cell r="Y223">
            <v>106541316</v>
          </cell>
          <cell r="Z223">
            <v>107129392</v>
          </cell>
          <cell r="AA223">
            <v>107730380</v>
          </cell>
          <cell r="AB223">
            <v>108297837</v>
          </cell>
          <cell r="AC223">
            <v>108838073</v>
          </cell>
          <cell r="AD223">
            <v>109338285</v>
          </cell>
          <cell r="AE223">
            <v>109824166</v>
          </cell>
          <cell r="AF223">
            <v>110296425</v>
          </cell>
          <cell r="AG223">
            <v>110686740</v>
          </cell>
          <cell r="AH223">
            <v>110801640</v>
          </cell>
          <cell r="AI223">
            <v>110743128</v>
          </cell>
          <cell r="AJ223">
            <v>110469467</v>
          </cell>
          <cell r="AK223">
            <v>110111454</v>
          </cell>
          <cell r="AL223">
            <v>110041924</v>
          </cell>
          <cell r="AM223">
            <v>110021594</v>
          </cell>
          <cell r="AN223">
            <v>109864246</v>
          </cell>
          <cell r="AO223">
            <v>109626194</v>
          </cell>
          <cell r="AP223">
            <v>109422013</v>
          </cell>
          <cell r="AQ223">
            <v>109238340</v>
          </cell>
          <cell r="AR223">
            <v>109060951</v>
          </cell>
          <cell r="AS223">
            <v>108447824</v>
          </cell>
          <cell r="AT223">
            <v>107660041</v>
          </cell>
          <cell r="AU223">
            <v>106959751</v>
          </cell>
          <cell r="AV223">
            <v>106624167</v>
          </cell>
          <cell r="AW223">
            <v>106331716</v>
          </cell>
          <cell r="AX223">
            <v>106041911</v>
          </cell>
          <cell r="AY223">
            <v>105772481</v>
          </cell>
          <cell r="AZ223">
            <v>105378748</v>
          </cell>
          <cell r="BA223">
            <v>105001883</v>
          </cell>
          <cell r="BB223">
            <v>104800475</v>
          </cell>
          <cell r="BC223">
            <v>104421447</v>
          </cell>
          <cell r="BD223">
            <v>104174038</v>
          </cell>
          <cell r="BE223">
            <v>103935318</v>
          </cell>
          <cell r="BF223">
            <v>103713726</v>
          </cell>
          <cell r="BG223">
            <v>103496179</v>
          </cell>
          <cell r="BH223">
            <v>103257886</v>
          </cell>
          <cell r="BI223">
            <v>102994278</v>
          </cell>
          <cell r="BJ223">
            <v>102740078</v>
          </cell>
          <cell r="BK223">
            <v>102538451</v>
          </cell>
          <cell r="BL223">
            <v>102398537</v>
          </cell>
          <cell r="BM223">
            <v>102253057</v>
          </cell>
          <cell r="BN223">
            <v>102253057</v>
          </cell>
        </row>
        <row r="224">
          <cell r="B224" t="str">
            <v>EAR</v>
          </cell>
          <cell r="C224" t="str">
            <v>Population, total</v>
          </cell>
          <cell r="D224" t="str">
            <v>SP.POP.TOTL</v>
          </cell>
          <cell r="E224">
            <v>980003345</v>
          </cell>
          <cell r="F224">
            <v>1003194972</v>
          </cell>
          <cell r="G224">
            <v>1027204700</v>
          </cell>
          <cell r="H224">
            <v>1051972834</v>
          </cell>
          <cell r="I224">
            <v>1077531237</v>
          </cell>
          <cell r="J224">
            <v>1103859981</v>
          </cell>
          <cell r="K224">
            <v>1130947721</v>
          </cell>
          <cell r="L224">
            <v>1158861175</v>
          </cell>
          <cell r="M224">
            <v>1187474694</v>
          </cell>
          <cell r="N224">
            <v>1216839339</v>
          </cell>
          <cell r="O224">
            <v>1246947673</v>
          </cell>
          <cell r="P224">
            <v>1277799456</v>
          </cell>
          <cell r="Q224">
            <v>1309397210</v>
          </cell>
          <cell r="R224">
            <v>1341779503</v>
          </cell>
          <cell r="S224">
            <v>1374824941</v>
          </cell>
          <cell r="T224">
            <v>1408534717</v>
          </cell>
          <cell r="U224">
            <v>1442862522</v>
          </cell>
          <cell r="V224">
            <v>1477869964</v>
          </cell>
          <cell r="W224">
            <v>1513819992</v>
          </cell>
          <cell r="X224">
            <v>1551093148</v>
          </cell>
          <cell r="Y224">
            <v>1589897378</v>
          </cell>
          <cell r="Z224">
            <v>1630293423</v>
          </cell>
          <cell r="AA224">
            <v>1672134835</v>
          </cell>
          <cell r="AB224">
            <v>1715134126</v>
          </cell>
          <cell r="AC224">
            <v>1758863284</v>
          </cell>
          <cell r="AD224">
            <v>1803032659</v>
          </cell>
          <cell r="AE224">
            <v>1847526576</v>
          </cell>
          <cell r="AF224">
            <v>1892336352</v>
          </cell>
          <cell r="AG224">
            <v>1937278919</v>
          </cell>
          <cell r="AH224">
            <v>1982160339</v>
          </cell>
          <cell r="AI224">
            <v>2028993568</v>
          </cell>
          <cell r="AJ224">
            <v>2073591177</v>
          </cell>
          <cell r="AK224">
            <v>2117785781</v>
          </cell>
          <cell r="AL224">
            <v>2161761687</v>
          </cell>
          <cell r="AM224">
            <v>2205758867</v>
          </cell>
          <cell r="AN224">
            <v>2249993925</v>
          </cell>
          <cell r="AO224">
            <v>2294576653</v>
          </cell>
          <cell r="AP224">
            <v>2339379359</v>
          </cell>
          <cell r="AQ224">
            <v>2384127937</v>
          </cell>
          <cell r="AR224">
            <v>2428606122</v>
          </cell>
          <cell r="AS224">
            <v>2472852816</v>
          </cell>
          <cell r="AT224">
            <v>2516662185</v>
          </cell>
          <cell r="AU224">
            <v>2560101448</v>
          </cell>
          <cell r="AV224">
            <v>2603300762</v>
          </cell>
          <cell r="AW224">
            <v>2646483605</v>
          </cell>
          <cell r="AX224">
            <v>2689792006</v>
          </cell>
          <cell r="AY224">
            <v>2733278857</v>
          </cell>
          <cell r="AZ224">
            <v>2776922505</v>
          </cell>
          <cell r="BA224">
            <v>2820636607</v>
          </cell>
          <cell r="BB224">
            <v>2864298814</v>
          </cell>
          <cell r="BC224">
            <v>2907916947</v>
          </cell>
          <cell r="BD224">
            <v>2951423688</v>
          </cell>
          <cell r="BE224">
            <v>2994346938</v>
          </cell>
          <cell r="BF224">
            <v>3037084158</v>
          </cell>
          <cell r="BG224">
            <v>3079685581</v>
          </cell>
          <cell r="BH224">
            <v>3122156833</v>
          </cell>
          <cell r="BI224">
            <v>3164439749</v>
          </cell>
          <cell r="BJ224">
            <v>3206485623</v>
          </cell>
          <cell r="BK224">
            <v>3248413593</v>
          </cell>
          <cell r="BL224">
            <v>3290291029</v>
          </cell>
          <cell r="BM224">
            <v>3332105361</v>
          </cell>
          <cell r="BN224">
            <v>3332105361</v>
          </cell>
        </row>
        <row r="225">
          <cell r="B225" t="str">
            <v>EAS</v>
          </cell>
          <cell r="C225" t="str">
            <v>Population, total</v>
          </cell>
          <cell r="D225" t="str">
            <v>SP.POP.TOTL</v>
          </cell>
          <cell r="E225">
            <v>1041673567</v>
          </cell>
          <cell r="F225">
            <v>1043656626</v>
          </cell>
          <cell r="G225">
            <v>1058119847</v>
          </cell>
          <cell r="H225">
            <v>1083884354</v>
          </cell>
          <cell r="I225">
            <v>1109291332</v>
          </cell>
          <cell r="J225">
            <v>1135760430</v>
          </cell>
          <cell r="K225">
            <v>1165660993</v>
          </cell>
          <cell r="L225">
            <v>1194423916</v>
          </cell>
          <cell r="M225">
            <v>1224481196</v>
          </cell>
          <cell r="N225">
            <v>1256501888</v>
          </cell>
          <cell r="O225">
            <v>1289442011</v>
          </cell>
          <cell r="P225">
            <v>1324084663</v>
          </cell>
          <cell r="Q225">
            <v>1355934840</v>
          </cell>
          <cell r="R225">
            <v>1386816705</v>
          </cell>
          <cell r="S225">
            <v>1416257332</v>
          </cell>
          <cell r="T225">
            <v>1442992143</v>
          </cell>
          <cell r="U225">
            <v>1467572978</v>
          </cell>
          <cell r="V225">
            <v>1490458433</v>
          </cell>
          <cell r="W225">
            <v>1513242365</v>
          </cell>
          <cell r="X225">
            <v>1536454977</v>
          </cell>
          <cell r="Y225">
            <v>1559219642</v>
          </cell>
          <cell r="Z225">
            <v>1582802675</v>
          </cell>
          <cell r="AA225">
            <v>1608709544</v>
          </cell>
          <cell r="AB225">
            <v>1634587947</v>
          </cell>
          <cell r="AC225">
            <v>1659196213</v>
          </cell>
          <cell r="AD225">
            <v>1684377898</v>
          </cell>
          <cell r="AE225">
            <v>1710979840</v>
          </cell>
          <cell r="AF225">
            <v>1739049562</v>
          </cell>
          <cell r="AG225">
            <v>1767394678</v>
          </cell>
          <cell r="AH225">
            <v>1795112149</v>
          </cell>
          <cell r="AI225">
            <v>1822134188</v>
          </cell>
          <cell r="AJ225">
            <v>1848265154</v>
          </cell>
          <cell r="AK225">
            <v>1872676768</v>
          </cell>
          <cell r="AL225">
            <v>1896190507</v>
          </cell>
          <cell r="AM225">
            <v>1919576721</v>
          </cell>
          <cell r="AN225">
            <v>1942464423</v>
          </cell>
          <cell r="AO225">
            <v>1965146473</v>
          </cell>
          <cell r="AP225">
            <v>1987315524</v>
          </cell>
          <cell r="AQ225">
            <v>2008705487</v>
          </cell>
          <cell r="AR225">
            <v>2028650228</v>
          </cell>
          <cell r="AS225">
            <v>2047640091</v>
          </cell>
          <cell r="AT225">
            <v>2065912033</v>
          </cell>
          <cell r="AU225">
            <v>2083186086</v>
          </cell>
          <cell r="AV225">
            <v>2099602481</v>
          </cell>
          <cell r="AW225">
            <v>2115458625</v>
          </cell>
          <cell r="AX225">
            <v>2131146847</v>
          </cell>
          <cell r="AY225">
            <v>2146744105</v>
          </cell>
          <cell r="AZ225">
            <v>2161785511</v>
          </cell>
          <cell r="BA225">
            <v>2177119138</v>
          </cell>
          <cell r="BB225">
            <v>2192059400</v>
          </cell>
          <cell r="BC225">
            <v>2206884622</v>
          </cell>
          <cell r="BD225">
            <v>2222577723</v>
          </cell>
          <cell r="BE225">
            <v>2240312711</v>
          </cell>
          <cell r="BF225">
            <v>2257904491</v>
          </cell>
          <cell r="BG225">
            <v>2275075985</v>
          </cell>
          <cell r="BH225">
            <v>2291503725</v>
          </cell>
          <cell r="BI225">
            <v>2307625738</v>
          </cell>
          <cell r="BJ225">
            <v>2323932848</v>
          </cell>
          <cell r="BK225">
            <v>2338223462</v>
          </cell>
          <cell r="BL225">
            <v>2350703749</v>
          </cell>
          <cell r="BM225">
            <v>2360855079</v>
          </cell>
          <cell r="BN225">
            <v>2360855079</v>
          </cell>
        </row>
        <row r="226">
          <cell r="B226" t="str">
            <v>EAP</v>
          </cell>
          <cell r="C226" t="str">
            <v>Population, total</v>
          </cell>
          <cell r="D226" t="str">
            <v>SP.POP.TOTL</v>
          </cell>
          <cell r="E226">
            <v>894875757</v>
          </cell>
          <cell r="F226">
            <v>894479503</v>
          </cell>
          <cell r="G226">
            <v>906413903</v>
          </cell>
          <cell r="H226">
            <v>929634719</v>
          </cell>
          <cell r="I226">
            <v>952494226</v>
          </cell>
          <cell r="J226">
            <v>976360559</v>
          </cell>
          <cell r="K226">
            <v>1003799539</v>
          </cell>
          <cell r="L226">
            <v>1030341030</v>
          </cell>
          <cell r="M226">
            <v>1057848841</v>
          </cell>
          <cell r="N226">
            <v>1087054621</v>
          </cell>
          <cell r="O226">
            <v>1117162921</v>
          </cell>
          <cell r="P226">
            <v>1147907376</v>
          </cell>
          <cell r="Q226">
            <v>1176909425</v>
          </cell>
          <cell r="R226">
            <v>1204956207</v>
          </cell>
          <cell r="S226">
            <v>1231481379</v>
          </cell>
          <cell r="T226">
            <v>1255568332</v>
          </cell>
          <cell r="U226">
            <v>1277786882</v>
          </cell>
          <cell r="V226">
            <v>1298403379</v>
          </cell>
          <cell r="W226">
            <v>1318985502</v>
          </cell>
          <cell r="X226">
            <v>1339874993</v>
          </cell>
          <cell r="Y226">
            <v>1360437112</v>
          </cell>
          <cell r="Z226">
            <v>1381732250</v>
          </cell>
          <cell r="AA226">
            <v>1405388781</v>
          </cell>
          <cell r="AB226">
            <v>1429179263</v>
          </cell>
          <cell r="AC226">
            <v>1451901724</v>
          </cell>
          <cell r="AD226">
            <v>1475340043</v>
          </cell>
          <cell r="AE226">
            <v>1500310495</v>
          </cell>
          <cell r="AF226">
            <v>1526774417</v>
          </cell>
          <cell r="AG226">
            <v>1553548236</v>
          </cell>
          <cell r="AH226">
            <v>1579666262</v>
          </cell>
          <cell r="AI226">
            <v>1605187660</v>
          </cell>
          <cell r="AJ226">
            <v>1629631622</v>
          </cell>
          <cell r="AK226">
            <v>1652528279</v>
          </cell>
          <cell r="AL226">
            <v>1674580221</v>
          </cell>
          <cell r="AM226">
            <v>1696464118</v>
          </cell>
          <cell r="AN226">
            <v>1717901663</v>
          </cell>
          <cell r="AO226">
            <v>1738949771</v>
          </cell>
          <cell r="AP226">
            <v>1759750554</v>
          </cell>
          <cell r="AQ226">
            <v>1779788454</v>
          </cell>
          <cell r="AR226">
            <v>1798639494</v>
          </cell>
          <cell r="AS226">
            <v>1816455800</v>
          </cell>
          <cell r="AT226">
            <v>1833422980</v>
          </cell>
          <cell r="AU226">
            <v>1849607527</v>
          </cell>
          <cell r="AV226">
            <v>1865132738</v>
          </cell>
          <cell r="AW226">
            <v>1880248912</v>
          </cell>
          <cell r="AX226">
            <v>1895275475</v>
          </cell>
          <cell r="AY226">
            <v>1909891482</v>
          </cell>
          <cell r="AZ226">
            <v>1924018171</v>
          </cell>
          <cell r="BA226">
            <v>1938057262</v>
          </cell>
          <cell r="BB226">
            <v>1952017377</v>
          </cell>
          <cell r="BC226">
            <v>1965954326</v>
          </cell>
          <cell r="BD226">
            <v>1980940204</v>
          </cell>
          <cell r="BE226">
            <v>1997884913</v>
          </cell>
          <cell r="BF226">
            <v>2014779318</v>
          </cell>
          <cell r="BG226">
            <v>2031185907</v>
          </cell>
          <cell r="BH226">
            <v>2046830024</v>
          </cell>
          <cell r="BI226">
            <v>2062232304</v>
          </cell>
          <cell r="BJ226">
            <v>2077970870</v>
          </cell>
          <cell r="BK226">
            <v>2091680327</v>
          </cell>
          <cell r="BL226">
            <v>2103705075</v>
          </cell>
          <cell r="BM226">
            <v>2113820753</v>
          </cell>
          <cell r="BN226">
            <v>2113820753</v>
          </cell>
        </row>
        <row r="227">
          <cell r="B227" t="str">
            <v>TEA</v>
          </cell>
          <cell r="C227" t="str">
            <v>Population, total</v>
          </cell>
          <cell r="D227" t="str">
            <v>SP.POP.TOTL</v>
          </cell>
          <cell r="E227">
            <v>883445587</v>
          </cell>
          <cell r="F227">
            <v>882807979</v>
          </cell>
          <cell r="G227">
            <v>894536202</v>
          </cell>
          <cell r="H227">
            <v>917563058</v>
          </cell>
          <cell r="I227">
            <v>940205341</v>
          </cell>
          <cell r="J227">
            <v>963806224</v>
          </cell>
          <cell r="K227">
            <v>990927362</v>
          </cell>
          <cell r="L227">
            <v>1017110642</v>
          </cell>
          <cell r="M227">
            <v>1044230688</v>
          </cell>
          <cell r="N227">
            <v>1073035646</v>
          </cell>
          <cell r="O227">
            <v>1102743524</v>
          </cell>
          <cell r="P227">
            <v>1133088596</v>
          </cell>
          <cell r="Q227">
            <v>1161692236</v>
          </cell>
          <cell r="R227">
            <v>1189353305</v>
          </cell>
          <cell r="S227">
            <v>1215519592</v>
          </cell>
          <cell r="T227">
            <v>1239283626</v>
          </cell>
          <cell r="U227">
            <v>1261221802</v>
          </cell>
          <cell r="V227">
            <v>1281596019</v>
          </cell>
          <cell r="W227">
            <v>1301958170</v>
          </cell>
          <cell r="X227">
            <v>1322627340</v>
          </cell>
          <cell r="Y227">
            <v>1342952249</v>
          </cell>
          <cell r="Z227">
            <v>1363987476</v>
          </cell>
          <cell r="AA227">
            <v>1387365779</v>
          </cell>
          <cell r="AB227">
            <v>1410865643</v>
          </cell>
          <cell r="AC227">
            <v>1433295157</v>
          </cell>
          <cell r="AD227">
            <v>1456445331</v>
          </cell>
          <cell r="AE227">
            <v>1481135104</v>
          </cell>
          <cell r="AF227">
            <v>1507322673</v>
          </cell>
          <cell r="AG227">
            <v>1533819032</v>
          </cell>
          <cell r="AH227">
            <v>1559650590</v>
          </cell>
          <cell r="AI227">
            <v>1584871821</v>
          </cell>
          <cell r="AJ227">
            <v>1608998997</v>
          </cell>
          <cell r="AK227">
            <v>1631566861</v>
          </cell>
          <cell r="AL227">
            <v>1653289936</v>
          </cell>
          <cell r="AM227">
            <v>1674861271</v>
          </cell>
          <cell r="AN227">
            <v>1696013989</v>
          </cell>
          <cell r="AO227">
            <v>1716810410</v>
          </cell>
          <cell r="AP227">
            <v>1737388723</v>
          </cell>
          <cell r="AQ227">
            <v>1757224496</v>
          </cell>
          <cell r="AR227">
            <v>1775880197</v>
          </cell>
          <cell r="AS227">
            <v>1793498345</v>
          </cell>
          <cell r="AT227">
            <v>1810261111</v>
          </cell>
          <cell r="AU227">
            <v>1826238741</v>
          </cell>
          <cell r="AV227">
            <v>1841560611</v>
          </cell>
          <cell r="AW227">
            <v>1856486255</v>
          </cell>
          <cell r="AX227">
            <v>1871341383</v>
          </cell>
          <cell r="AY227">
            <v>1885806879</v>
          </cell>
          <cell r="AZ227">
            <v>1899800479</v>
          </cell>
          <cell r="BA227">
            <v>1913718217</v>
          </cell>
          <cell r="BB227">
            <v>1927560597</v>
          </cell>
          <cell r="BC227">
            <v>1941377365</v>
          </cell>
          <cell r="BD227">
            <v>1956238874</v>
          </cell>
          <cell r="BE227">
            <v>1973056377</v>
          </cell>
          <cell r="BF227">
            <v>1989821912</v>
          </cell>
          <cell r="BG227">
            <v>2006100237</v>
          </cell>
          <cell r="BH227">
            <v>2021618425</v>
          </cell>
          <cell r="BI227">
            <v>2036897092</v>
          </cell>
          <cell r="BJ227">
            <v>2052513823</v>
          </cell>
          <cell r="BK227">
            <v>2066103849</v>
          </cell>
          <cell r="BL227">
            <v>2078012370</v>
          </cell>
          <cell r="BM227">
            <v>2088015667</v>
          </cell>
          <cell r="BN227">
            <v>2088015667</v>
          </cell>
        </row>
        <row r="228">
          <cell r="B228" t="str">
            <v>EMU</v>
          </cell>
          <cell r="C228" t="str">
            <v>Population, total</v>
          </cell>
          <cell r="D228" t="str">
            <v>SP.POP.TOTL</v>
          </cell>
          <cell r="E228">
            <v>265203956</v>
          </cell>
          <cell r="F228">
            <v>267621091</v>
          </cell>
          <cell r="G228">
            <v>270110063</v>
          </cell>
          <cell r="H228">
            <v>272655396</v>
          </cell>
          <cell r="I228">
            <v>275163380</v>
          </cell>
          <cell r="J228">
            <v>277650954</v>
          </cell>
          <cell r="K228">
            <v>279969050</v>
          </cell>
          <cell r="L228">
            <v>281974870</v>
          </cell>
          <cell r="M228">
            <v>283866408</v>
          </cell>
          <cell r="N228">
            <v>285778639</v>
          </cell>
          <cell r="O228">
            <v>287338854</v>
          </cell>
          <cell r="P228">
            <v>288923399</v>
          </cell>
          <cell r="Q228">
            <v>290874612</v>
          </cell>
          <cell r="R228">
            <v>292728242</v>
          </cell>
          <cell r="S228">
            <v>294399217</v>
          </cell>
          <cell r="T228">
            <v>295923529</v>
          </cell>
          <cell r="U228">
            <v>297251532</v>
          </cell>
          <cell r="V228">
            <v>298441848</v>
          </cell>
          <cell r="W228">
            <v>299652841</v>
          </cell>
          <cell r="X228">
            <v>300886487</v>
          </cell>
          <cell r="Y228">
            <v>302184216</v>
          </cell>
          <cell r="Z228">
            <v>303343114</v>
          </cell>
          <cell r="AA228">
            <v>304174261</v>
          </cell>
          <cell r="AB228">
            <v>304787497</v>
          </cell>
          <cell r="AC228">
            <v>305299144</v>
          </cell>
          <cell r="AD228">
            <v>305877743</v>
          </cell>
          <cell r="AE228">
            <v>306640636</v>
          </cell>
          <cell r="AF228">
            <v>307488377</v>
          </cell>
          <cell r="AG228">
            <v>308516476</v>
          </cell>
          <cell r="AH228">
            <v>309837575</v>
          </cell>
          <cell r="AI228">
            <v>311262608</v>
          </cell>
          <cell r="AJ228">
            <v>312708132</v>
          </cell>
          <cell r="AK228">
            <v>314162056</v>
          </cell>
          <cell r="AL228">
            <v>315449093</v>
          </cell>
          <cell r="AM228">
            <v>316366781</v>
          </cell>
          <cell r="AN228">
            <v>317181461</v>
          </cell>
          <cell r="AO228">
            <v>318003013</v>
          </cell>
          <cell r="AP228">
            <v>318761752</v>
          </cell>
          <cell r="AQ228">
            <v>319433985</v>
          </cell>
          <cell r="AR228">
            <v>320258891</v>
          </cell>
          <cell r="AS228">
            <v>321310789</v>
          </cell>
          <cell r="AT228">
            <v>322547874</v>
          </cell>
          <cell r="AU228">
            <v>324125339</v>
          </cell>
          <cell r="AV228">
            <v>325885957</v>
          </cell>
          <cell r="AW228">
            <v>327682513</v>
          </cell>
          <cell r="AX228">
            <v>329380417</v>
          </cell>
          <cell r="AY228">
            <v>330922785</v>
          </cell>
          <cell r="AZ228">
            <v>332645162</v>
          </cell>
          <cell r="BA228">
            <v>334274725</v>
          </cell>
          <cell r="BB228">
            <v>335360891</v>
          </cell>
          <cell r="BC228">
            <v>336151482</v>
          </cell>
          <cell r="BD228">
            <v>335419656</v>
          </cell>
          <cell r="BE228">
            <v>336159199</v>
          </cell>
          <cell r="BF228">
            <v>337302111</v>
          </cell>
          <cell r="BG228">
            <v>338462234</v>
          </cell>
          <cell r="BH228">
            <v>339488382</v>
          </cell>
          <cell r="BI228">
            <v>340481755</v>
          </cell>
          <cell r="BJ228">
            <v>341217243</v>
          </cell>
          <cell r="BK228">
            <v>341979171</v>
          </cell>
          <cell r="BL228">
            <v>342282081</v>
          </cell>
          <cell r="BM228">
            <v>342949773</v>
          </cell>
          <cell r="BN228">
            <v>342949773</v>
          </cell>
        </row>
        <row r="229">
          <cell r="B229" t="str">
            <v>ECS</v>
          </cell>
          <cell r="C229" t="str">
            <v>Population, total</v>
          </cell>
          <cell r="D229" t="str">
            <v>SP.POP.TOTL</v>
          </cell>
          <cell r="E229">
            <v>666753356</v>
          </cell>
          <cell r="F229">
            <v>674450666</v>
          </cell>
          <cell r="G229">
            <v>682397828</v>
          </cell>
          <cell r="H229">
            <v>690411692</v>
          </cell>
          <cell r="I229">
            <v>698355574</v>
          </cell>
          <cell r="J229">
            <v>706070460</v>
          </cell>
          <cell r="K229">
            <v>712830312</v>
          </cell>
          <cell r="L229">
            <v>719406020</v>
          </cell>
          <cell r="M229">
            <v>725725300</v>
          </cell>
          <cell r="N229">
            <v>731903738</v>
          </cell>
          <cell r="O229">
            <v>737524825</v>
          </cell>
          <cell r="P229">
            <v>743140589</v>
          </cell>
          <cell r="Q229">
            <v>749283635</v>
          </cell>
          <cell r="R229">
            <v>755259488</v>
          </cell>
          <cell r="S229">
            <v>761029417</v>
          </cell>
          <cell r="T229">
            <v>766625562</v>
          </cell>
          <cell r="U229">
            <v>772129341</v>
          </cell>
          <cell r="V229">
            <v>777422111</v>
          </cell>
          <cell r="W229">
            <v>782653852</v>
          </cell>
          <cell r="X229">
            <v>787910910</v>
          </cell>
          <cell r="Y229">
            <v>793299463</v>
          </cell>
          <cell r="Z229">
            <v>798559755</v>
          </cell>
          <cell r="AA229">
            <v>803342746</v>
          </cell>
          <cell r="AB229">
            <v>807903880</v>
          </cell>
          <cell r="AC229">
            <v>812662217</v>
          </cell>
          <cell r="AD229">
            <v>817497806</v>
          </cell>
          <cell r="AE229">
            <v>822470047</v>
          </cell>
          <cell r="AF229">
            <v>827505281</v>
          </cell>
          <cell r="AG229">
            <v>832553390</v>
          </cell>
          <cell r="AH229">
            <v>837438555</v>
          </cell>
          <cell r="AI229">
            <v>841536999</v>
          </cell>
          <cell r="AJ229">
            <v>845399658</v>
          </cell>
          <cell r="AK229">
            <v>848878429</v>
          </cell>
          <cell r="AL229">
            <v>851973886</v>
          </cell>
          <cell r="AM229">
            <v>854082087</v>
          </cell>
          <cell r="AN229">
            <v>855490982</v>
          </cell>
          <cell r="AO229">
            <v>856856802</v>
          </cell>
          <cell r="AP229">
            <v>858163120</v>
          </cell>
          <cell r="AQ229">
            <v>859296518</v>
          </cell>
          <cell r="AR229">
            <v>860311870</v>
          </cell>
          <cell r="AS229">
            <v>861270071</v>
          </cell>
          <cell r="AT229">
            <v>862339994</v>
          </cell>
          <cell r="AU229">
            <v>863908064</v>
          </cell>
          <cell r="AV229">
            <v>866189044</v>
          </cell>
          <cell r="AW229">
            <v>868783653</v>
          </cell>
          <cell r="AX229">
            <v>871433207</v>
          </cell>
          <cell r="AY229">
            <v>874134287</v>
          </cell>
          <cell r="AZ229">
            <v>877278821</v>
          </cell>
          <cell r="BA229">
            <v>880911644</v>
          </cell>
          <cell r="BB229">
            <v>884448855</v>
          </cell>
          <cell r="BC229">
            <v>887904313</v>
          </cell>
          <cell r="BD229">
            <v>890136603</v>
          </cell>
          <cell r="BE229">
            <v>893755804</v>
          </cell>
          <cell r="BF229">
            <v>898022522</v>
          </cell>
          <cell r="BG229">
            <v>902367876</v>
          </cell>
          <cell r="BH229">
            <v>906669764</v>
          </cell>
          <cell r="BI229">
            <v>910870489</v>
          </cell>
          <cell r="BJ229">
            <v>914608312</v>
          </cell>
          <cell r="BK229">
            <v>918031055</v>
          </cell>
          <cell r="BL229">
            <v>920806339</v>
          </cell>
          <cell r="BM229">
            <v>923452178</v>
          </cell>
          <cell r="BN229">
            <v>923452178</v>
          </cell>
        </row>
        <row r="230">
          <cell r="B230" t="str">
            <v>ECA</v>
          </cell>
          <cell r="C230" t="str">
            <v>Population, total</v>
          </cell>
          <cell r="D230" t="str">
            <v>SP.POP.TOTL</v>
          </cell>
          <cell r="E230">
            <v>274647228</v>
          </cell>
          <cell r="F230">
            <v>278931566</v>
          </cell>
          <cell r="G230">
            <v>283238943</v>
          </cell>
          <cell r="H230">
            <v>287564681</v>
          </cell>
          <cell r="I230">
            <v>291878870</v>
          </cell>
          <cell r="J230">
            <v>296127062</v>
          </cell>
          <cell r="K230">
            <v>299713085</v>
          </cell>
          <cell r="L230">
            <v>303366987</v>
          </cell>
          <cell r="M230">
            <v>306934517</v>
          </cell>
          <cell r="N230">
            <v>310433036</v>
          </cell>
          <cell r="O230">
            <v>313941308</v>
          </cell>
          <cell r="P230">
            <v>317445710</v>
          </cell>
          <cell r="Q230">
            <v>320945150</v>
          </cell>
          <cell r="R230">
            <v>324422297</v>
          </cell>
          <cell r="S230">
            <v>327916784</v>
          </cell>
          <cell r="T230">
            <v>331431777</v>
          </cell>
          <cell r="U230">
            <v>335100864</v>
          </cell>
          <cell r="V230">
            <v>338710487</v>
          </cell>
          <cell r="W230">
            <v>342280107</v>
          </cell>
          <cell r="X230">
            <v>345827999</v>
          </cell>
          <cell r="Y230">
            <v>349436199</v>
          </cell>
          <cell r="Z230">
            <v>353122612</v>
          </cell>
          <cell r="AA230">
            <v>356678273</v>
          </cell>
          <cell r="AB230">
            <v>360204222</v>
          </cell>
          <cell r="AC230">
            <v>363975241</v>
          </cell>
          <cell r="AD230">
            <v>367739486</v>
          </cell>
          <cell r="AE230">
            <v>371479741</v>
          </cell>
          <cell r="AF230">
            <v>375227253</v>
          </cell>
          <cell r="AG230">
            <v>378837514</v>
          </cell>
          <cell r="AH230">
            <v>382076660</v>
          </cell>
          <cell r="AI230">
            <v>384394041</v>
          </cell>
          <cell r="AJ230">
            <v>386438145</v>
          </cell>
          <cell r="AK230">
            <v>388126100</v>
          </cell>
          <cell r="AL230">
            <v>389516759</v>
          </cell>
          <cell r="AM230">
            <v>390275789</v>
          </cell>
          <cell r="AN230">
            <v>390571887</v>
          </cell>
          <cell r="AO230">
            <v>390931927</v>
          </cell>
          <cell r="AP230">
            <v>391287354</v>
          </cell>
          <cell r="AQ230">
            <v>391524989</v>
          </cell>
          <cell r="AR230">
            <v>391488162</v>
          </cell>
          <cell r="AS230">
            <v>391578161</v>
          </cell>
          <cell r="AT230">
            <v>391307324</v>
          </cell>
          <cell r="AU230">
            <v>390980067</v>
          </cell>
          <cell r="AV230">
            <v>391145628</v>
          </cell>
          <cell r="AW230">
            <v>391510958</v>
          </cell>
          <cell r="AX230">
            <v>391928793</v>
          </cell>
          <cell r="AY230">
            <v>392488997</v>
          </cell>
          <cell r="AZ230">
            <v>393193724</v>
          </cell>
          <cell r="BA230">
            <v>394372190</v>
          </cell>
          <cell r="BB230">
            <v>396021638</v>
          </cell>
          <cell r="BC230">
            <v>398060162</v>
          </cell>
          <cell r="BD230">
            <v>400286509</v>
          </cell>
          <cell r="BE230">
            <v>402534958</v>
          </cell>
          <cell r="BF230">
            <v>405034557</v>
          </cell>
          <cell r="BG230">
            <v>407530837</v>
          </cell>
          <cell r="BH230">
            <v>410073645</v>
          </cell>
          <cell r="BI230">
            <v>412538477</v>
          </cell>
          <cell r="BJ230">
            <v>414846200</v>
          </cell>
          <cell r="BK230">
            <v>416880073</v>
          </cell>
          <cell r="BL230">
            <v>418757748</v>
          </cell>
          <cell r="BM230">
            <v>420211696</v>
          </cell>
          <cell r="BN230">
            <v>420211696</v>
          </cell>
        </row>
        <row r="231">
          <cell r="B231" t="str">
            <v>TEC</v>
          </cell>
          <cell r="C231" t="str">
            <v>Population, total</v>
          </cell>
          <cell r="D231" t="str">
            <v>SP.POP.TOTL</v>
          </cell>
          <cell r="E231">
            <v>308424859</v>
          </cell>
          <cell r="F231">
            <v>313062858</v>
          </cell>
          <cell r="G231">
            <v>317744155</v>
          </cell>
          <cell r="H231">
            <v>322502356</v>
          </cell>
          <cell r="I231">
            <v>327271196</v>
          </cell>
          <cell r="J231">
            <v>331852935</v>
          </cell>
          <cell r="K231">
            <v>335704786</v>
          </cell>
          <cell r="L231">
            <v>339692825</v>
          </cell>
          <cell r="M231">
            <v>343594800</v>
          </cell>
          <cell r="N231">
            <v>347372826</v>
          </cell>
          <cell r="O231">
            <v>351017860</v>
          </cell>
          <cell r="P231">
            <v>354660485</v>
          </cell>
          <cell r="Q231">
            <v>358451364</v>
          </cell>
          <cell r="R231">
            <v>362249658</v>
          </cell>
          <cell r="S231">
            <v>366086343</v>
          </cell>
          <cell r="T231">
            <v>369959058</v>
          </cell>
          <cell r="U231">
            <v>373993098</v>
          </cell>
          <cell r="V231">
            <v>377959108</v>
          </cell>
          <cell r="W231">
            <v>381826792</v>
          </cell>
          <cell r="X231">
            <v>385669994</v>
          </cell>
          <cell r="Y231">
            <v>389610131</v>
          </cell>
          <cell r="Z231">
            <v>393632708</v>
          </cell>
          <cell r="AA231">
            <v>397542988</v>
          </cell>
          <cell r="AB231">
            <v>401434284</v>
          </cell>
          <cell r="AC231">
            <v>405559660</v>
          </cell>
          <cell r="AD231">
            <v>409642788</v>
          </cell>
          <cell r="AE231">
            <v>413657306</v>
          </cell>
          <cell r="AF231">
            <v>417635043</v>
          </cell>
          <cell r="AG231">
            <v>421417208</v>
          </cell>
          <cell r="AH231">
            <v>424805449</v>
          </cell>
          <cell r="AI231">
            <v>427282191</v>
          </cell>
          <cell r="AJ231">
            <v>429373360</v>
          </cell>
          <cell r="AK231">
            <v>431065585</v>
          </cell>
          <cell r="AL231">
            <v>432578630</v>
          </cell>
          <cell r="AM231">
            <v>433470465</v>
          </cell>
          <cell r="AN231">
            <v>433786915</v>
          </cell>
          <cell r="AO231">
            <v>434113394</v>
          </cell>
          <cell r="AP231">
            <v>434471934</v>
          </cell>
          <cell r="AQ231">
            <v>434720605</v>
          </cell>
          <cell r="AR231">
            <v>434661030</v>
          </cell>
          <cell r="AS231">
            <v>434305092</v>
          </cell>
          <cell r="AT231">
            <v>433855042</v>
          </cell>
          <cell r="AU231">
            <v>433512605</v>
          </cell>
          <cell r="AV231">
            <v>433653597</v>
          </cell>
          <cell r="AW231">
            <v>433997780</v>
          </cell>
          <cell r="AX231">
            <v>434404383</v>
          </cell>
          <cell r="AY231">
            <v>434941423</v>
          </cell>
          <cell r="AZ231">
            <v>435624501</v>
          </cell>
          <cell r="BA231">
            <v>436807654</v>
          </cell>
          <cell r="BB231">
            <v>438478422</v>
          </cell>
          <cell r="BC231">
            <v>440398383</v>
          </cell>
          <cell r="BD231">
            <v>442630386</v>
          </cell>
          <cell r="BE231">
            <v>444865680</v>
          </cell>
          <cell r="BF231">
            <v>447330442</v>
          </cell>
          <cell r="BG231">
            <v>449780961</v>
          </cell>
          <cell r="BH231">
            <v>452263661</v>
          </cell>
          <cell r="BI231">
            <v>454682913</v>
          </cell>
          <cell r="BJ231">
            <v>456945557</v>
          </cell>
          <cell r="BK231">
            <v>458942666</v>
          </cell>
          <cell r="BL231">
            <v>460788476</v>
          </cell>
          <cell r="BM231">
            <v>462209698</v>
          </cell>
          <cell r="BN231">
            <v>462209698</v>
          </cell>
        </row>
        <row r="232">
          <cell r="B232" t="str">
            <v>EUU</v>
          </cell>
          <cell r="C232" t="str">
            <v>Population, total</v>
          </cell>
          <cell r="D232" t="str">
            <v>SP.POP.TOTL</v>
          </cell>
          <cell r="E232">
            <v>356906098</v>
          </cell>
          <cell r="F232">
            <v>359998408</v>
          </cell>
          <cell r="G232">
            <v>363200480</v>
          </cell>
          <cell r="H232">
            <v>366516509</v>
          </cell>
          <cell r="I232">
            <v>369850237</v>
          </cell>
          <cell r="J232">
            <v>373032729</v>
          </cell>
          <cell r="K232">
            <v>376039129</v>
          </cell>
          <cell r="L232">
            <v>378917964</v>
          </cell>
          <cell r="M232">
            <v>381605442</v>
          </cell>
          <cell r="N232">
            <v>384216977</v>
          </cell>
          <cell r="O232">
            <v>386322917</v>
          </cell>
          <cell r="P232">
            <v>388391948</v>
          </cell>
          <cell r="Q232">
            <v>390995000</v>
          </cell>
          <cell r="R232">
            <v>393524745</v>
          </cell>
          <cell r="S232">
            <v>395949381</v>
          </cell>
          <cell r="T232">
            <v>398316579</v>
          </cell>
          <cell r="U232">
            <v>400473497</v>
          </cell>
          <cell r="V232">
            <v>402425493</v>
          </cell>
          <cell r="W232">
            <v>404271789</v>
          </cell>
          <cell r="X232">
            <v>406051882</v>
          </cell>
          <cell r="Y232">
            <v>407875838</v>
          </cell>
          <cell r="Z232">
            <v>409551911</v>
          </cell>
          <cell r="AA232">
            <v>410895608</v>
          </cell>
          <cell r="AB232">
            <v>411974424</v>
          </cell>
          <cell r="AC232">
            <v>412931321</v>
          </cell>
          <cell r="AD232">
            <v>413924499</v>
          </cell>
          <cell r="AE232">
            <v>415076367</v>
          </cell>
          <cell r="AF232">
            <v>416301843</v>
          </cell>
          <cell r="AG232">
            <v>417653046</v>
          </cell>
          <cell r="AH232">
            <v>419073139</v>
          </cell>
          <cell r="AI232">
            <v>420477999</v>
          </cell>
          <cell r="AJ232">
            <v>421730520</v>
          </cell>
          <cell r="AK232">
            <v>422963890</v>
          </cell>
          <cell r="AL232">
            <v>424341124</v>
          </cell>
          <cell r="AM232">
            <v>425399126</v>
          </cell>
          <cell r="AN232">
            <v>426203356</v>
          </cell>
          <cell r="AO232">
            <v>426896861</v>
          </cell>
          <cell r="AP232">
            <v>427538048</v>
          </cell>
          <cell r="AQ232">
            <v>428109867</v>
          </cell>
          <cell r="AR232">
            <v>428815486</v>
          </cell>
          <cell r="AS232">
            <v>429328622</v>
          </cell>
          <cell r="AT232">
            <v>429895628</v>
          </cell>
          <cell r="AU232">
            <v>430881947</v>
          </cell>
          <cell r="AV232">
            <v>432415932</v>
          </cell>
          <cell r="AW232">
            <v>434040244</v>
          </cell>
          <cell r="AX232">
            <v>435581949</v>
          </cell>
          <cell r="AY232">
            <v>436998045</v>
          </cell>
          <cell r="AZ232">
            <v>438468397</v>
          </cell>
          <cell r="BA232">
            <v>439876674</v>
          </cell>
          <cell r="BB232">
            <v>440917801</v>
          </cell>
          <cell r="BC232">
            <v>441532415</v>
          </cell>
          <cell r="BD232">
            <v>440746989</v>
          </cell>
          <cell r="BE232">
            <v>441395937</v>
          </cell>
          <cell r="BF232">
            <v>442469469</v>
          </cell>
          <cell r="BG232">
            <v>443576675</v>
          </cell>
          <cell r="BH232">
            <v>444543761</v>
          </cell>
          <cell r="BI232">
            <v>445487730</v>
          </cell>
          <cell r="BJ232">
            <v>446186344</v>
          </cell>
          <cell r="BK232">
            <v>446915113</v>
          </cell>
          <cell r="BL232">
            <v>447196538</v>
          </cell>
          <cell r="BM232">
            <v>447801418</v>
          </cell>
          <cell r="BN232">
            <v>447801418</v>
          </cell>
        </row>
        <row r="233">
          <cell r="B233" t="str">
            <v>FCS</v>
          </cell>
          <cell r="C233" t="str">
            <v>Population, total</v>
          </cell>
          <cell r="D233" t="str">
            <v>SP.POP.TOTL</v>
          </cell>
          <cell r="E233">
            <v>208280083</v>
          </cell>
          <cell r="F233">
            <v>213082100</v>
          </cell>
          <cell r="G233">
            <v>218087139</v>
          </cell>
          <cell r="H233">
            <v>223284589</v>
          </cell>
          <cell r="I233">
            <v>228670583</v>
          </cell>
          <cell r="J233">
            <v>234243249</v>
          </cell>
          <cell r="K233">
            <v>240005133</v>
          </cell>
          <cell r="L233">
            <v>245962230</v>
          </cell>
          <cell r="M233">
            <v>252116419</v>
          </cell>
          <cell r="N233">
            <v>258473157</v>
          </cell>
          <cell r="O233">
            <v>265037231</v>
          </cell>
          <cell r="P233">
            <v>271800288</v>
          </cell>
          <cell r="Q233">
            <v>278767597</v>
          </cell>
          <cell r="R233">
            <v>285961194</v>
          </cell>
          <cell r="S233">
            <v>293417700</v>
          </cell>
          <cell r="T233">
            <v>301154406</v>
          </cell>
          <cell r="U233">
            <v>309196463</v>
          </cell>
          <cell r="V233">
            <v>317520801</v>
          </cell>
          <cell r="W233">
            <v>326050578</v>
          </cell>
          <cell r="X233">
            <v>334679714</v>
          </cell>
          <cell r="Y233">
            <v>343334222</v>
          </cell>
          <cell r="Z233">
            <v>352006783</v>
          </cell>
          <cell r="AA233">
            <v>360736356</v>
          </cell>
          <cell r="AB233">
            <v>369569548</v>
          </cell>
          <cell r="AC233">
            <v>378570396</v>
          </cell>
          <cell r="AD233">
            <v>387802210</v>
          </cell>
          <cell r="AE233">
            <v>397235010</v>
          </cell>
          <cell r="AF233">
            <v>406892515</v>
          </cell>
          <cell r="AG233">
            <v>416947257</v>
          </cell>
          <cell r="AH233">
            <v>427617018</v>
          </cell>
          <cell r="AI233">
            <v>440953223</v>
          </cell>
          <cell r="AJ233">
            <v>453319569</v>
          </cell>
          <cell r="AK233">
            <v>466482801</v>
          </cell>
          <cell r="AL233">
            <v>480127968</v>
          </cell>
          <cell r="AM233">
            <v>493815261</v>
          </cell>
          <cell r="AN233">
            <v>507247352</v>
          </cell>
          <cell r="AO233">
            <v>520303326</v>
          </cell>
          <cell r="AP233">
            <v>533112558</v>
          </cell>
          <cell r="AQ233">
            <v>545728172</v>
          </cell>
          <cell r="AR233">
            <v>558627550</v>
          </cell>
          <cell r="AS233">
            <v>572303917</v>
          </cell>
          <cell r="AT233">
            <v>586760366</v>
          </cell>
          <cell r="AU233">
            <v>601848734</v>
          </cell>
          <cell r="AV233">
            <v>617468591</v>
          </cell>
          <cell r="AW233">
            <v>633460044</v>
          </cell>
          <cell r="AX233">
            <v>649704454</v>
          </cell>
          <cell r="AY233">
            <v>666174377</v>
          </cell>
          <cell r="AZ233">
            <v>682901570</v>
          </cell>
          <cell r="BA233">
            <v>700030438</v>
          </cell>
          <cell r="BB233">
            <v>717553793</v>
          </cell>
          <cell r="BC233">
            <v>735448194</v>
          </cell>
          <cell r="BD233">
            <v>753858934</v>
          </cell>
          <cell r="BE233">
            <v>772742559</v>
          </cell>
          <cell r="BF233">
            <v>791943328</v>
          </cell>
          <cell r="BG233">
            <v>811249811</v>
          </cell>
          <cell r="BH233">
            <v>830536041</v>
          </cell>
          <cell r="BI233">
            <v>849739853</v>
          </cell>
          <cell r="BJ233">
            <v>868954263</v>
          </cell>
          <cell r="BK233">
            <v>888488369</v>
          </cell>
          <cell r="BL233">
            <v>908739462</v>
          </cell>
          <cell r="BM233">
            <v>929989551</v>
          </cell>
          <cell r="BN233">
            <v>929989551</v>
          </cell>
        </row>
        <row r="234">
          <cell r="B234" t="str">
            <v>HPC</v>
          </cell>
          <cell r="C234" t="str">
            <v>Population, total</v>
          </cell>
          <cell r="D234" t="str">
            <v>SP.POP.TOTL</v>
          </cell>
          <cell r="E234">
            <v>161734348</v>
          </cell>
          <cell r="F234">
            <v>165573136</v>
          </cell>
          <cell r="G234">
            <v>169567052</v>
          </cell>
          <cell r="H234">
            <v>173722891</v>
          </cell>
          <cell r="I234">
            <v>178048131</v>
          </cell>
          <cell r="J234">
            <v>182548798</v>
          </cell>
          <cell r="K234">
            <v>187227553</v>
          </cell>
          <cell r="L234">
            <v>192084675</v>
          </cell>
          <cell r="M234">
            <v>197119416</v>
          </cell>
          <cell r="N234">
            <v>202329958</v>
          </cell>
          <cell r="O234">
            <v>207714326</v>
          </cell>
          <cell r="P234">
            <v>213272593</v>
          </cell>
          <cell r="Q234">
            <v>219004306</v>
          </cell>
          <cell r="R234">
            <v>224905337</v>
          </cell>
          <cell r="S234">
            <v>230970270</v>
          </cell>
          <cell r="T234">
            <v>237195030</v>
          </cell>
          <cell r="U234">
            <v>243590882</v>
          </cell>
          <cell r="V234">
            <v>250160343</v>
          </cell>
          <cell r="W234">
            <v>256880818</v>
          </cell>
          <cell r="X234">
            <v>263721632</v>
          </cell>
          <cell r="Y234">
            <v>270668519</v>
          </cell>
          <cell r="Z234">
            <v>277719154</v>
          </cell>
          <cell r="AA234">
            <v>284905161</v>
          </cell>
          <cell r="AB234">
            <v>292290400</v>
          </cell>
          <cell r="AC234">
            <v>299959455</v>
          </cell>
          <cell r="AD234">
            <v>307980326</v>
          </cell>
          <cell r="AE234">
            <v>316358167</v>
          </cell>
          <cell r="AF234">
            <v>325095129</v>
          </cell>
          <cell r="AG234">
            <v>334249174</v>
          </cell>
          <cell r="AH234">
            <v>343887503</v>
          </cell>
          <cell r="AI234">
            <v>354047283</v>
          </cell>
          <cell r="AJ234">
            <v>364782214</v>
          </cell>
          <cell r="AK234">
            <v>376055877</v>
          </cell>
          <cell r="AL234">
            <v>387705086</v>
          </cell>
          <cell r="AM234">
            <v>399503994</v>
          </cell>
          <cell r="AN234">
            <v>411298637</v>
          </cell>
          <cell r="AO234">
            <v>423019239</v>
          </cell>
          <cell r="AP234">
            <v>434736157</v>
          </cell>
          <cell r="AQ234">
            <v>446608371</v>
          </cell>
          <cell r="AR234">
            <v>458867418</v>
          </cell>
          <cell r="AS234">
            <v>471680803</v>
          </cell>
          <cell r="AT234">
            <v>485112670</v>
          </cell>
          <cell r="AU234">
            <v>499113608</v>
          </cell>
          <cell r="AV234">
            <v>513601222</v>
          </cell>
          <cell r="AW234">
            <v>528444638</v>
          </cell>
          <cell r="AX234">
            <v>543555314</v>
          </cell>
          <cell r="AY234">
            <v>558909246</v>
          </cell>
          <cell r="AZ234">
            <v>574560319</v>
          </cell>
          <cell r="BA234">
            <v>590590409</v>
          </cell>
          <cell r="BB234">
            <v>607115601</v>
          </cell>
          <cell r="BC234">
            <v>624219296</v>
          </cell>
          <cell r="BD234">
            <v>641921373</v>
          </cell>
          <cell r="BE234">
            <v>660193919</v>
          </cell>
          <cell r="BF234">
            <v>679013004</v>
          </cell>
          <cell r="BG234">
            <v>698336663</v>
          </cell>
          <cell r="BH234">
            <v>718128408</v>
          </cell>
          <cell r="BI234">
            <v>738387077</v>
          </cell>
          <cell r="BJ234">
            <v>759106118</v>
          </cell>
          <cell r="BK234">
            <v>780234453</v>
          </cell>
          <cell r="BL234">
            <v>801708019</v>
          </cell>
          <cell r="BM234">
            <v>823480038</v>
          </cell>
          <cell r="BN234">
            <v>823480038</v>
          </cell>
        </row>
        <row r="235">
          <cell r="B235" t="str">
            <v>HIC</v>
          </cell>
          <cell r="C235" t="str">
            <v>Population, total</v>
          </cell>
          <cell r="D235" t="str">
            <v>SP.POP.TOTL</v>
          </cell>
          <cell r="E235">
            <v>759783611</v>
          </cell>
          <cell r="F235">
            <v>769499360</v>
          </cell>
          <cell r="G235">
            <v>779465348</v>
          </cell>
          <cell r="H235">
            <v>789358853</v>
          </cell>
          <cell r="I235">
            <v>799159797</v>
          </cell>
          <cell r="J235">
            <v>808596600</v>
          </cell>
          <cell r="K235">
            <v>817426786</v>
          </cell>
          <cell r="L235">
            <v>825698975</v>
          </cell>
          <cell r="M235">
            <v>833895491</v>
          </cell>
          <cell r="N235">
            <v>842260894</v>
          </cell>
          <cell r="O235">
            <v>850563450</v>
          </cell>
          <cell r="P235">
            <v>860560048</v>
          </cell>
          <cell r="Q235">
            <v>869313732</v>
          </cell>
          <cell r="R235">
            <v>877805133</v>
          </cell>
          <cell r="S235">
            <v>886141034</v>
          </cell>
          <cell r="T235">
            <v>894227661</v>
          </cell>
          <cell r="U235">
            <v>901732072</v>
          </cell>
          <cell r="V235">
            <v>909139852</v>
          </cell>
          <cell r="W235">
            <v>916611800</v>
          </cell>
          <cell r="X235">
            <v>924450013</v>
          </cell>
          <cell r="Y235">
            <v>932075328</v>
          </cell>
          <cell r="Z235">
            <v>939681156</v>
          </cell>
          <cell r="AA235">
            <v>946904804</v>
          </cell>
          <cell r="AB235">
            <v>953688382</v>
          </cell>
          <cell r="AC235">
            <v>960111311</v>
          </cell>
          <cell r="AD235">
            <v>966563677</v>
          </cell>
          <cell r="AE235">
            <v>973188301</v>
          </cell>
          <cell r="AF235">
            <v>979874901</v>
          </cell>
          <cell r="AG235">
            <v>986702713</v>
          </cell>
          <cell r="AH235">
            <v>993966356</v>
          </cell>
          <cell r="AI235">
            <v>1001677611</v>
          </cell>
          <cell r="AJ235">
            <v>1010166079</v>
          </cell>
          <cell r="AK235">
            <v>1016513603</v>
          </cell>
          <cell r="AL235">
            <v>1024551207</v>
          </cell>
          <cell r="AM235">
            <v>1032035681</v>
          </cell>
          <cell r="AN235">
            <v>1040719622</v>
          </cell>
          <cell r="AO235">
            <v>1047818942</v>
          </cell>
          <cell r="AP235">
            <v>1054747601</v>
          </cell>
          <cell r="AQ235">
            <v>1061501831</v>
          </cell>
          <cell r="AR235">
            <v>1068197515</v>
          </cell>
          <cell r="AS235">
            <v>1074819578</v>
          </cell>
          <cell r="AT235">
            <v>1081809509</v>
          </cell>
          <cell r="AU235">
            <v>1089036403</v>
          </cell>
          <cell r="AV235">
            <v>1096166107</v>
          </cell>
          <cell r="AW235">
            <v>1103693618</v>
          </cell>
          <cell r="AX235">
            <v>1111423301</v>
          </cell>
          <cell r="AY235">
            <v>1119840651</v>
          </cell>
          <cell r="AZ235">
            <v>1128710968</v>
          </cell>
          <cell r="BA235">
            <v>1138167727</v>
          </cell>
          <cell r="BB235">
            <v>1146611428</v>
          </cell>
          <cell r="BC235">
            <v>1154194529</v>
          </cell>
          <cell r="BD235">
            <v>1159642350</v>
          </cell>
          <cell r="BE235">
            <v>1166465944</v>
          </cell>
          <cell r="BF235">
            <v>1173351852</v>
          </cell>
          <cell r="BG235">
            <v>1180423771</v>
          </cell>
          <cell r="BH235">
            <v>1187317397</v>
          </cell>
          <cell r="BI235">
            <v>1194191812</v>
          </cell>
          <cell r="BJ235">
            <v>1200273639</v>
          </cell>
          <cell r="BK235">
            <v>1205941621</v>
          </cell>
          <cell r="BL235">
            <v>1210795776</v>
          </cell>
          <cell r="BM235">
            <v>1214930230</v>
          </cell>
          <cell r="BN235">
            <v>1214930230</v>
          </cell>
        </row>
        <row r="236">
          <cell r="B236" t="str">
            <v>IBD</v>
          </cell>
          <cell r="C236" t="str">
            <v>Population, total</v>
          </cell>
          <cell r="D236" t="str">
            <v>SP.POP.TOTL</v>
          </cell>
          <cell r="E236">
            <v>1919643259</v>
          </cell>
          <cell r="F236">
            <v>1940356959</v>
          </cell>
          <cell r="G236">
            <v>1974018983</v>
          </cell>
          <cell r="H236">
            <v>2019553695</v>
          </cell>
          <cell r="I236">
            <v>2065153294</v>
          </cell>
          <cell r="J236">
            <v>2111931236</v>
          </cell>
          <cell r="K236">
            <v>2161881347</v>
          </cell>
          <cell r="L236">
            <v>2211446261</v>
          </cell>
          <cell r="M236">
            <v>2262350288</v>
          </cell>
          <cell r="N236">
            <v>2315407668</v>
          </cell>
          <cell r="O236">
            <v>2369907013</v>
          </cell>
          <cell r="P236">
            <v>2425733326</v>
          </cell>
          <cell r="Q236">
            <v>2480636089</v>
          </cell>
          <cell r="R236">
            <v>2535259156</v>
          </cell>
          <cell r="S236">
            <v>2589035943</v>
          </cell>
          <cell r="T236">
            <v>2641036429</v>
          </cell>
          <cell r="U236">
            <v>2691929607</v>
          </cell>
          <cell r="V236">
            <v>2741759767</v>
          </cell>
          <cell r="W236">
            <v>2792102883</v>
          </cell>
          <cell r="X236">
            <v>2843436775</v>
          </cell>
          <cell r="Y236">
            <v>2895270850</v>
          </cell>
          <cell r="Z236">
            <v>2948643246</v>
          </cell>
          <cell r="AA236">
            <v>3004914790</v>
          </cell>
          <cell r="AB236">
            <v>3061809639</v>
          </cell>
          <cell r="AC236">
            <v>3118212761</v>
          </cell>
          <cell r="AD236">
            <v>3175484847</v>
          </cell>
          <cell r="AE236">
            <v>3234352999</v>
          </cell>
          <cell r="AF236">
            <v>3294789920</v>
          </cell>
          <cell r="AG236">
            <v>3355391546</v>
          </cell>
          <cell r="AH236">
            <v>3414926034</v>
          </cell>
          <cell r="AI236">
            <v>3472795732</v>
          </cell>
          <cell r="AJ236">
            <v>3529273394</v>
          </cell>
          <cell r="AK236">
            <v>3583654056</v>
          </cell>
          <cell r="AL236">
            <v>3636953514</v>
          </cell>
          <cell r="AM236">
            <v>3689444106</v>
          </cell>
          <cell r="AN236">
            <v>3740821342</v>
          </cell>
          <cell r="AO236">
            <v>3791695401</v>
          </cell>
          <cell r="AP236">
            <v>3842263818</v>
          </cell>
          <cell r="AQ236">
            <v>3892057436</v>
          </cell>
          <cell r="AR236">
            <v>3940452377</v>
          </cell>
          <cell r="AS236">
            <v>3987186829</v>
          </cell>
          <cell r="AT236">
            <v>4032814517</v>
          </cell>
          <cell r="AU236">
            <v>4077635144</v>
          </cell>
          <cell r="AV236">
            <v>4122139637</v>
          </cell>
          <cell r="AW236">
            <v>4166298061</v>
          </cell>
          <cell r="AX236">
            <v>4210302243</v>
          </cell>
          <cell r="AY236">
            <v>4253850306</v>
          </cell>
          <cell r="AZ236">
            <v>4296851873</v>
          </cell>
          <cell r="BA236">
            <v>4340107147</v>
          </cell>
          <cell r="BB236">
            <v>4383682686</v>
          </cell>
          <cell r="BC236">
            <v>4427039470</v>
          </cell>
          <cell r="BD236">
            <v>4471931983</v>
          </cell>
          <cell r="BE236">
            <v>4518944265</v>
          </cell>
          <cell r="BF236">
            <v>4566062769</v>
          </cell>
          <cell r="BG236">
            <v>4612371789</v>
          </cell>
          <cell r="BH236">
            <v>4657516187</v>
          </cell>
          <cell r="BI236">
            <v>4701907494</v>
          </cell>
          <cell r="BJ236">
            <v>4746018766</v>
          </cell>
          <cell r="BK236">
            <v>4787343661</v>
          </cell>
          <cell r="BL236">
            <v>4826259460</v>
          </cell>
          <cell r="BM236">
            <v>4862388283</v>
          </cell>
          <cell r="BN236">
            <v>4862388283</v>
          </cell>
        </row>
        <row r="237">
          <cell r="B237" t="str">
            <v>IBT</v>
          </cell>
          <cell r="C237" t="str">
            <v>Population, total</v>
          </cell>
          <cell r="D237" t="str">
            <v>SP.POP.TOTL</v>
          </cell>
          <cell r="E237">
            <v>2299245319</v>
          </cell>
          <cell r="F237">
            <v>2329154652</v>
          </cell>
          <cell r="G237">
            <v>2372380699</v>
          </cell>
          <cell r="H237">
            <v>2427869417</v>
          </cell>
          <cell r="I237">
            <v>2483839827</v>
          </cell>
          <cell r="J237">
            <v>2541414856</v>
          </cell>
          <cell r="K237">
            <v>2602626879</v>
          </cell>
          <cell r="L237">
            <v>2663895780</v>
          </cell>
          <cell r="M237">
            <v>2726850543</v>
          </cell>
          <cell r="N237">
            <v>2792171255</v>
          </cell>
          <cell r="O237">
            <v>2859058030</v>
          </cell>
          <cell r="P237">
            <v>2927364907</v>
          </cell>
          <cell r="Q237">
            <v>2994908497</v>
          </cell>
          <cell r="R237">
            <v>3062459678</v>
          </cell>
          <cell r="S237">
            <v>3129647875</v>
          </cell>
          <cell r="T237">
            <v>3195675150</v>
          </cell>
          <cell r="U237">
            <v>3261263509</v>
          </cell>
          <cell r="V237">
            <v>3326428526</v>
          </cell>
          <cell r="W237">
            <v>3392709227</v>
          </cell>
          <cell r="X237">
            <v>3460519136</v>
          </cell>
          <cell r="Y237">
            <v>3529315742</v>
          </cell>
          <cell r="Z237">
            <v>3600136821</v>
          </cell>
          <cell r="AA237">
            <v>3674370514</v>
          </cell>
          <cell r="AB237">
            <v>3749764704</v>
          </cell>
          <cell r="AC237">
            <v>3825225748</v>
          </cell>
          <cell r="AD237">
            <v>3902131693</v>
          </cell>
          <cell r="AE237">
            <v>3981206664</v>
          </cell>
          <cell r="AF237">
            <v>4062409031</v>
          </cell>
          <cell r="AG237">
            <v>4144329655</v>
          </cell>
          <cell r="AH237">
            <v>4225751603</v>
          </cell>
          <cell r="AI237">
            <v>4306159746</v>
          </cell>
          <cell r="AJ237">
            <v>4385564153</v>
          </cell>
          <cell r="AK237">
            <v>4463428329</v>
          </cell>
          <cell r="AL237">
            <v>4540599237</v>
          </cell>
          <cell r="AM237">
            <v>4617236728</v>
          </cell>
          <cell r="AN237">
            <v>4693043793</v>
          </cell>
          <cell r="AO237">
            <v>4768632422</v>
          </cell>
          <cell r="AP237">
            <v>4844171403</v>
          </cell>
          <cell r="AQ237">
            <v>4919044671</v>
          </cell>
          <cell r="AR237">
            <v>4992700760</v>
          </cell>
          <cell r="AS237">
            <v>5065355830</v>
          </cell>
          <cell r="AT237">
            <v>5137393838</v>
          </cell>
          <cell r="AU237">
            <v>5209071406</v>
          </cell>
          <cell r="AV237">
            <v>5280906028</v>
          </cell>
          <cell r="AW237">
            <v>5352906491</v>
          </cell>
          <cell r="AX237">
            <v>5425273244</v>
          </cell>
          <cell r="AY237">
            <v>5497768362</v>
          </cell>
          <cell r="AZ237">
            <v>5570325587</v>
          </cell>
          <cell r="BA237">
            <v>5643683607</v>
          </cell>
          <cell r="BB237">
            <v>5717805879</v>
          </cell>
          <cell r="BC237">
            <v>5792386087</v>
          </cell>
          <cell r="BD237">
            <v>5868805803</v>
          </cell>
          <cell r="BE237">
            <v>5947406419</v>
          </cell>
          <cell r="BF237">
            <v>6026674017</v>
          </cell>
          <cell r="BG237">
            <v>6105863361</v>
          </cell>
          <cell r="BH237">
            <v>6184735051</v>
          </cell>
          <cell r="BI237">
            <v>6263736146</v>
          </cell>
          <cell r="BJ237">
            <v>6343292514</v>
          </cell>
          <cell r="BK237">
            <v>6420905201</v>
          </cell>
          <cell r="BL237">
            <v>6496952025</v>
          </cell>
          <cell r="BM237">
            <v>6570991956</v>
          </cell>
          <cell r="BN237">
            <v>6570991956</v>
          </cell>
        </row>
        <row r="238">
          <cell r="B238" t="str">
            <v>IDB</v>
          </cell>
          <cell r="C238" t="str">
            <v>Population, total</v>
          </cell>
          <cell r="D238" t="str">
            <v>SP.POP.TOTL</v>
          </cell>
          <cell r="E238">
            <v>120391642</v>
          </cell>
          <cell r="F238">
            <v>123270998</v>
          </cell>
          <cell r="G238">
            <v>126289838</v>
          </cell>
          <cell r="H238">
            <v>129443834</v>
          </cell>
          <cell r="I238">
            <v>132726682</v>
          </cell>
          <cell r="J238">
            <v>136134348</v>
          </cell>
          <cell r="K238">
            <v>139672971</v>
          </cell>
          <cell r="L238">
            <v>143347860</v>
          </cell>
          <cell r="M238">
            <v>147154758</v>
          </cell>
          <cell r="N238">
            <v>151087339</v>
          </cell>
          <cell r="O238">
            <v>155145837</v>
          </cell>
          <cell r="P238">
            <v>159323709</v>
          </cell>
          <cell r="Q238">
            <v>163635977</v>
          </cell>
          <cell r="R238">
            <v>168129765</v>
          </cell>
          <cell r="S238">
            <v>172867304</v>
          </cell>
          <cell r="T238">
            <v>177892039</v>
          </cell>
          <cell r="U238">
            <v>183221937</v>
          </cell>
          <cell r="V238">
            <v>188841826</v>
          </cell>
          <cell r="W238">
            <v>194720560</v>
          </cell>
          <cell r="X238">
            <v>200810543</v>
          </cell>
          <cell r="Y238">
            <v>207074946</v>
          </cell>
          <cell r="Z238">
            <v>213499720</v>
          </cell>
          <cell r="AA238">
            <v>220088448</v>
          </cell>
          <cell r="AB238">
            <v>226841896</v>
          </cell>
          <cell r="AC238">
            <v>233765810</v>
          </cell>
          <cell r="AD238">
            <v>240860675</v>
          </cell>
          <cell r="AE238">
            <v>248127780</v>
          </cell>
          <cell r="AF238">
            <v>255551895</v>
          </cell>
          <cell r="AG238">
            <v>263097505</v>
          </cell>
          <cell r="AH238">
            <v>270718966</v>
          </cell>
          <cell r="AI238">
            <v>278496624</v>
          </cell>
          <cell r="AJ238">
            <v>286142541</v>
          </cell>
          <cell r="AK238">
            <v>293874928</v>
          </cell>
          <cell r="AL238">
            <v>301679823</v>
          </cell>
          <cell r="AM238">
            <v>309568084</v>
          </cell>
          <cell r="AN238">
            <v>317616125</v>
          </cell>
          <cell r="AO238">
            <v>325908669</v>
          </cell>
          <cell r="AP238">
            <v>334399195</v>
          </cell>
          <cell r="AQ238">
            <v>342980973</v>
          </cell>
          <cell r="AR238">
            <v>351519915</v>
          </cell>
          <cell r="AS238">
            <v>360173395</v>
          </cell>
          <cell r="AT238">
            <v>368820674</v>
          </cell>
          <cell r="AU238">
            <v>377512139</v>
          </cell>
          <cell r="AV238">
            <v>386309887</v>
          </cell>
          <cell r="AW238">
            <v>395320129</v>
          </cell>
          <cell r="AX238">
            <v>404615733</v>
          </cell>
          <cell r="AY238">
            <v>414232540</v>
          </cell>
          <cell r="AZ238">
            <v>424192620</v>
          </cell>
          <cell r="BA238">
            <v>434469632</v>
          </cell>
          <cell r="BB238">
            <v>444998547</v>
          </cell>
          <cell r="BC238">
            <v>456049577</v>
          </cell>
          <cell r="BD238">
            <v>467267685</v>
          </cell>
          <cell r="BE238">
            <v>478335316</v>
          </cell>
          <cell r="BF238">
            <v>489624577</v>
          </cell>
          <cell r="BG238">
            <v>501146189</v>
          </cell>
          <cell r="BH238">
            <v>512877239</v>
          </cell>
          <cell r="BI238">
            <v>524794580</v>
          </cell>
          <cell r="BJ238">
            <v>536871945</v>
          </cell>
          <cell r="BK238">
            <v>549127807</v>
          </cell>
          <cell r="BL238">
            <v>561571929</v>
          </cell>
          <cell r="BM238">
            <v>574159138</v>
          </cell>
          <cell r="BN238">
            <v>574159138</v>
          </cell>
        </row>
        <row r="239">
          <cell r="B239" t="str">
            <v>IDX</v>
          </cell>
          <cell r="C239" t="str">
            <v>Population, total</v>
          </cell>
          <cell r="D239" t="str">
            <v>SP.POP.TOTL</v>
          </cell>
          <cell r="E239">
            <v>259210418</v>
          </cell>
          <cell r="F239">
            <v>265526695</v>
          </cell>
          <cell r="G239">
            <v>272071878</v>
          </cell>
          <cell r="H239">
            <v>278871888</v>
          </cell>
          <cell r="I239">
            <v>285959851</v>
          </cell>
          <cell r="J239">
            <v>293349272</v>
          </cell>
          <cell r="K239">
            <v>301072561</v>
          </cell>
          <cell r="L239">
            <v>309101659</v>
          </cell>
          <cell r="M239">
            <v>317345497</v>
          </cell>
          <cell r="N239">
            <v>325676248</v>
          </cell>
          <cell r="O239">
            <v>334005180</v>
          </cell>
          <cell r="P239">
            <v>342307872</v>
          </cell>
          <cell r="Q239">
            <v>350636431</v>
          </cell>
          <cell r="R239">
            <v>359070757</v>
          </cell>
          <cell r="S239">
            <v>367744628</v>
          </cell>
          <cell r="T239">
            <v>376746682</v>
          </cell>
          <cell r="U239">
            <v>386111965</v>
          </cell>
          <cell r="V239">
            <v>395826933</v>
          </cell>
          <cell r="W239">
            <v>405885784</v>
          </cell>
          <cell r="X239">
            <v>416271818</v>
          </cell>
          <cell r="Y239">
            <v>426969946</v>
          </cell>
          <cell r="Z239">
            <v>437993855</v>
          </cell>
          <cell r="AA239">
            <v>449367276</v>
          </cell>
          <cell r="AB239">
            <v>461113169</v>
          </cell>
          <cell r="AC239">
            <v>473247177</v>
          </cell>
          <cell r="AD239">
            <v>485786171</v>
          </cell>
          <cell r="AE239">
            <v>498725885</v>
          </cell>
          <cell r="AF239">
            <v>512067216</v>
          </cell>
          <cell r="AG239">
            <v>525840604</v>
          </cell>
          <cell r="AH239">
            <v>540106603</v>
          </cell>
          <cell r="AI239">
            <v>554867390</v>
          </cell>
          <cell r="AJ239">
            <v>570148218</v>
          </cell>
          <cell r="AK239">
            <v>585899345</v>
          </cell>
          <cell r="AL239">
            <v>601965900</v>
          </cell>
          <cell r="AM239">
            <v>618224538</v>
          </cell>
          <cell r="AN239">
            <v>634606326</v>
          </cell>
          <cell r="AO239">
            <v>651028352</v>
          </cell>
          <cell r="AP239">
            <v>667508390</v>
          </cell>
          <cell r="AQ239">
            <v>684006262</v>
          </cell>
          <cell r="AR239">
            <v>700728468</v>
          </cell>
          <cell r="AS239">
            <v>717995606</v>
          </cell>
          <cell r="AT239">
            <v>735758647</v>
          </cell>
          <cell r="AU239">
            <v>753924123</v>
          </cell>
          <cell r="AV239">
            <v>772456504</v>
          </cell>
          <cell r="AW239">
            <v>791288301</v>
          </cell>
          <cell r="AX239">
            <v>810355268</v>
          </cell>
          <cell r="AY239">
            <v>829685516</v>
          </cell>
          <cell r="AZ239">
            <v>849281094</v>
          </cell>
          <cell r="BA239">
            <v>869106828</v>
          </cell>
          <cell r="BB239">
            <v>889124646</v>
          </cell>
          <cell r="BC239">
            <v>909297040</v>
          </cell>
          <cell r="BD239">
            <v>929606135</v>
          </cell>
          <cell r="BE239">
            <v>950126838</v>
          </cell>
          <cell r="BF239">
            <v>970986671</v>
          </cell>
          <cell r="BG239">
            <v>992345383</v>
          </cell>
          <cell r="BH239">
            <v>1014341625</v>
          </cell>
          <cell r="BI239">
            <v>1037034072</v>
          </cell>
          <cell r="BJ239">
            <v>1060401803</v>
          </cell>
          <cell r="BK239">
            <v>1084433733</v>
          </cell>
          <cell r="BL239">
            <v>1109120636</v>
          </cell>
          <cell r="BM239">
            <v>1134444535</v>
          </cell>
          <cell r="BN239">
            <v>1134444535</v>
          </cell>
        </row>
        <row r="240">
          <cell r="B240" t="str">
            <v>IDA</v>
          </cell>
          <cell r="C240" t="str">
            <v>Population, total</v>
          </cell>
          <cell r="D240" t="str">
            <v>SP.POP.TOTL</v>
          </cell>
          <cell r="E240">
            <v>379602060</v>
          </cell>
          <cell r="F240">
            <v>388797693</v>
          </cell>
          <cell r="G240">
            <v>398361716</v>
          </cell>
          <cell r="H240">
            <v>408315722</v>
          </cell>
          <cell r="I240">
            <v>418686533</v>
          </cell>
          <cell r="J240">
            <v>429483620</v>
          </cell>
          <cell r="K240">
            <v>440745532</v>
          </cell>
          <cell r="L240">
            <v>452449519</v>
          </cell>
          <cell r="M240">
            <v>464500255</v>
          </cell>
          <cell r="N240">
            <v>476763587</v>
          </cell>
          <cell r="O240">
            <v>489151017</v>
          </cell>
          <cell r="P240">
            <v>501631581</v>
          </cell>
          <cell r="Q240">
            <v>514272408</v>
          </cell>
          <cell r="R240">
            <v>527200522</v>
          </cell>
          <cell r="S240">
            <v>540611932</v>
          </cell>
          <cell r="T240">
            <v>554638721</v>
          </cell>
          <cell r="U240">
            <v>569333902</v>
          </cell>
          <cell r="V240">
            <v>584668759</v>
          </cell>
          <cell r="W240">
            <v>600606344</v>
          </cell>
          <cell r="X240">
            <v>617082361</v>
          </cell>
          <cell r="Y240">
            <v>634044892</v>
          </cell>
          <cell r="Z240">
            <v>651493575</v>
          </cell>
          <cell r="AA240">
            <v>669455724</v>
          </cell>
          <cell r="AB240">
            <v>687955065</v>
          </cell>
          <cell r="AC240">
            <v>707012987</v>
          </cell>
          <cell r="AD240">
            <v>726646846</v>
          </cell>
          <cell r="AE240">
            <v>746853665</v>
          </cell>
          <cell r="AF240">
            <v>767619111</v>
          </cell>
          <cell r="AG240">
            <v>788938109</v>
          </cell>
          <cell r="AH240">
            <v>810825569</v>
          </cell>
          <cell r="AI240">
            <v>833364014</v>
          </cell>
          <cell r="AJ240">
            <v>856290759</v>
          </cell>
          <cell r="AK240">
            <v>879774273</v>
          </cell>
          <cell r="AL240">
            <v>903645723</v>
          </cell>
          <cell r="AM240">
            <v>927792622</v>
          </cell>
          <cell r="AN240">
            <v>952222451</v>
          </cell>
          <cell r="AO240">
            <v>976937021</v>
          </cell>
          <cell r="AP240">
            <v>1001907585</v>
          </cell>
          <cell r="AQ240">
            <v>1026987235</v>
          </cell>
          <cell r="AR240">
            <v>1052248383</v>
          </cell>
          <cell r="AS240">
            <v>1078169001</v>
          </cell>
          <cell r="AT240">
            <v>1104579321</v>
          </cell>
          <cell r="AU240">
            <v>1131436262</v>
          </cell>
          <cell r="AV240">
            <v>1158766391</v>
          </cell>
          <cell r="AW240">
            <v>1186608430</v>
          </cell>
          <cell r="AX240">
            <v>1214971001</v>
          </cell>
          <cell r="AY240">
            <v>1243918056</v>
          </cell>
          <cell r="AZ240">
            <v>1273473714</v>
          </cell>
          <cell r="BA240">
            <v>1303576460</v>
          </cell>
          <cell r="BB240">
            <v>1334123193</v>
          </cell>
          <cell r="BC240">
            <v>1365346617</v>
          </cell>
          <cell r="BD240">
            <v>1396873820</v>
          </cell>
          <cell r="BE240">
            <v>1428462154</v>
          </cell>
          <cell r="BF240">
            <v>1460611248</v>
          </cell>
          <cell r="BG240">
            <v>1493491572</v>
          </cell>
          <cell r="BH240">
            <v>1527218864</v>
          </cell>
          <cell r="BI240">
            <v>1561828652</v>
          </cell>
          <cell r="BJ240">
            <v>1597273748</v>
          </cell>
          <cell r="BK240">
            <v>1633561540</v>
          </cell>
          <cell r="BL240">
            <v>1670692565</v>
          </cell>
          <cell r="BM240">
            <v>1708603673</v>
          </cell>
          <cell r="BN240">
            <v>1708603673</v>
          </cell>
        </row>
        <row r="241">
          <cell r="B241" t="str">
            <v>LTE</v>
          </cell>
          <cell r="C241" t="str">
            <v>Population, total</v>
          </cell>
          <cell r="D241" t="str">
            <v>SP.POP.TOTL</v>
          </cell>
          <cell r="E241">
            <v>1096903448</v>
          </cell>
          <cell r="F241">
            <v>1099284940</v>
          </cell>
          <cell r="G241">
            <v>1113927919</v>
          </cell>
          <cell r="H241">
            <v>1139889997</v>
          </cell>
          <cell r="I241">
            <v>1165421495</v>
          </cell>
          <cell r="J241">
            <v>1191679434</v>
          </cell>
          <cell r="K241">
            <v>1220687497</v>
          </cell>
          <cell r="L241">
            <v>1248850553</v>
          </cell>
          <cell r="M241">
            <v>1277803242</v>
          </cell>
          <cell r="N241">
            <v>1308225875</v>
          </cell>
          <cell r="O241">
            <v>1339320296</v>
          </cell>
          <cell r="P241">
            <v>1370950386</v>
          </cell>
          <cell r="Q241">
            <v>1400911434</v>
          </cell>
          <cell r="R241">
            <v>1429901917</v>
          </cell>
          <cell r="S241">
            <v>1457475769</v>
          </cell>
          <cell r="T241">
            <v>1482809855</v>
          </cell>
          <cell r="U241">
            <v>1506611986</v>
          </cell>
          <cell r="V241">
            <v>1528866928</v>
          </cell>
          <cell r="W241">
            <v>1551073484</v>
          </cell>
          <cell r="X241">
            <v>1573488423</v>
          </cell>
          <cell r="Y241">
            <v>1595481006</v>
          </cell>
          <cell r="Z241">
            <v>1618039026</v>
          </cell>
          <cell r="AA241">
            <v>1642764734</v>
          </cell>
          <cell r="AB241">
            <v>1667457285</v>
          </cell>
          <cell r="AC241">
            <v>1691255626</v>
          </cell>
          <cell r="AD241">
            <v>1715762768</v>
          </cell>
          <cell r="AE241">
            <v>1741726104</v>
          </cell>
          <cell r="AF241">
            <v>1769123601</v>
          </cell>
          <cell r="AG241">
            <v>1796650131</v>
          </cell>
          <cell r="AH241">
            <v>1823252483</v>
          </cell>
          <cell r="AI241">
            <v>1848493286</v>
          </cell>
          <cell r="AJ241">
            <v>1872533228</v>
          </cell>
          <cell r="AK241">
            <v>1892668417</v>
          </cell>
          <cell r="AL241">
            <v>1913821985</v>
          </cell>
          <cell r="AM241">
            <v>1934464425</v>
          </cell>
          <cell r="AN241">
            <v>1955853024</v>
          </cell>
          <cell r="AO241">
            <v>1975201502</v>
          </cell>
          <cell r="AP241">
            <v>1994262421</v>
          </cell>
          <cell r="AQ241">
            <v>2012567157</v>
          </cell>
          <cell r="AR241">
            <v>2029606212</v>
          </cell>
          <cell r="AS241">
            <v>2045117456</v>
          </cell>
          <cell r="AT241">
            <v>2059865510</v>
          </cell>
          <cell r="AU241">
            <v>2073728615</v>
          </cell>
          <cell r="AV241">
            <v>2087283920</v>
          </cell>
          <cell r="AW241">
            <v>2100722053</v>
          </cell>
          <cell r="AX241">
            <v>2114284047</v>
          </cell>
          <cell r="AY241">
            <v>2127728043</v>
          </cell>
          <cell r="AZ241">
            <v>2140885484</v>
          </cell>
          <cell r="BA241">
            <v>2154327657</v>
          </cell>
          <cell r="BB241">
            <v>2167824335</v>
          </cell>
          <cell r="BC241">
            <v>2180813069</v>
          </cell>
          <cell r="BD241">
            <v>2194720542</v>
          </cell>
          <cell r="BE241">
            <v>2210411890</v>
          </cell>
          <cell r="BF241">
            <v>2226143139</v>
          </cell>
          <cell r="BG241">
            <v>2241445370</v>
          </cell>
          <cell r="BH241">
            <v>2256036257</v>
          </cell>
          <cell r="BI241">
            <v>2270527108</v>
          </cell>
          <cell r="BJ241">
            <v>2285348589</v>
          </cell>
          <cell r="BK241">
            <v>2297874675</v>
          </cell>
          <cell r="BL241">
            <v>2308520883</v>
          </cell>
          <cell r="BM241">
            <v>2316679176</v>
          </cell>
          <cell r="BN241">
            <v>2316679176</v>
          </cell>
        </row>
        <row r="242">
          <cell r="B242" t="str">
            <v>LCN</v>
          </cell>
          <cell r="C242" t="str">
            <v>Population, total</v>
          </cell>
          <cell r="D242" t="str">
            <v>SP.POP.TOTL</v>
          </cell>
          <cell r="E242">
            <v>219828794</v>
          </cell>
          <cell r="F242">
            <v>225912719</v>
          </cell>
          <cell r="G242">
            <v>232183258</v>
          </cell>
          <cell r="H242">
            <v>238612680</v>
          </cell>
          <cell r="I242">
            <v>245147710</v>
          </cell>
          <cell r="J242">
            <v>251760583</v>
          </cell>
          <cell r="K242">
            <v>258440584</v>
          </cell>
          <cell r="L242">
            <v>265187879</v>
          </cell>
          <cell r="M242">
            <v>272006857</v>
          </cell>
          <cell r="N242">
            <v>278898334</v>
          </cell>
          <cell r="O242">
            <v>285867424</v>
          </cell>
          <cell r="P242">
            <v>292913867</v>
          </cell>
          <cell r="Q242">
            <v>300028905</v>
          </cell>
          <cell r="R242">
            <v>307224818</v>
          </cell>
          <cell r="S242">
            <v>314508488</v>
          </cell>
          <cell r="T242">
            <v>321883714</v>
          </cell>
          <cell r="U242">
            <v>329348136</v>
          </cell>
          <cell r="V242">
            <v>336897935</v>
          </cell>
          <cell r="W242">
            <v>344553109</v>
          </cell>
          <cell r="X242">
            <v>352320721</v>
          </cell>
          <cell r="Y242">
            <v>360211832</v>
          </cell>
          <cell r="Z242">
            <v>368220724</v>
          </cell>
          <cell r="AA242">
            <v>376337306</v>
          </cell>
          <cell r="AB242">
            <v>384527729</v>
          </cell>
          <cell r="AC242">
            <v>392750803</v>
          </cell>
          <cell r="AD242">
            <v>400974913</v>
          </cell>
          <cell r="AE242">
            <v>409183996</v>
          </cell>
          <cell r="AF242">
            <v>417376183</v>
          </cell>
          <cell r="AG242">
            <v>425549887</v>
          </cell>
          <cell r="AH242">
            <v>433708712</v>
          </cell>
          <cell r="AI242">
            <v>441855797</v>
          </cell>
          <cell r="AJ242">
            <v>449968703</v>
          </cell>
          <cell r="AK242">
            <v>458041493</v>
          </cell>
          <cell r="AL242">
            <v>466082322</v>
          </cell>
          <cell r="AM242">
            <v>474089591</v>
          </cell>
          <cell r="AN242">
            <v>482060085</v>
          </cell>
          <cell r="AO242">
            <v>490002410</v>
          </cell>
          <cell r="AP242">
            <v>497889881</v>
          </cell>
          <cell r="AQ242">
            <v>505687097</v>
          </cell>
          <cell r="AR242">
            <v>513366691</v>
          </cell>
          <cell r="AS242">
            <v>520903474</v>
          </cell>
          <cell r="AT242">
            <v>528283130</v>
          </cell>
          <cell r="AU242">
            <v>535509387</v>
          </cell>
          <cell r="AV242">
            <v>542599527</v>
          </cell>
          <cell r="AW242">
            <v>549590680</v>
          </cell>
          <cell r="AX242">
            <v>556504216</v>
          </cell>
          <cell r="AY242">
            <v>563337657</v>
          </cell>
          <cell r="AZ242">
            <v>570091479</v>
          </cell>
          <cell r="BA242">
            <v>576783743</v>
          </cell>
          <cell r="BB242">
            <v>583430021</v>
          </cell>
          <cell r="BC242">
            <v>589932530</v>
          </cell>
          <cell r="BD242">
            <v>596538052</v>
          </cell>
          <cell r="BE242">
            <v>603094656</v>
          </cell>
          <cell r="BF242">
            <v>609595811</v>
          </cell>
          <cell r="BG242">
            <v>615999056</v>
          </cell>
          <cell r="BH242">
            <v>622301041</v>
          </cell>
          <cell r="BI242">
            <v>628493594</v>
          </cell>
          <cell r="BJ242">
            <v>634566052</v>
          </cell>
          <cell r="BK242">
            <v>640483586</v>
          </cell>
          <cell r="BL242">
            <v>646430786</v>
          </cell>
          <cell r="BM242">
            <v>652276325</v>
          </cell>
          <cell r="BN242">
            <v>652276325</v>
          </cell>
        </row>
        <row r="243">
          <cell r="B243" t="str">
            <v>LAC</v>
          </cell>
          <cell r="C243" t="str">
            <v>Population, total</v>
          </cell>
          <cell r="D243" t="str">
            <v>SP.POP.TOTL</v>
          </cell>
          <cell r="E243">
            <v>197123485</v>
          </cell>
          <cell r="F243">
            <v>202635411</v>
          </cell>
          <cell r="G243">
            <v>208319980</v>
          </cell>
          <cell r="H243">
            <v>214152054</v>
          </cell>
          <cell r="I243">
            <v>220096687</v>
          </cell>
          <cell r="J243">
            <v>226126959</v>
          </cell>
          <cell r="K243">
            <v>232233929</v>
          </cell>
          <cell r="L243">
            <v>238418074</v>
          </cell>
          <cell r="M243">
            <v>244674060</v>
          </cell>
          <cell r="N243">
            <v>250999444</v>
          </cell>
          <cell r="O243">
            <v>257392749</v>
          </cell>
          <cell r="P243">
            <v>263849485</v>
          </cell>
          <cell r="Q243">
            <v>270368419</v>
          </cell>
          <cell r="R243">
            <v>276956213</v>
          </cell>
          <cell r="S243">
            <v>283622634</v>
          </cell>
          <cell r="T243">
            <v>290374325</v>
          </cell>
          <cell r="U243">
            <v>297207329</v>
          </cell>
          <cell r="V243">
            <v>304120290</v>
          </cell>
          <cell r="W243">
            <v>311125944</v>
          </cell>
          <cell r="X243">
            <v>318240296</v>
          </cell>
          <cell r="Y243">
            <v>325470475</v>
          </cell>
          <cell r="Z243">
            <v>332819629</v>
          </cell>
          <cell r="AA243">
            <v>340272476</v>
          </cell>
          <cell r="AB243">
            <v>347792200</v>
          </cell>
          <cell r="AC243">
            <v>355331567</v>
          </cell>
          <cell r="AD243">
            <v>362854776</v>
          </cell>
          <cell r="AE243">
            <v>370346031</v>
          </cell>
          <cell r="AF243">
            <v>377806267</v>
          </cell>
          <cell r="AG243">
            <v>385236744</v>
          </cell>
          <cell r="AH243">
            <v>392644850</v>
          </cell>
          <cell r="AI243">
            <v>400034081</v>
          </cell>
          <cell r="AJ243">
            <v>407394108</v>
          </cell>
          <cell r="AK243">
            <v>414713589</v>
          </cell>
          <cell r="AL243">
            <v>421995092</v>
          </cell>
          <cell r="AM243">
            <v>429246145</v>
          </cell>
          <cell r="AN243">
            <v>436470219</v>
          </cell>
          <cell r="AO243">
            <v>443669730</v>
          </cell>
          <cell r="AP243">
            <v>450833590</v>
          </cell>
          <cell r="AQ243">
            <v>457935268</v>
          </cell>
          <cell r="AR243">
            <v>464933468</v>
          </cell>
          <cell r="AS243">
            <v>471805920</v>
          </cell>
          <cell r="AT243">
            <v>478530627</v>
          </cell>
          <cell r="AU243">
            <v>485108963</v>
          </cell>
          <cell r="AV243">
            <v>491558169</v>
          </cell>
          <cell r="AW243">
            <v>497915775</v>
          </cell>
          <cell r="AX243">
            <v>504205968</v>
          </cell>
          <cell r="AY243">
            <v>510437972</v>
          </cell>
          <cell r="AZ243">
            <v>516611312</v>
          </cell>
          <cell r="BA243">
            <v>522729313</v>
          </cell>
          <cell r="BB243">
            <v>528793175</v>
          </cell>
          <cell r="BC243">
            <v>534699518</v>
          </cell>
          <cell r="BD243">
            <v>540699864</v>
          </cell>
          <cell r="BE243">
            <v>546631449</v>
          </cell>
          <cell r="BF243">
            <v>552552130</v>
          </cell>
          <cell r="BG243">
            <v>558534202</v>
          </cell>
          <cell r="BH243">
            <v>564618410</v>
          </cell>
          <cell r="BI243">
            <v>570838477</v>
          </cell>
          <cell r="BJ243">
            <v>577151682</v>
          </cell>
          <cell r="BK243">
            <v>583432088</v>
          </cell>
          <cell r="BL243">
            <v>589503742</v>
          </cell>
          <cell r="BM243">
            <v>595242966</v>
          </cell>
          <cell r="BN243">
            <v>595242966</v>
          </cell>
        </row>
        <row r="244">
          <cell r="B244" t="str">
            <v>TLA</v>
          </cell>
          <cell r="C244" t="str">
            <v>Population, total</v>
          </cell>
          <cell r="D244" t="str">
            <v>SP.POP.TOTL</v>
          </cell>
          <cell r="E244">
            <v>209749023</v>
          </cell>
          <cell r="F244">
            <v>215629972</v>
          </cell>
          <cell r="G244">
            <v>221676249</v>
          </cell>
          <cell r="H244">
            <v>227866079</v>
          </cell>
          <cell r="I244">
            <v>234169957</v>
          </cell>
          <cell r="J244">
            <v>240564863</v>
          </cell>
          <cell r="K244">
            <v>247044234</v>
          </cell>
          <cell r="L244">
            <v>253607485</v>
          </cell>
          <cell r="M244">
            <v>260246118</v>
          </cell>
          <cell r="N244">
            <v>266952916</v>
          </cell>
          <cell r="O244">
            <v>273723962</v>
          </cell>
          <cell r="P244">
            <v>280552945</v>
          </cell>
          <cell r="Q244">
            <v>287442489</v>
          </cell>
          <cell r="R244">
            <v>294409011</v>
          </cell>
          <cell r="S244">
            <v>301475452</v>
          </cell>
          <cell r="T244">
            <v>308657753</v>
          </cell>
          <cell r="U244">
            <v>315955197</v>
          </cell>
          <cell r="V244">
            <v>323363576</v>
          </cell>
          <cell r="W244">
            <v>330890816</v>
          </cell>
          <cell r="X244">
            <v>338545320</v>
          </cell>
          <cell r="Y244">
            <v>346328178</v>
          </cell>
          <cell r="Z244">
            <v>354241995</v>
          </cell>
          <cell r="AA244">
            <v>362272025</v>
          </cell>
          <cell r="AB244">
            <v>370377355</v>
          </cell>
          <cell r="AC244">
            <v>378506071</v>
          </cell>
          <cell r="AD244">
            <v>386619091</v>
          </cell>
          <cell r="AE244">
            <v>394697236</v>
          </cell>
          <cell r="AF244">
            <v>402742139</v>
          </cell>
          <cell r="AG244">
            <v>410761042</v>
          </cell>
          <cell r="AH244">
            <v>418769937</v>
          </cell>
          <cell r="AI244">
            <v>426777889</v>
          </cell>
          <cell r="AJ244">
            <v>434776652</v>
          </cell>
          <cell r="AK244">
            <v>442751009</v>
          </cell>
          <cell r="AL244">
            <v>450695871</v>
          </cell>
          <cell r="AM244">
            <v>458608078</v>
          </cell>
          <cell r="AN244">
            <v>466483148</v>
          </cell>
          <cell r="AO244">
            <v>474321040</v>
          </cell>
          <cell r="AP244">
            <v>482112390</v>
          </cell>
          <cell r="AQ244">
            <v>489832061</v>
          </cell>
          <cell r="AR244">
            <v>497441659</v>
          </cell>
          <cell r="AS244">
            <v>504921279</v>
          </cell>
          <cell r="AT244">
            <v>512247446</v>
          </cell>
          <cell r="AU244">
            <v>519420841</v>
          </cell>
          <cell r="AV244">
            <v>526462542</v>
          </cell>
          <cell r="AW244">
            <v>533415243</v>
          </cell>
          <cell r="AX244">
            <v>540306150</v>
          </cell>
          <cell r="AY244">
            <v>547139431</v>
          </cell>
          <cell r="AZ244">
            <v>553909998</v>
          </cell>
          <cell r="BA244">
            <v>560624662</v>
          </cell>
          <cell r="BB244">
            <v>567289597</v>
          </cell>
          <cell r="BC244">
            <v>573800616</v>
          </cell>
          <cell r="BD244">
            <v>580428448</v>
          </cell>
          <cell r="BE244">
            <v>586999600</v>
          </cell>
          <cell r="BF244">
            <v>593506947</v>
          </cell>
          <cell r="BG244">
            <v>599935349</v>
          </cell>
          <cell r="BH244">
            <v>606271936</v>
          </cell>
          <cell r="BI244">
            <v>612511541</v>
          </cell>
          <cell r="BJ244">
            <v>618653508</v>
          </cell>
          <cell r="BK244">
            <v>624698076</v>
          </cell>
          <cell r="BL244">
            <v>630644771</v>
          </cell>
          <cell r="BM244">
            <v>636492840</v>
          </cell>
          <cell r="BN244">
            <v>636492840</v>
          </cell>
        </row>
        <row r="245">
          <cell r="B245" t="str">
            <v>LDC</v>
          </cell>
          <cell r="C245" t="str">
            <v>Population, total</v>
          </cell>
          <cell r="D245" t="str">
            <v>SP.POP.TOTL</v>
          </cell>
          <cell r="E245">
            <v>240518397</v>
          </cell>
          <cell r="F245">
            <v>246113624</v>
          </cell>
          <cell r="G245">
            <v>251900655</v>
          </cell>
          <cell r="H245">
            <v>257908038</v>
          </cell>
          <cell r="I245">
            <v>264174076</v>
          </cell>
          <cell r="J245">
            <v>270720935</v>
          </cell>
          <cell r="K245">
            <v>277573103</v>
          </cell>
          <cell r="L245">
            <v>284708606</v>
          </cell>
          <cell r="M245">
            <v>292046003</v>
          </cell>
          <cell r="N245">
            <v>299473694</v>
          </cell>
          <cell r="O245">
            <v>306916898</v>
          </cell>
          <cell r="P245">
            <v>314345051</v>
          </cell>
          <cell r="Q245">
            <v>321797948</v>
          </cell>
          <cell r="R245">
            <v>329357734</v>
          </cell>
          <cell r="S245">
            <v>337142875</v>
          </cell>
          <cell r="T245">
            <v>345242741</v>
          </cell>
          <cell r="U245">
            <v>353691447</v>
          </cell>
          <cell r="V245">
            <v>362475157</v>
          </cell>
          <cell r="W245">
            <v>371577357</v>
          </cell>
          <cell r="X245">
            <v>380963357</v>
          </cell>
          <cell r="Y245">
            <v>390612544</v>
          </cell>
          <cell r="Z245">
            <v>400528973</v>
          </cell>
          <cell r="AA245">
            <v>410740623</v>
          </cell>
          <cell r="AB245">
            <v>421279177</v>
          </cell>
          <cell r="AC245">
            <v>432185306</v>
          </cell>
          <cell r="AD245">
            <v>443491299</v>
          </cell>
          <cell r="AE245">
            <v>455193679</v>
          </cell>
          <cell r="AF245">
            <v>467290486</v>
          </cell>
          <cell r="AG245">
            <v>479814027</v>
          </cell>
          <cell r="AH245">
            <v>492803041</v>
          </cell>
          <cell r="AI245">
            <v>506275626</v>
          </cell>
          <cell r="AJ245">
            <v>520262436</v>
          </cell>
          <cell r="AK245">
            <v>534731004</v>
          </cell>
          <cell r="AL245">
            <v>549559275</v>
          </cell>
          <cell r="AM245">
            <v>564581120</v>
          </cell>
          <cell r="AN245">
            <v>579681702</v>
          </cell>
          <cell r="AO245">
            <v>594801271</v>
          </cell>
          <cell r="AP245">
            <v>609983284</v>
          </cell>
          <cell r="AQ245">
            <v>625342129</v>
          </cell>
          <cell r="AR245">
            <v>641046832</v>
          </cell>
          <cell r="AS245">
            <v>657215854</v>
          </cell>
          <cell r="AT245">
            <v>673903088</v>
          </cell>
          <cell r="AU245">
            <v>691061433</v>
          </cell>
          <cell r="AV245">
            <v>708587940</v>
          </cell>
          <cell r="AW245">
            <v>726331171</v>
          </cell>
          <cell r="AX245">
            <v>744190509</v>
          </cell>
          <cell r="AY245">
            <v>762132501</v>
          </cell>
          <cell r="AZ245">
            <v>780219573</v>
          </cell>
          <cell r="BA245">
            <v>798563425</v>
          </cell>
          <cell r="BB245">
            <v>817322615</v>
          </cell>
          <cell r="BC245">
            <v>836614841</v>
          </cell>
          <cell r="BD245">
            <v>856471437</v>
          </cell>
          <cell r="BE245">
            <v>876867234</v>
          </cell>
          <cell r="BF245">
            <v>897793439</v>
          </cell>
          <cell r="BG245">
            <v>919222955</v>
          </cell>
          <cell r="BH245">
            <v>941131317</v>
          </cell>
          <cell r="BI245">
            <v>963519718</v>
          </cell>
          <cell r="BJ245">
            <v>986385402</v>
          </cell>
          <cell r="BK245">
            <v>1009691252</v>
          </cell>
          <cell r="BL245">
            <v>1033388868</v>
          </cell>
          <cell r="BM245">
            <v>1057438163</v>
          </cell>
          <cell r="BN245">
            <v>1057438163</v>
          </cell>
        </row>
        <row r="246">
          <cell r="B246" t="str">
            <v>LMY</v>
          </cell>
          <cell r="C246" t="str">
            <v>Population, total</v>
          </cell>
          <cell r="D246" t="str">
            <v>SP.POP.TOTL</v>
          </cell>
          <cell r="E246">
            <v>2264230620</v>
          </cell>
          <cell r="F246">
            <v>2293657434</v>
          </cell>
          <cell r="G246">
            <v>2336352877</v>
          </cell>
          <cell r="H246">
            <v>2391244202</v>
          </cell>
          <cell r="I246">
            <v>2446616794</v>
          </cell>
          <cell r="J246">
            <v>2503757914</v>
          </cell>
          <cell r="K246">
            <v>2564648351</v>
          </cell>
          <cell r="L246">
            <v>2625561008</v>
          </cell>
          <cell r="M246">
            <v>2688185221</v>
          </cell>
          <cell r="N246">
            <v>2753244603</v>
          </cell>
          <cell r="O246">
            <v>2820016062</v>
          </cell>
          <cell r="P246">
            <v>2888210757</v>
          </cell>
          <cell r="Q246">
            <v>2955489373</v>
          </cell>
          <cell r="R246">
            <v>3022725529</v>
          </cell>
          <cell r="S246">
            <v>3089529348</v>
          </cell>
          <cell r="T246">
            <v>3155089855</v>
          </cell>
          <cell r="U246">
            <v>3220127983</v>
          </cell>
          <cell r="V246">
            <v>3284682193</v>
          </cell>
          <cell r="W246">
            <v>3350362852</v>
          </cell>
          <cell r="X246">
            <v>3417557084</v>
          </cell>
          <cell r="Y246">
            <v>3485705709</v>
          </cell>
          <cell r="Z246">
            <v>3555885098</v>
          </cell>
          <cell r="AA246">
            <v>3629464839</v>
          </cell>
          <cell r="AB246">
            <v>3704198772</v>
          </cell>
          <cell r="AC246">
            <v>3779008675</v>
          </cell>
          <cell r="AD246">
            <v>3855293544</v>
          </cell>
          <cell r="AE246">
            <v>3933787633</v>
          </cell>
          <cell r="AF246">
            <v>4014448614</v>
          </cell>
          <cell r="AG246">
            <v>4095886112</v>
          </cell>
          <cell r="AH246">
            <v>4176844232</v>
          </cell>
          <cell r="AI246">
            <v>4258752368</v>
          </cell>
          <cell r="AJ246">
            <v>4337877425</v>
          </cell>
          <cell r="AK246">
            <v>4415505670</v>
          </cell>
          <cell r="AL246">
            <v>4492317295</v>
          </cell>
          <cell r="AM246">
            <v>4568575059</v>
          </cell>
          <cell r="AN246">
            <v>4644102872</v>
          </cell>
          <cell r="AO246">
            <v>4719450586</v>
          </cell>
          <cell r="AP246">
            <v>4794699053</v>
          </cell>
          <cell r="AQ246">
            <v>4869213942</v>
          </cell>
          <cell r="AR246">
            <v>4942547019</v>
          </cell>
          <cell r="AS246">
            <v>5015312017</v>
          </cell>
          <cell r="AT246">
            <v>5087207752</v>
          </cell>
          <cell r="AU246">
            <v>5158587426</v>
          </cell>
          <cell r="AV246">
            <v>5230138001</v>
          </cell>
          <cell r="AW246">
            <v>5301837009</v>
          </cell>
          <cell r="AX246">
            <v>5373869102</v>
          </cell>
          <cell r="AY246">
            <v>5446020814</v>
          </cell>
          <cell r="AZ246">
            <v>5518223279</v>
          </cell>
          <cell r="BA246">
            <v>5591196860</v>
          </cell>
          <cell r="BB246">
            <v>5664911254</v>
          </cell>
          <cell r="BC246">
            <v>5739220120</v>
          </cell>
          <cell r="BD246">
            <v>5815230217</v>
          </cell>
          <cell r="BE246">
            <v>5893427777</v>
          </cell>
          <cell r="BF246">
            <v>5972367480</v>
          </cell>
          <cell r="BG246">
            <v>6051379799</v>
          </cell>
          <cell r="BH246">
            <v>6130279781</v>
          </cell>
          <cell r="BI246">
            <v>6209526269</v>
          </cell>
          <cell r="BJ246">
            <v>6289507340</v>
          </cell>
          <cell r="BK246">
            <v>6367625423</v>
          </cell>
          <cell r="BL246">
            <v>6444060654</v>
          </cell>
          <cell r="BM246">
            <v>6518253973</v>
          </cell>
          <cell r="BN246">
            <v>6518253973</v>
          </cell>
        </row>
        <row r="247">
          <cell r="B247" t="str">
            <v>LIC</v>
          </cell>
          <cell r="C247" t="str">
            <v>Population, total</v>
          </cell>
          <cell r="D247" t="str">
            <v>SP.POP.TOTL</v>
          </cell>
          <cell r="E247">
            <v>137782356</v>
          </cell>
          <cell r="F247">
            <v>140848427</v>
          </cell>
          <cell r="G247">
            <v>143991035</v>
          </cell>
          <cell r="H247">
            <v>147246689</v>
          </cell>
          <cell r="I247">
            <v>150668279</v>
          </cell>
          <cell r="J247">
            <v>154292515</v>
          </cell>
          <cell r="K247">
            <v>158131724</v>
          </cell>
          <cell r="L247">
            <v>162169520</v>
          </cell>
          <cell r="M247">
            <v>166378127</v>
          </cell>
          <cell r="N247">
            <v>170716523</v>
          </cell>
          <cell r="O247">
            <v>175154298</v>
          </cell>
          <cell r="P247">
            <v>179681941</v>
          </cell>
          <cell r="Q247">
            <v>184306845</v>
          </cell>
          <cell r="R247">
            <v>189035415</v>
          </cell>
          <cell r="S247">
            <v>193880021</v>
          </cell>
          <cell r="T247">
            <v>198849250</v>
          </cell>
          <cell r="U247">
            <v>203955515</v>
          </cell>
          <cell r="V247">
            <v>209195581</v>
          </cell>
          <cell r="W247">
            <v>214544342</v>
          </cell>
          <cell r="X247">
            <v>219966776</v>
          </cell>
          <cell r="Y247">
            <v>225445124</v>
          </cell>
          <cell r="Z247">
            <v>230976727</v>
          </cell>
          <cell r="AA247">
            <v>236593189</v>
          </cell>
          <cell r="AB247">
            <v>242355131</v>
          </cell>
          <cell r="AC247">
            <v>248343146</v>
          </cell>
          <cell r="AD247">
            <v>254622410</v>
          </cell>
          <cell r="AE247">
            <v>261201749</v>
          </cell>
          <cell r="AF247">
            <v>268084615</v>
          </cell>
          <cell r="AG247">
            <v>275322077</v>
          </cell>
          <cell r="AH247">
            <v>282972202</v>
          </cell>
          <cell r="AI247">
            <v>291068697</v>
          </cell>
          <cell r="AJ247">
            <v>299656373</v>
          </cell>
          <cell r="AK247">
            <v>308709029</v>
          </cell>
          <cell r="AL247">
            <v>318101755</v>
          </cell>
          <cell r="AM247">
            <v>327660123</v>
          </cell>
          <cell r="AN247">
            <v>337265010</v>
          </cell>
          <cell r="AO247">
            <v>346863261</v>
          </cell>
          <cell r="AP247">
            <v>356508832</v>
          </cell>
          <cell r="AQ247">
            <v>366320517</v>
          </cell>
          <cell r="AR247">
            <v>376471932</v>
          </cell>
          <cell r="AS247">
            <v>387088076</v>
          </cell>
          <cell r="AT247">
            <v>398196096</v>
          </cell>
          <cell r="AU247">
            <v>409752737</v>
          </cell>
          <cell r="AV247">
            <v>421725011</v>
          </cell>
          <cell r="AW247">
            <v>434055590</v>
          </cell>
          <cell r="AX247">
            <v>446695034</v>
          </cell>
          <cell r="AY247">
            <v>459659653</v>
          </cell>
          <cell r="AZ247">
            <v>472947450</v>
          </cell>
          <cell r="BA247">
            <v>486468200</v>
          </cell>
          <cell r="BB247">
            <v>500104939</v>
          </cell>
          <cell r="BC247">
            <v>513783318</v>
          </cell>
          <cell r="BD247">
            <v>527467149</v>
          </cell>
          <cell r="BE247">
            <v>541205688</v>
          </cell>
          <cell r="BF247">
            <v>555116804</v>
          </cell>
          <cell r="BG247">
            <v>569367413</v>
          </cell>
          <cell r="BH247">
            <v>584084928</v>
          </cell>
          <cell r="BI247">
            <v>599290280</v>
          </cell>
          <cell r="BJ247">
            <v>614965124</v>
          </cell>
          <cell r="BK247">
            <v>631147232</v>
          </cell>
          <cell r="BL247">
            <v>647870823</v>
          </cell>
          <cell r="BM247">
            <v>665149035</v>
          </cell>
          <cell r="BN247">
            <v>665149035</v>
          </cell>
        </row>
        <row r="248">
          <cell r="B248" t="str">
            <v>LMC</v>
          </cell>
          <cell r="C248" t="str">
            <v>Population, total</v>
          </cell>
          <cell r="D248" t="str">
            <v>SP.POP.TOTL</v>
          </cell>
          <cell r="E248">
            <v>989984004</v>
          </cell>
          <cell r="F248">
            <v>1012695283</v>
          </cell>
          <cell r="G248">
            <v>1036174880</v>
          </cell>
          <cell r="H248">
            <v>1060393357</v>
          </cell>
          <cell r="I248">
            <v>1085299211</v>
          </cell>
          <cell r="J248">
            <v>1110852757</v>
          </cell>
          <cell r="K248">
            <v>1137057458</v>
          </cell>
          <cell r="L248">
            <v>1163922580</v>
          </cell>
          <cell r="M248">
            <v>1191458095</v>
          </cell>
          <cell r="N248">
            <v>1219673698</v>
          </cell>
          <cell r="O248">
            <v>1248583279</v>
          </cell>
          <cell r="P248">
            <v>1278208964</v>
          </cell>
          <cell r="Q248">
            <v>1308581612</v>
          </cell>
          <cell r="R248">
            <v>1339744791</v>
          </cell>
          <cell r="S248">
            <v>1371761160</v>
          </cell>
          <cell r="T248">
            <v>1404677295</v>
          </cell>
          <cell r="U248">
            <v>1438471529</v>
          </cell>
          <cell r="V248">
            <v>1473161514</v>
          </cell>
          <cell r="W248">
            <v>1508876331</v>
          </cell>
          <cell r="X248">
            <v>1545785670</v>
          </cell>
          <cell r="Y248">
            <v>1583984211</v>
          </cell>
          <cell r="Z248">
            <v>1623540865</v>
          </cell>
          <cell r="AA248">
            <v>1664223803</v>
          </cell>
          <cell r="AB248">
            <v>1705941229</v>
          </cell>
          <cell r="AC248">
            <v>1748404026</v>
          </cell>
          <cell r="AD248">
            <v>1791342151</v>
          </cell>
          <cell r="AE248">
            <v>1834732208</v>
          </cell>
          <cell r="AF248">
            <v>1878529520</v>
          </cell>
          <cell r="AG248">
            <v>1922581048</v>
          </cell>
          <cell r="AH248">
            <v>1966720233</v>
          </cell>
          <cell r="AI248">
            <v>2012725416</v>
          </cell>
          <cell r="AJ248">
            <v>2056479735</v>
          </cell>
          <cell r="AK248">
            <v>2100111594</v>
          </cell>
          <cell r="AL248">
            <v>2143451976</v>
          </cell>
          <cell r="AM248">
            <v>2186469992</v>
          </cell>
          <cell r="AN248">
            <v>2229481699</v>
          </cell>
          <cell r="AO248">
            <v>2272648448</v>
          </cell>
          <cell r="AP248">
            <v>2315905969</v>
          </cell>
          <cell r="AQ248">
            <v>2359112024</v>
          </cell>
          <cell r="AR248">
            <v>2402132069</v>
          </cell>
          <cell r="AS248">
            <v>2445096607</v>
          </cell>
          <cell r="AT248">
            <v>2487900839</v>
          </cell>
          <cell r="AU248">
            <v>2530679514</v>
          </cell>
          <cell r="AV248">
            <v>2573512638</v>
          </cell>
          <cell r="AW248">
            <v>2616457516</v>
          </cell>
          <cell r="AX248">
            <v>2659559236</v>
          </cell>
          <cell r="AY248">
            <v>2702862046</v>
          </cell>
          <cell r="AZ248">
            <v>2746406133</v>
          </cell>
          <cell r="BA248">
            <v>2790205950</v>
          </cell>
          <cell r="BB248">
            <v>2834272715</v>
          </cell>
          <cell r="BC248">
            <v>2878875404</v>
          </cell>
          <cell r="BD248">
            <v>2923659939</v>
          </cell>
          <cell r="BE248">
            <v>2968243908</v>
          </cell>
          <cell r="BF248">
            <v>3013187396</v>
          </cell>
          <cell r="BG248">
            <v>3058248975</v>
          </cell>
          <cell r="BH248">
            <v>3103569257</v>
          </cell>
          <cell r="BI248">
            <v>3149022555</v>
          </cell>
          <cell r="BJ248">
            <v>3194517542</v>
          </cell>
          <cell r="BK248">
            <v>3240031866</v>
          </cell>
          <cell r="BL248">
            <v>3285416867</v>
          </cell>
          <cell r="BM248">
            <v>3330652547</v>
          </cell>
          <cell r="BN248">
            <v>3330652547</v>
          </cell>
        </row>
        <row r="249">
          <cell r="B249" t="str">
            <v>MEA</v>
          </cell>
          <cell r="C249" t="str">
            <v>Population, total</v>
          </cell>
          <cell r="D249" t="str">
            <v>SP.POP.TOTL</v>
          </cell>
          <cell r="E249">
            <v>105203230</v>
          </cell>
          <cell r="F249">
            <v>108061826</v>
          </cell>
          <cell r="G249">
            <v>111045418</v>
          </cell>
          <cell r="H249">
            <v>114101578</v>
          </cell>
          <cell r="I249">
            <v>117271192</v>
          </cell>
          <cell r="J249">
            <v>120541198</v>
          </cell>
          <cell r="K249">
            <v>123908187</v>
          </cell>
          <cell r="L249">
            <v>127444919</v>
          </cell>
          <cell r="M249">
            <v>131026902</v>
          </cell>
          <cell r="N249">
            <v>134704201</v>
          </cell>
          <cell r="O249">
            <v>138473057</v>
          </cell>
          <cell r="P249">
            <v>142307871</v>
          </cell>
          <cell r="Q249">
            <v>146213398</v>
          </cell>
          <cell r="R249">
            <v>150292311</v>
          </cell>
          <cell r="S249">
            <v>154509840</v>
          </cell>
          <cell r="T249">
            <v>158917282</v>
          </cell>
          <cell r="U249">
            <v>163532333</v>
          </cell>
          <cell r="V249">
            <v>168361040</v>
          </cell>
          <cell r="W249">
            <v>173447050</v>
          </cell>
          <cell r="X249">
            <v>178866336</v>
          </cell>
          <cell r="Y249">
            <v>184628581</v>
          </cell>
          <cell r="Z249">
            <v>190731389</v>
          </cell>
          <cell r="AA249">
            <v>197157155</v>
          </cell>
          <cell r="AB249">
            <v>203834175</v>
          </cell>
          <cell r="AC249">
            <v>210648804</v>
          </cell>
          <cell r="AD249">
            <v>217572797</v>
          </cell>
          <cell r="AE249">
            <v>224549836</v>
          </cell>
          <cell r="AF249">
            <v>231570125</v>
          </cell>
          <cell r="AG249">
            <v>238565130</v>
          </cell>
          <cell r="AH249">
            <v>245453236</v>
          </cell>
          <cell r="AI249">
            <v>254215127</v>
          </cell>
          <cell r="AJ249">
            <v>261046286</v>
          </cell>
          <cell r="AK249">
            <v>265656639</v>
          </cell>
          <cell r="AL249">
            <v>272107854</v>
          </cell>
          <cell r="AM249">
            <v>278384977</v>
          </cell>
          <cell r="AN249">
            <v>286096967</v>
          </cell>
          <cell r="AO249">
            <v>292041169</v>
          </cell>
          <cell r="AP249">
            <v>297891711</v>
          </cell>
          <cell r="AQ249">
            <v>303641719</v>
          </cell>
          <cell r="AR249">
            <v>309436718</v>
          </cell>
          <cell r="AS249">
            <v>315326781</v>
          </cell>
          <cell r="AT249">
            <v>321297196</v>
          </cell>
          <cell r="AU249">
            <v>327362274</v>
          </cell>
          <cell r="AV249">
            <v>333608806</v>
          </cell>
          <cell r="AW249">
            <v>340143477</v>
          </cell>
          <cell r="AX249">
            <v>347029862</v>
          </cell>
          <cell r="AY249">
            <v>354302465</v>
          </cell>
          <cell r="AZ249">
            <v>361929175</v>
          </cell>
          <cell r="BA249">
            <v>369823227</v>
          </cell>
          <cell r="BB249">
            <v>377883960</v>
          </cell>
          <cell r="BC249">
            <v>385917928</v>
          </cell>
          <cell r="BD249">
            <v>393942668</v>
          </cell>
          <cell r="BE249">
            <v>401968363</v>
          </cell>
          <cell r="BF249">
            <v>409968633</v>
          </cell>
          <cell r="BG249">
            <v>417924350</v>
          </cell>
          <cell r="BH249">
            <v>425821771</v>
          </cell>
          <cell r="BI249">
            <v>433616042</v>
          </cell>
          <cell r="BJ249">
            <v>441298977</v>
          </cell>
          <cell r="BK249">
            <v>448974232</v>
          </cell>
          <cell r="BL249">
            <v>456709496</v>
          </cell>
          <cell r="BM249">
            <v>464554123</v>
          </cell>
          <cell r="BN249">
            <v>464554123</v>
          </cell>
        </row>
        <row r="250">
          <cell r="B250" t="str">
            <v>MNA</v>
          </cell>
          <cell r="C250" t="str">
            <v>Population, total</v>
          </cell>
          <cell r="D250" t="str">
            <v>SP.POP.TOTL</v>
          </cell>
          <cell r="E250">
            <v>97553136</v>
          </cell>
          <cell r="F250">
            <v>100147125</v>
          </cell>
          <cell r="G250">
            <v>102808039</v>
          </cell>
          <cell r="H250">
            <v>105546241</v>
          </cell>
          <cell r="I250">
            <v>108376349</v>
          </cell>
          <cell r="J250">
            <v>111307810</v>
          </cell>
          <cell r="K250">
            <v>114351844</v>
          </cell>
          <cell r="L250">
            <v>117503838</v>
          </cell>
          <cell r="M250">
            <v>120739199</v>
          </cell>
          <cell r="N250">
            <v>124023275</v>
          </cell>
          <cell r="O250">
            <v>127335093</v>
          </cell>
          <cell r="P250">
            <v>130670746</v>
          </cell>
          <cell r="Q250">
            <v>134051048</v>
          </cell>
          <cell r="R250">
            <v>137511232</v>
          </cell>
          <cell r="S250">
            <v>141099598</v>
          </cell>
          <cell r="T250">
            <v>144855662</v>
          </cell>
          <cell r="U250">
            <v>148781943</v>
          </cell>
          <cell r="V250">
            <v>152881163</v>
          </cell>
          <cell r="W250">
            <v>157192250</v>
          </cell>
          <cell r="X250">
            <v>161761403</v>
          </cell>
          <cell r="Y250">
            <v>166616386</v>
          </cell>
          <cell r="Z250">
            <v>171766018</v>
          </cell>
          <cell r="AA250">
            <v>177185651</v>
          </cell>
          <cell r="AB250">
            <v>182825252</v>
          </cell>
          <cell r="AC250">
            <v>188614684</v>
          </cell>
          <cell r="AD250">
            <v>194494177</v>
          </cell>
          <cell r="AE250">
            <v>200443463</v>
          </cell>
          <cell r="AF250">
            <v>206447529</v>
          </cell>
          <cell r="AG250">
            <v>212456877</v>
          </cell>
          <cell r="AH250">
            <v>218415839</v>
          </cell>
          <cell r="AI250">
            <v>226259024</v>
          </cell>
          <cell r="AJ250">
            <v>232101413</v>
          </cell>
          <cell r="AK250">
            <v>237828686</v>
          </cell>
          <cell r="AL250">
            <v>243429317</v>
          </cell>
          <cell r="AM250">
            <v>248897278</v>
          </cell>
          <cell r="AN250">
            <v>254233340</v>
          </cell>
          <cell r="AO250">
            <v>259431598</v>
          </cell>
          <cell r="AP250">
            <v>264504158</v>
          </cell>
          <cell r="AQ250">
            <v>269440674</v>
          </cell>
          <cell r="AR250">
            <v>274350014</v>
          </cell>
          <cell r="AS250">
            <v>279279614</v>
          </cell>
          <cell r="AT250">
            <v>284249005</v>
          </cell>
          <cell r="AU250">
            <v>289264351</v>
          </cell>
          <cell r="AV250">
            <v>294343659</v>
          </cell>
          <cell r="AW250">
            <v>299502746</v>
          </cell>
          <cell r="AX250">
            <v>304755514</v>
          </cell>
          <cell r="AY250">
            <v>310109431</v>
          </cell>
          <cell r="AZ250">
            <v>315573363</v>
          </cell>
          <cell r="BA250">
            <v>321168746</v>
          </cell>
          <cell r="BB250">
            <v>326900966</v>
          </cell>
          <cell r="BC250">
            <v>332777842</v>
          </cell>
          <cell r="BD250">
            <v>338813060</v>
          </cell>
          <cell r="BE250">
            <v>344998428</v>
          </cell>
          <cell r="BF250">
            <v>351290405</v>
          </cell>
          <cell r="BG250">
            <v>357629838</v>
          </cell>
          <cell r="BH250">
            <v>363975556</v>
          </cell>
          <cell r="BI250">
            <v>370294017</v>
          </cell>
          <cell r="BJ250">
            <v>376588457</v>
          </cell>
          <cell r="BK250">
            <v>382955167</v>
          </cell>
          <cell r="BL250">
            <v>389457075</v>
          </cell>
          <cell r="BM250">
            <v>396147843</v>
          </cell>
          <cell r="BN250">
            <v>396147843</v>
          </cell>
        </row>
        <row r="251">
          <cell r="B251" t="str">
            <v>TMN</v>
          </cell>
          <cell r="C251" t="str">
            <v>Population, total</v>
          </cell>
          <cell r="D251" t="str">
            <v>SP.POP.TOTL</v>
          </cell>
          <cell r="E251">
            <v>97553136</v>
          </cell>
          <cell r="F251">
            <v>100147125</v>
          </cell>
          <cell r="G251">
            <v>102808039</v>
          </cell>
          <cell r="H251">
            <v>105546241</v>
          </cell>
          <cell r="I251">
            <v>108376349</v>
          </cell>
          <cell r="J251">
            <v>111307810</v>
          </cell>
          <cell r="K251">
            <v>114351844</v>
          </cell>
          <cell r="L251">
            <v>117503838</v>
          </cell>
          <cell r="M251">
            <v>120739199</v>
          </cell>
          <cell r="N251">
            <v>124023275</v>
          </cell>
          <cell r="O251">
            <v>127335093</v>
          </cell>
          <cell r="P251">
            <v>130670746</v>
          </cell>
          <cell r="Q251">
            <v>134051048</v>
          </cell>
          <cell r="R251">
            <v>137511232</v>
          </cell>
          <cell r="S251">
            <v>141099598</v>
          </cell>
          <cell r="T251">
            <v>144855662</v>
          </cell>
          <cell r="U251">
            <v>148781943</v>
          </cell>
          <cell r="V251">
            <v>152881163</v>
          </cell>
          <cell r="W251">
            <v>157192250</v>
          </cell>
          <cell r="X251">
            <v>161761403</v>
          </cell>
          <cell r="Y251">
            <v>166616386</v>
          </cell>
          <cell r="Z251">
            <v>171766018</v>
          </cell>
          <cell r="AA251">
            <v>177185651</v>
          </cell>
          <cell r="AB251">
            <v>182825252</v>
          </cell>
          <cell r="AC251">
            <v>188614684</v>
          </cell>
          <cell r="AD251">
            <v>194494177</v>
          </cell>
          <cell r="AE251">
            <v>200443463</v>
          </cell>
          <cell r="AF251">
            <v>206447529</v>
          </cell>
          <cell r="AG251">
            <v>212456877</v>
          </cell>
          <cell r="AH251">
            <v>218415839</v>
          </cell>
          <cell r="AI251">
            <v>224280776</v>
          </cell>
          <cell r="AJ251">
            <v>230032568</v>
          </cell>
          <cell r="AK251">
            <v>235665095</v>
          </cell>
          <cell r="AL251">
            <v>241166641</v>
          </cell>
          <cell r="AM251">
            <v>246530980</v>
          </cell>
          <cell r="AN251">
            <v>251758674</v>
          </cell>
          <cell r="AO251">
            <v>256843601</v>
          </cell>
          <cell r="AP251">
            <v>261797640</v>
          </cell>
          <cell r="AQ251">
            <v>266664106</v>
          </cell>
          <cell r="AR251">
            <v>271501583</v>
          </cell>
          <cell r="AS251">
            <v>276357461</v>
          </cell>
          <cell r="AT251">
            <v>281251221</v>
          </cell>
          <cell r="AU251">
            <v>286188978</v>
          </cell>
          <cell r="AV251">
            <v>291188690</v>
          </cell>
          <cell r="AW251">
            <v>296266120</v>
          </cell>
          <cell r="AX251">
            <v>301435118</v>
          </cell>
          <cell r="AY251">
            <v>306703097</v>
          </cell>
          <cell r="AZ251">
            <v>312078867</v>
          </cell>
          <cell r="BA251">
            <v>317576769</v>
          </cell>
          <cell r="BB251">
            <v>323211867</v>
          </cell>
          <cell r="BC251">
            <v>328991681</v>
          </cell>
          <cell r="BD251">
            <v>334930074</v>
          </cell>
          <cell r="BE251">
            <v>341018430</v>
          </cell>
          <cell r="BF251">
            <v>347213697</v>
          </cell>
          <cell r="BG251">
            <v>353456440</v>
          </cell>
          <cell r="BH251">
            <v>359705464</v>
          </cell>
          <cell r="BI251">
            <v>365926929</v>
          </cell>
          <cell r="BJ251">
            <v>372133652</v>
          </cell>
          <cell r="BK251">
            <v>378386080</v>
          </cell>
          <cell r="BL251">
            <v>384771769</v>
          </cell>
          <cell r="BM251">
            <v>391344574</v>
          </cell>
          <cell r="BN251">
            <v>391344574</v>
          </cell>
        </row>
        <row r="252">
          <cell r="B252" t="str">
            <v>MIC</v>
          </cell>
          <cell r="C252" t="str">
            <v>Population, total</v>
          </cell>
          <cell r="D252" t="str">
            <v>SP.POP.TOTL</v>
          </cell>
          <cell r="E252">
            <v>2126448264</v>
          </cell>
          <cell r="F252">
            <v>2152809007</v>
          </cell>
          <cell r="G252">
            <v>2192361842</v>
          </cell>
          <cell r="H252">
            <v>2243997513</v>
          </cell>
          <cell r="I252">
            <v>2295948515</v>
          </cell>
          <cell r="J252">
            <v>2349465399</v>
          </cell>
          <cell r="K252">
            <v>2406516627</v>
          </cell>
          <cell r="L252">
            <v>2463391488</v>
          </cell>
          <cell r="M252">
            <v>2521807094</v>
          </cell>
          <cell r="N252">
            <v>2582528080</v>
          </cell>
          <cell r="O252">
            <v>2644861764</v>
          </cell>
          <cell r="P252">
            <v>2708528816</v>
          </cell>
          <cell r="Q252">
            <v>2771182528</v>
          </cell>
          <cell r="R252">
            <v>2833690114</v>
          </cell>
          <cell r="S252">
            <v>2895649327</v>
          </cell>
          <cell r="T252">
            <v>2956240605</v>
          </cell>
          <cell r="U252">
            <v>3016172468</v>
          </cell>
          <cell r="V252">
            <v>3075486612</v>
          </cell>
          <cell r="W252">
            <v>3135818510</v>
          </cell>
          <cell r="X252">
            <v>3197590308</v>
          </cell>
          <cell r="Y252">
            <v>3260260585</v>
          </cell>
          <cell r="Z252">
            <v>3324908371</v>
          </cell>
          <cell r="AA252">
            <v>3392871650</v>
          </cell>
          <cell r="AB252">
            <v>3461843641</v>
          </cell>
          <cell r="AC252">
            <v>3530665529</v>
          </cell>
          <cell r="AD252">
            <v>3600671134</v>
          </cell>
          <cell r="AE252">
            <v>3672585884</v>
          </cell>
          <cell r="AF252">
            <v>3746363999</v>
          </cell>
          <cell r="AG252">
            <v>3820564035</v>
          </cell>
          <cell r="AH252">
            <v>3893872030</v>
          </cell>
          <cell r="AI252">
            <v>3967683671</v>
          </cell>
          <cell r="AJ252">
            <v>4038221052</v>
          </cell>
          <cell r="AK252">
            <v>4106796641</v>
          </cell>
          <cell r="AL252">
            <v>4174215540</v>
          </cell>
          <cell r="AM252">
            <v>4240914936</v>
          </cell>
          <cell r="AN252">
            <v>4306837862</v>
          </cell>
          <cell r="AO252">
            <v>4372587325</v>
          </cell>
          <cell r="AP252">
            <v>4438190221</v>
          </cell>
          <cell r="AQ252">
            <v>4502893425</v>
          </cell>
          <cell r="AR252">
            <v>4566075087</v>
          </cell>
          <cell r="AS252">
            <v>4628223941</v>
          </cell>
          <cell r="AT252">
            <v>4689011656</v>
          </cell>
          <cell r="AU252">
            <v>4748834689</v>
          </cell>
          <cell r="AV252">
            <v>4808412990</v>
          </cell>
          <cell r="AW252">
            <v>4867781419</v>
          </cell>
          <cell r="AX252">
            <v>4927174068</v>
          </cell>
          <cell r="AY252">
            <v>4986361161</v>
          </cell>
          <cell r="AZ252">
            <v>5045275829</v>
          </cell>
          <cell r="BA252">
            <v>5104728660</v>
          </cell>
          <cell r="BB252">
            <v>5164806315</v>
          </cell>
          <cell r="BC252">
            <v>5225436802</v>
          </cell>
          <cell r="BD252">
            <v>5287763068</v>
          </cell>
          <cell r="BE252">
            <v>5352222089</v>
          </cell>
          <cell r="BF252">
            <v>5417250676</v>
          </cell>
          <cell r="BG252">
            <v>5482012386</v>
          </cell>
          <cell r="BH252">
            <v>5546194853</v>
          </cell>
          <cell r="BI252">
            <v>5610235989</v>
          </cell>
          <cell r="BJ252">
            <v>5674542216</v>
          </cell>
          <cell r="BK252">
            <v>5736478191</v>
          </cell>
          <cell r="BL252">
            <v>5796189831</v>
          </cell>
          <cell r="BM252">
            <v>5853104938</v>
          </cell>
          <cell r="BN252">
            <v>5853104938</v>
          </cell>
        </row>
        <row r="253">
          <cell r="B253" t="str">
            <v>NAC</v>
          </cell>
          <cell r="C253" t="str">
            <v>Population, total</v>
          </cell>
          <cell r="D253" t="str">
            <v>SP.POP.TOTL</v>
          </cell>
          <cell r="E253">
            <v>198624409</v>
          </cell>
          <cell r="F253">
            <v>202007500</v>
          </cell>
          <cell r="G253">
            <v>205198600</v>
          </cell>
          <cell r="H253">
            <v>208253700</v>
          </cell>
          <cell r="I253">
            <v>211262900</v>
          </cell>
          <cell r="J253">
            <v>214031100</v>
          </cell>
          <cell r="K253">
            <v>216659000</v>
          </cell>
          <cell r="L253">
            <v>219176000</v>
          </cell>
          <cell r="M253">
            <v>221503000</v>
          </cell>
          <cell r="N253">
            <v>223759000</v>
          </cell>
          <cell r="O253">
            <v>226431000</v>
          </cell>
          <cell r="P253">
            <v>229677632</v>
          </cell>
          <cell r="Q253">
            <v>232168663</v>
          </cell>
          <cell r="R253">
            <v>234454577</v>
          </cell>
          <cell r="S253">
            <v>236715369</v>
          </cell>
          <cell r="T253">
            <v>239169275</v>
          </cell>
          <cell r="U253">
            <v>241538008</v>
          </cell>
          <cell r="V253">
            <v>244018243</v>
          </cell>
          <cell r="W253">
            <v>246601803</v>
          </cell>
          <cell r="X253">
            <v>249310344</v>
          </cell>
          <cell r="Y253">
            <v>251795337</v>
          </cell>
          <cell r="Z253">
            <v>254340965</v>
          </cell>
          <cell r="AA253">
            <v>256836391</v>
          </cell>
          <cell r="AB253">
            <v>259214381</v>
          </cell>
          <cell r="AC253">
            <v>261488476</v>
          </cell>
          <cell r="AD253">
            <v>263823014</v>
          </cell>
          <cell r="AE253">
            <v>266290660</v>
          </cell>
          <cell r="AF253">
            <v>268793450</v>
          </cell>
          <cell r="AG253">
            <v>271349094</v>
          </cell>
          <cell r="AH253">
            <v>274154622</v>
          </cell>
          <cell r="AI253">
            <v>277373464</v>
          </cell>
          <cell r="AJ253">
            <v>281077441</v>
          </cell>
          <cell r="AK253">
            <v>284943859</v>
          </cell>
          <cell r="AL253">
            <v>288662674</v>
          </cell>
          <cell r="AM253">
            <v>292185983</v>
          </cell>
          <cell r="AN253">
            <v>295640057</v>
          </cell>
          <cell r="AO253">
            <v>299064347</v>
          </cell>
          <cell r="AP253">
            <v>302623445</v>
          </cell>
          <cell r="AQ253">
            <v>306070116</v>
          </cell>
          <cell r="AR253">
            <v>309502571</v>
          </cell>
          <cell r="AS253">
            <v>312909974</v>
          </cell>
          <cell r="AT253">
            <v>316052361</v>
          </cell>
          <cell r="AU253">
            <v>319048184</v>
          </cell>
          <cell r="AV253">
            <v>321815286</v>
          </cell>
          <cell r="AW253">
            <v>324809693</v>
          </cell>
          <cell r="AX253">
            <v>327824506</v>
          </cell>
          <cell r="AY253">
            <v>331015609</v>
          </cell>
          <cell r="AZ253">
            <v>334185120</v>
          </cell>
          <cell r="BA253">
            <v>337406357</v>
          </cell>
          <cell r="BB253">
            <v>340466060</v>
          </cell>
          <cell r="BC253">
            <v>343397156</v>
          </cell>
          <cell r="BD253">
            <v>345987373</v>
          </cell>
          <cell r="BE253">
            <v>348656682</v>
          </cell>
          <cell r="BF253">
            <v>351207902</v>
          </cell>
          <cell r="BG253">
            <v>353888902</v>
          </cell>
          <cell r="BH253">
            <v>356507139</v>
          </cell>
          <cell r="BI253">
            <v>359245796</v>
          </cell>
          <cell r="BJ253">
            <v>361731296</v>
          </cell>
          <cell r="BK253">
            <v>363967296</v>
          </cell>
          <cell r="BL253">
            <v>365987250</v>
          </cell>
          <cell r="BM253">
            <v>367553264</v>
          </cell>
          <cell r="BN253">
            <v>367553264</v>
          </cell>
        </row>
        <row r="254">
          <cell r="B254" t="str">
            <v>INX</v>
          </cell>
          <cell r="C254" t="str">
            <v>Population, total</v>
          </cell>
          <cell r="D254" t="str">
            <v>SP.POP.TOTL</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cell r="AJ254" t="str">
            <v>..</v>
          </cell>
          <cell r="AK254" t="str">
            <v>..</v>
          </cell>
          <cell r="AL254" t="str">
            <v>..</v>
          </cell>
          <cell r="AM254" t="str">
            <v>..</v>
          </cell>
          <cell r="AN254" t="str">
            <v>..</v>
          </cell>
          <cell r="AO254" t="str">
            <v>..</v>
          </cell>
          <cell r="AP254" t="str">
            <v>..</v>
          </cell>
          <cell r="AQ254" t="str">
            <v>..</v>
          </cell>
          <cell r="AR254" t="str">
            <v>..</v>
          </cell>
          <cell r="AS254" t="str">
            <v>..</v>
          </cell>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v>
          </cell>
          <cell r="BN254" t="str">
            <v/>
          </cell>
        </row>
        <row r="255">
          <cell r="B255" t="str">
            <v>OED</v>
          </cell>
          <cell r="C255" t="str">
            <v>Population, total</v>
          </cell>
          <cell r="D255" t="str">
            <v>SP.POP.TOTL</v>
          </cell>
          <cell r="E255">
            <v>809413164</v>
          </cell>
          <cell r="F255">
            <v>820690358</v>
          </cell>
          <cell r="G255">
            <v>832204126</v>
          </cell>
          <cell r="H255">
            <v>843700013</v>
          </cell>
          <cell r="I255">
            <v>855187441</v>
          </cell>
          <cell r="J255">
            <v>866357882</v>
          </cell>
          <cell r="K255">
            <v>877034871</v>
          </cell>
          <cell r="L255">
            <v>887433263</v>
          </cell>
          <cell r="M255">
            <v>897619456</v>
          </cell>
          <cell r="N255">
            <v>907848349</v>
          </cell>
          <cell r="O255">
            <v>917970733</v>
          </cell>
          <cell r="P255">
            <v>929959388</v>
          </cell>
          <cell r="Q255">
            <v>940747243</v>
          </cell>
          <cell r="R255">
            <v>951245160</v>
          </cell>
          <cell r="S255">
            <v>961564535</v>
          </cell>
          <cell r="T255">
            <v>971664215</v>
          </cell>
          <cell r="U255">
            <v>981155050</v>
          </cell>
          <cell r="V255">
            <v>990517797</v>
          </cell>
          <cell r="W255">
            <v>999924442</v>
          </cell>
          <cell r="X255">
            <v>1009488956</v>
          </cell>
          <cell r="Y255">
            <v>1018954080</v>
          </cell>
          <cell r="Z255">
            <v>1028314741</v>
          </cell>
          <cell r="AA255">
            <v>1037309705</v>
          </cell>
          <cell r="AB255">
            <v>1045955467</v>
          </cell>
          <cell r="AC255">
            <v>1054256534</v>
          </cell>
          <cell r="AD255">
            <v>1062613469</v>
          </cell>
          <cell r="AE255">
            <v>1071150369</v>
          </cell>
          <cell r="AF255">
            <v>1079711152</v>
          </cell>
          <cell r="AG255">
            <v>1088387125</v>
          </cell>
          <cell r="AH255">
            <v>1097531158</v>
          </cell>
          <cell r="AI255">
            <v>1107196961</v>
          </cell>
          <cell r="AJ255">
            <v>1117820520</v>
          </cell>
          <cell r="AK255">
            <v>1128349539</v>
          </cell>
          <cell r="AL255">
            <v>1138362949</v>
          </cell>
          <cell r="AM255">
            <v>1147748534</v>
          </cell>
          <cell r="AN255">
            <v>1156879819</v>
          </cell>
          <cell r="AO255">
            <v>1165880992</v>
          </cell>
          <cell r="AP255">
            <v>1174865635</v>
          </cell>
          <cell r="AQ255">
            <v>1183546848</v>
          </cell>
          <cell r="AR255">
            <v>1192267323</v>
          </cell>
          <cell r="AS255">
            <v>1200836415</v>
          </cell>
          <cell r="AT255">
            <v>1209787876</v>
          </cell>
          <cell r="AU255">
            <v>1218855820</v>
          </cell>
          <cell r="AV255">
            <v>1227854277</v>
          </cell>
          <cell r="AW255">
            <v>1236872189</v>
          </cell>
          <cell r="AX255">
            <v>1245821323</v>
          </cell>
          <cell r="AY255">
            <v>1255133872</v>
          </cell>
          <cell r="AZ255">
            <v>1264614793</v>
          </cell>
          <cell r="BA255">
            <v>1274522708</v>
          </cell>
          <cell r="BB255">
            <v>1283634878</v>
          </cell>
          <cell r="BC255">
            <v>1292110708</v>
          </cell>
          <cell r="BD255">
            <v>1298723126</v>
          </cell>
          <cell r="BE255">
            <v>1306807834</v>
          </cell>
          <cell r="BF255">
            <v>1315224394</v>
          </cell>
          <cell r="BG255">
            <v>1324034852</v>
          </cell>
          <cell r="BH255">
            <v>1332787383</v>
          </cell>
          <cell r="BI255">
            <v>1341701902</v>
          </cell>
          <cell r="BJ255">
            <v>1350048436</v>
          </cell>
          <cell r="BK255">
            <v>1358019416</v>
          </cell>
          <cell r="BL255">
            <v>1364841892</v>
          </cell>
          <cell r="BM255">
            <v>1370858752</v>
          </cell>
          <cell r="BN255">
            <v>1370858752</v>
          </cell>
        </row>
        <row r="256">
          <cell r="B256" t="str">
            <v>OSS</v>
          </cell>
          <cell r="C256" t="str">
            <v>Population, total</v>
          </cell>
          <cell r="D256" t="str">
            <v>SP.POP.TOTL</v>
          </cell>
          <cell r="E256">
            <v>9151857</v>
          </cell>
          <cell r="F256">
            <v>9315834</v>
          </cell>
          <cell r="G256">
            <v>9485194</v>
          </cell>
          <cell r="H256">
            <v>9659416</v>
          </cell>
          <cell r="I256">
            <v>9840401</v>
          </cell>
          <cell r="J256">
            <v>10026023</v>
          </cell>
          <cell r="K256">
            <v>10214282</v>
          </cell>
          <cell r="L256">
            <v>10406007</v>
          </cell>
          <cell r="M256">
            <v>10606217</v>
          </cell>
          <cell r="N256">
            <v>10813719</v>
          </cell>
          <cell r="O256">
            <v>11029164</v>
          </cell>
          <cell r="P256">
            <v>11255188</v>
          </cell>
          <cell r="Q256">
            <v>11488070</v>
          </cell>
          <cell r="R256">
            <v>11725338</v>
          </cell>
          <cell r="S256">
            <v>11968057</v>
          </cell>
          <cell r="T256">
            <v>12219420</v>
          </cell>
          <cell r="U256">
            <v>12475005</v>
          </cell>
          <cell r="V256">
            <v>12737700</v>
          </cell>
          <cell r="W256">
            <v>13008020</v>
          </cell>
          <cell r="X256">
            <v>13294824</v>
          </cell>
          <cell r="Y256">
            <v>13598547</v>
          </cell>
          <cell r="Z256">
            <v>13917150</v>
          </cell>
          <cell r="AA256">
            <v>14253285</v>
          </cell>
          <cell r="AB256">
            <v>14600166</v>
          </cell>
          <cell r="AC256">
            <v>14962369</v>
          </cell>
          <cell r="AD256">
            <v>15347574</v>
          </cell>
          <cell r="AE256">
            <v>15754491</v>
          </cell>
          <cell r="AF256">
            <v>16180206</v>
          </cell>
          <cell r="AG256">
            <v>16610046</v>
          </cell>
          <cell r="AH256">
            <v>17031505</v>
          </cell>
          <cell r="AI256">
            <v>17430785</v>
          </cell>
          <cell r="AJ256">
            <v>17813808</v>
          </cell>
          <cell r="AK256">
            <v>18156582</v>
          </cell>
          <cell r="AL256">
            <v>18476080</v>
          </cell>
          <cell r="AM256">
            <v>18801091</v>
          </cell>
          <cell r="AN256">
            <v>19125038</v>
          </cell>
          <cell r="AO256">
            <v>19460551</v>
          </cell>
          <cell r="AP256">
            <v>19809591</v>
          </cell>
          <cell r="AQ256">
            <v>20163900</v>
          </cell>
          <cell r="AR256">
            <v>20540135</v>
          </cell>
          <cell r="AS256">
            <v>20917080</v>
          </cell>
          <cell r="AT256">
            <v>21276754</v>
          </cell>
          <cell r="AU256">
            <v>21639144</v>
          </cell>
          <cell r="AV256">
            <v>22018460</v>
          </cell>
          <cell r="AW256">
            <v>22442097</v>
          </cell>
          <cell r="AX256">
            <v>22929069</v>
          </cell>
          <cell r="AY256">
            <v>23486191</v>
          </cell>
          <cell r="AZ256">
            <v>24104686</v>
          </cell>
          <cell r="BA256">
            <v>24762404</v>
          </cell>
          <cell r="BB256">
            <v>25417810</v>
          </cell>
          <cell r="BC256">
            <v>26050929</v>
          </cell>
          <cell r="BD256">
            <v>26647965</v>
          </cell>
          <cell r="BE256">
            <v>27227313</v>
          </cell>
          <cell r="BF256">
            <v>27794594</v>
          </cell>
          <cell r="BG256">
            <v>28364446</v>
          </cell>
          <cell r="BH256">
            <v>28948893</v>
          </cell>
          <cell r="BI256">
            <v>29542903</v>
          </cell>
          <cell r="BJ256">
            <v>30148954</v>
          </cell>
          <cell r="BK256">
            <v>30760469</v>
          </cell>
          <cell r="BL256">
            <v>31361259</v>
          </cell>
          <cell r="BM256">
            <v>31941374</v>
          </cell>
          <cell r="BN256">
            <v>31941374</v>
          </cell>
        </row>
        <row r="257">
          <cell r="B257" t="str">
            <v>PSS</v>
          </cell>
          <cell r="C257" t="str">
            <v>Population, total</v>
          </cell>
          <cell r="D257" t="str">
            <v>SP.POP.TOTL</v>
          </cell>
          <cell r="E257">
            <v>865064</v>
          </cell>
          <cell r="F257">
            <v>893394</v>
          </cell>
          <cell r="G257">
            <v>923320</v>
          </cell>
          <cell r="H257">
            <v>954098</v>
          </cell>
          <cell r="I257">
            <v>984824</v>
          </cell>
          <cell r="J257">
            <v>1014633</v>
          </cell>
          <cell r="K257">
            <v>1043365</v>
          </cell>
          <cell r="L257">
            <v>1071166</v>
          </cell>
          <cell r="M257">
            <v>1098151</v>
          </cell>
          <cell r="N257">
            <v>1124577</v>
          </cell>
          <cell r="O257">
            <v>1150712</v>
          </cell>
          <cell r="P257">
            <v>1176559</v>
          </cell>
          <cell r="Q257">
            <v>1202128</v>
          </cell>
          <cell r="R257">
            <v>1227653</v>
          </cell>
          <cell r="S257">
            <v>1253371</v>
          </cell>
          <cell r="T257">
            <v>1279519</v>
          </cell>
          <cell r="U257">
            <v>1306023</v>
          </cell>
          <cell r="V257">
            <v>1332876</v>
          </cell>
          <cell r="W257">
            <v>1360542</v>
          </cell>
          <cell r="X257">
            <v>1389594</v>
          </cell>
          <cell r="Y257">
            <v>1420314</v>
          </cell>
          <cell r="Z257">
            <v>1453209</v>
          </cell>
          <cell r="AA257">
            <v>1487849</v>
          </cell>
          <cell r="AB257">
            <v>1522650</v>
          </cell>
          <cell r="AC257">
            <v>1555395</v>
          </cell>
          <cell r="AD257">
            <v>1584644</v>
          </cell>
          <cell r="AE257">
            <v>1609572</v>
          </cell>
          <cell r="AF257">
            <v>1630869</v>
          </cell>
          <cell r="AG257">
            <v>1650438</v>
          </cell>
          <cell r="AH257">
            <v>1670962</v>
          </cell>
          <cell r="AI257">
            <v>1694327</v>
          </cell>
          <cell r="AJ257">
            <v>1721236</v>
          </cell>
          <cell r="AK257">
            <v>1750932</v>
          </cell>
          <cell r="AL257">
            <v>1782085</v>
          </cell>
          <cell r="AM257">
            <v>1812838</v>
          </cell>
          <cell r="AN257">
            <v>1841674</v>
          </cell>
          <cell r="AO257">
            <v>1868390</v>
          </cell>
          <cell r="AP257">
            <v>1893438</v>
          </cell>
          <cell r="AQ257">
            <v>1917140</v>
          </cell>
          <cell r="AR257">
            <v>1939956</v>
          </cell>
          <cell r="AS257">
            <v>1962451</v>
          </cell>
          <cell r="AT257">
            <v>1984469</v>
          </cell>
          <cell r="AU257">
            <v>2006091</v>
          </cell>
          <cell r="AV257">
            <v>2027859</v>
          </cell>
          <cell r="AW257">
            <v>2050583</v>
          </cell>
          <cell r="AX257">
            <v>2074776</v>
          </cell>
          <cell r="AY257">
            <v>2100892</v>
          </cell>
          <cell r="AZ257">
            <v>2128647</v>
          </cell>
          <cell r="BA257">
            <v>2157454</v>
          </cell>
          <cell r="BB257">
            <v>2186314</v>
          </cell>
          <cell r="BC257">
            <v>2214509</v>
          </cell>
          <cell r="BD257">
            <v>2241808</v>
          </cell>
          <cell r="BE257">
            <v>2268553</v>
          </cell>
          <cell r="BF257">
            <v>2295450</v>
          </cell>
          <cell r="BG257">
            <v>2323558</v>
          </cell>
          <cell r="BH257">
            <v>2353578</v>
          </cell>
          <cell r="BI257">
            <v>2385744</v>
          </cell>
          <cell r="BJ257">
            <v>2419767</v>
          </cell>
          <cell r="BK257">
            <v>2455336</v>
          </cell>
          <cell r="BL257">
            <v>2491878</v>
          </cell>
          <cell r="BM257">
            <v>2528958</v>
          </cell>
          <cell r="BN257">
            <v>2528958</v>
          </cell>
        </row>
        <row r="258">
          <cell r="B258" t="str">
            <v>PST</v>
          </cell>
          <cell r="C258" t="str">
            <v>Population, total</v>
          </cell>
          <cell r="D258" t="str">
            <v>SP.POP.TOTL</v>
          </cell>
          <cell r="E258">
            <v>755229793</v>
          </cell>
          <cell r="F258">
            <v>764423461</v>
          </cell>
          <cell r="G258">
            <v>773856028</v>
          </cell>
          <cell r="H258">
            <v>783141819</v>
          </cell>
          <cell r="I258">
            <v>792263980</v>
          </cell>
          <cell r="J258">
            <v>801098720</v>
          </cell>
          <cell r="K258">
            <v>809363152</v>
          </cell>
          <cell r="L258">
            <v>817179925</v>
          </cell>
          <cell r="M258">
            <v>824733296</v>
          </cell>
          <cell r="N258">
            <v>832280859</v>
          </cell>
          <cell r="O258">
            <v>839822017</v>
          </cell>
          <cell r="P258">
            <v>849163924</v>
          </cell>
          <cell r="Q258">
            <v>857079422</v>
          </cell>
          <cell r="R258">
            <v>864609745</v>
          </cell>
          <cell r="S258">
            <v>871928836</v>
          </cell>
          <cell r="T258">
            <v>878890622</v>
          </cell>
          <cell r="U258">
            <v>885145869</v>
          </cell>
          <cell r="V258">
            <v>891251760</v>
          </cell>
          <cell r="W258">
            <v>897391855</v>
          </cell>
          <cell r="X258">
            <v>903788370</v>
          </cell>
          <cell r="Y258">
            <v>909890607</v>
          </cell>
          <cell r="Z258">
            <v>915971623</v>
          </cell>
          <cell r="AA258">
            <v>921511883</v>
          </cell>
          <cell r="AB258">
            <v>926614804</v>
          </cell>
          <cell r="AC258">
            <v>931410415</v>
          </cell>
          <cell r="AD258">
            <v>936241263</v>
          </cell>
          <cell r="AE258">
            <v>941376248</v>
          </cell>
          <cell r="AF258">
            <v>946671291</v>
          </cell>
          <cell r="AG258">
            <v>952173528</v>
          </cell>
          <cell r="AH258">
            <v>958081653</v>
          </cell>
          <cell r="AI258">
            <v>964174249</v>
          </cell>
          <cell r="AJ258">
            <v>970997843</v>
          </cell>
          <cell r="AK258">
            <v>977879331</v>
          </cell>
          <cell r="AL258">
            <v>984374978</v>
          </cell>
          <cell r="AM258">
            <v>990074232</v>
          </cell>
          <cell r="AN258">
            <v>995310446</v>
          </cell>
          <cell r="AO258">
            <v>1000603285</v>
          </cell>
          <cell r="AP258">
            <v>1005700631</v>
          </cell>
          <cell r="AQ258">
            <v>1010593820</v>
          </cell>
          <cell r="AR258">
            <v>1015421531</v>
          </cell>
          <cell r="AS258">
            <v>1020504874</v>
          </cell>
          <cell r="AT258">
            <v>1025401797</v>
          </cell>
          <cell r="AU258">
            <v>1030561691</v>
          </cell>
          <cell r="AV258">
            <v>1035711715</v>
          </cell>
          <cell r="AW258">
            <v>1041075191</v>
          </cell>
          <cell r="AX258">
            <v>1046366703</v>
          </cell>
          <cell r="AY258">
            <v>1052054839</v>
          </cell>
          <cell r="AZ258">
            <v>1057981930</v>
          </cell>
          <cell r="BA258">
            <v>1064394135</v>
          </cell>
          <cell r="BB258">
            <v>1069876237</v>
          </cell>
          <cell r="BC258">
            <v>1074863836</v>
          </cell>
          <cell r="BD258">
            <v>1077830451</v>
          </cell>
          <cell r="BE258">
            <v>1082356457</v>
          </cell>
          <cell r="BF258">
            <v>1087107539</v>
          </cell>
          <cell r="BG258">
            <v>1092062242</v>
          </cell>
          <cell r="BH258">
            <v>1096949064</v>
          </cell>
          <cell r="BI258">
            <v>1101834188</v>
          </cell>
          <cell r="BJ258">
            <v>1105944222</v>
          </cell>
          <cell r="BK258">
            <v>1109750489</v>
          </cell>
          <cell r="BL258">
            <v>1112709542</v>
          </cell>
          <cell r="BM258">
            <v>1115104266</v>
          </cell>
          <cell r="BN258">
            <v>1115104266</v>
          </cell>
        </row>
        <row r="259">
          <cell r="B259" t="str">
            <v>PRE</v>
          </cell>
          <cell r="C259" t="str">
            <v>Population, total</v>
          </cell>
          <cell r="D259" t="str">
            <v>SP.POP.TOTL</v>
          </cell>
          <cell r="E259">
            <v>187617086</v>
          </cell>
          <cell r="F259">
            <v>191889668</v>
          </cell>
          <cell r="G259">
            <v>196349130</v>
          </cell>
          <cell r="H259">
            <v>200997696</v>
          </cell>
          <cell r="I259">
            <v>205835402</v>
          </cell>
          <cell r="J259">
            <v>210865011</v>
          </cell>
          <cell r="K259">
            <v>216096182</v>
          </cell>
          <cell r="L259">
            <v>221539857</v>
          </cell>
          <cell r="M259">
            <v>227201766</v>
          </cell>
          <cell r="N259">
            <v>233087196</v>
          </cell>
          <cell r="O259">
            <v>239204922</v>
          </cell>
          <cell r="P259">
            <v>245537967</v>
          </cell>
          <cell r="Q259">
            <v>252097876</v>
          </cell>
          <cell r="R259">
            <v>258953399</v>
          </cell>
          <cell r="S259">
            <v>266195192</v>
          </cell>
          <cell r="T259">
            <v>273877853</v>
          </cell>
          <cell r="U259">
            <v>282049633</v>
          </cell>
          <cell r="V259">
            <v>290664978</v>
          </cell>
          <cell r="W259">
            <v>299570039</v>
          </cell>
          <cell r="X259">
            <v>308551498</v>
          </cell>
          <cell r="Y259">
            <v>317462476</v>
          </cell>
          <cell r="Z259">
            <v>326257709</v>
          </cell>
          <cell r="AA259">
            <v>335003783</v>
          </cell>
          <cell r="AB259">
            <v>343806080</v>
          </cell>
          <cell r="AC259">
            <v>352822095</v>
          </cell>
          <cell r="AD259">
            <v>362177648</v>
          </cell>
          <cell r="AE259">
            <v>371878713</v>
          </cell>
          <cell r="AF259">
            <v>381918442</v>
          </cell>
          <cell r="AG259">
            <v>392393113</v>
          </cell>
          <cell r="AH259">
            <v>403416174</v>
          </cell>
          <cell r="AI259">
            <v>415057402</v>
          </cell>
          <cell r="AJ259">
            <v>427398546</v>
          </cell>
          <cell r="AK259">
            <v>440397744</v>
          </cell>
          <cell r="AL259">
            <v>453849671</v>
          </cell>
          <cell r="AM259">
            <v>467465268</v>
          </cell>
          <cell r="AN259">
            <v>481049536</v>
          </cell>
          <cell r="AO259">
            <v>494517689</v>
          </cell>
          <cell r="AP259">
            <v>507968951</v>
          </cell>
          <cell r="AQ259">
            <v>521617701</v>
          </cell>
          <cell r="AR259">
            <v>535773383</v>
          </cell>
          <cell r="AS259">
            <v>550660000</v>
          </cell>
          <cell r="AT259">
            <v>566366083</v>
          </cell>
          <cell r="AU259">
            <v>582828758</v>
          </cell>
          <cell r="AV259">
            <v>599938100</v>
          </cell>
          <cell r="AW259">
            <v>617518659</v>
          </cell>
          <cell r="AX259">
            <v>635451626</v>
          </cell>
          <cell r="AY259">
            <v>653695057</v>
          </cell>
          <cell r="AZ259">
            <v>672318862</v>
          </cell>
          <cell r="BA259">
            <v>691447634</v>
          </cell>
          <cell r="BB259">
            <v>711257518</v>
          </cell>
          <cell r="BC259">
            <v>731868780</v>
          </cell>
          <cell r="BD259">
            <v>753326898</v>
          </cell>
          <cell r="BE259">
            <v>775573262</v>
          </cell>
          <cell r="BF259">
            <v>798496024</v>
          </cell>
          <cell r="BG259">
            <v>821931559</v>
          </cell>
          <cell r="BH259">
            <v>845759372</v>
          </cell>
          <cell r="BI259">
            <v>869943573</v>
          </cell>
          <cell r="BJ259">
            <v>894512378</v>
          </cell>
          <cell r="BK259">
            <v>919485090</v>
          </cell>
          <cell r="BL259">
            <v>944902748</v>
          </cell>
          <cell r="BM259">
            <v>970795671</v>
          </cell>
          <cell r="BN259">
            <v>970795671</v>
          </cell>
        </row>
        <row r="260">
          <cell r="B260" t="str">
            <v>SST</v>
          </cell>
          <cell r="C260" t="str">
            <v>Population, total</v>
          </cell>
          <cell r="D260" t="str">
            <v>SP.POP.TOTL</v>
          </cell>
          <cell r="E260">
            <v>14211632</v>
          </cell>
          <cell r="F260">
            <v>14483280</v>
          </cell>
          <cell r="G260">
            <v>14762137</v>
          </cell>
          <cell r="H260">
            <v>15045754</v>
          </cell>
          <cell r="I260">
            <v>15333414</v>
          </cell>
          <cell r="J260">
            <v>15621038</v>
          </cell>
          <cell r="K260">
            <v>15906000</v>
          </cell>
          <cell r="L260">
            <v>16189729</v>
          </cell>
          <cell r="M260">
            <v>16478258</v>
          </cell>
          <cell r="N260">
            <v>16772135</v>
          </cell>
          <cell r="O260">
            <v>17073320</v>
          </cell>
          <cell r="P260">
            <v>17384835</v>
          </cell>
          <cell r="Q260">
            <v>17702798</v>
          </cell>
          <cell r="R260">
            <v>18024903</v>
          </cell>
          <cell r="S260">
            <v>18352225</v>
          </cell>
          <cell r="T260">
            <v>18688113</v>
          </cell>
          <cell r="U260">
            <v>19027575</v>
          </cell>
          <cell r="V260">
            <v>19373865</v>
          </cell>
          <cell r="W260">
            <v>19729124</v>
          </cell>
          <cell r="X260">
            <v>20104329</v>
          </cell>
          <cell r="Y260">
            <v>20501052</v>
          </cell>
          <cell r="Z260">
            <v>20918880</v>
          </cell>
          <cell r="AA260">
            <v>21359036</v>
          </cell>
          <cell r="AB260">
            <v>21809929</v>
          </cell>
          <cell r="AC260">
            <v>22269272</v>
          </cell>
          <cell r="AD260">
            <v>22740424</v>
          </cell>
          <cell r="AE260">
            <v>23219508</v>
          </cell>
          <cell r="AF260">
            <v>23705895</v>
          </cell>
          <cell r="AG260">
            <v>24190637</v>
          </cell>
          <cell r="AH260">
            <v>24669495</v>
          </cell>
          <cell r="AI260">
            <v>25134374</v>
          </cell>
          <cell r="AJ260">
            <v>25593378</v>
          </cell>
          <cell r="AK260">
            <v>26020298</v>
          </cell>
          <cell r="AL260">
            <v>26428489</v>
          </cell>
          <cell r="AM260">
            <v>26841261</v>
          </cell>
          <cell r="AN260">
            <v>27247916</v>
          </cell>
          <cell r="AO260">
            <v>27660218</v>
          </cell>
          <cell r="AP260">
            <v>28081580</v>
          </cell>
          <cell r="AQ260">
            <v>28504891</v>
          </cell>
          <cell r="AR260">
            <v>28948552</v>
          </cell>
          <cell r="AS260">
            <v>29393017</v>
          </cell>
          <cell r="AT260">
            <v>29820320</v>
          </cell>
          <cell r="AU260">
            <v>30250201</v>
          </cell>
          <cell r="AV260">
            <v>30697300</v>
          </cell>
          <cell r="AW260">
            <v>31189665</v>
          </cell>
          <cell r="AX260">
            <v>31746502</v>
          </cell>
          <cell r="AY260">
            <v>32375205</v>
          </cell>
          <cell r="AZ260">
            <v>33066727</v>
          </cell>
          <cell r="BA260">
            <v>33798831</v>
          </cell>
          <cell r="BB260">
            <v>34529570</v>
          </cell>
          <cell r="BC260">
            <v>35238631</v>
          </cell>
          <cell r="BD260">
            <v>35912140</v>
          </cell>
          <cell r="BE260">
            <v>36568506</v>
          </cell>
          <cell r="BF260">
            <v>37213359</v>
          </cell>
          <cell r="BG260">
            <v>37861447</v>
          </cell>
          <cell r="BH260">
            <v>38524668</v>
          </cell>
          <cell r="BI260">
            <v>39198032</v>
          </cell>
          <cell r="BJ260">
            <v>39883677</v>
          </cell>
          <cell r="BK260">
            <v>40574734</v>
          </cell>
          <cell r="BL260">
            <v>41254526</v>
          </cell>
          <cell r="BM260">
            <v>41912623</v>
          </cell>
          <cell r="BN260">
            <v>41912623</v>
          </cell>
        </row>
        <row r="261">
          <cell r="B261" t="str">
            <v>SAS</v>
          </cell>
          <cell r="C261" t="str">
            <v>Population, total</v>
          </cell>
          <cell r="D261" t="str">
            <v>SP.POP.TOTL</v>
          </cell>
          <cell r="E261">
            <v>572839530</v>
          </cell>
          <cell r="F261">
            <v>584939711</v>
          </cell>
          <cell r="G261">
            <v>597494450</v>
          </cell>
          <cell r="H261">
            <v>610498308</v>
          </cell>
          <cell r="I261">
            <v>623943328</v>
          </cell>
          <cell r="J261">
            <v>637823175</v>
          </cell>
          <cell r="K261">
            <v>652144171</v>
          </cell>
          <cell r="L261">
            <v>666908586</v>
          </cell>
          <cell r="M261">
            <v>682102192</v>
          </cell>
          <cell r="N261">
            <v>697706091</v>
          </cell>
          <cell r="O261">
            <v>713711358</v>
          </cell>
          <cell r="P261">
            <v>730107660</v>
          </cell>
          <cell r="Q261">
            <v>746911710</v>
          </cell>
          <cell r="R261">
            <v>764174968</v>
          </cell>
          <cell r="S261">
            <v>781966557</v>
          </cell>
          <cell r="T261">
            <v>800335570</v>
          </cell>
          <cell r="U261">
            <v>819292532</v>
          </cell>
          <cell r="V261">
            <v>838819900</v>
          </cell>
          <cell r="W261">
            <v>858901743</v>
          </cell>
          <cell r="X261">
            <v>879510842</v>
          </cell>
          <cell r="Y261">
            <v>900620583</v>
          </cell>
          <cell r="Z261">
            <v>922226632</v>
          </cell>
          <cell r="AA261">
            <v>944315173</v>
          </cell>
          <cell r="AB261">
            <v>966836458</v>
          </cell>
          <cell r="AC261">
            <v>989728262</v>
          </cell>
          <cell r="AD261">
            <v>1012942302</v>
          </cell>
          <cell r="AE261">
            <v>1036437878</v>
          </cell>
          <cell r="AF261">
            <v>1060208544</v>
          </cell>
          <cell r="AG261">
            <v>1084281159</v>
          </cell>
          <cell r="AH261">
            <v>1108702366</v>
          </cell>
          <cell r="AI261">
            <v>1133495194</v>
          </cell>
          <cell r="AJ261">
            <v>1158655616</v>
          </cell>
          <cell r="AK261">
            <v>1184133340</v>
          </cell>
          <cell r="AL261">
            <v>1209847774</v>
          </cell>
          <cell r="AM261">
            <v>1235693864</v>
          </cell>
          <cell r="AN261">
            <v>1261587780</v>
          </cell>
          <cell r="AO261">
            <v>1287476203</v>
          </cell>
          <cell r="AP261">
            <v>1313346375</v>
          </cell>
          <cell r="AQ261">
            <v>1339202700</v>
          </cell>
          <cell r="AR261">
            <v>1365067953</v>
          </cell>
          <cell r="AS261">
            <v>1390946065</v>
          </cell>
          <cell r="AT261">
            <v>1416822995</v>
          </cell>
          <cell r="AU261">
            <v>1442644044</v>
          </cell>
          <cell r="AV261">
            <v>1468324423</v>
          </cell>
          <cell r="AW261">
            <v>1493757846</v>
          </cell>
          <cell r="AX261">
            <v>1518861546</v>
          </cell>
          <cell r="AY261">
            <v>1543610686</v>
          </cell>
          <cell r="AZ261">
            <v>1568003175</v>
          </cell>
          <cell r="BA261">
            <v>1592010815</v>
          </cell>
          <cell r="BB261">
            <v>1615610187</v>
          </cell>
          <cell r="BC261">
            <v>1638792927</v>
          </cell>
          <cell r="BD261">
            <v>1661532158</v>
          </cell>
          <cell r="BE261">
            <v>1683740452</v>
          </cell>
          <cell r="BF261">
            <v>1705761545</v>
          </cell>
          <cell r="BG261">
            <v>1727632022</v>
          </cell>
          <cell r="BH261">
            <v>1749417067</v>
          </cell>
          <cell r="BI261">
            <v>1771187426</v>
          </cell>
          <cell r="BJ261">
            <v>1792883164</v>
          </cell>
          <cell r="BK261">
            <v>1814455018</v>
          </cell>
          <cell r="BL261">
            <v>1835776769</v>
          </cell>
          <cell r="BM261">
            <v>1856882402</v>
          </cell>
          <cell r="BN261">
            <v>1856882402</v>
          </cell>
        </row>
        <row r="262">
          <cell r="B262" t="str">
            <v>TSA</v>
          </cell>
          <cell r="C262" t="str">
            <v>Population, total</v>
          </cell>
          <cell r="D262" t="str">
            <v>SP.POP.TOTL</v>
          </cell>
          <cell r="E262">
            <v>572839530</v>
          </cell>
          <cell r="F262">
            <v>584939711</v>
          </cell>
          <cell r="G262">
            <v>597494450</v>
          </cell>
          <cell r="H262">
            <v>610498308</v>
          </cell>
          <cell r="I262">
            <v>623943328</v>
          </cell>
          <cell r="J262">
            <v>637823175</v>
          </cell>
          <cell r="K262">
            <v>652144171</v>
          </cell>
          <cell r="L262">
            <v>666908586</v>
          </cell>
          <cell r="M262">
            <v>682102192</v>
          </cell>
          <cell r="N262">
            <v>697706091</v>
          </cell>
          <cell r="O262">
            <v>713711358</v>
          </cell>
          <cell r="P262">
            <v>730107660</v>
          </cell>
          <cell r="Q262">
            <v>746911710</v>
          </cell>
          <cell r="R262">
            <v>764174968</v>
          </cell>
          <cell r="S262">
            <v>781966557</v>
          </cell>
          <cell r="T262">
            <v>800335570</v>
          </cell>
          <cell r="U262">
            <v>819292532</v>
          </cell>
          <cell r="V262">
            <v>838819900</v>
          </cell>
          <cell r="W262">
            <v>858901743</v>
          </cell>
          <cell r="X262">
            <v>879510842</v>
          </cell>
          <cell r="Y262">
            <v>900620583</v>
          </cell>
          <cell r="Z262">
            <v>922226632</v>
          </cell>
          <cell r="AA262">
            <v>944315173</v>
          </cell>
          <cell r="AB262">
            <v>966836458</v>
          </cell>
          <cell r="AC262">
            <v>989728262</v>
          </cell>
          <cell r="AD262">
            <v>1012942302</v>
          </cell>
          <cell r="AE262">
            <v>1036437878</v>
          </cell>
          <cell r="AF262">
            <v>1060208544</v>
          </cell>
          <cell r="AG262">
            <v>1084281159</v>
          </cell>
          <cell r="AH262">
            <v>1108702366</v>
          </cell>
          <cell r="AI262">
            <v>1133495194</v>
          </cell>
          <cell r="AJ262">
            <v>1158655616</v>
          </cell>
          <cell r="AK262">
            <v>1184133340</v>
          </cell>
          <cell r="AL262">
            <v>1209847774</v>
          </cell>
          <cell r="AM262">
            <v>1235693864</v>
          </cell>
          <cell r="AN262">
            <v>1261587780</v>
          </cell>
          <cell r="AO262">
            <v>1287476203</v>
          </cell>
          <cell r="AP262">
            <v>1313346375</v>
          </cell>
          <cell r="AQ262">
            <v>1339202700</v>
          </cell>
          <cell r="AR262">
            <v>1365067953</v>
          </cell>
          <cell r="AS262">
            <v>1390946065</v>
          </cell>
          <cell r="AT262">
            <v>1416822995</v>
          </cell>
          <cell r="AU262">
            <v>1442644044</v>
          </cell>
          <cell r="AV262">
            <v>1468324423</v>
          </cell>
          <cell r="AW262">
            <v>1493757846</v>
          </cell>
          <cell r="AX262">
            <v>1518861546</v>
          </cell>
          <cell r="AY262">
            <v>1543610686</v>
          </cell>
          <cell r="AZ262">
            <v>1568003175</v>
          </cell>
          <cell r="BA262">
            <v>1592010815</v>
          </cell>
          <cell r="BB262">
            <v>1615610187</v>
          </cell>
          <cell r="BC262">
            <v>1638792927</v>
          </cell>
          <cell r="BD262">
            <v>1661532158</v>
          </cell>
          <cell r="BE262">
            <v>1683740452</v>
          </cell>
          <cell r="BF262">
            <v>1705761545</v>
          </cell>
          <cell r="BG262">
            <v>1727632022</v>
          </cell>
          <cell r="BH262">
            <v>1749417067</v>
          </cell>
          <cell r="BI262">
            <v>1771187426</v>
          </cell>
          <cell r="BJ262">
            <v>1792883164</v>
          </cell>
          <cell r="BK262">
            <v>1814455018</v>
          </cell>
          <cell r="BL262">
            <v>1835776769</v>
          </cell>
          <cell r="BM262">
            <v>1856882402</v>
          </cell>
          <cell r="BN262">
            <v>1856882402</v>
          </cell>
        </row>
        <row r="263">
          <cell r="B263" t="str">
            <v>SSF</v>
          </cell>
          <cell r="C263" t="str">
            <v>Population, total</v>
          </cell>
          <cell r="D263" t="str">
            <v>SP.POP.TOTL</v>
          </cell>
          <cell r="E263">
            <v>227233184</v>
          </cell>
          <cell r="F263">
            <v>232567007</v>
          </cell>
          <cell r="G263">
            <v>238121604</v>
          </cell>
          <cell r="H263">
            <v>243893375</v>
          </cell>
          <cell r="I263">
            <v>249873656</v>
          </cell>
          <cell r="J263">
            <v>256059849</v>
          </cell>
          <cell r="K263">
            <v>262454482</v>
          </cell>
          <cell r="L263">
            <v>269072404</v>
          </cell>
          <cell r="M263">
            <v>275937546</v>
          </cell>
          <cell r="N263">
            <v>283080501</v>
          </cell>
          <cell r="O263">
            <v>290526233</v>
          </cell>
          <cell r="P263">
            <v>298284475</v>
          </cell>
          <cell r="Q263">
            <v>306359650</v>
          </cell>
          <cell r="R263">
            <v>314761504</v>
          </cell>
          <cell r="S263">
            <v>323500333</v>
          </cell>
          <cell r="T263">
            <v>332583481</v>
          </cell>
          <cell r="U263">
            <v>342018937</v>
          </cell>
          <cell r="V263">
            <v>351808760</v>
          </cell>
          <cell r="W263">
            <v>361939456</v>
          </cell>
          <cell r="X263">
            <v>372404237</v>
          </cell>
          <cell r="Y263">
            <v>383188215</v>
          </cell>
          <cell r="Z263">
            <v>394281992</v>
          </cell>
          <cell r="AA263">
            <v>405688898</v>
          </cell>
          <cell r="AB263">
            <v>417425712</v>
          </cell>
          <cell r="AC263">
            <v>429521914</v>
          </cell>
          <cell r="AD263">
            <v>441988004</v>
          </cell>
          <cell r="AE263">
            <v>454835677</v>
          </cell>
          <cell r="AF263">
            <v>468053103</v>
          </cell>
          <cell r="AG263">
            <v>481594337</v>
          </cell>
          <cell r="AH263">
            <v>495407422</v>
          </cell>
          <cell r="AI263">
            <v>509451875</v>
          </cell>
          <cell r="AJ263">
            <v>523726960</v>
          </cell>
          <cell r="AK263">
            <v>538246439</v>
          </cell>
          <cell r="AL263">
            <v>553020385</v>
          </cell>
          <cell r="AM263">
            <v>568072070</v>
          </cell>
          <cell r="AN263">
            <v>583413287</v>
          </cell>
          <cell r="AO263">
            <v>599067774</v>
          </cell>
          <cell r="AP263">
            <v>615054341</v>
          </cell>
          <cell r="AQ263">
            <v>631400703</v>
          </cell>
          <cell r="AR263">
            <v>648148338</v>
          </cell>
          <cell r="AS263">
            <v>665327588</v>
          </cell>
          <cell r="AT263">
            <v>682956023</v>
          </cell>
          <cell r="AU263">
            <v>701066197</v>
          </cell>
          <cell r="AV263">
            <v>719716165</v>
          </cell>
          <cell r="AW263">
            <v>738983247</v>
          </cell>
          <cell r="AX263">
            <v>758924664</v>
          </cell>
          <cell r="AY263">
            <v>779566846</v>
          </cell>
          <cell r="AZ263">
            <v>800908567</v>
          </cell>
          <cell r="BA263">
            <v>822945490</v>
          </cell>
          <cell r="BB263">
            <v>845655209</v>
          </cell>
          <cell r="BC263">
            <v>869025115</v>
          </cell>
          <cell r="BD263">
            <v>893045863</v>
          </cell>
          <cell r="BE263">
            <v>917725880</v>
          </cell>
          <cell r="BF263">
            <v>943039474</v>
          </cell>
          <cell r="BG263">
            <v>968958352</v>
          </cell>
          <cell r="BH263">
            <v>995458498</v>
          </cell>
          <cell r="BI263">
            <v>1022530245</v>
          </cell>
          <cell r="BJ263">
            <v>1050162810</v>
          </cell>
          <cell r="BK263">
            <v>1078319512</v>
          </cell>
          <cell r="BL263">
            <v>1106957870</v>
          </cell>
          <cell r="BM263">
            <v>1136046775</v>
          </cell>
          <cell r="BN263">
            <v>1136046775</v>
          </cell>
        </row>
        <row r="264">
          <cell r="B264" t="str">
            <v>SSA</v>
          </cell>
          <cell r="C264" t="str">
            <v>Population, total</v>
          </cell>
          <cell r="D264" t="str">
            <v>SP.POP.TOTL</v>
          </cell>
          <cell r="E264">
            <v>227191484</v>
          </cell>
          <cell r="F264">
            <v>232524118</v>
          </cell>
          <cell r="G264">
            <v>238077562</v>
          </cell>
          <cell r="H264">
            <v>243848199</v>
          </cell>
          <cell r="I264">
            <v>249827334</v>
          </cell>
          <cell r="J264">
            <v>256012349</v>
          </cell>
          <cell r="K264">
            <v>262405783</v>
          </cell>
          <cell r="L264">
            <v>269022493</v>
          </cell>
          <cell r="M264">
            <v>275886412</v>
          </cell>
          <cell r="N264">
            <v>283028136</v>
          </cell>
          <cell r="O264">
            <v>290472633</v>
          </cell>
          <cell r="P264">
            <v>298229780</v>
          </cell>
          <cell r="Q264">
            <v>306303621</v>
          </cell>
          <cell r="R264">
            <v>314704612</v>
          </cell>
          <cell r="S264">
            <v>323442396</v>
          </cell>
          <cell r="T264">
            <v>332524189</v>
          </cell>
          <cell r="U264">
            <v>341958433</v>
          </cell>
          <cell r="V264">
            <v>351746974</v>
          </cell>
          <cell r="W264">
            <v>361877306</v>
          </cell>
          <cell r="X264">
            <v>372341551</v>
          </cell>
          <cell r="Y264">
            <v>383124954</v>
          </cell>
          <cell r="Z264">
            <v>394217957</v>
          </cell>
          <cell r="AA264">
            <v>405624485</v>
          </cell>
          <cell r="AB264">
            <v>417361377</v>
          </cell>
          <cell r="AC264">
            <v>429457197</v>
          </cell>
          <cell r="AD264">
            <v>441922760</v>
          </cell>
          <cell r="AE264">
            <v>454770025</v>
          </cell>
          <cell r="AF264">
            <v>467984604</v>
          </cell>
          <cell r="AG264">
            <v>481525582</v>
          </cell>
          <cell r="AH264">
            <v>495338255</v>
          </cell>
          <cell r="AI264">
            <v>509382368</v>
          </cell>
          <cell r="AJ264">
            <v>523656521</v>
          </cell>
          <cell r="AK264">
            <v>538175676</v>
          </cell>
          <cell r="AL264">
            <v>552948132</v>
          </cell>
          <cell r="AM264">
            <v>567997865</v>
          </cell>
          <cell r="AN264">
            <v>583337983</v>
          </cell>
          <cell r="AO264">
            <v>598991357</v>
          </cell>
          <cell r="AP264">
            <v>614977022</v>
          </cell>
          <cell r="AQ264">
            <v>631321857</v>
          </cell>
          <cell r="AR264">
            <v>648067928</v>
          </cell>
          <cell r="AS264">
            <v>665246457</v>
          </cell>
          <cell r="AT264">
            <v>682874821</v>
          </cell>
          <cell r="AU264">
            <v>700982474</v>
          </cell>
          <cell r="AV264">
            <v>719633384</v>
          </cell>
          <cell r="AW264">
            <v>738900772</v>
          </cell>
          <cell r="AX264">
            <v>758841806</v>
          </cell>
          <cell r="AY264">
            <v>779482246</v>
          </cell>
          <cell r="AZ264">
            <v>800823534</v>
          </cell>
          <cell r="BA264">
            <v>822858534</v>
          </cell>
          <cell r="BB264">
            <v>845567911</v>
          </cell>
          <cell r="BC264">
            <v>868935345</v>
          </cell>
          <cell r="BD264">
            <v>892958422</v>
          </cell>
          <cell r="BE264">
            <v>917637577</v>
          </cell>
          <cell r="BF264">
            <v>942949525</v>
          </cell>
          <cell r="BG264">
            <v>968866993</v>
          </cell>
          <cell r="BH264">
            <v>995365079</v>
          </cell>
          <cell r="BI264">
            <v>1022435568</v>
          </cell>
          <cell r="BJ264">
            <v>1050066967</v>
          </cell>
          <cell r="BK264">
            <v>1078222750</v>
          </cell>
          <cell r="BL264">
            <v>1106860245</v>
          </cell>
          <cell r="BM264">
            <v>1135948313</v>
          </cell>
          <cell r="BN264">
            <v>1135948313</v>
          </cell>
        </row>
        <row r="265">
          <cell r="B265" t="str">
            <v>TSS</v>
          </cell>
          <cell r="C265" t="str">
            <v>Population, total</v>
          </cell>
          <cell r="D265" t="str">
            <v>SP.POP.TOTL</v>
          </cell>
          <cell r="E265">
            <v>227233184</v>
          </cell>
          <cell r="F265">
            <v>232567007</v>
          </cell>
          <cell r="G265">
            <v>238121604</v>
          </cell>
          <cell r="H265">
            <v>243893375</v>
          </cell>
          <cell r="I265">
            <v>249873656</v>
          </cell>
          <cell r="J265">
            <v>256059849</v>
          </cell>
          <cell r="K265">
            <v>262454482</v>
          </cell>
          <cell r="L265">
            <v>269072404</v>
          </cell>
          <cell r="M265">
            <v>275937546</v>
          </cell>
          <cell r="N265">
            <v>283080501</v>
          </cell>
          <cell r="O265">
            <v>290526233</v>
          </cell>
          <cell r="P265">
            <v>298284475</v>
          </cell>
          <cell r="Q265">
            <v>306359650</v>
          </cell>
          <cell r="R265">
            <v>314761504</v>
          </cell>
          <cell r="S265">
            <v>323500333</v>
          </cell>
          <cell r="T265">
            <v>332583481</v>
          </cell>
          <cell r="U265">
            <v>342018937</v>
          </cell>
          <cell r="V265">
            <v>351808760</v>
          </cell>
          <cell r="W265">
            <v>361939456</v>
          </cell>
          <cell r="X265">
            <v>372404237</v>
          </cell>
          <cell r="Y265">
            <v>383188215</v>
          </cell>
          <cell r="Z265">
            <v>394281992</v>
          </cell>
          <cell r="AA265">
            <v>405688898</v>
          </cell>
          <cell r="AB265">
            <v>417425712</v>
          </cell>
          <cell r="AC265">
            <v>429521914</v>
          </cell>
          <cell r="AD265">
            <v>441988004</v>
          </cell>
          <cell r="AE265">
            <v>454835677</v>
          </cell>
          <cell r="AF265">
            <v>468053103</v>
          </cell>
          <cell r="AG265">
            <v>481594337</v>
          </cell>
          <cell r="AH265">
            <v>495407422</v>
          </cell>
          <cell r="AI265">
            <v>509451875</v>
          </cell>
          <cell r="AJ265">
            <v>523726960</v>
          </cell>
          <cell r="AK265">
            <v>538246439</v>
          </cell>
          <cell r="AL265">
            <v>553020385</v>
          </cell>
          <cell r="AM265">
            <v>568072070</v>
          </cell>
          <cell r="AN265">
            <v>583413287</v>
          </cell>
          <cell r="AO265">
            <v>599067774</v>
          </cell>
          <cell r="AP265">
            <v>615054341</v>
          </cell>
          <cell r="AQ265">
            <v>631400703</v>
          </cell>
          <cell r="AR265">
            <v>648148338</v>
          </cell>
          <cell r="AS265">
            <v>665327588</v>
          </cell>
          <cell r="AT265">
            <v>682956023</v>
          </cell>
          <cell r="AU265">
            <v>701066197</v>
          </cell>
          <cell r="AV265">
            <v>719716165</v>
          </cell>
          <cell r="AW265">
            <v>738983247</v>
          </cell>
          <cell r="AX265">
            <v>758924664</v>
          </cell>
          <cell r="AY265">
            <v>779566846</v>
          </cell>
          <cell r="AZ265">
            <v>800908567</v>
          </cell>
          <cell r="BA265">
            <v>822945490</v>
          </cell>
          <cell r="BB265">
            <v>845655209</v>
          </cell>
          <cell r="BC265">
            <v>869025115</v>
          </cell>
          <cell r="BD265">
            <v>893045863</v>
          </cell>
          <cell r="BE265">
            <v>917725880</v>
          </cell>
          <cell r="BF265">
            <v>943039474</v>
          </cell>
          <cell r="BG265">
            <v>968958352</v>
          </cell>
          <cell r="BH265">
            <v>995458498</v>
          </cell>
          <cell r="BI265">
            <v>1022530245</v>
          </cell>
          <cell r="BJ265">
            <v>1050162810</v>
          </cell>
          <cell r="BK265">
            <v>1078319512</v>
          </cell>
          <cell r="BL265">
            <v>1106957870</v>
          </cell>
          <cell r="BM265">
            <v>1136046775</v>
          </cell>
          <cell r="BN265">
            <v>1136046775</v>
          </cell>
        </row>
        <row r="266">
          <cell r="B266" t="str">
            <v>UMC</v>
          </cell>
          <cell r="C266" t="str">
            <v>Population, total</v>
          </cell>
          <cell r="D266" t="str">
            <v>SP.POP.TOTL</v>
          </cell>
          <cell r="E266">
            <v>1136464260</v>
          </cell>
          <cell r="F266">
            <v>1140113724</v>
          </cell>
          <cell r="G266">
            <v>1156186962</v>
          </cell>
          <cell r="H266">
            <v>1183604156</v>
          </cell>
          <cell r="I266">
            <v>1210649304</v>
          </cell>
          <cell r="J266">
            <v>1238612642</v>
          </cell>
          <cell r="K266">
            <v>1269459169</v>
          </cell>
          <cell r="L266">
            <v>1299468908</v>
          </cell>
          <cell r="M266">
            <v>1330348999</v>
          </cell>
          <cell r="N266">
            <v>1362854382</v>
          </cell>
          <cell r="O266">
            <v>1396278485</v>
          </cell>
          <cell r="P266">
            <v>1430319852</v>
          </cell>
          <cell r="Q266">
            <v>1462600916</v>
          </cell>
          <cell r="R266">
            <v>1493945323</v>
          </cell>
          <cell r="S266">
            <v>1523888167</v>
          </cell>
          <cell r="T266">
            <v>1551563310</v>
          </cell>
          <cell r="U266">
            <v>1577700939</v>
          </cell>
          <cell r="V266">
            <v>1602325098</v>
          </cell>
          <cell r="W266">
            <v>1626942179</v>
          </cell>
          <cell r="X266">
            <v>1651804638</v>
          </cell>
          <cell r="Y266">
            <v>1676276374</v>
          </cell>
          <cell r="Z266">
            <v>1701367506</v>
          </cell>
          <cell r="AA266">
            <v>1728647847</v>
          </cell>
          <cell r="AB266">
            <v>1755902412</v>
          </cell>
          <cell r="AC266">
            <v>1782261503</v>
          </cell>
          <cell r="AD266">
            <v>1809328983</v>
          </cell>
          <cell r="AE266">
            <v>1837853676</v>
          </cell>
          <cell r="AF266">
            <v>1867834479</v>
          </cell>
          <cell r="AG266">
            <v>1897982987</v>
          </cell>
          <cell r="AH266">
            <v>1927151797</v>
          </cell>
          <cell r="AI266">
            <v>1954958255</v>
          </cell>
          <cell r="AJ266">
            <v>1981741317</v>
          </cell>
          <cell r="AK266">
            <v>2006685047</v>
          </cell>
          <cell r="AL266">
            <v>2030763564</v>
          </cell>
          <cell r="AM266">
            <v>2054444944</v>
          </cell>
          <cell r="AN266">
            <v>2077356163</v>
          </cell>
          <cell r="AO266">
            <v>2099938877</v>
          </cell>
          <cell r="AP266">
            <v>2122284252</v>
          </cell>
          <cell r="AQ266">
            <v>2143781401</v>
          </cell>
          <cell r="AR266">
            <v>2163943018</v>
          </cell>
          <cell r="AS266">
            <v>2183127334</v>
          </cell>
          <cell r="AT266">
            <v>2201110817</v>
          </cell>
          <cell r="AU266">
            <v>2218155175</v>
          </cell>
          <cell r="AV266">
            <v>2234900352</v>
          </cell>
          <cell r="AW266">
            <v>2251323903</v>
          </cell>
          <cell r="AX266">
            <v>2267614832</v>
          </cell>
          <cell r="AY266">
            <v>2283499115</v>
          </cell>
          <cell r="AZ266">
            <v>2298869696</v>
          </cell>
          <cell r="BA266">
            <v>2314522710</v>
          </cell>
          <cell r="BB266">
            <v>2330533600</v>
          </cell>
          <cell r="BC266">
            <v>2346561398</v>
          </cell>
          <cell r="BD266">
            <v>2364103129</v>
          </cell>
          <cell r="BE266">
            <v>2383978181</v>
          </cell>
          <cell r="BF266">
            <v>2404063280</v>
          </cell>
          <cell r="BG266">
            <v>2423763411</v>
          </cell>
          <cell r="BH266">
            <v>2442625596</v>
          </cell>
          <cell r="BI266">
            <v>2461213434</v>
          </cell>
          <cell r="BJ266">
            <v>2480024674</v>
          </cell>
          <cell r="BK266">
            <v>2496446325</v>
          </cell>
          <cell r="BL266">
            <v>2510772964</v>
          </cell>
          <cell r="BM266">
            <v>2522452391</v>
          </cell>
          <cell r="BN266">
            <v>2522452391</v>
          </cell>
        </row>
        <row r="267">
          <cell r="B267" t="str">
            <v>WLD</v>
          </cell>
          <cell r="C267" t="str">
            <v>Population, total</v>
          </cell>
          <cell r="D267" t="str">
            <v>SP.POP.TOTL</v>
          </cell>
          <cell r="E267">
            <v>3032156070</v>
          </cell>
          <cell r="F267">
            <v>3071596055</v>
          </cell>
          <cell r="G267">
            <v>3124561005</v>
          </cell>
          <cell r="H267">
            <v>3189655687</v>
          </cell>
          <cell r="I267">
            <v>3255145692</v>
          </cell>
          <cell r="J267">
            <v>3322046795</v>
          </cell>
          <cell r="K267">
            <v>3392097729</v>
          </cell>
          <cell r="L267">
            <v>3461619724</v>
          </cell>
          <cell r="M267">
            <v>3532782993</v>
          </cell>
          <cell r="N267">
            <v>3606553753</v>
          </cell>
          <cell r="O267">
            <v>3681975908</v>
          </cell>
          <cell r="P267">
            <v>3760516757</v>
          </cell>
          <cell r="Q267">
            <v>3836900801</v>
          </cell>
          <cell r="R267">
            <v>3912984371</v>
          </cell>
          <cell r="S267">
            <v>3988487336</v>
          </cell>
          <cell r="T267">
            <v>4062507027</v>
          </cell>
          <cell r="U267">
            <v>4135432265</v>
          </cell>
          <cell r="V267">
            <v>4207786422</v>
          </cell>
          <cell r="W267">
            <v>4281339378</v>
          </cell>
          <cell r="X267">
            <v>4356778367</v>
          </cell>
          <cell r="Y267">
            <v>4432963653</v>
          </cell>
          <cell r="Z267">
            <v>4511164132</v>
          </cell>
          <cell r="AA267">
            <v>4592387213</v>
          </cell>
          <cell r="AB267">
            <v>4674330282</v>
          </cell>
          <cell r="AC267">
            <v>4755996689</v>
          </cell>
          <cell r="AD267">
            <v>4839176734</v>
          </cell>
          <cell r="AE267">
            <v>4924747934</v>
          </cell>
          <cell r="AF267">
            <v>5012556248</v>
          </cell>
          <cell r="AG267">
            <v>5101287675</v>
          </cell>
          <cell r="AH267">
            <v>5189977062</v>
          </cell>
          <cell r="AI267">
            <v>5280062644</v>
          </cell>
          <cell r="AJ267">
            <v>5368139818</v>
          </cell>
          <cell r="AK267">
            <v>5452576967</v>
          </cell>
          <cell r="AL267">
            <v>5537885402</v>
          </cell>
          <cell r="AM267">
            <v>5622085293</v>
          </cell>
          <cell r="AN267">
            <v>5706753581</v>
          </cell>
          <cell r="AO267">
            <v>5789655178</v>
          </cell>
          <cell r="AP267">
            <v>5872284397</v>
          </cell>
          <cell r="AQ267">
            <v>5954004340</v>
          </cell>
          <cell r="AR267">
            <v>6034484369</v>
          </cell>
          <cell r="AS267">
            <v>6114324044</v>
          </cell>
          <cell r="AT267">
            <v>6193663732</v>
          </cell>
          <cell r="AU267">
            <v>6272724236</v>
          </cell>
          <cell r="AV267">
            <v>6351855732</v>
          </cell>
          <cell r="AW267">
            <v>6431527221</v>
          </cell>
          <cell r="AX267">
            <v>6511724848</v>
          </cell>
          <cell r="AY267">
            <v>6592711655</v>
          </cell>
          <cell r="AZ267">
            <v>6674181848</v>
          </cell>
          <cell r="BA267">
            <v>6757000414</v>
          </cell>
          <cell r="BB267">
            <v>6839553692</v>
          </cell>
          <cell r="BC267">
            <v>6921854591</v>
          </cell>
          <cell r="BD267">
            <v>7003760440</v>
          </cell>
          <cell r="BE267">
            <v>7089254548</v>
          </cell>
          <cell r="BF267">
            <v>7175500378</v>
          </cell>
          <cell r="BG267">
            <v>7261846543</v>
          </cell>
          <cell r="BH267">
            <v>7347679005</v>
          </cell>
          <cell r="BI267">
            <v>7433569330</v>
          </cell>
          <cell r="BJ267">
            <v>7519183459</v>
          </cell>
          <cell r="BK267">
            <v>7602454161</v>
          </cell>
          <cell r="BL267">
            <v>7683372259</v>
          </cell>
          <cell r="BM267">
            <v>7761620146</v>
          </cell>
          <cell r="BN267">
            <v>7761620146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e"/>
      <sheetName val="Data Sources and Notes"/>
      <sheetName val="BackgroundStats"/>
      <sheetName val="Summary"/>
      <sheetName val="medians"/>
      <sheetName val="means"/>
      <sheetName val="totals"/>
      <sheetName val="Working_For_Charts"/>
      <sheetName val="Charts background"/>
      <sheetName val="Working_For_Tables"/>
      <sheetName val="Charts paper"/>
      <sheetName val="Charts final "/>
      <sheetName val="Publication Tables"/>
      <sheetName val="CALC 2030 Poverty Cost"/>
      <sheetName val="CALC Cost of Reaching UHC"/>
      <sheetName val="CALC DEEP"/>
      <sheetName val="CALC GDP vs. GNI Ratio"/>
      <sheetName val="CALC Graduation Costing"/>
      <sheetName val="CALC ODA"/>
      <sheetName val="CALC ODA Condensed"/>
      <sheetName val="CALC Recipient Aid"/>
      <sheetName val="CALC Tax Capacity"/>
      <sheetName val="CALC WATSAN Per Cap"/>
      <sheetName val="DATA Education cost"/>
      <sheetName val="DATA Extra costs of targeting"/>
      <sheetName val="DATA GDP vs. GNI Ratio"/>
      <sheetName val="DATA Health &amp; Nutrition cost"/>
      <sheetName val="DATA IHME HEALTH SPEND"/>
      <sheetName val="DATA IMF Fiscal Monitor"/>
      <sheetName val="DATA ODA"/>
      <sheetName val="DATA ODI Poverty (Sept 2020)"/>
      <sheetName val="DATA Population Disag"/>
      <sheetName val="DATA Recipient Aid"/>
      <sheetName val="DATA SS Spend OECD"/>
      <sheetName val="DATA SSN Beneficiaries"/>
      <sheetName val="DATA SSN Spend"/>
      <sheetName val="DATA Tax"/>
      <sheetName val="DATA Tax Differential"/>
      <sheetName val="DATA WATSAN Costs"/>
      <sheetName val="SOURCE ASPIRE Cash Transfers"/>
      <sheetName val="SOURCE ASPIRE Food Programs"/>
      <sheetName val="SOURCE ASPIRE Public Works"/>
      <sheetName val="SOURCE ASPIRE SSN Spend"/>
      <sheetName val="SOURCE Child Poverty"/>
      <sheetName val="SOURCE Commonwealth"/>
      <sheetName val="SOURCE Cost of Reaching UHC"/>
      <sheetName val="SOURCE CPA"/>
      <sheetName val="SOURCE cpa by donor"/>
      <sheetName val="SOURCE DFID Fragile"/>
      <sheetName val="SOURCE G7 SCAP Countries"/>
      <sheetName val="SOURCE EducationODA"/>
      <sheetName val="SOURCE GDP pp (current)"/>
      <sheetName val="SOURCE GNI"/>
      <sheetName val="SOURCE GNI pp"/>
      <sheetName val="SOURCE GSW Planned Spend"/>
      <sheetName val="SOURCE HealthODA"/>
      <sheetName val="SOURCE Health Spend"/>
      <sheetName val="SOURCE Hum Aid Dec 2018 Update"/>
      <sheetName val="SOURCE ICTD"/>
      <sheetName val="Source IG"/>
      <sheetName val="SOURCE IGC"/>
      <sheetName val="SOURCE IMF WEO PPP Conversion"/>
      <sheetName val="SOURCE IHME_RETROSPECTIVE_FINAN"/>
      <sheetName val="SOURCE IMF AEO Frontier"/>
      <sheetName val="SOURCE IMF Fiscal Monitor"/>
      <sheetName val="SOURCE IMF WEO Revenue"/>
      <sheetName val="SOURCE Justice 15130"/>
      <sheetName val="Source Justice 15180"/>
      <sheetName val="SOURCE LDCs"/>
      <sheetName val="SOURCE oda by donor "/>
      <sheetName val="SOURCE oda by sector "/>
      <sheetName val="SOURCE OECD Fragile"/>
      <sheetName val="SOURCE OECD spend COFOG"/>
      <sheetName val="SOURCE PopHealthODA"/>
      <sheetName val="SOURCE Population"/>
      <sheetName val="SOURCE Population Disag"/>
      <sheetName val="SOURCE_PopEstimates"/>
      <sheetName val="SOURCE Poverty Stats Sep 20"/>
      <sheetName val="SOURCE PPP Conversion"/>
      <sheetName val="SOURCE SP_2015"/>
      <sheetName val="SOURCE SP_2016"/>
      <sheetName val="SOURCE SP_2017"/>
      <sheetName val="Source SP_2018"/>
      <sheetName val="Source SP_2018 Extra"/>
      <sheetName val="SOURCE SSA"/>
      <sheetName val="SOURCE SSA_country gps 2019"/>
      <sheetName val="SOURCE UNESCO Edu Costing 2020"/>
      <sheetName val="SOURCE US Inflation"/>
      <sheetName val="Source WATSAN costs"/>
      <sheetName val="SOURCE WATSAN_ODA"/>
      <sheetName val="C JvGNI"/>
    </sheetNames>
    <sheetDataSet>
      <sheetData sheetId="0"/>
      <sheetData sheetId="1"/>
      <sheetData sheetId="2"/>
      <sheetData sheetId="3">
        <row r="1">
          <cell r="B1"/>
          <cell r="BY1"/>
        </row>
        <row r="2">
          <cell r="B2"/>
          <cell r="C2"/>
          <cell r="D2"/>
          <cell r="E2"/>
          <cell r="F2"/>
          <cell r="G2"/>
          <cell r="H2"/>
          <cell r="I2"/>
          <cell r="J2"/>
          <cell r="K2"/>
          <cell r="BY2"/>
        </row>
        <row r="3">
          <cell r="B3"/>
          <cell r="BY3"/>
        </row>
        <row r="5">
          <cell r="B5" t="str">
            <v>iso3</v>
          </cell>
          <cell r="C5" t="str">
            <v>income group</v>
          </cell>
          <cell r="D5" t="str">
            <v>specific income group</v>
          </cell>
          <cell r="E5" t="str">
            <v>income group and country classification</v>
          </cell>
          <cell r="F5" t="str">
            <v>LDCs</v>
          </cell>
          <cell r="G5" t="str">
            <v>World Bank Fragile States</v>
          </cell>
          <cell r="H5" t="str">
            <v>SOTC countries - now redndant</v>
          </cell>
          <cell r="I5" t="str">
            <v>g7+ countries</v>
          </cell>
          <cell r="J5" t="str">
            <v>SCAP countries</v>
          </cell>
          <cell r="K5" t="str">
            <v>MIC</v>
          </cell>
          <cell r="L5" t="str">
            <v>x</v>
          </cell>
          <cell r="M5" t="str">
            <v xml:space="preserve">OECD Fragile States </v>
          </cell>
          <cell r="N5" t="str">
            <v>DFID Fragile - now redundant (DfiD Use OECD Definitions)</v>
          </cell>
          <cell r="O5" t="str">
            <v>SET Fragile States</v>
          </cell>
          <cell r="P5" t="str">
            <v>SSA Marker</v>
          </cell>
          <cell r="Q5" t="str">
            <v>severely poverty-challenged countries, 2030</v>
          </cell>
          <cell r="R5" t="str">
            <v>underfunded countries, 2030</v>
          </cell>
          <cell r="S5" t="str">
            <v>SFCCs 2030</v>
          </cell>
          <cell r="T5" t="str">
            <v>LICS and MICs not SFCCs</v>
          </cell>
          <cell r="U5" t="str">
            <v>LICS and MICs not underfunded</v>
          </cell>
          <cell r="V5" t="str">
            <v>underfunded not SFCCs</v>
          </cell>
          <cell r="W5" t="str">
            <v>LIC_LDCs</v>
          </cell>
          <cell r="X5" t="str">
            <v>Commonwealth countries</v>
          </cell>
          <cell r="Y5" t="str">
            <v>LIC_Commonwealth</v>
          </cell>
          <cell r="Z5" t="str">
            <v>MIC + HIC Commonwealth</v>
          </cell>
          <cell r="AA5" t="str">
            <v>LDC Commonwealth</v>
          </cell>
          <cell r="AB5" t="str">
            <v>non-LDC Commonwealth</v>
          </cell>
          <cell r="AC5" t="str">
            <v>Commonwealth SFCC</v>
          </cell>
          <cell r="AD5" t="str">
            <v>Commonwealth underfunded</v>
          </cell>
          <cell r="AE5" t="str">
            <v>All commonwealth excl SFCC</v>
          </cell>
          <cell r="AF5" t="str">
            <v>All commonwealth excl underfunded</v>
          </cell>
          <cell r="AG5" t="str">
            <v>BLANK- COULD BE FOR francophone countries</v>
          </cell>
          <cell r="AH5" t="str">
            <v>BLANK -COULD BE FOR Bottom quartile of HCI</v>
          </cell>
          <cell r="AI5" t="str">
            <v>BLANK COULD BE FOR SFCCs in bottom quartile of HCI</v>
          </cell>
          <cell r="AJ5" t="str">
            <v>x</v>
          </cell>
          <cell r="AK5" t="str">
            <v>population 2019 (millions)</v>
          </cell>
          <cell r="AL5" t="str">
            <v>2030 projected population</v>
          </cell>
          <cell r="AM5" t="str">
            <v>gni_percap</v>
          </cell>
          <cell r="AN5" t="str">
            <v>current headcount (2018)</v>
          </cell>
          <cell r="AO5" t="str">
            <v>projected headcount (2030)</v>
          </cell>
          <cell r="AP5" t="str">
            <v>number of poor 2018</v>
          </cell>
          <cell r="AQ5" t="str">
            <v>number of poor using 2030 headcount &amp; 2018 population</v>
          </cell>
          <cell r="AR5" t="str">
            <v>number of poor using 2030 headcount and 2030 projected population</v>
          </cell>
          <cell r="AS5" t="str">
            <v>current_revenue_to_GDP</v>
          </cell>
          <cell r="AT5" t="str">
            <v>current revenue per person</v>
          </cell>
          <cell r="AU5" t="str">
            <v>current revenue ppep 2018</v>
          </cell>
          <cell r="AV5" t="str">
            <v>revenue capacity</v>
          </cell>
          <cell r="AW5" t="str">
            <v>revenue capacity per person</v>
          </cell>
          <cell r="AX5" t="str">
            <v>revenue capacity ppep 2018</v>
          </cell>
          <cell r="AY5" t="str">
            <v>total current revenue</v>
          </cell>
          <cell r="AZ5" t="str">
            <v>total revenue capacity (millions)</v>
          </cell>
          <cell r="BA5" t="str">
            <v>additional tax</v>
          </cell>
          <cell r="BB5" t="str">
            <v>CPA 15-17 average</v>
          </cell>
          <cell r="BC5" t="str">
            <v>CPA 16-18 average</v>
          </cell>
          <cell r="BD5" t="str">
            <v>CPA 16-18 pp</v>
          </cell>
          <cell r="BE5" t="str">
            <v>CPA 16-18 ppep</v>
          </cell>
          <cell r="BF5" t="str">
            <v>humanitarian aid 16-18 avg</v>
          </cell>
          <cell r="BG5" t="str">
            <v>education cost per person</v>
          </cell>
          <cell r="BH5" t="str">
            <v>health cost per person</v>
          </cell>
          <cell r="BI5" t="str">
            <v>cash transfer pp 2015</v>
          </cell>
          <cell r="BJ5" t="str">
            <v xml:space="preserve">cash transfer pp 2030 WRONG - OVERSTATES IF POVERTY RATE IS MORE THAN 74%  AS LEAKAGE RATE WOULD THEN BE LOWER THAN 34.5% ASSUMED - AFFECTS FIVE COUNTRIES </v>
          </cell>
          <cell r="BK5" t="str">
            <v>WATSAN Cost per person</v>
          </cell>
          <cell r="BL5" t="str">
            <v>total cost 2030 pp excl. WATSAN</v>
          </cell>
          <cell r="BM5" t="str">
            <v>total cost 2030 pp incl. WATSAN</v>
          </cell>
          <cell r="BN5" t="str">
            <v>education cost (millions)</v>
          </cell>
          <cell r="BO5" t="str">
            <v>health cost millions</v>
          </cell>
          <cell r="BP5" t="str">
            <v>cash transfer 2015 millions</v>
          </cell>
          <cell r="BQ5" t="str">
            <v>cash transfer 2030 millions</v>
          </cell>
          <cell r="BR5" t="str">
            <v>WATSAN Cost (Millions)</v>
          </cell>
          <cell r="BS5" t="str">
            <v>total cost 2030  excl. WATSAN</v>
          </cell>
          <cell r="BT5" t="str">
            <v>total cost 2030  incl. WATSAN</v>
          </cell>
          <cell r="BU5" t="str">
            <v>Financing gap pp (50% of revenue)</v>
          </cell>
          <cell r="BV5" t="str">
            <v>health financing gap pp (50% of revenue)</v>
          </cell>
          <cell r="BW5" t="str">
            <v>education financing gap pp (50% of revenue)</v>
          </cell>
          <cell r="BX5" t="str">
            <v>cash transfer financing gap pp, 50% of revenue</v>
          </cell>
          <cell r="BY5" t="str">
            <v>WATSAN financing gap pp, 50% of revenue</v>
          </cell>
          <cell r="BZ5" t="str">
            <v xml:space="preserve">Aid to cover gap (50% CPA 16-18 +humanitarian) </v>
          </cell>
          <cell r="CA5" t="str">
            <v>Aid as % of gap</v>
          </cell>
          <cell r="CB5" t="str">
            <v>annual absolute spending per capita, social safety net</v>
          </cell>
          <cell r="CC5" t="str">
            <v>total beneficiaries, social safety net</v>
          </cell>
          <cell r="CD5" t="str">
            <v>beneficiaries relative to people living in extreme poverty</v>
          </cell>
          <cell r="CE5" t="str">
            <v>financing gap</v>
          </cell>
          <cell r="CF5" t="str">
            <v xml:space="preserve">50% CPA 16-18 to gap countries </v>
          </cell>
          <cell r="CG5" t="str">
            <v>education ODA</v>
          </cell>
          <cell r="CH5" t="str">
            <v>education ODA per person</v>
          </cell>
          <cell r="CI5" t="str">
            <v>education ODA ppep 2018</v>
          </cell>
          <cell r="CJ5" t="str">
            <v>health ODA</v>
          </cell>
          <cell r="CK5" t="str">
            <v>health ODA per person</v>
          </cell>
          <cell r="CL5" t="str">
            <v>health ODA ppep 2018</v>
          </cell>
          <cell r="CM5" t="str">
            <v>justice ODA</v>
          </cell>
          <cell r="CN5" t="str">
            <v>justice ODA per person</v>
          </cell>
          <cell r="CO5" t="str">
            <v>justice ODA ppep 2018</v>
          </cell>
          <cell r="CP5" t="str">
            <v>social protection ODA (broad)</v>
          </cell>
          <cell r="CQ5" t="str">
            <v>social protection (broad) ODA per person</v>
          </cell>
          <cell r="CR5" t="str">
            <v>social protection ODA ppep 2018</v>
          </cell>
          <cell r="CS5" t="str">
            <v>% poor children</v>
          </cell>
          <cell r="CT5" t="str">
            <v>under-five population</v>
          </cell>
          <cell r="CU5" t="str">
            <v>children as % of total pop</v>
          </cell>
          <cell r="CV5" t="str">
            <v>nutrition ($10)</v>
          </cell>
          <cell r="CW5" t="str">
            <v>deep ideal aid total</v>
          </cell>
          <cell r="CX5" t="str">
            <v>deep ideal aid pp</v>
          </cell>
          <cell r="CY5" t="str">
            <v>deep ideal aid ppep 2018</v>
          </cell>
          <cell r="CZ5" t="str">
            <v>total cost 2015</v>
          </cell>
        </row>
        <row r="6">
          <cell r="B6" t="str">
            <v>AFG</v>
          </cell>
          <cell r="C6" t="str">
            <v>LIC</v>
          </cell>
          <cell r="D6" t="str">
            <v>OLIC</v>
          </cell>
          <cell r="E6" t="str">
            <v>OLIC_LDC</v>
          </cell>
          <cell r="F6" t="b">
            <v>1</v>
          </cell>
          <cell r="G6" t="b">
            <v>1</v>
          </cell>
          <cell r="H6" t="e">
            <v>#REF!</v>
          </cell>
          <cell r="I6" t="str">
            <v/>
          </cell>
          <cell r="J6" t="str">
            <v/>
          </cell>
          <cell r="K6" t="str">
            <v/>
          </cell>
          <cell r="M6" t="b">
            <v>1</v>
          </cell>
          <cell r="P6" t="str">
            <v/>
          </cell>
          <cell r="Q6" t="b">
            <v>1</v>
          </cell>
          <cell r="R6" t="str">
            <v>YES</v>
          </cell>
          <cell r="S6" t="str">
            <v>YES</v>
          </cell>
          <cell r="T6" t="str">
            <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K6">
            <v>38.041753999999997</v>
          </cell>
          <cell r="AL6">
            <v>48.09357</v>
          </cell>
          <cell r="AM6">
            <v>540</v>
          </cell>
          <cell r="AN6">
            <v>0.36</v>
          </cell>
          <cell r="AO6">
            <v>0.31</v>
          </cell>
          <cell r="AP6">
            <v>13.695031439999999</v>
          </cell>
          <cell r="AQ6">
            <v>11.792943739999998</v>
          </cell>
          <cell r="AR6">
            <v>14909.0067</v>
          </cell>
          <cell r="AS6">
            <v>0.13600000000000001</v>
          </cell>
          <cell r="AT6">
            <v>71.034179914319012</v>
          </cell>
          <cell r="AU6">
            <v>197.31716642866394</v>
          </cell>
          <cell r="AV6">
            <v>0.15271641791044777</v>
          </cell>
          <cell r="AW6">
            <v>79.76533460089027</v>
          </cell>
          <cell r="AX6">
            <v>221.57037389136187</v>
          </cell>
          <cell r="AY6">
            <v>2702.2647978922651</v>
          </cell>
          <cell r="AZ6">
            <v>3034.4132366147555</v>
          </cell>
          <cell r="BA6">
            <v>332.14843872249048</v>
          </cell>
          <cell r="BB6">
            <v>3550.6832550230733</v>
          </cell>
          <cell r="BC6">
            <v>3294.8559468334229</v>
          </cell>
          <cell r="BD6">
            <v>86.611567564245931</v>
          </cell>
          <cell r="BE6">
            <v>240.58768767846092</v>
          </cell>
          <cell r="BF6">
            <v>341.69831749999997</v>
          </cell>
          <cell r="BG6">
            <v>61.268006208208199</v>
          </cell>
          <cell r="BH6">
            <v>87.700457184491995</v>
          </cell>
          <cell r="BI6"/>
          <cell r="BJ6">
            <v>61.582368315929429</v>
          </cell>
          <cell r="BK6">
            <v>9.9703313039282406</v>
          </cell>
          <cell r="BL6">
            <v>210.55083170862963</v>
          </cell>
          <cell r="BM6">
            <v>220.52116301255788</v>
          </cell>
          <cell r="BN6">
            <v>2330.7424202431289</v>
          </cell>
          <cell r="BO6">
            <v>3336.2792178999771</v>
          </cell>
          <cell r="BP6">
            <v>0</v>
          </cell>
          <cell r="BQ6">
            <v>2342.7013062119813</v>
          </cell>
          <cell r="BR6">
            <v>379.28889076253733</v>
          </cell>
          <cell r="BS6">
            <v>8009.7229443550868</v>
          </cell>
          <cell r="BT6">
            <v>8389.0118351176243</v>
          </cell>
          <cell r="BU6">
            <v>170.66816440818451</v>
          </cell>
          <cell r="BV6">
            <v>75.73565699435845</v>
          </cell>
          <cell r="BW6">
            <v>45.314939288030146</v>
          </cell>
          <cell r="BX6">
            <v>49.617568125795891</v>
          </cell>
          <cell r="BZ6">
            <v>47.796879506836397</v>
          </cell>
          <cell r="CA6">
            <v>0.28005738312460732</v>
          </cell>
          <cell r="CB6">
            <v>4.9298486658809457</v>
          </cell>
          <cell r="CC6" t="e">
            <v>#N/A</v>
          </cell>
          <cell r="CD6" t="e">
            <v>#N/A</v>
          </cell>
          <cell r="CE6">
            <v>6492.5163260477102</v>
          </cell>
          <cell r="CF6">
            <v>1647.4279734167114</v>
          </cell>
          <cell r="CG6">
            <v>249.15919899999997</v>
          </cell>
          <cell r="CH6">
            <v>6.5496243680036415</v>
          </cell>
          <cell r="CI6">
            <v>18.193401022232337</v>
          </cell>
          <cell r="CJ6">
            <v>341.72902166666671</v>
          </cell>
          <cell r="CK6">
            <v>8.9829985669605747</v>
          </cell>
          <cell r="CL6">
            <v>24.952773797112709</v>
          </cell>
          <cell r="CM6">
            <v>459.61015433333336</v>
          </cell>
          <cell r="CN6">
            <v>12.081728784990656</v>
          </cell>
          <cell r="CO6">
            <v>33.560357736085159</v>
          </cell>
          <cell r="CP6">
            <v>135.55960300000001</v>
          </cell>
          <cell r="CQ6">
            <v>3.5634425005745007</v>
          </cell>
          <cell r="CR6">
            <v>9.8984513904847251</v>
          </cell>
          <cell r="CS6" t="str">
            <v/>
          </cell>
          <cell r="CT6">
            <v>0.1491127091563654</v>
          </cell>
          <cell r="CU6">
            <v>0.42797306349228803</v>
          </cell>
          <cell r="CV6">
            <v>1.4911270915636541</v>
          </cell>
          <cell r="CW6">
            <v>5354.5985985028692</v>
          </cell>
          <cell r="CX6">
            <v>140.75582841166761</v>
          </cell>
          <cell r="CY6">
            <v>390.98841225463224</v>
          </cell>
          <cell r="CZ6">
            <v>5667.0216381431055</v>
          </cell>
        </row>
        <row r="7">
          <cell r="B7" t="str">
            <v>AGO</v>
          </cell>
          <cell r="C7" t="str">
            <v>LMIC</v>
          </cell>
          <cell r="D7" t="str">
            <v>ULMIC</v>
          </cell>
          <cell r="E7" t="str">
            <v>LMIC_LDC</v>
          </cell>
          <cell r="F7" t="b">
            <v>1</v>
          </cell>
          <cell r="G7" t="str">
            <v/>
          </cell>
          <cell r="H7" t="e">
            <v>#REF!</v>
          </cell>
          <cell r="I7" t="str">
            <v/>
          </cell>
          <cell r="J7" t="str">
            <v/>
          </cell>
          <cell r="K7" t="b">
            <v>1</v>
          </cell>
          <cell r="M7" t="b">
            <v>1</v>
          </cell>
          <cell r="P7" t="b">
            <v>1</v>
          </cell>
          <cell r="Q7" t="b">
            <v>1</v>
          </cell>
          <cell r="R7" t="str">
            <v/>
          </cell>
          <cell r="S7" t="str">
            <v/>
          </cell>
          <cell r="T7" t="str">
            <v>YES</v>
          </cell>
          <cell r="U7" t="str">
            <v>YES</v>
          </cell>
          <cell r="V7" t="str">
            <v/>
          </cell>
          <cell r="W7" t="str">
            <v/>
          </cell>
          <cell r="X7" t="str">
            <v/>
          </cell>
          <cell r="Y7" t="str">
            <v/>
          </cell>
          <cell r="Z7" t="str">
            <v/>
          </cell>
          <cell r="AA7" t="str">
            <v/>
          </cell>
          <cell r="AB7" t="str">
            <v/>
          </cell>
          <cell r="AC7" t="str">
            <v/>
          </cell>
          <cell r="AD7" t="str">
            <v/>
          </cell>
          <cell r="AE7" t="str">
            <v/>
          </cell>
          <cell r="AF7" t="str">
            <v/>
          </cell>
          <cell r="AK7">
            <v>31.825295000000001</v>
          </cell>
          <cell r="AL7">
            <v>44.834710000000001</v>
          </cell>
          <cell r="AM7">
            <v>3050</v>
          </cell>
          <cell r="AN7">
            <v>0.47119999999999995</v>
          </cell>
          <cell r="AO7">
            <v>0.53749999999999998</v>
          </cell>
          <cell r="AP7">
            <v>14.996079003999998</v>
          </cell>
          <cell r="AQ7">
            <v>17.106096062500001</v>
          </cell>
          <cell r="AR7">
            <v>24098.656625</v>
          </cell>
          <cell r="AS7">
            <v>0.308</v>
          </cell>
          <cell r="AT7">
            <v>974.45970502291073</v>
          </cell>
          <cell r="AU7">
            <v>2068.0384232234951</v>
          </cell>
          <cell r="AV7">
            <v>0.33182070181060724</v>
          </cell>
          <cell r="AW7">
            <v>1049.8243610612324</v>
          </cell>
          <cell r="AX7">
            <v>2227.980392744551</v>
          </cell>
          <cell r="AY7">
            <v>31012.467577967112</v>
          </cell>
          <cell r="AZ7">
            <v>33410.969988960234</v>
          </cell>
          <cell r="BA7">
            <v>2398.5024109931219</v>
          </cell>
          <cell r="BB7">
            <v>328.88698747911201</v>
          </cell>
          <cell r="BC7">
            <v>244.89525635858232</v>
          </cell>
          <cell r="BD7">
            <v>7.6949877874999215</v>
          </cell>
          <cell r="BE7">
            <v>16.330619243420887</v>
          </cell>
          <cell r="BF7">
            <v>10.160246749999999</v>
          </cell>
          <cell r="BG7">
            <v>126.55320844453385</v>
          </cell>
          <cell r="BH7">
            <v>105.4022784328849</v>
          </cell>
          <cell r="BI7"/>
          <cell r="BJ7">
            <v>93.00891627546153</v>
          </cell>
          <cell r="BK7">
            <v>33.354008509786908</v>
          </cell>
          <cell r="BL7">
            <v>324.96440315288032</v>
          </cell>
          <cell r="BM7">
            <v>358.31841166266724</v>
          </cell>
          <cell r="BN7">
            <v>4027.5931919437812</v>
          </cell>
          <cell r="BO7">
            <v>3354.4586047986995</v>
          </cell>
          <cell r="BP7">
            <v>0</v>
          </cell>
          <cell r="BQ7">
            <v>2960.0361980968646</v>
          </cell>
          <cell r="BR7">
            <v>1061.5011602564787</v>
          </cell>
          <cell r="BS7">
            <v>10342.087994839345</v>
          </cell>
          <cell r="BT7">
            <v>11403.589155095824</v>
          </cell>
          <cell r="BU7">
            <v>-199.94777737773586</v>
          </cell>
          <cell r="BV7">
            <v>-52.071375726299962</v>
          </cell>
          <cell r="BW7">
            <v>-83.411663767712639</v>
          </cell>
          <cell r="BX7">
            <v>-64.46473788372333</v>
          </cell>
          <cell r="BZ7">
            <v>4.0071192287232895</v>
          </cell>
          <cell r="CA7">
            <v>-2.0040829066847538E-2</v>
          </cell>
          <cell r="CB7">
            <v>31.135892859954406</v>
          </cell>
          <cell r="CC7" t="str">
            <v>—</v>
          </cell>
          <cell r="CD7" t="e">
            <v>#VALUE!</v>
          </cell>
          <cell r="CE7">
            <v>0</v>
          </cell>
          <cell r="CF7">
            <v>0</v>
          </cell>
          <cell r="CG7">
            <v>28.879981000000001</v>
          </cell>
          <cell r="CH7">
            <v>0.90745367796276521</v>
          </cell>
          <cell r="CI7">
            <v>1.9258354795474646</v>
          </cell>
          <cell r="CJ7">
            <v>103.18999766666667</v>
          </cell>
          <cell r="CK7">
            <v>3.2423893530811472</v>
          </cell>
          <cell r="CL7">
            <v>6.8811319038224692</v>
          </cell>
          <cell r="CM7">
            <v>2.0720193333333334</v>
          </cell>
          <cell r="CN7">
            <v>6.5106052695924219E-2</v>
          </cell>
          <cell r="CO7">
            <v>0.13817074001681712</v>
          </cell>
          <cell r="CP7">
            <v>7.5771846666666658</v>
          </cell>
          <cell r="CQ7">
            <v>0.23808686350485253</v>
          </cell>
          <cell r="CR7">
            <v>0.50527772390673298</v>
          </cell>
          <cell r="CS7" t="str">
            <v/>
          </cell>
          <cell r="CT7">
            <v>0.18208799007204801</v>
          </cell>
          <cell r="CU7">
            <v>0.47912922723889911</v>
          </cell>
          <cell r="CV7">
            <v>1.8208799007204801</v>
          </cell>
          <cell r="CW7">
            <v>0</v>
          </cell>
          <cell r="CX7">
            <v>0</v>
          </cell>
          <cell r="CY7">
            <v>0</v>
          </cell>
          <cell r="CZ7">
            <v>7382.0517967424812</v>
          </cell>
        </row>
        <row r="8">
          <cell r="B8" t="str">
            <v>ALB</v>
          </cell>
          <cell r="C8" t="str">
            <v>UMIC</v>
          </cell>
          <cell r="D8" t="str">
            <v>UMIC</v>
          </cell>
          <cell r="E8" t="str">
            <v/>
          </cell>
          <cell r="F8" t="str">
            <v xml:space="preserve"> </v>
          </cell>
          <cell r="G8" t="str">
            <v/>
          </cell>
          <cell r="H8" t="e">
            <v>#REF!</v>
          </cell>
          <cell r="I8" t="str">
            <v/>
          </cell>
          <cell r="J8" t="str">
            <v/>
          </cell>
          <cell r="K8" t="b">
            <v>1</v>
          </cell>
          <cell r="M8" t="str">
            <v/>
          </cell>
          <cell r="P8" t="str">
            <v/>
          </cell>
          <cell r="Q8" t="str">
            <v/>
          </cell>
          <cell r="R8" t="str">
            <v/>
          </cell>
          <cell r="S8" t="str">
            <v/>
          </cell>
          <cell r="T8" t="str">
            <v>YES</v>
          </cell>
          <cell r="U8" t="str">
            <v>YES</v>
          </cell>
          <cell r="V8" t="str">
            <v/>
          </cell>
          <cell r="W8" t="str">
            <v/>
          </cell>
          <cell r="X8" t="str">
            <v/>
          </cell>
          <cell r="Y8" t="str">
            <v/>
          </cell>
          <cell r="Z8" t="str">
            <v/>
          </cell>
          <cell r="AA8" t="str">
            <v/>
          </cell>
          <cell r="AB8" t="str">
            <v/>
          </cell>
          <cell r="AC8" t="str">
            <v/>
          </cell>
          <cell r="AD8" t="str">
            <v/>
          </cell>
          <cell r="AE8" t="str">
            <v/>
          </cell>
          <cell r="AF8" t="str">
            <v/>
          </cell>
          <cell r="AK8">
            <v>2.8541910000000001</v>
          </cell>
          <cell r="AL8">
            <v>2.786972</v>
          </cell>
          <cell r="AM8">
            <v>5240</v>
          </cell>
          <cell r="AN8">
            <v>1.423106E-2</v>
          </cell>
          <cell r="AO8">
            <v>5.7499999999999999E-3</v>
          </cell>
          <cell r="AP8">
            <v>4.0618163372460006E-2</v>
          </cell>
          <cell r="AQ8">
            <v>1.6411598249999999E-2</v>
          </cell>
          <cell r="AR8">
            <v>16.025089000000001</v>
          </cell>
          <cell r="AS8">
            <v>0.27131712528028684</v>
          </cell>
          <cell r="AT8">
            <v>1472.0543806854046</v>
          </cell>
          <cell r="AU8">
            <v>103439.54566177112</v>
          </cell>
          <cell r="AV8">
            <v>0.30711282733804324</v>
          </cell>
          <cell r="AW8">
            <v>1666.2670385461813</v>
          </cell>
          <cell r="AX8">
            <v>117086.64277616574</v>
          </cell>
          <cell r="AY8">
            <v>4201.5243648628557</v>
          </cell>
          <cell r="AZ8">
            <v>4755.8443850151634</v>
          </cell>
          <cell r="BA8">
            <v>554.32002015230773</v>
          </cell>
          <cell r="BB8">
            <v>300.76254288275368</v>
          </cell>
          <cell r="BC8">
            <v>269.544545924989</v>
          </cell>
          <cell r="BD8">
            <v>94.438159858604067</v>
          </cell>
          <cell r="BE8">
            <v>6636.0594262552522</v>
          </cell>
          <cell r="BF8">
            <v>3.6137802499999996</v>
          </cell>
          <cell r="BG8">
            <v>217.02343767127624</v>
          </cell>
          <cell r="BH8">
            <v>240.20361521078814</v>
          </cell>
          <cell r="BI8"/>
          <cell r="BJ8">
            <v>14.976411400852323</v>
          </cell>
          <cell r="BK8">
            <v>7.5402607815632789</v>
          </cell>
          <cell r="BL8">
            <v>472.20346428291674</v>
          </cell>
          <cell r="BM8">
            <v>479.74372506448003</v>
          </cell>
          <cell r="BN8">
            <v>619.42634259041768</v>
          </cell>
          <cell r="BO8">
            <v>685.58699670209467</v>
          </cell>
          <cell r="BP8">
            <v>0</v>
          </cell>
          <cell r="BQ8">
            <v>42.745538632610092</v>
          </cell>
          <cell r="BR8">
            <v>21.521344460390878</v>
          </cell>
          <cell r="BS8">
            <v>1347.7588779251223</v>
          </cell>
          <cell r="BT8">
            <v>1369.2802223855133</v>
          </cell>
          <cell r="BU8">
            <v>-360.93005499017391</v>
          </cell>
          <cell r="BV8">
            <v>-9.7364405711390418</v>
          </cell>
          <cell r="BW8">
            <v>-116.22997003796004</v>
          </cell>
          <cell r="BX8">
            <v>-234.96364438107486</v>
          </cell>
          <cell r="BZ8">
            <v>47.852145524771991</v>
          </cell>
          <cell r="CA8">
            <v>-0.13258010759473809</v>
          </cell>
          <cell r="CB8">
            <v>77.1537252873689</v>
          </cell>
          <cell r="CC8">
            <v>128747</v>
          </cell>
          <cell r="CD8">
            <v>9.0469016362800794</v>
          </cell>
          <cell r="CE8">
            <v>0</v>
          </cell>
          <cell r="CF8">
            <v>0</v>
          </cell>
          <cell r="CG8">
            <v>39.294439333333337</v>
          </cell>
          <cell r="CH8">
            <v>13.767277429342792</v>
          </cell>
          <cell r="CI8">
            <v>967.41053929523116</v>
          </cell>
          <cell r="CJ8">
            <v>7.6955753333333323</v>
          </cell>
          <cell r="CK8">
            <v>2.6962369839065894</v>
          </cell>
          <cell r="CL8">
            <v>189.4614304139389</v>
          </cell>
          <cell r="CM8">
            <v>19.552599333333333</v>
          </cell>
          <cell r="CN8">
            <v>6.8504873476699117</v>
          </cell>
          <cell r="CO8">
            <v>481.37576172610557</v>
          </cell>
          <cell r="CP8">
            <v>11.985705000000001</v>
          </cell>
          <cell r="CQ8">
            <v>4.1993352932582297</v>
          </cell>
          <cell r="CR8">
            <v>295.08239676160662</v>
          </cell>
          <cell r="CS8">
            <v>0.4</v>
          </cell>
          <cell r="CT8">
            <v>5.8257488724475691E-2</v>
          </cell>
          <cell r="CU8">
            <v>0.1737840950377883</v>
          </cell>
          <cell r="CV8">
            <v>0.58257488724475692</v>
          </cell>
          <cell r="CW8">
            <v>0</v>
          </cell>
          <cell r="CX8">
            <v>0</v>
          </cell>
          <cell r="CY8">
            <v>0</v>
          </cell>
          <cell r="CZ8">
            <v>1305.0133392925125</v>
          </cell>
        </row>
        <row r="9">
          <cell r="B9" t="str">
            <v>ARG</v>
          </cell>
          <cell r="C9" t="str">
            <v>UMIC</v>
          </cell>
          <cell r="D9" t="str">
            <v>UMIC</v>
          </cell>
          <cell r="E9" t="str">
            <v/>
          </cell>
          <cell r="F9" t="str">
            <v xml:space="preserve"> </v>
          </cell>
          <cell r="G9" t="str">
            <v/>
          </cell>
          <cell r="H9" t="e">
            <v>#REF!</v>
          </cell>
          <cell r="I9" t="str">
            <v/>
          </cell>
          <cell r="J9" t="str">
            <v/>
          </cell>
          <cell r="K9" t="b">
            <v>1</v>
          </cell>
          <cell r="M9" t="str">
            <v/>
          </cell>
          <cell r="N9" t="b">
            <v>1</v>
          </cell>
          <cell r="O9" t="b">
            <v>1</v>
          </cell>
          <cell r="P9" t="str">
            <v/>
          </cell>
          <cell r="Q9" t="str">
            <v/>
          </cell>
          <cell r="R9" t="str">
            <v/>
          </cell>
          <cell r="S9" t="str">
            <v/>
          </cell>
          <cell r="T9" t="str">
            <v>YES</v>
          </cell>
          <cell r="U9" t="str">
            <v>YES</v>
          </cell>
          <cell r="V9" t="str">
            <v/>
          </cell>
          <cell r="W9" t="str">
            <v/>
          </cell>
          <cell r="X9" t="str">
            <v/>
          </cell>
          <cell r="Y9" t="str">
            <v/>
          </cell>
          <cell r="Z9" t="str">
            <v/>
          </cell>
          <cell r="AA9" t="str">
            <v/>
          </cell>
          <cell r="AB9" t="str">
            <v/>
          </cell>
          <cell r="AC9" t="str">
            <v/>
          </cell>
          <cell r="AD9" t="str">
            <v/>
          </cell>
          <cell r="AE9" t="str">
            <v/>
          </cell>
          <cell r="AF9" t="str">
            <v/>
          </cell>
          <cell r="AG9" t="str">
            <v/>
          </cell>
          <cell r="AH9" t="b">
            <v>1</v>
          </cell>
          <cell r="AI9" t="b">
            <v>1</v>
          </cell>
          <cell r="AK9">
            <v>44.938712000000002</v>
          </cell>
          <cell r="AL9">
            <v>49.056160000000006</v>
          </cell>
          <cell r="AM9">
            <v>11200</v>
          </cell>
          <cell r="AN9">
            <v>1.0076359999999999E-2</v>
          </cell>
          <cell r="AO9">
            <v>1.3500000000000002E-2</v>
          </cell>
          <cell r="AP9">
            <v>0.45281864004832001</v>
          </cell>
          <cell r="AQ9">
            <v>0.60667261200000011</v>
          </cell>
          <cell r="AR9">
            <v>662.25815999999998</v>
          </cell>
          <cell r="AS9">
            <v>0.28782381685619196</v>
          </cell>
          <cell r="AT9">
            <v>3222.4954398872283</v>
          </cell>
          <cell r="AU9">
            <v>319807.4939648076</v>
          </cell>
          <cell r="AV9">
            <v>0.30961230846350374</v>
          </cell>
          <cell r="AW9">
            <v>3466.4409049064229</v>
          </cell>
          <cell r="AX9">
            <v>344017.17533974798</v>
          </cell>
          <cell r="AY9">
            <v>144814.79449440548</v>
          </cell>
          <cell r="AZ9">
            <v>155777.38949060914</v>
          </cell>
          <cell r="BA9">
            <v>10962.594996203668</v>
          </cell>
          <cell r="BB9">
            <v>62.413026548675191</v>
          </cell>
          <cell r="BC9">
            <v>75.480952087218327</v>
          </cell>
          <cell r="BD9">
            <v>1.6796420887011252</v>
          </cell>
          <cell r="BE9">
            <v>166.69135369331042</v>
          </cell>
          <cell r="BF9">
            <v>2.02773475</v>
          </cell>
          <cell r="BG9">
            <v>447.84277758324811</v>
          </cell>
          <cell r="BH9">
            <v>622.71706126880883</v>
          </cell>
          <cell r="BI9"/>
          <cell r="BJ9">
            <v>82.959254370837584</v>
          </cell>
          <cell r="BK9">
            <v>15.286521258132298</v>
          </cell>
          <cell r="BL9">
            <v>1153.5190932228948</v>
          </cell>
          <cell r="BM9">
            <v>1168.8056144810271</v>
          </cell>
          <cell r="BN9">
            <v>20125.477603093645</v>
          </cell>
          <cell r="BO9">
            <v>27984.102673845355</v>
          </cell>
          <cell r="BP9">
            <v>0</v>
          </cell>
          <cell r="BQ9">
            <v>3728.0820399058116</v>
          </cell>
          <cell r="BR9">
            <v>686.95657630108508</v>
          </cell>
          <cell r="BS9">
            <v>51837.662316844813</v>
          </cell>
          <cell r="BT9">
            <v>52524.618893145896</v>
          </cell>
          <cell r="BU9">
            <v>-579.70135923031671</v>
          </cell>
          <cell r="BV9">
            <v>102.75092553284537</v>
          </cell>
          <cell r="BW9">
            <v>-245.44540339803655</v>
          </cell>
          <cell r="BX9">
            <v>-437.00688136512588</v>
          </cell>
          <cell r="BZ9">
            <v>0.86238215769533311</v>
          </cell>
          <cell r="CA9">
            <v>-1.4876317675713896E-3</v>
          </cell>
          <cell r="CB9">
            <v>263.37489642559882</v>
          </cell>
          <cell r="CC9" t="str">
            <v>—</v>
          </cell>
          <cell r="CD9" t="e">
            <v>#VALUE!</v>
          </cell>
          <cell r="CE9">
            <v>0</v>
          </cell>
          <cell r="CF9">
            <v>0</v>
          </cell>
          <cell r="CG9">
            <v>28.905435999999998</v>
          </cell>
          <cell r="CH9">
            <v>0.6432190579916931</v>
          </cell>
          <cell r="CI9">
            <v>63.834465818181677</v>
          </cell>
          <cell r="CJ9">
            <v>5.9932059999999998</v>
          </cell>
          <cell r="CK9">
            <v>0.13336399138453278</v>
          </cell>
          <cell r="CL9">
            <v>13.235334127059057</v>
          </cell>
          <cell r="CM9">
            <v>0.79710233333333336</v>
          </cell>
          <cell r="CN9">
            <v>1.7737542930321041E-2</v>
          </cell>
          <cell r="CO9">
            <v>1.7603125464275831</v>
          </cell>
          <cell r="CP9">
            <v>3.7420380000000004</v>
          </cell>
          <cell r="CQ9">
            <v>8.3269809780039991E-2</v>
          </cell>
          <cell r="CR9">
            <v>8.2638780055535914</v>
          </cell>
          <cell r="CS9">
            <v>0.52</v>
          </cell>
          <cell r="CT9">
            <v>8.3149935405358297E-2</v>
          </cell>
          <cell r="CU9">
            <v>0.24575092405852664</v>
          </cell>
          <cell r="CV9">
            <v>0.831499354053583</v>
          </cell>
          <cell r="CW9">
            <v>0</v>
          </cell>
          <cell r="CX9">
            <v>0</v>
          </cell>
          <cell r="CY9">
            <v>0</v>
          </cell>
          <cell r="CZ9">
            <v>48109.580276939007</v>
          </cell>
        </row>
        <row r="10">
          <cell r="B10" t="str">
            <v>ARM</v>
          </cell>
          <cell r="C10" t="str">
            <v>UMIC</v>
          </cell>
          <cell r="D10" t="str">
            <v>UMIC</v>
          </cell>
          <cell r="E10" t="str">
            <v/>
          </cell>
          <cell r="F10" t="str">
            <v xml:space="preserve"> </v>
          </cell>
          <cell r="G10" t="str">
            <v/>
          </cell>
          <cell r="H10" t="e">
            <v>#REF!</v>
          </cell>
          <cell r="I10" t="str">
            <v/>
          </cell>
          <cell r="J10" t="str">
            <v/>
          </cell>
          <cell r="K10" t="b">
            <v>1</v>
          </cell>
          <cell r="M10" t="str">
            <v/>
          </cell>
          <cell r="P10" t="str">
            <v/>
          </cell>
          <cell r="Q10" t="str">
            <v/>
          </cell>
          <cell r="R10" t="str">
            <v/>
          </cell>
          <cell r="S10" t="str">
            <v/>
          </cell>
          <cell r="T10" t="str">
            <v>YES</v>
          </cell>
          <cell r="U10" t="str">
            <v>YES</v>
          </cell>
          <cell r="V10" t="str">
            <v/>
          </cell>
          <cell r="W10" t="str">
            <v/>
          </cell>
          <cell r="X10" t="str">
            <v/>
          </cell>
          <cell r="Y10" t="str">
            <v/>
          </cell>
          <cell r="Z10" t="str">
            <v/>
          </cell>
          <cell r="AA10" t="str">
            <v/>
          </cell>
          <cell r="AB10" t="str">
            <v/>
          </cell>
          <cell r="AC10" t="str">
            <v/>
          </cell>
          <cell r="AD10" t="str">
            <v/>
          </cell>
          <cell r="AE10" t="str">
            <v/>
          </cell>
          <cell r="AF10" t="str">
            <v/>
          </cell>
          <cell r="AG10" t="b">
            <v>1</v>
          </cell>
          <cell r="AK10">
            <v>2.9577309999999999</v>
          </cell>
          <cell r="AL10">
            <v>2.9670100000000001</v>
          </cell>
          <cell r="AM10">
            <v>4680</v>
          </cell>
          <cell r="AN10">
            <v>2.0817269999999999E-2</v>
          </cell>
          <cell r="AO10">
            <v>8.7500010000000003E-3</v>
          </cell>
          <cell r="AP10">
            <v>6.1571884814369995E-2</v>
          </cell>
          <cell r="AQ10">
            <v>2.5880149207731001E-2</v>
          </cell>
          <cell r="AR10">
            <v>25.961340467010004</v>
          </cell>
          <cell r="AS10">
            <v>0.23601151802740014</v>
          </cell>
          <cell r="AT10">
            <v>1107.689375161048</v>
          </cell>
          <cell r="AU10">
            <v>53210.117136447196</v>
          </cell>
          <cell r="AV10">
            <v>0.31319882430069718</v>
          </cell>
          <cell r="AW10">
            <v>1469.9579617573454</v>
          </cell>
          <cell r="AX10">
            <v>70612.427170197887</v>
          </cell>
          <cell r="AY10">
            <v>3276.2472032844612</v>
          </cell>
          <cell r="AZ10">
            <v>4347.7402321865147</v>
          </cell>
          <cell r="BA10">
            <v>1071.4930289020535</v>
          </cell>
          <cell r="BB10">
            <v>319.2170821775743</v>
          </cell>
          <cell r="BC10">
            <v>298.33696259510566</v>
          </cell>
          <cell r="BD10">
            <v>100.86683427096841</v>
          </cell>
          <cell r="BE10">
            <v>4845.3439990435063</v>
          </cell>
          <cell r="BF10">
            <v>2.42379225</v>
          </cell>
          <cell r="BG10">
            <v>130.66498892787737</v>
          </cell>
          <cell r="BH10">
            <v>266.71565667040142</v>
          </cell>
          <cell r="BI10"/>
          <cell r="BJ10">
            <v>18.637248910012453</v>
          </cell>
          <cell r="BK10">
            <v>7.568734918166383</v>
          </cell>
          <cell r="BL10">
            <v>416.01789450829119</v>
          </cell>
          <cell r="BM10">
            <v>423.58662942645759</v>
          </cell>
          <cell r="BN10">
            <v>386.47188836663963</v>
          </cell>
          <cell r="BO10">
            <v>788.87316591940305</v>
          </cell>
          <cell r="BP10">
            <v>0</v>
          </cell>
          <cell r="BQ10">
            <v>55.123968855860042</v>
          </cell>
          <cell r="BR10">
            <v>22.386281898243173</v>
          </cell>
          <cell r="BS10">
            <v>1230.4690231419029</v>
          </cell>
          <cell r="BT10">
            <v>1252.855305040146</v>
          </cell>
          <cell r="BU10">
            <v>-318.96108637038151</v>
          </cell>
          <cell r="BV10">
            <v>46.221962406799605</v>
          </cell>
          <cell r="BW10">
            <v>-163.32660342359171</v>
          </cell>
          <cell r="BX10">
            <v>-201.85644535358935</v>
          </cell>
          <cell r="BZ10">
            <v>50.843155588710687</v>
          </cell>
          <cell r="CA10">
            <v>-0.15940237778620742</v>
          </cell>
          <cell r="CB10">
            <v>64.14157636738085</v>
          </cell>
          <cell r="CC10">
            <v>38951</v>
          </cell>
          <cell r="CE10">
            <v>0</v>
          </cell>
          <cell r="CF10">
            <v>0</v>
          </cell>
          <cell r="CG10">
            <v>30.687949</v>
          </cell>
          <cell r="CH10">
            <v>10.375503722279005</v>
          </cell>
          <cell r="CI10">
            <v>498.40847153728635</v>
          </cell>
          <cell r="CJ10">
            <v>15.891708333333334</v>
          </cell>
          <cell r="CK10">
            <v>5.3729390310793423</v>
          </cell>
          <cell r="CL10">
            <v>258.10007897670266</v>
          </cell>
          <cell r="CM10">
            <v>7.5283213333333334</v>
          </cell>
          <cell r="CN10">
            <v>2.5453029140693775</v>
          </cell>
          <cell r="CO10">
            <v>122.26881402169342</v>
          </cell>
          <cell r="CP10">
            <v>6.9351476666666674</v>
          </cell>
          <cell r="CQ10">
            <v>2.344752672459621</v>
          </cell>
          <cell r="CR10">
            <v>112.63497434868363</v>
          </cell>
          <cell r="CS10">
            <v>0.28000000000000003</v>
          </cell>
          <cell r="CT10">
            <v>6.930549127016622E-2</v>
          </cell>
          <cell r="CU10">
            <v>0.20871133987505963</v>
          </cell>
          <cell r="CV10">
            <v>0.6930549127016622</v>
          </cell>
          <cell r="CW10">
            <v>0</v>
          </cell>
          <cell r="CX10">
            <v>0</v>
          </cell>
          <cell r="CY10">
            <v>0</v>
          </cell>
          <cell r="CZ10">
            <v>1175.3450542860426</v>
          </cell>
        </row>
        <row r="11">
          <cell r="B11" t="str">
            <v>ASM</v>
          </cell>
          <cell r="C11" t="str">
            <v>UMIC</v>
          </cell>
          <cell r="D11" t="str">
            <v>UMIC</v>
          </cell>
          <cell r="E11" t="str">
            <v/>
          </cell>
          <cell r="F11" t="str">
            <v xml:space="preserve"> </v>
          </cell>
          <cell r="G11" t="str">
            <v/>
          </cell>
          <cell r="H11" t="e">
            <v>#REF!</v>
          </cell>
          <cell r="I11" t="str">
            <v/>
          </cell>
          <cell r="J11" t="str">
            <v/>
          </cell>
          <cell r="K11" t="b">
            <v>1</v>
          </cell>
          <cell r="M11" t="str">
            <v/>
          </cell>
          <cell r="O11" t="b">
            <v>1</v>
          </cell>
          <cell r="P11" t="str">
            <v/>
          </cell>
          <cell r="Q11" t="str">
            <v/>
          </cell>
          <cell r="R11" t="str">
            <v>YES</v>
          </cell>
          <cell r="S11" t="str">
            <v/>
          </cell>
          <cell r="T11" t="str">
            <v>YES</v>
          </cell>
          <cell r="U11" t="str">
            <v/>
          </cell>
          <cell r="V11" t="str">
            <v>YES</v>
          </cell>
          <cell r="W11" t="str">
            <v/>
          </cell>
          <cell r="X11" t="str">
            <v/>
          </cell>
          <cell r="Y11" t="str">
            <v/>
          </cell>
          <cell r="Z11" t="str">
            <v/>
          </cell>
          <cell r="AA11" t="str">
            <v/>
          </cell>
          <cell r="AB11" t="str">
            <v/>
          </cell>
          <cell r="AC11" t="str">
            <v/>
          </cell>
          <cell r="AD11" t="str">
            <v/>
          </cell>
          <cell r="AE11" t="str">
            <v/>
          </cell>
          <cell r="AF11" t="str">
            <v/>
          </cell>
          <cell r="AG11" t="str">
            <v/>
          </cell>
          <cell r="AH11" t="b">
            <v>1</v>
          </cell>
          <cell r="AI11" t="b">
            <v>1</v>
          </cell>
          <cell r="AK11">
            <v>5.5312E-2</v>
          </cell>
          <cell r="AL11">
            <v>5.4734000000000005E-2</v>
          </cell>
          <cell r="AM11">
            <v>11466.6907058505</v>
          </cell>
          <cell r="AN11">
            <v>6.4239129999999992E-2</v>
          </cell>
          <cell r="AO11">
            <v>5.8217390000000001E-2</v>
          </cell>
          <cell r="AP11">
            <v>3.5531947585599995E-3</v>
          </cell>
          <cell r="AQ11">
            <v>3.22012027568E-3</v>
          </cell>
          <cell r="AR11">
            <v>3.1864706242600001</v>
          </cell>
          <cell r="AS11">
            <v>0.25</v>
          </cell>
          <cell r="AT11">
            <v>2866.6726764626251</v>
          </cell>
          <cell r="AU11">
            <v>44625.023353563869</v>
          </cell>
          <cell r="AV11">
            <v>0.30427408412483037</v>
          </cell>
          <cell r="AW11">
            <v>3489.0168124653655</v>
          </cell>
          <cell r="AX11">
            <v>54312.952439819252</v>
          </cell>
          <cell r="AY11">
            <v>158.56139908050071</v>
          </cell>
          <cell r="AZ11">
            <v>192.98449793108432</v>
          </cell>
          <cell r="BA11">
            <v>34.423098850583614</v>
          </cell>
          <cell r="BB11">
            <v>0</v>
          </cell>
          <cell r="BC11">
            <v>0</v>
          </cell>
          <cell r="BD11">
            <v>0</v>
          </cell>
          <cell r="BE11">
            <v>0</v>
          </cell>
          <cell r="BF11">
            <v>0</v>
          </cell>
          <cell r="BG11">
            <v>458.66762823402001</v>
          </cell>
          <cell r="BH11">
            <v>408.65074472120216</v>
          </cell>
          <cell r="BI11"/>
          <cell r="BJ11">
            <v>0</v>
          </cell>
          <cell r="BK11">
            <v>869.19439374030742</v>
          </cell>
          <cell r="BL11">
            <v>867.31837295522223</v>
          </cell>
          <cell r="BM11">
            <v>1736.5127666955295</v>
          </cell>
          <cell r="BN11">
            <v>25.369823852880113</v>
          </cell>
          <cell r="BO11">
            <v>22.603289992019135</v>
          </cell>
          <cell r="BP11">
            <v>0</v>
          </cell>
          <cell r="BQ11">
            <v>0</v>
          </cell>
          <cell r="BR11">
            <v>48.076880306563886</v>
          </cell>
          <cell r="BS11">
            <v>47.973113844899245</v>
          </cell>
          <cell r="BT11">
            <v>96.049994151463125</v>
          </cell>
          <cell r="BU11">
            <v>-877.19003327746054</v>
          </cell>
          <cell r="BV11">
            <v>-114.70177714860267</v>
          </cell>
          <cell r="BW11">
            <v>-239.13573425905309</v>
          </cell>
          <cell r="BX11">
            <v>-523.35252186980483</v>
          </cell>
          <cell r="BZ11">
            <v>0</v>
          </cell>
          <cell r="CA11">
            <v>0</v>
          </cell>
          <cell r="CB11">
            <v>149.80716971760569</v>
          </cell>
          <cell r="CC11" t="e">
            <v>#N/A</v>
          </cell>
          <cell r="CD11" t="e">
            <v>#N/A</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t="str">
            <v/>
          </cell>
          <cell r="CT11">
            <v>7.1532445963201033E-2</v>
          </cell>
          <cell r="CU11" t="str">
            <v/>
          </cell>
          <cell r="CV11">
            <v>0.7153244596320103</v>
          </cell>
          <cell r="CW11">
            <v>0</v>
          </cell>
          <cell r="CX11">
            <v>0</v>
          </cell>
          <cell r="CY11">
            <v>0</v>
          </cell>
          <cell r="CZ11">
            <v>47.973113844899252</v>
          </cell>
        </row>
        <row r="12">
          <cell r="B12" t="str">
            <v>ATG</v>
          </cell>
          <cell r="C12" t="str">
            <v>HIC</v>
          </cell>
          <cell r="D12" t="str">
            <v>HIC</v>
          </cell>
          <cell r="E12" t="str">
            <v/>
          </cell>
          <cell r="F12" t="str">
            <v xml:space="preserve"> </v>
          </cell>
          <cell r="G12" t="str">
            <v/>
          </cell>
          <cell r="H12" t="e">
            <v>#REF!</v>
          </cell>
          <cell r="I12" t="str">
            <v/>
          </cell>
          <cell r="J12" t="str">
            <v/>
          </cell>
          <cell r="K12" t="str">
            <v/>
          </cell>
          <cell r="M12" t="str">
            <v/>
          </cell>
          <cell r="N12" t="b">
            <v>1</v>
          </cell>
          <cell r="O12" t="b">
            <v>1</v>
          </cell>
          <cell r="P12" t="str">
            <v/>
          </cell>
          <cell r="Q12" t="str">
            <v/>
          </cell>
          <cell r="R12" t="str">
            <v/>
          </cell>
          <cell r="S12" t="str">
            <v/>
          </cell>
          <cell r="T12" t="str">
            <v/>
          </cell>
          <cell r="U12" t="str">
            <v/>
          </cell>
          <cell r="V12" t="str">
            <v/>
          </cell>
          <cell r="W12" t="str">
            <v/>
          </cell>
          <cell r="X12" t="str">
            <v>YES</v>
          </cell>
          <cell r="Y12" t="str">
            <v/>
          </cell>
          <cell r="Z12" t="str">
            <v>YES</v>
          </cell>
          <cell r="AA12" t="str">
            <v/>
          </cell>
          <cell r="AB12" t="str">
            <v/>
          </cell>
          <cell r="AC12" t="str">
            <v/>
          </cell>
          <cell r="AD12" t="str">
            <v/>
          </cell>
          <cell r="AE12" t="str">
            <v>YES</v>
          </cell>
          <cell r="AF12" t="str">
            <v>YES</v>
          </cell>
          <cell r="AK12">
            <v>9.7117999999999996E-2</v>
          </cell>
          <cell r="AL12">
            <v>0.10485899999999999</v>
          </cell>
          <cell r="AM12">
            <v>16660</v>
          </cell>
          <cell r="AN12">
            <v>9.999999999999999E-14</v>
          </cell>
          <cell r="AO12">
            <v>9.999999999999999E-14</v>
          </cell>
          <cell r="AP12">
            <v>9.7117999999999982E-15</v>
          </cell>
          <cell r="AQ12">
            <v>9.7117999999999982E-15</v>
          </cell>
          <cell r="AR12">
            <v>1.0485899999999999E-11</v>
          </cell>
          <cell r="AS12">
            <v>0.21830509073107285</v>
          </cell>
          <cell r="AT12">
            <v>3955.9465884499441</v>
          </cell>
          <cell r="AU12">
            <v>3.9559465884499448E+16</v>
          </cell>
          <cell r="AV12">
            <v>0.25969589371094459</v>
          </cell>
          <cell r="AW12">
            <v>4705.9969207307258</v>
          </cell>
          <cell r="AX12">
            <v>4.7059969207307264E+16</v>
          </cell>
          <cell r="AY12">
            <v>384.19362077708166</v>
          </cell>
          <cell r="AZ12">
            <v>457.0370089475266</v>
          </cell>
          <cell r="BA12">
            <v>72.843388170444939</v>
          </cell>
          <cell r="BB12">
            <v>4.3583305927892431</v>
          </cell>
          <cell r="BC12">
            <v>8.1316320867950633</v>
          </cell>
          <cell r="BD12">
            <v>83.729402240522489</v>
          </cell>
          <cell r="BE12">
            <v>837294022405225</v>
          </cell>
          <cell r="BF12">
            <v>2.5928007499999999</v>
          </cell>
          <cell r="BG12">
            <v>724.84733639550757</v>
          </cell>
          <cell r="BH12">
            <v>517.16397119867759</v>
          </cell>
          <cell r="BI12"/>
          <cell r="BJ12">
            <v>0</v>
          </cell>
          <cell r="BK12">
            <v>202.14901624708617</v>
          </cell>
          <cell r="BL12">
            <v>1242.0113075941852</v>
          </cell>
          <cell r="BM12">
            <v>1444.1603238412713</v>
          </cell>
          <cell r="BN12">
            <v>70.395723616058902</v>
          </cell>
          <cell r="BO12">
            <v>50.225930554873166</v>
          </cell>
          <cell r="BP12">
            <v>0</v>
          </cell>
          <cell r="BQ12">
            <v>0</v>
          </cell>
          <cell r="BR12">
            <v>19.632308159884513</v>
          </cell>
          <cell r="BS12">
            <v>120.62165417093206</v>
          </cell>
          <cell r="BT12">
            <v>140.25396233081656</v>
          </cell>
          <cell r="BU12">
            <v>-1110.9871527711778</v>
          </cell>
          <cell r="BV12">
            <v>-188.73556691093131</v>
          </cell>
          <cell r="BW12">
            <v>-216.35204775063767</v>
          </cell>
          <cell r="BX12">
            <v>-705.8995381096089</v>
          </cell>
          <cell r="BZ12">
            <v>55.213414798467142</v>
          </cell>
          <cell r="CA12">
            <v>-4.9697617709391337E-2</v>
          </cell>
          <cell r="CB12">
            <v>238.39905194063226</v>
          </cell>
          <cell r="CC12" t="e">
            <v>#N/A</v>
          </cell>
          <cell r="CD12"/>
          <cell r="CE12">
            <v>0</v>
          </cell>
          <cell r="CF12">
            <v>0</v>
          </cell>
          <cell r="CG12">
            <v>0.20918666666666666</v>
          </cell>
          <cell r="CH12">
            <v>2.1539433129457635</v>
          </cell>
          <cell r="CI12">
            <v>21539433129457.637</v>
          </cell>
          <cell r="CJ12">
            <v>7.8965333333333332E-2</v>
          </cell>
          <cell r="CK12">
            <v>0.81308648585569443</v>
          </cell>
          <cell r="CL12">
            <v>8130864858556.9453</v>
          </cell>
          <cell r="CM12">
            <v>0</v>
          </cell>
          <cell r="CN12">
            <v>0</v>
          </cell>
          <cell r="CO12">
            <v>0</v>
          </cell>
          <cell r="CP12">
            <v>8.6152666666666669E-2</v>
          </cell>
          <cell r="CQ12">
            <v>0.8870926776361403</v>
          </cell>
          <cell r="CR12">
            <v>8870926776361.4043</v>
          </cell>
          <cell r="CS12" t="str">
            <v/>
          </cell>
          <cell r="CT12">
            <v>7.5732613933565354E-2</v>
          </cell>
          <cell r="CU12">
            <v>0.22031961119462923</v>
          </cell>
          <cell r="CV12">
            <v>0.75732613933565351</v>
          </cell>
          <cell r="CW12">
            <v>0</v>
          </cell>
          <cell r="CX12">
            <v>0</v>
          </cell>
          <cell r="CY12">
            <v>0</v>
          </cell>
          <cell r="CZ12">
            <v>120.62165417093208</v>
          </cell>
        </row>
        <row r="13">
          <cell r="B13" t="str">
            <v>AUS</v>
          </cell>
          <cell r="C13" t="str">
            <v>HIC</v>
          </cell>
          <cell r="D13" t="str">
            <v>HIC</v>
          </cell>
          <cell r="E13" t="str">
            <v/>
          </cell>
          <cell r="F13" t="str">
            <v xml:space="preserve"> </v>
          </cell>
          <cell r="G13" t="str">
            <v/>
          </cell>
          <cell r="H13" t="e">
            <v>#REF!</v>
          </cell>
          <cell r="I13" t="str">
            <v/>
          </cell>
          <cell r="J13" t="str">
            <v/>
          </cell>
          <cell r="K13" t="str">
            <v/>
          </cell>
          <cell r="M13" t="str">
            <v/>
          </cell>
          <cell r="O13" t="b">
            <v>1</v>
          </cell>
          <cell r="P13" t="str">
            <v/>
          </cell>
          <cell r="Q13" t="str">
            <v/>
          </cell>
          <cell r="R13" t="str">
            <v/>
          </cell>
          <cell r="S13" t="str">
            <v/>
          </cell>
          <cell r="T13" t="str">
            <v/>
          </cell>
          <cell r="U13" t="str">
            <v/>
          </cell>
          <cell r="V13" t="str">
            <v/>
          </cell>
          <cell r="W13" t="str">
            <v/>
          </cell>
          <cell r="X13" t="str">
            <v>YES</v>
          </cell>
          <cell r="Y13" t="str">
            <v/>
          </cell>
          <cell r="Z13" t="str">
            <v>YES</v>
          </cell>
          <cell r="AA13" t="str">
            <v/>
          </cell>
          <cell r="AB13" t="str">
            <v/>
          </cell>
          <cell r="AC13" t="str">
            <v/>
          </cell>
          <cell r="AD13" t="str">
            <v/>
          </cell>
          <cell r="AE13" t="str">
            <v>YES</v>
          </cell>
          <cell r="AF13" t="str">
            <v>YES</v>
          </cell>
          <cell r="AG13" t="b">
            <v>1</v>
          </cell>
          <cell r="AH13" t="b">
            <v>1</v>
          </cell>
          <cell r="AI13" t="b">
            <v>1</v>
          </cell>
          <cell r="AK13">
            <v>25.364307</v>
          </cell>
          <cell r="AL13">
            <v>28.177479999999999</v>
          </cell>
          <cell r="AM13">
            <v>54910</v>
          </cell>
          <cell r="AN13">
            <v>4.9848380000000001E-3</v>
          </cell>
          <cell r="AO13">
            <v>4.0000000000000001E-3</v>
          </cell>
          <cell r="AP13">
            <v>0.12643696137726601</v>
          </cell>
          <cell r="AQ13">
            <v>0.101457228</v>
          </cell>
          <cell r="AR13">
            <v>112.70992</v>
          </cell>
          <cell r="AS13">
            <v>0.36748730036776789</v>
          </cell>
          <cell r="AT13">
            <v>20796.54112077472</v>
          </cell>
          <cell r="AU13">
            <v>4171959.2734557712</v>
          </cell>
          <cell r="AV13">
            <v>0.46363434119997654</v>
          </cell>
          <cell r="AW13">
            <v>26237.615917935818</v>
          </cell>
          <cell r="AX13">
            <v>5263484.1729933489</v>
          </cell>
          <cell r="AY13">
            <v>527489.85352545406</v>
          </cell>
          <cell r="AZ13">
            <v>665498.94509061088</v>
          </cell>
          <cell r="BA13">
            <v>138009.09156515682</v>
          </cell>
          <cell r="BB13">
            <v>0</v>
          </cell>
          <cell r="BC13">
            <v>0</v>
          </cell>
          <cell r="BD13">
            <v>0</v>
          </cell>
          <cell r="BE13">
            <v>0</v>
          </cell>
          <cell r="BF13">
            <v>0</v>
          </cell>
          <cell r="BG13">
            <v>2263.6473260395446</v>
          </cell>
          <cell r="BH13">
            <v>1812.8750573504365</v>
          </cell>
          <cell r="BI13"/>
          <cell r="BJ13">
            <v>0</v>
          </cell>
          <cell r="BK13">
            <v>0.23483991507280788</v>
          </cell>
          <cell r="BL13">
            <v>4076.5223833899809</v>
          </cell>
          <cell r="BM13">
            <v>4076.7572233050537</v>
          </cell>
          <cell r="BN13">
            <v>57415.845717396107</v>
          </cell>
          <cell r="BO13">
            <v>45982.319507279077</v>
          </cell>
          <cell r="BP13">
            <v>0</v>
          </cell>
          <cell r="BQ13">
            <v>0</v>
          </cell>
          <cell r="BR13">
            <v>5.9565517017606266</v>
          </cell>
          <cell r="BS13">
            <v>103398.16522467518</v>
          </cell>
          <cell r="BT13">
            <v>103404.12177637694</v>
          </cell>
          <cell r="BU13">
            <v>-9042.2855755779274</v>
          </cell>
          <cell r="BV13">
            <v>-2122.7673303399361</v>
          </cell>
          <cell r="BW13">
            <v>-2983.875857547619</v>
          </cell>
          <cell r="BX13">
            <v>-3935.6423876903727</v>
          </cell>
          <cell r="BZ13">
            <v>0</v>
          </cell>
          <cell r="CA13">
            <v>0</v>
          </cell>
          <cell r="CB13">
            <v>820.13464705027843</v>
          </cell>
          <cell r="CC13" t="e">
            <v>#N/A</v>
          </cell>
          <cell r="CD13" t="e">
            <v>#N/A</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t="str">
            <v/>
          </cell>
          <cell r="CT13">
            <v>6.5829001360060813E-2</v>
          </cell>
          <cell r="CU13">
            <v>0.1939555454836594</v>
          </cell>
          <cell r="CV13">
            <v>0.65829001360060813</v>
          </cell>
          <cell r="CW13" t="e">
            <v>#N/A</v>
          </cell>
          <cell r="CX13" t="e">
            <v>#N/A</v>
          </cell>
          <cell r="CY13" t="e">
            <v>#N/A</v>
          </cell>
          <cell r="CZ13">
            <v>103398.16522467518</v>
          </cell>
        </row>
        <row r="14">
          <cell r="B14" t="str">
            <v>AZE</v>
          </cell>
          <cell r="C14" t="str">
            <v>UMIC</v>
          </cell>
          <cell r="D14" t="str">
            <v>UMIC</v>
          </cell>
          <cell r="E14" t="str">
            <v/>
          </cell>
          <cell r="F14" t="str">
            <v xml:space="preserve"> </v>
          </cell>
          <cell r="G14" t="str">
            <v/>
          </cell>
          <cell r="H14" t="e">
            <v>#REF!</v>
          </cell>
          <cell r="I14" t="str">
            <v/>
          </cell>
          <cell r="J14" t="str">
            <v/>
          </cell>
          <cell r="K14" t="b">
            <v>1</v>
          </cell>
          <cell r="M14" t="str">
            <v/>
          </cell>
          <cell r="P14" t="str">
            <v/>
          </cell>
          <cell r="Q14" t="str">
            <v/>
          </cell>
          <cell r="R14" t="str">
            <v/>
          </cell>
          <cell r="S14" t="str">
            <v/>
          </cell>
          <cell r="T14" t="str">
            <v>YES</v>
          </cell>
          <cell r="U14" t="str">
            <v>YES</v>
          </cell>
          <cell r="V14" t="str">
            <v/>
          </cell>
          <cell r="W14" t="str">
            <v/>
          </cell>
          <cell r="X14" t="str">
            <v/>
          </cell>
          <cell r="Y14" t="str">
            <v/>
          </cell>
          <cell r="Z14" t="str">
            <v/>
          </cell>
          <cell r="AA14" t="str">
            <v/>
          </cell>
          <cell r="AB14" t="str">
            <v/>
          </cell>
          <cell r="AC14" t="str">
            <v/>
          </cell>
          <cell r="AD14" t="str">
            <v/>
          </cell>
          <cell r="AE14" t="str">
            <v/>
          </cell>
          <cell r="AF14" t="str">
            <v/>
          </cell>
          <cell r="AK14">
            <v>10.023318</v>
          </cell>
          <cell r="AL14">
            <v>10.739739999999999</v>
          </cell>
          <cell r="AM14">
            <v>4480</v>
          </cell>
          <cell r="AN14">
            <v>9.999999999999999E-14</v>
          </cell>
          <cell r="AO14">
            <v>9.999999999999999E-14</v>
          </cell>
          <cell r="AP14">
            <v>1.0023317999999999E-12</v>
          </cell>
          <cell r="AQ14">
            <v>1.0023317999999999E-12</v>
          </cell>
          <cell r="AR14">
            <v>1.0739739999999998E-9</v>
          </cell>
          <cell r="AS14">
            <v>0.38527366321691903</v>
          </cell>
          <cell r="AT14">
            <v>1849.9550177905446</v>
          </cell>
          <cell r="AU14">
            <v>1.8499550177905448E+16</v>
          </cell>
          <cell r="AV14">
            <v>0.41573427127022489</v>
          </cell>
          <cell r="AW14">
            <v>1996.216649698245</v>
          </cell>
          <cell r="AX14">
            <v>1.9962166496982452E+16</v>
          </cell>
          <cell r="AY14">
            <v>18542.687429010286</v>
          </cell>
          <cell r="AZ14">
            <v>20008.714276820112</v>
          </cell>
          <cell r="BA14">
            <v>1466.026847809826</v>
          </cell>
          <cell r="BB14">
            <v>190.42574416280502</v>
          </cell>
          <cell r="BC14">
            <v>206.61594312939403</v>
          </cell>
          <cell r="BD14">
            <v>20.613527689074019</v>
          </cell>
          <cell r="BE14">
            <v>206135276890740.22</v>
          </cell>
          <cell r="BF14">
            <v>1.0599500000000002</v>
          </cell>
          <cell r="BG14">
            <v>192.06659519303528</v>
          </cell>
          <cell r="BH14">
            <v>224.77375341938497</v>
          </cell>
          <cell r="BI14"/>
          <cell r="BJ14">
            <v>0</v>
          </cell>
          <cell r="BK14">
            <v>13.964516952464082</v>
          </cell>
          <cell r="BL14">
            <v>416.84034861242026</v>
          </cell>
          <cell r="BM14">
            <v>430.80486556488432</v>
          </cell>
          <cell r="BN14">
            <v>1925.1445607970641</v>
          </cell>
          <cell r="BO14">
            <v>2252.9788085760829</v>
          </cell>
          <cell r="BP14">
            <v>0</v>
          </cell>
          <cell r="BQ14">
            <v>0</v>
          </cell>
          <cell r="BR14">
            <v>139.97079413093837</v>
          </cell>
          <cell r="BS14">
            <v>4178.1233693731465</v>
          </cell>
          <cell r="BT14">
            <v>4318.0941635040845</v>
          </cell>
          <cell r="BU14">
            <v>-581.26797623670222</v>
          </cell>
          <cell r="BV14">
            <v>-74.658744035351759</v>
          </cell>
          <cell r="BW14">
            <v>-207.17673474661373</v>
          </cell>
          <cell r="BX14">
            <v>-299.43249745473673</v>
          </cell>
          <cell r="BZ14">
            <v>10.359638052458976</v>
          </cell>
          <cell r="CA14">
            <v>-1.7822482015146066E-2</v>
          </cell>
          <cell r="CB14">
            <v>44.093861088367369</v>
          </cell>
          <cell r="CC14" t="str">
            <v>—</v>
          </cell>
          <cell r="CD14" t="e">
            <v>#VALUE!</v>
          </cell>
          <cell r="CE14">
            <v>0</v>
          </cell>
          <cell r="CF14">
            <v>0</v>
          </cell>
          <cell r="CG14">
            <v>24.486278666666664</v>
          </cell>
          <cell r="CH14">
            <v>2.442931439136887</v>
          </cell>
          <cell r="CI14">
            <v>24429314391368.871</v>
          </cell>
          <cell r="CJ14">
            <v>8.8218289999999993</v>
          </cell>
          <cell r="CK14">
            <v>0.88013061144024363</v>
          </cell>
          <cell r="CL14">
            <v>8801306114402.4375</v>
          </cell>
          <cell r="CM14">
            <v>1.6851916666666664</v>
          </cell>
          <cell r="CN14">
            <v>0.16812712782999267</v>
          </cell>
          <cell r="CO14">
            <v>1681271278299.927</v>
          </cell>
          <cell r="CP14">
            <v>1.7160733333333333</v>
          </cell>
          <cell r="CQ14">
            <v>0.17120811026182481</v>
          </cell>
          <cell r="CR14">
            <v>1712081102618.2483</v>
          </cell>
          <cell r="CS14" t="str">
            <v/>
          </cell>
          <cell r="CT14">
            <v>8.2347781443230669E-2</v>
          </cell>
          <cell r="CU14">
            <v>0.23787123186154527</v>
          </cell>
          <cell r="CV14">
            <v>0.82347781443230672</v>
          </cell>
          <cell r="CW14">
            <v>0</v>
          </cell>
          <cell r="CX14">
            <v>0</v>
          </cell>
          <cell r="CY14">
            <v>0</v>
          </cell>
          <cell r="CZ14">
            <v>4178.1233693731465</v>
          </cell>
        </row>
        <row r="15">
          <cell r="B15" t="str">
            <v>BDI</v>
          </cell>
          <cell r="C15" t="str">
            <v>LIC</v>
          </cell>
          <cell r="D15" t="str">
            <v>VLIC</v>
          </cell>
          <cell r="E15" t="str">
            <v/>
          </cell>
          <cell r="F15" t="b">
            <v>1</v>
          </cell>
          <cell r="G15" t="b">
            <v>1</v>
          </cell>
          <cell r="H15" t="e">
            <v>#REF!</v>
          </cell>
          <cell r="I15" t="str">
            <v/>
          </cell>
          <cell r="J15" t="str">
            <v/>
          </cell>
          <cell r="K15" t="str">
            <v/>
          </cell>
          <cell r="M15" t="b">
            <v>1</v>
          </cell>
          <cell r="N15" t="b">
            <v>1</v>
          </cell>
          <cell r="O15" t="b">
            <v>1</v>
          </cell>
          <cell r="P15" t="b">
            <v>1</v>
          </cell>
          <cell r="Q15" t="b">
            <v>1</v>
          </cell>
          <cell r="R15" t="str">
            <v>YES</v>
          </cell>
          <cell r="S15" t="str">
            <v>YES</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b">
            <v>1</v>
          </cell>
          <cell r="AH15" t="b">
            <v>1</v>
          </cell>
          <cell r="AI15" t="b">
            <v>1</v>
          </cell>
          <cell r="AK15">
            <v>11.53058</v>
          </cell>
          <cell r="AL15">
            <v>15.772830000000001</v>
          </cell>
          <cell r="AM15">
            <v>280</v>
          </cell>
          <cell r="AN15">
            <v>0.7818653000000001</v>
          </cell>
          <cell r="AO15">
            <v>0.81224999999999992</v>
          </cell>
          <cell r="AP15">
            <v>9.015360390874001</v>
          </cell>
          <cell r="AQ15">
            <v>9.3657136049999998</v>
          </cell>
          <cell r="AR15">
            <v>12811.481167499998</v>
          </cell>
          <cell r="AS15">
            <v>0.17399999999999999</v>
          </cell>
          <cell r="AT15">
            <v>49.790902607678888</v>
          </cell>
          <cell r="AU15">
            <v>63.682200255822686</v>
          </cell>
          <cell r="AV15">
            <v>0.17399999999999999</v>
          </cell>
          <cell r="AW15">
            <v>49.790902607678888</v>
          </cell>
          <cell r="AX15">
            <v>63.682200255822686</v>
          </cell>
          <cell r="AY15">
            <v>574.11798579005006</v>
          </cell>
          <cell r="AZ15">
            <v>574.11798579004994</v>
          </cell>
          <cell r="BA15">
            <v>-1.1368683772161603E-13</v>
          </cell>
          <cell r="BB15">
            <v>326.79149661721999</v>
          </cell>
          <cell r="BC15">
            <v>329.35552224186068</v>
          </cell>
          <cell r="BD15">
            <v>28.563656142350226</v>
          </cell>
          <cell r="BE15">
            <v>36.532707286472778</v>
          </cell>
          <cell r="BF15">
            <v>141.5782145</v>
          </cell>
          <cell r="BG15">
            <v>59.13572723218072</v>
          </cell>
          <cell r="BH15">
            <v>51.306857287683513</v>
          </cell>
          <cell r="BI15"/>
          <cell r="BJ15">
            <v>293.55825010751778</v>
          </cell>
          <cell r="BK15">
            <v>13.577232815128259</v>
          </cell>
          <cell r="BL15">
            <v>404.00083462738201</v>
          </cell>
          <cell r="BM15">
            <v>417.57806744251025</v>
          </cell>
          <cell r="BN15">
            <v>681.86923370883835</v>
          </cell>
          <cell r="BO15">
            <v>591.59782250421779</v>
          </cell>
          <cell r="BP15">
            <v>0</v>
          </cell>
          <cell r="BQ15">
            <v>3384.8968875247424</v>
          </cell>
          <cell r="BR15">
            <v>156.5533691534616</v>
          </cell>
          <cell r="BS15">
            <v>4658.3639437377988</v>
          </cell>
          <cell r="BT15">
            <v>4814.9173128912607</v>
          </cell>
          <cell r="BU15">
            <v>379.10538332354258</v>
          </cell>
          <cell r="BV15">
            <v>43.838221896531678</v>
          </cell>
          <cell r="BW15">
            <v>49.17754671064494</v>
          </cell>
          <cell r="BX15">
            <v>286.08961471636593</v>
          </cell>
          <cell r="BZ15">
            <v>20.421077549518788</v>
          </cell>
          <cell r="CA15">
            <v>5.3866493191131196E-2</v>
          </cell>
          <cell r="CB15">
            <v>7.1765275424519883</v>
          </cell>
          <cell r="CC15">
            <v>7846</v>
          </cell>
          <cell r="CD15">
            <v>8.7029244088148588E-4</v>
          </cell>
          <cell r="CE15">
            <v>4371.3049508427739</v>
          </cell>
          <cell r="CF15">
            <v>163.39574830861</v>
          </cell>
          <cell r="CG15">
            <v>17.161067333333335</v>
          </cell>
          <cell r="CH15">
            <v>1.4883091165694471</v>
          </cell>
          <cell r="CI15">
            <v>1.9035364743382868</v>
          </cell>
          <cell r="CJ15">
            <v>154.101856</v>
          </cell>
          <cell r="CK15">
            <v>13.364623115229241</v>
          </cell>
          <cell r="CL15">
            <v>17.09325521317961</v>
          </cell>
          <cell r="CM15">
            <v>3.9837136666666666</v>
          </cell>
          <cell r="CN15">
            <v>0.34549117795173068</v>
          </cell>
          <cell r="CO15">
            <v>0.44188068961716376</v>
          </cell>
          <cell r="CP15">
            <v>56.949443333333335</v>
          </cell>
          <cell r="CQ15">
            <v>4.9389920830811054</v>
          </cell>
          <cell r="CR15">
            <v>6.3169347496059807</v>
          </cell>
          <cell r="CS15" t="str">
            <v/>
          </cell>
          <cell r="CT15">
            <v>0.17812113527680307</v>
          </cell>
          <cell r="CU15">
            <v>0.46665536339021974</v>
          </cell>
          <cell r="CV15">
            <v>1.7812113527680307</v>
          </cell>
          <cell r="CW15">
            <v>4240.799327101211</v>
          </cell>
          <cell r="CX15">
            <v>367.78716483483146</v>
          </cell>
          <cell r="CY15">
            <v>470.39709376388925</v>
          </cell>
          <cell r="CZ15">
            <v>1273.4670562130561</v>
          </cell>
        </row>
        <row r="16">
          <cell r="B16" t="str">
            <v>BEN</v>
          </cell>
          <cell r="C16" t="str">
            <v>LMIC</v>
          </cell>
          <cell r="D16" t="str">
            <v>LLMIC</v>
          </cell>
          <cell r="E16" t="str">
            <v>LMIC_LDC</v>
          </cell>
          <cell r="F16" t="b">
            <v>1</v>
          </cell>
          <cell r="G16" t="str">
            <v/>
          </cell>
          <cell r="H16" t="e">
            <v>#REF!</v>
          </cell>
          <cell r="I16" t="str">
            <v/>
          </cell>
          <cell r="J16" t="str">
            <v/>
          </cell>
          <cell r="K16" t="b">
            <v>1</v>
          </cell>
          <cell r="M16" t="str">
            <v/>
          </cell>
          <cell r="P16" t="b">
            <v>1</v>
          </cell>
          <cell r="Q16" t="b">
            <v>1</v>
          </cell>
          <cell r="R16" t="str">
            <v>YES</v>
          </cell>
          <cell r="S16" t="str">
            <v>YES</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b">
            <v>1</v>
          </cell>
          <cell r="AK16">
            <v>11.801151000000001</v>
          </cell>
          <cell r="AL16">
            <v>15.67231</v>
          </cell>
          <cell r="AM16">
            <v>1250</v>
          </cell>
          <cell r="AN16">
            <v>0.45123379999999996</v>
          </cell>
          <cell r="AO16">
            <v>0.39049999999999996</v>
          </cell>
          <cell r="AP16">
            <v>5.3250782101037997</v>
          </cell>
          <cell r="AQ16">
            <v>4.6083494654999999</v>
          </cell>
          <cell r="AR16">
            <v>6120.0370549999998</v>
          </cell>
          <cell r="AS16">
            <v>0.129</v>
          </cell>
          <cell r="AT16">
            <v>163.9326459884233</v>
          </cell>
          <cell r="AU16">
            <v>363.29868460302248</v>
          </cell>
          <cell r="AV16">
            <v>0.218</v>
          </cell>
          <cell r="AW16">
            <v>277.03346376338203</v>
          </cell>
          <cell r="AX16">
            <v>613.9466142903791</v>
          </cell>
          <cell r="AY16">
            <v>1934.5939091389278</v>
          </cell>
          <cell r="AZ16">
            <v>3269.3137379247</v>
          </cell>
          <cell r="BA16">
            <v>1334.7198287857723</v>
          </cell>
          <cell r="BB16">
            <v>494.82612357305305</v>
          </cell>
          <cell r="BC16">
            <v>530.39753302781708</v>
          </cell>
          <cell r="BD16">
            <v>44.944559477954058</v>
          </cell>
          <cell r="BE16">
            <v>99.60370760779459</v>
          </cell>
          <cell r="BF16">
            <v>8.7619260000000008</v>
          </cell>
          <cell r="BG16">
            <v>91.427986504610288</v>
          </cell>
          <cell r="BH16">
            <v>59.847609936797213</v>
          </cell>
          <cell r="BI16"/>
          <cell r="BJ16">
            <v>92.173144771078171</v>
          </cell>
          <cell r="BK16">
            <v>14.270439099884239</v>
          </cell>
          <cell r="BL16">
            <v>243.44874121248569</v>
          </cell>
          <cell r="BM16">
            <v>257.71918031236993</v>
          </cell>
          <cell r="BN16">
            <v>1078.9554743668682</v>
          </cell>
          <cell r="BO16">
            <v>706.27068185324435</v>
          </cell>
          <cell r="BP16">
            <v>0</v>
          </cell>
          <cell r="BQ16">
            <v>1087.749199588354</v>
          </cell>
          <cell r="BR16">
            <v>168.40760665403801</v>
          </cell>
          <cell r="BS16">
            <v>2872.9753558084667</v>
          </cell>
          <cell r="BT16">
            <v>3041.3829624625046</v>
          </cell>
          <cell r="BU16">
            <v>104.93200933079467</v>
          </cell>
          <cell r="BV16">
            <v>18.292590372289908</v>
          </cell>
          <cell r="BW16">
            <v>36.021293751933882</v>
          </cell>
          <cell r="BX16">
            <v>50.618125206570866</v>
          </cell>
          <cell r="BZ16">
            <v>22.843511578989926</v>
          </cell>
          <cell r="CA16">
            <v>0.21769821930100008</v>
          </cell>
          <cell r="CB16">
            <v>28.139113984896866</v>
          </cell>
          <cell r="CC16">
            <v>10932</v>
          </cell>
          <cell r="CE16">
            <v>1238.3184868461169</v>
          </cell>
          <cell r="CF16">
            <v>247.41306178652653</v>
          </cell>
          <cell r="CG16">
            <v>56.966742666666669</v>
          </cell>
          <cell r="CH16">
            <v>4.8272191980821759</v>
          </cell>
          <cell r="CI16">
            <v>10.697822720909153</v>
          </cell>
          <cell r="CJ16">
            <v>118.69590233333332</v>
          </cell>
          <cell r="CK16">
            <v>10.057993693440014</v>
          </cell>
          <cell r="CL16">
            <v>22.289982916705299</v>
          </cell>
          <cell r="CM16">
            <v>2.4436603333333333</v>
          </cell>
          <cell r="CN16">
            <v>0.2070696606910066</v>
          </cell>
          <cell r="CO16">
            <v>0.45889660901068718</v>
          </cell>
          <cell r="CP16">
            <v>33.950534666666663</v>
          </cell>
          <cell r="CQ16">
            <v>2.8768833367750877</v>
          </cell>
          <cell r="CR16">
            <v>6.3755936208127313</v>
          </cell>
          <cell r="CS16" t="str">
            <v/>
          </cell>
          <cell r="CT16">
            <v>0.16170702332340292</v>
          </cell>
          <cell r="CU16">
            <v>0.43089195282731318</v>
          </cell>
          <cell r="CV16">
            <v>1.6170702332340292</v>
          </cell>
          <cell r="CW16">
            <v>0</v>
          </cell>
          <cell r="CX16">
            <v>0</v>
          </cell>
          <cell r="CY16">
            <v>0</v>
          </cell>
          <cell r="CZ16">
            <v>1785.2261562201129</v>
          </cell>
        </row>
        <row r="17">
          <cell r="B17" t="str">
            <v>BFA</v>
          </cell>
          <cell r="C17" t="str">
            <v>LIC</v>
          </cell>
          <cell r="D17" t="str">
            <v>OLIC</v>
          </cell>
          <cell r="E17" t="str">
            <v>OLIC_LDC</v>
          </cell>
          <cell r="F17" t="b">
            <v>1</v>
          </cell>
          <cell r="G17" t="str">
            <v/>
          </cell>
          <cell r="H17" t="e">
            <v>#REF!</v>
          </cell>
          <cell r="I17" t="str">
            <v/>
          </cell>
          <cell r="J17" t="str">
            <v/>
          </cell>
          <cell r="K17" t="str">
            <v/>
          </cell>
          <cell r="M17" t="b">
            <v>1</v>
          </cell>
          <cell r="N17" t="b">
            <v>1</v>
          </cell>
          <cell r="O17" t="b">
            <v>1</v>
          </cell>
          <cell r="P17" t="b">
            <v>1</v>
          </cell>
          <cell r="Q17" t="b">
            <v>1</v>
          </cell>
          <cell r="R17" t="str">
            <v>YES</v>
          </cell>
          <cell r="S17" t="str">
            <v>YES</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b">
            <v>1</v>
          </cell>
          <cell r="AK17">
            <v>20.321377999999999</v>
          </cell>
          <cell r="AL17">
            <v>27.404040000000002</v>
          </cell>
          <cell r="AM17">
            <v>790</v>
          </cell>
          <cell r="AN17">
            <v>0.34817079999999995</v>
          </cell>
          <cell r="AO17">
            <v>0.22125</v>
          </cell>
          <cell r="AP17">
            <v>7.0753104353623986</v>
          </cell>
          <cell r="AQ17">
            <v>4.4961048825000001</v>
          </cell>
          <cell r="AR17">
            <v>6063.1438500000004</v>
          </cell>
          <cell r="AS17">
            <v>0.17358035478597136</v>
          </cell>
          <cell r="AT17">
            <v>143.95637363739328</v>
          </cell>
          <cell r="AU17">
            <v>413.46480990764678</v>
          </cell>
          <cell r="AV17">
            <v>0.19553867280708126</v>
          </cell>
          <cell r="AW17">
            <v>162.16718924145883</v>
          </cell>
          <cell r="AX17">
            <v>465.76906863372477</v>
          </cell>
          <cell r="AY17">
            <v>2925.3918841947034</v>
          </cell>
          <cell r="AZ17">
            <v>3295.4607517732179</v>
          </cell>
          <cell r="BA17">
            <v>370.06886757851453</v>
          </cell>
          <cell r="BB17">
            <v>931.7673169423233</v>
          </cell>
          <cell r="BC17">
            <v>915.27176210457867</v>
          </cell>
          <cell r="BD17">
            <v>45.039847302903311</v>
          </cell>
          <cell r="BE17">
            <v>129.36135742257341</v>
          </cell>
          <cell r="BF17">
            <v>50.404785250000003</v>
          </cell>
          <cell r="BG17">
            <v>105.52503068263522</v>
          </cell>
          <cell r="BH17">
            <v>112.91080741853975</v>
          </cell>
          <cell r="BI17"/>
          <cell r="BJ17">
            <v>105.73144567646973</v>
          </cell>
          <cell r="BK17">
            <v>18.033885399473121</v>
          </cell>
          <cell r="BL17">
            <v>324.16728377764468</v>
          </cell>
          <cell r="BM17">
            <v>342.20116917711778</v>
          </cell>
          <cell r="BN17">
            <v>2144.4140369634283</v>
          </cell>
          <cell r="BO17">
            <v>2294.5031978373504</v>
          </cell>
          <cell r="BP17">
            <v>0</v>
          </cell>
          <cell r="BQ17">
            <v>2148.608674078007</v>
          </cell>
          <cell r="BR17">
            <v>366.47340201137428</v>
          </cell>
          <cell r="BS17">
            <v>6587.5259088787861</v>
          </cell>
          <cell r="BT17">
            <v>6953.9993108901608</v>
          </cell>
          <cell r="BU17">
            <v>243.08368915691528</v>
          </cell>
          <cell r="BV17">
            <v>88.585729032320927</v>
          </cell>
          <cell r="BW17">
            <v>73.091592834343459</v>
          </cell>
          <cell r="BX17">
            <v>81.406367290250913</v>
          </cell>
          <cell r="BZ17">
            <v>23.76011477554767</v>
          </cell>
          <cell r="CA17">
            <v>9.7744586886741092E-2</v>
          </cell>
          <cell r="CB17">
            <v>14.974190574382986</v>
          </cell>
          <cell r="CC17">
            <v>702083</v>
          </cell>
          <cell r="CD17">
            <v>9.9229992297014916E-2</v>
          </cell>
          <cell r="CE17">
            <v>4939.795532992177</v>
          </cell>
          <cell r="CF17">
            <v>465.88365847116165</v>
          </cell>
          <cell r="CG17">
            <v>76.948707333333331</v>
          </cell>
          <cell r="CH17">
            <v>3.7865890459462608</v>
          </cell>
          <cell r="CI17">
            <v>10.875665179119736</v>
          </cell>
          <cell r="CJ17">
            <v>208.759615</v>
          </cell>
          <cell r="CK17">
            <v>10.27290644364767</v>
          </cell>
          <cell r="CL17">
            <v>29.505364733767657</v>
          </cell>
          <cell r="CM17">
            <v>4.5548349999999997</v>
          </cell>
          <cell r="CN17">
            <v>0.22414006569830058</v>
          </cell>
          <cell r="CO17">
            <v>0.64376468589066238</v>
          </cell>
          <cell r="CP17">
            <v>76.976788666666664</v>
          </cell>
          <cell r="CQ17">
            <v>3.7879709076159434</v>
          </cell>
          <cell r="CR17">
            <v>10.879634098022994</v>
          </cell>
          <cell r="CS17">
            <v>0.57999999999999996</v>
          </cell>
          <cell r="CT17">
            <v>0.17087827410129372</v>
          </cell>
          <cell r="CU17">
            <v>0.45640832034126821</v>
          </cell>
          <cell r="CV17">
            <v>1.7087827410129373</v>
          </cell>
          <cell r="CW17">
            <v>3658.5385591169429</v>
          </cell>
          <cell r="CX17">
            <v>180.03397993565903</v>
          </cell>
          <cell r="CY17">
            <v>517.08523499288015</v>
          </cell>
          <cell r="CZ17">
            <v>4438.9172348007787</v>
          </cell>
        </row>
        <row r="18">
          <cell r="B18" t="str">
            <v>BGD</v>
          </cell>
          <cell r="C18" t="str">
            <v>LMIC</v>
          </cell>
          <cell r="D18" t="str">
            <v>LLMIC</v>
          </cell>
          <cell r="E18" t="str">
            <v>LMIC_LDC</v>
          </cell>
          <cell r="F18" t="b">
            <v>1</v>
          </cell>
          <cell r="G18" t="str">
            <v/>
          </cell>
          <cell r="H18" t="e">
            <v>#REF!</v>
          </cell>
          <cell r="I18" t="str">
            <v/>
          </cell>
          <cell r="J18" t="str">
            <v/>
          </cell>
          <cell r="K18" t="b">
            <v>1</v>
          </cell>
          <cell r="M18" t="b">
            <v>1</v>
          </cell>
          <cell r="O18" t="b">
            <v>1</v>
          </cell>
          <cell r="P18" t="str">
            <v/>
          </cell>
          <cell r="Q18" t="str">
            <v/>
          </cell>
          <cell r="R18" t="str">
            <v>YES</v>
          </cell>
          <cell r="S18" t="str">
            <v/>
          </cell>
          <cell r="T18" t="str">
            <v>YES</v>
          </cell>
          <cell r="U18" t="str">
            <v/>
          </cell>
          <cell r="V18" t="str">
            <v>YES</v>
          </cell>
          <cell r="W18" t="str">
            <v/>
          </cell>
          <cell r="X18" t="str">
            <v>YES</v>
          </cell>
          <cell r="Y18" t="str">
            <v/>
          </cell>
          <cell r="Z18" t="str">
            <v>YES</v>
          </cell>
          <cell r="AA18" t="str">
            <v/>
          </cell>
          <cell r="AB18" t="str">
            <v/>
          </cell>
          <cell r="AC18" t="str">
            <v/>
          </cell>
          <cell r="AD18" t="str">
            <v>YES</v>
          </cell>
          <cell r="AE18" t="str">
            <v>YES</v>
          </cell>
          <cell r="AF18" t="str">
            <v/>
          </cell>
          <cell r="AG18" t="b">
            <v>1</v>
          </cell>
          <cell r="AH18" t="b">
            <v>1</v>
          </cell>
          <cell r="AK18">
            <v>163.04616100000001</v>
          </cell>
          <cell r="AL18">
            <v>178.9939</v>
          </cell>
          <cell r="AM18">
            <v>1940</v>
          </cell>
          <cell r="AN18">
            <v>7.8372700000000003E-2</v>
          </cell>
          <cell r="AO18">
            <v>1.4999999999999999E-2</v>
          </cell>
          <cell r="AP18">
            <v>12.778367862204702</v>
          </cell>
          <cell r="AQ18">
            <v>2.4456924149999999</v>
          </cell>
          <cell r="AR18">
            <v>2684.9085</v>
          </cell>
          <cell r="AS18">
            <v>8.3005520323631884E-2</v>
          </cell>
          <cell r="AT18">
            <v>161.75419415844715</v>
          </cell>
          <cell r="AU18">
            <v>2063.9099349447847</v>
          </cell>
          <cell r="AV18">
            <v>0.15</v>
          </cell>
          <cell r="AW18">
            <v>292.30741556907384</v>
          </cell>
          <cell r="AX18">
            <v>3729.7096510529027</v>
          </cell>
          <cell r="AY18">
            <v>26373.400383183438</v>
          </cell>
          <cell r="AZ18">
            <v>47659.601940369124</v>
          </cell>
          <cell r="BA18">
            <v>21286.201557185686</v>
          </cell>
          <cell r="BB18">
            <v>3382.6732096054898</v>
          </cell>
          <cell r="BC18">
            <v>3756.0010293406067</v>
          </cell>
          <cell r="BD18">
            <v>23.036427268843248</v>
          </cell>
          <cell r="BE18">
            <v>293.93433260361383</v>
          </cell>
          <cell r="BF18">
            <v>279.649045</v>
          </cell>
          <cell r="BG18">
            <v>43.024784461815969</v>
          </cell>
          <cell r="BH18">
            <v>59.847609936797213</v>
          </cell>
          <cell r="BI18"/>
          <cell r="BJ18">
            <v>13.765162706064219</v>
          </cell>
          <cell r="BK18">
            <v>12.512155529434111</v>
          </cell>
          <cell r="BL18">
            <v>116.6375571046774</v>
          </cell>
          <cell r="BM18">
            <v>129.14971263411149</v>
          </cell>
          <cell r="BN18">
            <v>7015.0259343515454</v>
          </cell>
          <cell r="BO18">
            <v>9757.9230452202391</v>
          </cell>
          <cell r="BP18">
            <v>0</v>
          </cell>
          <cell r="BQ18">
            <v>2244.3569347641424</v>
          </cell>
          <cell r="BR18">
            <v>2040.0589249091545</v>
          </cell>
          <cell r="BS18">
            <v>19017.305914335928</v>
          </cell>
          <cell r="BT18">
            <v>21057.364839245081</v>
          </cell>
          <cell r="BU18">
            <v>-29.516150679859521</v>
          </cell>
          <cell r="BV18">
            <v>16.001497601436135</v>
          </cell>
          <cell r="BW18">
            <v>-15.436698651998803</v>
          </cell>
          <cell r="BX18">
            <v>-30.08094962929686</v>
          </cell>
          <cell r="BZ18">
            <v>12.375789928413607</v>
          </cell>
          <cell r="CA18">
            <v>-0.41928875017087791</v>
          </cell>
          <cell r="CB18">
            <v>17.422629411607339</v>
          </cell>
          <cell r="CC18">
            <v>2500</v>
          </cell>
          <cell r="CD18">
            <v>1.9564313901107753E-4</v>
          </cell>
          <cell r="CE18">
            <v>0</v>
          </cell>
          <cell r="CF18">
            <v>0</v>
          </cell>
          <cell r="CG18">
            <v>624.79367366666668</v>
          </cell>
          <cell r="CH18">
            <v>3.8320048128374311</v>
          </cell>
          <cell r="CI18">
            <v>48.894638220163792</v>
          </cell>
          <cell r="CJ18">
            <v>459.79495866666667</v>
          </cell>
          <cell r="CK18">
            <v>2.8200293453500365</v>
          </cell>
          <cell r="CL18">
            <v>35.982291606006129</v>
          </cell>
          <cell r="CM18">
            <v>27.687770666666665</v>
          </cell>
          <cell r="CN18">
            <v>0.16981553258814025</v>
          </cell>
          <cell r="CO18">
            <v>2.1667689461782005</v>
          </cell>
          <cell r="CP18">
            <v>309.11700233333329</v>
          </cell>
          <cell r="CQ18">
            <v>1.8958864191431852</v>
          </cell>
          <cell r="CR18">
            <v>24.190648263275161</v>
          </cell>
          <cell r="CS18">
            <v>0.43</v>
          </cell>
          <cell r="CT18">
            <v>8.7878051909483473E-2</v>
          </cell>
          <cell r="CU18">
            <v>0.27024179980539376</v>
          </cell>
          <cell r="CV18">
            <v>0.87878051909483479</v>
          </cell>
          <cell r="CW18">
            <v>0</v>
          </cell>
          <cell r="CX18">
            <v>0</v>
          </cell>
          <cell r="CY18">
            <v>0</v>
          </cell>
          <cell r="CZ18">
            <v>16772.948979571785</v>
          </cell>
        </row>
        <row r="19">
          <cell r="B19" t="str">
            <v>BGR</v>
          </cell>
          <cell r="C19" t="str">
            <v>UMIC</v>
          </cell>
          <cell r="D19" t="str">
            <v>UMIC</v>
          </cell>
          <cell r="E19" t="str">
            <v/>
          </cell>
          <cell r="F19" t="str">
            <v xml:space="preserve"> </v>
          </cell>
          <cell r="G19" t="str">
            <v/>
          </cell>
          <cell r="H19" t="e">
            <v>#REF!</v>
          </cell>
          <cell r="I19" t="str">
            <v/>
          </cell>
          <cell r="J19" t="str">
            <v/>
          </cell>
          <cell r="K19" t="b">
            <v>1</v>
          </cell>
          <cell r="M19" t="str">
            <v/>
          </cell>
          <cell r="P19" t="str">
            <v/>
          </cell>
          <cell r="Q19" t="str">
            <v/>
          </cell>
          <cell r="R19" t="str">
            <v/>
          </cell>
          <cell r="S19" t="str">
            <v/>
          </cell>
          <cell r="T19" t="str">
            <v>YES</v>
          </cell>
          <cell r="U19" t="str">
            <v>YES</v>
          </cell>
          <cell r="V19" t="str">
            <v/>
          </cell>
          <cell r="W19" t="str">
            <v/>
          </cell>
          <cell r="X19" t="str">
            <v/>
          </cell>
          <cell r="Y19" t="str">
            <v/>
          </cell>
          <cell r="Z19" t="str">
            <v/>
          </cell>
          <cell r="AA19" t="str">
            <v/>
          </cell>
          <cell r="AB19" t="str">
            <v/>
          </cell>
          <cell r="AC19" t="str">
            <v/>
          </cell>
          <cell r="AD19" t="str">
            <v/>
          </cell>
          <cell r="AE19" t="str">
            <v/>
          </cell>
          <cell r="AF19" t="str">
            <v/>
          </cell>
          <cell r="AG19" t="b">
            <v>1</v>
          </cell>
          <cell r="AK19">
            <v>6.9757610000000003</v>
          </cell>
          <cell r="AL19">
            <v>6.4167479999999992</v>
          </cell>
          <cell r="AM19">
            <v>9410</v>
          </cell>
          <cell r="AN19">
            <v>1.328792E-2</v>
          </cell>
          <cell r="AO19">
            <v>5.5000000000000005E-3</v>
          </cell>
          <cell r="AP19">
            <v>9.2693354107119999E-2</v>
          </cell>
          <cell r="AQ19">
            <v>3.8366685500000004E-2</v>
          </cell>
          <cell r="AR19">
            <v>35.292113999999998</v>
          </cell>
          <cell r="AS19">
            <v>0.38845427238673258</v>
          </cell>
          <cell r="AT19">
            <v>3849.7023848802132</v>
          </cell>
          <cell r="AU19">
            <v>289714.44627001166</v>
          </cell>
          <cell r="AV19">
            <v>0.45398304296217196</v>
          </cell>
          <cell r="AW19">
            <v>4499.1128362380223</v>
          </cell>
          <cell r="AX19">
            <v>338586.68898051931</v>
          </cell>
          <cell r="AY19">
            <v>26854.603758054382</v>
          </cell>
          <cell r="AZ19">
            <v>31384.735857628584</v>
          </cell>
          <cell r="BA19">
            <v>4530.1320995742026</v>
          </cell>
          <cell r="BB19">
            <v>0</v>
          </cell>
          <cell r="BC19">
            <v>0</v>
          </cell>
          <cell r="BD19">
            <v>0</v>
          </cell>
          <cell r="BE19">
            <v>0</v>
          </cell>
          <cell r="BF19">
            <v>0</v>
          </cell>
          <cell r="BG19">
            <v>396.41241284097129</v>
          </cell>
          <cell r="BH19">
            <v>427.23249044530957</v>
          </cell>
          <cell r="BI19"/>
          <cell r="BJ19">
            <v>0</v>
          </cell>
          <cell r="BK19">
            <v>3.6224143068955805</v>
          </cell>
          <cell r="BL19">
            <v>823.64490328628085</v>
          </cell>
          <cell r="BM19">
            <v>827.26731759317647</v>
          </cell>
          <cell r="BN19">
            <v>2765.2782494119469</v>
          </cell>
          <cell r="BO19">
            <v>2980.2717447812634</v>
          </cell>
          <cell r="BP19">
            <v>0</v>
          </cell>
          <cell r="BQ19">
            <v>0</v>
          </cell>
          <cell r="BR19">
            <v>25.269096447884223</v>
          </cell>
          <cell r="BS19">
            <v>5745.5499941932103</v>
          </cell>
          <cell r="BT19">
            <v>5770.8190906410946</v>
          </cell>
          <cell r="BU19">
            <v>-1425.9115148327303</v>
          </cell>
          <cell r="BV19">
            <v>-247.6344349903938</v>
          </cell>
          <cell r="BW19">
            <v>-503.41015440663324</v>
          </cell>
          <cell r="BX19">
            <v>-674.86692543570337</v>
          </cell>
          <cell r="BZ19">
            <v>0</v>
          </cell>
          <cell r="CA19">
            <v>0</v>
          </cell>
          <cell r="CB19">
            <v>96.128317412934905</v>
          </cell>
          <cell r="CC19">
            <v>204635</v>
          </cell>
          <cell r="CD19">
            <v>2.2076555754311786</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0.39</v>
          </cell>
          <cell r="CT19">
            <v>4.4830951060393268E-2</v>
          </cell>
          <cell r="CU19">
            <v>0.14621988912750883</v>
          </cell>
          <cell r="CV19">
            <v>0.44830951060393265</v>
          </cell>
          <cell r="CW19">
            <v>0</v>
          </cell>
          <cell r="CX19">
            <v>0</v>
          </cell>
          <cell r="CY19">
            <v>0</v>
          </cell>
          <cell r="CZ19">
            <v>5745.5499941932103</v>
          </cell>
        </row>
        <row r="20">
          <cell r="B20" t="str">
            <v>BHS</v>
          </cell>
          <cell r="C20" t="str">
            <v>HIC</v>
          </cell>
          <cell r="D20" t="str">
            <v>HIC</v>
          </cell>
          <cell r="E20" t="str">
            <v/>
          </cell>
          <cell r="F20" t="str">
            <v xml:space="preserve"> </v>
          </cell>
          <cell r="G20" t="str">
            <v/>
          </cell>
          <cell r="H20" t="e">
            <v>#REF!</v>
          </cell>
          <cell r="I20" t="str">
            <v/>
          </cell>
          <cell r="J20" t="str">
            <v/>
          </cell>
          <cell r="K20" t="str">
            <v/>
          </cell>
          <cell r="M20" t="str">
            <v/>
          </cell>
          <cell r="N20" t="b">
            <v>1</v>
          </cell>
          <cell r="P20" t="str">
            <v/>
          </cell>
          <cell r="Q20" t="str">
            <v/>
          </cell>
          <cell r="R20" t="str">
            <v/>
          </cell>
          <cell r="S20" t="str">
            <v/>
          </cell>
          <cell r="T20" t="str">
            <v/>
          </cell>
          <cell r="U20" t="str">
            <v/>
          </cell>
          <cell r="V20" t="str">
            <v/>
          </cell>
          <cell r="W20" t="str">
            <v/>
          </cell>
          <cell r="X20" t="str">
            <v>YES</v>
          </cell>
          <cell r="Y20" t="str">
            <v/>
          </cell>
          <cell r="Z20" t="str">
            <v>YES</v>
          </cell>
          <cell r="AA20" t="str">
            <v/>
          </cell>
          <cell r="AB20" t="str">
            <v/>
          </cell>
          <cell r="AC20" t="str">
            <v/>
          </cell>
          <cell r="AD20" t="str">
            <v/>
          </cell>
          <cell r="AE20" t="str">
            <v>YES</v>
          </cell>
          <cell r="AF20" t="str">
            <v>YES</v>
          </cell>
          <cell r="AG20" t="str">
            <v/>
          </cell>
          <cell r="AH20" t="b">
            <v>1</v>
          </cell>
          <cell r="AI20" t="b">
            <v>1</v>
          </cell>
          <cell r="AK20">
            <v>0.38948199999999999</v>
          </cell>
          <cell r="AL20">
            <v>0.42681000000000002</v>
          </cell>
          <cell r="AM20">
            <v>31780</v>
          </cell>
          <cell r="AN20">
            <v>9.999999999999999E-14</v>
          </cell>
          <cell r="AO20">
            <v>9.999999999999999E-14</v>
          </cell>
          <cell r="AP20">
            <v>3.8948199999999997E-14</v>
          </cell>
          <cell r="AQ20">
            <v>3.8948199999999997E-14</v>
          </cell>
          <cell r="AR20">
            <v>4.2680999999999997E-11</v>
          </cell>
          <cell r="AS20">
            <v>0.16573166919210738</v>
          </cell>
          <cell r="AT20">
            <v>5657.3788132335085</v>
          </cell>
          <cell r="AU20">
            <v>5.6573788132335088E+16</v>
          </cell>
          <cell r="AV20">
            <v>0.16573166919210738</v>
          </cell>
          <cell r="AW20">
            <v>5657.3788132335085</v>
          </cell>
          <cell r="AX20">
            <v>5.6573788132335088E+16</v>
          </cell>
          <cell r="AY20">
            <v>2203.4472149358135</v>
          </cell>
          <cell r="AZ20">
            <v>2203.4472149358135</v>
          </cell>
          <cell r="BA20">
            <v>0</v>
          </cell>
          <cell r="BB20">
            <v>0</v>
          </cell>
          <cell r="BC20">
            <v>0</v>
          </cell>
          <cell r="BD20">
            <v>0</v>
          </cell>
          <cell r="BE20">
            <v>0</v>
          </cell>
          <cell r="BF20">
            <v>0</v>
          </cell>
          <cell r="BG20">
            <v>1365.4309621840048</v>
          </cell>
          <cell r="BH20">
            <v>1326.7179307323834</v>
          </cell>
          <cell r="BI20"/>
          <cell r="BJ20">
            <v>0</v>
          </cell>
          <cell r="BK20">
            <v>26.424396363911722</v>
          </cell>
          <cell r="BL20">
            <v>2692.1488929163879</v>
          </cell>
          <cell r="BM20">
            <v>2718.5732892802998</v>
          </cell>
          <cell r="BN20">
            <v>531.81078201335049</v>
          </cell>
          <cell r="BO20">
            <v>516.73275309751011</v>
          </cell>
          <cell r="BP20">
            <v>0</v>
          </cell>
          <cell r="BQ20">
            <v>0</v>
          </cell>
          <cell r="BR20">
            <v>10.291826744609065</v>
          </cell>
          <cell r="BS20">
            <v>1048.5435351108606</v>
          </cell>
          <cell r="BT20">
            <v>1058.8353618554697</v>
          </cell>
          <cell r="BU20">
            <v>-136.54051370036632</v>
          </cell>
          <cell r="BV20">
            <v>478.11110874735709</v>
          </cell>
          <cell r="BW20">
            <v>233.95519953730309</v>
          </cell>
          <cell r="BX20">
            <v>-848.60682198502627</v>
          </cell>
          <cell r="BZ20">
            <v>0</v>
          </cell>
          <cell r="CA20">
            <v>0</v>
          </cell>
          <cell r="CB20">
            <v>480.41553475582197</v>
          </cell>
          <cell r="CC20" t="e">
            <v>#N/A</v>
          </cell>
          <cell r="CD20" t="e">
            <v>#N/A</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t="str">
            <v/>
          </cell>
          <cell r="CT20">
            <v>6.9487165003774248E-2</v>
          </cell>
          <cell r="CU20">
            <v>0.21810250537893919</v>
          </cell>
          <cell r="CV20">
            <v>0.69487165003774254</v>
          </cell>
          <cell r="CW20" t="e">
            <v>#N/A</v>
          </cell>
          <cell r="CX20" t="e">
            <v>#N/A</v>
          </cell>
          <cell r="CY20" t="e">
            <v>#N/A</v>
          </cell>
          <cell r="CZ20">
            <v>1048.5435351108606</v>
          </cell>
        </row>
        <row r="21">
          <cell r="B21" t="str">
            <v>BIH</v>
          </cell>
          <cell r="C21" t="str">
            <v>UMIC</v>
          </cell>
          <cell r="D21" t="str">
            <v>UMIC</v>
          </cell>
          <cell r="E21" t="str">
            <v/>
          </cell>
          <cell r="F21" t="str">
            <v xml:space="preserve"> </v>
          </cell>
          <cell r="G21" t="str">
            <v/>
          </cell>
          <cell r="H21" t="e">
            <v>#REF!</v>
          </cell>
          <cell r="I21" t="str">
            <v/>
          </cell>
          <cell r="J21" t="str">
            <v/>
          </cell>
          <cell r="K21" t="b">
            <v>1</v>
          </cell>
          <cell r="M21" t="str">
            <v/>
          </cell>
          <cell r="N21" t="b">
            <v>1</v>
          </cell>
          <cell r="O21" t="b">
            <v>1</v>
          </cell>
          <cell r="P21" t="str">
            <v/>
          </cell>
          <cell r="Q21" t="str">
            <v/>
          </cell>
          <cell r="R21" t="str">
            <v/>
          </cell>
          <cell r="S21" t="str">
            <v/>
          </cell>
          <cell r="T21" t="str">
            <v>YES</v>
          </cell>
          <cell r="U21" t="str">
            <v>YES</v>
          </cell>
          <cell r="V21" t="str">
            <v/>
          </cell>
          <cell r="W21" t="str">
            <v/>
          </cell>
          <cell r="X21" t="str">
            <v/>
          </cell>
          <cell r="Y21" t="str">
            <v/>
          </cell>
          <cell r="Z21" t="str">
            <v/>
          </cell>
          <cell r="AA21" t="str">
            <v/>
          </cell>
          <cell r="AB21" t="str">
            <v/>
          </cell>
          <cell r="AC21" t="str">
            <v/>
          </cell>
          <cell r="AD21" t="str">
            <v/>
          </cell>
          <cell r="AE21" t="str">
            <v/>
          </cell>
          <cell r="AF21" t="str">
            <v/>
          </cell>
          <cell r="AK21">
            <v>3.3010000000000002</v>
          </cell>
          <cell r="AL21">
            <v>3.1266419999999999</v>
          </cell>
          <cell r="AM21">
            <v>6150</v>
          </cell>
          <cell r="AN21">
            <v>5.8986499999999996E-4</v>
          </cell>
          <cell r="AO21">
            <v>9.999999999999999E-14</v>
          </cell>
          <cell r="AP21">
            <v>1.9471443649999999E-3</v>
          </cell>
          <cell r="AQ21">
            <v>3.3009999999999998E-13</v>
          </cell>
          <cell r="AR21">
            <v>3.1266419999999998E-10</v>
          </cell>
          <cell r="AS21">
            <v>0.4297578866073995</v>
          </cell>
          <cell r="AT21">
            <v>2705.3977823103778</v>
          </cell>
          <cell r="AU21">
            <v>4586469.4164094804</v>
          </cell>
          <cell r="AV21">
            <v>0.51248305596093224</v>
          </cell>
          <cell r="AW21">
            <v>3226.1665609290976</v>
          </cell>
          <cell r="AX21">
            <v>5469330.3737789122</v>
          </cell>
          <cell r="AY21">
            <v>8930.5180794065582</v>
          </cell>
          <cell r="AZ21">
            <v>10649.575817626952</v>
          </cell>
          <cell r="BA21">
            <v>1719.0577382203937</v>
          </cell>
          <cell r="BB21">
            <v>328.98202517556268</v>
          </cell>
          <cell r="BC21">
            <v>340.78318172074472</v>
          </cell>
          <cell r="BD21">
            <v>103.23634708292781</v>
          </cell>
          <cell r="BE21">
            <v>175016.90570372512</v>
          </cell>
          <cell r="BF21">
            <v>37.564814249999998</v>
          </cell>
          <cell r="BG21">
            <v>251.80669084794374</v>
          </cell>
          <cell r="BH21">
            <v>332.92628367814746</v>
          </cell>
          <cell r="BI21"/>
          <cell r="BJ21">
            <v>0</v>
          </cell>
          <cell r="BK21">
            <v>6.1851510557994285</v>
          </cell>
          <cell r="BL21">
            <v>584.7329745260912</v>
          </cell>
          <cell r="BM21">
            <v>590.91812558189065</v>
          </cell>
          <cell r="BN21">
            <v>831.21388648906236</v>
          </cell>
          <cell r="BO21">
            <v>1098.9896624215648</v>
          </cell>
          <cell r="BP21">
            <v>0</v>
          </cell>
          <cell r="BQ21">
            <v>0</v>
          </cell>
          <cell r="BR21">
            <v>20.417183635193915</v>
          </cell>
          <cell r="BS21">
            <v>1930.2035489106272</v>
          </cell>
          <cell r="BT21">
            <v>1950.6207325458211</v>
          </cell>
          <cell r="BU21">
            <v>-1028.3503059384575</v>
          </cell>
          <cell r="BV21">
            <v>-150.99870046121714</v>
          </cell>
          <cell r="BW21">
            <v>-393.42662133787587</v>
          </cell>
          <cell r="BX21">
            <v>-483.9249841393646</v>
          </cell>
          <cell r="BZ21">
            <v>57.308087847734733</v>
          </cell>
          <cell r="CA21">
            <v>-5.5728176980932784E-2</v>
          </cell>
          <cell r="CB21">
            <v>172.39391684826813</v>
          </cell>
          <cell r="CC21" t="str">
            <v>—</v>
          </cell>
          <cell r="CD21" t="e">
            <v>#VALUE!</v>
          </cell>
          <cell r="CE21">
            <v>0</v>
          </cell>
          <cell r="CF21">
            <v>0</v>
          </cell>
          <cell r="CG21">
            <v>44.946546333333337</v>
          </cell>
          <cell r="CH21">
            <v>13.616039482984954</v>
          </cell>
          <cell r="CI21">
            <v>23083.314797428149</v>
          </cell>
          <cell r="CJ21">
            <v>36.084531000000005</v>
          </cell>
          <cell r="CK21">
            <v>10.931393820054531</v>
          </cell>
          <cell r="CL21">
            <v>18532.026514633912</v>
          </cell>
          <cell r="CM21">
            <v>29.620548666666664</v>
          </cell>
          <cell r="CN21">
            <v>8.9732046854488523</v>
          </cell>
          <cell r="CO21">
            <v>15212.302281791346</v>
          </cell>
          <cell r="CP21">
            <v>15.550183333333333</v>
          </cell>
          <cell r="CQ21">
            <v>4.710749267898616</v>
          </cell>
          <cell r="CR21">
            <v>7986.1481320278644</v>
          </cell>
          <cell r="CS21" t="str">
            <v/>
          </cell>
          <cell r="CT21">
            <v>4.0367767343229326E-2</v>
          </cell>
          <cell r="CU21">
            <v>0.14433565586186003</v>
          </cell>
          <cell r="CV21">
            <v>0.40367767343229327</v>
          </cell>
          <cell r="CW21">
            <v>0</v>
          </cell>
          <cell r="CX21">
            <v>0</v>
          </cell>
          <cell r="CY21">
            <v>0</v>
          </cell>
          <cell r="CZ21">
            <v>1930.2035489106272</v>
          </cell>
        </row>
        <row r="22">
          <cell r="B22" t="str">
            <v>BLR</v>
          </cell>
          <cell r="C22" t="str">
            <v>UMIC</v>
          </cell>
          <cell r="D22" t="str">
            <v>UMIC</v>
          </cell>
          <cell r="E22" t="str">
            <v/>
          </cell>
          <cell r="F22" t="str">
            <v xml:space="preserve"> </v>
          </cell>
          <cell r="G22" t="str">
            <v/>
          </cell>
          <cell r="H22" t="e">
            <v>#REF!</v>
          </cell>
          <cell r="I22" t="str">
            <v/>
          </cell>
          <cell r="J22" t="str">
            <v/>
          </cell>
          <cell r="K22" t="b">
            <v>1</v>
          </cell>
          <cell r="M22" t="str">
            <v/>
          </cell>
          <cell r="O22" t="b">
            <v>1</v>
          </cell>
          <cell r="P22" t="str">
            <v/>
          </cell>
          <cell r="Q22" t="str">
            <v/>
          </cell>
          <cell r="R22" t="str">
            <v/>
          </cell>
          <cell r="S22" t="str">
            <v/>
          </cell>
          <cell r="T22" t="str">
            <v>YES</v>
          </cell>
          <cell r="U22" t="str">
            <v>YES</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b">
            <v>1</v>
          </cell>
          <cell r="AI22" t="b">
            <v>1</v>
          </cell>
          <cell r="AK22">
            <v>9.4668559999999999</v>
          </cell>
          <cell r="AL22">
            <v>9.2647770000000005</v>
          </cell>
          <cell r="AM22">
            <v>6280</v>
          </cell>
          <cell r="AN22">
            <v>9.999999999999999E-14</v>
          </cell>
          <cell r="AO22">
            <v>9.999999999999999E-14</v>
          </cell>
          <cell r="AP22">
            <v>9.4668559999999996E-13</v>
          </cell>
          <cell r="AQ22">
            <v>9.4668559999999996E-13</v>
          </cell>
          <cell r="AR22">
            <v>9.2647769999999988E-10</v>
          </cell>
          <cell r="AS22">
            <v>0.43164438220082035</v>
          </cell>
          <cell r="AT22">
            <v>2909.0746662795996</v>
          </cell>
          <cell r="AU22">
            <v>2.9090746662796E+16</v>
          </cell>
          <cell r="AV22">
            <v>0.47083812262448133</v>
          </cell>
          <cell r="AW22">
            <v>3173.2215474734908</v>
          </cell>
          <cell r="AX22">
            <v>3.1732215474734912E+16</v>
          </cell>
          <cell r="AY22">
            <v>27539.790958917023</v>
          </cell>
          <cell r="AZ22">
            <v>30040.431446028699</v>
          </cell>
          <cell r="BA22">
            <v>2500.6404871116756</v>
          </cell>
          <cell r="BB22">
            <v>97.032900839768729</v>
          </cell>
          <cell r="BC22">
            <v>94.179955125819902</v>
          </cell>
          <cell r="BD22">
            <v>9.9483878413086568</v>
          </cell>
          <cell r="BE22">
            <v>99483878413086.578</v>
          </cell>
          <cell r="BF22">
            <v>0.41360649999999999</v>
          </cell>
          <cell r="BG22">
            <v>269.58068134209304</v>
          </cell>
          <cell r="BH22">
            <v>221.18580917336482</v>
          </cell>
          <cell r="BI22"/>
          <cell r="BJ22">
            <v>0</v>
          </cell>
          <cell r="BK22">
            <v>8.1339951271129092</v>
          </cell>
          <cell r="BL22">
            <v>490.76649051545786</v>
          </cell>
          <cell r="BM22">
            <v>498.90048564257074</v>
          </cell>
          <cell r="BN22">
            <v>2552.0814906474816</v>
          </cell>
          <cell r="BO22">
            <v>2093.9342046877236</v>
          </cell>
          <cell r="BP22">
            <v>0</v>
          </cell>
          <cell r="BQ22">
            <v>0</v>
          </cell>
          <cell r="BR22">
            <v>77.003360573079604</v>
          </cell>
          <cell r="BS22">
            <v>4646.0156953352052</v>
          </cell>
          <cell r="BT22">
            <v>4723.0190559082848</v>
          </cell>
          <cell r="BU22">
            <v>-1095.8442832212875</v>
          </cell>
          <cell r="BV22">
            <v>-254.79742294765879</v>
          </cell>
          <cell r="BW22">
            <v>-365.06362815260513</v>
          </cell>
          <cell r="BX22">
            <v>-475.9832321210236</v>
          </cell>
          <cell r="BZ22">
            <v>4.9960388974871863</v>
          </cell>
          <cell r="CA22">
            <v>-4.5590773926392969E-3</v>
          </cell>
          <cell r="CB22">
            <v>154.71921227071181</v>
          </cell>
          <cell r="CC22">
            <v>1490000</v>
          </cell>
          <cell r="CD22">
            <v>1573912183728.1565</v>
          </cell>
          <cell r="CE22">
            <v>0</v>
          </cell>
          <cell r="CF22">
            <v>0</v>
          </cell>
          <cell r="CG22">
            <v>40.682293999999999</v>
          </cell>
          <cell r="CH22">
            <v>4.2973394757456962</v>
          </cell>
          <cell r="CI22">
            <v>42973394757456.969</v>
          </cell>
          <cell r="CJ22">
            <v>11.600823999999999</v>
          </cell>
          <cell r="CK22">
            <v>1.2254146466366447</v>
          </cell>
          <cell r="CL22">
            <v>12254146466366.447</v>
          </cell>
          <cell r="CM22">
            <v>0.447438</v>
          </cell>
          <cell r="CN22">
            <v>4.726363219214489E-2</v>
          </cell>
          <cell r="CO22">
            <v>472636321921.44897</v>
          </cell>
          <cell r="CP22">
            <v>2.0615033333333335</v>
          </cell>
          <cell r="CQ22">
            <v>0.21776008141808997</v>
          </cell>
          <cell r="CR22">
            <v>2177600814180.8999</v>
          </cell>
          <cell r="CS22">
            <v>0.19</v>
          </cell>
          <cell r="CT22">
            <v>5.7898947654849715E-2</v>
          </cell>
          <cell r="CU22">
            <v>0.17208416395052381</v>
          </cell>
          <cell r="CV22">
            <v>0.5789894765484972</v>
          </cell>
          <cell r="CW22">
            <v>0</v>
          </cell>
          <cell r="CX22">
            <v>0</v>
          </cell>
          <cell r="CY22">
            <v>0</v>
          </cell>
          <cell r="CZ22">
            <v>4646.0156953352052</v>
          </cell>
        </row>
        <row r="23">
          <cell r="B23" t="str">
            <v>BLZ</v>
          </cell>
          <cell r="C23" t="str">
            <v>UMIC</v>
          </cell>
          <cell r="D23" t="str">
            <v>UMIC</v>
          </cell>
          <cell r="E23" t="str">
            <v/>
          </cell>
          <cell r="F23" t="str">
            <v xml:space="preserve"> </v>
          </cell>
          <cell r="G23" t="str">
            <v/>
          </cell>
          <cell r="H23" t="e">
            <v>#REF!</v>
          </cell>
          <cell r="I23" t="str">
            <v/>
          </cell>
          <cell r="J23" t="str">
            <v/>
          </cell>
          <cell r="K23" t="b">
            <v>1</v>
          </cell>
          <cell r="M23" t="str">
            <v/>
          </cell>
          <cell r="P23" t="str">
            <v/>
          </cell>
          <cell r="Q23" t="b">
            <v>1</v>
          </cell>
          <cell r="R23" t="str">
            <v/>
          </cell>
          <cell r="S23" t="str">
            <v/>
          </cell>
          <cell r="T23" t="str">
            <v>YES</v>
          </cell>
          <cell r="U23" t="str">
            <v>YES</v>
          </cell>
          <cell r="V23" t="str">
            <v/>
          </cell>
          <cell r="W23" t="str">
            <v/>
          </cell>
          <cell r="X23" t="str">
            <v>YES</v>
          </cell>
          <cell r="Y23" t="str">
            <v/>
          </cell>
          <cell r="Z23" t="str">
            <v>YES</v>
          </cell>
          <cell r="AA23" t="str">
            <v/>
          </cell>
          <cell r="AB23" t="str">
            <v/>
          </cell>
          <cell r="AC23" t="str">
            <v/>
          </cell>
          <cell r="AD23" t="str">
            <v/>
          </cell>
          <cell r="AE23" t="str">
            <v>YES</v>
          </cell>
          <cell r="AF23" t="str">
            <v>YES</v>
          </cell>
          <cell r="AG23" t="b">
            <v>1</v>
          </cell>
          <cell r="AK23">
            <v>0.39035300000000001</v>
          </cell>
          <cell r="AL23">
            <v>0.46764</v>
          </cell>
          <cell r="AM23">
            <v>4450</v>
          </cell>
          <cell r="AN23">
            <v>0.13918079999999999</v>
          </cell>
          <cell r="AO23">
            <v>0.23449999999999999</v>
          </cell>
          <cell r="AP23">
            <v>5.43296428224E-2</v>
          </cell>
          <cell r="AQ23">
            <v>9.15377785E-2</v>
          </cell>
          <cell r="AR23">
            <v>109.66157999999999</v>
          </cell>
          <cell r="AS23">
            <v>0.30559929283721443</v>
          </cell>
          <cell r="AT23">
            <v>1506.1962349641651</v>
          </cell>
          <cell r="AU23">
            <v>10821.86792261695</v>
          </cell>
          <cell r="AV23">
            <v>0.36525164019959866</v>
          </cell>
          <cell r="AW23">
            <v>1800.202612301752</v>
          </cell>
          <cell r="AX23">
            <v>12934.27406870597</v>
          </cell>
          <cell r="AY23">
            <v>587.94821890696676</v>
          </cell>
          <cell r="AZ23">
            <v>702.71449031982581</v>
          </cell>
          <cell r="BA23">
            <v>114.76627141285906</v>
          </cell>
          <cell r="BB23">
            <v>39.528947874468336</v>
          </cell>
          <cell r="BC23">
            <v>40.552369762177868</v>
          </cell>
          <cell r="BD23">
            <v>103.88640477254656</v>
          </cell>
          <cell r="BE23">
            <v>746.41333267624964</v>
          </cell>
          <cell r="BF23">
            <v>0.73004974999999994</v>
          </cell>
          <cell r="BG23">
            <v>197.14656025287084</v>
          </cell>
          <cell r="BH23">
            <v>268.6568561962149</v>
          </cell>
          <cell r="BI23"/>
          <cell r="BJ23">
            <v>76.22083512333414</v>
          </cell>
          <cell r="BK23">
            <v>45.884000135041802</v>
          </cell>
          <cell r="BL23">
            <v>542.02425157241987</v>
          </cell>
          <cell r="BM23">
            <v>587.90825170746166</v>
          </cell>
          <cell r="BN23">
            <v>76.956751234388889</v>
          </cell>
          <cell r="BO23">
            <v>104.87100978676108</v>
          </cell>
          <cell r="BP23">
            <v>0</v>
          </cell>
          <cell r="BQ23">
            <v>29.753031652898851</v>
          </cell>
          <cell r="BR23">
            <v>17.910957104713972</v>
          </cell>
          <cell r="BS23">
            <v>211.58079267404881</v>
          </cell>
          <cell r="BT23">
            <v>229.49174977876277</v>
          </cell>
          <cell r="BU23">
            <v>-358.07705457845611</v>
          </cell>
          <cell r="BV23">
            <v>-1.3735356490478807</v>
          </cell>
          <cell r="BW23">
            <v>-162.89396220747957</v>
          </cell>
          <cell r="BX23">
            <v>-193.80955672192863</v>
          </cell>
          <cell r="BZ23">
            <v>52.878317205424153</v>
          </cell>
          <cell r="CA23">
            <v>-0.14767301207745581</v>
          </cell>
          <cell r="CB23">
            <v>63.235065746826955</v>
          </cell>
          <cell r="CC23" t="str">
            <v>—</v>
          </cell>
          <cell r="CD23" t="e">
            <v>#VALUE!</v>
          </cell>
          <cell r="CE23">
            <v>0</v>
          </cell>
          <cell r="CF23">
            <v>0</v>
          </cell>
          <cell r="CG23">
            <v>1.913987333333333</v>
          </cell>
          <cell r="CH23">
            <v>4.9032217847264734</v>
          </cell>
          <cell r="CI23">
            <v>35.2291536241096</v>
          </cell>
          <cell r="CJ23">
            <v>3.8441900000000002</v>
          </cell>
          <cell r="CK23">
            <v>9.847983748043438</v>
          </cell>
          <cell r="CL23">
            <v>70.75676923859784</v>
          </cell>
          <cell r="CM23">
            <v>4.6169666666666664E-2</v>
          </cell>
          <cell r="CN23">
            <v>0.11827670510196325</v>
          </cell>
          <cell r="CO23">
            <v>0.84980618808027586</v>
          </cell>
          <cell r="CP23">
            <v>0.38864299999999996</v>
          </cell>
          <cell r="CQ23">
            <v>0.99561934966555898</v>
          </cell>
          <cell r="CR23">
            <v>7.1534245360391591</v>
          </cell>
          <cell r="CS23" t="str">
            <v/>
          </cell>
          <cell r="CT23">
            <v>0.1010521246154122</v>
          </cell>
          <cell r="CU23">
            <v>0.29743078700560771</v>
          </cell>
          <cell r="CV23">
            <v>1.010521246154122</v>
          </cell>
          <cell r="CW23">
            <v>0</v>
          </cell>
          <cell r="CX23">
            <v>0</v>
          </cell>
          <cell r="CY23">
            <v>0</v>
          </cell>
          <cell r="CZ23">
            <v>181.82776102114997</v>
          </cell>
        </row>
        <row r="24">
          <cell r="B24" t="str">
            <v>BOL</v>
          </cell>
          <cell r="C24" t="str">
            <v>LMIC</v>
          </cell>
          <cell r="D24" t="str">
            <v>ULMIC</v>
          </cell>
          <cell r="E24" t="str">
            <v>LMIC_nonLDC</v>
          </cell>
          <cell r="F24" t="str">
            <v xml:space="preserve"> </v>
          </cell>
          <cell r="G24" t="str">
            <v/>
          </cell>
          <cell r="H24" t="e">
            <v>#REF!</v>
          </cell>
          <cell r="I24" t="str">
            <v/>
          </cell>
          <cell r="J24" t="str">
            <v/>
          </cell>
          <cell r="K24" t="b">
            <v>1</v>
          </cell>
          <cell r="M24" t="str">
            <v/>
          </cell>
          <cell r="N24" t="b">
            <v>1</v>
          </cell>
          <cell r="O24" t="b">
            <v>1</v>
          </cell>
          <cell r="P24" t="str">
            <v/>
          </cell>
          <cell r="Q24" t="str">
            <v/>
          </cell>
          <cell r="R24" t="str">
            <v/>
          </cell>
          <cell r="S24" t="str">
            <v/>
          </cell>
          <cell r="T24" t="str">
            <v>YES</v>
          </cell>
          <cell r="U24" t="str">
            <v>YES</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K24">
            <v>11.5131</v>
          </cell>
          <cell r="AL24">
            <v>13.24038</v>
          </cell>
          <cell r="AM24">
            <v>3530</v>
          </cell>
          <cell r="AN24">
            <v>4.4849600000000003E-2</v>
          </cell>
          <cell r="AO24">
            <v>3.6000000000000004E-2</v>
          </cell>
          <cell r="AP24">
            <v>0.51635792976000006</v>
          </cell>
          <cell r="AQ24">
            <v>0.41447160000000005</v>
          </cell>
          <cell r="AR24">
            <v>476.65368000000007</v>
          </cell>
          <cell r="AS24">
            <v>0.32088513468900592</v>
          </cell>
          <cell r="AT24">
            <v>1185.0264077032186</v>
          </cell>
          <cell r="AU24">
            <v>26422.229132550092</v>
          </cell>
          <cell r="AV24">
            <v>0.32223587634102246</v>
          </cell>
          <cell r="AW24">
            <v>1190.0146865437939</v>
          </cell>
          <cell r="AX24">
            <v>26533.451503330994</v>
          </cell>
          <cell r="AY24">
            <v>13643.327534527925</v>
          </cell>
          <cell r="AZ24">
            <v>13700.758087647351</v>
          </cell>
          <cell r="BA24">
            <v>57.430553119425895</v>
          </cell>
          <cell r="BB24">
            <v>712.74070995209604</v>
          </cell>
          <cell r="BC24">
            <v>761.00311615183</v>
          </cell>
          <cell r="BD24">
            <v>66.098888757313844</v>
          </cell>
          <cell r="BE24">
            <v>1473.7899280554084</v>
          </cell>
          <cell r="BF24">
            <v>29.811059249999996</v>
          </cell>
          <cell r="BG24">
            <v>226.8940887270208</v>
          </cell>
          <cell r="BH24">
            <v>201.84550715251405</v>
          </cell>
          <cell r="BI24"/>
          <cell r="BJ24">
            <v>57.836086496816804</v>
          </cell>
          <cell r="BK24">
            <v>11.463913963950702</v>
          </cell>
          <cell r="BL24">
            <v>486.57568237635161</v>
          </cell>
          <cell r="BM24">
            <v>498.0395963403023</v>
          </cell>
          <cell r="BN24">
            <v>2612.254332923063</v>
          </cell>
          <cell r="BO24">
            <v>2323.8675083976095</v>
          </cell>
          <cell r="BP24">
            <v>0</v>
          </cell>
          <cell r="BQ24">
            <v>665.87264744650156</v>
          </cell>
          <cell r="BR24">
            <v>131.98518785836083</v>
          </cell>
          <cell r="BS24">
            <v>5601.9944887671736</v>
          </cell>
          <cell r="BT24">
            <v>5733.979676625534</v>
          </cell>
          <cell r="BU24">
            <v>-108.43166089554535</v>
          </cell>
          <cell r="BV24">
            <v>23.343304170944975</v>
          </cell>
          <cell r="BW24">
            <v>-11.108848581737988</v>
          </cell>
          <cell r="BX24">
            <v>-120.66611648475227</v>
          </cell>
          <cell r="BZ24">
            <v>34.344102604938286</v>
          </cell>
          <cell r="CA24">
            <v>-0.31673500452992903</v>
          </cell>
          <cell r="CB24">
            <v>82.224609110402639</v>
          </cell>
          <cell r="CC24" t="str">
            <v>—</v>
          </cell>
          <cell r="CD24" t="e">
            <v>#VALUE!</v>
          </cell>
          <cell r="CE24">
            <v>0</v>
          </cell>
          <cell r="CF24">
            <v>0</v>
          </cell>
          <cell r="CG24">
            <v>37.207473333333333</v>
          </cell>
          <cell r="CH24">
            <v>3.2317510777578007</v>
          </cell>
          <cell r="CI24">
            <v>72.057522871057941</v>
          </cell>
          <cell r="CJ24">
            <v>58.891550666666667</v>
          </cell>
          <cell r="CK24">
            <v>5.1151775513690207</v>
          </cell>
          <cell r="CL24">
            <v>114.05179870877377</v>
          </cell>
          <cell r="CM24">
            <v>40.971880000000006</v>
          </cell>
          <cell r="CN24">
            <v>3.5587183295550293</v>
          </cell>
          <cell r="CO24">
            <v>79.347827618418648</v>
          </cell>
          <cell r="CP24">
            <v>62.529683333333324</v>
          </cell>
          <cell r="CQ24">
            <v>5.4311769491564679</v>
          </cell>
          <cell r="CR24">
            <v>121.0975560352036</v>
          </cell>
          <cell r="CS24">
            <v>0.54</v>
          </cell>
          <cell r="CT24">
            <v>0.10296957378985679</v>
          </cell>
          <cell r="CU24">
            <v>0.30622499587426499</v>
          </cell>
          <cell r="CV24">
            <v>1.0296957378985678</v>
          </cell>
          <cell r="CW24">
            <v>0</v>
          </cell>
          <cell r="CX24">
            <v>0</v>
          </cell>
          <cell r="CY24">
            <v>0</v>
          </cell>
          <cell r="CZ24">
            <v>4936.1218413206725</v>
          </cell>
        </row>
        <row r="25">
          <cell r="B25" t="str">
            <v>BRA</v>
          </cell>
          <cell r="C25" t="str">
            <v>UMIC</v>
          </cell>
          <cell r="D25" t="str">
            <v>UMIC</v>
          </cell>
          <cell r="E25" t="str">
            <v/>
          </cell>
          <cell r="F25" t="str">
            <v xml:space="preserve"> </v>
          </cell>
          <cell r="G25" t="str">
            <v/>
          </cell>
          <cell r="H25" t="e">
            <v>#REF!</v>
          </cell>
          <cell r="I25" t="str">
            <v/>
          </cell>
          <cell r="J25" t="str">
            <v/>
          </cell>
          <cell r="K25" t="b">
            <v>1</v>
          </cell>
          <cell r="M25" t="str">
            <v/>
          </cell>
          <cell r="P25" t="str">
            <v/>
          </cell>
          <cell r="Q25" t="str">
            <v/>
          </cell>
          <cell r="R25" t="str">
            <v/>
          </cell>
          <cell r="S25" t="str">
            <v/>
          </cell>
          <cell r="T25" t="str">
            <v>YES</v>
          </cell>
          <cell r="U25" t="str">
            <v>YES</v>
          </cell>
          <cell r="V25" t="str">
            <v/>
          </cell>
          <cell r="W25" t="str">
            <v/>
          </cell>
          <cell r="X25" t="str">
            <v/>
          </cell>
          <cell r="Y25" t="str">
            <v/>
          </cell>
          <cell r="Z25" t="str">
            <v/>
          </cell>
          <cell r="AA25" t="str">
            <v/>
          </cell>
          <cell r="AB25" t="str">
            <v/>
          </cell>
          <cell r="AC25" t="str">
            <v/>
          </cell>
          <cell r="AD25" t="str">
            <v/>
          </cell>
          <cell r="AE25" t="str">
            <v/>
          </cell>
          <cell r="AF25" t="str">
            <v/>
          </cell>
          <cell r="AG25" t="b">
            <v>1</v>
          </cell>
          <cell r="AK25">
            <v>211.04952700000001</v>
          </cell>
          <cell r="AL25">
            <v>223.85210000000001</v>
          </cell>
          <cell r="AM25">
            <v>9130</v>
          </cell>
          <cell r="AN25">
            <v>4.4414160000000001E-2</v>
          </cell>
          <cell r="AO25">
            <v>5.4749999999999993E-2</v>
          </cell>
          <cell r="AP25">
            <v>9.3735874601023212</v>
          </cell>
          <cell r="AQ25">
            <v>11.55496160325</v>
          </cell>
          <cell r="AR25">
            <v>12255.902474999999</v>
          </cell>
          <cell r="AS25">
            <v>0.4148329377994685</v>
          </cell>
          <cell r="AT25">
            <v>3844.270515167183</v>
          </cell>
          <cell r="AU25">
            <v>86555.065212697547</v>
          </cell>
          <cell r="AV25">
            <v>0.4148329377994685</v>
          </cell>
          <cell r="AW25">
            <v>3844.270515167183</v>
          </cell>
          <cell r="AX25">
            <v>86555.065212697547</v>
          </cell>
          <cell r="AY25">
            <v>811331.47388608032</v>
          </cell>
          <cell r="AZ25">
            <v>811331.47388608044</v>
          </cell>
          <cell r="BA25">
            <v>1.1641532182693481E-10</v>
          </cell>
          <cell r="BB25">
            <v>675.64255580431529</v>
          </cell>
          <cell r="BC25">
            <v>575.52523005657861</v>
          </cell>
          <cell r="BD25">
            <v>2.7269676375847958</v>
          </cell>
          <cell r="BE25">
            <v>61.398608857733564</v>
          </cell>
          <cell r="BF25">
            <v>3.9089014999999998</v>
          </cell>
          <cell r="BG25">
            <v>370.68131914110592</v>
          </cell>
          <cell r="BH25">
            <v>524.76635163822198</v>
          </cell>
          <cell r="BI25"/>
          <cell r="BJ25">
            <v>70.366250639377625</v>
          </cell>
          <cell r="BK25">
            <v>18.706417235584674</v>
          </cell>
          <cell r="BL25">
            <v>965.81392141870549</v>
          </cell>
          <cell r="BM25">
            <v>984.52033865429019</v>
          </cell>
          <cell r="BN25">
            <v>78232.117072466455</v>
          </cell>
          <cell r="BO25">
            <v>110751.69029876243</v>
          </cell>
          <cell r="BP25">
            <v>0</v>
          </cell>
          <cell r="BQ25">
            <v>14850.763914204097</v>
          </cell>
          <cell r="BR25">
            <v>3947.980509434793</v>
          </cell>
          <cell r="BS25">
            <v>203834.57128543296</v>
          </cell>
          <cell r="BT25">
            <v>207782.55179486776</v>
          </cell>
          <cell r="BU25">
            <v>-956.32133616488602</v>
          </cell>
          <cell r="BV25">
            <v>-51.874225636855499</v>
          </cell>
          <cell r="BW25">
            <v>-398.17278389233076</v>
          </cell>
          <cell r="BX25">
            <v>-506.27432663569982</v>
          </cell>
          <cell r="BZ25">
            <v>1.3727444448538815</v>
          </cell>
          <cell r="CA25">
            <v>-1.4354426623575793E-3</v>
          </cell>
          <cell r="CB25">
            <v>108.12655859979554</v>
          </cell>
          <cell r="CC25" t="str">
            <v>—</v>
          </cell>
          <cell r="CD25" t="e">
            <v>#VALUE!</v>
          </cell>
          <cell r="CE25">
            <v>0</v>
          </cell>
          <cell r="CF25">
            <v>0</v>
          </cell>
          <cell r="CG25">
            <v>102.84236933333334</v>
          </cell>
          <cell r="CH25">
            <v>0.48729021474344897</v>
          </cell>
          <cell r="CI25">
            <v>10.971505815790481</v>
          </cell>
          <cell r="CJ25">
            <v>14.615522333333331</v>
          </cell>
          <cell r="CK25">
            <v>6.9251623261554762E-2</v>
          </cell>
          <cell r="CL25">
            <v>1.559223978604003</v>
          </cell>
          <cell r="CM25">
            <v>2.4857559999999999</v>
          </cell>
          <cell r="CN25">
            <v>1.1778069514460461E-2</v>
          </cell>
          <cell r="CO25">
            <v>0.26518726267614789</v>
          </cell>
          <cell r="CP25">
            <v>8.4312100000000001</v>
          </cell>
          <cell r="CQ25">
            <v>3.9948964206870739E-2</v>
          </cell>
          <cell r="CR25">
            <v>0.89946458982609911</v>
          </cell>
          <cell r="CS25">
            <v>0.47</v>
          </cell>
          <cell r="CT25">
            <v>6.858623758014866E-2</v>
          </cell>
          <cell r="CU25">
            <v>0.20857356387252171</v>
          </cell>
          <cell r="CV25">
            <v>0.68586237580148657</v>
          </cell>
          <cell r="CW25">
            <v>0</v>
          </cell>
          <cell r="CX25">
            <v>0</v>
          </cell>
          <cell r="CY25">
            <v>0</v>
          </cell>
          <cell r="CZ25">
            <v>188983.80737122888</v>
          </cell>
        </row>
        <row r="26">
          <cell r="B26" t="str">
            <v>BRB</v>
          </cell>
          <cell r="C26" t="str">
            <v>HIC</v>
          </cell>
          <cell r="D26" t="str">
            <v>HIC</v>
          </cell>
          <cell r="E26" t="str">
            <v/>
          </cell>
          <cell r="F26" t="str">
            <v xml:space="preserve"> </v>
          </cell>
          <cell r="G26" t="str">
            <v/>
          </cell>
          <cell r="H26" t="e">
            <v>#REF!</v>
          </cell>
          <cell r="I26" t="str">
            <v/>
          </cell>
          <cell r="J26" t="str">
            <v/>
          </cell>
          <cell r="K26" t="str">
            <v/>
          </cell>
          <cell r="M26" t="str">
            <v/>
          </cell>
          <cell r="O26" t="b">
            <v>1</v>
          </cell>
          <cell r="P26" t="str">
            <v/>
          </cell>
          <cell r="Q26" t="str">
            <v/>
          </cell>
          <cell r="R26" t="str">
            <v/>
          </cell>
          <cell r="S26" t="str">
            <v/>
          </cell>
          <cell r="T26" t="str">
            <v/>
          </cell>
          <cell r="U26" t="str">
            <v/>
          </cell>
          <cell r="V26" t="str">
            <v/>
          </cell>
          <cell r="W26" t="str">
            <v/>
          </cell>
          <cell r="X26" t="str">
            <v>YES</v>
          </cell>
          <cell r="Y26" t="str">
            <v/>
          </cell>
          <cell r="Z26" t="str">
            <v>YES</v>
          </cell>
          <cell r="AA26" t="str">
            <v/>
          </cell>
          <cell r="AB26" t="str">
            <v/>
          </cell>
          <cell r="AC26" t="str">
            <v/>
          </cell>
          <cell r="AD26" t="str">
            <v/>
          </cell>
          <cell r="AE26" t="str">
            <v>YES</v>
          </cell>
          <cell r="AF26" t="str">
            <v>YES</v>
          </cell>
          <cell r="AG26" t="b">
            <v>1</v>
          </cell>
          <cell r="AH26" t="b">
            <v>1</v>
          </cell>
          <cell r="AK26">
            <v>0.28702499999999997</v>
          </cell>
          <cell r="AL26">
            <v>0.28944700000000001</v>
          </cell>
          <cell r="AM26">
            <v>17380</v>
          </cell>
          <cell r="AN26">
            <v>0.02</v>
          </cell>
          <cell r="AO26">
            <v>0.02</v>
          </cell>
          <cell r="AP26">
            <v>5.7404999999999999E-3</v>
          </cell>
          <cell r="AQ26">
            <v>5.7404999999999999E-3</v>
          </cell>
          <cell r="AR26">
            <v>5.7889400000000011</v>
          </cell>
          <cell r="AS26">
            <v>0.28962648840596394</v>
          </cell>
          <cell r="AT26">
            <v>5378.59983291146</v>
          </cell>
          <cell r="AU26">
            <v>268929.991645573</v>
          </cell>
          <cell r="AV26">
            <v>0.28962648840596394</v>
          </cell>
          <cell r="AW26">
            <v>5378.59983291146</v>
          </cell>
          <cell r="AX26">
            <v>268929.991645573</v>
          </cell>
          <cell r="AY26">
            <v>1543.7926170414119</v>
          </cell>
          <cell r="AZ26">
            <v>1543.7926170414119</v>
          </cell>
          <cell r="BA26">
            <v>0</v>
          </cell>
          <cell r="BB26">
            <v>0</v>
          </cell>
          <cell r="BC26">
            <v>0</v>
          </cell>
          <cell r="BD26">
            <v>0</v>
          </cell>
          <cell r="BE26">
            <v>0</v>
          </cell>
          <cell r="BF26">
            <v>0</v>
          </cell>
          <cell r="BG26">
            <v>742.83258586105273</v>
          </cell>
          <cell r="BH26">
            <v>982.11105154730103</v>
          </cell>
          <cell r="BI26"/>
          <cell r="BJ26">
            <v>81.033692501355162</v>
          </cell>
          <cell r="BK26">
            <v>65.56572407640742</v>
          </cell>
          <cell r="BL26">
            <v>1805.9773299097089</v>
          </cell>
          <cell r="BM26">
            <v>1871.5430539861163</v>
          </cell>
          <cell r="BN26">
            <v>213.21152295676865</v>
          </cell>
          <cell r="BO26">
            <v>281.89042457036408</v>
          </cell>
          <cell r="BP26">
            <v>0</v>
          </cell>
          <cell r="BQ26">
            <v>23.258695590201462</v>
          </cell>
          <cell r="BR26">
            <v>18.819001953030838</v>
          </cell>
          <cell r="BS26">
            <v>518.36064311733423</v>
          </cell>
          <cell r="BT26">
            <v>537.17964507036504</v>
          </cell>
          <cell r="BU26">
            <v>-883.32258654602106</v>
          </cell>
          <cell r="BV26">
            <v>175.32107661058205</v>
          </cell>
          <cell r="BW26">
            <v>-332.88738072123931</v>
          </cell>
          <cell r="BX26">
            <v>-725.7562824353638</v>
          </cell>
          <cell r="BZ26">
            <v>0</v>
          </cell>
          <cell r="CA26">
            <v>0</v>
          </cell>
          <cell r="CB26">
            <v>260.39879946839557</v>
          </cell>
          <cell r="CC26" t="e">
            <v>#N/A</v>
          </cell>
          <cell r="CD26" t="e">
            <v>#N/A</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t="str">
            <v/>
          </cell>
          <cell r="CT26">
            <v>5.2678338123856812E-2</v>
          </cell>
          <cell r="CU26">
            <v>0.16780768225764309</v>
          </cell>
          <cell r="CV26">
            <v>0.52678338123856816</v>
          </cell>
          <cell r="CW26" t="e">
            <v>#N/A</v>
          </cell>
          <cell r="CX26" t="e">
            <v>#N/A</v>
          </cell>
          <cell r="CY26" t="e">
            <v>#N/A</v>
          </cell>
          <cell r="CZ26">
            <v>495.10194752713272</v>
          </cell>
        </row>
        <row r="27">
          <cell r="B27" t="str">
            <v>BRN</v>
          </cell>
          <cell r="C27" t="str">
            <v>HIC</v>
          </cell>
          <cell r="D27" t="str">
            <v>HIC</v>
          </cell>
          <cell r="E27" t="str">
            <v/>
          </cell>
          <cell r="F27" t="str">
            <v xml:space="preserve"> </v>
          </cell>
          <cell r="G27" t="str">
            <v/>
          </cell>
          <cell r="H27" t="e">
            <v>#REF!</v>
          </cell>
          <cell r="I27" t="str">
            <v/>
          </cell>
          <cell r="J27" t="str">
            <v/>
          </cell>
          <cell r="K27" t="str">
            <v/>
          </cell>
          <cell r="M27" t="str">
            <v/>
          </cell>
          <cell r="O27" t="b">
            <v>1</v>
          </cell>
          <cell r="P27" t="str">
            <v/>
          </cell>
          <cell r="Q27" t="str">
            <v/>
          </cell>
          <cell r="R27" t="str">
            <v/>
          </cell>
          <cell r="S27" t="str">
            <v/>
          </cell>
          <cell r="T27" t="str">
            <v/>
          </cell>
          <cell r="U27" t="str">
            <v/>
          </cell>
          <cell r="V27" t="str">
            <v/>
          </cell>
          <cell r="W27" t="str">
            <v/>
          </cell>
          <cell r="X27" t="str">
            <v>YES</v>
          </cell>
          <cell r="Y27" t="str">
            <v/>
          </cell>
          <cell r="Z27" t="str">
            <v>YES</v>
          </cell>
          <cell r="AA27" t="str">
            <v/>
          </cell>
          <cell r="AB27" t="str">
            <v/>
          </cell>
          <cell r="AC27" t="str">
            <v/>
          </cell>
          <cell r="AD27" t="str">
            <v/>
          </cell>
          <cell r="AE27" t="str">
            <v>YES</v>
          </cell>
          <cell r="AF27" t="str">
            <v>YES</v>
          </cell>
          <cell r="AK27">
            <v>0.43328499999999998</v>
          </cell>
          <cell r="AL27">
            <v>0.47098700000000004</v>
          </cell>
          <cell r="AM27">
            <v>32230</v>
          </cell>
          <cell r="AN27">
            <v>1E-3</v>
          </cell>
          <cell r="AO27">
            <v>1E-3</v>
          </cell>
          <cell r="AP27">
            <v>4.33285E-4</v>
          </cell>
          <cell r="AQ27">
            <v>4.33285E-4</v>
          </cell>
          <cell r="AR27">
            <v>0.47098699999999999</v>
          </cell>
          <cell r="AS27">
            <v>0.32817878804436917</v>
          </cell>
          <cell r="AT27">
            <v>10280.107008647123</v>
          </cell>
          <cell r="AU27">
            <v>10280107.008647123</v>
          </cell>
          <cell r="AV27">
            <v>0.32817878804436917</v>
          </cell>
          <cell r="AW27">
            <v>10280.107008647123</v>
          </cell>
          <cell r="AX27">
            <v>10280107.008647123</v>
          </cell>
          <cell r="AY27">
            <v>4454.216165241668</v>
          </cell>
          <cell r="AZ27">
            <v>4454.216165241668</v>
          </cell>
          <cell r="BA27">
            <v>0</v>
          </cell>
          <cell r="BB27">
            <v>0</v>
          </cell>
          <cell r="BC27">
            <v>0</v>
          </cell>
          <cell r="BD27">
            <v>0</v>
          </cell>
          <cell r="BE27">
            <v>0</v>
          </cell>
          <cell r="BF27">
            <v>0</v>
          </cell>
          <cell r="BG27">
            <v>1252.988600501172</v>
          </cell>
          <cell r="BH27">
            <v>906.43752867521823</v>
          </cell>
          <cell r="BI27"/>
          <cell r="BJ27">
            <v>0</v>
          </cell>
          <cell r="BK27">
            <v>23.421375644213345</v>
          </cell>
          <cell r="BL27">
            <v>2159.4261291763901</v>
          </cell>
          <cell r="BM27">
            <v>2182.8475048206033</v>
          </cell>
          <cell r="BN27">
            <v>542.90116576815024</v>
          </cell>
          <cell r="BO27">
            <v>392.74578461204192</v>
          </cell>
          <cell r="BP27">
            <v>0</v>
          </cell>
          <cell r="BQ27">
            <v>0</v>
          </cell>
          <cell r="BR27">
            <v>10.148130746002979</v>
          </cell>
          <cell r="BS27">
            <v>935.64695038019215</v>
          </cell>
          <cell r="BT27">
            <v>945.7950811261951</v>
          </cell>
          <cell r="BU27">
            <v>-2980.6273751471713</v>
          </cell>
          <cell r="BV27">
            <v>-635.57852262185008</v>
          </cell>
          <cell r="BW27">
            <v>-803.03280122825277</v>
          </cell>
          <cell r="BX27">
            <v>-1542.0160512970683</v>
          </cell>
          <cell r="BZ27">
            <v>0</v>
          </cell>
          <cell r="CA27">
            <v>0</v>
          </cell>
          <cell r="CB27">
            <v>449.2920842259644</v>
          </cell>
          <cell r="CC27" t="e">
            <v>#N/A</v>
          </cell>
          <cell r="CD27" t="e">
            <v>#N/A</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t="str">
            <v/>
          </cell>
          <cell r="CT27">
            <v>7.3097383938977814E-2</v>
          </cell>
          <cell r="CU27">
            <v>0.225403602709533</v>
          </cell>
          <cell r="CV27">
            <v>0.73097383938977811</v>
          </cell>
          <cell r="CW27" t="e">
            <v>#N/A</v>
          </cell>
          <cell r="CX27" t="e">
            <v>#N/A</v>
          </cell>
          <cell r="CY27" t="e">
            <v>#N/A</v>
          </cell>
          <cell r="CZ27">
            <v>935.64695038019215</v>
          </cell>
        </row>
        <row r="28">
          <cell r="B28" t="str">
            <v>BTN</v>
          </cell>
          <cell r="C28" t="str">
            <v>LMIC</v>
          </cell>
          <cell r="D28" t="str">
            <v>ULMIC</v>
          </cell>
          <cell r="E28" t="str">
            <v>LMIC_LDC</v>
          </cell>
          <cell r="F28" t="b">
            <v>1</v>
          </cell>
          <cell r="G28" t="str">
            <v/>
          </cell>
          <cell r="H28" t="e">
            <v>#REF!</v>
          </cell>
          <cell r="I28" t="str">
            <v/>
          </cell>
          <cell r="J28" t="str">
            <v/>
          </cell>
          <cell r="K28" t="b">
            <v>1</v>
          </cell>
          <cell r="M28" t="str">
            <v/>
          </cell>
          <cell r="N28" t="b">
            <v>1</v>
          </cell>
          <cell r="O28" t="b">
            <v>1</v>
          </cell>
          <cell r="P28" t="str">
            <v/>
          </cell>
          <cell r="Q28" t="str">
            <v/>
          </cell>
          <cell r="R28" t="str">
            <v/>
          </cell>
          <cell r="S28" t="str">
            <v/>
          </cell>
          <cell r="T28" t="str">
            <v>YES</v>
          </cell>
          <cell r="U28" t="str">
            <v>YES</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b">
            <v>1</v>
          </cell>
          <cell r="AI28" t="b">
            <v>1</v>
          </cell>
          <cell r="AK28">
            <v>0.76309199999999999</v>
          </cell>
          <cell r="AL28">
            <v>0.84266799999999997</v>
          </cell>
          <cell r="AM28">
            <v>3243.2311259349699</v>
          </cell>
          <cell r="AN28">
            <v>7.4899540000000001E-3</v>
          </cell>
          <cell r="AO28">
            <v>1.25E-3</v>
          </cell>
          <cell r="AP28">
            <v>5.7155239777680004E-3</v>
          </cell>
          <cell r="AQ28">
            <v>9.5386500000000003E-4</v>
          </cell>
          <cell r="AR28">
            <v>1.0533349999999999</v>
          </cell>
          <cell r="AS28">
            <v>0.22184515031418975</v>
          </cell>
          <cell r="AT28">
            <v>782.70938631266631</v>
          </cell>
          <cell r="AU28">
            <v>104501.22741910916</v>
          </cell>
          <cell r="AV28">
            <v>0.25673296573512905</v>
          </cell>
          <cell r="AW28">
            <v>905.79984179136056</v>
          </cell>
          <cell r="AX28">
            <v>120935.30104341904</v>
          </cell>
          <cell r="AY28">
            <v>597.27927102010517</v>
          </cell>
          <cell r="AZ28">
            <v>691.20861287225296</v>
          </cell>
          <cell r="BA28">
            <v>93.929341852147786</v>
          </cell>
          <cell r="BB28">
            <v>88.038198278469778</v>
          </cell>
          <cell r="BC28">
            <v>92.110354290877424</v>
          </cell>
          <cell r="BD28">
            <v>120.70674871559055</v>
          </cell>
          <cell r="BE28">
            <v>16115.819765460583</v>
          </cell>
          <cell r="BF28">
            <v>7.5398935000000007</v>
          </cell>
          <cell r="BG28">
            <v>204.14466377427919</v>
          </cell>
          <cell r="BH28">
            <v>102.07244275124901</v>
          </cell>
          <cell r="BI28"/>
          <cell r="BJ28">
            <v>0</v>
          </cell>
          <cell r="BK28">
            <v>21.421716405124943</v>
          </cell>
          <cell r="BL28">
            <v>306.21710652552821</v>
          </cell>
          <cell r="BM28">
            <v>327.63882293065313</v>
          </cell>
          <cell r="BN28">
            <v>155.78115976884226</v>
          </cell>
          <cell r="BO28">
            <v>77.890664483936106</v>
          </cell>
          <cell r="BP28">
            <v>0</v>
          </cell>
          <cell r="BQ28">
            <v>0</v>
          </cell>
          <cell r="BR28">
            <v>16.346740415019603</v>
          </cell>
          <cell r="BS28">
            <v>233.67182425277838</v>
          </cell>
          <cell r="BT28">
            <v>250.01856466779799</v>
          </cell>
          <cell r="BU28">
            <v>-146.68281437015207</v>
          </cell>
          <cell r="BV28">
            <v>-33.797533517455065</v>
          </cell>
          <cell r="BW28">
            <v>22.984695416007071</v>
          </cell>
          <cell r="BX28">
            <v>-135.86997626870408</v>
          </cell>
          <cell r="BZ28">
            <v>65.293731156189182</v>
          </cell>
          <cell r="CA28">
            <v>-0.44513552208932494</v>
          </cell>
          <cell r="CB28">
            <v>26.360186657770154</v>
          </cell>
          <cell r="CC28" t="str">
            <v>—</v>
          </cell>
          <cell r="CD28" t="e">
            <v>#VALUE!</v>
          </cell>
          <cell r="CE28">
            <v>0</v>
          </cell>
          <cell r="CF28">
            <v>0</v>
          </cell>
          <cell r="CG28">
            <v>3.3799976666666667</v>
          </cell>
          <cell r="CH28">
            <v>4.4293449107927572</v>
          </cell>
          <cell r="CI28">
            <v>591.37144377559025</v>
          </cell>
          <cell r="CJ28">
            <v>5.8020056666666671</v>
          </cell>
          <cell r="CK28">
            <v>7.6032846192420669</v>
          </cell>
          <cell r="CL28">
            <v>1015.1310167248113</v>
          </cell>
          <cell r="CM28">
            <v>1.3246283333333333</v>
          </cell>
          <cell r="CN28">
            <v>1.7358697684333386</v>
          </cell>
          <cell r="CO28">
            <v>231.7597369000315</v>
          </cell>
          <cell r="CP28">
            <v>4.0295726666666667</v>
          </cell>
          <cell r="CQ28">
            <v>5.2805856524071366</v>
          </cell>
          <cell r="CR28">
            <v>705.02244104665215</v>
          </cell>
          <cell r="CS28">
            <v>0.43</v>
          </cell>
          <cell r="CT28">
            <v>8.3679294239750901E-2</v>
          </cell>
          <cell r="CU28">
            <v>0.25172718361613017</v>
          </cell>
          <cell r="CV28">
            <v>0.83679294239750901</v>
          </cell>
          <cell r="CW28">
            <v>0</v>
          </cell>
          <cell r="CX28">
            <v>0</v>
          </cell>
          <cell r="CY28">
            <v>0</v>
          </cell>
          <cell r="CZ28">
            <v>233.67182425277838</v>
          </cell>
        </row>
        <row r="29">
          <cell r="B29" t="str">
            <v>BWA</v>
          </cell>
          <cell r="C29" t="str">
            <v>UMIC</v>
          </cell>
          <cell r="D29" t="str">
            <v>UMIC</v>
          </cell>
          <cell r="E29" t="str">
            <v/>
          </cell>
          <cell r="F29" t="str">
            <v xml:space="preserve"> </v>
          </cell>
          <cell r="G29" t="str">
            <v/>
          </cell>
          <cell r="H29" t="e">
            <v>#REF!</v>
          </cell>
          <cell r="I29" t="str">
            <v/>
          </cell>
          <cell r="J29" t="str">
            <v/>
          </cell>
          <cell r="K29" t="b">
            <v>1</v>
          </cell>
          <cell r="M29" t="str">
            <v/>
          </cell>
          <cell r="N29" t="b">
            <v>1</v>
          </cell>
          <cell r="P29" t="b">
            <v>1</v>
          </cell>
          <cell r="Q29" t="str">
            <v/>
          </cell>
          <cell r="R29" t="str">
            <v/>
          </cell>
          <cell r="S29" t="str">
            <v/>
          </cell>
          <cell r="T29" t="str">
            <v>YES</v>
          </cell>
          <cell r="U29" t="str">
            <v>YES</v>
          </cell>
          <cell r="V29" t="str">
            <v/>
          </cell>
          <cell r="W29" t="str">
            <v/>
          </cell>
          <cell r="X29" t="str">
            <v>YES</v>
          </cell>
          <cell r="Y29" t="str">
            <v/>
          </cell>
          <cell r="Z29" t="str">
            <v>YES</v>
          </cell>
          <cell r="AA29" t="str">
            <v/>
          </cell>
          <cell r="AB29" t="str">
            <v/>
          </cell>
          <cell r="AC29" t="str">
            <v/>
          </cell>
          <cell r="AD29" t="str">
            <v/>
          </cell>
          <cell r="AE29" t="str">
            <v>YES</v>
          </cell>
          <cell r="AF29" t="str">
            <v>YES</v>
          </cell>
          <cell r="AG29" t="str">
            <v/>
          </cell>
          <cell r="AK29">
            <v>2.3036970000000001</v>
          </cell>
          <cell r="AL29">
            <v>2.7743440000000001</v>
          </cell>
          <cell r="AM29">
            <v>7660</v>
          </cell>
          <cell r="AN29">
            <v>0.14728839999999999</v>
          </cell>
          <cell r="AO29">
            <v>0.13675000000000001</v>
          </cell>
          <cell r="AP29">
            <v>0.33930784521480001</v>
          </cell>
          <cell r="AQ29">
            <v>0.31503056475000002</v>
          </cell>
          <cell r="AR29">
            <v>379.39154200000002</v>
          </cell>
          <cell r="AS29">
            <v>0.28118614857299651</v>
          </cell>
          <cell r="AT29">
            <v>2382.3503439420574</v>
          </cell>
          <cell r="AU29">
            <v>16174.731641745429</v>
          </cell>
          <cell r="AV29">
            <v>0.41014426812244836</v>
          </cell>
          <cell r="AW29">
            <v>3474.9483329322638</v>
          </cell>
          <cell r="AX29">
            <v>23592.817444770018</v>
          </cell>
          <cell r="AY29">
            <v>5488.2133402882855</v>
          </cell>
          <cell r="AZ29">
            <v>8005.2280497310585</v>
          </cell>
          <cell r="BA29">
            <v>2517.014709442773</v>
          </cell>
          <cell r="BB29">
            <v>96.132802284569337</v>
          </cell>
          <cell r="BC29">
            <v>98.989382031863968</v>
          </cell>
          <cell r="BD29">
            <v>42.969792482198812</v>
          </cell>
          <cell r="BE29">
            <v>291.73914905857362</v>
          </cell>
          <cell r="BF29">
            <v>1.6555395000000002</v>
          </cell>
          <cell r="BG29">
            <v>338.90009960054545</v>
          </cell>
          <cell r="BH29">
            <v>405.89483740980063</v>
          </cell>
          <cell r="BI29"/>
          <cell r="BJ29">
            <v>38.258140273423422</v>
          </cell>
          <cell r="BK29">
            <v>31.691845071453358</v>
          </cell>
          <cell r="BL29">
            <v>783.05307728376954</v>
          </cell>
          <cell r="BM29">
            <v>814.74492235522291</v>
          </cell>
          <cell r="BN29">
            <v>780.7231427494778</v>
          </cell>
          <cell r="BO29">
            <v>935.05871925644556</v>
          </cell>
          <cell r="BP29">
            <v>0</v>
          </cell>
          <cell r="BQ29">
            <v>88.135162973464716</v>
          </cell>
          <cell r="BR29">
            <v>73.008408415571893</v>
          </cell>
          <cell r="BS29">
            <v>1803.9170249793881</v>
          </cell>
          <cell r="BT29">
            <v>1876.92543339496</v>
          </cell>
          <cell r="BU29">
            <v>-954.42108918236238</v>
          </cell>
          <cell r="BV29">
            <v>-115.34741253003892</v>
          </cell>
          <cell r="BW29">
            <v>-356.08956698590737</v>
          </cell>
          <cell r="BX29">
            <v>-482.98410966641615</v>
          </cell>
          <cell r="BZ29">
            <v>21.84421856083156</v>
          </cell>
          <cell r="CA29">
            <v>-2.288740138752085E-2</v>
          </cell>
          <cell r="CB29">
            <v>235.19256574982816</v>
          </cell>
          <cell r="CC29" t="str">
            <v>—</v>
          </cell>
          <cell r="CD29" t="e">
            <v>#VALUE!</v>
          </cell>
          <cell r="CE29">
            <v>0</v>
          </cell>
          <cell r="CF29">
            <v>0</v>
          </cell>
          <cell r="CG29">
            <v>9.2870149999999985</v>
          </cell>
          <cell r="CH29">
            <v>4.0313526475052921</v>
          </cell>
          <cell r="CI29">
            <v>27.37046941582156</v>
          </cell>
          <cell r="CJ29">
            <v>72.56413666666667</v>
          </cell>
          <cell r="CK29">
            <v>31.498993429546797</v>
          </cell>
          <cell r="CL29">
            <v>213.85929529784286</v>
          </cell>
          <cell r="CM29">
            <v>0.8920800000000001</v>
          </cell>
          <cell r="CN29">
            <v>0.38723842588673774</v>
          </cell>
          <cell r="CO29">
            <v>2.6291169290096015</v>
          </cell>
          <cell r="CP29">
            <v>0.84752600000000011</v>
          </cell>
          <cell r="CQ29">
            <v>0.3678982088356238</v>
          </cell>
          <cell r="CR29">
            <v>2.4978084413682531</v>
          </cell>
          <cell r="CS29">
            <v>0.55000000000000004</v>
          </cell>
          <cell r="CT29">
            <v>0.11797341403839132</v>
          </cell>
          <cell r="CU29">
            <v>0.34098798583320639</v>
          </cell>
          <cell r="CV29">
            <v>1.1797341403839132</v>
          </cell>
          <cell r="CW29">
            <v>0</v>
          </cell>
          <cell r="CX29">
            <v>0</v>
          </cell>
          <cell r="CY29">
            <v>0</v>
          </cell>
          <cell r="CZ29">
            <v>1715.7818620059234</v>
          </cell>
        </row>
        <row r="30">
          <cell r="B30" t="str">
            <v>CAF</v>
          </cell>
          <cell r="C30" t="str">
            <v>LIC</v>
          </cell>
          <cell r="D30" t="str">
            <v>OLIC</v>
          </cell>
          <cell r="E30" t="str">
            <v>OLIC_LDC</v>
          </cell>
          <cell r="F30" t="b">
            <v>1</v>
          </cell>
          <cell r="G30" t="b">
            <v>1</v>
          </cell>
          <cell r="H30" t="e">
            <v>#REF!</v>
          </cell>
          <cell r="I30" t="str">
            <v/>
          </cell>
          <cell r="J30" t="str">
            <v/>
          </cell>
          <cell r="K30" t="str">
            <v/>
          </cell>
          <cell r="M30" t="b">
            <v>1</v>
          </cell>
          <cell r="N30" t="b">
            <v>1</v>
          </cell>
          <cell r="O30" t="b">
            <v>1</v>
          </cell>
          <cell r="P30" t="b">
            <v>1</v>
          </cell>
          <cell r="Q30" t="b">
            <v>1</v>
          </cell>
          <cell r="R30" t="str">
            <v>YES</v>
          </cell>
          <cell r="S30" t="str">
            <v>YES</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K30">
            <v>4.7451850000000002</v>
          </cell>
          <cell r="AL30">
            <v>5.9422070000000007</v>
          </cell>
          <cell r="AM30">
            <v>520</v>
          </cell>
          <cell r="AN30">
            <v>0.71645390000000009</v>
          </cell>
          <cell r="AO30">
            <v>0.79149990000000003</v>
          </cell>
          <cell r="AP30">
            <v>3.3997062994715006</v>
          </cell>
          <cell r="AQ30">
            <v>3.7558134529815002</v>
          </cell>
          <cell r="AR30">
            <v>4703.2562462792994</v>
          </cell>
          <cell r="AS30">
            <v>8.8786375556889632E-2</v>
          </cell>
          <cell r="AT30">
            <v>44.950102530965637</v>
          </cell>
          <cell r="AU30">
            <v>62.739699694517164</v>
          </cell>
          <cell r="AV30">
            <v>9.2057126607475753E-2</v>
          </cell>
          <cell r="AW30">
            <v>46.60599392370424</v>
          </cell>
          <cell r="AX30">
            <v>65.050931991164035</v>
          </cell>
          <cell r="AY30">
            <v>213.29655227840021</v>
          </cell>
          <cell r="AZ30">
            <v>221.1540632768525</v>
          </cell>
          <cell r="BA30">
            <v>7.857510998452284</v>
          </cell>
          <cell r="BB30">
            <v>269.69230792318302</v>
          </cell>
          <cell r="BC30">
            <v>313.560583298322</v>
          </cell>
          <cell r="BD30">
            <v>66.079738366011441</v>
          </cell>
          <cell r="BE30">
            <v>92.231668172943756</v>
          </cell>
          <cell r="BF30">
            <v>187.46789425</v>
          </cell>
          <cell r="BG30">
            <v>59.190442083939907</v>
          </cell>
          <cell r="BH30">
            <v>42.713866526339153</v>
          </cell>
          <cell r="BI30"/>
          <cell r="BJ30">
            <v>129.76633570432696</v>
          </cell>
          <cell r="BK30">
            <v>11.953827320986742</v>
          </cell>
          <cell r="BL30">
            <v>231.67064431460602</v>
          </cell>
          <cell r="BM30">
            <v>243.62447163559276</v>
          </cell>
          <cell r="BN30">
            <v>280.86959792008042</v>
          </cell>
          <cell r="BO30">
            <v>202.68519873278666</v>
          </cell>
          <cell r="BP30">
            <v>0</v>
          </cell>
          <cell r="BQ30">
            <v>615.76526968913674</v>
          </cell>
          <cell r="BR30">
            <v>56.723122096136471</v>
          </cell>
          <cell r="BS30">
            <v>1099.3200663420039</v>
          </cell>
          <cell r="BT30">
            <v>1156.0431884381403</v>
          </cell>
          <cell r="BU30">
            <v>208.36764735275389</v>
          </cell>
          <cell r="BV30">
            <v>35.722967437783517</v>
          </cell>
          <cell r="BW30">
            <v>49.869243299199056</v>
          </cell>
          <cell r="BX30">
            <v>122.77543661577133</v>
          </cell>
          <cell r="BZ30">
            <v>52.793355532852985</v>
          </cell>
          <cell r="CA30">
            <v>0.25336637526783135</v>
          </cell>
          <cell r="CB30">
            <v>12.765169533513317</v>
          </cell>
          <cell r="CC30">
            <v>50000</v>
          </cell>
          <cell r="CD30">
            <v>1.4707152793690656E-2</v>
          </cell>
          <cell r="CE30">
            <v>988.74303470357756</v>
          </cell>
          <cell r="CF30">
            <v>134.84615396159151</v>
          </cell>
          <cell r="CG30">
            <v>6.9951346666666661</v>
          </cell>
          <cell r="CH30">
            <v>1.4741542567184769</v>
          </cell>
          <cell r="CI30">
            <v>2.0575702871021804</v>
          </cell>
          <cell r="CJ30">
            <v>55.689387333333329</v>
          </cell>
          <cell r="CK30">
            <v>11.735978119574543</v>
          </cell>
          <cell r="CL30">
            <v>16.380646569967087</v>
          </cell>
          <cell r="CM30">
            <v>9.1280983333333339</v>
          </cell>
          <cell r="CN30">
            <v>1.9236548908700786</v>
          </cell>
          <cell r="CO30">
            <v>2.6849667380833271</v>
          </cell>
          <cell r="CP30">
            <v>77.196254333333343</v>
          </cell>
          <cell r="CQ30">
            <v>16.268333970821651</v>
          </cell>
          <cell r="CR30">
            <v>22.706742151618755</v>
          </cell>
          <cell r="CS30" t="str">
            <v/>
          </cell>
          <cell r="CT30">
            <v>0.15557707444493732</v>
          </cell>
          <cell r="CU30">
            <v>0.44317829547214688</v>
          </cell>
          <cell r="CV30">
            <v>1.5557707444493731</v>
          </cell>
          <cell r="CW30">
            <v>934.88912516128778</v>
          </cell>
          <cell r="CX30">
            <v>197.01847771188852</v>
          </cell>
          <cell r="CY30">
            <v>274.99114417813695</v>
          </cell>
          <cell r="CZ30">
            <v>483.55479665286708</v>
          </cell>
        </row>
        <row r="31">
          <cell r="B31" t="str">
            <v>CAN</v>
          </cell>
          <cell r="C31" t="str">
            <v>HIC</v>
          </cell>
          <cell r="D31" t="str">
            <v>HIC</v>
          </cell>
          <cell r="E31" t="str">
            <v/>
          </cell>
          <cell r="F31" t="str">
            <v xml:space="preserve"> </v>
          </cell>
          <cell r="G31" t="str">
            <v/>
          </cell>
          <cell r="H31" t="e">
            <v>#REF!</v>
          </cell>
          <cell r="I31" t="str">
            <v/>
          </cell>
          <cell r="J31" t="str">
            <v/>
          </cell>
          <cell r="K31" t="str">
            <v/>
          </cell>
          <cell r="M31" t="str">
            <v/>
          </cell>
          <cell r="O31" t="b">
            <v>1</v>
          </cell>
          <cell r="P31" t="str">
            <v/>
          </cell>
          <cell r="Q31" t="str">
            <v/>
          </cell>
          <cell r="R31" t="str">
            <v/>
          </cell>
          <cell r="S31" t="str">
            <v/>
          </cell>
          <cell r="T31" t="str">
            <v/>
          </cell>
          <cell r="U31" t="str">
            <v/>
          </cell>
          <cell r="V31" t="str">
            <v/>
          </cell>
          <cell r="W31" t="str">
            <v/>
          </cell>
          <cell r="X31" t="str">
            <v>YES</v>
          </cell>
          <cell r="Y31" t="str">
            <v/>
          </cell>
          <cell r="Z31" t="str">
            <v>YES</v>
          </cell>
          <cell r="AA31" t="str">
            <v/>
          </cell>
          <cell r="AB31" t="str">
            <v/>
          </cell>
          <cell r="AC31" t="str">
            <v/>
          </cell>
          <cell r="AD31" t="str">
            <v/>
          </cell>
          <cell r="AE31" t="str">
            <v>YES</v>
          </cell>
          <cell r="AF31" t="str">
            <v>YES</v>
          </cell>
          <cell r="AK31">
            <v>37.589261999999998</v>
          </cell>
          <cell r="AL31">
            <v>40.833730000000003</v>
          </cell>
          <cell r="AM31">
            <v>46370</v>
          </cell>
          <cell r="AN31">
            <v>2.4299479999999999E-3</v>
          </cell>
          <cell r="AO31">
            <v>2.5000000000000001E-3</v>
          </cell>
          <cell r="AP31">
            <v>9.1339952018375997E-2</v>
          </cell>
          <cell r="AQ31">
            <v>9.3973155000000003E-2</v>
          </cell>
          <cell r="AR31">
            <v>102.08432500000001</v>
          </cell>
          <cell r="AS31">
            <v>0.41431421846603722</v>
          </cell>
          <cell r="AT31">
            <v>19543.747835836806</v>
          </cell>
          <cell r="AU31">
            <v>8042866.6933764862</v>
          </cell>
          <cell r="AV31">
            <v>0.48296074876750561</v>
          </cell>
          <cell r="AW31">
            <v>22781.895160310069</v>
          </cell>
          <cell r="AX31">
            <v>9375466.1253286358</v>
          </cell>
          <cell r="AY31">
            <v>734635.05786320264</v>
          </cell>
          <cell r="AZ31">
            <v>856354.62603742711</v>
          </cell>
          <cell r="BA31">
            <v>121719.56817422446</v>
          </cell>
          <cell r="BB31">
            <v>0</v>
          </cell>
          <cell r="BC31">
            <v>0</v>
          </cell>
          <cell r="BD31">
            <v>0</v>
          </cell>
          <cell r="BE31">
            <v>0</v>
          </cell>
          <cell r="BF31">
            <v>0</v>
          </cell>
          <cell r="BG31">
            <v>1886.8527281729168</v>
          </cell>
          <cell r="BH31">
            <v>1812.8750573504365</v>
          </cell>
          <cell r="BI31"/>
          <cell r="BJ31">
            <v>0</v>
          </cell>
          <cell r="BK31">
            <v>0.18764865866292005</v>
          </cell>
          <cell r="BL31">
            <v>3699.7277855233533</v>
          </cell>
          <cell r="BM31">
            <v>3699.9154341820163</v>
          </cell>
          <cell r="BN31">
            <v>70925.40155470655</v>
          </cell>
          <cell r="BO31">
            <v>68144.635504010585</v>
          </cell>
          <cell r="BP31">
            <v>0</v>
          </cell>
          <cell r="BQ31">
            <v>0</v>
          </cell>
          <cell r="BR31">
            <v>7.0535745944290706</v>
          </cell>
          <cell r="BS31">
            <v>139070.03705871713</v>
          </cell>
          <cell r="BT31">
            <v>139077.09063331157</v>
          </cell>
          <cell r="BU31">
            <v>-7691.219794631681</v>
          </cell>
          <cell r="BV31">
            <v>-1604.4092166960738</v>
          </cell>
          <cell r="BW31">
            <v>-2669.5263038890971</v>
          </cell>
          <cell r="BX31">
            <v>-3417.2842740465103</v>
          </cell>
          <cell r="BZ31">
            <v>0</v>
          </cell>
          <cell r="CA31">
            <v>0</v>
          </cell>
          <cell r="CB31">
            <v>671.38557830314733</v>
          </cell>
          <cell r="CC31" t="e">
            <v>#N/A</v>
          </cell>
          <cell r="CD31" t="e">
            <v>#N/A</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t="str">
            <v/>
          </cell>
          <cell r="CT31">
            <v>5.3023972644102454E-2</v>
          </cell>
          <cell r="CU31">
            <v>0.15839422439312592</v>
          </cell>
          <cell r="CV31">
            <v>0.53023972644102457</v>
          </cell>
          <cell r="CW31" t="e">
            <v>#N/A</v>
          </cell>
          <cell r="CX31" t="e">
            <v>#N/A</v>
          </cell>
          <cell r="CY31" t="e">
            <v>#N/A</v>
          </cell>
          <cell r="CZ31">
            <v>139070.03705871713</v>
          </cell>
        </row>
        <row r="32">
          <cell r="B32" t="str">
            <v>CHL</v>
          </cell>
          <cell r="C32" t="str">
            <v>HIC</v>
          </cell>
          <cell r="D32" t="str">
            <v>HIC</v>
          </cell>
          <cell r="E32" t="str">
            <v/>
          </cell>
          <cell r="F32" t="str">
            <v xml:space="preserve"> </v>
          </cell>
          <cell r="G32" t="str">
            <v/>
          </cell>
          <cell r="H32" t="e">
            <v>#REF!</v>
          </cell>
          <cell r="I32" t="str">
            <v/>
          </cell>
          <cell r="J32" t="str">
            <v/>
          </cell>
          <cell r="K32" t="str">
            <v/>
          </cell>
          <cell r="M32" t="str">
            <v/>
          </cell>
          <cell r="O32" t="b">
            <v>1</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K32">
            <v>18.952038000000002</v>
          </cell>
          <cell r="AL32">
            <v>19.458099999999998</v>
          </cell>
          <cell r="AM32">
            <v>15010</v>
          </cell>
          <cell r="AN32">
            <v>2.7689409999999996E-3</v>
          </cell>
          <cell r="AO32">
            <v>2.2500000000000003E-3</v>
          </cell>
          <cell r="AP32">
            <v>5.2477075051757999E-2</v>
          </cell>
          <cell r="AQ32">
            <v>4.264208550000001E-2</v>
          </cell>
          <cell r="AR32">
            <v>43.780725000000011</v>
          </cell>
          <cell r="AS32">
            <v>0.21998557441535099</v>
          </cell>
          <cell r="AT32">
            <v>3512.381335393155</v>
          </cell>
          <cell r="AU32">
            <v>1268492.6603322914</v>
          </cell>
          <cell r="AV32">
            <v>0.26277329704055963</v>
          </cell>
          <cell r="AW32">
            <v>4195.5479418043924</v>
          </cell>
          <cell r="AX32">
            <v>1515217.5296636487</v>
          </cell>
          <cell r="AY32">
            <v>66566.784538861815</v>
          </cell>
          <cell r="AZ32">
            <v>79514.184023898648</v>
          </cell>
          <cell r="BA32">
            <v>12947.399485036833</v>
          </cell>
          <cell r="BB32">
            <v>120.7964196561402</v>
          </cell>
          <cell r="BC32">
            <v>147.19736424246625</v>
          </cell>
          <cell r="BD32">
            <v>7.7668356428193226</v>
          </cell>
          <cell r="BE32">
            <v>2804.9841592216389</v>
          </cell>
          <cell r="BF32">
            <v>3.4956930000000006</v>
          </cell>
          <cell r="BG32">
            <v>638.65666550689139</v>
          </cell>
          <cell r="BH32">
            <v>890.83712689997083</v>
          </cell>
          <cell r="BI32"/>
          <cell r="BJ32">
            <v>128.64641514342645</v>
          </cell>
          <cell r="BK32">
            <v>1.1497667593340466</v>
          </cell>
          <cell r="BL32">
            <v>1658.1402075502888</v>
          </cell>
          <cell r="BM32">
            <v>1659.2899743096227</v>
          </cell>
          <cell r="BN32">
            <v>12103.845393639896</v>
          </cell>
          <cell r="BO32">
            <v>16883.179080819071</v>
          </cell>
          <cell r="BP32">
            <v>0</v>
          </cell>
          <cell r="BQ32">
            <v>2438.1117483619937</v>
          </cell>
          <cell r="BR32">
            <v>21.790423314035706</v>
          </cell>
          <cell r="BS32">
            <v>31425.136222820958</v>
          </cell>
          <cell r="BT32">
            <v>31446.926646134994</v>
          </cell>
          <cell r="BU32">
            <v>-439.63376335190742</v>
          </cell>
          <cell r="BV32">
            <v>261.50493562931194</v>
          </cell>
          <cell r="BW32">
            <v>-200.45292285398716</v>
          </cell>
          <cell r="BX32">
            <v>-500.68577612723243</v>
          </cell>
          <cell r="BZ32">
            <v>3.9756425467927574</v>
          </cell>
          <cell r="CA32">
            <v>-9.0430783033614067E-3</v>
          </cell>
          <cell r="CB32">
            <v>482.68260945294168</v>
          </cell>
          <cell r="CC32">
            <v>187828</v>
          </cell>
          <cell r="CE32">
            <v>0</v>
          </cell>
          <cell r="CF32">
            <v>0</v>
          </cell>
          <cell r="CG32">
            <v>19.259366</v>
          </cell>
          <cell r="CH32">
            <v>1.0162160924329087</v>
          </cell>
          <cell r="CI32">
            <v>367.00532529689468</v>
          </cell>
          <cell r="CJ32">
            <v>0.98936933333333332</v>
          </cell>
          <cell r="CK32">
            <v>5.2203849176185341E-2</v>
          </cell>
          <cell r="CL32">
            <v>18.853362775221772</v>
          </cell>
          <cell r="CM32">
            <v>0.61696700000000004</v>
          </cell>
          <cell r="CN32">
            <v>3.2554124258298761E-2</v>
          </cell>
          <cell r="CO32">
            <v>11.756886209673217</v>
          </cell>
          <cell r="CP32">
            <v>1.206399</v>
          </cell>
          <cell r="CQ32">
            <v>6.3655370467281661E-2</v>
          </cell>
          <cell r="CR32">
            <v>22.989067108068273</v>
          </cell>
          <cell r="CS32">
            <v>0.39</v>
          </cell>
          <cell r="CT32">
            <v>6.1324433815508388E-2</v>
          </cell>
          <cell r="CU32">
            <v>0.19405385320565519</v>
          </cell>
          <cell r="CV32">
            <v>0.61324433815508383</v>
          </cell>
          <cell r="CW32">
            <v>0</v>
          </cell>
          <cell r="CX32">
            <v>0</v>
          </cell>
          <cell r="CY32">
            <v>0</v>
          </cell>
          <cell r="CZ32">
            <v>28987.024474458965</v>
          </cell>
        </row>
        <row r="33">
          <cell r="B33" t="str">
            <v>CHN</v>
          </cell>
          <cell r="C33" t="str">
            <v>UMIC</v>
          </cell>
          <cell r="D33" t="str">
            <v>UMIC</v>
          </cell>
          <cell r="E33" t="str">
            <v/>
          </cell>
          <cell r="F33" t="str">
            <v xml:space="preserve"> </v>
          </cell>
          <cell r="G33" t="str">
            <v/>
          </cell>
          <cell r="H33" t="e">
            <v>#REF!</v>
          </cell>
          <cell r="I33" t="str">
            <v/>
          </cell>
          <cell r="J33" t="str">
            <v/>
          </cell>
          <cell r="K33" t="b">
            <v>1</v>
          </cell>
          <cell r="M33" t="str">
            <v/>
          </cell>
          <cell r="P33" t="str">
            <v/>
          </cell>
          <cell r="Q33" t="str">
            <v/>
          </cell>
          <cell r="R33" t="str">
            <v/>
          </cell>
          <cell r="S33" t="str">
            <v/>
          </cell>
          <cell r="T33" t="str">
            <v>YES</v>
          </cell>
          <cell r="U33" t="str">
            <v>YES</v>
          </cell>
          <cell r="V33" t="str">
            <v/>
          </cell>
          <cell r="W33" t="str">
            <v/>
          </cell>
          <cell r="X33" t="str">
            <v/>
          </cell>
          <cell r="Y33" t="str">
            <v/>
          </cell>
          <cell r="Z33" t="str">
            <v/>
          </cell>
          <cell r="AA33" t="str">
            <v/>
          </cell>
          <cell r="AB33" t="str">
            <v/>
          </cell>
          <cell r="AC33" t="str">
            <v/>
          </cell>
          <cell r="AD33" t="str">
            <v/>
          </cell>
          <cell r="AE33" t="str">
            <v/>
          </cell>
          <cell r="AF33" t="str">
            <v/>
          </cell>
          <cell r="AK33">
            <v>1397.7149999999999</v>
          </cell>
          <cell r="AL33">
            <v>1464.34</v>
          </cell>
          <cell r="AM33">
            <v>10410</v>
          </cell>
          <cell r="AN33">
            <v>2.676889E-3</v>
          </cell>
          <cell r="AO33">
            <v>9.999999999999999E-14</v>
          </cell>
          <cell r="AP33">
            <v>3.7415279086349997</v>
          </cell>
          <cell r="AQ33">
            <v>1.3977149999999999E-10</v>
          </cell>
          <cell r="AR33">
            <v>1.4643399999999997E-7</v>
          </cell>
          <cell r="AS33">
            <v>0.2830989426775859</v>
          </cell>
          <cell r="AT33">
            <v>3010.096400509412</v>
          </cell>
          <cell r="AU33">
            <v>1124475.6134861819</v>
          </cell>
          <cell r="AV33">
            <v>0.36147565544754234</v>
          </cell>
          <cell r="AW33">
            <v>3843.449781349449</v>
          </cell>
          <cell r="AX33">
            <v>1435789.7474827867</v>
          </cell>
          <cell r="AY33">
            <v>4207256.8904380128</v>
          </cell>
          <cell r="AZ33">
            <v>5372047.4111388447</v>
          </cell>
          <cell r="BA33">
            <v>1164790.5207008319</v>
          </cell>
          <cell r="BB33">
            <v>1025.6062716142735</v>
          </cell>
          <cell r="BC33">
            <v>926.83420916339639</v>
          </cell>
          <cell r="BD33">
            <v>0.66310672001330484</v>
          </cell>
          <cell r="BE33">
            <v>247.71543385374022</v>
          </cell>
          <cell r="BF33">
            <v>3.4622437499999998</v>
          </cell>
          <cell r="BG33">
            <v>425.30662559733173</v>
          </cell>
          <cell r="BH33">
            <v>345.06537376062494</v>
          </cell>
          <cell r="BI33"/>
          <cell r="BJ33">
            <v>0</v>
          </cell>
          <cell r="BK33">
            <v>9.3196731271258315</v>
          </cell>
          <cell r="BL33">
            <v>770.37199935795661</v>
          </cell>
          <cell r="BM33">
            <v>779.69167248508245</v>
          </cell>
          <cell r="BN33">
            <v>594457.45019677444</v>
          </cell>
          <cell r="BO33">
            <v>482303.04888583184</v>
          </cell>
          <cell r="BP33">
            <v>0</v>
          </cell>
          <cell r="BQ33">
            <v>0</v>
          </cell>
          <cell r="BR33">
            <v>13026.246924880681</v>
          </cell>
          <cell r="BS33">
            <v>1076760.4990826063</v>
          </cell>
          <cell r="BT33">
            <v>1089786.7460074869</v>
          </cell>
          <cell r="BU33">
            <v>-1151.3528913167679</v>
          </cell>
          <cell r="BV33">
            <v>-231.45209344179244</v>
          </cell>
          <cell r="BW33">
            <v>-343.38333067255815</v>
          </cell>
          <cell r="BX33">
            <v>-576.51746720241738</v>
          </cell>
          <cell r="BZ33">
            <v>0.3327918971011245</v>
          </cell>
          <cell r="CA33">
            <v>-2.8904421885849466E-4</v>
          </cell>
          <cell r="CB33">
            <v>50.929139039194467</v>
          </cell>
          <cell r="CC33" t="e">
            <v>#N/A</v>
          </cell>
          <cell r="CE33">
            <v>0</v>
          </cell>
          <cell r="CF33">
            <v>0</v>
          </cell>
          <cell r="CG33">
            <v>569.95149666666669</v>
          </cell>
          <cell r="CH33">
            <v>0.40777375692946466</v>
          </cell>
          <cell r="CI33">
            <v>152.33121617275302</v>
          </cell>
          <cell r="CJ33">
            <v>171.16705000000002</v>
          </cell>
          <cell r="CK33">
            <v>0.12246205413836156</v>
          </cell>
          <cell r="CL33">
            <v>45.747901440202249</v>
          </cell>
          <cell r="CM33">
            <v>9.2641893333333343</v>
          </cell>
          <cell r="CN33">
            <v>6.628096094935902E-3</v>
          </cell>
          <cell r="CO33">
            <v>2.4760444287887551</v>
          </cell>
          <cell r="CP33">
            <v>12.106541333333334</v>
          </cell>
          <cell r="CQ33">
            <v>8.6616666010834367E-3</v>
          </cell>
          <cell r="CR33">
            <v>3.2357212424883648</v>
          </cell>
          <cell r="CS33">
            <v>0.28999999999999998</v>
          </cell>
          <cell r="CT33">
            <v>6.004975048561402E-2</v>
          </cell>
          <cell r="CU33">
            <v>0.18239081000060814</v>
          </cell>
          <cell r="CV33">
            <v>0.60049750485614017</v>
          </cell>
          <cell r="CW33">
            <v>0</v>
          </cell>
          <cell r="CX33">
            <v>0</v>
          </cell>
          <cell r="CY33">
            <v>0</v>
          </cell>
          <cell r="CZ33">
            <v>1076760.4990826063</v>
          </cell>
        </row>
        <row r="34">
          <cell r="B34" t="str">
            <v>CIV</v>
          </cell>
          <cell r="C34" t="str">
            <v>LMIC</v>
          </cell>
          <cell r="D34" t="str">
            <v>LLMIC</v>
          </cell>
          <cell r="E34" t="str">
            <v>LMIC_nonLDC</v>
          </cell>
          <cell r="F34" t="str">
            <v xml:space="preserve"> </v>
          </cell>
          <cell r="G34" t="b">
            <v>1</v>
          </cell>
          <cell r="H34" t="e">
            <v>#REF!</v>
          </cell>
          <cell r="I34" t="str">
            <v/>
          </cell>
          <cell r="J34" t="str">
            <v/>
          </cell>
          <cell r="K34" t="b">
            <v>1</v>
          </cell>
          <cell r="M34" t="b">
            <v>1</v>
          </cell>
          <cell r="O34" t="b">
            <v>1</v>
          </cell>
          <cell r="P34" t="b">
            <v>1</v>
          </cell>
          <cell r="Q34" t="str">
            <v/>
          </cell>
          <cell r="R34" t="str">
            <v>YES</v>
          </cell>
          <cell r="S34" t="str">
            <v>YES</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b">
            <v>1</v>
          </cell>
          <cell r="AI34" t="b">
            <v>1</v>
          </cell>
          <cell r="AK34">
            <v>25.716543999999999</v>
          </cell>
          <cell r="AL34">
            <v>33.712609999999998</v>
          </cell>
          <cell r="AM34">
            <v>2290</v>
          </cell>
          <cell r="AN34">
            <v>0.2149993</v>
          </cell>
          <cell r="AO34">
            <v>0.12050000000000001</v>
          </cell>
          <cell r="AP34">
            <v>5.5290389584191999</v>
          </cell>
          <cell r="AQ34">
            <v>3.0988435519999999</v>
          </cell>
          <cell r="AR34">
            <v>4062.3695050000006</v>
          </cell>
          <cell r="AS34">
            <v>0.13903908059733514</v>
          </cell>
          <cell r="AT34">
            <v>337.42130263140928</v>
          </cell>
          <cell r="AU34">
            <v>1569.4065172835878</v>
          </cell>
          <cell r="AV34">
            <v>0.17656025666836347</v>
          </cell>
          <cell r="AW34">
            <v>428.47803324094338</v>
          </cell>
          <cell r="AX34">
            <v>1992.9275734429989</v>
          </cell>
          <cell r="AY34">
            <v>8677.3097756579518</v>
          </cell>
          <cell r="AZ34">
            <v>11018.974194874183</v>
          </cell>
          <cell r="BA34">
            <v>2341.6644192162312</v>
          </cell>
          <cell r="BB34">
            <v>1016.0422444095415</v>
          </cell>
          <cell r="BC34">
            <v>1074.8444826579037</v>
          </cell>
          <cell r="BD34">
            <v>41.795837055628617</v>
          </cell>
          <cell r="BE34">
            <v>194.39987504902859</v>
          </cell>
          <cell r="BF34">
            <v>17.700332750000001</v>
          </cell>
          <cell r="BG34">
            <v>159.06414781840513</v>
          </cell>
          <cell r="BH34">
            <v>85.332327451662564</v>
          </cell>
          <cell r="BI34"/>
          <cell r="BJ34">
            <v>61.687469616519529</v>
          </cell>
          <cell r="BK34">
            <v>39.314383806727164</v>
          </cell>
          <cell r="BL34">
            <v>306.08394488658723</v>
          </cell>
          <cell r="BM34">
            <v>345.3983286933144</v>
          </cell>
          <cell r="BN34">
            <v>4090.5801561945195</v>
          </cell>
          <cell r="BO34">
            <v>2194.4525535330881</v>
          </cell>
          <cell r="BP34">
            <v>0</v>
          </cell>
          <cell r="BQ34">
            <v>1586.3885266418874</v>
          </cell>
          <cell r="BR34">
            <v>1011.0300809985865</v>
          </cell>
          <cell r="BS34">
            <v>7871.4212363694951</v>
          </cell>
          <cell r="BT34">
            <v>8882.4513173680825</v>
          </cell>
          <cell r="BU34">
            <v>91.844928266115545</v>
          </cell>
          <cell r="BV34">
            <v>21.060622465521064</v>
          </cell>
          <cell r="BW34">
            <v>73.368541170216446</v>
          </cell>
          <cell r="BX34">
            <v>-2.5842353696219718</v>
          </cell>
          <cell r="BZ34">
            <v>21.242061441224443</v>
          </cell>
          <cell r="CA34">
            <v>0.23128181209611007</v>
          </cell>
          <cell r="CB34">
            <v>0.24291076813785734</v>
          </cell>
          <cell r="CC34" t="str">
            <v>—</v>
          </cell>
          <cell r="CD34" t="e">
            <v>#VALUE!</v>
          </cell>
          <cell r="CE34">
            <v>2361.934138932404</v>
          </cell>
          <cell r="CF34">
            <v>537.42224132895183</v>
          </cell>
          <cell r="CG34">
            <v>84.136057333333341</v>
          </cell>
          <cell r="CH34">
            <v>3.2716704598150259</v>
          </cell>
          <cell r="CI34">
            <v>15.217121450232749</v>
          </cell>
          <cell r="CJ34">
            <v>275.85104833333332</v>
          </cell>
          <cell r="CK34">
            <v>10.726598734780744</v>
          </cell>
          <cell r="CL34">
            <v>49.891319342810618</v>
          </cell>
          <cell r="CM34">
            <v>39.346764333333333</v>
          </cell>
          <cell r="CN34">
            <v>1.5300175767526669</v>
          </cell>
          <cell r="CO34">
            <v>7.1163839917277256</v>
          </cell>
          <cell r="CP34">
            <v>29.548459666666666</v>
          </cell>
          <cell r="CQ34">
            <v>1.1490058565671448</v>
          </cell>
          <cell r="CR34">
            <v>5.3442306861796514</v>
          </cell>
          <cell r="CS34" t="str">
            <v/>
          </cell>
          <cell r="CT34">
            <v>0.16064366969371935</v>
          </cell>
          <cell r="CU34">
            <v>0.42576556943265786</v>
          </cell>
          <cell r="CV34">
            <v>1.6064366969371935</v>
          </cell>
          <cell r="CW34">
            <v>0</v>
          </cell>
          <cell r="CX34">
            <v>0</v>
          </cell>
          <cell r="CY34">
            <v>0</v>
          </cell>
          <cell r="CZ34">
            <v>6285.0327097276077</v>
          </cell>
        </row>
        <row r="35">
          <cell r="B35" t="str">
            <v>CMR</v>
          </cell>
          <cell r="C35" t="str">
            <v>LMIC</v>
          </cell>
          <cell r="D35" t="str">
            <v>LLMIC</v>
          </cell>
          <cell r="E35" t="str">
            <v>LMIC_nonLDC</v>
          </cell>
          <cell r="F35" t="str">
            <v xml:space="preserve"> </v>
          </cell>
          <cell r="G35" t="str">
            <v/>
          </cell>
          <cell r="H35" t="e">
            <v>#REF!</v>
          </cell>
          <cell r="I35" t="str">
            <v/>
          </cell>
          <cell r="J35" t="str">
            <v/>
          </cell>
          <cell r="K35" t="b">
            <v>1</v>
          </cell>
          <cell r="M35" t="b">
            <v>1</v>
          </cell>
          <cell r="N35" t="b">
            <v>1</v>
          </cell>
          <cell r="O35" t="b">
            <v>1</v>
          </cell>
          <cell r="P35" t="b">
            <v>1</v>
          </cell>
          <cell r="Q35" t="str">
            <v/>
          </cell>
          <cell r="R35" t="str">
            <v>YES</v>
          </cell>
          <cell r="S35" t="str">
            <v>YES</v>
          </cell>
          <cell r="T35" t="str">
            <v/>
          </cell>
          <cell r="U35" t="str">
            <v/>
          </cell>
          <cell r="V35" t="str">
            <v/>
          </cell>
          <cell r="W35" t="str">
            <v/>
          </cell>
          <cell r="X35" t="str">
            <v>YES</v>
          </cell>
          <cell r="Y35" t="str">
            <v/>
          </cell>
          <cell r="Z35" t="str">
            <v>YES</v>
          </cell>
          <cell r="AA35" t="str">
            <v/>
          </cell>
          <cell r="AB35" t="str">
            <v/>
          </cell>
          <cell r="AC35" t="str">
            <v>YES</v>
          </cell>
          <cell r="AD35" t="str">
            <v>YES</v>
          </cell>
          <cell r="AE35" t="str">
            <v/>
          </cell>
          <cell r="AF35" t="str">
            <v/>
          </cell>
          <cell r="AG35" t="str">
            <v/>
          </cell>
          <cell r="AK35">
            <v>25.876380000000001</v>
          </cell>
          <cell r="AL35">
            <v>33.766109999999998</v>
          </cell>
          <cell r="AM35">
            <v>1500</v>
          </cell>
          <cell r="AN35">
            <v>0.21304780000000001</v>
          </cell>
          <cell r="AO35">
            <v>0.19425000000000001</v>
          </cell>
          <cell r="AP35">
            <v>5.5129058309640007</v>
          </cell>
          <cell r="AQ35">
            <v>5.0264868150000002</v>
          </cell>
          <cell r="AR35">
            <v>6559.0668675000006</v>
          </cell>
          <cell r="AS35">
            <v>0.159</v>
          </cell>
          <cell r="AT35">
            <v>245.93046964334826</v>
          </cell>
          <cell r="AU35">
            <v>1154.3440938763426</v>
          </cell>
          <cell r="AV35">
            <v>0.1944391459074733</v>
          </cell>
          <cell r="AW35">
            <v>300.74534886840519</v>
          </cell>
          <cell r="AX35">
            <v>1411.6332056393221</v>
          </cell>
          <cell r="AY35">
            <v>6363.7902860697441</v>
          </cell>
          <cell r="AZ35">
            <v>7782.200930551423</v>
          </cell>
          <cell r="BA35">
            <v>1418.4106444816789</v>
          </cell>
          <cell r="BB35">
            <v>795.71410008293788</v>
          </cell>
          <cell r="BC35">
            <v>943.25826706474436</v>
          </cell>
          <cell r="BD35">
            <v>36.452481647925417</v>
          </cell>
          <cell r="BE35">
            <v>171.10001440017413</v>
          </cell>
          <cell r="BF35">
            <v>68.054164</v>
          </cell>
          <cell r="BG35">
            <v>107.47945830992457</v>
          </cell>
          <cell r="BH35">
            <v>77.582504580914019</v>
          </cell>
          <cell r="BI35"/>
          <cell r="BJ35">
            <v>62.39278483084329</v>
          </cell>
          <cell r="BK35">
            <v>23.913581864058429</v>
          </cell>
          <cell r="BL35">
            <v>247.45474772168185</v>
          </cell>
          <cell r="BM35">
            <v>271.3683295857403</v>
          </cell>
          <cell r="BN35">
            <v>2781.179305421766</v>
          </cell>
          <cell r="BO35">
            <v>2007.5543698874719</v>
          </cell>
          <cell r="BP35">
            <v>0</v>
          </cell>
          <cell r="BQ35">
            <v>1614.4994095411369</v>
          </cell>
          <cell r="BR35">
            <v>618.79693147548426</v>
          </cell>
          <cell r="BS35">
            <v>6403.2330848503743</v>
          </cell>
          <cell r="BT35">
            <v>7022.0300163258589</v>
          </cell>
          <cell r="BU35">
            <v>97.082073287479261</v>
          </cell>
          <cell r="BV35">
            <v>32.47070225065324</v>
          </cell>
          <cell r="BW35">
            <v>47.330388536243525</v>
          </cell>
          <cell r="BX35">
            <v>17.28098250058251</v>
          </cell>
          <cell r="BZ35">
            <v>19.541227000545369</v>
          </cell>
          <cell r="CA35">
            <v>0.2012856373872437</v>
          </cell>
          <cell r="CB35">
            <v>0.47348226544470617</v>
          </cell>
          <cell r="CC35">
            <v>46449</v>
          </cell>
          <cell r="CD35">
            <v>8.42550216241909E-3</v>
          </cell>
          <cell r="CE35">
            <v>2512.1326195746628</v>
          </cell>
          <cell r="CF35">
            <v>397.85705004146894</v>
          </cell>
          <cell r="CG35">
            <v>103.54332733333335</v>
          </cell>
          <cell r="CH35">
            <v>4.0014610750550634</v>
          </cell>
          <cell r="CI35">
            <v>18.781987305454752</v>
          </cell>
          <cell r="CJ35">
            <v>178.86169700000002</v>
          </cell>
          <cell r="CK35">
            <v>6.912160704086121</v>
          </cell>
          <cell r="CL35">
            <v>32.44417780463408</v>
          </cell>
          <cell r="CM35">
            <v>1.5060253333333335</v>
          </cell>
          <cell r="CN35">
            <v>5.8200773575489827E-2</v>
          </cell>
          <cell r="CO35">
            <v>0.27318176285082418</v>
          </cell>
          <cell r="CP35">
            <v>57.602172666666675</v>
          </cell>
          <cell r="CQ35">
            <v>2.2260522015315387</v>
          </cell>
          <cell r="CR35">
            <v>10.448604498762901</v>
          </cell>
          <cell r="CS35" t="str">
            <v/>
          </cell>
          <cell r="CT35">
            <v>0.15905250270710203</v>
          </cell>
          <cell r="CU35">
            <v>0.43152229948702253</v>
          </cell>
          <cell r="CV35">
            <v>1.5905250270710203</v>
          </cell>
          <cell r="CW35">
            <v>0</v>
          </cell>
          <cell r="CX35">
            <v>0</v>
          </cell>
          <cell r="CY35">
            <v>0</v>
          </cell>
          <cell r="CZ35">
            <v>4788.7336753092377</v>
          </cell>
        </row>
        <row r="36">
          <cell r="B36" t="str">
            <v>COD</v>
          </cell>
          <cell r="C36" t="str">
            <v>LIC</v>
          </cell>
          <cell r="D36" t="str">
            <v>OLIC</v>
          </cell>
          <cell r="E36" t="str">
            <v>OLIC_LDC</v>
          </cell>
          <cell r="F36" t="b">
            <v>1</v>
          </cell>
          <cell r="G36" t="b">
            <v>1</v>
          </cell>
          <cell r="H36" t="e">
            <v>#REF!</v>
          </cell>
          <cell r="I36" t="str">
            <v/>
          </cell>
          <cell r="J36" t="str">
            <v/>
          </cell>
          <cell r="K36" t="str">
            <v/>
          </cell>
          <cell r="M36" t="b">
            <v>1</v>
          </cell>
          <cell r="P36" t="b">
            <v>1</v>
          </cell>
          <cell r="Q36" t="b">
            <v>1</v>
          </cell>
          <cell r="R36" t="str">
            <v>YES</v>
          </cell>
          <cell r="S36" t="str">
            <v>YES</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b">
            <v>1</v>
          </cell>
          <cell r="AK36">
            <v>86.790566999999996</v>
          </cell>
          <cell r="AL36">
            <v>120.0467</v>
          </cell>
          <cell r="AM36">
            <v>520</v>
          </cell>
          <cell r="AN36">
            <v>0.70729180000000003</v>
          </cell>
          <cell r="AO36">
            <v>0.63124999999999998</v>
          </cell>
          <cell r="AP36">
            <v>61.386256356450602</v>
          </cell>
          <cell r="AQ36">
            <v>54.786545418749995</v>
          </cell>
          <cell r="AR36">
            <v>75779.479374999995</v>
          </cell>
          <cell r="AS36">
            <v>9.9783647404095677E-2</v>
          </cell>
          <cell r="AT36">
            <v>55.254538049862155</v>
          </cell>
          <cell r="AU36">
            <v>78.1212761831286</v>
          </cell>
          <cell r="AV36">
            <v>0.1376224222339876</v>
          </cell>
          <cell r="AW36">
            <v>76.20751058584716</v>
          </cell>
          <cell r="AX36">
            <v>107.74550275550651</v>
          </cell>
          <cell r="AY36">
            <v>4795.5726866706109</v>
          </cell>
          <cell r="AZ36">
            <v>6614.0930534041781</v>
          </cell>
          <cell r="BA36">
            <v>1818.5203667335672</v>
          </cell>
          <cell r="BB36">
            <v>1652.7542377694465</v>
          </cell>
          <cell r="BC36">
            <v>1656.5147857401698</v>
          </cell>
          <cell r="BD36">
            <v>19.086345935960644</v>
          </cell>
          <cell r="BE36">
            <v>26.985108460130096</v>
          </cell>
          <cell r="BF36">
            <v>366.83568549999995</v>
          </cell>
          <cell r="BG36">
            <v>57.452443842128041</v>
          </cell>
          <cell r="BH36">
            <v>41.829456586331695</v>
          </cell>
          <cell r="BI36"/>
          <cell r="BJ36">
            <v>163.64260969182038</v>
          </cell>
          <cell r="BK36">
            <v>17.588120200391547</v>
          </cell>
          <cell r="BL36">
            <v>262.9245101202801</v>
          </cell>
          <cell r="BM36">
            <v>280.51263032067163</v>
          </cell>
          <cell r="BN36">
            <v>4986.3301765939505</v>
          </cell>
          <cell r="BO36">
            <v>3630.4022544296122</v>
          </cell>
          <cell r="BP36">
            <v>0</v>
          </cell>
          <cell r="BQ36">
            <v>14202.634880512785</v>
          </cell>
          <cell r="BR36">
            <v>1526.482924656136</v>
          </cell>
          <cell r="BS36">
            <v>22819.367311536349</v>
          </cell>
          <cell r="BT36">
            <v>24345.850236192484</v>
          </cell>
          <cell r="BU36">
            <v>224.82075482735652</v>
          </cell>
          <cell r="BV36">
            <v>30.398329998454621</v>
          </cell>
          <cell r="BW36">
            <v>42.210941724958609</v>
          </cell>
          <cell r="BX36">
            <v>152.21148310394329</v>
          </cell>
          <cell r="BZ36">
            <v>11.656511422722758</v>
          </cell>
          <cell r="CA36">
            <v>5.1848021912718784E-2</v>
          </cell>
          <cell r="CB36">
            <v>3.9254130338331703</v>
          </cell>
          <cell r="CC36">
            <v>47580</v>
          </cell>
          <cell r="CD36">
            <v>7.7509206171032751E-4</v>
          </cell>
          <cell r="CE36">
            <v>19512.320784834257</v>
          </cell>
          <cell r="CF36">
            <v>828.25739287008491</v>
          </cell>
          <cell r="CG36">
            <v>128.04580033333332</v>
          </cell>
          <cell r="CH36">
            <v>1.4753423644914467</v>
          </cell>
          <cell r="CI36">
            <v>2.0859033916290937</v>
          </cell>
          <cell r="CJ36">
            <v>718.41319333333342</v>
          </cell>
          <cell r="CK36">
            <v>8.2775492563994142</v>
          </cell>
          <cell r="CL36">
            <v>11.703160218172208</v>
          </cell>
          <cell r="CM36">
            <v>14.968133</v>
          </cell>
          <cell r="CN36">
            <v>0.17246267097206544</v>
          </cell>
          <cell r="CO36">
            <v>0.24383524730820494</v>
          </cell>
          <cell r="CP36">
            <v>174.66381799999999</v>
          </cell>
          <cell r="CQ36">
            <v>2.0124746736589474</v>
          </cell>
          <cell r="CR36">
            <v>2.8453244808704801</v>
          </cell>
          <cell r="CS36">
            <v>0.56000000000000005</v>
          </cell>
          <cell r="CT36">
            <v>0.18236358566478775</v>
          </cell>
          <cell r="CU36">
            <v>0.40687144030295369</v>
          </cell>
          <cell r="CV36">
            <v>1.8236358566478774</v>
          </cell>
          <cell r="CW36">
            <v>17731.757182788308</v>
          </cell>
          <cell r="CX36">
            <v>204.3051197348245</v>
          </cell>
          <cell r="CY36">
            <v>288.85549038575664</v>
          </cell>
          <cell r="CZ36">
            <v>8616.7324310235635</v>
          </cell>
        </row>
        <row r="37">
          <cell r="B37" t="str">
            <v>COG</v>
          </cell>
          <cell r="C37" t="str">
            <v>LMIC</v>
          </cell>
          <cell r="D37" t="str">
            <v>LLMIC</v>
          </cell>
          <cell r="E37" t="str">
            <v>LMIC_nonLDC</v>
          </cell>
          <cell r="F37" t="str">
            <v xml:space="preserve"> </v>
          </cell>
          <cell r="G37" t="b">
            <v>1</v>
          </cell>
          <cell r="H37" t="e">
            <v>#REF!</v>
          </cell>
          <cell r="I37" t="str">
            <v/>
          </cell>
          <cell r="J37" t="str">
            <v/>
          </cell>
          <cell r="K37" t="b">
            <v>1</v>
          </cell>
          <cell r="M37" t="b">
            <v>1</v>
          </cell>
          <cell r="O37" t="b">
            <v>1</v>
          </cell>
          <cell r="P37" t="b">
            <v>1</v>
          </cell>
          <cell r="Q37" t="b">
            <v>1</v>
          </cell>
          <cell r="R37" t="str">
            <v>YES</v>
          </cell>
          <cell r="S37" t="str">
            <v>YES</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K37">
            <v>5.3805079999999998</v>
          </cell>
          <cell r="AL37">
            <v>7.0198349999999996</v>
          </cell>
          <cell r="AM37">
            <v>1750</v>
          </cell>
          <cell r="AN37">
            <v>0.40133139999999995</v>
          </cell>
          <cell r="AO37">
            <v>0.45250000000000001</v>
          </cell>
          <cell r="AP37">
            <v>2.1593668083511997</v>
          </cell>
          <cell r="AQ37">
            <v>2.4346798700000001</v>
          </cell>
          <cell r="AR37">
            <v>3176.4753375</v>
          </cell>
          <cell r="AS37">
            <v>0.29077250518194286</v>
          </cell>
          <cell r="AT37">
            <v>583.81760482058348</v>
          </cell>
          <cell r="AU37">
            <v>1454.7020363235558</v>
          </cell>
          <cell r="AV37">
            <v>0.29680351284931517</v>
          </cell>
          <cell r="AW37">
            <v>595.92675678052092</v>
          </cell>
          <cell r="AX37">
            <v>1484.8744872205887</v>
          </cell>
          <cell r="AY37">
            <v>3141.2352932779877</v>
          </cell>
          <cell r="AZ37">
            <v>3206.3886822716472</v>
          </cell>
          <cell r="BA37">
            <v>65.153388993659519</v>
          </cell>
          <cell r="BB37">
            <v>109.71660901313435</v>
          </cell>
          <cell r="BC37">
            <v>112.78355143536635</v>
          </cell>
          <cell r="BD37">
            <v>20.961506132016968</v>
          </cell>
          <cell r="BE37">
            <v>52.229918047820256</v>
          </cell>
          <cell r="BF37">
            <v>8.5462062500000009</v>
          </cell>
          <cell r="BG37">
            <v>343.79181036833933</v>
          </cell>
          <cell r="BH37">
            <v>86.256665187489574</v>
          </cell>
          <cell r="BI37"/>
          <cell r="BJ37">
            <v>142.75574342637529</v>
          </cell>
          <cell r="BK37">
            <v>37.461947082060426</v>
          </cell>
          <cell r="BL37">
            <v>572.80421898220413</v>
          </cell>
          <cell r="BM37">
            <v>610.26616606426455</v>
          </cell>
          <cell r="BN37">
            <v>1849.7745860213327</v>
          </cell>
          <cell r="BO37">
            <v>464.10467709460914</v>
          </cell>
          <cell r="BP37">
            <v>0</v>
          </cell>
          <cell r="BQ37">
            <v>768.09841955155969</v>
          </cell>
          <cell r="BR37">
            <v>201.56430597060279</v>
          </cell>
          <cell r="BS37">
            <v>3081.9776826675015</v>
          </cell>
          <cell r="BT37">
            <v>3283.5419886381042</v>
          </cell>
          <cell r="BU37">
            <v>274.84084059194367</v>
          </cell>
          <cell r="BV37">
            <v>-3.1323483295885666</v>
          </cell>
          <cell r="BW37">
            <v>224.60645901223512</v>
          </cell>
          <cell r="BX37">
            <v>53.366729909297149</v>
          </cell>
          <cell r="BZ37">
            <v>11.274935162754739</v>
          </cell>
          <cell r="CA37">
            <v>4.1023507054014002E-2</v>
          </cell>
          <cell r="CB37">
            <v>1.1277350631556269</v>
          </cell>
          <cell r="CC37" t="str">
            <v>—</v>
          </cell>
          <cell r="CD37" t="e">
            <v>#VALUE!</v>
          </cell>
          <cell r="CE37">
            <v>1478.7833415316777</v>
          </cell>
          <cell r="CF37">
            <v>54.858304506567173</v>
          </cell>
          <cell r="CG37">
            <v>23.345195</v>
          </cell>
          <cell r="CH37">
            <v>4.3388458859275003</v>
          </cell>
          <cell r="CI37">
            <v>10.811129869049621</v>
          </cell>
          <cell r="CJ37">
            <v>20.196594333333334</v>
          </cell>
          <cell r="CK37">
            <v>3.753659381852668</v>
          </cell>
          <cell r="CL37">
            <v>9.3530169377543562</v>
          </cell>
          <cell r="CM37">
            <v>0.75627899999999992</v>
          </cell>
          <cell r="CN37">
            <v>0.14055903271586995</v>
          </cell>
          <cell r="CO37">
            <v>0.3502318351264565</v>
          </cell>
          <cell r="CP37">
            <v>6.1849260000000008</v>
          </cell>
          <cell r="CQ37">
            <v>1.1495059574300421</v>
          </cell>
          <cell r="CR37">
            <v>2.8642312996940742</v>
          </cell>
          <cell r="CS37">
            <v>0.57999999999999996</v>
          </cell>
          <cell r="CT37">
            <v>0.1527660585208683</v>
          </cell>
          <cell r="CU37">
            <v>0.42325594534939825</v>
          </cell>
          <cell r="CV37">
            <v>1.5276605852086831</v>
          </cell>
          <cell r="CW37">
            <v>112.78355143536635</v>
          </cell>
          <cell r="CX37">
            <v>20.961506132016968</v>
          </cell>
          <cell r="CY37">
            <v>52.229918047820256</v>
          </cell>
          <cell r="CZ37">
            <v>2313.8792631159417</v>
          </cell>
        </row>
        <row r="38">
          <cell r="B38" t="str">
            <v>COL</v>
          </cell>
          <cell r="C38" t="str">
            <v>UMIC</v>
          </cell>
          <cell r="D38" t="str">
            <v>UMIC</v>
          </cell>
          <cell r="E38" t="str">
            <v/>
          </cell>
          <cell r="F38" t="str">
            <v xml:space="preserve"> </v>
          </cell>
          <cell r="G38" t="str">
            <v/>
          </cell>
          <cell r="H38" t="e">
            <v>#REF!</v>
          </cell>
          <cell r="I38" t="str">
            <v/>
          </cell>
          <cell r="J38" t="str">
            <v/>
          </cell>
          <cell r="K38" t="b">
            <v>1</v>
          </cell>
          <cell r="M38" t="str">
            <v/>
          </cell>
          <cell r="O38" t="b">
            <v>1</v>
          </cell>
          <cell r="P38" t="str">
            <v/>
          </cell>
          <cell r="Q38" t="str">
            <v/>
          </cell>
          <cell r="R38" t="str">
            <v/>
          </cell>
          <cell r="S38" t="str">
            <v/>
          </cell>
          <cell r="T38" t="str">
            <v>YES</v>
          </cell>
          <cell r="U38" t="str">
            <v>YES</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K38">
            <v>50.339443000000003</v>
          </cell>
          <cell r="AL38">
            <v>53.41677</v>
          </cell>
          <cell r="AM38">
            <v>6510</v>
          </cell>
          <cell r="AN38">
            <v>4.1133360000000001E-2</v>
          </cell>
          <cell r="AO38">
            <v>3.6249999999999998E-2</v>
          </cell>
          <cell r="AP38">
            <v>2.07063043111848</v>
          </cell>
          <cell r="AQ38">
            <v>1.82480480875</v>
          </cell>
          <cell r="AR38">
            <v>1936.3579124999997</v>
          </cell>
          <cell r="AS38">
            <v>0.25277170256026282</v>
          </cell>
          <cell r="AT38">
            <v>1671.6214074293084</v>
          </cell>
          <cell r="AU38">
            <v>40639.067837621544</v>
          </cell>
          <cell r="AV38">
            <v>0.29041956736939506</v>
          </cell>
          <cell r="AW38">
            <v>1920.5930135130482</v>
          </cell>
          <cell r="AX38">
            <v>46691.85822682728</v>
          </cell>
          <cell r="AY38">
            <v>84148.490556867459</v>
          </cell>
          <cell r="AZ38">
            <v>96681.582529938329</v>
          </cell>
          <cell r="BA38">
            <v>12533.09197307087</v>
          </cell>
          <cell r="BB38">
            <v>1036.1490202771458</v>
          </cell>
          <cell r="BC38">
            <v>1129.9029081092958</v>
          </cell>
          <cell r="BD38">
            <v>22.445677599358731</v>
          </cell>
          <cell r="BE38">
            <v>545.68062515094152</v>
          </cell>
          <cell r="BF38">
            <v>55.132061000000007</v>
          </cell>
          <cell r="BG38">
            <v>264.52666821449765</v>
          </cell>
          <cell r="BH38">
            <v>405.04419040598776</v>
          </cell>
          <cell r="BI38"/>
          <cell r="BJ38">
            <v>78.320001143783657</v>
          </cell>
          <cell r="BK38">
            <v>15.010392629144834</v>
          </cell>
          <cell r="BL38">
            <v>747.89085976426907</v>
          </cell>
          <cell r="BM38">
            <v>762.90125239341387</v>
          </cell>
          <cell r="BN38">
            <v>13316.125136563616</v>
          </cell>
          <cell r="BO38">
            <v>20389.69893542337</v>
          </cell>
          <cell r="BP38">
            <v>0</v>
          </cell>
          <cell r="BQ38">
            <v>3942.5852333374323</v>
          </cell>
          <cell r="BR38">
            <v>755.61480416245649</v>
          </cell>
          <cell r="BS38">
            <v>37648.409305324421</v>
          </cell>
          <cell r="BT38">
            <v>38404.024109486876</v>
          </cell>
          <cell r="BU38">
            <v>-212.40564699225501</v>
          </cell>
          <cell r="BV38">
            <v>116.95523837903056</v>
          </cell>
          <cell r="BW38">
            <v>-119.59193448811203</v>
          </cell>
          <cell r="BX38">
            <v>-209.76895088317355</v>
          </cell>
          <cell r="BZ38">
            <v>11.770441809510048</v>
          </cell>
          <cell r="CA38">
            <v>-5.5414919406258707E-2</v>
          </cell>
          <cell r="CB38">
            <v>63.529515482901388</v>
          </cell>
          <cell r="CC38" t="str">
            <v>—</v>
          </cell>
          <cell r="CD38" t="e">
            <v>#VALUE!</v>
          </cell>
          <cell r="CE38">
            <v>0</v>
          </cell>
          <cell r="CF38">
            <v>0</v>
          </cell>
          <cell r="CG38">
            <v>70.943751333333338</v>
          </cell>
          <cell r="CH38">
            <v>1.4093074357881421</v>
          </cell>
          <cell r="CI38">
            <v>34.261908966059231</v>
          </cell>
          <cell r="CJ38">
            <v>12.963717333333333</v>
          </cell>
          <cell r="CK38">
            <v>0.25752603844530686</v>
          </cell>
          <cell r="CL38">
            <v>6.2607586262174264</v>
          </cell>
          <cell r="CM38">
            <v>131.45954233333333</v>
          </cell>
          <cell r="CN38">
            <v>2.611461996775239</v>
          </cell>
          <cell r="CO38">
            <v>63.48768971888606</v>
          </cell>
          <cell r="CP38">
            <v>49.07510933333333</v>
          </cell>
          <cell r="CQ38">
            <v>0.97488383678248736</v>
          </cell>
          <cell r="CR38">
            <v>23.700564135351144</v>
          </cell>
          <cell r="CS38">
            <v>0.47</v>
          </cell>
          <cell r="CT38">
            <v>7.3713549035494888E-2</v>
          </cell>
          <cell r="CU38">
            <v>0.22423053032191875</v>
          </cell>
          <cell r="CV38">
            <v>0.73713549035494885</v>
          </cell>
          <cell r="CW38">
            <v>0</v>
          </cell>
          <cell r="CX38">
            <v>0</v>
          </cell>
          <cell r="CY38">
            <v>0</v>
          </cell>
          <cell r="CZ38">
            <v>33705.824071986986</v>
          </cell>
        </row>
        <row r="39">
          <cell r="B39" t="str">
            <v>COM</v>
          </cell>
          <cell r="C39" t="str">
            <v>LMIC</v>
          </cell>
          <cell r="D39" t="str">
            <v>LLMIC</v>
          </cell>
          <cell r="E39" t="str">
            <v>LMIC_LDC</v>
          </cell>
          <cell r="F39" t="b">
            <v>1</v>
          </cell>
          <cell r="G39" t="b">
            <v>1</v>
          </cell>
          <cell r="H39" t="e">
            <v>#REF!</v>
          </cell>
          <cell r="I39" t="str">
            <v/>
          </cell>
          <cell r="J39" t="str">
            <v/>
          </cell>
          <cell r="K39" t="b">
            <v>1</v>
          </cell>
          <cell r="M39" t="b">
            <v>1</v>
          </cell>
          <cell r="P39" t="b">
            <v>1</v>
          </cell>
          <cell r="Q39" t="str">
            <v/>
          </cell>
          <cell r="R39" t="str">
            <v>YES</v>
          </cell>
          <cell r="S39" t="str">
            <v>YES</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K39">
            <v>0.85088600000000003</v>
          </cell>
          <cell r="AL39">
            <v>1.0631110000000001</v>
          </cell>
          <cell r="AM39">
            <v>1420</v>
          </cell>
          <cell r="AN39">
            <v>0.1690509</v>
          </cell>
          <cell r="AO39">
            <v>0.18024999999999999</v>
          </cell>
          <cell r="AP39">
            <v>0.14384304409740001</v>
          </cell>
          <cell r="AQ39">
            <v>0.1533722015</v>
          </cell>
          <cell r="AR39">
            <v>191.62575774999999</v>
          </cell>
          <cell r="AS39">
            <v>0.10975115971102162</v>
          </cell>
          <cell r="AT39">
            <v>156.21358536327523</v>
          </cell>
          <cell r="AU39">
            <v>924.06242950067247</v>
          </cell>
          <cell r="AV39">
            <v>0.15048026370441264</v>
          </cell>
          <cell r="AW39">
            <v>214.18508543848006</v>
          </cell>
          <cell r="AX39">
            <v>1266.9857743347125</v>
          </cell>
          <cell r="AY39">
            <v>132.91995279541584</v>
          </cell>
          <cell r="AZ39">
            <v>182.24709060840655</v>
          </cell>
          <cell r="BA39">
            <v>49.327137812990713</v>
          </cell>
          <cell r="BB39">
            <v>54.936027060824735</v>
          </cell>
          <cell r="BC39">
            <v>61.683719631659962</v>
          </cell>
          <cell r="BD39">
            <v>72.493518087804901</v>
          </cell>
          <cell r="BE39">
            <v>428.82657287127665</v>
          </cell>
          <cell r="BF39">
            <v>1.5008889999999999</v>
          </cell>
          <cell r="BG39">
            <v>84.929739381229439</v>
          </cell>
          <cell r="BH39">
            <v>69.295277711385083</v>
          </cell>
          <cell r="BI39"/>
          <cell r="BJ39">
            <v>64.018814396628372</v>
          </cell>
          <cell r="BK39">
            <v>23.534979870334347</v>
          </cell>
          <cell r="BL39">
            <v>218.24383148924289</v>
          </cell>
          <cell r="BM39">
            <v>241.77881135957725</v>
          </cell>
          <cell r="BN39">
            <v>72.265526223136789</v>
          </cell>
          <cell r="BO39">
            <v>58.962381670729613</v>
          </cell>
          <cell r="BP39">
            <v>0</v>
          </cell>
          <cell r="BQ39">
            <v>54.47271290668953</v>
          </cell>
          <cell r="BR39">
            <v>20.02558488194931</v>
          </cell>
          <cell r="BS39">
            <v>185.70062080055595</v>
          </cell>
          <cell r="BT39">
            <v>205.72620568250525</v>
          </cell>
          <cell r="BU39">
            <v>111.15128877000286</v>
          </cell>
          <cell r="BV39">
            <v>37.167514895613074</v>
          </cell>
          <cell r="BW39">
            <v>42.092722293533427</v>
          </cell>
          <cell r="BX39">
            <v>31.891051580856363</v>
          </cell>
          <cell r="BZ39">
            <v>37.128715616228234</v>
          </cell>
          <cell r="CA39">
            <v>0.33403765288818144</v>
          </cell>
          <cell r="CB39">
            <v>5.9774189343168009</v>
          </cell>
          <cell r="CC39" t="str">
            <v>—</v>
          </cell>
          <cell r="CD39" t="e">
            <v>#VALUE!</v>
          </cell>
          <cell r="CE39">
            <v>94.577075496352663</v>
          </cell>
          <cell r="CF39">
            <v>27.468013530412367</v>
          </cell>
          <cell r="CG39">
            <v>16.861445</v>
          </cell>
          <cell r="CH39">
            <v>19.816338498929351</v>
          </cell>
          <cell r="CI39">
            <v>117.22113575810215</v>
          </cell>
          <cell r="CJ39">
            <v>11.978967666666668</v>
          </cell>
          <cell r="CK39">
            <v>14.078228654210632</v>
          </cell>
          <cell r="CL39">
            <v>83.278046163673963</v>
          </cell>
          <cell r="CM39">
            <v>0.79736799999999997</v>
          </cell>
          <cell r="CN39">
            <v>0.93710320771525202</v>
          </cell>
          <cell r="CO39">
            <v>5.5433198386713824</v>
          </cell>
          <cell r="CP39">
            <v>2.7896103333333331</v>
          </cell>
          <cell r="CQ39">
            <v>3.2784771794733172</v>
          </cell>
          <cell r="CR39">
            <v>19.393432270832733</v>
          </cell>
          <cell r="CS39" t="str">
            <v/>
          </cell>
          <cell r="CT39">
            <v>0.14515222955836624</v>
          </cell>
          <cell r="CU39">
            <v>0.39877727451150913</v>
          </cell>
          <cell r="CV39">
            <v>1.4515222955836624</v>
          </cell>
          <cell r="CW39">
            <v>61.683719631659962</v>
          </cell>
          <cell r="CX39">
            <v>72.493518087804901</v>
          </cell>
          <cell r="CY39">
            <v>428.82657287127665</v>
          </cell>
          <cell r="CZ39">
            <v>131.22790789386639</v>
          </cell>
        </row>
        <row r="40">
          <cell r="B40" t="str">
            <v>CPV</v>
          </cell>
          <cell r="C40" t="str">
            <v>LMIC</v>
          </cell>
          <cell r="D40" t="str">
            <v>ULMIC</v>
          </cell>
          <cell r="E40" t="str">
            <v>LMIC_nonLDC</v>
          </cell>
          <cell r="F40" t="str">
            <v xml:space="preserve"> </v>
          </cell>
          <cell r="G40" t="str">
            <v/>
          </cell>
          <cell r="H40" t="e">
            <v>#REF!</v>
          </cell>
          <cell r="I40" t="str">
            <v/>
          </cell>
          <cell r="J40" t="str">
            <v/>
          </cell>
          <cell r="K40" t="b">
            <v>1</v>
          </cell>
          <cell r="M40" t="str">
            <v/>
          </cell>
          <cell r="O40" t="b">
            <v>1</v>
          </cell>
          <cell r="P40" t="b">
            <v>1</v>
          </cell>
          <cell r="Q40" t="str">
            <v/>
          </cell>
          <cell r="R40" t="str">
            <v/>
          </cell>
          <cell r="S40" t="str">
            <v/>
          </cell>
          <cell r="T40" t="str">
            <v>YES</v>
          </cell>
          <cell r="U40" t="str">
            <v>YES</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b">
            <v>1</v>
          </cell>
          <cell r="AK40">
            <v>0.54993499999999995</v>
          </cell>
          <cell r="AL40">
            <v>0.61006199999999999</v>
          </cell>
          <cell r="AM40">
            <v>3630</v>
          </cell>
          <cell r="AN40">
            <v>2.3620830000000002E-2</v>
          </cell>
          <cell r="AO40">
            <v>2.5249999999999998E-2</v>
          </cell>
          <cell r="AP40">
            <v>1.298992114605E-2</v>
          </cell>
          <cell r="AQ40">
            <v>1.3885858749999997E-2</v>
          </cell>
          <cell r="AR40">
            <v>15.404065499999998</v>
          </cell>
          <cell r="AS40">
            <v>0.26435237681804263</v>
          </cell>
          <cell r="AT40">
            <v>999.80437851539909</v>
          </cell>
          <cell r="AU40">
            <v>42327.233146142578</v>
          </cell>
          <cell r="AV40">
            <v>0.26435237681804263</v>
          </cell>
          <cell r="AW40">
            <v>999.80437851539909</v>
          </cell>
          <cell r="AX40">
            <v>42327.233146142578</v>
          </cell>
          <cell r="AY40">
            <v>549.82742089886597</v>
          </cell>
          <cell r="AZ40">
            <v>549.82742089886585</v>
          </cell>
          <cell r="BA40">
            <v>-1.1368683772161603E-13</v>
          </cell>
          <cell r="BB40">
            <v>130.42642819654233</v>
          </cell>
          <cell r="BC40">
            <v>110.01798194218786</v>
          </cell>
          <cell r="BD40">
            <v>200.05633746204163</v>
          </cell>
          <cell r="BE40">
            <v>8469.4880519457456</v>
          </cell>
          <cell r="BF40">
            <v>0.38157649999999999</v>
          </cell>
          <cell r="BG40">
            <v>200.97096411031461</v>
          </cell>
          <cell r="BH40">
            <v>152.37942809055167</v>
          </cell>
          <cell r="BI40"/>
          <cell r="BJ40">
            <v>28.61334939064815</v>
          </cell>
          <cell r="BK40">
            <v>23.820812547031693</v>
          </cell>
          <cell r="BL40">
            <v>381.96374159151441</v>
          </cell>
          <cell r="BM40">
            <v>405.78455413854613</v>
          </cell>
          <cell r="BN40">
            <v>110.52096714800585</v>
          </cell>
          <cell r="BO40">
            <v>83.798780786977531</v>
          </cell>
          <cell r="BP40">
            <v>0</v>
          </cell>
          <cell r="BQ40">
            <v>15.735482297146088</v>
          </cell>
          <cell r="BR40">
            <v>13.099898548051874</v>
          </cell>
          <cell r="BS40">
            <v>210.05523023212947</v>
          </cell>
          <cell r="BT40">
            <v>223.15512878018134</v>
          </cell>
          <cell r="BU40">
            <v>-117.93844766618514</v>
          </cell>
          <cell r="BV40">
            <v>2.4087713132418003</v>
          </cell>
          <cell r="BW40">
            <v>1.0100884072347753</v>
          </cell>
          <cell r="BX40">
            <v>-121.35730738666172</v>
          </cell>
          <cell r="BZ40">
            <v>100.37509745896139</v>
          </cell>
          <cell r="CA40">
            <v>-0.85108036815156896</v>
          </cell>
          <cell r="CB40">
            <v>70.78701341306737</v>
          </cell>
          <cell r="CC40">
            <v>153326</v>
          </cell>
          <cell r="CD40">
            <v>11.803458872159794</v>
          </cell>
          <cell r="CE40">
            <v>0</v>
          </cell>
          <cell r="CF40">
            <v>0</v>
          </cell>
          <cell r="CG40">
            <v>20.798413666666665</v>
          </cell>
          <cell r="CH40">
            <v>37.819767184606668</v>
          </cell>
          <cell r="CI40">
            <v>1601.1193164933943</v>
          </cell>
          <cell r="CJ40">
            <v>7.2416140000000011</v>
          </cell>
          <cell r="CK40">
            <v>13.168127142298639</v>
          </cell>
          <cell r="CL40">
            <v>557.47944260631982</v>
          </cell>
          <cell r="CM40">
            <v>0.37952000000000002</v>
          </cell>
          <cell r="CN40">
            <v>0.69011792302726693</v>
          </cell>
          <cell r="CO40">
            <v>29.21649760094234</v>
          </cell>
          <cell r="CP40">
            <v>3.7775410000000003</v>
          </cell>
          <cell r="CQ40">
            <v>6.8690681626010361</v>
          </cell>
          <cell r="CR40">
            <v>290.80553742612074</v>
          </cell>
          <cell r="CS40" t="str">
            <v/>
          </cell>
          <cell r="CT40">
            <v>9.4432978442906892E-2</v>
          </cell>
          <cell r="CU40">
            <v>0.28390446143635156</v>
          </cell>
          <cell r="CV40">
            <v>0.9443297844290689</v>
          </cell>
          <cell r="CW40">
            <v>0</v>
          </cell>
          <cell r="CX40">
            <v>0</v>
          </cell>
          <cell r="CY40">
            <v>0</v>
          </cell>
          <cell r="CZ40">
            <v>194.31974793498338</v>
          </cell>
        </row>
        <row r="41">
          <cell r="B41" t="str">
            <v>CRI</v>
          </cell>
          <cell r="C41" t="str">
            <v>UMIC</v>
          </cell>
          <cell r="D41" t="str">
            <v>UMIC</v>
          </cell>
          <cell r="E41" t="str">
            <v/>
          </cell>
          <cell r="F41" t="str">
            <v xml:space="preserve"> </v>
          </cell>
          <cell r="G41" t="str">
            <v/>
          </cell>
          <cell r="H41" t="e">
            <v>#REF!</v>
          </cell>
          <cell r="I41" t="str">
            <v/>
          </cell>
          <cell r="J41" t="str">
            <v/>
          </cell>
          <cell r="K41" t="b">
            <v>1</v>
          </cell>
          <cell r="M41" t="str">
            <v/>
          </cell>
          <cell r="O41" t="b">
            <v>1</v>
          </cell>
          <cell r="P41" t="str">
            <v/>
          </cell>
          <cell r="Q41" t="str">
            <v/>
          </cell>
          <cell r="R41" t="str">
            <v/>
          </cell>
          <cell r="S41" t="str">
            <v/>
          </cell>
          <cell r="T41" t="str">
            <v>YES</v>
          </cell>
          <cell r="U41" t="str">
            <v>YES</v>
          </cell>
          <cell r="V41" t="str">
            <v/>
          </cell>
          <cell r="W41" t="str">
            <v/>
          </cell>
          <cell r="X41" t="str">
            <v/>
          </cell>
          <cell r="Y41" t="str">
            <v/>
          </cell>
          <cell r="Z41" t="str">
            <v/>
          </cell>
          <cell r="AA41" t="str">
            <v/>
          </cell>
          <cell r="AB41" t="str">
            <v/>
          </cell>
          <cell r="AC41" t="str">
            <v/>
          </cell>
          <cell r="AD41" t="str">
            <v/>
          </cell>
          <cell r="AE41" t="str">
            <v/>
          </cell>
          <cell r="AF41" t="str">
            <v/>
          </cell>
          <cell r="AK41">
            <v>5.047561</v>
          </cell>
          <cell r="AL41">
            <v>5.4680420000000005</v>
          </cell>
          <cell r="AM41">
            <v>11700</v>
          </cell>
          <cell r="AN41">
            <v>1.418491E-2</v>
          </cell>
          <cell r="AO41">
            <v>1.2E-2</v>
          </cell>
          <cell r="AP41">
            <v>7.1599198504510006E-2</v>
          </cell>
          <cell r="AQ41">
            <v>6.0570732000000002E-2</v>
          </cell>
          <cell r="AR41">
            <v>65.616504000000006</v>
          </cell>
          <cell r="AS41">
            <v>0.25124126882501396</v>
          </cell>
          <cell r="AT41">
            <v>3112.1955965792727</v>
          </cell>
          <cell r="AU41">
            <v>219401.85708469583</v>
          </cell>
          <cell r="AV41">
            <v>0.3367615521650954</v>
          </cell>
          <cell r="AW41">
            <v>4171.5591735662483</v>
          </cell>
          <cell r="AX41">
            <v>294084.2891189474</v>
          </cell>
          <cell r="AY41">
            <v>15708.997117665269</v>
          </cell>
          <cell r="AZ41">
            <v>21056.199393685227</v>
          </cell>
          <cell r="BA41">
            <v>5347.2022760199579</v>
          </cell>
          <cell r="BB41">
            <v>108.25790678420167</v>
          </cell>
          <cell r="BC41">
            <v>93.807744246989117</v>
          </cell>
          <cell r="BD41">
            <v>18.58476683035413</v>
          </cell>
          <cell r="BE41">
            <v>1310.1786920293559</v>
          </cell>
          <cell r="BF41">
            <v>1.9108274999999999</v>
          </cell>
          <cell r="BG41">
            <v>495.4911446091881</v>
          </cell>
          <cell r="BH41">
            <v>674.40030902824356</v>
          </cell>
          <cell r="BI41"/>
          <cell r="BJ41">
            <v>55.51912837126595</v>
          </cell>
          <cell r="BK41">
            <v>49.424297933929466</v>
          </cell>
          <cell r="BL41">
            <v>1225.4105820086975</v>
          </cell>
          <cell r="BM41">
            <v>1274.8348799426269</v>
          </cell>
          <cell r="BN41">
            <v>2501.0217773746981</v>
          </cell>
          <cell r="BO41">
            <v>3404.07669823891</v>
          </cell>
          <cell r="BP41">
            <v>0</v>
          </cell>
          <cell r="BQ41">
            <v>280.23618712079553</v>
          </cell>
          <cell r="BR41">
            <v>249.47215870368294</v>
          </cell>
          <cell r="BS41">
            <v>6185.3346627344035</v>
          </cell>
          <cell r="BT41">
            <v>6434.8068214380864</v>
          </cell>
          <cell r="BU41">
            <v>-860.36900477442668</v>
          </cell>
          <cell r="BV41">
            <v>48.66643299330633</v>
          </cell>
          <cell r="BW41">
            <v>-338.82069010406161</v>
          </cell>
          <cell r="BX41">
            <v>-570.21474766367123</v>
          </cell>
          <cell r="BZ41">
            <v>9.4816656744702161</v>
          </cell>
          <cell r="CA41">
            <v>-1.1020464035610092E-2</v>
          </cell>
          <cell r="CB41">
            <v>184.64023251966347</v>
          </cell>
          <cell r="CC41">
            <v>135895</v>
          </cell>
          <cell r="CD41">
            <v>1.8979961066385402</v>
          </cell>
          <cell r="CE41">
            <v>0</v>
          </cell>
          <cell r="CF41">
            <v>0</v>
          </cell>
          <cell r="CG41">
            <v>12.987265333333333</v>
          </cell>
          <cell r="CH41">
            <v>2.5729783817042198</v>
          </cell>
          <cell r="CI41">
            <v>181.38841781190149</v>
          </cell>
          <cell r="CJ41">
            <v>3.2780623333333336</v>
          </cell>
          <cell r="CK41">
            <v>0.6494349118977133</v>
          </cell>
          <cell r="CL41">
            <v>45.78350598612986</v>
          </cell>
          <cell r="CM41">
            <v>0.18616033333333334</v>
          </cell>
          <cell r="CN41">
            <v>3.6881244889033209E-2</v>
          </cell>
          <cell r="CO41">
            <v>2.600033760456232</v>
          </cell>
          <cell r="CP41">
            <v>2.623513</v>
          </cell>
          <cell r="CQ41">
            <v>0.51975855269505411</v>
          </cell>
          <cell r="CR41">
            <v>36.641653186030375</v>
          </cell>
          <cell r="CS41">
            <v>0.54</v>
          </cell>
          <cell r="CT41">
            <v>6.8944585315561316E-2</v>
          </cell>
          <cell r="CU41">
            <v>0.2102013229755916</v>
          </cell>
          <cell r="CV41">
            <v>0.68944585315561313</v>
          </cell>
          <cell r="CW41">
            <v>0</v>
          </cell>
          <cell r="CX41">
            <v>0</v>
          </cell>
          <cell r="CY41">
            <v>0</v>
          </cell>
          <cell r="CZ41">
            <v>5905.0984756136077</v>
          </cell>
        </row>
        <row r="42">
          <cell r="B42" t="str">
            <v>CUB</v>
          </cell>
          <cell r="C42" t="str">
            <v>UMIC</v>
          </cell>
          <cell r="D42" t="str">
            <v>UMIC</v>
          </cell>
          <cell r="E42" t="str">
            <v/>
          </cell>
          <cell r="F42" t="str">
            <v xml:space="preserve"> </v>
          </cell>
          <cell r="G42" t="str">
            <v/>
          </cell>
          <cell r="H42" t="e">
            <v>#REF!</v>
          </cell>
          <cell r="I42" t="str">
            <v/>
          </cell>
          <cell r="J42" t="str">
            <v/>
          </cell>
          <cell r="K42" t="b">
            <v>1</v>
          </cell>
          <cell r="M42" t="str">
            <v/>
          </cell>
          <cell r="N42" t="b">
            <v>1</v>
          </cell>
          <cell r="P42" t="str">
            <v/>
          </cell>
          <cell r="Q42" t="str">
            <v/>
          </cell>
          <cell r="R42" t="str">
            <v/>
          </cell>
          <cell r="S42" t="str">
            <v/>
          </cell>
          <cell r="T42" t="str">
            <v>YES</v>
          </cell>
          <cell r="U42" t="str">
            <v>YES</v>
          </cell>
          <cell r="V42" t="str">
            <v/>
          </cell>
          <cell r="W42" t="str">
            <v/>
          </cell>
          <cell r="X42" t="str">
            <v/>
          </cell>
          <cell r="Y42" t="str">
            <v/>
          </cell>
          <cell r="Z42" t="str">
            <v/>
          </cell>
          <cell r="AA42" t="str">
            <v/>
          </cell>
          <cell r="AB42" t="str">
            <v/>
          </cell>
          <cell r="AC42" t="str">
            <v/>
          </cell>
          <cell r="AD42" t="str">
            <v/>
          </cell>
          <cell r="AE42" t="str">
            <v/>
          </cell>
          <cell r="AF42" t="str">
            <v/>
          </cell>
          <cell r="AK42">
            <v>11.333482999999999</v>
          </cell>
          <cell r="AL42">
            <v>11.142329999999999</v>
          </cell>
          <cell r="AM42">
            <v>8821.8188912500409</v>
          </cell>
          <cell r="AN42">
            <v>5.0000000000000001E-3</v>
          </cell>
          <cell r="AO42">
            <v>5.0000000000000001E-3</v>
          </cell>
          <cell r="AP42">
            <v>5.6667414999999999E-2</v>
          </cell>
          <cell r="AQ42">
            <v>5.6667414999999999E-2</v>
          </cell>
          <cell r="AR42">
            <v>55.711649999999999</v>
          </cell>
          <cell r="AS42">
            <v>0.4224</v>
          </cell>
          <cell r="AT42">
            <v>12373.816800890845</v>
          </cell>
          <cell r="AU42">
            <v>2474763.3601781689</v>
          </cell>
          <cell r="AV42">
            <v>0.51410149253731341</v>
          </cell>
          <cell r="AW42">
            <v>15060.127096878003</v>
          </cell>
          <cell r="AX42">
            <v>3012025.4193756003</v>
          </cell>
          <cell r="AY42">
            <v>140238.44235801074</v>
          </cell>
          <cell r="AZ42">
            <v>170683.69443030618</v>
          </cell>
          <cell r="BA42">
            <v>30445.252072295436</v>
          </cell>
          <cell r="BB42">
            <v>100.3139548906844</v>
          </cell>
          <cell r="BC42">
            <v>139.96042761769033</v>
          </cell>
          <cell r="BD42">
            <v>12.349286412455054</v>
          </cell>
          <cell r="BE42">
            <v>2469.8572824910107</v>
          </cell>
          <cell r="BF42">
            <v>9.8694562499999989</v>
          </cell>
          <cell r="BG42">
            <v>1171.7629546298149</v>
          </cell>
          <cell r="BH42">
            <v>674.40030902824356</v>
          </cell>
          <cell r="BI42"/>
          <cell r="BJ42">
            <v>42.889732786562114</v>
          </cell>
          <cell r="BK42">
            <v>8.5888192982109679</v>
          </cell>
          <cell r="BL42">
            <v>1889.0529964446205</v>
          </cell>
          <cell r="BM42">
            <v>1897.6418157428313</v>
          </cell>
          <cell r="BN42">
            <v>13280.155526326778</v>
          </cell>
          <cell r="BO42">
            <v>7643.3044375663439</v>
          </cell>
          <cell r="BP42">
            <v>0</v>
          </cell>
          <cell r="BQ42">
            <v>486.09005741104431</v>
          </cell>
          <cell r="BR42">
            <v>97.341237506345934</v>
          </cell>
          <cell r="BS42">
            <v>21409.550021304167</v>
          </cell>
          <cell r="BT42">
            <v>21506.891258810512</v>
          </cell>
          <cell r="BU42">
            <v>-5641.0105519943809</v>
          </cell>
          <cell r="BV42">
            <v>-1584.6187555034567</v>
          </cell>
          <cell r="BW42">
            <v>-1840.262464745786</v>
          </cell>
          <cell r="BX42">
            <v>-2216.1293317451382</v>
          </cell>
          <cell r="BZ42">
            <v>6.6100546437353085</v>
          </cell>
          <cell r="CA42">
            <v>-1.1717855484950869E-3</v>
          </cell>
          <cell r="CB42">
            <v>108.25319164681162</v>
          </cell>
          <cell r="CC42" t="e">
            <v>#N/A</v>
          </cell>
          <cell r="CD42" t="e">
            <v>#N/A</v>
          </cell>
          <cell r="CE42">
            <v>0</v>
          </cell>
          <cell r="CF42">
            <v>0</v>
          </cell>
          <cell r="CG42">
            <v>7.6731983333333327</v>
          </cell>
          <cell r="CH42">
            <v>0.67703797088091389</v>
          </cell>
          <cell r="CI42">
            <v>135.40759417618278</v>
          </cell>
          <cell r="CJ42">
            <v>12.368812999999999</v>
          </cell>
          <cell r="CK42">
            <v>1.0913514406824452</v>
          </cell>
          <cell r="CL42">
            <v>218.27028813648903</v>
          </cell>
          <cell r="CM42">
            <v>0.52383066666666667</v>
          </cell>
          <cell r="CN42">
            <v>4.6219742568693725E-2</v>
          </cell>
          <cell r="CO42">
            <v>9.2439485137387454</v>
          </cell>
          <cell r="CP42">
            <v>5.2743909999999996</v>
          </cell>
          <cell r="CQ42">
            <v>0.46538129540583417</v>
          </cell>
          <cell r="CR42">
            <v>93.076259081166839</v>
          </cell>
          <cell r="CS42" t="str">
            <v/>
          </cell>
          <cell r="CT42">
            <v>5.0406657865018197E-2</v>
          </cell>
          <cell r="CU42">
            <v>0.15911075174330788</v>
          </cell>
          <cell r="CV42">
            <v>0.50406657865018201</v>
          </cell>
          <cell r="CW42">
            <v>0</v>
          </cell>
          <cell r="CX42">
            <v>0</v>
          </cell>
          <cell r="CY42">
            <v>0</v>
          </cell>
          <cell r="CZ42">
            <v>20923.459963893121</v>
          </cell>
        </row>
        <row r="43">
          <cell r="B43" t="str">
            <v>CYP</v>
          </cell>
          <cell r="C43" t="str">
            <v>HIC</v>
          </cell>
          <cell r="D43" t="str">
            <v>HIC</v>
          </cell>
          <cell r="E43" t="str">
            <v/>
          </cell>
          <cell r="F43" t="str">
            <v xml:space="preserve"> </v>
          </cell>
          <cell r="G43" t="str">
            <v/>
          </cell>
          <cell r="H43" t="e">
            <v>#REF!</v>
          </cell>
          <cell r="I43" t="str">
            <v/>
          </cell>
          <cell r="J43" t="str">
            <v/>
          </cell>
          <cell r="K43" t="str">
            <v/>
          </cell>
          <cell r="M43" t="str">
            <v/>
          </cell>
          <cell r="O43" t="b">
            <v>1</v>
          </cell>
          <cell r="P43" t="str">
            <v/>
          </cell>
          <cell r="Q43" t="str">
            <v/>
          </cell>
          <cell r="R43" t="str">
            <v/>
          </cell>
          <cell r="S43" t="str">
            <v/>
          </cell>
          <cell r="T43" t="str">
            <v/>
          </cell>
          <cell r="U43" t="str">
            <v/>
          </cell>
          <cell r="V43" t="str">
            <v/>
          </cell>
          <cell r="W43" t="str">
            <v/>
          </cell>
          <cell r="X43" t="str">
            <v>YES</v>
          </cell>
          <cell r="Y43" t="str">
            <v/>
          </cell>
          <cell r="Z43" t="str">
            <v>YES</v>
          </cell>
          <cell r="AA43" t="str">
            <v/>
          </cell>
          <cell r="AB43" t="str">
            <v/>
          </cell>
          <cell r="AC43" t="str">
            <v/>
          </cell>
          <cell r="AD43" t="str">
            <v/>
          </cell>
          <cell r="AE43" t="str">
            <v>YES</v>
          </cell>
          <cell r="AF43" t="str">
            <v>YES</v>
          </cell>
          <cell r="AK43">
            <v>1.1985749999999999</v>
          </cell>
          <cell r="AL43">
            <v>1.2749729999999999</v>
          </cell>
          <cell r="AM43">
            <v>27710</v>
          </cell>
          <cell r="AN43">
            <v>3.28289E-4</v>
          </cell>
          <cell r="AO43">
            <v>9.999999999999999E-14</v>
          </cell>
          <cell r="AP43">
            <v>3.93478988175E-4</v>
          </cell>
          <cell r="AQ43">
            <v>1.1985749999999998E-13</v>
          </cell>
          <cell r="AR43">
            <v>1.2749730000000002E-10</v>
          </cell>
          <cell r="AS43">
            <v>0.38015426672106101</v>
          </cell>
          <cell r="AT43">
            <v>10888.236654792108</v>
          </cell>
          <cell r="AU43">
            <v>33166620.43136416</v>
          </cell>
          <cell r="AV43">
            <v>0.44960423088004448</v>
          </cell>
          <cell r="AW43">
            <v>12877.396613332561</v>
          </cell>
          <cell r="AX43">
            <v>39225793.777228482</v>
          </cell>
          <cell r="AY43">
            <v>13050.36824851745</v>
          </cell>
          <cell r="AZ43">
            <v>15434.525645825075</v>
          </cell>
          <cell r="BA43">
            <v>2384.1573973076247</v>
          </cell>
          <cell r="BB43">
            <v>0</v>
          </cell>
          <cell r="BC43">
            <v>0</v>
          </cell>
          <cell r="BD43">
            <v>0</v>
          </cell>
          <cell r="BE43">
            <v>0</v>
          </cell>
          <cell r="BF43">
            <v>0</v>
          </cell>
          <cell r="BG43">
            <v>1145.6650742032971</v>
          </cell>
          <cell r="BH43">
            <v>659.66010916960727</v>
          </cell>
          <cell r="BI43"/>
          <cell r="BJ43">
            <v>0</v>
          </cell>
          <cell r="BK43">
            <v>9.847922422542835</v>
          </cell>
          <cell r="BL43">
            <v>1805.3251833729043</v>
          </cell>
          <cell r="BM43">
            <v>1815.1731057954471</v>
          </cell>
          <cell r="BN43">
            <v>1373.1655163132168</v>
          </cell>
          <cell r="BO43">
            <v>790.65211534796197</v>
          </cell>
          <cell r="BP43">
            <v>0</v>
          </cell>
          <cell r="BQ43">
            <v>0</v>
          </cell>
          <cell r="BR43">
            <v>11.803473617599279</v>
          </cell>
          <cell r="BS43">
            <v>2163.8176316611789</v>
          </cell>
          <cell r="BT43">
            <v>2175.621105278778</v>
          </cell>
          <cell r="BU43">
            <v>-4633.373123293376</v>
          </cell>
          <cell r="BV43">
            <v>-1271.9493828302768</v>
          </cell>
          <cell r="BW43">
            <v>-1429.8142484632153</v>
          </cell>
          <cell r="BX43">
            <v>-1931.6094919998841</v>
          </cell>
          <cell r="BZ43">
            <v>0</v>
          </cell>
          <cell r="CA43">
            <v>0</v>
          </cell>
          <cell r="CB43">
            <v>392.66387887382336</v>
          </cell>
          <cell r="CC43" t="e">
            <v>#N/A</v>
          </cell>
          <cell r="CD43" t="e">
            <v>#N/A</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t="str">
            <v/>
          </cell>
          <cell r="CT43">
            <v>5.4078384748555579E-2</v>
          </cell>
          <cell r="CU43">
            <v>0.16698829860459294</v>
          </cell>
          <cell r="CV43">
            <v>0.54078384748555575</v>
          </cell>
          <cell r="CW43" t="e">
            <v>#N/A</v>
          </cell>
          <cell r="CX43" t="e">
            <v>#N/A</v>
          </cell>
          <cell r="CY43" t="e">
            <v>#N/A</v>
          </cell>
          <cell r="CZ43">
            <v>2163.8176316611789</v>
          </cell>
        </row>
        <row r="44">
          <cell r="B44" t="str">
            <v>DJI</v>
          </cell>
          <cell r="C44" t="str">
            <v>LMIC</v>
          </cell>
          <cell r="D44" t="str">
            <v>ULMIC</v>
          </cell>
          <cell r="E44" t="str">
            <v>LMIC_LDC</v>
          </cell>
          <cell r="F44" t="b">
            <v>1</v>
          </cell>
          <cell r="G44" t="b">
            <v>1</v>
          </cell>
          <cell r="H44" t="e">
            <v>#REF!</v>
          </cell>
          <cell r="I44" t="str">
            <v/>
          </cell>
          <cell r="J44" t="str">
            <v/>
          </cell>
          <cell r="K44" t="b">
            <v>1</v>
          </cell>
          <cell r="M44" t="b">
            <v>1</v>
          </cell>
          <cell r="O44" t="b">
            <v>1</v>
          </cell>
          <cell r="P44" t="str">
            <v/>
          </cell>
          <cell r="Q44" t="str">
            <v/>
          </cell>
          <cell r="R44" t="str">
            <v/>
          </cell>
          <cell r="S44" t="str">
            <v/>
          </cell>
          <cell r="T44" t="str">
            <v>YES</v>
          </cell>
          <cell r="U44" t="str">
            <v>YES</v>
          </cell>
          <cell r="V44" t="str">
            <v/>
          </cell>
          <cell r="W44" t="str">
            <v/>
          </cell>
          <cell r="X44" t="str">
            <v/>
          </cell>
          <cell r="Y44" t="str">
            <v/>
          </cell>
          <cell r="Z44" t="str">
            <v/>
          </cell>
          <cell r="AA44" t="str">
            <v/>
          </cell>
          <cell r="AB44" t="str">
            <v/>
          </cell>
          <cell r="AC44" t="str">
            <v/>
          </cell>
          <cell r="AD44" t="str">
            <v/>
          </cell>
          <cell r="AE44" t="str">
            <v/>
          </cell>
          <cell r="AF44" t="str">
            <v/>
          </cell>
          <cell r="AK44">
            <v>0.97355999999999998</v>
          </cell>
          <cell r="AL44">
            <v>1.1167130000000001</v>
          </cell>
          <cell r="AM44">
            <v>3540</v>
          </cell>
          <cell r="AN44">
            <v>0.16533370000000003</v>
          </cell>
          <cell r="AO44">
            <v>9.3000000000000013E-2</v>
          </cell>
          <cell r="AP44">
            <v>0.16096227697200002</v>
          </cell>
          <cell r="AQ44">
            <v>9.054108000000001E-2</v>
          </cell>
          <cell r="AR44">
            <v>103.85430900000001</v>
          </cell>
          <cell r="AS44">
            <v>0.19897597251499471</v>
          </cell>
          <cell r="AT44">
            <v>691.69133415988176</v>
          </cell>
          <cell r="AU44">
            <v>4183.607662321001</v>
          </cell>
          <cell r="AV44">
            <v>0.22701411213405573</v>
          </cell>
          <cell r="AW44">
            <v>789.15907338155012</v>
          </cell>
          <cell r="AX44">
            <v>4773.1289711749632</v>
          </cell>
          <cell r="AY44">
            <v>673.40301528469445</v>
          </cell>
          <cell r="AZ44">
            <v>768.29370748134181</v>
          </cell>
          <cell r="BA44">
            <v>94.890692196647365</v>
          </cell>
          <cell r="BB44">
            <v>175.60182270011035</v>
          </cell>
          <cell r="BC44">
            <v>175.69281167623535</v>
          </cell>
          <cell r="BD44">
            <v>180.46428743604437</v>
          </cell>
          <cell r="BE44">
            <v>1091.51544685714</v>
          </cell>
          <cell r="BF44">
            <v>9.2556820000000002</v>
          </cell>
          <cell r="BG44">
            <v>95.821428871872826</v>
          </cell>
          <cell r="BH44">
            <v>82.033991042024894</v>
          </cell>
          <cell r="BI44"/>
          <cell r="BJ44">
            <v>76.646247928499236</v>
          </cell>
          <cell r="BK44">
            <v>44.327227788664082</v>
          </cell>
          <cell r="BL44">
            <v>254.50166784239696</v>
          </cell>
          <cell r="BM44">
            <v>298.82889563106102</v>
          </cell>
          <cell r="BN44">
            <v>93.287910292500513</v>
          </cell>
          <cell r="BO44">
            <v>79.865012318873752</v>
          </cell>
          <cell r="BP44">
            <v>0</v>
          </cell>
          <cell r="BQ44">
            <v>74.619721133269721</v>
          </cell>
          <cell r="BR44">
            <v>43.155215885931803</v>
          </cell>
          <cell r="BS44">
            <v>247.77264374464397</v>
          </cell>
          <cell r="BT44">
            <v>290.92785963057577</v>
          </cell>
          <cell r="BU44">
            <v>-140.0778688483781</v>
          </cell>
          <cell r="BV44">
            <v>-36.339869965207612</v>
          </cell>
          <cell r="BW44">
            <v>-62.01038580443722</v>
          </cell>
          <cell r="BX44">
            <v>-41.72761307873327</v>
          </cell>
          <cell r="BZ44">
            <v>94.985667897322898</v>
          </cell>
          <cell r="CA44">
            <v>-0.6780918975868806</v>
          </cell>
          <cell r="CB44">
            <v>0.57654043620000006</v>
          </cell>
          <cell r="CC44">
            <v>600</v>
          </cell>
          <cell r="CD44">
            <v>3.7275814637262625E-3</v>
          </cell>
          <cell r="CE44">
            <v>0</v>
          </cell>
          <cell r="CF44">
            <v>0</v>
          </cell>
          <cell r="CG44">
            <v>15.986903</v>
          </cell>
          <cell r="CH44">
            <v>16.421076256214306</v>
          </cell>
          <cell r="CI44">
            <v>99.320805475316305</v>
          </cell>
          <cell r="CJ44">
            <v>13.902699999999999</v>
          </cell>
          <cell r="CK44">
            <v>14.280270348001149</v>
          </cell>
          <cell r="CL44">
            <v>86.372411359578521</v>
          </cell>
          <cell r="CM44">
            <v>1.0557729999999999</v>
          </cell>
          <cell r="CN44">
            <v>1.0844457455113192</v>
          </cell>
          <cell r="CO44">
            <v>6.5591331078377788</v>
          </cell>
          <cell r="CP44">
            <v>10.416256000000001</v>
          </cell>
          <cell r="CQ44">
            <v>10.699141295862608</v>
          </cell>
          <cell r="CR44">
            <v>64.71240464504578</v>
          </cell>
          <cell r="CS44">
            <v>0.48</v>
          </cell>
          <cell r="CT44">
            <v>0.10185504745470234</v>
          </cell>
          <cell r="CU44">
            <v>0.29341078105098811</v>
          </cell>
          <cell r="CV44">
            <v>1.0185504745470233</v>
          </cell>
          <cell r="CW44">
            <v>0</v>
          </cell>
          <cell r="CX44">
            <v>0</v>
          </cell>
          <cell r="CY44">
            <v>0</v>
          </cell>
          <cell r="CZ44">
            <v>173.15292261137427</v>
          </cell>
        </row>
        <row r="45">
          <cell r="B45" t="str">
            <v>DMA</v>
          </cell>
          <cell r="C45" t="str">
            <v>UMIC</v>
          </cell>
          <cell r="D45" t="str">
            <v>UMIC</v>
          </cell>
          <cell r="E45" t="str">
            <v/>
          </cell>
          <cell r="F45" t="str">
            <v xml:space="preserve"> </v>
          </cell>
          <cell r="G45" t="str">
            <v/>
          </cell>
          <cell r="H45" t="e">
            <v>#REF!</v>
          </cell>
          <cell r="I45" t="str">
            <v/>
          </cell>
          <cell r="J45" t="str">
            <v/>
          </cell>
          <cell r="K45" t="b">
            <v>1</v>
          </cell>
          <cell r="M45" t="str">
            <v/>
          </cell>
          <cell r="P45" t="str">
            <v/>
          </cell>
          <cell r="Q45" t="str">
            <v/>
          </cell>
          <cell r="R45" t="str">
            <v/>
          </cell>
          <cell r="S45" t="str">
            <v/>
          </cell>
          <cell r="T45" t="str">
            <v>YES</v>
          </cell>
          <cell r="U45" t="str">
            <v>YES</v>
          </cell>
          <cell r="V45" t="str">
            <v/>
          </cell>
          <cell r="W45" t="str">
            <v/>
          </cell>
          <cell r="X45" t="str">
            <v>YES</v>
          </cell>
          <cell r="Y45" t="str">
            <v/>
          </cell>
          <cell r="Z45" t="str">
            <v>YES</v>
          </cell>
          <cell r="AA45" t="str">
            <v/>
          </cell>
          <cell r="AB45" t="str">
            <v/>
          </cell>
          <cell r="AC45" t="str">
            <v/>
          </cell>
          <cell r="AD45" t="str">
            <v/>
          </cell>
          <cell r="AE45" t="str">
            <v>YES</v>
          </cell>
          <cell r="AF45" t="str">
            <v>YES</v>
          </cell>
          <cell r="AG45" t="str">
            <v/>
          </cell>
          <cell r="AK45">
            <v>7.1807999999999997E-2</v>
          </cell>
          <cell r="AL45">
            <v>7.3244000000000004E-2</v>
          </cell>
          <cell r="AM45">
            <v>8090</v>
          </cell>
          <cell r="AN45">
            <v>6.4239129999999992E-2</v>
          </cell>
          <cell r="AO45">
            <v>5.8217390000000001E-2</v>
          </cell>
          <cell r="AP45">
            <v>4.6128834470399996E-3</v>
          </cell>
          <cell r="AQ45">
            <v>4.1804743411200003E-3</v>
          </cell>
          <cell r="AR45">
            <v>4.2640745131599997</v>
          </cell>
          <cell r="AS45">
            <v>0.50247524752475248</v>
          </cell>
          <cell r="AT45">
            <v>4296.0025686884201</v>
          </cell>
          <cell r="AU45">
            <v>66875.167342528148</v>
          </cell>
          <cell r="AV45">
            <v>0.55797759946570347</v>
          </cell>
          <cell r="AW45">
            <v>4770.5299164157896</v>
          </cell>
          <cell r="AX45">
            <v>74262.056731088829</v>
          </cell>
          <cell r="AY45">
            <v>308.48735245237799</v>
          </cell>
          <cell r="AZ45">
            <v>342.56221223798502</v>
          </cell>
          <cell r="BA45">
            <v>34.074859785607032</v>
          </cell>
          <cell r="BB45">
            <v>17.944940935430903</v>
          </cell>
          <cell r="BC45">
            <v>18.702436323428799</v>
          </cell>
          <cell r="BD45">
            <v>260.45059496753566</v>
          </cell>
          <cell r="BE45">
            <v>4054.3916919101443</v>
          </cell>
          <cell r="BF45">
            <v>5.9463347500000001</v>
          </cell>
          <cell r="BG45">
            <v>341.98719955667423</v>
          </cell>
          <cell r="BH45">
            <v>343.11279371533203</v>
          </cell>
          <cell r="BI45"/>
          <cell r="BJ45">
            <v>0</v>
          </cell>
          <cell r="BK45">
            <v>26.529995479168257</v>
          </cell>
          <cell r="BL45">
            <v>685.09999327200626</v>
          </cell>
          <cell r="BM45">
            <v>711.62998875117455</v>
          </cell>
          <cell r="BN45">
            <v>24.55741682576566</v>
          </cell>
          <cell r="BO45">
            <v>24.638243491110561</v>
          </cell>
          <cell r="BP45">
            <v>0</v>
          </cell>
          <cell r="BQ45">
            <v>0</v>
          </cell>
          <cell r="BR45">
            <v>1.905065915368114</v>
          </cell>
          <cell r="BS45">
            <v>49.195660316876221</v>
          </cell>
          <cell r="BT45">
            <v>51.100726232244334</v>
          </cell>
          <cell r="BU45">
            <v>-1700.1649649358885</v>
          </cell>
          <cell r="BV45">
            <v>-372.4666937470364</v>
          </cell>
          <cell r="BW45">
            <v>-612.11878372648368</v>
          </cell>
          <cell r="BX45">
            <v>-715.57948746236843</v>
          </cell>
          <cell r="BZ45">
            <v>171.6297005447081</v>
          </cell>
          <cell r="CA45">
            <v>-0.10094885148464407</v>
          </cell>
          <cell r="CB45">
            <v>0.7513157384600001</v>
          </cell>
          <cell r="CC45" t="str">
            <v>—</v>
          </cell>
          <cell r="CD45" t="e">
            <v>#VALUE!</v>
          </cell>
          <cell r="CE45">
            <v>0</v>
          </cell>
          <cell r="CF45">
            <v>0</v>
          </cell>
          <cell r="CG45">
            <v>1.2704313333333335</v>
          </cell>
          <cell r="CH45">
            <v>17.692058452168748</v>
          </cell>
          <cell r="CI45">
            <v>275.40937201622671</v>
          </cell>
          <cell r="CJ45">
            <v>0.14363000000000001</v>
          </cell>
          <cell r="CK45">
            <v>2.0001949643493764</v>
          </cell>
          <cell r="CL45">
            <v>31.136706931575453</v>
          </cell>
          <cell r="CM45">
            <v>4.829E-3</v>
          </cell>
          <cell r="CN45">
            <v>6.7248774509803919E-2</v>
          </cell>
          <cell r="CO45">
            <v>1.046850642432485</v>
          </cell>
          <cell r="CP45">
            <v>0.88046766666666676</v>
          </cell>
          <cell r="CQ45">
            <v>12.261414698455141</v>
          </cell>
          <cell r="CR45">
            <v>190.87143145393068</v>
          </cell>
          <cell r="CS45" t="str">
            <v/>
          </cell>
          <cell r="CT45">
            <v>7.1532445963201033E-2</v>
          </cell>
          <cell r="CU45" t="str">
            <v/>
          </cell>
          <cell r="CV45">
            <v>0.7153244596320103</v>
          </cell>
          <cell r="CW45">
            <v>0</v>
          </cell>
          <cell r="CX45">
            <v>0</v>
          </cell>
          <cell r="CY45">
            <v>0</v>
          </cell>
          <cell r="CZ45">
            <v>49.195660316876221</v>
          </cell>
        </row>
        <row r="46">
          <cell r="B46" t="str">
            <v>DOM</v>
          </cell>
          <cell r="C46" t="str">
            <v>UMIC</v>
          </cell>
          <cell r="D46" t="str">
            <v>UMIC</v>
          </cell>
          <cell r="E46" t="str">
            <v/>
          </cell>
          <cell r="F46" t="str">
            <v xml:space="preserve"> </v>
          </cell>
          <cell r="G46" t="str">
            <v/>
          </cell>
          <cell r="H46" t="e">
            <v>#REF!</v>
          </cell>
          <cell r="I46" t="str">
            <v/>
          </cell>
          <cell r="J46" t="str">
            <v/>
          </cell>
          <cell r="K46" t="b">
            <v>1</v>
          </cell>
          <cell r="M46" t="str">
            <v/>
          </cell>
          <cell r="P46" t="str">
            <v/>
          </cell>
          <cell r="Q46" t="str">
            <v/>
          </cell>
          <cell r="R46" t="str">
            <v>YES</v>
          </cell>
          <cell r="S46" t="str">
            <v/>
          </cell>
          <cell r="T46" t="str">
            <v>YES</v>
          </cell>
          <cell r="U46" t="str">
            <v/>
          </cell>
          <cell r="V46" t="str">
            <v>YES</v>
          </cell>
          <cell r="W46" t="str">
            <v/>
          </cell>
          <cell r="X46" t="str">
            <v/>
          </cell>
          <cell r="Y46" t="str">
            <v/>
          </cell>
          <cell r="Z46" t="str">
            <v/>
          </cell>
          <cell r="AA46" t="str">
            <v/>
          </cell>
          <cell r="AB46" t="str">
            <v/>
          </cell>
          <cell r="AC46" t="str">
            <v/>
          </cell>
          <cell r="AD46" t="str">
            <v/>
          </cell>
          <cell r="AE46" t="str">
            <v/>
          </cell>
          <cell r="AF46" t="str">
            <v/>
          </cell>
          <cell r="AG46" t="str">
            <v/>
          </cell>
          <cell r="AK46">
            <v>10.738958</v>
          </cell>
          <cell r="AL46">
            <v>11.77032</v>
          </cell>
          <cell r="AM46">
            <v>8090</v>
          </cell>
          <cell r="AN46">
            <v>4.3498520000000004E-3</v>
          </cell>
          <cell r="AO46">
            <v>2.2500000000000003E-3</v>
          </cell>
          <cell r="AP46">
            <v>4.6712877934216003E-2</v>
          </cell>
          <cell r="AQ46">
            <v>2.4162655500000005E-2</v>
          </cell>
          <cell r="AR46">
            <v>26.483220000000003</v>
          </cell>
          <cell r="AS46">
            <v>0.1432497788933986</v>
          </cell>
          <cell r="AT46">
            <v>1221.7029977333152</v>
          </cell>
          <cell r="AU46">
            <v>280860.81957117509</v>
          </cell>
          <cell r="AV46">
            <v>0.21305692923634853</v>
          </cell>
          <cell r="AW46">
            <v>1817.0519434421053</v>
          </cell>
          <cell r="AX46">
            <v>417727.30277768191</v>
          </cell>
          <cell r="AY46">
            <v>13119.817181132168</v>
          </cell>
          <cell r="AZ46">
            <v>19513.244504443144</v>
          </cell>
          <cell r="BA46">
            <v>6393.4273233109761</v>
          </cell>
          <cell r="BB46">
            <v>230.887122835285</v>
          </cell>
          <cell r="BC46">
            <v>157.79118116927367</v>
          </cell>
          <cell r="BD46">
            <v>14.693341865130087</v>
          </cell>
          <cell r="BE46">
            <v>3377.8946651817314</v>
          </cell>
          <cell r="BF46">
            <v>4.5064392499999997</v>
          </cell>
          <cell r="BG46">
            <v>341.13923446749982</v>
          </cell>
          <cell r="BH46">
            <v>344.78420576382507</v>
          </cell>
          <cell r="BI46"/>
          <cell r="BJ46">
            <v>31.038152616349311</v>
          </cell>
          <cell r="BK46">
            <v>51.350937358854253</v>
          </cell>
          <cell r="BL46">
            <v>716.96159284767418</v>
          </cell>
          <cell r="BM46">
            <v>768.31253020652844</v>
          </cell>
          <cell r="BN46">
            <v>3663.4799110986328</v>
          </cell>
          <cell r="BO46">
            <v>3702.6231047610754</v>
          </cell>
          <cell r="BP46">
            <v>0</v>
          </cell>
          <cell r="BQ46">
            <v>333.3174173445654</v>
          </cell>
          <cell r="BR46">
            <v>551.45555955736677</v>
          </cell>
          <cell r="BS46">
            <v>7699.4204332042727</v>
          </cell>
          <cell r="BT46">
            <v>8250.8759927616393</v>
          </cell>
          <cell r="BU46">
            <v>-191.56437887337847</v>
          </cell>
          <cell r="BV46">
            <v>72.226414247509297</v>
          </cell>
          <cell r="BW46">
            <v>-22.271154220921289</v>
          </cell>
          <cell r="BX46">
            <v>-241.51963889996645</v>
          </cell>
          <cell r="BZ46">
            <v>7.5564882747131366</v>
          </cell>
          <cell r="CA46">
            <v>-3.9446207688266906E-2</v>
          </cell>
          <cell r="CB46">
            <v>0.55449464229000012</v>
          </cell>
          <cell r="CC46" t="str">
            <v>—</v>
          </cell>
          <cell r="CE46">
            <v>0</v>
          </cell>
          <cell r="CF46">
            <v>0</v>
          </cell>
          <cell r="CG46">
            <v>21.030540666666663</v>
          </cell>
          <cell r="CH46">
            <v>1.9583408992442901</v>
          </cell>
          <cell r="CI46">
            <v>450.20862761406363</v>
          </cell>
          <cell r="CJ46">
            <v>27.038291999999998</v>
          </cell>
          <cell r="CK46">
            <v>2.5177761194335613</v>
          </cell>
          <cell r="CL46">
            <v>578.8188010611766</v>
          </cell>
          <cell r="CM46">
            <v>6.9262623333333329</v>
          </cell>
          <cell r="CN46">
            <v>0.64496595790144007</v>
          </cell>
          <cell r="CO46">
            <v>148.27308099251192</v>
          </cell>
          <cell r="CP46">
            <v>14.785896666666666</v>
          </cell>
          <cell r="CQ46">
            <v>1.3768464935486913</v>
          </cell>
          <cell r="CR46">
            <v>316.52720449999015</v>
          </cell>
          <cell r="CS46">
            <v>0.61</v>
          </cell>
          <cell r="CT46">
            <v>9.3382337467005638E-2</v>
          </cell>
          <cell r="CU46">
            <v>0.27717707807405523</v>
          </cell>
          <cell r="CV46">
            <v>0.93382337467005638</v>
          </cell>
          <cell r="CW46">
            <v>0</v>
          </cell>
          <cell r="CX46">
            <v>0</v>
          </cell>
          <cell r="CY46">
            <v>0</v>
          </cell>
          <cell r="CZ46">
            <v>7366.1030158597086</v>
          </cell>
        </row>
        <row r="47">
          <cell r="B47" t="str">
            <v>DZA</v>
          </cell>
          <cell r="C47" t="str">
            <v>LMIC</v>
          </cell>
          <cell r="D47" t="str">
            <v>ULMIC</v>
          </cell>
          <cell r="E47" t="str">
            <v>LMIC_nonLDC</v>
          </cell>
          <cell r="F47" t="str">
            <v xml:space="preserve"> </v>
          </cell>
          <cell r="G47" t="str">
            <v/>
          </cell>
          <cell r="H47" t="e">
            <v>#REF!</v>
          </cell>
          <cell r="I47" t="str">
            <v/>
          </cell>
          <cell r="J47" t="str">
            <v/>
          </cell>
          <cell r="K47" t="b">
            <v>1</v>
          </cell>
          <cell r="M47" t="str">
            <v/>
          </cell>
          <cell r="N47" t="b">
            <v>1</v>
          </cell>
          <cell r="O47" t="b">
            <v>1</v>
          </cell>
          <cell r="P47" t="str">
            <v/>
          </cell>
          <cell r="Q47" t="str">
            <v/>
          </cell>
          <cell r="R47" t="str">
            <v/>
          </cell>
          <cell r="S47" t="str">
            <v/>
          </cell>
          <cell r="T47" t="str">
            <v>YES</v>
          </cell>
          <cell r="U47" t="str">
            <v>YES</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K47">
            <v>43.053054000000003</v>
          </cell>
          <cell r="AL47">
            <v>50.36074</v>
          </cell>
          <cell r="AM47">
            <v>3970</v>
          </cell>
          <cell r="AN47">
            <v>3.301132E-3</v>
          </cell>
          <cell r="AO47">
            <v>3.4999999999999996E-3</v>
          </cell>
          <cell r="AP47">
            <v>0.142123814257128</v>
          </cell>
          <cell r="AQ47">
            <v>0.15068568899999998</v>
          </cell>
          <cell r="AR47">
            <v>176.26258999999996</v>
          </cell>
          <cell r="AS47">
            <v>0.33279858740942514</v>
          </cell>
          <cell r="AT47">
            <v>1309.2389164996512</v>
          </cell>
          <cell r="AU47">
            <v>396603.0187522496</v>
          </cell>
          <cell r="AV47">
            <v>0.36460451418781925</v>
          </cell>
          <cell r="AW47">
            <v>1434.3643187369585</v>
          </cell>
          <cell r="AX47">
            <v>434506.80516167136</v>
          </cell>
          <cell r="AY47">
            <v>56366.733770960978</v>
          </cell>
          <cell r="AZ47">
            <v>61753.764470255483</v>
          </cell>
          <cell r="BA47">
            <v>5387.0306992945043</v>
          </cell>
          <cell r="BB47">
            <v>111.24485167614996</v>
          </cell>
          <cell r="BC47">
            <v>113.82057465468633</v>
          </cell>
          <cell r="BD47">
            <v>2.6437282394574453</v>
          </cell>
          <cell r="BE47">
            <v>800.85505198139469</v>
          </cell>
          <cell r="BF47">
            <v>21.42177525</v>
          </cell>
          <cell r="BG47">
            <v>157.3611146238384</v>
          </cell>
          <cell r="BH47">
            <v>239.39043974718885</v>
          </cell>
          <cell r="BI47"/>
          <cell r="BJ47">
            <v>0</v>
          </cell>
          <cell r="BK47">
            <v>21.166631893547805</v>
          </cell>
          <cell r="BL47">
            <v>396.75155437102728</v>
          </cell>
          <cell r="BM47">
            <v>417.91818626457507</v>
          </cell>
          <cell r="BN47">
            <v>6774.8765654003046</v>
          </cell>
          <cell r="BO47">
            <v>10306.489529519469</v>
          </cell>
          <cell r="BP47">
            <v>0</v>
          </cell>
          <cell r="BQ47">
            <v>0</v>
          </cell>
          <cell r="BR47">
            <v>911.28814591103594</v>
          </cell>
          <cell r="BS47">
            <v>17081.366094919773</v>
          </cell>
          <cell r="BT47">
            <v>17992.654240830809</v>
          </cell>
          <cell r="BU47">
            <v>-320.43060499745195</v>
          </cell>
          <cell r="BV47">
            <v>24.235791936645086</v>
          </cell>
          <cell r="BW47">
            <v>-129.5117491235533</v>
          </cell>
          <cell r="BX47">
            <v>-215.15464781054376</v>
          </cell>
          <cell r="BZ47">
            <v>1.570647577111328</v>
          </cell>
          <cell r="CA47">
            <v>-4.9016777817581366E-3</v>
          </cell>
          <cell r="CB47">
            <v>34.933870022617484</v>
          </cell>
          <cell r="CC47" t="str">
            <v>—</v>
          </cell>
          <cell r="CD47" t="e">
            <v>#VALUE!</v>
          </cell>
          <cell r="CE47">
            <v>0</v>
          </cell>
          <cell r="CF47">
            <v>0</v>
          </cell>
          <cell r="CG47">
            <v>129.44778233333332</v>
          </cell>
          <cell r="CH47">
            <v>3.0067038294968182</v>
          </cell>
          <cell r="CI47">
            <v>910.80993716604428</v>
          </cell>
          <cell r="CJ47">
            <v>3.6579813333333333</v>
          </cell>
          <cell r="CK47">
            <v>8.4964502944049752E-2</v>
          </cell>
          <cell r="CL47">
            <v>25.73799016338933</v>
          </cell>
          <cell r="CM47">
            <v>3.1041113333333334</v>
          </cell>
          <cell r="CN47">
            <v>7.2099678070069853E-2</v>
          </cell>
          <cell r="CO47">
            <v>21.840895205059915</v>
          </cell>
          <cell r="CP47">
            <v>20.205755333333332</v>
          </cell>
          <cell r="CQ47">
            <v>0.46932223050502597</v>
          </cell>
          <cell r="CR47">
            <v>142.17008908005678</v>
          </cell>
          <cell r="CS47" t="str">
            <v/>
          </cell>
          <cell r="CT47">
            <v>0.11710012488312675</v>
          </cell>
          <cell r="CU47">
            <v>0.31354086983004731</v>
          </cell>
          <cell r="CV47">
            <v>1.1710012488312675</v>
          </cell>
          <cell r="CW47">
            <v>0</v>
          </cell>
          <cell r="CX47">
            <v>0</v>
          </cell>
          <cell r="CY47">
            <v>0</v>
          </cell>
          <cell r="CZ47">
            <v>17081.366094919777</v>
          </cell>
        </row>
        <row r="48">
          <cell r="B48" t="str">
            <v>ECU</v>
          </cell>
          <cell r="C48" t="str">
            <v>UMIC</v>
          </cell>
          <cell r="D48" t="str">
            <v>UMIC</v>
          </cell>
          <cell r="E48" t="str">
            <v/>
          </cell>
          <cell r="F48" t="str">
            <v xml:space="preserve"> </v>
          </cell>
          <cell r="G48" t="str">
            <v/>
          </cell>
          <cell r="H48" t="e">
            <v>#REF!</v>
          </cell>
          <cell r="I48" t="str">
            <v/>
          </cell>
          <cell r="J48" t="str">
            <v/>
          </cell>
          <cell r="K48" t="b">
            <v>1</v>
          </cell>
          <cell r="M48" t="str">
            <v/>
          </cell>
          <cell r="O48" t="b">
            <v>1</v>
          </cell>
          <cell r="P48" t="str">
            <v/>
          </cell>
          <cell r="Q48" t="str">
            <v/>
          </cell>
          <cell r="R48" t="str">
            <v>YES</v>
          </cell>
          <cell r="S48" t="str">
            <v/>
          </cell>
          <cell r="T48" t="str">
            <v>YES</v>
          </cell>
          <cell r="U48" t="str">
            <v/>
          </cell>
          <cell r="V48" t="str">
            <v>YES</v>
          </cell>
          <cell r="W48" t="str">
            <v/>
          </cell>
          <cell r="X48" t="str">
            <v/>
          </cell>
          <cell r="Y48" t="str">
            <v/>
          </cell>
          <cell r="Z48" t="str">
            <v/>
          </cell>
          <cell r="AA48" t="str">
            <v/>
          </cell>
          <cell r="AB48" t="str">
            <v/>
          </cell>
          <cell r="AC48" t="str">
            <v/>
          </cell>
          <cell r="AD48" t="str">
            <v/>
          </cell>
          <cell r="AE48" t="str">
            <v/>
          </cell>
          <cell r="AF48" t="str">
            <v/>
          </cell>
          <cell r="AK48">
            <v>17.373661999999999</v>
          </cell>
          <cell r="AL48">
            <v>19.8188</v>
          </cell>
          <cell r="AM48">
            <v>6080</v>
          </cell>
          <cell r="AN48">
            <v>3.3114910000000004E-2</v>
          </cell>
          <cell r="AO48">
            <v>3.5499999999999997E-2</v>
          </cell>
          <cell r="AP48">
            <v>0.57532725350042002</v>
          </cell>
          <cell r="AQ48">
            <v>0.61676500099999998</v>
          </cell>
          <cell r="AR48">
            <v>703.56739999999991</v>
          </cell>
          <cell r="AS48">
            <v>0.14874626826427564</v>
          </cell>
          <cell r="AT48">
            <v>943.41969116838936</v>
          </cell>
          <cell r="AU48">
            <v>28489.272390243223</v>
          </cell>
          <cell r="AV48">
            <v>0.2</v>
          </cell>
          <cell r="AW48">
            <v>1268.495273430628</v>
          </cell>
          <cell r="AX48">
            <v>38305.86504479788</v>
          </cell>
          <cell r="AY48">
            <v>16390.654838503982</v>
          </cell>
          <cell r="AZ48">
            <v>22038.408129181309</v>
          </cell>
          <cell r="BA48">
            <v>5647.7532906773267</v>
          </cell>
          <cell r="BB48">
            <v>185.78404286262199</v>
          </cell>
          <cell r="BC48">
            <v>186.436906983748</v>
          </cell>
          <cell r="BD48">
            <v>10.731008061728611</v>
          </cell>
          <cell r="BE48">
            <v>324.05366832428683</v>
          </cell>
          <cell r="BF48">
            <v>40.086544500000002</v>
          </cell>
          <cell r="BG48">
            <v>253.69905468612561</v>
          </cell>
          <cell r="BH48">
            <v>362.32744434217136</v>
          </cell>
          <cell r="BI48"/>
          <cell r="BJ48">
            <v>46.659555308512864</v>
          </cell>
          <cell r="BK48">
            <v>16.994186108704781</v>
          </cell>
          <cell r="BL48">
            <v>662.68605433680978</v>
          </cell>
          <cell r="BM48">
            <v>679.68024044551453</v>
          </cell>
          <cell r="BN48">
            <v>4407.6816258362624</v>
          </cell>
          <cell r="BO48">
            <v>6294.9545513246976</v>
          </cell>
          <cell r="BP48">
            <v>0</v>
          </cell>
          <cell r="BQ48">
            <v>810.64734300040823</v>
          </cell>
          <cell r="BR48">
            <v>295.25124541773209</v>
          </cell>
          <cell r="BS48">
            <v>11513.283520161367</v>
          </cell>
          <cell r="BT48">
            <v>11808.534765579099</v>
          </cell>
          <cell r="BU48">
            <v>28.438417621495773</v>
          </cell>
          <cell r="BV48">
            <v>172.05315332757718</v>
          </cell>
          <cell r="BW48">
            <v>0</v>
          </cell>
          <cell r="BX48">
            <v>-143.61473570608132</v>
          </cell>
          <cell r="BZ48">
            <v>6.5191624967651611</v>
          </cell>
          <cell r="CA48">
            <v>0.22923787756170777</v>
          </cell>
          <cell r="CB48">
            <v>0.57353770529000003</v>
          </cell>
          <cell r="CC48">
            <v>6206416</v>
          </cell>
          <cell r="CE48">
            <v>494.0794555707115</v>
          </cell>
          <cell r="CF48">
            <v>92.892021431310994</v>
          </cell>
          <cell r="CG48">
            <v>28.985105333333333</v>
          </cell>
          <cell r="CH48">
            <v>1.6683359750715383</v>
          </cell>
          <cell r="CI48">
            <v>50.380205625548676</v>
          </cell>
          <cell r="CJ48">
            <v>13.159502</v>
          </cell>
          <cell r="CK48">
            <v>0.75743973838100453</v>
          </cell>
          <cell r="CL48">
            <v>22.873072533822512</v>
          </cell>
          <cell r="CM48">
            <v>1.0803676666666668</v>
          </cell>
          <cell r="CN48">
            <v>6.2184222685273079E-2</v>
          </cell>
          <cell r="CO48">
            <v>1.8778315473384366</v>
          </cell>
          <cell r="CP48">
            <v>8.9481813333333342</v>
          </cell>
          <cell r="CQ48">
            <v>0.51504290421520427</v>
          </cell>
          <cell r="CR48">
            <v>15.553202597114236</v>
          </cell>
          <cell r="CS48">
            <v>0.5</v>
          </cell>
          <cell r="CT48">
            <v>9.5954842450601374E-2</v>
          </cell>
          <cell r="CU48">
            <v>0.27816674458153956</v>
          </cell>
          <cell r="CV48">
            <v>0.95954842450601374</v>
          </cell>
          <cell r="CW48">
            <v>0</v>
          </cell>
          <cell r="CX48">
            <v>0</v>
          </cell>
          <cell r="CY48">
            <v>0</v>
          </cell>
          <cell r="CZ48">
            <v>10702.636177160959</v>
          </cell>
        </row>
        <row r="49">
          <cell r="B49" t="str">
            <v>EGY</v>
          </cell>
          <cell r="C49" t="str">
            <v>LMIC</v>
          </cell>
          <cell r="D49" t="str">
            <v>ULMIC</v>
          </cell>
          <cell r="E49" t="str">
            <v>LMIC_nonLDC</v>
          </cell>
          <cell r="F49" t="str">
            <v xml:space="preserve"> </v>
          </cell>
          <cell r="G49" t="str">
            <v/>
          </cell>
          <cell r="H49" t="e">
            <v>#REF!</v>
          </cell>
          <cell r="I49" t="str">
            <v/>
          </cell>
          <cell r="J49" t="str">
            <v/>
          </cell>
          <cell r="K49" t="b">
            <v>1</v>
          </cell>
          <cell r="M49" t="str">
            <v/>
          </cell>
          <cell r="P49" t="str">
            <v/>
          </cell>
          <cell r="Q49" t="str">
            <v/>
          </cell>
          <cell r="R49" t="str">
            <v>YES</v>
          </cell>
          <cell r="S49" t="str">
            <v/>
          </cell>
          <cell r="T49" t="str">
            <v>YES</v>
          </cell>
          <cell r="U49" t="str">
            <v/>
          </cell>
          <cell r="V49" t="str">
            <v>YES</v>
          </cell>
          <cell r="W49" t="str">
            <v/>
          </cell>
          <cell r="X49" t="str">
            <v/>
          </cell>
          <cell r="Y49" t="str">
            <v/>
          </cell>
          <cell r="Z49" t="str">
            <v/>
          </cell>
          <cell r="AA49" t="str">
            <v/>
          </cell>
          <cell r="AB49" t="str">
            <v/>
          </cell>
          <cell r="AC49" t="str">
            <v/>
          </cell>
          <cell r="AD49" t="str">
            <v/>
          </cell>
          <cell r="AE49" t="str">
            <v/>
          </cell>
          <cell r="AF49" t="str">
            <v/>
          </cell>
          <cell r="AK49">
            <v>100.38807300000001</v>
          </cell>
          <cell r="AL49">
            <v>120.83160000000001</v>
          </cell>
          <cell r="AM49">
            <v>2690</v>
          </cell>
          <cell r="AN49">
            <v>3.2477880000000001E-2</v>
          </cell>
          <cell r="AO49">
            <v>2.5000000000000001E-2</v>
          </cell>
          <cell r="AP49">
            <v>3.2603917883252405</v>
          </cell>
          <cell r="AQ49">
            <v>2.5097018250000005</v>
          </cell>
          <cell r="AR49">
            <v>3020.79</v>
          </cell>
          <cell r="AS49">
            <v>0.18434275156673802</v>
          </cell>
          <cell r="AT49">
            <v>484.16206694185297</v>
          </cell>
          <cell r="AU49">
            <v>14907.440600859814</v>
          </cell>
          <cell r="AV49">
            <v>0.2251084650639654</v>
          </cell>
          <cell r="AW49">
            <v>591.23007986576499</v>
          </cell>
          <cell r="AX49">
            <v>18204.084745240914</v>
          </cell>
          <cell r="AY49">
            <v>48604.096919989628</v>
          </cell>
          <cell r="AZ49">
            <v>59352.448417360254</v>
          </cell>
          <cell r="BA49">
            <v>10748.351497370626</v>
          </cell>
          <cell r="BB49">
            <v>2841.0716047694732</v>
          </cell>
          <cell r="BC49">
            <v>2591.6625702777164</v>
          </cell>
          <cell r="BD49">
            <v>25.816439073172731</v>
          </cell>
          <cell r="BE49">
            <v>794.89298787891119</v>
          </cell>
          <cell r="BF49">
            <v>18.491530249999997</v>
          </cell>
          <cell r="BG49">
            <v>174.38861224723479</v>
          </cell>
          <cell r="BH49">
            <v>158.80174627411066</v>
          </cell>
          <cell r="BI49"/>
          <cell r="BJ49">
            <v>28.625531808066899</v>
          </cell>
          <cell r="BK49">
            <v>14.769777095767267</v>
          </cell>
          <cell r="BL49">
            <v>361.81589032941235</v>
          </cell>
          <cell r="BM49">
            <v>376.58566742517962</v>
          </cell>
          <cell r="BN49">
            <v>17506.536736644102</v>
          </cell>
          <cell r="BO49">
            <v>15941.801297492899</v>
          </cell>
          <cell r="BP49">
            <v>0</v>
          </cell>
          <cell r="BQ49">
            <v>2873.6619768120422</v>
          </cell>
          <cell r="BR49">
            <v>1482.7094612836124</v>
          </cell>
          <cell r="BS49">
            <v>36322.000010949043</v>
          </cell>
          <cell r="BT49">
            <v>37804.709472232658</v>
          </cell>
          <cell r="BU49">
            <v>66.200850396529859</v>
          </cell>
          <cell r="BV49">
            <v>70.117234294245904</v>
          </cell>
          <cell r="BW49">
            <v>56.142596274081782</v>
          </cell>
          <cell r="BX49">
            <v>-60.058980171797856</v>
          </cell>
          <cell r="BZ49">
            <v>13.000319771690986</v>
          </cell>
          <cell r="CA49">
            <v>0.19637693011225188</v>
          </cell>
          <cell r="CB49">
            <v>0.30484603231000001</v>
          </cell>
          <cell r="CC49" t="str">
            <v>—</v>
          </cell>
          <cell r="CD49" t="e">
            <v>#VALUE!</v>
          </cell>
          <cell r="CE49">
            <v>6645.7758022689186</v>
          </cell>
          <cell r="CF49">
            <v>1295.8312851388582</v>
          </cell>
          <cell r="CG49">
            <v>269.41410966666666</v>
          </cell>
          <cell r="CH49">
            <v>2.6837262795817054</v>
          </cell>
          <cell r="CI49">
            <v>82.63243412383153</v>
          </cell>
          <cell r="CJ49">
            <v>40.322198999999998</v>
          </cell>
          <cell r="CK49">
            <v>0.40166324340143472</v>
          </cell>
          <cell r="CL49">
            <v>12.367286393121557</v>
          </cell>
          <cell r="CM49">
            <v>9.0300816666666677</v>
          </cell>
          <cell r="CN49">
            <v>8.9951738257458808E-2</v>
          </cell>
          <cell r="CO49">
            <v>2.7696308459006191</v>
          </cell>
          <cell r="CP49">
            <v>28.073701999999997</v>
          </cell>
          <cell r="CQ49">
            <v>0.27965176699825683</v>
          </cell>
          <cell r="CR49">
            <v>8.6105302131252657</v>
          </cell>
          <cell r="CS49" t="str">
            <v/>
          </cell>
          <cell r="CT49">
            <v>0.12648128030109712</v>
          </cell>
          <cell r="CU49">
            <v>0.34578688446385458</v>
          </cell>
          <cell r="CV49">
            <v>1.2648128030109711</v>
          </cell>
          <cell r="CW49">
            <v>0</v>
          </cell>
          <cell r="CX49">
            <v>0</v>
          </cell>
          <cell r="CY49">
            <v>0</v>
          </cell>
          <cell r="CZ49">
            <v>33448.338034136999</v>
          </cell>
        </row>
        <row r="50">
          <cell r="B50" t="str">
            <v>ERI</v>
          </cell>
          <cell r="C50" t="str">
            <v>LIC</v>
          </cell>
          <cell r="D50" t="str">
            <v>OLIC</v>
          </cell>
          <cell r="E50" t="str">
            <v>OLIC_LDC</v>
          </cell>
          <cell r="F50" t="b">
            <v>1</v>
          </cell>
          <cell r="G50" t="b">
            <v>1</v>
          </cell>
          <cell r="H50" t="e">
            <v>#REF!</v>
          </cell>
          <cell r="I50" t="str">
            <v/>
          </cell>
          <cell r="J50" t="str">
            <v/>
          </cell>
          <cell r="K50" t="str">
            <v/>
          </cell>
          <cell r="M50" t="b">
            <v>1</v>
          </cell>
          <cell r="P50" t="b">
            <v>1</v>
          </cell>
          <cell r="Q50" t="b">
            <v>1</v>
          </cell>
          <cell r="R50" t="str">
            <v>YES</v>
          </cell>
          <cell r="S50" t="str">
            <v>YES</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K50">
            <v>4.9546450000000002</v>
          </cell>
          <cell r="AL50">
            <v>4.2402160000000002</v>
          </cell>
          <cell r="AM50">
            <v>600</v>
          </cell>
          <cell r="AN50">
            <v>0.72</v>
          </cell>
          <cell r="AO50">
            <v>0.57999999999999996</v>
          </cell>
          <cell r="AP50">
            <v>3.5673444000000001</v>
          </cell>
          <cell r="AQ50">
            <v>2.8736940999999998</v>
          </cell>
          <cell r="AR50">
            <v>2459.32528</v>
          </cell>
          <cell r="AS50">
            <v>0.13800000000000001</v>
          </cell>
          <cell r="AT50">
            <v>82.800000000000011</v>
          </cell>
          <cell r="AU50">
            <v>115.00000000000001</v>
          </cell>
          <cell r="AV50">
            <v>0.16046947082767979</v>
          </cell>
          <cell r="AW50">
            <v>96.281682496607871</v>
          </cell>
          <cell r="AX50">
            <v>133.72455902306649</v>
          </cell>
          <cell r="AY50">
            <v>410.24460600000009</v>
          </cell>
          <cell r="AZ50">
            <v>477.04155677340572</v>
          </cell>
          <cell r="BA50">
            <v>66.796950773405626</v>
          </cell>
          <cell r="BB50">
            <v>72.579872655840859</v>
          </cell>
          <cell r="BC50">
            <v>64.738241429614504</v>
          </cell>
          <cell r="BD50">
            <v>13.066171527852047</v>
          </cell>
          <cell r="BE50">
            <v>18.147460455350068</v>
          </cell>
          <cell r="BF50">
            <v>4.9290500000000002</v>
          </cell>
          <cell r="BG50">
            <v>51.097623467724965</v>
          </cell>
          <cell r="BH50">
            <v>41.829456586331695</v>
          </cell>
          <cell r="BI50"/>
          <cell r="BJ50">
            <v>50.082282560012267</v>
          </cell>
          <cell r="BK50">
            <v>56.790043011689406</v>
          </cell>
          <cell r="BL50">
            <v>143.00936261406892</v>
          </cell>
          <cell r="BM50">
            <v>199.79940562575831</v>
          </cell>
          <cell r="BN50">
            <v>253.17058462624618</v>
          </cell>
          <cell r="BO50">
            <v>207.2501079281854</v>
          </cell>
          <cell r="BP50">
            <v>0</v>
          </cell>
          <cell r="BQ50">
            <v>248.13993087455199</v>
          </cell>
          <cell r="BR50">
            <v>281.37450265765187</v>
          </cell>
          <cell r="BS50">
            <v>708.5606234289836</v>
          </cell>
          <cell r="BT50">
            <v>989.93512608663548</v>
          </cell>
          <cell r="BU50">
            <v>94.868521365764991</v>
          </cell>
          <cell r="BV50">
            <v>27.387204211840515</v>
          </cell>
          <cell r="BW50">
            <v>31.841286968403388</v>
          </cell>
          <cell r="BX50">
            <v>35.640030185521084</v>
          </cell>
          <cell r="BZ50">
            <v>7.0305028341702087</v>
          </cell>
          <cell r="CA50">
            <v>7.4107857200220811E-2</v>
          </cell>
          <cell r="CB50">
            <v>0.42055120873000001</v>
          </cell>
          <cell r="CC50" t="e">
            <v>#N/A</v>
          </cell>
          <cell r="CD50" t="e">
            <v>#N/A</v>
          </cell>
          <cell r="CE50">
            <v>470.03984504228072</v>
          </cell>
          <cell r="CF50">
            <v>36.289936327920429</v>
          </cell>
          <cell r="CG50">
            <v>6.6713143333333322</v>
          </cell>
          <cell r="CH50">
            <v>1.3464767573324288</v>
          </cell>
          <cell r="CI50">
            <v>1.8701066074061512</v>
          </cell>
          <cell r="CJ50">
            <v>35.116358000000005</v>
          </cell>
          <cell r="CK50">
            <v>7.0875628829108859</v>
          </cell>
          <cell r="CL50">
            <v>9.8438373373762307</v>
          </cell>
          <cell r="CM50">
            <v>0.48183933333333329</v>
          </cell>
          <cell r="CN50">
            <v>9.7250021612715593E-2</v>
          </cell>
          <cell r="CO50">
            <v>0.13506947446210499</v>
          </cell>
          <cell r="CP50">
            <v>2.1179103333333331</v>
          </cell>
          <cell r="CQ50">
            <v>0.42745955226526483</v>
          </cell>
          <cell r="CR50">
            <v>0.59369382259064563</v>
          </cell>
          <cell r="CS50" t="str">
            <v/>
          </cell>
          <cell r="CT50">
            <v>9.9920377746538849E-2</v>
          </cell>
          <cell r="CU50">
            <v>0.29436276463803157</v>
          </cell>
          <cell r="CV50">
            <v>0.99920377746538847</v>
          </cell>
          <cell r="CW50">
            <v>512.89356931322982</v>
          </cell>
          <cell r="CX50">
            <v>103.51772312915048</v>
          </cell>
          <cell r="CY50">
            <v>143.77461545715346</v>
          </cell>
          <cell r="CZ50">
            <v>460.42069255443158</v>
          </cell>
        </row>
        <row r="51">
          <cell r="B51" t="str">
            <v>ETH</v>
          </cell>
          <cell r="C51" t="str">
            <v>LIC</v>
          </cell>
          <cell r="D51" t="str">
            <v>OLIC</v>
          </cell>
          <cell r="E51" t="str">
            <v>OLIC_LDC</v>
          </cell>
          <cell r="F51" t="b">
            <v>1</v>
          </cell>
          <cell r="G51" t="str">
            <v/>
          </cell>
          <cell r="H51" t="e">
            <v>#REF!</v>
          </cell>
          <cell r="I51" t="str">
            <v/>
          </cell>
          <cell r="J51" t="str">
            <v/>
          </cell>
          <cell r="K51" t="str">
            <v/>
          </cell>
          <cell r="M51" t="b">
            <v>1</v>
          </cell>
          <cell r="P51" t="b">
            <v>1</v>
          </cell>
          <cell r="Q51" t="str">
            <v/>
          </cell>
          <cell r="R51" t="str">
            <v>YES</v>
          </cell>
          <cell r="S51" t="str">
            <v>YES</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K51">
            <v>112.07872999999999</v>
          </cell>
          <cell r="AL51">
            <v>144.9443</v>
          </cell>
          <cell r="AM51">
            <v>850</v>
          </cell>
          <cell r="AN51">
            <v>0.22313189999999999</v>
          </cell>
          <cell r="AO51">
            <v>7.5249999999999997E-2</v>
          </cell>
          <cell r="AP51">
            <v>25.008339974486997</v>
          </cell>
          <cell r="AQ51">
            <v>8.4339244324999996</v>
          </cell>
          <cell r="AR51">
            <v>10907.058574999999</v>
          </cell>
          <cell r="AS51">
            <v>0.12236890467817797</v>
          </cell>
          <cell r="AT51">
            <v>106.0434043194729</v>
          </cell>
          <cell r="AU51">
            <v>475.24986037170345</v>
          </cell>
          <cell r="AV51">
            <v>0.16200462884723352</v>
          </cell>
          <cell r="AW51">
            <v>140.39124076213903</v>
          </cell>
          <cell r="AX51">
            <v>629.18498324147754</v>
          </cell>
          <cell r="AY51">
            <v>11885.210081003035</v>
          </cell>
          <cell r="AZ51">
            <v>15734.871967744773</v>
          </cell>
          <cell r="BA51">
            <v>3849.6618867417383</v>
          </cell>
          <cell r="BB51">
            <v>2938.4032054234935</v>
          </cell>
          <cell r="BC51">
            <v>3407.147611980803</v>
          </cell>
          <cell r="BD51">
            <v>30.399591536956237</v>
          </cell>
          <cell r="BE51">
            <v>136.24045480254611</v>
          </cell>
          <cell r="BF51">
            <v>581.14031225000008</v>
          </cell>
          <cell r="BG51">
            <v>69.623611479616855</v>
          </cell>
          <cell r="BH51">
            <v>83.658913172663389</v>
          </cell>
          <cell r="BI51"/>
          <cell r="BJ51">
            <v>30.379186989759457</v>
          </cell>
          <cell r="BK51">
            <v>36.467266924560938</v>
          </cell>
          <cell r="BL51">
            <v>183.66171164203971</v>
          </cell>
          <cell r="BM51">
            <v>220.12897856660064</v>
          </cell>
          <cell r="BN51">
            <v>7803.3259526488773</v>
          </cell>
          <cell r="BO51">
            <v>9376.3847415723831</v>
          </cell>
          <cell r="BP51">
            <v>0</v>
          </cell>
          <cell r="BQ51">
            <v>3404.8606962447629</v>
          </cell>
          <cell r="BR51">
            <v>4087.2049634757955</v>
          </cell>
          <cell r="BS51">
            <v>20584.571390466022</v>
          </cell>
          <cell r="BT51">
            <v>24671.776353941819</v>
          </cell>
          <cell r="BU51">
            <v>113.46609126097019</v>
          </cell>
          <cell r="BV51">
            <v>62.60022705834254</v>
          </cell>
          <cell r="BW51">
            <v>41.545363327189051</v>
          </cell>
          <cell r="BX51">
            <v>9.3205008754386043</v>
          </cell>
          <cell r="BZ51">
            <v>17.792349735899055</v>
          </cell>
          <cell r="CA51">
            <v>0.15680763775476267</v>
          </cell>
          <cell r="CB51">
            <v>0.33263508418000004</v>
          </cell>
          <cell r="CC51" t="str">
            <v>—</v>
          </cell>
          <cell r="CD51" t="e">
            <v>#VALUE!</v>
          </cell>
          <cell r="CE51">
            <v>12717.135406593636</v>
          </cell>
          <cell r="CF51">
            <v>1703.5738059904015</v>
          </cell>
          <cell r="CG51">
            <v>287.38255333333331</v>
          </cell>
          <cell r="CH51">
            <v>2.5641132205310795</v>
          </cell>
          <cell r="CI51">
            <v>11.491468591138602</v>
          </cell>
          <cell r="CJ51">
            <v>906.08082966666666</v>
          </cell>
          <cell r="CK51">
            <v>8.0843245606607663</v>
          </cell>
          <cell r="CL51">
            <v>36.231146513164482</v>
          </cell>
          <cell r="CM51">
            <v>4.8070843333333331</v>
          </cell>
          <cell r="CN51">
            <v>4.2890246287884716E-2</v>
          </cell>
          <cell r="CO51">
            <v>0.19221924918796782</v>
          </cell>
          <cell r="CP51">
            <v>1003.2182659999999</v>
          </cell>
          <cell r="CQ51">
            <v>8.9510138632013394</v>
          </cell>
          <cell r="CR51">
            <v>40.115348200778733</v>
          </cell>
          <cell r="CS51">
            <v>0.54</v>
          </cell>
          <cell r="CT51">
            <v>0.14981864980090337</v>
          </cell>
          <cell r="CU51">
            <v>0.40945099038863125</v>
          </cell>
          <cell r="CV51">
            <v>1.4981864980090336</v>
          </cell>
          <cell r="CW51">
            <v>8936.9043861970458</v>
          </cell>
          <cell r="CX51">
            <v>79.737737804461617</v>
          </cell>
          <cell r="CY51">
            <v>357.3569615302053</v>
          </cell>
          <cell r="CZ51">
            <v>17179.710694221259</v>
          </cell>
        </row>
        <row r="52">
          <cell r="B52" t="str">
            <v>FJI</v>
          </cell>
          <cell r="C52" t="str">
            <v>UMIC</v>
          </cell>
          <cell r="D52" t="str">
            <v>UMIC</v>
          </cell>
          <cell r="E52" t="str">
            <v/>
          </cell>
          <cell r="F52" t="str">
            <v xml:space="preserve"> </v>
          </cell>
          <cell r="G52" t="str">
            <v/>
          </cell>
          <cell r="H52" t="e">
            <v>#REF!</v>
          </cell>
          <cell r="I52" t="str">
            <v/>
          </cell>
          <cell r="J52" t="str">
            <v/>
          </cell>
          <cell r="K52" t="b">
            <v>1</v>
          </cell>
          <cell r="M52" t="str">
            <v/>
          </cell>
          <cell r="P52" t="str">
            <v/>
          </cell>
          <cell r="Q52" t="str">
            <v/>
          </cell>
          <cell r="R52" t="str">
            <v/>
          </cell>
          <cell r="S52" t="str">
            <v/>
          </cell>
          <cell r="T52" t="str">
            <v>YES</v>
          </cell>
          <cell r="U52" t="str">
            <v>YES</v>
          </cell>
          <cell r="V52" t="str">
            <v/>
          </cell>
          <cell r="W52" t="str">
            <v/>
          </cell>
          <cell r="X52" t="str">
            <v>YES</v>
          </cell>
          <cell r="Y52" t="str">
            <v/>
          </cell>
          <cell r="Z52" t="str">
            <v>YES</v>
          </cell>
          <cell r="AA52" t="str">
            <v/>
          </cell>
          <cell r="AB52" t="str">
            <v/>
          </cell>
          <cell r="AC52" t="str">
            <v/>
          </cell>
          <cell r="AD52" t="str">
            <v/>
          </cell>
          <cell r="AE52" t="str">
            <v>YES</v>
          </cell>
          <cell r="AF52" t="str">
            <v>YES</v>
          </cell>
          <cell r="AG52" t="str">
            <v/>
          </cell>
          <cell r="AK52">
            <v>0.88995299999999999</v>
          </cell>
          <cell r="AL52">
            <v>0.96601899999999996</v>
          </cell>
          <cell r="AM52">
            <v>5860</v>
          </cell>
          <cell r="AN52">
            <v>4.8059119999999999E-3</v>
          </cell>
          <cell r="AO52">
            <v>2.5000000000000001E-3</v>
          </cell>
          <cell r="AP52">
            <v>4.2770358021360002E-3</v>
          </cell>
          <cell r="AQ52">
            <v>2.2248825000000002E-3</v>
          </cell>
          <cell r="AR52">
            <v>2.4150475</v>
          </cell>
          <cell r="AS52">
            <v>0.26450203696201435</v>
          </cell>
          <cell r="AT52">
            <v>1650.0407063795674</v>
          </cell>
          <cell r="AU52">
            <v>343335.60547499981</v>
          </cell>
          <cell r="AV52">
            <v>0.31701239378300505</v>
          </cell>
          <cell r="AW52">
            <v>1977.6155986424719</v>
          </cell>
          <cell r="AX52">
            <v>411496.42328916385</v>
          </cell>
          <cell r="AY52">
            <v>1468.4586767646149</v>
          </cell>
          <cell r="AZ52">
            <v>1759.984934858664</v>
          </cell>
          <cell r="BA52">
            <v>291.52625809404913</v>
          </cell>
          <cell r="BB52">
            <v>102.10067494649816</v>
          </cell>
          <cell r="BC52">
            <v>104.88190924271466</v>
          </cell>
          <cell r="BD52">
            <v>117.85106544133752</v>
          </cell>
          <cell r="BE52">
            <v>24522.102244347698</v>
          </cell>
          <cell r="BF52">
            <v>15.671693750000001</v>
          </cell>
          <cell r="BG52">
            <v>249.5316444941455</v>
          </cell>
          <cell r="BH52">
            <v>168.60007725706089</v>
          </cell>
          <cell r="BI52"/>
          <cell r="BJ52">
            <v>12.30517688583012</v>
          </cell>
          <cell r="BK52">
            <v>12.475424256704668</v>
          </cell>
          <cell r="BL52">
            <v>430.43689863703651</v>
          </cell>
          <cell r="BM52">
            <v>442.91232289374119</v>
          </cell>
          <cell r="BN52">
            <v>222.07143561249828</v>
          </cell>
          <cell r="BO52">
            <v>150.04614455515312</v>
          </cell>
          <cell r="BP52">
            <v>0</v>
          </cell>
          <cell r="BQ52">
            <v>10.951029085075172</v>
          </cell>
          <cell r="BR52">
            <v>11.10254124352709</v>
          </cell>
          <cell r="BS52">
            <v>383.06860925272656</v>
          </cell>
          <cell r="BT52">
            <v>394.17115049625363</v>
          </cell>
          <cell r="BU52">
            <v>-558.37090068419946</v>
          </cell>
          <cell r="BV52">
            <v>-128.04226253930989</v>
          </cell>
          <cell r="BW52">
            <v>-145.99147523434891</v>
          </cell>
          <cell r="BX52">
            <v>-284.33716291054066</v>
          </cell>
          <cell r="BZ52">
            <v>67.730320024043209</v>
          </cell>
          <cell r="CA52">
            <v>-0.12129987422526836</v>
          </cell>
          <cell r="CB52">
            <v>0.63359733204000002</v>
          </cell>
          <cell r="CC52">
            <v>350</v>
          </cell>
          <cell r="CE52">
            <v>0</v>
          </cell>
          <cell r="CF52">
            <v>0</v>
          </cell>
          <cell r="CG52">
            <v>20.847969333333335</v>
          </cell>
          <cell r="CH52">
            <v>23.425921743432895</v>
          </cell>
          <cell r="CI52">
            <v>4874.3967312412078</v>
          </cell>
          <cell r="CJ52">
            <v>11.733552000000001</v>
          </cell>
          <cell r="CK52">
            <v>13.18446255026951</v>
          </cell>
          <cell r="CL52">
            <v>2743.3840965605509</v>
          </cell>
          <cell r="CM52">
            <v>1.9717563333333334</v>
          </cell>
          <cell r="CN52">
            <v>2.2155735565061678</v>
          </cell>
          <cell r="CO52">
            <v>461.01001360536105</v>
          </cell>
          <cell r="CP52">
            <v>2.5179953333333329</v>
          </cell>
          <cell r="CQ52">
            <v>2.8293576552169979</v>
          </cell>
          <cell r="CR52">
            <v>588.72439928508845</v>
          </cell>
          <cell r="CS52" t="str">
            <v/>
          </cell>
          <cell r="CT52">
            <v>0.10044350656720073</v>
          </cell>
          <cell r="CU52">
            <v>0.29222554449504634</v>
          </cell>
          <cell r="CV52">
            <v>1.0044350656720074</v>
          </cell>
          <cell r="CW52">
            <v>0</v>
          </cell>
          <cell r="CX52">
            <v>0</v>
          </cell>
          <cell r="CY52">
            <v>0</v>
          </cell>
          <cell r="CZ52">
            <v>372.1175801676514</v>
          </cell>
        </row>
        <row r="53">
          <cell r="B53" t="str">
            <v>FSM</v>
          </cell>
          <cell r="C53" t="str">
            <v>LMIC</v>
          </cell>
          <cell r="D53" t="str">
            <v>ULMIC</v>
          </cell>
          <cell r="E53" t="str">
            <v>LMIC_nonLDC</v>
          </cell>
          <cell r="F53" t="str">
            <v xml:space="preserve"> </v>
          </cell>
          <cell r="G53" t="b">
            <v>1</v>
          </cell>
          <cell r="H53" t="e">
            <v>#REF!</v>
          </cell>
          <cell r="I53" t="str">
            <v/>
          </cell>
          <cell r="J53" t="str">
            <v/>
          </cell>
          <cell r="K53" t="b">
            <v>1</v>
          </cell>
          <cell r="M53" t="str">
            <v/>
          </cell>
          <cell r="P53" t="str">
            <v/>
          </cell>
          <cell r="Q53" t="str">
            <v/>
          </cell>
          <cell r="R53" t="str">
            <v/>
          </cell>
          <cell r="S53" t="str">
            <v/>
          </cell>
          <cell r="T53" t="str">
            <v>YES</v>
          </cell>
          <cell r="U53" t="str">
            <v>YES</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K53">
            <v>0.113815</v>
          </cell>
          <cell r="AL53">
            <v>0.12669900000000001</v>
          </cell>
          <cell r="AM53">
            <v>3568.291015625</v>
          </cell>
          <cell r="AN53">
            <v>0.15392919999999999</v>
          </cell>
          <cell r="AO53">
            <v>0.19274999999999998</v>
          </cell>
          <cell r="AP53">
            <v>1.7519451897999999E-2</v>
          </cell>
          <cell r="AQ53">
            <v>2.1937841249999996E-2</v>
          </cell>
          <cell r="AR53">
            <v>24.421232249999996</v>
          </cell>
          <cell r="AS53">
            <v>0.58364262585532745</v>
          </cell>
          <cell r="AT53">
            <v>1945.4514504084386</v>
          </cell>
          <cell r="AU53">
            <v>12638.612104840659</v>
          </cell>
          <cell r="AV53">
            <v>0.65913990618256357</v>
          </cell>
          <cell r="AW53">
            <v>2197.1059509673496</v>
          </cell>
          <cell r="AX53">
            <v>14273.483854703005</v>
          </cell>
          <cell r="AY53">
            <v>221.42155682823645</v>
          </cell>
          <cell r="AZ53">
            <v>250.06361380934891</v>
          </cell>
          <cell r="BA53">
            <v>28.642056981112461</v>
          </cell>
          <cell r="BB53">
            <v>63.670044998792207</v>
          </cell>
          <cell r="BC53">
            <v>65.502008998461932</v>
          </cell>
          <cell r="BD53">
            <v>575.51297279323398</v>
          </cell>
          <cell r="BE53">
            <v>3738.8161102197246</v>
          </cell>
          <cell r="BF53">
            <v>13.304279749999999</v>
          </cell>
          <cell r="BG53">
            <v>133.33169060826444</v>
          </cell>
          <cell r="BH53">
            <v>170.78445710539421</v>
          </cell>
          <cell r="BI53"/>
          <cell r="BJ53">
            <v>157.58724662900642</v>
          </cell>
          <cell r="BK53">
            <v>7.1939287529684268</v>
          </cell>
          <cell r="BL53">
            <v>461.70339434266504</v>
          </cell>
          <cell r="BM53">
            <v>468.89732309563345</v>
          </cell>
          <cell r="BN53">
            <v>15.175146366579616</v>
          </cell>
          <cell r="BO53">
            <v>19.437832985450441</v>
          </cell>
          <cell r="BP53">
            <v>0</v>
          </cell>
          <cell r="BQ53">
            <v>17.935792475080365</v>
          </cell>
          <cell r="BR53">
            <v>0.81877700101910145</v>
          </cell>
          <cell r="BS53">
            <v>52.548771827110428</v>
          </cell>
          <cell r="BT53">
            <v>53.367548828129529</v>
          </cell>
          <cell r="BU53">
            <v>-636.84958114100982</v>
          </cell>
          <cell r="BV53">
            <v>-158.78143553970824</v>
          </cell>
          <cell r="BW53">
            <v>-306.08949958520554</v>
          </cell>
          <cell r="BX53">
            <v>-171.97864601609604</v>
          </cell>
          <cell r="BZ53">
            <v>346.20343868761552</v>
          </cell>
          <cell r="CA53">
            <v>-0.54361885277107513</v>
          </cell>
          <cell r="CB53">
            <v>0</v>
          </cell>
          <cell r="CC53" t="e">
            <v>#N/A</v>
          </cell>
          <cell r="CD53" t="e">
            <v>#N/A</v>
          </cell>
          <cell r="CE53">
            <v>0</v>
          </cell>
          <cell r="CF53">
            <v>0</v>
          </cell>
          <cell r="CG53">
            <v>4.698105</v>
          </cell>
          <cell r="CH53">
            <v>41.278434301278388</v>
          </cell>
          <cell r="CI53">
            <v>268.16506745489738</v>
          </cell>
          <cell r="CJ53">
            <v>1.198993</v>
          </cell>
          <cell r="CK53">
            <v>10.534578043315907</v>
          </cell>
          <cell r="CL53">
            <v>68.437814549259713</v>
          </cell>
          <cell r="CM53">
            <v>3.6778013333333335</v>
          </cell>
          <cell r="CN53">
            <v>32.313854354288395</v>
          </cell>
          <cell r="CO53">
            <v>209.92673485140179</v>
          </cell>
          <cell r="CP53">
            <v>5.1488666666666662E-2</v>
          </cell>
          <cell r="CQ53">
            <v>0.45238911098419948</v>
          </cell>
          <cell r="CR53">
            <v>2.9389427800846071</v>
          </cell>
          <cell r="CS53" t="str">
            <v/>
          </cell>
          <cell r="CT53">
            <v>0.47320651935157937</v>
          </cell>
          <cell r="CU53">
            <v>1.4153670430083909</v>
          </cell>
          <cell r="CV53">
            <v>4.732065193515794</v>
          </cell>
          <cell r="CW53">
            <v>0</v>
          </cell>
          <cell r="CX53">
            <v>0</v>
          </cell>
          <cell r="CY53">
            <v>0</v>
          </cell>
          <cell r="CZ53">
            <v>34.612979352030052</v>
          </cell>
        </row>
        <row r="54">
          <cell r="B54" t="str">
            <v>GAB</v>
          </cell>
          <cell r="C54" t="str">
            <v>UMIC</v>
          </cell>
          <cell r="D54" t="str">
            <v>UMIC</v>
          </cell>
          <cell r="E54" t="str">
            <v/>
          </cell>
          <cell r="F54" t="str">
            <v xml:space="preserve"> </v>
          </cell>
          <cell r="G54" t="str">
            <v/>
          </cell>
          <cell r="H54" t="e">
            <v>#REF!</v>
          </cell>
          <cell r="I54" t="str">
            <v/>
          </cell>
          <cell r="J54" t="str">
            <v/>
          </cell>
          <cell r="K54" t="b">
            <v>1</v>
          </cell>
          <cell r="M54" t="str">
            <v/>
          </cell>
          <cell r="P54" t="b">
            <v>1</v>
          </cell>
          <cell r="Q54" t="str">
            <v/>
          </cell>
          <cell r="R54" t="str">
            <v>YES</v>
          </cell>
          <cell r="S54" t="str">
            <v/>
          </cell>
          <cell r="T54" t="str">
            <v>YES</v>
          </cell>
          <cell r="U54" t="str">
            <v/>
          </cell>
          <cell r="V54" t="str">
            <v>YES</v>
          </cell>
          <cell r="W54" t="str">
            <v/>
          </cell>
          <cell r="X54" t="str">
            <v/>
          </cell>
          <cell r="Y54" t="str">
            <v/>
          </cell>
          <cell r="Z54" t="str">
            <v/>
          </cell>
          <cell r="AA54" t="str">
            <v/>
          </cell>
          <cell r="AB54" t="str">
            <v/>
          </cell>
          <cell r="AC54" t="str">
            <v/>
          </cell>
          <cell r="AD54" t="str">
            <v/>
          </cell>
          <cell r="AE54" t="str">
            <v/>
          </cell>
          <cell r="AF54" t="str">
            <v/>
          </cell>
          <cell r="AG54" t="b">
            <v>1</v>
          </cell>
          <cell r="AK54">
            <v>2.1725789999999998</v>
          </cell>
          <cell r="AL54">
            <v>2.744456</v>
          </cell>
          <cell r="AM54">
            <v>7210</v>
          </cell>
          <cell r="AN54">
            <v>3.4663729999999997E-2</v>
          </cell>
          <cell r="AO54">
            <v>4.0750000000000001E-2</v>
          </cell>
          <cell r="AP54">
            <v>7.5309691859669986E-2</v>
          </cell>
          <cell r="AQ54">
            <v>8.8532594249999999E-2</v>
          </cell>
          <cell r="AR54">
            <v>111.83658200000002</v>
          </cell>
          <cell r="AS54">
            <v>0.1641501968533457</v>
          </cell>
          <cell r="AT54">
            <v>1294.4642697948177</v>
          </cell>
          <cell r="AU54">
            <v>37343.478898399502</v>
          </cell>
          <cell r="AV54">
            <v>0.27315019685334568</v>
          </cell>
          <cell r="AW54">
            <v>2154.0222119256637</v>
          </cell>
          <cell r="AX54">
            <v>62140.520132301514</v>
          </cell>
          <cell r="AY54">
            <v>2812.3258888065552</v>
          </cell>
          <cell r="AZ54">
            <v>4679.7834231632469</v>
          </cell>
          <cell r="BA54">
            <v>1867.4575343566917</v>
          </cell>
          <cell r="BB54">
            <v>90.204557517485696</v>
          </cell>
          <cell r="BC54">
            <v>96.370658705479016</v>
          </cell>
          <cell r="BD54">
            <v>44.357723565163347</v>
          </cell>
          <cell r="BE54">
            <v>1279.6581200339187</v>
          </cell>
          <cell r="BF54">
            <v>6.7252999999999993E-2</v>
          </cell>
          <cell r="BG54">
            <v>315.43410720398032</v>
          </cell>
          <cell r="BH54">
            <v>197.4308132754656</v>
          </cell>
          <cell r="BI54"/>
          <cell r="BJ54">
            <v>93.639373421998528</v>
          </cell>
          <cell r="BK54">
            <v>61.658408257989635</v>
          </cell>
          <cell r="BL54">
            <v>606.5042939014445</v>
          </cell>
          <cell r="BM54">
            <v>668.16270215943416</v>
          </cell>
          <cell r="BN54">
            <v>685.30551719511629</v>
          </cell>
          <cell r="BO54">
            <v>428.93403887519776</v>
          </cell>
          <cell r="BP54">
            <v>0</v>
          </cell>
          <cell r="BQ54">
            <v>203.43893626979212</v>
          </cell>
          <cell r="BR54">
            <v>133.95776295473485</v>
          </cell>
          <cell r="BS54">
            <v>1317.678492340106</v>
          </cell>
          <cell r="BT54">
            <v>1451.6362552948408</v>
          </cell>
          <cell r="BU54">
            <v>-470.50681206138734</v>
          </cell>
          <cell r="BV54">
            <v>-125.67251851338392</v>
          </cell>
          <cell r="BW54">
            <v>-115.37033518115243</v>
          </cell>
          <cell r="BX54">
            <v>-229.46395836685099</v>
          </cell>
          <cell r="BZ54">
            <v>22.194339470619713</v>
          </cell>
          <cell r="CA54">
            <v>-4.7171133130637866E-2</v>
          </cell>
          <cell r="CB54">
            <v>0.73493249237000002</v>
          </cell>
          <cell r="CC54">
            <v>483000</v>
          </cell>
          <cell r="CD54">
            <v>6.4135171459738398</v>
          </cell>
          <cell r="CE54">
            <v>0</v>
          </cell>
          <cell r="CF54">
            <v>0</v>
          </cell>
          <cell r="CG54">
            <v>21.545897</v>
          </cell>
          <cell r="CH54">
            <v>9.9171984079750395</v>
          </cell>
          <cell r="CI54">
            <v>286.09726673889509</v>
          </cell>
          <cell r="CJ54">
            <v>6.3718873333333335</v>
          </cell>
          <cell r="CK54">
            <v>2.9328679570838778</v>
          </cell>
          <cell r="CL54">
            <v>84.609127669869281</v>
          </cell>
          <cell r="CM54">
            <v>1.9596463333333332</v>
          </cell>
          <cell r="CN54">
            <v>0.90199082902547312</v>
          </cell>
          <cell r="CO54">
            <v>26.021170515275568</v>
          </cell>
          <cell r="CP54">
            <v>0.44541300000000006</v>
          </cell>
          <cell r="CQ54">
            <v>0.20501578998968512</v>
          </cell>
          <cell r="CR54">
            <v>5.914418038384361</v>
          </cell>
          <cell r="CS54" t="str">
            <v/>
          </cell>
          <cell r="CT54">
            <v>0.14746345242221343</v>
          </cell>
          <cell r="CU54">
            <v>0.38175642865000542</v>
          </cell>
          <cell r="CV54">
            <v>1.4746345242221341</v>
          </cell>
          <cell r="CW54">
            <v>0</v>
          </cell>
          <cell r="CX54">
            <v>0</v>
          </cell>
          <cell r="CY54">
            <v>0</v>
          </cell>
          <cell r="CZ54">
            <v>1114.2395560703139</v>
          </cell>
        </row>
        <row r="55">
          <cell r="B55" t="str">
            <v>GBR</v>
          </cell>
          <cell r="C55" t="str">
            <v>HIC</v>
          </cell>
          <cell r="D55" t="str">
            <v>HIC</v>
          </cell>
          <cell r="E55" t="str">
            <v/>
          </cell>
          <cell r="F55" t="str">
            <v xml:space="preserve"> </v>
          </cell>
          <cell r="G55" t="str">
            <v/>
          </cell>
          <cell r="H55" t="e">
            <v>#REF!</v>
          </cell>
          <cell r="I55" t="str">
            <v/>
          </cell>
          <cell r="J55" t="str">
            <v/>
          </cell>
          <cell r="K55" t="str">
            <v/>
          </cell>
          <cell r="M55" t="str">
            <v/>
          </cell>
          <cell r="O55" t="b">
            <v>1</v>
          </cell>
          <cell r="P55" t="str">
            <v/>
          </cell>
          <cell r="Q55" t="str">
            <v/>
          </cell>
          <cell r="R55" t="str">
            <v/>
          </cell>
          <cell r="S55" t="str">
            <v/>
          </cell>
          <cell r="T55" t="str">
            <v/>
          </cell>
          <cell r="U55" t="str">
            <v/>
          </cell>
          <cell r="V55" t="str">
            <v/>
          </cell>
          <cell r="W55" t="str">
            <v/>
          </cell>
          <cell r="X55" t="str">
            <v>YES</v>
          </cell>
          <cell r="Y55" t="str">
            <v/>
          </cell>
          <cell r="Z55" t="str">
            <v>YES</v>
          </cell>
          <cell r="AA55" t="str">
            <v/>
          </cell>
          <cell r="AB55" t="str">
            <v/>
          </cell>
          <cell r="AC55" t="str">
            <v/>
          </cell>
          <cell r="AD55" t="str">
            <v/>
          </cell>
          <cell r="AE55" t="str">
            <v>YES</v>
          </cell>
          <cell r="AF55" t="str">
            <v>YES</v>
          </cell>
          <cell r="AG55" t="str">
            <v/>
          </cell>
          <cell r="AK55">
            <v>66.834405000000004</v>
          </cell>
          <cell r="AL55">
            <v>70.485479999999995</v>
          </cell>
          <cell r="AM55">
            <v>42370</v>
          </cell>
          <cell r="AN55">
            <v>1.981104E-3</v>
          </cell>
          <cell r="AO55">
            <v>1.25E-3</v>
          </cell>
          <cell r="AP55">
            <v>0.13240590708312</v>
          </cell>
          <cell r="AQ55">
            <v>8.354300625000001E-2</v>
          </cell>
          <cell r="AR55">
            <v>88.106849999999994</v>
          </cell>
          <cell r="AS55">
            <v>0.3885219685159837</v>
          </cell>
          <cell r="AT55">
            <v>16587.844547235869</v>
          </cell>
          <cell r="AU55">
            <v>8373030.6673631817</v>
          </cell>
          <cell r="AV55">
            <v>0.46779913567130882</v>
          </cell>
          <cell r="AW55">
            <v>19972.562610774828</v>
          </cell>
          <cell r="AX55">
            <v>10081531.616096292</v>
          </cell>
          <cell r="AY55">
            <v>1108638.7205470037</v>
          </cell>
          <cell r="AZ55">
            <v>1334854.3384163822</v>
          </cell>
          <cell r="BA55">
            <v>226215.61786937853</v>
          </cell>
          <cell r="BB55">
            <v>0</v>
          </cell>
          <cell r="BC55">
            <v>0</v>
          </cell>
          <cell r="BD55">
            <v>0</v>
          </cell>
          <cell r="BE55">
            <v>0</v>
          </cell>
          <cell r="BF55">
            <v>0</v>
          </cell>
          <cell r="BG55">
            <v>1707.7896120618925</v>
          </cell>
          <cell r="BH55">
            <v>1812.8750573504365</v>
          </cell>
          <cell r="BI55"/>
          <cell r="BJ55">
            <v>0</v>
          </cell>
          <cell r="BK55">
            <v>0.11550154920251547</v>
          </cell>
          <cell r="BL55">
            <v>3520.6646694123292</v>
          </cell>
          <cell r="BM55">
            <v>3520.7801709615319</v>
          </cell>
          <cell r="BN55">
            <v>114139.10258733742</v>
          </cell>
          <cell r="BO55">
            <v>121162.42579735731</v>
          </cell>
          <cell r="BP55">
            <v>0</v>
          </cell>
          <cell r="BQ55">
            <v>0</v>
          </cell>
          <cell r="BR55">
            <v>7.7194773175283462</v>
          </cell>
          <cell r="BS55">
            <v>235301.52838469471</v>
          </cell>
          <cell r="BT55">
            <v>235309.24786201224</v>
          </cell>
          <cell r="BU55">
            <v>-6465.616635975085</v>
          </cell>
          <cell r="BV55">
            <v>-1183.0093342657876</v>
          </cell>
          <cell r="BW55">
            <v>-2286.7229100930736</v>
          </cell>
          <cell r="BX55">
            <v>-2995.8843916162241</v>
          </cell>
          <cell r="BZ55">
            <v>0</v>
          </cell>
          <cell r="CA55">
            <v>0</v>
          </cell>
          <cell r="CB55">
            <v>0</v>
          </cell>
          <cell r="CC55" t="e">
            <v>#N/A</v>
          </cell>
          <cell r="CD55" t="e">
            <v>#N/A</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t="str">
            <v/>
          </cell>
          <cell r="CT55">
            <v>5.8719607064654795E-2</v>
          </cell>
          <cell r="CU55">
            <v>0.1795541682461301</v>
          </cell>
          <cell r="CV55">
            <v>0.587196070646548</v>
          </cell>
          <cell r="CW55" t="e">
            <v>#N/A</v>
          </cell>
          <cell r="CX55" t="e">
            <v>#N/A</v>
          </cell>
          <cell r="CY55" t="e">
            <v>#N/A</v>
          </cell>
          <cell r="CZ55">
            <v>235301.52838469474</v>
          </cell>
        </row>
        <row r="56">
          <cell r="B56" t="str">
            <v>GEO</v>
          </cell>
          <cell r="C56" t="str">
            <v>UMIC</v>
          </cell>
          <cell r="D56" t="str">
            <v>UMIC</v>
          </cell>
          <cell r="E56" t="str">
            <v/>
          </cell>
          <cell r="F56" t="str">
            <v xml:space="preserve"> </v>
          </cell>
          <cell r="G56" t="str">
            <v/>
          </cell>
          <cell r="H56" t="e">
            <v>#REF!</v>
          </cell>
          <cell r="I56" t="str">
            <v/>
          </cell>
          <cell r="J56" t="str">
            <v/>
          </cell>
          <cell r="K56" t="b">
            <v>1</v>
          </cell>
          <cell r="M56" t="str">
            <v/>
          </cell>
          <cell r="O56" t="b">
            <v>1</v>
          </cell>
          <cell r="P56" t="str">
            <v/>
          </cell>
          <cell r="Q56" t="str">
            <v/>
          </cell>
          <cell r="R56" t="str">
            <v/>
          </cell>
          <cell r="S56" t="str">
            <v/>
          </cell>
          <cell r="T56" t="str">
            <v>YES</v>
          </cell>
          <cell r="U56" t="str">
            <v>YES</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b">
            <v>1</v>
          </cell>
          <cell r="AK56">
            <v>3.7203819999999999</v>
          </cell>
          <cell r="AL56">
            <v>3.8533010000000001</v>
          </cell>
          <cell r="AM56">
            <v>4740</v>
          </cell>
          <cell r="AN56">
            <v>4.5405590000000003E-2</v>
          </cell>
          <cell r="AO56">
            <v>2.0750000000000001E-2</v>
          </cell>
          <cell r="AP56">
            <v>0.16892613973538001</v>
          </cell>
          <cell r="AQ56">
            <v>7.71979265E-2</v>
          </cell>
          <cell r="AR56">
            <v>79.95599575</v>
          </cell>
          <cell r="AS56">
            <v>0.26600881587262593</v>
          </cell>
          <cell r="AT56">
            <v>1318.5334175814041</v>
          </cell>
          <cell r="AU56">
            <v>29039.010782183515</v>
          </cell>
          <cell r="AV56">
            <v>0.3188588272681615</v>
          </cell>
          <cell r="AW56">
            <v>1580.4965631109078</v>
          </cell>
          <cell r="AX56">
            <v>34808.413746212915</v>
          </cell>
          <cell r="AY56">
            <v>4905.4479931683391</v>
          </cell>
          <cell r="AZ56">
            <v>5880.050964459685</v>
          </cell>
          <cell r="BA56">
            <v>974.60297129134597</v>
          </cell>
          <cell r="BB56">
            <v>472.97553979477169</v>
          </cell>
          <cell r="BC56">
            <v>476.06414882866835</v>
          </cell>
          <cell r="BD56">
            <v>127.96109346531307</v>
          </cell>
          <cell r="BE56">
            <v>2818.1792916976315</v>
          </cell>
          <cell r="BF56">
            <v>20.172181500000001</v>
          </cell>
          <cell r="BG56">
            <v>203.06426099999715</v>
          </cell>
          <cell r="BH56">
            <v>213.52139041628809</v>
          </cell>
          <cell r="BI56"/>
          <cell r="BJ56">
            <v>33.066233866110281</v>
          </cell>
          <cell r="BK56">
            <v>7.336595362937036</v>
          </cell>
          <cell r="BL56">
            <v>449.65188528239554</v>
          </cell>
          <cell r="BM56">
            <v>456.98848064533257</v>
          </cell>
          <cell r="BN56">
            <v>755.4766214676913</v>
          </cell>
          <cell r="BO56">
            <v>794.38113751973071</v>
          </cell>
          <cell r="BP56">
            <v>0</v>
          </cell>
          <cell r="BQ56">
            <v>123.01902128326709</v>
          </cell>
          <cell r="BR56">
            <v>27.294937329554415</v>
          </cell>
          <cell r="BS56">
            <v>1672.8767802706893</v>
          </cell>
          <cell r="BT56">
            <v>1700.1717176002437</v>
          </cell>
          <cell r="BU56">
            <v>-340.59639627305836</v>
          </cell>
          <cell r="BV56">
            <v>-23.553094050348079</v>
          </cell>
          <cell r="BW56">
            <v>-113.03505162218443</v>
          </cell>
          <cell r="BX56">
            <v>-204.00825060052588</v>
          </cell>
          <cell r="BZ56">
            <v>66.691583059033775</v>
          </cell>
          <cell r="CA56">
            <v>-0.1958082463255621</v>
          </cell>
          <cell r="CB56">
            <v>0.55506062261</v>
          </cell>
          <cell r="CC56">
            <v>1661421</v>
          </cell>
          <cell r="CD56">
            <v>9.8351918927561393</v>
          </cell>
          <cell r="CE56">
            <v>0</v>
          </cell>
          <cell r="CF56">
            <v>0</v>
          </cell>
          <cell r="CG56">
            <v>66.452275333333333</v>
          </cell>
          <cell r="CH56">
            <v>17.861680691212175</v>
          </cell>
          <cell r="CI56">
            <v>393.38065403868058</v>
          </cell>
          <cell r="CJ56">
            <v>15.228438666666666</v>
          </cell>
          <cell r="CK56">
            <v>4.0932459802962882</v>
          </cell>
          <cell r="CL56">
            <v>90.148503307550627</v>
          </cell>
          <cell r="CM56">
            <v>23.070431333333335</v>
          </cell>
          <cell r="CN56">
            <v>6.2010920742368221</v>
          </cell>
          <cell r="CO56">
            <v>136.57111545597849</v>
          </cell>
          <cell r="CP56">
            <v>8.9823989999999991</v>
          </cell>
          <cell r="CQ56">
            <v>2.4143754592942335</v>
          </cell>
          <cell r="CR56">
            <v>53.17352905873998</v>
          </cell>
          <cell r="CS56">
            <v>0.27</v>
          </cell>
          <cell r="CT56">
            <v>7.212834596017291E-2</v>
          </cell>
          <cell r="CU56">
            <v>0.21681241334895182</v>
          </cell>
          <cell r="CV56">
            <v>0.72128345960172913</v>
          </cell>
          <cell r="CW56">
            <v>0</v>
          </cell>
          <cell r="CX56">
            <v>0</v>
          </cell>
          <cell r="CY56">
            <v>0</v>
          </cell>
          <cell r="CZ56">
            <v>1549.8577589874221</v>
          </cell>
        </row>
        <row r="57">
          <cell r="B57" t="str">
            <v>GHA</v>
          </cell>
          <cell r="C57" t="str">
            <v>LMIC</v>
          </cell>
          <cell r="D57" t="str">
            <v>LLMIC</v>
          </cell>
          <cell r="E57" t="str">
            <v>LMIC_nonLDC</v>
          </cell>
          <cell r="F57" t="str">
            <v xml:space="preserve"> </v>
          </cell>
          <cell r="G57" t="str">
            <v/>
          </cell>
          <cell r="H57" t="e">
            <v>#REF!</v>
          </cell>
          <cell r="I57" t="str">
            <v/>
          </cell>
          <cell r="J57" t="str">
            <v/>
          </cell>
          <cell r="K57" t="b">
            <v>1</v>
          </cell>
          <cell r="M57" t="str">
            <v/>
          </cell>
          <cell r="P57" t="b">
            <v>1</v>
          </cell>
          <cell r="Q57" t="str">
            <v/>
          </cell>
          <cell r="R57" t="str">
            <v>YES</v>
          </cell>
          <cell r="S57" t="str">
            <v>YES</v>
          </cell>
          <cell r="T57" t="str">
            <v/>
          </cell>
          <cell r="U57" t="str">
            <v/>
          </cell>
          <cell r="V57" t="str">
            <v/>
          </cell>
          <cell r="W57" t="str">
            <v/>
          </cell>
          <cell r="X57" t="str">
            <v>YES</v>
          </cell>
          <cell r="Y57" t="str">
            <v/>
          </cell>
          <cell r="Z57" t="str">
            <v>YES</v>
          </cell>
          <cell r="AA57" t="str">
            <v/>
          </cell>
          <cell r="AB57" t="str">
            <v/>
          </cell>
          <cell r="AC57" t="str">
            <v>YES</v>
          </cell>
          <cell r="AD57" t="str">
            <v>YES</v>
          </cell>
          <cell r="AE57" t="str">
            <v/>
          </cell>
          <cell r="AF57" t="str">
            <v/>
          </cell>
          <cell r="AG57" t="str">
            <v/>
          </cell>
          <cell r="AK57">
            <v>30.417856</v>
          </cell>
          <cell r="AL57">
            <v>37.833419999999997</v>
          </cell>
          <cell r="AM57">
            <v>2220</v>
          </cell>
          <cell r="AN57">
            <v>0.1226565</v>
          </cell>
          <cell r="AO57">
            <v>8.4749989999999997E-2</v>
          </cell>
          <cell r="AP57">
            <v>3.7309477544640002</v>
          </cell>
          <cell r="AQ57">
            <v>2.5779129918214401</v>
          </cell>
          <cell r="AR57">
            <v>3206.3819666657996</v>
          </cell>
          <cell r="AS57">
            <v>0.14365467878191074</v>
          </cell>
          <cell r="AT57">
            <v>331.11075217013843</v>
          </cell>
          <cell r="AU57">
            <v>2699.4961715860018</v>
          </cell>
          <cell r="AV57">
            <v>0.20391509104945077</v>
          </cell>
          <cell r="AW57">
            <v>470.00543072271978</v>
          </cell>
          <cell r="AX57">
            <v>3831.8835995052832</v>
          </cell>
          <cell r="AY57">
            <v>10071.67917956296</v>
          </cell>
          <cell r="AZ57">
            <v>14296.557510941668</v>
          </cell>
          <cell r="BA57">
            <v>4224.878331378708</v>
          </cell>
          <cell r="BB57">
            <v>1531.6102170056367</v>
          </cell>
          <cell r="BC57">
            <v>1290.7088520327034</v>
          </cell>
          <cell r="BD57">
            <v>42.432604455511374</v>
          </cell>
          <cell r="BE57">
            <v>345.94664331292165</v>
          </cell>
          <cell r="BF57">
            <v>1.71117125</v>
          </cell>
          <cell r="BG57">
            <v>210.16698552130512</v>
          </cell>
          <cell r="BH57">
            <v>120.06172821192916</v>
          </cell>
          <cell r="BI57"/>
          <cell r="BJ57">
            <v>66.477557442639551</v>
          </cell>
          <cell r="BK57">
            <v>36.274003663290181</v>
          </cell>
          <cell r="BL57">
            <v>396.70627117587378</v>
          </cell>
          <cell r="BM57">
            <v>432.98027483916394</v>
          </cell>
          <cell r="BN57">
            <v>6392.8291015411442</v>
          </cell>
          <cell r="BO57">
            <v>3652.020359861599</v>
          </cell>
          <cell r="BP57">
            <v>0</v>
          </cell>
          <cell r="BQ57">
            <v>2022.1047695219381</v>
          </cell>
          <cell r="BR57">
            <v>1103.3774199734332</v>
          </cell>
          <cell r="BS57">
            <v>12066.954230924683</v>
          </cell>
          <cell r="BT57">
            <v>13170.331650898115</v>
          </cell>
          <cell r="BU57">
            <v>161.70355581451389</v>
          </cell>
          <cell r="BV57">
            <v>49.5609136035212</v>
          </cell>
          <cell r="BW57">
            <v>116.16589937676116</v>
          </cell>
          <cell r="BX57">
            <v>-4.0232571657684133</v>
          </cell>
          <cell r="BZ57">
            <v>21.244429970388172</v>
          </cell>
          <cell r="CA57">
            <v>0.13137886710887872</v>
          </cell>
          <cell r="CB57">
            <v>0.50425822307000001</v>
          </cell>
          <cell r="CC57">
            <v>6700000</v>
          </cell>
          <cell r="CE57">
            <v>4918.675475453846</v>
          </cell>
          <cell r="CF57">
            <v>765.80510850281837</v>
          </cell>
          <cell r="CG57">
            <v>125.05437066666667</v>
          </cell>
          <cell r="CH57">
            <v>4.1112158156928178</v>
          </cell>
          <cell r="CI57">
            <v>33.51812432029952</v>
          </cell>
          <cell r="CJ57">
            <v>254.10122133333334</v>
          </cell>
          <cell r="CK57">
            <v>8.3536861155938578</v>
          </cell>
          <cell r="CL57">
            <v>68.106346712924775</v>
          </cell>
          <cell r="CM57">
            <v>1.9734146666666665</v>
          </cell>
          <cell r="CN57">
            <v>6.4876849527680927E-2</v>
          </cell>
          <cell r="CO57">
            <v>0.52893119832769508</v>
          </cell>
          <cell r="CP57">
            <v>65.473900333333333</v>
          </cell>
          <cell r="CQ57">
            <v>2.1524824212900913</v>
          </cell>
          <cell r="CR57">
            <v>17.548865500728386</v>
          </cell>
          <cell r="CS57" t="str">
            <v/>
          </cell>
          <cell r="CT57">
            <v>0.13707198824269531</v>
          </cell>
          <cell r="CU57">
            <v>0.3793081931875803</v>
          </cell>
          <cell r="CV57">
            <v>1.3707198824269531</v>
          </cell>
          <cell r="CW57">
            <v>0</v>
          </cell>
          <cell r="CX57">
            <v>0</v>
          </cell>
          <cell r="CY57">
            <v>0</v>
          </cell>
          <cell r="CZ57">
            <v>10044.849461402742</v>
          </cell>
        </row>
        <row r="58">
          <cell r="B58" t="str">
            <v>GIN</v>
          </cell>
          <cell r="C58" t="str">
            <v>LIC</v>
          </cell>
          <cell r="D58" t="str">
            <v>OLIC</v>
          </cell>
          <cell r="E58" t="str">
            <v>OLIC_LDC</v>
          </cell>
          <cell r="F58" t="b">
            <v>1</v>
          </cell>
          <cell r="G58" t="str">
            <v/>
          </cell>
          <cell r="H58" t="e">
            <v>#REF!</v>
          </cell>
          <cell r="I58" t="str">
            <v/>
          </cell>
          <cell r="J58" t="str">
            <v/>
          </cell>
          <cell r="K58" t="str">
            <v/>
          </cell>
          <cell r="M58" t="b">
            <v>1</v>
          </cell>
          <cell r="P58" t="b">
            <v>1</v>
          </cell>
          <cell r="Q58" t="str">
            <v/>
          </cell>
          <cell r="R58" t="str">
            <v>YES</v>
          </cell>
          <cell r="S58" t="str">
            <v>YES</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K58">
            <v>12.771246</v>
          </cell>
          <cell r="AL58">
            <v>17.020910000000001</v>
          </cell>
          <cell r="AM58">
            <v>950</v>
          </cell>
          <cell r="AN58">
            <v>0.21994720000000001</v>
          </cell>
          <cell r="AO58">
            <v>0.1295</v>
          </cell>
          <cell r="AP58">
            <v>2.8089997982111998</v>
          </cell>
          <cell r="AQ58">
            <v>1.6538763569999999</v>
          </cell>
          <cell r="AR58">
            <v>2204.2078449999999</v>
          </cell>
          <cell r="AS58">
            <v>0.13143326832204838</v>
          </cell>
          <cell r="AT58">
            <v>134.18750550213579</v>
          </cell>
          <cell r="AU58">
            <v>610.08962833869123</v>
          </cell>
          <cell r="AV58">
            <v>0.13754428142954928</v>
          </cell>
          <cell r="AW58">
            <v>140.42657735552012</v>
          </cell>
          <cell r="AX58">
            <v>638.45585374817279</v>
          </cell>
          <cell r="AY58">
            <v>1713.7416428941299</v>
          </cell>
          <cell r="AZ58">
            <v>1793.4223643453768</v>
          </cell>
          <cell r="BA58">
            <v>79.680721451246882</v>
          </cell>
          <cell r="BB58">
            <v>468.27465662251035</v>
          </cell>
          <cell r="BC58">
            <v>491.36972390556394</v>
          </cell>
          <cell r="BD58">
            <v>38.474689462998676</v>
          </cell>
          <cell r="BE58">
            <v>174.92693456883595</v>
          </cell>
          <cell r="BF58">
            <v>23.538759250000002</v>
          </cell>
          <cell r="BG58">
            <v>63.930594335353263</v>
          </cell>
          <cell r="BH58">
            <v>82.469158752149752</v>
          </cell>
          <cell r="BI58"/>
          <cell r="BJ58">
            <v>32.717614915897848</v>
          </cell>
          <cell r="BK58">
            <v>21.847089952500795</v>
          </cell>
          <cell r="BL58">
            <v>179.11736800340088</v>
          </cell>
          <cell r="BM58">
            <v>200.96445795590168</v>
          </cell>
          <cell r="BN58">
            <v>816.47334718300294</v>
          </cell>
          <cell r="BO58">
            <v>1053.2339138367574</v>
          </cell>
          <cell r="BP58">
            <v>0</v>
          </cell>
          <cell r="BQ58">
            <v>417.84470862420073</v>
          </cell>
          <cell r="BR58">
            <v>279.01456016751598</v>
          </cell>
          <cell r="BS58">
            <v>2287.551969643961</v>
          </cell>
          <cell r="BT58">
            <v>2566.5665298114768</v>
          </cell>
          <cell r="BU58">
            <v>108.90407932564082</v>
          </cell>
          <cell r="BV58">
            <v>61.405172148821734</v>
          </cell>
          <cell r="BW58">
            <v>35.845278864249238</v>
          </cell>
          <cell r="BX58">
            <v>11.653628312569829</v>
          </cell>
          <cell r="BZ58">
            <v>20.158897697043969</v>
          </cell>
          <cell r="CA58">
            <v>0.18510691079592714</v>
          </cell>
          <cell r="CB58">
            <v>0.41229021209000005</v>
          </cell>
          <cell r="CC58" t="str">
            <v>—</v>
          </cell>
          <cell r="CD58" t="e">
            <v>#VALUE!</v>
          </cell>
          <cell r="CE58">
            <v>1390.840787471273</v>
          </cell>
          <cell r="CF58">
            <v>234.13732831125517</v>
          </cell>
          <cell r="CG58">
            <v>57.559460000000001</v>
          </cell>
          <cell r="CH58">
            <v>4.5069572694786402</v>
          </cell>
          <cell r="CI58">
            <v>20.491087267665332</v>
          </cell>
          <cell r="CJ58">
            <v>147.57979133333333</v>
          </cell>
          <cell r="CK58">
            <v>11.555629837005203</v>
          </cell>
          <cell r="CL58">
            <v>52.538199336046112</v>
          </cell>
          <cell r="CM58">
            <v>6.885358666666666</v>
          </cell>
          <cell r="CN58">
            <v>0.53912975027390952</v>
          </cell>
          <cell r="CO58">
            <v>2.4511780567059254</v>
          </cell>
          <cell r="CP58">
            <v>14.154745333333333</v>
          </cell>
          <cell r="CQ58">
            <v>1.1083292368914774</v>
          </cell>
          <cell r="CR58">
            <v>5.0390695443791849</v>
          </cell>
          <cell r="CS58">
            <v>0.55000000000000004</v>
          </cell>
          <cell r="CT58">
            <v>0.16444057220415301</v>
          </cell>
          <cell r="CU58">
            <v>0.4426764624219125</v>
          </cell>
          <cell r="CV58">
            <v>1.64440572204153</v>
          </cell>
          <cell r="CW58">
            <v>773.14416546610005</v>
          </cell>
          <cell r="CX58">
            <v>60.53788060038152</v>
          </cell>
          <cell r="CY58">
            <v>275.23824172520278</v>
          </cell>
          <cell r="CZ58">
            <v>1869.7072610197606</v>
          </cell>
        </row>
        <row r="59">
          <cell r="B59" t="str">
            <v>GMB</v>
          </cell>
          <cell r="C59" t="str">
            <v>LIC</v>
          </cell>
          <cell r="D59" t="str">
            <v>OLIC</v>
          </cell>
          <cell r="E59" t="str">
            <v>OLIC_LDC</v>
          </cell>
          <cell r="F59" t="b">
            <v>1</v>
          </cell>
          <cell r="G59" t="b">
            <v>1</v>
          </cell>
          <cell r="H59" t="e">
            <v>#REF!</v>
          </cell>
          <cell r="I59" t="str">
            <v/>
          </cell>
          <cell r="J59" t="str">
            <v/>
          </cell>
          <cell r="K59" t="str">
            <v/>
          </cell>
          <cell r="M59" t="b">
            <v>1</v>
          </cell>
          <cell r="P59" t="b">
            <v>1</v>
          </cell>
          <cell r="Q59" t="str">
            <v/>
          </cell>
          <cell r="R59" t="str">
            <v>YES</v>
          </cell>
          <cell r="S59" t="str">
            <v>YES</v>
          </cell>
          <cell r="T59" t="str">
            <v/>
          </cell>
          <cell r="U59" t="str">
            <v/>
          </cell>
          <cell r="V59" t="str">
            <v/>
          </cell>
          <cell r="W59" t="str">
            <v/>
          </cell>
          <cell r="X59" t="str">
            <v>YES</v>
          </cell>
          <cell r="Y59" t="str">
            <v>YES</v>
          </cell>
          <cell r="Z59" t="str">
            <v/>
          </cell>
          <cell r="AA59" t="str">
            <v/>
          </cell>
          <cell r="AB59" t="str">
            <v/>
          </cell>
          <cell r="AC59" t="str">
            <v>YES</v>
          </cell>
          <cell r="AD59" t="str">
            <v>YES</v>
          </cell>
          <cell r="AE59" t="str">
            <v/>
          </cell>
          <cell r="AF59" t="str">
            <v/>
          </cell>
          <cell r="AK59">
            <v>2.3477060000000001</v>
          </cell>
          <cell r="AL59">
            <v>3.170687</v>
          </cell>
          <cell r="AM59">
            <v>740</v>
          </cell>
          <cell r="AN59">
            <v>8.9144190000000012E-2</v>
          </cell>
          <cell r="AO59">
            <v>0.10625</v>
          </cell>
          <cell r="AP59">
            <v>0.20928434972814003</v>
          </cell>
          <cell r="AQ59">
            <v>0.2494437625</v>
          </cell>
          <cell r="AR59">
            <v>336.88549374999997</v>
          </cell>
          <cell r="AS59">
            <v>0.12085522048255598</v>
          </cell>
          <cell r="AT59">
            <v>94.147640863622641</v>
          </cell>
          <cell r="AU59">
            <v>1056.1276159850981</v>
          </cell>
          <cell r="AV59">
            <v>0.14532601921251834</v>
          </cell>
          <cell r="AW59">
            <v>113.21068142798968</v>
          </cell>
          <cell r="AX59">
            <v>1269.9726300501432</v>
          </cell>
          <cell r="AY59">
            <v>221.03098134137207</v>
          </cell>
          <cell r="AZ59">
            <v>265.78539605257998</v>
          </cell>
          <cell r="BA59">
            <v>44.754414711207914</v>
          </cell>
          <cell r="BB59">
            <v>171.37727211800532</v>
          </cell>
          <cell r="BC59">
            <v>207.60258566927965</v>
          </cell>
          <cell r="BD59">
            <v>88.427846446394753</v>
          </cell>
          <cell r="BE59">
            <v>991.96421490166369</v>
          </cell>
          <cell r="BF59">
            <v>4.5311502500000005</v>
          </cell>
          <cell r="BG59">
            <v>50.152832976015787</v>
          </cell>
          <cell r="BH59">
            <v>78.476631929936516</v>
          </cell>
          <cell r="BI59"/>
          <cell r="BJ59">
            <v>78.515298962358813</v>
          </cell>
          <cell r="BK59">
            <v>13.293394528459958</v>
          </cell>
          <cell r="BL59">
            <v>207.14476386831114</v>
          </cell>
          <cell r="BM59">
            <v>220.43815839677112</v>
          </cell>
          <cell r="BN59">
            <v>117.74410689479012</v>
          </cell>
          <cell r="BO59">
            <v>184.24005964170354</v>
          </cell>
          <cell r="BP59">
            <v>0</v>
          </cell>
          <cell r="BQ59">
            <v>184.33083846572356</v>
          </cell>
          <cell r="BR59">
            <v>31.208982094832614</v>
          </cell>
          <cell r="BS59">
            <v>486.31500500221722</v>
          </cell>
          <cell r="BT59">
            <v>517.52398709704983</v>
          </cell>
          <cell r="BU59">
            <v>150.5394231543163</v>
          </cell>
          <cell r="BV59">
            <v>61.495029715738063</v>
          </cell>
          <cell r="BW59">
            <v>27.510696690417848</v>
          </cell>
          <cell r="BX59">
            <v>61.533696748160359</v>
          </cell>
          <cell r="BZ59">
            <v>45.178939764876787</v>
          </cell>
          <cell r="CA59">
            <v>0.30011367665840166</v>
          </cell>
          <cell r="CB59">
            <v>0.36770965245000004</v>
          </cell>
          <cell r="CC59" t="str">
            <v>—</v>
          </cell>
          <cell r="CE59">
            <v>353.42230697592731</v>
          </cell>
          <cell r="CF59">
            <v>85.688636059002661</v>
          </cell>
          <cell r="CG59">
            <v>13.332341999999999</v>
          </cell>
          <cell r="CH59">
            <v>5.6788805753360938</v>
          </cell>
          <cell r="CI59">
            <v>63.70443856561031</v>
          </cell>
          <cell r="CJ59">
            <v>49.946847333333331</v>
          </cell>
          <cell r="CK59">
            <v>21.27474536135842</v>
          </cell>
          <cell r="CL59">
            <v>238.65543409344363</v>
          </cell>
          <cell r="CM59">
            <v>2.0196613333333331</v>
          </cell>
          <cell r="CN59">
            <v>0.86027012468057462</v>
          </cell>
          <cell r="CO59">
            <v>9.6503218513800455</v>
          </cell>
          <cell r="CP59">
            <v>8.4728180000000002</v>
          </cell>
          <cell r="CQ59">
            <v>3.6089774443648395</v>
          </cell>
          <cell r="CR59">
            <v>40.484718570720524</v>
          </cell>
          <cell r="CS59" t="str">
            <v/>
          </cell>
          <cell r="CT59">
            <v>0.17442814389876754</v>
          </cell>
          <cell r="CU59">
            <v>0.45241184373171078</v>
          </cell>
          <cell r="CV59">
            <v>1.7442814389876755</v>
          </cell>
          <cell r="CW59">
            <v>251.73859104446984</v>
          </cell>
          <cell r="CX59">
            <v>107.22747696878137</v>
          </cell>
          <cell r="CY59">
            <v>1202.8543528050607</v>
          </cell>
          <cell r="CZ59">
            <v>301.98416653649372</v>
          </cell>
        </row>
        <row r="60">
          <cell r="B60" t="str">
            <v>GNB</v>
          </cell>
          <cell r="C60" t="str">
            <v>LIC</v>
          </cell>
          <cell r="D60" t="str">
            <v>OLIC</v>
          </cell>
          <cell r="E60" t="str">
            <v>OLIC_LDC</v>
          </cell>
          <cell r="F60" t="b">
            <v>1</v>
          </cell>
          <cell r="G60" t="b">
            <v>1</v>
          </cell>
          <cell r="H60" t="e">
            <v>#REF!</v>
          </cell>
          <cell r="I60" t="str">
            <v/>
          </cell>
          <cell r="J60" t="str">
            <v/>
          </cell>
          <cell r="K60" t="str">
            <v/>
          </cell>
          <cell r="M60" t="b">
            <v>1</v>
          </cell>
          <cell r="P60" t="b">
            <v>1</v>
          </cell>
          <cell r="Q60" t="b">
            <v>1</v>
          </cell>
          <cell r="R60" t="str">
            <v>YES</v>
          </cell>
          <cell r="S60" t="str">
            <v>YES</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K60">
            <v>1.920922</v>
          </cell>
          <cell r="AL60">
            <v>2.4612080000000001</v>
          </cell>
          <cell r="AM60">
            <v>820</v>
          </cell>
          <cell r="AN60">
            <v>0.61639960000000005</v>
          </cell>
          <cell r="AO60">
            <v>0.58950000000000002</v>
          </cell>
          <cell r="AP60">
            <v>1.1840555524312002</v>
          </cell>
          <cell r="AQ60">
            <v>1.132383519</v>
          </cell>
          <cell r="AR60">
            <v>1450.8821160000002</v>
          </cell>
          <cell r="AS60">
            <v>0.12417274101783414</v>
          </cell>
          <cell r="AT60">
            <v>102.11475863787437</v>
          </cell>
          <cell r="AU60">
            <v>165.66324611157174</v>
          </cell>
          <cell r="AV60">
            <v>0.18099404207694997</v>
          </cell>
          <cell r="AW60">
            <v>148.84235275861832</v>
          </cell>
          <cell r="AX60">
            <v>241.47055377488613</v>
          </cell>
          <cell r="AY60">
            <v>196.15448639218295</v>
          </cell>
          <cell r="AZ60">
            <v>285.91454994579061</v>
          </cell>
          <cell r="BA60">
            <v>89.760063553607665</v>
          </cell>
          <cell r="BB60">
            <v>97.666238865191531</v>
          </cell>
          <cell r="BC60">
            <v>113.56144246708651</v>
          </cell>
          <cell r="BD60">
            <v>59.118195568110785</v>
          </cell>
          <cell r="BE60">
            <v>95.908880486150181</v>
          </cell>
          <cell r="BF60">
            <v>0.65672750000000002</v>
          </cell>
          <cell r="BG60">
            <v>61.284617603892414</v>
          </cell>
          <cell r="BH60">
            <v>110.94159819034201</v>
          </cell>
          <cell r="BI60"/>
          <cell r="BJ60">
            <v>102.02104289517203</v>
          </cell>
          <cell r="BK60">
            <v>22.833275610234985</v>
          </cell>
          <cell r="BL60">
            <v>274.24725868940641</v>
          </cell>
          <cell r="BM60">
            <v>297.08053429964139</v>
          </cell>
          <cell r="BN60">
            <v>117.72297021690423</v>
          </cell>
          <cell r="BO60">
            <v>213.11015667898815</v>
          </cell>
          <cell r="BP60">
            <v>0</v>
          </cell>
          <cell r="BQ60">
            <v>195.97446576027966</v>
          </cell>
          <cell r="BR60">
            <v>43.860941451763807</v>
          </cell>
          <cell r="BS60">
            <v>526.80759265617212</v>
          </cell>
          <cell r="BT60">
            <v>570.6685341079359</v>
          </cell>
          <cell r="BU60">
            <v>199.82608231009726</v>
          </cell>
          <cell r="BV60">
            <v>88.61524527654926</v>
          </cell>
          <cell r="BW60">
            <v>31.516147052168748</v>
          </cell>
          <cell r="BX60">
            <v>79.694689981379284</v>
          </cell>
          <cell r="BZ60">
            <v>29.730038483365412</v>
          </cell>
          <cell r="CA60">
            <v>0.14877956941191128</v>
          </cell>
          <cell r="CB60">
            <v>0.50885646981999999</v>
          </cell>
          <cell r="CC60" t="str">
            <v>—</v>
          </cell>
          <cell r="CD60" t="e">
            <v>#VALUE!</v>
          </cell>
          <cell r="CE60">
            <v>383.85031768327667</v>
          </cell>
          <cell r="CF60">
            <v>56.780721233543254</v>
          </cell>
          <cell r="CG60">
            <v>17.393632666666669</v>
          </cell>
          <cell r="CH60">
            <v>9.0548354731044096</v>
          </cell>
          <cell r="CI60">
            <v>14.689878892044071</v>
          </cell>
          <cell r="CJ60">
            <v>31.807759666666669</v>
          </cell>
          <cell r="CK60">
            <v>16.558589920187632</v>
          </cell>
          <cell r="CL60">
            <v>26.863401469091855</v>
          </cell>
          <cell r="CM60">
            <v>1.4927459999999999</v>
          </cell>
          <cell r="CN60">
            <v>0.77709870572568795</v>
          </cell>
          <cell r="CO60">
            <v>1.2607060512785666</v>
          </cell>
          <cell r="CP60">
            <v>2.3700156666666667</v>
          </cell>
          <cell r="CQ60">
            <v>1.2337906831545824</v>
          </cell>
          <cell r="CR60">
            <v>2.0016085071349532</v>
          </cell>
          <cell r="CS60">
            <v>0.5</v>
          </cell>
          <cell r="CT60">
            <v>0.1588357049375248</v>
          </cell>
          <cell r="CU60">
            <v>0.42954737360496681</v>
          </cell>
          <cell r="CV60">
            <v>1.5883570493752481</v>
          </cell>
          <cell r="CW60">
            <v>284.75398416214529</v>
          </cell>
          <cell r="CX60">
            <v>148.23818154102315</v>
          </cell>
          <cell r="CY60">
            <v>240.4903921758274</v>
          </cell>
          <cell r="CZ60">
            <v>330.83312689589235</v>
          </cell>
        </row>
        <row r="61">
          <cell r="B61" t="str">
            <v>GNQ</v>
          </cell>
          <cell r="C61" t="str">
            <v>UMIC</v>
          </cell>
          <cell r="D61" t="str">
            <v>UMIC</v>
          </cell>
          <cell r="E61" t="str">
            <v/>
          </cell>
          <cell r="F61" t="str">
            <v xml:space="preserve"> </v>
          </cell>
          <cell r="G61" t="str">
            <v/>
          </cell>
          <cell r="H61" t="e">
            <v>#REF!</v>
          </cell>
          <cell r="I61" t="str">
            <v/>
          </cell>
          <cell r="J61" t="str">
            <v/>
          </cell>
          <cell r="K61" t="b">
            <v>1</v>
          </cell>
          <cell r="M61" t="b">
            <v>1</v>
          </cell>
          <cell r="N61" t="b">
            <v>1</v>
          </cell>
          <cell r="O61" t="b">
            <v>1</v>
          </cell>
          <cell r="P61" t="b">
            <v>1</v>
          </cell>
          <cell r="Q61" t="str">
            <v/>
          </cell>
          <cell r="R61" t="str">
            <v/>
          </cell>
          <cell r="S61" t="str">
            <v/>
          </cell>
          <cell r="T61" t="str">
            <v>YES</v>
          </cell>
          <cell r="U61" t="str">
            <v>YES</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K61">
            <v>1.3559859999999999</v>
          </cell>
          <cell r="AL61">
            <v>1.873551</v>
          </cell>
          <cell r="AM61">
            <v>6460</v>
          </cell>
          <cell r="AN61">
            <v>0.03</v>
          </cell>
          <cell r="AO61">
            <v>0.16</v>
          </cell>
          <cell r="AP61">
            <v>4.0679579999999993E-2</v>
          </cell>
          <cell r="AQ61">
            <v>0.21695776</v>
          </cell>
          <cell r="AR61">
            <v>299.76816000000008</v>
          </cell>
          <cell r="AS61">
            <v>0.19197380326591007</v>
          </cell>
          <cell r="AT61">
            <v>1683.242675246232</v>
          </cell>
          <cell r="AU61">
            <v>56108.089174874403</v>
          </cell>
          <cell r="AV61">
            <v>0.20397603359521052</v>
          </cell>
          <cell r="AW61">
            <v>1788.4792541164738</v>
          </cell>
          <cell r="AX61">
            <v>59615.975137215799</v>
          </cell>
          <cell r="AY61">
            <v>2282.4535022364371</v>
          </cell>
          <cell r="AZ61">
            <v>2425.1528298723806</v>
          </cell>
          <cell r="BA61">
            <v>142.69932763594352</v>
          </cell>
          <cell r="BB61">
            <v>8.6686709194164759</v>
          </cell>
          <cell r="BC61">
            <v>8.4590414786187509</v>
          </cell>
          <cell r="BD61">
            <v>6.2382955861039502</v>
          </cell>
          <cell r="BE61">
            <v>207.94318620346502</v>
          </cell>
          <cell r="BF61">
            <v>0.15094050000000001</v>
          </cell>
          <cell r="BG61">
            <v>350.723410509237</v>
          </cell>
          <cell r="BH61">
            <v>234.18910657064689</v>
          </cell>
          <cell r="BI61"/>
          <cell r="BJ61">
            <v>61.922209666667548</v>
          </cell>
          <cell r="BK61">
            <v>53.826391599223911</v>
          </cell>
          <cell r="BL61">
            <v>646.83472674655138</v>
          </cell>
          <cell r="BM61">
            <v>700.66111834577532</v>
          </cell>
          <cell r="BN61">
            <v>475.57603452277823</v>
          </cell>
          <cell r="BO61">
            <v>317.55714986230515</v>
          </cell>
          <cell r="BP61">
            <v>0</v>
          </cell>
          <cell r="BQ61">
            <v>83.96564939706586</v>
          </cell>
          <cell r="BR61">
            <v>72.987833439065227</v>
          </cell>
          <cell r="BS61">
            <v>877.0988337821492</v>
          </cell>
          <cell r="BT61">
            <v>950.08666722121438</v>
          </cell>
          <cell r="BU61">
            <v>-247.40490031168554</v>
          </cell>
          <cell r="BV61">
            <v>-34.082781546824179</v>
          </cell>
          <cell r="BW61">
            <v>-6.972440314057792</v>
          </cell>
          <cell r="BX61">
            <v>-206.34967845080351</v>
          </cell>
          <cell r="BZ61">
            <v>3.1748048942314862</v>
          </cell>
          <cell r="CA61">
            <v>-1.2832425268181045E-2</v>
          </cell>
          <cell r="CB61">
            <v>0.68045432288999996</v>
          </cell>
          <cell r="CC61" t="e">
            <v>#N/A</v>
          </cell>
          <cell r="CE61">
            <v>0</v>
          </cell>
          <cell r="CF61">
            <v>0</v>
          </cell>
          <cell r="CG61">
            <v>1.4540796666666667</v>
          </cell>
          <cell r="CH61">
            <v>1.0723412090291986</v>
          </cell>
          <cell r="CI61">
            <v>35.744706967639956</v>
          </cell>
          <cell r="CJ61">
            <v>3.7352800000000004</v>
          </cell>
          <cell r="CK61">
            <v>2.7546597088760509</v>
          </cell>
          <cell r="CL61">
            <v>91.821990295868375</v>
          </cell>
          <cell r="CM61">
            <v>0.97491800000000017</v>
          </cell>
          <cell r="CN61">
            <v>0.71897349972639857</v>
          </cell>
          <cell r="CO61">
            <v>23.965783324213287</v>
          </cell>
          <cell r="CP61">
            <v>0.33675166666666667</v>
          </cell>
          <cell r="CQ61">
            <v>0.24834450109858561</v>
          </cell>
          <cell r="CR61">
            <v>8.27815003661952</v>
          </cell>
          <cell r="CS61" t="str">
            <v/>
          </cell>
          <cell r="CT61">
            <v>0.14723824582259701</v>
          </cell>
          <cell r="CU61">
            <v>0.38054153951441982</v>
          </cell>
          <cell r="CV61">
            <v>1.4723824582259701</v>
          </cell>
          <cell r="CW61">
            <v>0</v>
          </cell>
          <cell r="CX61">
            <v>0</v>
          </cell>
          <cell r="CY61">
            <v>0</v>
          </cell>
          <cell r="CZ61">
            <v>793.13318438508338</v>
          </cell>
        </row>
        <row r="62">
          <cell r="B62" t="str">
            <v>GRD</v>
          </cell>
          <cell r="C62" t="str">
            <v>UMIC</v>
          </cell>
          <cell r="D62" t="str">
            <v>UMIC</v>
          </cell>
          <cell r="E62" t="str">
            <v/>
          </cell>
          <cell r="F62" t="str">
            <v xml:space="preserve"> </v>
          </cell>
          <cell r="G62" t="str">
            <v/>
          </cell>
          <cell r="H62" t="e">
            <v>#REF!</v>
          </cell>
          <cell r="I62" t="str">
            <v/>
          </cell>
          <cell r="J62" t="str">
            <v/>
          </cell>
          <cell r="K62" t="b">
            <v>1</v>
          </cell>
          <cell r="M62" t="str">
            <v/>
          </cell>
          <cell r="O62" t="b">
            <v>1</v>
          </cell>
          <cell r="P62" t="str">
            <v/>
          </cell>
          <cell r="Q62" t="str">
            <v/>
          </cell>
          <cell r="R62" t="str">
            <v/>
          </cell>
          <cell r="S62" t="str">
            <v/>
          </cell>
          <cell r="T62" t="str">
            <v>YES</v>
          </cell>
          <cell r="U62" t="str">
            <v>YES</v>
          </cell>
          <cell r="V62" t="str">
            <v/>
          </cell>
          <cell r="W62" t="str">
            <v/>
          </cell>
          <cell r="X62" t="str">
            <v>YES</v>
          </cell>
          <cell r="Y62" t="str">
            <v/>
          </cell>
          <cell r="Z62" t="str">
            <v>YES</v>
          </cell>
          <cell r="AA62" t="str">
            <v/>
          </cell>
          <cell r="AB62" t="str">
            <v/>
          </cell>
          <cell r="AC62" t="str">
            <v/>
          </cell>
          <cell r="AD62" t="str">
            <v/>
          </cell>
          <cell r="AE62" t="str">
            <v>YES</v>
          </cell>
          <cell r="AF62" t="str">
            <v>YES</v>
          </cell>
          <cell r="AG62" t="b">
            <v>1</v>
          </cell>
          <cell r="AH62" t="b">
            <v>1</v>
          </cell>
          <cell r="AI62" t="b">
            <v>1</v>
          </cell>
          <cell r="AK62">
            <v>0.11200300000000001</v>
          </cell>
          <cell r="AL62">
            <v>0.11578100000000001</v>
          </cell>
          <cell r="AM62">
            <v>9980</v>
          </cell>
          <cell r="AN62">
            <v>6.4239129999999992E-2</v>
          </cell>
          <cell r="AO62">
            <v>5.8217390000000001E-2</v>
          </cell>
          <cell r="AP62">
            <v>7.1949752773899991E-3</v>
          </cell>
          <cell r="AQ62">
            <v>6.5205223321700007E-3</v>
          </cell>
          <cell r="AR62">
            <v>6.7404676315899996</v>
          </cell>
          <cell r="AS62">
            <v>0.23608504174018852</v>
          </cell>
          <cell r="AT62">
            <v>2652.8571035193645</v>
          </cell>
          <cell r="AU62">
            <v>41296.591400278383</v>
          </cell>
          <cell r="AV62">
            <v>0.28382086309399251</v>
          </cell>
          <cell r="AW62">
            <v>3189.2583589200917</v>
          </cell>
          <cell r="AX62">
            <v>49646.66176083163</v>
          </cell>
          <cell r="AY62">
            <v>297.12795416547937</v>
          </cell>
          <cell r="AZ62">
            <v>357.20650397412709</v>
          </cell>
          <cell r="BA62">
            <v>60.078549808647722</v>
          </cell>
          <cell r="BB62">
            <v>24.446668355413635</v>
          </cell>
          <cell r="BC62">
            <v>24.937859497365835</v>
          </cell>
          <cell r="BD62">
            <v>222.65349586498428</v>
          </cell>
          <cell r="BE62">
            <v>3466.0104497832444</v>
          </cell>
          <cell r="BF62">
            <v>1.866044</v>
          </cell>
          <cell r="BG62">
            <v>449.47483058902685</v>
          </cell>
          <cell r="BH62">
            <v>428.77398682203528</v>
          </cell>
          <cell r="BI62"/>
          <cell r="BJ62">
            <v>0</v>
          </cell>
          <cell r="BK62">
            <v>16.401410833831729</v>
          </cell>
          <cell r="BL62">
            <v>878.24881741106219</v>
          </cell>
          <cell r="BM62">
            <v>894.65022824489392</v>
          </cell>
          <cell r="BN62">
            <v>50.342529450462777</v>
          </cell>
          <cell r="BO62">
            <v>48.023972846028421</v>
          </cell>
          <cell r="BP62">
            <v>0</v>
          </cell>
          <cell r="BQ62">
            <v>0</v>
          </cell>
          <cell r="BR62">
            <v>1.8370072176216552</v>
          </cell>
          <cell r="BS62">
            <v>98.366502296491205</v>
          </cell>
          <cell r="BT62">
            <v>100.20350951411287</v>
          </cell>
          <cell r="BU62">
            <v>-716.38036204898367</v>
          </cell>
          <cell r="BV62">
            <v>-49.61476701597843</v>
          </cell>
          <cell r="BW62">
            <v>-188.37684119499158</v>
          </cell>
          <cell r="BX62">
            <v>-478.38875383801371</v>
          </cell>
          <cell r="BZ62">
            <v>119.6570783700697</v>
          </cell>
          <cell r="CA62">
            <v>-0.16703009282363321</v>
          </cell>
          <cell r="CB62">
            <v>0.71985284268000005</v>
          </cell>
          <cell r="CC62" t="str">
            <v>—</v>
          </cell>
          <cell r="CD62" t="e">
            <v>#VALUE!</v>
          </cell>
          <cell r="CE62">
            <v>0</v>
          </cell>
          <cell r="CF62">
            <v>0</v>
          </cell>
          <cell r="CG62">
            <v>0.15892133333333333</v>
          </cell>
          <cell r="CH62">
            <v>1.4189024698743187</v>
          </cell>
          <cell r="CI62">
            <v>22.087822015558412</v>
          </cell>
          <cell r="CJ62">
            <v>0.57261466666666661</v>
          </cell>
          <cell r="CK62">
            <v>5.1124940105770964</v>
          </cell>
          <cell r="CL62">
            <v>79.585355694840473</v>
          </cell>
          <cell r="CM62">
            <v>0.14033499999999999</v>
          </cell>
          <cell r="CN62">
            <v>1.2529575100666945</v>
          </cell>
          <cell r="CO62">
            <v>19.504584045062483</v>
          </cell>
          <cell r="CP62">
            <v>0.59927166666666665</v>
          </cell>
          <cell r="CQ62">
            <v>5.3504965640801281</v>
          </cell>
          <cell r="CR62">
            <v>83.290302407273089</v>
          </cell>
          <cell r="CS62" t="str">
            <v/>
          </cell>
          <cell r="CT62">
            <v>8.0462130478647878E-2</v>
          </cell>
          <cell r="CU62">
            <v>0.23886860173388208</v>
          </cell>
          <cell r="CV62">
            <v>0.80462130478647875</v>
          </cell>
          <cell r="CW62">
            <v>0</v>
          </cell>
          <cell r="CX62">
            <v>0</v>
          </cell>
          <cell r="CY62">
            <v>0</v>
          </cell>
          <cell r="CZ62">
            <v>98.366502296491205</v>
          </cell>
        </row>
        <row r="63">
          <cell r="B63" t="str">
            <v>GTM</v>
          </cell>
          <cell r="C63" t="str">
            <v>UMIC</v>
          </cell>
          <cell r="D63" t="str">
            <v>UMIC</v>
          </cell>
          <cell r="E63" t="str">
            <v/>
          </cell>
          <cell r="F63" t="str">
            <v xml:space="preserve"> </v>
          </cell>
          <cell r="G63" t="str">
            <v/>
          </cell>
          <cell r="H63" t="e">
            <v>#REF!</v>
          </cell>
          <cell r="I63" t="str">
            <v/>
          </cell>
          <cell r="J63" t="str">
            <v/>
          </cell>
          <cell r="K63" t="b">
            <v>1</v>
          </cell>
          <cell r="M63" t="b">
            <v>1</v>
          </cell>
          <cell r="N63" t="b">
            <v>1</v>
          </cell>
          <cell r="O63" t="b">
            <v>1</v>
          </cell>
          <cell r="P63" t="str">
            <v/>
          </cell>
          <cell r="Q63" t="str">
            <v/>
          </cell>
          <cell r="R63" t="str">
            <v>YES</v>
          </cell>
          <cell r="S63" t="str">
            <v/>
          </cell>
          <cell r="T63" t="str">
            <v>YES</v>
          </cell>
          <cell r="U63" t="str">
            <v/>
          </cell>
          <cell r="V63" t="str">
            <v>YES</v>
          </cell>
          <cell r="W63" t="str">
            <v/>
          </cell>
          <cell r="X63" t="str">
            <v/>
          </cell>
          <cell r="Y63" t="str">
            <v/>
          </cell>
          <cell r="Z63" t="str">
            <v/>
          </cell>
          <cell r="AA63" t="str">
            <v/>
          </cell>
          <cell r="AB63" t="str">
            <v/>
          </cell>
          <cell r="AC63" t="str">
            <v/>
          </cell>
          <cell r="AD63" t="str">
            <v/>
          </cell>
          <cell r="AE63" t="str">
            <v/>
          </cell>
          <cell r="AF63" t="str">
            <v/>
          </cell>
          <cell r="AG63" t="str">
            <v/>
          </cell>
          <cell r="AK63">
            <v>16.604026000000001</v>
          </cell>
          <cell r="AL63">
            <v>21.21256</v>
          </cell>
          <cell r="AM63">
            <v>4610</v>
          </cell>
          <cell r="AN63">
            <v>6.9650790000000004E-2</v>
          </cell>
          <cell r="AO63">
            <v>7.2499999999999995E-2</v>
          </cell>
          <cell r="AP63">
            <v>1.1564835280805401</v>
          </cell>
          <cell r="AQ63">
            <v>1.203791885</v>
          </cell>
          <cell r="AR63">
            <v>1537.9105999999997</v>
          </cell>
          <cell r="AS63">
            <v>0.113</v>
          </cell>
          <cell r="AT63">
            <v>549.50148850931828</v>
          </cell>
          <cell r="AU63">
            <v>7889.3791227539305</v>
          </cell>
          <cell r="AV63">
            <v>0.20445590368394745</v>
          </cell>
          <cell r="AW63">
            <v>994.23737529953019</v>
          </cell>
          <cell r="AX63">
            <v>14274.60299157454</v>
          </cell>
          <cell r="AY63">
            <v>9123.9370022474213</v>
          </cell>
          <cell r="AZ63">
            <v>16508.343229645157</v>
          </cell>
          <cell r="BA63">
            <v>7384.4062273977361</v>
          </cell>
          <cell r="BB63">
            <v>322.79161647641064</v>
          </cell>
          <cell r="BC63">
            <v>298.47432176082134</v>
          </cell>
          <cell r="BD63">
            <v>17.97602110240139</v>
          </cell>
          <cell r="BE63">
            <v>258.08782789687507</v>
          </cell>
          <cell r="BF63">
            <v>15.02144975</v>
          </cell>
          <cell r="BG63">
            <v>128.3021526535625</v>
          </cell>
          <cell r="BH63">
            <v>215.31676505933896</v>
          </cell>
          <cell r="BI63"/>
          <cell r="BJ63">
            <v>61.959642125452149</v>
          </cell>
          <cell r="BK63">
            <v>22.047582932707538</v>
          </cell>
          <cell r="BL63">
            <v>405.57855983835361</v>
          </cell>
          <cell r="BM63">
            <v>427.62614277106115</v>
          </cell>
          <cell r="BN63">
            <v>2130.3322785157211</v>
          </cell>
          <cell r="BO63">
            <v>3575.1251652811561</v>
          </cell>
          <cell r="BP63">
            <v>0</v>
          </cell>
          <cell r="BQ63">
            <v>1028.7795088017028</v>
          </cell>
          <cell r="BR63">
            <v>366.07864025183221</v>
          </cell>
          <cell r="BS63">
            <v>6734.2369525985796</v>
          </cell>
          <cell r="BT63">
            <v>7100.315592850412</v>
          </cell>
          <cell r="BU63">
            <v>-91.54012781141148</v>
          </cell>
          <cell r="BV63">
            <v>66.181158764409446</v>
          </cell>
          <cell r="BW63">
            <v>-70.545322406343558</v>
          </cell>
          <cell r="BX63">
            <v>-87.175964169477368</v>
          </cell>
          <cell r="BZ63">
            <v>9.4403541499760752</v>
          </cell>
          <cell r="CA63">
            <v>-0.10312804204757983</v>
          </cell>
          <cell r="CB63">
            <v>0.50767091606000003</v>
          </cell>
          <cell r="CC63" t="str">
            <v>—</v>
          </cell>
          <cell r="CD63" t="e">
            <v>#VALUE!</v>
          </cell>
          <cell r="CE63">
            <v>0</v>
          </cell>
          <cell r="CF63">
            <v>0</v>
          </cell>
          <cell r="CG63">
            <v>62.858643000000001</v>
          </cell>
          <cell r="CH63">
            <v>3.7857470832676361</v>
          </cell>
          <cell r="CI63">
            <v>54.353254044464329</v>
          </cell>
          <cell r="CJ63">
            <v>55.679178666666658</v>
          </cell>
          <cell r="CK63">
            <v>3.3533541001842959</v>
          </cell>
          <cell r="CL63">
            <v>48.145241427761206</v>
          </cell>
          <cell r="CM63">
            <v>26.390398333333334</v>
          </cell>
          <cell r="CN63">
            <v>1.5893975553479218</v>
          </cell>
          <cell r="CO63">
            <v>22.819519424660104</v>
          </cell>
          <cell r="CP63">
            <v>37.510412666666667</v>
          </cell>
          <cell r="CQ63">
            <v>2.2591155100977716</v>
          </cell>
          <cell r="CR63">
            <v>32.434887100315322</v>
          </cell>
          <cell r="CS63">
            <v>0.56000000000000005</v>
          </cell>
          <cell r="CT63">
            <v>0.12439043398269793</v>
          </cell>
          <cell r="CU63">
            <v>0.35976142171784115</v>
          </cell>
          <cell r="CV63">
            <v>1.2439043398269793</v>
          </cell>
          <cell r="CW63">
            <v>0</v>
          </cell>
          <cell r="CX63">
            <v>0</v>
          </cell>
          <cell r="CY63">
            <v>0</v>
          </cell>
          <cell r="CZ63">
            <v>5705.4574437968768</v>
          </cell>
        </row>
        <row r="64">
          <cell r="B64" t="str">
            <v>GUY</v>
          </cell>
          <cell r="C64" t="str">
            <v>UMIC</v>
          </cell>
          <cell r="D64" t="str">
            <v>UMIC</v>
          </cell>
          <cell r="E64" t="str">
            <v/>
          </cell>
          <cell r="F64" t="str">
            <v xml:space="preserve"> </v>
          </cell>
          <cell r="G64" t="str">
            <v/>
          </cell>
          <cell r="H64" t="e">
            <v>#REF!</v>
          </cell>
          <cell r="I64" t="str">
            <v/>
          </cell>
          <cell r="J64" t="str">
            <v/>
          </cell>
          <cell r="K64" t="b">
            <v>1</v>
          </cell>
          <cell r="M64" t="str">
            <v/>
          </cell>
          <cell r="O64" t="b">
            <v>1</v>
          </cell>
          <cell r="P64" t="str">
            <v/>
          </cell>
          <cell r="Q64" t="str">
            <v/>
          </cell>
          <cell r="R64" t="str">
            <v/>
          </cell>
          <cell r="S64" t="str">
            <v/>
          </cell>
          <cell r="T64" t="str">
            <v>YES</v>
          </cell>
          <cell r="U64" t="str">
            <v>YES</v>
          </cell>
          <cell r="V64" t="str">
            <v/>
          </cell>
          <cell r="W64" t="str">
            <v/>
          </cell>
          <cell r="X64" t="str">
            <v>YES</v>
          </cell>
          <cell r="Y64" t="str">
            <v/>
          </cell>
          <cell r="Z64" t="str">
            <v>YES</v>
          </cell>
          <cell r="AA64" t="str">
            <v/>
          </cell>
          <cell r="AB64" t="str">
            <v/>
          </cell>
          <cell r="AC64" t="str">
            <v/>
          </cell>
          <cell r="AD64" t="str">
            <v/>
          </cell>
          <cell r="AE64" t="str">
            <v>YES</v>
          </cell>
          <cell r="AF64" t="str">
            <v>YES</v>
          </cell>
          <cell r="AG64" t="b">
            <v>1</v>
          </cell>
          <cell r="AK64">
            <v>0.78276599999999996</v>
          </cell>
          <cell r="AL64">
            <v>0.82158500000000001</v>
          </cell>
          <cell r="AM64">
            <v>5180</v>
          </cell>
          <cell r="AN64">
            <v>5.6057509999999998E-2</v>
          </cell>
          <cell r="AO64">
            <v>7.7499999999999999E-3</v>
          </cell>
          <cell r="AP64">
            <v>4.3879912872659993E-2</v>
          </cell>
          <cell r="AQ64">
            <v>6.0664364999999994E-3</v>
          </cell>
          <cell r="AR64">
            <v>6.3672837500000004</v>
          </cell>
          <cell r="AS64">
            <v>0.26897068753227149</v>
          </cell>
          <cell r="AT64">
            <v>1490.0541056087218</v>
          </cell>
          <cell r="AU64">
            <v>26580.81148464714</v>
          </cell>
          <cell r="AV64">
            <v>0.32245901864190946</v>
          </cell>
          <cell r="AW64">
            <v>1786.3708087532314</v>
          </cell>
          <cell r="AX64">
            <v>31866.752710800596</v>
          </cell>
          <cell r="AY64">
            <v>1166.3636920309166</v>
          </cell>
          <cell r="AZ64">
            <v>1398.310332484532</v>
          </cell>
          <cell r="BA64">
            <v>231.94664045361537</v>
          </cell>
          <cell r="BB64">
            <v>72.614993794503604</v>
          </cell>
          <cell r="BC64">
            <v>91.52800059894372</v>
          </cell>
          <cell r="BD64">
            <v>116.92894249232047</v>
          </cell>
          <cell r="BE64">
            <v>2085.8747113869395</v>
          </cell>
          <cell r="BF64">
            <v>0.31140224999999999</v>
          </cell>
          <cell r="BG64">
            <v>179.3515623772025</v>
          </cell>
          <cell r="BH64">
            <v>218.0523431747356</v>
          </cell>
          <cell r="BI64"/>
          <cell r="BJ64">
            <v>16.711839815046012</v>
          </cell>
          <cell r="BK64">
            <v>12.956311673543034</v>
          </cell>
          <cell r="BL64">
            <v>414.11574536698413</v>
          </cell>
          <cell r="BM64">
            <v>427.07205704052717</v>
          </cell>
          <cell r="BN64">
            <v>140.39030507575328</v>
          </cell>
          <cell r="BO64">
            <v>170.68396045751507</v>
          </cell>
          <cell r="BP64">
            <v>0</v>
          </cell>
          <cell r="BQ64">
            <v>13.081460004664306</v>
          </cell>
          <cell r="BR64">
            <v>10.141760263452586</v>
          </cell>
          <cell r="BS64">
            <v>324.1557255379326</v>
          </cell>
          <cell r="BT64">
            <v>334.29748580138516</v>
          </cell>
          <cell r="BU64">
            <v>-479.06965900963155</v>
          </cell>
          <cell r="BV64">
            <v>-49.903278138249107</v>
          </cell>
          <cell r="BW64">
            <v>-177.92259937344377</v>
          </cell>
          <cell r="BX64">
            <v>-251.2437814979387</v>
          </cell>
          <cell r="BZ64">
            <v>58.663382702457518</v>
          </cell>
          <cell r="CA64">
            <v>-0.12245271976465975</v>
          </cell>
          <cell r="CB64">
            <v>0.61138786155000002</v>
          </cell>
          <cell r="CC64" t="e">
            <v>#N/A</v>
          </cell>
          <cell r="CD64" t="e">
            <v>#N/A</v>
          </cell>
          <cell r="CE64">
            <v>0</v>
          </cell>
          <cell r="CF64">
            <v>0</v>
          </cell>
          <cell r="CG64">
            <v>7.1614363333333344</v>
          </cell>
          <cell r="CH64">
            <v>9.1488852777628757</v>
          </cell>
          <cell r="CI64">
            <v>163.20534532773354</v>
          </cell>
          <cell r="CJ64">
            <v>8.992127</v>
          </cell>
          <cell r="CK64">
            <v>11.48763104171617</v>
          </cell>
          <cell r="CL64">
            <v>204.92581710668509</v>
          </cell>
          <cell r="CM64">
            <v>3.2957880000000004</v>
          </cell>
          <cell r="CN64">
            <v>4.2104383685545876</v>
          </cell>
          <cell r="CO64">
            <v>75.109264905890186</v>
          </cell>
          <cell r="CP64">
            <v>0.88158866666666669</v>
          </cell>
          <cell r="CQ64">
            <v>1.1262480315530654</v>
          </cell>
          <cell r="CR64">
            <v>20.090939314876195</v>
          </cell>
          <cell r="CS64" t="str">
            <v/>
          </cell>
          <cell r="CT64">
            <v>9.4362810852796367E-2</v>
          </cell>
          <cell r="CU64">
            <v>0.27866182230704956</v>
          </cell>
          <cell r="CV64">
            <v>0.94362810852796364</v>
          </cell>
          <cell r="CW64">
            <v>0</v>
          </cell>
          <cell r="CX64">
            <v>0</v>
          </cell>
          <cell r="CY64">
            <v>0</v>
          </cell>
          <cell r="CZ64">
            <v>311.07426553326837</v>
          </cell>
        </row>
        <row r="65">
          <cell r="B65" t="str">
            <v>HND</v>
          </cell>
          <cell r="C65" t="str">
            <v>LMIC</v>
          </cell>
          <cell r="D65" t="str">
            <v>LLMIC</v>
          </cell>
          <cell r="E65" t="str">
            <v>LMIC_nonLDC</v>
          </cell>
          <cell r="F65" t="str">
            <v xml:space="preserve"> </v>
          </cell>
          <cell r="G65" t="str">
            <v/>
          </cell>
          <cell r="H65" t="e">
            <v>#REF!</v>
          </cell>
          <cell r="I65" t="str">
            <v/>
          </cell>
          <cell r="J65" t="str">
            <v/>
          </cell>
          <cell r="K65" t="b">
            <v>1</v>
          </cell>
          <cell r="M65" t="b">
            <v>1</v>
          </cell>
          <cell r="P65" t="str">
            <v/>
          </cell>
          <cell r="Q65" t="str">
            <v/>
          </cell>
          <cell r="R65" t="str">
            <v>YES</v>
          </cell>
          <cell r="S65" t="str">
            <v/>
          </cell>
          <cell r="T65" t="str">
            <v>YES</v>
          </cell>
          <cell r="U65" t="str">
            <v/>
          </cell>
          <cell r="V65" t="str">
            <v>YES</v>
          </cell>
          <cell r="W65" t="str">
            <v/>
          </cell>
          <cell r="X65" t="str">
            <v/>
          </cell>
          <cell r="Y65" t="str">
            <v/>
          </cell>
          <cell r="Z65" t="str">
            <v/>
          </cell>
          <cell r="AA65" t="str">
            <v/>
          </cell>
          <cell r="AB65" t="str">
            <v/>
          </cell>
          <cell r="AC65" t="str">
            <v/>
          </cell>
          <cell r="AD65" t="str">
            <v/>
          </cell>
          <cell r="AE65" t="str">
            <v/>
          </cell>
          <cell r="AF65" t="str">
            <v/>
          </cell>
          <cell r="AG65" t="str">
            <v/>
          </cell>
          <cell r="AK65">
            <v>9.7461169999999999</v>
          </cell>
          <cell r="AL65">
            <v>11.449249999999999</v>
          </cell>
          <cell r="AM65">
            <v>2390</v>
          </cell>
          <cell r="AN65">
            <v>0.1653414</v>
          </cell>
          <cell r="AO65">
            <v>0.15625</v>
          </cell>
          <cell r="AP65">
            <v>1.6114366293438001</v>
          </cell>
          <cell r="AQ65">
            <v>1.5228307812499999</v>
          </cell>
          <cell r="AR65">
            <v>1788.9453125</v>
          </cell>
          <cell r="AS65">
            <v>0.3080170450107052</v>
          </cell>
          <cell r="AT65">
            <v>804.11219436780721</v>
          </cell>
          <cell r="AU65">
            <v>4863.3445366242649</v>
          </cell>
          <cell r="AV65">
            <v>0.41140416537829172</v>
          </cell>
          <cell r="AW65">
            <v>1074.0155830755953</v>
          </cell>
          <cell r="AX65">
            <v>6495.7450649117236</v>
          </cell>
          <cell r="AY65">
            <v>7836.9715274353903</v>
          </cell>
          <cell r="AZ65">
            <v>10467.48153247797</v>
          </cell>
          <cell r="BA65">
            <v>2630.5100050425799</v>
          </cell>
          <cell r="BB65">
            <v>483.96358603312774</v>
          </cell>
          <cell r="BC65">
            <v>508.067979509439</v>
          </cell>
          <cell r="BD65">
            <v>52.13029758512431</v>
          </cell>
          <cell r="BE65">
            <v>315.28883622083947</v>
          </cell>
          <cell r="BF65">
            <v>10.410138249999999</v>
          </cell>
          <cell r="BG65">
            <v>130.33955560970227</v>
          </cell>
          <cell r="BH65">
            <v>204.35392402150501</v>
          </cell>
          <cell r="BI65"/>
          <cell r="BJ65">
            <v>86.199278269239372</v>
          </cell>
          <cell r="BK65">
            <v>32.206760299335983</v>
          </cell>
          <cell r="BL65">
            <v>420.89275790044667</v>
          </cell>
          <cell r="BM65">
            <v>453.09951819978266</v>
          </cell>
          <cell r="BN65">
            <v>1270.3045587001648</v>
          </cell>
          <cell r="BO65">
            <v>1991.6572529226983</v>
          </cell>
          <cell r="BP65">
            <v>0</v>
          </cell>
          <cell r="BQ65">
            <v>840.1082513275644</v>
          </cell>
          <cell r="BR65">
            <v>313.89085406828349</v>
          </cell>
          <cell r="BS65">
            <v>4102.0700629504272</v>
          </cell>
          <cell r="BT65">
            <v>4415.9609170187105</v>
          </cell>
          <cell r="BU65">
            <v>-116.11503363735096</v>
          </cell>
          <cell r="BV65">
            <v>43.25158656016572</v>
          </cell>
          <cell r="BW65">
            <v>-84.463561005416778</v>
          </cell>
          <cell r="BX65">
            <v>-74.903059192099917</v>
          </cell>
          <cell r="BZ65">
            <v>26.599214731335515</v>
          </cell>
          <cell r="CA65">
            <v>-0.22907640723258846</v>
          </cell>
          <cell r="CB65">
            <v>0.57128001989999999</v>
          </cell>
          <cell r="CC65" t="str">
            <v>—</v>
          </cell>
          <cell r="CE65">
            <v>0</v>
          </cell>
          <cell r="CF65">
            <v>0</v>
          </cell>
          <cell r="CG65">
            <v>43.665134666666667</v>
          </cell>
          <cell r="CH65">
            <v>4.4802596425496093</v>
          </cell>
          <cell r="CI65">
            <v>27.097022539724531</v>
          </cell>
          <cell r="CJ65">
            <v>51.395916</v>
          </cell>
          <cell r="CK65">
            <v>5.2734761956992715</v>
          </cell>
          <cell r="CL65">
            <v>31.894469235770785</v>
          </cell>
          <cell r="CM65">
            <v>14.873587333333335</v>
          </cell>
          <cell r="CN65">
            <v>1.5261039174199669</v>
          </cell>
          <cell r="CO65">
            <v>9.2300169069571627</v>
          </cell>
          <cell r="CP65">
            <v>83.747724333333338</v>
          </cell>
          <cell r="CQ65">
            <v>8.5929323784368012</v>
          </cell>
          <cell r="CR65">
            <v>51.970845646866429</v>
          </cell>
          <cell r="CS65">
            <v>0.5</v>
          </cell>
          <cell r="CT65">
            <v>0.10435099434985236</v>
          </cell>
          <cell r="CU65">
            <v>0.31085610813003789</v>
          </cell>
          <cell r="CV65">
            <v>1.0435099434985236</v>
          </cell>
          <cell r="CW65">
            <v>0</v>
          </cell>
          <cell r="CX65">
            <v>0</v>
          </cell>
          <cell r="CY65">
            <v>0</v>
          </cell>
          <cell r="CZ65">
            <v>3261.9618116228635</v>
          </cell>
        </row>
        <row r="66">
          <cell r="B66" t="str">
            <v>HRV</v>
          </cell>
          <cell r="C66" t="str">
            <v>HIC</v>
          </cell>
          <cell r="D66" t="str">
            <v>HIC</v>
          </cell>
          <cell r="E66" t="str">
            <v/>
          </cell>
          <cell r="F66" t="str">
            <v xml:space="preserve"> </v>
          </cell>
          <cell r="G66" t="str">
            <v/>
          </cell>
          <cell r="H66" t="e">
            <v>#REF!</v>
          </cell>
          <cell r="I66" t="str">
            <v/>
          </cell>
          <cell r="J66" t="str">
            <v/>
          </cell>
          <cell r="K66" t="str">
            <v/>
          </cell>
          <cell r="M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b">
            <v>1</v>
          </cell>
          <cell r="AK66">
            <v>4.0674999999999999</v>
          </cell>
          <cell r="AL66">
            <v>3.8772669999999998</v>
          </cell>
          <cell r="AM66">
            <v>14910</v>
          </cell>
          <cell r="AN66">
            <v>5.2976350000000002E-3</v>
          </cell>
          <cell r="AO66">
            <v>5.0000000000000001E-3</v>
          </cell>
          <cell r="AP66">
            <v>2.1548130362500001E-2</v>
          </cell>
          <cell r="AQ66">
            <v>2.0337500000000001E-2</v>
          </cell>
          <cell r="AR66">
            <v>19.386334999999999</v>
          </cell>
          <cell r="AS66">
            <v>0.38526976399396673</v>
          </cell>
          <cell r="AT66">
            <v>5945.6373569446969</v>
          </cell>
          <cell r="AU66">
            <v>1122319.1776981042</v>
          </cell>
          <cell r="AV66">
            <v>0.4240331022117646</v>
          </cell>
          <cell r="AW66">
            <v>6543.8487229195007</v>
          </cell>
          <cell r="AX66">
            <v>1235239.6348407357</v>
          </cell>
          <cell r="AY66">
            <v>24183.879949372556</v>
          </cell>
          <cell r="AZ66">
            <v>26617.104680475073</v>
          </cell>
          <cell r="BA66">
            <v>2433.2247311025167</v>
          </cell>
          <cell r="BB66">
            <v>0</v>
          </cell>
          <cell r="BC66">
            <v>0</v>
          </cell>
          <cell r="BD66">
            <v>0</v>
          </cell>
          <cell r="BE66">
            <v>0</v>
          </cell>
          <cell r="BF66">
            <v>0</v>
          </cell>
          <cell r="BG66">
            <v>617.2960260684049</v>
          </cell>
          <cell r="BH66">
            <v>513.84560733143417</v>
          </cell>
          <cell r="BI66"/>
          <cell r="BJ66">
            <v>70.482560508210824</v>
          </cell>
          <cell r="BK66">
            <v>5.3931332958814311</v>
          </cell>
          <cell r="BL66">
            <v>1201.6241939080498</v>
          </cell>
          <cell r="BM66">
            <v>1207.0173272039312</v>
          </cell>
          <cell r="BN66">
            <v>2510.8515860332368</v>
          </cell>
          <cell r="BO66">
            <v>2090.0670078206085</v>
          </cell>
          <cell r="BP66">
            <v>0</v>
          </cell>
          <cell r="BQ66">
            <v>286.68781486714749</v>
          </cell>
          <cell r="BR66">
            <v>21.936569680997721</v>
          </cell>
          <cell r="BS66">
            <v>4887.6064087209925</v>
          </cell>
          <cell r="BT66">
            <v>4909.5429784019898</v>
          </cell>
          <cell r="BU66">
            <v>-2070.3001675517007</v>
          </cell>
          <cell r="BV66">
            <v>-467.73170110649085</v>
          </cell>
          <cell r="BW66">
            <v>-691.47371851549542</v>
          </cell>
          <cell r="BX66">
            <v>-911.09474792971423</v>
          </cell>
          <cell r="BZ66">
            <v>0</v>
          </cell>
          <cell r="CA66">
            <v>0</v>
          </cell>
          <cell r="CB66">
            <v>500.0963747796996</v>
          </cell>
          <cell r="CC66" t="str">
            <v>—</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0.19</v>
          </cell>
          <cell r="CT66">
            <v>4.5273755377996314E-2</v>
          </cell>
          <cell r="CU66">
            <v>0.14676582667486171</v>
          </cell>
          <cell r="CV66">
            <v>0.45273755377996316</v>
          </cell>
          <cell r="CW66">
            <v>0</v>
          </cell>
          <cell r="CX66">
            <v>0</v>
          </cell>
          <cell r="CY66">
            <v>0</v>
          </cell>
          <cell r="CZ66">
            <v>4600.9185938538449</v>
          </cell>
        </row>
        <row r="67">
          <cell r="B67" t="str">
            <v>HTI</v>
          </cell>
          <cell r="C67" t="str">
            <v>LIC</v>
          </cell>
          <cell r="D67" t="str">
            <v>OLIC</v>
          </cell>
          <cell r="E67" t="str">
            <v>OLIC_LDC</v>
          </cell>
          <cell r="F67" t="b">
            <v>1</v>
          </cell>
          <cell r="G67" t="b">
            <v>1</v>
          </cell>
          <cell r="H67" t="e">
            <v>#REF!</v>
          </cell>
          <cell r="I67" t="str">
            <v/>
          </cell>
          <cell r="J67" t="str">
            <v/>
          </cell>
          <cell r="K67" t="str">
            <v/>
          </cell>
          <cell r="M67" t="b">
            <v>1</v>
          </cell>
          <cell r="N67" t="b">
            <v>1</v>
          </cell>
          <cell r="P67" t="str">
            <v/>
          </cell>
          <cell r="Q67" t="b">
            <v>1</v>
          </cell>
          <cell r="R67" t="str">
            <v>YES</v>
          </cell>
          <cell r="S67" t="str">
            <v>YES</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K67">
            <v>11.263076999999999</v>
          </cell>
          <cell r="AL67">
            <v>12.733229999999999</v>
          </cell>
          <cell r="AM67">
            <v>790</v>
          </cell>
          <cell r="AN67">
            <v>0.25347729999999996</v>
          </cell>
          <cell r="AO67">
            <v>0.26500000000000001</v>
          </cell>
          <cell r="AP67">
            <v>2.8549343476520992</v>
          </cell>
          <cell r="AQ67">
            <v>2.9847154049999998</v>
          </cell>
          <cell r="AR67">
            <v>3374.3059499999999</v>
          </cell>
          <cell r="AS67">
            <v>0.1299228113935891</v>
          </cell>
          <cell r="AT67">
            <v>103.68349914264489</v>
          </cell>
          <cell r="AU67">
            <v>409.04451460799413</v>
          </cell>
          <cell r="AV67">
            <v>0.1572015454355809</v>
          </cell>
          <cell r="AW67">
            <v>125.45299879645901</v>
          </cell>
          <cell r="AX67">
            <v>494.92794343500987</v>
          </cell>
          <cell r="AY67">
            <v>1167.7952344730431</v>
          </cell>
          <cell r="AZ67">
            <v>1412.986785325425</v>
          </cell>
          <cell r="BA67">
            <v>245.19155085238185</v>
          </cell>
          <cell r="BB67">
            <v>813.32980520533738</v>
          </cell>
          <cell r="BC67">
            <v>768.77798780798969</v>
          </cell>
          <cell r="BD67">
            <v>68.256479806361057</v>
          </cell>
          <cell r="BE67">
            <v>269.28044367823497</v>
          </cell>
          <cell r="BF67">
            <v>119.28224400000001</v>
          </cell>
          <cell r="BG67">
            <v>65.860950086537088</v>
          </cell>
          <cell r="BH67">
            <v>108.71496377351119</v>
          </cell>
          <cell r="BI67"/>
          <cell r="BJ67">
            <v>66.659804275357573</v>
          </cell>
          <cell r="BK67">
            <v>15.190886346360703</v>
          </cell>
          <cell r="BL67">
            <v>241.23571813540585</v>
          </cell>
          <cell r="BM67">
            <v>256.42660448176656</v>
          </cell>
          <cell r="BN67">
            <v>741.79695211782382</v>
          </cell>
          <cell r="BO67">
            <v>1224.4650080332669</v>
          </cell>
          <cell r="BP67">
            <v>0</v>
          </cell>
          <cell r="BQ67">
            <v>750.79450835828152</v>
          </cell>
          <cell r="BR67">
            <v>171.09612261730925</v>
          </cell>
          <cell r="BS67">
            <v>2717.0564685093723</v>
          </cell>
          <cell r="BT67">
            <v>2888.1525911266817</v>
          </cell>
          <cell r="BU67">
            <v>178.50921873717635</v>
          </cell>
          <cell r="BV67">
            <v>89.897013954042336</v>
          </cell>
          <cell r="BW67">
            <v>40.770350327245282</v>
          </cell>
          <cell r="BX67">
            <v>47.841854455888722</v>
          </cell>
          <cell r="BZ67">
            <v>39.423517738890972</v>
          </cell>
          <cell r="CA67">
            <v>0.22084863749773739</v>
          </cell>
          <cell r="CB67">
            <v>0.51695000431000004</v>
          </cell>
          <cell r="CC67">
            <v>1399173</v>
          </cell>
          <cell r="CD67">
            <v>0.49008937846528111</v>
          </cell>
          <cell r="CE67">
            <v>2010.5630758466598</v>
          </cell>
          <cell r="CF67">
            <v>406.66490260266869</v>
          </cell>
          <cell r="CG67">
            <v>93.992519333333334</v>
          </cell>
          <cell r="CH67">
            <v>8.3451901583673216</v>
          </cell>
          <cell r="CI67">
            <v>32.922830400857684</v>
          </cell>
          <cell r="CJ67">
            <v>252.87486833333332</v>
          </cell>
          <cell r="CK67">
            <v>22.451668254894585</v>
          </cell>
          <cell r="CL67">
            <v>88.574670216601604</v>
          </cell>
          <cell r="CM67">
            <v>30.053733999999999</v>
          </cell>
          <cell r="CN67">
            <v>2.6683413422459954</v>
          </cell>
          <cell r="CO67">
            <v>10.526943999506054</v>
          </cell>
          <cell r="CP67">
            <v>81.103377999999992</v>
          </cell>
          <cell r="CQ67">
            <v>7.2008189236387175</v>
          </cell>
          <cell r="CR67">
            <v>28.408141177291689</v>
          </cell>
          <cell r="CS67">
            <v>0.48</v>
          </cell>
          <cell r="CT67">
            <v>0.11213125862497433</v>
          </cell>
          <cell r="CU67">
            <v>0.32875989394372429</v>
          </cell>
          <cell r="CV67">
            <v>1.1213125862497433</v>
          </cell>
          <cell r="CW67">
            <v>1475.1658058012567</v>
          </cell>
          <cell r="CX67">
            <v>130.97360568530758</v>
          </cell>
          <cell r="CY67">
            <v>516.70743567691306</v>
          </cell>
          <cell r="CZ67">
            <v>1966.2619601510908</v>
          </cell>
        </row>
        <row r="68">
          <cell r="B68" t="str">
            <v>IDN</v>
          </cell>
          <cell r="C68" t="str">
            <v>UMIC</v>
          </cell>
          <cell r="D68" t="str">
            <v>UMIC</v>
          </cell>
          <cell r="E68" t="str">
            <v/>
          </cell>
          <cell r="F68" t="str">
            <v xml:space="preserve"> </v>
          </cell>
          <cell r="G68" t="str">
            <v/>
          </cell>
          <cell r="H68" t="e">
            <v>#REF!</v>
          </cell>
          <cell r="I68" t="str">
            <v/>
          </cell>
          <cell r="J68" t="str">
            <v/>
          </cell>
          <cell r="K68" t="b">
            <v>1</v>
          </cell>
          <cell r="M68" t="str">
            <v/>
          </cell>
          <cell r="P68" t="str">
            <v/>
          </cell>
          <cell r="Q68" t="str">
            <v/>
          </cell>
          <cell r="R68" t="str">
            <v>YES</v>
          </cell>
          <cell r="S68" t="str">
            <v/>
          </cell>
          <cell r="T68" t="str">
            <v>YES</v>
          </cell>
          <cell r="U68" t="str">
            <v/>
          </cell>
          <cell r="V68" t="str">
            <v>YES</v>
          </cell>
          <cell r="W68" t="str">
            <v/>
          </cell>
          <cell r="X68" t="str">
            <v/>
          </cell>
          <cell r="Y68" t="str">
            <v/>
          </cell>
          <cell r="Z68" t="str">
            <v/>
          </cell>
          <cell r="AA68" t="str">
            <v/>
          </cell>
          <cell r="AB68" t="str">
            <v/>
          </cell>
          <cell r="AC68" t="str">
            <v/>
          </cell>
          <cell r="AD68" t="str">
            <v/>
          </cell>
          <cell r="AE68" t="str">
            <v/>
          </cell>
          <cell r="AF68" t="str">
            <v/>
          </cell>
          <cell r="AG68" t="b">
            <v>1</v>
          </cell>
          <cell r="AK68">
            <v>270.62556799999999</v>
          </cell>
          <cell r="AL68">
            <v>299.19840000000005</v>
          </cell>
          <cell r="AM68">
            <v>4050</v>
          </cell>
          <cell r="AN68">
            <v>4.6388619999999998E-2</v>
          </cell>
          <cell r="AO68">
            <v>9.4999999999999998E-3</v>
          </cell>
          <cell r="AP68">
            <v>12.553946636236159</v>
          </cell>
          <cell r="AQ68">
            <v>2.570942896</v>
          </cell>
          <cell r="AR68">
            <v>2842.3847999999998</v>
          </cell>
          <cell r="AS68">
            <v>0.13004123106485579</v>
          </cell>
          <cell r="AT68">
            <v>549.96955624271573</v>
          </cell>
          <cell r="AU68">
            <v>11855.69987300152</v>
          </cell>
          <cell r="AV68">
            <v>0.2</v>
          </cell>
          <cell r="AW68">
            <v>845.83874166559997</v>
          </cell>
          <cell r="AX68">
            <v>18233.755211204818</v>
          </cell>
          <cell r="AY68">
            <v>148835.82354089289</v>
          </cell>
          <cell r="AZ68">
            <v>228905.58989965823</v>
          </cell>
          <cell r="BA68">
            <v>80069.766358765337</v>
          </cell>
          <cell r="BB68">
            <v>2111.9196466824937</v>
          </cell>
          <cell r="BC68">
            <v>2415.7109238118765</v>
          </cell>
          <cell r="BD68">
            <v>8.9263957639504206</v>
          </cell>
          <cell r="BE68">
            <v>192.42641328736275</v>
          </cell>
          <cell r="BF68">
            <v>42.281141250000005</v>
          </cell>
          <cell r="BG68">
            <v>132.91467333930237</v>
          </cell>
          <cell r="BH68">
            <v>168.60007725706089</v>
          </cell>
          <cell r="BI68"/>
          <cell r="BJ68">
            <v>15.942071521866833</v>
          </cell>
          <cell r="BK68">
            <v>13.223412332327673</v>
          </cell>
          <cell r="BL68">
            <v>317.45682211823004</v>
          </cell>
          <cell r="BM68">
            <v>330.68023445055769</v>
          </cell>
          <cell r="BN68">
            <v>35970.108967983157</v>
          </cell>
          <cell r="BO68">
            <v>45627.49167253598</v>
          </cell>
          <cell r="BP68">
            <v>0</v>
          </cell>
          <cell r="BQ68">
            <v>4314.3321607018361</v>
          </cell>
          <cell r="BR68">
            <v>3578.5934733343811</v>
          </cell>
          <cell r="BS68">
            <v>85911.932801220973</v>
          </cell>
          <cell r="BT68">
            <v>89490.526274555348</v>
          </cell>
          <cell r="BU68">
            <v>-105.46254871456995</v>
          </cell>
          <cell r="BV68">
            <v>41.724266007220905</v>
          </cell>
          <cell r="BW68">
            <v>-36.253074993817648</v>
          </cell>
          <cell r="BX68">
            <v>-110.93373972797315</v>
          </cell>
          <cell r="BZ68">
            <v>4.5413153000049808</v>
          </cell>
          <cell r="CA68">
            <v>-4.3060928788055973E-2</v>
          </cell>
          <cell r="CB68">
            <v>0.44822837101000007</v>
          </cell>
          <cell r="CC68">
            <v>92400000</v>
          </cell>
          <cell r="CE68">
            <v>0</v>
          </cell>
          <cell r="CF68">
            <v>0</v>
          </cell>
          <cell r="CG68">
            <v>189.20471766666665</v>
          </cell>
          <cell r="CH68">
            <v>0.69913836695085163</v>
          </cell>
          <cell r="CI68">
            <v>15.071333593257391</v>
          </cell>
          <cell r="CJ68">
            <v>284.63548999999995</v>
          </cell>
          <cell r="CK68">
            <v>1.0517686562416746</v>
          </cell>
          <cell r="CL68">
            <v>22.67298868217409</v>
          </cell>
          <cell r="CM68">
            <v>22.462188333333334</v>
          </cell>
          <cell r="CN68">
            <v>8.3000983607481371E-2</v>
          </cell>
          <cell r="CO68">
            <v>1.7892531316405051</v>
          </cell>
          <cell r="CP68">
            <v>26.348700333333333</v>
          </cell>
          <cell r="CQ68">
            <v>9.7362198731101912E-2</v>
          </cell>
          <cell r="CR68">
            <v>2.0988380066296846</v>
          </cell>
          <cell r="CS68">
            <v>0.41</v>
          </cell>
          <cell r="CT68">
            <v>8.7420771713632023E-2</v>
          </cell>
          <cell r="CU68">
            <v>0.26213748214655014</v>
          </cell>
          <cell r="CV68">
            <v>0.87420771713632028</v>
          </cell>
          <cell r="CW68">
            <v>0</v>
          </cell>
          <cell r="CX68">
            <v>0</v>
          </cell>
          <cell r="CY68">
            <v>0</v>
          </cell>
          <cell r="CZ68">
            <v>81597.600640519129</v>
          </cell>
        </row>
        <row r="69">
          <cell r="B69" t="str">
            <v>IND</v>
          </cell>
          <cell r="C69" t="str">
            <v>LMIC</v>
          </cell>
          <cell r="D69" t="str">
            <v>LLMIC</v>
          </cell>
          <cell r="E69" t="str">
            <v>LMIC_nonLDC</v>
          </cell>
          <cell r="F69" t="str">
            <v xml:space="preserve"> </v>
          </cell>
          <cell r="G69" t="str">
            <v/>
          </cell>
          <cell r="H69" t="e">
            <v>#REF!</v>
          </cell>
          <cell r="I69" t="str">
            <v/>
          </cell>
          <cell r="J69" t="str">
            <v/>
          </cell>
          <cell r="K69" t="b">
            <v>1</v>
          </cell>
          <cell r="M69" t="str">
            <v/>
          </cell>
          <cell r="P69" t="str">
            <v/>
          </cell>
          <cell r="Q69" t="str">
            <v/>
          </cell>
          <cell r="R69" t="str">
            <v>YES</v>
          </cell>
          <cell r="S69" t="str">
            <v/>
          </cell>
          <cell r="T69" t="str">
            <v>YES</v>
          </cell>
          <cell r="U69" t="str">
            <v/>
          </cell>
          <cell r="V69" t="str">
            <v>YES</v>
          </cell>
          <cell r="W69" t="str">
            <v/>
          </cell>
          <cell r="X69" t="str">
            <v>YES</v>
          </cell>
          <cell r="Y69" t="str">
            <v/>
          </cell>
          <cell r="Z69" t="str">
            <v>YES</v>
          </cell>
          <cell r="AA69" t="str">
            <v/>
          </cell>
          <cell r="AB69" t="str">
            <v/>
          </cell>
          <cell r="AC69" t="str">
            <v/>
          </cell>
          <cell r="AD69" t="str">
            <v>YES</v>
          </cell>
          <cell r="AE69" t="str">
            <v>YES</v>
          </cell>
          <cell r="AF69" t="str">
            <v/>
          </cell>
          <cell r="AG69" t="str">
            <v/>
          </cell>
          <cell r="AK69">
            <v>1366.4177540000001</v>
          </cell>
          <cell r="AL69">
            <v>1503.6420000000001</v>
          </cell>
          <cell r="AM69">
            <v>2130</v>
          </cell>
          <cell r="AN69">
            <v>5.5999999999999994E-2</v>
          </cell>
          <cell r="AO69">
            <v>8.2500000000000004E-3</v>
          </cell>
          <cell r="AP69">
            <v>76.519394223999996</v>
          </cell>
          <cell r="AQ69">
            <v>11.272946470500001</v>
          </cell>
          <cell r="AR69">
            <v>12405.0465</v>
          </cell>
          <cell r="AS69">
            <v>0.19729834956262307</v>
          </cell>
          <cell r="AT69">
            <v>430.74384027997252</v>
          </cell>
          <cell r="AU69">
            <v>7691.8542907137953</v>
          </cell>
          <cell r="AV69">
            <v>0.25204656920866819</v>
          </cell>
          <cell r="AW69">
            <v>550.27073156470556</v>
          </cell>
          <cell r="AX69">
            <v>9826.2630636554568</v>
          </cell>
          <cell r="AY69">
            <v>588576.03078469483</v>
          </cell>
          <cell r="AZ69">
            <v>751899.69711658196</v>
          </cell>
          <cell r="BA69">
            <v>163323.66633188713</v>
          </cell>
          <cell r="BB69">
            <v>5055.3160745335927</v>
          </cell>
          <cell r="BC69">
            <v>4982.0263344656332</v>
          </cell>
          <cell r="BD69">
            <v>3.6460491821636802</v>
          </cell>
          <cell r="BE69">
            <v>65.108021110065721</v>
          </cell>
          <cell r="BF69">
            <v>89.221597000000003</v>
          </cell>
          <cell r="BG69">
            <v>132.44170436003691</v>
          </cell>
          <cell r="BH69">
            <v>75.13318280576955</v>
          </cell>
          <cell r="BI69"/>
          <cell r="BJ69">
            <v>10.823338480823235</v>
          </cell>
          <cell r="BK69">
            <v>10.673203438345636</v>
          </cell>
          <cell r="BL69">
            <v>218.39822564662967</v>
          </cell>
          <cell r="BM69">
            <v>229.07142908497531</v>
          </cell>
          <cell r="BN69">
            <v>180970.69620757364</v>
          </cell>
          <cell r="BO69">
            <v>102663.31490033105</v>
          </cell>
          <cell r="BP69">
            <v>0</v>
          </cell>
          <cell r="BQ69">
            <v>14789.201857748258</v>
          </cell>
          <cell r="BR69">
            <v>14584.054670209322</v>
          </cell>
          <cell r="BS69">
            <v>298423.21296565299</v>
          </cell>
          <cell r="BT69">
            <v>313007.26763586228</v>
          </cell>
          <cell r="BU69">
            <v>-56.737140135723109</v>
          </cell>
          <cell r="BV69">
            <v>-7.4074269289362746</v>
          </cell>
          <cell r="BW69">
            <v>22.387558047095794</v>
          </cell>
          <cell r="BX69">
            <v>-71.717271253882586</v>
          </cell>
          <cell r="BZ69">
            <v>1.8556725849837108</v>
          </cell>
          <cell r="CA69">
            <v>-3.2706487858652808E-2</v>
          </cell>
          <cell r="CB69">
            <v>0.34367212443000006</v>
          </cell>
          <cell r="CC69" t="str">
            <v xml:space="preserve"> — </v>
          </cell>
          <cell r="CD69" t="e">
            <v>#VALUE!</v>
          </cell>
          <cell r="CE69">
            <v>0</v>
          </cell>
          <cell r="CF69">
            <v>0</v>
          </cell>
          <cell r="CG69">
            <v>518.31335833333333</v>
          </cell>
          <cell r="CH69">
            <v>0.37932276334674536</v>
          </cell>
          <cell r="CI69">
            <v>6.7736207740490251</v>
          </cell>
          <cell r="CJ69">
            <v>482.87304599999999</v>
          </cell>
          <cell r="CK69">
            <v>0.3533861036176203</v>
          </cell>
          <cell r="CL69">
            <v>6.3104661360289347</v>
          </cell>
          <cell r="CM69">
            <v>2.7310896666666662</v>
          </cell>
          <cell r="CN69">
            <v>1.9987223224169743E-3</v>
          </cell>
          <cell r="CO69">
            <v>3.5691470043160256E-2</v>
          </cell>
          <cell r="CP69">
            <v>96.592764666666667</v>
          </cell>
          <cell r="CQ69">
            <v>7.0690507631289645E-2</v>
          </cell>
          <cell r="CR69">
            <v>1.2623304934158865</v>
          </cell>
          <cell r="CS69">
            <v>0.46</v>
          </cell>
          <cell r="CT69">
            <v>8.5537169476795308E-2</v>
          </cell>
          <cell r="CU69">
            <v>0.26420732967144978</v>
          </cell>
          <cell r="CV69">
            <v>0.85537169476795305</v>
          </cell>
          <cell r="CW69">
            <v>0</v>
          </cell>
          <cell r="CX69">
            <v>0</v>
          </cell>
          <cell r="CY69">
            <v>0</v>
          </cell>
          <cell r="CZ69">
            <v>283634.01110790466</v>
          </cell>
        </row>
        <row r="70">
          <cell r="B70" t="str">
            <v>IRN</v>
          </cell>
          <cell r="C70" t="str">
            <v>UMIC</v>
          </cell>
          <cell r="D70" t="str">
            <v>UMIC</v>
          </cell>
          <cell r="E70" t="str">
            <v/>
          </cell>
          <cell r="F70" t="str">
            <v xml:space="preserve"> </v>
          </cell>
          <cell r="G70" t="str">
            <v/>
          </cell>
          <cell r="H70" t="e">
            <v>#REF!</v>
          </cell>
          <cell r="I70" t="str">
            <v/>
          </cell>
          <cell r="J70" t="str">
            <v/>
          </cell>
          <cell r="K70" t="b">
            <v>1</v>
          </cell>
          <cell r="M70" t="b">
            <v>1</v>
          </cell>
          <cell r="N70" t="b">
            <v>1</v>
          </cell>
          <cell r="O70" t="b">
            <v>1</v>
          </cell>
          <cell r="P70" t="str">
            <v/>
          </cell>
          <cell r="Q70" t="str">
            <v/>
          </cell>
          <cell r="R70" t="str">
            <v>YES</v>
          </cell>
          <cell r="S70" t="str">
            <v/>
          </cell>
          <cell r="T70" t="str">
            <v>YES</v>
          </cell>
          <cell r="U70" t="str">
            <v/>
          </cell>
          <cell r="V70" t="str">
            <v>YES</v>
          </cell>
          <cell r="W70" t="str">
            <v/>
          </cell>
          <cell r="X70" t="str">
            <v/>
          </cell>
          <cell r="Y70" t="str">
            <v/>
          </cell>
          <cell r="Z70" t="str">
            <v/>
          </cell>
          <cell r="AA70" t="str">
            <v/>
          </cell>
          <cell r="AB70" t="str">
            <v/>
          </cell>
          <cell r="AC70" t="str">
            <v/>
          </cell>
          <cell r="AD70" t="str">
            <v/>
          </cell>
          <cell r="AE70" t="str">
            <v/>
          </cell>
          <cell r="AF70" t="str">
            <v/>
          </cell>
          <cell r="AG70" t="b">
            <v>1</v>
          </cell>
          <cell r="AK70">
            <v>82.913905999999997</v>
          </cell>
          <cell r="AL70">
            <v>92.663699999999992</v>
          </cell>
          <cell r="AM70">
            <v>5520.3107893238202</v>
          </cell>
          <cell r="AN70">
            <v>3.3707559999999999E-3</v>
          </cell>
          <cell r="AO70">
            <v>6.7500000000000008E-3</v>
          </cell>
          <cell r="AP70">
            <v>0.27948254613293599</v>
          </cell>
          <cell r="AQ70">
            <v>0.55966886550000006</v>
          </cell>
          <cell r="AR70">
            <v>625.47997500000008</v>
          </cell>
          <cell r="AS70">
            <v>0.158</v>
          </cell>
          <cell r="AT70">
            <v>1252.2480645571277</v>
          </cell>
          <cell r="AU70">
            <v>371503.62249807693</v>
          </cell>
          <cell r="AV70">
            <v>0.23025988499429095</v>
          </cell>
          <cell r="AW70">
            <v>1824.9525020838457</v>
          </cell>
          <cell r="AX70">
            <v>541407.47716056742</v>
          </cell>
          <cell r="AY70">
            <v>103828.7783133716</v>
          </cell>
          <cell r="AZ70">
            <v>151313.94021224481</v>
          </cell>
          <cell r="BA70">
            <v>47485.161898873208</v>
          </cell>
          <cell r="BB70">
            <v>48.630293780844504</v>
          </cell>
          <cell r="BC70">
            <v>51.917557165413804</v>
          </cell>
          <cell r="BD70">
            <v>0.62616224069113091</v>
          </cell>
          <cell r="BE70">
            <v>185.76314651405528</v>
          </cell>
          <cell r="BF70">
            <v>25.148433750000002</v>
          </cell>
          <cell r="BG70">
            <v>317.02482647015893</v>
          </cell>
          <cell r="BH70">
            <v>402.86674538948535</v>
          </cell>
          <cell r="BI70"/>
          <cell r="BJ70">
            <v>15.996845156683962</v>
          </cell>
          <cell r="BK70">
            <v>20.157089136005578</v>
          </cell>
          <cell r="BL70">
            <v>735.88841701632828</v>
          </cell>
          <cell r="BM70">
            <v>756.04550615233381</v>
          </cell>
          <cell r="BN70">
            <v>26285.76666161307</v>
          </cell>
          <cell r="BO70">
            <v>33403.255457749721</v>
          </cell>
          <cell r="BP70">
            <v>0</v>
          </cell>
          <cell r="BQ70">
            <v>1326.3609156178493</v>
          </cell>
          <cell r="BR70">
            <v>1671.3029938563875</v>
          </cell>
          <cell r="BS70">
            <v>61015.383034980645</v>
          </cell>
          <cell r="BT70">
            <v>62686.68602883703</v>
          </cell>
          <cell r="BU70">
            <v>-176.58783402559459</v>
          </cell>
          <cell r="BV70">
            <v>129.12387007690847</v>
          </cell>
          <cell r="BW70">
            <v>-47.965673946610252</v>
          </cell>
          <cell r="BX70">
            <v>-257.74603015589292</v>
          </cell>
          <cell r="BZ70">
            <v>0.46473501631568176</v>
          </cell>
          <cell r="CA70">
            <v>-2.631749910066416E-3</v>
          </cell>
          <cell r="CB70">
            <v>0.46311210192000007</v>
          </cell>
          <cell r="CC70" t="str">
            <v>—</v>
          </cell>
          <cell r="CE70">
            <v>0</v>
          </cell>
          <cell r="CF70">
            <v>0</v>
          </cell>
          <cell r="CG70">
            <v>89.866562999999999</v>
          </cell>
          <cell r="CH70">
            <v>1.0838539315708997</v>
          </cell>
          <cell r="CI70">
            <v>321.54624409803017</v>
          </cell>
          <cell r="CJ70">
            <v>8.4608646666666676</v>
          </cell>
          <cell r="CK70">
            <v>0.10204397639482414</v>
          </cell>
          <cell r="CL70">
            <v>30.273320404925229</v>
          </cell>
          <cell r="CM70">
            <v>1.4265543333333335</v>
          </cell>
          <cell r="CN70">
            <v>1.7205248216545649E-2</v>
          </cell>
          <cell r="CO70">
            <v>5.1042698482315689</v>
          </cell>
          <cell r="CP70">
            <v>5.4612493333333321</v>
          </cell>
          <cell r="CQ70">
            <v>6.5866506558421356E-2</v>
          </cell>
          <cell r="CR70">
            <v>19.540573852993617</v>
          </cell>
          <cell r="CS70" t="str">
            <v/>
          </cell>
          <cell r="CT70">
            <v>9.2114331219662962E-2</v>
          </cell>
          <cell r="CU70">
            <v>0.25066725236656928</v>
          </cell>
          <cell r="CV70">
            <v>0.92114331219662959</v>
          </cell>
          <cell r="CW70">
            <v>0</v>
          </cell>
          <cell r="CX70">
            <v>0</v>
          </cell>
          <cell r="CY70">
            <v>0</v>
          </cell>
          <cell r="CZ70">
            <v>59689.022119362788</v>
          </cell>
        </row>
        <row r="71">
          <cell r="B71" t="str">
            <v>IRQ</v>
          </cell>
          <cell r="C71" t="str">
            <v>UMIC</v>
          </cell>
          <cell r="D71" t="str">
            <v>UMIC</v>
          </cell>
          <cell r="E71" t="str">
            <v/>
          </cell>
          <cell r="F71" t="str">
            <v xml:space="preserve"> </v>
          </cell>
          <cell r="G71" t="b">
            <v>1</v>
          </cell>
          <cell r="H71" t="e">
            <v>#REF!</v>
          </cell>
          <cell r="I71" t="str">
            <v/>
          </cell>
          <cell r="J71" t="str">
            <v/>
          </cell>
          <cell r="K71" t="b">
            <v>1</v>
          </cell>
          <cell r="M71" t="b">
            <v>1</v>
          </cell>
          <cell r="P71" t="str">
            <v/>
          </cell>
          <cell r="Q71" t="str">
            <v/>
          </cell>
          <cell r="R71" t="str">
            <v/>
          </cell>
          <cell r="S71" t="str">
            <v/>
          </cell>
          <cell r="T71" t="str">
            <v>YES</v>
          </cell>
          <cell r="U71" t="str">
            <v>YES</v>
          </cell>
          <cell r="V71" t="str">
            <v/>
          </cell>
          <cell r="W71" t="str">
            <v/>
          </cell>
          <cell r="X71" t="str">
            <v/>
          </cell>
          <cell r="Y71" t="str">
            <v/>
          </cell>
          <cell r="Z71" t="str">
            <v/>
          </cell>
          <cell r="AA71" t="str">
            <v/>
          </cell>
          <cell r="AB71" t="str">
            <v/>
          </cell>
          <cell r="AC71" t="str">
            <v/>
          </cell>
          <cell r="AD71" t="str">
            <v/>
          </cell>
          <cell r="AE71" t="str">
            <v/>
          </cell>
          <cell r="AF71" t="str">
            <v/>
          </cell>
          <cell r="AG71" t="b">
            <v>1</v>
          </cell>
          <cell r="AK71">
            <v>39.309783000000003</v>
          </cell>
          <cell r="AL71">
            <v>50.193760000000005</v>
          </cell>
          <cell r="AM71">
            <v>5740</v>
          </cell>
          <cell r="AN71">
            <v>2.0804349999999999E-2</v>
          </cell>
          <cell r="AO71">
            <v>1.6E-2</v>
          </cell>
          <cell r="AP71">
            <v>0.81781448395605005</v>
          </cell>
          <cell r="AQ71">
            <v>0.62895652800000001</v>
          </cell>
          <cell r="AR71">
            <v>803.10015999999996</v>
          </cell>
          <cell r="AS71">
            <v>0.39800000000000002</v>
          </cell>
          <cell r="AT71">
            <v>2357.4390345020829</v>
          </cell>
          <cell r="AU71">
            <v>113314.71709051631</v>
          </cell>
          <cell r="AV71">
            <v>0.40190773405698782</v>
          </cell>
          <cell r="AW71">
            <v>2380.5853782266968</v>
          </cell>
          <cell r="AX71">
            <v>114427.28939989458</v>
          </cell>
          <cell r="AY71">
            <v>92670.416882006393</v>
          </cell>
          <cell r="AZ71">
            <v>93580.294631064375</v>
          </cell>
          <cell r="BA71">
            <v>909.87774905798142</v>
          </cell>
          <cell r="BB71">
            <v>980.0634428325211</v>
          </cell>
          <cell r="BC71">
            <v>1129.6292979111543</v>
          </cell>
          <cell r="BD71">
            <v>28.736594600666052</v>
          </cell>
          <cell r="BE71">
            <v>1381.278175029071</v>
          </cell>
          <cell r="BF71">
            <v>946.97713550000003</v>
          </cell>
          <cell r="BG71">
            <v>236.92854618111386</v>
          </cell>
          <cell r="BH71">
            <v>190.79104280968411</v>
          </cell>
          <cell r="BI71"/>
          <cell r="BJ71">
            <v>28.852054529042537</v>
          </cell>
          <cell r="BK71">
            <v>40.545997230636893</v>
          </cell>
          <cell r="BL71">
            <v>456.57164351984056</v>
          </cell>
          <cell r="BM71">
            <v>497.11764075047745</v>
          </cell>
          <cell r="BN71">
            <v>9313.609736885066</v>
          </cell>
          <cell r="BO71">
            <v>7499.9544911923931</v>
          </cell>
          <cell r="BP71">
            <v>0</v>
          </cell>
          <cell r="BQ71">
            <v>1134.1680026408294</v>
          </cell>
          <cell r="BR71">
            <v>1593.8543526549374</v>
          </cell>
          <cell r="BS71">
            <v>17947.732230718288</v>
          </cell>
          <cell r="BT71">
            <v>19541.586583373224</v>
          </cell>
          <cell r="BU71">
            <v>-733.72104559350782</v>
          </cell>
          <cell r="BV71">
            <v>-166.2967639243204</v>
          </cell>
          <cell r="BW71">
            <v>-239.1885294642255</v>
          </cell>
          <cell r="BX71">
            <v>-328.23575220496195</v>
          </cell>
          <cell r="BZ71">
            <v>26.413354067754</v>
          </cell>
          <cell r="CA71">
            <v>-3.5999177379992156E-2</v>
          </cell>
          <cell r="CB71">
            <v>0.48120355786000002</v>
          </cell>
          <cell r="CC71" t="str">
            <v>—</v>
          </cell>
          <cell r="CD71" t="e">
            <v>#VALUE!</v>
          </cell>
          <cell r="CE71">
            <v>0</v>
          </cell>
          <cell r="CF71">
            <v>0</v>
          </cell>
          <cell r="CG71">
            <v>47.438009000000001</v>
          </cell>
          <cell r="CH71">
            <v>1.2067736166338032</v>
          </cell>
          <cell r="CI71">
            <v>58.005831310942341</v>
          </cell>
          <cell r="CJ71">
            <v>18.047311666666666</v>
          </cell>
          <cell r="CK71">
            <v>0.45910484081447778</v>
          </cell>
          <cell r="CL71">
            <v>22.067732989229551</v>
          </cell>
          <cell r="CM71">
            <v>9.2218689999999999</v>
          </cell>
          <cell r="CN71">
            <v>0.23459475723892953</v>
          </cell>
          <cell r="CO71">
            <v>11.276235846778656</v>
          </cell>
          <cell r="CP71">
            <v>152.68146333333334</v>
          </cell>
          <cell r="CQ71">
            <v>3.8840576487876652</v>
          </cell>
          <cell r="CR71">
            <v>186.69449652537403</v>
          </cell>
          <cell r="CS71" t="str">
            <v/>
          </cell>
          <cell r="CT71">
            <v>0.13687236584338305</v>
          </cell>
          <cell r="CU71">
            <v>0.38589404067684624</v>
          </cell>
          <cell r="CV71">
            <v>1.3687236584338305</v>
          </cell>
          <cell r="CW71">
            <v>0</v>
          </cell>
          <cell r="CX71">
            <v>0</v>
          </cell>
          <cell r="CY71">
            <v>0</v>
          </cell>
          <cell r="CZ71">
            <v>16813.564228077459</v>
          </cell>
        </row>
        <row r="72">
          <cell r="B72" t="str">
            <v>JAM</v>
          </cell>
          <cell r="C72" t="str">
            <v>UMIC</v>
          </cell>
          <cell r="D72" t="str">
            <v>UMIC</v>
          </cell>
          <cell r="E72" t="str">
            <v/>
          </cell>
          <cell r="F72" t="str">
            <v xml:space="preserve"> </v>
          </cell>
          <cell r="G72" t="str">
            <v/>
          </cell>
          <cell r="H72" t="e">
            <v>#REF!</v>
          </cell>
          <cell r="I72" t="str">
            <v/>
          </cell>
          <cell r="J72" t="str">
            <v/>
          </cell>
          <cell r="K72" t="b">
            <v>1</v>
          </cell>
          <cell r="M72" t="str">
            <v/>
          </cell>
          <cell r="P72" t="str">
            <v/>
          </cell>
          <cell r="Q72" t="str">
            <v/>
          </cell>
          <cell r="R72" t="str">
            <v/>
          </cell>
          <cell r="S72" t="str">
            <v/>
          </cell>
          <cell r="T72" t="str">
            <v>YES</v>
          </cell>
          <cell r="U72" t="str">
            <v>YES</v>
          </cell>
          <cell r="V72" t="str">
            <v/>
          </cell>
          <cell r="W72" t="str">
            <v/>
          </cell>
          <cell r="X72" t="str">
            <v>YES</v>
          </cell>
          <cell r="Y72" t="str">
            <v/>
          </cell>
          <cell r="Z72" t="str">
            <v>YES</v>
          </cell>
          <cell r="AA72" t="str">
            <v/>
          </cell>
          <cell r="AB72" t="str">
            <v/>
          </cell>
          <cell r="AC72" t="str">
            <v/>
          </cell>
          <cell r="AD72" t="str">
            <v/>
          </cell>
          <cell r="AE72" t="str">
            <v>YES</v>
          </cell>
          <cell r="AF72" t="str">
            <v>YES</v>
          </cell>
          <cell r="AK72">
            <v>2.9482789999999999</v>
          </cell>
          <cell r="AL72">
            <v>3.0479690000000002</v>
          </cell>
          <cell r="AM72">
            <v>5250</v>
          </cell>
          <cell r="AN72">
            <v>1.8364370000000001E-2</v>
          </cell>
          <cell r="AO72">
            <v>2.9750000000000002E-2</v>
          </cell>
          <cell r="AP72">
            <v>5.4143286419230004E-2</v>
          </cell>
          <cell r="AQ72">
            <v>8.7711300249999999E-2</v>
          </cell>
          <cell r="AR72">
            <v>90.677077750000009</v>
          </cell>
          <cell r="AS72">
            <v>0.26509868587153113</v>
          </cell>
          <cell r="AT72">
            <v>1503.0235725356995</v>
          </cell>
          <cell r="AU72">
            <v>81844.548576166751</v>
          </cell>
          <cell r="AV72">
            <v>0.26509868587153113</v>
          </cell>
          <cell r="AW72">
            <v>1503.0235725356995</v>
          </cell>
          <cell r="AX72">
            <v>81844.548576166751</v>
          </cell>
          <cell r="AY72">
            <v>4431.3328354119794</v>
          </cell>
          <cell r="AZ72">
            <v>4431.3328354119794</v>
          </cell>
          <cell r="BA72">
            <v>0</v>
          </cell>
          <cell r="BB72">
            <v>89.204897102486768</v>
          </cell>
          <cell r="BC72">
            <v>95.244607069399436</v>
          </cell>
          <cell r="BD72">
            <v>32.305153979456975</v>
          </cell>
          <cell r="BE72">
            <v>1759.1212755709546</v>
          </cell>
          <cell r="BF72">
            <v>1.221676</v>
          </cell>
          <cell r="BG72">
            <v>226.78702726788717</v>
          </cell>
          <cell r="BH72">
            <v>408.688177278713</v>
          </cell>
          <cell r="BI72"/>
          <cell r="BJ72">
            <v>53.392559753716</v>
          </cell>
          <cell r="BK72">
            <v>27.691953720859846</v>
          </cell>
          <cell r="BL72">
            <v>688.86776430031614</v>
          </cell>
          <cell r="BM72">
            <v>716.55971802117597</v>
          </cell>
          <cell r="BN72">
            <v>668.63142996633906</v>
          </cell>
          <cell r="BO72">
            <v>1204.9267706191067</v>
          </cell>
          <cell r="BP72">
            <v>0</v>
          </cell>
          <cell r="BQ72">
            <v>157.41616267812606</v>
          </cell>
          <cell r="BR72">
            <v>81.643605624182939</v>
          </cell>
          <cell r="BS72">
            <v>2030.9743632635718</v>
          </cell>
          <cell r="BT72">
            <v>2112.6179688877546</v>
          </cell>
          <cell r="BU72">
            <v>-62.644021967533604</v>
          </cell>
          <cell r="BV72">
            <v>183.23464139835809</v>
          </cell>
          <cell r="BW72">
            <v>-73.817687239252763</v>
          </cell>
          <cell r="BX72">
            <v>-172.06097612663891</v>
          </cell>
          <cell r="BZ72">
            <v>16.359761587929679</v>
          </cell>
          <cell r="CA72">
            <v>-0.26115439389265938</v>
          </cell>
          <cell r="CB72">
            <v>0.68681952068000007</v>
          </cell>
          <cell r="CC72" t="e">
            <v>#N/A</v>
          </cell>
          <cell r="CD72" t="e">
            <v>#N/A</v>
          </cell>
          <cell r="CE72">
            <v>0</v>
          </cell>
          <cell r="CF72">
            <v>0</v>
          </cell>
          <cell r="CG72">
            <v>8.5140056666666677</v>
          </cell>
          <cell r="CH72">
            <v>2.8877883221590182</v>
          </cell>
          <cell r="CI72">
            <v>157.24951752545925</v>
          </cell>
          <cell r="CJ72">
            <v>16.549954333333332</v>
          </cell>
          <cell r="CK72">
            <v>5.6134288285923191</v>
          </cell>
          <cell r="CL72">
            <v>305.66955624354762</v>
          </cell>
          <cell r="CM72">
            <v>12.206742666666667</v>
          </cell>
          <cell r="CN72">
            <v>4.1402942756322139</v>
          </cell>
          <cell r="CO72">
            <v>225.45256252363754</v>
          </cell>
          <cell r="CP72">
            <v>4.002971333333333</v>
          </cell>
          <cell r="CQ72">
            <v>1.3577315217906221</v>
          </cell>
          <cell r="CR72">
            <v>73.932921292188183</v>
          </cell>
          <cell r="CS72" t="str">
            <v/>
          </cell>
          <cell r="CT72">
            <v>7.8290758778256739E-2</v>
          </cell>
          <cell r="CU72">
            <v>0.23460160995618123</v>
          </cell>
          <cell r="CV72">
            <v>0.78290758778256742</v>
          </cell>
          <cell r="CW72">
            <v>0</v>
          </cell>
          <cell r="CX72">
            <v>0</v>
          </cell>
          <cell r="CY72">
            <v>0</v>
          </cell>
          <cell r="CZ72">
            <v>1873.5582005854455</v>
          </cell>
        </row>
        <row r="73">
          <cell r="B73" t="str">
            <v>JOR</v>
          </cell>
          <cell r="C73" t="str">
            <v>UMIC</v>
          </cell>
          <cell r="D73" t="str">
            <v>UMIC</v>
          </cell>
          <cell r="E73" t="str">
            <v/>
          </cell>
          <cell r="F73" t="str">
            <v xml:space="preserve"> </v>
          </cell>
          <cell r="G73" t="str">
            <v/>
          </cell>
          <cell r="H73" t="e">
            <v>#REF!</v>
          </cell>
          <cell r="I73" t="str">
            <v/>
          </cell>
          <cell r="J73" t="str">
            <v/>
          </cell>
          <cell r="K73" t="b">
            <v>1</v>
          </cell>
          <cell r="M73" t="str">
            <v/>
          </cell>
          <cell r="P73" t="str">
            <v/>
          </cell>
          <cell r="Q73" t="str">
            <v/>
          </cell>
          <cell r="R73" t="str">
            <v/>
          </cell>
          <cell r="S73" t="str">
            <v/>
          </cell>
          <cell r="T73" t="str">
            <v>YES</v>
          </cell>
          <cell r="U73" t="str">
            <v>YES</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b">
            <v>1</v>
          </cell>
          <cell r="AK73">
            <v>10.101694</v>
          </cell>
          <cell r="AL73">
            <v>10.65518</v>
          </cell>
          <cell r="AM73">
            <v>4300</v>
          </cell>
          <cell r="AN73">
            <v>2.2868419999999999E-3</v>
          </cell>
          <cell r="AO73">
            <v>6.0000000000000001E-3</v>
          </cell>
          <cell r="AP73">
            <v>2.3100978110347999E-2</v>
          </cell>
          <cell r="AQ73">
            <v>6.0610164000000001E-2</v>
          </cell>
          <cell r="AR73">
            <v>63.931080000000001</v>
          </cell>
          <cell r="AS73">
            <v>0.242391494139409</v>
          </cell>
          <cell r="AT73">
            <v>1078.0103978545003</v>
          </cell>
          <cell r="AU73">
            <v>471396.97357950412</v>
          </cell>
          <cell r="AV73">
            <v>0.28965454442115479</v>
          </cell>
          <cell r="AW73">
            <v>1288.2077887280373</v>
          </cell>
          <cell r="AX73">
            <v>563312.98302551615</v>
          </cell>
          <cell r="AY73">
            <v>10889.731167944417</v>
          </cell>
          <cell r="AZ73">
            <v>13013.080890147283</v>
          </cell>
          <cell r="BA73">
            <v>2123.3497222028655</v>
          </cell>
          <cell r="BB73">
            <v>2302.8518100065735</v>
          </cell>
          <cell r="BC73">
            <v>2431.5327122544336</v>
          </cell>
          <cell r="BD73">
            <v>240.70544131057954</v>
          </cell>
          <cell r="BE73">
            <v>105256.69954923844</v>
          </cell>
          <cell r="BF73">
            <v>328.24895350000003</v>
          </cell>
          <cell r="BG73">
            <v>177.89574699093913</v>
          </cell>
          <cell r="BH73">
            <v>198.80768944594845</v>
          </cell>
          <cell r="BI73"/>
          <cell r="BJ73">
            <v>25.23107622101907</v>
          </cell>
          <cell r="BK73">
            <v>13.497607893179797</v>
          </cell>
          <cell r="BL73">
            <v>401.93451265790668</v>
          </cell>
          <cell r="BM73">
            <v>415.43212055108648</v>
          </cell>
          <cell r="BN73">
            <v>1797.048400003888</v>
          </cell>
          <cell r="BO73">
            <v>2008.2944436300008</v>
          </cell>
          <cell r="BP73">
            <v>0</v>
          </cell>
          <cell r="BQ73">
            <v>254.87661127541102</v>
          </cell>
          <cell r="BR73">
            <v>136.348704668887</v>
          </cell>
          <cell r="BS73">
            <v>4060.2194549093001</v>
          </cell>
          <cell r="BT73">
            <v>4196.5681595781871</v>
          </cell>
          <cell r="BU73">
            <v>-242.16938170611195</v>
          </cell>
          <cell r="BV73">
            <v>5.5765211367428833</v>
          </cell>
          <cell r="BW73">
            <v>-79.745810754668355</v>
          </cell>
          <cell r="BX73">
            <v>-168.00009208818651</v>
          </cell>
          <cell r="BZ73">
            <v>136.59994381904824</v>
          </cell>
          <cell r="CA73">
            <v>-0.56406777296405297</v>
          </cell>
          <cell r="CB73">
            <v>0.45038965244000001</v>
          </cell>
          <cell r="CC73" t="str">
            <v>—</v>
          </cell>
          <cell r="CD73" t="e">
            <v>#VALUE!</v>
          </cell>
          <cell r="CE73">
            <v>0</v>
          </cell>
          <cell r="CF73">
            <v>0</v>
          </cell>
          <cell r="CG73">
            <v>382.18736733333338</v>
          </cell>
          <cell r="CH73">
            <v>37.833987778023506</v>
          </cell>
          <cell r="CI73">
            <v>16544.207154680345</v>
          </cell>
          <cell r="CJ73">
            <v>75.704466999999994</v>
          </cell>
          <cell r="CK73">
            <v>7.4942348283367117</v>
          </cell>
          <cell r="CL73">
            <v>3277.1108928105709</v>
          </cell>
          <cell r="CM73">
            <v>23.716852333333332</v>
          </cell>
          <cell r="CN73">
            <v>2.3478094202153947</v>
          </cell>
          <cell r="CO73">
            <v>1026.6600929208905</v>
          </cell>
          <cell r="CP73">
            <v>205.10867399999998</v>
          </cell>
          <cell r="CQ73">
            <v>20.304383997377069</v>
          </cell>
          <cell r="CR73">
            <v>8878.7874271056207</v>
          </cell>
          <cell r="CS73">
            <v>0.72</v>
          </cell>
          <cell r="CT73">
            <v>0.10474698600056584</v>
          </cell>
          <cell r="CU73">
            <v>0.33183761060273659</v>
          </cell>
          <cell r="CV73">
            <v>1.0474698600056584</v>
          </cell>
          <cell r="CW73">
            <v>0</v>
          </cell>
          <cell r="CX73">
            <v>0</v>
          </cell>
          <cell r="CY73">
            <v>0</v>
          </cell>
          <cell r="CZ73">
            <v>3805.3428436338891</v>
          </cell>
        </row>
        <row r="74">
          <cell r="B74" t="str">
            <v>KAZ</v>
          </cell>
          <cell r="C74" t="str">
            <v>UMIC</v>
          </cell>
          <cell r="D74" t="str">
            <v>UMIC</v>
          </cell>
          <cell r="E74" t="str">
            <v/>
          </cell>
          <cell r="F74" t="str">
            <v xml:space="preserve"> </v>
          </cell>
          <cell r="G74" t="str">
            <v/>
          </cell>
          <cell r="H74" t="e">
            <v>#REF!</v>
          </cell>
          <cell r="I74" t="str">
            <v/>
          </cell>
          <cell r="J74" t="str">
            <v/>
          </cell>
          <cell r="K74" t="b">
            <v>1</v>
          </cell>
          <cell r="M74" t="str">
            <v/>
          </cell>
          <cell r="O74" t="b">
            <v>1</v>
          </cell>
          <cell r="P74" t="str">
            <v/>
          </cell>
          <cell r="Q74" t="str">
            <v/>
          </cell>
          <cell r="R74" t="str">
            <v/>
          </cell>
          <cell r="S74" t="str">
            <v/>
          </cell>
          <cell r="T74" t="str">
            <v>YES</v>
          </cell>
          <cell r="U74" t="str">
            <v>YES</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K74">
            <v>18.513929999999998</v>
          </cell>
          <cell r="AL74">
            <v>20.639020000000002</v>
          </cell>
          <cell r="AM74">
            <v>8810</v>
          </cell>
          <cell r="AN74">
            <v>1.94174E-4</v>
          </cell>
          <cell r="AO74">
            <v>9.999999999999999E-14</v>
          </cell>
          <cell r="AP74">
            <v>3.5949238438199999E-3</v>
          </cell>
          <cell r="AQ74">
            <v>1.8513929999999996E-12</v>
          </cell>
          <cell r="AR74">
            <v>2.0639019999999997E-9</v>
          </cell>
          <cell r="AS74">
            <v>0.22098944088497233</v>
          </cell>
          <cell r="AT74">
            <v>2207.5100117977472</v>
          </cell>
          <cell r="AU74">
            <v>11368720.898769904</v>
          </cell>
          <cell r="AV74">
            <v>0.26137973950746324</v>
          </cell>
          <cell r="AW74">
            <v>2610.9772011421437</v>
          </cell>
          <cell r="AX74">
            <v>13446585.027563648</v>
          </cell>
          <cell r="AY74">
            <v>40869.685832722666</v>
          </cell>
          <cell r="AZ74">
            <v>48339.449133541573</v>
          </cell>
          <cell r="BA74">
            <v>7469.7633008189077</v>
          </cell>
          <cell r="BB74">
            <v>103.79797626893397</v>
          </cell>
          <cell r="BC74">
            <v>101.87130381103429</v>
          </cell>
          <cell r="BD74">
            <v>5.502413793885701</v>
          </cell>
          <cell r="BE74">
            <v>28337.541554923424</v>
          </cell>
          <cell r="BF74">
            <v>1.3637630000000001</v>
          </cell>
          <cell r="BG74">
            <v>399.56841430207214</v>
          </cell>
          <cell r="BH74">
            <v>177.59531513074282</v>
          </cell>
          <cell r="BI74"/>
          <cell r="BJ74">
            <v>0</v>
          </cell>
          <cell r="BK74">
            <v>17.153147483640229</v>
          </cell>
          <cell r="BL74">
            <v>577.16372943281499</v>
          </cell>
          <cell r="BM74">
            <v>594.31687691645527</v>
          </cell>
          <cell r="BN74">
            <v>7397.5816525995615</v>
          </cell>
          <cell r="BO74">
            <v>3287.9872326585132</v>
          </cell>
          <cell r="BP74">
            <v>0</v>
          </cell>
          <cell r="BQ74">
            <v>0</v>
          </cell>
          <cell r="BR74">
            <v>317.57217179179133</v>
          </cell>
          <cell r="BS74">
            <v>10685.568885258075</v>
          </cell>
          <cell r="BT74">
            <v>11003.141057049867</v>
          </cell>
          <cell r="BU74">
            <v>-728.32487113825687</v>
          </cell>
          <cell r="BV74">
            <v>-214.05126504057873</v>
          </cell>
          <cell r="BW74">
            <v>-122.62702592635662</v>
          </cell>
          <cell r="BX74">
            <v>-391.64658017132155</v>
          </cell>
          <cell r="BZ74">
            <v>2.7880376238603666</v>
          </cell>
          <cell r="CA74">
            <v>-3.8280137536743785E-3</v>
          </cell>
          <cell r="CB74">
            <v>0.59600044163999999</v>
          </cell>
          <cell r="CC74" t="str">
            <v>—</v>
          </cell>
          <cell r="CE74">
            <v>0</v>
          </cell>
          <cell r="CF74">
            <v>0</v>
          </cell>
          <cell r="CG74">
            <v>44.038275333333331</v>
          </cell>
          <cell r="CH74">
            <v>2.3786562514459835</v>
          </cell>
          <cell r="CI74">
            <v>12250.127470443949</v>
          </cell>
          <cell r="CJ74">
            <v>13.503706000000001</v>
          </cell>
          <cell r="CK74">
            <v>0.72938084998700992</v>
          </cell>
          <cell r="CL74">
            <v>3756.326027104607</v>
          </cell>
          <cell r="CM74">
            <v>4.699244666666667</v>
          </cell>
          <cell r="CN74">
            <v>0.2538221040409393</v>
          </cell>
          <cell r="CO74">
            <v>1307.1889338476794</v>
          </cell>
          <cell r="CP74">
            <v>0.98252099999999976</v>
          </cell>
          <cell r="CQ74">
            <v>5.3069283507067369E-2</v>
          </cell>
          <cell r="CR74">
            <v>273.3078759621132</v>
          </cell>
          <cell r="CS74" t="str">
            <v/>
          </cell>
          <cell r="CT74">
            <v>0.10371563465995605</v>
          </cell>
          <cell r="CU74">
            <v>0.29557835640515012</v>
          </cell>
          <cell r="CV74">
            <v>1.0371563465995606</v>
          </cell>
          <cell r="CW74">
            <v>0</v>
          </cell>
          <cell r="CX74">
            <v>0</v>
          </cell>
          <cell r="CY74">
            <v>0</v>
          </cell>
          <cell r="CZ74">
            <v>10685.568885258075</v>
          </cell>
        </row>
        <row r="75">
          <cell r="B75" t="str">
            <v>KEN</v>
          </cell>
          <cell r="C75" t="str">
            <v>LMIC</v>
          </cell>
          <cell r="D75" t="str">
            <v>LLMIC</v>
          </cell>
          <cell r="E75" t="str">
            <v>LMIC_nonLDC</v>
          </cell>
          <cell r="F75" t="str">
            <v xml:space="preserve"> </v>
          </cell>
          <cell r="G75" t="str">
            <v/>
          </cell>
          <cell r="H75" t="e">
            <v>#REF!</v>
          </cell>
          <cell r="I75" t="str">
            <v/>
          </cell>
          <cell r="J75" t="str">
            <v/>
          </cell>
          <cell r="K75" t="b">
            <v>1</v>
          </cell>
          <cell r="M75" t="b">
            <v>1</v>
          </cell>
          <cell r="P75" t="b">
            <v>1</v>
          </cell>
          <cell r="Q75" t="b">
            <v>1</v>
          </cell>
          <cell r="R75" t="str">
            <v>YES</v>
          </cell>
          <cell r="S75" t="str">
            <v/>
          </cell>
          <cell r="T75" t="str">
            <v>YES</v>
          </cell>
          <cell r="U75" t="str">
            <v/>
          </cell>
          <cell r="V75" t="str">
            <v>YES</v>
          </cell>
          <cell r="W75" t="str">
            <v/>
          </cell>
          <cell r="X75" t="str">
            <v>YES</v>
          </cell>
          <cell r="Y75" t="str">
            <v/>
          </cell>
          <cell r="Z75" t="str">
            <v>YES</v>
          </cell>
          <cell r="AA75" t="str">
            <v/>
          </cell>
          <cell r="AB75" t="str">
            <v/>
          </cell>
          <cell r="AC75" t="str">
            <v/>
          </cell>
          <cell r="AD75" t="str">
            <v>YES</v>
          </cell>
          <cell r="AE75" t="str">
            <v>YES</v>
          </cell>
          <cell r="AF75" t="str">
            <v/>
          </cell>
          <cell r="AK75">
            <v>52.573973000000002</v>
          </cell>
          <cell r="AL75">
            <v>66.449660000000009</v>
          </cell>
          <cell r="AM75">
            <v>1750</v>
          </cell>
          <cell r="AN75">
            <v>0.32642400000000005</v>
          </cell>
          <cell r="AO75">
            <v>0.2175</v>
          </cell>
          <cell r="AP75">
            <v>17.161406562552003</v>
          </cell>
          <cell r="AQ75">
            <v>11.4348391275</v>
          </cell>
          <cell r="AR75">
            <v>14452.80105</v>
          </cell>
          <cell r="AS75">
            <v>0.17178940692088834</v>
          </cell>
          <cell r="AT75">
            <v>323.78545621253437</v>
          </cell>
          <cell r="AU75">
            <v>991.91682049277722</v>
          </cell>
          <cell r="AV75">
            <v>0.18967063865395406</v>
          </cell>
          <cell r="AW75">
            <v>357.48766683253479</v>
          </cell>
          <cell r="AX75">
            <v>1095.1635505739</v>
          </cell>
          <cell r="AY75">
            <v>17022.687832710464</v>
          </cell>
          <cell r="AZ75">
            <v>18794.546943886682</v>
          </cell>
          <cell r="BA75">
            <v>1771.859111176218</v>
          </cell>
          <cell r="BB75">
            <v>2404.20999957906</v>
          </cell>
          <cell r="BC75">
            <v>2458.2674397185997</v>
          </cell>
          <cell r="BD75">
            <v>46.758258876851471</v>
          </cell>
          <cell r="BE75">
            <v>143.24393695577368</v>
          </cell>
          <cell r="BF75">
            <v>175.76825199999999</v>
          </cell>
          <cell r="BG75">
            <v>127.82230084767697</v>
          </cell>
          <cell r="BH75">
            <v>117.84068501631914</v>
          </cell>
          <cell r="BI75"/>
          <cell r="BJ75">
            <v>44.938059947528899</v>
          </cell>
          <cell r="BK75">
            <v>22.054899321862457</v>
          </cell>
          <cell r="BL75">
            <v>290.60104581152501</v>
          </cell>
          <cell r="BM75">
            <v>312.65594513338749</v>
          </cell>
          <cell r="BN75">
            <v>6720.1261935636467</v>
          </cell>
          <cell r="BO75">
            <v>6195.3529923494671</v>
          </cell>
          <cell r="BP75">
            <v>0</v>
          </cell>
          <cell r="BQ75">
            <v>2362.5723503537661</v>
          </cell>
          <cell r="BR75">
            <v>1159.5136814653151</v>
          </cell>
          <cell r="BS75">
            <v>15278.051536266881</v>
          </cell>
          <cell r="BT75">
            <v>16437.565217732197</v>
          </cell>
          <cell r="BU75">
            <v>111.85721239525762</v>
          </cell>
          <cell r="BV75">
            <v>64.217534991438924</v>
          </cell>
          <cell r="BW75">
            <v>56.324767481170014</v>
          </cell>
          <cell r="BX75">
            <v>-8.6850900773513189</v>
          </cell>
          <cell r="BZ75">
            <v>25.050757451016679</v>
          </cell>
          <cell r="CA75">
            <v>0.22395299252137227</v>
          </cell>
          <cell r="CB75">
            <v>0.42095026209000003</v>
          </cell>
          <cell r="CC75">
            <v>932310</v>
          </cell>
          <cell r="CE75">
            <v>5880.7780643235401</v>
          </cell>
          <cell r="CF75">
            <v>1229.1337198592998</v>
          </cell>
          <cell r="CG75">
            <v>120.29682366666668</v>
          </cell>
          <cell r="CH75">
            <v>2.2881440530786343</v>
          </cell>
          <cell r="CI75">
            <v>7.0097298393458631</v>
          </cell>
          <cell r="CJ75">
            <v>874.56673600000011</v>
          </cell>
          <cell r="CK75">
            <v>16.634975180589834</v>
          </cell>
          <cell r="CL75">
            <v>50.96125033879197</v>
          </cell>
          <cell r="CM75">
            <v>24.51009066666667</v>
          </cell>
          <cell r="CN75">
            <v>0.46620198680184716</v>
          </cell>
          <cell r="CO75">
            <v>1.4282098951114106</v>
          </cell>
          <cell r="CP75">
            <v>143.591407</v>
          </cell>
          <cell r="CQ75">
            <v>2.7312260954674281</v>
          </cell>
          <cell r="CR75">
            <v>8.3671117793649596</v>
          </cell>
          <cell r="CS75" t="str">
            <v/>
          </cell>
          <cell r="CT75">
            <v>0.13398956932549114</v>
          </cell>
          <cell r="CU75">
            <v>0.39468451433183488</v>
          </cell>
          <cell r="CV75">
            <v>1.3398956932549113</v>
          </cell>
          <cell r="CW75">
            <v>0</v>
          </cell>
          <cell r="CX75">
            <v>0</v>
          </cell>
          <cell r="CY75">
            <v>0</v>
          </cell>
          <cell r="CZ75">
            <v>12915.479185913115</v>
          </cell>
        </row>
        <row r="76">
          <cell r="B76" t="str">
            <v>KGZ</v>
          </cell>
          <cell r="C76" t="str">
            <v>LMIC</v>
          </cell>
          <cell r="D76" t="str">
            <v>LLMIC</v>
          </cell>
          <cell r="E76" t="str">
            <v>LMIC_nonLDC</v>
          </cell>
          <cell r="F76" t="str">
            <v xml:space="preserve"> </v>
          </cell>
          <cell r="G76" t="str">
            <v/>
          </cell>
          <cell r="H76" t="e">
            <v>#REF!</v>
          </cell>
          <cell r="I76" t="str">
            <v/>
          </cell>
          <cell r="J76" t="str">
            <v/>
          </cell>
          <cell r="K76" t="b">
            <v>1</v>
          </cell>
          <cell r="M76" t="str">
            <v/>
          </cell>
          <cell r="P76" t="str">
            <v/>
          </cell>
          <cell r="Q76" t="str">
            <v/>
          </cell>
          <cell r="R76" t="str">
            <v/>
          </cell>
          <cell r="S76" t="str">
            <v/>
          </cell>
          <cell r="T76" t="str">
            <v>YES</v>
          </cell>
          <cell r="U76" t="str">
            <v>YES</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K76">
            <v>6.4569000000000001</v>
          </cell>
          <cell r="AL76">
            <v>7.4461059999999994</v>
          </cell>
          <cell r="AM76">
            <v>1240</v>
          </cell>
          <cell r="AN76">
            <v>8.613964E-3</v>
          </cell>
          <cell r="AO76">
            <v>4.2500000000000003E-3</v>
          </cell>
          <cell r="AP76">
            <v>5.5619504151600004E-2</v>
          </cell>
          <cell r="AQ76">
            <v>2.7441825000000003E-2</v>
          </cell>
          <cell r="AR76">
            <v>31.645950500000005</v>
          </cell>
          <cell r="AS76">
            <v>0.31486674516659996</v>
          </cell>
          <cell r="AT76">
            <v>415.54417855715877</v>
          </cell>
          <cell r="AU76">
            <v>48240.760996581688</v>
          </cell>
          <cell r="AV76">
            <v>0.33732718154023245</v>
          </cell>
          <cell r="AW76">
            <v>445.18625326396227</v>
          </cell>
          <cell r="AX76">
            <v>51681.926377212891</v>
          </cell>
          <cell r="AY76">
            <v>2683.1272065257185</v>
          </cell>
          <cell r="AZ76">
            <v>2874.5231187000782</v>
          </cell>
          <cell r="BA76">
            <v>191.39591217435964</v>
          </cell>
          <cell r="BB76">
            <v>678.08110109677807</v>
          </cell>
          <cell r="BC76">
            <v>553.36765427955299</v>
          </cell>
          <cell r="BD76">
            <v>85.701753826070245</v>
          </cell>
          <cell r="BE76">
            <v>9949.1655440016057</v>
          </cell>
          <cell r="BF76">
            <v>3.1471869999999997</v>
          </cell>
          <cell r="BG76">
            <v>72.518118797356436</v>
          </cell>
          <cell r="BH76">
            <v>98.248746192748044</v>
          </cell>
          <cell r="BI76"/>
          <cell r="BJ76">
            <v>16.253760107399884</v>
          </cell>
          <cell r="BK76">
            <v>6.1661744522285042</v>
          </cell>
          <cell r="BL76">
            <v>187.02062509750436</v>
          </cell>
          <cell r="BM76">
            <v>193.18679954973288</v>
          </cell>
          <cell r="BN76">
            <v>468.24224126265079</v>
          </cell>
          <cell r="BO76">
            <v>634.38232929195487</v>
          </cell>
          <cell r="BP76">
            <v>0</v>
          </cell>
          <cell r="BQ76">
            <v>104.94890363747031</v>
          </cell>
          <cell r="BR76">
            <v>39.814371820594232</v>
          </cell>
          <cell r="BS76">
            <v>1207.573474192076</v>
          </cell>
          <cell r="BT76">
            <v>1247.3878460126703</v>
          </cell>
          <cell r="BU76">
            <v>-35.572501534476771</v>
          </cell>
          <cell r="BV76">
            <v>31.470808203153709</v>
          </cell>
          <cell r="BW76">
            <v>-16.519131855436029</v>
          </cell>
          <cell r="BX76">
            <v>-50.524177882194451</v>
          </cell>
          <cell r="BZ76">
            <v>43.094584187423763</v>
          </cell>
          <cell r="CA76">
            <v>-1.2114577926339145</v>
          </cell>
          <cell r="CB76">
            <v>0.41944508218000004</v>
          </cell>
          <cell r="CC76" t="str">
            <v>—</v>
          </cell>
          <cell r="CE76">
            <v>0</v>
          </cell>
          <cell r="CF76">
            <v>0</v>
          </cell>
          <cell r="CG76">
            <v>87.2226</v>
          </cell>
          <cell r="CH76">
            <v>13.508432839288202</v>
          </cell>
          <cell r="CI76">
            <v>1568.201682673413</v>
          </cell>
          <cell r="CJ76">
            <v>43.174986000000004</v>
          </cell>
          <cell r="CK76">
            <v>6.6866431259582777</v>
          </cell>
          <cell r="CL76">
            <v>776.25621908313963</v>
          </cell>
          <cell r="CM76">
            <v>9.6241149999999998</v>
          </cell>
          <cell r="CN76">
            <v>1.4905163468537532</v>
          </cell>
          <cell r="CO76">
            <v>173.03489390642372</v>
          </cell>
          <cell r="CP76">
            <v>14.223153666666667</v>
          </cell>
          <cell r="CQ76">
            <v>2.2027836371426948</v>
          </cell>
          <cell r="CR76">
            <v>255.72241039580555</v>
          </cell>
          <cell r="CS76" t="str">
            <v/>
          </cell>
          <cell r="CT76">
            <v>0.1177430345831591</v>
          </cell>
          <cell r="CU76">
            <v>0.32989143396986165</v>
          </cell>
          <cell r="CV76">
            <v>1.1774303458315911</v>
          </cell>
          <cell r="CW76">
            <v>0</v>
          </cell>
          <cell r="CX76">
            <v>0</v>
          </cell>
          <cell r="CY76">
            <v>0</v>
          </cell>
          <cell r="CZ76">
            <v>1102.6245705546055</v>
          </cell>
        </row>
        <row r="77">
          <cell r="B77" t="str">
            <v>KHM</v>
          </cell>
          <cell r="C77" t="str">
            <v>LMIC</v>
          </cell>
          <cell r="D77" t="str">
            <v>LLMIC</v>
          </cell>
          <cell r="E77" t="str">
            <v>LMIC_LDC</v>
          </cell>
          <cell r="F77" t="b">
            <v>1</v>
          </cell>
          <cell r="G77" t="str">
            <v/>
          </cell>
          <cell r="H77" t="e">
            <v>#REF!</v>
          </cell>
          <cell r="I77" t="str">
            <v/>
          </cell>
          <cell r="J77" t="str">
            <v/>
          </cell>
          <cell r="K77" t="b">
            <v>1</v>
          </cell>
          <cell r="M77" t="b">
            <v>1</v>
          </cell>
          <cell r="P77" t="str">
            <v/>
          </cell>
          <cell r="Q77" t="str">
            <v/>
          </cell>
          <cell r="R77" t="str">
            <v>YES</v>
          </cell>
          <cell r="S77" t="str">
            <v/>
          </cell>
          <cell r="T77" t="str">
            <v>YES</v>
          </cell>
          <cell r="U77" t="str">
            <v/>
          </cell>
          <cell r="V77" t="str">
            <v>YES</v>
          </cell>
          <cell r="W77" t="str">
            <v/>
          </cell>
          <cell r="X77" t="str">
            <v/>
          </cell>
          <cell r="Y77" t="str">
            <v/>
          </cell>
          <cell r="Z77" t="str">
            <v/>
          </cell>
          <cell r="AA77" t="str">
            <v/>
          </cell>
          <cell r="AB77" t="str">
            <v/>
          </cell>
          <cell r="AC77" t="str">
            <v/>
          </cell>
          <cell r="AD77" t="str">
            <v/>
          </cell>
          <cell r="AE77" t="str">
            <v/>
          </cell>
          <cell r="AF77" t="str">
            <v/>
          </cell>
          <cell r="AG77" t="str">
            <v/>
          </cell>
          <cell r="AK77">
            <v>16.486542</v>
          </cell>
          <cell r="AL77">
            <v>18.781040000000001</v>
          </cell>
          <cell r="AM77">
            <v>1480</v>
          </cell>
          <cell r="AN77">
            <v>6.9999999999999993E-3</v>
          </cell>
          <cell r="AO77">
            <v>9.999999999999999E-14</v>
          </cell>
          <cell r="AP77">
            <v>0.11540579399999999</v>
          </cell>
          <cell r="AQ77">
            <v>1.6486541999999998E-12</v>
          </cell>
          <cell r="AR77">
            <v>1.878104E-9</v>
          </cell>
          <cell r="AS77">
            <v>0.20045472856122931</v>
          </cell>
          <cell r="AT77">
            <v>330.9923327080154</v>
          </cell>
          <cell r="AU77">
            <v>47284.618958287916</v>
          </cell>
          <cell r="AV77">
            <v>0.23770832118815993</v>
          </cell>
          <cell r="AW77">
            <v>392.50574081689655</v>
          </cell>
          <cell r="AX77">
            <v>56072.248688128086</v>
          </cell>
          <cell r="AY77">
            <v>5456.9189948686699</v>
          </cell>
          <cell r="AZ77">
            <v>6471.0623812188796</v>
          </cell>
          <cell r="BA77">
            <v>1014.1433863502098</v>
          </cell>
          <cell r="BB77">
            <v>796.71652238847162</v>
          </cell>
          <cell r="BC77">
            <v>814.54870380366572</v>
          </cell>
          <cell r="BD77">
            <v>49.406886162281076</v>
          </cell>
          <cell r="BE77">
            <v>7058.1265946115827</v>
          </cell>
          <cell r="BF77">
            <v>3.2964392500000002</v>
          </cell>
          <cell r="BG77">
            <v>57.24332806953403</v>
          </cell>
          <cell r="BH77">
            <v>156.35532652211262</v>
          </cell>
          <cell r="BI77"/>
          <cell r="BJ77">
            <v>8.9303855816253694</v>
          </cell>
          <cell r="BK77">
            <v>9.0296690951863052</v>
          </cell>
          <cell r="BL77">
            <v>222.52904017327202</v>
          </cell>
          <cell r="BM77">
            <v>231.55870926845833</v>
          </cell>
          <cell r="BN77">
            <v>943.74453243815174</v>
          </cell>
          <cell r="BO77">
            <v>2577.7586576305234</v>
          </cell>
          <cell r="BP77">
            <v>0</v>
          </cell>
          <cell r="BQ77">
            <v>147.23117696766107</v>
          </cell>
          <cell r="BR77">
            <v>148.86801878389102</v>
          </cell>
          <cell r="BS77">
            <v>3668.7343670363366</v>
          </cell>
          <cell r="BT77">
            <v>3817.6023858202275</v>
          </cell>
          <cell r="BU77">
            <v>26.276169764823749</v>
          </cell>
          <cell r="BV77">
            <v>97.479465399578146</v>
          </cell>
          <cell r="BW77">
            <v>-21.257820093845282</v>
          </cell>
          <cell r="BX77">
            <v>-49.945475540909115</v>
          </cell>
          <cell r="BZ77">
            <v>24.803416721762083</v>
          </cell>
          <cell r="CA77">
            <v>0.94395099985107955</v>
          </cell>
          <cell r="CB77">
            <v>12.584519264391954</v>
          </cell>
          <cell r="CC77">
            <v>2956305</v>
          </cell>
          <cell r="CD77">
            <v>422.32928571428573</v>
          </cell>
          <cell r="CE77">
            <v>433.20317642689685</v>
          </cell>
          <cell r="CF77">
            <v>407.27435190183286</v>
          </cell>
          <cell r="CG77">
            <v>122.23831133333333</v>
          </cell>
          <cell r="CH77">
            <v>7.414429983760896</v>
          </cell>
          <cell r="CI77">
            <v>1059.2042833944138</v>
          </cell>
          <cell r="CJ77">
            <v>140.26679099999998</v>
          </cell>
          <cell r="CK77">
            <v>8.5079570355020468</v>
          </cell>
          <cell r="CL77">
            <v>1215.4224336431496</v>
          </cell>
          <cell r="CM77">
            <v>12.032563000000001</v>
          </cell>
          <cell r="CN77">
            <v>0.72984152771393795</v>
          </cell>
          <cell r="CO77">
            <v>104.26307538770543</v>
          </cell>
          <cell r="CP77">
            <v>20.19316666666667</v>
          </cell>
          <cell r="CQ77">
            <v>1.2248272965104914</v>
          </cell>
          <cell r="CR77">
            <v>174.97532807292737</v>
          </cell>
          <cell r="CS77">
            <v>0.5</v>
          </cell>
          <cell r="CT77">
            <v>0.10790479895662777</v>
          </cell>
          <cell r="CU77">
            <v>0.31360918499464596</v>
          </cell>
          <cell r="CV77">
            <v>1.0790479895662777</v>
          </cell>
          <cell r="CW77">
            <v>0</v>
          </cell>
          <cell r="CX77">
            <v>0</v>
          </cell>
          <cell r="CY77">
            <v>0</v>
          </cell>
          <cell r="CZ77">
            <v>3521.5031900686754</v>
          </cell>
        </row>
        <row r="78">
          <cell r="B78" t="str">
            <v>KIR</v>
          </cell>
          <cell r="C78" t="str">
            <v>LMIC</v>
          </cell>
          <cell r="D78" t="str">
            <v>ULMIC</v>
          </cell>
          <cell r="E78" t="str">
            <v>LMIC_LDC</v>
          </cell>
          <cell r="F78" t="b">
            <v>1</v>
          </cell>
          <cell r="G78" t="b">
            <v>1</v>
          </cell>
          <cell r="H78" t="e">
            <v>#REF!</v>
          </cell>
          <cell r="I78" t="str">
            <v/>
          </cell>
          <cell r="J78" t="str">
            <v/>
          </cell>
          <cell r="K78" t="b">
            <v>1</v>
          </cell>
          <cell r="M78" t="str">
            <v/>
          </cell>
          <cell r="P78" t="str">
            <v/>
          </cell>
          <cell r="Q78" t="str">
            <v/>
          </cell>
          <cell r="R78" t="str">
            <v/>
          </cell>
          <cell r="S78" t="str">
            <v/>
          </cell>
          <cell r="T78" t="str">
            <v>YES</v>
          </cell>
          <cell r="U78" t="str">
            <v>YES</v>
          </cell>
          <cell r="V78" t="str">
            <v/>
          </cell>
          <cell r="W78" t="str">
            <v/>
          </cell>
          <cell r="X78" t="str">
            <v>YES</v>
          </cell>
          <cell r="Y78" t="str">
            <v/>
          </cell>
          <cell r="Z78" t="str">
            <v>YES</v>
          </cell>
          <cell r="AA78" t="str">
            <v/>
          </cell>
          <cell r="AB78" t="str">
            <v/>
          </cell>
          <cell r="AC78" t="str">
            <v/>
          </cell>
          <cell r="AD78" t="str">
            <v/>
          </cell>
          <cell r="AE78" t="str">
            <v>YES</v>
          </cell>
          <cell r="AF78" t="str">
            <v>YES</v>
          </cell>
          <cell r="AG78" t="b">
            <v>1</v>
          </cell>
          <cell r="AK78">
            <v>0.117606</v>
          </cell>
          <cell r="AL78">
            <v>0.139178</v>
          </cell>
          <cell r="AM78">
            <v>3350</v>
          </cell>
          <cell r="AN78">
            <v>0.1116539</v>
          </cell>
          <cell r="AO78">
            <v>9.4249989999999992E-2</v>
          </cell>
          <cell r="AP78">
            <v>1.3131168563400001E-2</v>
          </cell>
          <cell r="AQ78">
            <v>1.1084364323939999E-2</v>
          </cell>
          <cell r="AR78">
            <v>13.117525108220001</v>
          </cell>
          <cell r="AS78">
            <v>0.91</v>
          </cell>
          <cell r="AT78">
            <v>1646.8425395486454</v>
          </cell>
          <cell r="AU78">
            <v>14749.529927290005</v>
          </cell>
          <cell r="AV78">
            <v>0.95907734056987781</v>
          </cell>
          <cell r="AW78">
            <v>1735.6586408435808</v>
          </cell>
          <cell r="AX78">
            <v>15544.98894211112</v>
          </cell>
          <cell r="AY78">
            <v>193.67856370615797</v>
          </cell>
          <cell r="AZ78">
            <v>204.12387011505018</v>
          </cell>
          <cell r="BA78">
            <v>10.445306408892208</v>
          </cell>
          <cell r="BB78">
            <v>68.873522275147494</v>
          </cell>
          <cell r="BC78">
            <v>70.920573648694528</v>
          </cell>
          <cell r="BD78">
            <v>603.03533534593919</v>
          </cell>
          <cell r="BE78">
            <v>5400.9339158411767</v>
          </cell>
          <cell r="BF78">
            <v>0.16811799999999999</v>
          </cell>
          <cell r="BG78">
            <v>102.17676467507849</v>
          </cell>
          <cell r="BH78">
            <v>217.24644371770103</v>
          </cell>
          <cell r="BI78"/>
          <cell r="BJ78">
            <v>77.438961056085219</v>
          </cell>
          <cell r="BK78">
            <v>5.0448452032173785</v>
          </cell>
          <cell r="BL78">
            <v>396.86216944886473</v>
          </cell>
          <cell r="BM78">
            <v>401.90701465208213</v>
          </cell>
          <cell r="BN78">
            <v>12.016600586377281</v>
          </cell>
          <cell r="BO78">
            <v>25.549485259863946</v>
          </cell>
          <cell r="BP78">
            <v>0</v>
          </cell>
          <cell r="BQ78">
            <v>9.107286453961958</v>
          </cell>
          <cell r="BR78">
            <v>0.59330406496958299</v>
          </cell>
          <cell r="BS78">
            <v>46.673372300203184</v>
          </cell>
          <cell r="BT78">
            <v>47.266676365172763</v>
          </cell>
          <cell r="BU78">
            <v>-470.96715097292565</v>
          </cell>
          <cell r="BV78">
            <v>-43.102352408836055</v>
          </cell>
          <cell r="BW78">
            <v>-244.95496349363768</v>
          </cell>
          <cell r="BX78">
            <v>-182.90983507045186</v>
          </cell>
          <cell r="BZ78">
            <v>302.2324186210505</v>
          </cell>
          <cell r="CA78">
            <v>-0.64172717353364805</v>
          </cell>
          <cell r="CB78">
            <v>1.08114214116</v>
          </cell>
          <cell r="CC78" t="str">
            <v>—</v>
          </cell>
          <cell r="CE78">
            <v>0</v>
          </cell>
          <cell r="CF78">
            <v>0</v>
          </cell>
          <cell r="CG78">
            <v>10.327734000000001</v>
          </cell>
          <cell r="CH78">
            <v>87.816386919034755</v>
          </cell>
          <cell r="CI78">
            <v>786.50532510762946</v>
          </cell>
          <cell r="CJ78">
            <v>4.6938003333333329</v>
          </cell>
          <cell r="CK78">
            <v>39.911231853250115</v>
          </cell>
          <cell r="CL78">
            <v>357.45488382627133</v>
          </cell>
          <cell r="CM78">
            <v>3.1628586666666667</v>
          </cell>
          <cell r="CN78">
            <v>26.893684562579008</v>
          </cell>
          <cell r="CO78">
            <v>240.86650410401256</v>
          </cell>
          <cell r="CP78">
            <v>3.109985</v>
          </cell>
          <cell r="CQ78">
            <v>26.444101491420504</v>
          </cell>
          <cell r="CR78">
            <v>236.83992669687763</v>
          </cell>
          <cell r="CS78" t="str">
            <v/>
          </cell>
          <cell r="CT78">
            <v>0.12890498784075641</v>
          </cell>
          <cell r="CU78">
            <v>0.36478581024777645</v>
          </cell>
          <cell r="CV78">
            <v>1.2890498784075641</v>
          </cell>
          <cell r="CW78">
            <v>0</v>
          </cell>
          <cell r="CX78">
            <v>0</v>
          </cell>
          <cell r="CY78">
            <v>0</v>
          </cell>
          <cell r="CZ78">
            <v>37.566085846241229</v>
          </cell>
        </row>
        <row r="79">
          <cell r="B79" t="str">
            <v>KNA</v>
          </cell>
          <cell r="C79" t="str">
            <v>HIC</v>
          </cell>
          <cell r="D79" t="str">
            <v>HIC</v>
          </cell>
          <cell r="E79" t="str">
            <v/>
          </cell>
          <cell r="F79" t="str">
            <v xml:space="preserve"> </v>
          </cell>
          <cell r="G79" t="str">
            <v/>
          </cell>
          <cell r="H79" t="e">
            <v>#REF!</v>
          </cell>
          <cell r="I79" t="str">
            <v/>
          </cell>
          <cell r="J79" t="str">
            <v/>
          </cell>
          <cell r="K79" t="str">
            <v/>
          </cell>
          <cell r="M79" t="str">
            <v/>
          </cell>
          <cell r="P79" t="str">
            <v/>
          </cell>
          <cell r="Q79" t="str">
            <v/>
          </cell>
          <cell r="R79" t="str">
            <v/>
          </cell>
          <cell r="S79" t="str">
            <v/>
          </cell>
          <cell r="T79" t="str">
            <v/>
          </cell>
          <cell r="U79" t="str">
            <v/>
          </cell>
          <cell r="V79" t="str">
            <v/>
          </cell>
          <cell r="W79" t="str">
            <v/>
          </cell>
          <cell r="X79" t="str">
            <v>YES</v>
          </cell>
          <cell r="Y79" t="str">
            <v/>
          </cell>
          <cell r="Z79" t="str">
            <v>YES</v>
          </cell>
          <cell r="AA79" t="str">
            <v/>
          </cell>
          <cell r="AB79" t="str">
            <v/>
          </cell>
          <cell r="AC79" t="str">
            <v/>
          </cell>
          <cell r="AD79" t="str">
            <v/>
          </cell>
          <cell r="AE79" t="str">
            <v>YES</v>
          </cell>
          <cell r="AF79" t="str">
            <v>YES</v>
          </cell>
          <cell r="AG79" t="b">
            <v>1</v>
          </cell>
          <cell r="AK79">
            <v>5.2823000000000002E-2</v>
          </cell>
          <cell r="AL79">
            <v>5.5831000000000006E-2</v>
          </cell>
          <cell r="AM79">
            <v>19030</v>
          </cell>
          <cell r="AN79">
            <v>9.999999999999999E-14</v>
          </cell>
          <cell r="AO79">
            <v>9.999999999999999E-14</v>
          </cell>
          <cell r="AP79">
            <v>5.2822999999999999E-15</v>
          </cell>
          <cell r="AQ79">
            <v>5.2822999999999999E-15</v>
          </cell>
          <cell r="AR79">
            <v>5.5830999999999995E-12</v>
          </cell>
          <cell r="AS79">
            <v>0.30131742138364781</v>
          </cell>
          <cell r="AT79">
            <v>6220.0021539630861</v>
          </cell>
          <cell r="AU79">
            <v>6.2200021539630864E+16</v>
          </cell>
          <cell r="AV79">
            <v>0.30131742138364781</v>
          </cell>
          <cell r="AW79">
            <v>6220.0021539630861</v>
          </cell>
          <cell r="AX79">
            <v>6.2200021539630864E+16</v>
          </cell>
          <cell r="AY79">
            <v>328.55917377879217</v>
          </cell>
          <cell r="AZ79">
            <v>328.55917377879211</v>
          </cell>
          <cell r="BA79">
            <v>-5.6843418860808015E-14</v>
          </cell>
          <cell r="BB79">
            <v>0</v>
          </cell>
          <cell r="BC79">
            <v>0</v>
          </cell>
          <cell r="BD79">
            <v>0</v>
          </cell>
          <cell r="BE79">
            <v>0</v>
          </cell>
          <cell r="BF79">
            <v>0</v>
          </cell>
          <cell r="BG79">
            <v>825.70760434638976</v>
          </cell>
          <cell r="BH79">
            <v>906.43752867521823</v>
          </cell>
          <cell r="BI79"/>
          <cell r="BJ79" t="str">
            <v/>
          </cell>
          <cell r="BK79">
            <v>325.37524527915423</v>
          </cell>
          <cell r="BL79" t="str">
            <v/>
          </cell>
          <cell r="BM79" t="str">
            <v/>
          </cell>
          <cell r="BN79">
            <v>43.616352784389349</v>
          </cell>
          <cell r="BO79">
            <v>47.880749577211056</v>
          </cell>
          <cell r="BP79">
            <v>0</v>
          </cell>
          <cell r="BQ79" t="str">
            <v/>
          </cell>
          <cell r="BR79">
            <v>17.187296581380764</v>
          </cell>
          <cell r="BS79" t="str">
            <v/>
          </cell>
          <cell r="BT79" t="str">
            <v/>
          </cell>
          <cell r="BU79" t="str">
            <v/>
          </cell>
          <cell r="BV79">
            <v>-26.562794419244597</v>
          </cell>
          <cell r="BW79">
            <v>-418.29282644622765</v>
          </cell>
          <cell r="BX79" t="str">
            <v/>
          </cell>
          <cell r="BZ79" t="str">
            <v/>
          </cell>
          <cell r="CA79" t="str">
            <v/>
          </cell>
          <cell r="CB79">
            <v>0</v>
          </cell>
          <cell r="CC79" t="str">
            <v>—</v>
          </cell>
          <cell r="CD79" t="e">
            <v>#VALUE!</v>
          </cell>
          <cell r="CE79" t="e">
            <v>#VALUE!</v>
          </cell>
          <cell r="CF79">
            <v>0</v>
          </cell>
          <cell r="CG79">
            <v>0</v>
          </cell>
          <cell r="CH79">
            <v>0</v>
          </cell>
          <cell r="CI79">
            <v>0</v>
          </cell>
          <cell r="CJ79">
            <v>0</v>
          </cell>
          <cell r="CK79">
            <v>0</v>
          </cell>
          <cell r="CL79">
            <v>0</v>
          </cell>
          <cell r="CM79">
            <v>0</v>
          </cell>
          <cell r="CN79">
            <v>0</v>
          </cell>
          <cell r="CO79">
            <v>0</v>
          </cell>
          <cell r="CP79">
            <v>0</v>
          </cell>
          <cell r="CQ79">
            <v>0</v>
          </cell>
          <cell r="CR79">
            <v>0</v>
          </cell>
          <cell r="CS79" t="str">
            <v/>
          </cell>
          <cell r="CT79">
            <v>5.5170505060612732E-2</v>
          </cell>
          <cell r="CU79" t="str">
            <v/>
          </cell>
          <cell r="CV79">
            <v>0.55170505060612729</v>
          </cell>
          <cell r="CW79" t="e">
            <v>#N/A</v>
          </cell>
          <cell r="CX79" t="e">
            <v>#N/A</v>
          </cell>
          <cell r="CY79" t="e">
            <v>#N/A</v>
          </cell>
          <cell r="CZ79">
            <v>91.497102361600398</v>
          </cell>
        </row>
        <row r="80">
          <cell r="B80" t="str">
            <v>LAO</v>
          </cell>
          <cell r="C80" t="str">
            <v>LMIC</v>
          </cell>
          <cell r="D80" t="str">
            <v>ULMIC</v>
          </cell>
          <cell r="E80" t="str">
            <v>LMIC_LDC</v>
          </cell>
          <cell r="F80" t="b">
            <v>1</v>
          </cell>
          <cell r="G80" t="str">
            <v/>
          </cell>
          <cell r="H80" t="e">
            <v>#REF!</v>
          </cell>
          <cell r="I80" t="str">
            <v/>
          </cell>
          <cell r="J80" t="str">
            <v/>
          </cell>
          <cell r="K80" t="b">
            <v>1</v>
          </cell>
          <cell r="M80" t="b">
            <v>1</v>
          </cell>
          <cell r="P80" t="str">
            <v/>
          </cell>
          <cell r="Q80" t="str">
            <v/>
          </cell>
          <cell r="R80" t="str">
            <v>YES</v>
          </cell>
          <cell r="S80" t="str">
            <v/>
          </cell>
          <cell r="T80" t="str">
            <v>YES</v>
          </cell>
          <cell r="U80" t="str">
            <v/>
          </cell>
          <cell r="V80" t="str">
            <v>YES</v>
          </cell>
          <cell r="W80" t="str">
            <v/>
          </cell>
          <cell r="X80" t="str">
            <v/>
          </cell>
          <cell r="Y80" t="str">
            <v/>
          </cell>
          <cell r="Z80" t="str">
            <v/>
          </cell>
          <cell r="AA80" t="str">
            <v/>
          </cell>
          <cell r="AB80" t="str">
            <v/>
          </cell>
          <cell r="AC80" t="str">
            <v/>
          </cell>
          <cell r="AD80" t="str">
            <v/>
          </cell>
          <cell r="AE80" t="str">
            <v/>
          </cell>
          <cell r="AF80" t="str">
            <v/>
          </cell>
          <cell r="AG80" t="str">
            <v/>
          </cell>
          <cell r="AK80">
            <v>7.1694550000000001</v>
          </cell>
          <cell r="AL80">
            <v>8.2262769999999996</v>
          </cell>
          <cell r="AM80">
            <v>2570</v>
          </cell>
          <cell r="AN80">
            <v>8.6390389999999997E-2</v>
          </cell>
          <cell r="AO80">
            <v>1.4750000000000001E-2</v>
          </cell>
          <cell r="AP80">
            <v>0.61937201353744997</v>
          </cell>
          <cell r="AQ80">
            <v>0.10574946125000001</v>
          </cell>
          <cell r="AR80">
            <v>121.33758575000002</v>
          </cell>
          <cell r="AS80">
            <v>0.14499999999999999</v>
          </cell>
          <cell r="AT80">
            <v>392.17696790410253</v>
          </cell>
          <cell r="AU80">
            <v>4539.5902009946076</v>
          </cell>
          <cell r="AV80">
            <v>0.17500445113313282</v>
          </cell>
          <cell r="AW80">
            <v>473.32906906974972</v>
          </cell>
          <cell r="AX80">
            <v>5478.9551137545477</v>
          </cell>
          <cell r="AY80">
            <v>2811.6951234249073</v>
          </cell>
          <cell r="AZ80">
            <v>3393.5114608874628</v>
          </cell>
          <cell r="BA80">
            <v>581.81633746255557</v>
          </cell>
          <cell r="BB80">
            <v>508.13781236196763</v>
          </cell>
          <cell r="BC80">
            <v>530.13599416799002</v>
          </cell>
          <cell r="BD80">
            <v>73.943695046274783</v>
          </cell>
          <cell r="BE80">
            <v>855.92500562012492</v>
          </cell>
          <cell r="BF80">
            <v>8.6229382500000007</v>
          </cell>
          <cell r="BG80">
            <v>114.52816538792212</v>
          </cell>
          <cell r="BH80">
            <v>59.847609936797213</v>
          </cell>
          <cell r="BI80"/>
          <cell r="BJ80">
            <v>11.055065506118437</v>
          </cell>
          <cell r="BK80">
            <v>13.484937188431244</v>
          </cell>
          <cell r="BL80">
            <v>185.43084083083775</v>
          </cell>
          <cell r="BM80">
            <v>198.915778019269</v>
          </cell>
          <cell r="BN80">
            <v>821.10452798126516</v>
          </cell>
          <cell r="BO80">
            <v>429.07474629942044</v>
          </cell>
          <cell r="BP80">
            <v>0</v>
          </cell>
          <cell r="BQ80">
            <v>79.258794668168363</v>
          </cell>
          <cell r="BR80">
            <v>96.679650350284334</v>
          </cell>
          <cell r="BS80">
            <v>1329.4380689488539</v>
          </cell>
          <cell r="BT80">
            <v>1426.1177192991383</v>
          </cell>
          <cell r="BU80">
            <v>-51.233693704037108</v>
          </cell>
          <cell r="BV80">
            <v>-11.151750423665248</v>
          </cell>
          <cell r="BW80">
            <v>19.862351573972163</v>
          </cell>
          <cell r="BX80">
            <v>-59.944294854344022</v>
          </cell>
          <cell r="BZ80">
            <v>37.5732138926871</v>
          </cell>
          <cell r="CA80">
            <v>-0.73336921811136968</v>
          </cell>
          <cell r="CB80">
            <v>0.33497284642000003</v>
          </cell>
          <cell r="CC80" t="e">
            <v>#N/A</v>
          </cell>
          <cell r="CE80">
            <v>0</v>
          </cell>
          <cell r="CF80">
            <v>0</v>
          </cell>
          <cell r="CG80">
            <v>91.93239366666667</v>
          </cell>
          <cell r="CH80">
            <v>12.822786901747298</v>
          </cell>
          <cell r="CI80">
            <v>148.42839465995348</v>
          </cell>
          <cell r="CJ80">
            <v>68.908183666666659</v>
          </cell>
          <cell r="CK80">
            <v>9.6113559073411654</v>
          </cell>
          <cell r="CL80">
            <v>111.25491975833384</v>
          </cell>
          <cell r="CM80">
            <v>4.8904999999999994</v>
          </cell>
          <cell r="CN80">
            <v>0.68212995269514898</v>
          </cell>
          <cell r="CO80">
            <v>7.895900836830914</v>
          </cell>
          <cell r="CP80">
            <v>10.187363666666668</v>
          </cell>
          <cell r="CQ80">
            <v>1.4209397599492106</v>
          </cell>
          <cell r="CR80">
            <v>16.447891483638525</v>
          </cell>
          <cell r="CS80">
            <v>0.52</v>
          </cell>
          <cell r="CT80">
            <v>0.11115028966636933</v>
          </cell>
          <cell r="CU80">
            <v>0.32420051454399251</v>
          </cell>
          <cell r="CV80">
            <v>1.1115028966636933</v>
          </cell>
          <cell r="CW80">
            <v>0</v>
          </cell>
          <cell r="CX80">
            <v>0</v>
          </cell>
          <cell r="CY80">
            <v>0</v>
          </cell>
          <cell r="CZ80">
            <v>1250.1792742806856</v>
          </cell>
        </row>
        <row r="81">
          <cell r="B81" t="str">
            <v>LBN</v>
          </cell>
          <cell r="C81" t="str">
            <v>UMIC</v>
          </cell>
          <cell r="D81" t="str">
            <v>UMIC</v>
          </cell>
          <cell r="E81" t="str">
            <v/>
          </cell>
          <cell r="F81" t="str">
            <v xml:space="preserve"> </v>
          </cell>
          <cell r="G81" t="b">
            <v>1</v>
          </cell>
          <cell r="H81" t="e">
            <v>#REF!</v>
          </cell>
          <cell r="I81" t="str">
            <v/>
          </cell>
          <cell r="J81" t="str">
            <v/>
          </cell>
          <cell r="K81" t="b">
            <v>1</v>
          </cell>
          <cell r="M81" t="str">
            <v/>
          </cell>
          <cell r="P81" t="str">
            <v/>
          </cell>
          <cell r="Q81" t="str">
            <v/>
          </cell>
          <cell r="R81" t="str">
            <v>YES</v>
          </cell>
          <cell r="S81" t="str">
            <v/>
          </cell>
          <cell r="T81" t="str">
            <v>YES</v>
          </cell>
          <cell r="U81" t="str">
            <v/>
          </cell>
          <cell r="V81" t="str">
            <v>YES</v>
          </cell>
          <cell r="W81" t="str">
            <v/>
          </cell>
          <cell r="X81" t="str">
            <v/>
          </cell>
          <cell r="Y81" t="str">
            <v/>
          </cell>
          <cell r="Z81" t="str">
            <v/>
          </cell>
          <cell r="AA81" t="str">
            <v/>
          </cell>
          <cell r="AB81" t="str">
            <v/>
          </cell>
          <cell r="AC81" t="str">
            <v/>
          </cell>
          <cell r="AD81" t="str">
            <v/>
          </cell>
          <cell r="AE81" t="str">
            <v/>
          </cell>
          <cell r="AF81" t="str">
            <v/>
          </cell>
          <cell r="AK81">
            <v>6.8557129999999997</v>
          </cell>
          <cell r="AL81">
            <v>6.1948419999999995</v>
          </cell>
          <cell r="AM81">
            <v>7600</v>
          </cell>
          <cell r="AN81">
            <v>9.999999999999999E-14</v>
          </cell>
          <cell r="AO81">
            <v>9.999999999999999E-14</v>
          </cell>
          <cell r="AP81">
            <v>6.8557129999999992E-13</v>
          </cell>
          <cell r="AQ81">
            <v>6.8557129999999992E-13</v>
          </cell>
          <cell r="AR81">
            <v>6.1948420000000001E-10</v>
          </cell>
          <cell r="AS81">
            <v>0.18955538925761739</v>
          </cell>
          <cell r="AT81">
            <v>1499.1481533446208</v>
          </cell>
          <cell r="AU81">
            <v>1.499148153344621E+16</v>
          </cell>
          <cell r="AV81">
            <v>0.20912754187320454</v>
          </cell>
          <cell r="AW81">
            <v>1653.9396186020901</v>
          </cell>
          <cell r="AX81">
            <v>1.6539396186020904E+16</v>
          </cell>
          <cell r="AY81">
            <v>10277.72948381071</v>
          </cell>
          <cell r="AZ81">
            <v>11338.93534446539</v>
          </cell>
          <cell r="BA81">
            <v>1061.2058606546798</v>
          </cell>
          <cell r="BB81">
            <v>619.27329637042828</v>
          </cell>
          <cell r="BC81">
            <v>721.99393631215901</v>
          </cell>
          <cell r="BD81">
            <v>105.31274227963729</v>
          </cell>
          <cell r="BE81">
            <v>1053127422796373</v>
          </cell>
          <cell r="BF81">
            <v>420.97886525000001</v>
          </cell>
          <cell r="BG81">
            <v>316.35041540437271</v>
          </cell>
          <cell r="BH81">
            <v>674.40030902824356</v>
          </cell>
          <cell r="BI81"/>
          <cell r="BJ81">
            <v>0</v>
          </cell>
          <cell r="BK81">
            <v>8.7018327983583568</v>
          </cell>
          <cell r="BL81">
            <v>990.75072443261627</v>
          </cell>
          <cell r="BM81">
            <v>999.45255723097466</v>
          </cell>
          <cell r="BN81">
            <v>2168.8076554431582</v>
          </cell>
          <cell r="BO81">
            <v>4623.4949658089463</v>
          </cell>
          <cell r="BP81">
            <v>0</v>
          </cell>
          <cell r="BQ81">
            <v>0</v>
          </cell>
          <cell r="BR81">
            <v>59.65726823953176</v>
          </cell>
          <cell r="BS81">
            <v>6792.3026212521045</v>
          </cell>
          <cell r="BT81">
            <v>6851.9598894916362</v>
          </cell>
          <cell r="BU81">
            <v>163.78091513157119</v>
          </cell>
          <cell r="BV81">
            <v>426.30936623793002</v>
          </cell>
          <cell r="BW81">
            <v>-14.437508316045353</v>
          </cell>
          <cell r="BX81">
            <v>-248.09094279031351</v>
          </cell>
          <cell r="BZ81">
            <v>83.359148899768641</v>
          </cell>
          <cell r="CA81">
            <v>0.50896741438282467</v>
          </cell>
          <cell r="CB81">
            <v>0.60663029931000012</v>
          </cell>
          <cell r="CC81" t="str">
            <v>—</v>
          </cell>
          <cell r="CE81">
            <v>1122.8349490194094</v>
          </cell>
          <cell r="CF81">
            <v>309.63664818521414</v>
          </cell>
          <cell r="CG81">
            <v>270.98502400000001</v>
          </cell>
          <cell r="CH81">
            <v>39.526891513690849</v>
          </cell>
          <cell r="CI81">
            <v>395268915136908.5</v>
          </cell>
          <cell r="CJ81">
            <v>47.074702333333335</v>
          </cell>
          <cell r="CK81">
            <v>6.8664925636959042</v>
          </cell>
          <cell r="CL81">
            <v>68664925636959.047</v>
          </cell>
          <cell r="CM81">
            <v>12.889398999999999</v>
          </cell>
          <cell r="CN81">
            <v>1.8800960600305177</v>
          </cell>
          <cell r="CO81">
            <v>18800960600305.18</v>
          </cell>
          <cell r="CP81">
            <v>197.58766200000002</v>
          </cell>
          <cell r="CQ81">
            <v>28.820877128316198</v>
          </cell>
          <cell r="CR81">
            <v>288208771283162</v>
          </cell>
          <cell r="CS81" t="str">
            <v/>
          </cell>
          <cell r="CT81">
            <v>8.2577406609640761E-2</v>
          </cell>
          <cell r="CU81">
            <v>0.24958060525579179</v>
          </cell>
          <cell r="CV81">
            <v>0.82577406609640758</v>
          </cell>
          <cell r="CW81">
            <v>0</v>
          </cell>
          <cell r="CX81">
            <v>0</v>
          </cell>
          <cell r="CY81">
            <v>0</v>
          </cell>
          <cell r="CZ81">
            <v>6792.3026212521045</v>
          </cell>
        </row>
        <row r="82">
          <cell r="B82" t="str">
            <v>LBR</v>
          </cell>
          <cell r="C82" t="str">
            <v>LIC</v>
          </cell>
          <cell r="D82" t="str">
            <v>OLIC</v>
          </cell>
          <cell r="E82" t="str">
            <v>OLIC_LDC</v>
          </cell>
          <cell r="F82" t="b">
            <v>1</v>
          </cell>
          <cell r="G82" t="b">
            <v>1</v>
          </cell>
          <cell r="H82" t="e">
            <v>#REF!</v>
          </cell>
          <cell r="I82" t="str">
            <v/>
          </cell>
          <cell r="J82" t="str">
            <v/>
          </cell>
          <cell r="K82" t="str">
            <v/>
          </cell>
          <cell r="M82" t="b">
            <v>1</v>
          </cell>
          <cell r="N82" t="b">
            <v>1</v>
          </cell>
          <cell r="P82" t="b">
            <v>1</v>
          </cell>
          <cell r="Q82" t="b">
            <v>1</v>
          </cell>
          <cell r="R82" t="str">
            <v>YES</v>
          </cell>
          <cell r="S82" t="str">
            <v>YES</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K82">
            <v>4.9373740000000002</v>
          </cell>
          <cell r="AL82">
            <v>6.3715580000000003</v>
          </cell>
          <cell r="AM82">
            <v>580</v>
          </cell>
          <cell r="AN82">
            <v>0.42083779999999998</v>
          </cell>
          <cell r="AO82">
            <v>0.42225000000000001</v>
          </cell>
          <cell r="AP82">
            <v>2.0778336119372001</v>
          </cell>
          <cell r="AQ82">
            <v>2.0848061714999999</v>
          </cell>
          <cell r="AR82">
            <v>2690.3903655000004</v>
          </cell>
          <cell r="AS82">
            <v>0.13023399014778322</v>
          </cell>
          <cell r="AT82">
            <v>83.855033626860262</v>
          </cell>
          <cell r="AU82">
            <v>199.25737095588909</v>
          </cell>
          <cell r="AV82">
            <v>0.21147044334975368</v>
          </cell>
          <cell r="AW82">
            <v>136.16154368040364</v>
          </cell>
          <cell r="AX82">
            <v>323.54874890136688</v>
          </cell>
          <cell r="AY82">
            <v>414.0236627983856</v>
          </cell>
          <cell r="AZ82">
            <v>672.28046556748927</v>
          </cell>
          <cell r="BA82">
            <v>258.25680276910367</v>
          </cell>
          <cell r="BB82">
            <v>656.13927113896466</v>
          </cell>
          <cell r="BC82">
            <v>590.59745533697901</v>
          </cell>
          <cell r="BD82">
            <v>119.61772702189037</v>
          </cell>
          <cell r="BE82">
            <v>284.23712656489124</v>
          </cell>
          <cell r="BF82">
            <v>39.170227000000004</v>
          </cell>
          <cell r="BG82">
            <v>51.396348498546033</v>
          </cell>
          <cell r="BH82">
            <v>167.31782634532678</v>
          </cell>
          <cell r="BI82"/>
          <cell r="BJ82">
            <v>96.665189577944531</v>
          </cell>
          <cell r="BK82">
            <v>27.092582295837563</v>
          </cell>
          <cell r="BL82">
            <v>315.37936442181734</v>
          </cell>
          <cell r="BM82">
            <v>342.47194671765493</v>
          </cell>
          <cell r="BN82">
            <v>253.76299477166023</v>
          </cell>
          <cell r="BO82">
            <v>826.11068553393147</v>
          </cell>
          <cell r="BP82">
            <v>0</v>
          </cell>
          <cell r="BQ82">
            <v>477.2721937272143</v>
          </cell>
          <cell r="BR82">
            <v>133.76621142032869</v>
          </cell>
          <cell r="BS82">
            <v>1557.145874032806</v>
          </cell>
          <cell r="BT82">
            <v>1690.9120854531348</v>
          </cell>
          <cell r="BU82">
            <v>247.29859258161554</v>
          </cell>
          <cell r="BV82">
            <v>146.89359479326623</v>
          </cell>
          <cell r="BW82">
            <v>24.164039762465304</v>
          </cell>
          <cell r="BX82">
            <v>76.240958025883984</v>
          </cell>
          <cell r="BZ82">
            <v>63.775570003100732</v>
          </cell>
          <cell r="CA82">
            <v>0.25788893231186905</v>
          </cell>
          <cell r="CB82">
            <v>0.56359367453000009</v>
          </cell>
          <cell r="CC82" t="str">
            <v>—</v>
          </cell>
          <cell r="CD82" t="e">
            <v>#VALUE!</v>
          </cell>
          <cell r="CE82">
            <v>1221.0056412490615</v>
          </cell>
          <cell r="CF82">
            <v>295.29872766848951</v>
          </cell>
          <cell r="CG82">
            <v>49.166606999999999</v>
          </cell>
          <cell r="CH82">
            <v>9.9580479420841925</v>
          </cell>
          <cell r="CI82">
            <v>23.662437029383277</v>
          </cell>
          <cell r="CJ82">
            <v>110.22698099999999</v>
          </cell>
          <cell r="CK82">
            <v>22.325021560043858</v>
          </cell>
          <cell r="CL82">
            <v>53.048993127622708</v>
          </cell>
          <cell r="CM82">
            <v>30.044456333333333</v>
          </cell>
          <cell r="CN82">
            <v>6.0851084672405475</v>
          </cell>
          <cell r="CO82">
            <v>14.459510213294879</v>
          </cell>
          <cell r="CP82">
            <v>23.751148333333333</v>
          </cell>
          <cell r="CQ82">
            <v>4.8104819147452336</v>
          </cell>
          <cell r="CR82">
            <v>11.430726790096408</v>
          </cell>
          <cell r="CS82" t="str">
            <v/>
          </cell>
          <cell r="CT82">
            <v>0.14997709308632481</v>
          </cell>
          <cell r="CU82">
            <v>0.41355911057173311</v>
          </cell>
          <cell r="CV82">
            <v>1.4997709308632481</v>
          </cell>
          <cell r="CW82">
            <v>1018.6316198856455</v>
          </cell>
          <cell r="CX82">
            <v>206.31040303725126</v>
          </cell>
          <cell r="CY82">
            <v>490.23733855953833</v>
          </cell>
          <cell r="CZ82">
            <v>1079.8736803055917</v>
          </cell>
        </row>
        <row r="83">
          <cell r="B83" t="str">
            <v>LBY</v>
          </cell>
          <cell r="C83" t="str">
            <v>UMIC</v>
          </cell>
          <cell r="D83" t="str">
            <v>UMIC</v>
          </cell>
          <cell r="E83" t="str">
            <v/>
          </cell>
          <cell r="F83" t="str">
            <v xml:space="preserve"> </v>
          </cell>
          <cell r="G83" t="b">
            <v>1</v>
          </cell>
          <cell r="H83" t="e">
            <v>#REF!</v>
          </cell>
          <cell r="I83" t="str">
            <v/>
          </cell>
          <cell r="J83" t="str">
            <v/>
          </cell>
          <cell r="K83" t="b">
            <v>1</v>
          </cell>
          <cell r="M83" t="b">
            <v>1</v>
          </cell>
          <cell r="P83" t="str">
            <v/>
          </cell>
          <cell r="Q83" t="b">
            <v>1</v>
          </cell>
          <cell r="R83" t="str">
            <v/>
          </cell>
          <cell r="S83" t="str">
            <v/>
          </cell>
          <cell r="T83" t="str">
            <v>YES</v>
          </cell>
          <cell r="U83" t="str">
            <v>YES</v>
          </cell>
          <cell r="V83" t="str">
            <v/>
          </cell>
          <cell r="W83" t="str">
            <v/>
          </cell>
          <cell r="X83" t="str">
            <v/>
          </cell>
          <cell r="Y83" t="str">
            <v/>
          </cell>
          <cell r="Z83" t="str">
            <v/>
          </cell>
          <cell r="AA83" t="str">
            <v/>
          </cell>
          <cell r="AB83" t="str">
            <v/>
          </cell>
          <cell r="AC83" t="str">
            <v/>
          </cell>
          <cell r="AD83" t="str">
            <v/>
          </cell>
          <cell r="AE83" t="str">
            <v/>
          </cell>
          <cell r="AF83" t="str">
            <v/>
          </cell>
          <cell r="AK83">
            <v>6.7774520000000003</v>
          </cell>
          <cell r="AL83">
            <v>7.606414</v>
          </cell>
          <cell r="AM83">
            <v>7640</v>
          </cell>
          <cell r="AN83">
            <v>0.36</v>
          </cell>
          <cell r="AO83">
            <v>0.37</v>
          </cell>
          <cell r="AP83">
            <v>2.4398827199999999</v>
          </cell>
          <cell r="AQ83">
            <v>2.5076572399999999</v>
          </cell>
          <cell r="AR83">
            <v>2814.37318</v>
          </cell>
          <cell r="AS83">
            <v>0.3337</v>
          </cell>
          <cell r="AT83">
            <v>2709.8610039490654</v>
          </cell>
          <cell r="AU83">
            <v>7527.391677636293</v>
          </cell>
          <cell r="AV83">
            <v>0.40010976933514247</v>
          </cell>
          <cell r="AW83">
            <v>3249.1515169923832</v>
          </cell>
          <cell r="AX83">
            <v>9025.4208805343987</v>
          </cell>
          <cell r="AY83">
            <v>18365.952880936606</v>
          </cell>
          <cell r="AZ83">
            <v>22020.968447143063</v>
          </cell>
          <cell r="BA83">
            <v>3655.0155662064572</v>
          </cell>
          <cell r="BB83">
            <v>152.96567330177658</v>
          </cell>
          <cell r="BC83">
            <v>192.48427167543613</v>
          </cell>
          <cell r="BD83">
            <v>28.400683866951198</v>
          </cell>
          <cell r="BE83">
            <v>78.890788519308884</v>
          </cell>
          <cell r="BF83">
            <v>78.972849499999995</v>
          </cell>
          <cell r="BG83">
            <v>324.82601186084099</v>
          </cell>
          <cell r="BH83">
            <v>302.3060920634436</v>
          </cell>
          <cell r="BI83"/>
          <cell r="BJ83">
            <v>83.048237531940927</v>
          </cell>
          <cell r="BK83">
            <v>29.817047992698182</v>
          </cell>
          <cell r="BL83">
            <v>710.18034145622551</v>
          </cell>
          <cell r="BM83">
            <v>739.99738944892374</v>
          </cell>
          <cell r="BN83">
            <v>2201.4927037382804</v>
          </cell>
          <cell r="BO83">
            <v>2048.8650282675699</v>
          </cell>
          <cell r="BP83">
            <v>0</v>
          </cell>
          <cell r="BQ83">
            <v>562.85544355732816</v>
          </cell>
          <cell r="BR83">
            <v>202.08361155220828</v>
          </cell>
          <cell r="BS83">
            <v>4813.2131755631781</v>
          </cell>
          <cell r="BT83">
            <v>5015.296787115386</v>
          </cell>
          <cell r="BU83">
            <v>-914.39541703996611</v>
          </cell>
          <cell r="BV83">
            <v>-185.06663548541388</v>
          </cell>
          <cell r="BW83">
            <v>-325.00429153763565</v>
          </cell>
          <cell r="BX83">
            <v>-404.32449001691657</v>
          </cell>
          <cell r="BZ83">
            <v>20.026487917246488</v>
          </cell>
          <cell r="CA83">
            <v>-2.1901343274526908E-2</v>
          </cell>
          <cell r="CB83">
            <v>0.54559931252000005</v>
          </cell>
          <cell r="CC83" t="e">
            <v>#N/A</v>
          </cell>
          <cell r="CE83">
            <v>0</v>
          </cell>
          <cell r="CF83">
            <v>0</v>
          </cell>
          <cell r="CG83">
            <v>10.651534333333332</v>
          </cell>
          <cell r="CH83">
            <v>1.5716133929584941</v>
          </cell>
          <cell r="CI83">
            <v>4.3655927582180389</v>
          </cell>
          <cell r="CJ83">
            <v>14.132004333333333</v>
          </cell>
          <cell r="CK83">
            <v>2.0851500436053745</v>
          </cell>
          <cell r="CL83">
            <v>5.792083454459374</v>
          </cell>
          <cell r="CM83">
            <v>4.1852879999999999</v>
          </cell>
          <cell r="CN83">
            <v>0.61753119018769886</v>
          </cell>
          <cell r="CO83">
            <v>1.7153644171880524</v>
          </cell>
          <cell r="CP83">
            <v>10.961907333333334</v>
          </cell>
          <cell r="CQ83">
            <v>1.6174083318234247</v>
          </cell>
          <cell r="CR83">
            <v>4.4928009217317353</v>
          </cell>
          <cell r="CS83" t="str">
            <v/>
          </cell>
          <cell r="CT83">
            <v>9.206970407167768E-2</v>
          </cell>
          <cell r="CU83">
            <v>0.28169435947314714</v>
          </cell>
          <cell r="CV83">
            <v>0.92069704071677683</v>
          </cell>
          <cell r="CW83">
            <v>0</v>
          </cell>
          <cell r="CX83">
            <v>0</v>
          </cell>
          <cell r="CY83">
            <v>0</v>
          </cell>
          <cell r="CZ83">
            <v>4250.3577320058503</v>
          </cell>
        </row>
        <row r="84">
          <cell r="B84" t="str">
            <v>LCA</v>
          </cell>
          <cell r="C84" t="str">
            <v>UMIC</v>
          </cell>
          <cell r="D84" t="str">
            <v>UMIC</v>
          </cell>
          <cell r="E84" t="str">
            <v/>
          </cell>
          <cell r="F84" t="str">
            <v xml:space="preserve"> </v>
          </cell>
          <cell r="G84" t="str">
            <v/>
          </cell>
          <cell r="H84" t="e">
            <v>#REF!</v>
          </cell>
          <cell r="I84" t="str">
            <v/>
          </cell>
          <cell r="J84" t="str">
            <v/>
          </cell>
          <cell r="K84" t="b">
            <v>1</v>
          </cell>
          <cell r="M84" t="str">
            <v/>
          </cell>
          <cell r="P84" t="str">
            <v/>
          </cell>
          <cell r="Q84" t="str">
            <v/>
          </cell>
          <cell r="R84" t="str">
            <v/>
          </cell>
          <cell r="S84" t="str">
            <v/>
          </cell>
          <cell r="T84" t="str">
            <v>YES</v>
          </cell>
          <cell r="U84" t="str">
            <v>YES</v>
          </cell>
          <cell r="V84" t="str">
            <v/>
          </cell>
          <cell r="W84" t="str">
            <v/>
          </cell>
          <cell r="X84" t="str">
            <v>YES</v>
          </cell>
          <cell r="Y84" t="str">
            <v/>
          </cell>
          <cell r="Z84" t="str">
            <v>YES</v>
          </cell>
          <cell r="AA84" t="str">
            <v/>
          </cell>
          <cell r="AB84" t="str">
            <v/>
          </cell>
          <cell r="AC84" t="str">
            <v/>
          </cell>
          <cell r="AD84" t="str">
            <v/>
          </cell>
          <cell r="AE84" t="str">
            <v>YES</v>
          </cell>
          <cell r="AF84" t="str">
            <v>YES</v>
          </cell>
          <cell r="AG84" t="str">
            <v/>
          </cell>
          <cell r="AK84">
            <v>0.18279000000000001</v>
          </cell>
          <cell r="AL84">
            <v>0.18874199999999999</v>
          </cell>
          <cell r="AM84">
            <v>11020</v>
          </cell>
          <cell r="AN84">
            <v>4.5802459999999996E-2</v>
          </cell>
          <cell r="AO84">
            <v>5.5999999999999994E-2</v>
          </cell>
          <cell r="AP84">
            <v>8.3722316633999989E-3</v>
          </cell>
          <cell r="AQ84">
            <v>1.0236239999999999E-2</v>
          </cell>
          <cell r="AR84">
            <v>10.569552</v>
          </cell>
          <cell r="AS84">
            <v>0.19323867157868238</v>
          </cell>
          <cell r="AT84">
            <v>2308.4293462999949</v>
          </cell>
          <cell r="AU84">
            <v>50399.680416728603</v>
          </cell>
          <cell r="AV84">
            <v>0.23263351261852369</v>
          </cell>
          <cell r="AW84">
            <v>2779.0401531651432</v>
          </cell>
          <cell r="AX84">
            <v>60674.473667247206</v>
          </cell>
          <cell r="AY84">
            <v>421.95780021017606</v>
          </cell>
          <cell r="AZ84">
            <v>507.98074959705656</v>
          </cell>
          <cell r="BA84">
            <v>86.022949386880498</v>
          </cell>
          <cell r="BB84">
            <v>21.644994014066299</v>
          </cell>
          <cell r="BC84">
            <v>19.0614138120924</v>
          </cell>
          <cell r="BD84">
            <v>104.28039724324306</v>
          </cell>
          <cell r="BE84">
            <v>2276.7422807256003</v>
          </cell>
          <cell r="BF84">
            <v>3.4083479999999997</v>
          </cell>
          <cell r="BG84">
            <v>477.84003635319038</v>
          </cell>
          <cell r="BH84">
            <v>430.42029920707824</v>
          </cell>
          <cell r="BI84"/>
          <cell r="BJ84">
            <v>120.13860264837581</v>
          </cell>
          <cell r="BK84">
            <v>22.935942172151783</v>
          </cell>
          <cell r="BL84">
            <v>1028.3989382086445</v>
          </cell>
          <cell r="BM84">
            <v>1051.3348803807962</v>
          </cell>
          <cell r="BN84">
            <v>87.34438024499967</v>
          </cell>
          <cell r="BO84">
            <v>78.676526492061839</v>
          </cell>
          <cell r="BP84">
            <v>0</v>
          </cell>
          <cell r="BQ84">
            <v>21.960135178096614</v>
          </cell>
          <cell r="BR84">
            <v>4.1924608696476247</v>
          </cell>
          <cell r="BS84">
            <v>187.98104191515813</v>
          </cell>
          <cell r="BT84">
            <v>192.17350278480575</v>
          </cell>
          <cell r="BU84">
            <v>-361.12113837392712</v>
          </cell>
          <cell r="BV84">
            <v>13.564276232306781</v>
          </cell>
          <cell r="BW84">
            <v>-77.967994279838308</v>
          </cell>
          <cell r="BX84">
            <v>-296.71742032639565</v>
          </cell>
          <cell r="BZ84">
            <v>61.463323519044806</v>
          </cell>
          <cell r="CA84">
            <v>-0.17020140054887034</v>
          </cell>
          <cell r="CB84">
            <v>0</v>
          </cell>
          <cell r="CC84" t="e">
            <v>#N/A</v>
          </cell>
          <cell r="CD84" t="e">
            <v>#N/A</v>
          </cell>
          <cell r="CE84">
            <v>0</v>
          </cell>
          <cell r="CF84">
            <v>0</v>
          </cell>
          <cell r="CG84">
            <v>1.3108023333333332</v>
          </cell>
          <cell r="CH84">
            <v>7.1710833925998854</v>
          </cell>
          <cell r="CI84">
            <v>156.56546378949702</v>
          </cell>
          <cell r="CJ84">
            <v>4.5001443333333322</v>
          </cell>
          <cell r="CK84">
            <v>24.619204186954057</v>
          </cell>
          <cell r="CL84">
            <v>537.50833878691367</v>
          </cell>
          <cell r="CM84">
            <v>3.7933666666666664E-2</v>
          </cell>
          <cell r="CN84">
            <v>0.20752594051461601</v>
          </cell>
          <cell r="CO84">
            <v>4.5308907101194134</v>
          </cell>
          <cell r="CP84">
            <v>0.10317666666666667</v>
          </cell>
          <cell r="CQ84">
            <v>0.56445465652752702</v>
          </cell>
          <cell r="CR84">
            <v>12.323675552088842</v>
          </cell>
          <cell r="CS84" t="str">
            <v/>
          </cell>
          <cell r="CT84">
            <v>5.9226434706493788E-2</v>
          </cell>
          <cell r="CU84">
            <v>0.18033809289348432</v>
          </cell>
          <cell r="CV84">
            <v>0.59226434706493791</v>
          </cell>
          <cell r="CW84">
            <v>0</v>
          </cell>
          <cell r="CX84">
            <v>0</v>
          </cell>
          <cell r="CY84">
            <v>0</v>
          </cell>
          <cell r="CZ84">
            <v>166.02090673706152</v>
          </cell>
        </row>
        <row r="85">
          <cell r="B85" t="str">
            <v>LKA</v>
          </cell>
          <cell r="C85" t="str">
            <v>LMIC</v>
          </cell>
          <cell r="D85" t="str">
            <v>ULMIC</v>
          </cell>
          <cell r="E85" t="str">
            <v>LMIC_nonLDC</v>
          </cell>
          <cell r="F85" t="str">
            <v xml:space="preserve"> </v>
          </cell>
          <cell r="G85" t="str">
            <v/>
          </cell>
          <cell r="H85" t="e">
            <v>#REF!</v>
          </cell>
          <cell r="I85" t="str">
            <v/>
          </cell>
          <cell r="J85" t="str">
            <v/>
          </cell>
          <cell r="K85" t="b">
            <v>1</v>
          </cell>
          <cell r="M85" t="str">
            <v/>
          </cell>
          <cell r="N85" t="b">
            <v>1</v>
          </cell>
          <cell r="O85" t="b">
            <v>1</v>
          </cell>
          <cell r="P85" t="str">
            <v/>
          </cell>
          <cell r="Q85" t="str">
            <v/>
          </cell>
          <cell r="R85" t="str">
            <v>YES</v>
          </cell>
          <cell r="S85" t="str">
            <v/>
          </cell>
          <cell r="T85" t="str">
            <v>YES</v>
          </cell>
          <cell r="U85" t="str">
            <v/>
          </cell>
          <cell r="V85" t="str">
            <v>YES</v>
          </cell>
          <cell r="W85" t="str">
            <v/>
          </cell>
          <cell r="X85" t="str">
            <v>YES</v>
          </cell>
          <cell r="Y85" t="str">
            <v/>
          </cell>
          <cell r="Z85" t="str">
            <v>YES</v>
          </cell>
          <cell r="AA85" t="str">
            <v/>
          </cell>
          <cell r="AB85" t="str">
            <v/>
          </cell>
          <cell r="AC85" t="str">
            <v/>
          </cell>
          <cell r="AD85" t="str">
            <v>YES</v>
          </cell>
          <cell r="AE85" t="str">
            <v>YES</v>
          </cell>
          <cell r="AF85" t="str">
            <v/>
          </cell>
          <cell r="AG85" t="str">
            <v/>
          </cell>
          <cell r="AK85">
            <v>21.803000000000001</v>
          </cell>
          <cell r="AL85">
            <v>22.023019999999999</v>
          </cell>
          <cell r="AM85">
            <v>4020</v>
          </cell>
          <cell r="AN85">
            <v>6.9043899999999998E-3</v>
          </cell>
          <cell r="AO85">
            <v>5.0000000000000001E-4</v>
          </cell>
          <cell r="AP85">
            <v>0.15053641516999999</v>
          </cell>
          <cell r="AQ85">
            <v>1.0901500000000001E-2</v>
          </cell>
          <cell r="AR85">
            <v>11.011509999999999</v>
          </cell>
          <cell r="AS85">
            <v>0.13254301175080518</v>
          </cell>
          <cell r="AT85">
            <v>538.48119679626723</v>
          </cell>
          <cell r="AU85">
            <v>77991.132713573141</v>
          </cell>
          <cell r="AV85">
            <v>0.17096622561940639</v>
          </cell>
          <cell r="AW85">
            <v>694.58281177709318</v>
          </cell>
          <cell r="AX85">
            <v>100600.17058380149</v>
          </cell>
          <cell r="AY85">
            <v>11740.505533749014</v>
          </cell>
          <cell r="AZ85">
            <v>15143.989045175966</v>
          </cell>
          <cell r="BA85">
            <v>3403.4835114269517</v>
          </cell>
          <cell r="BB85">
            <v>759.16743903957001</v>
          </cell>
          <cell r="BC85">
            <v>738.44377775089936</v>
          </cell>
          <cell r="BD85">
            <v>33.868906927986941</v>
          </cell>
          <cell r="BE85">
            <v>4905.4162537149468</v>
          </cell>
          <cell r="BF85">
            <v>26.202488000000002</v>
          </cell>
          <cell r="BG85">
            <v>116.6140912726221</v>
          </cell>
          <cell r="BH85">
            <v>204.36745425217345</v>
          </cell>
          <cell r="BI85"/>
          <cell r="BJ85">
            <v>0</v>
          </cell>
          <cell r="BK85">
            <v>11.964569388744756</v>
          </cell>
          <cell r="BL85">
            <v>320.98154552479554</v>
          </cell>
          <cell r="BM85">
            <v>332.94611491354027</v>
          </cell>
          <cell r="BN85">
            <v>2542.53703201698</v>
          </cell>
          <cell r="BO85">
            <v>4455.8236050601381</v>
          </cell>
          <cell r="BP85">
            <v>0</v>
          </cell>
          <cell r="BQ85">
            <v>0</v>
          </cell>
          <cell r="BR85">
            <v>260.86350638280192</v>
          </cell>
          <cell r="BS85">
            <v>6998.3606370771176</v>
          </cell>
          <cell r="BT85">
            <v>7259.22414345992</v>
          </cell>
          <cell r="BU85">
            <v>-26.309860363751056</v>
          </cell>
          <cell r="BV85">
            <v>100.18003248560947</v>
          </cell>
          <cell r="BW85">
            <v>-22.302471082796544</v>
          </cell>
          <cell r="BX85">
            <v>-104.18742176656397</v>
          </cell>
          <cell r="BZ85">
            <v>17.535345267873673</v>
          </cell>
          <cell r="CA85">
            <v>-0.66649328523359819</v>
          </cell>
          <cell r="CB85">
            <v>0</v>
          </cell>
          <cell r="CC85">
            <v>16728</v>
          </cell>
          <cell r="CD85">
            <v>2.4228063594321876</v>
          </cell>
          <cell r="CE85">
            <v>0</v>
          </cell>
          <cell r="CF85">
            <v>0</v>
          </cell>
          <cell r="CG85">
            <v>83.784961333333342</v>
          </cell>
          <cell r="CH85">
            <v>3.8428180219847423</v>
          </cell>
          <cell r="CI85">
            <v>556.57603669328387</v>
          </cell>
          <cell r="CJ85">
            <v>72.186385333333334</v>
          </cell>
          <cell r="CK85">
            <v>3.3108464584384412</v>
          </cell>
          <cell r="CL85">
            <v>479.52772923291434</v>
          </cell>
          <cell r="CM85">
            <v>6.1109506666666666</v>
          </cell>
          <cell r="CN85">
            <v>0.28028026724151112</v>
          </cell>
          <cell r="CO85">
            <v>40.594501069828198</v>
          </cell>
          <cell r="CP85">
            <v>22.15031733333333</v>
          </cell>
          <cell r="CQ85">
            <v>1.0159297955938784</v>
          </cell>
          <cell r="CR85">
            <v>147.14258545561279</v>
          </cell>
          <cell r="CS85">
            <v>0.39</v>
          </cell>
          <cell r="CT85">
            <v>7.6155116268403419E-2</v>
          </cell>
          <cell r="CU85">
            <v>0.23261459432188231</v>
          </cell>
          <cell r="CV85">
            <v>0.76155116268403422</v>
          </cell>
          <cell r="CW85">
            <v>0</v>
          </cell>
          <cell r="CX85">
            <v>0</v>
          </cell>
          <cell r="CY85">
            <v>0</v>
          </cell>
          <cell r="CZ85">
            <v>6998.3606370771176</v>
          </cell>
        </row>
        <row r="86">
          <cell r="B86" t="str">
            <v>LSO</v>
          </cell>
          <cell r="C86" t="str">
            <v>LMIC</v>
          </cell>
          <cell r="D86" t="str">
            <v>LLMIC</v>
          </cell>
          <cell r="E86" t="str">
            <v>LMIC_LDC</v>
          </cell>
          <cell r="F86" t="b">
            <v>1</v>
          </cell>
          <cell r="G86" t="str">
            <v/>
          </cell>
          <cell r="H86" t="e">
            <v>#REF!</v>
          </cell>
          <cell r="I86" t="str">
            <v/>
          </cell>
          <cell r="J86" t="str">
            <v/>
          </cell>
          <cell r="K86" t="b">
            <v>1</v>
          </cell>
          <cell r="M86" t="b">
            <v>1</v>
          </cell>
          <cell r="N86" t="b">
            <v>1</v>
          </cell>
          <cell r="O86" t="b">
            <v>1</v>
          </cell>
          <cell r="P86" t="b">
            <v>1</v>
          </cell>
          <cell r="Q86" t="b">
            <v>1</v>
          </cell>
          <cell r="R86" t="str">
            <v>YES</v>
          </cell>
          <cell r="S86" t="str">
            <v/>
          </cell>
          <cell r="T86" t="str">
            <v>YES</v>
          </cell>
          <cell r="U86" t="str">
            <v/>
          </cell>
          <cell r="V86" t="str">
            <v>YES</v>
          </cell>
          <cell r="W86" t="str">
            <v/>
          </cell>
          <cell r="X86" t="str">
            <v>YES</v>
          </cell>
          <cell r="Y86" t="str">
            <v/>
          </cell>
          <cell r="Z86" t="str">
            <v>YES</v>
          </cell>
          <cell r="AA86" t="str">
            <v/>
          </cell>
          <cell r="AB86" t="str">
            <v/>
          </cell>
          <cell r="AC86" t="str">
            <v/>
          </cell>
          <cell r="AD86" t="str">
            <v>YES</v>
          </cell>
          <cell r="AE86" t="str">
            <v>YES</v>
          </cell>
          <cell r="AF86" t="str">
            <v/>
          </cell>
          <cell r="AK86">
            <v>2.1252680000000002</v>
          </cell>
          <cell r="AL86">
            <v>2.3251709999999997</v>
          </cell>
          <cell r="AM86">
            <v>1360</v>
          </cell>
          <cell r="AN86">
            <v>0.26798490000000003</v>
          </cell>
          <cell r="AO86">
            <v>0.23024999999999998</v>
          </cell>
          <cell r="AP86">
            <v>0.56953973245320011</v>
          </cell>
          <cell r="AQ86">
            <v>0.48934295700000002</v>
          </cell>
          <cell r="AR86">
            <v>535.37062275000005</v>
          </cell>
          <cell r="AS86">
            <v>0.3519189260585901</v>
          </cell>
          <cell r="AT86">
            <v>430.38850910742605</v>
          </cell>
          <cell r="AU86">
            <v>1606.0177611030547</v>
          </cell>
          <cell r="AV86">
            <v>0.41757146303190207</v>
          </cell>
          <cell r="AW86">
            <v>510.68000642337205</v>
          </cell>
          <cell r="AX86">
            <v>1905.6297814666871</v>
          </cell>
          <cell r="AY86">
            <v>914.69092597372128</v>
          </cell>
          <cell r="AZ86">
            <v>1085.3318758913872</v>
          </cell>
          <cell r="BA86">
            <v>170.64094991766592</v>
          </cell>
          <cell r="BB86">
            <v>130.990712736972</v>
          </cell>
          <cell r="BC86">
            <v>153.78727714697334</v>
          </cell>
          <cell r="BD86">
            <v>72.361357319158486</v>
          </cell>
          <cell r="BE86">
            <v>270.02027845284744</v>
          </cell>
          <cell r="BF86">
            <v>5.4626972499999997</v>
          </cell>
          <cell r="BG86">
            <v>138.61219415118222</v>
          </cell>
          <cell r="BH86">
            <v>185.65136870948649</v>
          </cell>
          <cell r="BI86"/>
          <cell r="BJ86">
            <v>71.655034196539106</v>
          </cell>
          <cell r="BK86">
            <v>32.481490218531427</v>
          </cell>
          <cell r="BL86">
            <v>395.91859705720776</v>
          </cell>
          <cell r="BM86">
            <v>428.40008727573917</v>
          </cell>
          <cell r="BN86">
            <v>294.58806063929478</v>
          </cell>
          <cell r="BO86">
            <v>394.55891307447297</v>
          </cell>
          <cell r="BP86">
            <v>0</v>
          </cell>
          <cell r="BQ86">
            <v>152.28615121681028</v>
          </cell>
          <cell r="BR86">
            <v>69.031871753757855</v>
          </cell>
          <cell r="BS86">
            <v>841.43312493057795</v>
          </cell>
          <cell r="BT86">
            <v>910.4649966843358</v>
          </cell>
          <cell r="BU86">
            <v>140.57859384552174</v>
          </cell>
          <cell r="BV86">
            <v>109.04936774598069</v>
          </cell>
          <cell r="BW86">
            <v>36.476192866507802</v>
          </cell>
          <cell r="BX86">
            <v>-4.9469667669666961</v>
          </cell>
          <cell r="BZ86">
            <v>37.465857105309382</v>
          </cell>
          <cell r="CA86">
            <v>0.26651182146891911</v>
          </cell>
          <cell r="CB86">
            <v>0.58889195432000008</v>
          </cell>
          <cell r="CC86">
            <v>10657</v>
          </cell>
          <cell r="CD86">
            <v>3.9767165985844719E-2</v>
          </cell>
          <cell r="CE86">
            <v>298.76718698488429</v>
          </cell>
          <cell r="CF86">
            <v>76.893638573486669</v>
          </cell>
          <cell r="CG86">
            <v>8.395704666666667</v>
          </cell>
          <cell r="CH86">
            <v>3.950421625256987</v>
          </cell>
          <cell r="CI86">
            <v>14.741209766882339</v>
          </cell>
          <cell r="CJ86">
            <v>95.503062</v>
          </cell>
          <cell r="CK86">
            <v>44.936950069355959</v>
          </cell>
          <cell r="CL86">
            <v>167.68463472888195</v>
          </cell>
          <cell r="CM86">
            <v>0.31391733333333333</v>
          </cell>
          <cell r="CN86">
            <v>0.14770717544014839</v>
          </cell>
          <cell r="CO86">
            <v>0.55117723215057401</v>
          </cell>
          <cell r="CP86">
            <v>15.516401333333333</v>
          </cell>
          <cell r="CQ86">
            <v>7.3009151473288689</v>
          </cell>
          <cell r="CR86">
            <v>27.243755701641653</v>
          </cell>
          <cell r="CS86">
            <v>0.46</v>
          </cell>
          <cell r="CT86">
            <v>0.11928519132645858</v>
          </cell>
          <cell r="CU86">
            <v>0.32495619376003398</v>
          </cell>
          <cell r="CV86">
            <v>1.1928519132645858</v>
          </cell>
          <cell r="CW86">
            <v>0</v>
          </cell>
          <cell r="CX86">
            <v>0</v>
          </cell>
          <cell r="CY86">
            <v>0</v>
          </cell>
          <cell r="CZ86">
            <v>689.14697371376769</v>
          </cell>
        </row>
        <row r="87">
          <cell r="B87" t="str">
            <v>MAR</v>
          </cell>
          <cell r="C87" t="str">
            <v>LMIC</v>
          </cell>
          <cell r="D87" t="str">
            <v>ULMIC</v>
          </cell>
          <cell r="E87" t="str">
            <v>LMIC_nonLDC</v>
          </cell>
          <cell r="F87" t="str">
            <v xml:space="preserve"> </v>
          </cell>
          <cell r="G87" t="str">
            <v/>
          </cell>
          <cell r="H87" t="e">
            <v>#REF!</v>
          </cell>
          <cell r="I87" t="str">
            <v/>
          </cell>
          <cell r="J87" t="str">
            <v/>
          </cell>
          <cell r="K87" t="b">
            <v>1</v>
          </cell>
          <cell r="M87" t="str">
            <v/>
          </cell>
          <cell r="P87" t="str">
            <v/>
          </cell>
          <cell r="Q87" t="str">
            <v/>
          </cell>
          <cell r="R87" t="str">
            <v>YES</v>
          </cell>
          <cell r="S87" t="str">
            <v/>
          </cell>
          <cell r="T87" t="str">
            <v>YES</v>
          </cell>
          <cell r="U87" t="str">
            <v/>
          </cell>
          <cell r="V87" t="str">
            <v>YES</v>
          </cell>
          <cell r="W87" t="str">
            <v/>
          </cell>
          <cell r="X87" t="str">
            <v/>
          </cell>
          <cell r="Y87" t="str">
            <v/>
          </cell>
          <cell r="Z87" t="str">
            <v/>
          </cell>
          <cell r="AA87" t="str">
            <v/>
          </cell>
          <cell r="AB87" t="str">
            <v/>
          </cell>
          <cell r="AC87" t="str">
            <v/>
          </cell>
          <cell r="AD87" t="str">
            <v/>
          </cell>
          <cell r="AE87" t="str">
            <v/>
          </cell>
          <cell r="AF87" t="str">
            <v/>
          </cell>
          <cell r="AG87" t="str">
            <v/>
          </cell>
          <cell r="AK87">
            <v>36.471769000000002</v>
          </cell>
          <cell r="AL87">
            <v>40.88729</v>
          </cell>
          <cell r="AM87">
            <v>3190</v>
          </cell>
          <cell r="AN87">
            <v>7.0250759999999999E-3</v>
          </cell>
          <cell r="AO87">
            <v>5.0000000000000001E-3</v>
          </cell>
          <cell r="AP87">
            <v>0.25621694907944403</v>
          </cell>
          <cell r="AQ87">
            <v>0.18235884500000002</v>
          </cell>
          <cell r="AR87">
            <v>204.43645000000001</v>
          </cell>
          <cell r="AS87">
            <v>0.25638619078712566</v>
          </cell>
          <cell r="AT87">
            <v>844.74244558945952</v>
          </cell>
          <cell r="AU87">
            <v>120246.73406941925</v>
          </cell>
          <cell r="AV87">
            <v>0.25638619078712566</v>
          </cell>
          <cell r="AW87">
            <v>844.74244558945952</v>
          </cell>
          <cell r="AX87">
            <v>120246.73406941925</v>
          </cell>
          <cell r="AY87">
            <v>30809.251340033839</v>
          </cell>
          <cell r="AZ87">
            <v>30809.251340033839</v>
          </cell>
          <cell r="BA87">
            <v>0</v>
          </cell>
          <cell r="BB87">
            <v>2191.8932258071231</v>
          </cell>
          <cell r="BC87">
            <v>2002.7885703108732</v>
          </cell>
          <cell r="BD87">
            <v>54.913392610895102</v>
          </cell>
          <cell r="BE87">
            <v>7816.7684749453392</v>
          </cell>
          <cell r="BF87">
            <v>8.6520825000000006</v>
          </cell>
          <cell r="BG87">
            <v>187.86058575221369</v>
          </cell>
          <cell r="BH87">
            <v>239.39043974718885</v>
          </cell>
          <cell r="BI87"/>
          <cell r="BJ87">
            <v>13.988256189873612</v>
          </cell>
          <cell r="BK87">
            <v>28.115796833889494</v>
          </cell>
          <cell r="BL87">
            <v>441.23928168927614</v>
          </cell>
          <cell r="BM87">
            <v>469.35507852316562</v>
          </cell>
          <cell r="BN87">
            <v>6851.6078877594291</v>
          </cell>
          <cell r="BO87">
            <v>8730.9928192678908</v>
          </cell>
          <cell r="BP87">
            <v>0</v>
          </cell>
          <cell r="BQ87">
            <v>510.17644846989054</v>
          </cell>
          <cell r="BR87">
            <v>1025.432847376549</v>
          </cell>
          <cell r="BS87">
            <v>16092.77715549721</v>
          </cell>
          <cell r="BT87">
            <v>17118.210002873759</v>
          </cell>
          <cell r="BU87">
            <v>18.86805889454638</v>
          </cell>
          <cell r="BV87">
            <v>112.67907290876992</v>
          </cell>
          <cell r="BW87">
            <v>18.912096634321784</v>
          </cell>
          <cell r="BX87">
            <v>-112.72311064854532</v>
          </cell>
          <cell r="BZ87">
            <v>27.575309725323073</v>
          </cell>
          <cell r="CA87">
            <v>1.46148100763526</v>
          </cell>
          <cell r="CB87">
            <v>0</v>
          </cell>
          <cell r="CC87">
            <v>1684800</v>
          </cell>
          <cell r="CD87">
            <v>6.5756773939166751</v>
          </cell>
          <cell r="CE87">
            <v>688.15148548029094</v>
          </cell>
          <cell r="CF87">
            <v>1001.3942851554366</v>
          </cell>
          <cell r="CG87">
            <v>313.49968433333333</v>
          </cell>
          <cell r="CH87">
            <v>8.5956807944614173</v>
          </cell>
          <cell r="CI87">
            <v>1223.5712175158558</v>
          </cell>
          <cell r="CJ87">
            <v>77.879331666666658</v>
          </cell>
          <cell r="CK87">
            <v>2.1353318964777017</v>
          </cell>
          <cell r="CL87">
            <v>303.95854742036977</v>
          </cell>
          <cell r="CM87">
            <v>19.214100666666667</v>
          </cell>
          <cell r="CN87">
            <v>0.52682118782520981</v>
          </cell>
          <cell r="CO87">
            <v>74.991528607691905</v>
          </cell>
          <cell r="CP87">
            <v>27.689337666666667</v>
          </cell>
          <cell r="CQ87">
            <v>0.75919919504498579</v>
          </cell>
          <cell r="CR87">
            <v>108.06989063819178</v>
          </cell>
          <cell r="CS87" t="str">
            <v/>
          </cell>
          <cell r="CT87">
            <v>9.1167445154634527E-2</v>
          </cell>
          <cell r="CU87">
            <v>0.27090043260583269</v>
          </cell>
          <cell r="CV87">
            <v>0.9116744515463453</v>
          </cell>
          <cell r="CW87">
            <v>0</v>
          </cell>
          <cell r="CX87">
            <v>0</v>
          </cell>
          <cell r="CY87">
            <v>0</v>
          </cell>
          <cell r="CZ87">
            <v>15582.600707027321</v>
          </cell>
        </row>
        <row r="88">
          <cell r="B88" t="str">
            <v>MDA</v>
          </cell>
          <cell r="C88" t="str">
            <v>LMIC</v>
          </cell>
          <cell r="D88" t="str">
            <v>UMIC</v>
          </cell>
          <cell r="E88" t="str">
            <v>LMIC_nonLDC</v>
          </cell>
          <cell r="F88" t="str">
            <v xml:space="preserve"> </v>
          </cell>
          <cell r="G88" t="str">
            <v/>
          </cell>
          <cell r="H88" t="e">
            <v>#REF!</v>
          </cell>
          <cell r="I88" t="str">
            <v/>
          </cell>
          <cell r="J88" t="str">
            <v/>
          </cell>
          <cell r="K88" t="b">
            <v>1</v>
          </cell>
          <cell r="M88" t="str">
            <v/>
          </cell>
          <cell r="O88" t="b">
            <v>1</v>
          </cell>
          <cell r="P88" t="str">
            <v/>
          </cell>
          <cell r="Q88" t="str">
            <v/>
          </cell>
          <cell r="R88" t="str">
            <v/>
          </cell>
          <cell r="S88" t="str">
            <v/>
          </cell>
          <cell r="T88" t="str">
            <v>YES</v>
          </cell>
          <cell r="U88" t="str">
            <v>YES</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K88">
            <v>2.6576369999999998</v>
          </cell>
          <cell r="AL88">
            <v>3.8858999999999999</v>
          </cell>
          <cell r="AM88">
            <v>4233.9995558813498</v>
          </cell>
          <cell r="AN88">
            <v>1.82387E-4</v>
          </cell>
          <cell r="AO88">
            <v>9.999999999999999E-14</v>
          </cell>
          <cell r="AP88">
            <v>4.8471843951899995E-4</v>
          </cell>
          <cell r="AQ88">
            <v>2.6576369999999994E-13</v>
          </cell>
          <cell r="AR88">
            <v>3.8858999999999995E-10</v>
          </cell>
          <cell r="AS88">
            <v>0.30317710087571575</v>
          </cell>
          <cell r="AT88">
            <v>1317.2265984846322</v>
          </cell>
          <cell r="AU88">
            <v>7222151.7897911156</v>
          </cell>
          <cell r="AV88">
            <v>0.34538894723645941</v>
          </cell>
          <cell r="AW88">
            <v>1500.626224105803</v>
          </cell>
          <cell r="AX88">
            <v>8227703.8610526137</v>
          </cell>
          <cell r="AY88">
            <v>3500.7101455169022</v>
          </cell>
          <cell r="AZ88">
            <v>3988.1197763538739</v>
          </cell>
          <cell r="BA88">
            <v>487.4096308369717</v>
          </cell>
          <cell r="BB88">
            <v>301.84994254222966</v>
          </cell>
          <cell r="BC88">
            <v>268.40123585660871</v>
          </cell>
          <cell r="BD88">
            <v>100.99243646013686</v>
          </cell>
          <cell r="BE88">
            <v>553726.06852537114</v>
          </cell>
          <cell r="BF88">
            <v>2.7745089999999997</v>
          </cell>
          <cell r="BG88">
            <v>254.03315365059674</v>
          </cell>
          <cell r="BH88">
            <v>179.9434548696926</v>
          </cell>
          <cell r="BI88"/>
          <cell r="BJ88">
            <v>0</v>
          </cell>
          <cell r="BK88">
            <v>4.7753175387218283</v>
          </cell>
          <cell r="BL88">
            <v>433.97660852028935</v>
          </cell>
          <cell r="BM88">
            <v>438.75192605901117</v>
          </cell>
          <cell r="BN88">
            <v>675.12790836851093</v>
          </cell>
          <cell r="BO88">
            <v>478.22438356952517</v>
          </cell>
          <cell r="BP88">
            <v>0</v>
          </cell>
          <cell r="BQ88">
            <v>0</v>
          </cell>
          <cell r="BR88">
            <v>12.691060577656062</v>
          </cell>
          <cell r="BS88">
            <v>1153.3522919380362</v>
          </cell>
          <cell r="BT88">
            <v>1166.0433525156923</v>
          </cell>
          <cell r="BU88">
            <v>-316.33650353261214</v>
          </cell>
          <cell r="BV88">
            <v>-45.150478746177839</v>
          </cell>
          <cell r="BW88">
            <v>-46.092091170563862</v>
          </cell>
          <cell r="BX88">
            <v>-225.09393361587044</v>
          </cell>
          <cell r="BZ88">
            <v>51.018206184029033</v>
          </cell>
          <cell r="CA88">
            <v>-0.16127827681691942</v>
          </cell>
          <cell r="CB88">
            <v>0</v>
          </cell>
          <cell r="CC88" t="str">
            <v xml:space="preserve"> — </v>
          </cell>
          <cell r="CE88">
            <v>0</v>
          </cell>
          <cell r="CF88">
            <v>0</v>
          </cell>
          <cell r="CG88">
            <v>53.021570999999994</v>
          </cell>
          <cell r="CH88">
            <v>19.950644501111324</v>
          </cell>
          <cell r="CI88">
            <v>109386.32962388395</v>
          </cell>
          <cell r="CJ88">
            <v>24.239613666666667</v>
          </cell>
          <cell r="CK88">
            <v>9.1207390876431464</v>
          </cell>
          <cell r="CL88">
            <v>50007.616154896714</v>
          </cell>
          <cell r="CM88">
            <v>23.540157666666666</v>
          </cell>
          <cell r="CN88">
            <v>8.8575519029373346</v>
          </cell>
          <cell r="CO88">
            <v>48564.601111577773</v>
          </cell>
          <cell r="CP88">
            <v>7.2281036666666667</v>
          </cell>
          <cell r="CQ88">
            <v>2.7197482826536006</v>
          </cell>
          <cell r="CR88">
            <v>14911.963476857454</v>
          </cell>
          <cell r="CS88">
            <v>0.41</v>
          </cell>
          <cell r="CT88">
            <v>7.6203032995100548E-2</v>
          </cell>
          <cell r="CU88">
            <v>0.24116461352697907</v>
          </cell>
          <cell r="CV88">
            <v>0.7620303299510055</v>
          </cell>
          <cell r="CW88">
            <v>0</v>
          </cell>
          <cell r="CX88">
            <v>0</v>
          </cell>
          <cell r="CY88">
            <v>0</v>
          </cell>
          <cell r="CZ88">
            <v>1153.3522919380362</v>
          </cell>
        </row>
        <row r="89">
          <cell r="B89" t="str">
            <v>MDG</v>
          </cell>
          <cell r="C89" t="str">
            <v>LIC</v>
          </cell>
          <cell r="D89" t="str">
            <v>OLIC</v>
          </cell>
          <cell r="E89" t="str">
            <v>OLIC_LDC</v>
          </cell>
          <cell r="F89" t="b">
            <v>1</v>
          </cell>
          <cell r="G89" t="str">
            <v/>
          </cell>
          <cell r="H89" t="e">
            <v>#REF!</v>
          </cell>
          <cell r="I89" t="str">
            <v/>
          </cell>
          <cell r="J89" t="str">
            <v/>
          </cell>
          <cell r="K89" t="str">
            <v/>
          </cell>
          <cell r="M89" t="b">
            <v>1</v>
          </cell>
          <cell r="P89" t="b">
            <v>1</v>
          </cell>
          <cell r="Q89" t="b">
            <v>1</v>
          </cell>
          <cell r="R89" t="str">
            <v>YES</v>
          </cell>
          <cell r="S89" t="str">
            <v>YES</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b">
            <v>1</v>
          </cell>
          <cell r="AK89">
            <v>26.969307000000001</v>
          </cell>
          <cell r="AL89">
            <v>35.622309999999999</v>
          </cell>
          <cell r="AM89">
            <v>520</v>
          </cell>
          <cell r="AN89">
            <v>0.75939380000000001</v>
          </cell>
          <cell r="AO89">
            <v>0.76575000000000004</v>
          </cell>
          <cell r="AP89">
            <v>20.480324526096602</v>
          </cell>
          <cell r="AQ89">
            <v>20.651746835250002</v>
          </cell>
          <cell r="AR89">
            <v>27277.7838825</v>
          </cell>
          <cell r="AS89">
            <v>0.11269448586141632</v>
          </cell>
          <cell r="AT89">
            <v>60.820814473323438</v>
          </cell>
          <cell r="AU89">
            <v>80.091270791680728</v>
          </cell>
          <cell r="AV89">
            <v>0.13568814061534207</v>
          </cell>
          <cell r="AW89">
            <v>73.230408422506869</v>
          </cell>
          <cell r="AX89">
            <v>96.43271833731967</v>
          </cell>
          <cell r="AY89">
            <v>1640.2952175211033</v>
          </cell>
          <cell r="AZ89">
            <v>1974.9733664819735</v>
          </cell>
          <cell r="BA89">
            <v>334.6781489608702</v>
          </cell>
          <cell r="BB89">
            <v>617.86845964751535</v>
          </cell>
          <cell r="BC89">
            <v>618.189038170858</v>
          </cell>
          <cell r="BD89">
            <v>22.921947463123839</v>
          </cell>
          <cell r="BE89">
            <v>30.184533325296886</v>
          </cell>
          <cell r="BF89">
            <v>42.648018</v>
          </cell>
          <cell r="BG89">
            <v>72.786873506891325</v>
          </cell>
          <cell r="BH89">
            <v>49.370101520020086</v>
          </cell>
          <cell r="BI89"/>
          <cell r="BJ89">
            <v>121.33483107890065</v>
          </cell>
          <cell r="BK89">
            <v>23.018757779113379</v>
          </cell>
          <cell r="BL89">
            <v>243.49180610581206</v>
          </cell>
          <cell r="BM89">
            <v>266.51056388492543</v>
          </cell>
          <cell r="BN89">
            <v>1963.0115371775189</v>
          </cell>
          <cell r="BO89">
            <v>1331.4774245145884</v>
          </cell>
          <cell r="BP89">
            <v>0</v>
          </cell>
          <cell r="BQ89">
            <v>3272.3163091600127</v>
          </cell>
          <cell r="BR89">
            <v>620.79994530354691</v>
          </cell>
          <cell r="BS89">
            <v>6566.80527085212</v>
          </cell>
          <cell r="BT89">
            <v>7187.6052161556672</v>
          </cell>
          <cell r="BU89">
            <v>206.87660189455863</v>
          </cell>
          <cell r="BV89">
            <v>38.385540256644056</v>
          </cell>
          <cell r="BW89">
            <v>58.14079182238995</v>
          </cell>
          <cell r="BX89">
            <v>110.35026981552463</v>
          </cell>
          <cell r="BZ89">
            <v>12.251650666642231</v>
          </cell>
          <cell r="CA89">
            <v>5.9222021990126668E-2</v>
          </cell>
          <cell r="CB89">
            <v>0.3626285575</v>
          </cell>
          <cell r="CC89" t="str">
            <v>—</v>
          </cell>
          <cell r="CE89">
            <v>5579.3185876111338</v>
          </cell>
          <cell r="CF89">
            <v>309.094519085429</v>
          </cell>
          <cell r="CG89">
            <v>49.845312333333332</v>
          </cell>
          <cell r="CH89">
            <v>1.8482236986413234</v>
          </cell>
          <cell r="CI89">
            <v>2.4338145750483129</v>
          </cell>
          <cell r="CJ89">
            <v>136.37566366666667</v>
          </cell>
          <cell r="CK89">
            <v>5.0566988490533582</v>
          </cell>
          <cell r="CL89">
            <v>6.6588624361343989</v>
          </cell>
          <cell r="CM89">
            <v>4.3046666666666669</v>
          </cell>
          <cell r="CN89">
            <v>0.15961354389516449</v>
          </cell>
          <cell r="CO89">
            <v>0.21018547148418185</v>
          </cell>
          <cell r="CP89">
            <v>84.018829333333343</v>
          </cell>
          <cell r="CQ89">
            <v>3.1153499544253527</v>
          </cell>
          <cell r="CR89">
            <v>4.1024168941402372</v>
          </cell>
          <cell r="CS89">
            <v>0.53</v>
          </cell>
          <cell r="CT89">
            <v>0.15237421562222564</v>
          </cell>
          <cell r="CU89">
            <v>0.41134638720972688</v>
          </cell>
          <cell r="CV89">
            <v>1.5237421562222564</v>
          </cell>
          <cell r="CW89">
            <v>5212.631849673694</v>
          </cell>
          <cell r="CX89">
            <v>193.28015546241858</v>
          </cell>
          <cell r="CY89">
            <v>254.51900642646618</v>
          </cell>
          <cell r="CZ89">
            <v>3294.4889616921073</v>
          </cell>
        </row>
        <row r="90">
          <cell r="B90" t="str">
            <v>MDV</v>
          </cell>
          <cell r="C90" t="str">
            <v>UMIC</v>
          </cell>
          <cell r="D90" t="str">
            <v>UMIC</v>
          </cell>
          <cell r="E90" t="str">
            <v/>
          </cell>
          <cell r="F90" t="str">
            <v xml:space="preserve"> </v>
          </cell>
          <cell r="G90" t="str">
            <v/>
          </cell>
          <cell r="H90" t="e">
            <v>#REF!</v>
          </cell>
          <cell r="I90" t="str">
            <v/>
          </cell>
          <cell r="J90" t="str">
            <v/>
          </cell>
          <cell r="K90" t="b">
            <v>1</v>
          </cell>
          <cell r="M90" t="str">
            <v/>
          </cell>
          <cell r="N90" t="b">
            <v>1</v>
          </cell>
          <cell r="O90" t="b">
            <v>1</v>
          </cell>
          <cell r="P90" t="str">
            <v/>
          </cell>
          <cell r="Q90" t="str">
            <v/>
          </cell>
          <cell r="R90" t="str">
            <v/>
          </cell>
          <cell r="S90" t="str">
            <v/>
          </cell>
          <cell r="T90" t="str">
            <v>YES</v>
          </cell>
          <cell r="U90" t="str">
            <v>YES</v>
          </cell>
          <cell r="V90" t="str">
            <v/>
          </cell>
          <cell r="W90" t="str">
            <v/>
          </cell>
          <cell r="X90" t="str">
            <v>YES</v>
          </cell>
          <cell r="Y90" t="str">
            <v/>
          </cell>
          <cell r="Z90" t="str">
            <v>YES</v>
          </cell>
          <cell r="AA90" t="str">
            <v/>
          </cell>
          <cell r="AB90" t="str">
            <v/>
          </cell>
          <cell r="AC90" t="str">
            <v/>
          </cell>
          <cell r="AD90" t="str">
            <v/>
          </cell>
          <cell r="AE90" t="str">
            <v>YES</v>
          </cell>
          <cell r="AF90" t="str">
            <v>YES</v>
          </cell>
          <cell r="AG90" t="str">
            <v/>
          </cell>
          <cell r="AK90">
            <v>0.53095300000000001</v>
          </cell>
          <cell r="AL90">
            <v>0.51934799999999992</v>
          </cell>
          <cell r="AM90">
            <v>9650</v>
          </cell>
          <cell r="AN90">
            <v>9.999999999999999E-14</v>
          </cell>
          <cell r="AO90">
            <v>9.999999999999999E-14</v>
          </cell>
          <cell r="AP90">
            <v>5.3095299999999996E-14</v>
          </cell>
          <cell r="AQ90">
            <v>5.3095299999999996E-14</v>
          </cell>
          <cell r="AR90">
            <v>5.1934799999999987E-11</v>
          </cell>
          <cell r="AS90">
            <v>0.26371561234366231</v>
          </cell>
          <cell r="AT90">
            <v>2896.5410434689165</v>
          </cell>
          <cell r="AU90">
            <v>2.8965410434689168E+16</v>
          </cell>
          <cell r="AV90">
            <v>0.30611244971461848</v>
          </cell>
          <cell r="AW90">
            <v>3362.2100209969458</v>
          </cell>
          <cell r="AX90">
            <v>3.362210020996946E+16</v>
          </cell>
          <cell r="AY90">
            <v>1537.9271566529517</v>
          </cell>
          <cell r="AZ90">
            <v>1785.1754972783915</v>
          </cell>
          <cell r="BA90">
            <v>247.24834062543982</v>
          </cell>
          <cell r="BB90">
            <v>48.447173495009871</v>
          </cell>
          <cell r="BC90">
            <v>79.53971680478513</v>
          </cell>
          <cell r="BD90">
            <v>149.80556999354957</v>
          </cell>
          <cell r="BE90">
            <v>1498055699935495.8</v>
          </cell>
          <cell r="BF90">
            <v>0.306699</v>
          </cell>
          <cell r="BG90">
            <v>439.34312689751181</v>
          </cell>
          <cell r="BH90">
            <v>674.40030902824356</v>
          </cell>
          <cell r="BI90"/>
          <cell r="BJ90">
            <v>0</v>
          </cell>
          <cell r="BK90">
            <v>13.097320080152972</v>
          </cell>
          <cell r="BL90">
            <v>1113.7434359257554</v>
          </cell>
          <cell r="BM90">
            <v>1126.8407560059084</v>
          </cell>
          <cell r="BN90">
            <v>233.27055125561458</v>
          </cell>
          <cell r="BO90">
            <v>358.07486727947298</v>
          </cell>
          <cell r="BP90">
            <v>0</v>
          </cell>
          <cell r="BQ90">
            <v>0</v>
          </cell>
          <cell r="BR90">
            <v>6.9540613885174611</v>
          </cell>
          <cell r="BS90">
            <v>591.34541853508756</v>
          </cell>
          <cell r="BT90">
            <v>598.29947992360508</v>
          </cell>
          <cell r="BU90">
            <v>-567.36157457271747</v>
          </cell>
          <cell r="BV90">
            <v>170.06880587870171</v>
          </cell>
          <cell r="BW90">
            <v>-233.09887730187739</v>
          </cell>
          <cell r="BX90">
            <v>-504.33150314954185</v>
          </cell>
          <cell r="BZ90">
            <v>75.191604346133389</v>
          </cell>
          <cell r="CA90">
            <v>-0.13252854566818439</v>
          </cell>
          <cell r="CB90">
            <v>0.63650261586000001</v>
          </cell>
          <cell r="CC90">
            <v>0</v>
          </cell>
          <cell r="CE90">
            <v>0</v>
          </cell>
          <cell r="CF90">
            <v>0</v>
          </cell>
          <cell r="CG90">
            <v>3.8269229999999994</v>
          </cell>
          <cell r="CH90">
            <v>7.207649264624175</v>
          </cell>
          <cell r="CI90">
            <v>72076492646241.75</v>
          </cell>
          <cell r="CJ90">
            <v>5.5724416666666672</v>
          </cell>
          <cell r="CK90">
            <v>10.495169377829425</v>
          </cell>
          <cell r="CL90">
            <v>104951693778294.27</v>
          </cell>
          <cell r="CM90">
            <v>10.217715</v>
          </cell>
          <cell r="CN90">
            <v>19.244104468757122</v>
          </cell>
          <cell r="CO90">
            <v>192441044687571.25</v>
          </cell>
          <cell r="CP90">
            <v>2.2697370000000001</v>
          </cell>
          <cell r="CQ90">
            <v>4.2748360024333607</v>
          </cell>
          <cell r="CR90">
            <v>42748360024333.609</v>
          </cell>
          <cell r="CS90">
            <v>0.32</v>
          </cell>
          <cell r="CT90">
            <v>6.7009697656854744E-2</v>
          </cell>
          <cell r="CU90">
            <v>0.19953931892276716</v>
          </cell>
          <cell r="CV90">
            <v>0.67009697656854739</v>
          </cell>
          <cell r="CW90">
            <v>0</v>
          </cell>
          <cell r="CX90">
            <v>0</v>
          </cell>
          <cell r="CY90">
            <v>0</v>
          </cell>
          <cell r="CZ90">
            <v>591.34541853508767</v>
          </cell>
        </row>
        <row r="91">
          <cell r="B91" t="str">
            <v>MEX</v>
          </cell>
          <cell r="C91" t="str">
            <v>UMIC</v>
          </cell>
          <cell r="D91" t="str">
            <v>UMIC</v>
          </cell>
          <cell r="E91" t="str">
            <v/>
          </cell>
          <cell r="F91" t="str">
            <v xml:space="preserve"> </v>
          </cell>
          <cell r="G91" t="str">
            <v/>
          </cell>
          <cell r="H91" t="e">
            <v>#REF!</v>
          </cell>
          <cell r="I91" t="str">
            <v/>
          </cell>
          <cell r="J91" t="str">
            <v/>
          </cell>
          <cell r="K91" t="b">
            <v>1</v>
          </cell>
          <cell r="M91" t="str">
            <v/>
          </cell>
          <cell r="O91" t="b">
            <v>1</v>
          </cell>
          <cell r="P91" t="str">
            <v/>
          </cell>
          <cell r="Q91" t="str">
            <v/>
          </cell>
          <cell r="R91" t="str">
            <v>YES</v>
          </cell>
          <cell r="S91" t="str">
            <v/>
          </cell>
          <cell r="T91" t="str">
            <v>YES</v>
          </cell>
          <cell r="U91" t="str">
            <v/>
          </cell>
          <cell r="V91" t="str">
            <v>YES</v>
          </cell>
          <cell r="W91" t="str">
            <v/>
          </cell>
          <cell r="X91" t="str">
            <v/>
          </cell>
          <cell r="Y91" t="str">
            <v/>
          </cell>
          <cell r="Z91" t="str">
            <v/>
          </cell>
          <cell r="AA91" t="str">
            <v/>
          </cell>
          <cell r="AB91" t="str">
            <v/>
          </cell>
          <cell r="AC91" t="str">
            <v/>
          </cell>
          <cell r="AD91" t="str">
            <v/>
          </cell>
          <cell r="AE91" t="str">
            <v/>
          </cell>
          <cell r="AF91" t="str">
            <v/>
          </cell>
          <cell r="AK91">
            <v>127.575529</v>
          </cell>
          <cell r="AL91">
            <v>140.8758</v>
          </cell>
          <cell r="AM91">
            <v>9430</v>
          </cell>
          <cell r="AN91">
            <v>1.7419830000000001E-2</v>
          </cell>
          <cell r="AO91">
            <v>2.1000000000000001E-2</v>
          </cell>
          <cell r="AP91">
            <v>2.2223440273400703</v>
          </cell>
          <cell r="AQ91">
            <v>2.6790861090000004</v>
          </cell>
          <cell r="AR91">
            <v>2958.3918000000003</v>
          </cell>
          <cell r="AS91">
            <v>0.16728365391237232</v>
          </cell>
          <cell r="AT91">
            <v>1622.577972676459</v>
          </cell>
          <cell r="AU91">
            <v>93145.453926729417</v>
          </cell>
          <cell r="AV91">
            <v>0.2</v>
          </cell>
          <cell r="AW91">
            <v>1939.9121608455648</v>
          </cell>
          <cell r="AX91">
            <v>111362.29003644495</v>
          </cell>
          <cell r="AY91">
            <v>207001.24320794683</v>
          </cell>
          <cell r="AZ91">
            <v>247485.320133406</v>
          </cell>
          <cell r="BA91">
            <v>40484.076925459172</v>
          </cell>
          <cell r="BB91">
            <v>646.84712145430535</v>
          </cell>
          <cell r="BC91">
            <v>682.85345416427435</v>
          </cell>
          <cell r="BD91">
            <v>5.3525426037173194</v>
          </cell>
          <cell r="BE91">
            <v>307.26721235036848</v>
          </cell>
          <cell r="BF91">
            <v>3.43228825</v>
          </cell>
          <cell r="BG91">
            <v>387.98243216911294</v>
          </cell>
          <cell r="BH91">
            <v>456.00988860347911</v>
          </cell>
          <cell r="BI91"/>
          <cell r="BJ91">
            <v>81.291027352890836</v>
          </cell>
          <cell r="BK91">
            <v>18.747853695546226</v>
          </cell>
          <cell r="BL91">
            <v>925.28334812548292</v>
          </cell>
          <cell r="BM91">
            <v>944.03120182102919</v>
          </cell>
          <cell r="BN91">
            <v>49497.064026681204</v>
          </cell>
          <cell r="BO91">
            <v>58175.702767819923</v>
          </cell>
          <cell r="BP91">
            <v>0</v>
          </cell>
          <cell r="BQ91">
            <v>10370.745817498519</v>
          </cell>
          <cell r="BR91">
            <v>2391.7673528239147</v>
          </cell>
          <cell r="BS91">
            <v>118043.51261199966</v>
          </cell>
          <cell r="BT91">
            <v>120435.27996482357</v>
          </cell>
          <cell r="BU91">
            <v>-44.67273229729949</v>
          </cell>
          <cell r="BV91">
            <v>165.02306447664438</v>
          </cell>
          <cell r="BW91">
            <v>-5.6843418860808015E-14</v>
          </cell>
          <cell r="BX91">
            <v>-209.6957967739439</v>
          </cell>
          <cell r="BZ91">
            <v>2.6897232870352212</v>
          </cell>
          <cell r="CA91">
            <v>-6.0209509217725138E-2</v>
          </cell>
          <cell r="CB91">
            <v>0</v>
          </cell>
          <cell r="CC91">
            <v>2984153</v>
          </cell>
          <cell r="CD91">
            <v>1.3427952482999408</v>
          </cell>
          <cell r="CE91">
            <v>0</v>
          </cell>
          <cell r="CF91">
            <v>0</v>
          </cell>
          <cell r="CG91">
            <v>61.910172666666661</v>
          </cell>
          <cell r="CH91">
            <v>0.48528250795390909</v>
          </cell>
          <cell r="CI91">
            <v>27.858050736081182</v>
          </cell>
          <cell r="CJ91">
            <v>5.1348156666666664</v>
          </cell>
          <cell r="CK91">
            <v>4.0249221045100793E-2</v>
          </cell>
          <cell r="CL91">
            <v>2.3105404039592115</v>
          </cell>
          <cell r="CM91">
            <v>151.77960099999999</v>
          </cell>
          <cell r="CN91">
            <v>1.1897234696161831</v>
          </cell>
          <cell r="CO91">
            <v>68.297076929923151</v>
          </cell>
          <cell r="CP91">
            <v>9.3318709999999996</v>
          </cell>
          <cell r="CQ91">
            <v>7.314781348074989E-2</v>
          </cell>
          <cell r="CR91">
            <v>4.1991117870122663</v>
          </cell>
          <cell r="CS91">
            <v>0.47</v>
          </cell>
          <cell r="CT91">
            <v>8.5900031815662706E-2</v>
          </cell>
          <cell r="CU91">
            <v>0.26110119441480034</v>
          </cell>
          <cell r="CV91">
            <v>0.85900031815662703</v>
          </cell>
          <cell r="CW91">
            <v>0</v>
          </cell>
          <cell r="CX91">
            <v>0</v>
          </cell>
          <cell r="CY91">
            <v>0</v>
          </cell>
          <cell r="CZ91">
            <v>107672.76679450112</v>
          </cell>
        </row>
        <row r="92">
          <cell r="B92" t="str">
            <v>MHL</v>
          </cell>
          <cell r="C92" t="str">
            <v>UMIC</v>
          </cell>
          <cell r="D92" t="str">
            <v>ULMIC</v>
          </cell>
          <cell r="E92" t="str">
            <v/>
          </cell>
          <cell r="F92" t="str">
            <v xml:space="preserve"> </v>
          </cell>
          <cell r="G92" t="b">
            <v>1</v>
          </cell>
          <cell r="H92" t="e">
            <v>#REF!</v>
          </cell>
          <cell r="I92" t="str">
            <v/>
          </cell>
          <cell r="J92" t="str">
            <v/>
          </cell>
          <cell r="K92" t="b">
            <v>1</v>
          </cell>
          <cell r="M92" t="str">
            <v/>
          </cell>
          <cell r="P92" t="str">
            <v/>
          </cell>
          <cell r="Q92" t="str">
            <v/>
          </cell>
          <cell r="R92" t="str">
            <v/>
          </cell>
          <cell r="S92" t="str">
            <v/>
          </cell>
          <cell r="T92" t="str">
            <v>YES</v>
          </cell>
          <cell r="U92" t="str">
            <v>YES</v>
          </cell>
          <cell r="V92" t="str">
            <v/>
          </cell>
          <cell r="W92" t="str">
            <v/>
          </cell>
          <cell r="X92" t="str">
            <v/>
          </cell>
          <cell r="Y92" t="str">
            <v/>
          </cell>
          <cell r="Z92" t="str">
            <v/>
          </cell>
          <cell r="AA92" t="str">
            <v/>
          </cell>
          <cell r="AB92" t="str">
            <v/>
          </cell>
          <cell r="AC92" t="str">
            <v/>
          </cell>
          <cell r="AD92" t="str">
            <v/>
          </cell>
          <cell r="AE92" t="str">
            <v/>
          </cell>
          <cell r="AF92" t="str">
            <v/>
          </cell>
          <cell r="AK92">
            <v>5.8791000000000003E-2</v>
          </cell>
          <cell r="AL92">
            <v>6.4998E-2</v>
          </cell>
          <cell r="AM92">
            <v>3788.1635937205801</v>
          </cell>
          <cell r="AN92">
            <v>6.4239129999999992E-2</v>
          </cell>
          <cell r="AO92">
            <v>5.8217390000000001E-2</v>
          </cell>
          <cell r="AP92">
            <v>3.7766826918299995E-3</v>
          </cell>
          <cell r="AQ92">
            <v>3.4226585754900001E-3</v>
          </cell>
          <cell r="AR92">
            <v>3.7840139152200005</v>
          </cell>
          <cell r="AS92">
            <v>0.34312686221893213</v>
          </cell>
          <cell r="AT92">
            <v>1013.7505543342376</v>
          </cell>
          <cell r="AU92">
            <v>15780.888600674351</v>
          </cell>
          <cell r="AV92">
            <v>0.38430401271400672</v>
          </cell>
          <cell r="AW92">
            <v>1135.4063141612016</v>
          </cell>
          <cell r="AX92">
            <v>17674.683859529257</v>
          </cell>
          <cell r="AY92">
            <v>59.599408839864161</v>
          </cell>
          <cell r="AZ92">
            <v>66.751672615851191</v>
          </cell>
          <cell r="BA92">
            <v>7.1522637759870307</v>
          </cell>
          <cell r="BB92">
            <v>47.996131689489999</v>
          </cell>
          <cell r="BC92">
            <v>46.400075669632535</v>
          </cell>
          <cell r="BD92">
            <v>789.23773485112577</v>
          </cell>
          <cell r="BE92">
            <v>12285.934365099993</v>
          </cell>
          <cell r="BF92">
            <v>1.3683412500000001</v>
          </cell>
          <cell r="BG92">
            <v>118.17792961804476</v>
          </cell>
          <cell r="BH92">
            <v>362.16072103852241</v>
          </cell>
          <cell r="BI92"/>
          <cell r="BJ92">
            <v>0</v>
          </cell>
          <cell r="BK92">
            <v>10.632792774353302</v>
          </cell>
          <cell r="BL92">
            <v>480.33865065656715</v>
          </cell>
          <cell r="BM92">
            <v>490.97144343092043</v>
          </cell>
          <cell r="BN92">
            <v>6.9477986601744695</v>
          </cell>
          <cell r="BO92">
            <v>21.291790950575773</v>
          </cell>
          <cell r="BP92">
            <v>0</v>
          </cell>
          <cell r="BQ92">
            <v>0</v>
          </cell>
          <cell r="BR92">
            <v>0.62511251999700501</v>
          </cell>
          <cell r="BS92">
            <v>28.239589610750244</v>
          </cell>
          <cell r="BT92">
            <v>28.864702130747247</v>
          </cell>
          <cell r="BU92">
            <v>-87.364506424033664</v>
          </cell>
          <cell r="BV92">
            <v>191.84977391434217</v>
          </cell>
          <cell r="BW92">
            <v>-108.90333321419557</v>
          </cell>
          <cell r="BX92">
            <v>-170.31094712418025</v>
          </cell>
          <cell r="BZ92">
            <v>406.25620349741058</v>
          </cell>
          <cell r="CA92">
            <v>-4.6501287550987751</v>
          </cell>
          <cell r="CB92">
            <v>0</v>
          </cell>
          <cell r="CC92" t="str">
            <v>—</v>
          </cell>
          <cell r="CD92" t="e">
            <v>#VALUE!</v>
          </cell>
          <cell r="CE92">
            <v>0</v>
          </cell>
          <cell r="CF92">
            <v>0</v>
          </cell>
          <cell r="CG92">
            <v>5.5191569999999999</v>
          </cell>
          <cell r="CH92">
            <v>93.877583303566865</v>
          </cell>
          <cell r="CI92">
            <v>1461.3769411815956</v>
          </cell>
          <cell r="CJ92">
            <v>3.1424616666666667</v>
          </cell>
          <cell r="CK92">
            <v>53.451406961382979</v>
          </cell>
          <cell r="CL92">
            <v>832.06928489509414</v>
          </cell>
          <cell r="CM92">
            <v>3.4286333333333335E-2</v>
          </cell>
          <cell r="CN92">
            <v>0.58319017083113633</v>
          </cell>
          <cell r="CO92">
            <v>9.0784257325890998</v>
          </cell>
          <cell r="CP92">
            <v>0.229182</v>
          </cell>
          <cell r="CQ92">
            <v>3.8982497321018519</v>
          </cell>
          <cell r="CR92">
            <v>60.683414176092555</v>
          </cell>
          <cell r="CS92" t="str">
            <v/>
          </cell>
          <cell r="CT92">
            <v>7.1532445963201033E-2</v>
          </cell>
          <cell r="CU92" t="str">
            <v/>
          </cell>
          <cell r="CV92">
            <v>0.7153244596320103</v>
          </cell>
          <cell r="CW92">
            <v>0</v>
          </cell>
          <cell r="CX92">
            <v>0</v>
          </cell>
          <cell r="CY92">
            <v>0</v>
          </cell>
          <cell r="CZ92">
            <v>28.23958961075024</v>
          </cell>
        </row>
        <row r="93">
          <cell r="B93" t="str">
            <v>MKD</v>
          </cell>
          <cell r="C93" t="str">
            <v>UMIC</v>
          </cell>
          <cell r="D93" t="str">
            <v>UMIC</v>
          </cell>
          <cell r="E93" t="str">
            <v/>
          </cell>
          <cell r="F93" t="str">
            <v xml:space="preserve"> </v>
          </cell>
          <cell r="G93" t="str">
            <v/>
          </cell>
          <cell r="H93" t="e">
            <v>#REF!</v>
          </cell>
          <cell r="I93" t="str">
            <v/>
          </cell>
          <cell r="J93" t="str">
            <v/>
          </cell>
          <cell r="K93" t="b">
            <v>1</v>
          </cell>
          <cell r="M93" t="str">
            <v/>
          </cell>
          <cell r="O93" t="b">
            <v>1</v>
          </cell>
          <cell r="P93" t="str">
            <v/>
          </cell>
          <cell r="Q93" t="str">
            <v/>
          </cell>
          <cell r="R93" t="str">
            <v/>
          </cell>
          <cell r="S93" t="str">
            <v/>
          </cell>
          <cell r="T93" t="str">
            <v>YES</v>
          </cell>
          <cell r="U93" t="str">
            <v>YES</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K93">
            <v>2.0834589999999999</v>
          </cell>
          <cell r="AL93">
            <v>2.0507420000000001</v>
          </cell>
          <cell r="AM93">
            <v>5910</v>
          </cell>
          <cell r="AN93">
            <v>4.0558480000000001E-2</v>
          </cell>
          <cell r="AO93">
            <v>2.6000000000000002E-2</v>
          </cell>
          <cell r="AP93">
            <v>8.4501930182319995E-2</v>
          </cell>
          <cell r="AQ93">
            <v>5.4169934000000003E-2</v>
          </cell>
          <cell r="AR93">
            <v>53.319292000000004</v>
          </cell>
          <cell r="AS93">
            <v>0.26605672542696535</v>
          </cell>
          <cell r="AT93">
            <v>1691.4592203170339</v>
          </cell>
          <cell r="AU93">
            <v>41704.206378469651</v>
          </cell>
          <cell r="AV93">
            <v>0.32010735166882959</v>
          </cell>
          <cell r="AW93">
            <v>2035.0868056524323</v>
          </cell>
          <cell r="AX93">
            <v>50176.604390806366</v>
          </cell>
          <cell r="AY93">
            <v>3524.085935702507</v>
          </cell>
          <cell r="AZ93">
            <v>4240.0199210178107</v>
          </cell>
          <cell r="BA93">
            <v>715.93398531530374</v>
          </cell>
          <cell r="BB93">
            <v>174.92760301683032</v>
          </cell>
          <cell r="BC93">
            <v>187.32206268383467</v>
          </cell>
          <cell r="BD93">
            <v>89.909166767301244</v>
          </cell>
          <cell r="BE93">
            <v>2216.7785076586015</v>
          </cell>
          <cell r="BF93">
            <v>7.4605752499999998</v>
          </cell>
          <cell r="BG93">
            <v>254.30053949624406</v>
          </cell>
          <cell r="BH93">
            <v>428.36494776589785</v>
          </cell>
          <cell r="BI93"/>
          <cell r="BJ93">
            <v>74.008755065306048</v>
          </cell>
          <cell r="BK93">
            <v>6.3028292963331207</v>
          </cell>
          <cell r="BL93">
            <v>756.67424232744793</v>
          </cell>
          <cell r="BM93">
            <v>762.97707162378106</v>
          </cell>
          <cell r="BN93">
            <v>529.82474771830516</v>
          </cell>
          <cell r="BO93">
            <v>892.48080570738978</v>
          </cell>
          <cell r="BP93">
            <v>0</v>
          </cell>
          <cell r="BQ93">
            <v>154.19420681960747</v>
          </cell>
          <cell r="BR93">
            <v>13.131686422908906</v>
          </cell>
          <cell r="BS93">
            <v>1576.4997602453025</v>
          </cell>
          <cell r="BT93">
            <v>1589.6314466682113</v>
          </cell>
          <cell r="BU93">
            <v>-260.86916049876822</v>
          </cell>
          <cell r="BV93">
            <v>123.10192691803303</v>
          </cell>
          <cell r="BW93">
            <v>-152.71682163424245</v>
          </cell>
          <cell r="BX93">
            <v>-231.25426578255878</v>
          </cell>
          <cell r="BZ93">
            <v>46.745013444909326</v>
          </cell>
          <cell r="CA93">
            <v>-0.17918949620390276</v>
          </cell>
          <cell r="CB93">
            <v>0.47536370192000005</v>
          </cell>
          <cell r="CC93" t="e">
            <v>#N/A</v>
          </cell>
          <cell r="CD93" t="e">
            <v>#N/A</v>
          </cell>
          <cell r="CE93">
            <v>0</v>
          </cell>
          <cell r="CF93">
            <v>0</v>
          </cell>
          <cell r="CG93">
            <v>17.688661</v>
          </cell>
          <cell r="CH93">
            <v>8.4900451604759208</v>
          </cell>
          <cell r="CI93">
            <v>209.32848470839934</v>
          </cell>
          <cell r="CJ93">
            <v>2.8420380000000001</v>
          </cell>
          <cell r="CK93">
            <v>1.3640959577318297</v>
          </cell>
          <cell r="CL93">
            <v>33.632817544736135</v>
          </cell>
          <cell r="CM93">
            <v>4.3653106666666677</v>
          </cell>
          <cell r="CN93">
            <v>2.0952227361645552</v>
          </cell>
          <cell r="CO93">
            <v>51.659301240198232</v>
          </cell>
          <cell r="CP93">
            <v>9.5324406666666661</v>
          </cell>
          <cell r="CQ93">
            <v>4.5752955381731368</v>
          </cell>
          <cell r="CR93">
            <v>112.80737192747698</v>
          </cell>
          <cell r="CS93" t="str">
            <v/>
          </cell>
          <cell r="CT93">
            <v>5.3700600779760965E-2</v>
          </cell>
          <cell r="CU93">
            <v>0.16309560207328294</v>
          </cell>
          <cell r="CV93">
            <v>0.53700600779760965</v>
          </cell>
          <cell r="CW93">
            <v>0</v>
          </cell>
          <cell r="CX93">
            <v>0</v>
          </cell>
          <cell r="CY93">
            <v>0</v>
          </cell>
          <cell r="CZ93">
            <v>1422.3055534256951</v>
          </cell>
        </row>
        <row r="94">
          <cell r="B94" t="str">
            <v>MLI</v>
          </cell>
          <cell r="C94" t="str">
            <v>LIC</v>
          </cell>
          <cell r="D94" t="str">
            <v>OLIC</v>
          </cell>
          <cell r="E94" t="str">
            <v>OLIC_LDC</v>
          </cell>
          <cell r="F94" t="b">
            <v>1</v>
          </cell>
          <cell r="G94" t="b">
            <v>1</v>
          </cell>
          <cell r="H94" t="e">
            <v>#REF!</v>
          </cell>
          <cell r="I94" t="str">
            <v/>
          </cell>
          <cell r="J94" t="str">
            <v/>
          </cell>
          <cell r="K94" t="str">
            <v/>
          </cell>
          <cell r="M94" t="b">
            <v>1</v>
          </cell>
          <cell r="P94" t="b">
            <v>1</v>
          </cell>
          <cell r="Q94" t="b">
            <v>1</v>
          </cell>
          <cell r="R94" t="str">
            <v>YES</v>
          </cell>
          <cell r="S94" t="str">
            <v>YES</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K94">
            <v>19.658031000000001</v>
          </cell>
          <cell r="AL94">
            <v>26.95739</v>
          </cell>
          <cell r="AM94">
            <v>880</v>
          </cell>
          <cell r="AN94">
            <v>0.42669690000000005</v>
          </cell>
          <cell r="AO94">
            <v>0.38</v>
          </cell>
          <cell r="AP94">
            <v>8.3880208878039006</v>
          </cell>
          <cell r="AQ94">
            <v>7.4700517800000004</v>
          </cell>
          <cell r="AR94">
            <v>10243.808199999999</v>
          </cell>
          <cell r="AS94">
            <v>0.14180407054038038</v>
          </cell>
          <cell r="AT94">
            <v>130.11130428322724</v>
          </cell>
          <cell r="AU94">
            <v>304.92676249400273</v>
          </cell>
          <cell r="AV94">
            <v>0.15506789586281294</v>
          </cell>
          <cell r="AW94">
            <v>142.28143174085309</v>
          </cell>
          <cell r="AX94">
            <v>333.44847769190045</v>
          </cell>
          <cell r="AY94">
            <v>2557.7320530501142</v>
          </cell>
          <cell r="AZ94">
            <v>2796.9727958860744</v>
          </cell>
          <cell r="BA94">
            <v>239.24074283596019</v>
          </cell>
          <cell r="BB94">
            <v>1067.5837980231247</v>
          </cell>
          <cell r="BC94">
            <v>1136.1856520704234</v>
          </cell>
          <cell r="BD94">
            <v>57.797530793924544</v>
          </cell>
          <cell r="BE94">
            <v>135.45336465749935</v>
          </cell>
          <cell r="BF94">
            <v>123.85678975000002</v>
          </cell>
          <cell r="BG94">
            <v>128.06538104193672</v>
          </cell>
          <cell r="BH94">
            <v>119.23856483586411</v>
          </cell>
          <cell r="BI94"/>
          <cell r="BJ94">
            <v>73.596431890045466</v>
          </cell>
          <cell r="BK94">
            <v>22.012579456016109</v>
          </cell>
          <cell r="BL94">
            <v>320.90037776784629</v>
          </cell>
          <cell r="BM94">
            <v>342.91295722386241</v>
          </cell>
          <cell r="BN94">
            <v>2517.5132305492043</v>
          </cell>
          <cell r="BO94">
            <v>2343.9954039389268</v>
          </cell>
          <cell r="BP94">
            <v>0</v>
          </cell>
          <cell r="BQ94">
            <v>1446.7609395839024</v>
          </cell>
          <cell r="BR94">
            <v>432.72396933632785</v>
          </cell>
          <cell r="BS94">
            <v>6308.2695740720337</v>
          </cell>
          <cell r="BT94">
            <v>6740.9935434083618</v>
          </cell>
          <cell r="BU94">
            <v>249.75966189741973</v>
          </cell>
          <cell r="BV94">
            <v>97.896350074736148</v>
          </cell>
          <cell r="BW94">
            <v>99.609094693766096</v>
          </cell>
          <cell r="BX94">
            <v>52.254217128917503</v>
          </cell>
          <cell r="BZ94">
            <v>32.049050126648581</v>
          </cell>
          <cell r="CA94">
            <v>0.12831956082568544</v>
          </cell>
          <cell r="CB94">
            <v>0</v>
          </cell>
          <cell r="CC94" t="str">
            <v>—</v>
          </cell>
          <cell r="CE94">
            <v>4909.7831761289963</v>
          </cell>
          <cell r="CF94">
            <v>533.79189901156235</v>
          </cell>
          <cell r="CG94">
            <v>106.87028333333335</v>
          </cell>
          <cell r="CH94">
            <v>5.4364693663029291</v>
          </cell>
          <cell r="CI94">
            <v>12.74082227056941</v>
          </cell>
          <cell r="CJ94">
            <v>234.89076600000004</v>
          </cell>
          <cell r="CK94">
            <v>11.948845029291084</v>
          </cell>
          <cell r="CL94">
            <v>28.003121253730885</v>
          </cell>
          <cell r="CM94">
            <v>16.262258666666664</v>
          </cell>
          <cell r="CN94">
            <v>0.82725775875857877</v>
          </cell>
          <cell r="CO94">
            <v>1.9387479936193084</v>
          </cell>
          <cell r="CP94">
            <v>113.67919666666666</v>
          </cell>
          <cell r="CQ94">
            <v>5.7828373892922773</v>
          </cell>
          <cell r="CR94">
            <v>13.552564804882053</v>
          </cell>
          <cell r="CS94">
            <v>0.56999999999999995</v>
          </cell>
          <cell r="CT94">
            <v>0.18341175675224033</v>
          </cell>
          <cell r="CU94">
            <v>0.48424844787354332</v>
          </cell>
          <cell r="CV94">
            <v>1.8341175675224033</v>
          </cell>
          <cell r="CW94">
            <v>3944.0207475222874</v>
          </cell>
          <cell r="CX94">
            <v>200.63152548300931</v>
          </cell>
          <cell r="CY94">
            <v>470.19681999801099</v>
          </cell>
          <cell r="CZ94">
            <v>4861.5086344881311</v>
          </cell>
        </row>
        <row r="95">
          <cell r="B95" t="str">
            <v>MLT</v>
          </cell>
          <cell r="C95" t="str">
            <v>HIC</v>
          </cell>
          <cell r="D95" t="str">
            <v>HIC</v>
          </cell>
          <cell r="E95" t="str">
            <v/>
          </cell>
          <cell r="F95" t="str">
            <v xml:space="preserve"> </v>
          </cell>
          <cell r="G95" t="str">
            <v/>
          </cell>
          <cell r="H95" t="e">
            <v>#REF!</v>
          </cell>
          <cell r="I95" t="str">
            <v/>
          </cell>
          <cell r="J95" t="str">
            <v/>
          </cell>
          <cell r="K95" t="str">
            <v/>
          </cell>
          <cell r="M95" t="str">
            <v/>
          </cell>
          <cell r="P95" t="str">
            <v/>
          </cell>
          <cell r="Q95" t="str">
            <v/>
          </cell>
          <cell r="R95" t="str">
            <v/>
          </cell>
          <cell r="S95" t="str">
            <v/>
          </cell>
          <cell r="T95" t="str">
            <v/>
          </cell>
          <cell r="U95" t="str">
            <v/>
          </cell>
          <cell r="V95" t="str">
            <v/>
          </cell>
          <cell r="W95" t="str">
            <v/>
          </cell>
          <cell r="X95" t="str">
            <v>YES</v>
          </cell>
          <cell r="Y95" t="str">
            <v/>
          </cell>
          <cell r="Z95" t="str">
            <v>YES</v>
          </cell>
          <cell r="AA95" t="str">
            <v/>
          </cell>
          <cell r="AB95" t="str">
            <v/>
          </cell>
          <cell r="AC95" t="str">
            <v/>
          </cell>
          <cell r="AD95" t="str">
            <v/>
          </cell>
          <cell r="AE95" t="str">
            <v>YES</v>
          </cell>
          <cell r="AF95" t="str">
            <v>YES</v>
          </cell>
          <cell r="AK95">
            <v>0.50265300000000002</v>
          </cell>
          <cell r="AL95">
            <v>0.44889400000000002</v>
          </cell>
          <cell r="AM95">
            <v>27290</v>
          </cell>
          <cell r="AN95">
            <v>1.5988649999999999E-3</v>
          </cell>
          <cell r="AO95">
            <v>1E-3</v>
          </cell>
          <cell r="AP95">
            <v>8.0367428884499999E-4</v>
          </cell>
          <cell r="AQ95">
            <v>5.0265300000000004E-4</v>
          </cell>
          <cell r="AR95">
            <v>0.44889400000000002</v>
          </cell>
          <cell r="AS95">
            <v>0.37139837916182272</v>
          </cell>
          <cell r="AT95">
            <v>11246.170685762389</v>
          </cell>
          <cell r="AU95">
            <v>7033846.3133300114</v>
          </cell>
          <cell r="AV95">
            <v>0.37139837916182272</v>
          </cell>
          <cell r="AW95">
            <v>11246.170685762389</v>
          </cell>
          <cell r="AX95">
            <v>7033846.3133300114</v>
          </cell>
          <cell r="AY95">
            <v>5652.9214337105223</v>
          </cell>
          <cell r="AZ95">
            <v>5652.9214337105223</v>
          </cell>
          <cell r="BA95">
            <v>0</v>
          </cell>
          <cell r="BB95">
            <v>0</v>
          </cell>
          <cell r="BC95">
            <v>0</v>
          </cell>
          <cell r="BD95">
            <v>0</v>
          </cell>
          <cell r="BE95">
            <v>0</v>
          </cell>
          <cell r="BF95">
            <v>0</v>
          </cell>
          <cell r="BG95">
            <v>1211.2245305047275</v>
          </cell>
          <cell r="BH95">
            <v>1576.7608151510369</v>
          </cell>
          <cell r="BI95"/>
          <cell r="BJ95">
            <v>0</v>
          </cell>
          <cell r="BK95">
            <v>23.843749188730285</v>
          </cell>
          <cell r="BL95">
            <v>2787.9853456557644</v>
          </cell>
          <cell r="BM95">
            <v>2811.8290948444946</v>
          </cell>
          <cell r="BN95">
            <v>608.8256439317928</v>
          </cell>
          <cell r="BO95">
            <v>792.56355401811413</v>
          </cell>
          <cell r="BP95">
            <v>0</v>
          </cell>
          <cell r="BQ95">
            <v>0</v>
          </cell>
          <cell r="BR95">
            <v>11.985132060962844</v>
          </cell>
          <cell r="BS95">
            <v>1401.3891979499069</v>
          </cell>
          <cell r="BT95">
            <v>1413.3743300108697</v>
          </cell>
          <cell r="BU95">
            <v>-2835.0999972254299</v>
          </cell>
          <cell r="BV95">
            <v>-110.1647877133214</v>
          </cell>
          <cell r="BW95">
            <v>-1038.0096066477502</v>
          </cell>
          <cell r="BX95">
            <v>-1686.9256028643583</v>
          </cell>
          <cell r="BZ95">
            <v>0</v>
          </cell>
          <cell r="CA95">
            <v>0</v>
          </cell>
          <cell r="CB95">
            <v>0</v>
          </cell>
          <cell r="CC95" t="e">
            <v>#N/A</v>
          </cell>
          <cell r="CD95" t="e">
            <v>#N/A</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t="str">
            <v/>
          </cell>
          <cell r="CT95">
            <v>4.3119209474528152E-2</v>
          </cell>
          <cell r="CU95">
            <v>0.12626404298790617</v>
          </cell>
          <cell r="CV95">
            <v>0.43119209474528153</v>
          </cell>
          <cell r="CW95" t="e">
            <v>#N/A</v>
          </cell>
          <cell r="CX95" t="e">
            <v>#N/A</v>
          </cell>
          <cell r="CY95" t="e">
            <v>#N/A</v>
          </cell>
          <cell r="CZ95">
            <v>1401.3891979499069</v>
          </cell>
        </row>
        <row r="96">
          <cell r="B96" t="str">
            <v>MMR</v>
          </cell>
          <cell r="C96" t="str">
            <v>LMIC</v>
          </cell>
          <cell r="D96" t="str">
            <v>LLMIC</v>
          </cell>
          <cell r="E96" t="str">
            <v>LMIC_LDC</v>
          </cell>
          <cell r="F96" t="b">
            <v>1</v>
          </cell>
          <cell r="G96" t="b">
            <v>1</v>
          </cell>
          <cell r="H96" t="e">
            <v>#REF!</v>
          </cell>
          <cell r="I96" t="str">
            <v/>
          </cell>
          <cell r="J96" t="str">
            <v/>
          </cell>
          <cell r="K96" t="b">
            <v>1</v>
          </cell>
          <cell r="M96" t="b">
            <v>1</v>
          </cell>
          <cell r="P96" t="str">
            <v/>
          </cell>
          <cell r="Q96" t="str">
            <v/>
          </cell>
          <cell r="R96" t="str">
            <v>YES</v>
          </cell>
          <cell r="S96" t="str">
            <v/>
          </cell>
          <cell r="T96" t="str">
            <v>YES</v>
          </cell>
          <cell r="U96" t="str">
            <v/>
          </cell>
          <cell r="V96" t="str">
            <v>YES</v>
          </cell>
          <cell r="W96" t="str">
            <v/>
          </cell>
          <cell r="X96" t="str">
            <v/>
          </cell>
          <cell r="Y96" t="str">
            <v/>
          </cell>
          <cell r="Z96" t="str">
            <v/>
          </cell>
          <cell r="AA96" t="str">
            <v/>
          </cell>
          <cell r="AB96" t="str">
            <v/>
          </cell>
          <cell r="AC96" t="str">
            <v/>
          </cell>
          <cell r="AD96" t="str">
            <v/>
          </cell>
          <cell r="AE96" t="str">
            <v/>
          </cell>
          <cell r="AF96" t="str">
            <v/>
          </cell>
          <cell r="AG96" t="str">
            <v/>
          </cell>
          <cell r="AK96">
            <v>54.04542</v>
          </cell>
          <cell r="AL96">
            <v>58.478490000000001</v>
          </cell>
          <cell r="AM96">
            <v>1390</v>
          </cell>
          <cell r="AN96">
            <v>1.524815E-2</v>
          </cell>
          <cell r="AO96">
            <v>1.25E-3</v>
          </cell>
          <cell r="AP96">
            <v>0.82409267097299999</v>
          </cell>
          <cell r="AQ96">
            <v>6.7556774999999999E-2</v>
          </cell>
          <cell r="AR96">
            <v>73.098112499999999</v>
          </cell>
          <cell r="AS96">
            <v>0.156</v>
          </cell>
          <cell r="AT96">
            <v>220.30206539098302</v>
          </cell>
          <cell r="AU96">
            <v>14447.789757510453</v>
          </cell>
          <cell r="AV96">
            <v>0.17054545454545456</v>
          </cell>
          <cell r="AW96">
            <v>240.84305050902339</v>
          </cell>
          <cell r="AX96">
            <v>15794.903021613991</v>
          </cell>
          <cell r="AY96">
            <v>11906.31765092314</v>
          </cell>
          <cell r="AZ96">
            <v>13016.463818841385</v>
          </cell>
          <cell r="BA96">
            <v>1110.1461679182448</v>
          </cell>
          <cell r="BB96">
            <v>1202.4998673608604</v>
          </cell>
          <cell r="BC96">
            <v>1353.5021056169664</v>
          </cell>
          <cell r="BD96">
            <v>25.043789198362532</v>
          </cell>
          <cell r="BE96">
            <v>1642.4149289167888</v>
          </cell>
          <cell r="BF96">
            <v>146.06339750000001</v>
          </cell>
          <cell r="BG96">
            <v>23.297809493264058</v>
          </cell>
          <cell r="BH96">
            <v>112.40260998936806</v>
          </cell>
          <cell r="BI96"/>
          <cell r="BJ96">
            <v>0</v>
          </cell>
          <cell r="BK96">
            <v>10.622038142168471</v>
          </cell>
          <cell r="BL96">
            <v>135.70041948263213</v>
          </cell>
          <cell r="BM96">
            <v>146.32245762480059</v>
          </cell>
          <cell r="BN96">
            <v>1259.1398991434432</v>
          </cell>
          <cell r="BO96">
            <v>6074.8462659715924</v>
          </cell>
          <cell r="BP96">
            <v>0</v>
          </cell>
          <cell r="BQ96">
            <v>0</v>
          </cell>
          <cell r="BR96">
            <v>574.07251264951469</v>
          </cell>
          <cell r="BS96">
            <v>7333.9861651150359</v>
          </cell>
          <cell r="BT96">
            <v>7908.0586777645503</v>
          </cell>
          <cell r="BU96">
            <v>15.278894228120436</v>
          </cell>
          <cell r="BV96">
            <v>76.276152413014557</v>
          </cell>
          <cell r="BW96">
            <v>-24.870800608540623</v>
          </cell>
          <cell r="BX96">
            <v>-36.126457576353509</v>
          </cell>
          <cell r="BZ96">
            <v>13.873196869567916</v>
          </cell>
          <cell r="CA96">
            <v>0.90799744159722195</v>
          </cell>
          <cell r="CB96">
            <v>0</v>
          </cell>
          <cell r="CC96">
            <v>5200000</v>
          </cell>
          <cell r="CD96">
            <v>6.30996996231067</v>
          </cell>
          <cell r="CE96">
            <v>825.75425569434481</v>
          </cell>
          <cell r="CF96">
            <v>601.24993368043022</v>
          </cell>
          <cell r="CG96">
            <v>105.66899233333334</v>
          </cell>
          <cell r="CH96">
            <v>1.9551886604514006</v>
          </cell>
          <cell r="CI96">
            <v>128.22464760980188</v>
          </cell>
          <cell r="CJ96">
            <v>252.90990133333332</v>
          </cell>
          <cell r="CK96">
            <v>4.6795806440829457</v>
          </cell>
          <cell r="CL96">
            <v>306.89497703544009</v>
          </cell>
          <cell r="CM96">
            <v>36.849011333333337</v>
          </cell>
          <cell r="CN96">
            <v>0.68181561607502239</v>
          </cell>
          <cell r="CO96">
            <v>44.714645125803614</v>
          </cell>
          <cell r="CP96">
            <v>92.129920666666663</v>
          </cell>
          <cell r="CQ96">
            <v>1.7046758202020942</v>
          </cell>
          <cell r="CR96">
            <v>111.79558308398686</v>
          </cell>
          <cell r="CS96" t="str">
            <v/>
          </cell>
          <cell r="CT96">
            <v>8.3421610933914467E-2</v>
          </cell>
          <cell r="CU96">
            <v>0.25657421109873879</v>
          </cell>
          <cell r="CV96">
            <v>0.8342161093391447</v>
          </cell>
          <cell r="CW96">
            <v>0</v>
          </cell>
          <cell r="CX96">
            <v>0</v>
          </cell>
          <cell r="CY96">
            <v>0</v>
          </cell>
          <cell r="CZ96">
            <v>7333.9861651150359</v>
          </cell>
        </row>
        <row r="97">
          <cell r="B97" t="str">
            <v>MNE</v>
          </cell>
          <cell r="C97" t="str">
            <v>UMIC</v>
          </cell>
          <cell r="D97" t="str">
            <v>UMIC</v>
          </cell>
          <cell r="E97" t="str">
            <v/>
          </cell>
          <cell r="F97" t="str">
            <v xml:space="preserve"> </v>
          </cell>
          <cell r="G97" t="str">
            <v/>
          </cell>
          <cell r="H97" t="e">
            <v>#REF!</v>
          </cell>
          <cell r="I97" t="str">
            <v/>
          </cell>
          <cell r="J97" t="str">
            <v/>
          </cell>
          <cell r="K97" t="b">
            <v>1</v>
          </cell>
          <cell r="M97" t="str">
            <v/>
          </cell>
          <cell r="P97" t="str">
            <v/>
          </cell>
          <cell r="Q97" t="str">
            <v/>
          </cell>
          <cell r="R97" t="str">
            <v/>
          </cell>
          <cell r="S97" t="str">
            <v/>
          </cell>
          <cell r="T97" t="str">
            <v>YES</v>
          </cell>
          <cell r="U97" t="str">
            <v>YES</v>
          </cell>
          <cell r="V97" t="str">
            <v/>
          </cell>
          <cell r="W97" t="str">
            <v/>
          </cell>
          <cell r="X97" t="str">
            <v/>
          </cell>
          <cell r="Y97" t="str">
            <v/>
          </cell>
          <cell r="Z97" t="str">
            <v/>
          </cell>
          <cell r="AA97" t="str">
            <v/>
          </cell>
          <cell r="AB97" t="str">
            <v/>
          </cell>
          <cell r="AC97" t="str">
            <v/>
          </cell>
          <cell r="AD97" t="str">
            <v/>
          </cell>
          <cell r="AE97" t="str">
            <v/>
          </cell>
          <cell r="AF97" t="str">
            <v/>
          </cell>
          <cell r="AK97">
            <v>0.62213700000000005</v>
          </cell>
          <cell r="AL97">
            <v>0.624058</v>
          </cell>
          <cell r="AM97">
            <v>9010</v>
          </cell>
          <cell r="AN97">
            <v>9.0757640000000001E-3</v>
          </cell>
          <cell r="AO97">
            <v>2.2500000000000003E-3</v>
          </cell>
          <cell r="AP97">
            <v>5.6463685876680008E-3</v>
          </cell>
          <cell r="AQ97">
            <v>1.3998082500000003E-3</v>
          </cell>
          <cell r="AR97">
            <v>1.4041305000000002</v>
          </cell>
          <cell r="AS97">
            <v>0.40438866366273957</v>
          </cell>
          <cell r="AT97">
            <v>3720.0634834275588</v>
          </cell>
          <cell r="AU97">
            <v>409889.84326030943</v>
          </cell>
          <cell r="AV97">
            <v>0.48354628991550469</v>
          </cell>
          <cell r="AW97">
            <v>4448.2525285668344</v>
          </cell>
          <cell r="AX97">
            <v>490124.30563056009</v>
          </cell>
          <cell r="AY97">
            <v>2314.3891353891713</v>
          </cell>
          <cell r="AZ97">
            <v>2767.4224833649851</v>
          </cell>
          <cell r="BA97">
            <v>453.03334797581374</v>
          </cell>
          <cell r="BB97">
            <v>79.722025371614862</v>
          </cell>
          <cell r="BC97">
            <v>78.625756829673264</v>
          </cell>
          <cell r="BD97">
            <v>126.38013304091102</v>
          </cell>
          <cell r="BE97">
            <v>13925.013149406597</v>
          </cell>
          <cell r="BF97">
            <v>1.6067082500000001</v>
          </cell>
          <cell r="BG97">
            <v>367.96911661500923</v>
          </cell>
          <cell r="BH97">
            <v>408.49806607995896</v>
          </cell>
          <cell r="BI97"/>
          <cell r="BJ97">
            <v>0</v>
          </cell>
          <cell r="BK97">
            <v>6.7446238920199422</v>
          </cell>
          <cell r="BL97">
            <v>776.46718269496819</v>
          </cell>
          <cell r="BM97">
            <v>783.21180658698813</v>
          </cell>
          <cell r="BN97">
            <v>228.92720230351202</v>
          </cell>
          <cell r="BO97">
            <v>254.14176133678745</v>
          </cell>
          <cell r="BP97">
            <v>0</v>
          </cell>
          <cell r="BQ97">
            <v>0</v>
          </cell>
          <cell r="BR97">
            <v>4.1960800743096112</v>
          </cell>
          <cell r="BS97">
            <v>483.06896364029944</v>
          </cell>
          <cell r="BT97">
            <v>487.26504371460908</v>
          </cell>
          <cell r="BU97">
            <v>-1447.659081588449</v>
          </cell>
          <cell r="BV97">
            <v>-258.73981320506613</v>
          </cell>
          <cell r="BW97">
            <v>-521.68138909835761</v>
          </cell>
          <cell r="BX97">
            <v>-667.23787928502509</v>
          </cell>
          <cell r="BZ97">
            <v>64.48134822368165</v>
          </cell>
          <cell r="CA97">
            <v>-4.4541804796284813E-2</v>
          </cell>
          <cell r="CB97">
            <v>0</v>
          </cell>
          <cell r="CC97">
            <v>68736</v>
          </cell>
          <cell r="CD97">
            <v>7.5735772768000587</v>
          </cell>
          <cell r="CE97">
            <v>0</v>
          </cell>
          <cell r="CF97">
            <v>0</v>
          </cell>
          <cell r="CG97">
            <v>4.671227</v>
          </cell>
          <cell r="CH97">
            <v>7.5083574839625351</v>
          </cell>
          <cell r="CI97">
            <v>827.29756789208432</v>
          </cell>
          <cell r="CJ97">
            <v>1.1578186666666668</v>
          </cell>
          <cell r="CK97">
            <v>1.8610348953151261</v>
          </cell>
          <cell r="CL97">
            <v>205.05545266658831</v>
          </cell>
          <cell r="CM97">
            <v>7.4841029999999984</v>
          </cell>
          <cell r="CN97">
            <v>12.029670313773329</v>
          </cell>
          <cell r="CO97">
            <v>1325.471917711096</v>
          </cell>
          <cell r="CP97">
            <v>1.9611539999999998</v>
          </cell>
          <cell r="CQ97">
            <v>3.1522863935113965</v>
          </cell>
          <cell r="CR97">
            <v>347.33014140863474</v>
          </cell>
          <cell r="CS97">
            <v>0.63</v>
          </cell>
          <cell r="CT97">
            <v>5.9321339190564135E-2</v>
          </cell>
          <cell r="CU97">
            <v>0.18216566447583088</v>
          </cell>
          <cell r="CV97">
            <v>0.59321339190564137</v>
          </cell>
          <cell r="CW97">
            <v>0</v>
          </cell>
          <cell r="CX97">
            <v>0</v>
          </cell>
          <cell r="CY97">
            <v>0</v>
          </cell>
          <cell r="CZ97">
            <v>483.06896364029944</v>
          </cell>
        </row>
        <row r="98">
          <cell r="B98" t="str">
            <v>MNG</v>
          </cell>
          <cell r="C98" t="str">
            <v>LMIC</v>
          </cell>
          <cell r="D98" t="str">
            <v>ULMIC</v>
          </cell>
          <cell r="E98" t="str">
            <v>LMIC_nonLDC</v>
          </cell>
          <cell r="F98" t="str">
            <v xml:space="preserve"> </v>
          </cell>
          <cell r="G98" t="str">
            <v/>
          </cell>
          <cell r="H98" t="e">
            <v>#REF!</v>
          </cell>
          <cell r="I98" t="str">
            <v/>
          </cell>
          <cell r="J98" t="str">
            <v/>
          </cell>
          <cell r="K98" t="b">
            <v>1</v>
          </cell>
          <cell r="M98" t="str">
            <v/>
          </cell>
          <cell r="O98" t="b">
            <v>1</v>
          </cell>
          <cell r="P98" t="str">
            <v/>
          </cell>
          <cell r="Q98" t="str">
            <v/>
          </cell>
          <cell r="R98" t="str">
            <v/>
          </cell>
          <cell r="S98" t="str">
            <v/>
          </cell>
          <cell r="T98" t="str">
            <v>YES</v>
          </cell>
          <cell r="U98" t="str">
            <v>YES</v>
          </cell>
          <cell r="V98" t="str">
            <v/>
          </cell>
          <cell r="W98" t="str">
            <v/>
          </cell>
          <cell r="X98" t="str">
            <v/>
          </cell>
          <cell r="Y98" t="str">
            <v/>
          </cell>
          <cell r="Z98" t="str">
            <v/>
          </cell>
          <cell r="AA98" t="str">
            <v/>
          </cell>
          <cell r="AB98" t="str">
            <v/>
          </cell>
          <cell r="AC98" t="str">
            <v/>
          </cell>
          <cell r="AD98" t="str">
            <v/>
          </cell>
          <cell r="AE98" t="str">
            <v/>
          </cell>
          <cell r="AF98" t="str">
            <v/>
          </cell>
          <cell r="AK98">
            <v>3.2251669999999999</v>
          </cell>
          <cell r="AL98">
            <v>3.7162040000000003</v>
          </cell>
          <cell r="AM98">
            <v>3780</v>
          </cell>
          <cell r="AN98">
            <v>5.3765110000000005E-3</v>
          </cell>
          <cell r="AO98">
            <v>2.5000000000000001E-4</v>
          </cell>
          <cell r="AP98">
            <v>1.7340145852337001E-2</v>
          </cell>
          <cell r="AQ98">
            <v>8.0629175000000003E-4</v>
          </cell>
          <cell r="AR98">
            <v>0.92905099999999996</v>
          </cell>
          <cell r="AS98">
            <v>0.31136412827655202</v>
          </cell>
          <cell r="AT98">
            <v>1341.3465195045842</v>
          </cell>
          <cell r="AU98">
            <v>249482.70718772529</v>
          </cell>
          <cell r="AV98">
            <v>0.33125755815341129</v>
          </cell>
          <cell r="AW98">
            <v>1427.0467672307227</v>
          </cell>
          <cell r="AX98">
            <v>265422.45839927095</v>
          </cell>
          <cell r="AY98">
            <v>4326.0665302710413</v>
          </cell>
          <cell r="AZ98">
            <v>4602.4641411292077</v>
          </cell>
          <cell r="BA98">
            <v>276.39761085816644</v>
          </cell>
          <cell r="BB98">
            <v>489.82814240425631</v>
          </cell>
          <cell r="BC98">
            <v>517.24516549255236</v>
          </cell>
          <cell r="BD98">
            <v>160.37779299259617</v>
          </cell>
          <cell r="BE98">
            <v>29829.343414827228</v>
          </cell>
          <cell r="BF98">
            <v>2.4251955000000001</v>
          </cell>
          <cell r="BG98">
            <v>312.53987180275635</v>
          </cell>
          <cell r="BH98">
            <v>134.26210019638719</v>
          </cell>
          <cell r="BI98"/>
          <cell r="BJ98">
            <v>0</v>
          </cell>
          <cell r="BK98">
            <v>16.129917805805498</v>
          </cell>
          <cell r="BL98">
            <v>446.80197199914357</v>
          </cell>
          <cell r="BM98">
            <v>462.93188980494909</v>
          </cell>
          <cell r="BN98">
            <v>1007.9932807224802</v>
          </cell>
          <cell r="BO98">
            <v>433.01769490408151</v>
          </cell>
          <cell r="BP98">
            <v>0</v>
          </cell>
          <cell r="BQ98">
            <v>0</v>
          </cell>
          <cell r="BR98">
            <v>52.021678619996301</v>
          </cell>
          <cell r="BS98">
            <v>1441.0109756265617</v>
          </cell>
          <cell r="BT98">
            <v>1493.032654246558</v>
          </cell>
          <cell r="BU98">
            <v>-266.72141161621778</v>
          </cell>
          <cell r="BV98">
            <v>-79.7949148882212</v>
          </cell>
          <cell r="BW98">
            <v>27.130518356611788</v>
          </cell>
          <cell r="BX98">
            <v>-214.05701508460839</v>
          </cell>
          <cell r="BZ98">
            <v>80.564876329280366</v>
          </cell>
          <cell r="CA98">
            <v>-0.3020562760263289</v>
          </cell>
          <cell r="CB98">
            <v>0</v>
          </cell>
          <cell r="CC98">
            <v>103000</v>
          </cell>
          <cell r="CE98">
            <v>0</v>
          </cell>
          <cell r="CF98">
            <v>0</v>
          </cell>
          <cell r="CG98">
            <v>50.809405000000005</v>
          </cell>
          <cell r="CH98">
            <v>15.754038473046514</v>
          </cell>
          <cell r="CI98">
            <v>2930.1601862335096</v>
          </cell>
          <cell r="CJ98">
            <v>58.127143333333336</v>
          </cell>
          <cell r="CK98">
            <v>18.022987130072128</v>
          </cell>
          <cell r="CL98">
            <v>3352.1715346759497</v>
          </cell>
          <cell r="CM98">
            <v>6.2949666666666673</v>
          </cell>
          <cell r="CN98">
            <v>1.951826577249075</v>
          </cell>
          <cell r="CO98">
            <v>363.02847278636182</v>
          </cell>
          <cell r="CP98">
            <v>15.405683666666668</v>
          </cell>
          <cell r="CQ98">
            <v>4.7767088236567812</v>
          </cell>
          <cell r="CR98">
            <v>888.44025868389008</v>
          </cell>
          <cell r="CS98">
            <v>0.51</v>
          </cell>
          <cell r="CT98">
            <v>0.11641567707966752</v>
          </cell>
          <cell r="CU98">
            <v>0.31605061071256152</v>
          </cell>
          <cell r="CV98">
            <v>1.1641567707966751</v>
          </cell>
          <cell r="CW98">
            <v>0</v>
          </cell>
          <cell r="CX98">
            <v>0</v>
          </cell>
          <cell r="CY98">
            <v>0</v>
          </cell>
          <cell r="CZ98">
            <v>1441.0109756265617</v>
          </cell>
        </row>
        <row r="99">
          <cell r="B99" t="str">
            <v>MOZ</v>
          </cell>
          <cell r="C99" t="str">
            <v>LIC</v>
          </cell>
          <cell r="D99" t="str">
            <v>VLIC</v>
          </cell>
          <cell r="E99" t="str">
            <v/>
          </cell>
          <cell r="F99" t="b">
            <v>1</v>
          </cell>
          <cell r="G99" t="b">
            <v>1</v>
          </cell>
          <cell r="H99" t="e">
            <v>#REF!</v>
          </cell>
          <cell r="I99" t="str">
            <v/>
          </cell>
          <cell r="J99" t="str">
            <v/>
          </cell>
          <cell r="K99" t="str">
            <v/>
          </cell>
          <cell r="M99" t="b">
            <v>1</v>
          </cell>
          <cell r="N99" t="b">
            <v>1</v>
          </cell>
          <cell r="O99" t="b">
            <v>1</v>
          </cell>
          <cell r="P99" t="b">
            <v>1</v>
          </cell>
          <cell r="Q99" t="b">
            <v>1</v>
          </cell>
          <cell r="R99" t="str">
            <v>YES</v>
          </cell>
          <cell r="S99" t="str">
            <v>YES</v>
          </cell>
          <cell r="T99" t="str">
            <v/>
          </cell>
          <cell r="U99" t="str">
            <v/>
          </cell>
          <cell r="V99" t="str">
            <v/>
          </cell>
          <cell r="W99" t="str">
            <v/>
          </cell>
          <cell r="X99" t="str">
            <v>YES</v>
          </cell>
          <cell r="Y99" t="str">
            <v>YES</v>
          </cell>
          <cell r="Z99" t="str">
            <v/>
          </cell>
          <cell r="AA99" t="str">
            <v/>
          </cell>
          <cell r="AB99" t="str">
            <v/>
          </cell>
          <cell r="AC99" t="str">
            <v>YES</v>
          </cell>
          <cell r="AD99" t="str">
            <v>YES</v>
          </cell>
          <cell r="AE99" t="str">
            <v/>
          </cell>
          <cell r="AF99" t="str">
            <v/>
          </cell>
          <cell r="AK99">
            <v>30.366036000000001</v>
          </cell>
          <cell r="AL99">
            <v>41.184839999999994</v>
          </cell>
          <cell r="AM99">
            <v>480</v>
          </cell>
          <cell r="AN99">
            <v>0.61110129999999996</v>
          </cell>
          <cell r="AO99">
            <v>0.51924999999999999</v>
          </cell>
          <cell r="AP99">
            <v>18.556724075446798</v>
          </cell>
          <cell r="AQ99">
            <v>15.767564193</v>
          </cell>
          <cell r="AR99">
            <v>21385.228169999995</v>
          </cell>
          <cell r="AS99">
            <v>0.22158415603015996</v>
          </cell>
          <cell r="AT99">
            <v>108.00515875224723</v>
          </cell>
          <cell r="AU99">
            <v>176.73855177897221</v>
          </cell>
          <cell r="AV99">
            <v>0.22158415603015996</v>
          </cell>
          <cell r="AW99">
            <v>108.00515875224723</v>
          </cell>
          <cell r="AX99">
            <v>176.73855177897221</v>
          </cell>
          <cell r="AY99">
            <v>3279.6885388564547</v>
          </cell>
          <cell r="AZ99">
            <v>3279.6885388564547</v>
          </cell>
          <cell r="BA99">
            <v>0</v>
          </cell>
          <cell r="BB99">
            <v>1757.1855273379133</v>
          </cell>
          <cell r="BC99">
            <v>1720.19947454931</v>
          </cell>
          <cell r="BD99">
            <v>56.648799156706197</v>
          </cell>
          <cell r="BE99">
            <v>92.699523232410399</v>
          </cell>
          <cell r="BF99">
            <v>34.034018750000001</v>
          </cell>
          <cell r="BG99">
            <v>122.2988336634634</v>
          </cell>
          <cell r="BH99">
            <v>72.821664861913931</v>
          </cell>
          <cell r="BI99"/>
          <cell r="BJ99">
            <v>97.60786593423029</v>
          </cell>
          <cell r="BK99">
            <v>22.986630723284495</v>
          </cell>
          <cell r="BL99">
            <v>292.72836445960763</v>
          </cell>
          <cell r="BM99">
            <v>315.71499518289215</v>
          </cell>
          <cell r="BN99">
            <v>3713.7307857827413</v>
          </cell>
          <cell r="BO99">
            <v>2211.3052967768135</v>
          </cell>
          <cell r="BP99">
            <v>0</v>
          </cell>
          <cell r="BQ99">
            <v>2963.9639708420109</v>
          </cell>
          <cell r="BR99">
            <v>698.01285606196302</v>
          </cell>
          <cell r="BS99">
            <v>8889.0000534015653</v>
          </cell>
          <cell r="BT99">
            <v>9587.0129094635286</v>
          </cell>
          <cell r="BU99">
            <v>238.72578508348403</v>
          </cell>
          <cell r="BV99">
            <v>56.620891049076846</v>
          </cell>
          <cell r="BW99">
            <v>100.69780191301395</v>
          </cell>
          <cell r="BX99">
            <v>81.407092121393205</v>
          </cell>
          <cell r="BZ99">
            <v>28.884795718797641</v>
          </cell>
          <cell r="CA99">
            <v>0.12099570940230202</v>
          </cell>
          <cell r="CB99">
            <v>0</v>
          </cell>
          <cell r="CC99" t="str">
            <v>—</v>
          </cell>
          <cell r="CD99" t="e">
            <v>#VALUE!</v>
          </cell>
          <cell r="CE99">
            <v>7249.1557839733396</v>
          </cell>
          <cell r="CF99">
            <v>878.59276366895665</v>
          </cell>
          <cell r="CG99">
            <v>196.05303933333334</v>
          </cell>
          <cell r="CH99">
            <v>6.4563263816631631</v>
          </cell>
          <cell r="CI99">
            <v>10.565067332802538</v>
          </cell>
          <cell r="CJ99">
            <v>742.98221266666678</v>
          </cell>
          <cell r="CK99">
            <v>24.467540401607465</v>
          </cell>
          <cell r="CL99">
            <v>40.038436183342213</v>
          </cell>
          <cell r="CM99">
            <v>6.744084</v>
          </cell>
          <cell r="CN99">
            <v>0.22209299890179934</v>
          </cell>
          <cell r="CO99">
            <v>0.36343074200922065</v>
          </cell>
          <cell r="CP99">
            <v>68.503021333333336</v>
          </cell>
          <cell r="CQ99">
            <v>2.2559092445696018</v>
          </cell>
          <cell r="CR99">
            <v>3.6915471208613071</v>
          </cell>
          <cell r="CS99" t="str">
            <v/>
          </cell>
          <cell r="CT99">
            <v>0.16981564534798024</v>
          </cell>
          <cell r="CU99">
            <v>0.45353361235559353</v>
          </cell>
          <cell r="CV99">
            <v>1.6981564534798024</v>
          </cell>
          <cell r="CW99">
            <v>6307.3243706070734</v>
          </cell>
          <cell r="CX99">
            <v>207.70983643064486</v>
          </cell>
          <cell r="CY99">
            <v>339.89428009831573</v>
          </cell>
          <cell r="CZ99">
            <v>5925.0360825595553</v>
          </cell>
        </row>
        <row r="100">
          <cell r="B100" t="str">
            <v>MRT</v>
          </cell>
          <cell r="C100" t="str">
            <v>LMIC</v>
          </cell>
          <cell r="D100" t="str">
            <v>LLMIC</v>
          </cell>
          <cell r="E100" t="str">
            <v>LMIC_LDC</v>
          </cell>
          <cell r="F100" t="b">
            <v>1</v>
          </cell>
          <cell r="G100" t="str">
            <v/>
          </cell>
          <cell r="H100" t="e">
            <v>#REF!</v>
          </cell>
          <cell r="I100" t="str">
            <v/>
          </cell>
          <cell r="J100" t="str">
            <v/>
          </cell>
          <cell r="K100" t="b">
            <v>1</v>
          </cell>
          <cell r="M100" t="b">
            <v>1</v>
          </cell>
          <cell r="P100" t="b">
            <v>1</v>
          </cell>
          <cell r="Q100" t="str">
            <v/>
          </cell>
          <cell r="R100" t="str">
            <v/>
          </cell>
          <cell r="S100" t="str">
            <v/>
          </cell>
          <cell r="T100" t="str">
            <v>YES</v>
          </cell>
          <cell r="U100" t="str">
            <v>YES</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K100">
            <v>4.5256959999999999</v>
          </cell>
          <cell r="AL100">
            <v>5.9671760000000003</v>
          </cell>
          <cell r="AM100">
            <v>1660</v>
          </cell>
          <cell r="AN100">
            <v>6.4367560000000004E-2</v>
          </cell>
          <cell r="AO100">
            <v>6.0749999999999998E-2</v>
          </cell>
          <cell r="AP100">
            <v>0.29130800882176</v>
          </cell>
          <cell r="AQ100">
            <v>0.274936032</v>
          </cell>
          <cell r="AR100">
            <v>362.505942</v>
          </cell>
          <cell r="AS100">
            <v>0.2999989208671911</v>
          </cell>
          <cell r="AT100">
            <v>515.4338046999228</v>
          </cell>
          <cell r="AU100">
            <v>8007.6641820805817</v>
          </cell>
          <cell r="AV100">
            <v>0.34123145804210836</v>
          </cell>
          <cell r="AW100">
            <v>586.27620457277794</v>
          </cell>
          <cell r="AX100">
            <v>9108.2558446021249</v>
          </cell>
          <cell r="AY100">
            <v>2332.6967081952216</v>
          </cell>
          <cell r="AZ100">
            <v>2653.3078739302032</v>
          </cell>
          <cell r="BA100">
            <v>320.61116573498157</v>
          </cell>
          <cell r="BB100">
            <v>344.72179554298032</v>
          </cell>
          <cell r="BC100">
            <v>382.07395515945069</v>
          </cell>
          <cell r="BD100">
            <v>84.423247862748781</v>
          </cell>
          <cell r="BE100">
            <v>1311.5806760851083</v>
          </cell>
          <cell r="BF100">
            <v>32.573510749999997</v>
          </cell>
          <cell r="BG100">
            <v>79.314947995179267</v>
          </cell>
          <cell r="BH100">
            <v>67.500789340209508</v>
          </cell>
          <cell r="BI100"/>
          <cell r="BJ100">
            <v>35.373405300500039</v>
          </cell>
          <cell r="BK100">
            <v>38.606566881714642</v>
          </cell>
          <cell r="BL100">
            <v>182.1891426358888</v>
          </cell>
          <cell r="BM100">
            <v>220.79570951760343</v>
          </cell>
          <cell r="BN100">
            <v>358.95534288199082</v>
          </cell>
          <cell r="BO100">
            <v>305.4880523138288</v>
          </cell>
          <cell r="BP100">
            <v>0</v>
          </cell>
          <cell r="BQ100">
            <v>160.08927887485183</v>
          </cell>
          <cell r="BR100">
            <v>174.72158531030843</v>
          </cell>
          <cell r="BS100">
            <v>824.53267407067153</v>
          </cell>
          <cell r="BT100">
            <v>999.25425938097999</v>
          </cell>
          <cell r="BU100">
            <v>-110.94895965050017</v>
          </cell>
          <cell r="BV100">
            <v>-20.440641345707178</v>
          </cell>
          <cell r="BW100">
            <v>-37.940292919376333</v>
          </cell>
          <cell r="BX100">
            <v>-52.568025385416647</v>
          </cell>
          <cell r="BZ100">
            <v>45.81035335884809</v>
          </cell>
          <cell r="CA100">
            <v>-0.41289574506291077</v>
          </cell>
          <cell r="CB100">
            <v>0</v>
          </cell>
          <cell r="CC100">
            <v>603</v>
          </cell>
          <cell r="CE100">
            <v>0</v>
          </cell>
          <cell r="CF100">
            <v>0</v>
          </cell>
          <cell r="CG100">
            <v>28.868086666666667</v>
          </cell>
          <cell r="CH100">
            <v>6.3787065385449369</v>
          </cell>
          <cell r="CI100">
            <v>99.098156564346027</v>
          </cell>
          <cell r="CJ100">
            <v>27.632434333333332</v>
          </cell>
          <cell r="CK100">
            <v>6.105676195072169</v>
          </cell>
          <cell r="CL100">
            <v>94.856418280763918</v>
          </cell>
          <cell r="CM100">
            <v>2.2456489999999998</v>
          </cell>
          <cell r="CN100">
            <v>0.49619970055434565</v>
          </cell>
          <cell r="CO100">
            <v>7.7088474466694965</v>
          </cell>
          <cell r="CP100">
            <v>33.095080666666668</v>
          </cell>
          <cell r="CQ100">
            <v>7.3127051986405336</v>
          </cell>
          <cell r="CR100">
            <v>113.6085506214704</v>
          </cell>
          <cell r="CS100" t="str">
            <v/>
          </cell>
          <cell r="CT100">
            <v>0.15243489620160081</v>
          </cell>
          <cell r="CU100">
            <v>0.40772115493395933</v>
          </cell>
          <cell r="CV100">
            <v>1.524348962016008</v>
          </cell>
          <cell r="CW100">
            <v>0</v>
          </cell>
          <cell r="CX100">
            <v>0</v>
          </cell>
          <cell r="CY100">
            <v>0</v>
          </cell>
          <cell r="CZ100">
            <v>664.44339519581968</v>
          </cell>
        </row>
        <row r="101">
          <cell r="B101" t="str">
            <v>MSR</v>
          </cell>
          <cell r="D101" t="str">
            <v>HIC</v>
          </cell>
          <cell r="F101" t="str">
            <v xml:space="preserve"> </v>
          </cell>
          <cell r="G101" t="str">
            <v/>
          </cell>
          <cell r="H101" t="e">
            <v>#REF!</v>
          </cell>
          <cell r="I101" t="str">
            <v/>
          </cell>
          <cell r="J101" t="str">
            <v/>
          </cell>
          <cell r="K101" t="str">
            <v/>
          </cell>
          <cell r="M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K101">
            <v>5.0000000000000001E-3</v>
          </cell>
          <cell r="AL101" t="e">
            <v>#VALUE!</v>
          </cell>
          <cell r="AM101" t="b">
            <v>0</v>
          </cell>
          <cell r="AN101" t="e">
            <v>#VALUE!</v>
          </cell>
          <cell r="AO101" t="e">
            <v>#VALUE!</v>
          </cell>
          <cell r="AP101" t="e">
            <v>#VALUE!</v>
          </cell>
          <cell r="AQ101" t="e">
            <v>#VALUE!</v>
          </cell>
          <cell r="AR101" t="e">
            <v>#VALUE!</v>
          </cell>
          <cell r="AS101" t="e">
            <v>#N/A</v>
          </cell>
          <cell r="AT101" t="e">
            <v>#N/A</v>
          </cell>
          <cell r="AU101" t="e">
            <v>#N/A</v>
          </cell>
          <cell r="AV101" t="e">
            <v>#N/A</v>
          </cell>
          <cell r="AW101" t="e">
            <v>#N/A</v>
          </cell>
          <cell r="AX101" t="e">
            <v>#N/A</v>
          </cell>
          <cell r="AY101" t="e">
            <v>#N/A</v>
          </cell>
          <cell r="AZ101" t="e">
            <v>#N/A</v>
          </cell>
          <cell r="BA101" t="e">
            <v>#N/A</v>
          </cell>
          <cell r="BB101">
            <v>40.250303069404303</v>
          </cell>
          <cell r="BC101">
            <v>38.043408909220467</v>
          </cell>
          <cell r="BD101">
            <v>7608.6817818440932</v>
          </cell>
          <cell r="BE101" t="e">
            <v>#VALUE!</v>
          </cell>
          <cell r="BF101">
            <v>0.10041700000000001</v>
          </cell>
          <cell r="BG101" t="str">
            <v/>
          </cell>
          <cell r="BH101" t="str">
            <v/>
          </cell>
          <cell r="BI101"/>
          <cell r="BJ101" t="str">
            <v/>
          </cell>
          <cell r="BK101" t="str">
            <v/>
          </cell>
          <cell r="BL101" t="str">
            <v/>
          </cell>
          <cell r="BM101" t="str">
            <v/>
          </cell>
          <cell r="BN101" t="str">
            <v/>
          </cell>
          <cell r="BO101" t="str">
            <v/>
          </cell>
          <cell r="BP101">
            <v>0</v>
          </cell>
          <cell r="BQ101" t="str">
            <v/>
          </cell>
          <cell r="BR101" t="str">
            <v/>
          </cell>
          <cell r="BS101" t="str">
            <v/>
          </cell>
          <cell r="BT101" t="str">
            <v/>
          </cell>
          <cell r="BU101" t="str">
            <v/>
          </cell>
          <cell r="BV101" t="str">
            <v/>
          </cell>
          <cell r="BW101" t="str">
            <v/>
          </cell>
          <cell r="BX101" t="str">
            <v/>
          </cell>
          <cell r="BZ101" t="str">
            <v/>
          </cell>
          <cell r="CA101" t="str">
            <v/>
          </cell>
          <cell r="CB101">
            <v>0</v>
          </cell>
          <cell r="CC101" t="e">
            <v>#N/A</v>
          </cell>
          <cell r="CD101" t="e">
            <v>#N/A</v>
          </cell>
          <cell r="CE101" t="e">
            <v>#VALUE!</v>
          </cell>
          <cell r="CF101">
            <v>20.125151534702152</v>
          </cell>
          <cell r="CG101">
            <v>1.7084136666666667</v>
          </cell>
          <cell r="CH101">
            <v>341.68273333333332</v>
          </cell>
          <cell r="CI101" t="e">
            <v>#VALUE!</v>
          </cell>
          <cell r="CJ101">
            <v>2.4018580000000003</v>
          </cell>
          <cell r="CK101">
            <v>480.37160000000006</v>
          </cell>
          <cell r="CL101" t="e">
            <v>#VALUE!</v>
          </cell>
          <cell r="CM101">
            <v>0.68272766666666662</v>
          </cell>
          <cell r="CN101">
            <v>136.54553333333331</v>
          </cell>
          <cell r="CO101" t="e">
            <v>#VALUE!</v>
          </cell>
          <cell r="CP101">
            <v>0.7865036666666666</v>
          </cell>
          <cell r="CQ101">
            <v>157.30073333333331</v>
          </cell>
          <cell r="CR101" t="e">
            <v>#VALUE!</v>
          </cell>
          <cell r="CS101" t="str">
            <v/>
          </cell>
          <cell r="CT101" t="e">
            <v>#N/A</v>
          </cell>
          <cell r="CU101" t="str">
            <v/>
          </cell>
          <cell r="CV101" t="e">
            <v>#N/A</v>
          </cell>
          <cell r="CW101">
            <v>0</v>
          </cell>
          <cell r="CX101">
            <v>0</v>
          </cell>
          <cell r="CY101" t="e">
            <v>#VALUE!</v>
          </cell>
          <cell r="CZ101" t="e">
            <v>#VALUE!</v>
          </cell>
        </row>
        <row r="102">
          <cell r="B102" t="str">
            <v>MUS</v>
          </cell>
          <cell r="C102" t="str">
            <v>HIC</v>
          </cell>
          <cell r="D102" t="str">
            <v>HIC</v>
          </cell>
          <cell r="E102" t="str">
            <v/>
          </cell>
          <cell r="F102" t="str">
            <v xml:space="preserve"> </v>
          </cell>
          <cell r="G102" t="str">
            <v/>
          </cell>
          <cell r="H102" t="e">
            <v>#REF!</v>
          </cell>
          <cell r="I102" t="str">
            <v/>
          </cell>
          <cell r="J102" t="str">
            <v/>
          </cell>
          <cell r="K102" t="str">
            <v/>
          </cell>
          <cell r="M102" t="str">
            <v/>
          </cell>
          <cell r="O102" t="b">
            <v>1</v>
          </cell>
          <cell r="P102" t="b">
            <v>1</v>
          </cell>
          <cell r="Q102" t="str">
            <v/>
          </cell>
          <cell r="R102" t="str">
            <v/>
          </cell>
          <cell r="S102" t="str">
            <v/>
          </cell>
          <cell r="T102" t="str">
            <v/>
          </cell>
          <cell r="U102" t="str">
            <v/>
          </cell>
          <cell r="V102" t="str">
            <v/>
          </cell>
          <cell r="W102" t="str">
            <v/>
          </cell>
          <cell r="X102" t="str">
            <v>YES</v>
          </cell>
          <cell r="Y102" t="str">
            <v/>
          </cell>
          <cell r="Z102" t="str">
            <v>YES</v>
          </cell>
          <cell r="AA102" t="str">
            <v/>
          </cell>
          <cell r="AB102" t="str">
            <v/>
          </cell>
          <cell r="AC102" t="str">
            <v/>
          </cell>
          <cell r="AD102" t="str">
            <v/>
          </cell>
          <cell r="AE102" t="str">
            <v>YES</v>
          </cell>
          <cell r="AF102" t="str">
            <v>YES</v>
          </cell>
          <cell r="AK102">
            <v>1.265711</v>
          </cell>
          <cell r="AL102">
            <v>1.2740360000000002</v>
          </cell>
          <cell r="AM102">
            <v>12740</v>
          </cell>
          <cell r="AN102">
            <v>1.3998369999999999E-3</v>
          </cell>
          <cell r="AO102">
            <v>9.999999999999999E-14</v>
          </cell>
          <cell r="AP102">
            <v>1.7717890891069999E-3</v>
          </cell>
          <cell r="AQ102">
            <v>1.2657109999999999E-13</v>
          </cell>
          <cell r="AR102">
            <v>1.2740359999999998E-10</v>
          </cell>
          <cell r="AS102">
            <v>0.20403351237012921</v>
          </cell>
          <cell r="AT102">
            <v>2401.9420644873176</v>
          </cell>
          <cell r="AU102">
            <v>1715872.6798100905</v>
          </cell>
          <cell r="AV102">
            <v>0.25550121316438895</v>
          </cell>
          <cell r="AW102">
            <v>3007.834861529017</v>
          </cell>
          <cell r="AX102">
            <v>2148703.6430163062</v>
          </cell>
          <cell r="AY102">
            <v>3040.1644923843073</v>
          </cell>
          <cell r="AZ102">
            <v>3807.0496704207544</v>
          </cell>
          <cell r="BA102">
            <v>766.88517803644709</v>
          </cell>
          <cell r="BB102">
            <v>70.093859224312936</v>
          </cell>
          <cell r="BC102">
            <v>75.316577547683067</v>
          </cell>
          <cell r="BD102">
            <v>59.505351180232346</v>
          </cell>
          <cell r="BE102">
            <v>42508.771507134297</v>
          </cell>
          <cell r="BF102">
            <v>0.51174175</v>
          </cell>
          <cell r="BG102">
            <v>470.8916758988197</v>
          </cell>
          <cell r="BH102">
            <v>595.47731399814347</v>
          </cell>
          <cell r="BI102"/>
          <cell r="BJ102">
            <v>0</v>
          </cell>
          <cell r="BK102">
            <v>27.398637783965246</v>
          </cell>
          <cell r="BL102">
            <v>1066.3689898969633</v>
          </cell>
          <cell r="BM102">
            <v>1093.7676276809286</v>
          </cell>
          <cell r="BN102">
            <v>596.01277399357105</v>
          </cell>
          <cell r="BO102">
            <v>753.70218657790417</v>
          </cell>
          <cell r="BP102">
            <v>0</v>
          </cell>
          <cell r="BQ102">
            <v>0</v>
          </cell>
          <cell r="BR102">
            <v>34.678757228180437</v>
          </cell>
          <cell r="BS102">
            <v>1349.7149605714753</v>
          </cell>
          <cell r="BT102">
            <v>1384.3937177996559</v>
          </cell>
          <cell r="BU102">
            <v>-437.5484408675452</v>
          </cell>
          <cell r="BV102">
            <v>144.30208476879096</v>
          </cell>
          <cell r="BW102">
            <v>-130.67529640698376</v>
          </cell>
          <cell r="BX102">
            <v>-451.17522922935251</v>
          </cell>
          <cell r="BZ102">
            <v>29.954831433748726</v>
          </cell>
          <cell r="CA102">
            <v>-6.8460606040227356E-2</v>
          </cell>
          <cell r="CB102">
            <v>0</v>
          </cell>
          <cell r="CC102">
            <v>517</v>
          </cell>
          <cell r="CE102">
            <v>0</v>
          </cell>
          <cell r="CF102">
            <v>0</v>
          </cell>
          <cell r="CG102">
            <v>11.315694333333335</v>
          </cell>
          <cell r="CH102">
            <v>8.9401880313383817</v>
          </cell>
          <cell r="CI102">
            <v>6386.5921756164344</v>
          </cell>
          <cell r="CJ102">
            <v>2.7516953333333332</v>
          </cell>
          <cell r="CK102">
            <v>2.1740313020376161</v>
          </cell>
          <cell r="CL102">
            <v>1553.0603220500789</v>
          </cell>
          <cell r="CM102">
            <v>6.4458666666666664E-2</v>
          </cell>
          <cell r="CN102">
            <v>5.0926844016261741E-2</v>
          </cell>
          <cell r="CO102">
            <v>36.380552890273471</v>
          </cell>
          <cell r="CP102">
            <v>0.34140699999999996</v>
          </cell>
          <cell r="CQ102">
            <v>0.26973535032878748</v>
          </cell>
          <cell r="CR102">
            <v>192.69054206224547</v>
          </cell>
          <cell r="CS102">
            <v>0.55000000000000004</v>
          </cell>
          <cell r="CT102">
            <v>5.0602388696945819E-2</v>
          </cell>
          <cell r="CU102">
            <v>0.16864987347032617</v>
          </cell>
          <cell r="CV102">
            <v>0.50602388696945821</v>
          </cell>
          <cell r="CW102">
            <v>0</v>
          </cell>
          <cell r="CX102">
            <v>0</v>
          </cell>
          <cell r="CY102">
            <v>0</v>
          </cell>
          <cell r="CZ102">
            <v>1349.7149605714753</v>
          </cell>
        </row>
        <row r="103">
          <cell r="B103" t="str">
            <v>MWI</v>
          </cell>
          <cell r="C103" t="str">
            <v>LIC</v>
          </cell>
          <cell r="D103" t="str">
            <v>VLIC</v>
          </cell>
          <cell r="E103" t="str">
            <v/>
          </cell>
          <cell r="F103" t="b">
            <v>1</v>
          </cell>
          <cell r="G103" t="str">
            <v/>
          </cell>
          <cell r="H103" t="e">
            <v>#REF!</v>
          </cell>
          <cell r="I103" t="str">
            <v/>
          </cell>
          <cell r="J103" t="str">
            <v/>
          </cell>
          <cell r="K103" t="str">
            <v/>
          </cell>
          <cell r="M103" t="str">
            <v/>
          </cell>
          <cell r="P103" t="b">
            <v>1</v>
          </cell>
          <cell r="Q103" t="b">
            <v>1</v>
          </cell>
          <cell r="R103" t="str">
            <v>YES</v>
          </cell>
          <cell r="S103" t="str">
            <v>YES</v>
          </cell>
          <cell r="T103" t="str">
            <v/>
          </cell>
          <cell r="U103" t="str">
            <v/>
          </cell>
          <cell r="V103" t="str">
            <v/>
          </cell>
          <cell r="W103" t="str">
            <v/>
          </cell>
          <cell r="X103" t="str">
            <v>YES</v>
          </cell>
          <cell r="Y103" t="str">
            <v>YES</v>
          </cell>
          <cell r="Z103" t="str">
            <v/>
          </cell>
          <cell r="AA103" t="str">
            <v/>
          </cell>
          <cell r="AB103" t="str">
            <v/>
          </cell>
          <cell r="AC103" t="str">
            <v>YES</v>
          </cell>
          <cell r="AD103" t="str">
            <v>YES</v>
          </cell>
          <cell r="AE103" t="str">
            <v/>
          </cell>
          <cell r="AF103" t="str">
            <v/>
          </cell>
          <cell r="AG103" t="str">
            <v/>
          </cell>
          <cell r="AK103">
            <v>18.628747000000001</v>
          </cell>
          <cell r="AL103">
            <v>24.849439999999998</v>
          </cell>
          <cell r="AM103">
            <v>380</v>
          </cell>
          <cell r="AN103">
            <v>0.69287769999999993</v>
          </cell>
          <cell r="AO103">
            <v>0.64174999999999993</v>
          </cell>
          <cell r="AP103">
            <v>12.907443375241899</v>
          </cell>
          <cell r="AQ103">
            <v>11.954998387249999</v>
          </cell>
          <cell r="AR103">
            <v>15947.128119999999</v>
          </cell>
          <cell r="AS103">
            <v>0.18545387585074433</v>
          </cell>
          <cell r="AT103">
            <v>75.777883906890708</v>
          </cell>
          <cell r="AU103">
            <v>109.36689679418275</v>
          </cell>
          <cell r="AV103">
            <v>0.18545387585074433</v>
          </cell>
          <cell r="AW103">
            <v>75.777883906890708</v>
          </cell>
          <cell r="AX103">
            <v>109.36689679418275</v>
          </cell>
          <cell r="AY103">
            <v>1411.6470274968387</v>
          </cell>
          <cell r="AZ103">
            <v>1411.6470274968387</v>
          </cell>
          <cell r="BA103">
            <v>0</v>
          </cell>
          <cell r="BB103">
            <v>1148.7787695492129</v>
          </cell>
          <cell r="BC103">
            <v>1209.48889486706</v>
          </cell>
          <cell r="BD103">
            <v>64.925939187807955</v>
          </cell>
          <cell r="BE103">
            <v>93.704760865890137</v>
          </cell>
          <cell r="BF103">
            <v>66.293116499999996</v>
          </cell>
          <cell r="BG103">
            <v>52.517391233298341</v>
          </cell>
          <cell r="BH103">
            <v>98.90211583458138</v>
          </cell>
          <cell r="BI103"/>
          <cell r="BJ103">
            <v>119.00336907280351</v>
          </cell>
          <cell r="BK103">
            <v>10.673548045941367</v>
          </cell>
          <cell r="BL103">
            <v>270.42287614068323</v>
          </cell>
          <cell r="BM103">
            <v>281.09642418662457</v>
          </cell>
          <cell r="BN103">
            <v>978.33319438513274</v>
          </cell>
          <cell r="BO103">
            <v>1842.4224936471105</v>
          </cell>
          <cell r="BP103">
            <v>0</v>
          </cell>
          <cell r="BQ103">
            <v>2216.883654604881</v>
          </cell>
          <cell r="BR103">
            <v>198.8348261401861</v>
          </cell>
          <cell r="BS103">
            <v>5037.6393426371242</v>
          </cell>
          <cell r="BT103">
            <v>5236.4741687773103</v>
          </cell>
          <cell r="BU103">
            <v>232.53393418723789</v>
          </cell>
          <cell r="BV103">
            <v>87.535433248547776</v>
          </cell>
          <cell r="BW103">
            <v>37.361814451920196</v>
          </cell>
          <cell r="BX103">
            <v>107.6366864867699</v>
          </cell>
          <cell r="BZ103">
            <v>34.242292607416374</v>
          </cell>
          <cell r="CA103">
            <v>0.14725718518074118</v>
          </cell>
          <cell r="CB103">
            <v>0.53103512928000007</v>
          </cell>
          <cell r="CC103" t="str">
            <v>—</v>
          </cell>
          <cell r="CD103" t="e">
            <v>#VALUE!</v>
          </cell>
          <cell r="CE103">
            <v>4331.8158288887053</v>
          </cell>
          <cell r="CF103">
            <v>574.38938477460647</v>
          </cell>
          <cell r="CG103">
            <v>126.51904300000001</v>
          </cell>
          <cell r="CH103">
            <v>6.7916024089006095</v>
          </cell>
          <cell r="CI103">
            <v>9.8020219281131578</v>
          </cell>
          <cell r="CJ103">
            <v>472.0604606666667</v>
          </cell>
          <cell r="CK103">
            <v>25.340430071151147</v>
          </cell>
          <cell r="CL103">
            <v>36.572731480824324</v>
          </cell>
          <cell r="CM103">
            <v>4.2367500000000007</v>
          </cell>
          <cell r="CN103">
            <v>0.22743075527301973</v>
          </cell>
          <cell r="CO103">
            <v>0.32824083568141932</v>
          </cell>
          <cell r="CP103">
            <v>148.79883133333334</v>
          </cell>
          <cell r="CQ103">
            <v>7.9875920443459423</v>
          </cell>
          <cell r="CR103">
            <v>11.52814132183204</v>
          </cell>
          <cell r="CS103">
            <v>0.56999999999999995</v>
          </cell>
          <cell r="CT103">
            <v>0.15695865105688536</v>
          </cell>
          <cell r="CU103">
            <v>0.44148761051937641</v>
          </cell>
          <cell r="CV103">
            <v>1.5695865105688536</v>
          </cell>
          <cell r="CW103">
            <v>3824.8271412804716</v>
          </cell>
          <cell r="CX103">
            <v>205.31854027973387</v>
          </cell>
          <cell r="CY103">
            <v>296.32724545721976</v>
          </cell>
          <cell r="CZ103">
            <v>2820.7556880322431</v>
          </cell>
        </row>
        <row r="104">
          <cell r="B104" t="str">
            <v>MYS</v>
          </cell>
          <cell r="C104" t="str">
            <v>UMIC</v>
          </cell>
          <cell r="D104" t="str">
            <v>UMIC</v>
          </cell>
          <cell r="E104" t="str">
            <v/>
          </cell>
          <cell r="F104" t="str">
            <v xml:space="preserve"> </v>
          </cell>
          <cell r="G104" t="str">
            <v/>
          </cell>
          <cell r="H104" t="e">
            <v>#REF!</v>
          </cell>
          <cell r="I104" t="str">
            <v/>
          </cell>
          <cell r="J104" t="str">
            <v/>
          </cell>
          <cell r="K104" t="b">
            <v>1</v>
          </cell>
          <cell r="M104" t="str">
            <v/>
          </cell>
          <cell r="P104" t="str">
            <v/>
          </cell>
          <cell r="Q104" t="str">
            <v/>
          </cell>
          <cell r="R104" t="str">
            <v/>
          </cell>
          <cell r="S104" t="str">
            <v/>
          </cell>
          <cell r="T104" t="str">
            <v>YES</v>
          </cell>
          <cell r="U104" t="str">
            <v>YES</v>
          </cell>
          <cell r="V104" t="str">
            <v/>
          </cell>
          <cell r="W104" t="str">
            <v/>
          </cell>
          <cell r="X104" t="str">
            <v>YES</v>
          </cell>
          <cell r="Y104" t="str">
            <v/>
          </cell>
          <cell r="Z104" t="str">
            <v>YES</v>
          </cell>
          <cell r="AA104" t="str">
            <v/>
          </cell>
          <cell r="AB104" t="str">
            <v/>
          </cell>
          <cell r="AC104" t="str">
            <v/>
          </cell>
          <cell r="AD104" t="str">
            <v/>
          </cell>
          <cell r="AE104" t="str">
            <v>YES</v>
          </cell>
          <cell r="AF104" t="str">
            <v>YES</v>
          </cell>
          <cell r="AG104" t="str">
            <v/>
          </cell>
          <cell r="AK104">
            <v>31.949777000000001</v>
          </cell>
          <cell r="AL104">
            <v>36.095050000000001</v>
          </cell>
          <cell r="AM104">
            <v>11200</v>
          </cell>
          <cell r="AN104">
            <v>6.2799999999999995E-5</v>
          </cell>
          <cell r="AO104">
            <v>9.999999999999999E-14</v>
          </cell>
          <cell r="AP104">
            <v>2.0064459955999999E-3</v>
          </cell>
          <cell r="AQ104">
            <v>3.1949776999999997E-12</v>
          </cell>
          <cell r="AR104">
            <v>3.6095049999999999E-9</v>
          </cell>
          <cell r="AS104">
            <v>0.16096294640885642</v>
          </cell>
          <cell r="AT104">
            <v>1862.0849096804584</v>
          </cell>
          <cell r="AU104">
            <v>29651033.593637876</v>
          </cell>
          <cell r="AV104">
            <v>0.21114580684650347</v>
          </cell>
          <cell r="AW104">
            <v>2442.6206741550186</v>
          </cell>
          <cell r="AX104">
            <v>38895233.664888836</v>
          </cell>
          <cell r="AY104">
            <v>59493.197619355793</v>
          </cell>
          <cell r="AZ104">
            <v>78041.185834842501</v>
          </cell>
          <cell r="BA104">
            <v>18547.988215486708</v>
          </cell>
          <cell r="BB104">
            <v>84.342568949737</v>
          </cell>
          <cell r="BC104">
            <v>64.022652192539326</v>
          </cell>
          <cell r="BD104">
            <v>2.0038528654688053</v>
          </cell>
          <cell r="BE104">
            <v>31908.485118930024</v>
          </cell>
          <cell r="BF104">
            <v>6.5927724999999997</v>
          </cell>
          <cell r="BG104">
            <v>462.73628837549751</v>
          </cell>
          <cell r="BH104">
            <v>428.66195619701386</v>
          </cell>
          <cell r="BI104"/>
          <cell r="BJ104">
            <v>0</v>
          </cell>
          <cell r="BK104">
            <v>25.719586785407024</v>
          </cell>
          <cell r="BL104">
            <v>891.39824457251143</v>
          </cell>
          <cell r="BM104">
            <v>917.11783135791848</v>
          </cell>
          <cell r="BN104">
            <v>14784.321223404839</v>
          </cell>
          <cell r="BO104">
            <v>13695.653908878361</v>
          </cell>
          <cell r="BP104">
            <v>0</v>
          </cell>
          <cell r="BQ104">
            <v>0</v>
          </cell>
          <cell r="BR104">
            <v>821.73506232590125</v>
          </cell>
          <cell r="BS104">
            <v>28479.975132283202</v>
          </cell>
          <cell r="BT104">
            <v>29301.710194609102</v>
          </cell>
          <cell r="BU104">
            <v>-329.91209250499787</v>
          </cell>
          <cell r="BV104">
            <v>62.268855073761074</v>
          </cell>
          <cell r="BW104">
            <v>-25.787846455506212</v>
          </cell>
          <cell r="BX104">
            <v>-366.39310112325279</v>
          </cell>
          <cell r="BZ104">
            <v>1.1051004314136421</v>
          </cell>
          <cell r="CA104">
            <v>-3.3496814955241475E-3</v>
          </cell>
          <cell r="CB104">
            <v>0.51980595255000006</v>
          </cell>
          <cell r="CC104" t="str">
            <v>—</v>
          </cell>
          <cell r="CD104" t="e">
            <v>#VALUE!</v>
          </cell>
          <cell r="CE104">
            <v>0</v>
          </cell>
          <cell r="CF104">
            <v>0</v>
          </cell>
          <cell r="CG104">
            <v>34.947571666666668</v>
          </cell>
          <cell r="CH104">
            <v>1.0938283439870853</v>
          </cell>
          <cell r="CI104">
            <v>17417.64878960327</v>
          </cell>
          <cell r="CJ104">
            <v>4.0609556666666666</v>
          </cell>
          <cell r="CK104">
            <v>0.12710435089004429</v>
          </cell>
          <cell r="CL104">
            <v>2023.9546320070749</v>
          </cell>
          <cell r="CM104">
            <v>1.1639916666666665</v>
          </cell>
          <cell r="CN104">
            <v>3.6431918340671561E-2</v>
          </cell>
          <cell r="CO104">
            <v>580.12608822725417</v>
          </cell>
          <cell r="CP104">
            <v>1.7349926666666666</v>
          </cell>
          <cell r="CQ104">
            <v>5.4303748870192944E-2</v>
          </cell>
          <cell r="CR104">
            <v>864.70937691390043</v>
          </cell>
          <cell r="CS104" t="str">
            <v/>
          </cell>
          <cell r="CT104">
            <v>8.247666329564679E-2</v>
          </cell>
          <cell r="CU104">
            <v>0.23753577372386669</v>
          </cell>
          <cell r="CV104">
            <v>0.8247666329564679</v>
          </cell>
          <cell r="CW104">
            <v>0</v>
          </cell>
          <cell r="CX104">
            <v>0</v>
          </cell>
          <cell r="CY104">
            <v>0</v>
          </cell>
          <cell r="CZ104">
            <v>28479.975132283202</v>
          </cell>
        </row>
        <row r="105">
          <cell r="B105" t="str">
            <v>NAM</v>
          </cell>
          <cell r="C105" t="str">
            <v>UMIC</v>
          </cell>
          <cell r="D105" t="str">
            <v>UMIC</v>
          </cell>
          <cell r="E105" t="str">
            <v/>
          </cell>
          <cell r="F105" t="str">
            <v xml:space="preserve"> </v>
          </cell>
          <cell r="G105" t="str">
            <v/>
          </cell>
          <cell r="H105" t="e">
            <v>#REF!</v>
          </cell>
          <cell r="I105" t="str">
            <v/>
          </cell>
          <cell r="J105" t="str">
            <v/>
          </cell>
          <cell r="K105" t="b">
            <v>1</v>
          </cell>
          <cell r="M105" t="str">
            <v/>
          </cell>
          <cell r="P105" t="b">
            <v>1</v>
          </cell>
          <cell r="Q105" t="str">
            <v/>
          </cell>
          <cell r="R105" t="str">
            <v/>
          </cell>
          <cell r="S105" t="str">
            <v/>
          </cell>
          <cell r="T105" t="str">
            <v>YES</v>
          </cell>
          <cell r="U105" t="str">
            <v>YES</v>
          </cell>
          <cell r="V105" t="str">
            <v/>
          </cell>
          <cell r="W105" t="str">
            <v/>
          </cell>
          <cell r="X105" t="str">
            <v>YES</v>
          </cell>
          <cell r="Y105" t="str">
            <v/>
          </cell>
          <cell r="Z105" t="str">
            <v>YES</v>
          </cell>
          <cell r="AA105" t="str">
            <v/>
          </cell>
          <cell r="AB105" t="str">
            <v/>
          </cell>
          <cell r="AC105" t="str">
            <v/>
          </cell>
          <cell r="AD105" t="str">
            <v/>
          </cell>
          <cell r="AE105" t="str">
            <v>YES</v>
          </cell>
          <cell r="AF105" t="str">
            <v>YES</v>
          </cell>
          <cell r="AK105">
            <v>2.4945300000000001</v>
          </cell>
          <cell r="AL105">
            <v>3.0108730000000001</v>
          </cell>
          <cell r="AM105">
            <v>5060</v>
          </cell>
          <cell r="AN105">
            <v>0.1477221</v>
          </cell>
          <cell r="AO105">
            <v>0.15825</v>
          </cell>
          <cell r="AP105">
            <v>0.36849721011300002</v>
          </cell>
          <cell r="AQ105">
            <v>0.39475937250000004</v>
          </cell>
          <cell r="AR105">
            <v>476.47065225</v>
          </cell>
          <cell r="AS105">
            <v>0.29621935178865805</v>
          </cell>
          <cell r="AT105">
            <v>1591.6078173325545</v>
          </cell>
          <cell r="AU105">
            <v>10774.337877220501</v>
          </cell>
          <cell r="AV105">
            <v>0.29621935178865805</v>
          </cell>
          <cell r="AW105">
            <v>1591.6078173325545</v>
          </cell>
          <cell r="AX105">
            <v>10774.337877220501</v>
          </cell>
          <cell r="AY105">
            <v>3970.3134485705773</v>
          </cell>
          <cell r="AZ105">
            <v>3970.3134485705773</v>
          </cell>
          <cell r="BA105">
            <v>0</v>
          </cell>
          <cell r="BB105">
            <v>199.87835711946232</v>
          </cell>
          <cell r="BC105">
            <v>197.96649411200301</v>
          </cell>
          <cell r="BD105">
            <v>79.360237845206512</v>
          </cell>
          <cell r="BE105">
            <v>537.22657507039582</v>
          </cell>
          <cell r="BF105">
            <v>0.75786075000000008</v>
          </cell>
          <cell r="BG105">
            <v>214.92286816806083</v>
          </cell>
          <cell r="BH105">
            <v>447.39697342580297</v>
          </cell>
          <cell r="BI105"/>
          <cell r="BJ105">
            <v>46.78974165171708</v>
          </cell>
          <cell r="BK105">
            <v>35.42719245699103</v>
          </cell>
          <cell r="BL105">
            <v>709.10958324558089</v>
          </cell>
          <cell r="BM105">
            <v>744.53677570257196</v>
          </cell>
          <cell r="BN105">
            <v>536.13154233127284</v>
          </cell>
          <cell r="BO105">
            <v>1116.0451721198683</v>
          </cell>
          <cell r="BP105">
            <v>0</v>
          </cell>
          <cell r="BQ105">
            <v>116.71841424245781</v>
          </cell>
          <cell r="BR105">
            <v>88.374194399737831</v>
          </cell>
          <cell r="BS105">
            <v>1768.895128693599</v>
          </cell>
          <cell r="BT105">
            <v>1857.2693230933369</v>
          </cell>
          <cell r="BU105">
            <v>-86.694325420696373</v>
          </cell>
          <cell r="BV105">
            <v>208.65580082591981</v>
          </cell>
          <cell r="BW105">
            <v>-103.39869529845012</v>
          </cell>
          <cell r="BX105">
            <v>-191.95143094816609</v>
          </cell>
          <cell r="BZ105">
            <v>39.83202343968663</v>
          </cell>
          <cell r="CA105">
            <v>-0.45945364066674665</v>
          </cell>
          <cell r="CB105">
            <v>0</v>
          </cell>
          <cell r="CC105" t="str">
            <v>—</v>
          </cell>
          <cell r="CD105" t="e">
            <v>#VALUE!</v>
          </cell>
          <cell r="CE105">
            <v>0</v>
          </cell>
          <cell r="CF105">
            <v>0</v>
          </cell>
          <cell r="CG105">
            <v>21.540736333333331</v>
          </cell>
          <cell r="CH105">
            <v>8.6351883253892847</v>
          </cell>
          <cell r="CI105">
            <v>58.455629356672326</v>
          </cell>
          <cell r="CJ105">
            <v>92.209187999999983</v>
          </cell>
          <cell r="CK105">
            <v>36.964553643371687</v>
          </cell>
          <cell r="CL105">
            <v>250.23035580574395</v>
          </cell>
          <cell r="CM105">
            <v>0.28129366666666672</v>
          </cell>
          <cell r="CN105">
            <v>0.11276419472472438</v>
          </cell>
          <cell r="CO105">
            <v>0.76335358571753564</v>
          </cell>
          <cell r="CP105">
            <v>1.2803583333333333</v>
          </cell>
          <cell r="CQ105">
            <v>0.51326636012929616</v>
          </cell>
          <cell r="CR105">
            <v>3.4745401001562812</v>
          </cell>
          <cell r="CS105" t="str">
            <v/>
          </cell>
          <cell r="CT105">
            <v>0.13472598044521411</v>
          </cell>
          <cell r="CU105">
            <v>0.37526267473231428</v>
          </cell>
          <cell r="CV105">
            <v>1.3472598044521411</v>
          </cell>
          <cell r="CW105">
            <v>0</v>
          </cell>
          <cell r="CX105">
            <v>0</v>
          </cell>
          <cell r="CY105">
            <v>0</v>
          </cell>
          <cell r="CZ105">
            <v>1652.1767144511412</v>
          </cell>
        </row>
        <row r="106">
          <cell r="B106" t="str">
            <v>NER</v>
          </cell>
          <cell r="C106" t="str">
            <v>LIC</v>
          </cell>
          <cell r="D106" t="str">
            <v>OLIC</v>
          </cell>
          <cell r="E106" t="str">
            <v>OLIC_LDC</v>
          </cell>
          <cell r="F106" t="b">
            <v>1</v>
          </cell>
          <cell r="G106" t="str">
            <v/>
          </cell>
          <cell r="H106" t="e">
            <v>#REF!</v>
          </cell>
          <cell r="I106" t="str">
            <v/>
          </cell>
          <cell r="J106" t="str">
            <v/>
          </cell>
          <cell r="K106" t="str">
            <v/>
          </cell>
          <cell r="M106" t="b">
            <v>1</v>
          </cell>
          <cell r="P106" t="b">
            <v>1</v>
          </cell>
          <cell r="Q106" t="b">
            <v>1</v>
          </cell>
          <cell r="R106" t="str">
            <v>YES</v>
          </cell>
          <cell r="S106" t="str">
            <v>YES</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K106">
            <v>23.310714999999998</v>
          </cell>
          <cell r="AL106">
            <v>34.846019999999996</v>
          </cell>
          <cell r="AM106">
            <v>560</v>
          </cell>
          <cell r="AN106">
            <v>0.41337029999999997</v>
          </cell>
          <cell r="AO106">
            <v>0.32750000000000001</v>
          </cell>
          <cell r="AP106">
            <v>9.6359572527644985</v>
          </cell>
          <cell r="AQ106">
            <v>7.6342591624999994</v>
          </cell>
          <cell r="AR106">
            <v>11412.071550000001</v>
          </cell>
          <cell r="AS106">
            <v>0.12375982236509006</v>
          </cell>
          <cell r="AT106">
            <v>71.237199844649794</v>
          </cell>
          <cell r="AU106">
            <v>172.33265148620933</v>
          </cell>
          <cell r="AV106">
            <v>0.1421422512507062</v>
          </cell>
          <cell r="AW106">
            <v>81.818281290384689</v>
          </cell>
          <cell r="AX106">
            <v>197.9297527915883</v>
          </cell>
          <cell r="AY106">
            <v>1660.5900629766757</v>
          </cell>
          <cell r="AZ106">
            <v>1907.2426369499894</v>
          </cell>
          <cell r="BA106">
            <v>246.65257397331379</v>
          </cell>
          <cell r="BB106">
            <v>810.94779762409905</v>
          </cell>
          <cell r="BC106">
            <v>885.50569386673112</v>
          </cell>
          <cell r="BD106">
            <v>37.987067057648432</v>
          </cell>
          <cell r="BE106">
            <v>91.895975733255227</v>
          </cell>
          <cell r="BF106">
            <v>138.61664675</v>
          </cell>
          <cell r="BG106">
            <v>96.875936826827541</v>
          </cell>
          <cell r="BH106">
            <v>70.897019060784302</v>
          </cell>
          <cell r="BI106"/>
          <cell r="BJ106">
            <v>56.017224966436366</v>
          </cell>
          <cell r="BK106">
            <v>23.398762467656844</v>
          </cell>
          <cell r="BL106">
            <v>223.7901808540482</v>
          </cell>
          <cell r="BM106">
            <v>247.18894332170504</v>
          </cell>
          <cell r="BN106">
            <v>2258.2473537281808</v>
          </cell>
          <cell r="BO106">
            <v>1652.6602056755105</v>
          </cell>
          <cell r="BP106">
            <v>0</v>
          </cell>
          <cell r="BQ106">
            <v>1305.8015662834825</v>
          </cell>
          <cell r="BR106">
            <v>545.44188323624542</v>
          </cell>
          <cell r="BS106">
            <v>5216.7091256871736</v>
          </cell>
          <cell r="BT106">
            <v>5762.1510089234189</v>
          </cell>
          <cell r="BU106">
            <v>182.88104020885586</v>
          </cell>
          <cell r="BV106">
            <v>58.624276867226598</v>
          </cell>
          <cell r="BW106">
            <v>80.512280568750597</v>
          </cell>
          <cell r="BX106">
            <v>43.744482772878662</v>
          </cell>
          <cell r="BZ106">
            <v>21.966772375208809</v>
          </cell>
          <cell r="CA106">
            <v>0.12011508874906916</v>
          </cell>
          <cell r="CB106">
            <v>0</v>
          </cell>
          <cell r="CC106" t="str">
            <v>—</v>
          </cell>
          <cell r="CE106">
            <v>4263.0878072121795</v>
          </cell>
          <cell r="CF106">
            <v>442.75284693336556</v>
          </cell>
          <cell r="CG106">
            <v>88.031377000000006</v>
          </cell>
          <cell r="CH106">
            <v>3.7764340132853071</v>
          </cell>
          <cell r="CI106">
            <v>9.1357168458529969</v>
          </cell>
          <cell r="CJ106">
            <v>138.81599900000001</v>
          </cell>
          <cell r="CK106">
            <v>5.9550296505276661</v>
          </cell>
          <cell r="CL106">
            <v>14.406041388381475</v>
          </cell>
          <cell r="CM106">
            <v>7.6018263333333334</v>
          </cell>
          <cell r="CN106">
            <v>0.3261086729142943</v>
          </cell>
          <cell r="CO106">
            <v>0.78890203992472208</v>
          </cell>
          <cell r="CP106">
            <v>146.23958866666669</v>
          </cell>
          <cell r="CQ106">
            <v>6.2734921973292836</v>
          </cell>
          <cell r="CR106">
            <v>15.176446390389644</v>
          </cell>
          <cell r="CS106">
            <v>0.62</v>
          </cell>
          <cell r="CT106">
            <v>0.20537654035922964</v>
          </cell>
          <cell r="CU106">
            <v>0.51581069049147577</v>
          </cell>
          <cell r="CV106">
            <v>2.0537654035922963</v>
          </cell>
          <cell r="CW106">
            <v>3854.9083719734294</v>
          </cell>
          <cell r="CX106">
            <v>165.37066203132034</v>
          </cell>
          <cell r="CY106">
            <v>400.05453229542701</v>
          </cell>
          <cell r="CZ106">
            <v>3910.9075594036913</v>
          </cell>
        </row>
        <row r="107">
          <cell r="B107" t="str">
            <v>NGA</v>
          </cell>
          <cell r="C107" t="str">
            <v>LMIC</v>
          </cell>
          <cell r="D107" t="str">
            <v>LLMIC</v>
          </cell>
          <cell r="E107" t="str">
            <v>LMIC_nonLDC</v>
          </cell>
          <cell r="F107" t="str">
            <v xml:space="preserve"> </v>
          </cell>
          <cell r="G107" t="str">
            <v/>
          </cell>
          <cell r="H107" t="e">
            <v>#REF!</v>
          </cell>
          <cell r="I107" t="str">
            <v/>
          </cell>
          <cell r="J107" t="str">
            <v/>
          </cell>
          <cell r="K107" t="b">
            <v>1</v>
          </cell>
          <cell r="M107" t="b">
            <v>1</v>
          </cell>
          <cell r="P107" t="b">
            <v>1</v>
          </cell>
          <cell r="Q107" t="b">
            <v>1</v>
          </cell>
          <cell r="R107" t="str">
            <v>YES</v>
          </cell>
          <cell r="S107" t="str">
            <v>YES</v>
          </cell>
          <cell r="T107" t="str">
            <v/>
          </cell>
          <cell r="U107" t="str">
            <v/>
          </cell>
          <cell r="V107" t="str">
            <v/>
          </cell>
          <cell r="W107" t="str">
            <v/>
          </cell>
          <cell r="X107" t="str">
            <v>YES</v>
          </cell>
          <cell r="Y107" t="str">
            <v/>
          </cell>
          <cell r="Z107" t="str">
            <v>YES</v>
          </cell>
          <cell r="AA107" t="str">
            <v/>
          </cell>
          <cell r="AB107" t="str">
            <v/>
          </cell>
          <cell r="AC107" t="str">
            <v>YES</v>
          </cell>
          <cell r="AD107" t="str">
            <v>YES</v>
          </cell>
          <cell r="AE107" t="str">
            <v/>
          </cell>
          <cell r="AF107" t="str">
            <v/>
          </cell>
          <cell r="AK107">
            <v>200.96359899999999</v>
          </cell>
          <cell r="AL107">
            <v>262.97730000000001</v>
          </cell>
          <cell r="AM107">
            <v>2030</v>
          </cell>
          <cell r="AN107">
            <v>0.46</v>
          </cell>
          <cell r="AO107">
            <v>0.47</v>
          </cell>
          <cell r="AP107">
            <v>92.443255539999996</v>
          </cell>
          <cell r="AQ107">
            <v>94.452891529999988</v>
          </cell>
          <cell r="AR107">
            <v>123599.33100000001</v>
          </cell>
          <cell r="AS107">
            <v>7.9000000000000001E-2</v>
          </cell>
          <cell r="AT107">
            <v>163.86544787363704</v>
          </cell>
          <cell r="AU107">
            <v>356.2292345079066</v>
          </cell>
          <cell r="AV107">
            <v>0.15</v>
          </cell>
          <cell r="AW107">
            <v>311.13692634234883</v>
          </cell>
          <cell r="AX107">
            <v>676.38462248336702</v>
          </cell>
          <cell r="AY107">
            <v>32930.990156432992</v>
          </cell>
          <cell r="AZ107">
            <v>62527.196499556318</v>
          </cell>
          <cell r="BA107">
            <v>29596.206343123325</v>
          </cell>
          <cell r="BB107">
            <v>2478.6529375549731</v>
          </cell>
          <cell r="BC107">
            <v>2497.8715680383466</v>
          </cell>
          <cell r="BD107">
            <v>12.429472702856733</v>
          </cell>
          <cell r="BE107">
            <v>27.020592832297247</v>
          </cell>
          <cell r="BF107">
            <v>450.38804449999998</v>
          </cell>
          <cell r="BG107">
            <v>163.797348005571</v>
          </cell>
          <cell r="BH107">
            <v>101.6302088173197</v>
          </cell>
          <cell r="BI107"/>
          <cell r="BJ107">
            <v>184.43555949850844</v>
          </cell>
          <cell r="BK107">
            <v>34.670420023745756</v>
          </cell>
          <cell r="BL107">
            <v>449.8631163213991</v>
          </cell>
          <cell r="BM107">
            <v>484.53353634514485</v>
          </cell>
          <cell r="BN107">
            <v>32917.304561855017</v>
          </cell>
          <cell r="BO107">
            <v>20423.972531050098</v>
          </cell>
          <cell r="BP107">
            <v>0</v>
          </cell>
          <cell r="BQ107">
            <v>37064.83382039889</v>
          </cell>
          <cell r="BR107">
            <v>6967.492386813612</v>
          </cell>
          <cell r="BS107">
            <v>90406.110913304001</v>
          </cell>
          <cell r="BT107">
            <v>97373.603300117611</v>
          </cell>
          <cell r="BU107">
            <v>294.29465315022469</v>
          </cell>
          <cell r="BV107">
            <v>54.959669865967378</v>
          </cell>
          <cell r="BW107">
            <v>101.56996273710124</v>
          </cell>
          <cell r="BX107">
            <v>137.76502054715613</v>
          </cell>
          <cell r="BZ107">
            <v>7.3353075562165531</v>
          </cell>
          <cell r="CA107">
            <v>2.4925045282668441E-2</v>
          </cell>
          <cell r="CB107">
            <v>0</v>
          </cell>
          <cell r="CC107" t="str">
            <v>—</v>
          </cell>
          <cell r="CE107">
            <v>59142.512663525835</v>
          </cell>
          <cell r="CF107">
            <v>1239.3264687774865</v>
          </cell>
          <cell r="CG107">
            <v>192.09938166666666</v>
          </cell>
          <cell r="CH107">
            <v>0.95589142821166673</v>
          </cell>
          <cell r="CI107">
            <v>2.0780248439384059</v>
          </cell>
          <cell r="CJ107">
            <v>1116.9762316666665</v>
          </cell>
          <cell r="CK107">
            <v>5.5581022494858212</v>
          </cell>
          <cell r="CL107">
            <v>12.08283097714309</v>
          </cell>
          <cell r="CM107">
            <v>21.525508666666667</v>
          </cell>
          <cell r="CN107">
            <v>0.107111480754615</v>
          </cell>
          <cell r="CO107">
            <v>0.23285104511872826</v>
          </cell>
          <cell r="CP107">
            <v>372.88797033333333</v>
          </cell>
          <cell r="CQ107">
            <v>1.8555000616471511</v>
          </cell>
          <cell r="CR107">
            <v>4.0336957861894591</v>
          </cell>
          <cell r="CS107">
            <v>0.56999999999999995</v>
          </cell>
          <cell r="CT107">
            <v>0.16888031050837221</v>
          </cell>
          <cell r="CU107">
            <v>0.44607672457139863</v>
          </cell>
          <cell r="CV107">
            <v>1.6888031050837222</v>
          </cell>
          <cell r="CW107">
            <v>34846.406800561293</v>
          </cell>
          <cell r="CX107">
            <v>173.39661000279605</v>
          </cell>
          <cell r="CY107">
            <v>376.94915217999142</v>
          </cell>
          <cell r="CZ107">
            <v>53341.277092905111</v>
          </cell>
        </row>
        <row r="108">
          <cell r="B108" t="str">
            <v>NIC</v>
          </cell>
          <cell r="C108" t="str">
            <v>LMIC</v>
          </cell>
          <cell r="D108" t="str">
            <v>LLMIC</v>
          </cell>
          <cell r="E108" t="str">
            <v>LMIC_nonLDC</v>
          </cell>
          <cell r="F108" t="str">
            <v xml:space="preserve"> </v>
          </cell>
          <cell r="G108" t="str">
            <v/>
          </cell>
          <cell r="H108" t="e">
            <v>#REF!</v>
          </cell>
          <cell r="I108" t="str">
            <v/>
          </cell>
          <cell r="J108" t="str">
            <v/>
          </cell>
          <cell r="K108" t="b">
            <v>1</v>
          </cell>
          <cell r="M108" t="b">
            <v>1</v>
          </cell>
          <cell r="O108" t="b">
            <v>1</v>
          </cell>
          <cell r="P108" t="str">
            <v/>
          </cell>
          <cell r="Q108" t="str">
            <v/>
          </cell>
          <cell r="R108" t="str">
            <v>YES</v>
          </cell>
          <cell r="S108" t="str">
            <v/>
          </cell>
          <cell r="T108" t="str">
            <v>YES</v>
          </cell>
          <cell r="U108" t="str">
            <v/>
          </cell>
          <cell r="V108" t="str">
            <v>YES</v>
          </cell>
          <cell r="W108" t="str">
            <v/>
          </cell>
          <cell r="X108" t="str">
            <v/>
          </cell>
          <cell r="Y108" t="str">
            <v/>
          </cell>
          <cell r="Z108" t="str">
            <v/>
          </cell>
          <cell r="AA108" t="str">
            <v/>
          </cell>
          <cell r="AB108" t="str">
            <v/>
          </cell>
          <cell r="AC108" t="str">
            <v/>
          </cell>
          <cell r="AD108" t="str">
            <v/>
          </cell>
          <cell r="AE108" t="str">
            <v/>
          </cell>
          <cell r="AF108" t="str">
            <v/>
          </cell>
          <cell r="AK108">
            <v>6.5455019999999999</v>
          </cell>
          <cell r="AL108">
            <v>7.3918810000000006</v>
          </cell>
          <cell r="AM108">
            <v>1910</v>
          </cell>
          <cell r="AN108">
            <v>2.5059429999999997E-2</v>
          </cell>
          <cell r="AO108">
            <v>2.5249999999999998E-2</v>
          </cell>
          <cell r="AP108">
            <v>0.16402654918385998</v>
          </cell>
          <cell r="AQ108">
            <v>0.16527392549999997</v>
          </cell>
          <cell r="AR108">
            <v>186.64499524999997</v>
          </cell>
          <cell r="AS108">
            <v>0.23033829275227849</v>
          </cell>
          <cell r="AT108">
            <v>443.5535845231106</v>
          </cell>
          <cell r="AU108">
            <v>17700.066782169852</v>
          </cell>
          <cell r="AV108">
            <v>0.23033829275227849</v>
          </cell>
          <cell r="AW108">
            <v>443.5535845231106</v>
          </cell>
          <cell r="AX108">
            <v>17700.066782169852</v>
          </cell>
          <cell r="AY108">
            <v>2903.2808746031892</v>
          </cell>
          <cell r="AZ108">
            <v>2903.2808746031892</v>
          </cell>
          <cell r="BA108">
            <v>0</v>
          </cell>
          <cell r="BB108">
            <v>507.94704897319866</v>
          </cell>
          <cell r="BC108">
            <v>464.97783783764538</v>
          </cell>
          <cell r="BD108">
            <v>71.037765756949639</v>
          </cell>
          <cell r="BE108">
            <v>2834.7718107295195</v>
          </cell>
          <cell r="BF108">
            <v>8.2285784999999994</v>
          </cell>
          <cell r="BG108">
            <v>88.860654508154653</v>
          </cell>
          <cell r="BH108">
            <v>188.45551143987493</v>
          </cell>
          <cell r="BI108"/>
          <cell r="BJ108">
            <v>0</v>
          </cell>
          <cell r="BK108">
            <v>33.183523093168183</v>
          </cell>
          <cell r="BL108">
            <v>277.31616594802961</v>
          </cell>
          <cell r="BM108">
            <v>310.49968904119777</v>
          </cell>
          <cell r="BN108">
            <v>581.63759180443526</v>
          </cell>
          <cell r="BO108">
            <v>1233.5359270407241</v>
          </cell>
          <cell r="BP108">
            <v>0</v>
          </cell>
          <cell r="BQ108">
            <v>0</v>
          </cell>
          <cell r="BR108">
            <v>217.20281677337852</v>
          </cell>
          <cell r="BS108">
            <v>1815.1735188451594</v>
          </cell>
          <cell r="BT108">
            <v>2032.376335618538</v>
          </cell>
          <cell r="BU108">
            <v>55.539373686474306</v>
          </cell>
          <cell r="BV108">
            <v>121.92247376140834</v>
          </cell>
          <cell r="BW108">
            <v>0.14993760353252128</v>
          </cell>
          <cell r="BX108">
            <v>-66.533037678466584</v>
          </cell>
          <cell r="BZ108">
            <v>36.147450290111088</v>
          </cell>
          <cell r="CA108">
            <v>0.65084367883165739</v>
          </cell>
          <cell r="CB108">
            <v>0</v>
          </cell>
          <cell r="CC108">
            <v>300000</v>
          </cell>
          <cell r="CD108">
            <v>11.971541252135424</v>
          </cell>
          <cell r="CE108">
            <v>363.53308154356495</v>
          </cell>
          <cell r="CF108">
            <v>253.97352448659933</v>
          </cell>
          <cell r="CG108">
            <v>50.716813333333334</v>
          </cell>
          <cell r="CH108">
            <v>7.7483458615295415</v>
          </cell>
          <cell r="CI108">
            <v>309.19880705704571</v>
          </cell>
          <cell r="CJ108">
            <v>73.746891000000005</v>
          </cell>
          <cell r="CK108">
            <v>11.266804440667807</v>
          </cell>
          <cell r="CL108">
            <v>449.6033804706575</v>
          </cell>
          <cell r="CM108">
            <v>0.90199833333333324</v>
          </cell>
          <cell r="CN108">
            <v>0.13780430184473755</v>
          </cell>
          <cell r="CO108">
            <v>5.4990996141866582</v>
          </cell>
          <cell r="CP108">
            <v>15.323995</v>
          </cell>
          <cell r="CQ108">
            <v>2.3411489294480394</v>
          </cell>
          <cell r="CR108">
            <v>93.423869954266308</v>
          </cell>
          <cell r="CS108">
            <v>0.48</v>
          </cell>
          <cell r="CT108">
            <v>0.10036541123965741</v>
          </cell>
          <cell r="CU108">
            <v>0.29856930759474215</v>
          </cell>
          <cell r="CV108">
            <v>1.0036541123965741</v>
          </cell>
          <cell r="CW108">
            <v>0</v>
          </cell>
          <cell r="CX108">
            <v>0</v>
          </cell>
          <cell r="CY108">
            <v>0</v>
          </cell>
          <cell r="CZ108">
            <v>1815.1735188451596</v>
          </cell>
        </row>
        <row r="109">
          <cell r="B109" t="str">
            <v>NIU</v>
          </cell>
          <cell r="D109" t="str">
            <v>HIC</v>
          </cell>
          <cell r="F109" t="str">
            <v xml:space="preserve"> </v>
          </cell>
          <cell r="G109" t="str">
            <v/>
          </cell>
          <cell r="H109" t="e">
            <v>#REF!</v>
          </cell>
          <cell r="I109" t="str">
            <v/>
          </cell>
          <cell r="J109" t="str">
            <v/>
          </cell>
          <cell r="K109" t="str">
            <v/>
          </cell>
          <cell r="M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K109">
            <v>2E-3</v>
          </cell>
          <cell r="AL109" t="e">
            <v>#VALUE!</v>
          </cell>
          <cell r="AM109" t="b">
            <v>0</v>
          </cell>
          <cell r="AN109" t="e">
            <v>#VALUE!</v>
          </cell>
          <cell r="AO109" t="e">
            <v>#VALUE!</v>
          </cell>
          <cell r="AP109" t="e">
            <v>#VALUE!</v>
          </cell>
          <cell r="AQ109" t="e">
            <v>#VALUE!</v>
          </cell>
          <cell r="AR109" t="e">
            <v>#VALUE!</v>
          </cell>
          <cell r="AS109" t="e">
            <v>#N/A</v>
          </cell>
          <cell r="AT109" t="e">
            <v>#N/A</v>
          </cell>
          <cell r="AU109" t="e">
            <v>#N/A</v>
          </cell>
          <cell r="AV109" t="e">
            <v>#N/A</v>
          </cell>
          <cell r="AW109" t="e">
            <v>#N/A</v>
          </cell>
          <cell r="AX109" t="e">
            <v>#N/A</v>
          </cell>
          <cell r="AY109" t="e">
            <v>#N/A</v>
          </cell>
          <cell r="AZ109" t="e">
            <v>#N/A</v>
          </cell>
          <cell r="BA109" t="e">
            <v>#N/A</v>
          </cell>
          <cell r="BB109">
            <v>16.312486991911832</v>
          </cell>
          <cell r="BC109">
            <v>15.726034440633699</v>
          </cell>
          <cell r="BD109">
            <v>7863.0172203168495</v>
          </cell>
          <cell r="BE109" t="e">
            <v>#VALUE!</v>
          </cell>
          <cell r="BF109">
            <v>0.1102925</v>
          </cell>
          <cell r="BG109" t="str">
            <v/>
          </cell>
          <cell r="BH109" t="str">
            <v/>
          </cell>
          <cell r="BI109"/>
          <cell r="BJ109" t="str">
            <v/>
          </cell>
          <cell r="BK109" t="str">
            <v/>
          </cell>
          <cell r="BL109" t="str">
            <v/>
          </cell>
          <cell r="BM109" t="str">
            <v/>
          </cell>
          <cell r="BN109" t="str">
            <v/>
          </cell>
          <cell r="BO109" t="str">
            <v/>
          </cell>
          <cell r="BP109">
            <v>0</v>
          </cell>
          <cell r="BQ109" t="str">
            <v/>
          </cell>
          <cell r="BR109" t="str">
            <v/>
          </cell>
          <cell r="BS109" t="str">
            <v/>
          </cell>
          <cell r="BT109" t="str">
            <v/>
          </cell>
          <cell r="BU109" t="str">
            <v/>
          </cell>
          <cell r="BV109" t="str">
            <v/>
          </cell>
          <cell r="BW109" t="str">
            <v/>
          </cell>
          <cell r="BX109" t="str">
            <v/>
          </cell>
          <cell r="BZ109" t="str">
            <v/>
          </cell>
          <cell r="CA109" t="str">
            <v/>
          </cell>
          <cell r="CB109">
            <v>0</v>
          </cell>
          <cell r="CC109" t="e">
            <v>#N/A</v>
          </cell>
          <cell r="CD109" t="e">
            <v>#N/A</v>
          </cell>
          <cell r="CE109" t="e">
            <v>#VALUE!</v>
          </cell>
          <cell r="CF109">
            <v>8.1562434959559162</v>
          </cell>
          <cell r="CG109">
            <v>0.52553766666666668</v>
          </cell>
          <cell r="CH109">
            <v>262.76883333333336</v>
          </cell>
          <cell r="CI109" t="e">
            <v>#VALUE!</v>
          </cell>
          <cell r="CJ109">
            <v>0.45960933333333331</v>
          </cell>
          <cell r="CK109">
            <v>229.80466666666666</v>
          </cell>
          <cell r="CL109" t="e">
            <v>#VALUE!</v>
          </cell>
          <cell r="CM109">
            <v>3.4796483333333335</v>
          </cell>
          <cell r="CN109">
            <v>1739.8241666666668</v>
          </cell>
          <cell r="CO109" t="e">
            <v>#VALUE!</v>
          </cell>
          <cell r="CP109">
            <v>5.0993333333333333E-3</v>
          </cell>
          <cell r="CQ109">
            <v>2.5496666666666665</v>
          </cell>
          <cell r="CR109" t="e">
            <v>#VALUE!</v>
          </cell>
          <cell r="CS109" t="str">
            <v/>
          </cell>
          <cell r="CT109" t="e">
            <v>#N/A</v>
          </cell>
          <cell r="CU109" t="str">
            <v/>
          </cell>
          <cell r="CV109" t="e">
            <v>#N/A</v>
          </cell>
          <cell r="CW109">
            <v>0</v>
          </cell>
          <cell r="CX109">
            <v>0</v>
          </cell>
          <cell r="CY109" t="e">
            <v>#VALUE!</v>
          </cell>
          <cell r="CZ109" t="e">
            <v>#VALUE!</v>
          </cell>
        </row>
        <row r="110">
          <cell r="B110" t="str">
            <v>NPL</v>
          </cell>
          <cell r="C110" t="str">
            <v>LMIC</v>
          </cell>
          <cell r="D110" t="str">
            <v>LLMIC</v>
          </cell>
          <cell r="E110" t="str">
            <v>LMIC_LDC</v>
          </cell>
          <cell r="F110" t="b">
            <v>1</v>
          </cell>
          <cell r="G110" t="str">
            <v/>
          </cell>
          <cell r="H110" t="e">
            <v>#REF!</v>
          </cell>
          <cell r="I110" t="str">
            <v/>
          </cell>
          <cell r="J110" t="str">
            <v/>
          </cell>
          <cell r="K110" t="b">
            <v>1</v>
          </cell>
          <cell r="M110" t="str">
            <v/>
          </cell>
          <cell r="O110" t="b">
            <v>1</v>
          </cell>
          <cell r="P110" t="str">
            <v/>
          </cell>
          <cell r="Q110" t="str">
            <v/>
          </cell>
          <cell r="R110" t="str">
            <v>YES</v>
          </cell>
          <cell r="S110" t="str">
            <v/>
          </cell>
          <cell r="T110" t="str">
            <v>YES</v>
          </cell>
          <cell r="U110" t="str">
            <v/>
          </cell>
          <cell r="V110" t="str">
            <v>YES</v>
          </cell>
          <cell r="W110" t="str">
            <v/>
          </cell>
          <cell r="X110" t="str">
            <v/>
          </cell>
          <cell r="Y110" t="str">
            <v/>
          </cell>
          <cell r="Z110" t="str">
            <v/>
          </cell>
          <cell r="AA110" t="str">
            <v/>
          </cell>
          <cell r="AB110" t="str">
            <v/>
          </cell>
          <cell r="AC110" t="str">
            <v/>
          </cell>
          <cell r="AD110" t="str">
            <v/>
          </cell>
          <cell r="AE110" t="str">
            <v/>
          </cell>
          <cell r="AF110" t="str">
            <v/>
          </cell>
          <cell r="AG110" t="str">
            <v/>
          </cell>
          <cell r="AK110">
            <v>28.608709999999999</v>
          </cell>
          <cell r="AL110">
            <v>33.389540000000004</v>
          </cell>
          <cell r="AM110">
            <v>1090</v>
          </cell>
          <cell r="AN110">
            <v>5.8060059999999997E-2</v>
          </cell>
          <cell r="AO110">
            <v>2.2000000000000002E-2</v>
          </cell>
          <cell r="AP110">
            <v>1.6610234191225999</v>
          </cell>
          <cell r="AQ110">
            <v>0.62939162000000004</v>
          </cell>
          <cell r="AR110">
            <v>734.56988000000013</v>
          </cell>
          <cell r="AS110">
            <v>0.23985214286609785</v>
          </cell>
          <cell r="AT110">
            <v>276.97516997402636</v>
          </cell>
          <cell r="AU110">
            <v>4770.4940362449915</v>
          </cell>
          <cell r="AV110">
            <v>0.28569183168501761</v>
          </cell>
          <cell r="AW110">
            <v>329.90967975351504</v>
          </cell>
          <cell r="AX110">
            <v>5682.2138963258922</v>
          </cell>
          <cell r="AY110">
            <v>7923.9023149876266</v>
          </cell>
          <cell r="AZ110">
            <v>9438.2903542611821</v>
          </cell>
          <cell r="BA110">
            <v>1514.3880392735555</v>
          </cell>
          <cell r="BB110">
            <v>1117.55867272096</v>
          </cell>
          <cell r="BC110">
            <v>1196.08094050664</v>
          </cell>
          <cell r="BD110">
            <v>41.808279384377698</v>
          </cell>
          <cell r="BE110">
            <v>720.0867409433904</v>
          </cell>
          <cell r="BF110">
            <v>123.73470175</v>
          </cell>
          <cell r="BG110">
            <v>69.600406367545361</v>
          </cell>
          <cell r="BH110">
            <v>61.833686257380421</v>
          </cell>
          <cell r="BI110"/>
          <cell r="BJ110">
            <v>19.352512687277354</v>
          </cell>
          <cell r="BK110">
            <v>10.29611744693908</v>
          </cell>
          <cell r="BL110">
            <v>150.78660531220311</v>
          </cell>
          <cell r="BM110">
            <v>161.0827227591422</v>
          </cell>
          <cell r="BN110">
            <v>1991.1778416512586</v>
          </cell>
          <cell r="BO110">
            <v>1768.9819983683817</v>
          </cell>
          <cell r="BP110">
            <v>0</v>
          </cell>
          <cell r="BQ110">
            <v>553.65042324163846</v>
          </cell>
          <cell r="BR110">
            <v>294.55863816542052</v>
          </cell>
          <cell r="BS110">
            <v>4313.810263261279</v>
          </cell>
          <cell r="BT110">
            <v>4608.3689014266993</v>
          </cell>
          <cell r="BU110">
            <v>-14.16823456455441</v>
          </cell>
          <cell r="BV110">
            <v>12.347234294353164</v>
          </cell>
          <cell r="BW110">
            <v>3.6184704168423565</v>
          </cell>
          <cell r="BX110">
            <v>-30.133939275749903</v>
          </cell>
          <cell r="BZ110">
            <v>23.066675188371651</v>
          </cell>
          <cell r="CA110">
            <v>-1.6280557103479247</v>
          </cell>
          <cell r="CB110">
            <v>0</v>
          </cell>
          <cell r="CC110" t="str">
            <v>—</v>
          </cell>
          <cell r="CD110" t="e">
            <v>#VALUE!</v>
          </cell>
          <cell r="CE110">
            <v>0</v>
          </cell>
          <cell r="CF110">
            <v>0</v>
          </cell>
          <cell r="CG110">
            <v>165.60163833333334</v>
          </cell>
          <cell r="CH110">
            <v>5.7885042119457095</v>
          </cell>
          <cell r="CI110">
            <v>99.698557182781244</v>
          </cell>
          <cell r="CJ110">
            <v>156.19500133333332</v>
          </cell>
          <cell r="CK110">
            <v>5.4597009558743936</v>
          </cell>
          <cell r="CL110">
            <v>94.035399823465454</v>
          </cell>
          <cell r="CM110">
            <v>8.2003800000000009</v>
          </cell>
          <cell r="CN110">
            <v>0.2866392787371399</v>
          </cell>
          <cell r="CO110">
            <v>4.9369442390714013</v>
          </cell>
          <cell r="CP110">
            <v>36.42756133333333</v>
          </cell>
          <cell r="CQ110">
            <v>1.2733031770161372</v>
          </cell>
          <cell r="CR110">
            <v>21.93079333738438</v>
          </cell>
          <cell r="CS110">
            <v>0.54</v>
          </cell>
          <cell r="CT110">
            <v>9.4613598446067662E-2</v>
          </cell>
          <cell r="CU110">
            <v>0.2934152571017708</v>
          </cell>
          <cell r="CV110">
            <v>0.94613598446067659</v>
          </cell>
          <cell r="CW110">
            <v>0</v>
          </cell>
          <cell r="CX110">
            <v>0</v>
          </cell>
          <cell r="CY110">
            <v>0</v>
          </cell>
          <cell r="CZ110">
            <v>3760.1598400196399</v>
          </cell>
        </row>
        <row r="111">
          <cell r="B111" t="str">
            <v>NRU</v>
          </cell>
          <cell r="C111" t="str">
            <v>HIC</v>
          </cell>
          <cell r="D111" t="str">
            <v>HIC</v>
          </cell>
          <cell r="E111" t="str">
            <v/>
          </cell>
          <cell r="F111" t="str">
            <v xml:space="preserve"> </v>
          </cell>
          <cell r="G111" t="str">
            <v/>
          </cell>
          <cell r="H111" t="e">
            <v>#REF!</v>
          </cell>
          <cell r="I111" t="str">
            <v/>
          </cell>
          <cell r="J111" t="str">
            <v/>
          </cell>
          <cell r="K111" t="str">
            <v/>
          </cell>
          <cell r="M111" t="str">
            <v/>
          </cell>
          <cell r="P111" t="str">
            <v/>
          </cell>
          <cell r="Q111" t="str">
            <v/>
          </cell>
          <cell r="R111" t="str">
            <v/>
          </cell>
          <cell r="S111" t="str">
            <v/>
          </cell>
          <cell r="T111" t="str">
            <v/>
          </cell>
          <cell r="U111" t="str">
            <v/>
          </cell>
          <cell r="V111" t="str">
            <v/>
          </cell>
          <cell r="W111" t="str">
            <v/>
          </cell>
          <cell r="X111" t="str">
            <v>YES</v>
          </cell>
          <cell r="Y111" t="str">
            <v/>
          </cell>
          <cell r="Z111" t="str">
            <v>YES</v>
          </cell>
          <cell r="AA111" t="str">
            <v/>
          </cell>
          <cell r="AB111" t="str">
            <v/>
          </cell>
          <cell r="AC111" t="str">
            <v/>
          </cell>
          <cell r="AD111" t="str">
            <v/>
          </cell>
          <cell r="AE111" t="str">
            <v>YES</v>
          </cell>
          <cell r="AF111" t="str">
            <v>YES</v>
          </cell>
          <cell r="AK111">
            <v>1.2581E-2</v>
          </cell>
          <cell r="AL111">
            <v>1.0992E-2</v>
          </cell>
          <cell r="AM111">
            <v>14230</v>
          </cell>
          <cell r="AN111">
            <v>9.999999999999999E-14</v>
          </cell>
          <cell r="AO111">
            <v>9.999999999999999E-14</v>
          </cell>
          <cell r="AP111">
            <v>1.2580999999999999E-15</v>
          </cell>
          <cell r="AQ111">
            <v>1.2580999999999999E-15</v>
          </cell>
          <cell r="AR111">
            <v>1.0991999999999998E-12</v>
          </cell>
          <cell r="AS111">
            <v>1.0219838797814207</v>
          </cell>
          <cell r="AT111">
            <v>11383.943852990869</v>
          </cell>
          <cell r="AU111">
            <v>1.138394385299087E+17</v>
          </cell>
          <cell r="AV111">
            <v>1.0881730531396667</v>
          </cell>
          <cell r="AW111">
            <v>12121.229291727248</v>
          </cell>
          <cell r="AX111">
            <v>1.212122929172725E+17</v>
          </cell>
          <cell r="AY111">
            <v>143.22139761447812</v>
          </cell>
          <cell r="AZ111">
            <v>152.49718571922054</v>
          </cell>
          <cell r="BA111">
            <v>9.2757881047424178</v>
          </cell>
          <cell r="BB111">
            <v>27.356993610065132</v>
          </cell>
          <cell r="BC111">
            <v>26.950710757803034</v>
          </cell>
          <cell r="BD111">
            <v>2142.1755629761574</v>
          </cell>
          <cell r="BE111">
            <v>2.1421755629761576E+16</v>
          </cell>
          <cell r="BF111">
            <v>1.234475E-2</v>
          </cell>
          <cell r="BG111">
            <v>445.56256035763062</v>
          </cell>
          <cell r="BH111">
            <v>906.43752867521823</v>
          </cell>
          <cell r="BI111"/>
          <cell r="BJ111">
            <v>0</v>
          </cell>
          <cell r="BK111">
            <v>8.3010930336999529</v>
          </cell>
          <cell r="BL111">
            <v>1352.0000890328488</v>
          </cell>
          <cell r="BM111">
            <v>1360.3011820665488</v>
          </cell>
          <cell r="BN111">
            <v>5.6056225718593504</v>
          </cell>
          <cell r="BO111">
            <v>11.40389054826292</v>
          </cell>
          <cell r="BP111">
            <v>0</v>
          </cell>
          <cell r="BQ111">
            <v>0</v>
          </cell>
          <cell r="BR111">
            <v>0.10443605145697911</v>
          </cell>
          <cell r="BS111">
            <v>17.009513120122271</v>
          </cell>
          <cell r="BT111">
            <v>17.11394917157925</v>
          </cell>
          <cell r="BU111">
            <v>-4708.6145568307747</v>
          </cell>
          <cell r="BV111">
            <v>-911.74686508386901</v>
          </cell>
          <cell r="BW111">
            <v>-1978.6832979878188</v>
          </cell>
          <cell r="BX111">
            <v>-1818.1843937590872</v>
          </cell>
          <cell r="BZ111">
            <v>1071.5783923298241</v>
          </cell>
          <cell r="CA111">
            <v>-0.22757827794064989</v>
          </cell>
          <cell r="CB111">
            <v>0</v>
          </cell>
          <cell r="CC111" t="e">
            <v>#N/A</v>
          </cell>
          <cell r="CE111">
            <v>0</v>
          </cell>
          <cell r="CF111">
            <v>0</v>
          </cell>
          <cell r="CG111">
            <v>3.1236993333333332</v>
          </cell>
          <cell r="CH111">
            <v>248.2870466046684</v>
          </cell>
          <cell r="CI111">
            <v>2482870466046684.5</v>
          </cell>
          <cell r="CJ111">
            <v>1.8511483333333332</v>
          </cell>
          <cell r="CK111">
            <v>147.13840977134831</v>
          </cell>
          <cell r="CL111">
            <v>1471384097713483.3</v>
          </cell>
          <cell r="CM111">
            <v>1.5264176666666667</v>
          </cell>
          <cell r="CN111">
            <v>121.32721299313781</v>
          </cell>
          <cell r="CO111">
            <v>1213272129931378.3</v>
          </cell>
          <cell r="CP111">
            <v>0.17025633333333334</v>
          </cell>
          <cell r="CQ111">
            <v>13.532814031740985</v>
          </cell>
          <cell r="CR111">
            <v>135328140317409.86</v>
          </cell>
          <cell r="CS111" t="str">
            <v/>
          </cell>
          <cell r="CT111">
            <v>7.1532445963201033E-2</v>
          </cell>
          <cell r="CU111" t="str">
            <v/>
          </cell>
          <cell r="CV111">
            <v>0.7153244596320103</v>
          </cell>
          <cell r="CW111">
            <v>0</v>
          </cell>
          <cell r="CX111">
            <v>0</v>
          </cell>
          <cell r="CY111">
            <v>0</v>
          </cell>
          <cell r="CZ111">
            <v>17.009513120122271</v>
          </cell>
        </row>
        <row r="112">
          <cell r="B112" t="str">
            <v>NZL</v>
          </cell>
          <cell r="C112" t="str">
            <v>HIC</v>
          </cell>
          <cell r="D112" t="str">
            <v>HIC</v>
          </cell>
          <cell r="E112" t="str">
            <v/>
          </cell>
          <cell r="F112" t="str">
            <v xml:space="preserve"> </v>
          </cell>
          <cell r="G112" t="str">
            <v/>
          </cell>
          <cell r="H112" t="e">
            <v>#REF!</v>
          </cell>
          <cell r="I112" t="str">
            <v/>
          </cell>
          <cell r="J112" t="str">
            <v/>
          </cell>
          <cell r="K112" t="str">
            <v/>
          </cell>
          <cell r="M112" t="str">
            <v/>
          </cell>
          <cell r="P112" t="str">
            <v/>
          </cell>
          <cell r="Q112" t="str">
            <v/>
          </cell>
          <cell r="R112" t="str">
            <v/>
          </cell>
          <cell r="S112" t="str">
            <v/>
          </cell>
          <cell r="T112" t="str">
            <v/>
          </cell>
          <cell r="U112" t="str">
            <v/>
          </cell>
          <cell r="V112" t="str">
            <v/>
          </cell>
          <cell r="W112" t="str">
            <v/>
          </cell>
          <cell r="X112" t="str">
            <v>YES</v>
          </cell>
          <cell r="Y112" t="str">
            <v/>
          </cell>
          <cell r="Z112" t="str">
            <v>YES</v>
          </cell>
          <cell r="AA112" t="str">
            <v/>
          </cell>
          <cell r="AB112" t="str">
            <v/>
          </cell>
          <cell r="AC112" t="str">
            <v/>
          </cell>
          <cell r="AD112" t="str">
            <v/>
          </cell>
          <cell r="AE112" t="str">
            <v>YES</v>
          </cell>
          <cell r="AF112" t="str">
            <v>YES</v>
          </cell>
          <cell r="AK112">
            <v>4.9169999999999998</v>
          </cell>
          <cell r="AL112">
            <v>5.1729609999999999</v>
          </cell>
          <cell r="AM112">
            <v>42670</v>
          </cell>
          <cell r="AN112">
            <v>9.999999999999999E-14</v>
          </cell>
          <cell r="AO112">
            <v>9.999999999999999E-14</v>
          </cell>
          <cell r="AP112">
            <v>4.9169999999999991E-13</v>
          </cell>
          <cell r="AQ112">
            <v>4.9169999999999991E-13</v>
          </cell>
          <cell r="AR112">
            <v>5.1729609999999996E-10</v>
          </cell>
          <cell r="AS112">
            <v>0.40646159211695165</v>
          </cell>
          <cell r="AT112">
            <v>18118.847138132354</v>
          </cell>
          <cell r="AU112">
            <v>1.8118847138132355E+17</v>
          </cell>
          <cell r="AV112">
            <v>0.48496244487430917</v>
          </cell>
          <cell r="AW112">
            <v>21618.181340696676</v>
          </cell>
          <cell r="AX112">
            <v>2.1618181340696678E+17</v>
          </cell>
          <cell r="AY112">
            <v>89090.371378196782</v>
          </cell>
          <cell r="AZ112">
            <v>106296.59765220556</v>
          </cell>
          <cell r="BA112">
            <v>17206.226274008775</v>
          </cell>
          <cell r="BB112">
            <v>0</v>
          </cell>
          <cell r="BC112">
            <v>0</v>
          </cell>
          <cell r="BD112">
            <v>0</v>
          </cell>
          <cell r="BE112">
            <v>0</v>
          </cell>
          <cell r="BF112">
            <v>0</v>
          </cell>
          <cell r="BG112">
            <v>1783.0808607292961</v>
          </cell>
          <cell r="BH112">
            <v>1812.8750573504365</v>
          </cell>
          <cell r="BI112"/>
          <cell r="BJ112">
            <v>0</v>
          </cell>
          <cell r="BK112">
            <v>1.5589188494496147</v>
          </cell>
          <cell r="BL112">
            <v>3595.9559180797323</v>
          </cell>
          <cell r="BM112">
            <v>3597.5148369291819</v>
          </cell>
          <cell r="BN112">
            <v>8767.4085922059494</v>
          </cell>
          <cell r="BO112">
            <v>8913.906656992096</v>
          </cell>
          <cell r="BP112">
            <v>0</v>
          </cell>
          <cell r="BQ112">
            <v>0</v>
          </cell>
          <cell r="BR112">
            <v>7.6652039827437548</v>
          </cell>
          <cell r="BS112">
            <v>17681.315249198044</v>
          </cell>
          <cell r="BT112">
            <v>17688.980453180786</v>
          </cell>
          <cell r="BU112">
            <v>-7213.1347522686056</v>
          </cell>
          <cell r="BV112">
            <v>-1429.8521437540646</v>
          </cell>
          <cell r="BW112">
            <v>-2540.5554074100396</v>
          </cell>
          <cell r="BX112">
            <v>-3242.7272011045011</v>
          </cell>
          <cell r="BZ112">
            <v>0</v>
          </cell>
          <cell r="CA112">
            <v>0</v>
          </cell>
          <cell r="CB112">
            <v>0</v>
          </cell>
          <cell r="CC112" t="e">
            <v>#N/A</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t="str">
            <v/>
          </cell>
          <cell r="CT112">
            <v>6.126825299979663E-2</v>
          </cell>
          <cell r="CU112">
            <v>0.19056152125279643</v>
          </cell>
          <cell r="CV112">
            <v>0.61268252999796635</v>
          </cell>
          <cell r="CW112" t="e">
            <v>#N/A</v>
          </cell>
          <cell r="CX112" t="e">
            <v>#N/A</v>
          </cell>
          <cell r="CY112" t="e">
            <v>#N/A</v>
          </cell>
          <cell r="CZ112">
            <v>17681.315249198044</v>
          </cell>
        </row>
        <row r="113">
          <cell r="B113" t="str">
            <v>PAK</v>
          </cell>
          <cell r="C113" t="str">
            <v>LMIC</v>
          </cell>
          <cell r="D113" t="str">
            <v>LLMIC</v>
          </cell>
          <cell r="E113" t="str">
            <v>LMIC_nonLDC</v>
          </cell>
          <cell r="F113" t="str">
            <v xml:space="preserve"> </v>
          </cell>
          <cell r="G113" t="str">
            <v/>
          </cell>
          <cell r="H113" t="e">
            <v>#REF!</v>
          </cell>
          <cell r="I113" t="str">
            <v/>
          </cell>
          <cell r="J113" t="str">
            <v/>
          </cell>
          <cell r="K113" t="b">
            <v>1</v>
          </cell>
          <cell r="M113" t="b">
            <v>1</v>
          </cell>
          <cell r="P113" t="str">
            <v/>
          </cell>
          <cell r="Q113" t="str">
            <v/>
          </cell>
          <cell r="R113" t="str">
            <v>YES</v>
          </cell>
          <cell r="S113" t="str">
            <v/>
          </cell>
          <cell r="T113" t="str">
            <v>YES</v>
          </cell>
          <cell r="U113" t="str">
            <v/>
          </cell>
          <cell r="V113" t="str">
            <v>YES</v>
          </cell>
          <cell r="W113" t="str">
            <v/>
          </cell>
          <cell r="X113" t="str">
            <v>YES</v>
          </cell>
          <cell r="Y113" t="str">
            <v/>
          </cell>
          <cell r="Z113" t="str">
            <v>YES</v>
          </cell>
          <cell r="AA113" t="str">
            <v/>
          </cell>
          <cell r="AB113" t="str">
            <v/>
          </cell>
          <cell r="AC113" t="str">
            <v/>
          </cell>
          <cell r="AD113" t="str">
            <v>YES</v>
          </cell>
          <cell r="AE113" t="str">
            <v>YES</v>
          </cell>
          <cell r="AF113" t="str">
            <v/>
          </cell>
          <cell r="AK113">
            <v>216.56531799999999</v>
          </cell>
          <cell r="AL113">
            <v>262.9588</v>
          </cell>
          <cell r="AM113">
            <v>1530</v>
          </cell>
          <cell r="AN113">
            <v>1.6104540000000001E-2</v>
          </cell>
          <cell r="AO113">
            <v>1.375E-2</v>
          </cell>
          <cell r="AP113">
            <v>3.4876848263437199</v>
          </cell>
          <cell r="AQ113">
            <v>2.9777731224999999</v>
          </cell>
          <cell r="AR113">
            <v>3615.6835000000001</v>
          </cell>
          <cell r="AS113">
            <v>0.127</v>
          </cell>
          <cell r="AT113">
            <v>179.84548851228521</v>
          </cell>
          <cell r="AU113">
            <v>11167.378174867783</v>
          </cell>
          <cell r="AV113">
            <v>0.17567181008902077</v>
          </cell>
          <cell r="AW113">
            <v>248.76994097084517</v>
          </cell>
          <cell r="AX113">
            <v>15447.193212028729</v>
          </cell>
          <cell r="AY113">
            <v>38948.295410528393</v>
          </cell>
          <cell r="AZ113">
            <v>53874.941375192313</v>
          </cell>
          <cell r="BA113">
            <v>14926.64596466392</v>
          </cell>
          <cell r="BB113">
            <v>3427.4282703563799</v>
          </cell>
          <cell r="BC113">
            <v>2787.2004191226602</v>
          </cell>
          <cell r="BD113">
            <v>12.87002205552904</v>
          </cell>
          <cell r="BE113">
            <v>799.15490014176373</v>
          </cell>
          <cell r="BF113">
            <v>164.02790874999999</v>
          </cell>
          <cell r="BG113">
            <v>80.801536527421575</v>
          </cell>
          <cell r="BH113">
            <v>59.847609936797213</v>
          </cell>
          <cell r="BI113"/>
          <cell r="BJ113">
            <v>9.3036032574099732</v>
          </cell>
          <cell r="BK113">
            <v>12.916400417588301</v>
          </cell>
          <cell r="BL113">
            <v>149.95274972162878</v>
          </cell>
          <cell r="BM113">
            <v>162.86915013921708</v>
          </cell>
          <cell r="BN113">
            <v>17498.810452949667</v>
          </cell>
          <cell r="BO113">
            <v>12960.916677502448</v>
          </cell>
          <cell r="BP113">
            <v>0</v>
          </cell>
          <cell r="BQ113">
            <v>2014.8377979868267</v>
          </cell>
          <cell r="BR113">
            <v>2797.2443638503432</v>
          </cell>
          <cell r="BS113">
            <v>32474.56492843894</v>
          </cell>
          <cell r="BT113">
            <v>35271.809292289283</v>
          </cell>
          <cell r="BU113">
            <v>25.567779236206192</v>
          </cell>
          <cell r="BV113">
            <v>22.53211879117044</v>
          </cell>
          <cell r="BW113">
            <v>31.047548333252536</v>
          </cell>
          <cell r="BX113">
            <v>-28.011887888216798</v>
          </cell>
          <cell r="BZ113">
            <v>6.8137141143547746</v>
          </cell>
          <cell r="CA113">
            <v>0.26649612590153959</v>
          </cell>
          <cell r="CB113">
            <v>0</v>
          </cell>
          <cell r="CC113" t="str">
            <v>—</v>
          </cell>
          <cell r="CD113" t="e">
            <v>#VALUE!</v>
          </cell>
          <cell r="CE113">
            <v>5537.0942408427909</v>
          </cell>
          <cell r="CF113">
            <v>1393.6002095613301</v>
          </cell>
          <cell r="CG113">
            <v>492.11006833333334</v>
          </cell>
          <cell r="CH113">
            <v>2.2723401552843905</v>
          </cell>
          <cell r="CI113">
            <v>141.09935181535084</v>
          </cell>
          <cell r="CJ113">
            <v>504.65492766666665</v>
          </cell>
          <cell r="CK113">
            <v>2.3302666019065281</v>
          </cell>
          <cell r="CL113">
            <v>144.69625347302861</v>
          </cell>
          <cell r="CM113">
            <v>59.798723333333328</v>
          </cell>
          <cell r="CN113">
            <v>0.27612326796173953</v>
          </cell>
          <cell r="CO113">
            <v>17.145678669601214</v>
          </cell>
          <cell r="CP113">
            <v>233.56799999999998</v>
          </cell>
          <cell r="CQ113">
            <v>1.0785106413022236</v>
          </cell>
          <cell r="CR113">
            <v>66.969354064271542</v>
          </cell>
          <cell r="CS113">
            <v>0.56999999999999995</v>
          </cell>
          <cell r="CT113">
            <v>0.12911971435795644</v>
          </cell>
          <cell r="CU113">
            <v>0.35515266576525423</v>
          </cell>
          <cell r="CV113">
            <v>1.2911971435795644</v>
          </cell>
          <cell r="CW113">
            <v>0</v>
          </cell>
          <cell r="CX113">
            <v>0</v>
          </cell>
          <cell r="CY113">
            <v>0</v>
          </cell>
          <cell r="CZ113">
            <v>30459.72713045212</v>
          </cell>
        </row>
        <row r="114">
          <cell r="B114" t="str">
            <v>PAN</v>
          </cell>
          <cell r="C114" t="str">
            <v>HIC</v>
          </cell>
          <cell r="D114" t="str">
            <v>HIC</v>
          </cell>
          <cell r="E114" t="str">
            <v/>
          </cell>
          <cell r="F114" t="str">
            <v xml:space="preserve"> </v>
          </cell>
          <cell r="G114" t="str">
            <v/>
          </cell>
          <cell r="H114" t="e">
            <v>#REF!</v>
          </cell>
          <cell r="I114" t="str">
            <v/>
          </cell>
          <cell r="J114" t="str">
            <v/>
          </cell>
          <cell r="K114" t="str">
            <v/>
          </cell>
          <cell r="M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K114">
            <v>4.2464389999999996</v>
          </cell>
          <cell r="AL114">
            <v>4.9276119999999999</v>
          </cell>
          <cell r="AM114">
            <v>14950</v>
          </cell>
          <cell r="AN114">
            <v>1.70365E-2</v>
          </cell>
          <cell r="AO114">
            <v>9.0000000000000011E-3</v>
          </cell>
          <cell r="AP114">
            <v>7.2344458023499994E-2</v>
          </cell>
          <cell r="AQ114">
            <v>3.8217951E-2</v>
          </cell>
          <cell r="AR114">
            <v>44.348508000000002</v>
          </cell>
          <cell r="AS114">
            <v>0.19597735258547994</v>
          </cell>
          <cell r="AT114">
            <v>3195.9403568481971</v>
          </cell>
          <cell r="AU114">
            <v>187593.71683433789</v>
          </cell>
          <cell r="AV114">
            <v>0.28212285291137901</v>
          </cell>
          <cell r="AW114">
            <v>4600.7755453036334</v>
          </cell>
          <cell r="AX114">
            <v>270054.03371018893</v>
          </cell>
          <cell r="AY114">
            <v>13571.365772994101</v>
          </cell>
          <cell r="AZ114">
            <v>19536.912705823615</v>
          </cell>
          <cell r="BA114">
            <v>5965.5469328295148</v>
          </cell>
          <cell r="BB114">
            <v>37.537230478324865</v>
          </cell>
          <cell r="BC114">
            <v>39.944993309179971</v>
          </cell>
          <cell r="BD114">
            <v>9.4067036661023451</v>
          </cell>
          <cell r="BE114">
            <v>552.15001121723037</v>
          </cell>
          <cell r="BF114">
            <v>6.3652927499999992</v>
          </cell>
          <cell r="BG114">
            <v>652.30809880528727</v>
          </cell>
          <cell r="BH114">
            <v>664.84251134656074</v>
          </cell>
          <cell r="BI114"/>
          <cell r="BJ114">
            <v>77.841029272163098</v>
          </cell>
          <cell r="BK114">
            <v>24.15925040233406</v>
          </cell>
          <cell r="BL114">
            <v>1394.9916394240111</v>
          </cell>
          <cell r="BM114">
            <v>1419.1508898263451</v>
          </cell>
          <cell r="BN114">
            <v>2769.9865507826248</v>
          </cell>
          <cell r="BO114">
            <v>2823.2131690399779</v>
          </cell>
          <cell r="BP114">
            <v>0</v>
          </cell>
          <cell r="BQ114">
            <v>330.54718250145498</v>
          </cell>
          <cell r="BR114">
            <v>102.59078311923703</v>
          </cell>
          <cell r="BS114">
            <v>5923.7469023240574</v>
          </cell>
          <cell r="BT114">
            <v>6026.3376854432945</v>
          </cell>
          <cell r="BU114">
            <v>-905.39613322780565</v>
          </cell>
          <cell r="BV114">
            <v>-25.273820448984225</v>
          </cell>
          <cell r="BW114">
            <v>-267.8470102554395</v>
          </cell>
          <cell r="BX114">
            <v>-612.27530252338192</v>
          </cell>
          <cell r="BZ114">
            <v>5.4528377846920648</v>
          </cell>
          <cell r="CA114">
            <v>-6.0225989316436395E-3</v>
          </cell>
          <cell r="CB114">
            <v>0</v>
          </cell>
          <cell r="CC114">
            <v>554953</v>
          </cell>
          <cell r="CD114">
            <v>7.6709815120839249</v>
          </cell>
          <cell r="CE114">
            <v>0</v>
          </cell>
          <cell r="CF114">
            <v>0</v>
          </cell>
          <cell r="CG114">
            <v>4.4574880000000006</v>
          </cell>
          <cell r="CH114">
            <v>1.0497002311819388</v>
          </cell>
          <cell r="CI114">
            <v>61.614781861411608</v>
          </cell>
          <cell r="CJ114">
            <v>4.6109729999999995</v>
          </cell>
          <cell r="CK114">
            <v>1.0858446335859293</v>
          </cell>
          <cell r="CL114">
            <v>63.736368009035267</v>
          </cell>
          <cell r="CM114">
            <v>3.0930286666666666</v>
          </cell>
          <cell r="CN114">
            <v>0.72838174919424648</v>
          </cell>
          <cell r="CO114">
            <v>42.754189486939602</v>
          </cell>
          <cell r="CP114">
            <v>2.8046860000000002</v>
          </cell>
          <cell r="CQ114">
            <v>0.66047952178283975</v>
          </cell>
          <cell r="CR114">
            <v>38.768498329048796</v>
          </cell>
          <cell r="CS114">
            <v>0.56999999999999995</v>
          </cell>
          <cell r="CT114">
            <v>9.1679875773559932E-2</v>
          </cell>
          <cell r="CU114">
            <v>0.26921144987600198</v>
          </cell>
          <cell r="CV114">
            <v>0.91679875773559938</v>
          </cell>
          <cell r="CW114">
            <v>0</v>
          </cell>
          <cell r="CX114">
            <v>0</v>
          </cell>
          <cell r="CY114">
            <v>0</v>
          </cell>
          <cell r="CZ114">
            <v>5593.1997198226027</v>
          </cell>
        </row>
        <row r="115">
          <cell r="B115" t="str">
            <v>PER</v>
          </cell>
          <cell r="C115" t="str">
            <v>UMIC</v>
          </cell>
          <cell r="D115" t="str">
            <v>UMIC</v>
          </cell>
          <cell r="E115" t="str">
            <v/>
          </cell>
          <cell r="F115" t="str">
            <v xml:space="preserve"> </v>
          </cell>
          <cell r="G115" t="str">
            <v/>
          </cell>
          <cell r="H115" t="e">
            <v>#REF!</v>
          </cell>
          <cell r="I115" t="str">
            <v/>
          </cell>
          <cell r="J115" t="str">
            <v/>
          </cell>
          <cell r="K115" t="b">
            <v>1</v>
          </cell>
          <cell r="M115" t="str">
            <v/>
          </cell>
          <cell r="P115" t="str">
            <v/>
          </cell>
          <cell r="Q115" t="str">
            <v/>
          </cell>
          <cell r="R115" t="str">
            <v/>
          </cell>
          <cell r="S115" t="str">
            <v/>
          </cell>
          <cell r="T115" t="str">
            <v>YES</v>
          </cell>
          <cell r="U115" t="str">
            <v>YES</v>
          </cell>
          <cell r="V115" t="str">
            <v/>
          </cell>
          <cell r="W115" t="str">
            <v/>
          </cell>
          <cell r="X115" t="str">
            <v/>
          </cell>
          <cell r="Y115" t="str">
            <v/>
          </cell>
          <cell r="Z115" t="str">
            <v/>
          </cell>
          <cell r="AA115" t="str">
            <v/>
          </cell>
          <cell r="AB115" t="str">
            <v/>
          </cell>
          <cell r="AC115" t="str">
            <v/>
          </cell>
          <cell r="AD115" t="str">
            <v/>
          </cell>
          <cell r="AE115" t="str">
            <v/>
          </cell>
          <cell r="AF115" t="str">
            <v/>
          </cell>
          <cell r="AK115">
            <v>32.510452999999998</v>
          </cell>
          <cell r="AL115">
            <v>36.030589999999997</v>
          </cell>
          <cell r="AM115">
            <v>6740</v>
          </cell>
          <cell r="AN115">
            <v>2.640791E-2</v>
          </cell>
          <cell r="AO115">
            <v>2.0250000000000001E-2</v>
          </cell>
          <cell r="AP115">
            <v>0.85853311688322997</v>
          </cell>
          <cell r="AQ115">
            <v>0.65833667325</v>
          </cell>
          <cell r="AR115">
            <v>729.61944749999998</v>
          </cell>
          <cell r="AS115">
            <v>0.18736989153190947</v>
          </cell>
          <cell r="AT115">
            <v>1344.0467537092727</v>
          </cell>
          <cell r="AU115">
            <v>50895.612477824739</v>
          </cell>
          <cell r="AV115">
            <v>0.22432707945990008</v>
          </cell>
          <cell r="AW115">
            <v>1609.1490497864418</v>
          </cell>
          <cell r="AX115">
            <v>60934.358295921251</v>
          </cell>
          <cell r="AY115">
            <v>43695.568816267885</v>
          </cell>
          <cell r="AZ115">
            <v>52314.164553076764</v>
          </cell>
          <cell r="BA115">
            <v>8618.5957368088784</v>
          </cell>
          <cell r="BB115">
            <v>419.24177234343597</v>
          </cell>
          <cell r="BC115">
            <v>401.14193481175806</v>
          </cell>
          <cell r="BD115">
            <v>12.338860206339115</v>
          </cell>
          <cell r="BE115">
            <v>467.24107308526555</v>
          </cell>
          <cell r="BF115">
            <v>10.72329575</v>
          </cell>
          <cell r="BG115">
            <v>286.92907760591385</v>
          </cell>
          <cell r="BH115">
            <v>229.57901591206624</v>
          </cell>
          <cell r="BI115"/>
          <cell r="BJ115">
            <v>35.865693370330554</v>
          </cell>
          <cell r="BK115">
            <v>11.582747730499097</v>
          </cell>
          <cell r="BL115">
            <v>552.37378688831063</v>
          </cell>
          <cell r="BM115">
            <v>563.95653461880977</v>
          </cell>
          <cell r="BN115">
            <v>9328.1942918404147</v>
          </cell>
          <cell r="BO115">
            <v>7463.7178065954813</v>
          </cell>
          <cell r="BP115">
            <v>0</v>
          </cell>
          <cell r="BQ115">
            <v>1166.0099386285431</v>
          </cell>
          <cell r="BR115">
            <v>376.56037570324753</v>
          </cell>
          <cell r="BS115">
            <v>17957.92203706444</v>
          </cell>
          <cell r="BT115">
            <v>18334.482412767687</v>
          </cell>
          <cell r="BU115">
            <v>-252.20073800491025</v>
          </cell>
          <cell r="BV115">
            <v>-11.793341555900014</v>
          </cell>
          <cell r="BW115">
            <v>-34.900732351374529</v>
          </cell>
          <cell r="BX115">
            <v>-205.50666409763571</v>
          </cell>
          <cell r="BZ115">
            <v>6.3343508403552242</v>
          </cell>
          <cell r="CA115">
            <v>-2.5116305727193776E-2</v>
          </cell>
          <cell r="CB115">
            <v>0</v>
          </cell>
          <cell r="CC115" t="str">
            <v>—</v>
          </cell>
          <cell r="CD115" t="e">
            <v>#VALUE!</v>
          </cell>
          <cell r="CE115">
            <v>0</v>
          </cell>
          <cell r="CF115">
            <v>0</v>
          </cell>
          <cell r="CG115">
            <v>45.260094333333335</v>
          </cell>
          <cell r="CH115">
            <v>1.3921705223034984</v>
          </cell>
          <cell r="CI115">
            <v>52.71793649340286</v>
          </cell>
          <cell r="CJ115">
            <v>26.609736666666663</v>
          </cell>
          <cell r="CK115">
            <v>0.81849787410426622</v>
          </cell>
          <cell r="CL115">
            <v>30.994420766515269</v>
          </cell>
          <cell r="CM115">
            <v>39.182474999999997</v>
          </cell>
          <cell r="CN115">
            <v>1.2052269773048072</v>
          </cell>
          <cell r="CO115">
            <v>45.638862647775127</v>
          </cell>
          <cell r="CP115">
            <v>7.7579903333333347</v>
          </cell>
          <cell r="CQ115">
            <v>0.23863064391423075</v>
          </cell>
          <cell r="CR115">
            <v>9.036332065439133</v>
          </cell>
          <cell r="CS115">
            <v>0.53</v>
          </cell>
          <cell r="CT115">
            <v>8.7149354701394038E-2</v>
          </cell>
          <cell r="CU115">
            <v>0.25042576306149905</v>
          </cell>
          <cell r="CV115">
            <v>0.87149354701394044</v>
          </cell>
          <cell r="CW115">
            <v>0</v>
          </cell>
          <cell r="CX115">
            <v>0</v>
          </cell>
          <cell r="CY115">
            <v>0</v>
          </cell>
          <cell r="CZ115">
            <v>16791.912098435896</v>
          </cell>
        </row>
        <row r="116">
          <cell r="B116" t="str">
            <v>PHL</v>
          </cell>
          <cell r="C116" t="str">
            <v>LMIC</v>
          </cell>
          <cell r="D116" t="str">
            <v>ULMIC</v>
          </cell>
          <cell r="E116" t="str">
            <v>LMIC_nonLDC</v>
          </cell>
          <cell r="F116" t="str">
            <v xml:space="preserve"> </v>
          </cell>
          <cell r="G116" t="str">
            <v/>
          </cell>
          <cell r="H116" t="e">
            <v>#REF!</v>
          </cell>
          <cell r="I116" t="str">
            <v/>
          </cell>
          <cell r="J116" t="str">
            <v/>
          </cell>
          <cell r="K116" t="b">
            <v>1</v>
          </cell>
          <cell r="M116" t="str">
            <v/>
          </cell>
          <cell r="N116" t="b">
            <v>1</v>
          </cell>
          <cell r="O116" t="b">
            <v>1</v>
          </cell>
          <cell r="P116" t="str">
            <v/>
          </cell>
          <cell r="Q116" t="str">
            <v/>
          </cell>
          <cell r="R116" t="str">
            <v>YES</v>
          </cell>
          <cell r="S116" t="str">
            <v/>
          </cell>
          <cell r="T116" t="str">
            <v>YES</v>
          </cell>
          <cell r="U116" t="str">
            <v/>
          </cell>
          <cell r="V116" t="str">
            <v>YES</v>
          </cell>
          <cell r="W116" t="str">
            <v/>
          </cell>
          <cell r="X116" t="str">
            <v/>
          </cell>
          <cell r="Y116" t="str">
            <v/>
          </cell>
          <cell r="Z116" t="str">
            <v/>
          </cell>
          <cell r="AA116" t="str">
            <v/>
          </cell>
          <cell r="AB116" t="str">
            <v/>
          </cell>
          <cell r="AC116" t="str">
            <v/>
          </cell>
          <cell r="AD116" t="str">
            <v/>
          </cell>
          <cell r="AE116" t="str">
            <v/>
          </cell>
          <cell r="AF116" t="str">
            <v/>
          </cell>
          <cell r="AK116">
            <v>108.116615</v>
          </cell>
          <cell r="AL116">
            <v>123.69789999999999</v>
          </cell>
          <cell r="AM116">
            <v>3850</v>
          </cell>
          <cell r="AN116">
            <v>4.58152E-2</v>
          </cell>
          <cell r="AO116">
            <v>1.2500000000000001E-2</v>
          </cell>
          <cell r="AP116">
            <v>4.9533843395480002</v>
          </cell>
          <cell r="AQ116">
            <v>1.3514576874999999</v>
          </cell>
          <cell r="AR116">
            <v>1546.2237500000001</v>
          </cell>
          <cell r="AS116">
            <v>0.16265590631854263</v>
          </cell>
          <cell r="AT116">
            <v>560.09156917254029</v>
          </cell>
          <cell r="AU116">
            <v>12225.016352052164</v>
          </cell>
          <cell r="AV116">
            <v>0.24288427338873791</v>
          </cell>
          <cell r="AW116">
            <v>836.3510240028852</v>
          </cell>
          <cell r="AX116">
            <v>18254.881000255049</v>
          </cell>
          <cell r="AY116">
            <v>60555.204548973401</v>
          </cell>
          <cell r="AZ116">
            <v>90423.441666975676</v>
          </cell>
          <cell r="BA116">
            <v>29868.237118002275</v>
          </cell>
          <cell r="BB116">
            <v>827.99319182015267</v>
          </cell>
          <cell r="BC116">
            <v>877.77766376773434</v>
          </cell>
          <cell r="BD116">
            <v>8.1188045312714827</v>
          </cell>
          <cell r="BE116">
            <v>177.20766320503856</v>
          </cell>
          <cell r="BF116">
            <v>48.029239000000004</v>
          </cell>
          <cell r="BG116">
            <v>142.45439204063896</v>
          </cell>
          <cell r="BH116">
            <v>239.39043974718885</v>
          </cell>
          <cell r="BI116"/>
          <cell r="BJ116">
            <v>26.45678206110766</v>
          </cell>
          <cell r="BK116">
            <v>12.848653997625386</v>
          </cell>
          <cell r="BL116">
            <v>408.30161384893552</v>
          </cell>
          <cell r="BM116">
            <v>421.15026784656089</v>
          </cell>
          <cell r="BN116">
            <v>15401.686659316827</v>
          </cell>
          <cell r="BO116">
            <v>25882.084008827514</v>
          </cell>
          <cell r="BP116">
            <v>0</v>
          </cell>
          <cell r="BQ116">
            <v>2860.4177202396831</v>
          </cell>
          <cell r="BR116">
            <v>1389.1529775294746</v>
          </cell>
          <cell r="BS116">
            <v>44144.18838838402</v>
          </cell>
          <cell r="BT116">
            <v>45533.341365913497</v>
          </cell>
          <cell r="BU116">
            <v>-9.8738981525070812</v>
          </cell>
          <cell r="BV116">
            <v>113.93778614675608</v>
          </cell>
          <cell r="BW116">
            <v>-24.815812759938098</v>
          </cell>
          <cell r="BX116">
            <v>-98.995871539325108</v>
          </cell>
          <cell r="BZ116">
            <v>4.2815200178424675</v>
          </cell>
          <cell r="CA116">
            <v>-0.43362003047958791</v>
          </cell>
          <cell r="CB116">
            <v>0</v>
          </cell>
          <cell r="CC116">
            <v>46200000</v>
          </cell>
          <cell r="CD116">
            <v>9.3269564469563822</v>
          </cell>
          <cell r="CE116">
            <v>0</v>
          </cell>
          <cell r="CF116">
            <v>0</v>
          </cell>
          <cell r="CG116">
            <v>89.613605666666658</v>
          </cell>
          <cell r="CH116">
            <v>0.82886063040973545</v>
          </cell>
          <cell r="CI116">
            <v>18.091389547786225</v>
          </cell>
          <cell r="CJ116">
            <v>107.16365333333333</v>
          </cell>
          <cell r="CK116">
            <v>0.99118579816185826</v>
          </cell>
          <cell r="CL116">
            <v>21.634431327634896</v>
          </cell>
          <cell r="CM116">
            <v>14.271618000000002</v>
          </cell>
          <cell r="CN116">
            <v>0.13200207942137296</v>
          </cell>
          <cell r="CO116">
            <v>2.8811852708571162</v>
          </cell>
          <cell r="CP116">
            <v>19.799747666666669</v>
          </cell>
          <cell r="CQ116">
            <v>0.18313325538971664</v>
          </cell>
          <cell r="CR116">
            <v>3.9972161070936423</v>
          </cell>
          <cell r="CS116">
            <v>0.56999999999999995</v>
          </cell>
          <cell r="CT116">
            <v>9.8193436781201487E-2</v>
          </cell>
          <cell r="CU116">
            <v>0.30449616832713455</v>
          </cell>
          <cell r="CV116">
            <v>0.98193436781201493</v>
          </cell>
          <cell r="CW116">
            <v>0</v>
          </cell>
          <cell r="CX116">
            <v>0</v>
          </cell>
          <cell r="CY116">
            <v>0</v>
          </cell>
          <cell r="CZ116">
            <v>41283.770668144345</v>
          </cell>
        </row>
        <row r="117">
          <cell r="B117" t="str">
            <v>PLW</v>
          </cell>
          <cell r="C117" t="str">
            <v>HIC</v>
          </cell>
          <cell r="D117" t="str">
            <v>HIC</v>
          </cell>
          <cell r="E117" t="str">
            <v/>
          </cell>
          <cell r="F117" t="str">
            <v xml:space="preserve"> </v>
          </cell>
          <cell r="G117" t="str">
            <v/>
          </cell>
          <cell r="H117" t="e">
            <v>#REF!</v>
          </cell>
          <cell r="I117" t="str">
            <v/>
          </cell>
          <cell r="J117" t="str">
            <v/>
          </cell>
          <cell r="K117" t="str">
            <v/>
          </cell>
          <cell r="M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K117">
            <v>1.8008E-2</v>
          </cell>
          <cell r="AL117">
            <v>1.8467999999999998E-2</v>
          </cell>
          <cell r="AM117">
            <v>15859.4348578768</v>
          </cell>
          <cell r="AN117">
            <v>9.999999999999999E-14</v>
          </cell>
          <cell r="AO117">
            <v>9.999999999999999E-14</v>
          </cell>
          <cell r="AP117">
            <v>1.8007999999999996E-15</v>
          </cell>
          <cell r="AQ117">
            <v>1.8007999999999996E-15</v>
          </cell>
          <cell r="AR117">
            <v>1.8467999999999998E-12</v>
          </cell>
          <cell r="AS117">
            <v>0.26622367915317574</v>
          </cell>
          <cell r="AT117">
            <v>4055.6436493818642</v>
          </cell>
          <cell r="AU117">
            <v>4.0556436493818648E+16</v>
          </cell>
          <cell r="AV117">
            <v>0.31129951913740928</v>
          </cell>
          <cell r="AW117">
            <v>4742.3276616910262</v>
          </cell>
          <cell r="AX117">
            <v>4.7423276616910264E+16</v>
          </cell>
          <cell r="AY117">
            <v>73.034030838068617</v>
          </cell>
          <cell r="AZ117">
            <v>85.399836531732007</v>
          </cell>
          <cell r="BA117">
            <v>12.36580569366339</v>
          </cell>
          <cell r="BB117">
            <v>16.559559209388301</v>
          </cell>
          <cell r="BC117">
            <v>39.147782456445903</v>
          </cell>
          <cell r="BD117">
            <v>2173.9106206378224</v>
          </cell>
          <cell r="BE117">
            <v>2.1739106206378224E+16</v>
          </cell>
          <cell r="BF117">
            <v>0.30140475</v>
          </cell>
          <cell r="BG117">
            <v>609.35881620783846</v>
          </cell>
          <cell r="BH117">
            <v>906.43752867521823</v>
          </cell>
          <cell r="BI117"/>
          <cell r="BJ117">
            <v>0</v>
          </cell>
          <cell r="BK117">
            <v>29.091733343991294</v>
          </cell>
          <cell r="BL117">
            <v>1515.7963448830567</v>
          </cell>
          <cell r="BM117">
            <v>1544.888078227048</v>
          </cell>
          <cell r="BN117">
            <v>10.973333562270755</v>
          </cell>
          <cell r="BO117">
            <v>16.323127016383328</v>
          </cell>
          <cell r="BP117">
            <v>0</v>
          </cell>
          <cell r="BQ117">
            <v>0</v>
          </cell>
          <cell r="BR117">
            <v>0.52388393405859524</v>
          </cell>
          <cell r="BS117">
            <v>27.296460578654084</v>
          </cell>
          <cell r="BT117">
            <v>27.82034451271268</v>
          </cell>
          <cell r="BU117">
            <v>-855.36748596245639</v>
          </cell>
          <cell r="BV117">
            <v>195.08837942156435</v>
          </cell>
          <cell r="BW117">
            <v>-339.10671613036686</v>
          </cell>
          <cell r="BX117">
            <v>-711.34914925365388</v>
          </cell>
          <cell r="BZ117">
            <v>1095.3239450923452</v>
          </cell>
          <cell r="CA117">
            <v>-1.2805302552035756</v>
          </cell>
          <cell r="CB117">
            <v>0</v>
          </cell>
          <cell r="CC117" t="e">
            <v>#N/A</v>
          </cell>
          <cell r="CD117" t="e">
            <v>#N/A</v>
          </cell>
          <cell r="CE117">
            <v>0</v>
          </cell>
          <cell r="CF117">
            <v>0</v>
          </cell>
          <cell r="CG117">
            <v>0.71110299999999993</v>
          </cell>
          <cell r="CH117">
            <v>39.488171923589512</v>
          </cell>
          <cell r="CI117">
            <v>394881719235895.19</v>
          </cell>
          <cell r="CJ117">
            <v>0.33304700000000004</v>
          </cell>
          <cell r="CK117">
            <v>18.494391381608178</v>
          </cell>
          <cell r="CL117">
            <v>184943913816081.81</v>
          </cell>
          <cell r="CM117">
            <v>1.8515333333333335E-2</v>
          </cell>
          <cell r="CN117">
            <v>1.0281726640011848</v>
          </cell>
          <cell r="CO117">
            <v>10281726640011.85</v>
          </cell>
          <cell r="CP117">
            <v>2.1446333333333335E-2</v>
          </cell>
          <cell r="CQ117">
            <v>1.1909336591144677</v>
          </cell>
          <cell r="CR117">
            <v>11909336591144.678</v>
          </cell>
          <cell r="CS117" t="str">
            <v/>
          </cell>
          <cell r="CT117">
            <v>5.5170505060612732E-2</v>
          </cell>
          <cell r="CU117" t="str">
            <v/>
          </cell>
          <cell r="CV117">
            <v>0.55170505060612729</v>
          </cell>
          <cell r="CW117">
            <v>0</v>
          </cell>
          <cell r="CX117">
            <v>0</v>
          </cell>
          <cell r="CY117">
            <v>0</v>
          </cell>
          <cell r="CZ117">
            <v>27.296460578654084</v>
          </cell>
        </row>
        <row r="118">
          <cell r="B118" t="str">
            <v>PNG</v>
          </cell>
          <cell r="C118" t="str">
            <v>LMIC</v>
          </cell>
          <cell r="D118" t="str">
            <v>ULMIC</v>
          </cell>
          <cell r="E118" t="str">
            <v>LMIC_nonLDC</v>
          </cell>
          <cell r="F118" t="str">
            <v xml:space="preserve"> </v>
          </cell>
          <cell r="G118" t="b">
            <v>1</v>
          </cell>
          <cell r="H118" t="e">
            <v>#REF!</v>
          </cell>
          <cell r="I118" t="str">
            <v/>
          </cell>
          <cell r="J118" t="str">
            <v/>
          </cell>
          <cell r="K118" t="b">
            <v>1</v>
          </cell>
          <cell r="M118" t="b">
            <v>1</v>
          </cell>
          <cell r="P118" t="str">
            <v/>
          </cell>
          <cell r="Q118" t="str">
            <v/>
          </cell>
          <cell r="R118" t="str">
            <v>YES</v>
          </cell>
          <cell r="S118" t="str">
            <v/>
          </cell>
          <cell r="T118" t="str">
            <v>YES</v>
          </cell>
          <cell r="U118" t="str">
            <v/>
          </cell>
          <cell r="V118" t="str">
            <v>YES</v>
          </cell>
          <cell r="W118" t="str">
            <v/>
          </cell>
          <cell r="X118" t="str">
            <v>YES</v>
          </cell>
          <cell r="Y118" t="str">
            <v/>
          </cell>
          <cell r="Z118" t="str">
            <v>YES</v>
          </cell>
          <cell r="AA118" t="str">
            <v/>
          </cell>
          <cell r="AB118" t="str">
            <v/>
          </cell>
          <cell r="AC118" t="str">
            <v/>
          </cell>
          <cell r="AD118" t="str">
            <v>YES</v>
          </cell>
          <cell r="AE118" t="str">
            <v>YES</v>
          </cell>
          <cell r="AF118" t="str">
            <v/>
          </cell>
          <cell r="AG118" t="str">
            <v/>
          </cell>
          <cell r="AK118">
            <v>8.7761089999999999</v>
          </cell>
          <cell r="AL118">
            <v>10.709350000000001</v>
          </cell>
          <cell r="AM118">
            <v>2780</v>
          </cell>
          <cell r="AN118">
            <v>0.27337020000000001</v>
          </cell>
          <cell r="AO118">
            <v>0.19774999999999998</v>
          </cell>
          <cell r="AP118">
            <v>2.3991266725517999</v>
          </cell>
          <cell r="AQ118">
            <v>1.7354755547499998</v>
          </cell>
          <cell r="AR118">
            <v>2117.7739624999999</v>
          </cell>
          <cell r="AS118">
            <v>0.15770872935096708</v>
          </cell>
          <cell r="AT118">
            <v>451.28548011428666</v>
          </cell>
          <cell r="AU118">
            <v>1650.8217798219655</v>
          </cell>
          <cell r="AV118">
            <v>0.15770872935096708</v>
          </cell>
          <cell r="AW118">
            <v>451.28548011428666</v>
          </cell>
          <cell r="AX118">
            <v>1650.8217798219655</v>
          </cell>
          <cell r="AY118">
            <v>3960.5305636003118</v>
          </cell>
          <cell r="AZ118">
            <v>3960.5305636003122</v>
          </cell>
          <cell r="BA118">
            <v>4.5474735088646412E-13</v>
          </cell>
          <cell r="BB118">
            <v>595.9927795006779</v>
          </cell>
          <cell r="BC118">
            <v>643.95726889469165</v>
          </cell>
          <cell r="BD118">
            <v>73.376170338665077</v>
          </cell>
          <cell r="BE118">
            <v>268.41320062927514</v>
          </cell>
          <cell r="BF118">
            <v>12.29957875</v>
          </cell>
          <cell r="BG118">
            <v>245.81862084082888</v>
          </cell>
          <cell r="BH118">
            <v>75.306415106013162</v>
          </cell>
          <cell r="BI118"/>
          <cell r="BJ118">
            <v>77.697706703115315</v>
          </cell>
          <cell r="BK118">
            <v>10.378591669735943</v>
          </cell>
          <cell r="BL118">
            <v>398.82274264995738</v>
          </cell>
          <cell r="BM118">
            <v>409.20133431969333</v>
          </cell>
          <cell r="BN118">
            <v>2157.3310107287857</v>
          </cell>
          <cell r="BO118">
            <v>660.89730736961803</v>
          </cell>
          <cell r="BP118">
            <v>0</v>
          </cell>
          <cell r="BQ118">
            <v>681.88354307657062</v>
          </cell>
          <cell r="BR118">
            <v>91.083651760094639</v>
          </cell>
          <cell r="BS118">
            <v>3500.1118611749744</v>
          </cell>
          <cell r="BT118">
            <v>3591.195512935069</v>
          </cell>
          <cell r="BU118">
            <v>173.18000259281405</v>
          </cell>
          <cell r="BV118">
            <v>7.6135930888701608</v>
          </cell>
          <cell r="BW118">
            <v>155.56152481797153</v>
          </cell>
          <cell r="BX118">
            <v>10.004884685972314</v>
          </cell>
          <cell r="BZ118">
            <v>37.388827306309189</v>
          </cell>
          <cell r="CA118">
            <v>0.21589575439734174</v>
          </cell>
          <cell r="CB118">
            <v>0</v>
          </cell>
          <cell r="CC118" t="str">
            <v>—</v>
          </cell>
          <cell r="CD118" t="e">
            <v>#VALUE!</v>
          </cell>
          <cell r="CE118">
            <v>1519.8465793748187</v>
          </cell>
          <cell r="CF118">
            <v>297.99638975033895</v>
          </cell>
          <cell r="CG118">
            <v>49.791879666666667</v>
          </cell>
          <cell r="CH118">
            <v>5.6735712451459603</v>
          </cell>
          <cell r="CI118">
            <v>20.754168688269459</v>
          </cell>
          <cell r="CJ118">
            <v>97.755362333333352</v>
          </cell>
          <cell r="CK118">
            <v>11.138804489932081</v>
          </cell>
          <cell r="CL118">
            <v>40.746227971929933</v>
          </cell>
          <cell r="CM118">
            <v>41.895586333333334</v>
          </cell>
          <cell r="CN118">
            <v>4.7738224688564523</v>
          </cell>
          <cell r="CO118">
            <v>17.462848799380666</v>
          </cell>
          <cell r="CP118">
            <v>13.442425</v>
          </cell>
          <cell r="CQ118">
            <v>1.5317067051013153</v>
          </cell>
          <cell r="CR118">
            <v>5.603049290307851</v>
          </cell>
          <cell r="CS118">
            <v>0.51</v>
          </cell>
          <cell r="CT118">
            <v>0.12615887063389936</v>
          </cell>
          <cell r="CU118">
            <v>0.35830480227627071</v>
          </cell>
          <cell r="CV118">
            <v>1.2615887063389937</v>
          </cell>
          <cell r="CW118">
            <v>0</v>
          </cell>
          <cell r="CX118">
            <v>0</v>
          </cell>
          <cell r="CY118">
            <v>0</v>
          </cell>
          <cell r="CZ118">
            <v>2818.2283180984041</v>
          </cell>
        </row>
        <row r="119">
          <cell r="B119" t="str">
            <v>PRK</v>
          </cell>
          <cell r="C119" t="str">
            <v>LIC</v>
          </cell>
          <cell r="D119" t="str">
            <v>OLIC</v>
          </cell>
          <cell r="E119" t="str">
            <v>OLIC_nonLDC</v>
          </cell>
          <cell r="F119" t="str">
            <v xml:space="preserve"> </v>
          </cell>
          <cell r="G119" t="str">
            <v/>
          </cell>
          <cell r="H119" t="e">
            <v>#REF!</v>
          </cell>
          <cell r="I119" t="str">
            <v/>
          </cell>
          <cell r="J119" t="str">
            <v/>
          </cell>
          <cell r="K119" t="str">
            <v/>
          </cell>
          <cell r="M119" t="b">
            <v>1</v>
          </cell>
          <cell r="P119" t="str">
            <v/>
          </cell>
          <cell r="Q119" t="b">
            <v>1</v>
          </cell>
          <cell r="R119" t="str">
            <v>YES</v>
          </cell>
          <cell r="S119" t="str">
            <v>YES</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K119">
            <v>25.666160999999999</v>
          </cell>
          <cell r="AL119">
            <v>26.651330000000002</v>
          </cell>
          <cell r="AM119">
            <v>579</v>
          </cell>
          <cell r="AN119">
            <v>0.61</v>
          </cell>
          <cell r="AO119">
            <v>0.43</v>
          </cell>
          <cell r="AP119">
            <v>15.656358209999999</v>
          </cell>
          <cell r="AQ119">
            <v>11.036449229999999</v>
          </cell>
          <cell r="AR119">
            <v>11460.071900000001</v>
          </cell>
          <cell r="AS119">
            <v>0.17</v>
          </cell>
          <cell r="AT119">
            <v>98.43</v>
          </cell>
          <cell r="AU119">
            <v>161.36065573770495</v>
          </cell>
          <cell r="AV119">
            <v>0.20690637720488467</v>
          </cell>
          <cell r="AW119">
            <v>119.79879240162822</v>
          </cell>
          <cell r="AX119">
            <v>196.39146295348888</v>
          </cell>
          <cell r="AY119">
            <v>2526.32022723</v>
          </cell>
          <cell r="AZ119">
            <v>3074.7750933857665</v>
          </cell>
          <cell r="BA119">
            <v>548.45486615576647</v>
          </cell>
          <cell r="BB119">
            <v>43.980806128222561</v>
          </cell>
          <cell r="BC119">
            <v>36.890488890047372</v>
          </cell>
          <cell r="BD119">
            <v>1.4373200920093727</v>
          </cell>
          <cell r="BE119">
            <v>2.3562624459170043</v>
          </cell>
          <cell r="BF119">
            <v>20.403819500000001</v>
          </cell>
          <cell r="BG119">
            <v>34.74</v>
          </cell>
          <cell r="BH119">
            <v>97.956455212959128</v>
          </cell>
          <cell r="BI119"/>
          <cell r="BJ119">
            <v>109.10165754131319</v>
          </cell>
          <cell r="BK119">
            <v>2.4401876143983032</v>
          </cell>
          <cell r="BL119">
            <v>241.79811275427232</v>
          </cell>
          <cell r="BM119">
            <v>244.23830036867062</v>
          </cell>
          <cell r="BN119">
            <v>891.64243313999998</v>
          </cell>
          <cell r="BO119">
            <v>2514.1661504850981</v>
          </cell>
          <cell r="BP119">
            <v>0</v>
          </cell>
          <cell r="BQ119">
            <v>2800.2207078222082</v>
          </cell>
          <cell r="BR119">
            <v>62.630248181352769</v>
          </cell>
          <cell r="BS119">
            <v>6206.0292914473066</v>
          </cell>
          <cell r="BT119">
            <v>6268.6595396286593</v>
          </cell>
          <cell r="BU119">
            <v>181.8987165534582</v>
          </cell>
          <cell r="BV119">
            <v>79.986636352714896</v>
          </cell>
          <cell r="BW119">
            <v>10.780241519674355</v>
          </cell>
          <cell r="BX119">
            <v>91.131838681068956</v>
          </cell>
          <cell r="BZ119">
            <v>1.1161448802188878</v>
          </cell>
          <cell r="CA119">
            <v>6.1360789200008677E-3</v>
          </cell>
          <cell r="CB119">
            <v>0.34880000000000005</v>
          </cell>
          <cell r="CC119" t="e">
            <v>#N/A</v>
          </cell>
          <cell r="CD119" t="e">
            <v>#N/A</v>
          </cell>
          <cell r="CE119">
            <v>4668.6417447544227</v>
          </cell>
          <cell r="CF119">
            <v>21.99040306411128</v>
          </cell>
          <cell r="CG119">
            <v>1.0610730000000002</v>
          </cell>
          <cell r="CH119">
            <v>4.1341320971219661E-2</v>
          </cell>
          <cell r="CI119">
            <v>6.7772657329868299E-2</v>
          </cell>
          <cell r="CJ119">
            <v>23.059284666666663</v>
          </cell>
          <cell r="CK119">
            <v>0.89843138857683713</v>
          </cell>
          <cell r="CL119">
            <v>1.4728383419292412</v>
          </cell>
          <cell r="CM119">
            <v>1.9433333333333333E-4</v>
          </cell>
          <cell r="CN119">
            <v>7.5715777413432941E-6</v>
          </cell>
          <cell r="CO119">
            <v>1.2412422526792286E-5</v>
          </cell>
          <cell r="CP119">
            <v>11.909026333333333</v>
          </cell>
          <cell r="CQ119">
            <v>0.46399718030808479</v>
          </cell>
          <cell r="CR119">
            <v>0.76065111525915541</v>
          </cell>
          <cell r="CS119" t="str">
            <v/>
          </cell>
          <cell r="CT119">
            <v>0.16109067746583838</v>
          </cell>
          <cell r="CU119">
            <v>0.19930370576261874</v>
          </cell>
          <cell r="CV119">
            <v>1.6109067746583838</v>
          </cell>
          <cell r="CW119">
            <v>3193.8844462428929</v>
          </cell>
          <cell r="CX119">
            <v>124.4395079670424</v>
          </cell>
          <cell r="CY119">
            <v>203.99919338859411</v>
          </cell>
          <cell r="CZ119">
            <v>3405.8085836250984</v>
          </cell>
        </row>
        <row r="120">
          <cell r="B120" t="str">
            <v>PRY</v>
          </cell>
          <cell r="C120" t="str">
            <v>UMIC</v>
          </cell>
          <cell r="D120" t="str">
            <v>UMIC</v>
          </cell>
          <cell r="E120" t="str">
            <v/>
          </cell>
          <cell r="F120" t="str">
            <v xml:space="preserve"> </v>
          </cell>
          <cell r="G120" t="str">
            <v/>
          </cell>
          <cell r="H120" t="e">
            <v>#REF!</v>
          </cell>
          <cell r="I120" t="str">
            <v/>
          </cell>
          <cell r="J120" t="str">
            <v/>
          </cell>
          <cell r="K120" t="b">
            <v>1</v>
          </cell>
          <cell r="M120" t="str">
            <v/>
          </cell>
          <cell r="P120" t="str">
            <v/>
          </cell>
          <cell r="Q120" t="str">
            <v/>
          </cell>
          <cell r="R120" t="str">
            <v>YES</v>
          </cell>
          <cell r="S120" t="str">
            <v/>
          </cell>
          <cell r="T120" t="str">
            <v>YES</v>
          </cell>
          <cell r="U120" t="str">
            <v/>
          </cell>
          <cell r="V120" t="str">
            <v>YES</v>
          </cell>
          <cell r="W120" t="str">
            <v/>
          </cell>
          <cell r="X120" t="str">
            <v/>
          </cell>
          <cell r="Y120" t="str">
            <v/>
          </cell>
          <cell r="Z120" t="str">
            <v/>
          </cell>
          <cell r="AA120" t="str">
            <v/>
          </cell>
          <cell r="AB120" t="str">
            <v/>
          </cell>
          <cell r="AC120" t="str">
            <v/>
          </cell>
          <cell r="AD120" t="str">
            <v/>
          </cell>
          <cell r="AE120" t="str">
            <v/>
          </cell>
          <cell r="AF120" t="str">
            <v/>
          </cell>
          <cell r="AK120">
            <v>7.0446359999999997</v>
          </cell>
          <cell r="AL120">
            <v>7.9499690000000003</v>
          </cell>
          <cell r="AM120">
            <v>5510</v>
          </cell>
          <cell r="AN120">
            <v>1.6341349999999998E-2</v>
          </cell>
          <cell r="AO120">
            <v>1.4250000000000001E-2</v>
          </cell>
          <cell r="AP120">
            <v>0.11511886249859998</v>
          </cell>
          <cell r="AQ120">
            <v>0.100386063</v>
          </cell>
          <cell r="AR120">
            <v>113.28705825</v>
          </cell>
          <cell r="AS120">
            <v>0.12223618357299168</v>
          </cell>
          <cell r="AT120">
            <v>680.76179845101797</v>
          </cell>
          <cell r="AU120">
            <v>41658.846940492556</v>
          </cell>
          <cell r="AV120">
            <v>0.2</v>
          </cell>
          <cell r="AW120">
            <v>1113.8466181652509</v>
          </cell>
          <cell r="AX120">
            <v>68161.236260483434</v>
          </cell>
          <cell r="AY120">
            <v>4795.7190727927855</v>
          </cell>
          <cell r="AZ120">
            <v>7846.6439848051805</v>
          </cell>
          <cell r="BA120">
            <v>3050.924912012395</v>
          </cell>
          <cell r="BB120">
            <v>136.04509728596369</v>
          </cell>
          <cell r="BC120">
            <v>156.51029562532366</v>
          </cell>
          <cell r="BD120">
            <v>22.216945719455722</v>
          </cell>
          <cell r="BE120">
            <v>1359.5538752585144</v>
          </cell>
          <cell r="BF120">
            <v>1.72903425</v>
          </cell>
          <cell r="BG120">
            <v>119.23538162761383</v>
          </cell>
          <cell r="BH120">
            <v>317.39150636782279</v>
          </cell>
          <cell r="BI120"/>
          <cell r="BJ120">
            <v>39.907586573471711</v>
          </cell>
          <cell r="BK120">
            <v>14.000688105366235</v>
          </cell>
          <cell r="BL120">
            <v>476.53447456890831</v>
          </cell>
          <cell r="BM120">
            <v>490.53516267427455</v>
          </cell>
          <cell r="BN120">
            <v>839.96986188762696</v>
          </cell>
          <cell r="BO120">
            <v>2235.9076318529937</v>
          </cell>
          <cell r="BP120">
            <v>0</v>
          </cell>
          <cell r="BQ120">
            <v>281.13442104859547</v>
          </cell>
          <cell r="BR120">
            <v>98.629751451834764</v>
          </cell>
          <cell r="BS120">
            <v>3357.011914789216</v>
          </cell>
          <cell r="BT120">
            <v>3455.6416662410506</v>
          </cell>
          <cell r="BU120">
            <v>-80.388834513717143</v>
          </cell>
          <cell r="BV120">
            <v>150.31451364303516</v>
          </cell>
          <cell r="BW120">
            <v>-103.53394200543636</v>
          </cell>
          <cell r="BX120">
            <v>-127.16940615131591</v>
          </cell>
          <cell r="BZ120">
            <v>11.231192773858272</v>
          </cell>
          <cell r="CA120">
            <v>-0.13971085464539032</v>
          </cell>
          <cell r="CB120">
            <v>0</v>
          </cell>
          <cell r="CC120" t="str">
            <v>—</v>
          </cell>
          <cell r="CE120">
            <v>0</v>
          </cell>
          <cell r="CF120">
            <v>0</v>
          </cell>
          <cell r="CG120">
            <v>20.637673666666668</v>
          </cell>
          <cell r="CH120">
            <v>2.9295585558525192</v>
          </cell>
          <cell r="CI120">
            <v>179.27273792266365</v>
          </cell>
          <cell r="CJ120">
            <v>13.243131333333334</v>
          </cell>
          <cell r="CK120">
            <v>1.8798886604408425</v>
          </cell>
          <cell r="CL120">
            <v>115.03876120643905</v>
          </cell>
          <cell r="CM120">
            <v>2.3389366666666667</v>
          </cell>
          <cell r="CN120">
            <v>0.33201668143913565</v>
          </cell>
          <cell r="CO120">
            <v>20.317579725000424</v>
          </cell>
          <cell r="CP120">
            <v>8.6935153333333339</v>
          </cell>
          <cell r="CQ120">
            <v>1.2340616794584325</v>
          </cell>
          <cell r="CR120">
            <v>75.517731366039683</v>
          </cell>
          <cell r="CS120">
            <v>0.56999999999999995</v>
          </cell>
          <cell r="CT120">
            <v>9.9521394717910203E-2</v>
          </cell>
          <cell r="CU120">
            <v>0.2925398842466807</v>
          </cell>
          <cell r="CV120">
            <v>0.99521394717910205</v>
          </cell>
          <cell r="CW120">
            <v>0</v>
          </cell>
          <cell r="CX120">
            <v>0</v>
          </cell>
          <cell r="CY120">
            <v>0</v>
          </cell>
          <cell r="CZ120">
            <v>3075.8774937406206</v>
          </cell>
        </row>
        <row r="121">
          <cell r="B121" t="str">
            <v>PSE</v>
          </cell>
          <cell r="C121" t="str">
            <v>LMIC</v>
          </cell>
          <cell r="D121" t="str">
            <v>ULMIC</v>
          </cell>
          <cell r="E121" t="str">
            <v>LMIC_nonLDC</v>
          </cell>
          <cell r="F121" t="str">
            <v xml:space="preserve"> </v>
          </cell>
          <cell r="G121" t="b">
            <v>1</v>
          </cell>
          <cell r="H121" t="e">
            <v>#REF!</v>
          </cell>
          <cell r="I121" t="str">
            <v/>
          </cell>
          <cell r="J121" t="str">
            <v/>
          </cell>
          <cell r="K121" t="b">
            <v>1</v>
          </cell>
          <cell r="M121" t="b">
            <v>1</v>
          </cell>
          <cell r="P121" t="str">
            <v/>
          </cell>
          <cell r="Q121" t="str">
            <v/>
          </cell>
          <cell r="R121" t="str">
            <v>YES</v>
          </cell>
          <cell r="S121" t="str">
            <v/>
          </cell>
          <cell r="T121" t="str">
            <v>YES</v>
          </cell>
          <cell r="U121" t="str">
            <v/>
          </cell>
          <cell r="V121" t="str">
            <v>YES</v>
          </cell>
          <cell r="W121" t="str">
            <v/>
          </cell>
          <cell r="X121" t="str">
            <v/>
          </cell>
          <cell r="Y121" t="str">
            <v/>
          </cell>
          <cell r="Z121" t="str">
            <v/>
          </cell>
          <cell r="AA121" t="str">
            <v/>
          </cell>
          <cell r="AB121" t="str">
            <v/>
          </cell>
          <cell r="AC121" t="str">
            <v/>
          </cell>
          <cell r="AD121" t="str">
            <v/>
          </cell>
          <cell r="AE121" t="str">
            <v/>
          </cell>
          <cell r="AF121" t="str">
            <v/>
          </cell>
          <cell r="AG121" t="str">
            <v/>
          </cell>
          <cell r="AK121">
            <v>4.6853059999999997</v>
          </cell>
          <cell r="AL121">
            <v>6.3417240000000001</v>
          </cell>
          <cell r="AM121">
            <v>3198.8666444740502</v>
          </cell>
          <cell r="AN121">
            <v>9.8273419999999993E-3</v>
          </cell>
          <cell r="AO121">
            <v>8.5000000000000006E-3</v>
          </cell>
          <cell r="AP121">
            <v>4.6044104436651995E-2</v>
          </cell>
          <cell r="AQ121">
            <v>3.9825101000000002E-2</v>
          </cell>
          <cell r="AR121">
            <v>53.904654000000001</v>
          </cell>
          <cell r="AS121">
            <v>0.246</v>
          </cell>
          <cell r="AT121">
            <v>689.87162231831439</v>
          </cell>
          <cell r="AU121">
            <v>70199.207712351359</v>
          </cell>
          <cell r="AV121">
            <v>0.28556131436939597</v>
          </cell>
          <cell r="AW121">
            <v>800.81563908685121</v>
          </cell>
          <cell r="AX121">
            <v>81488.528544834524</v>
          </cell>
          <cell r="AY121">
            <v>3232.2596512777318</v>
          </cell>
          <cell r="AZ121">
            <v>3752.0663187074579</v>
          </cell>
          <cell r="BA121">
            <v>519.80666742972608</v>
          </cell>
          <cell r="BB121">
            <v>0</v>
          </cell>
          <cell r="BC121">
            <v>0</v>
          </cell>
          <cell r="BD121">
            <v>0</v>
          </cell>
          <cell r="BE121">
            <v>0</v>
          </cell>
          <cell r="BF121">
            <v>0</v>
          </cell>
          <cell r="BG121">
            <v>112.17424753143324</v>
          </cell>
          <cell r="BH121">
            <v>239.39043974718885</v>
          </cell>
          <cell r="BI121"/>
          <cell r="BJ121">
            <v>24.795944787092246</v>
          </cell>
          <cell r="BK121">
            <v>32.146738067325899</v>
          </cell>
          <cell r="BL121">
            <v>376.36063206571436</v>
          </cell>
          <cell r="BM121">
            <v>408.50737013304024</v>
          </cell>
          <cell r="BN121">
            <v>525.57067500450933</v>
          </cell>
          <cell r="BO121">
            <v>1121.6174636901424</v>
          </cell>
          <cell r="BP121">
            <v>0</v>
          </cell>
          <cell r="BQ121">
            <v>116.17658888663202</v>
          </cell>
          <cell r="BR121">
            <v>150.61730474727042</v>
          </cell>
          <cell r="BS121">
            <v>1763.3647275812837</v>
          </cell>
          <cell r="BT121">
            <v>1913.9820323285542</v>
          </cell>
          <cell r="BU121">
            <v>-24.047187477711248</v>
          </cell>
          <cell r="BV121">
            <v>119.26809388416117</v>
          </cell>
          <cell r="BW121">
            <v>-47.988880285937014</v>
          </cell>
          <cell r="BX121">
            <v>-95.326401075935422</v>
          </cell>
          <cell r="BZ121">
            <v>0</v>
          </cell>
          <cell r="CA121">
            <v>0</v>
          </cell>
          <cell r="CB121">
            <v>0</v>
          </cell>
          <cell r="CC121">
            <v>1500000</v>
          </cell>
          <cell r="CD121">
            <v>32.57746064023717</v>
          </cell>
          <cell r="CE121">
            <v>0</v>
          </cell>
          <cell r="CF121">
            <v>0</v>
          </cell>
          <cell r="CG121">
            <v>0</v>
          </cell>
          <cell r="CH121">
            <v>0</v>
          </cell>
          <cell r="CI121">
            <v>0</v>
          </cell>
          <cell r="CJ121">
            <v>0</v>
          </cell>
          <cell r="CK121">
            <v>0</v>
          </cell>
          <cell r="CL121">
            <v>0</v>
          </cell>
          <cell r="CM121">
            <v>0</v>
          </cell>
          <cell r="CN121">
            <v>0</v>
          </cell>
          <cell r="CO121">
            <v>0</v>
          </cell>
          <cell r="CP121">
            <v>257.07056166666666</v>
          </cell>
          <cell r="CQ121">
            <v>54.867400692007458</v>
          </cell>
          <cell r="CR121">
            <v>5583.1374029729977</v>
          </cell>
          <cell r="CS121">
            <v>0.7</v>
          </cell>
          <cell r="CT121">
            <v>0.14789066071671733</v>
          </cell>
          <cell r="CU121">
            <v>0.41768051008834856</v>
          </cell>
          <cell r="CV121">
            <v>1.4789066071671733</v>
          </cell>
          <cell r="CW121">
            <v>0</v>
          </cell>
          <cell r="CX121">
            <v>0</v>
          </cell>
          <cell r="CY121">
            <v>0</v>
          </cell>
          <cell r="CZ121">
            <v>1647.1881386946518</v>
          </cell>
        </row>
        <row r="122">
          <cell r="B122" t="str">
            <v>ROU</v>
          </cell>
          <cell r="C122" t="str">
            <v>HIC</v>
          </cell>
          <cell r="D122" t="str">
            <v>HIC</v>
          </cell>
          <cell r="E122" t="str">
            <v/>
          </cell>
          <cell r="F122" t="str">
            <v xml:space="preserve"> </v>
          </cell>
          <cell r="G122" t="str">
            <v/>
          </cell>
          <cell r="H122" t="e">
            <v>#REF!</v>
          </cell>
          <cell r="I122" t="str">
            <v/>
          </cell>
          <cell r="J122" t="str">
            <v/>
          </cell>
          <cell r="K122" t="str">
            <v/>
          </cell>
          <cell r="M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K122">
            <v>19.356544</v>
          </cell>
          <cell r="AL122">
            <v>18.306090000000001</v>
          </cell>
          <cell r="AM122">
            <v>12630</v>
          </cell>
          <cell r="AN122">
            <v>3.2661330000000002E-2</v>
          </cell>
          <cell r="AO122">
            <v>1.3999999999999999E-2</v>
          </cell>
          <cell r="AP122">
            <v>0.63221047124352003</v>
          </cell>
          <cell r="AQ122">
            <v>0.27099161599999999</v>
          </cell>
          <cell r="AR122">
            <v>256.28525999999999</v>
          </cell>
          <cell r="AS122">
            <v>0.317537382468777</v>
          </cell>
          <cell r="AT122">
            <v>4218.5817590923943</v>
          </cell>
          <cell r="AU122">
            <v>129161.35867989436</v>
          </cell>
          <cell r="AV122">
            <v>0.37602054790372241</v>
          </cell>
          <cell r="AW122">
            <v>4995.5485936732102</v>
          </cell>
          <cell r="AX122">
            <v>152949.94397574165</v>
          </cell>
          <cell r="AY122">
            <v>81657.163437469324</v>
          </cell>
          <cell r="AZ122">
            <v>96696.556157573621</v>
          </cell>
          <cell r="BA122">
            <v>15039.392720104297</v>
          </cell>
          <cell r="BB122">
            <v>0</v>
          </cell>
          <cell r="BC122">
            <v>0</v>
          </cell>
          <cell r="BD122">
            <v>0</v>
          </cell>
          <cell r="BE122">
            <v>0</v>
          </cell>
          <cell r="BF122">
            <v>0</v>
          </cell>
          <cell r="BG122">
            <v>531.41229877174555</v>
          </cell>
          <cell r="BH122">
            <v>453.21876433760912</v>
          </cell>
          <cell r="BI122"/>
          <cell r="BJ122">
            <v>95.193597048461143</v>
          </cell>
          <cell r="BK122">
            <v>12.166865676627117</v>
          </cell>
          <cell r="BL122">
            <v>1079.824660157816</v>
          </cell>
          <cell r="BM122">
            <v>1091.9915258344431</v>
          </cell>
          <cell r="BN122">
            <v>10286.305543316439</v>
          </cell>
          <cell r="BO122">
            <v>8772.7489535265613</v>
          </cell>
          <cell r="BP122">
            <v>0</v>
          </cell>
          <cell r="BQ122">
            <v>1842.6190497868081</v>
          </cell>
          <cell r="BR122">
            <v>235.50847081172256</v>
          </cell>
          <cell r="BS122">
            <v>20901.673546629809</v>
          </cell>
          <cell r="BT122">
            <v>21137.18201744153</v>
          </cell>
          <cell r="BU122">
            <v>-1417.9496366787891</v>
          </cell>
          <cell r="BV122">
            <v>-296.11352471337244</v>
          </cell>
          <cell r="BW122">
            <v>-467.69741996289656</v>
          </cell>
          <cell r="BX122">
            <v>-654.13869200252043</v>
          </cell>
          <cell r="BZ122">
            <v>0</v>
          </cell>
          <cell r="CA122">
            <v>0</v>
          </cell>
          <cell r="CB122">
            <v>0</v>
          </cell>
          <cell r="CC122">
            <v>3592213</v>
          </cell>
          <cell r="CD122">
            <v>5.6819890897003535</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0.19</v>
          </cell>
          <cell r="CT122">
            <v>4.854203312326829E-2</v>
          </cell>
          <cell r="CU122">
            <v>0.15425315593527439</v>
          </cell>
          <cell r="CV122">
            <v>0.48542033123268291</v>
          </cell>
          <cell r="CW122">
            <v>0</v>
          </cell>
          <cell r="CX122">
            <v>0</v>
          </cell>
          <cell r="CY122">
            <v>0</v>
          </cell>
          <cell r="CZ122">
            <v>19059.054496843</v>
          </cell>
        </row>
        <row r="123">
          <cell r="B123" t="str">
            <v>RUS</v>
          </cell>
          <cell r="C123" t="str">
            <v>UMIC</v>
          </cell>
          <cell r="D123" t="str">
            <v>UMIC</v>
          </cell>
          <cell r="E123" t="str">
            <v/>
          </cell>
          <cell r="F123" t="str">
            <v xml:space="preserve"> </v>
          </cell>
          <cell r="G123" t="str">
            <v/>
          </cell>
          <cell r="H123" t="e">
            <v>#REF!</v>
          </cell>
          <cell r="I123" t="str">
            <v/>
          </cell>
          <cell r="J123" t="str">
            <v/>
          </cell>
          <cell r="K123" t="b">
            <v>1</v>
          </cell>
          <cell r="M123" t="str">
            <v/>
          </cell>
          <cell r="P123" t="str">
            <v/>
          </cell>
          <cell r="Q123" t="str">
            <v/>
          </cell>
          <cell r="R123" t="str">
            <v/>
          </cell>
          <cell r="S123" t="str">
            <v/>
          </cell>
          <cell r="T123" t="str">
            <v>YES</v>
          </cell>
          <cell r="U123" t="str">
            <v>YES</v>
          </cell>
          <cell r="V123" t="str">
            <v/>
          </cell>
          <cell r="W123" t="str">
            <v/>
          </cell>
          <cell r="X123" t="str">
            <v/>
          </cell>
          <cell r="Y123" t="str">
            <v/>
          </cell>
          <cell r="Z123" t="str">
            <v/>
          </cell>
          <cell r="AA123" t="str">
            <v/>
          </cell>
          <cell r="AB123" t="str">
            <v/>
          </cell>
          <cell r="AC123" t="str">
            <v/>
          </cell>
          <cell r="AD123" t="str">
            <v/>
          </cell>
          <cell r="AE123" t="str">
            <v/>
          </cell>
          <cell r="AF123" t="str">
            <v/>
          </cell>
          <cell r="AK123">
            <v>144.373535</v>
          </cell>
          <cell r="AL123">
            <v>143.3475</v>
          </cell>
          <cell r="AM123">
            <v>11260</v>
          </cell>
          <cell r="AN123">
            <v>1.91165E-4</v>
          </cell>
          <cell r="AO123">
            <v>9.999999999999999E-14</v>
          </cell>
          <cell r="AP123">
            <v>2.7599166818275001E-2</v>
          </cell>
          <cell r="AQ123">
            <v>1.44373535E-11</v>
          </cell>
          <cell r="AR123">
            <v>1.4334749999999999E-8</v>
          </cell>
          <cell r="AS123">
            <v>0.35345791895014284</v>
          </cell>
          <cell r="AT123">
            <v>4228.9626518385721</v>
          </cell>
          <cell r="AU123">
            <v>22122055.040611889</v>
          </cell>
          <cell r="AV123">
            <v>0.42588141582770472</v>
          </cell>
          <cell r="AW123">
            <v>5095.4767317054839</v>
          </cell>
          <cell r="AX123">
            <v>26654862.196037371</v>
          </cell>
          <cell r="AY123">
            <v>610550.28742890898</v>
          </cell>
          <cell r="AZ123">
            <v>735651.98826656735</v>
          </cell>
          <cell r="BA123">
            <v>125101.70083765837</v>
          </cell>
          <cell r="BB123">
            <v>0</v>
          </cell>
          <cell r="BC123">
            <v>0</v>
          </cell>
          <cell r="BD123">
            <v>0</v>
          </cell>
          <cell r="BE123">
            <v>0</v>
          </cell>
          <cell r="BF123">
            <v>0</v>
          </cell>
          <cell r="BG123">
            <v>478.58174058169459</v>
          </cell>
          <cell r="BH123">
            <v>341.47402535009616</v>
          </cell>
          <cell r="BI123"/>
          <cell r="BJ123">
            <v>0</v>
          </cell>
          <cell r="BK123">
            <v>13.651097212432417</v>
          </cell>
          <cell r="BL123">
            <v>820.0557659317908</v>
          </cell>
          <cell r="BM123">
            <v>833.70686314422323</v>
          </cell>
          <cell r="BN123">
            <v>69094.537674232211</v>
          </cell>
          <cell r="BO123">
            <v>49299.812150472993</v>
          </cell>
          <cell r="BP123">
            <v>0</v>
          </cell>
          <cell r="BQ123">
            <v>0</v>
          </cell>
          <cell r="BR123">
            <v>1970.8571611875141</v>
          </cell>
          <cell r="BS123">
            <v>118394.3498247052</v>
          </cell>
          <cell r="BT123">
            <v>120365.20698589271</v>
          </cell>
          <cell r="BU123">
            <v>-1727.6825999209511</v>
          </cell>
          <cell r="BV123">
            <v>-422.84748440572645</v>
          </cell>
          <cell r="BW123">
            <v>-540.51360575940225</v>
          </cell>
          <cell r="BX123">
            <v>-764.3215097558226</v>
          </cell>
          <cell r="BZ123">
            <v>0</v>
          </cell>
          <cell r="CA123">
            <v>0</v>
          </cell>
          <cell r="CB123">
            <v>0</v>
          </cell>
          <cell r="CC123" t="str">
            <v xml:space="preserve"> — </v>
          </cell>
          <cell r="CD123" t="e">
            <v>#VALUE!</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0.35</v>
          </cell>
          <cell r="CT123">
            <v>6.4220156415786323E-2</v>
          </cell>
          <cell r="CU123">
            <v>0.18560790244555556</v>
          </cell>
          <cell r="CV123">
            <v>0.64220156415786323</v>
          </cell>
          <cell r="CW123">
            <v>0</v>
          </cell>
          <cell r="CX123">
            <v>0</v>
          </cell>
          <cell r="CY123">
            <v>0</v>
          </cell>
          <cell r="CZ123">
            <v>118394.3498247052</v>
          </cell>
        </row>
        <row r="124">
          <cell r="B124" t="str">
            <v>RWA</v>
          </cell>
          <cell r="C124" t="str">
            <v>LIC</v>
          </cell>
          <cell r="D124" t="str">
            <v>OLIC</v>
          </cell>
          <cell r="E124" t="str">
            <v>OLIC_LDC</v>
          </cell>
          <cell r="F124" t="b">
            <v>1</v>
          </cell>
          <cell r="G124" t="str">
            <v/>
          </cell>
          <cell r="H124" t="e">
            <v>#REF!</v>
          </cell>
          <cell r="I124" t="str">
            <v/>
          </cell>
          <cell r="J124" t="str">
            <v/>
          </cell>
          <cell r="K124" t="str">
            <v/>
          </cell>
          <cell r="M124" t="str">
            <v/>
          </cell>
          <cell r="P124" t="b">
            <v>1</v>
          </cell>
          <cell r="Q124" t="b">
            <v>1</v>
          </cell>
          <cell r="R124" t="str">
            <v>YES</v>
          </cell>
          <cell r="S124" t="str">
            <v>YES</v>
          </cell>
          <cell r="T124" t="str">
            <v/>
          </cell>
          <cell r="U124" t="str">
            <v/>
          </cell>
          <cell r="V124" t="str">
            <v/>
          </cell>
          <cell r="W124" t="str">
            <v/>
          </cell>
          <cell r="X124" t="str">
            <v>YES</v>
          </cell>
          <cell r="Y124" t="str">
            <v>YES</v>
          </cell>
          <cell r="Z124" t="str">
            <v/>
          </cell>
          <cell r="AA124" t="str">
            <v/>
          </cell>
          <cell r="AB124" t="str">
            <v/>
          </cell>
          <cell r="AC124" t="str">
            <v>YES</v>
          </cell>
          <cell r="AD124" t="str">
            <v>YES</v>
          </cell>
          <cell r="AE124" t="str">
            <v/>
          </cell>
          <cell r="AF124" t="str">
            <v/>
          </cell>
          <cell r="AK124">
            <v>12.626950000000001</v>
          </cell>
          <cell r="AL124">
            <v>16.234389999999998</v>
          </cell>
          <cell r="AM124">
            <v>820</v>
          </cell>
          <cell r="AN124">
            <v>0.51479799999999998</v>
          </cell>
          <cell r="AO124">
            <v>0.31624999999999998</v>
          </cell>
          <cell r="AP124">
            <v>6.5003286061000001</v>
          </cell>
          <cell r="AQ124">
            <v>3.9932729375</v>
          </cell>
          <cell r="AR124">
            <v>5134.1258374999989</v>
          </cell>
          <cell r="AS124">
            <v>0.20697404750825524</v>
          </cell>
          <cell r="AT124">
            <v>169.71871895676929</v>
          </cell>
          <cell r="AU124">
            <v>329.68022206140915</v>
          </cell>
          <cell r="AV124">
            <v>0.20697404750825524</v>
          </cell>
          <cell r="AW124">
            <v>169.71871895676929</v>
          </cell>
          <cell r="AX124">
            <v>329.68022206140915</v>
          </cell>
          <cell r="AY124">
            <v>2143.029778331178</v>
          </cell>
          <cell r="AZ124">
            <v>2143.0297783311785</v>
          </cell>
          <cell r="BA124">
            <v>4.5474735088646412E-13</v>
          </cell>
          <cell r="BB124">
            <v>1102.8703660642202</v>
          </cell>
          <cell r="BC124">
            <v>1095.0464890135734</v>
          </cell>
          <cell r="BD124">
            <v>86.722960731892755</v>
          </cell>
          <cell r="BE124">
            <v>168.4601741496524</v>
          </cell>
          <cell r="BF124">
            <v>28.352981749999998</v>
          </cell>
          <cell r="BG124">
            <v>82.633714744301557</v>
          </cell>
          <cell r="BH124">
            <v>128.58301696143687</v>
          </cell>
          <cell r="BI124"/>
          <cell r="BJ124">
            <v>71.903803842618828</v>
          </cell>
          <cell r="BK124">
            <v>20.223504237792692</v>
          </cell>
          <cell r="BL124">
            <v>283.12053554835722</v>
          </cell>
          <cell r="BM124">
            <v>303.34403978614989</v>
          </cell>
          <cell r="BN124">
            <v>1043.4117843905585</v>
          </cell>
          <cell r="BO124">
            <v>1623.6113260212153</v>
          </cell>
          <cell r="BP124">
            <v>0</v>
          </cell>
          <cell r="BQ124">
            <v>907.9257359305559</v>
          </cell>
          <cell r="BR124">
            <v>255.36117683539646</v>
          </cell>
          <cell r="BS124">
            <v>3574.9488463423295</v>
          </cell>
          <cell r="BT124">
            <v>3830.3100231777262</v>
          </cell>
          <cell r="BU124">
            <v>198.26117606997258</v>
          </cell>
          <cell r="BV124">
            <v>103.12520911792147</v>
          </cell>
          <cell r="BW124">
            <v>48.689970952947697</v>
          </cell>
          <cell r="BX124">
            <v>46.445995999103431</v>
          </cell>
          <cell r="BZ124">
            <v>44.484197322535266</v>
          </cell>
          <cell r="CA124">
            <v>0.22437170102751433</v>
          </cell>
          <cell r="CB124">
            <v>0</v>
          </cell>
          <cell r="CC124" t="str">
            <v>—</v>
          </cell>
          <cell r="CD124" t="e">
            <v>#VALUE!</v>
          </cell>
          <cell r="CE124">
            <v>2503.4339571767405</v>
          </cell>
          <cell r="CF124">
            <v>551.4351830321101</v>
          </cell>
          <cell r="CG124">
            <v>98.715039999999988</v>
          </cell>
          <cell r="CH124">
            <v>7.8178055666649495</v>
          </cell>
          <cell r="CI124">
            <v>15.186161497645582</v>
          </cell>
          <cell r="CJ124">
            <v>233.35935033333334</v>
          </cell>
          <cell r="CK124">
            <v>18.481054437796406</v>
          </cell>
          <cell r="CL124">
            <v>35.899623615080877</v>
          </cell>
          <cell r="CM124">
            <v>6.6875153333333328</v>
          </cell>
          <cell r="CN124">
            <v>0.52962238175753706</v>
          </cell>
          <cell r="CO124">
            <v>1.0287965022349292</v>
          </cell>
          <cell r="CP124">
            <v>53.558465999999996</v>
          </cell>
          <cell r="CQ124">
            <v>4.2415995945180738</v>
          </cell>
          <cell r="CR124">
            <v>8.2393474615637086</v>
          </cell>
          <cell r="CS124">
            <v>0.53</v>
          </cell>
          <cell r="CT124">
            <v>0.14929218853325624</v>
          </cell>
          <cell r="CU124">
            <v>0.40491084545357359</v>
          </cell>
          <cell r="CV124">
            <v>1.4929218853325623</v>
          </cell>
          <cell r="CW124">
            <v>1687.2802448465477</v>
          </cell>
          <cell r="CX124">
            <v>133.62532082938063</v>
          </cell>
          <cell r="CY124">
            <v>259.56845370296821</v>
          </cell>
          <cell r="CZ124">
            <v>2667.0231104117738</v>
          </cell>
        </row>
        <row r="125">
          <cell r="B125" t="str">
            <v>SDN</v>
          </cell>
          <cell r="C125" t="str">
            <v>LIC</v>
          </cell>
          <cell r="D125" t="str">
            <v>OLIC</v>
          </cell>
          <cell r="E125" t="str">
            <v>OLIC_LDC</v>
          </cell>
          <cell r="F125" t="b">
            <v>1</v>
          </cell>
          <cell r="G125" t="b">
            <v>1</v>
          </cell>
          <cell r="H125" t="e">
            <v>#REF!</v>
          </cell>
          <cell r="I125" t="str">
            <v/>
          </cell>
          <cell r="J125" t="str">
            <v/>
          </cell>
          <cell r="K125" t="str">
            <v/>
          </cell>
          <cell r="M125" t="b">
            <v>1</v>
          </cell>
          <cell r="N125" t="b">
            <v>1</v>
          </cell>
          <cell r="O125" t="b">
            <v>1</v>
          </cell>
          <cell r="P125" t="b">
            <v>1</v>
          </cell>
          <cell r="Q125" t="str">
            <v/>
          </cell>
          <cell r="R125" t="str">
            <v>YES</v>
          </cell>
          <cell r="S125" t="str">
            <v>YES</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b">
            <v>1</v>
          </cell>
          <cell r="AI125" t="b">
            <v>1</v>
          </cell>
          <cell r="AK125">
            <v>42.813237999999998</v>
          </cell>
          <cell r="AL125">
            <v>55.253529999999998</v>
          </cell>
          <cell r="AM125">
            <v>590</v>
          </cell>
          <cell r="AN125">
            <v>0.12109529999999999</v>
          </cell>
          <cell r="AO125">
            <v>0.10099999999999999</v>
          </cell>
          <cell r="AP125">
            <v>5.1844818995813995</v>
          </cell>
          <cell r="AQ125">
            <v>4.3241370379999999</v>
          </cell>
          <cell r="AR125">
            <v>5580.6065299999991</v>
          </cell>
          <cell r="AS125">
            <v>7.8E-2</v>
          </cell>
          <cell r="AT125">
            <v>46.02</v>
          </cell>
          <cell r="AU125">
            <v>380.03126463207082</v>
          </cell>
          <cell r="AV125">
            <v>8.9723202170963356E-2</v>
          </cell>
          <cell r="AW125">
            <v>52.936689280868379</v>
          </cell>
          <cell r="AX125">
            <v>437.14899984448931</v>
          </cell>
          <cell r="AY125">
            <v>1970.2652127600002</v>
          </cell>
          <cell r="AZ125">
            <v>2266.3910771138667</v>
          </cell>
          <cell r="BA125">
            <v>296.12586435386652</v>
          </cell>
          <cell r="BB125">
            <v>542.19190703070706</v>
          </cell>
          <cell r="BC125">
            <v>446.86454011697805</v>
          </cell>
          <cell r="BD125">
            <v>10.437531964225132</v>
          </cell>
          <cell r="BE125">
            <v>86.19270908305387</v>
          </cell>
          <cell r="BF125">
            <v>276.13426425</v>
          </cell>
          <cell r="BG125">
            <v>86.036022029689519</v>
          </cell>
          <cell r="BH125">
            <v>111.44696836644587</v>
          </cell>
          <cell r="BI125"/>
          <cell r="BJ125">
            <v>37.288635635237917</v>
          </cell>
          <cell r="BK125">
            <v>45.38202310372035</v>
          </cell>
          <cell r="BL125">
            <v>234.7716260313733</v>
          </cell>
          <cell r="BM125">
            <v>280.15364913509364</v>
          </cell>
          <cell r="BN125">
            <v>3683.4806877303404</v>
          </cell>
          <cell r="BO125">
            <v>4771.4055810511181</v>
          </cell>
          <cell r="BP125">
            <v>0</v>
          </cell>
          <cell r="BQ125">
            <v>1596.4472321467219</v>
          </cell>
          <cell r="BR125">
            <v>1942.9513560610781</v>
          </cell>
          <cell r="BS125">
            <v>10051.33350092818</v>
          </cell>
          <cell r="BT125">
            <v>11994.284856989258</v>
          </cell>
          <cell r="BU125">
            <v>208.30328139093911</v>
          </cell>
          <cell r="BV125">
            <v>103.50646497431562</v>
          </cell>
          <cell r="BW125">
            <v>75.448684173515844</v>
          </cell>
          <cell r="BX125">
            <v>29.34813224310766</v>
          </cell>
          <cell r="BZ125">
            <v>8.4436361058112208</v>
          </cell>
          <cell r="CA125">
            <v>4.0535300497568191E-2</v>
          </cell>
          <cell r="CB125">
            <v>0</v>
          </cell>
          <cell r="CC125">
            <v>15725537</v>
          </cell>
          <cell r="CD125">
            <v>3.0331935388316613</v>
          </cell>
          <cell r="CE125">
            <v>8918.1379623712473</v>
          </cell>
          <cell r="CF125">
            <v>223.43227005848902</v>
          </cell>
          <cell r="CG125">
            <v>25.716729666666666</v>
          </cell>
          <cell r="CH125">
            <v>0.60067238237543885</v>
          </cell>
          <cell r="CI125">
            <v>4.9603277945175321</v>
          </cell>
          <cell r="CJ125">
            <v>146.47815766666665</v>
          </cell>
          <cell r="CK125">
            <v>3.4213286476175115</v>
          </cell>
          <cell r="CL125">
            <v>28.25319106206031</v>
          </cell>
          <cell r="CM125">
            <v>0.95526733333333325</v>
          </cell>
          <cell r="CN125">
            <v>2.2312429004630138E-2</v>
          </cell>
          <cell r="CO125">
            <v>0.18425511976625136</v>
          </cell>
          <cell r="CP125">
            <v>199.392878</v>
          </cell>
          <cell r="CQ125">
            <v>4.6572716130464133</v>
          </cell>
          <cell r="CR125">
            <v>38.45955716734187</v>
          </cell>
          <cell r="CS125">
            <v>0.57999999999999996</v>
          </cell>
          <cell r="CT125">
            <v>0.14806350316226957</v>
          </cell>
          <cell r="CU125">
            <v>0.40762462301963709</v>
          </cell>
          <cell r="CV125">
            <v>1.4806350316226957</v>
          </cell>
          <cell r="CW125">
            <v>9727.8937798753905</v>
          </cell>
          <cell r="CX125">
            <v>227.21695985422525</v>
          </cell>
          <cell r="CY125">
            <v>1876.348296376699</v>
          </cell>
          <cell r="CZ125">
            <v>8454.8862687814581</v>
          </cell>
        </row>
        <row r="126">
          <cell r="B126" t="str">
            <v>SEN</v>
          </cell>
          <cell r="C126" t="str">
            <v>LMIC</v>
          </cell>
          <cell r="D126" t="str">
            <v>LLMIC</v>
          </cell>
          <cell r="E126" t="str">
            <v>LMIC_LDC</v>
          </cell>
          <cell r="F126" t="b">
            <v>1</v>
          </cell>
          <cell r="G126" t="str">
            <v/>
          </cell>
          <cell r="H126" t="e">
            <v>#REF!</v>
          </cell>
          <cell r="I126" t="str">
            <v/>
          </cell>
          <cell r="J126" t="str">
            <v/>
          </cell>
          <cell r="K126" t="b">
            <v>1</v>
          </cell>
          <cell r="M126" t="str">
            <v/>
          </cell>
          <cell r="P126" t="b">
            <v>1</v>
          </cell>
          <cell r="Q126" t="b">
            <v>1</v>
          </cell>
          <cell r="R126" t="str">
            <v>YES</v>
          </cell>
          <cell r="S126" t="str">
            <v>YES</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K126">
            <v>16.296364000000001</v>
          </cell>
          <cell r="AL126">
            <v>21.551459999999999</v>
          </cell>
          <cell r="AM126">
            <v>1450</v>
          </cell>
          <cell r="AN126">
            <v>0.28112510000000002</v>
          </cell>
          <cell r="AO126">
            <v>0.2155</v>
          </cell>
          <cell r="AP126">
            <v>4.5813169591364007</v>
          </cell>
          <cell r="AQ126">
            <v>3.5118664420000001</v>
          </cell>
          <cell r="AR126">
            <v>4644.3396300000004</v>
          </cell>
          <cell r="AS126">
            <v>0.186</v>
          </cell>
          <cell r="AT126">
            <v>269.7</v>
          </cell>
          <cell r="AU126">
            <v>959.35937417185437</v>
          </cell>
          <cell r="AV126">
            <v>0.186</v>
          </cell>
          <cell r="AW126">
            <v>269.7</v>
          </cell>
          <cell r="AX126">
            <v>959.35937417185437</v>
          </cell>
          <cell r="AY126">
            <v>4395.1293708000003</v>
          </cell>
          <cell r="AZ126">
            <v>4395.1293708000003</v>
          </cell>
          <cell r="BA126">
            <v>0</v>
          </cell>
          <cell r="BB126">
            <v>844.27670330938179</v>
          </cell>
          <cell r="BC126">
            <v>832.77937642420773</v>
          </cell>
          <cell r="BD126">
            <v>51.102158519790528</v>
          </cell>
          <cell r="BE126">
            <v>181.77728890017477</v>
          </cell>
          <cell r="BF126">
            <v>14.4094605</v>
          </cell>
          <cell r="BG126">
            <v>113.28842511794937</v>
          </cell>
          <cell r="BH126">
            <v>84.171963093528248</v>
          </cell>
          <cell r="BI126"/>
          <cell r="BJ126">
            <v>54.641415911909078</v>
          </cell>
          <cell r="BK126">
            <v>26.355944357007555</v>
          </cell>
          <cell r="BL126">
            <v>252.10180412338667</v>
          </cell>
          <cell r="BM126">
            <v>278.45774848039423</v>
          </cell>
          <cell r="BN126">
            <v>1846.189412708846</v>
          </cell>
          <cell r="BO126">
            <v>1371.6969491667023</v>
          </cell>
          <cell r="BP126">
            <v>0</v>
          </cell>
          <cell r="BQ126">
            <v>890.45640317586231</v>
          </cell>
          <cell r="BR126">
            <v>429.50606280554109</v>
          </cell>
          <cell r="BS126">
            <v>4108.3427650514113</v>
          </cell>
          <cell r="BT126">
            <v>4537.8488278569521</v>
          </cell>
          <cell r="BU126">
            <v>117.25180412338668</v>
          </cell>
          <cell r="BV126">
            <v>43.71696309352825</v>
          </cell>
          <cell r="BW126">
            <v>59.348425117949375</v>
          </cell>
          <cell r="BX126">
            <v>14.18641591190908</v>
          </cell>
          <cell r="BZ126">
            <v>25.993185870302348</v>
          </cell>
          <cell r="CA126">
            <v>0.22168687351666796</v>
          </cell>
          <cell r="CB126">
            <v>0</v>
          </cell>
          <cell r="CC126">
            <v>792985</v>
          </cell>
          <cell r="CD126">
            <v>0.17309105811126443</v>
          </cell>
          <cell r="CE126">
            <v>1910.7780796514103</v>
          </cell>
          <cell r="CF126">
            <v>422.13835165469089</v>
          </cell>
          <cell r="CG126">
            <v>142.7899166666667</v>
          </cell>
          <cell r="CH126">
            <v>8.762072120300374</v>
          </cell>
          <cell r="CI126">
            <v>31.167875512717909</v>
          </cell>
          <cell r="CJ126">
            <v>170.83416899999997</v>
          </cell>
          <cell r="CK126">
            <v>10.482962273056737</v>
          </cell>
          <cell r="CL126">
            <v>37.289314518898301</v>
          </cell>
          <cell r="CM126">
            <v>2.5834250000000001</v>
          </cell>
          <cell r="CN126">
            <v>0.15852769366221814</v>
          </cell>
          <cell r="CO126">
            <v>0.56390444560879882</v>
          </cell>
          <cell r="CP126">
            <v>45.044935666666667</v>
          </cell>
          <cell r="CQ126">
            <v>2.764109568653883</v>
          </cell>
          <cell r="CR126">
            <v>9.8323115533044998</v>
          </cell>
          <cell r="CS126">
            <v>0.56999999999999995</v>
          </cell>
          <cell r="CT126">
            <v>0.16048616734383203</v>
          </cell>
          <cell r="CU126">
            <v>0.43761295464436112</v>
          </cell>
          <cell r="CV126">
            <v>1.6048616734383203</v>
          </cell>
          <cell r="CW126">
            <v>832.77937642420773</v>
          </cell>
          <cell r="CX126">
            <v>51.102158519790528</v>
          </cell>
          <cell r="CY126">
            <v>181.77728890017477</v>
          </cell>
          <cell r="CZ126">
            <v>3217.8863618755481</v>
          </cell>
        </row>
        <row r="127">
          <cell r="B127" t="str">
            <v>SGP</v>
          </cell>
          <cell r="C127" t="str">
            <v>HIC</v>
          </cell>
          <cell r="D127" t="str">
            <v>HIC</v>
          </cell>
          <cell r="E127" t="str">
            <v/>
          </cell>
          <cell r="F127" t="str">
            <v xml:space="preserve"> </v>
          </cell>
          <cell r="G127" t="str">
            <v/>
          </cell>
          <cell r="H127" t="e">
            <v>#REF!</v>
          </cell>
          <cell r="I127" t="str">
            <v/>
          </cell>
          <cell r="J127" t="str">
            <v/>
          </cell>
          <cell r="K127" t="str">
            <v/>
          </cell>
          <cell r="M127" t="str">
            <v/>
          </cell>
          <cell r="N127" t="b">
            <v>1</v>
          </cell>
          <cell r="P127" t="str">
            <v/>
          </cell>
          <cell r="Q127" t="str">
            <v/>
          </cell>
          <cell r="R127" t="str">
            <v/>
          </cell>
          <cell r="S127" t="str">
            <v/>
          </cell>
          <cell r="T127" t="str">
            <v/>
          </cell>
          <cell r="U127" t="str">
            <v/>
          </cell>
          <cell r="V127" t="str">
            <v/>
          </cell>
          <cell r="W127" t="str">
            <v/>
          </cell>
          <cell r="X127" t="str">
            <v>YES</v>
          </cell>
          <cell r="Y127" t="str">
            <v/>
          </cell>
          <cell r="Z127" t="str">
            <v>YES</v>
          </cell>
          <cell r="AA127" t="str">
            <v/>
          </cell>
          <cell r="AB127" t="str">
            <v/>
          </cell>
          <cell r="AC127" t="str">
            <v/>
          </cell>
          <cell r="AD127" t="str">
            <v/>
          </cell>
          <cell r="AE127" t="str">
            <v>YES</v>
          </cell>
          <cell r="AF127" t="str">
            <v>YES</v>
          </cell>
          <cell r="AG127" t="str">
            <v/>
          </cell>
          <cell r="AK127">
            <v>5.7035689999999999</v>
          </cell>
          <cell r="AL127">
            <v>6.2624649999999997</v>
          </cell>
          <cell r="AM127">
            <v>59590</v>
          </cell>
          <cell r="AN127">
            <v>9.0000000000000011E-3</v>
          </cell>
          <cell r="AO127">
            <v>9.0000000000000011E-3</v>
          </cell>
          <cell r="AP127">
            <v>5.1332121000000008E-2</v>
          </cell>
          <cell r="AQ127">
            <v>5.1332121000000008E-2</v>
          </cell>
          <cell r="AR127">
            <v>56.362185000000011</v>
          </cell>
          <cell r="AS127">
            <v>0.17760475217431537</v>
          </cell>
          <cell r="AT127">
            <v>10583.467182067454</v>
          </cell>
          <cell r="AU127">
            <v>1175940.7980074948</v>
          </cell>
          <cell r="AV127">
            <v>0.17760475217431537</v>
          </cell>
          <cell r="AW127">
            <v>10583.467182067454</v>
          </cell>
          <cell r="AX127">
            <v>1175940.7980074948</v>
          </cell>
          <cell r="AY127">
            <v>60363.535332157284</v>
          </cell>
          <cell r="AZ127">
            <v>60363.535332157277</v>
          </cell>
          <cell r="BA127">
            <v>-7.2759576141834259E-12</v>
          </cell>
          <cell r="BB127">
            <v>0</v>
          </cell>
          <cell r="BC127">
            <v>0</v>
          </cell>
          <cell r="BD127">
            <v>0</v>
          </cell>
          <cell r="BE127">
            <v>0</v>
          </cell>
          <cell r="BF127">
            <v>0</v>
          </cell>
          <cell r="BG127">
            <v>2383.6</v>
          </cell>
          <cell r="BH127">
            <v>1547.6937976884578</v>
          </cell>
          <cell r="BI127"/>
          <cell r="BJ127">
            <v>0</v>
          </cell>
          <cell r="BK127">
            <v>0.96233498410288765</v>
          </cell>
          <cell r="BL127">
            <v>3931.2937976884577</v>
          </cell>
          <cell r="BM127">
            <v>3932.2561326725609</v>
          </cell>
          <cell r="BN127">
            <v>13595.027068399999</v>
          </cell>
          <cell r="BO127">
            <v>8827.3783659881592</v>
          </cell>
          <cell r="BP127">
            <v>0</v>
          </cell>
          <cell r="BQ127">
            <v>0</v>
          </cell>
          <cell r="BR127">
            <v>5.4887439829447224</v>
          </cell>
          <cell r="BS127">
            <v>22422.405434388158</v>
          </cell>
          <cell r="BT127">
            <v>22427.894178371102</v>
          </cell>
          <cell r="BU127">
            <v>-1360.4397933452692</v>
          </cell>
          <cell r="BV127">
            <v>-39.826279621660206</v>
          </cell>
          <cell r="BW127">
            <v>266.90656358650904</v>
          </cell>
          <cell r="BX127">
            <v>-1587.520077310118</v>
          </cell>
          <cell r="BZ127">
            <v>0</v>
          </cell>
          <cell r="CA127">
            <v>0</v>
          </cell>
          <cell r="CB127">
            <v>0</v>
          </cell>
          <cell r="CC127" t="e">
            <v>#N/A</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t="str">
            <v/>
          </cell>
          <cell r="CT127">
            <v>4.5265692411190259E-2</v>
          </cell>
          <cell r="CU127">
            <v>0.12617748641245508</v>
          </cell>
          <cell r="CV127">
            <v>0.45265692411190261</v>
          </cell>
          <cell r="CW127" t="e">
            <v>#N/A</v>
          </cell>
          <cell r="CX127" t="e">
            <v>#N/A</v>
          </cell>
          <cell r="CY127" t="e">
            <v>#N/A</v>
          </cell>
          <cell r="CZ127">
            <v>22422.405434388158</v>
          </cell>
        </row>
        <row r="128">
          <cell r="B128" t="str">
            <v>SHN</v>
          </cell>
          <cell r="D128" t="str">
            <v>HIC</v>
          </cell>
          <cell r="F128" t="str">
            <v xml:space="preserve"> </v>
          </cell>
          <cell r="G128" t="str">
            <v/>
          </cell>
          <cell r="H128" t="e">
            <v>#REF!</v>
          </cell>
          <cell r="I128" t="str">
            <v/>
          </cell>
          <cell r="J128" t="str">
            <v/>
          </cell>
          <cell r="K128" t="str">
            <v/>
          </cell>
          <cell r="M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K128">
            <v>4.0000000000000001E-3</v>
          </cell>
          <cell r="AL128" t="e">
            <v>#VALUE!</v>
          </cell>
          <cell r="AM128" t="b">
            <v>0</v>
          </cell>
          <cell r="AN128" t="e">
            <v>#VALUE!</v>
          </cell>
          <cell r="AO128" t="e">
            <v>#VALUE!</v>
          </cell>
          <cell r="AP128" t="e">
            <v>#VALUE!</v>
          </cell>
          <cell r="AQ128" t="e">
            <v>#VALUE!</v>
          </cell>
          <cell r="AR128" t="e">
            <v>#VALUE!</v>
          </cell>
          <cell r="AS128" t="e">
            <v>#N/A</v>
          </cell>
          <cell r="AT128" t="e">
            <v>#N/A</v>
          </cell>
          <cell r="AU128" t="e">
            <v>#N/A</v>
          </cell>
          <cell r="AV128" t="e">
            <v>#N/A</v>
          </cell>
          <cell r="AW128" t="e">
            <v>#N/A</v>
          </cell>
          <cell r="AX128" t="e">
            <v>#N/A</v>
          </cell>
          <cell r="AY128" t="e">
            <v>#N/A</v>
          </cell>
          <cell r="AZ128" t="e">
            <v>#N/A</v>
          </cell>
          <cell r="BA128" t="e">
            <v>#N/A</v>
          </cell>
          <cell r="BB128">
            <v>83.605255168629967</v>
          </cell>
          <cell r="BC128">
            <v>77.765480861595861</v>
          </cell>
          <cell r="BD128">
            <v>19441.370215398965</v>
          </cell>
          <cell r="BE128" t="e">
            <v>#VALUE!</v>
          </cell>
          <cell r="BF128">
            <v>0</v>
          </cell>
          <cell r="BG128" t="str">
            <v/>
          </cell>
          <cell r="BH128" t="str">
            <v/>
          </cell>
          <cell r="BI128"/>
          <cell r="BJ128" t="str">
            <v/>
          </cell>
          <cell r="BK128" t="str">
            <v/>
          </cell>
          <cell r="BL128" t="str">
            <v/>
          </cell>
          <cell r="BM128" t="str">
            <v/>
          </cell>
          <cell r="BN128" t="str">
            <v/>
          </cell>
          <cell r="BO128" t="str">
            <v/>
          </cell>
          <cell r="BP128">
            <v>0</v>
          </cell>
          <cell r="BQ128" t="str">
            <v/>
          </cell>
          <cell r="BR128" t="str">
            <v/>
          </cell>
          <cell r="BS128" t="str">
            <v/>
          </cell>
          <cell r="BT128" t="str">
            <v/>
          </cell>
          <cell r="BU128" t="str">
            <v/>
          </cell>
          <cell r="BV128" t="str">
            <v/>
          </cell>
          <cell r="BW128" t="str">
            <v/>
          </cell>
          <cell r="BX128" t="str">
            <v/>
          </cell>
          <cell r="BZ128" t="str">
            <v/>
          </cell>
          <cell r="CA128" t="str">
            <v/>
          </cell>
          <cell r="CB128">
            <v>0</v>
          </cell>
          <cell r="CC128" t="e">
            <v>#N/A</v>
          </cell>
          <cell r="CD128" t="e">
            <v>#N/A</v>
          </cell>
          <cell r="CE128" t="e">
            <v>#VALUE!</v>
          </cell>
          <cell r="CF128">
            <v>38.882740430797931</v>
          </cell>
          <cell r="CG128">
            <v>4.4716810000000002</v>
          </cell>
          <cell r="CH128">
            <v>1117.9202500000001</v>
          </cell>
          <cell r="CI128" t="e">
            <v>#VALUE!</v>
          </cell>
          <cell r="CJ128">
            <v>19.922912666666665</v>
          </cell>
          <cell r="CK128">
            <v>4980.7281666666659</v>
          </cell>
          <cell r="CL128" t="e">
            <v>#VALUE!</v>
          </cell>
          <cell r="CM128">
            <v>0.12392566666666666</v>
          </cell>
          <cell r="CN128">
            <v>30.981416666666664</v>
          </cell>
          <cell r="CO128" t="e">
            <v>#VALUE!</v>
          </cell>
          <cell r="CP128">
            <v>6.7519750000000007</v>
          </cell>
          <cell r="CQ128">
            <v>1687.9937500000001</v>
          </cell>
          <cell r="CR128" t="e">
            <v>#VALUE!</v>
          </cell>
          <cell r="CS128" t="str">
            <v/>
          </cell>
          <cell r="CT128" t="e">
            <v>#N/A</v>
          </cell>
          <cell r="CU128" t="str">
            <v/>
          </cell>
          <cell r="CV128" t="e">
            <v>#N/A</v>
          </cell>
          <cell r="CW128">
            <v>0</v>
          </cell>
          <cell r="CX128">
            <v>0</v>
          </cell>
          <cell r="CY128" t="e">
            <v>#VALUE!</v>
          </cell>
          <cell r="CZ128" t="e">
            <v>#VALUE!</v>
          </cell>
        </row>
        <row r="129">
          <cell r="B129" t="str">
            <v>SLB</v>
          </cell>
          <cell r="C129" t="str">
            <v>LMIC</v>
          </cell>
          <cell r="D129" t="str">
            <v>LLMIC</v>
          </cell>
          <cell r="E129" t="str">
            <v>LMIC_LDC</v>
          </cell>
          <cell r="F129" t="b">
            <v>1</v>
          </cell>
          <cell r="G129" t="b">
            <v>1</v>
          </cell>
          <cell r="H129" t="e">
            <v>#REF!</v>
          </cell>
          <cell r="I129" t="str">
            <v/>
          </cell>
          <cell r="J129" t="str">
            <v/>
          </cell>
          <cell r="K129" t="b">
            <v>1</v>
          </cell>
          <cell r="M129" t="b">
            <v>1</v>
          </cell>
          <cell r="N129" t="b">
            <v>1</v>
          </cell>
          <cell r="O129" t="b">
            <v>1</v>
          </cell>
          <cell r="P129" t="str">
            <v/>
          </cell>
          <cell r="Q129" t="b">
            <v>1</v>
          </cell>
          <cell r="R129" t="str">
            <v>YES</v>
          </cell>
          <cell r="S129" t="str">
            <v/>
          </cell>
          <cell r="T129" t="str">
            <v>YES</v>
          </cell>
          <cell r="U129" t="str">
            <v/>
          </cell>
          <cell r="V129" t="str">
            <v>YES</v>
          </cell>
          <cell r="W129" t="str">
            <v/>
          </cell>
          <cell r="X129" t="str">
            <v>YES</v>
          </cell>
          <cell r="Y129" t="str">
            <v/>
          </cell>
          <cell r="Z129" t="str">
            <v>YES</v>
          </cell>
          <cell r="AA129" t="str">
            <v/>
          </cell>
          <cell r="AB129" t="str">
            <v/>
          </cell>
          <cell r="AC129" t="str">
            <v/>
          </cell>
          <cell r="AD129" t="str">
            <v>YES</v>
          </cell>
          <cell r="AE129" t="str">
            <v>YES</v>
          </cell>
          <cell r="AF129" t="str">
            <v/>
          </cell>
          <cell r="AG129" t="b">
            <v>1</v>
          </cell>
          <cell r="AK129">
            <v>0.66982299999999995</v>
          </cell>
          <cell r="AL129">
            <v>0.8646029999999999</v>
          </cell>
          <cell r="AM129">
            <v>2050</v>
          </cell>
          <cell r="AN129">
            <v>0.24331559999999999</v>
          </cell>
          <cell r="AO129">
            <v>0.25124999999999997</v>
          </cell>
          <cell r="AP129">
            <v>0.16297838513879997</v>
          </cell>
          <cell r="AQ129">
            <v>0.16829302874999996</v>
          </cell>
          <cell r="AR129">
            <v>217.23150374999997</v>
          </cell>
          <cell r="AS129">
            <v>0.34040848633995829</v>
          </cell>
          <cell r="AT129">
            <v>697.83739699691455</v>
          </cell>
          <cell r="AU129">
            <v>2868.0339320492176</v>
          </cell>
          <cell r="AV129">
            <v>0.40502232061693122</v>
          </cell>
          <cell r="AW129">
            <v>830.29575726470898</v>
          </cell>
          <cell r="AX129">
            <v>3412.4230310950429</v>
          </cell>
          <cell r="AY129">
            <v>467.42753876866425</v>
          </cell>
          <cell r="AZ129">
            <v>556.15119501831919</v>
          </cell>
          <cell r="BA129">
            <v>88.723656249654937</v>
          </cell>
          <cell r="BB129">
            <v>193.240968857757</v>
          </cell>
          <cell r="BC129">
            <v>190.36816281595767</v>
          </cell>
          <cell r="BD129">
            <v>284.20666775544834</v>
          </cell>
          <cell r="BE129">
            <v>1168.0577314214474</v>
          </cell>
          <cell r="BF129">
            <v>2.8419835</v>
          </cell>
          <cell r="BG129">
            <v>205.68687518705497</v>
          </cell>
          <cell r="BH129">
            <v>144.8463820185481</v>
          </cell>
          <cell r="BI129"/>
          <cell r="BJ129">
            <v>36.647266801058947</v>
          </cell>
          <cell r="BK129">
            <v>6.3683761759990656</v>
          </cell>
          <cell r="BL129">
            <v>387.18052400666198</v>
          </cell>
          <cell r="BM129">
            <v>393.54890018266104</v>
          </cell>
          <cell r="BN129">
            <v>137.77379979841871</v>
          </cell>
          <cell r="BO129">
            <v>97.021438142809941</v>
          </cell>
          <cell r="BP129">
            <v>0</v>
          </cell>
          <cell r="BQ129">
            <v>24.547182190485707</v>
          </cell>
          <cell r="BR129">
            <v>4.2656848353362218</v>
          </cell>
          <cell r="BS129">
            <v>259.34242013171439</v>
          </cell>
          <cell r="BT129">
            <v>263.60810496705062</v>
          </cell>
          <cell r="BU129">
            <v>-27.967354625692508</v>
          </cell>
          <cell r="BV129">
            <v>20.302018428841762</v>
          </cell>
          <cell r="BW129">
            <v>39.627723734113147</v>
          </cell>
          <cell r="BX129">
            <v>-87.897096788647389</v>
          </cell>
          <cell r="BZ129">
            <v>144.22477752776308</v>
          </cell>
          <cell r="CA129">
            <v>-5.1568973704531018</v>
          </cell>
          <cell r="CB129">
            <v>0</v>
          </cell>
          <cell r="CC129" t="str">
            <v>—</v>
          </cell>
          <cell r="CD129" t="e">
            <v>#VALUE!</v>
          </cell>
          <cell r="CE129">
            <v>0</v>
          </cell>
          <cell r="CF129">
            <v>0</v>
          </cell>
          <cell r="CG129">
            <v>21.197436666666665</v>
          </cell>
          <cell r="CH129">
            <v>31.646325472052567</v>
          </cell>
          <cell r="CI129">
            <v>130.06287090532859</v>
          </cell>
          <cell r="CJ129">
            <v>24.534180999999997</v>
          </cell>
          <cell r="CK129">
            <v>36.627856911452724</v>
          </cell>
          <cell r="CL129">
            <v>150.5364099607782</v>
          </cell>
          <cell r="CM129">
            <v>31.686215999999998</v>
          </cell>
          <cell r="CN129">
            <v>47.305356788285863</v>
          </cell>
          <cell r="CO129">
            <v>194.41974451406267</v>
          </cell>
          <cell r="CP129">
            <v>2.528543</v>
          </cell>
          <cell r="CQ129">
            <v>3.7749420369261735</v>
          </cell>
          <cell r="CR129">
            <v>15.514591078114899</v>
          </cell>
          <cell r="CS129" t="str">
            <v/>
          </cell>
          <cell r="CT129">
            <v>0.15400486397152682</v>
          </cell>
          <cell r="CU129">
            <v>0.41049799723210467</v>
          </cell>
          <cell r="CV129">
            <v>1.5400486397152682</v>
          </cell>
          <cell r="CW129">
            <v>0</v>
          </cell>
          <cell r="CX129">
            <v>0</v>
          </cell>
          <cell r="CY129">
            <v>0</v>
          </cell>
          <cell r="CZ129">
            <v>234.79523794122863</v>
          </cell>
        </row>
        <row r="130">
          <cell r="B130" t="str">
            <v>SLE</v>
          </cell>
          <cell r="C130" t="str">
            <v>LIC</v>
          </cell>
          <cell r="D130" t="str">
            <v>VLIC</v>
          </cell>
          <cell r="E130" t="str">
            <v/>
          </cell>
          <cell r="F130" t="b">
            <v>1</v>
          </cell>
          <cell r="G130" t="str">
            <v/>
          </cell>
          <cell r="H130" t="e">
            <v>#REF!</v>
          </cell>
          <cell r="I130" t="str">
            <v/>
          </cell>
          <cell r="J130" t="str">
            <v/>
          </cell>
          <cell r="K130" t="str">
            <v/>
          </cell>
          <cell r="M130" t="b">
            <v>1</v>
          </cell>
          <cell r="P130" t="b">
            <v>1</v>
          </cell>
          <cell r="Q130" t="b">
            <v>1</v>
          </cell>
          <cell r="R130" t="str">
            <v>YES</v>
          </cell>
          <cell r="S130" t="str">
            <v>YES</v>
          </cell>
          <cell r="T130" t="str">
            <v/>
          </cell>
          <cell r="U130" t="str">
            <v/>
          </cell>
          <cell r="V130" t="str">
            <v/>
          </cell>
          <cell r="W130" t="str">
            <v/>
          </cell>
          <cell r="X130" t="str">
            <v>YES</v>
          </cell>
          <cell r="Y130" t="str">
            <v>YES</v>
          </cell>
          <cell r="Z130" t="str">
            <v/>
          </cell>
          <cell r="AA130" t="str">
            <v/>
          </cell>
          <cell r="AB130" t="str">
            <v/>
          </cell>
          <cell r="AC130" t="str">
            <v>YES</v>
          </cell>
          <cell r="AD130" t="str">
            <v>YES</v>
          </cell>
          <cell r="AE130" t="str">
            <v/>
          </cell>
          <cell r="AF130" t="str">
            <v/>
          </cell>
          <cell r="AG130" t="str">
            <v/>
          </cell>
          <cell r="AK130">
            <v>7.8132149999999996</v>
          </cell>
          <cell r="AL130">
            <v>9.6486789999999996</v>
          </cell>
          <cell r="AM130">
            <v>500</v>
          </cell>
          <cell r="AN130">
            <v>0.40062779999999998</v>
          </cell>
          <cell r="AO130">
            <v>0.30399999999999999</v>
          </cell>
          <cell r="AP130">
            <v>3.1301911363769999</v>
          </cell>
          <cell r="AQ130">
            <v>2.3752173599999997</v>
          </cell>
          <cell r="AR130">
            <v>2933.1984159999997</v>
          </cell>
          <cell r="AS130">
            <v>0.13669067101755941</v>
          </cell>
          <cell r="AT130">
            <v>71.830362611153774</v>
          </cell>
          <cell r="AU130">
            <v>179.29450380416381</v>
          </cell>
          <cell r="AV130">
            <v>0.13913484218353733</v>
          </cell>
          <cell r="AW130">
            <v>73.114764098314268</v>
          </cell>
          <cell r="AX130">
            <v>182.50047574909746</v>
          </cell>
          <cell r="AY130">
            <v>561.22606660890585</v>
          </cell>
          <cell r="AZ130">
            <v>571.26137157441042</v>
          </cell>
          <cell r="BA130">
            <v>10.035304965504565</v>
          </cell>
          <cell r="BB130">
            <v>537.88891662944604</v>
          </cell>
          <cell r="BC130">
            <v>520.67024418097299</v>
          </cell>
          <cell r="BD130">
            <v>66.63969239051697</v>
          </cell>
          <cell r="BE130">
            <v>166.33816322910437</v>
          </cell>
          <cell r="BF130">
            <v>53.556706499999997</v>
          </cell>
          <cell r="BG130">
            <v>63.045083255763245</v>
          </cell>
          <cell r="BH130">
            <v>128.30239276051685</v>
          </cell>
          <cell r="BI130"/>
          <cell r="BJ130">
            <v>79.026739294514442</v>
          </cell>
          <cell r="BK130">
            <v>31.210152004227464</v>
          </cell>
          <cell r="BL130">
            <v>270.37421531079451</v>
          </cell>
          <cell r="BM130">
            <v>301.58436731502195</v>
          </cell>
          <cell r="BN130">
            <v>492.58479017017822</v>
          </cell>
          <cell r="BO130">
            <v>1002.4541796523616</v>
          </cell>
          <cell r="BP130">
            <v>0</v>
          </cell>
          <cell r="BQ130">
            <v>617.45290485698968</v>
          </cell>
          <cell r="BR130">
            <v>243.85162779171006</v>
          </cell>
          <cell r="BS130">
            <v>2112.4918746795297</v>
          </cell>
          <cell r="BT130">
            <v>2356.3435024712398</v>
          </cell>
          <cell r="BU130">
            <v>233.81683326163738</v>
          </cell>
          <cell r="BV130">
            <v>117.33517814576972</v>
          </cell>
          <cell r="BW130">
            <v>48.422130436100389</v>
          </cell>
          <cell r="BX130">
            <v>68.059524679767307</v>
          </cell>
          <cell r="BZ130">
            <v>36.747161743339525</v>
          </cell>
          <cell r="CA130">
            <v>0.15716217361570381</v>
          </cell>
          <cell r="CB130">
            <v>0</v>
          </cell>
          <cell r="CC130" t="str">
            <v>—</v>
          </cell>
          <cell r="CD130" t="e">
            <v>#VALUE!</v>
          </cell>
          <cell r="CE130">
            <v>1826.861188892324</v>
          </cell>
          <cell r="CF130">
            <v>260.33512209048649</v>
          </cell>
          <cell r="CG130">
            <v>41.511456333333335</v>
          </cell>
          <cell r="CH130">
            <v>5.3129801667218084</v>
          </cell>
          <cell r="CI130">
            <v>13.261636278665156</v>
          </cell>
          <cell r="CJ130">
            <v>181.00525400000004</v>
          </cell>
          <cell r="CK130">
            <v>23.166552309132673</v>
          </cell>
          <cell r="CL130">
            <v>57.82562345681621</v>
          </cell>
          <cell r="CM130">
            <v>38.278213000000001</v>
          </cell>
          <cell r="CN130">
            <v>4.8991628926120683</v>
          </cell>
          <cell r="CO130">
            <v>12.228714264492051</v>
          </cell>
          <cell r="CP130">
            <v>32.358924000000002</v>
          </cell>
          <cell r="CQ130">
            <v>4.1415632361326296</v>
          </cell>
          <cell r="CR130">
            <v>10.337683096711286</v>
          </cell>
          <cell r="CS130">
            <v>0.54</v>
          </cell>
          <cell r="CT130">
            <v>0.14829375615543666</v>
          </cell>
          <cell r="CU130">
            <v>0.41189241560612377</v>
          </cell>
          <cell r="CV130">
            <v>1.4829375615543667</v>
          </cell>
          <cell r="CW130">
            <v>1785.0821308968293</v>
          </cell>
          <cell r="CX130">
            <v>228.46960321670778</v>
          </cell>
          <cell r="CY130">
            <v>570.27895522154927</v>
          </cell>
          <cell r="CZ130">
            <v>1495.0389698225399</v>
          </cell>
        </row>
        <row r="131">
          <cell r="B131" t="str">
            <v>SLV</v>
          </cell>
          <cell r="C131" t="str">
            <v>LMIC</v>
          </cell>
          <cell r="D131" t="str">
            <v>ULMIC</v>
          </cell>
          <cell r="E131" t="str">
            <v>LMIC_nonLDC</v>
          </cell>
          <cell r="F131" t="str">
            <v xml:space="preserve"> </v>
          </cell>
          <cell r="G131" t="str">
            <v/>
          </cell>
          <cell r="H131" t="e">
            <v>#REF!</v>
          </cell>
          <cell r="I131" t="str">
            <v/>
          </cell>
          <cell r="J131" t="str">
            <v/>
          </cell>
          <cell r="K131" t="b">
            <v>1</v>
          </cell>
          <cell r="M131" t="str">
            <v/>
          </cell>
          <cell r="O131" t="b">
            <v>1</v>
          </cell>
          <cell r="P131" t="str">
            <v/>
          </cell>
          <cell r="Q131" t="str">
            <v/>
          </cell>
          <cell r="R131" t="str">
            <v>YES</v>
          </cell>
          <cell r="S131" t="str">
            <v/>
          </cell>
          <cell r="T131" t="str">
            <v>YES</v>
          </cell>
          <cell r="U131" t="str">
            <v/>
          </cell>
          <cell r="V131" t="str">
            <v>YES</v>
          </cell>
          <cell r="W131" t="str">
            <v/>
          </cell>
          <cell r="X131" t="str">
            <v/>
          </cell>
          <cell r="Y131" t="str">
            <v/>
          </cell>
          <cell r="Z131" t="str">
            <v/>
          </cell>
          <cell r="AA131" t="str">
            <v/>
          </cell>
          <cell r="AB131" t="str">
            <v/>
          </cell>
          <cell r="AC131" t="str">
            <v/>
          </cell>
          <cell r="AD131" t="str">
            <v/>
          </cell>
          <cell r="AE131" t="str">
            <v/>
          </cell>
          <cell r="AF131" t="str">
            <v/>
          </cell>
          <cell r="AG131" t="b">
            <v>1</v>
          </cell>
          <cell r="AH131" t="b">
            <v>1</v>
          </cell>
          <cell r="AI131" t="b">
            <v>1</v>
          </cell>
          <cell r="AK131">
            <v>6.4535530000000003</v>
          </cell>
          <cell r="AL131">
            <v>6.7785919999999997</v>
          </cell>
          <cell r="AM131">
            <v>4000</v>
          </cell>
          <cell r="AN131">
            <v>1.4621249999999999E-2</v>
          </cell>
          <cell r="AO131">
            <v>1.0749999999999999E-2</v>
          </cell>
          <cell r="AP131">
            <v>9.4359011801250003E-2</v>
          </cell>
          <cell r="AQ131">
            <v>6.9375694749999994E-2</v>
          </cell>
          <cell r="AR131">
            <v>72.869864000000007</v>
          </cell>
          <cell r="AS131">
            <v>0.18930367557803121</v>
          </cell>
          <cell r="AT131">
            <v>817.90570117432196</v>
          </cell>
          <cell r="AU131">
            <v>55939.519615239602</v>
          </cell>
          <cell r="AV131">
            <v>0.2961294115105913</v>
          </cell>
          <cell r="AW131">
            <v>1279.4571115449469</v>
          </cell>
          <cell r="AX131">
            <v>87506.684554668507</v>
          </cell>
          <cell r="AY131">
            <v>5278.3977915306496</v>
          </cell>
          <cell r="AZ131">
            <v>8257.0442805822277</v>
          </cell>
          <cell r="BA131">
            <v>2978.6464890515781</v>
          </cell>
          <cell r="BB131">
            <v>137.32686795220766</v>
          </cell>
          <cell r="BC131">
            <v>173.37303596242566</v>
          </cell>
          <cell r="BD131">
            <v>26.864741943302494</v>
          </cell>
          <cell r="BE131">
            <v>1837.3765542140718</v>
          </cell>
          <cell r="BF131">
            <v>6.7358297500000006</v>
          </cell>
          <cell r="BG131">
            <v>167.72499692280374</v>
          </cell>
          <cell r="BH131">
            <v>239.39043974718885</v>
          </cell>
          <cell r="BI131"/>
          <cell r="BJ131">
            <v>32.589910840620689</v>
          </cell>
          <cell r="BK131">
            <v>33.107438418907336</v>
          </cell>
          <cell r="BL131">
            <v>439.70534751061331</v>
          </cell>
          <cell r="BM131">
            <v>472.81278592952066</v>
          </cell>
          <cell r="BN131">
            <v>1082.4221570661509</v>
          </cell>
          <cell r="BO131">
            <v>1544.9188906017898</v>
          </cell>
          <cell r="BP131">
            <v>0</v>
          </cell>
          <cell r="BQ131">
            <v>210.32071687522017</v>
          </cell>
          <cell r="BR131">
            <v>213.66060853065471</v>
          </cell>
          <cell r="BS131">
            <v>2837.6617645431611</v>
          </cell>
          <cell r="BT131">
            <v>3051.3223730738159</v>
          </cell>
          <cell r="BU131">
            <v>-200.02320826186013</v>
          </cell>
          <cell r="BV131">
            <v>47.471873015446818</v>
          </cell>
          <cell r="BW131">
            <v>-88.166425386185637</v>
          </cell>
          <cell r="BX131">
            <v>-159.32865589112134</v>
          </cell>
          <cell r="BZ131">
            <v>13.954240843177832</v>
          </cell>
          <cell r="CA131">
            <v>-6.9763108813401573E-2</v>
          </cell>
          <cell r="CB131">
            <v>0.54831225603000011</v>
          </cell>
          <cell r="CC131">
            <v>59409</v>
          </cell>
          <cell r="CD131">
            <v>0.62960600016810464</v>
          </cell>
          <cell r="CE131">
            <v>0</v>
          </cell>
          <cell r="CF131">
            <v>0</v>
          </cell>
          <cell r="CG131">
            <v>35.311327999999996</v>
          </cell>
          <cell r="CH131">
            <v>5.4716104446651315</v>
          </cell>
          <cell r="CI131">
            <v>374.22316454920968</v>
          </cell>
          <cell r="CJ131">
            <v>15.461517000000001</v>
          </cell>
          <cell r="CK131">
            <v>2.3958146775892288</v>
          </cell>
          <cell r="CL131">
            <v>163.85840318640533</v>
          </cell>
          <cell r="CM131">
            <v>15.004980999999997</v>
          </cell>
          <cell r="CN131">
            <v>2.3250728707116832</v>
          </cell>
          <cell r="CO131">
            <v>159.02011597583541</v>
          </cell>
          <cell r="CP131">
            <v>18.268701</v>
          </cell>
          <cell r="CQ131">
            <v>2.8307973917623359</v>
          </cell>
          <cell r="CR131">
            <v>193.60843920747789</v>
          </cell>
          <cell r="CS131">
            <v>0.52</v>
          </cell>
          <cell r="CT131">
            <v>8.9286630171008116E-2</v>
          </cell>
          <cell r="CU131">
            <v>0.26725107859190117</v>
          </cell>
          <cell r="CV131">
            <v>0.89286630171008119</v>
          </cell>
          <cell r="CW131">
            <v>0</v>
          </cell>
          <cell r="CX131">
            <v>0</v>
          </cell>
          <cell r="CY131">
            <v>0</v>
          </cell>
          <cell r="CZ131">
            <v>2627.341047667941</v>
          </cell>
        </row>
        <row r="132">
          <cell r="B132" t="str">
            <v>SOM</v>
          </cell>
          <cell r="C132" t="str">
            <v>LIC</v>
          </cell>
          <cell r="D132" t="str">
            <v>VLIC</v>
          </cell>
          <cell r="E132" t="str">
            <v/>
          </cell>
          <cell r="F132" t="b">
            <v>1</v>
          </cell>
          <cell r="G132" t="b">
            <v>1</v>
          </cell>
          <cell r="H132" t="e">
            <v>#REF!</v>
          </cell>
          <cell r="I132" t="str">
            <v/>
          </cell>
          <cell r="J132" t="str">
            <v/>
          </cell>
          <cell r="K132" t="str">
            <v/>
          </cell>
          <cell r="M132" t="b">
            <v>1</v>
          </cell>
          <cell r="N132" t="b">
            <v>1</v>
          </cell>
          <cell r="O132" t="b">
            <v>1</v>
          </cell>
          <cell r="P132" t="b">
            <v>1</v>
          </cell>
          <cell r="Q132" t="b">
            <v>1</v>
          </cell>
          <cell r="R132" t="str">
            <v>YES</v>
          </cell>
          <cell r="S132" t="str">
            <v>YES</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K132">
            <v>15.442905</v>
          </cell>
          <cell r="AL132">
            <v>21.191040000000001</v>
          </cell>
          <cell r="AM132">
            <v>311</v>
          </cell>
          <cell r="AN132">
            <v>0.78</v>
          </cell>
          <cell r="AO132">
            <v>0.76</v>
          </cell>
          <cell r="AP132">
            <v>12.0454659</v>
          </cell>
          <cell r="AQ132">
            <v>11.7366078</v>
          </cell>
          <cell r="AR132">
            <v>16105.190399999999</v>
          </cell>
          <cell r="AS132">
            <v>7.6999999999999999E-2</v>
          </cell>
          <cell r="AT132">
            <v>36.008073147097861</v>
          </cell>
          <cell r="AU132">
            <v>46.164196342433151</v>
          </cell>
          <cell r="AV132">
            <v>8.8071913161465398E-2</v>
          </cell>
          <cell r="AW132">
            <v>41.185712874323336</v>
          </cell>
          <cell r="AX132">
            <v>52.802195992722226</v>
          </cell>
          <cell r="AY132">
            <v>556.06925284368333</v>
          </cell>
          <cell r="AZ132">
            <v>636.02705127545221</v>
          </cell>
          <cell r="BA132">
            <v>79.957798431768879</v>
          </cell>
          <cell r="BB132">
            <v>708.366521686537</v>
          </cell>
          <cell r="BC132">
            <v>683.81598504567364</v>
          </cell>
          <cell r="BD132">
            <v>44.280268838387187</v>
          </cell>
          <cell r="BE132">
            <v>56.769575433829722</v>
          </cell>
          <cell r="BF132">
            <v>579.05456700000002</v>
          </cell>
          <cell r="BG132">
            <v>51.996796411020028</v>
          </cell>
          <cell r="BH132">
            <v>41.829456586331695</v>
          </cell>
          <cell r="BI132"/>
          <cell r="BJ132">
            <v>147.80053298495238</v>
          </cell>
          <cell r="BK132">
            <v>9.5409361391495935</v>
          </cell>
          <cell r="BL132">
            <v>241.62678598230411</v>
          </cell>
          <cell r="BM132">
            <v>251.16772212145372</v>
          </cell>
          <cell r="BN132">
            <v>802.98158727972327</v>
          </cell>
          <cell r="BO132">
            <v>645.96832426434469</v>
          </cell>
          <cell r="BP132">
            <v>0</v>
          </cell>
          <cell r="BQ132">
            <v>2282.469589835986</v>
          </cell>
          <cell r="BR132">
            <v>147.33977040795395</v>
          </cell>
          <cell r="BS132">
            <v>3731.419501380054</v>
          </cell>
          <cell r="BT132">
            <v>3878.7592717880079</v>
          </cell>
          <cell r="BU132">
            <v>221.03392954514246</v>
          </cell>
          <cell r="BV132">
            <v>35.651599655183198</v>
          </cell>
          <cell r="BW132">
            <v>43.759653836155358</v>
          </cell>
          <cell r="BX132">
            <v>141.62267605380387</v>
          </cell>
          <cell r="BZ132">
            <v>40.888374047683186</v>
          </cell>
          <cell r="CA132">
            <v>0.18498686664000344</v>
          </cell>
          <cell r="CB132">
            <v>0</v>
          </cell>
          <cell r="CC132" t="str">
            <v>—</v>
          </cell>
          <cell r="CE132">
            <v>3413.4059757423279</v>
          </cell>
          <cell r="CF132">
            <v>354.1832608432685</v>
          </cell>
          <cell r="CG132">
            <v>46.846247000000005</v>
          </cell>
          <cell r="CH132">
            <v>3.0335126065983058</v>
          </cell>
          <cell r="CI132">
            <v>3.8891187264080842</v>
          </cell>
          <cell r="CJ132">
            <v>115.68877733333335</v>
          </cell>
          <cell r="CK132">
            <v>7.4913869724208855</v>
          </cell>
          <cell r="CL132">
            <v>9.6043422723344687</v>
          </cell>
          <cell r="CM132">
            <v>20.068861999999999</v>
          </cell>
          <cell r="CN132">
            <v>1.2995522539314979</v>
          </cell>
          <cell r="CO132">
            <v>1.6660926332455099</v>
          </cell>
          <cell r="CP132">
            <v>344.35008433333331</v>
          </cell>
          <cell r="CQ132">
            <v>22.298271234157909</v>
          </cell>
          <cell r="CR132">
            <v>28.58752722327937</v>
          </cell>
          <cell r="CS132" t="str">
            <v/>
          </cell>
          <cell r="CT132">
            <v>0.18302935878968368</v>
          </cell>
          <cell r="CU132">
            <v>0.47495642821088385</v>
          </cell>
          <cell r="CV132">
            <v>1.8302935878968367</v>
          </cell>
          <cell r="CW132">
            <v>3242.7322205125556</v>
          </cell>
          <cell r="CX132">
            <v>209.98200924713035</v>
          </cell>
          <cell r="CY132">
            <v>269.20770416298762</v>
          </cell>
          <cell r="CZ132">
            <v>1448.9499115440681</v>
          </cell>
        </row>
        <row r="133">
          <cell r="B133" t="str">
            <v>SRB</v>
          </cell>
          <cell r="C133" t="str">
            <v>UMIC</v>
          </cell>
          <cell r="D133" t="str">
            <v>UMIC</v>
          </cell>
          <cell r="E133" t="str">
            <v/>
          </cell>
          <cell r="F133" t="str">
            <v xml:space="preserve"> </v>
          </cell>
          <cell r="G133" t="str">
            <v/>
          </cell>
          <cell r="H133" t="e">
            <v>#REF!</v>
          </cell>
          <cell r="I133" t="str">
            <v/>
          </cell>
          <cell r="J133" t="str">
            <v/>
          </cell>
          <cell r="K133" t="b">
            <v>1</v>
          </cell>
          <cell r="M133" t="str">
            <v/>
          </cell>
          <cell r="P133" t="str">
            <v/>
          </cell>
          <cell r="Q133" t="str">
            <v/>
          </cell>
          <cell r="R133" t="str">
            <v/>
          </cell>
          <cell r="S133" t="str">
            <v/>
          </cell>
          <cell r="T133" t="str">
            <v>YES</v>
          </cell>
          <cell r="U133" t="str">
            <v>YES</v>
          </cell>
          <cell r="V133" t="str">
            <v/>
          </cell>
          <cell r="W133" t="str">
            <v/>
          </cell>
          <cell r="X133" t="str">
            <v/>
          </cell>
          <cell r="Y133" t="str">
            <v/>
          </cell>
          <cell r="Z133" t="str">
            <v/>
          </cell>
          <cell r="AA133" t="str">
            <v/>
          </cell>
          <cell r="AB133" t="str">
            <v/>
          </cell>
          <cell r="AC133" t="str">
            <v/>
          </cell>
          <cell r="AD133" t="str">
            <v/>
          </cell>
          <cell r="AE133" t="str">
            <v/>
          </cell>
          <cell r="AF133" t="str">
            <v/>
          </cell>
          <cell r="AG133" t="b">
            <v>1</v>
          </cell>
          <cell r="AK133">
            <v>6.9449750000000003</v>
          </cell>
          <cell r="AL133">
            <v>6.5339750000000008</v>
          </cell>
          <cell r="AM133">
            <v>7020</v>
          </cell>
          <cell r="AN133">
            <v>6.7814999999999998E-4</v>
          </cell>
          <cell r="AO133">
            <v>9.999999999999999E-14</v>
          </cell>
          <cell r="AP133">
            <v>4.7097347962500001E-3</v>
          </cell>
          <cell r="AQ133">
            <v>6.9449749999999999E-13</v>
          </cell>
          <cell r="AR133">
            <v>6.5339749999999986E-10</v>
          </cell>
          <cell r="AS133">
            <v>0.4120992822259274</v>
          </cell>
          <cell r="AT133">
            <v>3175.7597625438871</v>
          </cell>
          <cell r="AU133">
            <v>4682975.39267697</v>
          </cell>
          <cell r="AV133">
            <v>0.43017963012333571</v>
          </cell>
          <cell r="AW133">
            <v>3315.0923064766021</v>
          </cell>
          <cell r="AX133">
            <v>4888435.1640147492</v>
          </cell>
          <cell r="AY133">
            <v>22055.572156873233</v>
          </cell>
          <cell r="AZ133">
            <v>23023.233191172341</v>
          </cell>
          <cell r="BA133">
            <v>967.661034299108</v>
          </cell>
          <cell r="BB133">
            <v>861.4773902782913</v>
          </cell>
          <cell r="BC133">
            <v>1050.5678310760611</v>
          </cell>
          <cell r="BD133">
            <v>151.27021063086059</v>
          </cell>
          <cell r="BE133">
            <v>223063.05482689757</v>
          </cell>
          <cell r="BF133">
            <v>16.206724999999999</v>
          </cell>
          <cell r="BG133">
            <v>308.25190914094566</v>
          </cell>
          <cell r="BH133">
            <v>295.88417174778624</v>
          </cell>
          <cell r="BI133"/>
          <cell r="BJ133">
            <v>0</v>
          </cell>
          <cell r="BK133">
            <v>6.1797170434458275</v>
          </cell>
          <cell r="BL133">
            <v>604.13608088873184</v>
          </cell>
          <cell r="BM133">
            <v>610.3157979321777</v>
          </cell>
          <cell r="BN133">
            <v>2140.8018026861391</v>
          </cell>
          <cell r="BO133">
            <v>2054.9081756840819</v>
          </cell>
          <cell r="BP133">
            <v>0</v>
          </cell>
          <cell r="BQ133">
            <v>0</v>
          </cell>
          <cell r="BR133">
            <v>42.917980373805186</v>
          </cell>
          <cell r="BS133">
            <v>4195.7099783702215</v>
          </cell>
          <cell r="BT133">
            <v>4238.6279587440267</v>
          </cell>
          <cell r="BU133">
            <v>-1053.4100723495692</v>
          </cell>
          <cell r="BV133">
            <v>-201.37967422370406</v>
          </cell>
          <cell r="BW133">
            <v>-354.76655215437478</v>
          </cell>
          <cell r="BX133">
            <v>-497.2638459714903</v>
          </cell>
          <cell r="BZ133">
            <v>76.80190037228796</v>
          </cell>
          <cell r="CA133">
            <v>-7.2907884961633071E-2</v>
          </cell>
          <cell r="CB133">
            <v>0</v>
          </cell>
          <cell r="CC133" t="str">
            <v>—</v>
          </cell>
          <cell r="CE133">
            <v>0</v>
          </cell>
          <cell r="CF133">
            <v>0</v>
          </cell>
          <cell r="CG133">
            <v>55.376093999999995</v>
          </cell>
          <cell r="CH133">
            <v>7.973548356905531</v>
          </cell>
          <cell r="CI133">
            <v>11757.794524670842</v>
          </cell>
          <cell r="CJ133">
            <v>19.622952999999999</v>
          </cell>
          <cell r="CK133">
            <v>2.8254893646125434</v>
          </cell>
          <cell r="CL133">
            <v>4166.4666587223228</v>
          </cell>
          <cell r="CM133">
            <v>24.324241333333333</v>
          </cell>
          <cell r="CN133">
            <v>3.502423166870051</v>
          </cell>
          <cell r="CO133">
            <v>5164.6732535133096</v>
          </cell>
          <cell r="CP133">
            <v>11.683170333333333</v>
          </cell>
          <cell r="CQ133">
            <v>1.682248004252475</v>
          </cell>
          <cell r="CR133">
            <v>2480.6429318771288</v>
          </cell>
          <cell r="CS133">
            <v>0.52</v>
          </cell>
          <cell r="CT133">
            <v>6.0339598054708621E-2</v>
          </cell>
          <cell r="CU133">
            <v>0.19333158146717591</v>
          </cell>
          <cell r="CV133">
            <v>0.60339598054708621</v>
          </cell>
          <cell r="CW133">
            <v>0</v>
          </cell>
          <cell r="CX133">
            <v>0</v>
          </cell>
          <cell r="CY133">
            <v>0</v>
          </cell>
          <cell r="CZ133">
            <v>4195.7099783702206</v>
          </cell>
        </row>
        <row r="134">
          <cell r="B134" t="str">
            <v>SSD</v>
          </cell>
          <cell r="C134" t="str">
            <v>LIC</v>
          </cell>
          <cell r="D134" t="str">
            <v>VLIC</v>
          </cell>
          <cell r="E134" t="str">
            <v/>
          </cell>
          <cell r="F134" t="b">
            <v>1</v>
          </cell>
          <cell r="G134" t="b">
            <v>1</v>
          </cell>
          <cell r="H134" t="e">
            <v>#REF!</v>
          </cell>
          <cell r="I134" t="str">
            <v/>
          </cell>
          <cell r="J134" t="str">
            <v/>
          </cell>
          <cell r="K134" t="str">
            <v/>
          </cell>
          <cell r="M134" t="b">
            <v>1</v>
          </cell>
          <cell r="P134" t="b">
            <v>1</v>
          </cell>
          <cell r="Q134" t="b">
            <v>1</v>
          </cell>
          <cell r="R134" t="str">
            <v>YES</v>
          </cell>
          <cell r="S134" t="str">
            <v>YES</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K134">
            <v>11.062113</v>
          </cell>
          <cell r="AL134">
            <v>13.839270000000001</v>
          </cell>
          <cell r="AM134">
            <v>248</v>
          </cell>
          <cell r="AN134">
            <v>0.83</v>
          </cell>
          <cell r="AO134">
            <v>0.9</v>
          </cell>
          <cell r="AP134">
            <v>9.1815537899999988</v>
          </cell>
          <cell r="AQ134">
            <v>9.9559017000000001</v>
          </cell>
          <cell r="AR134">
            <v>12455.343000000001</v>
          </cell>
          <cell r="AS134">
            <v>0.33305001755326036</v>
          </cell>
          <cell r="AT134">
            <v>82.59640435320857</v>
          </cell>
          <cell r="AU134">
            <v>99.513740184588642</v>
          </cell>
          <cell r="AV134">
            <v>0.34140692216281282</v>
          </cell>
          <cell r="AW134">
            <v>84.668916696377579</v>
          </cell>
          <cell r="AX134">
            <v>102.01074300768383</v>
          </cell>
          <cell r="AY134">
            <v>913.69075834888508</v>
          </cell>
          <cell r="AZ134">
            <v>936.61712408291544</v>
          </cell>
          <cell r="BA134">
            <v>22.926365734030355</v>
          </cell>
          <cell r="BB134">
            <v>640.46932148180531</v>
          </cell>
          <cell r="BC134">
            <v>584.80610438555664</v>
          </cell>
          <cell r="BD134">
            <v>52.865678047725297</v>
          </cell>
          <cell r="BE134">
            <v>63.693588009307589</v>
          </cell>
          <cell r="BF134">
            <v>809.84984250000002</v>
          </cell>
          <cell r="BG134">
            <v>138.53719357758848</v>
          </cell>
          <cell r="BH134">
            <v>49.933090199144502</v>
          </cell>
          <cell r="BI134"/>
          <cell r="BJ134">
            <v>59.978367983740299</v>
          </cell>
          <cell r="BK134">
            <v>25.441505919540983</v>
          </cell>
          <cell r="BL134">
            <v>248.44865176047327</v>
          </cell>
          <cell r="BM134">
            <v>273.89015768001423</v>
          </cell>
          <cell r="BN134">
            <v>1532.514090058158</v>
          </cell>
          <cell r="BO134">
            <v>552.36548622212899</v>
          </cell>
          <cell r="BP134">
            <v>0</v>
          </cell>
          <cell r="BQ134">
            <v>663.48748419171739</v>
          </cell>
          <cell r="BR134">
            <v>281.43681337213127</v>
          </cell>
          <cell r="BS134">
            <v>2748.3670604720046</v>
          </cell>
          <cell r="BT134">
            <v>3029.803873844136</v>
          </cell>
          <cell r="BU134">
            <v>206.11419341228446</v>
          </cell>
          <cell r="BV134">
            <v>37.232752694687868</v>
          </cell>
          <cell r="BW134">
            <v>121.60341023831296</v>
          </cell>
          <cell r="BX134">
            <v>47.278030479283665</v>
          </cell>
          <cell r="BZ134">
            <v>63.03750227852295</v>
          </cell>
          <cell r="CA134">
            <v>0.30583775544477326</v>
          </cell>
          <cell r="CB134">
            <v>0</v>
          </cell>
          <cell r="CC134" t="str">
            <v>—</v>
          </cell>
          <cell r="CE134">
            <v>2280.0584984305465</v>
          </cell>
          <cell r="CF134">
            <v>320.23466074090265</v>
          </cell>
          <cell r="CG134">
            <v>75.523949000000002</v>
          </cell>
          <cell r="CH134">
            <v>6.8272624768884569</v>
          </cell>
          <cell r="CI134">
            <v>8.2256174420342862</v>
          </cell>
          <cell r="CJ134">
            <v>199.559091</v>
          </cell>
          <cell r="CK134">
            <v>18.03987095412965</v>
          </cell>
          <cell r="CL134">
            <v>21.734784282083918</v>
          </cell>
          <cell r="CM134">
            <v>16.682108333333332</v>
          </cell>
          <cell r="CN134">
            <v>1.5080399498118788</v>
          </cell>
          <cell r="CO134">
            <v>1.8169156021829866</v>
          </cell>
          <cell r="CP134">
            <v>601.1617940000001</v>
          </cell>
          <cell r="CQ134">
            <v>54.34421018841519</v>
          </cell>
          <cell r="CR134">
            <v>65.474952034235173</v>
          </cell>
          <cell r="CS134" t="str">
            <v/>
          </cell>
          <cell r="CT134">
            <v>0.15434591926515306</v>
          </cell>
          <cell r="CU134">
            <v>0.4181943359284071</v>
          </cell>
          <cell r="CV134">
            <v>1.5434591926515306</v>
          </cell>
          <cell r="CW134">
            <v>2093.1867497612207</v>
          </cell>
          <cell r="CX134">
            <v>189.22124098363673</v>
          </cell>
          <cell r="CY134">
            <v>227.97739877546596</v>
          </cell>
          <cell r="CZ134">
            <v>2084.879576280287</v>
          </cell>
        </row>
        <row r="135">
          <cell r="B135" t="str">
            <v>STP</v>
          </cell>
          <cell r="C135" t="str">
            <v>LMIC</v>
          </cell>
          <cell r="D135" t="str">
            <v>LLMIC</v>
          </cell>
          <cell r="E135" t="str">
            <v>LMIC_LDC</v>
          </cell>
          <cell r="F135" t="b">
            <v>1</v>
          </cell>
          <cell r="G135" t="str">
            <v/>
          </cell>
          <cell r="H135" t="e">
            <v>#REF!</v>
          </cell>
          <cell r="I135" t="str">
            <v/>
          </cell>
          <cell r="J135" t="str">
            <v/>
          </cell>
          <cell r="K135" t="b">
            <v>1</v>
          </cell>
          <cell r="M135" t="str">
            <v/>
          </cell>
          <cell r="P135" t="b">
            <v>1</v>
          </cell>
          <cell r="Q135" t="b">
            <v>1</v>
          </cell>
          <cell r="R135" t="str">
            <v>YES</v>
          </cell>
          <cell r="S135" t="str">
            <v>YES</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K135">
            <v>0.215056</v>
          </cell>
          <cell r="AL135">
            <v>0.26824200000000004</v>
          </cell>
          <cell r="AM135">
            <v>1960</v>
          </cell>
          <cell r="AN135">
            <v>0.34003509999999998</v>
          </cell>
          <cell r="AO135">
            <v>0.31824999999999998</v>
          </cell>
          <cell r="AP135">
            <v>7.3126588465599995E-2</v>
          </cell>
          <cell r="AQ135">
            <v>6.8441571999999992E-2</v>
          </cell>
          <cell r="AR135">
            <v>85.368016499999996</v>
          </cell>
          <cell r="AS135">
            <v>0.15512222978261581</v>
          </cell>
          <cell r="AT135">
            <v>314.26030484176005</v>
          </cell>
          <cell r="AU135">
            <v>924.19960422250551</v>
          </cell>
          <cell r="AV135">
            <v>0.18223610385379355</v>
          </cell>
          <cell r="AW135">
            <v>369.18998412106288</v>
          </cell>
          <cell r="AX135">
            <v>1085.7408077020957</v>
          </cell>
          <cell r="AY135">
            <v>67.583564118049551</v>
          </cell>
          <cell r="AZ135">
            <v>79.396521225139296</v>
          </cell>
          <cell r="BA135">
            <v>11.812957107089744</v>
          </cell>
          <cell r="BB135">
            <v>45.081677848648006</v>
          </cell>
          <cell r="BC135">
            <v>42.109747300591629</v>
          </cell>
          <cell r="BD135">
            <v>195.80828854155024</v>
          </cell>
          <cell r="BE135">
            <v>575.84728324090736</v>
          </cell>
          <cell r="BF135">
            <v>0.47339874999999998</v>
          </cell>
          <cell r="BG135">
            <v>119.17545630049297</v>
          </cell>
          <cell r="BH135">
            <v>120.59716674600188</v>
          </cell>
          <cell r="BI135"/>
          <cell r="BJ135">
            <v>85.290107676955415</v>
          </cell>
          <cell r="BK135">
            <v>26.668558147099265</v>
          </cell>
          <cell r="BL135">
            <v>325.06273072345027</v>
          </cell>
          <cell r="BM135">
            <v>351.73128887054952</v>
          </cell>
          <cell r="BN135">
            <v>25.629396930158816</v>
          </cell>
          <cell r="BO135">
            <v>25.935144291728179</v>
          </cell>
          <cell r="BP135">
            <v>0</v>
          </cell>
          <cell r="BQ135">
            <v>18.342149396575323</v>
          </cell>
          <cell r="BR135">
            <v>5.7352334408825794</v>
          </cell>
          <cell r="BS135">
            <v>69.906690618462321</v>
          </cell>
          <cell r="BT135">
            <v>75.641924059344902</v>
          </cell>
          <cell r="BU135">
            <v>140.46773866291883</v>
          </cell>
          <cell r="BV135">
            <v>65.218669127842446</v>
          </cell>
          <cell r="BW135">
            <v>45.337459476280387</v>
          </cell>
          <cell r="BX135">
            <v>29.911610058795986</v>
          </cell>
          <cell r="BZ135">
            <v>99.004784917862395</v>
          </cell>
          <cell r="CA135">
            <v>0.70482223078599349</v>
          </cell>
          <cell r="CB135">
            <v>0</v>
          </cell>
          <cell r="CC135" t="e">
            <v>#N/A</v>
          </cell>
          <cell r="CD135" t="e">
            <v>#N/A</v>
          </cell>
          <cell r="CE135">
            <v>30.208430005892673</v>
          </cell>
          <cell r="CF135">
            <v>21.054873650295814</v>
          </cell>
          <cell r="CG135">
            <v>5.1449499999999997</v>
          </cell>
          <cell r="CH135">
            <v>23.923768692805595</v>
          </cell>
          <cell r="CI135">
            <v>70.356762266029591</v>
          </cell>
          <cell r="CJ135">
            <v>8.4967303333333337</v>
          </cell>
          <cell r="CK135">
            <v>39.509385152394415</v>
          </cell>
          <cell r="CL135">
            <v>116.19207885419598</v>
          </cell>
          <cell r="CM135">
            <v>0.40095799999999998</v>
          </cell>
          <cell r="CN135">
            <v>1.8644353098727773</v>
          </cell>
          <cell r="CO135">
            <v>5.4830672182747531</v>
          </cell>
          <cell r="CP135">
            <v>2.1517213333333336</v>
          </cell>
          <cell r="CQ135">
            <v>10.005400143838505</v>
          </cell>
          <cell r="CR135">
            <v>29.424609823628519</v>
          </cell>
          <cell r="CS135">
            <v>0.56000000000000005</v>
          </cell>
          <cell r="CT135">
            <v>0.1476545643925303</v>
          </cell>
          <cell r="CU135">
            <v>0.42554962428390747</v>
          </cell>
          <cell r="CV135">
            <v>1.4765456439253031</v>
          </cell>
          <cell r="CW135">
            <v>0</v>
          </cell>
          <cell r="CX135">
            <v>0</v>
          </cell>
          <cell r="CY135">
            <v>0</v>
          </cell>
          <cell r="CZ135">
            <v>51.564541221886998</v>
          </cell>
        </row>
        <row r="136">
          <cell r="B136" t="str">
            <v>SUR</v>
          </cell>
          <cell r="C136" t="str">
            <v>UMIC</v>
          </cell>
          <cell r="D136" t="str">
            <v>UMIC</v>
          </cell>
          <cell r="E136" t="str">
            <v/>
          </cell>
          <cell r="F136" t="str">
            <v xml:space="preserve"> </v>
          </cell>
          <cell r="G136" t="str">
            <v/>
          </cell>
          <cell r="H136" t="e">
            <v>#REF!</v>
          </cell>
          <cell r="I136" t="str">
            <v/>
          </cell>
          <cell r="J136" t="str">
            <v/>
          </cell>
          <cell r="K136" t="b">
            <v>1</v>
          </cell>
          <cell r="M136" t="str">
            <v/>
          </cell>
          <cell r="P136" t="str">
            <v/>
          </cell>
          <cell r="Q136" t="b">
            <v>1</v>
          </cell>
          <cell r="R136" t="str">
            <v/>
          </cell>
          <cell r="S136" t="str">
            <v/>
          </cell>
          <cell r="T136" t="str">
            <v>YES</v>
          </cell>
          <cell r="U136" t="str">
            <v>YES</v>
          </cell>
          <cell r="V136" t="str">
            <v/>
          </cell>
          <cell r="W136" t="str">
            <v/>
          </cell>
          <cell r="X136" t="str">
            <v/>
          </cell>
          <cell r="Y136" t="str">
            <v/>
          </cell>
          <cell r="Z136" t="str">
            <v/>
          </cell>
          <cell r="AA136" t="str">
            <v/>
          </cell>
          <cell r="AB136" t="str">
            <v/>
          </cell>
          <cell r="AC136" t="str">
            <v/>
          </cell>
          <cell r="AD136" t="str">
            <v/>
          </cell>
          <cell r="AE136" t="str">
            <v/>
          </cell>
          <cell r="AF136" t="str">
            <v/>
          </cell>
          <cell r="AG136" t="b">
            <v>1</v>
          </cell>
          <cell r="AK136">
            <v>0.581372</v>
          </cell>
          <cell r="AL136">
            <v>0.63239900000000004</v>
          </cell>
          <cell r="AM136">
            <v>5540</v>
          </cell>
          <cell r="AN136">
            <v>0.19367119999999999</v>
          </cell>
          <cell r="AO136">
            <v>0.21775</v>
          </cell>
          <cell r="AP136">
            <v>0.11259501288639999</v>
          </cell>
          <cell r="AQ136">
            <v>0.126593753</v>
          </cell>
          <cell r="AR136">
            <v>137.70488225</v>
          </cell>
          <cell r="AS136">
            <v>0.23925414891228192</v>
          </cell>
          <cell r="AT136">
            <v>1506.7088627225958</v>
          </cell>
          <cell r="AU136">
            <v>7779.7259619530205</v>
          </cell>
          <cell r="AV136">
            <v>0.27417954618076845</v>
          </cell>
          <cell r="AW136">
            <v>1726.6524074334095</v>
          </cell>
          <cell r="AX136">
            <v>8915.3803324056935</v>
          </cell>
          <cell r="AY136">
            <v>875.958344938761</v>
          </cell>
          <cell r="AZ136">
            <v>1003.8273634143761</v>
          </cell>
          <cell r="BA136">
            <v>127.86901847561512</v>
          </cell>
          <cell r="BB136">
            <v>18.457822052006467</v>
          </cell>
          <cell r="BC136">
            <v>18.456861696817331</v>
          </cell>
          <cell r="BD136">
            <v>31.747077081141388</v>
          </cell>
          <cell r="BE136">
            <v>163.92255059679184</v>
          </cell>
          <cell r="BF136">
            <v>0.48961750000000004</v>
          </cell>
          <cell r="BG136">
            <v>251.90097970255096</v>
          </cell>
          <cell r="BH136">
            <v>323.60407523562606</v>
          </cell>
          <cell r="BI136"/>
          <cell r="BJ136">
            <v>113.92609826769845</v>
          </cell>
          <cell r="BK136">
            <v>27.065809977634128</v>
          </cell>
          <cell r="BL136">
            <v>689.43115320587538</v>
          </cell>
          <cell r="BM136">
            <v>716.49696318350948</v>
          </cell>
          <cell r="BN136">
            <v>146.44817637163146</v>
          </cell>
          <cell r="BO136">
            <v>188.13434842788638</v>
          </cell>
          <cell r="BP136">
            <v>0</v>
          </cell>
          <cell r="BQ136">
            <v>66.233443602088386</v>
          </cell>
          <cell r="BR136">
            <v>15.735304078317109</v>
          </cell>
          <cell r="BS136">
            <v>400.81596840160626</v>
          </cell>
          <cell r="BT136">
            <v>416.55127247992334</v>
          </cell>
          <cell r="BU136">
            <v>-173.89505051082938</v>
          </cell>
          <cell r="BV136">
            <v>64.606214120614652</v>
          </cell>
          <cell r="BW136">
            <v>-93.429501784130991</v>
          </cell>
          <cell r="BX136">
            <v>-145.07176284731295</v>
          </cell>
          <cell r="BZ136">
            <v>16.294626501463206</v>
          </cell>
          <cell r="CA136">
            <v>-9.3703796937270808E-2</v>
          </cell>
          <cell r="CB136">
            <v>0</v>
          </cell>
          <cell r="CC136" t="str">
            <v>—</v>
          </cell>
          <cell r="CD136" t="e">
            <v>#VALUE!</v>
          </cell>
          <cell r="CE136">
            <v>0</v>
          </cell>
          <cell r="CF136">
            <v>0</v>
          </cell>
          <cell r="CG136">
            <v>2.5342723333333335</v>
          </cell>
          <cell r="CH136">
            <v>4.3591234757321189</v>
          </cell>
          <cell r="CI136">
            <v>22.507855973072502</v>
          </cell>
          <cell r="CJ136">
            <v>3.3288556666666662</v>
          </cell>
          <cell r="CK136">
            <v>5.7258616972724283</v>
          </cell>
          <cell r="CL136">
            <v>29.564858880785728</v>
          </cell>
          <cell r="CM136">
            <v>6.6077333333333335E-2</v>
          </cell>
          <cell r="CN136">
            <v>0.11365757782165865</v>
          </cell>
          <cell r="CO136">
            <v>0.5868584375046918</v>
          </cell>
          <cell r="CP136">
            <v>0.895312</v>
          </cell>
          <cell r="CQ136">
            <v>1.5399984863392113</v>
          </cell>
          <cell r="CR136">
            <v>7.9516132824044643</v>
          </cell>
          <cell r="CS136" t="str">
            <v/>
          </cell>
          <cell r="CT136">
            <v>8.9763524903160113E-2</v>
          </cell>
          <cell r="CU136">
            <v>0.26906180552210979</v>
          </cell>
          <cell r="CV136">
            <v>0.89763524903160108</v>
          </cell>
          <cell r="CW136">
            <v>0</v>
          </cell>
          <cell r="CX136">
            <v>0</v>
          </cell>
          <cell r="CY136">
            <v>0</v>
          </cell>
          <cell r="CZ136">
            <v>334.58252479951778</v>
          </cell>
        </row>
        <row r="137">
          <cell r="B137" t="str">
            <v>SWZ</v>
          </cell>
          <cell r="C137" t="str">
            <v>LMIC</v>
          </cell>
          <cell r="D137" t="str">
            <v>ULMIC</v>
          </cell>
          <cell r="E137" t="str">
            <v>LMIC_nonLDC</v>
          </cell>
          <cell r="F137" t="str">
            <v xml:space="preserve"> </v>
          </cell>
          <cell r="G137" t="str">
            <v/>
          </cell>
          <cell r="H137" t="e">
            <v>#REF!</v>
          </cell>
          <cell r="I137" t="str">
            <v/>
          </cell>
          <cell r="J137" t="str">
            <v/>
          </cell>
          <cell r="K137" t="b">
            <v>1</v>
          </cell>
          <cell r="M137" t="b">
            <v>1</v>
          </cell>
          <cell r="N137" t="b">
            <v>1</v>
          </cell>
          <cell r="O137" t="b">
            <v>1</v>
          </cell>
          <cell r="P137" t="b">
            <v>1</v>
          </cell>
          <cell r="Q137" t="b">
            <v>1</v>
          </cell>
          <cell r="R137" t="str">
            <v>YES</v>
          </cell>
          <cell r="S137" t="str">
            <v/>
          </cell>
          <cell r="T137" t="str">
            <v>YES</v>
          </cell>
          <cell r="U137" t="str">
            <v/>
          </cell>
          <cell r="V137" t="str">
            <v>YES</v>
          </cell>
          <cell r="W137" t="str">
            <v/>
          </cell>
          <cell r="X137" t="str">
            <v>YES</v>
          </cell>
          <cell r="Y137" t="str">
            <v/>
          </cell>
          <cell r="Z137" t="str">
            <v>YES</v>
          </cell>
          <cell r="AA137" t="str">
            <v/>
          </cell>
          <cell r="AB137" t="str">
            <v/>
          </cell>
          <cell r="AC137" t="str">
            <v/>
          </cell>
          <cell r="AD137" t="str">
            <v>YES</v>
          </cell>
          <cell r="AE137" t="str">
            <v>YES</v>
          </cell>
          <cell r="AF137" t="str">
            <v/>
          </cell>
          <cell r="AG137" t="str">
            <v/>
          </cell>
          <cell r="AH137" t="b">
            <v>1</v>
          </cell>
          <cell r="AI137" t="b">
            <v>1</v>
          </cell>
          <cell r="AK137">
            <v>1.1481300000000001</v>
          </cell>
          <cell r="AL137">
            <v>1.2978369999999999</v>
          </cell>
          <cell r="AM137">
            <v>3590</v>
          </cell>
          <cell r="AN137">
            <v>0.27299450000000003</v>
          </cell>
          <cell r="AO137">
            <v>0.25700000000000001</v>
          </cell>
          <cell r="AP137">
            <v>0.31343317528500003</v>
          </cell>
          <cell r="AQ137">
            <v>0.29506941000000003</v>
          </cell>
          <cell r="AR137">
            <v>333.54410899999999</v>
          </cell>
          <cell r="AS137">
            <v>0.24458085854279904</v>
          </cell>
          <cell r="AT137">
            <v>878.04528216864855</v>
          </cell>
          <cell r="AU137">
            <v>3216.3478830842691</v>
          </cell>
          <cell r="AV137">
            <v>0.30875692744007821</v>
          </cell>
          <cell r="AW137">
            <v>1108.4373695098807</v>
          </cell>
          <cell r="AX137">
            <v>4060.2919454783178</v>
          </cell>
          <cell r="AY137">
            <v>1008.1101298162905</v>
          </cell>
          <cell r="AZ137">
            <v>1272.6301970553795</v>
          </cell>
          <cell r="BA137">
            <v>264.52006723908903</v>
          </cell>
          <cell r="BB137">
            <v>135.31026248864433</v>
          </cell>
          <cell r="BC137">
            <v>139.64461176957934</v>
          </cell>
          <cell r="BD137">
            <v>121.6278746915239</v>
          </cell>
          <cell r="BE137">
            <v>445.53232644439316</v>
          </cell>
          <cell r="BF137">
            <v>4.9543257499999998</v>
          </cell>
          <cell r="BG137">
            <v>309.67806018821233</v>
          </cell>
          <cell r="BH137">
            <v>239.39043974718885</v>
          </cell>
          <cell r="BI137"/>
          <cell r="BJ137">
            <v>126.92998128635071</v>
          </cell>
          <cell r="BK137">
            <v>26.684664085319916</v>
          </cell>
          <cell r="BL137">
            <v>675.99848122175194</v>
          </cell>
          <cell r="BM137">
            <v>702.68314530707187</v>
          </cell>
          <cell r="BN137">
            <v>355.55067124389222</v>
          </cell>
          <cell r="BO137">
            <v>274.85134558693994</v>
          </cell>
          <cell r="BP137">
            <v>0</v>
          </cell>
          <cell r="BQ137">
            <v>145.73211941429784</v>
          </cell>
          <cell r="BR137">
            <v>30.637463376278358</v>
          </cell>
          <cell r="BS137">
            <v>776.13413624512998</v>
          </cell>
          <cell r="BT137">
            <v>806.77159962140831</v>
          </cell>
          <cell r="BU137">
            <v>121.7797964668116</v>
          </cell>
          <cell r="BV137">
            <v>73.124834320706753</v>
          </cell>
          <cell r="BW137">
            <v>87.99058628623618</v>
          </cell>
          <cell r="BX137">
            <v>-39.335624140131387</v>
          </cell>
          <cell r="BZ137">
            <v>62.97150040482321</v>
          </cell>
          <cell r="CA137">
            <v>0.51709316513749226</v>
          </cell>
          <cell r="CB137">
            <v>0</v>
          </cell>
          <cell r="CC137" t="str">
            <v>—</v>
          </cell>
          <cell r="CD137" t="e">
            <v>#VALUE!</v>
          </cell>
          <cell r="CE137">
            <v>139.81903771744041</v>
          </cell>
          <cell r="CF137">
            <v>67.655131244322163</v>
          </cell>
          <cell r="CG137">
            <v>6.6176983333333341</v>
          </cell>
          <cell r="CH137">
            <v>5.7638928808874725</v>
          </cell>
          <cell r="CI137">
            <v>21.113586101139298</v>
          </cell>
          <cell r="CJ137">
            <v>91.659541333333323</v>
          </cell>
          <cell r="CK137">
            <v>79.833765630488983</v>
          </cell>
          <cell r="CL137">
            <v>292.43726752915893</v>
          </cell>
          <cell r="CM137">
            <v>8.6401000000000006E-2</v>
          </cell>
          <cell r="CN137">
            <v>7.5253673364514467E-2</v>
          </cell>
          <cell r="CO137">
            <v>0.27566003477914192</v>
          </cell>
          <cell r="CP137">
            <v>5.2876926666666666</v>
          </cell>
          <cell r="CQ137">
            <v>4.605482538272379</v>
          </cell>
          <cell r="CR137">
            <v>16.870239284206747</v>
          </cell>
          <cell r="CS137">
            <v>0.55000000000000004</v>
          </cell>
          <cell r="CT137">
            <v>0.12514001027758179</v>
          </cell>
          <cell r="CU137">
            <v>0.37835349655526807</v>
          </cell>
          <cell r="CV137">
            <v>1.2514001027758179</v>
          </cell>
          <cell r="CW137">
            <v>0</v>
          </cell>
          <cell r="CX137">
            <v>0</v>
          </cell>
          <cell r="CY137">
            <v>0</v>
          </cell>
          <cell r="CZ137">
            <v>630.40201683083217</v>
          </cell>
        </row>
        <row r="138">
          <cell r="B138" t="str">
            <v>SYC</v>
          </cell>
          <cell r="C138" t="str">
            <v>HIC</v>
          </cell>
          <cell r="D138" t="str">
            <v>HIC</v>
          </cell>
          <cell r="E138" t="str">
            <v/>
          </cell>
          <cell r="F138" t="str">
            <v xml:space="preserve"> </v>
          </cell>
          <cell r="G138" t="str">
            <v/>
          </cell>
          <cell r="H138" t="e">
            <v>#REF!</v>
          </cell>
          <cell r="I138" t="str">
            <v/>
          </cell>
          <cell r="J138" t="str">
            <v/>
          </cell>
          <cell r="K138" t="str">
            <v/>
          </cell>
          <cell r="M138" t="str">
            <v/>
          </cell>
          <cell r="P138" t="b">
            <v>1</v>
          </cell>
          <cell r="Q138" t="str">
            <v/>
          </cell>
          <cell r="R138" t="str">
            <v/>
          </cell>
          <cell r="S138" t="str">
            <v/>
          </cell>
          <cell r="T138" t="str">
            <v/>
          </cell>
          <cell r="U138" t="str">
            <v/>
          </cell>
          <cell r="V138" t="str">
            <v/>
          </cell>
          <cell r="W138" t="str">
            <v/>
          </cell>
          <cell r="X138" t="str">
            <v>YES</v>
          </cell>
          <cell r="Y138" t="str">
            <v/>
          </cell>
          <cell r="Z138" t="str">
            <v>YES</v>
          </cell>
          <cell r="AA138" t="str">
            <v/>
          </cell>
          <cell r="AB138" t="str">
            <v/>
          </cell>
          <cell r="AC138" t="str">
            <v/>
          </cell>
          <cell r="AD138" t="str">
            <v/>
          </cell>
          <cell r="AE138" t="str">
            <v>YES</v>
          </cell>
          <cell r="AF138" t="str">
            <v>YES</v>
          </cell>
          <cell r="AK138">
            <v>9.7625000000000003E-2</v>
          </cell>
          <cell r="AL138">
            <v>0.10253799999999999</v>
          </cell>
          <cell r="AM138">
            <v>16870</v>
          </cell>
          <cell r="AN138">
            <v>8.424272E-3</v>
          </cell>
          <cell r="AO138">
            <v>7.2499999999999995E-3</v>
          </cell>
          <cell r="AP138">
            <v>8.2241955400000008E-4</v>
          </cell>
          <cell r="AQ138">
            <v>7.0778124999999997E-4</v>
          </cell>
          <cell r="AR138">
            <v>0.74340050000000002</v>
          </cell>
          <cell r="AS138">
            <v>0.36925702247729059</v>
          </cell>
          <cell r="AT138">
            <v>6782.0132615292168</v>
          </cell>
          <cell r="AU138">
            <v>805056.30178242305</v>
          </cell>
          <cell r="AV138">
            <v>0.40475845662260129</v>
          </cell>
          <cell r="AW138">
            <v>7434.0555586844748</v>
          </cell>
          <cell r="AX138">
            <v>882456.73438422626</v>
          </cell>
          <cell r="AY138">
            <v>662.09404465678972</v>
          </cell>
          <cell r="AZ138">
            <v>725.74967391657196</v>
          </cell>
          <cell r="BA138">
            <v>63.655629259782245</v>
          </cell>
          <cell r="BB138">
            <v>13.1053694760708</v>
          </cell>
          <cell r="BC138">
            <v>9.549214984081301</v>
          </cell>
          <cell r="BD138">
            <v>97.815262320935219</v>
          </cell>
          <cell r="BE138">
            <v>11611.123468109199</v>
          </cell>
          <cell r="BF138">
            <v>2.0506E-2</v>
          </cell>
          <cell r="BG138">
            <v>734.66586672120104</v>
          </cell>
          <cell r="BH138">
            <v>705.67438959960145</v>
          </cell>
          <cell r="BI138"/>
          <cell r="BJ138">
            <v>63.197040345923746</v>
          </cell>
          <cell r="BK138">
            <v>35.824872099871364</v>
          </cell>
          <cell r="BL138">
            <v>1503.5372966667262</v>
          </cell>
          <cell r="BM138">
            <v>1539.3621687665975</v>
          </cell>
          <cell r="BN138">
            <v>71.721755238657252</v>
          </cell>
          <cell r="BO138">
            <v>68.891462284661088</v>
          </cell>
          <cell r="BP138">
            <v>0</v>
          </cell>
          <cell r="BQ138">
            <v>6.1696110637708061</v>
          </cell>
          <cell r="BR138">
            <v>3.497403138749942</v>
          </cell>
          <cell r="BS138">
            <v>146.78282858708914</v>
          </cell>
          <cell r="BT138">
            <v>150.28023172583909</v>
          </cell>
          <cell r="BU138">
            <v>-2213.490482675511</v>
          </cell>
          <cell r="BV138">
            <v>-409.43394420306981</v>
          </cell>
          <cell r="BW138">
            <v>-752.14524501569406</v>
          </cell>
          <cell r="BX138">
            <v>-1051.9112934567474</v>
          </cell>
          <cell r="BZ138">
            <v>49.012655488252499</v>
          </cell>
          <cell r="CA138">
            <v>-2.2142699899486109E-2</v>
          </cell>
          <cell r="CB138">
            <v>0</v>
          </cell>
          <cell r="CC138" t="str">
            <v>—</v>
          </cell>
          <cell r="CD138" t="e">
            <v>#VALUE!</v>
          </cell>
          <cell r="CE138">
            <v>0</v>
          </cell>
          <cell r="CF138">
            <v>0</v>
          </cell>
          <cell r="CG138">
            <v>1.285962</v>
          </cell>
          <cell r="CH138">
            <v>13.172466069142125</v>
          </cell>
          <cell r="CI138">
            <v>1563.6325689795065</v>
          </cell>
          <cell r="CJ138">
            <v>2.6593620000000002</v>
          </cell>
          <cell r="CK138">
            <v>27.24058386683739</v>
          </cell>
          <cell r="CL138">
            <v>3233.583135354294</v>
          </cell>
          <cell r="CM138">
            <v>1.1693333333333332E-3</v>
          </cell>
          <cell r="CN138">
            <v>1.1977806231327357E-2</v>
          </cell>
          <cell r="CO138">
            <v>1.4218209278294145</v>
          </cell>
          <cell r="CP138">
            <v>0.12464799999999999</v>
          </cell>
          <cell r="CQ138">
            <v>1.2768040973111394</v>
          </cell>
          <cell r="CR138">
            <v>151.56254419505203</v>
          </cell>
          <cell r="CS138">
            <v>0.3</v>
          </cell>
          <cell r="CT138">
            <v>8.1608194622279126E-2</v>
          </cell>
          <cell r="CU138">
            <v>0.2393956466069142</v>
          </cell>
          <cell r="CV138">
            <v>0.81608194622279129</v>
          </cell>
          <cell r="CW138">
            <v>0</v>
          </cell>
          <cell r="CX138">
            <v>0</v>
          </cell>
          <cell r="CY138">
            <v>0</v>
          </cell>
          <cell r="CZ138">
            <v>140.61321752331833</v>
          </cell>
        </row>
        <row r="139">
          <cell r="B139" t="str">
            <v>SYR</v>
          </cell>
          <cell r="C139" t="str">
            <v>LIC</v>
          </cell>
          <cell r="D139" t="str">
            <v>OLIC</v>
          </cell>
          <cell r="E139" t="str">
            <v>OLIC_nonLDC</v>
          </cell>
          <cell r="F139" t="str">
            <v xml:space="preserve"> </v>
          </cell>
          <cell r="G139" t="b">
            <v>1</v>
          </cell>
          <cell r="H139" t="e">
            <v>#REF!</v>
          </cell>
          <cell r="I139" t="str">
            <v/>
          </cell>
          <cell r="J139" t="str">
            <v/>
          </cell>
          <cell r="K139" t="str">
            <v/>
          </cell>
          <cell r="M139" t="b">
            <v>1</v>
          </cell>
          <cell r="N139" t="b">
            <v>1</v>
          </cell>
          <cell r="O139" t="b">
            <v>1</v>
          </cell>
          <cell r="P139" t="str">
            <v/>
          </cell>
          <cell r="Q139" t="b">
            <v>1</v>
          </cell>
          <cell r="R139" t="str">
            <v>YES</v>
          </cell>
          <cell r="S139" t="str">
            <v>YES</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b">
            <v>1</v>
          </cell>
          <cell r="AH139" t="b">
            <v>1</v>
          </cell>
          <cell r="AI139" t="b">
            <v>1</v>
          </cell>
          <cell r="AK139">
            <v>17.070135000000001</v>
          </cell>
          <cell r="AL139">
            <v>26.676569999999998</v>
          </cell>
          <cell r="AM139">
            <v>1000</v>
          </cell>
          <cell r="AN139">
            <v>0.77300000000000002</v>
          </cell>
          <cell r="AO139">
            <v>0.51700000000000002</v>
          </cell>
          <cell r="AP139">
            <v>13.195214355000001</v>
          </cell>
          <cell r="AQ139">
            <v>8.8252597950000009</v>
          </cell>
          <cell r="AR139">
            <v>13791.786690000001</v>
          </cell>
          <cell r="AS139">
            <v>0.2005261308954846</v>
          </cell>
          <cell r="AT139">
            <v>200.52613089548461</v>
          </cell>
          <cell r="AU139">
            <v>259.41284721278731</v>
          </cell>
          <cell r="AV139">
            <v>0.22340582126942354</v>
          </cell>
          <cell r="AW139">
            <v>223.40582126942354</v>
          </cell>
          <cell r="AX139">
            <v>289.01141173276005</v>
          </cell>
          <cell r="AY139">
            <v>3423.0081254135935</v>
          </cell>
          <cell r="AZ139">
            <v>3813.5675288549314</v>
          </cell>
          <cell r="BA139">
            <v>390.55940344133796</v>
          </cell>
          <cell r="BB139">
            <v>535.45603850020905</v>
          </cell>
          <cell r="BC139">
            <v>728.36709590849989</v>
          </cell>
          <cell r="BD139">
            <v>42.669088200444804</v>
          </cell>
          <cell r="BE139">
            <v>55.199337904844505</v>
          </cell>
          <cell r="BF139">
            <v>6184.9328667499994</v>
          </cell>
          <cell r="BG139">
            <v>192.9309200251183</v>
          </cell>
          <cell r="BH139">
            <v>113.49681090003845</v>
          </cell>
          <cell r="BI139"/>
          <cell r="BJ139">
            <v>20.70453028057063</v>
          </cell>
          <cell r="BK139">
            <v>14.759124846101921</v>
          </cell>
          <cell r="BL139">
            <v>327.13226120572739</v>
          </cell>
          <cell r="BM139">
            <v>341.89138605182933</v>
          </cell>
          <cell r="BN139">
            <v>3293.356850502973</v>
          </cell>
          <cell r="BO139">
            <v>1937.405884133128</v>
          </cell>
          <cell r="BP139">
            <v>0</v>
          </cell>
          <cell r="BQ139">
            <v>353.42912700092853</v>
          </cell>
          <cell r="BR139">
            <v>251.94025360481402</v>
          </cell>
          <cell r="BS139">
            <v>5584.1918616370294</v>
          </cell>
          <cell r="BT139">
            <v>5836.1321152418432</v>
          </cell>
          <cell r="BU139">
            <v>215.42935057101562</v>
          </cell>
          <cell r="BV139">
            <v>79.98593770962492</v>
          </cell>
          <cell r="BW139">
            <v>148.24975577123359</v>
          </cell>
          <cell r="BX139">
            <v>-12.806342909842897</v>
          </cell>
          <cell r="BZ139">
            <v>202.49693287892859</v>
          </cell>
          <cell r="CA139">
            <v>0.93996910050646099</v>
          </cell>
          <cell r="CB139">
            <v>0</v>
          </cell>
          <cell r="CC139" t="str">
            <v>—</v>
          </cell>
          <cell r="CD139" t="e">
            <v>#VALUE!</v>
          </cell>
          <cell r="CE139">
            <v>3677.4080972095639</v>
          </cell>
          <cell r="CF139">
            <v>364.18354795424995</v>
          </cell>
          <cell r="CG139">
            <v>159.614148</v>
          </cell>
          <cell r="CH139">
            <v>9.3504912527053818</v>
          </cell>
          <cell r="CI139">
            <v>12.096366432995319</v>
          </cell>
          <cell r="CJ139">
            <v>44.381944666666662</v>
          </cell>
          <cell r="CK139">
            <v>2.5999761962437122</v>
          </cell>
          <cell r="CL139">
            <v>3.3634879640927711</v>
          </cell>
          <cell r="CM139">
            <v>5.2507840000000003</v>
          </cell>
          <cell r="CN139">
            <v>0.30760061358624291</v>
          </cell>
          <cell r="CO139">
            <v>0.39793093607534658</v>
          </cell>
          <cell r="CP139">
            <v>825.81824500000005</v>
          </cell>
          <cell r="CQ139">
            <v>48.377956296186291</v>
          </cell>
          <cell r="CR139">
            <v>62.584678261560526</v>
          </cell>
          <cell r="CS139" t="str">
            <v/>
          </cell>
          <cell r="CT139">
            <v>0.11242418410867869</v>
          </cell>
          <cell r="CU139">
            <v>0.31550810816669</v>
          </cell>
          <cell r="CV139">
            <v>1.1242418410867869</v>
          </cell>
          <cell r="CW139">
            <v>2022.5645863869117</v>
          </cell>
          <cell r="CX139">
            <v>118.48556478240575</v>
          </cell>
          <cell r="CY139">
            <v>153.28016142613939</v>
          </cell>
          <cell r="CZ139">
            <v>5230.7627346361014</v>
          </cell>
        </row>
        <row r="140">
          <cell r="B140" t="str">
            <v>TCD</v>
          </cell>
          <cell r="C140" t="str">
            <v>LIC</v>
          </cell>
          <cell r="D140" t="str">
            <v>OLIC</v>
          </cell>
          <cell r="E140" t="str">
            <v>OLIC_LDC</v>
          </cell>
          <cell r="F140" t="b">
            <v>1</v>
          </cell>
          <cell r="G140" t="b">
            <v>1</v>
          </cell>
          <cell r="H140" t="e">
            <v>#REF!</v>
          </cell>
          <cell r="I140" t="str">
            <v/>
          </cell>
          <cell r="J140" t="str">
            <v/>
          </cell>
          <cell r="K140" t="str">
            <v/>
          </cell>
          <cell r="M140" t="b">
            <v>1</v>
          </cell>
          <cell r="N140" t="b">
            <v>1</v>
          </cell>
          <cell r="O140" t="b">
            <v>1</v>
          </cell>
          <cell r="P140" t="b">
            <v>1</v>
          </cell>
          <cell r="Q140" t="b">
            <v>1</v>
          </cell>
          <cell r="R140" t="str">
            <v>YES</v>
          </cell>
          <cell r="S140" t="str">
            <v>YES</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b">
            <v>1</v>
          </cell>
          <cell r="AH140" t="b">
            <v>1</v>
          </cell>
          <cell r="AI140" t="b">
            <v>1</v>
          </cell>
          <cell r="AK140">
            <v>15.946876</v>
          </cell>
          <cell r="AL140">
            <v>21.690380000000001</v>
          </cell>
          <cell r="AM140">
            <v>700</v>
          </cell>
          <cell r="AN140">
            <v>0.41247860000000003</v>
          </cell>
          <cell r="AO140">
            <v>0.42424999999999996</v>
          </cell>
          <cell r="AP140">
            <v>6.5777450868536</v>
          </cell>
          <cell r="AQ140">
            <v>6.7654621429999988</v>
          </cell>
          <cell r="AR140">
            <v>9202.1437150000002</v>
          </cell>
          <cell r="AS140">
            <v>0.157</v>
          </cell>
          <cell r="AT140">
            <v>114.86772004497978</v>
          </cell>
          <cell r="AU140">
            <v>278.48164739935544</v>
          </cell>
          <cell r="AV140">
            <v>0.17699999999999999</v>
          </cell>
          <cell r="AW140">
            <v>129.50055062395808</v>
          </cell>
          <cell r="AX140">
            <v>313.9570164948147</v>
          </cell>
          <cell r="AY140">
            <v>1831.7812879600071</v>
          </cell>
          <cell r="AZ140">
            <v>2065.1292227319823</v>
          </cell>
          <cell r="BA140">
            <v>233.34793477197513</v>
          </cell>
          <cell r="BB140">
            <v>454.659427004571</v>
          </cell>
          <cell r="BC140">
            <v>514.30127326036302</v>
          </cell>
          <cell r="BD140">
            <v>32.250910664907849</v>
          </cell>
          <cell r="BE140">
            <v>78.188082157250932</v>
          </cell>
          <cell r="BF140">
            <v>132.20924625000001</v>
          </cell>
          <cell r="BG140">
            <v>107.96612337962105</v>
          </cell>
          <cell r="BH140">
            <v>76.968020525797371</v>
          </cell>
          <cell r="BI140"/>
          <cell r="BJ140">
            <v>212.62436377037037</v>
          </cell>
          <cell r="BK140">
            <v>38.348374728443432</v>
          </cell>
          <cell r="BL140">
            <v>397.55850767578875</v>
          </cell>
          <cell r="BM140">
            <v>435.90688240423219</v>
          </cell>
          <cell r="BN140">
            <v>1721.7223817355177</v>
          </cell>
          <cell r="BO140">
            <v>1227.3994792903454</v>
          </cell>
          <cell r="BP140">
            <v>0</v>
          </cell>
          <cell r="BQ140">
            <v>3390.6943636249885</v>
          </cell>
          <cell r="BR140">
            <v>611.53677659602101</v>
          </cell>
          <cell r="BS140">
            <v>6339.8162246508509</v>
          </cell>
          <cell r="BT140">
            <v>6951.3530012468718</v>
          </cell>
          <cell r="BU140">
            <v>332.80823236380968</v>
          </cell>
          <cell r="BV140">
            <v>57.542937932203657</v>
          </cell>
          <cell r="BW140">
            <v>82.066013254829443</v>
          </cell>
          <cell r="BX140">
            <v>193.19928117677665</v>
          </cell>
          <cell r="BZ140">
            <v>20.270757718012074</v>
          </cell>
          <cell r="CA140">
            <v>6.0908222053392816E-2</v>
          </cell>
          <cell r="CB140">
            <v>5.4563873912263698</v>
          </cell>
          <cell r="CC140" t="str">
            <v>—</v>
          </cell>
          <cell r="CD140" t="e">
            <v>#VALUE!</v>
          </cell>
          <cell r="CE140">
            <v>5307.2516132848596</v>
          </cell>
          <cell r="CF140">
            <v>227.3297135022855</v>
          </cell>
          <cell r="CG140">
            <v>21.935368666666665</v>
          </cell>
          <cell r="CH140">
            <v>1.3755276373044267</v>
          </cell>
          <cell r="CI140">
            <v>3.3347854586987702</v>
          </cell>
          <cell r="CJ140">
            <v>80.004631333333336</v>
          </cell>
          <cell r="CK140">
            <v>5.0169469765321644</v>
          </cell>
          <cell r="CL140">
            <v>12.162926698578215</v>
          </cell>
          <cell r="CM140">
            <v>4.123068</v>
          </cell>
          <cell r="CN140">
            <v>0.25855020130588585</v>
          </cell>
          <cell r="CO140">
            <v>0.62682088550990489</v>
          </cell>
          <cell r="CP140">
            <v>122.44714733333333</v>
          </cell>
          <cell r="CQ140">
            <v>7.6784410522370239</v>
          </cell>
          <cell r="CR140">
            <v>18.615368293620623</v>
          </cell>
          <cell r="CS140">
            <v>0.59</v>
          </cell>
          <cell r="CT140">
            <v>0.18376232435744783</v>
          </cell>
          <cell r="CU140">
            <v>0.47886664447632254</v>
          </cell>
          <cell r="CV140">
            <v>1.8376232435744781</v>
          </cell>
          <cell r="CW140">
            <v>4886.22377851489</v>
          </cell>
          <cell r="CX140">
            <v>306.40633178027412</v>
          </cell>
          <cell r="CY140">
            <v>742.84176628866101</v>
          </cell>
          <cell r="CZ140">
            <v>2949.1218610258629</v>
          </cell>
        </row>
        <row r="141">
          <cell r="B141" t="str">
            <v>TGO</v>
          </cell>
          <cell r="C141" t="str">
            <v>LIC</v>
          </cell>
          <cell r="D141" t="str">
            <v>OLIC</v>
          </cell>
          <cell r="E141" t="str">
            <v>OLIC_LDC</v>
          </cell>
          <cell r="F141" t="b">
            <v>1</v>
          </cell>
          <cell r="G141" t="b">
            <v>1</v>
          </cell>
          <cell r="H141" t="e">
            <v>#REF!</v>
          </cell>
          <cell r="I141" t="str">
            <v/>
          </cell>
          <cell r="J141" t="str">
            <v/>
          </cell>
          <cell r="K141" t="str">
            <v/>
          </cell>
          <cell r="M141" t="b">
            <v>1</v>
          </cell>
          <cell r="N141" t="b">
            <v>1</v>
          </cell>
          <cell r="O141" t="b">
            <v>1</v>
          </cell>
          <cell r="P141" t="b">
            <v>1</v>
          </cell>
          <cell r="Q141" t="b">
            <v>1</v>
          </cell>
          <cell r="R141" t="str">
            <v>YES</v>
          </cell>
          <cell r="S141" t="str">
            <v>YES</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K141">
            <v>8.0823660000000004</v>
          </cell>
          <cell r="AL141">
            <v>10.42192</v>
          </cell>
          <cell r="AM141">
            <v>690</v>
          </cell>
          <cell r="AN141">
            <v>0.4569838</v>
          </cell>
          <cell r="AO141">
            <v>0.36649999999999999</v>
          </cell>
          <cell r="AP141">
            <v>3.6935103276708001</v>
          </cell>
          <cell r="AQ141">
            <v>2.9621871390000001</v>
          </cell>
          <cell r="AR141">
            <v>3819.6336799999995</v>
          </cell>
          <cell r="AS141">
            <v>0.20351814942611257</v>
          </cell>
          <cell r="AT141">
            <v>141.88304674130131</v>
          </cell>
          <cell r="AU141">
            <v>310.4771914043809</v>
          </cell>
          <cell r="AV141">
            <v>0.22143137168222626</v>
          </cell>
          <cell r="AW141">
            <v>154.37128210418339</v>
          </cell>
          <cell r="AX141">
            <v>337.80471453076325</v>
          </cell>
          <cell r="AY141">
            <v>1146.7507129583046</v>
          </cell>
          <cell r="AZ141">
            <v>1247.6852018552604</v>
          </cell>
          <cell r="BA141">
            <v>100.93448889695583</v>
          </cell>
          <cell r="BB141">
            <v>249.23942671904933</v>
          </cell>
          <cell r="BC141">
            <v>277.07615411519799</v>
          </cell>
          <cell r="BD141">
            <v>34.281564843165725</v>
          </cell>
          <cell r="BE141">
            <v>75.017024330327956</v>
          </cell>
          <cell r="BF141">
            <v>0.79376749999999996</v>
          </cell>
          <cell r="BG141">
            <v>83.179171315455847</v>
          </cell>
          <cell r="BH141">
            <v>77.985155269327151</v>
          </cell>
          <cell r="BI141"/>
          <cell r="BJ141">
            <v>224.35009471054579</v>
          </cell>
          <cell r="BK141">
            <v>16.522116706986989</v>
          </cell>
          <cell r="BL141">
            <v>385.51442129532882</v>
          </cell>
          <cell r="BM141">
            <v>402.03653800231581</v>
          </cell>
          <cell r="BN141">
            <v>672.28450614821566</v>
          </cell>
          <cell r="BO141">
            <v>630.30456745353069</v>
          </cell>
          <cell r="BP141">
            <v>0</v>
          </cell>
          <cell r="BQ141">
            <v>1813.2795775852953</v>
          </cell>
          <cell r="BR141">
            <v>133.5377943205836</v>
          </cell>
          <cell r="BS141">
            <v>3115.8686511870419</v>
          </cell>
          <cell r="BT141">
            <v>3249.4064455076254</v>
          </cell>
          <cell r="BU141">
            <v>308.32878024323713</v>
          </cell>
          <cell r="BV141">
            <v>54.829462953699647</v>
          </cell>
          <cell r="BW141">
            <v>52.304914894619166</v>
          </cell>
          <cell r="BX141">
            <v>201.19440239491828</v>
          </cell>
          <cell r="BZ141">
            <v>17.189887318589506</v>
          </cell>
          <cell r="CA141">
            <v>5.5751809172755767E-2</v>
          </cell>
          <cell r="CB141">
            <v>0</v>
          </cell>
          <cell r="CC141" t="str">
            <v>—</v>
          </cell>
          <cell r="CD141" t="e">
            <v>#VALUE!</v>
          </cell>
          <cell r="CE141">
            <v>2492.0260502594115</v>
          </cell>
          <cell r="CF141">
            <v>124.61971335952467</v>
          </cell>
          <cell r="CG141">
            <v>23.995016000000003</v>
          </cell>
          <cell r="CH141">
            <v>2.9688108655312075</v>
          </cell>
          <cell r="CI141">
            <v>6.4965341562024905</v>
          </cell>
          <cell r="CJ141">
            <v>53.17249266666667</v>
          </cell>
          <cell r="CK141">
            <v>6.5788276188762875</v>
          </cell>
          <cell r="CL141">
            <v>14.396194392178208</v>
          </cell>
          <cell r="CM141">
            <v>2.5637089999999998</v>
          </cell>
          <cell r="CN141">
            <v>0.31719783538632124</v>
          </cell>
          <cell r="CO141">
            <v>0.69411177242239497</v>
          </cell>
          <cell r="CP141">
            <v>8.8484543333333345</v>
          </cell>
          <cell r="CQ141">
            <v>1.0947851573825453</v>
          </cell>
          <cell r="CR141">
            <v>2.3956760773194703</v>
          </cell>
          <cell r="CS141">
            <v>0.56000000000000005</v>
          </cell>
          <cell r="CT141">
            <v>0.15095332233160436</v>
          </cell>
          <cell r="CU141">
            <v>0.41623603781367979</v>
          </cell>
          <cell r="CV141">
            <v>1.5095332233160437</v>
          </cell>
          <cell r="CW141">
            <v>2001.721243652365</v>
          </cell>
          <cell r="CX141">
            <v>247.66525589813241</v>
          </cell>
          <cell r="CY141">
            <v>541.95631420223742</v>
          </cell>
          <cell r="CZ141">
            <v>1302.5890736017463</v>
          </cell>
        </row>
        <row r="142">
          <cell r="B142" t="str">
            <v>THA</v>
          </cell>
          <cell r="C142" t="str">
            <v>UMIC</v>
          </cell>
          <cell r="D142" t="str">
            <v>UMIC</v>
          </cell>
          <cell r="E142" t="str">
            <v/>
          </cell>
          <cell r="F142" t="str">
            <v xml:space="preserve"> </v>
          </cell>
          <cell r="G142" t="str">
            <v/>
          </cell>
          <cell r="H142" t="e">
            <v>#REF!</v>
          </cell>
          <cell r="I142" t="str">
            <v/>
          </cell>
          <cell r="J142" t="str">
            <v/>
          </cell>
          <cell r="K142" t="b">
            <v>1</v>
          </cell>
          <cell r="M142" t="str">
            <v/>
          </cell>
          <cell r="O142" t="b">
            <v>1</v>
          </cell>
          <cell r="P142" t="str">
            <v/>
          </cell>
          <cell r="Q142" t="str">
            <v/>
          </cell>
          <cell r="R142" t="str">
            <v/>
          </cell>
          <cell r="S142" t="str">
            <v/>
          </cell>
          <cell r="T142" t="str">
            <v>YES</v>
          </cell>
          <cell r="U142" t="str">
            <v>YES</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K142">
            <v>69.625581999999994</v>
          </cell>
          <cell r="AL142">
            <v>70.345550000000003</v>
          </cell>
          <cell r="AM142">
            <v>7260</v>
          </cell>
          <cell r="AN142">
            <v>2.4062199999999999E-4</v>
          </cell>
          <cell r="AO142">
            <v>9.999999999999999E-14</v>
          </cell>
          <cell r="AP142">
            <v>1.6753446792003999E-2</v>
          </cell>
          <cell r="AQ142">
            <v>6.9625581999999987E-12</v>
          </cell>
          <cell r="AR142">
            <v>7.0345549999999986E-9</v>
          </cell>
          <cell r="AS142">
            <v>0.21177546966547514</v>
          </cell>
          <cell r="AT142">
            <v>1693.976816597881</v>
          </cell>
          <cell r="AU142">
            <v>7039991.42471545</v>
          </cell>
          <cell r="AV142">
            <v>0.25956871494403444</v>
          </cell>
          <cell r="AW142">
            <v>2076.2715631034262</v>
          </cell>
          <cell r="AX142">
            <v>8628768.6209217198</v>
          </cell>
          <cell r="AY142">
            <v>117944.12175013471</v>
          </cell>
          <cell r="AZ142">
            <v>144561.61597112575</v>
          </cell>
          <cell r="BA142">
            <v>26617.494220991037</v>
          </cell>
          <cell r="BB142">
            <v>423.66035206473299</v>
          </cell>
          <cell r="BC142">
            <v>459.76189894659836</v>
          </cell>
          <cell r="BD142">
            <v>6.6033473005166172</v>
          </cell>
          <cell r="BE142">
            <v>27442.824432165875</v>
          </cell>
          <cell r="BF142">
            <v>28.908163000000002</v>
          </cell>
          <cell r="BG142">
            <v>319.95713559719104</v>
          </cell>
          <cell r="BH142">
            <v>312.38106610510863</v>
          </cell>
          <cell r="BI142"/>
          <cell r="BJ142">
            <v>0</v>
          </cell>
          <cell r="BK142">
            <v>16.211000107712533</v>
          </cell>
          <cell r="BL142">
            <v>632.33820170229967</v>
          </cell>
          <cell r="BM142">
            <v>648.54920181001216</v>
          </cell>
          <cell r="BN142">
            <v>22277.201781007341</v>
          </cell>
          <cell r="BO142">
            <v>21749.713533348659</v>
          </cell>
          <cell r="BP142">
            <v>0</v>
          </cell>
          <cell r="BQ142">
            <v>0</v>
          </cell>
          <cell r="BR142">
            <v>1128.7003173015478</v>
          </cell>
          <cell r="BS142">
            <v>44026.915314355996</v>
          </cell>
          <cell r="BT142">
            <v>45155.615631657543</v>
          </cell>
          <cell r="BU142">
            <v>-405.79757984941341</v>
          </cell>
          <cell r="BV142">
            <v>0.94033163959471722</v>
          </cell>
          <cell r="BW142">
            <v>-95.297177023494214</v>
          </cell>
          <cell r="BX142">
            <v>-311.44073446551391</v>
          </cell>
          <cell r="BZ142">
            <v>3.5092709310968373</v>
          </cell>
          <cell r="CA142">
            <v>-8.6478360279996867E-3</v>
          </cell>
          <cell r="CB142">
            <v>0</v>
          </cell>
          <cell r="CC142">
            <v>48142994</v>
          </cell>
          <cell r="CD142">
            <v>200077.274729659</v>
          </cell>
          <cell r="CE142">
            <v>0</v>
          </cell>
          <cell r="CF142">
            <v>0</v>
          </cell>
          <cell r="CG142">
            <v>35.217807999999998</v>
          </cell>
          <cell r="CH142">
            <v>0.50581707166196477</v>
          </cell>
          <cell r="CI142">
            <v>2102.1231294809486</v>
          </cell>
          <cell r="CJ142">
            <v>40.643696333333338</v>
          </cell>
          <cell r="CK142">
            <v>0.5837465937926859</v>
          </cell>
          <cell r="CL142">
            <v>2425.9901164178086</v>
          </cell>
          <cell r="CM142">
            <v>8.7722970000000018</v>
          </cell>
          <cell r="CN142">
            <v>0.12599244053715777</v>
          </cell>
          <cell r="CO142">
            <v>523.61147582996477</v>
          </cell>
          <cell r="CP142">
            <v>4.992011333333334</v>
          </cell>
          <cell r="CQ142">
            <v>7.169794764995048E-2</v>
          </cell>
          <cell r="CR142">
            <v>297.96921166788775</v>
          </cell>
          <cell r="CS142">
            <v>0.38</v>
          </cell>
          <cell r="CT142">
            <v>5.1648430026768034E-2</v>
          </cell>
          <cell r="CU142">
            <v>0.16593953929175057</v>
          </cell>
          <cell r="CV142">
            <v>0.51648430026768033</v>
          </cell>
          <cell r="CW142">
            <v>0</v>
          </cell>
          <cell r="CX142">
            <v>0</v>
          </cell>
          <cell r="CY142">
            <v>0</v>
          </cell>
          <cell r="CZ142">
            <v>44026.915314356003</v>
          </cell>
        </row>
        <row r="143">
          <cell r="B143" t="str">
            <v>TJK</v>
          </cell>
          <cell r="C143" t="str">
            <v>LIC</v>
          </cell>
          <cell r="D143" t="str">
            <v>OLIC</v>
          </cell>
          <cell r="E143" t="str">
            <v>OLIC_nonLDC</v>
          </cell>
          <cell r="F143" t="str">
            <v xml:space="preserve"> </v>
          </cell>
          <cell r="G143" t="str">
            <v/>
          </cell>
          <cell r="H143" t="e">
            <v>#REF!</v>
          </cell>
          <cell r="I143" t="str">
            <v/>
          </cell>
          <cell r="J143" t="str">
            <v/>
          </cell>
          <cell r="K143" t="str">
            <v/>
          </cell>
          <cell r="M143" t="b">
            <v>1</v>
          </cell>
          <cell r="N143" t="b">
            <v>1</v>
          </cell>
          <cell r="O143" t="b">
            <v>1</v>
          </cell>
          <cell r="P143" t="str">
            <v/>
          </cell>
          <cell r="Q143" t="str">
            <v/>
          </cell>
          <cell r="R143" t="str">
            <v>YES</v>
          </cell>
          <cell r="S143" t="str">
            <v/>
          </cell>
          <cell r="T143" t="str">
            <v>YES</v>
          </cell>
          <cell r="U143" t="str">
            <v/>
          </cell>
          <cell r="V143" t="str">
            <v>YES</v>
          </cell>
          <cell r="W143" t="str">
            <v/>
          </cell>
          <cell r="X143" t="str">
            <v/>
          </cell>
          <cell r="Y143" t="str">
            <v/>
          </cell>
          <cell r="Z143" t="str">
            <v/>
          </cell>
          <cell r="AA143" t="str">
            <v/>
          </cell>
          <cell r="AB143" t="str">
            <v/>
          </cell>
          <cell r="AC143" t="str">
            <v/>
          </cell>
          <cell r="AD143" t="str">
            <v/>
          </cell>
          <cell r="AE143" t="str">
            <v/>
          </cell>
          <cell r="AF143" t="str">
            <v/>
          </cell>
          <cell r="AG143" t="b">
            <v>1</v>
          </cell>
          <cell r="AK143">
            <v>9.3210180000000005</v>
          </cell>
          <cell r="AL143">
            <v>11.557370000000001</v>
          </cell>
          <cell r="AM143">
            <v>1030</v>
          </cell>
          <cell r="AN143">
            <v>2.8346049999999998E-2</v>
          </cell>
          <cell r="AO143">
            <v>1.2E-2</v>
          </cell>
          <cell r="AP143">
            <v>0.2642140422789</v>
          </cell>
          <cell r="AQ143">
            <v>0.111852216</v>
          </cell>
          <cell r="AR143">
            <v>138.68844000000001</v>
          </cell>
          <cell r="AS143">
            <v>0.252</v>
          </cell>
          <cell r="AT143">
            <v>212.0746023853961</v>
          </cell>
          <cell r="AU143">
            <v>7481.6280358425993</v>
          </cell>
          <cell r="AV143">
            <v>0.2962876526458616</v>
          </cell>
          <cell r="AW143">
            <v>249.34557986735499</v>
          </cell>
          <cell r="AX143">
            <v>8796.4841615447313</v>
          </cell>
          <cell r="AY143">
            <v>1976.7511861771202</v>
          </cell>
          <cell r="AZ143">
            <v>2324.1546381640533</v>
          </cell>
          <cell r="BA143">
            <v>347.40345198693308</v>
          </cell>
          <cell r="BB143">
            <v>412.46970253373667</v>
          </cell>
          <cell r="BC143">
            <v>390.44678090940465</v>
          </cell>
          <cell r="BD143">
            <v>41.888856014375747</v>
          </cell>
          <cell r="BE143">
            <v>1477.7669556913838</v>
          </cell>
          <cell r="BF143">
            <v>9.2181837499999997</v>
          </cell>
          <cell r="BG143">
            <v>72.399441618741349</v>
          </cell>
          <cell r="BH143">
            <v>79.98326650421582</v>
          </cell>
          <cell r="BI143"/>
          <cell r="BJ143">
            <v>16.901614122316161</v>
          </cell>
          <cell r="BK143">
            <v>8.296951769015779</v>
          </cell>
          <cell r="BL143">
            <v>169.28432224527336</v>
          </cell>
          <cell r="BM143">
            <v>177.58127401428914</v>
          </cell>
          <cell r="BN143">
            <v>674.83649851823725</v>
          </cell>
          <cell r="BO143">
            <v>745.52546678459282</v>
          </cell>
          <cell r="BP143">
            <v>0</v>
          </cell>
          <cell r="BQ143">
            <v>157.54024946316315</v>
          </cell>
          <cell r="BR143">
            <v>77.336036784127927</v>
          </cell>
          <cell r="BS143">
            <v>1577.902214765993</v>
          </cell>
          <cell r="BT143">
            <v>1655.2382515501208</v>
          </cell>
          <cell r="BU143">
            <v>44.611532311595866</v>
          </cell>
          <cell r="BV143">
            <v>42.581429524112572</v>
          </cell>
          <cell r="BW143">
            <v>22.530325645270352</v>
          </cell>
          <cell r="BX143">
            <v>-20.500222857787087</v>
          </cell>
          <cell r="BZ143">
            <v>21.438911750809012</v>
          </cell>
          <cell r="CA143">
            <v>0.4805688269361777</v>
          </cell>
          <cell r="CB143">
            <v>0</v>
          </cell>
          <cell r="CC143" t="str">
            <v>—</v>
          </cell>
          <cell r="CD143" t="e">
            <v>#VALUE!</v>
          </cell>
          <cell r="CE143">
            <v>415.8248956839667</v>
          </cell>
          <cell r="CF143">
            <v>195.22339045470233</v>
          </cell>
          <cell r="CG143">
            <v>27.630810666666665</v>
          </cell>
          <cell r="CH143">
            <v>2.9643554670387573</v>
          </cell>
          <cell r="CI143">
            <v>104.57737381535549</v>
          </cell>
          <cell r="CJ143">
            <v>49.589630666666665</v>
          </cell>
          <cell r="CK143">
            <v>5.3201947112071517</v>
          </cell>
          <cell r="CL143">
            <v>187.68733954844333</v>
          </cell>
          <cell r="CM143">
            <v>8.3025400000000005</v>
          </cell>
          <cell r="CN143">
            <v>0.89073317957330411</v>
          </cell>
          <cell r="CO143">
            <v>31.423538008763273</v>
          </cell>
          <cell r="CP143">
            <v>9.0822880000000001</v>
          </cell>
          <cell r="CQ143">
            <v>0.9743879906679721</v>
          </cell>
          <cell r="CR143">
            <v>34.374736186099021</v>
          </cell>
          <cell r="CS143" t="str">
            <v/>
          </cell>
          <cell r="CT143">
            <v>0.14555813538821616</v>
          </cell>
          <cell r="CU143">
            <v>0.38136263657038311</v>
          </cell>
          <cell r="CV143">
            <v>1.4555813538821616</v>
          </cell>
          <cell r="CW143">
            <v>0</v>
          </cell>
          <cell r="CX143">
            <v>0</v>
          </cell>
          <cell r="CY143">
            <v>0</v>
          </cell>
          <cell r="CZ143">
            <v>1420.3619653028302</v>
          </cell>
        </row>
        <row r="144">
          <cell r="B144" t="str">
            <v>TKL</v>
          </cell>
          <cell r="D144" t="str">
            <v>HIC</v>
          </cell>
          <cell r="F144" t="str">
            <v xml:space="preserve"> </v>
          </cell>
          <cell r="G144" t="str">
            <v/>
          </cell>
          <cell r="H144" t="e">
            <v>#REF!</v>
          </cell>
          <cell r="I144" t="str">
            <v/>
          </cell>
          <cell r="J144" t="str">
            <v/>
          </cell>
          <cell r="K144" t="str">
            <v/>
          </cell>
          <cell r="M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K144">
            <v>1E-3</v>
          </cell>
          <cell r="AL144" t="e">
            <v>#VALUE!</v>
          </cell>
          <cell r="AM144" t="b">
            <v>0</v>
          </cell>
          <cell r="AN144" t="e">
            <v>#VALUE!</v>
          </cell>
          <cell r="AO144" t="e">
            <v>#VALUE!</v>
          </cell>
          <cell r="AP144" t="e">
            <v>#VALUE!</v>
          </cell>
          <cell r="AQ144" t="e">
            <v>#VALUE!</v>
          </cell>
          <cell r="AR144" t="e">
            <v>#VALUE!</v>
          </cell>
          <cell r="AS144" t="e">
            <v>#N/A</v>
          </cell>
          <cell r="AT144" t="e">
            <v>#N/A</v>
          </cell>
          <cell r="AU144" t="e">
            <v>#N/A</v>
          </cell>
          <cell r="AV144" t="e">
            <v>#N/A</v>
          </cell>
          <cell r="AW144" t="e">
            <v>#N/A</v>
          </cell>
          <cell r="AX144" t="e">
            <v>#N/A</v>
          </cell>
          <cell r="AY144" t="e">
            <v>#N/A</v>
          </cell>
          <cell r="AZ144" t="e">
            <v>#N/A</v>
          </cell>
          <cell r="BA144" t="e">
            <v>#N/A</v>
          </cell>
          <cell r="BB144">
            <v>10.572843678274998</v>
          </cell>
          <cell r="BC144">
            <v>16.629108333802826</v>
          </cell>
          <cell r="BD144">
            <v>16629.108333802826</v>
          </cell>
          <cell r="BE144" t="e">
            <v>#VALUE!</v>
          </cell>
          <cell r="BF144">
            <v>4.4915499999999997E-2</v>
          </cell>
          <cell r="BG144" t="str">
            <v/>
          </cell>
          <cell r="BH144" t="str">
            <v/>
          </cell>
          <cell r="BI144"/>
          <cell r="BJ144" t="str">
            <v/>
          </cell>
          <cell r="BK144" t="str">
            <v/>
          </cell>
          <cell r="BL144" t="str">
            <v/>
          </cell>
          <cell r="BM144" t="str">
            <v/>
          </cell>
          <cell r="BN144" t="str">
            <v/>
          </cell>
          <cell r="BO144" t="str">
            <v/>
          </cell>
          <cell r="BP144">
            <v>0</v>
          </cell>
          <cell r="BQ144" t="str">
            <v/>
          </cell>
          <cell r="BR144" t="str">
            <v/>
          </cell>
          <cell r="BS144" t="str">
            <v/>
          </cell>
          <cell r="BT144" t="str">
            <v/>
          </cell>
          <cell r="BU144" t="str">
            <v/>
          </cell>
          <cell r="BV144" t="str">
            <v/>
          </cell>
          <cell r="BW144" t="str">
            <v/>
          </cell>
          <cell r="BX144" t="str">
            <v/>
          </cell>
          <cell r="BZ144" t="str">
            <v/>
          </cell>
          <cell r="CA144" t="str">
            <v/>
          </cell>
          <cell r="CB144">
            <v>0</v>
          </cell>
          <cell r="CC144" t="e">
            <v>#N/A</v>
          </cell>
          <cell r="CE144" t="e">
            <v>#VALUE!</v>
          </cell>
          <cell r="CF144">
            <v>5.2864218391374989</v>
          </cell>
          <cell r="CG144">
            <v>0.92826733333333333</v>
          </cell>
          <cell r="CH144">
            <v>928.26733333333334</v>
          </cell>
          <cell r="CI144" t="e">
            <v>#VALUE!</v>
          </cell>
          <cell r="CJ144">
            <v>0.17899500000000002</v>
          </cell>
          <cell r="CK144">
            <v>178.995</v>
          </cell>
          <cell r="CL144" t="e">
            <v>#VALUE!</v>
          </cell>
          <cell r="CM144">
            <v>6.0426666666666658E-3</v>
          </cell>
          <cell r="CN144">
            <v>6.0426666666666655</v>
          </cell>
          <cell r="CO144" t="e">
            <v>#VALUE!</v>
          </cell>
          <cell r="CP144">
            <v>1.8453333333333334E-3</v>
          </cell>
          <cell r="CQ144">
            <v>1.8453333333333333</v>
          </cell>
          <cell r="CR144" t="e">
            <v>#VALUE!</v>
          </cell>
          <cell r="CS144" t="str">
            <v/>
          </cell>
          <cell r="CT144" t="e">
            <v>#N/A</v>
          </cell>
          <cell r="CU144" t="str">
            <v/>
          </cell>
          <cell r="CV144" t="e">
            <v>#N/A</v>
          </cell>
          <cell r="CW144">
            <v>0</v>
          </cell>
          <cell r="CX144">
            <v>0</v>
          </cell>
          <cell r="CY144" t="e">
            <v>#VALUE!</v>
          </cell>
          <cell r="CZ144" t="e">
            <v>#VALUE!</v>
          </cell>
        </row>
        <row r="145">
          <cell r="B145" t="str">
            <v>TKM</v>
          </cell>
          <cell r="C145" t="str">
            <v>UMIC</v>
          </cell>
          <cell r="D145" t="str">
            <v>UMIC</v>
          </cell>
          <cell r="E145" t="str">
            <v/>
          </cell>
          <cell r="F145" t="str">
            <v xml:space="preserve"> </v>
          </cell>
          <cell r="G145" t="str">
            <v/>
          </cell>
          <cell r="H145" t="e">
            <v>#REF!</v>
          </cell>
          <cell r="I145" t="str">
            <v/>
          </cell>
          <cell r="J145" t="str">
            <v/>
          </cell>
          <cell r="K145" t="b">
            <v>1</v>
          </cell>
          <cell r="M145" t="str">
            <v/>
          </cell>
          <cell r="P145" t="str">
            <v/>
          </cell>
          <cell r="Q145" t="str">
            <v/>
          </cell>
          <cell r="R145" t="str">
            <v>YES</v>
          </cell>
          <cell r="S145" t="str">
            <v/>
          </cell>
          <cell r="T145" t="str">
            <v>YES</v>
          </cell>
          <cell r="U145" t="str">
            <v/>
          </cell>
          <cell r="V145" t="str">
            <v>YES</v>
          </cell>
          <cell r="W145" t="str">
            <v/>
          </cell>
          <cell r="X145" t="str">
            <v/>
          </cell>
          <cell r="Y145" t="str">
            <v/>
          </cell>
          <cell r="Z145" t="str">
            <v/>
          </cell>
          <cell r="AA145" t="str">
            <v/>
          </cell>
          <cell r="AB145" t="str">
            <v/>
          </cell>
          <cell r="AC145" t="str">
            <v/>
          </cell>
          <cell r="AD145" t="str">
            <v/>
          </cell>
          <cell r="AE145" t="str">
            <v/>
          </cell>
          <cell r="AF145" t="str">
            <v/>
          </cell>
          <cell r="AG145" t="b">
            <v>1</v>
          </cell>
          <cell r="AH145" t="b">
            <v>1</v>
          </cell>
          <cell r="AI145" t="b">
            <v>1</v>
          </cell>
          <cell r="AK145">
            <v>5.9420890000000002</v>
          </cell>
          <cell r="AL145">
            <v>6.7823599999999997</v>
          </cell>
          <cell r="AM145">
            <v>6966.6354106307699</v>
          </cell>
          <cell r="AN145">
            <v>1.3503929999999999E-2</v>
          </cell>
          <cell r="AO145">
            <v>5.0000000000000001E-4</v>
          </cell>
          <cell r="AP145">
            <v>8.0241553909770003E-2</v>
          </cell>
          <cell r="AQ145">
            <v>2.9710445000000001E-3</v>
          </cell>
          <cell r="AR145">
            <v>3.3911800000000003</v>
          </cell>
          <cell r="AS145">
            <v>0.13700000000000001</v>
          </cell>
          <cell r="AT145">
            <v>946.86475242929612</v>
          </cell>
          <cell r="AU145">
            <v>70117.717762850982</v>
          </cell>
          <cell r="AV145">
            <v>0.2</v>
          </cell>
          <cell r="AW145">
            <v>1382.2843101157607</v>
          </cell>
          <cell r="AX145">
            <v>102361.63177058536</v>
          </cell>
          <cell r="AY145">
            <v>5626.3546298978436</v>
          </cell>
          <cell r="AZ145">
            <v>8213.6563940114502</v>
          </cell>
          <cell r="BA145">
            <v>2587.3017641136066</v>
          </cell>
          <cell r="BB145">
            <v>23.972200391413633</v>
          </cell>
          <cell r="BC145">
            <v>22.993115781310564</v>
          </cell>
          <cell r="BD145">
            <v>3.8695340613899529</v>
          </cell>
          <cell r="BE145">
            <v>286.54873517486783</v>
          </cell>
          <cell r="BF145">
            <v>0.45806924999999998</v>
          </cell>
          <cell r="BG145">
            <v>276.45686202315215</v>
          </cell>
          <cell r="BH145">
            <v>374.89730777849468</v>
          </cell>
          <cell r="BI145"/>
          <cell r="BJ145">
            <v>0</v>
          </cell>
          <cell r="BK145">
            <v>12.507399012211772</v>
          </cell>
          <cell r="BL145">
            <v>651.35416980164678</v>
          </cell>
          <cell r="BM145">
            <v>663.86156881385853</v>
          </cell>
          <cell r="BN145">
            <v>1642.7312788022903</v>
          </cell>
          <cell r="BO145">
            <v>2227.6731686802077</v>
          </cell>
          <cell r="BP145">
            <v>0</v>
          </cell>
          <cell r="BQ145">
            <v>0</v>
          </cell>
          <cell r="BR145">
            <v>74.320078089074443</v>
          </cell>
          <cell r="BS145">
            <v>3870.4044474824977</v>
          </cell>
          <cell r="BT145">
            <v>3944.724525571572</v>
          </cell>
          <cell r="BU145">
            <v>-39.787985256233583</v>
          </cell>
          <cell r="BV145">
            <v>167.55466126113058</v>
          </cell>
          <cell r="BW145">
            <v>0</v>
          </cell>
          <cell r="BX145">
            <v>-207.3426465173641</v>
          </cell>
          <cell r="BZ145">
            <v>1.9733114929202984</v>
          </cell>
          <cell r="CA145">
            <v>-4.959566261554145E-2</v>
          </cell>
          <cell r="CB145">
            <v>0</v>
          </cell>
          <cell r="CC145" t="e">
            <v>#N/A</v>
          </cell>
          <cell r="CD145" t="e">
            <v>#N/A</v>
          </cell>
          <cell r="CE145">
            <v>0</v>
          </cell>
          <cell r="CF145">
            <v>0</v>
          </cell>
          <cell r="CG145">
            <v>4.2582866666666668</v>
          </cell>
          <cell r="CH145">
            <v>0.71663124982925475</v>
          </cell>
          <cell r="CI145">
            <v>53.068347498043515</v>
          </cell>
          <cell r="CJ145">
            <v>9.2247820000000011</v>
          </cell>
          <cell r="CK145">
            <v>1.5524476324740342</v>
          </cell>
          <cell r="CL145">
            <v>114.96265401805506</v>
          </cell>
          <cell r="CM145">
            <v>13.882191333333333</v>
          </cell>
          <cell r="CN145">
            <v>2.3362476282891982</v>
          </cell>
          <cell r="CO145">
            <v>173.00501619078287</v>
          </cell>
          <cell r="CP145">
            <v>0.28843566666666665</v>
          </cell>
          <cell r="CQ145">
            <v>4.8541121929790453E-2</v>
          </cell>
          <cell r="CR145">
            <v>3.5945922357262261</v>
          </cell>
          <cell r="CS145" t="str">
            <v/>
          </cell>
          <cell r="CT145">
            <v>0.11125127880110849</v>
          </cell>
          <cell r="CU145">
            <v>0.31253537266102882</v>
          </cell>
          <cell r="CV145">
            <v>1.112512788011085</v>
          </cell>
          <cell r="CW145">
            <v>0</v>
          </cell>
          <cell r="CX145">
            <v>0</v>
          </cell>
          <cell r="CY145">
            <v>0</v>
          </cell>
          <cell r="CZ145">
            <v>3870.4044474824977</v>
          </cell>
        </row>
        <row r="146">
          <cell r="B146" t="str">
            <v>TLS</v>
          </cell>
          <cell r="C146" t="str">
            <v>LMIC</v>
          </cell>
          <cell r="D146" t="str">
            <v>LLMIC</v>
          </cell>
          <cell r="E146" t="str">
            <v>LMIC_LDC</v>
          </cell>
          <cell r="F146" t="b">
            <v>1</v>
          </cell>
          <cell r="G146" t="b">
            <v>1</v>
          </cell>
          <cell r="H146" t="e">
            <v>#REF!</v>
          </cell>
          <cell r="I146" t="str">
            <v/>
          </cell>
          <cell r="J146" t="str">
            <v/>
          </cell>
          <cell r="K146" t="b">
            <v>1</v>
          </cell>
          <cell r="M146" t="str">
            <v/>
          </cell>
          <cell r="P146" t="str">
            <v/>
          </cell>
          <cell r="Q146" t="b">
            <v>1</v>
          </cell>
          <cell r="R146" t="str">
            <v>YES</v>
          </cell>
          <cell r="S146" t="str">
            <v/>
          </cell>
          <cell r="T146" t="str">
            <v>YES</v>
          </cell>
          <cell r="U146" t="str">
            <v/>
          </cell>
          <cell r="V146" t="str">
            <v>YES</v>
          </cell>
          <cell r="W146" t="str">
            <v/>
          </cell>
          <cell r="X146" t="str">
            <v/>
          </cell>
          <cell r="Y146" t="str">
            <v/>
          </cell>
          <cell r="Z146" t="str">
            <v/>
          </cell>
          <cell r="AA146" t="str">
            <v/>
          </cell>
          <cell r="AB146" t="str">
            <v/>
          </cell>
          <cell r="AC146" t="str">
            <v/>
          </cell>
          <cell r="AD146" t="str">
            <v/>
          </cell>
          <cell r="AE146" t="str">
            <v/>
          </cell>
          <cell r="AF146" t="str">
            <v/>
          </cell>
          <cell r="AG146" t="str">
            <v/>
          </cell>
          <cell r="AK146">
            <v>1.2931189999999999</v>
          </cell>
          <cell r="AL146">
            <v>1.5740589999999999</v>
          </cell>
          <cell r="AM146">
            <v>1890</v>
          </cell>
          <cell r="AN146">
            <v>0.2672522</v>
          </cell>
          <cell r="AO146">
            <v>0.21149999999999999</v>
          </cell>
          <cell r="AP146">
            <v>0.34558889761179995</v>
          </cell>
          <cell r="AQ146">
            <v>0.27349466849999998</v>
          </cell>
          <cell r="AR146">
            <v>332.91347849999994</v>
          </cell>
          <cell r="AS146">
            <v>0.2691915513474144</v>
          </cell>
          <cell r="AT146">
            <v>371.95728698503126</v>
          </cell>
          <cell r="AU146">
            <v>1391.7838168779574</v>
          </cell>
          <cell r="AV146">
            <v>0.27947714252678868</v>
          </cell>
          <cell r="AW146">
            <v>386.16947370102406</v>
          </cell>
          <cell r="AX146">
            <v>1444.9627494217973</v>
          </cell>
          <cell r="AY146">
            <v>480.9850349887966</v>
          </cell>
          <cell r="AZ146">
            <v>499.36308366279451</v>
          </cell>
          <cell r="BA146">
            <v>18.37804867399791</v>
          </cell>
          <cell r="BB146">
            <v>215.37063187835233</v>
          </cell>
          <cell r="BC146">
            <v>206.44707648332701</v>
          </cell>
          <cell r="BD146">
            <v>159.6504857505976</v>
          </cell>
          <cell r="BE146">
            <v>597.37762963447108</v>
          </cell>
          <cell r="BF146">
            <v>4.0236487499999996</v>
          </cell>
          <cell r="BG146">
            <v>94.856907526002075</v>
          </cell>
          <cell r="BH146">
            <v>105.66201101841052</v>
          </cell>
          <cell r="BI146"/>
          <cell r="BJ146">
            <v>36.817696603429972</v>
          </cell>
          <cell r="BK146">
            <v>26.099210220952397</v>
          </cell>
          <cell r="BL146">
            <v>237.33661514784256</v>
          </cell>
          <cell r="BM146">
            <v>263.43582536879495</v>
          </cell>
          <cell r="BN146">
            <v>122.66126940311626</v>
          </cell>
          <cell r="BO146">
            <v>136.633554026116</v>
          </cell>
          <cell r="BP146">
            <v>0</v>
          </cell>
          <cell r="BQ146">
            <v>47.60966301413076</v>
          </cell>
          <cell r="BR146">
            <v>33.74938462170774</v>
          </cell>
          <cell r="BS146">
            <v>306.90448644336306</v>
          </cell>
          <cell r="BT146">
            <v>340.6538710650708</v>
          </cell>
          <cell r="BU146">
            <v>44.251878297330535</v>
          </cell>
          <cell r="BV146">
            <v>47.736589963256918</v>
          </cell>
          <cell r="BW146">
            <v>17.623012785797258</v>
          </cell>
          <cell r="BX146">
            <v>-21.107724451723634</v>
          </cell>
          <cell r="BZ146">
            <v>81.38103501430534</v>
          </cell>
          <cell r="CA146">
            <v>1.839041372831729</v>
          </cell>
          <cell r="CB146">
            <v>0</v>
          </cell>
          <cell r="CC146" t="str">
            <v>—</v>
          </cell>
          <cell r="CD146" t="e">
            <v>#VALUE!</v>
          </cell>
          <cell r="CE146">
            <v>57.222944611965758</v>
          </cell>
          <cell r="CF146">
            <v>107.68531593917616</v>
          </cell>
          <cell r="CG146">
            <v>32.457202333333335</v>
          </cell>
          <cell r="CH146">
            <v>25.099934602564293</v>
          </cell>
          <cell r="CI146">
            <v>93.918533140472903</v>
          </cell>
          <cell r="CJ146">
            <v>24.470319</v>
          </cell>
          <cell r="CK146">
            <v>18.923485773544432</v>
          </cell>
          <cell r="CL146">
            <v>70.807595872155332</v>
          </cell>
          <cell r="CM146">
            <v>14.046810333333333</v>
          </cell>
          <cell r="CN146">
            <v>10.862736015272635</v>
          </cell>
          <cell r="CO146">
            <v>40.646011577351409</v>
          </cell>
          <cell r="CP146">
            <v>5.4955510000000007</v>
          </cell>
          <cell r="CQ146">
            <v>4.2498416619042807</v>
          </cell>
          <cell r="CR146">
            <v>15.901989438830741</v>
          </cell>
          <cell r="CS146" t="str">
            <v/>
          </cell>
          <cell r="CT146">
            <v>0.13771663706124496</v>
          </cell>
          <cell r="CU146">
            <v>0.37553233693109456</v>
          </cell>
          <cell r="CV146">
            <v>1.3771663706124495</v>
          </cell>
          <cell r="CW146">
            <v>0</v>
          </cell>
          <cell r="CX146">
            <v>0</v>
          </cell>
          <cell r="CY146">
            <v>0</v>
          </cell>
          <cell r="CZ146">
            <v>259.29482342923228</v>
          </cell>
        </row>
        <row r="147">
          <cell r="B147" t="str">
            <v>TON</v>
          </cell>
          <cell r="C147" t="str">
            <v>UMIC</v>
          </cell>
          <cell r="D147" t="str">
            <v>UMIC</v>
          </cell>
          <cell r="E147" t="str">
            <v/>
          </cell>
          <cell r="F147" t="str">
            <v xml:space="preserve"> </v>
          </cell>
          <cell r="G147" t="str">
            <v/>
          </cell>
          <cell r="H147" t="e">
            <v>#REF!</v>
          </cell>
          <cell r="I147" t="str">
            <v/>
          </cell>
          <cell r="J147" t="str">
            <v/>
          </cell>
          <cell r="K147" t="b">
            <v>1</v>
          </cell>
          <cell r="M147" t="str">
            <v/>
          </cell>
          <cell r="P147" t="str">
            <v/>
          </cell>
          <cell r="Q147" t="str">
            <v/>
          </cell>
          <cell r="R147" t="str">
            <v/>
          </cell>
          <cell r="S147" t="str">
            <v/>
          </cell>
          <cell r="T147" t="str">
            <v>YES</v>
          </cell>
          <cell r="U147" t="str">
            <v>YES</v>
          </cell>
          <cell r="V147" t="str">
            <v/>
          </cell>
          <cell r="W147" t="str">
            <v/>
          </cell>
          <cell r="X147" t="str">
            <v>YES</v>
          </cell>
          <cell r="Y147" t="str">
            <v/>
          </cell>
          <cell r="Z147" t="str">
            <v>YES</v>
          </cell>
          <cell r="AA147" t="str">
            <v/>
          </cell>
          <cell r="AB147" t="str">
            <v/>
          </cell>
          <cell r="AC147" t="str">
            <v/>
          </cell>
          <cell r="AD147" t="str">
            <v/>
          </cell>
          <cell r="AE147" t="str">
            <v>YES</v>
          </cell>
          <cell r="AF147" t="str">
            <v>YES</v>
          </cell>
          <cell r="AK147">
            <v>0.104494</v>
          </cell>
          <cell r="AL147">
            <v>0.115616</v>
          </cell>
          <cell r="AM147">
            <v>4364.0155613494999</v>
          </cell>
          <cell r="AN147">
            <v>6.7295919999999995E-3</v>
          </cell>
          <cell r="AO147">
            <v>6.5000000000000006E-3</v>
          </cell>
          <cell r="AP147">
            <v>7.0320198644799998E-4</v>
          </cell>
          <cell r="AQ147">
            <v>6.7921100000000009E-4</v>
          </cell>
          <cell r="AR147">
            <v>0.75150399999999995</v>
          </cell>
          <cell r="AS147">
            <v>0.22982382957257327</v>
          </cell>
          <cell r="AT147">
            <v>987.43940441990321</v>
          </cell>
          <cell r="AU147">
            <v>146730.94660417797</v>
          </cell>
          <cell r="AV147">
            <v>0.27169051330530364</v>
          </cell>
          <cell r="AW147">
            <v>1167.319851660598</v>
          </cell>
          <cell r="AX147">
            <v>173460.71673596231</v>
          </cell>
          <cell r="AY147">
            <v>103.18149312545337</v>
          </cell>
          <cell r="AZ147">
            <v>121.97792057942254</v>
          </cell>
          <cell r="BA147">
            <v>18.796427453969173</v>
          </cell>
          <cell r="BB147">
            <v>77.951324589069529</v>
          </cell>
          <cell r="BC147">
            <v>80.939604480298797</v>
          </cell>
          <cell r="BD147">
            <v>774.58614351349161</v>
          </cell>
          <cell r="BE147">
            <v>115101.50147490244</v>
          </cell>
          <cell r="BF147">
            <v>5.7545512500000005</v>
          </cell>
          <cell r="BG147">
            <v>171.86022985629376</v>
          </cell>
          <cell r="BH147">
            <v>168.60007725706089</v>
          </cell>
          <cell r="BI147"/>
          <cell r="BJ147">
            <v>27.455713176962906</v>
          </cell>
          <cell r="BK147">
            <v>10.912937497399337</v>
          </cell>
          <cell r="BL147">
            <v>367.91602029031753</v>
          </cell>
          <cell r="BM147">
            <v>378.82895778771689</v>
          </cell>
          <cell r="BN147">
            <v>17.958362858603561</v>
          </cell>
          <cell r="BO147">
            <v>17.617696472899322</v>
          </cell>
          <cell r="BP147">
            <v>0</v>
          </cell>
          <cell r="BQ147">
            <v>2.8689572927135618</v>
          </cell>
          <cell r="BR147">
            <v>1.1403364908532463</v>
          </cell>
          <cell r="BS147">
            <v>38.445016624216443</v>
          </cell>
          <cell r="BT147">
            <v>39.585353115069687</v>
          </cell>
          <cell r="BU147">
            <v>-215.74390553998148</v>
          </cell>
          <cell r="BV147">
            <v>-6.4979004920288048</v>
          </cell>
          <cell r="BW147">
            <v>-61.603740475825873</v>
          </cell>
          <cell r="BX147">
            <v>-147.64226457212678</v>
          </cell>
          <cell r="BZ147">
            <v>414.82839077027774</v>
          </cell>
          <cell r="CA147">
            <v>-1.9227815021333341</v>
          </cell>
          <cell r="CB147">
            <v>0</v>
          </cell>
          <cell r="CC147" t="str">
            <v>—</v>
          </cell>
          <cell r="CD147" t="e">
            <v>#VALUE!</v>
          </cell>
          <cell r="CE147">
            <v>0</v>
          </cell>
          <cell r="CF147">
            <v>0</v>
          </cell>
          <cell r="CG147">
            <v>7.473079666666667</v>
          </cell>
          <cell r="CH147">
            <v>71.516830312426237</v>
          </cell>
          <cell r="CI147">
            <v>10627.216376925413</v>
          </cell>
          <cell r="CJ147">
            <v>5.8242960000000004</v>
          </cell>
          <cell r="CK147">
            <v>55.738090225276096</v>
          </cell>
          <cell r="CL147">
            <v>8282.5363298809352</v>
          </cell>
          <cell r="CM147">
            <v>3.3870960000000001</v>
          </cell>
          <cell r="CN147">
            <v>32.414263019886306</v>
          </cell>
          <cell r="CO147">
            <v>4816.6758133162175</v>
          </cell>
          <cell r="CP147">
            <v>0.24569800000000003</v>
          </cell>
          <cell r="CQ147">
            <v>2.3513120370547593</v>
          </cell>
          <cell r="CR147">
            <v>349.398899228179</v>
          </cell>
          <cell r="CS147">
            <v>0.56000000000000005</v>
          </cell>
          <cell r="CT147">
            <v>0.11676268493884816</v>
          </cell>
          <cell r="CU147">
            <v>0.35161827473347756</v>
          </cell>
          <cell r="CV147">
            <v>1.1676268493884816</v>
          </cell>
          <cell r="CW147">
            <v>0</v>
          </cell>
          <cell r="CX147">
            <v>0</v>
          </cell>
          <cell r="CY147">
            <v>0</v>
          </cell>
          <cell r="CZ147">
            <v>35.576059331502883</v>
          </cell>
        </row>
        <row r="148">
          <cell r="B148" t="str">
            <v>TTO</v>
          </cell>
          <cell r="C148" t="str">
            <v>HIC</v>
          </cell>
          <cell r="D148" t="str">
            <v>HIC</v>
          </cell>
          <cell r="E148" t="str">
            <v/>
          </cell>
          <cell r="F148" t="str">
            <v xml:space="preserve"> </v>
          </cell>
          <cell r="G148" t="str">
            <v/>
          </cell>
          <cell r="H148" t="e">
            <v>#REF!</v>
          </cell>
          <cell r="I148" t="str">
            <v/>
          </cell>
          <cell r="J148" t="str">
            <v/>
          </cell>
          <cell r="K148" t="str">
            <v/>
          </cell>
          <cell r="M148" t="str">
            <v/>
          </cell>
          <cell r="P148" t="str">
            <v/>
          </cell>
          <cell r="Q148" t="str">
            <v/>
          </cell>
          <cell r="R148" t="str">
            <v/>
          </cell>
          <cell r="S148" t="str">
            <v/>
          </cell>
          <cell r="T148" t="str">
            <v/>
          </cell>
          <cell r="U148" t="str">
            <v/>
          </cell>
          <cell r="V148" t="str">
            <v/>
          </cell>
          <cell r="W148" t="str">
            <v/>
          </cell>
          <cell r="X148" t="str">
            <v>YES</v>
          </cell>
          <cell r="Y148" t="str">
            <v/>
          </cell>
          <cell r="Z148" t="str">
            <v>YES</v>
          </cell>
          <cell r="AA148" t="str">
            <v/>
          </cell>
          <cell r="AB148" t="str">
            <v/>
          </cell>
          <cell r="AC148" t="str">
            <v/>
          </cell>
          <cell r="AD148" t="str">
            <v/>
          </cell>
          <cell r="AE148" t="str">
            <v>YES</v>
          </cell>
          <cell r="AF148" t="str">
            <v>YES</v>
          </cell>
          <cell r="AG148" t="str">
            <v/>
          </cell>
          <cell r="AK148">
            <v>1.394973</v>
          </cell>
          <cell r="AL148">
            <v>1.413413</v>
          </cell>
          <cell r="AM148">
            <v>16890</v>
          </cell>
          <cell r="AN148">
            <v>2.945011E-3</v>
          </cell>
          <cell r="AO148">
            <v>3.7499999999999999E-3</v>
          </cell>
          <cell r="AP148">
            <v>4.108210829703E-3</v>
          </cell>
          <cell r="AQ148">
            <v>5.2311487500000002E-3</v>
          </cell>
          <cell r="AR148">
            <v>5.3002987499999996</v>
          </cell>
          <cell r="AS148">
            <v>0.21299999999999999</v>
          </cell>
          <cell r="AT148">
            <v>3773.1803340489078</v>
          </cell>
          <cell r="AU148">
            <v>1281210.9476157841</v>
          </cell>
          <cell r="AV148">
            <v>0.21299999999999999</v>
          </cell>
          <cell r="AW148">
            <v>3773.1803340489078</v>
          </cell>
          <cell r="AX148">
            <v>1281210.9476157841</v>
          </cell>
          <cell r="AY148">
            <v>5263.4846901292067</v>
          </cell>
          <cell r="AZ148">
            <v>5263.4846901292067</v>
          </cell>
          <cell r="BA148">
            <v>0</v>
          </cell>
          <cell r="BB148">
            <v>0</v>
          </cell>
          <cell r="BC148">
            <v>0</v>
          </cell>
          <cell r="BD148">
            <v>0</v>
          </cell>
          <cell r="BE148">
            <v>0</v>
          </cell>
          <cell r="BF148">
            <v>0</v>
          </cell>
          <cell r="BG148">
            <v>708.57846648805787</v>
          </cell>
          <cell r="BH148">
            <v>842.2121600336194</v>
          </cell>
          <cell r="BI148"/>
          <cell r="BJ148">
            <v>33.714730813589213</v>
          </cell>
          <cell r="BK148">
            <v>13.881963815438063</v>
          </cell>
          <cell r="BL148">
            <v>1584.5053573352666</v>
          </cell>
          <cell r="BM148">
            <v>1598.3873211507046</v>
          </cell>
          <cell r="BN148">
            <v>988.4478291322456</v>
          </cell>
          <cell r="BO148">
            <v>1174.8632235185783</v>
          </cell>
          <cell r="BP148">
            <v>0</v>
          </cell>
          <cell r="BQ148">
            <v>47.031139187224987</v>
          </cell>
          <cell r="BR148">
            <v>19.364964709513082</v>
          </cell>
          <cell r="BS148">
            <v>2210.3421918380491</v>
          </cell>
          <cell r="BT148">
            <v>2229.7071565475621</v>
          </cell>
          <cell r="BU148">
            <v>-302.0848096891873</v>
          </cell>
          <cell r="BV148">
            <v>276.23510992628326</v>
          </cell>
          <cell r="BW148">
            <v>-46.057600321723726</v>
          </cell>
          <cell r="BX148">
            <v>-532.26231929374694</v>
          </cell>
          <cell r="BZ148">
            <v>0</v>
          </cell>
          <cell r="CA148">
            <v>0</v>
          </cell>
          <cell r="CB148">
            <v>0</v>
          </cell>
          <cell r="CC148" t="e">
            <v>#N/A</v>
          </cell>
          <cell r="CD148" t="e">
            <v>#N/A</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t="str">
            <v/>
          </cell>
          <cell r="CT148">
            <v>6.3346028919556152E-2</v>
          </cell>
          <cell r="CU148">
            <v>0.20127342966494688</v>
          </cell>
          <cell r="CV148">
            <v>0.63346028919556152</v>
          </cell>
          <cell r="CW148" t="e">
            <v>#N/A</v>
          </cell>
          <cell r="CX148" t="e">
            <v>#N/A</v>
          </cell>
          <cell r="CY148" t="e">
            <v>#N/A</v>
          </cell>
          <cell r="CZ148">
            <v>2163.3110526508235</v>
          </cell>
        </row>
        <row r="149">
          <cell r="B149" t="str">
            <v>TUN</v>
          </cell>
          <cell r="C149" t="str">
            <v>LMIC</v>
          </cell>
          <cell r="D149" t="str">
            <v>ULMIC</v>
          </cell>
          <cell r="E149" t="str">
            <v>LMIC_nonLDC</v>
          </cell>
          <cell r="F149" t="str">
            <v xml:space="preserve"> </v>
          </cell>
          <cell r="G149" t="str">
            <v/>
          </cell>
          <cell r="H149" t="e">
            <v>#REF!</v>
          </cell>
          <cell r="I149" t="str">
            <v/>
          </cell>
          <cell r="J149" t="str">
            <v/>
          </cell>
          <cell r="K149" t="b">
            <v>1</v>
          </cell>
          <cell r="M149" t="str">
            <v/>
          </cell>
          <cell r="P149" t="str">
            <v/>
          </cell>
          <cell r="Q149" t="str">
            <v/>
          </cell>
          <cell r="R149" t="str">
            <v/>
          </cell>
          <cell r="S149" t="str">
            <v/>
          </cell>
          <cell r="T149" t="str">
            <v>YES</v>
          </cell>
          <cell r="U149" t="str">
            <v>YES</v>
          </cell>
          <cell r="V149" t="str">
            <v/>
          </cell>
          <cell r="W149" t="str">
            <v/>
          </cell>
          <cell r="X149" t="str">
            <v/>
          </cell>
          <cell r="Y149" t="str">
            <v/>
          </cell>
          <cell r="Z149" t="str">
            <v/>
          </cell>
          <cell r="AA149" t="str">
            <v/>
          </cell>
          <cell r="AB149" t="str">
            <v/>
          </cell>
          <cell r="AC149" t="str">
            <v/>
          </cell>
          <cell r="AD149" t="str">
            <v/>
          </cell>
          <cell r="AE149" t="str">
            <v/>
          </cell>
          <cell r="AF149" t="str">
            <v/>
          </cell>
          <cell r="AK149">
            <v>11.694718999999999</v>
          </cell>
          <cell r="AL149">
            <v>12.75576</v>
          </cell>
          <cell r="AM149">
            <v>3360</v>
          </cell>
          <cell r="AN149">
            <v>2.1919560000000001E-3</v>
          </cell>
          <cell r="AO149">
            <v>1.7499999999999998E-3</v>
          </cell>
          <cell r="AP149">
            <v>2.5634309480364E-2</v>
          </cell>
          <cell r="AQ149">
            <v>2.0465758249999997E-2</v>
          </cell>
          <cell r="AR149">
            <v>22.322579999999995</v>
          </cell>
          <cell r="AS149">
            <v>0.34016875403768382</v>
          </cell>
          <cell r="AT149">
            <v>1133.2360791921624</v>
          </cell>
          <cell r="AU149">
            <v>516997.64009503945</v>
          </cell>
          <cell r="AV149">
            <v>0.34250135329242071</v>
          </cell>
          <cell r="AW149">
            <v>1141.0068858943905</v>
          </cell>
          <cell r="AX149">
            <v>520542.78730704013</v>
          </cell>
          <cell r="AY149">
            <v>13252.877506814086</v>
          </cell>
          <cell r="AZ149">
            <v>13343.754907599958</v>
          </cell>
          <cell r="BA149">
            <v>90.877400785871941</v>
          </cell>
          <cell r="BB149">
            <v>737.909928311763</v>
          </cell>
          <cell r="BC149">
            <v>857.02828131945842</v>
          </cell>
          <cell r="BD149">
            <v>73.283358182394849</v>
          </cell>
          <cell r="BE149">
            <v>33432.8600493782</v>
          </cell>
          <cell r="BF149">
            <v>4.6996387500000001</v>
          </cell>
          <cell r="BG149">
            <v>133.25575212197447</v>
          </cell>
          <cell r="BH149">
            <v>231.55076367690336</v>
          </cell>
          <cell r="BI149"/>
          <cell r="BJ149">
            <v>15.932736280603953</v>
          </cell>
          <cell r="BK149">
            <v>13.183581948354815</v>
          </cell>
          <cell r="BL149">
            <v>380.73925207948179</v>
          </cell>
          <cell r="BM149">
            <v>393.92283402783659</v>
          </cell>
          <cell r="BN149">
            <v>1558.3885762001451</v>
          </cell>
          <cell r="BO149">
            <v>2707.9211154367913</v>
          </cell>
          <cell r="BP149">
            <v>0</v>
          </cell>
          <cell r="BQ149">
            <v>186.32887370276836</v>
          </cell>
          <cell r="BR149">
            <v>154.17828629948207</v>
          </cell>
          <cell r="BS149">
            <v>4452.6385653397047</v>
          </cell>
          <cell r="BT149">
            <v>4606.816851639187</v>
          </cell>
          <cell r="BU149">
            <v>-189.76419086771347</v>
          </cell>
          <cell r="BV149">
            <v>60.399730792744776</v>
          </cell>
          <cell r="BW149">
            <v>-94.945625056903651</v>
          </cell>
          <cell r="BX149">
            <v>-155.21829660355462</v>
          </cell>
          <cell r="BZ149">
            <v>36.842609047274181</v>
          </cell>
          <cell r="CA149">
            <v>-0.19414942765970813</v>
          </cell>
          <cell r="CB149">
            <v>0</v>
          </cell>
          <cell r="CC149" t="str">
            <v>—</v>
          </cell>
          <cell r="CD149" t="e">
            <v>#VALUE!</v>
          </cell>
          <cell r="CE149">
            <v>0</v>
          </cell>
          <cell r="CF149">
            <v>0</v>
          </cell>
          <cell r="CG149">
            <v>147.84437199999999</v>
          </cell>
          <cell r="CH149">
            <v>12.641977289065261</v>
          </cell>
          <cell r="CI149">
            <v>5767.4411754000812</v>
          </cell>
          <cell r="CJ149">
            <v>10.216962000000001</v>
          </cell>
          <cell r="CK149">
            <v>0.87363894763097782</v>
          </cell>
          <cell r="CL149">
            <v>398.5659144759191</v>
          </cell>
          <cell r="CM149">
            <v>28.386423666666669</v>
          </cell>
          <cell r="CN149">
            <v>2.4272856548897557</v>
          </cell>
          <cell r="CO149">
            <v>1107.360574249554</v>
          </cell>
          <cell r="CP149">
            <v>10.647508333333333</v>
          </cell>
          <cell r="CQ149">
            <v>0.91045439683786622</v>
          </cell>
          <cell r="CR149">
            <v>415.36162077973563</v>
          </cell>
          <cell r="CS149">
            <v>0.49</v>
          </cell>
          <cell r="CT149">
            <v>8.5863884373792998E-2</v>
          </cell>
          <cell r="CU149">
            <v>0.24548046002644444</v>
          </cell>
          <cell r="CV149">
            <v>0.85863884373792998</v>
          </cell>
          <cell r="CW149">
            <v>0</v>
          </cell>
          <cell r="CX149">
            <v>0</v>
          </cell>
          <cell r="CY149">
            <v>0</v>
          </cell>
          <cell r="CZ149">
            <v>4266.3096916369368</v>
          </cell>
        </row>
        <row r="150">
          <cell r="B150" t="str">
            <v>TUR</v>
          </cell>
          <cell r="C150" t="str">
            <v>UMIC</v>
          </cell>
          <cell r="D150" t="str">
            <v>UMIC</v>
          </cell>
          <cell r="E150" t="str">
            <v/>
          </cell>
          <cell r="F150" t="str">
            <v xml:space="preserve"> </v>
          </cell>
          <cell r="G150" t="str">
            <v/>
          </cell>
          <cell r="H150" t="e">
            <v>#REF!</v>
          </cell>
          <cell r="I150" t="str">
            <v/>
          </cell>
          <cell r="J150" t="str">
            <v/>
          </cell>
          <cell r="K150" t="b">
            <v>1</v>
          </cell>
          <cell r="M150" t="str">
            <v/>
          </cell>
          <cell r="P150" t="str">
            <v/>
          </cell>
          <cell r="Q150" t="str">
            <v/>
          </cell>
          <cell r="R150" t="str">
            <v/>
          </cell>
          <cell r="S150" t="str">
            <v/>
          </cell>
          <cell r="T150" t="str">
            <v>YES</v>
          </cell>
          <cell r="U150" t="str">
            <v>YES</v>
          </cell>
          <cell r="V150" t="str">
            <v/>
          </cell>
          <cell r="W150" t="str">
            <v/>
          </cell>
          <cell r="X150" t="str">
            <v/>
          </cell>
          <cell r="Y150" t="str">
            <v/>
          </cell>
          <cell r="Z150" t="str">
            <v/>
          </cell>
          <cell r="AA150" t="str">
            <v/>
          </cell>
          <cell r="AB150" t="str">
            <v/>
          </cell>
          <cell r="AC150" t="str">
            <v/>
          </cell>
          <cell r="AD150" t="str">
            <v/>
          </cell>
          <cell r="AE150" t="str">
            <v/>
          </cell>
          <cell r="AF150" t="str">
            <v/>
          </cell>
          <cell r="AK150">
            <v>83.429614999999998</v>
          </cell>
          <cell r="AL150">
            <v>89.157780000000002</v>
          </cell>
          <cell r="AM150">
            <v>9610</v>
          </cell>
          <cell r="AN150">
            <v>7.98276E-4</v>
          </cell>
          <cell r="AO150">
            <v>9.999999999999999E-14</v>
          </cell>
          <cell r="AP150">
            <v>6.6599859343739992E-2</v>
          </cell>
          <cell r="AQ150">
            <v>8.3429614999999991E-12</v>
          </cell>
          <cell r="AR150">
            <v>8.9157779999999989E-9</v>
          </cell>
          <cell r="AS150">
            <v>0.31965351557935812</v>
          </cell>
          <cell r="AT150">
            <v>2875.0253786230478</v>
          </cell>
          <cell r="AU150">
            <v>3601543.0485484316</v>
          </cell>
          <cell r="AV150">
            <v>0.33916533639365654</v>
          </cell>
          <cell r="AW150">
            <v>3050.5184587557037</v>
          </cell>
          <cell r="AX150">
            <v>3821383.1541418051</v>
          </cell>
          <cell r="AY150">
            <v>239862.26045375009</v>
          </cell>
          <cell r="AZ150">
            <v>254503.58056438173</v>
          </cell>
          <cell r="BA150">
            <v>14641.320110631641</v>
          </cell>
          <cell r="BB150">
            <v>1761.1089369906701</v>
          </cell>
          <cell r="BC150">
            <v>1742.0219822740701</v>
          </cell>
          <cell r="BD150">
            <v>20.880139291953704</v>
          </cell>
          <cell r="BE150">
            <v>26156.541461792291</v>
          </cell>
          <cell r="BF150">
            <v>561.0099305</v>
          </cell>
          <cell r="BG150">
            <v>359.76771579216819</v>
          </cell>
          <cell r="BH150">
            <v>226.21665459810586</v>
          </cell>
          <cell r="BI150"/>
          <cell r="BJ150">
            <v>0</v>
          </cell>
          <cell r="BK150">
            <v>20.724500666194533</v>
          </cell>
          <cell r="BL150">
            <v>585.98437039027408</v>
          </cell>
          <cell r="BM150">
            <v>606.70887105646864</v>
          </cell>
          <cell r="BN150">
            <v>30015.28201797001</v>
          </cell>
          <cell r="BO150">
            <v>18873.168399707953</v>
          </cell>
          <cell r="BP150">
            <v>0</v>
          </cell>
          <cell r="BQ150">
            <v>0</v>
          </cell>
          <cell r="BR150">
            <v>1729.0371116478534</v>
          </cell>
          <cell r="BS150">
            <v>48888.450417677959</v>
          </cell>
          <cell r="BT150">
            <v>50617.487529325816</v>
          </cell>
          <cell r="BU150">
            <v>-939.27485898757777</v>
          </cell>
          <cell r="BV150">
            <v>-231.36111421524967</v>
          </cell>
          <cell r="BW150">
            <v>-250.3359759589726</v>
          </cell>
          <cell r="BX150">
            <v>-457.57776881335553</v>
          </cell>
          <cell r="BZ150">
            <v>13.802244639233143</v>
          </cell>
          <cell r="CA150">
            <v>-1.4694574763887811E-2</v>
          </cell>
          <cell r="CB150">
            <v>0</v>
          </cell>
          <cell r="CC150">
            <v>8983853</v>
          </cell>
          <cell r="CD150">
            <v>134.89297257569103</v>
          </cell>
          <cell r="CE150">
            <v>0</v>
          </cell>
          <cell r="CF150">
            <v>0</v>
          </cell>
          <cell r="CG150">
            <v>282.17334866666664</v>
          </cell>
          <cell r="CH150">
            <v>3.3821724895490246</v>
          </cell>
          <cell r="CI150">
            <v>4236.8460150988185</v>
          </cell>
          <cell r="CJ150">
            <v>121.37688833333334</v>
          </cell>
          <cell r="CK150">
            <v>1.454841764921645</v>
          </cell>
          <cell r="CL150">
            <v>1822.4796497973696</v>
          </cell>
          <cell r="CM150">
            <v>2.76647</v>
          </cell>
          <cell r="CN150">
            <v>3.315932837518188E-2</v>
          </cell>
          <cell r="CO150">
            <v>41.538676316439279</v>
          </cell>
          <cell r="CP150">
            <v>143.27052433333336</v>
          </cell>
          <cell r="CQ150">
            <v>1.7172622015975185</v>
          </cell>
          <cell r="CR150">
            <v>2151.2136173422709</v>
          </cell>
          <cell r="CS150">
            <v>0.48</v>
          </cell>
          <cell r="CT150">
            <v>7.8714830459184079E-2</v>
          </cell>
          <cell r="CU150">
            <v>0.24203045884845567</v>
          </cell>
          <cell r="CV150">
            <v>0.78714830459184082</v>
          </cell>
          <cell r="CW150">
            <v>0</v>
          </cell>
          <cell r="CX150">
            <v>0</v>
          </cell>
          <cell r="CY150">
            <v>0</v>
          </cell>
          <cell r="CZ150">
            <v>48888.450417677966</v>
          </cell>
        </row>
        <row r="151">
          <cell r="B151" t="str">
            <v>TUV</v>
          </cell>
          <cell r="C151" t="str">
            <v>UMIC</v>
          </cell>
          <cell r="D151" t="str">
            <v>UMIC</v>
          </cell>
          <cell r="E151" t="str">
            <v/>
          </cell>
          <cell r="F151" t="b">
            <v>1</v>
          </cell>
          <cell r="G151" t="b">
            <v>1</v>
          </cell>
          <cell r="H151" t="e">
            <v>#REF!</v>
          </cell>
          <cell r="I151" t="str">
            <v/>
          </cell>
          <cell r="J151" t="str">
            <v/>
          </cell>
          <cell r="K151" t="b">
            <v>1</v>
          </cell>
          <cell r="M151" t="str">
            <v/>
          </cell>
          <cell r="P151" t="str">
            <v/>
          </cell>
          <cell r="Q151" t="str">
            <v/>
          </cell>
          <cell r="R151" t="str">
            <v/>
          </cell>
          <cell r="S151" t="str">
            <v/>
          </cell>
          <cell r="T151" t="str">
            <v>YES</v>
          </cell>
          <cell r="U151" t="str">
            <v>YES</v>
          </cell>
          <cell r="V151" t="str">
            <v/>
          </cell>
          <cell r="W151" t="str">
            <v/>
          </cell>
          <cell r="X151" t="str">
            <v>YES</v>
          </cell>
          <cell r="Y151" t="str">
            <v/>
          </cell>
          <cell r="Z151" t="str">
            <v>YES</v>
          </cell>
          <cell r="AA151" t="str">
            <v/>
          </cell>
          <cell r="AB151" t="str">
            <v/>
          </cell>
          <cell r="AC151" t="str">
            <v/>
          </cell>
          <cell r="AD151" t="str">
            <v/>
          </cell>
          <cell r="AE151" t="str">
            <v>YES</v>
          </cell>
          <cell r="AF151" t="str">
            <v>YES</v>
          </cell>
          <cell r="AG151" t="str">
            <v/>
          </cell>
          <cell r="AK151">
            <v>1.1646E-2</v>
          </cell>
          <cell r="AL151">
            <v>1.3164E-2</v>
          </cell>
          <cell r="AM151">
            <v>5620</v>
          </cell>
          <cell r="AN151">
            <v>5.8157879999999997E-3</v>
          </cell>
          <cell r="AO151">
            <v>4.0000000000000001E-3</v>
          </cell>
          <cell r="AP151">
            <v>6.7730667047999997E-5</v>
          </cell>
          <cell r="AQ151">
            <v>4.6584E-5</v>
          </cell>
          <cell r="AR151">
            <v>5.2656000000000001E-2</v>
          </cell>
          <cell r="AS151">
            <v>0.97</v>
          </cell>
          <cell r="AT151">
            <v>3799.8078466796242</v>
          </cell>
          <cell r="AU151">
            <v>653360.79077841633</v>
          </cell>
          <cell r="AV151">
            <v>0.78679254062282822</v>
          </cell>
          <cell r="AW151">
            <v>3082.124195430536</v>
          </cell>
          <cell r="AX151">
            <v>529958.14074215502</v>
          </cell>
          <cell r="AY151">
            <v>44.2525621824309</v>
          </cell>
          <cell r="AZ151">
            <v>35.894418379984025</v>
          </cell>
          <cell r="BA151">
            <v>-8.3581438024468753</v>
          </cell>
          <cell r="BB151">
            <v>34.507143663964534</v>
          </cell>
          <cell r="BC151">
            <v>23.853928711586367</v>
          </cell>
          <cell r="BD151">
            <v>2048.2507909656847</v>
          </cell>
          <cell r="BE151">
            <v>352188.00805078947</v>
          </cell>
          <cell r="BF151">
            <v>0.15749625</v>
          </cell>
          <cell r="BG151">
            <v>156.69310707957214</v>
          </cell>
          <cell r="BH151">
            <v>337.20015451412178</v>
          </cell>
          <cell r="BI151"/>
          <cell r="BJ151">
            <v>6.4233057854358186</v>
          </cell>
          <cell r="BK151">
            <v>3.7803263748647877</v>
          </cell>
          <cell r="BL151">
            <v>500.31656737912976</v>
          </cell>
          <cell r="BM151">
            <v>504.09689375399455</v>
          </cell>
          <cell r="BN151">
            <v>1.8248479250486973</v>
          </cell>
          <cell r="BO151">
            <v>3.9270329994714621</v>
          </cell>
          <cell r="BP151">
            <v>0</v>
          </cell>
          <cell r="BQ151">
            <v>7.480581917718554E-2</v>
          </cell>
          <cell r="BR151">
            <v>4.402568096167532E-2</v>
          </cell>
          <cell r="BS151">
            <v>5.8266867436973451</v>
          </cell>
          <cell r="BT151">
            <v>5.8707124246590201</v>
          </cell>
          <cell r="BU151">
            <v>-1040.7455303361382</v>
          </cell>
          <cell r="BV151">
            <v>-125.11847480045861</v>
          </cell>
          <cell r="BW151">
            <v>-459.73173200653508</v>
          </cell>
          <cell r="BX151">
            <v>-455.89532352914455</v>
          </cell>
          <cell r="BZ151">
            <v>1030.8872128450269</v>
          </cell>
          <cell r="CA151">
            <v>-0.99052763888601336</v>
          </cell>
          <cell r="CB151">
            <v>0</v>
          </cell>
          <cell r="CC151" t="e">
            <v>#N/A</v>
          </cell>
          <cell r="CD151" t="e">
            <v>#N/A</v>
          </cell>
          <cell r="CE151">
            <v>0</v>
          </cell>
          <cell r="CF151">
            <v>0</v>
          </cell>
          <cell r="CG151">
            <v>2.123882</v>
          </cell>
          <cell r="CH151">
            <v>182.37008414906407</v>
          </cell>
          <cell r="CI151">
            <v>31357.759971488656</v>
          </cell>
          <cell r="CJ151">
            <v>1.2425126666666666</v>
          </cell>
          <cell r="CK151">
            <v>106.69007956952315</v>
          </cell>
          <cell r="CL151">
            <v>18344.905207948286</v>
          </cell>
          <cell r="CM151">
            <v>9.2315000000000008E-2</v>
          </cell>
          <cell r="CN151">
            <v>7.9267559677142376</v>
          </cell>
          <cell r="CO151">
            <v>1362.9719597265646</v>
          </cell>
          <cell r="CP151">
            <v>0.35593866666666668</v>
          </cell>
          <cell r="CQ151">
            <v>30.56316904230351</v>
          </cell>
          <cell r="CR151">
            <v>5255.2068683218013</v>
          </cell>
          <cell r="CS151" t="str">
            <v/>
          </cell>
          <cell r="CT151">
            <v>7.1532445963201033E-2</v>
          </cell>
          <cell r="CU151" t="str">
            <v/>
          </cell>
          <cell r="CV151">
            <v>0.7153244596320103</v>
          </cell>
          <cell r="CW151">
            <v>0</v>
          </cell>
          <cell r="CX151">
            <v>0</v>
          </cell>
          <cell r="CY151">
            <v>0</v>
          </cell>
          <cell r="CZ151">
            <v>5.7518809245201599</v>
          </cell>
        </row>
        <row r="152">
          <cell r="B152" t="str">
            <v>TZA</v>
          </cell>
          <cell r="C152" t="str">
            <v>LMIC</v>
          </cell>
          <cell r="D152" t="str">
            <v>LLMIC</v>
          </cell>
          <cell r="E152" t="str">
            <v>LMIC_LDC</v>
          </cell>
          <cell r="F152" t="b">
            <v>1</v>
          </cell>
          <cell r="G152" t="str">
            <v/>
          </cell>
          <cell r="H152" t="e">
            <v>#REF!</v>
          </cell>
          <cell r="I152" t="str">
            <v/>
          </cell>
          <cell r="J152" t="str">
            <v/>
          </cell>
          <cell r="K152" t="b">
            <v>1</v>
          </cell>
          <cell r="M152" t="b">
            <v>1</v>
          </cell>
          <cell r="O152" t="b">
            <v>1</v>
          </cell>
          <cell r="P152" t="b">
            <v>1</v>
          </cell>
          <cell r="Q152" t="b">
            <v>1</v>
          </cell>
          <cell r="R152" t="str">
            <v>YES</v>
          </cell>
          <cell r="S152" t="str">
            <v>YES</v>
          </cell>
          <cell r="T152" t="str">
            <v/>
          </cell>
          <cell r="U152" t="str">
            <v/>
          </cell>
          <cell r="V152" t="str">
            <v/>
          </cell>
          <cell r="W152" t="str">
            <v/>
          </cell>
          <cell r="X152" t="str">
            <v>YES</v>
          </cell>
          <cell r="Y152" t="str">
            <v/>
          </cell>
          <cell r="Z152" t="str">
            <v>YES</v>
          </cell>
          <cell r="AA152" t="str">
            <v/>
          </cell>
          <cell r="AB152" t="str">
            <v/>
          </cell>
          <cell r="AC152" t="str">
            <v>YES</v>
          </cell>
          <cell r="AD152" t="str">
            <v>YES</v>
          </cell>
          <cell r="AE152" t="str">
            <v/>
          </cell>
          <cell r="AF152" t="str">
            <v/>
          </cell>
          <cell r="AG152" t="str">
            <v/>
          </cell>
          <cell r="AH152" t="b">
            <v>1</v>
          </cell>
          <cell r="AI152" t="b">
            <v>1</v>
          </cell>
          <cell r="AK152">
            <v>58.005462999999999</v>
          </cell>
          <cell r="AL152">
            <v>79.162729999999996</v>
          </cell>
          <cell r="AM152">
            <v>1080</v>
          </cell>
          <cell r="AN152">
            <v>0.48951720000000004</v>
          </cell>
          <cell r="AO152">
            <v>0.34375</v>
          </cell>
          <cell r="AP152">
            <v>28.394671832463601</v>
          </cell>
          <cell r="AQ152">
            <v>19.939377906249998</v>
          </cell>
          <cell r="AR152">
            <v>27212.188437500001</v>
          </cell>
          <cell r="AS152">
            <v>0.13500000000000001</v>
          </cell>
          <cell r="AT152">
            <v>150.7955891855936</v>
          </cell>
          <cell r="AU152">
            <v>308.04962355887307</v>
          </cell>
          <cell r="AV152">
            <v>0.15055023878370388</v>
          </cell>
          <cell r="AW152">
            <v>168.16527377348467</v>
          </cell>
          <cell r="AX152">
            <v>343.53292136309949</v>
          </cell>
          <cell r="AY152">
            <v>8746.9679690681514</v>
          </cell>
          <cell r="AZ152">
            <v>9754.5045657527353</v>
          </cell>
          <cell r="BA152">
            <v>1007.5365966845839</v>
          </cell>
          <cell r="BB152">
            <v>2452.5577091044265</v>
          </cell>
          <cell r="BC152">
            <v>2402.6393171524464</v>
          </cell>
          <cell r="BD152">
            <v>41.420914391329767</v>
          </cell>
          <cell r="BE152">
            <v>84.615850865566657</v>
          </cell>
          <cell r="BF152">
            <v>68.80571599999999</v>
          </cell>
          <cell r="BG152">
            <v>78.644022071171946</v>
          </cell>
          <cell r="BH152">
            <v>59.847609936797213</v>
          </cell>
          <cell r="BI152"/>
          <cell r="BJ152">
            <v>46.285308304513777</v>
          </cell>
          <cell r="BK152">
            <v>31.885339171678634</v>
          </cell>
          <cell r="BL152">
            <v>184.77694031248291</v>
          </cell>
          <cell r="BM152">
            <v>216.66227948416153</v>
          </cell>
          <cell r="BN152">
            <v>4561.7829124205473</v>
          </cell>
          <cell r="BO152">
            <v>3471.4883238273228</v>
          </cell>
          <cell r="BP152">
            <v>0</v>
          </cell>
          <cell r="BQ152">
            <v>2684.8007383010668</v>
          </cell>
          <cell r="BR152">
            <v>1849.5238615652556</v>
          </cell>
          <cell r="BS152">
            <v>10718.071974548937</v>
          </cell>
          <cell r="BT152">
            <v>12567.595836114193</v>
          </cell>
          <cell r="BU152">
            <v>100.69430342574057</v>
          </cell>
          <cell r="BV152">
            <v>34.622818870774509</v>
          </cell>
          <cell r="BW152">
            <v>45.010967316475011</v>
          </cell>
          <cell r="BX152">
            <v>21.060517238491077</v>
          </cell>
          <cell r="BZ152">
            <v>21.303554056214036</v>
          </cell>
          <cell r="CA152">
            <v>0.21156662622851205</v>
          </cell>
          <cell r="CB152">
            <v>0</v>
          </cell>
          <cell r="CC152">
            <v>48717</v>
          </cell>
          <cell r="CD152">
            <v>1.7157092107788301E-3</v>
          </cell>
          <cell r="CE152">
            <v>5840.8196916725683</v>
          </cell>
          <cell r="CF152">
            <v>1201.3196585762232</v>
          </cell>
          <cell r="CG152">
            <v>189.97374500000001</v>
          </cell>
          <cell r="CH152">
            <v>3.2751009159257984</v>
          </cell>
          <cell r="CI152">
            <v>6.690471582869403</v>
          </cell>
          <cell r="CJ152">
            <v>917.78690733333326</v>
          </cell>
          <cell r="CK152">
            <v>15.822421886940775</v>
          </cell>
          <cell r="CL152">
            <v>32.322504473674826</v>
          </cell>
          <cell r="CM152">
            <v>13.585713666666665</v>
          </cell>
          <cell r="CN152">
            <v>0.23421438195686267</v>
          </cell>
          <cell r="CO152">
            <v>0.47845996413785391</v>
          </cell>
          <cell r="CP152">
            <v>158.02174466666668</v>
          </cell>
          <cell r="CQ152">
            <v>2.7242562423243943</v>
          </cell>
          <cell r="CR152">
            <v>5.5651900328004693</v>
          </cell>
          <cell r="CS152">
            <v>0.57999999999999996</v>
          </cell>
          <cell r="CT152">
            <v>0.1678911174280257</v>
          </cell>
          <cell r="CU152">
            <v>0.44852492600567639</v>
          </cell>
          <cell r="CV152">
            <v>1.6789111742802572</v>
          </cell>
          <cell r="CW152">
            <v>2813.0912703614576</v>
          </cell>
          <cell r="CX152">
            <v>48.497005710676902</v>
          </cell>
          <cell r="CY152">
            <v>99.071096400038442</v>
          </cell>
          <cell r="CZ152">
            <v>8033.2712362478696</v>
          </cell>
        </row>
        <row r="153">
          <cell r="B153" t="str">
            <v>UGA</v>
          </cell>
          <cell r="C153" t="str">
            <v>LIC</v>
          </cell>
          <cell r="D153" t="str">
            <v>OLIC</v>
          </cell>
          <cell r="E153" t="str">
            <v>OLIC_LDC</v>
          </cell>
          <cell r="F153" t="b">
            <v>1</v>
          </cell>
          <cell r="G153" t="str">
            <v/>
          </cell>
          <cell r="H153" t="e">
            <v>#REF!</v>
          </cell>
          <cell r="I153" t="str">
            <v/>
          </cell>
          <cell r="J153" t="str">
            <v/>
          </cell>
          <cell r="K153" t="str">
            <v/>
          </cell>
          <cell r="M153" t="b">
            <v>1</v>
          </cell>
          <cell r="P153" t="b">
            <v>1</v>
          </cell>
          <cell r="Q153" t="b">
            <v>1</v>
          </cell>
          <cell r="R153" t="str">
            <v>YES</v>
          </cell>
          <cell r="S153" t="str">
            <v>YES</v>
          </cell>
          <cell r="T153" t="str">
            <v/>
          </cell>
          <cell r="U153" t="str">
            <v/>
          </cell>
          <cell r="V153" t="str">
            <v/>
          </cell>
          <cell r="W153" t="str">
            <v/>
          </cell>
          <cell r="X153" t="str">
            <v>YES</v>
          </cell>
          <cell r="Y153" t="str">
            <v>YES</v>
          </cell>
          <cell r="Z153" t="str">
            <v/>
          </cell>
          <cell r="AA153" t="str">
            <v/>
          </cell>
          <cell r="AB153" t="str">
            <v/>
          </cell>
          <cell r="AC153" t="str">
            <v>YES</v>
          </cell>
          <cell r="AD153" t="str">
            <v>YES</v>
          </cell>
          <cell r="AE153" t="str">
            <v/>
          </cell>
          <cell r="AF153" t="str">
            <v/>
          </cell>
          <cell r="AG153" t="b">
            <v>1</v>
          </cell>
          <cell r="AH153" t="b">
            <v>1</v>
          </cell>
          <cell r="AI153" t="b">
            <v>1</v>
          </cell>
          <cell r="AK153">
            <v>44.269593999999998</v>
          </cell>
          <cell r="AL153">
            <v>59.437919999999998</v>
          </cell>
          <cell r="AM153">
            <v>780</v>
          </cell>
          <cell r="AN153">
            <v>0.40173929999999997</v>
          </cell>
          <cell r="AO153">
            <v>0.33724999999999999</v>
          </cell>
          <cell r="AP153">
            <v>17.784835704844198</v>
          </cell>
          <cell r="AQ153">
            <v>14.929920576499999</v>
          </cell>
          <cell r="AR153">
            <v>20045.43852</v>
          </cell>
          <cell r="AS153">
            <v>0.12016844590563672</v>
          </cell>
          <cell r="AT153">
            <v>95.262905769101167</v>
          </cell>
          <cell r="AU153">
            <v>237.12618050835746</v>
          </cell>
          <cell r="AV153">
            <v>0.14606931760905206</v>
          </cell>
          <cell r="AW153">
            <v>115.79568608280827</v>
          </cell>
          <cell r="AX153">
            <v>288.23589348318245</v>
          </cell>
          <cell r="AY153">
            <v>4217.2501616583659</v>
          </cell>
          <cell r="AZ153">
            <v>5126.2280098373722</v>
          </cell>
          <cell r="BA153">
            <v>908.97784817900629</v>
          </cell>
          <cell r="BB153">
            <v>1619.2419262253134</v>
          </cell>
          <cell r="BC153">
            <v>1656.1181276441932</v>
          </cell>
          <cell r="BD153">
            <v>37.409833206154843</v>
          </cell>
          <cell r="BE153">
            <v>93.119675386886087</v>
          </cell>
          <cell r="BF153">
            <v>171.51277275000001</v>
          </cell>
          <cell r="BG153">
            <v>74.916602847107697</v>
          </cell>
          <cell r="BH153">
            <v>102.08665688728932</v>
          </cell>
          <cell r="BI153"/>
          <cell r="BJ153">
            <v>71.753528305432212</v>
          </cell>
          <cell r="BK153">
            <v>17.314616394119703</v>
          </cell>
          <cell r="BL153">
            <v>248.75678803982925</v>
          </cell>
          <cell r="BM153">
            <v>266.07140443394894</v>
          </cell>
          <cell r="BN153">
            <v>3316.5275919007017</v>
          </cell>
          <cell r="BO153">
            <v>4519.3348532176014</v>
          </cell>
          <cell r="BP153">
            <v>0</v>
          </cell>
          <cell r="BQ153">
            <v>3176.499566148992</v>
          </cell>
          <cell r="BR153">
            <v>766.51103803342323</v>
          </cell>
          <cell r="BS153">
            <v>11012.362011267294</v>
          </cell>
          <cell r="BT153">
            <v>11778.873049300717</v>
          </cell>
          <cell r="BU153">
            <v>190.8589449984251</v>
          </cell>
          <cell r="BV153">
            <v>84.717303974868088</v>
          </cell>
          <cell r="BW153">
            <v>51.757465630546037</v>
          </cell>
          <cell r="BX153">
            <v>54.38417539301097</v>
          </cell>
          <cell r="BZ153">
            <v>20.642056265460592</v>
          </cell>
          <cell r="CA153">
            <v>0.10815346519719536</v>
          </cell>
          <cell r="CB153">
            <v>0</v>
          </cell>
          <cell r="CC153" t="str">
            <v>—</v>
          </cell>
          <cell r="CD153" t="e">
            <v>#VALUE!</v>
          </cell>
          <cell r="CE153">
            <v>8449.2480063486091</v>
          </cell>
          <cell r="CF153">
            <v>809.62096311265668</v>
          </cell>
          <cell r="CG153">
            <v>115.77699333333334</v>
          </cell>
          <cell r="CH153">
            <v>2.6152711798832704</v>
          </cell>
          <cell r="CI153">
            <v>6.5098714013870955</v>
          </cell>
          <cell r="CJ153">
            <v>756.63728666666668</v>
          </cell>
          <cell r="CK153">
            <v>17.091579531239134</v>
          </cell>
          <cell r="CL153">
            <v>42.543957066782205</v>
          </cell>
          <cell r="CM153">
            <v>9.7306516666666667</v>
          </cell>
          <cell r="CN153">
            <v>0.21980440269379176</v>
          </cell>
          <cell r="CO153">
            <v>0.54713194027517786</v>
          </cell>
          <cell r="CP153">
            <v>157.04244266666666</v>
          </cell>
          <cell r="CQ153">
            <v>3.5474109535919092</v>
          </cell>
          <cell r="CR153">
            <v>8.8301317635389651</v>
          </cell>
          <cell r="CS153">
            <v>0.63</v>
          </cell>
          <cell r="CT153">
            <v>0.17610369320305944</v>
          </cell>
          <cell r="CU153">
            <v>0.47545337777437036</v>
          </cell>
          <cell r="CV153">
            <v>1.7610369320305943</v>
          </cell>
          <cell r="CW153">
            <v>6652.6450394633448</v>
          </cell>
          <cell r="CX153">
            <v>150.27571835114063</v>
          </cell>
          <cell r="CY153">
            <v>374.06277740599597</v>
          </cell>
          <cell r="CZ153">
            <v>7835.8624451183041</v>
          </cell>
        </row>
        <row r="154">
          <cell r="B154" t="str">
            <v>UKR</v>
          </cell>
          <cell r="C154" t="str">
            <v>LMIC</v>
          </cell>
          <cell r="D154" t="str">
            <v>ULMIC</v>
          </cell>
          <cell r="E154" t="str">
            <v>LMIC_nonLDC</v>
          </cell>
          <cell r="F154" t="str">
            <v xml:space="preserve"> </v>
          </cell>
          <cell r="G154" t="str">
            <v/>
          </cell>
          <cell r="H154" t="e">
            <v>#REF!</v>
          </cell>
          <cell r="I154" t="str">
            <v/>
          </cell>
          <cell r="J154" t="str">
            <v/>
          </cell>
          <cell r="K154" t="b">
            <v>1</v>
          </cell>
          <cell r="M154" t="str">
            <v/>
          </cell>
          <cell r="N154" t="b">
            <v>1</v>
          </cell>
          <cell r="O154" t="b">
            <v>1</v>
          </cell>
          <cell r="P154" t="str">
            <v/>
          </cell>
          <cell r="Q154" t="str">
            <v/>
          </cell>
          <cell r="R154" t="str">
            <v/>
          </cell>
          <cell r="S154" t="str">
            <v/>
          </cell>
          <cell r="T154" t="str">
            <v>YES</v>
          </cell>
          <cell r="U154" t="str">
            <v>YES</v>
          </cell>
          <cell r="V154" t="str">
            <v/>
          </cell>
          <cell r="W154" t="str">
            <v/>
          </cell>
          <cell r="X154" t="str">
            <v/>
          </cell>
          <cell r="Y154" t="str">
            <v/>
          </cell>
          <cell r="Z154" t="str">
            <v/>
          </cell>
          <cell r="AA154" t="str">
            <v/>
          </cell>
          <cell r="AB154" t="str">
            <v/>
          </cell>
          <cell r="AC154" t="str">
            <v/>
          </cell>
          <cell r="AD154" t="str">
            <v/>
          </cell>
          <cell r="AE154" t="str">
            <v/>
          </cell>
          <cell r="AF154" t="str">
            <v/>
          </cell>
          <cell r="AG154" t="b">
            <v>1</v>
          </cell>
          <cell r="AH154" t="b">
            <v>1</v>
          </cell>
          <cell r="AI154" t="b">
            <v>1</v>
          </cell>
          <cell r="AK154">
            <v>44.385154999999997</v>
          </cell>
          <cell r="AL154">
            <v>40.882330000000003</v>
          </cell>
          <cell r="AM154">
            <v>3370</v>
          </cell>
          <cell r="AN154">
            <v>9.9351999999999993E-5</v>
          </cell>
          <cell r="AO154">
            <v>2.5000000000000001E-4</v>
          </cell>
          <cell r="AP154">
            <v>4.4097539195599991E-3</v>
          </cell>
          <cell r="AQ154">
            <v>1.1096288749999999E-2</v>
          </cell>
          <cell r="AR154">
            <v>10.220582500000001</v>
          </cell>
          <cell r="AS154">
            <v>0.39490445419225412</v>
          </cell>
          <cell r="AT154">
            <v>1449.8710753464043</v>
          </cell>
          <cell r="AU154">
            <v>14593275.176608466</v>
          </cell>
          <cell r="AV154">
            <v>0.40618284999389903</v>
          </cell>
          <cell r="AW154">
            <v>1491.2791163941063</v>
          </cell>
          <cell r="AX154">
            <v>15010056.328952678</v>
          </cell>
          <cell r="AY154">
            <v>64352.752409266832</v>
          </cell>
          <cell r="AZ154">
            <v>66190.654729415459</v>
          </cell>
          <cell r="BA154">
            <v>1837.902320148627</v>
          </cell>
          <cell r="BB154">
            <v>945.20360141015442</v>
          </cell>
          <cell r="BC154">
            <v>927.48493129039355</v>
          </cell>
          <cell r="BD154">
            <v>20.896286861911232</v>
          </cell>
          <cell r="BE154">
            <v>210325.77967138289</v>
          </cell>
          <cell r="BF154">
            <v>130.4518755</v>
          </cell>
          <cell r="BG154">
            <v>163.56236502014039</v>
          </cell>
          <cell r="BH154">
            <v>177.84961789969648</v>
          </cell>
          <cell r="BI154"/>
          <cell r="BJ154">
            <v>0</v>
          </cell>
          <cell r="BK154">
            <v>4.6078267401120447</v>
          </cell>
          <cell r="BL154">
            <v>341.41198291983687</v>
          </cell>
          <cell r="BM154">
            <v>346.01980965994892</v>
          </cell>
          <cell r="BN154">
            <v>7259.7409235855093</v>
          </cell>
          <cell r="BO154">
            <v>7893.8828571688027</v>
          </cell>
          <cell r="BP154">
            <v>0</v>
          </cell>
          <cell r="BQ154">
            <v>0</v>
          </cell>
          <cell r="BR154">
            <v>204.51910407301781</v>
          </cell>
          <cell r="BS154">
            <v>15153.623780754311</v>
          </cell>
          <cell r="BT154">
            <v>15358.142884827328</v>
          </cell>
          <cell r="BU154">
            <v>-404.22757527721626</v>
          </cell>
          <cell r="BV154">
            <v>-45.842249559419457</v>
          </cell>
          <cell r="BW154">
            <v>-134.69345825868086</v>
          </cell>
          <cell r="BX154">
            <v>-223.69186745911594</v>
          </cell>
          <cell r="BZ154">
            <v>11.91768742038181</v>
          </cell>
          <cell r="CA154">
            <v>-2.9482618577440563E-2</v>
          </cell>
          <cell r="CB154">
            <v>0</v>
          </cell>
          <cell r="CC154">
            <v>923000</v>
          </cell>
          <cell r="CD154">
            <v>209.30873169723176</v>
          </cell>
          <cell r="CE154">
            <v>0</v>
          </cell>
          <cell r="CF154">
            <v>0</v>
          </cell>
          <cell r="CG154">
            <v>133.80769433333333</v>
          </cell>
          <cell r="CH154">
            <v>3.0146947629975234</v>
          </cell>
          <cell r="CI154">
            <v>30343.573989426721</v>
          </cell>
          <cell r="CJ154">
            <v>85.291324000000003</v>
          </cell>
          <cell r="CK154">
            <v>1.9216182527694228</v>
          </cell>
          <cell r="CL154">
            <v>19341.515548448173</v>
          </cell>
          <cell r="CM154">
            <v>29.971240666666667</v>
          </cell>
          <cell r="CN154">
            <v>0.67525371189233585</v>
          </cell>
          <cell r="CO154">
            <v>6796.5789505227467</v>
          </cell>
          <cell r="CP154">
            <v>34.008131666666671</v>
          </cell>
          <cell r="CQ154">
            <v>0.76620508966717982</v>
          </cell>
          <cell r="CR154">
            <v>7712.0248174891285</v>
          </cell>
          <cell r="CS154">
            <v>0</v>
          </cell>
          <cell r="CT154">
            <v>4.7625157555493493E-2</v>
          </cell>
          <cell r="CU154">
            <v>0.15755839987491316</v>
          </cell>
          <cell r="CV154">
            <v>0.47625157555493491</v>
          </cell>
          <cell r="CW154">
            <v>0</v>
          </cell>
          <cell r="CX154">
            <v>0</v>
          </cell>
          <cell r="CY154">
            <v>0</v>
          </cell>
          <cell r="CZ154">
            <v>15153.623780754311</v>
          </cell>
        </row>
        <row r="155">
          <cell r="B155" t="str">
            <v>URY</v>
          </cell>
          <cell r="C155" t="str">
            <v>HIC</v>
          </cell>
          <cell r="D155" t="str">
            <v>HIC</v>
          </cell>
          <cell r="E155" t="str">
            <v/>
          </cell>
          <cell r="F155" t="str">
            <v xml:space="preserve"> </v>
          </cell>
          <cell r="G155" t="str">
            <v/>
          </cell>
          <cell r="H155" t="e">
            <v>#REF!</v>
          </cell>
          <cell r="I155" t="str">
            <v/>
          </cell>
          <cell r="J155" t="str">
            <v/>
          </cell>
          <cell r="K155" t="str">
            <v/>
          </cell>
          <cell r="M155" t="str">
            <v/>
          </cell>
          <cell r="N155" t="b">
            <v>1</v>
          </cell>
          <cell r="O155" t="b">
            <v>1</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b">
            <v>1</v>
          </cell>
          <cell r="AI155" t="b">
            <v>1</v>
          </cell>
          <cell r="AK155">
            <v>3.4617339999999999</v>
          </cell>
          <cell r="AL155">
            <v>3.5694710000000001</v>
          </cell>
          <cell r="AM155">
            <v>16230</v>
          </cell>
          <cell r="AN155">
            <v>5.5849900000000006E-4</v>
          </cell>
          <cell r="AO155">
            <v>9.999999999999999E-14</v>
          </cell>
          <cell r="AP155">
            <v>1.9333749772660002E-3</v>
          </cell>
          <cell r="AQ155">
            <v>3.4617339999999997E-13</v>
          </cell>
          <cell r="AR155">
            <v>3.569471E-10</v>
          </cell>
          <cell r="AS155">
            <v>0.36122092424370128</v>
          </cell>
          <cell r="AT155">
            <v>6249.0454580379383</v>
          </cell>
          <cell r="AU155">
            <v>11189000.263273412</v>
          </cell>
          <cell r="AV155">
            <v>0.38121312784975941</v>
          </cell>
          <cell r="AW155">
            <v>6594.9063447021908</v>
          </cell>
          <cell r="AX155">
            <v>11808268.850440538</v>
          </cell>
          <cell r="AY155">
            <v>21632.533129635503</v>
          </cell>
          <cell r="AZ155">
            <v>22829.811520271294</v>
          </cell>
          <cell r="BA155">
            <v>1197.2783906357909</v>
          </cell>
          <cell r="BB155">
            <v>38.418751569659236</v>
          </cell>
          <cell r="BC155">
            <v>21.8827634210738</v>
          </cell>
          <cell r="BD155">
            <v>6.3213301256173358</v>
          </cell>
          <cell r="BE155">
            <v>11318.426936516153</v>
          </cell>
          <cell r="BF155">
            <v>0.19716624999999999</v>
          </cell>
          <cell r="BG155">
            <v>691.99152525527097</v>
          </cell>
          <cell r="BH155">
            <v>1193.2795923498259</v>
          </cell>
          <cell r="BI155"/>
          <cell r="BJ155">
            <v>0</v>
          </cell>
          <cell r="BK155">
            <v>5.8214898692949371</v>
          </cell>
          <cell r="BL155">
            <v>1885.2711176050968</v>
          </cell>
          <cell r="BM155">
            <v>1891.0926074743918</v>
          </cell>
          <cell r="BN155">
            <v>2395.4905906880299</v>
          </cell>
          <cell r="BO155">
            <v>4130.8165363435319</v>
          </cell>
          <cell r="BP155">
            <v>0</v>
          </cell>
          <cell r="BQ155">
            <v>0</v>
          </cell>
          <cell r="BR155">
            <v>20.152449411193839</v>
          </cell>
          <cell r="BS155">
            <v>6526.3071270315613</v>
          </cell>
          <cell r="BT155">
            <v>6546.459576442755</v>
          </cell>
          <cell r="BU155">
            <v>-1412.1820547459986</v>
          </cell>
          <cell r="BV155">
            <v>204.04364064449726</v>
          </cell>
          <cell r="BW155">
            <v>-626.98974368516724</v>
          </cell>
          <cell r="BX155">
            <v>-989.2359517053286</v>
          </cell>
          <cell r="BZ155">
            <v>3.1891430235647511</v>
          </cell>
          <cell r="CA155">
            <v>-2.2583087023707892E-3</v>
          </cell>
          <cell r="CB155">
            <v>0</v>
          </cell>
          <cell r="CC155">
            <v>14875</v>
          </cell>
          <cell r="CD155">
            <v>7.6937997930617925</v>
          </cell>
          <cell r="CE155">
            <v>0</v>
          </cell>
          <cell r="CF155">
            <v>0</v>
          </cell>
          <cell r="CG155">
            <v>4.1364753333333333</v>
          </cell>
          <cell r="CH155">
            <v>1.1949142635838956</v>
          </cell>
          <cell r="CI155">
            <v>2139.5101219230392</v>
          </cell>
          <cell r="CJ155">
            <v>0.76779866666666663</v>
          </cell>
          <cell r="CK155">
            <v>0.22179597469553311</v>
          </cell>
          <cell r="CL155">
            <v>397.12868724121813</v>
          </cell>
          <cell r="CM155">
            <v>0.380884</v>
          </cell>
          <cell r="CN155">
            <v>0.11002694025595265</v>
          </cell>
          <cell r="CO155">
            <v>197.00472204238977</v>
          </cell>
          <cell r="CP155">
            <v>1.3562826666666667</v>
          </cell>
          <cell r="CQ155">
            <v>0.39179286064921998</v>
          </cell>
          <cell r="CR155">
            <v>701.51040673165028</v>
          </cell>
          <cell r="CS155">
            <v>0.56999999999999995</v>
          </cell>
          <cell r="CT155">
            <v>6.8363427114850536E-2</v>
          </cell>
          <cell r="CU155">
            <v>0.20405496205081039</v>
          </cell>
          <cell r="CV155">
            <v>0.68363427114850539</v>
          </cell>
          <cell r="CW155">
            <v>0</v>
          </cell>
          <cell r="CX155">
            <v>0</v>
          </cell>
          <cell r="CY155">
            <v>0</v>
          </cell>
          <cell r="CZ155">
            <v>6526.3071270315622</v>
          </cell>
        </row>
        <row r="156">
          <cell r="B156" t="str">
            <v>UZB</v>
          </cell>
          <cell r="C156" t="str">
            <v>LMIC</v>
          </cell>
          <cell r="D156" t="str">
            <v>LLMIC</v>
          </cell>
          <cell r="E156" t="str">
            <v>LMIC_nonLDC</v>
          </cell>
          <cell r="F156" t="str">
            <v xml:space="preserve"> </v>
          </cell>
          <cell r="G156" t="str">
            <v/>
          </cell>
          <cell r="H156" t="e">
            <v>#REF!</v>
          </cell>
          <cell r="I156" t="str">
            <v/>
          </cell>
          <cell r="J156" t="str">
            <v/>
          </cell>
          <cell r="K156" t="b">
            <v>1</v>
          </cell>
          <cell r="M156" t="str">
            <v/>
          </cell>
          <cell r="P156" t="str">
            <v/>
          </cell>
          <cell r="Q156" t="str">
            <v/>
          </cell>
          <cell r="R156" t="str">
            <v>YES</v>
          </cell>
          <cell r="S156" t="str">
            <v/>
          </cell>
          <cell r="T156" t="str">
            <v>YES</v>
          </cell>
          <cell r="U156" t="str">
            <v/>
          </cell>
          <cell r="V156" t="str">
            <v>YES</v>
          </cell>
          <cell r="W156" t="str">
            <v/>
          </cell>
          <cell r="X156" t="str">
            <v/>
          </cell>
          <cell r="Y156" t="str">
            <v/>
          </cell>
          <cell r="Z156" t="str">
            <v/>
          </cell>
          <cell r="AA156" t="str">
            <v/>
          </cell>
          <cell r="AB156" t="str">
            <v/>
          </cell>
          <cell r="AC156" t="str">
            <v/>
          </cell>
          <cell r="AD156" t="str">
            <v/>
          </cell>
          <cell r="AE156" t="str">
            <v/>
          </cell>
          <cell r="AF156" t="str">
            <v/>
          </cell>
          <cell r="AK156">
            <v>33.580649999999999</v>
          </cell>
          <cell r="AL156">
            <v>37.41845</v>
          </cell>
          <cell r="AM156">
            <v>1800</v>
          </cell>
          <cell r="AN156">
            <v>0.1200402</v>
          </cell>
          <cell r="AO156">
            <v>4.8250000000000001E-2</v>
          </cell>
          <cell r="AP156">
            <v>4.0310279421299997</v>
          </cell>
          <cell r="AQ156">
            <v>1.6202663625</v>
          </cell>
          <cell r="AR156">
            <v>1805.4402125000001</v>
          </cell>
          <cell r="AS156">
            <v>0.26110284213242108</v>
          </cell>
          <cell r="AT156">
            <v>411.68751725654187</v>
          </cell>
          <cell r="AU156">
            <v>3429.5804010368347</v>
          </cell>
          <cell r="AV156">
            <v>0.31069261316472979</v>
          </cell>
          <cell r="AW156">
            <v>489.87697529107987</v>
          </cell>
          <cell r="AX156">
            <v>4080.9410121865831</v>
          </cell>
          <cell r="AY156">
            <v>13824.734426360894</v>
          </cell>
          <cell r="AZ156">
            <v>16450.387250308406</v>
          </cell>
          <cell r="BA156">
            <v>2625.6528239475119</v>
          </cell>
          <cell r="BB156">
            <v>591.57587668721999</v>
          </cell>
          <cell r="BC156">
            <v>622.35289537281096</v>
          </cell>
          <cell r="BD156">
            <v>18.533080669159499</v>
          </cell>
          <cell r="BE156">
            <v>154.39061805261488</v>
          </cell>
          <cell r="BF156">
            <v>0.31285525000000003</v>
          </cell>
          <cell r="BG156">
            <v>160.02827318876686</v>
          </cell>
          <cell r="BH156">
            <v>72.668428409365291</v>
          </cell>
          <cell r="BI156"/>
          <cell r="BJ156">
            <v>20.784896421159452</v>
          </cell>
          <cell r="BK156">
            <v>11.948217388056317</v>
          </cell>
          <cell r="BL156">
            <v>253.48159801929162</v>
          </cell>
          <cell r="BM156">
            <v>265.42981540734792</v>
          </cell>
          <cell r="BN156">
            <v>5373.853432056364</v>
          </cell>
          <cell r="BO156">
            <v>2440.2530604649523</v>
          </cell>
          <cell r="BP156">
            <v>0</v>
          </cell>
          <cell r="BQ156">
            <v>697.97033200520809</v>
          </cell>
          <cell r="BR156">
            <v>401.22890623223338</v>
          </cell>
          <cell r="BS156">
            <v>8512.0768245265244</v>
          </cell>
          <cell r="BT156">
            <v>8913.3057307587587</v>
          </cell>
          <cell r="BU156">
            <v>8.5431103737516878</v>
          </cell>
          <cell r="BV156">
            <v>-0.81311788429668752</v>
          </cell>
          <cell r="BW156">
            <v>62.05287813055088</v>
          </cell>
          <cell r="BX156">
            <v>-52.696649872502526</v>
          </cell>
          <cell r="BZ156">
            <v>9.2711986013196732</v>
          </cell>
          <cell r="CA156">
            <v>1.085225192665777</v>
          </cell>
          <cell r="CB156">
            <v>0</v>
          </cell>
          <cell r="CC156" t="str">
            <v>—</v>
          </cell>
          <cell r="CE156">
            <v>286.88319937232461</v>
          </cell>
          <cell r="CF156">
            <v>311.17644768640548</v>
          </cell>
          <cell r="CG156">
            <v>24.695027666666665</v>
          </cell>
          <cell r="CH156">
            <v>0.73539456998797414</v>
          </cell>
          <cell r="CI156">
            <v>6.1262357942420467</v>
          </cell>
          <cell r="CJ156">
            <v>83.776436666666669</v>
          </cell>
          <cell r="CK156">
            <v>2.4947830571077891</v>
          </cell>
          <cell r="CL156">
            <v>20.782896538891048</v>
          </cell>
          <cell r="CM156">
            <v>1.8741219999999998</v>
          </cell>
          <cell r="CN156">
            <v>5.5809580815142049E-2</v>
          </cell>
          <cell r="CO156">
            <v>0.46492409055584755</v>
          </cell>
          <cell r="CP156">
            <v>42.056094000000002</v>
          </cell>
          <cell r="CQ156">
            <v>1.2523907071483131</v>
          </cell>
          <cell r="CR156">
            <v>10.433094139699143</v>
          </cell>
          <cell r="CS156" t="str">
            <v/>
          </cell>
          <cell r="CT156">
            <v>0.10219090458344314</v>
          </cell>
          <cell r="CU156">
            <v>0.28704465220298003</v>
          </cell>
          <cell r="CV156">
            <v>1.0219090458344313</v>
          </cell>
          <cell r="CW156">
            <v>0</v>
          </cell>
          <cell r="CX156">
            <v>0</v>
          </cell>
          <cell r="CY156">
            <v>0</v>
          </cell>
          <cell r="CZ156">
            <v>7814.1064925213168</v>
          </cell>
        </row>
        <row r="157">
          <cell r="B157" t="str">
            <v>VCT</v>
          </cell>
          <cell r="C157" t="str">
            <v>UMIC</v>
          </cell>
          <cell r="D157" t="str">
            <v>UMIC</v>
          </cell>
          <cell r="E157" t="str">
            <v/>
          </cell>
          <cell r="F157" t="str">
            <v xml:space="preserve"> </v>
          </cell>
          <cell r="G157" t="str">
            <v/>
          </cell>
          <cell r="H157" t="e">
            <v>#REF!</v>
          </cell>
          <cell r="I157" t="str">
            <v/>
          </cell>
          <cell r="J157" t="str">
            <v/>
          </cell>
          <cell r="K157" t="b">
            <v>1</v>
          </cell>
          <cell r="M157" t="str">
            <v/>
          </cell>
          <cell r="P157" t="str">
            <v/>
          </cell>
          <cell r="Q157" t="str">
            <v/>
          </cell>
          <cell r="R157" t="str">
            <v/>
          </cell>
          <cell r="S157" t="str">
            <v/>
          </cell>
          <cell r="T157" t="str">
            <v>YES</v>
          </cell>
          <cell r="U157" t="str">
            <v>YES</v>
          </cell>
          <cell r="V157" t="str">
            <v/>
          </cell>
          <cell r="W157" t="str">
            <v/>
          </cell>
          <cell r="X157" t="str">
            <v>YES</v>
          </cell>
          <cell r="Y157" t="str">
            <v/>
          </cell>
          <cell r="Z157" t="str">
            <v>YES</v>
          </cell>
          <cell r="AA157" t="str">
            <v/>
          </cell>
          <cell r="AB157" t="str">
            <v/>
          </cell>
          <cell r="AC157" t="str">
            <v/>
          </cell>
          <cell r="AD157" t="str">
            <v/>
          </cell>
          <cell r="AE157" t="str">
            <v>YES</v>
          </cell>
          <cell r="AF157" t="str">
            <v>YES</v>
          </cell>
          <cell r="AK157">
            <v>0.11058900000000001</v>
          </cell>
          <cell r="AL157">
            <v>0.113041</v>
          </cell>
          <cell r="AM157">
            <v>7460</v>
          </cell>
          <cell r="AN157">
            <v>0.04</v>
          </cell>
          <cell r="AO157">
            <v>0.02</v>
          </cell>
          <cell r="AP157">
            <v>4.42356E-3</v>
          </cell>
          <cell r="AQ157">
            <v>2.21178E-3</v>
          </cell>
          <cell r="AR157">
            <v>2.2608199999999998</v>
          </cell>
          <cell r="AS157">
            <v>0.26647665281510852</v>
          </cell>
          <cell r="AT157">
            <v>2035.971008596742</v>
          </cell>
          <cell r="AU157">
            <v>50899.275214918547</v>
          </cell>
          <cell r="AV157">
            <v>0.32033114436533278</v>
          </cell>
          <cell r="AW157">
            <v>2447.4373878110268</v>
          </cell>
          <cell r="AX157">
            <v>61185.934695275668</v>
          </cell>
          <cell r="AY157">
            <v>225.15599786970512</v>
          </cell>
          <cell r="AZ157">
            <v>270.65965328063368</v>
          </cell>
          <cell r="BA157">
            <v>45.503655410928559</v>
          </cell>
          <cell r="BB157">
            <v>13.109972431600061</v>
          </cell>
          <cell r="BC157">
            <v>14.845761958026026</v>
          </cell>
          <cell r="BD157">
            <v>134.24266389989987</v>
          </cell>
          <cell r="BE157">
            <v>3356.0665974974968</v>
          </cell>
          <cell r="BF157">
            <v>3.4483987500000004</v>
          </cell>
          <cell r="BG157">
            <v>305.61341672350937</v>
          </cell>
          <cell r="BH157">
            <v>280.6061335818826</v>
          </cell>
          <cell r="BI157"/>
          <cell r="BJ157">
            <v>51.960169096905425</v>
          </cell>
          <cell r="BK157">
            <v>23.770568747388239</v>
          </cell>
          <cell r="BL157">
            <v>638.17971940229745</v>
          </cell>
          <cell r="BM157">
            <v>661.95028814968566</v>
          </cell>
          <cell r="BN157">
            <v>33.797482142036181</v>
          </cell>
          <cell r="BO157">
            <v>31.031951706686819</v>
          </cell>
          <cell r="BP157">
            <v>0</v>
          </cell>
          <cell r="BQ157">
            <v>5.7462231402576744</v>
          </cell>
          <cell r="BR157">
            <v>2.6287634272049183</v>
          </cell>
          <cell r="BS157">
            <v>70.575656988980668</v>
          </cell>
          <cell r="BT157">
            <v>73.204420416185584</v>
          </cell>
          <cell r="BU157">
            <v>-585.53897450321597</v>
          </cell>
          <cell r="BV157">
            <v>-86.509474589771401</v>
          </cell>
          <cell r="BW157">
            <v>-183.87406083869604</v>
          </cell>
          <cell r="BX157">
            <v>-315.15543907474859</v>
          </cell>
          <cell r="BZ157">
            <v>82.712388700621332</v>
          </cell>
          <cell r="CA157">
            <v>-0.14125855374665081</v>
          </cell>
          <cell r="CB157">
            <v>0</v>
          </cell>
          <cell r="CC157" t="e">
            <v>#N/A</v>
          </cell>
          <cell r="CD157" t="e">
            <v>#N/A</v>
          </cell>
          <cell r="CE157">
            <v>0</v>
          </cell>
          <cell r="CF157">
            <v>0</v>
          </cell>
          <cell r="CG157">
            <v>0.59966900000000001</v>
          </cell>
          <cell r="CH157">
            <v>5.4225013337673724</v>
          </cell>
          <cell r="CI157">
            <v>135.56253334418432</v>
          </cell>
          <cell r="CJ157">
            <v>2.0257460000000003</v>
          </cell>
          <cell r="CK157">
            <v>18.317789291882558</v>
          </cell>
          <cell r="CL157">
            <v>457.94473229706398</v>
          </cell>
          <cell r="CM157">
            <v>0</v>
          </cell>
          <cell r="CN157">
            <v>0</v>
          </cell>
          <cell r="CO157">
            <v>0</v>
          </cell>
          <cell r="CP157">
            <v>0.27217033333333329</v>
          </cell>
          <cell r="CQ157">
            <v>2.461097698083293</v>
          </cell>
          <cell r="CR157">
            <v>61.527442452082326</v>
          </cell>
          <cell r="CS157" t="str">
            <v/>
          </cell>
          <cell r="CT157">
            <v>6.9681433053920369E-2</v>
          </cell>
          <cell r="CU157">
            <v>0.21975060810749711</v>
          </cell>
          <cell r="CV157">
            <v>0.69681433053920372</v>
          </cell>
          <cell r="CW157">
            <v>0</v>
          </cell>
          <cell r="CX157">
            <v>0</v>
          </cell>
          <cell r="CY157">
            <v>0</v>
          </cell>
          <cell r="CZ157">
            <v>64.829433848722999</v>
          </cell>
        </row>
        <row r="158">
          <cell r="B158" t="str">
            <v>VEN</v>
          </cell>
          <cell r="C158" t="str">
            <v>UMIC</v>
          </cell>
          <cell r="D158" t="str">
            <v>UMIC</v>
          </cell>
          <cell r="E158" t="str">
            <v/>
          </cell>
          <cell r="F158" t="str">
            <v xml:space="preserve"> </v>
          </cell>
          <cell r="G158" t="str">
            <v/>
          </cell>
          <cell r="H158" t="e">
            <v>#REF!</v>
          </cell>
          <cell r="I158" t="str">
            <v/>
          </cell>
          <cell r="J158" t="str">
            <v/>
          </cell>
          <cell r="K158" t="b">
            <v>1</v>
          </cell>
          <cell r="M158" t="b">
            <v>1</v>
          </cell>
          <cell r="N158" t="b">
            <v>1</v>
          </cell>
          <cell r="O158" t="b">
            <v>1</v>
          </cell>
          <cell r="P158" t="str">
            <v/>
          </cell>
          <cell r="Q158" t="b">
            <v>1</v>
          </cell>
          <cell r="R158" t="str">
            <v>YES</v>
          </cell>
          <cell r="S158" t="str">
            <v>YES</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K158">
            <v>28.515829</v>
          </cell>
          <cell r="AL158">
            <v>33.626460000000002</v>
          </cell>
          <cell r="AM158">
            <v>4046.01</v>
          </cell>
          <cell r="AN158">
            <v>0.21</v>
          </cell>
          <cell r="AO158">
            <v>0.5</v>
          </cell>
          <cell r="AP158">
            <v>5.9883240899999999</v>
          </cell>
          <cell r="AQ158">
            <v>14.2579145</v>
          </cell>
          <cell r="AR158">
            <v>16813.23</v>
          </cell>
          <cell r="AS158">
            <v>4.1680000000000002E-2</v>
          </cell>
          <cell r="AT158">
            <v>168.63769680000001</v>
          </cell>
          <cell r="AU158">
            <v>803.03665142857153</v>
          </cell>
          <cell r="AV158">
            <v>0.2</v>
          </cell>
          <cell r="AW158">
            <v>809.20200000000011</v>
          </cell>
          <cell r="AX158">
            <v>3853.3428571428576</v>
          </cell>
          <cell r="AY158">
            <v>4808.8437249026474</v>
          </cell>
          <cell r="AZ158">
            <v>23075.065858458005</v>
          </cell>
          <cell r="BA158">
            <v>18266.222133555359</v>
          </cell>
          <cell r="BB158">
            <v>23.828448848822703</v>
          </cell>
          <cell r="BC158">
            <v>25.290966104709032</v>
          </cell>
          <cell r="BD158">
            <v>0.88690972668930756</v>
          </cell>
          <cell r="BE158">
            <v>4.2233796509014647</v>
          </cell>
          <cell r="BF158">
            <v>15.15156425</v>
          </cell>
          <cell r="BG158">
            <v>161.84040000000002</v>
          </cell>
          <cell r="BH158">
            <v>168.60007725706089</v>
          </cell>
          <cell r="BI158"/>
          <cell r="BJ158">
            <v>116.71366238834742</v>
          </cell>
          <cell r="BK158">
            <v>35.711702524176239</v>
          </cell>
          <cell r="BL158">
            <v>447.15413964540835</v>
          </cell>
          <cell r="BM158">
            <v>482.8658421695846</v>
          </cell>
          <cell r="BN158">
            <v>4615.0131716916003</v>
          </cell>
          <cell r="BO158">
            <v>4807.7709724491369</v>
          </cell>
          <cell r="BP158">
            <v>0</v>
          </cell>
          <cell r="BQ158">
            <v>3328.1868386298465</v>
          </cell>
          <cell r="BR158">
            <v>1018.348802478278</v>
          </cell>
          <cell r="BS158">
            <v>12750.970982770583</v>
          </cell>
          <cell r="BT158">
            <v>13769.319785248861</v>
          </cell>
          <cell r="BU158">
            <v>42.553139645408294</v>
          </cell>
          <cell r="BV158">
            <v>47.219777257060883</v>
          </cell>
          <cell r="BW158">
            <v>-2.8421709430404007E-14</v>
          </cell>
          <cell r="BX158">
            <v>-4.6666376116525896</v>
          </cell>
          <cell r="BZ158">
            <v>0.70912422631495364</v>
          </cell>
          <cell r="CA158">
            <v>1.6664439621236544E-2</v>
          </cell>
          <cell r="CB158">
            <v>0</v>
          </cell>
          <cell r="CC158" t="e">
            <v>#N/A</v>
          </cell>
          <cell r="CD158" t="e">
            <v>#N/A</v>
          </cell>
          <cell r="CE158">
            <v>1213.4380535415835</v>
          </cell>
          <cell r="CF158">
            <v>11.914224424411351</v>
          </cell>
          <cell r="CG158">
            <v>14.637404333333334</v>
          </cell>
          <cell r="CH158">
            <v>0.5133080414156409</v>
          </cell>
          <cell r="CI158">
            <v>2.4443240067411471</v>
          </cell>
          <cell r="CJ158">
            <v>2.3891836666666668</v>
          </cell>
          <cell r="CK158">
            <v>8.3784471658413531E-2</v>
          </cell>
          <cell r="CL158">
            <v>0.39897367456387395</v>
          </cell>
          <cell r="CM158">
            <v>1.4660073333333332</v>
          </cell>
          <cell r="CN158">
            <v>5.141030033997375E-2</v>
          </cell>
          <cell r="CO158">
            <v>0.24481095399987501</v>
          </cell>
          <cell r="CP158">
            <v>2.5102486666666666</v>
          </cell>
          <cell r="CQ158">
            <v>8.8030008409247601E-2</v>
          </cell>
          <cell r="CR158">
            <v>0.41919051623451242</v>
          </cell>
          <cell r="CS158" t="str">
            <v/>
          </cell>
          <cell r="CT158">
            <v>8.2880599403229685E-2</v>
          </cell>
          <cell r="CU158">
            <v>0.27186286605940863</v>
          </cell>
          <cell r="CV158">
            <v>0.82880599403229682</v>
          </cell>
          <cell r="CW158">
            <v>0</v>
          </cell>
          <cell r="CX158">
            <v>0</v>
          </cell>
          <cell r="CY158">
            <v>0</v>
          </cell>
          <cell r="CZ158">
            <v>9422.7841441407381</v>
          </cell>
        </row>
        <row r="159">
          <cell r="B159" t="str">
            <v>VNM</v>
          </cell>
          <cell r="C159" t="str">
            <v>LMIC</v>
          </cell>
          <cell r="D159" t="str">
            <v>ULMIC</v>
          </cell>
          <cell r="E159" t="str">
            <v>LMIC_nonLDC</v>
          </cell>
          <cell r="F159" t="str">
            <v xml:space="preserve"> </v>
          </cell>
          <cell r="G159" t="str">
            <v/>
          </cell>
          <cell r="H159" t="e">
            <v>#REF!</v>
          </cell>
          <cell r="I159" t="str">
            <v/>
          </cell>
          <cell r="J159" t="str">
            <v/>
          </cell>
          <cell r="K159" t="b">
            <v>1</v>
          </cell>
          <cell r="M159" t="str">
            <v/>
          </cell>
          <cell r="P159" t="str">
            <v/>
          </cell>
          <cell r="Q159" t="str">
            <v/>
          </cell>
          <cell r="R159" t="str">
            <v>YES</v>
          </cell>
          <cell r="S159" t="str">
            <v/>
          </cell>
          <cell r="T159" t="str">
            <v>YES</v>
          </cell>
          <cell r="U159" t="str">
            <v/>
          </cell>
          <cell r="V159" t="str">
            <v>YES</v>
          </cell>
          <cell r="W159" t="str">
            <v/>
          </cell>
          <cell r="X159" t="str">
            <v/>
          </cell>
          <cell r="Y159" t="str">
            <v/>
          </cell>
          <cell r="Z159" t="str">
            <v/>
          </cell>
          <cell r="AA159" t="str">
            <v/>
          </cell>
          <cell r="AB159" t="str">
            <v/>
          </cell>
          <cell r="AC159" t="str">
            <v/>
          </cell>
          <cell r="AD159" t="str">
            <v/>
          </cell>
          <cell r="AE159" t="str">
            <v/>
          </cell>
          <cell r="AF159" t="str">
            <v/>
          </cell>
          <cell r="AK159">
            <v>96.462106000000006</v>
          </cell>
          <cell r="AL159">
            <v>104.1635</v>
          </cell>
          <cell r="AM159">
            <v>2540</v>
          </cell>
          <cell r="AN159">
            <v>1.9237010000000002E-2</v>
          </cell>
          <cell r="AO159">
            <v>3.0000000000000001E-3</v>
          </cell>
          <cell r="AP159">
            <v>1.8556424977430603</v>
          </cell>
          <cell r="AQ159">
            <v>0.28938631800000003</v>
          </cell>
          <cell r="AR159">
            <v>312.4905</v>
          </cell>
          <cell r="AS159">
            <v>0.17417733995915466</v>
          </cell>
          <cell r="AT159">
            <v>482.52994930643143</v>
          </cell>
          <cell r="AU159">
            <v>25083.417293354392</v>
          </cell>
          <cell r="AV159">
            <v>0.2006574645906575</v>
          </cell>
          <cell r="AW159">
            <v>555.88882135639744</v>
          </cell>
          <cell r="AX159">
            <v>28896.841107656408</v>
          </cell>
          <cell r="AY159">
            <v>46545.855118171618</v>
          </cell>
          <cell r="AZ159">
            <v>53622.20640989588</v>
          </cell>
          <cell r="BA159">
            <v>7076.3512917242624</v>
          </cell>
          <cell r="BB159">
            <v>3619.6083722114531</v>
          </cell>
          <cell r="BC159">
            <v>3145.1407648167169</v>
          </cell>
          <cell r="BD159">
            <v>32.604935712441495</v>
          </cell>
          <cell r="BE159">
            <v>1694.9066259487047</v>
          </cell>
          <cell r="BF159">
            <v>20.695886250000001</v>
          </cell>
          <cell r="BG159">
            <v>197.23168851600536</v>
          </cell>
          <cell r="BH159">
            <v>213.12547499313621</v>
          </cell>
          <cell r="BI159"/>
          <cell r="BJ159">
            <v>0</v>
          </cell>
          <cell r="BK159">
            <v>15.174774487885992</v>
          </cell>
          <cell r="BL159">
            <v>410.35716350914157</v>
          </cell>
          <cell r="BM159">
            <v>425.53193799702757</v>
          </cell>
          <cell r="BN159">
            <v>19025.384044189894</v>
          </cell>
          <cell r="BO159">
            <v>20558.532160088256</v>
          </cell>
          <cell r="BP159">
            <v>0</v>
          </cell>
          <cell r="BQ159">
            <v>0</v>
          </cell>
          <cell r="BR159">
            <v>1463.7907051765544</v>
          </cell>
          <cell r="BS159">
            <v>39583.916204278154</v>
          </cell>
          <cell r="BT159">
            <v>41047.706909454711</v>
          </cell>
          <cell r="BU159">
            <v>132.41275283094285</v>
          </cell>
          <cell r="BV159">
            <v>129.7421517896766</v>
          </cell>
          <cell r="BW159">
            <v>86.053924244725863</v>
          </cell>
          <cell r="BX159">
            <v>-83.383323203459611</v>
          </cell>
          <cell r="BZ159">
            <v>16.409742552514437</v>
          </cell>
          <cell r="CA159">
            <v>0.12392871684697525</v>
          </cell>
          <cell r="CB159">
            <v>0</v>
          </cell>
          <cell r="CC159">
            <v>162540</v>
          </cell>
          <cell r="CD159">
            <v>8.7592303042040978E-2</v>
          </cell>
          <cell r="CE159">
            <v>12772.81299933021</v>
          </cell>
          <cell r="CF159">
            <v>1572.5703824083585</v>
          </cell>
          <cell r="CG159">
            <v>222.72564399999999</v>
          </cell>
          <cell r="CH159">
            <v>2.3089444470557172</v>
          </cell>
          <cell r="CI159">
            <v>120.02616035733811</v>
          </cell>
          <cell r="CJ159">
            <v>248.99643866666668</v>
          </cell>
          <cell r="CK159">
            <v>2.5812876060021606</v>
          </cell>
          <cell r="CL159">
            <v>134.18341031179796</v>
          </cell>
          <cell r="CM159">
            <v>13.919841666666668</v>
          </cell>
          <cell r="CN159">
            <v>0.14430372966008712</v>
          </cell>
          <cell r="CO159">
            <v>7.5013596011067776</v>
          </cell>
          <cell r="CP159">
            <v>31.162493000000001</v>
          </cell>
          <cell r="CQ159">
            <v>0.32305424681480621</v>
          </cell>
          <cell r="CR159">
            <v>16.793371049596907</v>
          </cell>
          <cell r="CS159">
            <v>0.45</v>
          </cell>
          <cell r="CT159">
            <v>8.1819393410299368E-2</v>
          </cell>
          <cell r="CU159">
            <v>0.23404782391958143</v>
          </cell>
          <cell r="CV159">
            <v>0.81819393410299368</v>
          </cell>
          <cell r="CW159">
            <v>0</v>
          </cell>
          <cell r="CX159">
            <v>0</v>
          </cell>
          <cell r="CY159">
            <v>0</v>
          </cell>
          <cell r="CZ159">
            <v>39583.916204278146</v>
          </cell>
        </row>
        <row r="160">
          <cell r="B160" t="str">
            <v>VUT</v>
          </cell>
          <cell r="C160" t="str">
            <v>LMIC</v>
          </cell>
          <cell r="D160" t="str">
            <v>ULMIC</v>
          </cell>
          <cell r="E160" t="str">
            <v>LMIC_LDC</v>
          </cell>
          <cell r="F160" t="b">
            <v>1</v>
          </cell>
          <cell r="G160" t="str">
            <v/>
          </cell>
          <cell r="H160" t="e">
            <v>#REF!</v>
          </cell>
          <cell r="I160" t="str">
            <v/>
          </cell>
          <cell r="J160" t="str">
            <v/>
          </cell>
          <cell r="K160" t="b">
            <v>1</v>
          </cell>
          <cell r="M160" t="str">
            <v/>
          </cell>
          <cell r="P160" t="str">
            <v/>
          </cell>
          <cell r="Q160" t="str">
            <v/>
          </cell>
          <cell r="R160" t="str">
            <v/>
          </cell>
          <cell r="S160" t="str">
            <v/>
          </cell>
          <cell r="T160" t="str">
            <v>YES</v>
          </cell>
          <cell r="U160" t="str">
            <v>YES</v>
          </cell>
          <cell r="V160" t="str">
            <v/>
          </cell>
          <cell r="W160" t="str">
            <v/>
          </cell>
          <cell r="X160" t="str">
            <v>YES</v>
          </cell>
          <cell r="Y160" t="str">
            <v/>
          </cell>
          <cell r="Z160" t="str">
            <v>YES</v>
          </cell>
          <cell r="AA160" t="str">
            <v/>
          </cell>
          <cell r="AB160" t="str">
            <v/>
          </cell>
          <cell r="AC160" t="str">
            <v/>
          </cell>
          <cell r="AD160" t="str">
            <v/>
          </cell>
          <cell r="AE160" t="str">
            <v>YES</v>
          </cell>
          <cell r="AF160" t="str">
            <v>YES</v>
          </cell>
          <cell r="AK160">
            <v>0.29988199999999998</v>
          </cell>
          <cell r="AL160">
            <v>0.38337700000000002</v>
          </cell>
          <cell r="AM160">
            <v>3170</v>
          </cell>
          <cell r="AN160">
            <v>0.1440756</v>
          </cell>
          <cell r="AO160">
            <v>0.193</v>
          </cell>
          <cell r="AP160">
            <v>4.3205679079199998E-2</v>
          </cell>
          <cell r="AQ160">
            <v>5.7877225999999997E-2</v>
          </cell>
          <cell r="AR160">
            <v>73.991760999999997</v>
          </cell>
          <cell r="AS160">
            <v>0.30399688499355071</v>
          </cell>
          <cell r="AT160">
            <v>976.39735414418453</v>
          </cell>
          <cell r="AU160">
            <v>6776.9792674414302</v>
          </cell>
          <cell r="AV160">
            <v>0.34288120287833779</v>
          </cell>
          <cell r="AW160">
            <v>1101.2885848593053</v>
          </cell>
          <cell r="AX160">
            <v>7643.8243870530841</v>
          </cell>
          <cell r="AY160">
            <v>292.80399135546634</v>
          </cell>
          <cell r="AZ160">
            <v>330.25662340477805</v>
          </cell>
          <cell r="BA160">
            <v>37.452632049311717</v>
          </cell>
          <cell r="BB160">
            <v>118.57995208011432</v>
          </cell>
          <cell r="BC160">
            <v>114.93994177211734</v>
          </cell>
          <cell r="BD160">
            <v>383.28389757343672</v>
          </cell>
          <cell r="BE160">
            <v>2660.2970771833448</v>
          </cell>
          <cell r="BF160">
            <v>11.042359250000001</v>
          </cell>
          <cell r="BG160">
            <v>206.0964578427473</v>
          </cell>
          <cell r="BH160">
            <v>119.32871153525967</v>
          </cell>
          <cell r="BI160"/>
          <cell r="BJ160">
            <v>27.868056808126006</v>
          </cell>
          <cell r="BK160">
            <v>8.099175520506332</v>
          </cell>
          <cell r="BL160">
            <v>353.29322618613298</v>
          </cell>
          <cell r="BM160">
            <v>361.3924017066393</v>
          </cell>
          <cell r="BN160">
            <v>61.804617970798745</v>
          </cell>
          <cell r="BO160">
            <v>35.784532672616741</v>
          </cell>
          <cell r="BP160">
            <v>0</v>
          </cell>
          <cell r="BQ160">
            <v>8.3571286117344421</v>
          </cell>
          <cell r="BR160">
            <v>2.4287969534404796</v>
          </cell>
          <cell r="BS160">
            <v>105.94627925514992</v>
          </cell>
          <cell r="BT160">
            <v>108.3750762085904</v>
          </cell>
          <cell r="BU160">
            <v>-197.35106624351965</v>
          </cell>
          <cell r="BV160">
            <v>-45.864576193636125</v>
          </cell>
          <cell r="BW160">
            <v>-14.161259129113773</v>
          </cell>
          <cell r="BX160">
            <v>-137.3252309207698</v>
          </cell>
          <cell r="BZ160">
            <v>210.05312259841762</v>
          </cell>
          <cell r="CA160">
            <v>-1.0643627450141282</v>
          </cell>
          <cell r="CB160">
            <v>0</v>
          </cell>
          <cell r="CC160" t="str">
            <v>—</v>
          </cell>
          <cell r="CD160" t="e">
            <v>#VALUE!</v>
          </cell>
          <cell r="CE160">
            <v>0</v>
          </cell>
          <cell r="CF160">
            <v>0</v>
          </cell>
          <cell r="CG160">
            <v>19.593457333333333</v>
          </cell>
          <cell r="CH160">
            <v>65.337223752453752</v>
          </cell>
          <cell r="CI160">
            <v>453.49263686879493</v>
          </cell>
          <cell r="CJ160">
            <v>8.445195</v>
          </cell>
          <cell r="CK160">
            <v>28.161726945932067</v>
          </cell>
          <cell r="CL160">
            <v>195.46492914783673</v>
          </cell>
          <cell r="CM160">
            <v>7.120972666666666</v>
          </cell>
          <cell r="CN160">
            <v>23.745915615697729</v>
          </cell>
          <cell r="CO160">
            <v>164.81566355231371</v>
          </cell>
          <cell r="CP160">
            <v>0.60137733333333343</v>
          </cell>
          <cell r="CQ160">
            <v>2.005379893869367</v>
          </cell>
          <cell r="CR160">
            <v>13.918941818526989</v>
          </cell>
          <cell r="CS160">
            <v>0.54</v>
          </cell>
          <cell r="CT160">
            <v>0.14032185993157309</v>
          </cell>
          <cell r="CU160">
            <v>0.3934114084873383</v>
          </cell>
          <cell r="CV160">
            <v>1.4032185993157309</v>
          </cell>
          <cell r="CW160">
            <v>0</v>
          </cell>
          <cell r="CX160">
            <v>0</v>
          </cell>
          <cell r="CY160">
            <v>0</v>
          </cell>
          <cell r="CZ160">
            <v>97.589150643415479</v>
          </cell>
        </row>
        <row r="161">
          <cell r="B161" t="str">
            <v>WLF</v>
          </cell>
          <cell r="D161" t="str">
            <v>HIC</v>
          </cell>
          <cell r="F161" t="str">
            <v xml:space="preserve"> </v>
          </cell>
          <cell r="G161" t="str">
            <v/>
          </cell>
          <cell r="H161" t="e">
            <v>#REF!</v>
          </cell>
          <cell r="I161" t="str">
            <v/>
          </cell>
          <cell r="J161" t="str">
            <v/>
          </cell>
          <cell r="K161" t="str">
            <v/>
          </cell>
          <cell r="M161" t="str">
            <v/>
          </cell>
          <cell r="O161" t="b">
            <v>1</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K161">
            <v>1.2E-2</v>
          </cell>
          <cell r="AL161" t="e">
            <v>#VALUE!</v>
          </cell>
          <cell r="AM161" t="b">
            <v>0</v>
          </cell>
          <cell r="AN161" t="e">
            <v>#VALUE!</v>
          </cell>
          <cell r="AO161" t="e">
            <v>#VALUE!</v>
          </cell>
          <cell r="AP161" t="e">
            <v>#VALUE!</v>
          </cell>
          <cell r="AQ161" t="e">
            <v>#VALUE!</v>
          </cell>
          <cell r="AR161" t="e">
            <v>#VALUE!</v>
          </cell>
          <cell r="AS161" t="e">
            <v>#N/A</v>
          </cell>
          <cell r="AT161" t="e">
            <v>#N/A</v>
          </cell>
          <cell r="AU161" t="e">
            <v>#N/A</v>
          </cell>
          <cell r="AV161" t="e">
            <v>#N/A</v>
          </cell>
          <cell r="AW161" t="e">
            <v>#N/A</v>
          </cell>
          <cell r="AX161" t="e">
            <v>#N/A</v>
          </cell>
          <cell r="AY161" t="e">
            <v>#N/A</v>
          </cell>
          <cell r="AZ161" t="e">
            <v>#N/A</v>
          </cell>
          <cell r="BA161" t="e">
            <v>#N/A</v>
          </cell>
          <cell r="BB161">
            <v>96.156798451055309</v>
          </cell>
          <cell r="BC161">
            <v>75.232348906178188</v>
          </cell>
          <cell r="BD161">
            <v>6269.362408848182</v>
          </cell>
          <cell r="BE161" t="e">
            <v>#VALUE!</v>
          </cell>
          <cell r="BF161">
            <v>0.17921874999999998</v>
          </cell>
          <cell r="BG161" t="str">
            <v/>
          </cell>
          <cell r="BH161" t="str">
            <v/>
          </cell>
          <cell r="BI161"/>
          <cell r="BJ161" t="str">
            <v/>
          </cell>
          <cell r="BK161" t="str">
            <v/>
          </cell>
          <cell r="BL161" t="str">
            <v/>
          </cell>
          <cell r="BM161" t="str">
            <v/>
          </cell>
          <cell r="BN161" t="str">
            <v/>
          </cell>
          <cell r="BO161" t="str">
            <v/>
          </cell>
          <cell r="BP161">
            <v>0</v>
          </cell>
          <cell r="BQ161" t="str">
            <v/>
          </cell>
          <cell r="BR161" t="str">
            <v/>
          </cell>
          <cell r="BS161" t="str">
            <v/>
          </cell>
          <cell r="BT161" t="str">
            <v/>
          </cell>
          <cell r="BU161" t="str">
            <v/>
          </cell>
          <cell r="BV161" t="str">
            <v/>
          </cell>
          <cell r="BW161" t="str">
            <v/>
          </cell>
          <cell r="BX161" t="str">
            <v/>
          </cell>
          <cell r="BZ161" t="str">
            <v/>
          </cell>
          <cell r="CA161" t="str">
            <v/>
          </cell>
          <cell r="CB161">
            <v>0</v>
          </cell>
          <cell r="CC161" t="e">
            <v>#N/A</v>
          </cell>
          <cell r="CD161" t="e">
            <v>#N/A</v>
          </cell>
          <cell r="CE161" t="e">
            <v>#VALUE!</v>
          </cell>
          <cell r="CF161">
            <v>48.078399225527654</v>
          </cell>
          <cell r="CG161">
            <v>34.532006333333335</v>
          </cell>
          <cell r="CH161">
            <v>2877.6671944444447</v>
          </cell>
          <cell r="CI161" t="e">
            <v>#VALUE!</v>
          </cell>
          <cell r="CJ161">
            <v>3.2921499999999999</v>
          </cell>
          <cell r="CK161">
            <v>274.3458333333333</v>
          </cell>
          <cell r="CL161" t="e">
            <v>#VALUE!</v>
          </cell>
          <cell r="CM161">
            <v>0.44440833333333335</v>
          </cell>
          <cell r="CN161">
            <v>37.03402777777778</v>
          </cell>
          <cell r="CO161" t="e">
            <v>#VALUE!</v>
          </cell>
          <cell r="CP161">
            <v>1.5061153333333335</v>
          </cell>
          <cell r="CQ161">
            <v>125.50961111111113</v>
          </cell>
          <cell r="CR161" t="e">
            <v>#VALUE!</v>
          </cell>
          <cell r="CS161" t="str">
            <v/>
          </cell>
          <cell r="CT161" t="e">
            <v>#N/A</v>
          </cell>
          <cell r="CU161" t="str">
            <v/>
          </cell>
          <cell r="CV161" t="e">
            <v>#N/A</v>
          </cell>
          <cell r="CW161">
            <v>0</v>
          </cell>
          <cell r="CX161">
            <v>0</v>
          </cell>
          <cell r="CY161" t="e">
            <v>#VALUE!</v>
          </cell>
          <cell r="CZ161" t="e">
            <v>#VALUE!</v>
          </cell>
        </row>
        <row r="162">
          <cell r="B162" t="str">
            <v>WSM</v>
          </cell>
          <cell r="C162" t="str">
            <v>UMIC</v>
          </cell>
          <cell r="D162" t="str">
            <v>UMIC</v>
          </cell>
          <cell r="E162" t="str">
            <v/>
          </cell>
          <cell r="F162" t="str">
            <v xml:space="preserve"> </v>
          </cell>
          <cell r="G162" t="str">
            <v/>
          </cell>
          <cell r="H162" t="e">
            <v>#REF!</v>
          </cell>
          <cell r="I162" t="str">
            <v/>
          </cell>
          <cell r="J162" t="str">
            <v/>
          </cell>
          <cell r="K162" t="b">
            <v>1</v>
          </cell>
          <cell r="M162" t="str">
            <v/>
          </cell>
          <cell r="P162" t="str">
            <v/>
          </cell>
          <cell r="Q162" t="str">
            <v/>
          </cell>
          <cell r="R162" t="str">
            <v/>
          </cell>
          <cell r="S162" t="str">
            <v/>
          </cell>
          <cell r="T162" t="str">
            <v>YES</v>
          </cell>
          <cell r="U162" t="str">
            <v>YES</v>
          </cell>
          <cell r="V162" t="str">
            <v/>
          </cell>
          <cell r="W162" t="str">
            <v/>
          </cell>
          <cell r="X162" t="str">
            <v>YES</v>
          </cell>
          <cell r="Y162" t="str">
            <v/>
          </cell>
          <cell r="Z162" t="str">
            <v>YES</v>
          </cell>
          <cell r="AA162" t="str">
            <v/>
          </cell>
          <cell r="AB162" t="str">
            <v/>
          </cell>
          <cell r="AC162" t="str">
            <v/>
          </cell>
          <cell r="AD162" t="str">
            <v/>
          </cell>
          <cell r="AE162" t="str">
            <v>YES</v>
          </cell>
          <cell r="AF162" t="str">
            <v>YES</v>
          </cell>
          <cell r="AK162">
            <v>0.19709699999999999</v>
          </cell>
          <cell r="AL162">
            <v>0.22036800000000001</v>
          </cell>
          <cell r="AM162">
            <v>4180</v>
          </cell>
          <cell r="AN162">
            <v>6.0396180000000001E-3</v>
          </cell>
          <cell r="AO162">
            <v>9.4999999999999998E-3</v>
          </cell>
          <cell r="AP162">
            <v>1.190390588946E-3</v>
          </cell>
          <cell r="AQ162">
            <v>1.8724214999999999E-3</v>
          </cell>
          <cell r="AR162">
            <v>2.093496</v>
          </cell>
          <cell r="AS162">
            <v>0.27971182396101657</v>
          </cell>
          <cell r="AT162">
            <v>1205.1045590055519</v>
          </cell>
          <cell r="AU162">
            <v>199533.2418383997</v>
          </cell>
          <cell r="AV162">
            <v>0.33436248272575236</v>
          </cell>
          <cell r="AW162">
            <v>1440.5603116347963</v>
          </cell>
          <cell r="AX162">
            <v>238518.44796058233</v>
          </cell>
          <cell r="AY162">
            <v>237.5224932663173</v>
          </cell>
          <cell r="AZ162">
            <v>283.93011574228336</v>
          </cell>
          <cell r="BA162">
            <v>46.407622475966065</v>
          </cell>
          <cell r="BB162">
            <v>109.92902120727767</v>
          </cell>
          <cell r="BC162">
            <v>117.401206560007</v>
          </cell>
          <cell r="BD162">
            <v>595.65192042500394</v>
          </cell>
          <cell r="BE162">
            <v>98624.105104826813</v>
          </cell>
          <cell r="BF162">
            <v>5.2854124999999996</v>
          </cell>
          <cell r="BG162">
            <v>144.3095481448735</v>
          </cell>
          <cell r="BH162">
            <v>171.99850488333732</v>
          </cell>
          <cell r="BI162"/>
          <cell r="BJ162">
            <v>38.852591670975812</v>
          </cell>
          <cell r="BK162">
            <v>6.5726912752532405</v>
          </cell>
          <cell r="BL162">
            <v>355.16064469918661</v>
          </cell>
          <cell r="BM162">
            <v>361.73333597443985</v>
          </cell>
          <cell r="BN162">
            <v>28.442979010710133</v>
          </cell>
          <cell r="BO162">
            <v>33.900389316991138</v>
          </cell>
          <cell r="BP162">
            <v>0</v>
          </cell>
          <cell r="BQ162">
            <v>7.6577292605743192</v>
          </cell>
          <cell r="BR162">
            <v>1.2954577322785878</v>
          </cell>
          <cell r="BS162">
            <v>70.001097588275584</v>
          </cell>
          <cell r="BT162">
            <v>71.296555320554177</v>
          </cell>
          <cell r="BU162">
            <v>-365.11951111821156</v>
          </cell>
          <cell r="BV162">
            <v>-44.08554186188212</v>
          </cell>
          <cell r="BW162">
            <v>-143.80251418208579</v>
          </cell>
          <cell r="BX162">
            <v>-177.23145507424363</v>
          </cell>
          <cell r="BZ162">
            <v>311.2341107678123</v>
          </cell>
          <cell r="CA162">
            <v>-0.8524170888995487</v>
          </cell>
          <cell r="CB162">
            <v>0</v>
          </cell>
          <cell r="CC162" t="str">
            <v>—</v>
          </cell>
          <cell r="CD162" t="e">
            <v>#VALUE!</v>
          </cell>
          <cell r="CE162">
            <v>0</v>
          </cell>
          <cell r="CF162">
            <v>0</v>
          </cell>
          <cell r="CG162">
            <v>14.153546666666665</v>
          </cell>
          <cell r="CH162">
            <v>71.810056300535607</v>
          </cell>
          <cell r="CI162">
            <v>11889.834141916857</v>
          </cell>
          <cell r="CJ162">
            <v>6.8976443333333322</v>
          </cell>
          <cell r="CK162">
            <v>34.996191384614342</v>
          </cell>
          <cell r="CL162">
            <v>5794.4378907100318</v>
          </cell>
          <cell r="CM162">
            <v>1.9180380000000001</v>
          </cell>
          <cell r="CN162">
            <v>9.7314418788718253</v>
          </cell>
          <cell r="CO162">
            <v>1611.2677786694167</v>
          </cell>
          <cell r="CP162">
            <v>0.46566200000000002</v>
          </cell>
          <cell r="CQ162">
            <v>2.3626031852336666</v>
          </cell>
          <cell r="CR162">
            <v>391.18420821211981</v>
          </cell>
          <cell r="CS162" t="str">
            <v/>
          </cell>
          <cell r="CT162">
            <v>0.13693764998959904</v>
          </cell>
          <cell r="CU162">
            <v>0.37447043841357303</v>
          </cell>
          <cell r="CV162">
            <v>1.3693764998959903</v>
          </cell>
          <cell r="CW162">
            <v>0</v>
          </cell>
          <cell r="CX162">
            <v>0</v>
          </cell>
          <cell r="CY162">
            <v>0</v>
          </cell>
          <cell r="CZ162">
            <v>62.343368327701263</v>
          </cell>
        </row>
        <row r="163">
          <cell r="B163" t="str">
            <v>XKX</v>
          </cell>
          <cell r="C163" t="str">
            <v>UMIC</v>
          </cell>
          <cell r="D163" t="str">
            <v>UMIC</v>
          </cell>
          <cell r="E163" t="str">
            <v/>
          </cell>
          <cell r="F163" t="str">
            <v xml:space="preserve"> </v>
          </cell>
          <cell r="G163" t="b">
            <v>1</v>
          </cell>
          <cell r="H163" t="e">
            <v>#REF!</v>
          </cell>
          <cell r="I163" t="str">
            <v/>
          </cell>
          <cell r="J163" t="str">
            <v/>
          </cell>
          <cell r="K163" t="b">
            <v>1</v>
          </cell>
          <cell r="M163" t="str">
            <v/>
          </cell>
          <cell r="P163" t="str">
            <v/>
          </cell>
          <cell r="Q163" t="str">
            <v/>
          </cell>
          <cell r="R163" t="str">
            <v/>
          </cell>
          <cell r="S163" t="str">
            <v/>
          </cell>
          <cell r="T163" t="str">
            <v>YES</v>
          </cell>
          <cell r="U163" t="str">
            <v>YES</v>
          </cell>
          <cell r="V163" t="str">
            <v/>
          </cell>
          <cell r="W163" t="str">
            <v/>
          </cell>
          <cell r="X163" t="str">
            <v/>
          </cell>
          <cell r="Y163" t="str">
            <v/>
          </cell>
          <cell r="Z163" t="str">
            <v/>
          </cell>
          <cell r="AA163" t="str">
            <v/>
          </cell>
          <cell r="AB163" t="str">
            <v/>
          </cell>
          <cell r="AC163" t="str">
            <v/>
          </cell>
          <cell r="AD163" t="str">
            <v/>
          </cell>
          <cell r="AE163" t="str">
            <v/>
          </cell>
          <cell r="AF163" t="str">
            <v/>
          </cell>
          <cell r="AK163">
            <v>1.7942480000000001</v>
          </cell>
          <cell r="AL163">
            <v>1.8214699999999999</v>
          </cell>
          <cell r="AM163">
            <v>4640</v>
          </cell>
          <cell r="AN163">
            <v>2.2961819999999999E-3</v>
          </cell>
          <cell r="AO163">
            <v>2E-3</v>
          </cell>
          <cell r="AP163">
            <v>4.1199199611360003E-3</v>
          </cell>
          <cell r="AQ163">
            <v>3.588496E-3</v>
          </cell>
          <cell r="AR163">
            <v>3.6429399999999998</v>
          </cell>
          <cell r="AS163">
            <v>0.26006512729425696</v>
          </cell>
          <cell r="AT163">
            <v>1194.874995784794</v>
          </cell>
          <cell r="AU163">
            <v>520374.68971745012</v>
          </cell>
          <cell r="AV163">
            <v>0.31032247931985479</v>
          </cell>
          <cell r="AW163">
            <v>1425.7835144105713</v>
          </cell>
          <cell r="AX163">
            <v>620936.63063754153</v>
          </cell>
          <cell r="AY163">
            <v>2143.9020714368753</v>
          </cell>
          <cell r="AZ163">
            <v>2558.2092191641386</v>
          </cell>
          <cell r="BA163">
            <v>414.30714772726333</v>
          </cell>
          <cell r="BB163">
            <v>378.48638370632597</v>
          </cell>
          <cell r="BC163">
            <v>343.4048876345787</v>
          </cell>
          <cell r="BD163">
            <v>191.39209720984985</v>
          </cell>
          <cell r="BE163">
            <v>83352.320160096133</v>
          </cell>
          <cell r="BF163">
            <v>4.1656677499999999</v>
          </cell>
          <cell r="BG163">
            <v>183.78088722873233</v>
          </cell>
          <cell r="BH163">
            <v>337.20015451412178</v>
          </cell>
          <cell r="BI163"/>
          <cell r="BJ163">
            <v>0</v>
          </cell>
          <cell r="BK163">
            <v>66.217674645248906</v>
          </cell>
          <cell r="BL163">
            <v>520.98104174285413</v>
          </cell>
          <cell r="BM163">
            <v>587.19871638810309</v>
          </cell>
          <cell r="BN163">
            <v>329.74848934837854</v>
          </cell>
          <cell r="BO163">
            <v>605.02070283665398</v>
          </cell>
          <cell r="BP163">
            <v>0</v>
          </cell>
          <cell r="BQ163">
            <v>0</v>
          </cell>
          <cell r="BR163">
            <v>118.81093029688856</v>
          </cell>
          <cell r="BS163">
            <v>934.76919218503258</v>
          </cell>
          <cell r="BT163">
            <v>1053.5801224819211</v>
          </cell>
          <cell r="BU163">
            <v>-191.91071546243154</v>
          </cell>
          <cell r="BV163">
            <v>123.33262735253609</v>
          </cell>
          <cell r="BW163">
            <v>-101.37581565338198</v>
          </cell>
          <cell r="BX163">
            <v>-213.86752716158568</v>
          </cell>
          <cell r="BZ163">
            <v>96.856888062458111</v>
          </cell>
          <cell r="CA163">
            <v>-0.50469765499581409</v>
          </cell>
          <cell r="CB163" t="e">
            <v>#N/A</v>
          </cell>
          <cell r="CC163" t="str">
            <v>—</v>
          </cell>
          <cell r="CD163" t="e">
            <v>#VALUE!</v>
          </cell>
          <cell r="CE163">
            <v>0</v>
          </cell>
          <cell r="CF163">
            <v>0</v>
          </cell>
          <cell r="CG163">
            <v>30.573913666666666</v>
          </cell>
          <cell r="CH163">
            <v>17.039959730576076</v>
          </cell>
          <cell r="CI163">
            <v>7420.9969987466484</v>
          </cell>
          <cell r="CJ163">
            <v>11.391043</v>
          </cell>
          <cell r="CK163">
            <v>6.3486446689643792</v>
          </cell>
          <cell r="CL163">
            <v>2764.8699750125988</v>
          </cell>
          <cell r="CM163">
            <v>118.17450433333332</v>
          </cell>
          <cell r="CN163">
            <v>65.862971190901874</v>
          </cell>
          <cell r="CO163">
            <v>28683.689355156461</v>
          </cell>
          <cell r="CP163">
            <v>11.292619333333334</v>
          </cell>
          <cell r="CQ163">
            <v>6.2937895616064967</v>
          </cell>
          <cell r="CR163">
            <v>2740.9802714273073</v>
          </cell>
          <cell r="CS163">
            <v>0.53</v>
          </cell>
          <cell r="CT163">
            <v>0.10766418143489097</v>
          </cell>
          <cell r="CU163" t="str">
            <v/>
          </cell>
          <cell r="CV163">
            <v>1.0766418143489096</v>
          </cell>
          <cell r="CW163">
            <v>0</v>
          </cell>
          <cell r="CX163">
            <v>0</v>
          </cell>
          <cell r="CY163">
            <v>0</v>
          </cell>
          <cell r="CZ163">
            <v>934.76919218503258</v>
          </cell>
        </row>
        <row r="164">
          <cell r="B164" t="str">
            <v>YEM</v>
          </cell>
          <cell r="C164" t="str">
            <v>LIC</v>
          </cell>
          <cell r="D164" t="str">
            <v>OLIC</v>
          </cell>
          <cell r="E164" t="str">
            <v>OLIC_LDC</v>
          </cell>
          <cell r="F164" t="b">
            <v>1</v>
          </cell>
          <cell r="G164" t="b">
            <v>1</v>
          </cell>
          <cell r="H164" t="e">
            <v>#REF!</v>
          </cell>
          <cell r="I164" t="str">
            <v/>
          </cell>
          <cell r="J164" t="str">
            <v/>
          </cell>
          <cell r="K164" t="str">
            <v/>
          </cell>
          <cell r="M164" t="b">
            <v>1</v>
          </cell>
          <cell r="O164" t="b">
            <v>1</v>
          </cell>
          <cell r="P164" t="str">
            <v/>
          </cell>
          <cell r="Q164" t="b">
            <v>1</v>
          </cell>
          <cell r="R164" t="str">
            <v>YES</v>
          </cell>
          <cell r="S164" t="str">
            <v>YES</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K164">
            <v>29.161922000000001</v>
          </cell>
          <cell r="AL164">
            <v>36.406889999999997</v>
          </cell>
          <cell r="AM164">
            <v>968.15904758299905</v>
          </cell>
          <cell r="AN164">
            <v>0.59</v>
          </cell>
          <cell r="AO164">
            <v>0.51</v>
          </cell>
          <cell r="AP164">
            <v>17.205533979999998</v>
          </cell>
          <cell r="AQ164">
            <v>14.87258022</v>
          </cell>
          <cell r="AR164">
            <v>18567.513900000002</v>
          </cell>
          <cell r="AS164">
            <v>5.2999999999999999E-2</v>
          </cell>
          <cell r="AT164">
            <v>55.269265477712572</v>
          </cell>
          <cell r="AU164">
            <v>93.676721148665379</v>
          </cell>
          <cell r="AV164">
            <v>5.7488742614056204E-2</v>
          </cell>
          <cell r="AW164">
            <v>59.950199575776601</v>
          </cell>
          <cell r="AX164">
            <v>101.61050775555357</v>
          </cell>
          <cell r="AY164">
            <v>1611.7580088583468</v>
          </cell>
          <cell r="AZ164">
            <v>1748.2630439132306</v>
          </cell>
          <cell r="BA164">
            <v>136.50503505488382</v>
          </cell>
          <cell r="BB164">
            <v>719.47642287107521</v>
          </cell>
          <cell r="BC164">
            <v>1612.7932291003806</v>
          </cell>
          <cell r="BD164">
            <v>55.304764517934743</v>
          </cell>
          <cell r="BE164">
            <v>93.736889013448717</v>
          </cell>
          <cell r="BF164">
            <v>1429.6025475000001</v>
          </cell>
          <cell r="BG164">
            <v>89.823771467655973</v>
          </cell>
          <cell r="BH164">
            <v>141.79015921927953</v>
          </cell>
          <cell r="BI164"/>
          <cell r="BJ164">
            <v>63.454259480206289</v>
          </cell>
          <cell r="BK164">
            <v>10.728066015102968</v>
          </cell>
          <cell r="BL164">
            <v>295.06819016714178</v>
          </cell>
          <cell r="BM164">
            <v>305.79625618224475</v>
          </cell>
          <cell r="BN164">
            <v>2619.4338172856092</v>
          </cell>
          <cell r="BO164">
            <v>4134.8735635202111</v>
          </cell>
          <cell r="BP164">
            <v>0</v>
          </cell>
          <cell r="BQ164">
            <v>1850.4481655295365</v>
          </cell>
          <cell r="BR164">
            <v>312.8510243432836</v>
          </cell>
          <cell r="BS164">
            <v>8604.7555463353565</v>
          </cell>
          <cell r="BT164">
            <v>8917.6065706786394</v>
          </cell>
          <cell r="BU164">
            <v>265.09309037925345</v>
          </cell>
          <cell r="BV164">
            <v>132.79762928291305</v>
          </cell>
          <cell r="BW164">
            <v>77.833731552500652</v>
          </cell>
          <cell r="BX164">
            <v>54.461729543839802</v>
          </cell>
          <cell r="BZ164">
            <v>52.163841886011156</v>
          </cell>
          <cell r="CA164">
            <v>0.19677556216717434</v>
          </cell>
          <cell r="CB164">
            <v>0</v>
          </cell>
          <cell r="CC164" t="str">
            <v>—</v>
          </cell>
          <cell r="CD164" t="e">
            <v>#VALUE!</v>
          </cell>
          <cell r="CE164">
            <v>7730.6240243787397</v>
          </cell>
          <cell r="CF164">
            <v>806.39661455019029</v>
          </cell>
          <cell r="CG164">
            <v>78.871350666666658</v>
          </cell>
          <cell r="CH164">
            <v>2.7046005632504833</v>
          </cell>
          <cell r="CI164">
            <v>4.5840687512720057</v>
          </cell>
          <cell r="CJ164">
            <v>325.31538366666666</v>
          </cell>
          <cell r="CK164">
            <v>11.15548500769828</v>
          </cell>
          <cell r="CL164">
            <v>18.907601707963188</v>
          </cell>
          <cell r="CM164">
            <v>34.189895999999997</v>
          </cell>
          <cell r="CN164">
            <v>1.172415727605334</v>
          </cell>
          <cell r="CO164">
            <v>1.9871453010259899</v>
          </cell>
          <cell r="CP164">
            <v>796.16787666666664</v>
          </cell>
          <cell r="CQ164">
            <v>27.30162561530295</v>
          </cell>
          <cell r="CR164">
            <v>46.273941720852456</v>
          </cell>
          <cell r="CS164" t="str">
            <v/>
          </cell>
          <cell r="CT164">
            <v>0.14111916217319281</v>
          </cell>
          <cell r="CU164">
            <v>0.39716480278631838</v>
          </cell>
          <cell r="CV164">
            <v>1.4111916217319282</v>
          </cell>
          <cell r="CW164">
            <v>7169.3435267654086</v>
          </cell>
          <cell r="CX164">
            <v>245.84605660646812</v>
          </cell>
          <cell r="CY164">
            <v>416.6882315363867</v>
          </cell>
          <cell r="CZ164">
            <v>6754.3073808058198</v>
          </cell>
        </row>
        <row r="165">
          <cell r="B165" t="str">
            <v>ZAF</v>
          </cell>
          <cell r="C165" t="str">
            <v>UMIC</v>
          </cell>
          <cell r="D165" t="str">
            <v>UMIC</v>
          </cell>
          <cell r="E165" t="str">
            <v/>
          </cell>
          <cell r="F165" t="str">
            <v xml:space="preserve"> </v>
          </cell>
          <cell r="G165" t="str">
            <v/>
          </cell>
          <cell r="H165" t="e">
            <v>#REF!</v>
          </cell>
          <cell r="I165" t="str">
            <v/>
          </cell>
          <cell r="J165" t="str">
            <v/>
          </cell>
          <cell r="K165" t="b">
            <v>1</v>
          </cell>
          <cell r="M165" t="str">
            <v/>
          </cell>
          <cell r="P165" t="b">
            <v>1</v>
          </cell>
          <cell r="Q165" t="b">
            <v>1</v>
          </cell>
          <cell r="R165" t="str">
            <v/>
          </cell>
          <cell r="S165" t="str">
            <v/>
          </cell>
          <cell r="T165" t="str">
            <v>YES</v>
          </cell>
          <cell r="U165" t="str">
            <v>YES</v>
          </cell>
          <cell r="V165" t="str">
            <v/>
          </cell>
          <cell r="W165" t="str">
            <v/>
          </cell>
          <cell r="X165" t="str">
            <v>YES</v>
          </cell>
          <cell r="Y165" t="str">
            <v/>
          </cell>
          <cell r="Z165" t="str">
            <v>YES</v>
          </cell>
          <cell r="AA165" t="str">
            <v/>
          </cell>
          <cell r="AB165" t="str">
            <v/>
          </cell>
          <cell r="AC165" t="str">
            <v/>
          </cell>
          <cell r="AD165" t="str">
            <v/>
          </cell>
          <cell r="AE165" t="str">
            <v>YES</v>
          </cell>
          <cell r="AF165" t="str">
            <v>YES</v>
          </cell>
          <cell r="AK165">
            <v>58.55827</v>
          </cell>
          <cell r="AL165">
            <v>65.956090000000003</v>
          </cell>
          <cell r="AM165">
            <v>6040</v>
          </cell>
          <cell r="AN165">
            <v>0.19539290000000001</v>
          </cell>
          <cell r="AO165">
            <v>0.24525</v>
          </cell>
          <cell r="AP165">
            <v>11.441870194283</v>
          </cell>
          <cell r="AQ165">
            <v>14.3614157175</v>
          </cell>
          <cell r="AR165">
            <v>16175.731072500001</v>
          </cell>
          <cell r="AS165">
            <v>0.37794468799919623</v>
          </cell>
          <cell r="AT165">
            <v>2430.9372859746672</v>
          </cell>
          <cell r="AU165">
            <v>12441.277477199361</v>
          </cell>
          <cell r="AV165">
            <v>0.28600000000000003</v>
          </cell>
          <cell r="AW165">
            <v>1839.5497697542282</v>
          </cell>
          <cell r="AX165">
            <v>9414.6193119311301</v>
          </cell>
          <cell r="AY165">
            <v>142351.48194517178</v>
          </cell>
          <cell r="AZ165">
            <v>107720.85209570592</v>
          </cell>
          <cell r="BA165">
            <v>-34630.629849465855</v>
          </cell>
          <cell r="BB165">
            <v>1220.174355788407</v>
          </cell>
          <cell r="BC165">
            <v>1072.500995477488</v>
          </cell>
          <cell r="BD165">
            <v>18.315107250905601</v>
          </cell>
          <cell r="BE165">
            <v>93.734763396753934</v>
          </cell>
          <cell r="BF165">
            <v>10.046240749999999</v>
          </cell>
          <cell r="BG165">
            <v>257.27968807751438</v>
          </cell>
          <cell r="BH165">
            <v>435.25336592988964</v>
          </cell>
          <cell r="BI165"/>
          <cell r="BJ165">
            <v>77.576736628111234</v>
          </cell>
          <cell r="BK165">
            <v>18.092573953612483</v>
          </cell>
          <cell r="BL165">
            <v>770.1097906355152</v>
          </cell>
          <cell r="BM165">
            <v>788.20236458912768</v>
          </cell>
          <cell r="BN165">
            <v>15065.853439958868</v>
          </cell>
          <cell r="BO165">
            <v>25487.684120531278</v>
          </cell>
          <cell r="BP165">
            <v>0</v>
          </cell>
          <cell r="BQ165">
            <v>4542.7594891878271</v>
          </cell>
          <cell r="BR165">
            <v>1059.4698305706072</v>
          </cell>
          <cell r="BS165">
            <v>45096.297049677974</v>
          </cell>
          <cell r="BT165">
            <v>46155.766880248579</v>
          </cell>
          <cell r="BU165">
            <v>-149.66509424159892</v>
          </cell>
          <cell r="BV165">
            <v>159.3209004667554</v>
          </cell>
          <cell r="BW165">
            <v>-110.63026587333127</v>
          </cell>
          <cell r="BX165">
            <v>-198.355728835023</v>
          </cell>
          <cell r="BZ165">
            <v>9.2433334883995713</v>
          </cell>
          <cell r="CA165">
            <v>-6.1760115377860879E-2</v>
          </cell>
          <cell r="CB165">
            <v>0</v>
          </cell>
          <cell r="CC165" t="str">
            <v>—</v>
          </cell>
          <cell r="CD165" t="e">
            <v>#VALUE!</v>
          </cell>
          <cell r="CE165">
            <v>0</v>
          </cell>
          <cell r="CF165">
            <v>0</v>
          </cell>
          <cell r="CG165">
            <v>60.300752333333328</v>
          </cell>
          <cell r="CH165">
            <v>1.0297563833995322</v>
          </cell>
          <cell r="CI165">
            <v>5.2701832226223786</v>
          </cell>
          <cell r="CJ165">
            <v>644.89850999999999</v>
          </cell>
          <cell r="CK165">
            <v>11.012936516054863</v>
          </cell>
          <cell r="CL165">
            <v>56.363033232296885</v>
          </cell>
          <cell r="CM165">
            <v>9.377187000000001</v>
          </cell>
          <cell r="CN165">
            <v>0.16013429016943295</v>
          </cell>
          <cell r="CO165">
            <v>0.81955019946698648</v>
          </cell>
          <cell r="CP165">
            <v>17.764473333333331</v>
          </cell>
          <cell r="CQ165">
            <v>0.30336403950002844</v>
          </cell>
          <cell r="CR165">
            <v>1.5525847638272856</v>
          </cell>
          <cell r="CS165">
            <v>0.47</v>
          </cell>
          <cell r="CT165">
            <v>9.8448007429181222E-2</v>
          </cell>
          <cell r="CU165">
            <v>0.29170206018722888</v>
          </cell>
          <cell r="CV165">
            <v>0.98448007429181228</v>
          </cell>
          <cell r="CW165">
            <v>0</v>
          </cell>
          <cell r="CX165">
            <v>0</v>
          </cell>
          <cell r="CY165">
            <v>0</v>
          </cell>
          <cell r="CZ165">
            <v>40553.537560490142</v>
          </cell>
        </row>
        <row r="166">
          <cell r="B166" t="str">
            <v>ZMB</v>
          </cell>
          <cell r="C166" t="str">
            <v>LMIC</v>
          </cell>
          <cell r="D166" t="str">
            <v>LLMIC</v>
          </cell>
          <cell r="E166" t="str">
            <v>LMIC_LDC</v>
          </cell>
          <cell r="F166" t="b">
            <v>1</v>
          </cell>
          <cell r="G166" t="str">
            <v/>
          </cell>
          <cell r="H166" t="e">
            <v>#REF!</v>
          </cell>
          <cell r="I166" t="str">
            <v/>
          </cell>
          <cell r="J166" t="str">
            <v/>
          </cell>
          <cell r="K166" t="b">
            <v>1</v>
          </cell>
          <cell r="M166" t="b">
            <v>1</v>
          </cell>
          <cell r="O166" t="b">
            <v>1</v>
          </cell>
          <cell r="P166" t="b">
            <v>1</v>
          </cell>
          <cell r="Q166" t="b">
            <v>1</v>
          </cell>
          <cell r="R166" t="str">
            <v>YES</v>
          </cell>
          <cell r="S166" t="str">
            <v>YES</v>
          </cell>
          <cell r="T166" t="str">
            <v/>
          </cell>
          <cell r="U166" t="str">
            <v/>
          </cell>
          <cell r="V166" t="str">
            <v/>
          </cell>
          <cell r="W166" t="str">
            <v/>
          </cell>
          <cell r="X166" t="str">
            <v>YES</v>
          </cell>
          <cell r="Y166" t="str">
            <v/>
          </cell>
          <cell r="Z166" t="str">
            <v>YES</v>
          </cell>
          <cell r="AA166" t="str">
            <v/>
          </cell>
          <cell r="AB166" t="str">
            <v/>
          </cell>
          <cell r="AC166" t="str">
            <v>YES</v>
          </cell>
          <cell r="AD166" t="str">
            <v>YES</v>
          </cell>
          <cell r="AE166" t="str">
            <v/>
          </cell>
          <cell r="AF166" t="str">
            <v/>
          </cell>
          <cell r="AK166">
            <v>17.86103</v>
          </cell>
          <cell r="AL166">
            <v>24.325500000000002</v>
          </cell>
          <cell r="AM166">
            <v>1450</v>
          </cell>
          <cell r="AN166">
            <v>0.56386340000000001</v>
          </cell>
          <cell r="AO166">
            <v>0.53849999999999998</v>
          </cell>
          <cell r="AP166">
            <v>10.071181103301999</v>
          </cell>
          <cell r="AQ166">
            <v>9.6181646549999993</v>
          </cell>
          <cell r="AR166">
            <v>13099.28175</v>
          </cell>
          <cell r="AS166">
            <v>0.18830328672770558</v>
          </cell>
          <cell r="AT166">
            <v>277.70398115644343</v>
          </cell>
          <cell r="AU166">
            <v>492.50222865403822</v>
          </cell>
          <cell r="AV166">
            <v>0.18830328672770558</v>
          </cell>
          <cell r="AW166">
            <v>277.70398115644343</v>
          </cell>
          <cell r="AX166">
            <v>492.50222865403822</v>
          </cell>
          <cell r="AY166">
            <v>4960.0791385546709</v>
          </cell>
          <cell r="AZ166">
            <v>4960.0791385546709</v>
          </cell>
          <cell r="BA166">
            <v>0</v>
          </cell>
          <cell r="BB166">
            <v>952.2899017061269</v>
          </cell>
          <cell r="BC166">
            <v>1000.9189642983993</v>
          </cell>
          <cell r="BD166">
            <v>56.039263373859136</v>
          </cell>
          <cell r="BE166">
            <v>99.384466829837038</v>
          </cell>
          <cell r="BF166">
            <v>7.4865297499999999</v>
          </cell>
          <cell r="BG166">
            <v>122.30243997179308</v>
          </cell>
          <cell r="BH166">
            <v>99.639501641202273</v>
          </cell>
          <cell r="BI166"/>
          <cell r="BJ166">
            <v>166.02958674654587</v>
          </cell>
          <cell r="BK166">
            <v>57.101235316185615</v>
          </cell>
          <cell r="BL166">
            <v>387.97152835954125</v>
          </cell>
          <cell r="BM166">
            <v>445.07276367572689</v>
          </cell>
          <cell r="BN166">
            <v>2184.4475494093954</v>
          </cell>
          <cell r="BO166">
            <v>1779.6641279985629</v>
          </cell>
          <cell r="BP166">
            <v>0</v>
          </cell>
          <cell r="BQ166">
            <v>2965.4594297676581</v>
          </cell>
          <cell r="BR166">
            <v>1019.8868770194507</v>
          </cell>
          <cell r="BS166">
            <v>6929.5711071756159</v>
          </cell>
          <cell r="BT166">
            <v>7949.4579841950663</v>
          </cell>
          <cell r="BU166">
            <v>249.11953778131954</v>
          </cell>
          <cell r="BV166">
            <v>57.983904467735762</v>
          </cell>
          <cell r="BW166">
            <v>66.761643740504383</v>
          </cell>
          <cell r="BX166">
            <v>124.37398957307937</v>
          </cell>
          <cell r="BZ166">
            <v>28.22920889916201</v>
          </cell>
          <cell r="CA166">
            <v>0.11331591713188706</v>
          </cell>
          <cell r="CB166">
            <v>0</v>
          </cell>
          <cell r="CC166">
            <v>20676</v>
          </cell>
          <cell r="CD166">
            <v>2.0529866147696459E-3</v>
          </cell>
          <cell r="CE166">
            <v>4449.5315378982814</v>
          </cell>
          <cell r="CF166">
            <v>500.45948214919963</v>
          </cell>
          <cell r="CG166">
            <v>40.585036666666667</v>
          </cell>
          <cell r="CH166">
            <v>2.2722674261600071</v>
          </cell>
          <cell r="CI166">
            <v>4.0298189706230394</v>
          </cell>
          <cell r="CJ166">
            <v>541.19082299999991</v>
          </cell>
          <cell r="CK166">
            <v>30.300090364329488</v>
          </cell>
          <cell r="CL166">
            <v>53.736579399069861</v>
          </cell>
          <cell r="CM166">
            <v>2.265613333333333</v>
          </cell>
          <cell r="CN166">
            <v>0.12684673466946381</v>
          </cell>
          <cell r="CO166">
            <v>0.22496004292788607</v>
          </cell>
          <cell r="CP166">
            <v>33.099184999999999</v>
          </cell>
          <cell r="CQ166">
            <v>1.8531509660976999</v>
          </cell>
          <cell r="CR166">
            <v>3.2865246549034746</v>
          </cell>
          <cell r="CS166">
            <v>0.56999999999999995</v>
          </cell>
          <cell r="CT166">
            <v>0.1649655143068457</v>
          </cell>
          <cell r="CU166">
            <v>0.45306121763414542</v>
          </cell>
          <cell r="CV166">
            <v>1.649655143068457</v>
          </cell>
          <cell r="CW166">
            <v>2989.3788456403954</v>
          </cell>
          <cell r="CX166">
            <v>167.36878251928334</v>
          </cell>
          <cell r="CY166">
            <v>296.82505110153159</v>
          </cell>
          <cell r="CZ166">
            <v>3964.1116774079583</v>
          </cell>
        </row>
        <row r="167">
          <cell r="B167" t="str">
            <v>ZWE</v>
          </cell>
          <cell r="C167" t="str">
            <v>LMIC</v>
          </cell>
          <cell r="D167" t="str">
            <v>LLMIC</v>
          </cell>
          <cell r="E167" t="str">
            <v>LMIC_nonLDC</v>
          </cell>
          <cell r="F167" t="str">
            <v/>
          </cell>
          <cell r="G167" t="b">
            <v>1</v>
          </cell>
          <cell r="H167" t="e">
            <v>#REF!</v>
          </cell>
          <cell r="I167" t="str">
            <v/>
          </cell>
          <cell r="J167" t="str">
            <v/>
          </cell>
          <cell r="K167" t="b">
            <v>1</v>
          </cell>
          <cell r="M167" t="b">
            <v>1</v>
          </cell>
          <cell r="P167" t="b">
            <v>1</v>
          </cell>
          <cell r="Q167" t="b">
            <v>1</v>
          </cell>
          <cell r="R167" t="str">
            <v>YES</v>
          </cell>
          <cell r="S167" t="str">
            <v>YES</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K167">
            <v>14.645467999999999</v>
          </cell>
          <cell r="AL167">
            <v>17.596439999999998</v>
          </cell>
          <cell r="AM167">
            <v>1390</v>
          </cell>
          <cell r="AN167">
            <v>0.31413039999999998</v>
          </cell>
          <cell r="AO167">
            <v>0.22399999999999998</v>
          </cell>
          <cell r="AP167">
            <v>4.6005867210271996</v>
          </cell>
          <cell r="AQ167">
            <v>3.2805848319999993</v>
          </cell>
          <cell r="AR167">
            <v>3941.6025599999994</v>
          </cell>
          <cell r="AS167">
            <v>0.12830938193714217</v>
          </cell>
          <cell r="AT167">
            <v>194.70579269352501</v>
          </cell>
          <cell r="AU167">
            <v>619.82473741326862</v>
          </cell>
          <cell r="AV167">
            <v>0.28847330295595275</v>
          </cell>
          <cell r="AW167">
            <v>437.74993125969678</v>
          </cell>
          <cell r="AX167">
            <v>1393.5293472382705</v>
          </cell>
          <cell r="AY167">
            <v>2851.5574563076539</v>
          </cell>
          <cell r="AZ167">
            <v>6411.0526102660897</v>
          </cell>
          <cell r="BA167">
            <v>3559.4951539584358</v>
          </cell>
          <cell r="BB167">
            <v>610.27636912030505</v>
          </cell>
          <cell r="BC167">
            <v>595.16342541765505</v>
          </cell>
          <cell r="BD167">
            <v>40.638061236257869</v>
          </cell>
          <cell r="BE167">
            <v>129.36685286192574</v>
          </cell>
          <cell r="BF167">
            <v>68.384715749999998</v>
          </cell>
          <cell r="BG167">
            <v>161.72995702259377</v>
          </cell>
          <cell r="BH167">
            <v>147.10907223458531</v>
          </cell>
          <cell r="BI167"/>
          <cell r="BJ167">
            <v>55.041553892623099</v>
          </cell>
          <cell r="BK167">
            <v>24.516805162048023</v>
          </cell>
          <cell r="BL167">
            <v>363.88058314980213</v>
          </cell>
          <cell r="BM167">
            <v>388.39738831185014</v>
          </cell>
          <cell r="BN167">
            <v>2368.610910215772</v>
          </cell>
          <cell r="BO167">
            <v>2154.4812099213077</v>
          </cell>
          <cell r="BP167">
            <v>0</v>
          </cell>
          <cell r="BQ167">
            <v>806.10931620468705</v>
          </cell>
          <cell r="BR167">
            <v>359.0600854630091</v>
          </cell>
          <cell r="BS167">
            <v>5329.2014363417675</v>
          </cell>
          <cell r="BT167">
            <v>5688.2615218047767</v>
          </cell>
          <cell r="BU167">
            <v>145.00561751995374</v>
          </cell>
          <cell r="BV167">
            <v>81.446582545630804</v>
          </cell>
          <cell r="BW167">
            <v>74.179970770654407</v>
          </cell>
          <cell r="BX167">
            <v>-10.620935796331409</v>
          </cell>
          <cell r="BZ167">
            <v>22.653702195370442</v>
          </cell>
          <cell r="CA167">
            <v>0.15622637648678087</v>
          </cell>
          <cell r="CB167">
            <v>0</v>
          </cell>
          <cell r="CC167">
            <v>118408</v>
          </cell>
          <cell r="CD167">
            <v>2.5737586786226771E-2</v>
          </cell>
          <cell r="CE167">
            <v>2123.6751312087217</v>
          </cell>
          <cell r="CF167">
            <v>297.58171270882752</v>
          </cell>
          <cell r="CG167">
            <v>33.409330666666669</v>
          </cell>
          <cell r="CH167">
            <v>2.2812060814080279</v>
          </cell>
          <cell r="CI167">
            <v>7.2619717206867849</v>
          </cell>
          <cell r="CJ167">
            <v>396.18395999999996</v>
          </cell>
          <cell r="CK167">
            <v>27.051642187194016</v>
          </cell>
          <cell r="CL167">
            <v>86.115963902869694</v>
          </cell>
          <cell r="CM167">
            <v>4.7042516666666669</v>
          </cell>
          <cell r="CN167">
            <v>0.32120869518588735</v>
          </cell>
          <cell r="CO167">
            <v>1.0225329837095911</v>
          </cell>
          <cell r="CP167">
            <v>83.080766333333344</v>
          </cell>
          <cell r="CQ167">
            <v>5.6727969589864484</v>
          </cell>
          <cell r="CR167">
            <v>18.058732803276758</v>
          </cell>
          <cell r="CS167" t="str">
            <v/>
          </cell>
          <cell r="CT167">
            <v>0.14321481566857405</v>
          </cell>
          <cell r="CU167">
            <v>0.42533430819691109</v>
          </cell>
          <cell r="CV167">
            <v>1.4321481566857406</v>
          </cell>
          <cell r="CW167">
            <v>0</v>
          </cell>
          <cell r="CX167">
            <v>0</v>
          </cell>
          <cell r="CY167">
            <v>0</v>
          </cell>
          <cell r="CZ167">
            <v>4523.0921201370793</v>
          </cell>
        </row>
        <row r="168">
          <cell r="Q168" t="str">
            <v/>
          </cell>
          <cell r="AB168" t="str">
            <v/>
          </cell>
          <cell r="AM168"/>
          <cell r="AN168"/>
          <cell r="AR168"/>
          <cell r="BG168"/>
          <cell r="CV168"/>
          <cell r="CW168"/>
          <cell r="CX168"/>
          <cell r="CY168"/>
        </row>
        <row r="169">
          <cell r="C169">
            <v>0</v>
          </cell>
          <cell r="D169">
            <v>0</v>
          </cell>
          <cell r="E169">
            <v>0</v>
          </cell>
          <cell r="F169">
            <v>0</v>
          </cell>
          <cell r="G169">
            <v>36</v>
          </cell>
          <cell r="H169">
            <v>0</v>
          </cell>
          <cell r="I169">
            <v>0</v>
          </cell>
          <cell r="J169">
            <v>0</v>
          </cell>
          <cell r="K169">
            <v>106</v>
          </cell>
          <cell r="L169">
            <v>0</v>
          </cell>
          <cell r="M169">
            <v>57</v>
          </cell>
          <cell r="N169">
            <v>35</v>
          </cell>
          <cell r="O169">
            <v>63</v>
          </cell>
          <cell r="P169">
            <v>48</v>
          </cell>
          <cell r="Q169">
            <v>43</v>
          </cell>
          <cell r="R169">
            <v>76</v>
          </cell>
          <cell r="S169">
            <v>41</v>
          </cell>
          <cell r="T169">
            <v>94</v>
          </cell>
          <cell r="U169">
            <v>59</v>
          </cell>
          <cell r="V169">
            <v>35</v>
          </cell>
          <cell r="W169">
            <v>0</v>
          </cell>
          <cell r="X169">
            <v>54</v>
          </cell>
          <cell r="Y169">
            <v>6</v>
          </cell>
          <cell r="Z169">
            <v>48</v>
          </cell>
          <cell r="AA169">
            <v>0</v>
          </cell>
          <cell r="AB169">
            <v>0</v>
          </cell>
          <cell r="AC169">
            <v>11</v>
          </cell>
          <cell r="AD169">
            <v>20</v>
          </cell>
          <cell r="AE169">
            <v>43</v>
          </cell>
          <cell r="AF169">
            <v>34</v>
          </cell>
          <cell r="AM169"/>
          <cell r="AN169"/>
          <cell r="AR169"/>
          <cell r="BG169"/>
          <cell r="CV169"/>
          <cell r="CW169"/>
          <cell r="CX169"/>
          <cell r="CY169"/>
        </row>
        <row r="170">
          <cell r="AM170"/>
          <cell r="AN170"/>
          <cell r="AR170"/>
          <cell r="BG170"/>
          <cell r="CV170"/>
          <cell r="CW170"/>
          <cell r="CX170"/>
          <cell r="CY170"/>
        </row>
        <row r="171">
          <cell r="AM171"/>
          <cell r="AN171"/>
          <cell r="AR171"/>
          <cell r="BG171"/>
          <cell r="CV171"/>
          <cell r="CW171"/>
          <cell r="CX171"/>
          <cell r="CY171"/>
        </row>
        <row r="172">
          <cell r="AM172"/>
          <cell r="AN172"/>
          <cell r="AR172"/>
          <cell r="BG172"/>
          <cell r="CV172"/>
          <cell r="CW172"/>
          <cell r="CX172"/>
          <cell r="CY172"/>
        </row>
        <row r="173">
          <cell r="AM173"/>
          <cell r="AN173"/>
          <cell r="AR173"/>
          <cell r="BG173"/>
          <cell r="CV173"/>
          <cell r="CW173"/>
          <cell r="CX173"/>
          <cell r="CY173"/>
        </row>
        <row r="174">
          <cell r="AM174"/>
          <cell r="AN174"/>
          <cell r="AR174"/>
          <cell r="BG174"/>
          <cell r="CV174"/>
          <cell r="CW174"/>
          <cell r="CX174"/>
          <cell r="CY174"/>
        </row>
        <row r="175">
          <cell r="AM175"/>
          <cell r="AN175"/>
          <cell r="AR175"/>
          <cell r="BG175"/>
          <cell r="CV175"/>
          <cell r="CW175"/>
          <cell r="CX175"/>
          <cell r="CY175"/>
        </row>
        <row r="176">
          <cell r="AM176"/>
          <cell r="AN176"/>
          <cell r="AR176"/>
          <cell r="BG176"/>
          <cell r="CV176"/>
          <cell r="CW176"/>
          <cell r="CX176"/>
          <cell r="CY176"/>
        </row>
        <row r="177">
          <cell r="AM177"/>
          <cell r="AN177"/>
          <cell r="AR177"/>
          <cell r="BG177"/>
          <cell r="CV177"/>
          <cell r="CW177"/>
          <cell r="CX177"/>
          <cell r="CY177"/>
        </row>
        <row r="178">
          <cell r="AM178"/>
          <cell r="AN178"/>
          <cell r="AR178"/>
          <cell r="BG178"/>
          <cell r="CV178"/>
          <cell r="CW178"/>
          <cell r="CX178"/>
          <cell r="CY178"/>
        </row>
        <row r="179">
          <cell r="AM179"/>
          <cell r="AN179"/>
          <cell r="AR179"/>
          <cell r="BG179"/>
          <cell r="CV179"/>
          <cell r="CW179"/>
          <cell r="CX179"/>
          <cell r="CY179"/>
        </row>
        <row r="180">
          <cell r="AM180"/>
          <cell r="AN180"/>
          <cell r="AR180"/>
          <cell r="BG180"/>
          <cell r="CV180"/>
          <cell r="CW180"/>
          <cell r="CX180"/>
          <cell r="CY180"/>
        </row>
        <row r="181">
          <cell r="AM181"/>
          <cell r="AN181"/>
          <cell r="AR181"/>
          <cell r="BG181"/>
          <cell r="CV181"/>
          <cell r="CW181"/>
          <cell r="CX181"/>
          <cell r="CY181"/>
        </row>
        <row r="182">
          <cell r="AM182"/>
          <cell r="AN182"/>
          <cell r="AR182"/>
          <cell r="BG182"/>
          <cell r="CV182"/>
          <cell r="CW182"/>
          <cell r="CX182"/>
          <cell r="CY182"/>
        </row>
        <row r="183">
          <cell r="AM183"/>
          <cell r="AN183"/>
          <cell r="AR183"/>
          <cell r="BG183"/>
          <cell r="CV183"/>
          <cell r="CW183"/>
          <cell r="CX183"/>
          <cell r="CY183"/>
        </row>
        <row r="184">
          <cell r="AM184"/>
          <cell r="AN184"/>
          <cell r="AR184"/>
          <cell r="BG184"/>
          <cell r="CV184"/>
          <cell r="CW184"/>
          <cell r="CX184"/>
          <cell r="CY184"/>
        </row>
        <row r="185">
          <cell r="AM185"/>
          <cell r="AN185"/>
          <cell r="AR185"/>
          <cell r="BG185"/>
          <cell r="CV185"/>
          <cell r="CW185"/>
          <cell r="CX185"/>
          <cell r="CY185"/>
        </row>
        <row r="186">
          <cell r="AM186"/>
          <cell r="AN186"/>
          <cell r="AR186"/>
          <cell r="BG186"/>
          <cell r="CV186"/>
          <cell r="CW186"/>
          <cell r="CX186"/>
          <cell r="CY186"/>
        </row>
        <row r="187">
          <cell r="AM187"/>
          <cell r="AN187"/>
          <cell r="AR187"/>
          <cell r="BG187"/>
          <cell r="CV187"/>
          <cell r="CW187"/>
          <cell r="CX187"/>
          <cell r="CY187"/>
        </row>
        <row r="188">
          <cell r="AM188"/>
          <cell r="AN188"/>
          <cell r="AR188"/>
          <cell r="BG188"/>
          <cell r="CV188"/>
          <cell r="CW188"/>
          <cell r="CX188"/>
          <cell r="CY188"/>
        </row>
        <row r="189">
          <cell r="AM189"/>
          <cell r="AN189"/>
          <cell r="AR189"/>
          <cell r="BG189"/>
          <cell r="CV189"/>
          <cell r="CW189"/>
          <cell r="CX189"/>
          <cell r="CY189"/>
        </row>
        <row r="190">
          <cell r="AM190"/>
          <cell r="AN190"/>
          <cell r="AR190"/>
          <cell r="BG190"/>
          <cell r="CV190"/>
          <cell r="CW190"/>
          <cell r="CX190"/>
          <cell r="CY190"/>
        </row>
        <row r="191">
          <cell r="AM191"/>
          <cell r="AN191"/>
          <cell r="AR191"/>
          <cell r="BG191"/>
          <cell r="CV191"/>
          <cell r="CW191"/>
          <cell r="CX191"/>
          <cell r="CY191"/>
        </row>
        <row r="192">
          <cell r="AM192"/>
          <cell r="AN192"/>
          <cell r="AR192"/>
          <cell r="BG192"/>
          <cell r="CV192"/>
          <cell r="CW192"/>
          <cell r="CX192"/>
          <cell r="CY192"/>
        </row>
        <row r="193">
          <cell r="AM193"/>
          <cell r="AN193"/>
          <cell r="BG193"/>
          <cell r="CV193"/>
          <cell r="CW193"/>
          <cell r="CX193"/>
          <cell r="CY193"/>
        </row>
        <row r="194">
          <cell r="AM194"/>
          <cell r="AN194"/>
          <cell r="BG194"/>
          <cell r="CV194"/>
          <cell r="CW194"/>
          <cell r="CX194"/>
          <cell r="CY194"/>
        </row>
        <row r="195">
          <cell r="AM195"/>
          <cell r="AN195"/>
          <cell r="BG195"/>
          <cell r="CV195"/>
          <cell r="CW195"/>
          <cell r="CX195"/>
          <cell r="CY195"/>
        </row>
        <row r="196">
          <cell r="AM196"/>
          <cell r="AN196"/>
          <cell r="BG196"/>
          <cell r="CV196"/>
          <cell r="CW196"/>
          <cell r="CX196"/>
          <cell r="CY196"/>
        </row>
        <row r="197">
          <cell r="AM197"/>
          <cell r="AN197"/>
          <cell r="BG197"/>
          <cell r="CV197"/>
          <cell r="CW197"/>
          <cell r="CX197"/>
          <cell r="CY197"/>
        </row>
        <row r="198">
          <cell r="AM198"/>
          <cell r="AN198"/>
          <cell r="BG198"/>
          <cell r="CV198"/>
          <cell r="CW198"/>
          <cell r="CX198"/>
          <cell r="CY198"/>
        </row>
        <row r="199">
          <cell r="AM199"/>
          <cell r="AN199"/>
          <cell r="BG199"/>
          <cell r="CV199"/>
          <cell r="CW199"/>
          <cell r="CX199"/>
          <cell r="CY199"/>
        </row>
        <row r="200">
          <cell r="AM200"/>
          <cell r="AN200"/>
          <cell r="BG200"/>
          <cell r="CV200"/>
          <cell r="CW200"/>
          <cell r="CX200"/>
          <cell r="CY200"/>
        </row>
        <row r="201">
          <cell r="AM201"/>
          <cell r="AN201"/>
          <cell r="BG201"/>
          <cell r="CV201"/>
          <cell r="CW201"/>
          <cell r="CX201"/>
          <cell r="CY201"/>
        </row>
        <row r="202">
          <cell r="AM202"/>
          <cell r="AN202"/>
          <cell r="BG202"/>
          <cell r="CV202"/>
          <cell r="CW202"/>
          <cell r="CX202"/>
          <cell r="CY202"/>
        </row>
        <row r="203">
          <cell r="AM203"/>
          <cell r="AN203"/>
          <cell r="BG203"/>
          <cell r="CV203"/>
          <cell r="CW203"/>
          <cell r="CX203"/>
          <cell r="CY203"/>
        </row>
        <row r="204">
          <cell r="AM204"/>
          <cell r="AN204"/>
          <cell r="BG204"/>
          <cell r="CV204"/>
          <cell r="CW204"/>
          <cell r="CX204"/>
          <cell r="CY204"/>
        </row>
        <row r="205">
          <cell r="AM205"/>
          <cell r="AN205"/>
          <cell r="BG205"/>
          <cell r="CV205"/>
          <cell r="CW205"/>
          <cell r="CX205"/>
          <cell r="CY205"/>
        </row>
        <row r="206">
          <cell r="AM206"/>
          <cell r="AN206"/>
          <cell r="BG206"/>
          <cell r="CV206"/>
          <cell r="CW206"/>
          <cell r="CX206"/>
          <cell r="CY206"/>
        </row>
        <row r="207">
          <cell r="AM207"/>
          <cell r="AN207"/>
          <cell r="BG207"/>
          <cell r="CV207"/>
          <cell r="CW207"/>
          <cell r="CX207"/>
          <cell r="CY207"/>
        </row>
        <row r="208">
          <cell r="AM208"/>
          <cell r="AN208"/>
          <cell r="BG208"/>
          <cell r="CV208"/>
          <cell r="CW208"/>
          <cell r="CX208"/>
          <cell r="CY208"/>
        </row>
        <row r="209">
          <cell r="AM209"/>
          <cell r="AN209"/>
          <cell r="BG209"/>
          <cell r="CV209"/>
          <cell r="CW209"/>
          <cell r="CX209"/>
          <cell r="CY209"/>
        </row>
        <row r="210">
          <cell r="AM210"/>
          <cell r="AN210"/>
          <cell r="BG210"/>
          <cell r="CV210"/>
          <cell r="CW210"/>
          <cell r="CX210"/>
          <cell r="CY210"/>
        </row>
        <row r="211">
          <cell r="AM211"/>
          <cell r="AN211"/>
          <cell r="BG211"/>
          <cell r="CV211"/>
          <cell r="CW211"/>
          <cell r="CX211"/>
          <cell r="CY211"/>
        </row>
        <row r="212">
          <cell r="AM212"/>
          <cell r="AN212"/>
          <cell r="BG212"/>
          <cell r="CV212"/>
          <cell r="CW212"/>
          <cell r="CX212"/>
          <cell r="CY212"/>
        </row>
        <row r="213">
          <cell r="AM213"/>
          <cell r="AN213"/>
          <cell r="BG213"/>
          <cell r="CV213"/>
          <cell r="CW213"/>
          <cell r="CX213"/>
          <cell r="CY213"/>
        </row>
        <row r="214">
          <cell r="AM214"/>
          <cell r="AN214"/>
          <cell r="BG214"/>
          <cell r="CV214"/>
          <cell r="CW214"/>
          <cell r="CX214"/>
          <cell r="CY214"/>
        </row>
        <row r="215">
          <cell r="AM215"/>
          <cell r="AN215"/>
          <cell r="BG215"/>
          <cell r="CV215"/>
          <cell r="CW215"/>
          <cell r="CX215"/>
          <cell r="CY215"/>
        </row>
        <row r="216">
          <cell r="AM216"/>
          <cell r="AN216"/>
          <cell r="BG216"/>
          <cell r="CV216"/>
          <cell r="CW216"/>
          <cell r="CX216"/>
          <cell r="CY216"/>
        </row>
        <row r="217">
          <cell r="AM217"/>
          <cell r="AN217"/>
          <cell r="BG217"/>
          <cell r="CV217"/>
          <cell r="CW217"/>
          <cell r="CX217"/>
          <cell r="CY217"/>
        </row>
        <row r="218">
          <cell r="AM218"/>
          <cell r="AN218"/>
          <cell r="BG218"/>
          <cell r="CV218"/>
          <cell r="CW218"/>
          <cell r="CX218"/>
          <cell r="CY218"/>
        </row>
        <row r="219">
          <cell r="AM219"/>
          <cell r="AN219"/>
          <cell r="BG219"/>
          <cell r="CV219"/>
          <cell r="CW219"/>
          <cell r="CX219"/>
          <cell r="CY219"/>
        </row>
        <row r="220">
          <cell r="AM220"/>
          <cell r="AN220"/>
          <cell r="BG220"/>
          <cell r="CV220"/>
          <cell r="CW220"/>
          <cell r="CX220"/>
          <cell r="CY220"/>
        </row>
        <row r="221">
          <cell r="AM221"/>
          <cell r="AN221"/>
          <cell r="BG221"/>
          <cell r="CV221"/>
          <cell r="CW221"/>
          <cell r="CX221"/>
          <cell r="CY221"/>
        </row>
        <row r="222">
          <cell r="AM222"/>
          <cell r="AN222"/>
          <cell r="BG222"/>
          <cell r="CV222"/>
          <cell r="CW222"/>
          <cell r="CX222"/>
          <cell r="CY222"/>
        </row>
        <row r="223">
          <cell r="AM223"/>
          <cell r="AN223"/>
          <cell r="BG223"/>
          <cell r="CV223"/>
          <cell r="CW223"/>
          <cell r="CX223"/>
          <cell r="CY223"/>
        </row>
        <row r="224">
          <cell r="AM224"/>
          <cell r="AN224"/>
          <cell r="BG224"/>
          <cell r="CV224"/>
          <cell r="CW224"/>
          <cell r="CX224"/>
          <cell r="CY224"/>
        </row>
        <row r="225">
          <cell r="AM225"/>
          <cell r="AN225"/>
          <cell r="BG225"/>
          <cell r="CV225"/>
          <cell r="CW225"/>
          <cell r="CX225"/>
          <cell r="CY225"/>
        </row>
        <row r="226">
          <cell r="AM226"/>
          <cell r="AN226"/>
          <cell r="BG226"/>
          <cell r="CV226"/>
          <cell r="CW226"/>
          <cell r="CX226"/>
          <cell r="CY226"/>
        </row>
        <row r="227">
          <cell r="AM227"/>
          <cell r="AN227"/>
          <cell r="BG227"/>
          <cell r="CV227"/>
          <cell r="CW227"/>
          <cell r="CX227"/>
          <cell r="CY227"/>
        </row>
        <row r="228">
          <cell r="AM228"/>
          <cell r="AN228"/>
          <cell r="BG228"/>
          <cell r="CV228"/>
          <cell r="CW228"/>
          <cell r="CX228"/>
          <cell r="CY228"/>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j%"/>
    </sheetNames>
    <sheetDataSet>
      <sheetData sheetId="0"/>
    </sheetDataSet>
  </externalBook>
</externalLink>
</file>

<file path=xl/persons/person.xml><?xml version="1.0" encoding="utf-8"?>
<personList xmlns="http://schemas.microsoft.com/office/spreadsheetml/2018/threadedcomments" xmlns:x="http://schemas.openxmlformats.org/spreadsheetml/2006/main">
  <person displayName="Darshni Nagaria" id="{4D1F42E1-683E-4F37-8C0A-E38281966221}" userId="864a19e567586c8e"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305E622-4899-4355-A061-BB6AE979FD91}" name="Table14" displayName="Table14" ref="A2:E164" totalsRowShown="0" headerRowDxfId="56">
  <autoFilter ref="A2:E164" xr:uid="{7594CD69-E5E9-4AE8-9B49-0CDD609DC015}"/>
  <tableColumns count="5">
    <tableColumn id="1" xr3:uid="{35779F0A-74F8-49E9-8E8B-D76D2EA2C399}" name="Count"/>
    <tableColumn id="2" xr3:uid="{54174CCA-81F8-49F9-A6B8-322E461E3F5A}" name="Economy"/>
    <tableColumn id="3" xr3:uid="{5A760450-546D-4C39-A97B-0451E8CAC889}" name="Code"/>
    <tableColumn id="4" xr3:uid="{BA096045-7E21-4579-B994-46EDF1A19F10}" name="Income group"/>
    <tableColumn id="5" xr3:uid="{177F134F-35FC-4FE8-B437-55BDC84B2E54}" name="Justice" dataDxfId="55">
      <calculatedColumnFormula>IF(ISNUMBER(VLOOKUP(C3,'Justice Spend Total'!C:AQ, 38, FALSE)),(VLOOKUP(C3,'Justice Spend Total'!C:AQ, 38, FALSE)), #N/A)</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C172570-B7D3-480A-8220-C1977F5926AF}" name="Table6" displayName="Table6" ref="Y219:Z248" totalsRowShown="0" headerRowDxfId="24" dataDxfId="23">
  <autoFilter ref="Y219:Z248" xr:uid="{0C172570-B7D3-480A-8220-C1977F5926AF}"/>
  <sortState xmlns:xlrd2="http://schemas.microsoft.com/office/spreadsheetml/2017/richdata2" ref="Y220:Z248">
    <sortCondition descending="1" ref="Z219:Z248"/>
  </sortState>
  <tableColumns count="2">
    <tableColumn id="1" xr3:uid="{93BF456E-4D25-4531-AB70-87F89FC2048C}" name="2020" dataDxfId="22"/>
    <tableColumn id="2" xr3:uid="{32529236-EFD1-4EC2-8255-FC72B5081D29}" name="Expenditure on fire protection services" dataDxfId="2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9072E60-591B-43CA-A851-B33ECCE99AB3}" name="Table7" displayName="Table7" ref="AH219:AI248" totalsRowShown="0" headerRowDxfId="20">
  <autoFilter ref="AH219:AI248" xr:uid="{89072E60-591B-43CA-A851-B33ECCE99AB3}"/>
  <sortState xmlns:xlrd2="http://schemas.microsoft.com/office/spreadsheetml/2017/richdata2" ref="AH220:AI248">
    <sortCondition descending="1" ref="AI219:AI248"/>
  </sortState>
  <tableColumns count="2">
    <tableColumn id="1" xr3:uid="{FA87DC4C-8A50-4011-8660-28F2D62820C3}" name="2020"/>
    <tableColumn id="2" xr3:uid="{F4E7C3E9-72D5-40B8-974D-CE588229D680}" name="Expenditure on law courts" dataDxfId="1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7F8883F-59DE-48C3-9D4E-F8F4B9210E40}" name="Table8" displayName="Table8" ref="AS219:AT248" totalsRowShown="0" headerRowDxfId="18">
  <autoFilter ref="AS219:AT248" xr:uid="{77F8883F-59DE-48C3-9D4E-F8F4B9210E40}"/>
  <sortState xmlns:xlrd2="http://schemas.microsoft.com/office/spreadsheetml/2017/richdata2" ref="AS220:AT248">
    <sortCondition descending="1" ref="AT219:AT248"/>
  </sortState>
  <tableColumns count="2">
    <tableColumn id="1" xr3:uid="{6E2BE1A4-7E79-4F65-BBDC-D76D313C6EFC}" name="2020"/>
    <tableColumn id="2" xr3:uid="{163D534D-33FB-41BC-B9B1-6991ECB57A27}" name="Expenditure on prisons" dataDxfId="1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EF3321D-5053-4814-B5C0-AF245EABC341}" name="Table10" displayName="Table10" ref="V187:AC216" totalsRowShown="0" headerRowDxfId="16">
  <autoFilter ref="V187:AC216" xr:uid="{FEF3321D-5053-4814-B5C0-AF245EABC341}"/>
  <sortState xmlns:xlrd2="http://schemas.microsoft.com/office/spreadsheetml/2017/richdata2" ref="V188:AB216">
    <sortCondition descending="1" ref="W187:W216"/>
  </sortState>
  <tableColumns count="8">
    <tableColumn id="1" xr3:uid="{3546FADA-42DA-4DCB-AAFE-1FCACBEF86F4}" name="2020"/>
    <tableColumn id="2" xr3:uid="{40746BD2-C9F9-4C35-9DF2-2CC84330783E}" name="Expenditure on public order &amp; safety" dataDxfId="15"/>
    <tableColumn id="3" xr3:uid="{16E7755D-10ED-4CD2-B06A-7896B449BDD9}" name="Expenditure on police services" dataDxfId="14"/>
    <tableColumn id="4" xr3:uid="{565CCD9B-D910-496A-8C98-EC08761B069C}" name="Expenditure on fire protection services" dataDxfId="13"/>
    <tableColumn id="5" xr3:uid="{84DAB2BF-01B6-49D5-AA13-697731D70FD6}" name="Expenditure on law courts" dataDxfId="12"/>
    <tableColumn id="6" xr3:uid="{15142545-3ED3-45CB-A353-18F7DC1E2398}" name="Expenditure on prisons" dataDxfId="11"/>
    <tableColumn id="7" xr3:uid="{DF4C4F34-AB1C-483C-BBE3-0E3CDD8AF7A2}" name="Other" dataDxfId="10">
      <calculatedColumnFormula>IF(Table10[[#This Row],[Expenditure on public order &amp; safety]]-(SUM(Table10[[#This Row],[Expenditure on police services]:[Expenditure on prisons]]))&gt;0, Table10[[#This Row],[Expenditure on public order &amp; safety]]-(SUM(Table10[[#This Row],[Expenditure on police services]:[Expenditure on prisons]])), 0)</calculatedColumnFormula>
    </tableColumn>
    <tableColumn id="8" xr3:uid="{24BA6292-84CD-488C-90D0-C1E23D16C7E1}" name="Expenditure on public order &amp; safety (not disaggregated)" dataDxfId="9"/>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A95C70C-33C9-43BB-97D0-B2AB002FFB2F}" name="Table12" displayName="Table12" ref="D253:E282" totalsRowShown="0">
  <autoFilter ref="D253:E282" xr:uid="{4A95C70C-33C9-43BB-97D0-B2AB002FFB2F}"/>
  <sortState xmlns:xlrd2="http://schemas.microsoft.com/office/spreadsheetml/2017/richdata2" ref="D254:E282">
    <sortCondition descending="1" ref="E253:E282"/>
  </sortState>
  <tableColumns count="2">
    <tableColumn id="1" xr3:uid="{9012B1B2-97F0-4B4D-AB27-A7F8EF503358}" name="Column1"/>
    <tableColumn id="2" xr3:uid="{A39FCAED-43A8-4A1A-845A-AA5847C7043B}" name="Government Revenue 2021" dataDxfId="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67B023-924B-4324-B64A-E0268A69AFF1}" name="Table2" displayName="Table2" ref="D287:E316" totalsRowShown="0">
  <autoFilter ref="D287:E316" xr:uid="{1267B023-924B-4324-B64A-E0268A69AFF1}"/>
  <sortState xmlns:xlrd2="http://schemas.microsoft.com/office/spreadsheetml/2017/richdata2" ref="D288:E316">
    <sortCondition descending="1" ref="E287:E316"/>
  </sortState>
  <tableColumns count="2">
    <tableColumn id="1" xr3:uid="{39B775E8-B9BC-498C-8D13-703B9C4DFE91}" name="Column1"/>
    <tableColumn id="2" xr3:uid="{8DCB0C74-1C65-4807-A710-77684C62164E}" name="Latest"/>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57786FC-1970-4FAC-985C-6AB1A0D68F78}" name="Table9" displayName="Table9" ref="M322:T351" totalsRowShown="0" headerRowDxfId="7">
  <autoFilter ref="M322:T351" xr:uid="{157786FC-1970-4FAC-985C-6AB1A0D68F78}"/>
  <sortState xmlns:xlrd2="http://schemas.microsoft.com/office/spreadsheetml/2017/richdata2" ref="M323:T351">
    <sortCondition descending="1" ref="N322:N351"/>
  </sortState>
  <tableColumns count="8">
    <tableColumn id="1" xr3:uid="{93D4901E-5281-439F-B071-606B1CA9869F}" name="Latest % GDP"/>
    <tableColumn id="2" xr3:uid="{2E708B2F-376D-4815-9A10-21A590AEBB01}" name="Expenditure on public order &amp; safety" dataDxfId="6"/>
    <tableColumn id="3" xr3:uid="{0063F2B3-DEC6-4F84-8B84-C64B46EC7796}" name="Expenditure on police services" dataDxfId="5"/>
    <tableColumn id="4" xr3:uid="{B9F16648-9A31-400C-B8FA-D5001D24696A}" name="Expenditure on fire protection services" dataDxfId="4"/>
    <tableColumn id="5" xr3:uid="{046AC052-8A9B-4AE5-AA8E-6D62A6F1FD50}" name="Expenditure on law courts" dataDxfId="3"/>
    <tableColumn id="6" xr3:uid="{AE91A0E6-6BE4-4D94-89F8-1098AFD31D54}" name="Expenditure on prisons" dataDxfId="2"/>
    <tableColumn id="7" xr3:uid="{1F40EFCC-1EF7-487C-83A1-CAF43A7D8EFB}" name="Other" dataDxfId="1"/>
    <tableColumn id="8" xr3:uid="{C5A54B48-513A-4F77-BDC5-ACB242382B11}" name="Expenditure on public order &amp; safety (not disaggregated)"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03FE9E8-D482-4AB3-B785-EB3A2B7F541E}" name="Table1414" displayName="Table1414" ref="A2:E164" totalsRowShown="0" headerRowDxfId="54">
  <autoFilter ref="A2:E164" xr:uid="{7594CD69-E5E9-4AE8-9B49-0CDD609DC015}"/>
  <tableColumns count="5">
    <tableColumn id="1" xr3:uid="{AB034CAB-21FF-4BAD-861A-BFBB0F969E3A}" name="Count"/>
    <tableColumn id="2" xr3:uid="{9615B9C5-03C5-4272-A16B-EB9DA6372178}" name="Economy"/>
    <tableColumn id="3" xr3:uid="{63E53535-6B0C-4572-8D55-A4A9CC94FB1A}" name="Code"/>
    <tableColumn id="4" xr3:uid="{A9F516E6-0806-4E84-BD5A-712E641614A8}" name="Income group"/>
    <tableColumn id="5" xr3:uid="{89D6D83E-0F17-4643-B06B-8C1E31ADD90A}" name="Law courts" dataDxfId="53">
      <calculatedColumnFormula>IF(ISNUMBER(VLOOKUP(C3,'Justice Spend Total'!C:AQ, 36, FALSE)),(VLOOKUP(C3,'Justice Spend Total'!C:AQ, 36, FALSE)), #N/A)</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68731C1-EB27-42C3-AC7B-B5EA6F72F6EE}" name="Table141415" displayName="Table141415" ref="A2:E164" totalsRowShown="0" headerRowDxfId="52">
  <autoFilter ref="A2:E164" xr:uid="{7594CD69-E5E9-4AE8-9B49-0CDD609DC015}"/>
  <tableColumns count="5">
    <tableColumn id="1" xr3:uid="{3CCD1D51-F6F7-4BCB-8918-92AC26959D3E}" name="Count"/>
    <tableColumn id="2" xr3:uid="{9FF9111C-4E0D-49FB-AA5C-6398778BD4BE}" name="Economy"/>
    <tableColumn id="3" xr3:uid="{2F6C11AF-DE56-4972-9446-B9CDD694DA38}" name="Code"/>
    <tableColumn id="4" xr3:uid="{D0313C9D-ED7A-42B9-B1AC-D40156D52097}" name="Income group"/>
    <tableColumn id="5" xr3:uid="{6CCC43FA-391E-406A-AF3E-6E4B948C430B}" name="Police" dataDxfId="51">
      <calculatedColumnFormula>IF(ISNUMBER(VLOOKUP(C3,'Justice Spend Total'!C:AQ, 35, FALSE)),(VLOOKUP(C3,'Justice Spend Total'!C:AQ, 35, FALSE)), #N/A)</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599C39E-0479-4069-B9A0-52B15FC94DBB}" name="Table14141517" displayName="Table14141517" ref="A2:E164" totalsRowShown="0" headerRowDxfId="50">
  <autoFilter ref="A2:E164" xr:uid="{7594CD69-E5E9-4AE8-9B49-0CDD609DC015}"/>
  <tableColumns count="5">
    <tableColumn id="1" xr3:uid="{07065C43-B289-407E-992C-22F3159C9450}" name="Count"/>
    <tableColumn id="2" xr3:uid="{75E1060B-4E6A-4721-B9F3-DFFBF54C3D5C}" name="Economy"/>
    <tableColumn id="3" xr3:uid="{014AB9D3-74C2-4E0C-93B6-3704A281882D}" name="Code"/>
    <tableColumn id="4" xr3:uid="{03B225A7-B79A-495B-91AF-E9C1E3575ECC}" name="Income group"/>
    <tableColumn id="5" xr3:uid="{79438F93-526F-4F8C-AB8A-EE1940D37337}" name="Police" dataDxfId="49">
      <calculatedColumnFormula>Table141415[[#This Row],[Police]]/Table14[[#This Row],[Justice]]</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A7D8519-D9DC-46CC-A7EB-3D23E03D69A2}" name="Table141418" displayName="Table141418" ref="A2:E164" totalsRowShown="0" headerRowDxfId="48">
  <autoFilter ref="A2:E164" xr:uid="{7594CD69-E5E9-4AE8-9B49-0CDD609DC015}"/>
  <tableColumns count="5">
    <tableColumn id="1" xr3:uid="{FF937055-6F63-41EB-AAA6-0EEF90B65846}" name="Count"/>
    <tableColumn id="2" xr3:uid="{7AD97657-A0E5-4767-997A-1BD3E9603F09}" name="Economy"/>
    <tableColumn id="3" xr3:uid="{89F6DCC4-BCB1-4C15-81C3-6E37E51C1B54}" name="Code"/>
    <tableColumn id="4" xr3:uid="{7BEDCE4B-951D-4B13-A3ED-A4FDA45EE09B}" name="Income group"/>
    <tableColumn id="5" xr3:uid="{C666D1CC-D9DD-447A-B6E5-CBCD9ACACB76}" name="Law courts" dataDxfId="47">
      <calculatedColumnFormula>Table1414[[#This Row],[Law courts]]/Table14[[#This Row],[Justice]]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2B4238-E7CE-44EA-AB7E-9B9DEC741052}" name="Table112" displayName="Table112" ref="A2:G164" totalsRowShown="0" headerRowDxfId="46">
  <autoFilter ref="A2:G164" xr:uid="{7594CD69-E5E9-4AE8-9B49-0CDD609DC015}"/>
  <tableColumns count="7">
    <tableColumn id="1" xr3:uid="{EA066A3C-2621-403E-8346-C4CAC7CAF2EF}" name="Count"/>
    <tableColumn id="2" xr3:uid="{20B29DF6-4CCC-4D07-BD22-7E78EB625877}" name="Economy"/>
    <tableColumn id="3" xr3:uid="{7339E838-2324-4ACB-8D62-C25EFAFE4DFA}" name="Code"/>
    <tableColumn id="4" xr3:uid="{A177C8F2-1D3A-45FC-8466-895D73BF4CC3}" name="Income group"/>
    <tableColumn id="5" xr3:uid="{C68771CA-C629-4A4B-B3E0-F65318DD1B18}" name="Justice" dataDxfId="45">
      <calculatedColumnFormula>IF(ISNUMBER(VLOOKUP(C3,'Justice Spend Total'!C:AQ, 38, FALSE)),(VLOOKUP(C3,'Justice Spend Total'!C:AQ, 38, FALSE)), #N/A)</calculatedColumnFormula>
    </tableColumn>
    <tableColumn id="6" xr3:uid="{F7F1F90E-AFAD-40F2-808C-B06BA0717CA9}" name="Education" dataDxfId="44">
      <calculatedColumnFormula>IF(ISNUMBER(VLOOKUP(Table112[[#This Row],[Code]],'Edu &amp; Health Exp'!C:AA,20,FALSE)), (VLOOKUP(Table112[[#This Row],[Code]],'Edu &amp; Health Exp'!C:AA,20,FALSE)), #N/A)</calculatedColumnFormula>
    </tableColumn>
    <tableColumn id="7" xr3:uid="{1A485B2A-CA86-4D23-BE9D-8030D6EC42CF}" name="Health" dataDxfId="43">
      <calculatedColumnFormula>IF(ISNUMBER(VLOOKUP(Table112[[#This Row],[Code]],'Edu &amp; Health Exp'!C:AA,23,FALSE)), (VLOOKUP(Table112[[#This Row],[Code]],'Edu &amp; Health Exp'!C:AA,23,FALSE)), #N/A)</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C6982FE-E404-4CB2-863B-42FD38DCC851}" name="Table1416" displayName="Table1416" ref="A2:E164" totalsRowShown="0" headerRowDxfId="42">
  <autoFilter ref="A2:E164" xr:uid="{7594CD69-E5E9-4AE8-9B49-0CDD609DC015}"/>
  <tableColumns count="5">
    <tableColumn id="1" xr3:uid="{4B8C771B-3932-4AAA-8378-996309E9BA7A}" name="Count"/>
    <tableColumn id="2" xr3:uid="{92AF6D7F-377D-4F80-A5CE-D1AFCED74CE2}" name="Economy"/>
    <tableColumn id="3" xr3:uid="{721E4076-32BE-4869-8D21-0921E6081AD7}" name="Code"/>
    <tableColumn id="4" xr3:uid="{5D03502F-5F66-4690-B58D-7C936626EBD3}" name="Income group"/>
    <tableColumn id="5" xr3:uid="{B3C1E298-E19E-490C-82E2-EE5CC31DCDD2}" name="Justice" dataDxfId="41">
      <calculatedColumnFormula>IF(ISNUMBER(VLOOKUP(C3,'Justice Spend Total'!C:AU, 45, FALSE)),(VLOOKUP(C3,'Justice Spend Total'!C:AU, 45, FALSE)), #N/A)</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F3D2CA-9F4E-40B4-9DDA-E2DB94E6B34D}" name="Table4" displayName="Table4" ref="D219:E248" totalsRowShown="0" headerRowDxfId="28">
  <autoFilter ref="D219:E248" xr:uid="{9EF3D2CA-9F4E-40B4-9DDA-E2DB94E6B34D}"/>
  <sortState xmlns:xlrd2="http://schemas.microsoft.com/office/spreadsheetml/2017/richdata2" ref="D220:E248">
    <sortCondition descending="1" ref="E219:E248"/>
  </sortState>
  <tableColumns count="2">
    <tableColumn id="1" xr3:uid="{0848422B-E195-42AF-9038-4F559B5BF19C}" name="Column1"/>
    <tableColumn id="2" xr3:uid="{171B63B9-311E-469D-B846-706360BFB027}" name="Expenditure on public order &amp; safety" dataDxfId="2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0C2E0DA-FE99-4AC0-BAE0-0481EAD51B14}" name="Table5" displayName="Table5" ref="N219:O248" totalsRowShown="0" headerRowDxfId="26">
  <autoFilter ref="N219:O248" xr:uid="{40C2E0DA-FE99-4AC0-BAE0-0481EAD51B14}"/>
  <sortState xmlns:xlrd2="http://schemas.microsoft.com/office/spreadsheetml/2017/richdata2" ref="N220:O248">
    <sortCondition descending="1" ref="O219:O248"/>
  </sortState>
  <tableColumns count="2">
    <tableColumn id="1" xr3:uid="{C2DD24EF-2F76-4E70-934C-FDE2043A2A1C}" name="2020"/>
    <tableColumn id="2" xr3:uid="{C587ABFA-9ABC-48DB-9F3B-F760B65F1B97}" name="Expenditure on police services" dataDxfId="2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7" dT="2022-07-13T10:59:31.15" personId="{4D1F42E1-683E-4F37-8C0A-E38281966221}" id="{95E9B658-9E49-4E34-A197-4D9A94C5C652}">
    <text>Breakdown from page 156</text>
  </threadedComment>
  <threadedComment ref="C9" dT="2022-07-13T10:58:25.80" personId="{4D1F42E1-683E-4F37-8C0A-E38281966221}" id="{10F8D29B-7AB3-43F2-ABC9-C58A8F5AB7A8}">
    <text xml:space="preserve">Page 173 breakdown of spending on police, prosecution etc </text>
  </threadedComment>
  <threadedComment ref="B19" dT="2022-07-13T10:59:31.15" personId="{4D1F42E1-683E-4F37-8C0A-E38281966221}" id="{DC774B71-DC80-41B9-B601-7728C2825F92}">
    <text>Breakdown from page 156</text>
  </threadedComment>
  <threadedComment ref="C21" dT="2022-07-13T10:58:25.80" personId="{4D1F42E1-683E-4F37-8C0A-E38281966221}" id="{9270853F-9368-4885-9380-91D793F1BA2B}">
    <text xml:space="preserve">Page 173 breakdown of spending on police, prosecution etc </text>
  </threadedComment>
</ThreadedComments>
</file>

<file path=xl/threadedComments/threadedComment2.xml><?xml version="1.0" encoding="utf-8"?>
<ThreadedComments xmlns="http://schemas.microsoft.com/office/spreadsheetml/2018/threadedcomments" xmlns:x="http://schemas.openxmlformats.org/spreadsheetml/2006/main">
  <threadedComment ref="C1" dT="2022-06-27T10:25:01.69" personId="{4D1F42E1-683E-4F37-8C0A-E38281966221}" id="{DEC99701-6E08-41A1-8779-A245C05550FE}">
    <text>Data can be broken down by recurrent, development and other from current source. More detailed information can be found here: https://mof.gov.sl/wp-content/uploads/2021/12/FY2022-Detailed-Budget-Estimates-Report.pdf</text>
  </threadedComment>
</ThreadedComments>
</file>

<file path=xl/threadedComments/threadedComment3.xml><?xml version="1.0" encoding="utf-8"?>
<ThreadedComments xmlns="http://schemas.microsoft.com/office/spreadsheetml/2018/threadedcomments" xmlns:x="http://schemas.openxmlformats.org/spreadsheetml/2006/main">
  <threadedComment ref="G16" dT="2022-06-27T09:35:00.24" personId="{4D1F42E1-683E-4F37-8C0A-E38281966221}" id="{FD3E9512-F547-4751-BD9E-3C8C533B5FC0}">
    <text>Differences due to rounding - does it matter?</text>
  </threadedComment>
</ThreadedComments>
</file>

<file path=xl/threadedComments/threadedComment4.xml><?xml version="1.0" encoding="utf-8"?>
<ThreadedComments xmlns="http://schemas.microsoft.com/office/spreadsheetml/2018/threadedcomments" xmlns:x="http://schemas.openxmlformats.org/spreadsheetml/2006/main">
  <threadedComment ref="E12" dT="2022-08-11T14:37:03.09" personId="{4D1F42E1-683E-4F37-8C0A-E38281966221}" id="{3E08AD62-F102-46E1-AECE-4FDCC65D30B1}">
    <text>Data comes from 2021 report - not reported on data hub - https://www.oecd-ilibrary.org/docserver/1c258f55-en.pdf?expires=1660229435&amp;id=id&amp;accname=guest&amp;checksum=A6AC2CC0055664EB861BA5517A4AFCA2 page 87</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odi.org/en/about/our-work/takingpeople-centred-justice-to-scale-investing-in-what-works-to-deliversdg-163-in-lower-income-countries/" TargetMode="External"/><Relationship Id="rId2" Type="http://schemas.openxmlformats.org/officeDocument/2006/relationships/hyperlink" Target="mailto:c.manuel@odi.org.uk" TargetMode="External"/><Relationship Id="rId1" Type="http://schemas.openxmlformats.org/officeDocument/2006/relationships/hyperlink" Target="mailto:m.manuel@odi.org.uk"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oecd-ilibrary.org/governance/equal-access-to-justice-for-inclusive-growth_597f5b7f-en" TargetMode="External"/><Relationship Id="rId1" Type="http://schemas.openxmlformats.org/officeDocument/2006/relationships/hyperlink" Target="https://www.oecd-ilibrary.org/sites/1c258f55-en/1/3/14/5/index.html?itemId=/content/publication/1c258f55-en&amp;_csp_=10e9de108c3f715b68f26e07d4821567&amp;itemIGO=oecd&amp;itemContentType=book"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dropbox.com/s/ec22s9q7zc69v64/Burundi%20Citizen%20Budget%202020-2021_English%20translation.pdf?dl=0"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hyperlink" Target="https://mbudget.gov.gn/wp-content/uploads/2022/04/VF-Rapport-execution-budgetaire-fin-2021-VF.pdf"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aitilibre.com/docs/budget-2020-2021-rectificatif.pdf"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6.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hyperlink" Target="http://www.mef.gov.mg/dgcf/info%20utiles/5113.pdf"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hyperlink" Target="https://www.auditservice.gov.sl/wp-content/uploads/2021/12/Auditor-Generals-Annual-Report-2020.pdf" TargetMode="External"/><Relationship Id="rId1" Type="http://schemas.openxmlformats.org/officeDocument/2006/relationships/hyperlink" Target="https://www.auditservice.gov.sl/wp-content/uploads/2020/12/Annual-Report-on-the-Account-of-Sierra-Leone-2019.pdf" TargetMode="External"/></Relationships>
</file>

<file path=xl/worksheets/_rels/sheet6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9.bin"/><Relationship Id="rId4" Type="http://schemas.microsoft.com/office/2017/10/relationships/threadedComment" Target="../threadedComments/threadedComment2.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openbudget.uz/en/outcomesView"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6.xml.rels><?xml version="1.0" encoding="UTF-8" standalone="yes"?>
<Relationships xmlns="http://schemas.openxmlformats.org/package/2006/relationships"><Relationship Id="rId8" Type="http://schemas.openxmlformats.org/officeDocument/2006/relationships/table" Target="../tables/table12.xml"/><Relationship Id="rId3" Type="http://schemas.openxmlformats.org/officeDocument/2006/relationships/drawing" Target="../drawings/drawing21.xml"/><Relationship Id="rId7" Type="http://schemas.openxmlformats.org/officeDocument/2006/relationships/table" Target="../tables/table11.xml"/><Relationship Id="rId12" Type="http://schemas.openxmlformats.org/officeDocument/2006/relationships/table" Target="../tables/table16.xml"/><Relationship Id="rId2" Type="http://schemas.openxmlformats.org/officeDocument/2006/relationships/printerSettings" Target="../printerSettings/printerSettings45.bin"/><Relationship Id="rId1" Type="http://schemas.openxmlformats.org/officeDocument/2006/relationships/hyperlink" Target="https://stats.oecd.org/Index.aspx?DataSetCode=SNA_TABLE11" TargetMode="External"/><Relationship Id="rId6" Type="http://schemas.openxmlformats.org/officeDocument/2006/relationships/table" Target="../tables/table10.xml"/><Relationship Id="rId11" Type="http://schemas.openxmlformats.org/officeDocument/2006/relationships/table" Target="../tables/table15.xml"/><Relationship Id="rId5" Type="http://schemas.openxmlformats.org/officeDocument/2006/relationships/table" Target="../tables/table9.xml"/><Relationship Id="rId10" Type="http://schemas.openxmlformats.org/officeDocument/2006/relationships/table" Target="../tables/table14.xml"/><Relationship Id="rId4" Type="http://schemas.openxmlformats.org/officeDocument/2006/relationships/table" Target="../tables/table8.xml"/><Relationship Id="rId9" Type="http://schemas.openxmlformats.org/officeDocument/2006/relationships/table" Target="../tables/table13.xml"/></Relationships>
</file>

<file path=xl/worksheets/_rels/sheet77.xml.rels><?xml version="1.0" encoding="UTF-8" standalone="yes"?>
<Relationships xmlns="http://schemas.openxmlformats.org/package/2006/relationships"><Relationship Id="rId8" Type="http://schemas.openxmlformats.org/officeDocument/2006/relationships/hyperlink" Target="http://stats.oecd.org/OECDStat_Metadata/ShowMetadata.ashx?Dataset=GOV&amp;Coords=%5bCOU%5d.%5bOAVG%5d&amp;ShowOnWeb=true&amp;Lang=en" TargetMode="External"/><Relationship Id="rId13" Type="http://schemas.openxmlformats.org/officeDocument/2006/relationships/hyperlink" Target="http://stats.oecd.org/OECDStat_Metadata/ShowMetadata.ashx?Dataset=GOV&amp;Coords=%5bIND%5d.%5bGE_F_G030GS13_GDP%5d,%5bYEAR%5d.%5b2020%5d,%5bCOU%5d.%5bOAVG%5d&amp;ShowOnWeb=true&amp;Lang=en" TargetMode="External"/><Relationship Id="rId18" Type="http://schemas.openxmlformats.org/officeDocument/2006/relationships/hyperlink" Target="http://stats.oecd.org/OECDStat_Metadata/ShowMetadata.ashx?Dataset=GOV&amp;Coords=%5bIND%5d.%5bGE_F_G100GS13_GDP%5d,%5bYEAR%5d.%5b2019%5d,%5bCOU%5d.%5bOAVG%5d&amp;ShowOnWeb=true&amp;Lang=en" TargetMode="External"/><Relationship Id="rId3" Type="http://schemas.openxmlformats.org/officeDocument/2006/relationships/hyperlink" Target="http://stats.oecd.org/OECDStat_Metadata/ShowMetadata.ashx?Dataset=GOV&amp;Coords=%5bIND%5d.%5bGE_F_G030GS13_GDP%5d&amp;ShowOnWeb=true&amp;Lang=en" TargetMode="External"/><Relationship Id="rId21" Type="http://schemas.openxmlformats.org/officeDocument/2006/relationships/hyperlink" Target="http://stats.oecd.org/OECDStat_Metadata/ShowMetadata.ashx?Dataset=GOV&amp;Coords=%5bIND%5d.%5bGINV_GDP%5d,%5bYEAR%5d.%5b2020%5d,%5bCOU%5d.%5bOAVG%5d&amp;ShowOnWeb=true&amp;Lang=en" TargetMode="External"/><Relationship Id="rId7" Type="http://schemas.openxmlformats.org/officeDocument/2006/relationships/hyperlink" Target="http://stats.oecd.org/OECDStat_Metadata/ShowMetadata.ashx?Dataset=GOV&amp;Coords=%5bIND%5d.%5bGINV_GDP%5d&amp;ShowOnWeb=true&amp;Lang=en" TargetMode="External"/><Relationship Id="rId12" Type="http://schemas.openxmlformats.org/officeDocument/2006/relationships/hyperlink" Target="http://stats.oecd.org/OECDStat_Metadata/ShowMetadata.ashx?Dataset=GOV&amp;Coords=%5bIND%5d.%5bGE_F_G030GS13_GDP%5d,%5bYEAR%5d.%5b2019%5d,%5bCOU%5d.%5bOAVG%5d&amp;ShowOnWeb=true&amp;Lang=en" TargetMode="External"/><Relationship Id="rId17" Type="http://schemas.openxmlformats.org/officeDocument/2006/relationships/hyperlink" Target="http://stats.oecd.org/OECDStat_Metadata/ShowMetadata.ashx?Dataset=GOV&amp;Coords=%5bIND%5d.%5bGE_F_G090GS13_GDP%5d,%5bYEAR%5d.%5b2020%5d,%5bCOU%5d.%5bOAVG%5d&amp;ShowOnWeb=true&amp;Lang=en" TargetMode="External"/><Relationship Id="rId2" Type="http://schemas.openxmlformats.org/officeDocument/2006/relationships/hyperlink" Target="http://stats.oecd.org/OECDStat_Metadata/ShowMetadata.ashx?Dataset=GOV&amp;Coords=%5bIND%5d.%5bGTE_GDP%5d&amp;ShowOnWeb=true&amp;Lang=en" TargetMode="External"/><Relationship Id="rId16" Type="http://schemas.openxmlformats.org/officeDocument/2006/relationships/hyperlink" Target="http://stats.oecd.org/OECDStat_Metadata/ShowMetadata.ashx?Dataset=GOV&amp;Coords=%5bIND%5d.%5bGE_F_G090GS13_GDP%5d,%5bYEAR%5d.%5b2019%5d,%5bCOU%5d.%5bOAVG%5d&amp;ShowOnWeb=true&amp;Lang=en" TargetMode="External"/><Relationship Id="rId20" Type="http://schemas.openxmlformats.org/officeDocument/2006/relationships/hyperlink" Target="http://stats.oecd.org/OECDStat_Metadata/ShowMetadata.ashx?Dataset=GOV&amp;Coords=%5bIND%5d.%5bGINV_GDP%5d,%5bYEAR%5d.%5b2019%5d,%5bCOU%5d.%5bOAVG%5d&amp;ShowOnWeb=true&amp;Lang=en" TargetMode="External"/><Relationship Id="rId1" Type="http://schemas.openxmlformats.org/officeDocument/2006/relationships/hyperlink" Target="http://stats.oecd.org/OECDStat_Metadata/ShowMetadata.ashx?Dataset=GOV&amp;ShowOnWeb=true&amp;Lang=en" TargetMode="External"/><Relationship Id="rId6" Type="http://schemas.openxmlformats.org/officeDocument/2006/relationships/hyperlink" Target="http://stats.oecd.org/OECDStat_Metadata/ShowMetadata.ashx?Dataset=GOV&amp;Coords=%5bIND%5d.%5bGE_F_G100GS13_GDP%5d&amp;ShowOnWeb=true&amp;Lang=en" TargetMode="External"/><Relationship Id="rId11" Type="http://schemas.openxmlformats.org/officeDocument/2006/relationships/hyperlink" Target="http://stats.oecd.org/OECDStat_Metadata/ShowMetadata.ashx?Dataset=GOV&amp;Coords=%5bIND%5d.%5bGTE_GDP%5d,%5bYEAR%5d.%5b2021%5d,%5bCOU%5d.%5bOAVG%5d&amp;ShowOnWeb=true&amp;Lang=en" TargetMode="External"/><Relationship Id="rId5" Type="http://schemas.openxmlformats.org/officeDocument/2006/relationships/hyperlink" Target="http://stats.oecd.org/OECDStat_Metadata/ShowMetadata.ashx?Dataset=GOV&amp;Coords=%5bIND%5d.%5bGE_F_G090GS13_GDP%5d&amp;ShowOnWeb=true&amp;Lang=en" TargetMode="External"/><Relationship Id="rId15" Type="http://schemas.openxmlformats.org/officeDocument/2006/relationships/hyperlink" Target="http://stats.oecd.org/OECDStat_Metadata/ShowMetadata.ashx?Dataset=GOV&amp;Coords=%5bIND%5d.%5bGE_F_G070GS13_GDP%5d,%5bYEAR%5d.%5b2020%5d,%5bCOU%5d.%5bOAVG%5d&amp;ShowOnWeb=true&amp;Lang=en" TargetMode="External"/><Relationship Id="rId23" Type="http://schemas.openxmlformats.org/officeDocument/2006/relationships/hyperlink" Target="https://stats-2.oecd.org/index.aspx?DatasetCode=GOV" TargetMode="External"/><Relationship Id="rId10" Type="http://schemas.openxmlformats.org/officeDocument/2006/relationships/hyperlink" Target="http://stats.oecd.org/OECDStat_Metadata/ShowMetadata.ashx?Dataset=GOV&amp;Coords=%5bIND%5d.%5bGTE_GDP%5d,%5bYEAR%5d.%5b2020%5d,%5bCOU%5d.%5bOAVG%5d&amp;ShowOnWeb=true&amp;Lang=en" TargetMode="External"/><Relationship Id="rId19" Type="http://schemas.openxmlformats.org/officeDocument/2006/relationships/hyperlink" Target="http://stats.oecd.org/OECDStat_Metadata/ShowMetadata.ashx?Dataset=GOV&amp;Coords=%5bIND%5d.%5bGE_F_G100GS13_GDP%5d,%5bYEAR%5d.%5b2020%5d,%5bCOU%5d.%5bOAVG%5d&amp;ShowOnWeb=true&amp;Lang=en" TargetMode="External"/><Relationship Id="rId4" Type="http://schemas.openxmlformats.org/officeDocument/2006/relationships/hyperlink" Target="http://stats.oecd.org/OECDStat_Metadata/ShowMetadata.ashx?Dataset=GOV&amp;Coords=%5bIND%5d.%5bGE_F_G070GS13_GDP%5d&amp;ShowOnWeb=true&amp;Lang=en" TargetMode="External"/><Relationship Id="rId9" Type="http://schemas.openxmlformats.org/officeDocument/2006/relationships/hyperlink" Target="http://stats.oecd.org/OECDStat_Metadata/ShowMetadata.ashx?Dataset=GOV&amp;Coords=%5bIND%5d.%5bGTE_GDP%5d,%5bYEAR%5d.%5b2019%5d,%5bCOU%5d.%5bOAVG%5d&amp;ShowOnWeb=true&amp;Lang=en" TargetMode="External"/><Relationship Id="rId14" Type="http://schemas.openxmlformats.org/officeDocument/2006/relationships/hyperlink" Target="http://stats.oecd.org/OECDStat_Metadata/ShowMetadata.ashx?Dataset=GOV&amp;Coords=%5bIND%5d.%5bGE_F_G070GS13_GDP%5d,%5bYEAR%5d.%5b2019%5d,%5bCOU%5d.%5bOAVG%5d&amp;ShowOnWeb=true&amp;Lang=en" TargetMode="External"/><Relationship Id="rId22" Type="http://schemas.openxmlformats.org/officeDocument/2006/relationships/hyperlink" Target="http://stats.oecd.org/OECDStat_Metadata/ShowMetadata.ashx?Dataset=GOV&amp;Coords=%5bIND%5d.%5bGINV_GDP%5d,%5bYEAR%5d.%5b2021%5d,%5bCOU%5d.%5bOAVG%5d&amp;ShowOnWeb=true&amp;Lang=en" TargetMode="External"/></Relationships>
</file>

<file path=xl/worksheets/_rels/sheet7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6.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C502E-9C24-9146-A775-56C116FE1DF2}">
  <dimension ref="B1:Q35"/>
  <sheetViews>
    <sheetView workbookViewId="0">
      <selection activeCell="D37" sqref="D37"/>
    </sheetView>
  </sheetViews>
  <sheetFormatPr defaultColWidth="10.85546875" defaultRowHeight="14.45"/>
  <cols>
    <col min="1" max="1" width="2.42578125" customWidth="1"/>
    <col min="2" max="2" width="21.85546875" customWidth="1"/>
    <col min="3" max="3" width="21.140625" customWidth="1"/>
  </cols>
  <sheetData>
    <row r="1" spans="2:17" ht="21">
      <c r="B1" s="140" t="s">
        <v>0</v>
      </c>
      <c r="C1" s="136"/>
      <c r="D1" s="136"/>
      <c r="E1" s="136"/>
      <c r="F1" s="136"/>
      <c r="G1" s="136"/>
      <c r="H1" s="136"/>
      <c r="I1" s="136"/>
      <c r="J1" s="136"/>
      <c r="K1" s="136"/>
      <c r="L1" s="136"/>
      <c r="M1" s="136"/>
      <c r="N1" s="136"/>
    </row>
    <row r="2" spans="2:17">
      <c r="B2" s="136" t="s">
        <v>1</v>
      </c>
      <c r="C2" s="136"/>
      <c r="D2" s="136"/>
      <c r="E2" s="136"/>
      <c r="F2" s="136"/>
      <c r="G2" s="136"/>
      <c r="H2" s="136"/>
      <c r="I2" s="136"/>
      <c r="J2" s="136"/>
      <c r="K2" s="136"/>
      <c r="L2" s="136"/>
      <c r="M2" s="136"/>
      <c r="N2" s="136"/>
    </row>
    <row r="3" spans="2:17">
      <c r="B3" s="136" t="s">
        <v>2</v>
      </c>
      <c r="C3" s="136"/>
      <c r="D3" s="136"/>
      <c r="E3" s="136"/>
      <c r="F3" s="136"/>
      <c r="G3" s="136"/>
      <c r="H3" s="136"/>
      <c r="I3" s="136"/>
      <c r="J3" s="136"/>
      <c r="K3" s="136"/>
      <c r="L3" s="136"/>
      <c r="M3" s="136"/>
      <c r="N3" s="136"/>
    </row>
    <row r="4" spans="2:17">
      <c r="B4" s="136" t="s">
        <v>3</v>
      </c>
      <c r="C4" s="136"/>
      <c r="D4" s="136"/>
      <c r="E4" s="136"/>
      <c r="F4" s="136"/>
      <c r="G4" s="136"/>
      <c r="H4" s="136"/>
      <c r="I4" s="136"/>
      <c r="J4" s="136"/>
      <c r="K4" s="136"/>
      <c r="L4" s="136"/>
      <c r="M4" s="136"/>
      <c r="N4" s="136"/>
    </row>
    <row r="5" spans="2:17">
      <c r="B5" s="150" t="s">
        <v>4</v>
      </c>
      <c r="C5" s="136"/>
      <c r="D5" s="136"/>
      <c r="E5" s="136"/>
      <c r="F5" s="136"/>
      <c r="G5" s="136"/>
      <c r="H5" s="136"/>
      <c r="I5" s="136"/>
      <c r="J5" s="136"/>
      <c r="K5" s="136"/>
      <c r="L5" s="136"/>
      <c r="M5" s="136"/>
      <c r="N5" s="136"/>
    </row>
    <row r="6" spans="2:17">
      <c r="B6" s="150"/>
      <c r="C6" s="136"/>
      <c r="D6" s="136"/>
      <c r="E6" s="136"/>
      <c r="F6" s="136"/>
      <c r="G6" s="136"/>
      <c r="H6" s="136"/>
      <c r="I6" s="136"/>
      <c r="J6" s="136"/>
      <c r="K6" s="136"/>
      <c r="L6" s="136"/>
      <c r="M6" s="136"/>
      <c r="N6" s="136"/>
    </row>
    <row r="7" spans="2:17">
      <c r="B7" s="1" t="s">
        <v>5</v>
      </c>
      <c r="C7" s="136"/>
      <c r="D7" s="136"/>
      <c r="E7" s="136"/>
      <c r="F7" s="136"/>
      <c r="G7" s="136"/>
      <c r="H7" s="136"/>
      <c r="I7" s="136"/>
      <c r="J7" s="136"/>
      <c r="K7" s="136"/>
      <c r="L7" s="136"/>
      <c r="M7" s="136"/>
      <c r="N7" s="136"/>
    </row>
    <row r="8" spans="2:17" ht="30" customHeight="1">
      <c r="B8" s="159" t="s">
        <v>6</v>
      </c>
      <c r="C8" s="159"/>
      <c r="D8" s="159"/>
      <c r="E8" s="159"/>
      <c r="F8" s="159"/>
      <c r="G8" s="159"/>
      <c r="H8" s="159"/>
      <c r="I8" s="159"/>
      <c r="J8" s="159"/>
      <c r="K8" s="159"/>
      <c r="L8" s="159"/>
      <c r="M8" s="159"/>
      <c r="N8" s="159"/>
      <c r="O8" s="159"/>
      <c r="P8" s="159"/>
      <c r="Q8" s="159"/>
    </row>
    <row r="9" spans="2:17">
      <c r="C9" s="136"/>
      <c r="D9" s="136"/>
      <c r="E9" s="136"/>
      <c r="F9" s="136"/>
      <c r="G9" s="136"/>
      <c r="H9" s="136"/>
      <c r="I9" s="136"/>
      <c r="J9" s="136"/>
      <c r="K9" s="136"/>
      <c r="L9" s="136"/>
      <c r="M9" s="136"/>
      <c r="N9" s="136"/>
    </row>
    <row r="10" spans="2:17">
      <c r="B10" s="137" t="s">
        <v>7</v>
      </c>
      <c r="C10" s="136"/>
      <c r="D10" s="136"/>
      <c r="E10" s="136"/>
      <c r="F10" s="136"/>
      <c r="G10" s="138"/>
      <c r="H10" s="138"/>
      <c r="I10" s="138"/>
      <c r="J10" s="136"/>
      <c r="K10" s="136"/>
      <c r="L10" s="136"/>
      <c r="M10" s="136"/>
      <c r="N10" s="136"/>
    </row>
    <row r="11" spans="2:17">
      <c r="B11" s="136" t="s">
        <v>8</v>
      </c>
      <c r="C11" s="31" t="s">
        <v>9</v>
      </c>
      <c r="D11" s="136"/>
      <c r="E11" s="136"/>
      <c r="F11" s="136"/>
      <c r="G11" s="136"/>
      <c r="H11" s="136"/>
      <c r="I11" s="136"/>
      <c r="J11" s="136"/>
      <c r="K11" s="136"/>
      <c r="L11" s="136"/>
      <c r="M11" s="136"/>
      <c r="N11" s="136"/>
    </row>
    <row r="12" spans="2:17">
      <c r="B12" s="136" t="s">
        <v>10</v>
      </c>
      <c r="C12" s="31" t="s">
        <v>11</v>
      </c>
      <c r="D12" s="136"/>
      <c r="E12" s="136"/>
      <c r="F12" s="136"/>
      <c r="G12" s="136"/>
      <c r="H12" s="136"/>
      <c r="I12" s="136"/>
      <c r="J12" s="136"/>
      <c r="K12" s="136"/>
      <c r="L12" s="136"/>
      <c r="M12" s="136"/>
      <c r="N12" s="136"/>
    </row>
    <row r="13" spans="2:17">
      <c r="B13" s="136" t="s">
        <v>12</v>
      </c>
      <c r="C13" s="136"/>
      <c r="D13" s="136"/>
      <c r="E13" s="136"/>
      <c r="F13" s="136"/>
      <c r="G13" s="136"/>
      <c r="H13" s="136"/>
      <c r="I13" s="136"/>
      <c r="J13" s="136"/>
      <c r="K13" s="136"/>
      <c r="L13" s="136"/>
      <c r="M13" s="136"/>
      <c r="N13" s="136"/>
    </row>
    <row r="14" spans="2:17">
      <c r="B14" s="136" t="s">
        <v>13</v>
      </c>
      <c r="C14" s="136"/>
      <c r="D14" s="136"/>
      <c r="E14" s="136"/>
      <c r="F14" s="136"/>
      <c r="G14" s="136"/>
      <c r="H14" s="136"/>
      <c r="I14" s="136"/>
      <c r="J14" s="136"/>
      <c r="K14" s="136"/>
      <c r="L14" s="136"/>
      <c r="M14" s="136"/>
      <c r="N14" s="136"/>
    </row>
    <row r="15" spans="2:17">
      <c r="B15" s="136"/>
      <c r="C15" s="136"/>
      <c r="D15" s="136"/>
      <c r="E15" s="136"/>
      <c r="F15" s="136"/>
      <c r="G15" s="136"/>
      <c r="H15" s="136"/>
      <c r="I15" s="136"/>
      <c r="J15" s="136"/>
      <c r="K15" s="136"/>
      <c r="L15" s="136"/>
      <c r="M15" s="136"/>
      <c r="N15" s="136"/>
    </row>
    <row r="16" spans="2:17">
      <c r="B16" s="137" t="s">
        <v>14</v>
      </c>
      <c r="C16" s="137" t="s">
        <v>15</v>
      </c>
      <c r="D16" s="136"/>
      <c r="E16" s="136"/>
      <c r="F16" s="136"/>
      <c r="G16" s="136"/>
      <c r="H16" s="136"/>
      <c r="I16" s="136"/>
      <c r="J16" s="136"/>
      <c r="K16" s="136"/>
      <c r="L16" s="136"/>
      <c r="M16" s="136"/>
      <c r="N16" s="136"/>
    </row>
    <row r="17" spans="2:14">
      <c r="B17" s="136" t="s">
        <v>16</v>
      </c>
      <c r="C17" s="136" t="s">
        <v>17</v>
      </c>
      <c r="D17" s="136"/>
      <c r="E17" s="136"/>
      <c r="F17" s="136"/>
      <c r="G17" s="136"/>
      <c r="H17" s="136"/>
      <c r="I17" s="136"/>
      <c r="J17" s="136"/>
      <c r="K17" s="136"/>
      <c r="L17" s="136"/>
      <c r="M17" s="136"/>
      <c r="N17" s="136"/>
    </row>
    <row r="18" spans="2:14">
      <c r="B18" s="136" t="s">
        <v>18</v>
      </c>
      <c r="C18" s="136" t="s">
        <v>19</v>
      </c>
      <c r="D18" s="136"/>
      <c r="E18" s="136"/>
      <c r="F18" s="136"/>
      <c r="G18" s="136"/>
      <c r="H18" s="136"/>
      <c r="I18" s="136"/>
      <c r="J18" s="136"/>
      <c r="K18" s="136"/>
      <c r="L18" s="136"/>
      <c r="M18" s="136"/>
      <c r="N18" s="136"/>
    </row>
    <row r="19" spans="2:14">
      <c r="B19" s="139" t="s">
        <v>20</v>
      </c>
      <c r="C19" s="136" t="s">
        <v>21</v>
      </c>
      <c r="D19" s="136"/>
      <c r="E19" s="136"/>
      <c r="F19" s="136"/>
      <c r="G19" s="136"/>
      <c r="H19" s="136"/>
      <c r="I19" s="136"/>
      <c r="J19" s="136"/>
      <c r="K19" s="136"/>
      <c r="L19" s="136"/>
      <c r="M19" s="136"/>
      <c r="N19" s="136"/>
    </row>
    <row r="20" spans="2:14" ht="29.1">
      <c r="B20" s="139" t="s">
        <v>22</v>
      </c>
      <c r="C20" s="136" t="s">
        <v>21</v>
      </c>
      <c r="D20" s="136"/>
      <c r="E20" s="136"/>
      <c r="F20" s="136"/>
      <c r="G20" s="136"/>
      <c r="H20" s="136"/>
      <c r="I20" s="136"/>
      <c r="J20" s="136"/>
      <c r="K20" s="136"/>
      <c r="L20" s="136"/>
      <c r="M20" s="136"/>
      <c r="N20" s="136"/>
    </row>
    <row r="21" spans="2:14">
      <c r="B21" s="139" t="s">
        <v>23</v>
      </c>
      <c r="C21" s="136" t="s">
        <v>24</v>
      </c>
      <c r="D21" s="136"/>
      <c r="E21" s="136"/>
      <c r="F21" s="136"/>
      <c r="G21" s="136"/>
      <c r="H21" s="136"/>
      <c r="I21" s="136"/>
      <c r="J21" s="136"/>
      <c r="K21" s="136"/>
      <c r="L21" s="136"/>
      <c r="M21" s="136"/>
      <c r="N21" s="136"/>
    </row>
    <row r="22" spans="2:14" ht="29.1">
      <c r="B22" s="139" t="s">
        <v>25</v>
      </c>
      <c r="C22" s="136" t="s">
        <v>26</v>
      </c>
      <c r="D22" s="136"/>
      <c r="E22" s="136"/>
      <c r="F22" s="136"/>
      <c r="G22" s="136"/>
      <c r="H22" s="136"/>
      <c r="I22" s="136"/>
      <c r="J22" s="136"/>
      <c r="K22" s="136"/>
      <c r="L22" s="136"/>
      <c r="M22" s="136"/>
      <c r="N22" s="136"/>
    </row>
    <row r="23" spans="2:14">
      <c r="C23" s="136"/>
      <c r="D23" s="136"/>
      <c r="E23" s="136"/>
      <c r="F23" s="136"/>
      <c r="G23" s="136"/>
      <c r="H23" s="136"/>
      <c r="I23" s="136"/>
      <c r="J23" s="136"/>
      <c r="K23" s="136"/>
      <c r="L23" s="136"/>
      <c r="M23" s="136"/>
      <c r="N23" s="136"/>
    </row>
    <row r="24" spans="2:14">
      <c r="B24" s="137" t="s">
        <v>27</v>
      </c>
    </row>
    <row r="25" spans="2:14">
      <c r="B25" s="136" t="s">
        <v>28</v>
      </c>
      <c r="C25" s="136" t="s">
        <v>29</v>
      </c>
    </row>
    <row r="26" spans="2:14">
      <c r="B26" t="s">
        <v>30</v>
      </c>
      <c r="C26" s="136" t="s">
        <v>31</v>
      </c>
    </row>
    <row r="27" spans="2:14">
      <c r="B27" t="s">
        <v>32</v>
      </c>
      <c r="C27" s="136" t="s">
        <v>33</v>
      </c>
    </row>
    <row r="28" spans="2:14">
      <c r="B28" t="s">
        <v>34</v>
      </c>
      <c r="C28" s="136" t="s">
        <v>35</v>
      </c>
    </row>
    <row r="29" spans="2:14">
      <c r="B29" t="s">
        <v>36</v>
      </c>
      <c r="C29" s="136" t="s">
        <v>37</v>
      </c>
    </row>
    <row r="30" spans="2:14">
      <c r="B30" t="s">
        <v>38</v>
      </c>
      <c r="C30" s="136" t="s">
        <v>39</v>
      </c>
    </row>
    <row r="31" spans="2:14">
      <c r="B31" t="s">
        <v>40</v>
      </c>
      <c r="C31" s="136" t="s">
        <v>41</v>
      </c>
    </row>
    <row r="32" spans="2:14">
      <c r="B32" t="s">
        <v>42</v>
      </c>
      <c r="C32" s="136" t="s">
        <v>43</v>
      </c>
    </row>
    <row r="34" spans="2:3" ht="15">
      <c r="B34" s="137" t="s">
        <v>44</v>
      </c>
    </row>
    <row r="35" spans="2:3">
      <c r="B35" t="e">
        <v>#N/A</v>
      </c>
      <c r="C35" t="s">
        <v>45</v>
      </c>
    </row>
  </sheetData>
  <mergeCells count="1">
    <mergeCell ref="B8:Q8"/>
  </mergeCells>
  <hyperlinks>
    <hyperlink ref="C11" r:id="rId1" display="mailto:m.manuel@odi.org.uk" xr:uid="{66C86236-9C78-EB4C-8F2D-F52EB909738D}"/>
    <hyperlink ref="C12" r:id="rId2" xr:uid="{C1444AC9-AEDE-4215-9A9E-1AB3E8F971A8}"/>
    <hyperlink ref="B5" r:id="rId3" display="https://odi.org/en/about/our-work/takingpeople-centred-justice-to-scale-investing-in-what-works-to-deliversdg-163-in-lower-income-countries/" xr:uid="{F4ADBD16-F758-461C-AB8C-7DE88E3B84D6}"/>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AE1CD-DC19-446B-8167-E801808043F2}">
  <dimension ref="A1:E164"/>
  <sheetViews>
    <sheetView topLeftCell="A2" workbookViewId="0">
      <selection activeCell="E11" sqref="E11"/>
    </sheetView>
  </sheetViews>
  <sheetFormatPr defaultColWidth="8.85546875" defaultRowHeight="14.45"/>
  <cols>
    <col min="2" max="2" width="11.140625" customWidth="1"/>
    <col min="4" max="4" width="15.28515625" customWidth="1"/>
    <col min="5" max="5" width="15.42578125" customWidth="1"/>
  </cols>
  <sheetData>
    <row r="1" spans="1:5">
      <c r="E1" t="s">
        <v>78</v>
      </c>
    </row>
    <row r="2" spans="1:5">
      <c r="A2" s="1" t="s">
        <v>302</v>
      </c>
      <c r="B2" s="75" t="s">
        <v>47</v>
      </c>
      <c r="C2" s="75" t="s">
        <v>303</v>
      </c>
      <c r="D2" s="75" t="s">
        <v>304</v>
      </c>
      <c r="E2" s="75" t="s">
        <v>289</v>
      </c>
    </row>
    <row r="3" spans="1:5">
      <c r="A3">
        <v>1</v>
      </c>
      <c r="B3" s="15" t="s">
        <v>93</v>
      </c>
      <c r="C3" s="15" t="s">
        <v>305</v>
      </c>
      <c r="D3" s="15" t="s">
        <v>306</v>
      </c>
      <c r="E3" s="15">
        <f>IF(ISNUMBER(VLOOKUP(C3,'Justice Spend Total'!C:AQ, 38, FALSE)),(VLOOKUP(C3,'Justice Spend Total'!C:AQ, 38, FALSE)), #N/A)</f>
        <v>15.622320649234567</v>
      </c>
    </row>
    <row r="4" spans="1:5">
      <c r="A4">
        <v>2</v>
      </c>
      <c r="B4" s="15" t="s">
        <v>94</v>
      </c>
      <c r="C4" s="15" t="s">
        <v>307</v>
      </c>
      <c r="D4" s="15" t="s">
        <v>306</v>
      </c>
      <c r="E4" s="15">
        <f>IF(ISNUMBER(VLOOKUP(C4,'Justice Spend Total'!C:AQ, 38, FALSE)),(VLOOKUP(C4,'Justice Spend Total'!C:AQ, 38, FALSE)), #N/A)</f>
        <v>21.027975161403319</v>
      </c>
    </row>
    <row r="5" spans="1:5">
      <c r="A5">
        <v>3</v>
      </c>
      <c r="B5" s="15" t="s">
        <v>95</v>
      </c>
      <c r="C5" s="15" t="s">
        <v>308</v>
      </c>
      <c r="D5" s="15" t="s">
        <v>306</v>
      </c>
      <c r="E5" s="15">
        <f>IF(ISNUMBER(VLOOKUP(C5,'Justice Spend Total'!C:AQ, 38, FALSE)),(VLOOKUP(C5,'Justice Spend Total'!C:AQ, 38, FALSE)), #N/A)</f>
        <v>14.806539728742408</v>
      </c>
    </row>
    <row r="6" spans="1:5">
      <c r="A6">
        <v>4</v>
      </c>
      <c r="B6" s="15" t="s">
        <v>96</v>
      </c>
      <c r="C6" s="15" t="s">
        <v>309</v>
      </c>
      <c r="D6" s="15" t="s">
        <v>306</v>
      </c>
      <c r="E6" s="15">
        <f>IF(ISNUMBER(VLOOKUP(C6,'Justice Spend Total'!C:AQ, 38, FALSE)),(VLOOKUP(C6,'Justice Spend Total'!C:AQ, 38, FALSE)), #N/A)</f>
        <v>34.231205732872709</v>
      </c>
    </row>
    <row r="7" spans="1:5">
      <c r="A7">
        <v>5</v>
      </c>
      <c r="B7" s="15" t="s">
        <v>97</v>
      </c>
      <c r="C7" s="15" t="s">
        <v>310</v>
      </c>
      <c r="D7" s="15" t="s">
        <v>306</v>
      </c>
      <c r="E7" s="15">
        <f>IF(ISNUMBER(VLOOKUP(C7,'Justice Spend Total'!C:AQ, 38, FALSE)),(VLOOKUP(C7,'Justice Spend Total'!C:AQ, 38, FALSE)), #N/A)</f>
        <v>11.773836910501457</v>
      </c>
    </row>
    <row r="8" spans="1:5">
      <c r="A8">
        <v>6</v>
      </c>
      <c r="B8" s="15" t="s">
        <v>98</v>
      </c>
      <c r="C8" s="15" t="s">
        <v>311</v>
      </c>
      <c r="D8" s="15" t="s">
        <v>306</v>
      </c>
      <c r="E8" s="15">
        <f>IF(ISNUMBER(VLOOKUP(C8,'Justice Spend Total'!C:AQ, 38, FALSE)),(VLOOKUP(C8,'Justice Spend Total'!C:AQ, 38, FALSE)), #N/A)</f>
        <v>8.5446280214440229</v>
      </c>
    </row>
    <row r="9" spans="1:5" ht="15" customHeight="1">
      <c r="A9">
        <v>7</v>
      </c>
      <c r="B9" t="s">
        <v>99</v>
      </c>
      <c r="C9" t="s">
        <v>312</v>
      </c>
      <c r="D9" t="s">
        <v>306</v>
      </c>
      <c r="E9" s="15">
        <f>IF(ISNUMBER(VLOOKUP(C9,'Justice Spend Total'!C:AQ, 38, FALSE)),(VLOOKUP(C9,'Justice Spend Total'!C:AQ, 38, FALSE)), #N/A)</f>
        <v>6.6046458821047134</v>
      </c>
    </row>
    <row r="10" spans="1:5">
      <c r="A10">
        <v>8</v>
      </c>
      <c r="B10" s="15" t="s">
        <v>100</v>
      </c>
      <c r="C10" s="15" t="s">
        <v>313</v>
      </c>
      <c r="D10" s="15" t="s">
        <v>306</v>
      </c>
      <c r="E10" s="15">
        <f>IF(ISNUMBER(VLOOKUP(C10,'Justice Spend Total'!C:AQ, 38, FALSE)),(VLOOKUP(C10,'Justice Spend Total'!C:AQ, 38, FALSE)), #N/A)</f>
        <v>9.9122587063871759</v>
      </c>
    </row>
    <row r="11" spans="1:5">
      <c r="A11">
        <v>9</v>
      </c>
      <c r="B11" s="15" t="s">
        <v>101</v>
      </c>
      <c r="C11" s="15" t="s">
        <v>314</v>
      </c>
      <c r="D11" s="15" t="s">
        <v>306</v>
      </c>
      <c r="E11" s="15" t="e">
        <f>IF(ISNUMBER(VLOOKUP(C11,'Justice Spend Total'!C:AQ, 38, FALSE)),(VLOOKUP(C11,'Justice Spend Total'!C:AQ, 38, FALSE)), #N/A)</f>
        <v>#N/A</v>
      </c>
    </row>
    <row r="12" spans="1:5" ht="15" customHeight="1">
      <c r="A12">
        <v>10</v>
      </c>
      <c r="B12" t="s">
        <v>102</v>
      </c>
      <c r="C12" t="s">
        <v>315</v>
      </c>
      <c r="D12" t="s">
        <v>306</v>
      </c>
      <c r="E12" s="15" t="e">
        <f>IF(ISNUMBER(VLOOKUP(C12,'Justice Spend Total'!C:AQ, 38, FALSE)),(VLOOKUP(C12,'Justice Spend Total'!C:AQ, 38, FALSE)), #N/A)</f>
        <v>#N/A</v>
      </c>
    </row>
    <row r="13" spans="1:5" ht="15" customHeight="1">
      <c r="A13">
        <v>11</v>
      </c>
      <c r="B13" t="s">
        <v>103</v>
      </c>
      <c r="C13" t="s">
        <v>316</v>
      </c>
      <c r="D13" t="s">
        <v>306</v>
      </c>
      <c r="E13" s="15">
        <f>IF(ISNUMBER(VLOOKUP(C13,'Justice Spend Total'!C:AQ, 38, FALSE)),(VLOOKUP(C13,'Justice Spend Total'!C:AQ, 38, FALSE)), #N/A)</f>
        <v>9.4417222105263168</v>
      </c>
    </row>
    <row r="14" spans="1:5">
      <c r="A14">
        <v>12</v>
      </c>
      <c r="B14" s="15" t="s">
        <v>104</v>
      </c>
      <c r="C14" s="15" t="s">
        <v>317</v>
      </c>
      <c r="D14" s="15" t="s">
        <v>306</v>
      </c>
      <c r="E14" s="15">
        <f>IF(ISNUMBER(VLOOKUP(C14,'Justice Spend Total'!C:AQ, 38, FALSE)),(VLOOKUP(C14,'Justice Spend Total'!C:AQ, 38, FALSE)), #N/A)</f>
        <v>5.9198582358868865</v>
      </c>
    </row>
    <row r="15" spans="1:5">
      <c r="A15">
        <v>13</v>
      </c>
      <c r="B15" t="s">
        <v>105</v>
      </c>
      <c r="C15" t="s">
        <v>318</v>
      </c>
      <c r="D15" t="s">
        <v>306</v>
      </c>
      <c r="E15" s="15" t="e">
        <f>IF(ISNUMBER(VLOOKUP(C15,'Justice Spend Total'!C:AQ, 38, FALSE)),(VLOOKUP(C15,'Justice Spend Total'!C:AQ, 38, FALSE)), #N/A)</f>
        <v>#N/A</v>
      </c>
    </row>
    <row r="16" spans="1:5">
      <c r="A16">
        <v>14</v>
      </c>
      <c r="B16" s="15" t="s">
        <v>106</v>
      </c>
      <c r="C16" s="15" t="s">
        <v>319</v>
      </c>
      <c r="D16" s="15" t="s">
        <v>306</v>
      </c>
      <c r="E16" s="15">
        <f>IF(ISNUMBER(VLOOKUP(C16,'Justice Spend Total'!C:AQ, 38, FALSE)),(VLOOKUP(C16,'Justice Spend Total'!C:AQ, 38, FALSE)), #N/A)</f>
        <v>7.3551871389098205</v>
      </c>
    </row>
    <row r="17" spans="1:5">
      <c r="A17">
        <v>15</v>
      </c>
      <c r="B17" t="s">
        <v>107</v>
      </c>
      <c r="C17" t="s">
        <v>320</v>
      </c>
      <c r="D17" t="s">
        <v>306</v>
      </c>
      <c r="E17" s="15" t="e">
        <f>IF(ISNUMBER(VLOOKUP(C17,'Justice Spend Total'!C:AQ, 38, FALSE)),(VLOOKUP(C17,'Justice Spend Total'!C:AQ, 38, FALSE)), #N/A)</f>
        <v>#N/A</v>
      </c>
    </row>
    <row r="18" spans="1:5">
      <c r="A18">
        <v>16</v>
      </c>
      <c r="B18" t="s">
        <v>108</v>
      </c>
      <c r="C18" t="s">
        <v>321</v>
      </c>
      <c r="D18" t="s">
        <v>306</v>
      </c>
      <c r="E18" s="15" t="e">
        <f>IF(ISNUMBER(VLOOKUP(C18,'Justice Spend Total'!C:AQ, 38, FALSE)),(VLOOKUP(C18,'Justice Spend Total'!C:AQ, 38, FALSE)), #N/A)</f>
        <v>#N/A</v>
      </c>
    </row>
    <row r="19" spans="1:5">
      <c r="A19">
        <v>17</v>
      </c>
      <c r="B19" s="15" t="s">
        <v>109</v>
      </c>
      <c r="C19" s="15" t="s">
        <v>322</v>
      </c>
      <c r="D19" s="15" t="s">
        <v>306</v>
      </c>
      <c r="E19" s="15">
        <f>IF(ISNUMBER(VLOOKUP(C19,'Justice Spend Total'!C:AQ, 38, FALSE)),(VLOOKUP(C19,'Justice Spend Total'!C:AQ, 38, FALSE)), #N/A)</f>
        <v>5.5622493705119833</v>
      </c>
    </row>
    <row r="20" spans="1:5">
      <c r="A20">
        <v>18</v>
      </c>
      <c r="B20" s="15" t="s">
        <v>110</v>
      </c>
      <c r="C20" s="15" t="s">
        <v>323</v>
      </c>
      <c r="D20" s="15" t="s">
        <v>306</v>
      </c>
      <c r="E20" s="15">
        <f>IF(ISNUMBER(VLOOKUP(C20,'Justice Spend Total'!C:AQ, 38, FALSE)),(VLOOKUP(C20,'Justice Spend Total'!C:AQ, 38, FALSE)), #N/A)</f>
        <v>9.2859942129042068</v>
      </c>
    </row>
    <row r="21" spans="1:5">
      <c r="A21">
        <v>19</v>
      </c>
      <c r="B21" s="15" t="s">
        <v>111</v>
      </c>
      <c r="C21" s="15" t="s">
        <v>324</v>
      </c>
      <c r="D21" s="15" t="s">
        <v>306</v>
      </c>
      <c r="E21" s="15">
        <f>IF(ISNUMBER(VLOOKUP(C21,'Justice Spend Total'!C:AQ, 38, FALSE)),(VLOOKUP(C21,'Justice Spend Total'!C:AQ, 38, FALSE)), #N/A)</f>
        <v>6.7482845078752964</v>
      </c>
    </row>
    <row r="22" spans="1:5">
      <c r="A22">
        <v>20</v>
      </c>
      <c r="B22" s="15" t="s">
        <v>112</v>
      </c>
      <c r="C22" s="15" t="s">
        <v>325</v>
      </c>
      <c r="D22" s="15" t="s">
        <v>306</v>
      </c>
      <c r="E22" s="15">
        <f>IF(ISNUMBER(VLOOKUP(C22,'Justice Spend Total'!C:AQ, 38, FALSE)),(VLOOKUP(C22,'Justice Spend Total'!C:AQ, 38, FALSE)), #N/A)</f>
        <v>1.7010389421096062</v>
      </c>
    </row>
    <row r="23" spans="1:5">
      <c r="A23">
        <v>21</v>
      </c>
      <c r="B23" t="s">
        <v>113</v>
      </c>
      <c r="C23" t="s">
        <v>326</v>
      </c>
      <c r="D23" t="s">
        <v>306</v>
      </c>
      <c r="E23" s="15">
        <f>IF(ISNUMBER(VLOOKUP(C23,'Justice Spend Total'!C:AQ, 38, FALSE)),(VLOOKUP(C23,'Justice Spend Total'!C:AQ, 38, FALSE)), #N/A)</f>
        <v>7.7393825058666526</v>
      </c>
    </row>
    <row r="24" spans="1:5">
      <c r="A24">
        <v>22</v>
      </c>
      <c r="B24" t="s">
        <v>114</v>
      </c>
      <c r="C24" t="s">
        <v>327</v>
      </c>
      <c r="D24" t="s">
        <v>306</v>
      </c>
      <c r="E24" s="15" t="e">
        <f>IF(ISNUMBER(VLOOKUP(C24,'Justice Spend Total'!C:AQ, 38, FALSE)),(VLOOKUP(C24,'Justice Spend Total'!C:AQ, 38, FALSE)), #N/A)</f>
        <v>#N/A</v>
      </c>
    </row>
    <row r="25" spans="1:5">
      <c r="A25">
        <v>23</v>
      </c>
      <c r="B25" s="15" t="s">
        <v>115</v>
      </c>
      <c r="C25" s="15" t="s">
        <v>328</v>
      </c>
      <c r="D25" s="15" t="s">
        <v>306</v>
      </c>
      <c r="E25" s="15">
        <f>IF(ISNUMBER(VLOOKUP(C25,'Justice Spend Total'!C:AQ, 38, FALSE)),(VLOOKUP(C25,'Justice Spend Total'!C:AQ, 38, FALSE)), #N/A)</f>
        <v>2.1822794133400376</v>
      </c>
    </row>
    <row r="26" spans="1:5">
      <c r="A26">
        <v>24</v>
      </c>
      <c r="B26" t="s">
        <v>116</v>
      </c>
      <c r="C26" t="s">
        <v>329</v>
      </c>
      <c r="D26" t="s">
        <v>306</v>
      </c>
      <c r="E26" s="15">
        <f>IF(ISNUMBER(VLOOKUP(C26,'Justice Spend Total'!C:AQ, 38, FALSE)),(VLOOKUP(C26,'Justice Spend Total'!C:AQ, 38, FALSE)), #N/A)</f>
        <v>3.7638283356616098</v>
      </c>
    </row>
    <row r="27" spans="1:5">
      <c r="A27">
        <v>25</v>
      </c>
      <c r="B27" t="s">
        <v>117</v>
      </c>
      <c r="C27" t="s">
        <v>330</v>
      </c>
      <c r="D27" t="s">
        <v>306</v>
      </c>
      <c r="E27" s="15">
        <f>IF(ISNUMBER(VLOOKUP(C27,'Justice Spend Total'!C:AQ, 38, FALSE)),(VLOOKUP(C27,'Justice Spend Total'!C:AQ, 38, FALSE)), #N/A)</f>
        <v>3.1633198566082625</v>
      </c>
    </row>
    <row r="28" spans="1:5">
      <c r="A28">
        <v>26</v>
      </c>
      <c r="B28" s="15" t="s">
        <v>118</v>
      </c>
      <c r="C28" s="15" t="s">
        <v>331</v>
      </c>
      <c r="D28" s="15" t="s">
        <v>306</v>
      </c>
      <c r="E28" s="15">
        <f>IF(ISNUMBER(VLOOKUP(C28,'Justice Spend Total'!C:AQ, 38, FALSE)),(VLOOKUP(C28,'Justice Spend Total'!C:AQ, 38, FALSE)), #N/A)</f>
        <v>2.8744483824346863</v>
      </c>
    </row>
    <row r="29" spans="1:5">
      <c r="A29">
        <v>27</v>
      </c>
      <c r="B29" t="s">
        <v>119</v>
      </c>
      <c r="C29" t="s">
        <v>332</v>
      </c>
      <c r="D29" t="s">
        <v>306</v>
      </c>
      <c r="E29" s="15">
        <f>IF(ISNUMBER(VLOOKUP(C29,'Justice Spend Total'!C:AQ, 38, FALSE)),(VLOOKUP(C29,'Justice Spend Total'!C:AQ, 38, FALSE)), #N/A)</f>
        <v>4.161804473527118</v>
      </c>
    </row>
    <row r="30" spans="1:5">
      <c r="A30">
        <v>28</v>
      </c>
      <c r="B30" s="15" t="s">
        <v>120</v>
      </c>
      <c r="C30" s="15" t="s">
        <v>333</v>
      </c>
      <c r="D30" s="15" t="s">
        <v>334</v>
      </c>
      <c r="E30" s="15">
        <f>IF(ISNUMBER(VLOOKUP(C30,'Justice Spend Total'!C:AQ, 38, FALSE)),(VLOOKUP(C30,'Justice Spend Total'!C:AQ, 38, FALSE)), #N/A)</f>
        <v>3.5156234228405929</v>
      </c>
    </row>
    <row r="31" spans="1:5">
      <c r="A31">
        <v>29</v>
      </c>
      <c r="B31" s="15" t="s">
        <v>121</v>
      </c>
      <c r="C31" s="15" t="s">
        <v>335</v>
      </c>
      <c r="D31" s="15" t="s">
        <v>334</v>
      </c>
      <c r="E31" s="15">
        <f>IF(ISNUMBER(VLOOKUP(C31,'Justice Spend Total'!C:AQ, 38, FALSE)),(VLOOKUP(C31,'Justice Spend Total'!C:AQ, 38, FALSE)), #N/A)</f>
        <v>5.0542729215615552</v>
      </c>
    </row>
    <row r="32" spans="1:5">
      <c r="A32">
        <v>30</v>
      </c>
      <c r="B32" t="s">
        <v>122</v>
      </c>
      <c r="C32" t="s">
        <v>336</v>
      </c>
      <c r="D32" t="s">
        <v>334</v>
      </c>
      <c r="E32" s="15" t="e">
        <f>IF(ISNUMBER(VLOOKUP(C32,'Justice Spend Total'!C:AQ, 38, FALSE)),(VLOOKUP(C32,'Justice Spend Total'!C:AQ, 38, FALSE)), #N/A)</f>
        <v>#N/A</v>
      </c>
    </row>
    <row r="33" spans="1:5">
      <c r="A33">
        <v>31</v>
      </c>
      <c r="B33" t="s">
        <v>123</v>
      </c>
      <c r="C33" t="s">
        <v>337</v>
      </c>
      <c r="D33" t="s">
        <v>334</v>
      </c>
      <c r="E33" s="15">
        <f>IF(ISNUMBER(VLOOKUP(C33,'Justice Spend Total'!C:AQ, 38, FALSE)),(VLOOKUP(C33,'Justice Spend Total'!C:AQ, 38, FALSE)), #N/A)</f>
        <v>5.0470867520410456</v>
      </c>
    </row>
    <row r="34" spans="1:5">
      <c r="A34">
        <v>32</v>
      </c>
      <c r="B34" s="15" t="s">
        <v>124</v>
      </c>
      <c r="C34" s="15" t="s">
        <v>338</v>
      </c>
      <c r="D34" s="15" t="s">
        <v>334</v>
      </c>
      <c r="E34" s="15">
        <f>IF(ISNUMBER(VLOOKUP(C34,'Justice Spend Total'!C:AQ, 38, FALSE)),(VLOOKUP(C34,'Justice Spend Total'!C:AQ, 38, FALSE)), #N/A)</f>
        <v>6.5903818984189302</v>
      </c>
    </row>
    <row r="35" spans="1:5">
      <c r="A35">
        <v>33</v>
      </c>
      <c r="B35" t="s">
        <v>125</v>
      </c>
      <c r="C35" t="s">
        <v>339</v>
      </c>
      <c r="D35" t="s">
        <v>334</v>
      </c>
      <c r="E35" s="15">
        <f>IF(ISNUMBER(VLOOKUP(C35,'Justice Spend Total'!C:AQ, 38, FALSE)),(VLOOKUP(C35,'Justice Spend Total'!C:AQ, 38, FALSE)), #N/A)</f>
        <v>7.2660882762281052</v>
      </c>
    </row>
    <row r="36" spans="1:5">
      <c r="A36">
        <v>34</v>
      </c>
      <c r="B36" t="s">
        <v>126</v>
      </c>
      <c r="C36" t="s">
        <v>340</v>
      </c>
      <c r="D36" t="s">
        <v>334</v>
      </c>
      <c r="E36" s="15">
        <f>IF(ISNUMBER(VLOOKUP(C36,'Justice Spend Total'!C:AQ, 38, FALSE)),(VLOOKUP(C36,'Justice Spend Total'!C:AQ, 38, FALSE)), #N/A)</f>
        <v>7.8511923826011687</v>
      </c>
    </row>
    <row r="37" spans="1:5">
      <c r="A37">
        <v>35</v>
      </c>
      <c r="B37" t="s">
        <v>127</v>
      </c>
      <c r="C37" t="s">
        <v>341</v>
      </c>
      <c r="D37" t="s">
        <v>334</v>
      </c>
      <c r="E37" s="15">
        <f>IF(ISNUMBER(VLOOKUP(C37,'Justice Spend Total'!C:AQ, 38, FALSE)),(VLOOKUP(C37,'Justice Spend Total'!C:AQ, 38, FALSE)), #N/A)</f>
        <v>9.8152941176470581</v>
      </c>
    </row>
    <row r="38" spans="1:5">
      <c r="A38">
        <v>36</v>
      </c>
      <c r="B38" t="s">
        <v>128</v>
      </c>
      <c r="C38" t="s">
        <v>342</v>
      </c>
      <c r="D38" t="s">
        <v>334</v>
      </c>
      <c r="E38" s="15">
        <f>IF(ISNUMBER(VLOOKUP(C38,'Justice Spend Total'!C:AQ, 38, FALSE)),(VLOOKUP(C38,'Justice Spend Total'!C:AQ, 38, FALSE)), #N/A)</f>
        <v>17.816601534233381</v>
      </c>
    </row>
    <row r="39" spans="1:5">
      <c r="A39">
        <v>37</v>
      </c>
      <c r="B39" t="s">
        <v>129</v>
      </c>
      <c r="C39" t="s">
        <v>343</v>
      </c>
      <c r="D39" t="s">
        <v>334</v>
      </c>
      <c r="E39" s="15" t="e">
        <f>IF(ISNUMBER(VLOOKUP(C39,'Justice Spend Total'!C:AQ, 38, FALSE)),(VLOOKUP(C39,'Justice Spend Total'!C:AQ, 38, FALSE)), #N/A)</f>
        <v>#N/A</v>
      </c>
    </row>
    <row r="40" spans="1:5">
      <c r="A40">
        <v>38</v>
      </c>
      <c r="B40" t="s">
        <v>130</v>
      </c>
      <c r="C40" t="s">
        <v>344</v>
      </c>
      <c r="D40" t="s">
        <v>334</v>
      </c>
      <c r="E40" s="15">
        <f>IF(ISNUMBER(VLOOKUP(C40,'Justice Spend Total'!C:AQ, 38, FALSE)),(VLOOKUP(C40,'Justice Spend Total'!C:AQ, 38, FALSE)), #N/A)</f>
        <v>2.8356336080008888</v>
      </c>
    </row>
    <row r="41" spans="1:5">
      <c r="A41">
        <v>39</v>
      </c>
      <c r="B41" t="s">
        <v>131</v>
      </c>
      <c r="C41" t="s">
        <v>345</v>
      </c>
      <c r="D41" t="s">
        <v>334</v>
      </c>
      <c r="E41" s="15">
        <f>IF(ISNUMBER(VLOOKUP(C41,'Justice Spend Total'!C:AQ, 38, FALSE)),(VLOOKUP(C41,'Justice Spend Total'!C:AQ, 38, FALSE)), #N/A)</f>
        <v>5.966313259786677</v>
      </c>
    </row>
    <row r="42" spans="1:5">
      <c r="A42">
        <v>40</v>
      </c>
      <c r="B42" t="s">
        <v>132</v>
      </c>
      <c r="C42" t="s">
        <v>346</v>
      </c>
      <c r="D42" t="s">
        <v>334</v>
      </c>
      <c r="E42" s="15">
        <f>IF(ISNUMBER(VLOOKUP(C42,'Justice Spend Total'!C:AQ, 38, FALSE)),(VLOOKUP(C42,'Justice Spend Total'!C:AQ, 38, FALSE)), #N/A)</f>
        <v>5.9769169855292441</v>
      </c>
    </row>
    <row r="43" spans="1:5">
      <c r="A43">
        <v>41</v>
      </c>
      <c r="B43" t="s">
        <v>133</v>
      </c>
      <c r="C43" t="s">
        <v>347</v>
      </c>
      <c r="D43" t="s">
        <v>334</v>
      </c>
      <c r="E43" s="15" t="e">
        <f>IF(ISNUMBER(VLOOKUP(C43,'Justice Spend Total'!C:AQ, 38, FALSE)),(VLOOKUP(C43,'Justice Spend Total'!C:AQ, 38, FALSE)), #N/A)</f>
        <v>#N/A</v>
      </c>
    </row>
    <row r="44" spans="1:5">
      <c r="A44">
        <v>42</v>
      </c>
      <c r="B44" t="s">
        <v>134</v>
      </c>
      <c r="C44" t="s">
        <v>348</v>
      </c>
      <c r="D44" t="s">
        <v>334</v>
      </c>
      <c r="E44" s="15" t="e">
        <f>IF(ISNUMBER(VLOOKUP(C44,'Justice Spend Total'!C:AQ, 38, FALSE)),(VLOOKUP(C44,'Justice Spend Total'!C:AQ, 38, FALSE)), #N/A)</f>
        <v>#N/A</v>
      </c>
    </row>
    <row r="45" spans="1:5">
      <c r="A45">
        <v>43</v>
      </c>
      <c r="B45" t="s">
        <v>135</v>
      </c>
      <c r="C45" t="s">
        <v>349</v>
      </c>
      <c r="D45" t="s">
        <v>334</v>
      </c>
      <c r="E45" s="15">
        <f>IF(ISNUMBER(VLOOKUP(C45,'Justice Spend Total'!C:AQ, 38, FALSE)),(VLOOKUP(C45,'Justice Spend Total'!C:AQ, 38, FALSE)), #N/A)</f>
        <v>5.3690922482514285</v>
      </c>
    </row>
    <row r="46" spans="1:5">
      <c r="A46">
        <v>44</v>
      </c>
      <c r="B46" s="15" t="s">
        <v>136</v>
      </c>
      <c r="C46" s="15" t="s">
        <v>350</v>
      </c>
      <c r="D46" s="15" t="s">
        <v>334</v>
      </c>
      <c r="E46" s="15">
        <f>IF(ISNUMBER(VLOOKUP(C46,'Justice Spend Total'!C:AQ, 38, FALSE)),(VLOOKUP(C46,'Justice Spend Total'!C:AQ, 38, FALSE)), #N/A)</f>
        <v>9.4822313304155088</v>
      </c>
    </row>
    <row r="47" spans="1:5">
      <c r="A47">
        <v>45</v>
      </c>
      <c r="B47" t="s">
        <v>137</v>
      </c>
      <c r="C47" t="s">
        <v>351</v>
      </c>
      <c r="D47" t="s">
        <v>334</v>
      </c>
      <c r="E47" s="15">
        <f>IF(ISNUMBER(VLOOKUP(C47,'Justice Spend Total'!C:AQ, 38, FALSE)),(VLOOKUP(C47,'Justice Spend Total'!C:AQ, 38, FALSE)), #N/A)</f>
        <v>13.415927189988624</v>
      </c>
    </row>
    <row r="48" spans="1:5">
      <c r="A48">
        <v>46</v>
      </c>
      <c r="B48" t="s">
        <v>138</v>
      </c>
      <c r="C48" t="s">
        <v>352</v>
      </c>
      <c r="D48" t="s">
        <v>334</v>
      </c>
      <c r="E48" s="15" t="e">
        <f>IF(ISNUMBER(VLOOKUP(C48,'Justice Spend Total'!C:AQ, 38, FALSE)),(VLOOKUP(C48,'Justice Spend Total'!C:AQ, 38, FALSE)), #N/A)</f>
        <v>#N/A</v>
      </c>
    </row>
    <row r="49" spans="1:5">
      <c r="A49">
        <v>47</v>
      </c>
      <c r="B49" s="15" t="s">
        <v>139</v>
      </c>
      <c r="C49" s="15" t="s">
        <v>353</v>
      </c>
      <c r="D49" s="15" t="s">
        <v>334</v>
      </c>
      <c r="E49" s="15">
        <f>IF(ISNUMBER(VLOOKUP(C49,'Justice Spend Total'!C:AQ, 38, FALSE)),(VLOOKUP(C49,'Justice Spend Total'!C:AQ, 38, FALSE)), #N/A)</f>
        <v>9.8828966175336799</v>
      </c>
    </row>
    <row r="50" spans="1:5">
      <c r="A50">
        <v>48</v>
      </c>
      <c r="B50" s="15" t="s">
        <v>140</v>
      </c>
      <c r="C50" s="15" t="s">
        <v>354</v>
      </c>
      <c r="D50" s="15" t="s">
        <v>334</v>
      </c>
      <c r="E50" s="15">
        <f>IF(ISNUMBER(VLOOKUP(C50,'Justice Spend Total'!C:AQ, 38, FALSE)),(VLOOKUP(C50,'Justice Spend Total'!C:AQ, 38, FALSE)), #N/A)</f>
        <v>7.4880644866092094</v>
      </c>
    </row>
    <row r="51" spans="1:5">
      <c r="A51">
        <v>49</v>
      </c>
      <c r="B51" t="s">
        <v>141</v>
      </c>
      <c r="C51" t="s">
        <v>355</v>
      </c>
      <c r="D51" t="s">
        <v>334</v>
      </c>
      <c r="E51" s="15">
        <f>IF(ISNUMBER(VLOOKUP(C51,'Justice Spend Total'!C:AQ, 38, FALSE)),(VLOOKUP(C51,'Justice Spend Total'!C:AQ, 38, FALSE)), #N/A)</f>
        <v>8.5336919981642545</v>
      </c>
    </row>
    <row r="52" spans="1:5">
      <c r="A52">
        <v>50</v>
      </c>
      <c r="B52" s="15" t="s">
        <v>142</v>
      </c>
      <c r="C52" s="15" t="s">
        <v>356</v>
      </c>
      <c r="D52" s="15" t="s">
        <v>334</v>
      </c>
      <c r="E52" s="15">
        <f>IF(ISNUMBER(VLOOKUP(C52,'Justice Spend Total'!C:AQ, 38, FALSE)),(VLOOKUP(C52,'Justice Spend Total'!C:AQ, 38, FALSE)), #N/A)</f>
        <v>6.2854468431273407</v>
      </c>
    </row>
    <row r="53" spans="1:5">
      <c r="A53">
        <v>51</v>
      </c>
      <c r="B53" t="s">
        <v>143</v>
      </c>
      <c r="C53" t="s">
        <v>357</v>
      </c>
      <c r="D53" t="s">
        <v>334</v>
      </c>
      <c r="E53" s="15" t="e">
        <f>IF(ISNUMBER(VLOOKUP(C53,'Justice Spend Total'!C:AQ, 38, FALSE)),(VLOOKUP(C53,'Justice Spend Total'!C:AQ, 38, FALSE)), #N/A)</f>
        <v>#N/A</v>
      </c>
    </row>
    <row r="54" spans="1:5">
      <c r="A54">
        <v>52</v>
      </c>
      <c r="B54" s="15" t="s">
        <v>144</v>
      </c>
      <c r="C54" s="15" t="s">
        <v>358</v>
      </c>
      <c r="D54" s="15" t="s">
        <v>334</v>
      </c>
      <c r="E54" s="15">
        <f>IF(ISNUMBER(VLOOKUP(C54,'Justice Spend Total'!C:AQ, 38, FALSE)),(VLOOKUP(C54,'Justice Spend Total'!C:AQ, 38, FALSE)), #N/A)</f>
        <v>10.618260250382619</v>
      </c>
    </row>
    <row r="55" spans="1:5">
      <c r="A55">
        <v>53</v>
      </c>
      <c r="B55" s="15" t="s">
        <v>145</v>
      </c>
      <c r="C55" s="15" t="s">
        <v>359</v>
      </c>
      <c r="D55" s="15" t="s">
        <v>334</v>
      </c>
      <c r="E55" s="15">
        <f>IF(ISNUMBER(VLOOKUP(C55,'Justice Spend Total'!C:AQ, 38, FALSE)),(VLOOKUP(C55,'Justice Spend Total'!C:AQ, 38, FALSE)), #N/A)</f>
        <v>10.977701900144751</v>
      </c>
    </row>
    <row r="56" spans="1:5">
      <c r="A56">
        <v>54</v>
      </c>
      <c r="B56" t="s">
        <v>146</v>
      </c>
      <c r="C56" t="s">
        <v>360</v>
      </c>
      <c r="D56" t="s">
        <v>334</v>
      </c>
      <c r="E56" s="15" t="e">
        <f>IF(ISNUMBER(VLOOKUP(C56,'Justice Spend Total'!C:AQ, 38, FALSE)),(VLOOKUP(C56,'Justice Spend Total'!C:AQ, 38, FALSE)), #N/A)</f>
        <v>#N/A</v>
      </c>
    </row>
    <row r="57" spans="1:5">
      <c r="A57">
        <v>55</v>
      </c>
      <c r="B57" t="s">
        <v>147</v>
      </c>
      <c r="C57" t="s">
        <v>361</v>
      </c>
      <c r="D57" t="s">
        <v>334</v>
      </c>
      <c r="E57" s="15">
        <f>IF(ISNUMBER(VLOOKUP(C57,'Justice Spend Total'!C:AQ, 38, FALSE)),(VLOOKUP(C57,'Justice Spend Total'!C:AQ, 38, FALSE)), #N/A)</f>
        <v>1.9645703775836318</v>
      </c>
    </row>
    <row r="58" spans="1:5">
      <c r="A58">
        <v>56</v>
      </c>
      <c r="B58" s="15" t="s">
        <v>148</v>
      </c>
      <c r="C58" s="15" t="s">
        <v>362</v>
      </c>
      <c r="D58" s="15" t="s">
        <v>334</v>
      </c>
      <c r="E58" s="15">
        <f>IF(ISNUMBER(VLOOKUP(C58,'Justice Spend Total'!C:AQ, 38, FALSE)),(VLOOKUP(C58,'Justice Spend Total'!C:AQ, 38, FALSE)), #N/A)</f>
        <v>10.611992546944284</v>
      </c>
    </row>
    <row r="59" spans="1:5">
      <c r="A59">
        <v>57</v>
      </c>
      <c r="B59" s="15" t="s">
        <v>149</v>
      </c>
      <c r="C59" s="15" t="s">
        <v>363</v>
      </c>
      <c r="D59" s="15" t="s">
        <v>334</v>
      </c>
      <c r="E59" s="15">
        <f>IF(ISNUMBER(VLOOKUP(C59,'Justice Spend Total'!C:AQ, 38, FALSE)),(VLOOKUP(C59,'Justice Spend Total'!C:AQ, 38, FALSE)), #N/A)</f>
        <v>9.2123163714881251</v>
      </c>
    </row>
    <row r="60" spans="1:5">
      <c r="A60">
        <v>58</v>
      </c>
      <c r="B60" s="15" t="s">
        <v>150</v>
      </c>
      <c r="C60" s="15" t="s">
        <v>364</v>
      </c>
      <c r="D60" s="15" t="s">
        <v>334</v>
      </c>
      <c r="E60" s="15">
        <f>IF(ISNUMBER(VLOOKUP(C60,'Justice Spend Total'!C:AQ, 38, FALSE)),(VLOOKUP(C60,'Justice Spend Total'!C:AQ, 38, FALSE)), #N/A)</f>
        <v>11.458695112875219</v>
      </c>
    </row>
    <row r="61" spans="1:5">
      <c r="A61">
        <v>59</v>
      </c>
      <c r="B61" s="15" t="s">
        <v>151</v>
      </c>
      <c r="C61" s="15" t="s">
        <v>365</v>
      </c>
      <c r="D61" s="15" t="s">
        <v>334</v>
      </c>
      <c r="E61" s="15">
        <f>IF(ISNUMBER(VLOOKUP(C61,'Justice Spend Total'!C:AQ, 38, FALSE)),(VLOOKUP(C61,'Justice Spend Total'!C:AQ, 38, FALSE)), #N/A)</f>
        <v>6.3679090726346823</v>
      </c>
    </row>
    <row r="62" spans="1:5">
      <c r="A62">
        <v>60</v>
      </c>
      <c r="B62" s="15" t="s">
        <v>152</v>
      </c>
      <c r="C62" s="15" t="s">
        <v>366</v>
      </c>
      <c r="D62" s="15" t="s">
        <v>334</v>
      </c>
      <c r="E62" s="15">
        <f>IF(ISNUMBER(VLOOKUP(C62,'Justice Spend Total'!C:AQ, 38, FALSE)),(VLOOKUP(C62,'Justice Spend Total'!C:AQ, 38, FALSE)), #N/A)</f>
        <v>4.0841156451358946</v>
      </c>
    </row>
    <row r="63" spans="1:5">
      <c r="A63">
        <v>61</v>
      </c>
      <c r="B63" t="s">
        <v>153</v>
      </c>
      <c r="C63" t="s">
        <v>367</v>
      </c>
      <c r="D63" t="s">
        <v>334</v>
      </c>
      <c r="E63" s="15">
        <f>IF(ISNUMBER(VLOOKUP(C63,'Justice Spend Total'!C:AQ, 38, FALSE)),(VLOOKUP(C63,'Justice Spend Total'!C:AQ, 38, FALSE)), #N/A)</f>
        <v>3.5660555312737228</v>
      </c>
    </row>
    <row r="64" spans="1:5">
      <c r="A64">
        <v>62</v>
      </c>
      <c r="B64" t="s">
        <v>154</v>
      </c>
      <c r="C64" t="s">
        <v>368</v>
      </c>
      <c r="D64" t="s">
        <v>334</v>
      </c>
      <c r="E64" s="15" t="e">
        <f>IF(ISNUMBER(VLOOKUP(C64,'Justice Spend Total'!C:AQ, 38, FALSE)),(VLOOKUP(C64,'Justice Spend Total'!C:AQ, 38, FALSE)), #N/A)</f>
        <v>#N/A</v>
      </c>
    </row>
    <row r="65" spans="1:5">
      <c r="A65">
        <v>63</v>
      </c>
      <c r="B65" s="15" t="s">
        <v>155</v>
      </c>
      <c r="C65" s="15" t="s">
        <v>369</v>
      </c>
      <c r="D65" s="15" t="s">
        <v>334</v>
      </c>
      <c r="E65" s="15">
        <f>IF(ISNUMBER(VLOOKUP(C65,'Justice Spend Total'!C:AQ, 38, FALSE)),(VLOOKUP(C65,'Justice Spend Total'!C:AQ, 38, FALSE)), #N/A)</f>
        <v>13.473230999861412</v>
      </c>
    </row>
    <row r="66" spans="1:5">
      <c r="A66">
        <v>64</v>
      </c>
      <c r="B66" t="s">
        <v>156</v>
      </c>
      <c r="C66" t="s">
        <v>370</v>
      </c>
      <c r="D66" t="s">
        <v>334</v>
      </c>
      <c r="E66" s="15">
        <f>IF(ISNUMBER(VLOOKUP(C66,'Justice Spend Total'!C:AQ, 38, FALSE)),(VLOOKUP(C66,'Justice Spend Total'!C:AQ, 38, FALSE)), #N/A)</f>
        <v>14.333665437879844</v>
      </c>
    </row>
    <row r="67" spans="1:5">
      <c r="A67">
        <v>65</v>
      </c>
      <c r="B67" t="s">
        <v>157</v>
      </c>
      <c r="C67" t="s">
        <v>371</v>
      </c>
      <c r="D67" t="s">
        <v>334</v>
      </c>
      <c r="E67" s="15" t="e">
        <f>IF(ISNUMBER(VLOOKUP(C67,'Justice Spend Total'!C:AQ, 38, FALSE)),(VLOOKUP(C67,'Justice Spend Total'!C:AQ, 38, FALSE)), #N/A)</f>
        <v>#N/A</v>
      </c>
    </row>
    <row r="68" spans="1:5">
      <c r="A68">
        <v>66</v>
      </c>
      <c r="B68" t="s">
        <v>158</v>
      </c>
      <c r="C68" t="s">
        <v>372</v>
      </c>
      <c r="D68" t="s">
        <v>334</v>
      </c>
      <c r="E68" s="15" t="e">
        <f>IF(ISNUMBER(VLOOKUP(C68,'Justice Spend Total'!C:AQ, 38, FALSE)),(VLOOKUP(C68,'Justice Spend Total'!C:AQ, 38, FALSE)), #N/A)</f>
        <v>#N/A</v>
      </c>
    </row>
    <row r="69" spans="1:5">
      <c r="A69">
        <v>67</v>
      </c>
      <c r="B69" s="15" t="s">
        <v>159</v>
      </c>
      <c r="C69" s="15" t="s">
        <v>373</v>
      </c>
      <c r="D69" s="15" t="s">
        <v>334</v>
      </c>
      <c r="E69" s="15">
        <f>IF(ISNUMBER(VLOOKUP(C69,'Justice Spend Total'!C:AQ, 38, FALSE)),(VLOOKUP(C69,'Justice Spend Total'!C:AQ, 38, FALSE)), #N/A)</f>
        <v>10.510120990502802</v>
      </c>
    </row>
    <row r="70" spans="1:5">
      <c r="A70">
        <v>68</v>
      </c>
      <c r="B70" s="15" t="s">
        <v>160</v>
      </c>
      <c r="C70" s="15" t="s">
        <v>374</v>
      </c>
      <c r="D70" s="15" t="s">
        <v>334</v>
      </c>
      <c r="E70" s="15">
        <f>IF(ISNUMBER(VLOOKUP(C70,'Justice Spend Total'!C:AQ, 38, FALSE)),(VLOOKUP(C70,'Justice Spend Total'!C:AQ, 38, FALSE)), #N/A)</f>
        <v>5.5291385602123189</v>
      </c>
    </row>
    <row r="71" spans="1:5">
      <c r="A71">
        <v>69</v>
      </c>
      <c r="B71" t="s">
        <v>161</v>
      </c>
      <c r="C71" t="s">
        <v>375</v>
      </c>
      <c r="D71" t="s">
        <v>334</v>
      </c>
      <c r="E71" s="15" t="e">
        <f>IF(ISNUMBER(VLOOKUP(C71,'Justice Spend Total'!C:AQ, 38, FALSE)),(VLOOKUP(C71,'Justice Spend Total'!C:AQ, 38, FALSE)), #N/A)</f>
        <v>#N/A</v>
      </c>
    </row>
    <row r="72" spans="1:5">
      <c r="A72">
        <v>70</v>
      </c>
      <c r="B72" t="s">
        <v>162</v>
      </c>
      <c r="C72" t="s">
        <v>376</v>
      </c>
      <c r="D72" t="s">
        <v>334</v>
      </c>
      <c r="E72" s="15" t="e">
        <f>IF(ISNUMBER(VLOOKUP(C72,'Justice Spend Total'!C:AQ, 38, FALSE)),(VLOOKUP(C72,'Justice Spend Total'!C:AQ, 38, FALSE)), #N/A)</f>
        <v>#N/A</v>
      </c>
    </row>
    <row r="73" spans="1:5">
      <c r="A73">
        <v>71</v>
      </c>
      <c r="B73" s="15" t="s">
        <v>163</v>
      </c>
      <c r="C73" s="15" t="s">
        <v>377</v>
      </c>
      <c r="D73" s="15" t="s">
        <v>334</v>
      </c>
      <c r="E73" s="15">
        <f>IF(ISNUMBER(VLOOKUP(C73,'Justice Spend Total'!C:AQ, 38, FALSE)),(VLOOKUP(C73,'Justice Spend Total'!C:AQ, 38, FALSE)), #N/A)</f>
        <v>6.7211417188083269</v>
      </c>
    </row>
    <row r="74" spans="1:5">
      <c r="A74">
        <v>72</v>
      </c>
      <c r="B74" t="s">
        <v>164</v>
      </c>
      <c r="C74" t="s">
        <v>378</v>
      </c>
      <c r="D74" t="s">
        <v>334</v>
      </c>
      <c r="E74" s="15" t="e">
        <f>IF(ISNUMBER(VLOOKUP(C74,'Justice Spend Total'!C:AQ, 38, FALSE)),(VLOOKUP(C74,'Justice Spend Total'!C:AQ, 38, FALSE)), #N/A)</f>
        <v>#N/A</v>
      </c>
    </row>
    <row r="75" spans="1:5">
      <c r="A75">
        <v>73</v>
      </c>
      <c r="B75" t="s">
        <v>165</v>
      </c>
      <c r="C75" t="s">
        <v>379</v>
      </c>
      <c r="D75" t="s">
        <v>334</v>
      </c>
      <c r="E75" s="15">
        <f>IF(ISNUMBER(VLOOKUP(C75,'Justice Spend Total'!C:AQ, 38, FALSE)),(VLOOKUP(C75,'Justice Spend Total'!C:AQ, 38, FALSE)), #N/A)</f>
        <v>9.8110889320796346</v>
      </c>
    </row>
    <row r="76" spans="1:5">
      <c r="A76">
        <v>74</v>
      </c>
      <c r="B76" s="15" t="s">
        <v>166</v>
      </c>
      <c r="C76" s="15" t="s">
        <v>380</v>
      </c>
      <c r="D76" s="15" t="s">
        <v>334</v>
      </c>
      <c r="E76" s="15">
        <f>IF(ISNUMBER(VLOOKUP(C76,'Justice Spend Total'!C:AQ, 38, FALSE)),(VLOOKUP(C76,'Justice Spend Total'!C:AQ, 38, FALSE)), #N/A)</f>
        <v>5.741427106532826</v>
      </c>
    </row>
    <row r="77" spans="1:5">
      <c r="A77">
        <v>75</v>
      </c>
      <c r="B77" s="15" t="s">
        <v>167</v>
      </c>
      <c r="C77" s="15" t="s">
        <v>381</v>
      </c>
      <c r="D77" s="15" t="s">
        <v>334</v>
      </c>
      <c r="E77" s="15">
        <f>IF(ISNUMBER(VLOOKUP(C77,'Justice Spend Total'!C:AQ, 38, FALSE)),(VLOOKUP(C77,'Justice Spend Total'!C:AQ, 38, FALSE)), #N/A)</f>
        <v>6.5945076793827102</v>
      </c>
    </row>
    <row r="78" spans="1:5">
      <c r="A78">
        <v>76</v>
      </c>
      <c r="B78" s="15" t="s">
        <v>168</v>
      </c>
      <c r="C78" s="15" t="s">
        <v>382</v>
      </c>
      <c r="D78" s="15" t="s">
        <v>334</v>
      </c>
      <c r="E78" s="15">
        <f>IF(ISNUMBER(VLOOKUP(C78,'Justice Spend Total'!C:AQ, 38, FALSE)),(VLOOKUP(C78,'Justice Spend Total'!C:AQ, 38, FALSE)), #N/A)</f>
        <v>6.4914035505065417</v>
      </c>
    </row>
    <row r="79" spans="1:5">
      <c r="A79">
        <v>77</v>
      </c>
      <c r="B79" s="15" t="s">
        <v>169</v>
      </c>
      <c r="C79" s="15" t="s">
        <v>383</v>
      </c>
      <c r="D79" s="15" t="s">
        <v>334</v>
      </c>
      <c r="E79" s="15">
        <f>IF(ISNUMBER(VLOOKUP(C79,'Justice Spend Total'!C:AQ, 38, FALSE)),(VLOOKUP(C79,'Justice Spend Total'!C:AQ, 38, FALSE)), #N/A)</f>
        <v>2.0585992931719943</v>
      </c>
    </row>
    <row r="80" spans="1:5">
      <c r="A80">
        <v>78</v>
      </c>
      <c r="B80" s="15" t="s">
        <v>170</v>
      </c>
      <c r="C80" s="15" t="s">
        <v>384</v>
      </c>
      <c r="D80" s="15" t="s">
        <v>334</v>
      </c>
      <c r="E80" s="15">
        <f>IF(ISNUMBER(VLOOKUP(C80,'Justice Spend Total'!C:AQ, 38, FALSE)),(VLOOKUP(C80,'Justice Spend Total'!C:AQ, 38, FALSE)), #N/A)</f>
        <v>10.404548691131007</v>
      </c>
    </row>
    <row r="81" spans="1:5">
      <c r="A81">
        <v>79</v>
      </c>
      <c r="B81" s="15" t="s">
        <v>171</v>
      </c>
      <c r="C81" s="15" t="s">
        <v>385</v>
      </c>
      <c r="D81" s="15" t="s">
        <v>334</v>
      </c>
      <c r="E81" s="15">
        <f>IF(ISNUMBER(VLOOKUP(C81,'Justice Spend Total'!C:AQ, 38, FALSE)),(VLOOKUP(C81,'Justice Spend Total'!C:AQ, 38, FALSE)), #N/A)</f>
        <v>8.2684142285504016</v>
      </c>
    </row>
    <row r="82" spans="1:5">
      <c r="A82">
        <v>80</v>
      </c>
      <c r="B82" s="15" t="s">
        <v>172</v>
      </c>
      <c r="C82" s="15" t="s">
        <v>386</v>
      </c>
      <c r="D82" s="15" t="s">
        <v>334</v>
      </c>
      <c r="E82" s="15">
        <f>IF(ISNUMBER(VLOOKUP(C82,'Justice Spend Total'!C:AQ, 38, FALSE)),(VLOOKUP(C82,'Justice Spend Total'!C:AQ, 38, FALSE)), #N/A)</f>
        <v>13.553025108417636</v>
      </c>
    </row>
    <row r="83" spans="1:5">
      <c r="A83">
        <v>81</v>
      </c>
      <c r="B83" s="15" t="s">
        <v>173</v>
      </c>
      <c r="C83" s="15" t="s">
        <v>387</v>
      </c>
      <c r="D83" s="15" t="s">
        <v>334</v>
      </c>
      <c r="E83" s="15">
        <f>IF(ISNUMBER(VLOOKUP(C83,'Justice Spend Total'!C:AQ, 38, FALSE)),(VLOOKUP(C83,'Justice Spend Total'!C:AQ, 38, FALSE)), #N/A)</f>
        <v>7.3448317479129557</v>
      </c>
    </row>
    <row r="84" spans="1:5">
      <c r="A84">
        <v>82</v>
      </c>
      <c r="B84" t="s">
        <v>174</v>
      </c>
      <c r="C84" t="s">
        <v>388</v>
      </c>
      <c r="D84" t="s">
        <v>389</v>
      </c>
      <c r="E84" s="15" t="e">
        <f>IF(ISNUMBER(VLOOKUP(C84,'Justice Spend Total'!C:AQ, 38, FALSE)),(VLOOKUP(C84,'Justice Spend Total'!C:AQ, 38, FALSE)), #N/A)</f>
        <v>#N/A</v>
      </c>
    </row>
    <row r="85" spans="1:5">
      <c r="A85">
        <v>83</v>
      </c>
      <c r="B85" t="s">
        <v>175</v>
      </c>
      <c r="C85" t="s">
        <v>390</v>
      </c>
      <c r="D85" t="s">
        <v>389</v>
      </c>
      <c r="E85" s="15" t="e">
        <f>IF(ISNUMBER(VLOOKUP(C85,'Justice Spend Total'!C:AQ, 38, FALSE)),(VLOOKUP(C85,'Justice Spend Total'!C:AQ, 38, FALSE)), #N/A)</f>
        <v>#N/A</v>
      </c>
    </row>
    <row r="86" spans="1:5">
      <c r="A86">
        <v>84</v>
      </c>
      <c r="B86" s="15" t="s">
        <v>176</v>
      </c>
      <c r="C86" s="15" t="s">
        <v>391</v>
      </c>
      <c r="D86" s="15" t="s">
        <v>389</v>
      </c>
      <c r="E86" s="15">
        <f>IF(ISNUMBER(VLOOKUP(C86,'Justice Spend Total'!C:AQ, 38, FALSE)),(VLOOKUP(C86,'Justice Spend Total'!C:AQ, 38, FALSE)), #N/A)</f>
        <v>20.352648406310909</v>
      </c>
    </row>
    <row r="87" spans="1:5">
      <c r="A87">
        <v>85</v>
      </c>
      <c r="B87" s="15" t="s">
        <v>177</v>
      </c>
      <c r="C87" s="15" t="s">
        <v>392</v>
      </c>
      <c r="D87" s="15" t="s">
        <v>389</v>
      </c>
      <c r="E87" s="15">
        <f>IF(ISNUMBER(VLOOKUP(C87,'Justice Spend Total'!C:AQ, 38, FALSE)),(VLOOKUP(C87,'Justice Spend Total'!C:AQ, 38, FALSE)), #N/A)</f>
        <v>21.332191660194656</v>
      </c>
    </row>
    <row r="88" spans="1:5">
      <c r="A88">
        <v>86</v>
      </c>
      <c r="B88" s="15" t="s">
        <v>178</v>
      </c>
      <c r="C88" s="15" t="s">
        <v>393</v>
      </c>
      <c r="D88" s="15" t="s">
        <v>389</v>
      </c>
      <c r="E88" s="15">
        <f>IF(ISNUMBER(VLOOKUP(C88,'Justice Spend Total'!C:AQ, 38, FALSE)),(VLOOKUP(C88,'Justice Spend Total'!C:AQ, 38, FALSE)), #N/A)</f>
        <v>9.7017207449999034</v>
      </c>
    </row>
    <row r="89" spans="1:5">
      <c r="A89">
        <v>87</v>
      </c>
      <c r="B89" s="15" t="s">
        <v>179</v>
      </c>
      <c r="C89" s="15" t="s">
        <v>394</v>
      </c>
      <c r="D89" s="15" t="s">
        <v>389</v>
      </c>
      <c r="E89" s="15">
        <f>IF(ISNUMBER(VLOOKUP(C89,'Justice Spend Total'!C:AQ, 38, FALSE)),(VLOOKUP(C89,'Justice Spend Total'!C:AQ, 38, FALSE)), #N/A)</f>
        <v>11.874177688065121</v>
      </c>
    </row>
    <row r="90" spans="1:5">
      <c r="A90">
        <v>88</v>
      </c>
      <c r="B90" t="s">
        <v>180</v>
      </c>
      <c r="C90" t="s">
        <v>395</v>
      </c>
      <c r="D90" t="s">
        <v>389</v>
      </c>
      <c r="E90" s="15" t="e">
        <f>IF(ISNUMBER(VLOOKUP(C90,'Justice Spend Total'!C:AQ, 38, FALSE)),(VLOOKUP(C90,'Justice Spend Total'!C:AQ, 38, FALSE)), #N/A)</f>
        <v>#N/A</v>
      </c>
    </row>
    <row r="91" spans="1:5">
      <c r="A91">
        <v>89</v>
      </c>
      <c r="B91" t="s">
        <v>181</v>
      </c>
      <c r="C91" t="s">
        <v>396</v>
      </c>
      <c r="D91" t="s">
        <v>389</v>
      </c>
      <c r="E91" s="15" t="e">
        <f>IF(ISNUMBER(VLOOKUP(C91,'Justice Spend Total'!C:AQ, 38, FALSE)),(VLOOKUP(C91,'Justice Spend Total'!C:AQ, 38, FALSE)), #N/A)</f>
        <v>#N/A</v>
      </c>
    </row>
    <row r="92" spans="1:5">
      <c r="A92">
        <v>90</v>
      </c>
      <c r="B92" s="15" t="s">
        <v>182</v>
      </c>
      <c r="C92" s="15" t="s">
        <v>397</v>
      </c>
      <c r="D92" s="15" t="s">
        <v>389</v>
      </c>
      <c r="E92" s="15">
        <f>IF(ISNUMBER(VLOOKUP(C92,'Justice Spend Total'!C:AQ, 38, FALSE)),(VLOOKUP(C92,'Justice Spend Total'!C:AQ, 38, FALSE)), #N/A)</f>
        <v>5.732971595393332</v>
      </c>
    </row>
    <row r="93" spans="1:5">
      <c r="A93">
        <v>91</v>
      </c>
      <c r="B93" s="15" t="s">
        <v>183</v>
      </c>
      <c r="C93" s="15" t="s">
        <v>398</v>
      </c>
      <c r="D93" s="15" t="s">
        <v>389</v>
      </c>
      <c r="E93" s="15">
        <f>IF(ISNUMBER(VLOOKUP(C93,'Justice Spend Total'!C:AQ, 38, FALSE)),(VLOOKUP(C93,'Justice Spend Total'!C:AQ, 38, FALSE)), #N/A)</f>
        <v>14.929194840439303</v>
      </c>
    </row>
    <row r="94" spans="1:5">
      <c r="A94">
        <v>92</v>
      </c>
      <c r="B94" s="15" t="s">
        <v>184</v>
      </c>
      <c r="C94" s="15" t="s">
        <v>399</v>
      </c>
      <c r="D94" s="15" t="s">
        <v>389</v>
      </c>
      <c r="E94" s="15">
        <f>IF(ISNUMBER(VLOOKUP(C94,'Justice Spend Total'!C:AQ, 38, FALSE)),(VLOOKUP(C94,'Justice Spend Total'!C:AQ, 38, FALSE)), #N/A)</f>
        <v>9.4105946106878555</v>
      </c>
    </row>
    <row r="95" spans="1:5">
      <c r="A95">
        <v>93</v>
      </c>
      <c r="B95" t="s">
        <v>185</v>
      </c>
      <c r="C95" t="s">
        <v>400</v>
      </c>
      <c r="D95" t="s">
        <v>389</v>
      </c>
      <c r="E95" s="15" t="e">
        <f>IF(ISNUMBER(VLOOKUP(C95,'Justice Spend Total'!C:AQ, 38, FALSE)),(VLOOKUP(C95,'Justice Spend Total'!C:AQ, 38, FALSE)), #N/A)</f>
        <v>#N/A</v>
      </c>
    </row>
    <row r="96" spans="1:5">
      <c r="A96">
        <v>94</v>
      </c>
      <c r="B96" s="15" t="s">
        <v>186</v>
      </c>
      <c r="C96" s="15" t="s">
        <v>401</v>
      </c>
      <c r="D96" s="15" t="s">
        <v>389</v>
      </c>
      <c r="E96" s="15">
        <f>IF(ISNUMBER(VLOOKUP(C96,'Justice Spend Total'!C:AQ, 38, FALSE)),(VLOOKUP(C96,'Justice Spend Total'!C:AQ, 38, FALSE)), #N/A)</f>
        <v>4.9891233164721704</v>
      </c>
    </row>
    <row r="97" spans="1:5">
      <c r="A97">
        <v>95</v>
      </c>
      <c r="B97" t="s">
        <v>187</v>
      </c>
      <c r="C97" t="s">
        <v>402</v>
      </c>
      <c r="D97" t="s">
        <v>389</v>
      </c>
      <c r="E97" s="15" t="e">
        <f>IF(ISNUMBER(VLOOKUP(C97,'Justice Spend Total'!C:AQ, 38, FALSE)),(VLOOKUP(C97,'Justice Spend Total'!C:AQ, 38, FALSE)), #N/A)</f>
        <v>#N/A</v>
      </c>
    </row>
    <row r="98" spans="1:5">
      <c r="A98">
        <v>96</v>
      </c>
      <c r="B98" t="s">
        <v>188</v>
      </c>
      <c r="C98" t="s">
        <v>403</v>
      </c>
      <c r="D98" t="s">
        <v>389</v>
      </c>
      <c r="E98" s="15" t="e">
        <f>IF(ISNUMBER(VLOOKUP(C98,'Justice Spend Total'!C:AQ, 38, FALSE)),(VLOOKUP(C98,'Justice Spend Total'!C:AQ, 38, FALSE)), #N/A)</f>
        <v>#N/A</v>
      </c>
    </row>
    <row r="99" spans="1:5">
      <c r="A99">
        <v>97</v>
      </c>
      <c r="B99" s="15" t="s">
        <v>189</v>
      </c>
      <c r="C99" s="15" t="s">
        <v>404</v>
      </c>
      <c r="D99" s="15" t="s">
        <v>389</v>
      </c>
      <c r="E99" s="15">
        <f>IF(ISNUMBER(VLOOKUP(C99,'Justice Spend Total'!C:AQ, 38, FALSE)),(VLOOKUP(C99,'Justice Spend Total'!C:AQ, 38, FALSE)), #N/A)</f>
        <v>7.4861736496858624</v>
      </c>
    </row>
    <row r="100" spans="1:5">
      <c r="A100">
        <v>98</v>
      </c>
      <c r="B100" t="s">
        <v>190</v>
      </c>
      <c r="C100" t="s">
        <v>405</v>
      </c>
      <c r="D100" t="s">
        <v>389</v>
      </c>
      <c r="E100" s="15" t="e">
        <f>IF(ISNUMBER(VLOOKUP(C100,'Justice Spend Total'!C:AQ, 38, FALSE)),(VLOOKUP(C100,'Justice Spend Total'!C:AQ, 38, FALSE)), #N/A)</f>
        <v>#N/A</v>
      </c>
    </row>
    <row r="101" spans="1:5">
      <c r="A101">
        <v>99</v>
      </c>
      <c r="B101" t="s">
        <v>191</v>
      </c>
      <c r="C101" t="s">
        <v>406</v>
      </c>
      <c r="D101" t="s">
        <v>389</v>
      </c>
      <c r="E101" s="15" t="e">
        <f>IF(ISNUMBER(VLOOKUP(C101,'Justice Spend Total'!C:AQ, 38, FALSE)),(VLOOKUP(C101,'Justice Spend Total'!C:AQ, 38, FALSE)), #N/A)</f>
        <v>#N/A</v>
      </c>
    </row>
    <row r="102" spans="1:5">
      <c r="A102">
        <v>100</v>
      </c>
      <c r="B102" s="15" t="s">
        <v>192</v>
      </c>
      <c r="C102" s="15" t="s">
        <v>407</v>
      </c>
      <c r="D102" s="15" t="s">
        <v>389</v>
      </c>
      <c r="E102" s="15">
        <f>IF(ISNUMBER(VLOOKUP(C102,'Justice Spend Total'!C:AQ, 38, FALSE)),(VLOOKUP(C102,'Justice Spend Total'!C:AQ, 38, FALSE)), #N/A)</f>
        <v>7.7628589284695115</v>
      </c>
    </row>
    <row r="103" spans="1:5">
      <c r="A103">
        <v>101</v>
      </c>
      <c r="B103" t="s">
        <v>193</v>
      </c>
      <c r="C103" t="s">
        <v>408</v>
      </c>
      <c r="D103" t="s">
        <v>389</v>
      </c>
      <c r="E103" s="15" t="e">
        <f>IF(ISNUMBER(VLOOKUP(C103,'Justice Spend Total'!C:AQ, 38, FALSE)),(VLOOKUP(C103,'Justice Spend Total'!C:AQ, 38, FALSE)), #N/A)</f>
        <v>#N/A</v>
      </c>
    </row>
    <row r="104" spans="1:5">
      <c r="A104">
        <v>102</v>
      </c>
      <c r="B104" t="s">
        <v>194</v>
      </c>
      <c r="C104" t="s">
        <v>409</v>
      </c>
      <c r="D104" t="s">
        <v>389</v>
      </c>
      <c r="E104" s="15" t="e">
        <f>IF(ISNUMBER(VLOOKUP(C104,'Justice Spend Total'!C:AQ, 38, FALSE)),(VLOOKUP(C104,'Justice Spend Total'!C:AQ, 38, FALSE)), #N/A)</f>
        <v>#N/A</v>
      </c>
    </row>
    <row r="105" spans="1:5">
      <c r="A105">
        <v>103</v>
      </c>
      <c r="B105" s="15" t="s">
        <v>195</v>
      </c>
      <c r="C105" s="15" t="s">
        <v>410</v>
      </c>
      <c r="D105" s="15" t="s">
        <v>389</v>
      </c>
      <c r="E105" s="15">
        <f>IF(ISNUMBER(VLOOKUP(C105,'Justice Spend Total'!C:AQ, 38, FALSE)),(VLOOKUP(C105,'Justice Spend Total'!C:AQ, 38, FALSE)), #N/A)</f>
        <v>13.35145145515299</v>
      </c>
    </row>
    <row r="106" spans="1:5">
      <c r="A106">
        <v>104</v>
      </c>
      <c r="B106" t="s">
        <v>196</v>
      </c>
      <c r="C106" t="s">
        <v>411</v>
      </c>
      <c r="D106" t="s">
        <v>389</v>
      </c>
      <c r="E106" s="15" t="e">
        <f>IF(ISNUMBER(VLOOKUP(C106,'Justice Spend Total'!C:AQ, 38, FALSE)),(VLOOKUP(C106,'Justice Spend Total'!C:AQ, 38, FALSE)), #N/A)</f>
        <v>#N/A</v>
      </c>
    </row>
    <row r="107" spans="1:5">
      <c r="A107">
        <v>105</v>
      </c>
      <c r="B107" t="s">
        <v>197</v>
      </c>
      <c r="C107" t="s">
        <v>412</v>
      </c>
      <c r="D107" t="s">
        <v>389</v>
      </c>
      <c r="E107" s="15" t="e">
        <f>IF(ISNUMBER(VLOOKUP(C107,'Justice Spend Total'!C:AQ, 38, FALSE)),(VLOOKUP(C107,'Justice Spend Total'!C:AQ, 38, FALSE)), #N/A)</f>
        <v>#N/A</v>
      </c>
    </row>
    <row r="108" spans="1:5">
      <c r="A108">
        <v>106</v>
      </c>
      <c r="B108" t="s">
        <v>198</v>
      </c>
      <c r="C108" t="s">
        <v>413</v>
      </c>
      <c r="D108" t="s">
        <v>389</v>
      </c>
      <c r="E108" s="15" t="e">
        <f>IF(ISNUMBER(VLOOKUP(C108,'Justice Spend Total'!C:AQ, 38, FALSE)),(VLOOKUP(C108,'Justice Spend Total'!C:AQ, 38, FALSE)), #N/A)</f>
        <v>#N/A</v>
      </c>
    </row>
    <row r="109" spans="1:5">
      <c r="A109">
        <v>107</v>
      </c>
      <c r="B109" s="15" t="s">
        <v>199</v>
      </c>
      <c r="C109" s="15" t="s">
        <v>414</v>
      </c>
      <c r="D109" s="15" t="s">
        <v>389</v>
      </c>
      <c r="E109" s="15">
        <f>IF(ISNUMBER(VLOOKUP(C109,'Justice Spend Total'!C:AQ, 38, FALSE)),(VLOOKUP(C109,'Justice Spend Total'!C:AQ, 38, FALSE)), #N/A)</f>
        <v>9.2846466192784192</v>
      </c>
    </row>
    <row r="110" spans="1:5">
      <c r="A110">
        <v>108</v>
      </c>
      <c r="B110" s="15" t="s">
        <v>200</v>
      </c>
      <c r="C110" s="15" t="s">
        <v>415</v>
      </c>
      <c r="D110" s="15" t="s">
        <v>389</v>
      </c>
      <c r="E110" s="15">
        <f>IF(ISNUMBER(VLOOKUP(C110,'Justice Spend Total'!C:AQ, 38, FALSE)),(VLOOKUP(C110,'Justice Spend Total'!C:AQ, 38, FALSE)), #N/A)</f>
        <v>6.7488466916679455</v>
      </c>
    </row>
    <row r="111" spans="1:5">
      <c r="A111">
        <v>109</v>
      </c>
      <c r="B111" t="s">
        <v>201</v>
      </c>
      <c r="C111" t="s">
        <v>416</v>
      </c>
      <c r="D111" t="s">
        <v>389</v>
      </c>
      <c r="E111" s="15" t="e">
        <f>IF(ISNUMBER(VLOOKUP(C111,'Justice Spend Total'!C:AQ, 38, FALSE)),(VLOOKUP(C111,'Justice Spend Total'!C:AQ, 38, FALSE)), #N/A)</f>
        <v>#N/A</v>
      </c>
    </row>
    <row r="112" spans="1:5">
      <c r="A112">
        <v>110</v>
      </c>
      <c r="B112" t="s">
        <v>202</v>
      </c>
      <c r="C112" t="s">
        <v>417</v>
      </c>
      <c r="D112" t="s">
        <v>389</v>
      </c>
      <c r="E112" s="15" t="e">
        <f>IF(ISNUMBER(VLOOKUP(C112,'Justice Spend Total'!C:AQ, 38, FALSE)),(VLOOKUP(C112,'Justice Spend Total'!C:AQ, 38, FALSE)), #N/A)</f>
        <v>#N/A</v>
      </c>
    </row>
    <row r="113" spans="1:5">
      <c r="A113">
        <v>111</v>
      </c>
      <c r="B113" s="15" t="s">
        <v>203</v>
      </c>
      <c r="C113" s="15" t="s">
        <v>418</v>
      </c>
      <c r="D113" s="15" t="s">
        <v>389</v>
      </c>
      <c r="E113" s="15">
        <f>IF(ISNUMBER(VLOOKUP(C113,'Justice Spend Total'!C:AQ, 38, FALSE)),(VLOOKUP(C113,'Justice Spend Total'!C:AQ, 38, FALSE)), #N/A)</f>
        <v>6.369857992540612</v>
      </c>
    </row>
    <row r="114" spans="1:5">
      <c r="A114">
        <v>112</v>
      </c>
      <c r="B114" s="15" t="s">
        <v>204</v>
      </c>
      <c r="C114" s="15" t="s">
        <v>419</v>
      </c>
      <c r="D114" s="15" t="s">
        <v>389</v>
      </c>
      <c r="E114" s="15">
        <f>IF(ISNUMBER(VLOOKUP(C114,'Justice Spend Total'!C:AQ, 38, FALSE)),(VLOOKUP(C114,'Justice Spend Total'!C:AQ, 38, FALSE)), #N/A)</f>
        <v>3.6720610239801097</v>
      </c>
    </row>
    <row r="115" spans="1:5">
      <c r="A115">
        <v>113</v>
      </c>
      <c r="B115" t="s">
        <v>205</v>
      </c>
      <c r="C115" t="s">
        <v>420</v>
      </c>
      <c r="D115" t="s">
        <v>389</v>
      </c>
      <c r="E115" s="15" t="e">
        <f>IF(ISNUMBER(VLOOKUP(C115,'Justice Spend Total'!C:AQ, 38, FALSE)),(VLOOKUP(C115,'Justice Spend Total'!C:AQ, 38, FALSE)), #N/A)</f>
        <v>#N/A</v>
      </c>
    </row>
    <row r="116" spans="1:5">
      <c r="A116">
        <v>114</v>
      </c>
      <c r="B116" t="s">
        <v>206</v>
      </c>
      <c r="C116" t="s">
        <v>421</v>
      </c>
      <c r="D116" t="s">
        <v>389</v>
      </c>
      <c r="E116" s="15" t="e">
        <f>IF(ISNUMBER(VLOOKUP(C116,'Justice Spend Total'!C:AQ, 38, FALSE)),(VLOOKUP(C116,'Justice Spend Total'!C:AQ, 38, FALSE)), #N/A)</f>
        <v>#N/A</v>
      </c>
    </row>
    <row r="117" spans="1:5">
      <c r="A117">
        <v>115</v>
      </c>
      <c r="B117" s="15" t="s">
        <v>207</v>
      </c>
      <c r="C117" s="15" t="s">
        <v>422</v>
      </c>
      <c r="D117" s="15" t="s">
        <v>389</v>
      </c>
      <c r="E117" s="15">
        <f>IF(ISNUMBER(VLOOKUP(C117,'Justice Spend Total'!C:AQ, 38, FALSE)),(VLOOKUP(C117,'Justice Spend Total'!C:AQ, 38, FALSE)), #N/A)</f>
        <v>6.7215292248574476</v>
      </c>
    </row>
    <row r="118" spans="1:5">
      <c r="A118">
        <v>116</v>
      </c>
      <c r="B118" t="s">
        <v>208</v>
      </c>
      <c r="C118" t="s">
        <v>423</v>
      </c>
      <c r="D118" t="s">
        <v>389</v>
      </c>
      <c r="E118" s="15" t="e">
        <f>IF(ISNUMBER(VLOOKUP(C118,'Justice Spend Total'!C:AQ, 38, FALSE)),(VLOOKUP(C118,'Justice Spend Total'!C:AQ, 38, FALSE)), #N/A)</f>
        <v>#N/A</v>
      </c>
    </row>
    <row r="119" spans="1:5">
      <c r="A119">
        <v>117</v>
      </c>
      <c r="B119" t="s">
        <v>209</v>
      </c>
      <c r="C119" t="s">
        <v>424</v>
      </c>
      <c r="D119" t="s">
        <v>389</v>
      </c>
      <c r="E119" s="15" t="e">
        <f>IF(ISNUMBER(VLOOKUP(C119,'Justice Spend Total'!C:AQ, 38, FALSE)),(VLOOKUP(C119,'Justice Spend Total'!C:AQ, 38, FALSE)), #N/A)</f>
        <v>#N/A</v>
      </c>
    </row>
    <row r="120" spans="1:5">
      <c r="A120">
        <v>118</v>
      </c>
      <c r="B120" t="s">
        <v>210</v>
      </c>
      <c r="C120" t="s">
        <v>425</v>
      </c>
      <c r="D120" t="s">
        <v>389</v>
      </c>
      <c r="E120" s="15" t="e">
        <f>IF(ISNUMBER(VLOOKUP(C120,'Justice Spend Total'!C:AQ, 38, FALSE)),(VLOOKUP(C120,'Justice Spend Total'!C:AQ, 38, FALSE)), #N/A)</f>
        <v>#N/A</v>
      </c>
    </row>
    <row r="121" spans="1:5">
      <c r="A121">
        <v>119</v>
      </c>
      <c r="B121" t="s">
        <v>211</v>
      </c>
      <c r="C121" t="s">
        <v>426</v>
      </c>
      <c r="D121" t="s">
        <v>389</v>
      </c>
      <c r="E121" s="15" t="e">
        <f>IF(ISNUMBER(VLOOKUP(C121,'Justice Spend Total'!C:AQ, 38, FALSE)),(VLOOKUP(C121,'Justice Spend Total'!C:AQ, 38, FALSE)), #N/A)</f>
        <v>#N/A</v>
      </c>
    </row>
    <row r="122" spans="1:5">
      <c r="A122">
        <v>120</v>
      </c>
      <c r="B122" s="15" t="s">
        <v>212</v>
      </c>
      <c r="C122" s="15" t="s">
        <v>427</v>
      </c>
      <c r="D122" s="15" t="s">
        <v>389</v>
      </c>
      <c r="E122" s="15">
        <f>IF(ISNUMBER(VLOOKUP(C122,'Justice Spend Total'!C:AQ, 38, FALSE)),(VLOOKUP(C122,'Justice Spend Total'!C:AQ, 38, FALSE)), #N/A)</f>
        <v>4.9920464788473904</v>
      </c>
    </row>
    <row r="123" spans="1:5">
      <c r="A123">
        <v>121</v>
      </c>
      <c r="B123" t="s">
        <v>213</v>
      </c>
      <c r="C123" t="s">
        <v>428</v>
      </c>
      <c r="D123" t="s">
        <v>389</v>
      </c>
      <c r="E123" s="15" t="e">
        <f>IF(ISNUMBER(VLOOKUP(C123,'Justice Spend Total'!C:AQ, 38, FALSE)),(VLOOKUP(C123,'Justice Spend Total'!C:AQ, 38, FALSE)), #N/A)</f>
        <v>#N/A</v>
      </c>
    </row>
    <row r="124" spans="1:5">
      <c r="A124">
        <v>122</v>
      </c>
      <c r="B124" t="s">
        <v>214</v>
      </c>
      <c r="C124" t="s">
        <v>429</v>
      </c>
      <c r="D124" t="s">
        <v>389</v>
      </c>
      <c r="E124" s="15" t="e">
        <f>IF(ISNUMBER(VLOOKUP(C124,'Justice Spend Total'!C:AQ, 38, FALSE)),(VLOOKUP(C124,'Justice Spend Total'!C:AQ, 38, FALSE)), #N/A)</f>
        <v>#N/A</v>
      </c>
    </row>
    <row r="125" spans="1:5">
      <c r="A125">
        <v>123</v>
      </c>
      <c r="B125" t="s">
        <v>215</v>
      </c>
      <c r="C125" t="s">
        <v>430</v>
      </c>
      <c r="D125" t="s">
        <v>389</v>
      </c>
      <c r="E125" s="15" t="e">
        <f>IF(ISNUMBER(VLOOKUP(C125,'Justice Spend Total'!C:AQ, 38, FALSE)),(VLOOKUP(C125,'Justice Spend Total'!C:AQ, 38, FALSE)), #N/A)</f>
        <v>#N/A</v>
      </c>
    </row>
    <row r="126" spans="1:5">
      <c r="A126">
        <v>124</v>
      </c>
      <c r="B126" t="s">
        <v>216</v>
      </c>
      <c r="C126" t="s">
        <v>431</v>
      </c>
      <c r="D126" t="s">
        <v>389</v>
      </c>
      <c r="E126" s="15" t="e">
        <f>IF(ISNUMBER(VLOOKUP(C126,'Justice Spend Total'!C:AQ, 38, FALSE)),(VLOOKUP(C126,'Justice Spend Total'!C:AQ, 38, FALSE)), #N/A)</f>
        <v>#N/A</v>
      </c>
    </row>
    <row r="127" spans="1:5">
      <c r="A127">
        <v>125</v>
      </c>
      <c r="B127" t="s">
        <v>217</v>
      </c>
      <c r="C127" t="s">
        <v>432</v>
      </c>
      <c r="D127" t="s">
        <v>389</v>
      </c>
      <c r="E127" s="15" t="e">
        <f>IF(ISNUMBER(VLOOKUP(C127,'Justice Spend Total'!C:AQ, 38, FALSE)),(VLOOKUP(C127,'Justice Spend Total'!C:AQ, 38, FALSE)), #N/A)</f>
        <v>#N/A</v>
      </c>
    </row>
    <row r="128" spans="1:5">
      <c r="A128">
        <v>126</v>
      </c>
      <c r="B128" s="15" t="s">
        <v>218</v>
      </c>
      <c r="C128" s="15" t="s">
        <v>433</v>
      </c>
      <c r="D128" s="15" t="s">
        <v>389</v>
      </c>
      <c r="E128" s="15">
        <f>IF(ISNUMBER(VLOOKUP(C128,'Justice Spend Total'!C:AQ, 38, FALSE)),(VLOOKUP(C128,'Justice Spend Total'!C:AQ, 38, FALSE)), #N/A)</f>
        <v>7.9948456128853733</v>
      </c>
    </row>
    <row r="129" spans="1:5">
      <c r="A129">
        <v>127</v>
      </c>
      <c r="B129" s="15" t="s">
        <v>219</v>
      </c>
      <c r="C129" s="15" t="s">
        <v>434</v>
      </c>
      <c r="D129" s="15" t="s">
        <v>389</v>
      </c>
      <c r="E129" s="15">
        <f>IF(ISNUMBER(VLOOKUP(C129,'Justice Spend Total'!C:AQ, 38, FALSE)),(VLOOKUP(C129,'Justice Spend Total'!C:AQ, 38, FALSE)), #N/A)</f>
        <v>2.8755995341126996</v>
      </c>
    </row>
    <row r="130" spans="1:5">
      <c r="A130">
        <v>128</v>
      </c>
      <c r="B130" s="15" t="s">
        <v>220</v>
      </c>
      <c r="C130" s="15" t="s">
        <v>435</v>
      </c>
      <c r="D130" s="15" t="s">
        <v>389</v>
      </c>
      <c r="E130" s="15">
        <f>IF(ISNUMBER(VLOOKUP(C130,'Justice Spend Total'!C:AQ, 38, FALSE)),(VLOOKUP(C130,'Justice Spend Total'!C:AQ, 38, FALSE)), #N/A)</f>
        <v>7.3808149367373277</v>
      </c>
    </row>
    <row r="131" spans="1:5">
      <c r="A131">
        <v>129</v>
      </c>
      <c r="B131" s="15" t="s">
        <v>221</v>
      </c>
      <c r="C131" s="15" t="s">
        <v>436</v>
      </c>
      <c r="D131" s="15" t="s">
        <v>389</v>
      </c>
      <c r="E131" s="15">
        <f>IF(ISNUMBER(VLOOKUP(C131,'Justice Spend Total'!C:AQ, 38, FALSE)),(VLOOKUP(C131,'Justice Spend Total'!C:AQ, 38, FALSE)), #N/A)</f>
        <v>10.554366064873475</v>
      </c>
    </row>
    <row r="132" spans="1:5">
      <c r="A132">
        <v>130</v>
      </c>
      <c r="B132" s="15" t="s">
        <v>222</v>
      </c>
      <c r="C132" s="15" t="s">
        <v>437</v>
      </c>
      <c r="D132" s="15" t="s">
        <v>389</v>
      </c>
      <c r="E132" s="15">
        <f>IF(ISNUMBER(VLOOKUP(C132,'Justice Spend Total'!C:AQ, 38, FALSE)),(VLOOKUP(C132,'Justice Spend Total'!C:AQ, 38, FALSE)), #N/A)</f>
        <v>5.5892660773992198</v>
      </c>
    </row>
    <row r="133" spans="1:5">
      <c r="A133">
        <v>131</v>
      </c>
      <c r="B133" s="15" t="s">
        <v>223</v>
      </c>
      <c r="C133" s="15" t="s">
        <v>438</v>
      </c>
      <c r="D133" s="15" t="s">
        <v>389</v>
      </c>
      <c r="E133" s="15">
        <f>IF(ISNUMBER(VLOOKUP(C133,'Justice Spend Total'!C:AQ, 38, FALSE)),(VLOOKUP(C133,'Justice Spend Total'!C:AQ, 38, FALSE)), #N/A)</f>
        <v>6.3197202475278988</v>
      </c>
    </row>
    <row r="134" spans="1:5">
      <c r="A134">
        <v>132</v>
      </c>
      <c r="B134" s="15" t="s">
        <v>224</v>
      </c>
      <c r="C134" s="15" t="s">
        <v>439</v>
      </c>
      <c r="D134" s="15" t="s">
        <v>389</v>
      </c>
      <c r="E134" s="15">
        <f>IF(ISNUMBER(VLOOKUP(C134,'Justice Spend Total'!C:AQ, 38, FALSE)),(VLOOKUP(C134,'Justice Spend Total'!C:AQ, 38, FALSE)), #N/A)</f>
        <v>5.2624841560543532</v>
      </c>
    </row>
    <row r="135" spans="1:5">
      <c r="A135">
        <v>133</v>
      </c>
      <c r="B135" s="15" t="s">
        <v>225</v>
      </c>
      <c r="C135" s="15" t="s">
        <v>440</v>
      </c>
      <c r="D135" s="15" t="s">
        <v>389</v>
      </c>
      <c r="E135" s="15">
        <f>IF(ISNUMBER(VLOOKUP(C135,'Justice Spend Total'!C:AQ, 38, FALSE)),(VLOOKUP(C135,'Justice Spend Total'!C:AQ, 38, FALSE)), #N/A)</f>
        <v>15.191325655425752</v>
      </c>
    </row>
    <row r="136" spans="1:5">
      <c r="A136">
        <v>145</v>
      </c>
      <c r="B136" s="15" t="s">
        <v>75</v>
      </c>
      <c r="C136" s="15" t="s">
        <v>441</v>
      </c>
      <c r="D136" s="15" t="s">
        <v>285</v>
      </c>
      <c r="E136" s="15">
        <f>IF(ISNUMBER(VLOOKUP(C136,'Justice Spend Total'!C:AQ, 38, FALSE)),(VLOOKUP(C136,'Justice Spend Total'!C:AQ, 38, FALSE)), #N/A)</f>
        <v>5.6499465673918348</v>
      </c>
    </row>
    <row r="137" spans="1:5">
      <c r="A137">
        <v>148</v>
      </c>
      <c r="B137" s="15" t="s">
        <v>68</v>
      </c>
      <c r="C137" s="15" t="s">
        <v>442</v>
      </c>
      <c r="D137" s="15" t="s">
        <v>285</v>
      </c>
      <c r="E137" s="15">
        <f>IF(ISNUMBER(VLOOKUP(C137,'Justice Spend Total'!C:AQ, 38, FALSE)),(VLOOKUP(C137,'Justice Spend Total'!C:AQ, 38, FALSE)), #N/A)</f>
        <v>4.9827226697495757</v>
      </c>
    </row>
    <row r="138" spans="1:5">
      <c r="A138">
        <v>153</v>
      </c>
      <c r="B138" s="15" t="s">
        <v>65</v>
      </c>
      <c r="C138" s="15" t="s">
        <v>443</v>
      </c>
      <c r="D138" s="15" t="s">
        <v>285</v>
      </c>
      <c r="E138" s="15">
        <f>IF(ISNUMBER(VLOOKUP(C138,'Justice Spend Total'!C:AQ, 38, FALSE)),(VLOOKUP(C138,'Justice Spend Total'!C:AQ, 38, FALSE)), #N/A)</f>
        <v>4.814678045888118</v>
      </c>
    </row>
    <row r="139" spans="1:5">
      <c r="A139">
        <v>154</v>
      </c>
      <c r="B139" s="15" t="s">
        <v>76</v>
      </c>
      <c r="C139" s="15" t="s">
        <v>444</v>
      </c>
      <c r="D139" s="15" t="s">
        <v>285</v>
      </c>
      <c r="E139" s="15">
        <f>IF(ISNUMBER(VLOOKUP(C139,'Justice Spend Total'!C:AQ, 38, FALSE)),(VLOOKUP(C139,'Justice Spend Total'!C:AQ, 38, FALSE)), #N/A)</f>
        <v>6.2488653886606258</v>
      </c>
    </row>
    <row r="140" spans="1:5">
      <c r="A140">
        <v>160</v>
      </c>
      <c r="B140" s="15" t="s">
        <v>62</v>
      </c>
      <c r="C140" s="15" t="s">
        <v>445</v>
      </c>
      <c r="D140" s="15" t="s">
        <v>285</v>
      </c>
      <c r="E140" s="15">
        <f>IF(ISNUMBER(VLOOKUP(C140,'Justice Spend Total'!C:AQ, 38, FALSE)),(VLOOKUP(C140,'Justice Spend Total'!C:AQ, 38, FALSE)), #N/A)</f>
        <v>4.2070412482048241</v>
      </c>
    </row>
    <row r="141" spans="1:5">
      <c r="A141">
        <v>161</v>
      </c>
      <c r="B141" s="15" t="s">
        <v>70</v>
      </c>
      <c r="C141" s="15" t="s">
        <v>446</v>
      </c>
      <c r="D141" s="15" t="s">
        <v>285</v>
      </c>
      <c r="E141" s="15">
        <f>IF(ISNUMBER(VLOOKUP(C141,'Justice Spend Total'!C:AQ, 38, FALSE)),(VLOOKUP(C141,'Justice Spend Total'!C:AQ, 38, FALSE)), #N/A)</f>
        <v>5.1339470741581055</v>
      </c>
    </row>
    <row r="142" spans="1:5">
      <c r="A142">
        <v>166</v>
      </c>
      <c r="B142" s="15" t="s">
        <v>60</v>
      </c>
      <c r="C142" s="15" t="s">
        <v>447</v>
      </c>
      <c r="D142" s="15" t="s">
        <v>285</v>
      </c>
      <c r="E142" s="15">
        <f>IF(ISNUMBER(VLOOKUP(C142,'Justice Spend Total'!C:AQ, 38, FALSE)),(VLOOKUP(C142,'Justice Spend Total'!C:AQ, 38, FALSE)), #N/A)</f>
        <v>3.9926879257798338</v>
      </c>
    </row>
    <row r="143" spans="1:5">
      <c r="A143">
        <v>167</v>
      </c>
      <c r="B143" s="15" t="s">
        <v>69</v>
      </c>
      <c r="C143" s="15" t="s">
        <v>448</v>
      </c>
      <c r="D143" s="15" t="s">
        <v>285</v>
      </c>
      <c r="E143" s="15">
        <f>IF(ISNUMBER(VLOOKUP(C143,'Justice Spend Total'!C:AQ, 38, FALSE)),(VLOOKUP(C143,'Justice Spend Total'!C:AQ, 38, FALSE)), #N/A)</f>
        <v>5.0253753800642604</v>
      </c>
    </row>
    <row r="144" spans="1:5">
      <c r="A144">
        <v>170</v>
      </c>
      <c r="B144" t="s">
        <v>73</v>
      </c>
      <c r="C144" t="s">
        <v>449</v>
      </c>
      <c r="D144" t="s">
        <v>285</v>
      </c>
      <c r="E144" s="15">
        <f>IF(ISNUMBER(VLOOKUP(C144,'Justice Spend Total'!C:AQ, 38, FALSE)),(VLOOKUP(C144,'Justice Spend Total'!C:AQ, 38, FALSE)), #N/A)</f>
        <v>5.5826616010953236</v>
      </c>
    </row>
    <row r="145" spans="1:5">
      <c r="A145">
        <v>171</v>
      </c>
      <c r="B145" s="15" t="s">
        <v>63</v>
      </c>
      <c r="C145" s="15" t="s">
        <v>450</v>
      </c>
      <c r="D145" s="15" t="s">
        <v>285</v>
      </c>
      <c r="E145" s="15">
        <f>IF(ISNUMBER(VLOOKUP(C145,'Justice Spend Total'!C:AQ, 38, FALSE)),(VLOOKUP(C145,'Justice Spend Total'!C:AQ, 38, FALSE)), #N/A)</f>
        <v>4.2647744835080026</v>
      </c>
    </row>
    <row r="146" spans="1:5">
      <c r="A146">
        <v>174</v>
      </c>
      <c r="B146" s="15" t="s">
        <v>57</v>
      </c>
      <c r="C146" s="15" t="s">
        <v>451</v>
      </c>
      <c r="D146" s="15" t="s">
        <v>285</v>
      </c>
      <c r="E146" s="15">
        <f>IF(ISNUMBER(VLOOKUP(C146,'Justice Spend Total'!C:AQ, 38, FALSE)),(VLOOKUP(C146,'Justice Spend Total'!C:AQ, 38, FALSE)), #N/A)</f>
        <v>3.6215735478668494</v>
      </c>
    </row>
    <row r="147" spans="1:5">
      <c r="A147">
        <v>175</v>
      </c>
      <c r="B147" s="15" t="s">
        <v>55</v>
      </c>
      <c r="C147" s="15" t="s">
        <v>452</v>
      </c>
      <c r="D147" s="15" t="s">
        <v>285</v>
      </c>
      <c r="E147" s="15">
        <f>IF(ISNUMBER(VLOOKUP(C147,'Justice Spend Total'!C:AQ, 38, FALSE)),(VLOOKUP(C147,'Justice Spend Total'!C:AQ, 38, FALSE)), #N/A)</f>
        <v>3.3586684324843326</v>
      </c>
    </row>
    <row r="148" spans="1:5">
      <c r="A148">
        <v>176</v>
      </c>
      <c r="B148" s="15" t="s">
        <v>71</v>
      </c>
      <c r="C148" s="15" t="s">
        <v>453</v>
      </c>
      <c r="D148" s="15" t="s">
        <v>285</v>
      </c>
      <c r="E148" s="15">
        <f>IF(ISNUMBER(VLOOKUP(C148,'Justice Spend Total'!C:AQ, 38, FALSE)),(VLOOKUP(C148,'Justice Spend Total'!C:AQ, 38, FALSE)), #N/A)</f>
        <v>5.1822363589645422</v>
      </c>
    </row>
    <row r="149" spans="1:5">
      <c r="A149">
        <v>177</v>
      </c>
      <c r="B149" s="15" t="s">
        <v>72</v>
      </c>
      <c r="C149" s="15" t="s">
        <v>454</v>
      </c>
      <c r="D149" s="15" t="s">
        <v>285</v>
      </c>
      <c r="E149" s="15">
        <f>IF(ISNUMBER(VLOOKUP(C149,'Justice Spend Total'!C:AQ, 38, FALSE)),(VLOOKUP(C149,'Justice Spend Total'!C:AQ, 38, FALSE)), #N/A)</f>
        <v>5.4670681658715186</v>
      </c>
    </row>
    <row r="150" spans="1:5">
      <c r="A150">
        <v>180</v>
      </c>
      <c r="B150" s="15" t="s">
        <v>64</v>
      </c>
      <c r="C150" s="15" t="s">
        <v>455</v>
      </c>
      <c r="D150" s="15" t="s">
        <v>285</v>
      </c>
      <c r="E150" s="15">
        <f>IF(ISNUMBER(VLOOKUP(C150,'Justice Spend Total'!C:AQ, 38, FALSE)),(VLOOKUP(C150,'Justice Spend Total'!C:AQ, 38, FALSE)), #N/A)</f>
        <v>4.5190995076261862</v>
      </c>
    </row>
    <row r="151" spans="1:5">
      <c r="A151">
        <v>182</v>
      </c>
      <c r="B151" s="15" t="s">
        <v>58</v>
      </c>
      <c r="C151" s="15" t="s">
        <v>456</v>
      </c>
      <c r="D151" s="15" t="s">
        <v>285</v>
      </c>
      <c r="E151" s="15">
        <f>IF(ISNUMBER(VLOOKUP(C151,'Justice Spend Total'!C:AQ, 38, FALSE)),(VLOOKUP(C151,'Justice Spend Total'!C:AQ, 38, FALSE)), #N/A)</f>
        <v>3.6316378268193934</v>
      </c>
    </row>
    <row r="152" spans="1:5">
      <c r="A152">
        <v>183</v>
      </c>
      <c r="B152" s="15" t="s">
        <v>56</v>
      </c>
      <c r="C152" s="15" t="s">
        <v>457</v>
      </c>
      <c r="D152" s="15" t="s">
        <v>285</v>
      </c>
      <c r="E152" s="15">
        <f>IF(ISNUMBER(VLOOKUP(C152,'Justice Spend Total'!C:AQ, 38, FALSE)),(VLOOKUP(C152,'Justice Spend Total'!C:AQ, 38, FALSE)), #N/A)</f>
        <v>3.5912676468270579</v>
      </c>
    </row>
    <row r="153" spans="1:5">
      <c r="A153">
        <v>184</v>
      </c>
      <c r="B153" s="15" t="s">
        <v>53</v>
      </c>
      <c r="C153" s="15" t="s">
        <v>458</v>
      </c>
      <c r="D153" s="15" t="s">
        <v>285</v>
      </c>
      <c r="E153" s="15">
        <f>IF(ISNUMBER(VLOOKUP(C153,'Justice Spend Total'!C:AQ, 38, FALSE)),(VLOOKUP(C153,'Justice Spend Total'!C:AQ, 38, FALSE)), #N/A)</f>
        <v>2.9337578452132038</v>
      </c>
    </row>
    <row r="154" spans="1:5">
      <c r="A154">
        <v>185</v>
      </c>
      <c r="B154" s="15" t="s">
        <v>50</v>
      </c>
      <c r="C154" s="15" t="s">
        <v>459</v>
      </c>
      <c r="D154" s="15" t="s">
        <v>285</v>
      </c>
      <c r="E154" s="15">
        <f>IF(ISNUMBER(VLOOKUP(C154,'Justice Spend Total'!C:AQ, 38, FALSE)),(VLOOKUP(C154,'Justice Spend Total'!C:AQ, 38, FALSE)), #N/A)</f>
        <v>2.2688017089777439</v>
      </c>
    </row>
    <row r="155" spans="1:5">
      <c r="A155">
        <v>187</v>
      </c>
      <c r="B155" s="15" t="s">
        <v>66</v>
      </c>
      <c r="C155" s="15" t="s">
        <v>460</v>
      </c>
      <c r="D155" s="15" t="s">
        <v>285</v>
      </c>
      <c r="E155" s="15">
        <f>IF(ISNUMBER(VLOOKUP(C155,'Justice Spend Total'!C:AQ, 38, FALSE)),(VLOOKUP(C155,'Justice Spend Total'!C:AQ, 38, FALSE)), #N/A)</f>
        <v>4.8244359369198815</v>
      </c>
    </row>
    <row r="156" spans="1:5">
      <c r="A156">
        <v>188</v>
      </c>
      <c r="B156" s="15" t="s">
        <v>74</v>
      </c>
      <c r="C156" s="15" t="s">
        <v>461</v>
      </c>
      <c r="D156" s="15" t="s">
        <v>285</v>
      </c>
      <c r="E156" s="15">
        <f>IF(ISNUMBER(VLOOKUP(C156,'Justice Spend Total'!C:AQ, 38, FALSE)),(VLOOKUP(C156,'Justice Spend Total'!C:AQ, 38, FALSE)), #N/A)</f>
        <v>5.5920195991271333</v>
      </c>
    </row>
    <row r="157" spans="1:5">
      <c r="A157">
        <v>190</v>
      </c>
      <c r="B157" s="15" t="s">
        <v>52</v>
      </c>
      <c r="C157" s="15" t="s">
        <v>462</v>
      </c>
      <c r="D157" s="15" t="s">
        <v>285</v>
      </c>
      <c r="E157" s="15">
        <f>IF(ISNUMBER(VLOOKUP(C157,'Justice Spend Total'!C:AQ, 38, FALSE)),(VLOOKUP(C157,'Justice Spend Total'!C:AQ, 38, FALSE)), #N/A)</f>
        <v>2.8760157631548267</v>
      </c>
    </row>
    <row r="158" spans="1:5">
      <c r="A158">
        <v>193</v>
      </c>
      <c r="B158" s="15" t="s">
        <v>59</v>
      </c>
      <c r="C158" s="15" t="s">
        <v>463</v>
      </c>
      <c r="D158" s="15" t="s">
        <v>285</v>
      </c>
      <c r="E158" s="15">
        <f>IF(ISNUMBER(VLOOKUP(C158,'Justice Spend Total'!C:AQ, 38, FALSE)),(VLOOKUP(C158,'Justice Spend Total'!C:AQ, 38, FALSE)), #N/A)</f>
        <v>3.7817087899709736</v>
      </c>
    </row>
    <row r="159" spans="1:5">
      <c r="A159">
        <v>194</v>
      </c>
      <c r="B159" s="15" t="s">
        <v>49</v>
      </c>
      <c r="C159" s="15" t="s">
        <v>464</v>
      </c>
      <c r="D159" s="15" t="s">
        <v>285</v>
      </c>
      <c r="E159" s="15">
        <f>IF(ISNUMBER(VLOOKUP(C159,'Justice Spend Total'!C:AQ, 38, FALSE)),(VLOOKUP(C159,'Justice Spend Total'!C:AQ, 38, FALSE)), #N/A)</f>
        <v>1.8717948950808341</v>
      </c>
    </row>
    <row r="160" spans="1:5">
      <c r="A160">
        <v>195</v>
      </c>
      <c r="B160" s="15" t="s">
        <v>77</v>
      </c>
      <c r="C160" s="15" t="s">
        <v>465</v>
      </c>
      <c r="D160" s="15" t="s">
        <v>285</v>
      </c>
      <c r="E160" s="15">
        <f>IF(ISNUMBER(VLOOKUP(C160,'Justice Spend Total'!C:AQ, 38, FALSE)),(VLOOKUP(C160,'Justice Spend Total'!C:AQ, 38, FALSE)), #N/A)</f>
        <v>6.3624993202457985</v>
      </c>
    </row>
    <row r="161" spans="1:5">
      <c r="A161">
        <v>196</v>
      </c>
      <c r="B161" s="15" t="s">
        <v>61</v>
      </c>
      <c r="C161" s="15" t="s">
        <v>466</v>
      </c>
      <c r="D161" s="15" t="s">
        <v>285</v>
      </c>
      <c r="E161" s="15">
        <f>IF(ISNUMBER(VLOOKUP(C161,'Justice Spend Total'!C:AQ, 38, FALSE)),(VLOOKUP(C161,'Justice Spend Total'!C:AQ, 38, FALSE)), #N/A)</f>
        <v>4.1719395809414452</v>
      </c>
    </row>
    <row r="162" spans="1:5">
      <c r="A162">
        <v>197</v>
      </c>
      <c r="B162" s="15" t="s">
        <v>54</v>
      </c>
      <c r="C162" s="15" t="s">
        <v>467</v>
      </c>
      <c r="D162" s="15" t="s">
        <v>285</v>
      </c>
      <c r="E162" s="15">
        <f>IF(ISNUMBER(VLOOKUP(C162,'Justice Spend Total'!C:AQ, 38, FALSE)),(VLOOKUP(C162,'Justice Spend Total'!C:AQ, 38, FALSE)), #N/A)</f>
        <v>2.9497514856108795</v>
      </c>
    </row>
    <row r="163" spans="1:5">
      <c r="A163">
        <v>199</v>
      </c>
      <c r="B163" s="15" t="s">
        <v>51</v>
      </c>
      <c r="C163" s="15" t="s">
        <v>468</v>
      </c>
      <c r="D163" s="15" t="s">
        <v>285</v>
      </c>
      <c r="E163" s="15">
        <f>IF(ISNUMBER(VLOOKUP(C163,'Justice Spend Total'!C:AQ, 38, FALSE)),(VLOOKUP(C163,'Justice Spend Total'!C:AQ, 38, FALSE)), #N/A)</f>
        <v>2.59494485451527</v>
      </c>
    </row>
    <row r="164" spans="1:5">
      <c r="A164">
        <v>200</v>
      </c>
      <c r="B164" s="15" t="s">
        <v>67</v>
      </c>
      <c r="C164" s="15" t="s">
        <v>469</v>
      </c>
      <c r="D164" s="15" t="s">
        <v>285</v>
      </c>
      <c r="E164" s="15">
        <f>IF(ISNUMBER(VLOOKUP(C164,'Justice Spend Total'!C:AQ, 38, FALSE)),(VLOOKUP(C164,'Justice Spend Total'!C:AQ, 38, FALSE)), #N/A)</f>
        <v>4.917265226815668</v>
      </c>
    </row>
  </sheetData>
  <pageMargins left="0.7" right="0.7" top="0.75" bottom="0.75" header="0.3" footer="0.3"/>
  <pageSetup paperSize="9" orientation="portrait" horizontalDpi="4294967292" verticalDpi="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86FB-4C8D-434F-9447-42A230517171}">
  <dimension ref="A1:E164"/>
  <sheetViews>
    <sheetView topLeftCell="A26" workbookViewId="0">
      <selection activeCell="D33" sqref="D33"/>
    </sheetView>
  </sheetViews>
  <sheetFormatPr defaultColWidth="8.85546875" defaultRowHeight="14.45"/>
  <cols>
    <col min="2" max="2" width="11.140625" customWidth="1"/>
    <col min="4" max="4" width="15.28515625" customWidth="1"/>
    <col min="5" max="5" width="15.42578125" customWidth="1"/>
  </cols>
  <sheetData>
    <row r="1" spans="1:5">
      <c r="E1" t="s">
        <v>78</v>
      </c>
    </row>
    <row r="2" spans="1:5">
      <c r="A2" s="1" t="s">
        <v>302</v>
      </c>
      <c r="B2" s="75" t="s">
        <v>47</v>
      </c>
      <c r="C2" s="75" t="s">
        <v>303</v>
      </c>
      <c r="D2" s="75" t="s">
        <v>304</v>
      </c>
      <c r="E2" s="75" t="s">
        <v>470</v>
      </c>
    </row>
    <row r="3" spans="1:5">
      <c r="A3">
        <v>1</v>
      </c>
      <c r="B3" s="15" t="s">
        <v>93</v>
      </c>
      <c r="C3" s="15" t="s">
        <v>305</v>
      </c>
      <c r="D3" s="15" t="s">
        <v>306</v>
      </c>
      <c r="E3" s="15" t="e">
        <f>IF(ISNUMBER(VLOOKUP(C3,'Justice Spend Total'!C:AQ, 36, FALSE)),(VLOOKUP(C3,'Justice Spend Total'!C:AQ, 36, FALSE)), #N/A)</f>
        <v>#N/A</v>
      </c>
    </row>
    <row r="4" spans="1:5">
      <c r="A4">
        <v>2</v>
      </c>
      <c r="B4" s="15" t="s">
        <v>94</v>
      </c>
      <c r="C4" s="15" t="s">
        <v>307</v>
      </c>
      <c r="D4" s="15" t="s">
        <v>306</v>
      </c>
      <c r="E4" s="15">
        <f>IF(ISNUMBER(VLOOKUP(C4,'Justice Spend Total'!C:AQ, 36, FALSE)),(VLOOKUP(C4,'Justice Spend Total'!C:AQ, 36, FALSE)), #N/A)</f>
        <v>2.8428466602404421</v>
      </c>
    </row>
    <row r="5" spans="1:5">
      <c r="A5">
        <v>3</v>
      </c>
      <c r="B5" s="15" t="s">
        <v>95</v>
      </c>
      <c r="C5" s="15" t="s">
        <v>308</v>
      </c>
      <c r="D5" s="15" t="s">
        <v>306</v>
      </c>
      <c r="E5" s="15">
        <f>IF(ISNUMBER(VLOOKUP(C5,'Justice Spend Total'!C:AQ, 36, FALSE)),(VLOOKUP(C5,'Justice Spend Total'!C:AQ, 36, FALSE)), #N/A)</f>
        <v>2.5530802619694501</v>
      </c>
    </row>
    <row r="6" spans="1:5">
      <c r="A6">
        <v>4</v>
      </c>
      <c r="B6" s="15" t="s">
        <v>96</v>
      </c>
      <c r="C6" s="15" t="s">
        <v>309</v>
      </c>
      <c r="D6" s="15" t="s">
        <v>306</v>
      </c>
      <c r="E6" s="15">
        <f>IF(ISNUMBER(VLOOKUP(C6,'Justice Spend Total'!C:AQ, 36, FALSE)),(VLOOKUP(C6,'Justice Spend Total'!C:AQ, 36, FALSE)), #N/A)</f>
        <v>2.3624531536553666</v>
      </c>
    </row>
    <row r="7" spans="1:5">
      <c r="A7">
        <v>5</v>
      </c>
      <c r="B7" s="15" t="s">
        <v>97</v>
      </c>
      <c r="C7" s="15" t="s">
        <v>310</v>
      </c>
      <c r="D7" s="15" t="s">
        <v>306</v>
      </c>
      <c r="E7" s="15">
        <f>IF(ISNUMBER(VLOOKUP(C7,'Justice Spend Total'!C:AQ, 36, FALSE)),(VLOOKUP(C7,'Justice Spend Total'!C:AQ, 36, FALSE)), #N/A)</f>
        <v>2.0044470081431456</v>
      </c>
    </row>
    <row r="8" spans="1:5">
      <c r="A8">
        <v>6</v>
      </c>
      <c r="B8" s="15" t="s">
        <v>98</v>
      </c>
      <c r="C8" s="15" t="s">
        <v>311</v>
      </c>
      <c r="D8" s="15" t="s">
        <v>306</v>
      </c>
      <c r="E8" s="15">
        <f>IF(ISNUMBER(VLOOKUP(C8,'Justice Spend Total'!C:AQ, 36, FALSE)),(VLOOKUP(C8,'Justice Spend Total'!C:AQ, 36, FALSE)), #N/A)</f>
        <v>1.3778976079255105</v>
      </c>
    </row>
    <row r="9" spans="1:5" ht="15" customHeight="1">
      <c r="A9">
        <v>7</v>
      </c>
      <c r="B9" t="s">
        <v>99</v>
      </c>
      <c r="C9" t="s">
        <v>312</v>
      </c>
      <c r="D9" t="s">
        <v>306</v>
      </c>
      <c r="E9" s="15" t="e">
        <f>IF(ISNUMBER(VLOOKUP(C9,'Justice Spend Total'!C:AQ, 36, FALSE)),(VLOOKUP(C9,'Justice Spend Total'!C:AQ, 36, FALSE)), #N/A)</f>
        <v>#N/A</v>
      </c>
    </row>
    <row r="10" spans="1:5">
      <c r="A10">
        <v>8</v>
      </c>
      <c r="B10" s="15" t="s">
        <v>100</v>
      </c>
      <c r="C10" s="15" t="s">
        <v>313</v>
      </c>
      <c r="D10" s="15" t="s">
        <v>306</v>
      </c>
      <c r="E10" s="15">
        <f>IF(ISNUMBER(VLOOKUP(C10,'Justice Spend Total'!C:AQ, 36, FALSE)),(VLOOKUP(C10,'Justice Spend Total'!C:AQ, 36, FALSE)), #N/A)</f>
        <v>2.7609092953074175</v>
      </c>
    </row>
    <row r="11" spans="1:5">
      <c r="A11">
        <v>9</v>
      </c>
      <c r="B11" s="15" t="s">
        <v>101</v>
      </c>
      <c r="C11" s="15" t="s">
        <v>314</v>
      </c>
      <c r="D11" s="15" t="s">
        <v>306</v>
      </c>
      <c r="E11" s="15" t="e">
        <f>IF(ISNUMBER(VLOOKUP(C11,'Justice Spend Total'!C:AQ, 36, FALSE)),(VLOOKUP(C11,'Justice Spend Total'!C:AQ, 36, FALSE)), #N/A)</f>
        <v>#N/A</v>
      </c>
    </row>
    <row r="12" spans="1:5" ht="15" customHeight="1">
      <c r="A12">
        <v>10</v>
      </c>
      <c r="B12" t="s">
        <v>102</v>
      </c>
      <c r="C12" t="s">
        <v>315</v>
      </c>
      <c r="D12" t="s">
        <v>306</v>
      </c>
      <c r="E12" s="15" t="e">
        <f>IF(ISNUMBER(VLOOKUP(C12,'Justice Spend Total'!C:AQ, 36, FALSE)),(VLOOKUP(C12,'Justice Spend Total'!C:AQ, 36, FALSE)), #N/A)</f>
        <v>#N/A</v>
      </c>
    </row>
    <row r="13" spans="1:5" ht="15" customHeight="1">
      <c r="A13">
        <v>11</v>
      </c>
      <c r="B13" t="s">
        <v>103</v>
      </c>
      <c r="C13" t="s">
        <v>316</v>
      </c>
      <c r="D13" t="s">
        <v>306</v>
      </c>
      <c r="E13" s="15" t="e">
        <f>IF(ISNUMBER(VLOOKUP(C13,'Justice Spend Total'!C:AQ, 36, FALSE)),(VLOOKUP(C13,'Justice Spend Total'!C:AQ, 36, FALSE)), #N/A)</f>
        <v>#N/A</v>
      </c>
    </row>
    <row r="14" spans="1:5">
      <c r="A14">
        <v>12</v>
      </c>
      <c r="B14" s="15" t="s">
        <v>104</v>
      </c>
      <c r="C14" s="15" t="s">
        <v>317</v>
      </c>
      <c r="D14" s="15" t="s">
        <v>306</v>
      </c>
      <c r="E14" s="15">
        <f>IF(ISNUMBER(VLOOKUP(C14,'Justice Spend Total'!C:AQ, 36, FALSE)),(VLOOKUP(C14,'Justice Spend Total'!C:AQ, 36, FALSE)), #N/A)</f>
        <v>0.84643582552070651</v>
      </c>
    </row>
    <row r="15" spans="1:5">
      <c r="A15">
        <v>13</v>
      </c>
      <c r="B15" t="s">
        <v>105</v>
      </c>
      <c r="C15" t="s">
        <v>318</v>
      </c>
      <c r="D15" t="s">
        <v>306</v>
      </c>
      <c r="E15" s="15" t="e">
        <f>IF(ISNUMBER(VLOOKUP(C15,'Justice Spend Total'!C:AQ, 36, FALSE)),(VLOOKUP(C15,'Justice Spend Total'!C:AQ, 36, FALSE)), #N/A)</f>
        <v>#N/A</v>
      </c>
    </row>
    <row r="16" spans="1:5">
      <c r="A16">
        <v>14</v>
      </c>
      <c r="B16" s="15" t="s">
        <v>106</v>
      </c>
      <c r="C16" s="15" t="s">
        <v>319</v>
      </c>
      <c r="D16" s="15" t="s">
        <v>306</v>
      </c>
      <c r="E16" s="15" t="e">
        <f>IF(ISNUMBER(VLOOKUP(C16,'Justice Spend Total'!C:AQ, 36, FALSE)),(VLOOKUP(C16,'Justice Spend Total'!C:AQ, 36, FALSE)), #N/A)</f>
        <v>#N/A</v>
      </c>
    </row>
    <row r="17" spans="1:5">
      <c r="A17">
        <v>15</v>
      </c>
      <c r="B17" t="s">
        <v>107</v>
      </c>
      <c r="C17" t="s">
        <v>320</v>
      </c>
      <c r="D17" t="s">
        <v>306</v>
      </c>
      <c r="E17" s="15" t="e">
        <f>IF(ISNUMBER(VLOOKUP(C17,'Justice Spend Total'!C:AQ, 36, FALSE)),(VLOOKUP(C17,'Justice Spend Total'!C:AQ, 36, FALSE)), #N/A)</f>
        <v>#N/A</v>
      </c>
    </row>
    <row r="18" spans="1:5">
      <c r="A18">
        <v>16</v>
      </c>
      <c r="B18" t="s">
        <v>108</v>
      </c>
      <c r="C18" t="s">
        <v>321</v>
      </c>
      <c r="D18" t="s">
        <v>306</v>
      </c>
      <c r="E18" s="15" t="e">
        <f>IF(ISNUMBER(VLOOKUP(C18,'Justice Spend Total'!C:AQ, 36, FALSE)),(VLOOKUP(C18,'Justice Spend Total'!C:AQ, 36, FALSE)), #N/A)</f>
        <v>#N/A</v>
      </c>
    </row>
    <row r="19" spans="1:5">
      <c r="A19">
        <v>17</v>
      </c>
      <c r="B19" s="15" t="s">
        <v>109</v>
      </c>
      <c r="C19" s="15" t="s">
        <v>322</v>
      </c>
      <c r="D19" s="15" t="s">
        <v>306</v>
      </c>
      <c r="E19" s="15">
        <f>IF(ISNUMBER(VLOOKUP(C19,'Justice Spend Total'!C:AQ, 36, FALSE)),(VLOOKUP(C19,'Justice Spend Total'!C:AQ, 36, FALSE)), #N/A)</f>
        <v>1.1810454163946655</v>
      </c>
    </row>
    <row r="20" spans="1:5">
      <c r="A20">
        <v>18</v>
      </c>
      <c r="B20" s="15" t="s">
        <v>110</v>
      </c>
      <c r="C20" s="15" t="s">
        <v>323</v>
      </c>
      <c r="D20" s="15" t="s">
        <v>306</v>
      </c>
      <c r="E20" s="15">
        <f>IF(ISNUMBER(VLOOKUP(C20,'Justice Spend Total'!C:AQ, 36, FALSE)),(VLOOKUP(C20,'Justice Spend Total'!C:AQ, 36, FALSE)), #N/A)</f>
        <v>0</v>
      </c>
    </row>
    <row r="21" spans="1:5">
      <c r="A21">
        <v>19</v>
      </c>
      <c r="B21" s="15" t="s">
        <v>111</v>
      </c>
      <c r="C21" s="15" t="s">
        <v>324</v>
      </c>
      <c r="D21" s="15" t="s">
        <v>306</v>
      </c>
      <c r="E21" s="15">
        <f>IF(ISNUMBER(VLOOKUP(C21,'Justice Spend Total'!C:AQ, 36, FALSE)),(VLOOKUP(C21,'Justice Spend Total'!C:AQ, 36, FALSE)), #N/A)</f>
        <v>1.3507868274868744</v>
      </c>
    </row>
    <row r="22" spans="1:5">
      <c r="A22">
        <v>20</v>
      </c>
      <c r="B22" s="15" t="s">
        <v>112</v>
      </c>
      <c r="C22" s="15" t="s">
        <v>325</v>
      </c>
      <c r="D22" s="15" t="s">
        <v>306</v>
      </c>
      <c r="E22" s="15">
        <f>IF(ISNUMBER(VLOOKUP(C22,'Justice Spend Total'!C:AQ, 36, FALSE)),(VLOOKUP(C22,'Justice Spend Total'!C:AQ, 36, FALSE)), #N/A)</f>
        <v>0.20069312236193665</v>
      </c>
    </row>
    <row r="23" spans="1:5">
      <c r="A23">
        <v>21</v>
      </c>
      <c r="B23" t="s">
        <v>113</v>
      </c>
      <c r="C23" t="s">
        <v>326</v>
      </c>
      <c r="D23" t="s">
        <v>306</v>
      </c>
      <c r="E23" s="15">
        <f>IF(ISNUMBER(VLOOKUP(C23,'Justice Spend Total'!C:AQ, 36, FALSE)),(VLOOKUP(C23,'Justice Spend Total'!C:AQ, 36, FALSE)), #N/A)</f>
        <v>1.0398932498964708</v>
      </c>
    </row>
    <row r="24" spans="1:5">
      <c r="A24">
        <v>22</v>
      </c>
      <c r="B24" t="s">
        <v>114</v>
      </c>
      <c r="C24" t="s">
        <v>327</v>
      </c>
      <c r="D24" t="s">
        <v>306</v>
      </c>
      <c r="E24" s="15" t="e">
        <f>IF(ISNUMBER(VLOOKUP(C24,'Justice Spend Total'!C:AQ, 36, FALSE)),(VLOOKUP(C24,'Justice Spend Total'!C:AQ, 36, FALSE)), #N/A)</f>
        <v>#N/A</v>
      </c>
    </row>
    <row r="25" spans="1:5">
      <c r="A25">
        <v>23</v>
      </c>
      <c r="B25" s="15" t="s">
        <v>115</v>
      </c>
      <c r="C25" s="15" t="s">
        <v>328</v>
      </c>
      <c r="D25" s="15" t="s">
        <v>306</v>
      </c>
      <c r="E25" s="15">
        <f>IF(ISNUMBER(VLOOKUP(C25,'Justice Spend Total'!C:AQ, 36, FALSE)),(VLOOKUP(C25,'Justice Spend Total'!C:AQ, 36, FALSE)), #N/A)</f>
        <v>0.2149965559594996</v>
      </c>
    </row>
    <row r="26" spans="1:5">
      <c r="A26">
        <v>24</v>
      </c>
      <c r="B26" t="s">
        <v>116</v>
      </c>
      <c r="C26" t="s">
        <v>329</v>
      </c>
      <c r="D26" t="s">
        <v>306</v>
      </c>
      <c r="E26" s="15" t="e">
        <f>IF(ISNUMBER(VLOOKUP(C26,'Justice Spend Total'!C:AQ, 36, FALSE)),(VLOOKUP(C26,'Justice Spend Total'!C:AQ, 36, FALSE)), #N/A)</f>
        <v>#N/A</v>
      </c>
    </row>
    <row r="27" spans="1:5">
      <c r="A27">
        <v>25</v>
      </c>
      <c r="B27" t="s">
        <v>117</v>
      </c>
      <c r="C27" t="s">
        <v>330</v>
      </c>
      <c r="D27" t="s">
        <v>306</v>
      </c>
      <c r="E27" s="15" t="e">
        <f>IF(ISNUMBER(VLOOKUP(C27,'Justice Spend Total'!C:AQ, 36, FALSE)),(VLOOKUP(C27,'Justice Spend Total'!C:AQ, 36, FALSE)), #N/A)</f>
        <v>#N/A</v>
      </c>
    </row>
    <row r="28" spans="1:5">
      <c r="A28">
        <v>26</v>
      </c>
      <c r="B28" s="15" t="s">
        <v>118</v>
      </c>
      <c r="C28" s="15" t="s">
        <v>331</v>
      </c>
      <c r="D28" s="15" t="s">
        <v>306</v>
      </c>
      <c r="E28" s="15">
        <f>IF(ISNUMBER(VLOOKUP(C28,'Justice Spend Total'!C:AQ, 36, FALSE)),(VLOOKUP(C28,'Justice Spend Total'!C:AQ, 36, FALSE)), #N/A)</f>
        <v>1.243376887986182</v>
      </c>
    </row>
    <row r="29" spans="1:5">
      <c r="A29">
        <v>27</v>
      </c>
      <c r="B29" t="s">
        <v>119</v>
      </c>
      <c r="C29" t="s">
        <v>332</v>
      </c>
      <c r="D29" t="s">
        <v>306</v>
      </c>
      <c r="E29" s="15">
        <f>IF(ISNUMBER(VLOOKUP(C29,'Justice Spend Total'!C:AQ, 36, FALSE)),(VLOOKUP(C29,'Justice Spend Total'!C:AQ, 36, FALSE)), #N/A)</f>
        <v>0.10215869278018261</v>
      </c>
    </row>
    <row r="30" spans="1:5">
      <c r="A30">
        <v>28</v>
      </c>
      <c r="B30" s="15" t="s">
        <v>120</v>
      </c>
      <c r="C30" s="15" t="s">
        <v>333</v>
      </c>
      <c r="D30" s="15" t="s">
        <v>334</v>
      </c>
      <c r="E30" s="15">
        <f>IF(ISNUMBER(VLOOKUP(C30,'Justice Spend Total'!C:AQ, 36, FALSE)),(VLOOKUP(C30,'Justice Spend Total'!C:AQ, 36, FALSE)), #N/A)</f>
        <v>0.28092758203292084</v>
      </c>
    </row>
    <row r="31" spans="1:5">
      <c r="A31">
        <v>29</v>
      </c>
      <c r="B31" s="15" t="s">
        <v>121</v>
      </c>
      <c r="C31" s="15" t="s">
        <v>335</v>
      </c>
      <c r="D31" s="15" t="s">
        <v>334</v>
      </c>
      <c r="E31" s="15" t="e">
        <f>IF(ISNUMBER(VLOOKUP(C31,'Justice Spend Total'!C:AQ, 36, FALSE)),(VLOOKUP(C31,'Justice Spend Total'!C:AQ, 36, FALSE)), #N/A)</f>
        <v>#N/A</v>
      </c>
    </row>
    <row r="32" spans="1:5">
      <c r="A32">
        <v>30</v>
      </c>
      <c r="B32" t="s">
        <v>122</v>
      </c>
      <c r="C32" t="s">
        <v>336</v>
      </c>
      <c r="D32" t="s">
        <v>334</v>
      </c>
      <c r="E32" s="15" t="e">
        <f>IF(ISNUMBER(VLOOKUP(C32,'Justice Spend Total'!C:AQ, 36, FALSE)),(VLOOKUP(C32,'Justice Spend Total'!C:AQ, 36, FALSE)), #N/A)</f>
        <v>#N/A</v>
      </c>
    </row>
    <row r="33" spans="1:5">
      <c r="A33">
        <v>31</v>
      </c>
      <c r="B33" t="s">
        <v>123</v>
      </c>
      <c r="C33" t="s">
        <v>337</v>
      </c>
      <c r="D33" t="s">
        <v>334</v>
      </c>
      <c r="E33" s="15" t="e">
        <f>IF(ISNUMBER(VLOOKUP(C33,'Justice Spend Total'!C:AQ, 36, FALSE)),(VLOOKUP(C33,'Justice Spend Total'!C:AQ, 36, FALSE)), #N/A)</f>
        <v>#N/A</v>
      </c>
    </row>
    <row r="34" spans="1:5">
      <c r="A34">
        <v>32</v>
      </c>
      <c r="B34" s="15" t="s">
        <v>124</v>
      </c>
      <c r="C34" s="15" t="s">
        <v>338</v>
      </c>
      <c r="D34" s="15" t="s">
        <v>334</v>
      </c>
      <c r="E34" s="15">
        <f>IF(ISNUMBER(VLOOKUP(C34,'Justice Spend Total'!C:AQ, 36, FALSE)),(VLOOKUP(C34,'Justice Spend Total'!C:AQ, 36, FALSE)), #N/A)</f>
        <v>0.71589576670975907</v>
      </c>
    </row>
    <row r="35" spans="1:5">
      <c r="A35">
        <v>33</v>
      </c>
      <c r="B35" t="s">
        <v>125</v>
      </c>
      <c r="C35" t="s">
        <v>339</v>
      </c>
      <c r="D35" t="s">
        <v>334</v>
      </c>
      <c r="E35" s="15" t="e">
        <f>IF(ISNUMBER(VLOOKUP(C35,'Justice Spend Total'!C:AQ, 36, FALSE)),(VLOOKUP(C35,'Justice Spend Total'!C:AQ, 36, FALSE)), #N/A)</f>
        <v>#N/A</v>
      </c>
    </row>
    <row r="36" spans="1:5">
      <c r="A36">
        <v>34</v>
      </c>
      <c r="B36" t="s">
        <v>126</v>
      </c>
      <c r="C36" t="s">
        <v>340</v>
      </c>
      <c r="D36" t="s">
        <v>334</v>
      </c>
      <c r="E36" s="15" t="e">
        <f>IF(ISNUMBER(VLOOKUP(C36,'Justice Spend Total'!C:AQ, 36, FALSE)),(VLOOKUP(C36,'Justice Spend Total'!C:AQ, 36, FALSE)), #N/A)</f>
        <v>#N/A</v>
      </c>
    </row>
    <row r="37" spans="1:5">
      <c r="A37">
        <v>35</v>
      </c>
      <c r="B37" t="s">
        <v>127</v>
      </c>
      <c r="C37" t="s">
        <v>341</v>
      </c>
      <c r="D37" t="s">
        <v>334</v>
      </c>
      <c r="E37" s="15" t="e">
        <f>IF(ISNUMBER(VLOOKUP(C37,'Justice Spend Total'!C:AQ, 36, FALSE)),(VLOOKUP(C37,'Justice Spend Total'!C:AQ, 36, FALSE)), #N/A)</f>
        <v>#N/A</v>
      </c>
    </row>
    <row r="38" spans="1:5">
      <c r="A38">
        <v>36</v>
      </c>
      <c r="B38" t="s">
        <v>128</v>
      </c>
      <c r="C38" t="s">
        <v>342</v>
      </c>
      <c r="D38" t="s">
        <v>334</v>
      </c>
      <c r="E38" s="15" t="e">
        <f>IF(ISNUMBER(VLOOKUP(C38,'Justice Spend Total'!C:AQ, 36, FALSE)),(VLOOKUP(C38,'Justice Spend Total'!C:AQ, 36, FALSE)), #N/A)</f>
        <v>#N/A</v>
      </c>
    </row>
    <row r="39" spans="1:5">
      <c r="A39">
        <v>37</v>
      </c>
      <c r="B39" t="s">
        <v>129</v>
      </c>
      <c r="C39" t="s">
        <v>343</v>
      </c>
      <c r="D39" t="s">
        <v>334</v>
      </c>
      <c r="E39" s="15" t="e">
        <f>IF(ISNUMBER(VLOOKUP(C39,'Justice Spend Total'!C:AQ, 36, FALSE)),(VLOOKUP(C39,'Justice Spend Total'!C:AQ, 36, FALSE)), #N/A)</f>
        <v>#N/A</v>
      </c>
    </row>
    <row r="40" spans="1:5">
      <c r="A40">
        <v>38</v>
      </c>
      <c r="B40" t="s">
        <v>130</v>
      </c>
      <c r="C40" t="s">
        <v>344</v>
      </c>
      <c r="D40" t="s">
        <v>334</v>
      </c>
      <c r="E40" s="15">
        <f>IF(ISNUMBER(VLOOKUP(C40,'Justice Spend Total'!C:AQ, 36, FALSE)),(VLOOKUP(C40,'Justice Spend Total'!C:AQ, 36, FALSE)), #N/A)</f>
        <v>0.15559847286185516</v>
      </c>
    </row>
    <row r="41" spans="1:5">
      <c r="A41">
        <v>39</v>
      </c>
      <c r="B41" t="s">
        <v>131</v>
      </c>
      <c r="C41" t="s">
        <v>345</v>
      </c>
      <c r="D41" t="s">
        <v>334</v>
      </c>
      <c r="E41" s="15" t="e">
        <f>IF(ISNUMBER(VLOOKUP(C41,'Justice Spend Total'!C:AQ, 36, FALSE)),(VLOOKUP(C41,'Justice Spend Total'!C:AQ, 36, FALSE)), #N/A)</f>
        <v>#N/A</v>
      </c>
    </row>
    <row r="42" spans="1:5">
      <c r="A42">
        <v>40</v>
      </c>
      <c r="B42" t="s">
        <v>132</v>
      </c>
      <c r="C42" t="s">
        <v>346</v>
      </c>
      <c r="D42" t="s">
        <v>334</v>
      </c>
      <c r="E42" s="15" t="e">
        <f>IF(ISNUMBER(VLOOKUP(C42,'Justice Spend Total'!C:AQ, 36, FALSE)),(VLOOKUP(C42,'Justice Spend Total'!C:AQ, 36, FALSE)), #N/A)</f>
        <v>#N/A</v>
      </c>
    </row>
    <row r="43" spans="1:5">
      <c r="A43">
        <v>41</v>
      </c>
      <c r="B43" t="s">
        <v>133</v>
      </c>
      <c r="C43" t="s">
        <v>347</v>
      </c>
      <c r="D43" t="s">
        <v>334</v>
      </c>
      <c r="E43" s="15" t="e">
        <f>IF(ISNUMBER(VLOOKUP(C43,'Justice Spend Total'!C:AQ, 36, FALSE)),(VLOOKUP(C43,'Justice Spend Total'!C:AQ, 36, FALSE)), #N/A)</f>
        <v>#N/A</v>
      </c>
    </row>
    <row r="44" spans="1:5">
      <c r="A44">
        <v>42</v>
      </c>
      <c r="B44" t="s">
        <v>134</v>
      </c>
      <c r="C44" t="s">
        <v>348</v>
      </c>
      <c r="D44" t="s">
        <v>334</v>
      </c>
      <c r="E44" s="15">
        <f>IF(ISNUMBER(VLOOKUP(C44,'Justice Spend Total'!C:AQ, 36, FALSE)),(VLOOKUP(C44,'Justice Spend Total'!C:AQ, 36, FALSE)), #N/A)</f>
        <v>2.2666616728765296</v>
      </c>
    </row>
    <row r="45" spans="1:5">
      <c r="A45">
        <v>43</v>
      </c>
      <c r="B45" t="s">
        <v>135</v>
      </c>
      <c r="C45" t="s">
        <v>349</v>
      </c>
      <c r="D45" t="s">
        <v>334</v>
      </c>
      <c r="E45" s="15">
        <f>IF(ISNUMBER(VLOOKUP(C45,'Justice Spend Total'!C:AQ, 36, FALSE)),(VLOOKUP(C45,'Justice Spend Total'!C:AQ, 36, FALSE)), #N/A)</f>
        <v>0.64729273540820376</v>
      </c>
    </row>
    <row r="46" spans="1:5">
      <c r="A46">
        <v>44</v>
      </c>
      <c r="B46" s="15" t="s">
        <v>136</v>
      </c>
      <c r="C46" s="15" t="s">
        <v>350</v>
      </c>
      <c r="D46" s="15" t="s">
        <v>334</v>
      </c>
      <c r="E46" s="15">
        <f>IF(ISNUMBER(VLOOKUP(C46,'Justice Spend Total'!C:AQ, 36, FALSE)),(VLOOKUP(C46,'Justice Spend Total'!C:AQ, 36, FALSE)), #N/A)</f>
        <v>0</v>
      </c>
    </row>
    <row r="47" spans="1:5">
      <c r="A47">
        <v>45</v>
      </c>
      <c r="B47" t="s">
        <v>137</v>
      </c>
      <c r="C47" t="s">
        <v>351</v>
      </c>
      <c r="D47" t="s">
        <v>334</v>
      </c>
      <c r="E47" s="15" t="e">
        <f>IF(ISNUMBER(VLOOKUP(C47,'Justice Spend Total'!C:AQ, 36, FALSE)),(VLOOKUP(C47,'Justice Spend Total'!C:AQ, 36, FALSE)), #N/A)</f>
        <v>#N/A</v>
      </c>
    </row>
    <row r="48" spans="1:5">
      <c r="A48">
        <v>46</v>
      </c>
      <c r="B48" t="s">
        <v>138</v>
      </c>
      <c r="C48" t="s">
        <v>352</v>
      </c>
      <c r="D48" t="s">
        <v>334</v>
      </c>
      <c r="E48" s="15">
        <f>IF(ISNUMBER(VLOOKUP(C48,'Justice Spend Total'!C:AQ, 36, FALSE)),(VLOOKUP(C48,'Justice Spend Total'!C:AQ, 36, FALSE)), #N/A)</f>
        <v>0.30481225623991504</v>
      </c>
    </row>
    <row r="49" spans="1:5">
      <c r="A49">
        <v>47</v>
      </c>
      <c r="B49" s="15" t="s">
        <v>139</v>
      </c>
      <c r="C49" s="15" t="s">
        <v>353</v>
      </c>
      <c r="D49" s="15" t="s">
        <v>334</v>
      </c>
      <c r="E49" s="15">
        <f>IF(ISNUMBER(VLOOKUP(C49,'Justice Spend Total'!C:AQ, 36, FALSE)),(VLOOKUP(C49,'Justice Spend Total'!C:AQ, 36, FALSE)), #N/A)</f>
        <v>1.6648308847119697</v>
      </c>
    </row>
    <row r="50" spans="1:5">
      <c r="A50">
        <v>48</v>
      </c>
      <c r="B50" s="15" t="s">
        <v>140</v>
      </c>
      <c r="C50" s="15" t="s">
        <v>354</v>
      </c>
      <c r="D50" s="15" t="s">
        <v>334</v>
      </c>
      <c r="E50" s="15" t="e">
        <f>IF(ISNUMBER(VLOOKUP(C50,'Justice Spend Total'!C:AQ, 36, FALSE)),(VLOOKUP(C50,'Justice Spend Total'!C:AQ, 36, FALSE)), #N/A)</f>
        <v>#N/A</v>
      </c>
    </row>
    <row r="51" spans="1:5">
      <c r="A51">
        <v>49</v>
      </c>
      <c r="B51" t="s">
        <v>141</v>
      </c>
      <c r="C51" t="s">
        <v>355</v>
      </c>
      <c r="D51" t="s">
        <v>334</v>
      </c>
      <c r="E51" s="15">
        <f>IF(ISNUMBER(VLOOKUP(C51,'Justice Spend Total'!C:AQ, 36, FALSE)),(VLOOKUP(C51,'Justice Spend Total'!C:AQ, 36, FALSE)), #N/A)</f>
        <v>1.8565602070189116</v>
      </c>
    </row>
    <row r="52" spans="1:5">
      <c r="A52">
        <v>50</v>
      </c>
      <c r="B52" s="15" t="s">
        <v>142</v>
      </c>
      <c r="C52" s="15" t="s">
        <v>356</v>
      </c>
      <c r="D52" s="15" t="s">
        <v>334</v>
      </c>
      <c r="E52" s="15">
        <f>IF(ISNUMBER(VLOOKUP(C52,'Justice Spend Total'!C:AQ, 36, FALSE)),(VLOOKUP(C52,'Justice Spend Total'!C:AQ, 36, FALSE)), #N/A)</f>
        <v>0.46384691074343748</v>
      </c>
    </row>
    <row r="53" spans="1:5">
      <c r="A53">
        <v>51</v>
      </c>
      <c r="B53" t="s">
        <v>143</v>
      </c>
      <c r="C53" t="s">
        <v>357</v>
      </c>
      <c r="D53" t="s">
        <v>334</v>
      </c>
      <c r="E53" s="15" t="e">
        <f>IF(ISNUMBER(VLOOKUP(C53,'Justice Spend Total'!C:AQ, 36, FALSE)),(VLOOKUP(C53,'Justice Spend Total'!C:AQ, 36, FALSE)), #N/A)</f>
        <v>#N/A</v>
      </c>
    </row>
    <row r="54" spans="1:5">
      <c r="A54">
        <v>52</v>
      </c>
      <c r="B54" s="15" t="s">
        <v>144</v>
      </c>
      <c r="C54" s="15" t="s">
        <v>358</v>
      </c>
      <c r="D54" s="15" t="s">
        <v>334</v>
      </c>
      <c r="E54" s="15">
        <f>IF(ISNUMBER(VLOOKUP(C54,'Justice Spend Total'!C:AQ, 36, FALSE)),(VLOOKUP(C54,'Justice Spend Total'!C:AQ, 36, FALSE)), #N/A)</f>
        <v>1.7558579224054931</v>
      </c>
    </row>
    <row r="55" spans="1:5">
      <c r="A55">
        <v>53</v>
      </c>
      <c r="B55" s="15" t="s">
        <v>145</v>
      </c>
      <c r="C55" s="15" t="s">
        <v>359</v>
      </c>
      <c r="D55" s="15" t="s">
        <v>334</v>
      </c>
      <c r="E55" s="15">
        <f>IF(ISNUMBER(VLOOKUP(C55,'Justice Spend Total'!C:AQ, 36, FALSE)),(VLOOKUP(C55,'Justice Spend Total'!C:AQ, 36, FALSE)), #N/A)</f>
        <v>1.7736622015945593</v>
      </c>
    </row>
    <row r="56" spans="1:5">
      <c r="A56">
        <v>54</v>
      </c>
      <c r="B56" t="s">
        <v>146</v>
      </c>
      <c r="C56" t="s">
        <v>360</v>
      </c>
      <c r="D56" t="s">
        <v>334</v>
      </c>
      <c r="E56" s="15">
        <f>IF(ISNUMBER(VLOOKUP(C56,'Justice Spend Total'!C:AQ, 36, FALSE)),(VLOOKUP(C56,'Justice Spend Total'!C:AQ, 36, FALSE)), #N/A)</f>
        <v>1.3423605504812646</v>
      </c>
    </row>
    <row r="57" spans="1:5">
      <c r="A57">
        <v>55</v>
      </c>
      <c r="B57" t="s">
        <v>147</v>
      </c>
      <c r="C57" t="s">
        <v>361</v>
      </c>
      <c r="D57" t="s">
        <v>334</v>
      </c>
      <c r="E57" s="15" t="e">
        <f>IF(ISNUMBER(VLOOKUP(C57,'Justice Spend Total'!C:AQ, 36, FALSE)),(VLOOKUP(C57,'Justice Spend Total'!C:AQ, 36, FALSE)), #N/A)</f>
        <v>#N/A</v>
      </c>
    </row>
    <row r="58" spans="1:5">
      <c r="A58">
        <v>56</v>
      </c>
      <c r="B58" s="15" t="s">
        <v>148</v>
      </c>
      <c r="C58" s="15" t="s">
        <v>362</v>
      </c>
      <c r="D58" s="15" t="s">
        <v>334</v>
      </c>
      <c r="E58" s="15">
        <f>IF(ISNUMBER(VLOOKUP(C58,'Justice Spend Total'!C:AQ, 36, FALSE)),(VLOOKUP(C58,'Justice Spend Total'!C:AQ, 36, FALSE)), #N/A)</f>
        <v>3.8038124957858721</v>
      </c>
    </row>
    <row r="59" spans="1:5">
      <c r="A59">
        <v>57</v>
      </c>
      <c r="B59" s="15" t="s">
        <v>149</v>
      </c>
      <c r="C59" s="15" t="s">
        <v>363</v>
      </c>
      <c r="D59" s="15" t="s">
        <v>334</v>
      </c>
      <c r="E59" s="15">
        <f>IF(ISNUMBER(VLOOKUP(C59,'Justice Spend Total'!C:AQ, 36, FALSE)),(VLOOKUP(C59,'Justice Spend Total'!C:AQ, 36, FALSE)), #N/A)</f>
        <v>1.3062911418106029</v>
      </c>
    </row>
    <row r="60" spans="1:5">
      <c r="A60">
        <v>58</v>
      </c>
      <c r="B60" s="15" t="s">
        <v>150</v>
      </c>
      <c r="C60" s="15" t="s">
        <v>364</v>
      </c>
      <c r="D60" s="15" t="s">
        <v>334</v>
      </c>
      <c r="E60" s="15">
        <f>IF(ISNUMBER(VLOOKUP(C60,'Justice Spend Total'!C:AQ, 36, FALSE)),(VLOOKUP(C60,'Justice Spend Total'!C:AQ, 36, FALSE)), #N/A)</f>
        <v>4.4174332219721339</v>
      </c>
    </row>
    <row r="61" spans="1:5">
      <c r="A61">
        <v>59</v>
      </c>
      <c r="B61" s="15" t="s">
        <v>151</v>
      </c>
      <c r="C61" s="15" t="s">
        <v>365</v>
      </c>
      <c r="D61" s="15" t="s">
        <v>334</v>
      </c>
      <c r="E61" s="15" t="e">
        <f>IF(ISNUMBER(VLOOKUP(C61,'Justice Spend Total'!C:AQ, 36, FALSE)),(VLOOKUP(C61,'Justice Spend Total'!C:AQ, 36, FALSE)), #N/A)</f>
        <v>#N/A</v>
      </c>
    </row>
    <row r="62" spans="1:5">
      <c r="A62">
        <v>60</v>
      </c>
      <c r="B62" s="15" t="s">
        <v>152</v>
      </c>
      <c r="C62" s="15" t="s">
        <v>366</v>
      </c>
      <c r="D62" s="15" t="s">
        <v>334</v>
      </c>
      <c r="E62" s="15" t="e">
        <f>IF(ISNUMBER(VLOOKUP(C62,'Justice Spend Total'!C:AQ, 36, FALSE)),(VLOOKUP(C62,'Justice Spend Total'!C:AQ, 36, FALSE)), #N/A)</f>
        <v>#N/A</v>
      </c>
    </row>
    <row r="63" spans="1:5">
      <c r="A63">
        <v>61</v>
      </c>
      <c r="B63" t="s">
        <v>153</v>
      </c>
      <c r="C63" t="s">
        <v>367</v>
      </c>
      <c r="D63" t="s">
        <v>334</v>
      </c>
      <c r="E63" s="15" t="e">
        <f>IF(ISNUMBER(VLOOKUP(C63,'Justice Spend Total'!C:AQ, 36, FALSE)),(VLOOKUP(C63,'Justice Spend Total'!C:AQ, 36, FALSE)), #N/A)</f>
        <v>#N/A</v>
      </c>
    </row>
    <row r="64" spans="1:5">
      <c r="A64">
        <v>62</v>
      </c>
      <c r="B64" t="s">
        <v>154</v>
      </c>
      <c r="C64" t="s">
        <v>368</v>
      </c>
      <c r="D64" t="s">
        <v>334</v>
      </c>
      <c r="E64" s="15" t="e">
        <f>IF(ISNUMBER(VLOOKUP(C64,'Justice Spend Total'!C:AQ, 36, FALSE)),(VLOOKUP(C64,'Justice Spend Total'!C:AQ, 36, FALSE)), #N/A)</f>
        <v>#N/A</v>
      </c>
    </row>
    <row r="65" spans="1:5">
      <c r="A65">
        <v>63</v>
      </c>
      <c r="B65" s="15" t="s">
        <v>155</v>
      </c>
      <c r="C65" s="15" t="s">
        <v>369</v>
      </c>
      <c r="D65" s="15" t="s">
        <v>334</v>
      </c>
      <c r="E65" s="15">
        <f>IF(ISNUMBER(VLOOKUP(C65,'Justice Spend Total'!C:AQ, 36, FALSE)),(VLOOKUP(C65,'Justice Spend Total'!C:AQ, 36, FALSE)), #N/A)</f>
        <v>1.8380493982199879</v>
      </c>
    </row>
    <row r="66" spans="1:5">
      <c r="A66">
        <v>64</v>
      </c>
      <c r="B66" t="s">
        <v>156</v>
      </c>
      <c r="C66" t="s">
        <v>370</v>
      </c>
      <c r="D66" t="s">
        <v>334</v>
      </c>
      <c r="E66" s="15" t="e">
        <f>IF(ISNUMBER(VLOOKUP(C66,'Justice Spend Total'!C:AQ, 36, FALSE)),(VLOOKUP(C66,'Justice Spend Total'!C:AQ, 36, FALSE)), #N/A)</f>
        <v>#N/A</v>
      </c>
    </row>
    <row r="67" spans="1:5">
      <c r="A67">
        <v>65</v>
      </c>
      <c r="B67" t="s">
        <v>157</v>
      </c>
      <c r="C67" t="s">
        <v>371</v>
      </c>
      <c r="D67" t="s">
        <v>334</v>
      </c>
      <c r="E67" s="15" t="e">
        <f>IF(ISNUMBER(VLOOKUP(C67,'Justice Spend Total'!C:AQ, 36, FALSE)),(VLOOKUP(C67,'Justice Spend Total'!C:AQ, 36, FALSE)), #N/A)</f>
        <v>#N/A</v>
      </c>
    </row>
    <row r="68" spans="1:5">
      <c r="A68">
        <v>66</v>
      </c>
      <c r="B68" t="s">
        <v>158</v>
      </c>
      <c r="C68" t="s">
        <v>372</v>
      </c>
      <c r="D68" t="s">
        <v>334</v>
      </c>
      <c r="E68" s="15" t="e">
        <f>IF(ISNUMBER(VLOOKUP(C68,'Justice Spend Total'!C:AQ, 36, FALSE)),(VLOOKUP(C68,'Justice Spend Total'!C:AQ, 36, FALSE)), #N/A)</f>
        <v>#N/A</v>
      </c>
    </row>
    <row r="69" spans="1:5">
      <c r="A69">
        <v>67</v>
      </c>
      <c r="B69" s="15" t="s">
        <v>159</v>
      </c>
      <c r="C69" s="15" t="s">
        <v>373</v>
      </c>
      <c r="D69" s="15" t="s">
        <v>334</v>
      </c>
      <c r="E69" s="15">
        <f>IF(ISNUMBER(VLOOKUP(C69,'Justice Spend Total'!C:AQ, 36, FALSE)),(VLOOKUP(C69,'Justice Spend Total'!C:AQ, 36, FALSE)), #N/A)</f>
        <v>0.81911131862837039</v>
      </c>
    </row>
    <row r="70" spans="1:5">
      <c r="A70">
        <v>68</v>
      </c>
      <c r="B70" s="15" t="s">
        <v>160</v>
      </c>
      <c r="C70" s="15" t="s">
        <v>374</v>
      </c>
      <c r="D70" s="15" t="s">
        <v>334</v>
      </c>
      <c r="E70" s="15" t="e">
        <f>IF(ISNUMBER(VLOOKUP(C70,'Justice Spend Total'!C:AQ, 36, FALSE)),(VLOOKUP(C70,'Justice Spend Total'!C:AQ, 36, FALSE)), #N/A)</f>
        <v>#N/A</v>
      </c>
    </row>
    <row r="71" spans="1:5">
      <c r="A71">
        <v>69</v>
      </c>
      <c r="B71" t="s">
        <v>161</v>
      </c>
      <c r="C71" t="s">
        <v>375</v>
      </c>
      <c r="D71" t="s">
        <v>334</v>
      </c>
      <c r="E71" s="15" t="e">
        <f>IF(ISNUMBER(VLOOKUP(C71,'Justice Spend Total'!C:AQ, 36, FALSE)),(VLOOKUP(C71,'Justice Spend Total'!C:AQ, 36, FALSE)), #N/A)</f>
        <v>#N/A</v>
      </c>
    </row>
    <row r="72" spans="1:5">
      <c r="A72">
        <v>70</v>
      </c>
      <c r="B72" t="s">
        <v>162</v>
      </c>
      <c r="C72" t="s">
        <v>376</v>
      </c>
      <c r="D72" t="s">
        <v>334</v>
      </c>
      <c r="E72" s="15" t="e">
        <f>IF(ISNUMBER(VLOOKUP(C72,'Justice Spend Total'!C:AQ, 36, FALSE)),(VLOOKUP(C72,'Justice Spend Total'!C:AQ, 36, FALSE)), #N/A)</f>
        <v>#N/A</v>
      </c>
    </row>
    <row r="73" spans="1:5">
      <c r="A73">
        <v>71</v>
      </c>
      <c r="B73" s="15" t="s">
        <v>163</v>
      </c>
      <c r="C73" s="15" t="s">
        <v>377</v>
      </c>
      <c r="D73" s="15" t="s">
        <v>334</v>
      </c>
      <c r="E73" s="15">
        <f>IF(ISNUMBER(VLOOKUP(C73,'Justice Spend Total'!C:AQ, 36, FALSE)),(VLOOKUP(C73,'Justice Spend Total'!C:AQ, 36, FALSE)), #N/A)</f>
        <v>0.81629661540997611</v>
      </c>
    </row>
    <row r="74" spans="1:5">
      <c r="A74">
        <v>72</v>
      </c>
      <c r="B74" t="s">
        <v>164</v>
      </c>
      <c r="C74" t="s">
        <v>378</v>
      </c>
      <c r="D74" t="s">
        <v>334</v>
      </c>
      <c r="E74" s="15">
        <f>IF(ISNUMBER(VLOOKUP(C74,'Justice Spend Total'!C:AQ, 36, FALSE)),(VLOOKUP(C74,'Justice Spend Total'!C:AQ, 36, FALSE)), #N/A)</f>
        <v>1.6358097941123289</v>
      </c>
    </row>
    <row r="75" spans="1:5">
      <c r="A75">
        <v>73</v>
      </c>
      <c r="B75" t="s">
        <v>165</v>
      </c>
      <c r="C75" t="s">
        <v>379</v>
      </c>
      <c r="D75" t="s">
        <v>334</v>
      </c>
      <c r="E75" s="15" t="e">
        <f>IF(ISNUMBER(VLOOKUP(C75,'Justice Spend Total'!C:AQ, 36, FALSE)),(VLOOKUP(C75,'Justice Spend Total'!C:AQ, 36, FALSE)), #N/A)</f>
        <v>#N/A</v>
      </c>
    </row>
    <row r="76" spans="1:5">
      <c r="A76">
        <v>74</v>
      </c>
      <c r="B76" s="15" t="s">
        <v>166</v>
      </c>
      <c r="C76" s="15" t="s">
        <v>380</v>
      </c>
      <c r="D76" s="15" t="s">
        <v>334</v>
      </c>
      <c r="E76" s="15">
        <f>IF(ISNUMBER(VLOOKUP(C76,'Justice Spend Total'!C:AQ, 36, FALSE)),(VLOOKUP(C76,'Justice Spend Total'!C:AQ, 36, FALSE)), #N/A)</f>
        <v>0.98582327196768926</v>
      </c>
    </row>
    <row r="77" spans="1:5">
      <c r="A77">
        <v>75</v>
      </c>
      <c r="B77" s="15" t="s">
        <v>167</v>
      </c>
      <c r="C77" s="15" t="s">
        <v>381</v>
      </c>
      <c r="D77" s="15" t="s">
        <v>334</v>
      </c>
      <c r="E77" s="15">
        <f>IF(ISNUMBER(VLOOKUP(C77,'Justice Spend Total'!C:AQ, 36, FALSE)),(VLOOKUP(C77,'Justice Spend Total'!C:AQ, 36, FALSE)), #N/A)</f>
        <v>0</v>
      </c>
    </row>
    <row r="78" spans="1:5">
      <c r="A78">
        <v>76</v>
      </c>
      <c r="B78" s="15" t="s">
        <v>168</v>
      </c>
      <c r="C78" s="15" t="s">
        <v>382</v>
      </c>
      <c r="D78" s="15" t="s">
        <v>334</v>
      </c>
      <c r="E78" s="15">
        <f>IF(ISNUMBER(VLOOKUP(C78,'Justice Spend Total'!C:AQ, 36, FALSE)),(VLOOKUP(C78,'Justice Spend Total'!C:AQ, 36, FALSE)), #N/A)</f>
        <v>1.7818654228928608</v>
      </c>
    </row>
    <row r="79" spans="1:5">
      <c r="A79">
        <v>77</v>
      </c>
      <c r="B79" s="15" t="s">
        <v>169</v>
      </c>
      <c r="C79" s="15" t="s">
        <v>383</v>
      </c>
      <c r="D79" s="15" t="s">
        <v>334</v>
      </c>
      <c r="E79" s="15">
        <f>IF(ISNUMBER(VLOOKUP(C79,'Justice Spend Total'!C:AQ, 36, FALSE)),(VLOOKUP(C79,'Justice Spend Total'!C:AQ, 36, FALSE)), #N/A)</f>
        <v>0</v>
      </c>
    </row>
    <row r="80" spans="1:5">
      <c r="A80">
        <v>78</v>
      </c>
      <c r="B80" s="15" t="s">
        <v>170</v>
      </c>
      <c r="C80" s="15" t="s">
        <v>384</v>
      </c>
      <c r="D80" s="15" t="s">
        <v>334</v>
      </c>
      <c r="E80" s="15">
        <f>IF(ISNUMBER(VLOOKUP(C80,'Justice Spend Total'!C:AQ, 36, FALSE)),(VLOOKUP(C80,'Justice Spend Total'!C:AQ, 36, FALSE)), #N/A)</f>
        <v>1.2164305322762035</v>
      </c>
    </row>
    <row r="81" spans="1:5">
      <c r="A81">
        <v>79</v>
      </c>
      <c r="B81" s="15" t="s">
        <v>171</v>
      </c>
      <c r="C81" s="15" t="s">
        <v>385</v>
      </c>
      <c r="D81" s="15" t="s">
        <v>334</v>
      </c>
      <c r="E81" s="15" t="e">
        <f>IF(ISNUMBER(VLOOKUP(C81,'Justice Spend Total'!C:AQ, 36, FALSE)),(VLOOKUP(C81,'Justice Spend Total'!C:AQ, 36, FALSE)), #N/A)</f>
        <v>#N/A</v>
      </c>
    </row>
    <row r="82" spans="1:5">
      <c r="A82">
        <v>80</v>
      </c>
      <c r="B82" s="15" t="s">
        <v>172</v>
      </c>
      <c r="C82" s="15" t="s">
        <v>386</v>
      </c>
      <c r="D82" s="15" t="s">
        <v>334</v>
      </c>
      <c r="E82" s="15">
        <f>IF(ISNUMBER(VLOOKUP(C82,'Justice Spend Total'!C:AQ, 36, FALSE)),(VLOOKUP(C82,'Justice Spend Total'!C:AQ, 36, FALSE)), #N/A)</f>
        <v>5.6230988178758263</v>
      </c>
    </row>
    <row r="83" spans="1:5">
      <c r="A83">
        <v>81</v>
      </c>
      <c r="B83" s="15" t="s">
        <v>173</v>
      </c>
      <c r="C83" s="15" t="s">
        <v>387</v>
      </c>
      <c r="D83" s="15" t="s">
        <v>334</v>
      </c>
      <c r="E83" s="15">
        <f>IF(ISNUMBER(VLOOKUP(C83,'Justice Spend Total'!C:AQ, 36, FALSE)),(VLOOKUP(C83,'Justice Spend Total'!C:AQ, 36, FALSE)), #N/A)</f>
        <v>0.44118321511026903</v>
      </c>
    </row>
    <row r="84" spans="1:5">
      <c r="A84">
        <v>82</v>
      </c>
      <c r="B84" t="s">
        <v>174</v>
      </c>
      <c r="C84" t="s">
        <v>388</v>
      </c>
      <c r="D84" t="s">
        <v>389</v>
      </c>
      <c r="E84" s="15" t="e">
        <f>IF(ISNUMBER(VLOOKUP(C84,'Justice Spend Total'!C:AQ, 36, FALSE)),(VLOOKUP(C84,'Justice Spend Total'!C:AQ, 36, FALSE)), #N/A)</f>
        <v>#N/A</v>
      </c>
    </row>
    <row r="85" spans="1:5">
      <c r="A85">
        <v>83</v>
      </c>
      <c r="B85" t="s">
        <v>175</v>
      </c>
      <c r="C85" t="s">
        <v>390</v>
      </c>
      <c r="D85" t="s">
        <v>389</v>
      </c>
      <c r="E85" s="15" t="e">
        <f>IF(ISNUMBER(VLOOKUP(C85,'Justice Spend Total'!C:AQ, 36, FALSE)),(VLOOKUP(C85,'Justice Spend Total'!C:AQ, 36, FALSE)), #N/A)</f>
        <v>#N/A</v>
      </c>
    </row>
    <row r="86" spans="1:5">
      <c r="A86">
        <v>84</v>
      </c>
      <c r="B86" s="15" t="s">
        <v>176</v>
      </c>
      <c r="C86" s="15" t="s">
        <v>391</v>
      </c>
      <c r="D86" s="15" t="s">
        <v>389</v>
      </c>
      <c r="E86" s="15">
        <f>IF(ISNUMBER(VLOOKUP(C86,'Justice Spend Total'!C:AQ, 36, FALSE)),(VLOOKUP(C86,'Justice Spend Total'!C:AQ, 36, FALSE)), #N/A)</f>
        <v>1.35295460886353</v>
      </c>
    </row>
    <row r="87" spans="1:5">
      <c r="A87">
        <v>85</v>
      </c>
      <c r="B87" s="15" t="s">
        <v>177</v>
      </c>
      <c r="C87" s="15" t="s">
        <v>392</v>
      </c>
      <c r="D87" s="15" t="s">
        <v>389</v>
      </c>
      <c r="E87" s="15">
        <f>IF(ISNUMBER(VLOOKUP(C87,'Justice Spend Total'!C:AQ, 36, FALSE)),(VLOOKUP(C87,'Justice Spend Total'!C:AQ, 36, FALSE)), #N/A)</f>
        <v>0</v>
      </c>
    </row>
    <row r="88" spans="1:5">
      <c r="A88">
        <v>86</v>
      </c>
      <c r="B88" s="15" t="s">
        <v>178</v>
      </c>
      <c r="C88" s="15" t="s">
        <v>393</v>
      </c>
      <c r="D88" s="15" t="s">
        <v>389</v>
      </c>
      <c r="E88" s="15">
        <f>IF(ISNUMBER(VLOOKUP(C88,'Justice Spend Total'!C:AQ, 36, FALSE)),(VLOOKUP(C88,'Justice Spend Total'!C:AQ, 36, FALSE)), #N/A)</f>
        <v>0.94190115170818878</v>
      </c>
    </row>
    <row r="89" spans="1:5">
      <c r="A89">
        <v>87</v>
      </c>
      <c r="B89" s="15" t="s">
        <v>179</v>
      </c>
      <c r="C89" s="15" t="s">
        <v>394</v>
      </c>
      <c r="D89" s="15" t="s">
        <v>389</v>
      </c>
      <c r="E89" s="15">
        <f>IF(ISNUMBER(VLOOKUP(C89,'Justice Spend Total'!C:AQ, 36, FALSE)),(VLOOKUP(C89,'Justice Spend Total'!C:AQ, 36, FALSE)), #N/A)</f>
        <v>1.1241349229982398</v>
      </c>
    </row>
    <row r="90" spans="1:5">
      <c r="A90">
        <v>88</v>
      </c>
      <c r="B90" t="s">
        <v>180</v>
      </c>
      <c r="C90" t="s">
        <v>395</v>
      </c>
      <c r="D90" t="s">
        <v>389</v>
      </c>
      <c r="E90" s="15" t="e">
        <f>IF(ISNUMBER(VLOOKUP(C90,'Justice Spend Total'!C:AQ, 36, FALSE)),(VLOOKUP(C90,'Justice Spend Total'!C:AQ, 36, FALSE)), #N/A)</f>
        <v>#N/A</v>
      </c>
    </row>
    <row r="91" spans="1:5">
      <c r="A91">
        <v>89</v>
      </c>
      <c r="B91" t="s">
        <v>181</v>
      </c>
      <c r="C91" t="s">
        <v>396</v>
      </c>
      <c r="D91" t="s">
        <v>389</v>
      </c>
      <c r="E91" s="15" t="e">
        <f>IF(ISNUMBER(VLOOKUP(C91,'Justice Spend Total'!C:AQ, 36, FALSE)),(VLOOKUP(C91,'Justice Spend Total'!C:AQ, 36, FALSE)), #N/A)</f>
        <v>#N/A</v>
      </c>
    </row>
    <row r="92" spans="1:5">
      <c r="A92">
        <v>90</v>
      </c>
      <c r="B92" s="15" t="s">
        <v>182</v>
      </c>
      <c r="C92" s="15" t="s">
        <v>397</v>
      </c>
      <c r="D92" s="15" t="s">
        <v>389</v>
      </c>
      <c r="E92" s="15">
        <f>IF(ISNUMBER(VLOOKUP(C92,'Justice Spend Total'!C:AQ, 36, FALSE)),(VLOOKUP(C92,'Justice Spend Total'!C:AQ, 36, FALSE)), #N/A)</f>
        <v>0.44722463522030914</v>
      </c>
    </row>
    <row r="93" spans="1:5">
      <c r="A93">
        <v>91</v>
      </c>
      <c r="B93" s="15" t="s">
        <v>183</v>
      </c>
      <c r="C93" s="15" t="s">
        <v>398</v>
      </c>
      <c r="D93" s="15" t="s">
        <v>389</v>
      </c>
      <c r="E93" s="15">
        <f>IF(ISNUMBER(VLOOKUP(C93,'Justice Spend Total'!C:AQ, 36, FALSE)),(VLOOKUP(C93,'Justice Spend Total'!C:AQ, 36, FALSE)), #N/A)</f>
        <v>4.5334345341568323</v>
      </c>
    </row>
    <row r="94" spans="1:5">
      <c r="A94">
        <v>92</v>
      </c>
      <c r="B94" s="15" t="s">
        <v>184</v>
      </c>
      <c r="C94" s="15" t="s">
        <v>399</v>
      </c>
      <c r="D94" s="15" t="s">
        <v>389</v>
      </c>
      <c r="E94" s="15">
        <f>IF(ISNUMBER(VLOOKUP(C94,'Justice Spend Total'!C:AQ, 36, FALSE)),(VLOOKUP(C94,'Justice Spend Total'!C:AQ, 36, FALSE)), #N/A)</f>
        <v>2.5906236070391859</v>
      </c>
    </row>
    <row r="95" spans="1:5">
      <c r="A95">
        <v>93</v>
      </c>
      <c r="B95" t="s">
        <v>185</v>
      </c>
      <c r="C95" t="s">
        <v>400</v>
      </c>
      <c r="D95" t="s">
        <v>389</v>
      </c>
      <c r="E95" s="15" t="e">
        <f>IF(ISNUMBER(VLOOKUP(C95,'Justice Spend Total'!C:AQ, 36, FALSE)),(VLOOKUP(C95,'Justice Spend Total'!C:AQ, 36, FALSE)), #N/A)</f>
        <v>#N/A</v>
      </c>
    </row>
    <row r="96" spans="1:5">
      <c r="A96">
        <v>94</v>
      </c>
      <c r="B96" s="15" t="s">
        <v>186</v>
      </c>
      <c r="C96" s="15" t="s">
        <v>401</v>
      </c>
      <c r="D96" s="15" t="s">
        <v>389</v>
      </c>
      <c r="E96" s="15">
        <f>IF(ISNUMBER(VLOOKUP(C96,'Justice Spend Total'!C:AQ, 36, FALSE)),(VLOOKUP(C96,'Justice Spend Total'!C:AQ, 36, FALSE)), #N/A)</f>
        <v>3.9845269867979511</v>
      </c>
    </row>
    <row r="97" spans="1:5">
      <c r="A97">
        <v>95</v>
      </c>
      <c r="B97" t="s">
        <v>187</v>
      </c>
      <c r="C97" t="s">
        <v>402</v>
      </c>
      <c r="D97" t="s">
        <v>389</v>
      </c>
      <c r="E97" s="15" t="e">
        <f>IF(ISNUMBER(VLOOKUP(C97,'Justice Spend Total'!C:AQ, 36, FALSE)),(VLOOKUP(C97,'Justice Spend Total'!C:AQ, 36, FALSE)), #N/A)</f>
        <v>#N/A</v>
      </c>
    </row>
    <row r="98" spans="1:5">
      <c r="A98">
        <v>96</v>
      </c>
      <c r="B98" t="s">
        <v>188</v>
      </c>
      <c r="C98" t="s">
        <v>403</v>
      </c>
      <c r="D98" t="s">
        <v>389</v>
      </c>
      <c r="E98" s="15" t="e">
        <f>IF(ISNUMBER(VLOOKUP(C98,'Justice Spend Total'!C:AQ, 36, FALSE)),(VLOOKUP(C98,'Justice Spend Total'!C:AQ, 36, FALSE)), #N/A)</f>
        <v>#N/A</v>
      </c>
    </row>
    <row r="99" spans="1:5">
      <c r="A99">
        <v>97</v>
      </c>
      <c r="B99" s="15" t="s">
        <v>189</v>
      </c>
      <c r="C99" s="15" t="s">
        <v>404</v>
      </c>
      <c r="D99" s="15" t="s">
        <v>389</v>
      </c>
      <c r="E99" s="15">
        <f>IF(ISNUMBER(VLOOKUP(C99,'Justice Spend Total'!C:AQ, 36, FALSE)),(VLOOKUP(C99,'Justice Spend Total'!C:AQ, 36, FALSE)), #N/A)</f>
        <v>1.4822008662016382</v>
      </c>
    </row>
    <row r="100" spans="1:5">
      <c r="A100">
        <v>98</v>
      </c>
      <c r="B100" t="s">
        <v>190</v>
      </c>
      <c r="C100" t="s">
        <v>405</v>
      </c>
      <c r="D100" t="s">
        <v>389</v>
      </c>
      <c r="E100" s="15" t="e">
        <f>IF(ISNUMBER(VLOOKUP(C100,'Justice Spend Total'!C:AQ, 36, FALSE)),(VLOOKUP(C100,'Justice Spend Total'!C:AQ, 36, FALSE)), #N/A)</f>
        <v>#N/A</v>
      </c>
    </row>
    <row r="101" spans="1:5">
      <c r="A101">
        <v>99</v>
      </c>
      <c r="B101" t="s">
        <v>191</v>
      </c>
      <c r="C101" t="s">
        <v>406</v>
      </c>
      <c r="D101" t="s">
        <v>389</v>
      </c>
      <c r="E101" s="15" t="e">
        <f>IF(ISNUMBER(VLOOKUP(C101,'Justice Spend Total'!C:AQ, 36, FALSE)),(VLOOKUP(C101,'Justice Spend Total'!C:AQ, 36, FALSE)), #N/A)</f>
        <v>#N/A</v>
      </c>
    </row>
    <row r="102" spans="1:5">
      <c r="A102">
        <v>100</v>
      </c>
      <c r="B102" s="15" t="s">
        <v>192</v>
      </c>
      <c r="C102" s="15" t="s">
        <v>407</v>
      </c>
      <c r="D102" s="15" t="s">
        <v>389</v>
      </c>
      <c r="E102" s="15">
        <f>IF(ISNUMBER(VLOOKUP(C102,'Justice Spend Total'!C:AQ, 36, FALSE)),(VLOOKUP(C102,'Justice Spend Total'!C:AQ, 36, FALSE)), #N/A)</f>
        <v>0.87532788376637349</v>
      </c>
    </row>
    <row r="103" spans="1:5">
      <c r="A103">
        <v>101</v>
      </c>
      <c r="B103" t="s">
        <v>193</v>
      </c>
      <c r="C103" t="s">
        <v>408</v>
      </c>
      <c r="D103" t="s">
        <v>389</v>
      </c>
      <c r="E103" s="15" t="e">
        <f>IF(ISNUMBER(VLOOKUP(C103,'Justice Spend Total'!C:AQ, 36, FALSE)),(VLOOKUP(C103,'Justice Spend Total'!C:AQ, 36, FALSE)), #N/A)</f>
        <v>#N/A</v>
      </c>
    </row>
    <row r="104" spans="1:5">
      <c r="A104">
        <v>102</v>
      </c>
      <c r="B104" t="s">
        <v>194</v>
      </c>
      <c r="C104" t="s">
        <v>409</v>
      </c>
      <c r="D104" t="s">
        <v>389</v>
      </c>
      <c r="E104" s="15" t="e">
        <f>IF(ISNUMBER(VLOOKUP(C104,'Justice Spend Total'!C:AQ, 36, FALSE)),(VLOOKUP(C104,'Justice Spend Total'!C:AQ, 36, FALSE)), #N/A)</f>
        <v>#N/A</v>
      </c>
    </row>
    <row r="105" spans="1:5">
      <c r="A105">
        <v>103</v>
      </c>
      <c r="B105" s="15" t="s">
        <v>195</v>
      </c>
      <c r="C105" s="15" t="s">
        <v>410</v>
      </c>
      <c r="D105" s="15" t="s">
        <v>389</v>
      </c>
      <c r="E105" s="15">
        <f>IF(ISNUMBER(VLOOKUP(C105,'Justice Spend Total'!C:AQ, 36, FALSE)),(VLOOKUP(C105,'Justice Spend Total'!C:AQ, 36, FALSE)), #N/A)</f>
        <v>1.8807753478640283</v>
      </c>
    </row>
    <row r="106" spans="1:5">
      <c r="A106">
        <v>104</v>
      </c>
      <c r="B106" t="s">
        <v>196</v>
      </c>
      <c r="C106" t="s">
        <v>411</v>
      </c>
      <c r="D106" t="s">
        <v>389</v>
      </c>
      <c r="E106" s="15" t="e">
        <f>IF(ISNUMBER(VLOOKUP(C106,'Justice Spend Total'!C:AQ, 36, FALSE)),(VLOOKUP(C106,'Justice Spend Total'!C:AQ, 36, FALSE)), #N/A)</f>
        <v>#N/A</v>
      </c>
    </row>
    <row r="107" spans="1:5">
      <c r="A107">
        <v>105</v>
      </c>
      <c r="B107" t="s">
        <v>197</v>
      </c>
      <c r="C107" t="s">
        <v>412</v>
      </c>
      <c r="D107" t="s">
        <v>389</v>
      </c>
      <c r="E107" s="15" t="e">
        <f>IF(ISNUMBER(VLOOKUP(C107,'Justice Spend Total'!C:AQ, 36, FALSE)),(VLOOKUP(C107,'Justice Spend Total'!C:AQ, 36, FALSE)), #N/A)</f>
        <v>#N/A</v>
      </c>
    </row>
    <row r="108" spans="1:5">
      <c r="A108">
        <v>106</v>
      </c>
      <c r="B108" t="s">
        <v>198</v>
      </c>
      <c r="C108" t="s">
        <v>413</v>
      </c>
      <c r="D108" t="s">
        <v>389</v>
      </c>
      <c r="E108" s="15" t="e">
        <f>IF(ISNUMBER(VLOOKUP(C108,'Justice Spend Total'!C:AQ, 36, FALSE)),(VLOOKUP(C108,'Justice Spend Total'!C:AQ, 36, FALSE)), #N/A)</f>
        <v>#N/A</v>
      </c>
    </row>
    <row r="109" spans="1:5">
      <c r="A109">
        <v>107</v>
      </c>
      <c r="B109" s="15" t="s">
        <v>199</v>
      </c>
      <c r="C109" s="15" t="s">
        <v>414</v>
      </c>
      <c r="D109" s="15" t="s">
        <v>389</v>
      </c>
      <c r="E109" s="15">
        <f>IF(ISNUMBER(VLOOKUP(C109,'Justice Spend Total'!C:AQ, 36, FALSE)),(VLOOKUP(C109,'Justice Spend Total'!C:AQ, 36, FALSE)), #N/A)</f>
        <v>2.6558428637281013</v>
      </c>
    </row>
    <row r="110" spans="1:5">
      <c r="A110">
        <v>108</v>
      </c>
      <c r="B110" s="15" t="s">
        <v>200</v>
      </c>
      <c r="C110" s="15" t="s">
        <v>415</v>
      </c>
      <c r="D110" s="15" t="s">
        <v>389</v>
      </c>
      <c r="E110" s="15">
        <f>IF(ISNUMBER(VLOOKUP(C110,'Justice Spend Total'!C:AQ, 36, FALSE)),(VLOOKUP(C110,'Justice Spend Total'!C:AQ, 36, FALSE)), #N/A)</f>
        <v>0.52287789598683032</v>
      </c>
    </row>
    <row r="111" spans="1:5">
      <c r="A111">
        <v>109</v>
      </c>
      <c r="B111" t="s">
        <v>201</v>
      </c>
      <c r="C111" t="s">
        <v>416</v>
      </c>
      <c r="D111" t="s">
        <v>389</v>
      </c>
      <c r="E111" s="15" t="e">
        <f>IF(ISNUMBER(VLOOKUP(C111,'Justice Spend Total'!C:AQ, 36, FALSE)),(VLOOKUP(C111,'Justice Spend Total'!C:AQ, 36, FALSE)), #N/A)</f>
        <v>#N/A</v>
      </c>
    </row>
    <row r="112" spans="1:5">
      <c r="A112">
        <v>110</v>
      </c>
      <c r="B112" t="s">
        <v>202</v>
      </c>
      <c r="C112" t="s">
        <v>417</v>
      </c>
      <c r="D112" t="s">
        <v>389</v>
      </c>
      <c r="E112" s="15" t="e">
        <f>IF(ISNUMBER(VLOOKUP(C112,'Justice Spend Total'!C:AQ, 36, FALSE)),(VLOOKUP(C112,'Justice Spend Total'!C:AQ, 36, FALSE)), #N/A)</f>
        <v>#N/A</v>
      </c>
    </row>
    <row r="113" spans="1:5">
      <c r="A113">
        <v>111</v>
      </c>
      <c r="B113" s="15" t="s">
        <v>203</v>
      </c>
      <c r="C113" s="15" t="s">
        <v>418</v>
      </c>
      <c r="D113" s="15" t="s">
        <v>389</v>
      </c>
      <c r="E113" s="15">
        <f>IF(ISNUMBER(VLOOKUP(C113,'Justice Spend Total'!C:AQ, 36, FALSE)),(VLOOKUP(C113,'Justice Spend Total'!C:AQ, 36, FALSE)), #N/A)</f>
        <v>1.3205479917189005</v>
      </c>
    </row>
    <row r="114" spans="1:5">
      <c r="A114">
        <v>112</v>
      </c>
      <c r="B114" s="15" t="s">
        <v>204</v>
      </c>
      <c r="C114" s="15" t="s">
        <v>419</v>
      </c>
      <c r="D114" s="15" t="s">
        <v>389</v>
      </c>
      <c r="E114" s="15">
        <f>IF(ISNUMBER(VLOOKUP(C114,'Justice Spend Total'!C:AQ, 36, FALSE)),(VLOOKUP(C114,'Justice Spend Total'!C:AQ, 36, FALSE)), #N/A)</f>
        <v>2.7301046807719289</v>
      </c>
    </row>
    <row r="115" spans="1:5">
      <c r="A115">
        <v>113</v>
      </c>
      <c r="B115" t="s">
        <v>205</v>
      </c>
      <c r="C115" t="s">
        <v>420</v>
      </c>
      <c r="D115" t="s">
        <v>389</v>
      </c>
      <c r="E115" s="15" t="e">
        <f>IF(ISNUMBER(VLOOKUP(C115,'Justice Spend Total'!C:AQ, 36, FALSE)),(VLOOKUP(C115,'Justice Spend Total'!C:AQ, 36, FALSE)), #N/A)</f>
        <v>#N/A</v>
      </c>
    </row>
    <row r="116" spans="1:5">
      <c r="A116">
        <v>114</v>
      </c>
      <c r="B116" t="s">
        <v>206</v>
      </c>
      <c r="C116" t="s">
        <v>421</v>
      </c>
      <c r="D116" t="s">
        <v>389</v>
      </c>
      <c r="E116" s="15" t="e">
        <f>IF(ISNUMBER(VLOOKUP(C116,'Justice Spend Total'!C:AQ, 36, FALSE)),(VLOOKUP(C116,'Justice Spend Total'!C:AQ, 36, FALSE)), #N/A)</f>
        <v>#N/A</v>
      </c>
    </row>
    <row r="117" spans="1:5">
      <c r="A117">
        <v>115</v>
      </c>
      <c r="B117" s="15" t="s">
        <v>207</v>
      </c>
      <c r="C117" s="15" t="s">
        <v>422</v>
      </c>
      <c r="D117" s="15" t="s">
        <v>389</v>
      </c>
      <c r="E117" s="15">
        <f>IF(ISNUMBER(VLOOKUP(C117,'Justice Spend Total'!C:AQ, 36, FALSE)),(VLOOKUP(C117,'Justice Spend Total'!C:AQ, 36, FALSE)), #N/A)</f>
        <v>2.3713939739286145</v>
      </c>
    </row>
    <row r="118" spans="1:5">
      <c r="A118">
        <v>116</v>
      </c>
      <c r="B118" t="s">
        <v>208</v>
      </c>
      <c r="C118" t="s">
        <v>423</v>
      </c>
      <c r="D118" t="s">
        <v>389</v>
      </c>
      <c r="E118" s="15" t="e">
        <f>IF(ISNUMBER(VLOOKUP(C118,'Justice Spend Total'!C:AQ, 36, FALSE)),(VLOOKUP(C118,'Justice Spend Total'!C:AQ, 36, FALSE)), #N/A)</f>
        <v>#N/A</v>
      </c>
    </row>
    <row r="119" spans="1:5">
      <c r="A119">
        <v>117</v>
      </c>
      <c r="B119" t="s">
        <v>209</v>
      </c>
      <c r="C119" t="s">
        <v>424</v>
      </c>
      <c r="D119" t="s">
        <v>389</v>
      </c>
      <c r="E119" s="15" t="e">
        <f>IF(ISNUMBER(VLOOKUP(C119,'Justice Spend Total'!C:AQ, 36, FALSE)),(VLOOKUP(C119,'Justice Spend Total'!C:AQ, 36, FALSE)), #N/A)</f>
        <v>#N/A</v>
      </c>
    </row>
    <row r="120" spans="1:5">
      <c r="A120">
        <v>118</v>
      </c>
      <c r="B120" t="s">
        <v>210</v>
      </c>
      <c r="C120" t="s">
        <v>425</v>
      </c>
      <c r="D120" t="s">
        <v>389</v>
      </c>
      <c r="E120" s="15" t="e">
        <f>IF(ISNUMBER(VLOOKUP(C120,'Justice Spend Total'!C:AQ, 36, FALSE)),(VLOOKUP(C120,'Justice Spend Total'!C:AQ, 36, FALSE)), #N/A)</f>
        <v>#N/A</v>
      </c>
    </row>
    <row r="121" spans="1:5">
      <c r="A121">
        <v>119</v>
      </c>
      <c r="B121" t="s">
        <v>211</v>
      </c>
      <c r="C121" t="s">
        <v>426</v>
      </c>
      <c r="D121" t="s">
        <v>389</v>
      </c>
      <c r="E121" s="15" t="e">
        <f>IF(ISNUMBER(VLOOKUP(C121,'Justice Spend Total'!C:AQ, 36, FALSE)),(VLOOKUP(C121,'Justice Spend Total'!C:AQ, 36, FALSE)), #N/A)</f>
        <v>#N/A</v>
      </c>
    </row>
    <row r="122" spans="1:5">
      <c r="A122">
        <v>120</v>
      </c>
      <c r="B122" s="15" t="s">
        <v>212</v>
      </c>
      <c r="C122" s="15" t="s">
        <v>427</v>
      </c>
      <c r="D122" s="15" t="s">
        <v>389</v>
      </c>
      <c r="E122" s="15">
        <f>IF(ISNUMBER(VLOOKUP(C122,'Justice Spend Total'!C:AQ, 36, FALSE)),(VLOOKUP(C122,'Justice Spend Total'!C:AQ, 36, FALSE)), #N/A)</f>
        <v>0.64852414989884122</v>
      </c>
    </row>
    <row r="123" spans="1:5">
      <c r="A123">
        <v>121</v>
      </c>
      <c r="B123" t="s">
        <v>213</v>
      </c>
      <c r="C123" t="s">
        <v>428</v>
      </c>
      <c r="D123" t="s">
        <v>389</v>
      </c>
      <c r="E123" s="15" t="e">
        <f>IF(ISNUMBER(VLOOKUP(C123,'Justice Spend Total'!C:AQ, 36, FALSE)),(VLOOKUP(C123,'Justice Spend Total'!C:AQ, 36, FALSE)), #N/A)</f>
        <v>#N/A</v>
      </c>
    </row>
    <row r="124" spans="1:5">
      <c r="A124">
        <v>122</v>
      </c>
      <c r="B124" t="s">
        <v>214</v>
      </c>
      <c r="C124" t="s">
        <v>429</v>
      </c>
      <c r="D124" t="s">
        <v>389</v>
      </c>
      <c r="E124" s="15" t="e">
        <f>IF(ISNUMBER(VLOOKUP(C124,'Justice Spend Total'!C:AQ, 36, FALSE)),(VLOOKUP(C124,'Justice Spend Total'!C:AQ, 36, FALSE)), #N/A)</f>
        <v>#N/A</v>
      </c>
    </row>
    <row r="125" spans="1:5">
      <c r="A125">
        <v>123</v>
      </c>
      <c r="B125" t="s">
        <v>215</v>
      </c>
      <c r="C125" t="s">
        <v>430</v>
      </c>
      <c r="D125" t="s">
        <v>389</v>
      </c>
      <c r="E125" s="15" t="e">
        <f>IF(ISNUMBER(VLOOKUP(C125,'Justice Spend Total'!C:AQ, 36, FALSE)),(VLOOKUP(C125,'Justice Spend Total'!C:AQ, 36, FALSE)), #N/A)</f>
        <v>#N/A</v>
      </c>
    </row>
    <row r="126" spans="1:5">
      <c r="A126">
        <v>124</v>
      </c>
      <c r="B126" t="s">
        <v>216</v>
      </c>
      <c r="C126" t="s">
        <v>431</v>
      </c>
      <c r="D126" t="s">
        <v>389</v>
      </c>
      <c r="E126" s="15" t="e">
        <f>IF(ISNUMBER(VLOOKUP(C126,'Justice Spend Total'!C:AQ, 36, FALSE)),(VLOOKUP(C126,'Justice Spend Total'!C:AQ, 36, FALSE)), #N/A)</f>
        <v>#N/A</v>
      </c>
    </row>
    <row r="127" spans="1:5">
      <c r="A127">
        <v>125</v>
      </c>
      <c r="B127" t="s">
        <v>217</v>
      </c>
      <c r="C127" t="s">
        <v>432</v>
      </c>
      <c r="D127" t="s">
        <v>389</v>
      </c>
      <c r="E127" s="15" t="e">
        <f>IF(ISNUMBER(VLOOKUP(C127,'Justice Spend Total'!C:AQ, 36, FALSE)),(VLOOKUP(C127,'Justice Spend Total'!C:AQ, 36, FALSE)), #N/A)</f>
        <v>#N/A</v>
      </c>
    </row>
    <row r="128" spans="1:5">
      <c r="A128">
        <v>126</v>
      </c>
      <c r="B128" s="15" t="s">
        <v>218</v>
      </c>
      <c r="C128" s="15" t="s">
        <v>433</v>
      </c>
      <c r="D128" s="15" t="s">
        <v>389</v>
      </c>
      <c r="E128" s="15">
        <f>IF(ISNUMBER(VLOOKUP(C128,'Justice Spend Total'!C:AQ, 36, FALSE)),(VLOOKUP(C128,'Justice Spend Total'!C:AQ, 36, FALSE)), #N/A)</f>
        <v>1.0804263311513069</v>
      </c>
    </row>
    <row r="129" spans="1:5">
      <c r="A129">
        <v>127</v>
      </c>
      <c r="B129" s="15" t="s">
        <v>219</v>
      </c>
      <c r="C129" s="15" t="s">
        <v>434</v>
      </c>
      <c r="D129" s="15" t="s">
        <v>389</v>
      </c>
      <c r="E129" s="15">
        <f>IF(ISNUMBER(VLOOKUP(C129,'Justice Spend Total'!C:AQ, 36, FALSE)),(VLOOKUP(C129,'Justice Spend Total'!C:AQ, 36, FALSE)), #N/A)</f>
        <v>1.1683856950493372</v>
      </c>
    </row>
    <row r="130" spans="1:5">
      <c r="A130">
        <v>128</v>
      </c>
      <c r="B130" s="15" t="s">
        <v>220</v>
      </c>
      <c r="C130" s="15" t="s">
        <v>435</v>
      </c>
      <c r="D130" s="15" t="s">
        <v>389</v>
      </c>
      <c r="E130" s="15">
        <f>IF(ISNUMBER(VLOOKUP(C130,'Justice Spend Total'!C:AQ, 36, FALSE)),(VLOOKUP(C130,'Justice Spend Total'!C:AQ, 36, FALSE)), #N/A)</f>
        <v>1.9467842213938893</v>
      </c>
    </row>
    <row r="131" spans="1:5">
      <c r="A131">
        <v>129</v>
      </c>
      <c r="B131" s="15" t="s">
        <v>221</v>
      </c>
      <c r="C131" s="15" t="s">
        <v>436</v>
      </c>
      <c r="D131" s="15" t="s">
        <v>389</v>
      </c>
      <c r="E131" s="15">
        <f>IF(ISNUMBER(VLOOKUP(C131,'Justice Spend Total'!C:AQ, 36, FALSE)),(VLOOKUP(C131,'Justice Spend Total'!C:AQ, 36, FALSE)), #N/A)</f>
        <v>0.85965007186920395</v>
      </c>
    </row>
    <row r="132" spans="1:5">
      <c r="A132">
        <v>130</v>
      </c>
      <c r="B132" s="15" t="s">
        <v>222</v>
      </c>
      <c r="C132" s="15" t="s">
        <v>437</v>
      </c>
      <c r="D132" s="15" t="s">
        <v>389</v>
      </c>
      <c r="E132" s="15" t="e">
        <f>IF(ISNUMBER(VLOOKUP(C132,'Justice Spend Total'!C:AQ, 36, FALSE)),(VLOOKUP(C132,'Justice Spend Total'!C:AQ, 36, FALSE)), #N/A)</f>
        <v>#N/A</v>
      </c>
    </row>
    <row r="133" spans="1:5">
      <c r="A133">
        <v>131</v>
      </c>
      <c r="B133" s="15" t="s">
        <v>223</v>
      </c>
      <c r="C133" s="15" t="s">
        <v>438</v>
      </c>
      <c r="D133" s="15" t="s">
        <v>389</v>
      </c>
      <c r="E133" s="15">
        <f>IF(ISNUMBER(VLOOKUP(C133,'Justice Spend Total'!C:AQ, 36, FALSE)),(VLOOKUP(C133,'Justice Spend Total'!C:AQ, 36, FALSE)), #N/A)</f>
        <v>0.80494884106484288</v>
      </c>
    </row>
    <row r="134" spans="1:5">
      <c r="A134">
        <v>132</v>
      </c>
      <c r="B134" s="15" t="s">
        <v>224</v>
      </c>
      <c r="C134" s="15" t="s">
        <v>439</v>
      </c>
      <c r="D134" s="15" t="s">
        <v>389</v>
      </c>
      <c r="E134" s="15" t="e">
        <f>IF(ISNUMBER(VLOOKUP(C134,'Justice Spend Total'!C:AQ, 36, FALSE)),(VLOOKUP(C134,'Justice Spend Total'!C:AQ, 36, FALSE)), #N/A)</f>
        <v>#N/A</v>
      </c>
    </row>
    <row r="135" spans="1:5">
      <c r="A135">
        <v>133</v>
      </c>
      <c r="B135" s="15" t="s">
        <v>225</v>
      </c>
      <c r="C135" s="15" t="s">
        <v>440</v>
      </c>
      <c r="D135" s="15" t="s">
        <v>389</v>
      </c>
      <c r="E135" s="15">
        <f>IF(ISNUMBER(VLOOKUP(C135,'Justice Spend Total'!C:AQ, 36, FALSE)),(VLOOKUP(C135,'Justice Spend Total'!C:AQ, 36, FALSE)), #N/A)</f>
        <v>10.178837256359719</v>
      </c>
    </row>
    <row r="136" spans="1:5">
      <c r="A136">
        <v>145</v>
      </c>
      <c r="B136" s="15" t="s">
        <v>75</v>
      </c>
      <c r="C136" s="15" t="s">
        <v>441</v>
      </c>
      <c r="D136" s="15" t="s">
        <v>285</v>
      </c>
      <c r="E136" s="15">
        <f>IF(ISNUMBER(VLOOKUP(C136,'Justice Spend Total'!C:AQ, 36, FALSE)),(VLOOKUP(C136,'Justice Spend Total'!C:AQ, 36, FALSE)), #N/A)</f>
        <v>1.3441087297140182</v>
      </c>
    </row>
    <row r="137" spans="1:5">
      <c r="A137">
        <v>148</v>
      </c>
      <c r="B137" s="15" t="s">
        <v>68</v>
      </c>
      <c r="C137" s="15" t="s">
        <v>442</v>
      </c>
      <c r="D137" s="15" t="s">
        <v>285</v>
      </c>
      <c r="E137" s="15">
        <f>IF(ISNUMBER(VLOOKUP(C137,'Justice Spend Total'!C:AQ, 36, FALSE)),(VLOOKUP(C137,'Justice Spend Total'!C:AQ, 36, FALSE)), #N/A)</f>
        <v>0.97480153299556327</v>
      </c>
    </row>
    <row r="138" spans="1:5">
      <c r="A138">
        <v>153</v>
      </c>
      <c r="B138" s="15" t="s">
        <v>65</v>
      </c>
      <c r="C138" s="15" t="s">
        <v>443</v>
      </c>
      <c r="D138" s="15" t="s">
        <v>285</v>
      </c>
      <c r="E138" s="15">
        <f>IF(ISNUMBER(VLOOKUP(C138,'Justice Spend Total'!C:AQ, 36, FALSE)),(VLOOKUP(C138,'Justice Spend Total'!C:AQ, 36, FALSE)), #N/A)</f>
        <v>0.81267640652165651</v>
      </c>
    </row>
    <row r="139" spans="1:5">
      <c r="A139">
        <v>154</v>
      </c>
      <c r="B139" s="15" t="s">
        <v>76</v>
      </c>
      <c r="C139" s="15" t="s">
        <v>444</v>
      </c>
      <c r="D139" s="15" t="s">
        <v>285</v>
      </c>
      <c r="E139" s="15">
        <f>IF(ISNUMBER(VLOOKUP(C139,'Justice Spend Total'!C:AQ, 36, FALSE)),(VLOOKUP(C139,'Justice Spend Total'!C:AQ, 36, FALSE)), #N/A)</f>
        <v>0.81697143969368924</v>
      </c>
    </row>
    <row r="140" spans="1:5">
      <c r="A140">
        <v>160</v>
      </c>
      <c r="B140" s="15" t="s">
        <v>62</v>
      </c>
      <c r="C140" s="15" t="s">
        <v>445</v>
      </c>
      <c r="D140" s="15" t="s">
        <v>285</v>
      </c>
      <c r="E140" s="15">
        <f>IF(ISNUMBER(VLOOKUP(C140,'Justice Spend Total'!C:AQ, 36, FALSE)),(VLOOKUP(C140,'Justice Spend Total'!C:AQ, 36, FALSE)), #N/A)</f>
        <v>0.7991711494908309</v>
      </c>
    </row>
    <row r="141" spans="1:5">
      <c r="A141">
        <v>161</v>
      </c>
      <c r="B141" s="15" t="s">
        <v>70</v>
      </c>
      <c r="C141" s="15" t="s">
        <v>446</v>
      </c>
      <c r="D141" s="15" t="s">
        <v>285</v>
      </c>
      <c r="E141" s="15">
        <f>IF(ISNUMBER(VLOOKUP(C141,'Justice Spend Total'!C:AQ, 36, FALSE)),(VLOOKUP(C141,'Justice Spend Total'!C:AQ, 36, FALSE)), #N/A)</f>
        <v>0.78588998921384312</v>
      </c>
    </row>
    <row r="142" spans="1:5">
      <c r="A142">
        <v>166</v>
      </c>
      <c r="B142" s="15" t="s">
        <v>60</v>
      </c>
      <c r="C142" s="15" t="s">
        <v>447</v>
      </c>
      <c r="D142" s="15" t="s">
        <v>285</v>
      </c>
      <c r="E142" s="15">
        <f>IF(ISNUMBER(VLOOKUP(C142,'Justice Spend Total'!C:AQ, 36, FALSE)),(VLOOKUP(C142,'Justice Spend Total'!C:AQ, 36, FALSE)), #N/A)</f>
        <v>1.1029669464965985</v>
      </c>
    </row>
    <row r="143" spans="1:5">
      <c r="A143">
        <v>167</v>
      </c>
      <c r="B143" s="15" t="s">
        <v>69</v>
      </c>
      <c r="C143" s="15" t="s">
        <v>448</v>
      </c>
      <c r="D143" s="15" t="s">
        <v>285</v>
      </c>
      <c r="E143" s="15">
        <f>IF(ISNUMBER(VLOOKUP(C143,'Justice Spend Total'!C:AQ, 36, FALSE)),(VLOOKUP(C143,'Justice Spend Total'!C:AQ, 36, FALSE)), #N/A)</f>
        <v>0.94740155003648474</v>
      </c>
    </row>
    <row r="144" spans="1:5">
      <c r="A144">
        <v>170</v>
      </c>
      <c r="B144" t="s">
        <v>73</v>
      </c>
      <c r="C144" t="s">
        <v>449</v>
      </c>
      <c r="D144" t="s">
        <v>285</v>
      </c>
      <c r="E144" s="15" t="e">
        <f>IF(ISNUMBER(VLOOKUP(C144,'Justice Spend Total'!C:AQ, 36, FALSE)),(VLOOKUP(C144,'Justice Spend Total'!C:AQ, 36, FALSE)), #N/A)</f>
        <v>#N/A</v>
      </c>
    </row>
    <row r="145" spans="1:5">
      <c r="A145">
        <v>171</v>
      </c>
      <c r="B145" s="15" t="s">
        <v>63</v>
      </c>
      <c r="C145" s="15" t="s">
        <v>450</v>
      </c>
      <c r="D145" s="15" t="s">
        <v>285</v>
      </c>
      <c r="E145" s="15">
        <f>IF(ISNUMBER(VLOOKUP(C145,'Justice Spend Total'!C:AQ, 36, FALSE)),(VLOOKUP(C145,'Justice Spend Total'!C:AQ, 36, FALSE)), #N/A)</f>
        <v>0.72695455074262627</v>
      </c>
    </row>
    <row r="146" spans="1:5">
      <c r="A146">
        <v>174</v>
      </c>
      <c r="B146" s="15" t="s">
        <v>57</v>
      </c>
      <c r="C146" s="15" t="s">
        <v>451</v>
      </c>
      <c r="D146" s="15" t="s">
        <v>285</v>
      </c>
      <c r="E146" s="15">
        <f>IF(ISNUMBER(VLOOKUP(C146,'Justice Spend Total'!C:AQ, 36, FALSE)),(VLOOKUP(C146,'Justice Spend Total'!C:AQ, 36, FALSE)), #N/A)</f>
        <v>0.29482172256023442</v>
      </c>
    </row>
    <row r="147" spans="1:5">
      <c r="A147">
        <v>175</v>
      </c>
      <c r="B147" s="15" t="s">
        <v>55</v>
      </c>
      <c r="C147" s="15" t="s">
        <v>452</v>
      </c>
      <c r="D147" s="15" t="s">
        <v>285</v>
      </c>
      <c r="E147" s="15">
        <f>IF(ISNUMBER(VLOOKUP(C147,'Justice Spend Total'!C:AQ, 36, FALSE)),(VLOOKUP(C147,'Justice Spend Total'!C:AQ, 36, FALSE)), #N/A)</f>
        <v>0.46710067235289687</v>
      </c>
    </row>
    <row r="148" spans="1:5">
      <c r="A148">
        <v>176</v>
      </c>
      <c r="B148" s="15" t="s">
        <v>71</v>
      </c>
      <c r="C148" s="15" t="s">
        <v>453</v>
      </c>
      <c r="D148" s="15" t="s">
        <v>285</v>
      </c>
      <c r="E148" s="15" t="e">
        <f>IF(ISNUMBER(VLOOKUP(C148,'Justice Spend Total'!C:AQ, 36, FALSE)),(VLOOKUP(C148,'Justice Spend Total'!C:AQ, 36, FALSE)), #N/A)</f>
        <v>#N/A</v>
      </c>
    </row>
    <row r="149" spans="1:5">
      <c r="A149">
        <v>177</v>
      </c>
      <c r="B149" s="15" t="s">
        <v>72</v>
      </c>
      <c r="C149" s="15" t="s">
        <v>454</v>
      </c>
      <c r="D149" s="15" t="s">
        <v>285</v>
      </c>
      <c r="E149" s="15">
        <f>IF(ISNUMBER(VLOOKUP(C149,'Justice Spend Total'!C:AQ, 36, FALSE)),(VLOOKUP(C149,'Justice Spend Total'!C:AQ, 36, FALSE)), #N/A)</f>
        <v>1.1123990475626662</v>
      </c>
    </row>
    <row r="150" spans="1:5">
      <c r="A150">
        <v>180</v>
      </c>
      <c r="B150" s="15" t="s">
        <v>64</v>
      </c>
      <c r="C150" s="15" t="s">
        <v>455</v>
      </c>
      <c r="D150" s="15" t="s">
        <v>285</v>
      </c>
      <c r="E150" s="15">
        <f>IF(ISNUMBER(VLOOKUP(C150,'Justice Spend Total'!C:AQ, 36, FALSE)),(VLOOKUP(C150,'Justice Spend Total'!C:AQ, 36, FALSE)), #N/A)</f>
        <v>0.62725985097295445</v>
      </c>
    </row>
    <row r="151" spans="1:5">
      <c r="A151">
        <v>182</v>
      </c>
      <c r="B151" s="15" t="s">
        <v>58</v>
      </c>
      <c r="C151" s="15" t="s">
        <v>456</v>
      </c>
      <c r="D151" s="15" t="s">
        <v>285</v>
      </c>
      <c r="E151" s="15">
        <f>IF(ISNUMBER(VLOOKUP(C151,'Justice Spend Total'!C:AQ, 36, FALSE)),(VLOOKUP(C151,'Justice Spend Total'!C:AQ, 36, FALSE)), #N/A)</f>
        <v>0.5308411130025007</v>
      </c>
    </row>
    <row r="152" spans="1:5">
      <c r="A152">
        <v>183</v>
      </c>
      <c r="B152" s="15" t="s">
        <v>56</v>
      </c>
      <c r="C152" s="15" t="s">
        <v>457</v>
      </c>
      <c r="D152" s="15" t="s">
        <v>285</v>
      </c>
      <c r="E152" s="15">
        <f>IF(ISNUMBER(VLOOKUP(C152,'Justice Spend Total'!C:AQ, 36, FALSE)),(VLOOKUP(C152,'Justice Spend Total'!C:AQ, 36, FALSE)), #N/A)</f>
        <v>0.8287110388143365</v>
      </c>
    </row>
    <row r="153" spans="1:5">
      <c r="A153">
        <v>184</v>
      </c>
      <c r="B153" s="15" t="s">
        <v>53</v>
      </c>
      <c r="C153" s="15" t="s">
        <v>458</v>
      </c>
      <c r="D153" s="15" t="s">
        <v>285</v>
      </c>
      <c r="E153" s="15">
        <f>IF(ISNUMBER(VLOOKUP(C153,'Justice Spend Total'!C:AQ, 36, FALSE)),(VLOOKUP(C153,'Justice Spend Total'!C:AQ, 36, FALSE)), #N/A)</f>
        <v>0.58526955878447229</v>
      </c>
    </row>
    <row r="154" spans="1:5">
      <c r="A154">
        <v>185</v>
      </c>
      <c r="B154" s="15" t="s">
        <v>50</v>
      </c>
      <c r="C154" s="15" t="s">
        <v>459</v>
      </c>
      <c r="D154" s="15" t="s">
        <v>285</v>
      </c>
      <c r="E154" s="15">
        <f>IF(ISNUMBER(VLOOKUP(C154,'Justice Spend Total'!C:AQ, 36, FALSE)),(VLOOKUP(C154,'Justice Spend Total'!C:AQ, 36, FALSE)), #N/A)</f>
        <v>0.46560615202371308</v>
      </c>
    </row>
    <row r="155" spans="1:5">
      <c r="A155">
        <v>187</v>
      </c>
      <c r="B155" s="15" t="s">
        <v>66</v>
      </c>
      <c r="C155" s="15" t="s">
        <v>460</v>
      </c>
      <c r="D155" s="15" t="s">
        <v>285</v>
      </c>
      <c r="E155" s="15">
        <f>IF(ISNUMBER(VLOOKUP(C155,'Justice Spend Total'!C:AQ, 36, FALSE)),(VLOOKUP(C155,'Justice Spend Total'!C:AQ, 36, FALSE)), #N/A)</f>
        <v>0.70785579948751853</v>
      </c>
    </row>
    <row r="156" spans="1:5">
      <c r="A156">
        <v>188</v>
      </c>
      <c r="B156" s="15" t="s">
        <v>74</v>
      </c>
      <c r="C156" s="15" t="s">
        <v>461</v>
      </c>
      <c r="D156" s="15" t="s">
        <v>285</v>
      </c>
      <c r="E156" s="15">
        <f>IF(ISNUMBER(VLOOKUP(C156,'Justice Spend Total'!C:AQ, 36, FALSE)),(VLOOKUP(C156,'Justice Spend Total'!C:AQ, 36, FALSE)), #N/A)</f>
        <v>1.1253281500634362</v>
      </c>
    </row>
    <row r="157" spans="1:5">
      <c r="A157">
        <v>190</v>
      </c>
      <c r="B157" s="15" t="s">
        <v>52</v>
      </c>
      <c r="C157" s="15" t="s">
        <v>462</v>
      </c>
      <c r="D157" s="15" t="s">
        <v>285</v>
      </c>
      <c r="E157" s="15">
        <f>IF(ISNUMBER(VLOOKUP(C157,'Justice Spend Total'!C:AQ, 36, FALSE)),(VLOOKUP(C157,'Justice Spend Total'!C:AQ, 36, FALSE)), #N/A)</f>
        <v>0.55374983488674978</v>
      </c>
    </row>
    <row r="158" spans="1:5">
      <c r="A158">
        <v>193</v>
      </c>
      <c r="B158" s="15" t="s">
        <v>59</v>
      </c>
      <c r="C158" s="15" t="s">
        <v>463</v>
      </c>
      <c r="D158" s="15" t="s">
        <v>285</v>
      </c>
      <c r="E158" s="15">
        <f>IF(ISNUMBER(VLOOKUP(C158,'Justice Spend Total'!C:AQ, 36, FALSE)),(VLOOKUP(C158,'Justice Spend Total'!C:AQ, 36, FALSE)), #N/A)</f>
        <v>0.59163518228178669</v>
      </c>
    </row>
    <row r="159" spans="1:5">
      <c r="A159">
        <v>194</v>
      </c>
      <c r="B159" s="15" t="s">
        <v>49</v>
      </c>
      <c r="C159" s="15" t="s">
        <v>464</v>
      </c>
      <c r="D159" s="15" t="s">
        <v>285</v>
      </c>
      <c r="E159" s="15">
        <f>IF(ISNUMBER(VLOOKUP(C159,'Justice Spend Total'!C:AQ, 36, FALSE)),(VLOOKUP(C159,'Justice Spend Total'!C:AQ, 36, FALSE)), #N/A)</f>
        <v>0.31019236676447148</v>
      </c>
    </row>
    <row r="160" spans="1:5">
      <c r="A160">
        <v>195</v>
      </c>
      <c r="B160" s="15" t="s">
        <v>77</v>
      </c>
      <c r="C160" s="15" t="s">
        <v>465</v>
      </c>
      <c r="D160" s="15" t="s">
        <v>285</v>
      </c>
      <c r="E160" s="15">
        <f>IF(ISNUMBER(VLOOKUP(C160,'Justice Spend Total'!C:AQ, 36, FALSE)),(VLOOKUP(C160,'Justice Spend Total'!C:AQ, 36, FALSE)), #N/A)</f>
        <v>0.98039977315631244</v>
      </c>
    </row>
    <row r="161" spans="1:5">
      <c r="A161">
        <v>196</v>
      </c>
      <c r="B161" s="15" t="s">
        <v>61</v>
      </c>
      <c r="C161" s="15" t="s">
        <v>466</v>
      </c>
      <c r="D161" s="15" t="s">
        <v>285</v>
      </c>
      <c r="E161" s="15">
        <f>IF(ISNUMBER(VLOOKUP(C161,'Justice Spend Total'!C:AQ, 36, FALSE)),(VLOOKUP(C161,'Justice Spend Total'!C:AQ, 36, FALSE)), #N/A)</f>
        <v>0.88441207424416324</v>
      </c>
    </row>
    <row r="162" spans="1:5">
      <c r="A162">
        <v>197</v>
      </c>
      <c r="B162" s="15" t="s">
        <v>54</v>
      </c>
      <c r="C162" s="15" t="s">
        <v>467</v>
      </c>
      <c r="D162" s="15" t="s">
        <v>285</v>
      </c>
      <c r="E162" s="15">
        <f>IF(ISNUMBER(VLOOKUP(C162,'Justice Spend Total'!C:AQ, 36, FALSE)),(VLOOKUP(C162,'Justice Spend Total'!C:AQ, 36, FALSE)), #N/A)</f>
        <v>0.53735441633848069</v>
      </c>
    </row>
    <row r="163" spans="1:5">
      <c r="A163">
        <v>199</v>
      </c>
      <c r="B163" s="15" t="s">
        <v>51</v>
      </c>
      <c r="C163" s="15" t="s">
        <v>468</v>
      </c>
      <c r="D163" s="15" t="s">
        <v>285</v>
      </c>
      <c r="E163" s="15">
        <f>IF(ISNUMBER(VLOOKUP(C163,'Justice Spend Total'!C:AQ, 36, FALSE)),(VLOOKUP(C163,'Justice Spend Total'!C:AQ, 36, FALSE)), #N/A)</f>
        <v>0.33354785244599555</v>
      </c>
    </row>
    <row r="164" spans="1:5">
      <c r="A164">
        <v>200</v>
      </c>
      <c r="B164" s="15" t="s">
        <v>67</v>
      </c>
      <c r="C164" s="15" t="s">
        <v>469</v>
      </c>
      <c r="D164" s="15" t="s">
        <v>285</v>
      </c>
      <c r="E164" s="15">
        <f>IF(ISNUMBER(VLOOKUP(C164,'Justice Spend Total'!C:AQ, 36, FALSE)),(VLOOKUP(C164,'Justice Spend Total'!C:AQ, 36, FALSE)), #N/A)</f>
        <v>0.90042950420487888</v>
      </c>
    </row>
  </sheetData>
  <pageMargins left="0.7" right="0.7" top="0.75" bottom="0.75" header="0.3" footer="0.3"/>
  <pageSetup paperSize="9" orientation="portrait" horizontalDpi="4294967292" verticalDpi="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152F4-82D7-43E7-8875-D044BB02F812}">
  <dimension ref="A1:E164"/>
  <sheetViews>
    <sheetView topLeftCell="A95" workbookViewId="0">
      <selection activeCell="G102" sqref="G102"/>
    </sheetView>
  </sheetViews>
  <sheetFormatPr defaultColWidth="8.85546875" defaultRowHeight="14.45"/>
  <cols>
    <col min="2" max="2" width="11.140625" customWidth="1"/>
    <col min="4" max="4" width="15.28515625" customWidth="1"/>
    <col min="5" max="5" width="15.42578125" customWidth="1"/>
  </cols>
  <sheetData>
    <row r="1" spans="1:5">
      <c r="E1" t="s">
        <v>78</v>
      </c>
    </row>
    <row r="2" spans="1:5">
      <c r="A2" s="1" t="s">
        <v>302</v>
      </c>
      <c r="B2" s="75" t="s">
        <v>47</v>
      </c>
      <c r="C2" s="75" t="s">
        <v>303</v>
      </c>
      <c r="D2" s="75" t="s">
        <v>304</v>
      </c>
      <c r="E2" s="75" t="s">
        <v>267</v>
      </c>
    </row>
    <row r="3" spans="1:5">
      <c r="A3">
        <v>1</v>
      </c>
      <c r="B3" s="15" t="s">
        <v>93</v>
      </c>
      <c r="C3" s="15" t="s">
        <v>305</v>
      </c>
      <c r="D3" s="15" t="s">
        <v>306</v>
      </c>
      <c r="E3" s="15" t="e">
        <f>IF(ISNUMBER(VLOOKUP(C3,'Justice Spend Total'!C:AQ, 35, FALSE)),(VLOOKUP(C3,'Justice Spend Total'!C:AQ, 35, FALSE)), #N/A)</f>
        <v>#N/A</v>
      </c>
    </row>
    <row r="4" spans="1:5">
      <c r="A4">
        <v>2</v>
      </c>
      <c r="B4" s="15" t="s">
        <v>94</v>
      </c>
      <c r="C4" s="15" t="s">
        <v>307</v>
      </c>
      <c r="D4" s="15" t="s">
        <v>306</v>
      </c>
      <c r="E4" s="15">
        <f>IF(ISNUMBER(VLOOKUP(C4,'Justice Spend Total'!C:AQ, 35, FALSE)),(VLOOKUP(C4,'Justice Spend Total'!C:AQ, 35, FALSE)), #N/A)</f>
        <v>16.921899556163783</v>
      </c>
    </row>
    <row r="5" spans="1:5">
      <c r="A5">
        <v>3</v>
      </c>
      <c r="B5" s="15" t="s">
        <v>95</v>
      </c>
      <c r="C5" s="15" t="s">
        <v>308</v>
      </c>
      <c r="D5" s="15" t="s">
        <v>306</v>
      </c>
      <c r="E5" s="15">
        <f>IF(ISNUMBER(VLOOKUP(C5,'Justice Spend Total'!C:AQ, 35, FALSE)),(VLOOKUP(C5,'Justice Spend Total'!C:AQ, 35, FALSE)), #N/A)</f>
        <v>1.5559098538397698E-2</v>
      </c>
    </row>
    <row r="6" spans="1:5">
      <c r="A6">
        <v>4</v>
      </c>
      <c r="B6" s="15" t="s">
        <v>96</v>
      </c>
      <c r="C6" s="15" t="s">
        <v>309</v>
      </c>
      <c r="D6" s="15" t="s">
        <v>306</v>
      </c>
      <c r="E6" s="15">
        <f>IF(ISNUMBER(VLOOKUP(C6,'Justice Spend Total'!C:AQ, 35, FALSE)),(VLOOKUP(C6,'Justice Spend Total'!C:AQ, 35, FALSE)), #N/A)</f>
        <v>30.767270099709172</v>
      </c>
    </row>
    <row r="7" spans="1:5">
      <c r="A7">
        <v>5</v>
      </c>
      <c r="B7" s="15" t="s">
        <v>97</v>
      </c>
      <c r="C7" s="15" t="s">
        <v>310</v>
      </c>
      <c r="D7" s="15" t="s">
        <v>306</v>
      </c>
      <c r="E7" s="15">
        <f>IF(ISNUMBER(VLOOKUP(C7,'Justice Spend Total'!C:AQ, 35, FALSE)),(VLOOKUP(C7,'Justice Spend Total'!C:AQ, 35, FALSE)), #N/A)</f>
        <v>2.4592725423572341</v>
      </c>
    </row>
    <row r="8" spans="1:5">
      <c r="A8">
        <v>6</v>
      </c>
      <c r="B8" s="15" t="s">
        <v>98</v>
      </c>
      <c r="C8" s="15" t="s">
        <v>311</v>
      </c>
      <c r="D8" s="15" t="s">
        <v>306</v>
      </c>
      <c r="E8" s="15">
        <f>IF(ISNUMBER(VLOOKUP(C8,'Justice Spend Total'!C:AQ, 35, FALSE)),(VLOOKUP(C8,'Justice Spend Total'!C:AQ, 35, FALSE)), #N/A)</f>
        <v>5.145712762955764</v>
      </c>
    </row>
    <row r="9" spans="1:5" ht="15" customHeight="1">
      <c r="A9">
        <v>7</v>
      </c>
      <c r="B9" t="s">
        <v>99</v>
      </c>
      <c r="C9" t="s">
        <v>312</v>
      </c>
      <c r="D9" t="s">
        <v>306</v>
      </c>
      <c r="E9" s="15" t="e">
        <f>IF(ISNUMBER(VLOOKUP(C9,'Justice Spend Total'!C:AQ, 35, FALSE)),(VLOOKUP(C9,'Justice Spend Total'!C:AQ, 35, FALSE)), #N/A)</f>
        <v>#N/A</v>
      </c>
    </row>
    <row r="10" spans="1:5">
      <c r="A10">
        <v>8</v>
      </c>
      <c r="B10" s="15" t="s">
        <v>100</v>
      </c>
      <c r="C10" s="15" t="s">
        <v>313</v>
      </c>
      <c r="D10" s="15" t="s">
        <v>306</v>
      </c>
      <c r="E10" s="15">
        <f>IF(ISNUMBER(VLOOKUP(C10,'Justice Spend Total'!C:AQ, 35, FALSE)),(VLOOKUP(C10,'Justice Spend Total'!C:AQ, 35, FALSE)), #N/A)</f>
        <v>4.8050119652311363</v>
      </c>
    </row>
    <row r="11" spans="1:5">
      <c r="A11">
        <v>9</v>
      </c>
      <c r="B11" s="15" t="s">
        <v>101</v>
      </c>
      <c r="C11" s="15" t="s">
        <v>314</v>
      </c>
      <c r="D11" s="15" t="s">
        <v>306</v>
      </c>
      <c r="E11" s="15" t="e">
        <f>IF(ISNUMBER(VLOOKUP(C11,'Justice Spend Total'!C:AQ, 35, FALSE)),(VLOOKUP(C11,'Justice Spend Total'!C:AQ, 35, FALSE)), #N/A)</f>
        <v>#N/A</v>
      </c>
    </row>
    <row r="12" spans="1:5" ht="15" customHeight="1">
      <c r="A12">
        <v>10</v>
      </c>
      <c r="B12" t="s">
        <v>102</v>
      </c>
      <c r="C12" t="s">
        <v>315</v>
      </c>
      <c r="D12" t="s">
        <v>306</v>
      </c>
      <c r="E12" s="15" t="e">
        <f>IF(ISNUMBER(VLOOKUP(C12,'Justice Spend Total'!C:AQ, 35, FALSE)),(VLOOKUP(C12,'Justice Spend Total'!C:AQ, 35, FALSE)), #N/A)</f>
        <v>#N/A</v>
      </c>
    </row>
    <row r="13" spans="1:5" ht="15" customHeight="1">
      <c r="A13">
        <v>11</v>
      </c>
      <c r="B13" t="s">
        <v>103</v>
      </c>
      <c r="C13" t="s">
        <v>316</v>
      </c>
      <c r="D13" t="s">
        <v>306</v>
      </c>
      <c r="E13" s="15" t="e">
        <f>IF(ISNUMBER(VLOOKUP(C13,'Justice Spend Total'!C:AQ, 35, FALSE)),(VLOOKUP(C13,'Justice Spend Total'!C:AQ, 35, FALSE)), #N/A)</f>
        <v>#N/A</v>
      </c>
    </row>
    <row r="14" spans="1:5">
      <c r="A14">
        <v>12</v>
      </c>
      <c r="B14" s="15" t="s">
        <v>104</v>
      </c>
      <c r="C14" s="15" t="s">
        <v>317</v>
      </c>
      <c r="D14" s="15" t="s">
        <v>306</v>
      </c>
      <c r="E14" s="15">
        <f>IF(ISNUMBER(VLOOKUP(C14,'Justice Spend Total'!C:AQ, 35, FALSE)),(VLOOKUP(C14,'Justice Spend Total'!C:AQ, 35, FALSE)), #N/A)</f>
        <v>4.0482216138604912</v>
      </c>
    </row>
    <row r="15" spans="1:5">
      <c r="A15">
        <v>13</v>
      </c>
      <c r="B15" t="s">
        <v>105</v>
      </c>
      <c r="C15" t="s">
        <v>318</v>
      </c>
      <c r="D15" t="s">
        <v>306</v>
      </c>
      <c r="E15" s="15" t="e">
        <f>IF(ISNUMBER(VLOOKUP(C15,'Justice Spend Total'!C:AQ, 35, FALSE)),(VLOOKUP(C15,'Justice Spend Total'!C:AQ, 35, FALSE)), #N/A)</f>
        <v>#N/A</v>
      </c>
    </row>
    <row r="16" spans="1:5">
      <c r="A16">
        <v>14</v>
      </c>
      <c r="B16" s="15" t="s">
        <v>106</v>
      </c>
      <c r="C16" s="15" t="s">
        <v>319</v>
      </c>
      <c r="D16" s="15" t="s">
        <v>306</v>
      </c>
      <c r="E16" s="15" t="e">
        <f>IF(ISNUMBER(VLOOKUP(C16,'Justice Spend Total'!C:AQ, 35, FALSE)),(VLOOKUP(C16,'Justice Spend Total'!C:AQ, 35, FALSE)), #N/A)</f>
        <v>#N/A</v>
      </c>
    </row>
    <row r="17" spans="1:5">
      <c r="A17">
        <v>15</v>
      </c>
      <c r="B17" t="s">
        <v>107</v>
      </c>
      <c r="C17" t="s">
        <v>320</v>
      </c>
      <c r="D17" t="s">
        <v>306</v>
      </c>
      <c r="E17" s="15" t="e">
        <f>IF(ISNUMBER(VLOOKUP(C17,'Justice Spend Total'!C:AQ, 35, FALSE)),(VLOOKUP(C17,'Justice Spend Total'!C:AQ, 35, FALSE)), #N/A)</f>
        <v>#N/A</v>
      </c>
    </row>
    <row r="18" spans="1:5">
      <c r="A18">
        <v>16</v>
      </c>
      <c r="B18" t="s">
        <v>108</v>
      </c>
      <c r="C18" t="s">
        <v>321</v>
      </c>
      <c r="D18" t="s">
        <v>306</v>
      </c>
      <c r="E18" s="15" t="e">
        <f>IF(ISNUMBER(VLOOKUP(C18,'Justice Spend Total'!C:AQ, 35, FALSE)),(VLOOKUP(C18,'Justice Spend Total'!C:AQ, 35, FALSE)), #N/A)</f>
        <v>#N/A</v>
      </c>
    </row>
    <row r="19" spans="1:5">
      <c r="A19">
        <v>17</v>
      </c>
      <c r="B19" s="15" t="s">
        <v>109</v>
      </c>
      <c r="C19" s="15" t="s">
        <v>322</v>
      </c>
      <c r="D19" s="15" t="s">
        <v>306</v>
      </c>
      <c r="E19" s="15">
        <f>IF(ISNUMBER(VLOOKUP(C19,'Justice Spend Total'!C:AQ, 35, FALSE)),(VLOOKUP(C19,'Justice Spend Total'!C:AQ, 35, FALSE)), #N/A)</f>
        <v>0.59341135876154061</v>
      </c>
    </row>
    <row r="20" spans="1:5">
      <c r="A20">
        <v>18</v>
      </c>
      <c r="B20" s="15" t="s">
        <v>110</v>
      </c>
      <c r="C20" s="15" t="s">
        <v>323</v>
      </c>
      <c r="D20" s="15" t="s">
        <v>306</v>
      </c>
      <c r="E20" s="15">
        <f>IF(ISNUMBER(VLOOKUP(C20,'Justice Spend Total'!C:AQ, 35, FALSE)),(VLOOKUP(C20,'Justice Spend Total'!C:AQ, 35, FALSE)), #N/A)</f>
        <v>0</v>
      </c>
    </row>
    <row r="21" spans="1:5">
      <c r="A21">
        <v>19</v>
      </c>
      <c r="B21" s="15" t="s">
        <v>111</v>
      </c>
      <c r="C21" s="15" t="s">
        <v>324</v>
      </c>
      <c r="D21" s="15" t="s">
        <v>306</v>
      </c>
      <c r="E21" s="15">
        <f>IF(ISNUMBER(VLOOKUP(C21,'Justice Spend Total'!C:AQ, 35, FALSE)),(VLOOKUP(C21,'Justice Spend Total'!C:AQ, 35, FALSE)), #N/A)</f>
        <v>3.2860722637178834</v>
      </c>
    </row>
    <row r="22" spans="1:5">
      <c r="A22">
        <v>20</v>
      </c>
      <c r="B22" s="15" t="s">
        <v>112</v>
      </c>
      <c r="C22" s="15" t="s">
        <v>325</v>
      </c>
      <c r="D22" s="15" t="s">
        <v>306</v>
      </c>
      <c r="E22" s="15">
        <f>IF(ISNUMBER(VLOOKUP(C22,'Justice Spend Total'!C:AQ, 35, FALSE)),(VLOOKUP(C22,'Justice Spend Total'!C:AQ, 35, FALSE)), #N/A)</f>
        <v>1.1671882047623436</v>
      </c>
    </row>
    <row r="23" spans="1:5">
      <c r="A23">
        <v>21</v>
      </c>
      <c r="B23" t="s">
        <v>113</v>
      </c>
      <c r="C23" t="s">
        <v>326</v>
      </c>
      <c r="D23" t="s">
        <v>306</v>
      </c>
      <c r="E23" s="15">
        <f>IF(ISNUMBER(VLOOKUP(C23,'Justice Spend Total'!C:AQ, 35, FALSE)),(VLOOKUP(C23,'Justice Spend Total'!C:AQ, 35, FALSE)), #N/A)</f>
        <v>2.7147655638890167</v>
      </c>
    </row>
    <row r="24" spans="1:5">
      <c r="A24">
        <v>22</v>
      </c>
      <c r="B24" t="s">
        <v>114</v>
      </c>
      <c r="C24" t="s">
        <v>327</v>
      </c>
      <c r="D24" t="s">
        <v>306</v>
      </c>
      <c r="E24" s="15" t="e">
        <f>IF(ISNUMBER(VLOOKUP(C24,'Justice Spend Total'!C:AQ, 35, FALSE)),(VLOOKUP(C24,'Justice Spend Total'!C:AQ, 35, FALSE)), #N/A)</f>
        <v>#N/A</v>
      </c>
    </row>
    <row r="25" spans="1:5">
      <c r="A25">
        <v>23</v>
      </c>
      <c r="B25" s="15" t="s">
        <v>115</v>
      </c>
      <c r="C25" s="15" t="s">
        <v>328</v>
      </c>
      <c r="D25" s="15" t="s">
        <v>306</v>
      </c>
      <c r="E25" s="15">
        <f>IF(ISNUMBER(VLOOKUP(C25,'Justice Spend Total'!C:AQ, 35, FALSE)),(VLOOKUP(C25,'Justice Spend Total'!C:AQ, 35, FALSE)), #N/A)</f>
        <v>1.01397396276611</v>
      </c>
    </row>
    <row r="26" spans="1:5">
      <c r="A26">
        <v>24</v>
      </c>
      <c r="B26" t="s">
        <v>116</v>
      </c>
      <c r="C26" t="s">
        <v>329</v>
      </c>
      <c r="D26" t="s">
        <v>306</v>
      </c>
      <c r="E26" s="15" t="e">
        <f>IF(ISNUMBER(VLOOKUP(C26,'Justice Spend Total'!C:AQ, 35, FALSE)),(VLOOKUP(C26,'Justice Spend Total'!C:AQ, 35, FALSE)), #N/A)</f>
        <v>#N/A</v>
      </c>
    </row>
    <row r="27" spans="1:5">
      <c r="A27">
        <v>25</v>
      </c>
      <c r="B27" t="s">
        <v>117</v>
      </c>
      <c r="C27" t="s">
        <v>330</v>
      </c>
      <c r="D27" t="s">
        <v>306</v>
      </c>
      <c r="E27" s="15" t="e">
        <f>IF(ISNUMBER(VLOOKUP(C27,'Justice Spend Total'!C:AQ, 35, FALSE)),(VLOOKUP(C27,'Justice Spend Total'!C:AQ, 35, FALSE)), #N/A)</f>
        <v>#N/A</v>
      </c>
    </row>
    <row r="28" spans="1:5">
      <c r="A28">
        <v>26</v>
      </c>
      <c r="B28" s="15" t="s">
        <v>118</v>
      </c>
      <c r="C28" s="15" t="s">
        <v>331</v>
      </c>
      <c r="D28" s="15" t="s">
        <v>306</v>
      </c>
      <c r="E28" s="15">
        <f>IF(ISNUMBER(VLOOKUP(C28,'Justice Spend Total'!C:AQ, 35, FALSE)),(VLOOKUP(C28,'Justice Spend Total'!C:AQ, 35, FALSE)), #N/A)</f>
        <v>1.7319544033524283</v>
      </c>
    </row>
    <row r="29" spans="1:5">
      <c r="A29">
        <v>27</v>
      </c>
      <c r="B29" t="s">
        <v>119</v>
      </c>
      <c r="C29" t="s">
        <v>332</v>
      </c>
      <c r="D29" t="s">
        <v>306</v>
      </c>
      <c r="E29" s="15">
        <f>IF(ISNUMBER(VLOOKUP(C29,'Justice Spend Total'!C:AQ, 35, FALSE)),(VLOOKUP(C29,'Justice Spend Total'!C:AQ, 35, FALSE)), #N/A)</f>
        <v>2.2159842836126162</v>
      </c>
    </row>
    <row r="30" spans="1:5">
      <c r="A30">
        <v>28</v>
      </c>
      <c r="B30" s="15" t="s">
        <v>120</v>
      </c>
      <c r="C30" s="15" t="s">
        <v>333</v>
      </c>
      <c r="D30" s="15" t="s">
        <v>334</v>
      </c>
      <c r="E30" s="15">
        <f>IF(ISNUMBER(VLOOKUP(C30,'Justice Spend Total'!C:AQ, 35, FALSE)),(VLOOKUP(C30,'Justice Spend Total'!C:AQ, 35, FALSE)), #N/A)</f>
        <v>2.212690275089908</v>
      </c>
    </row>
    <row r="31" spans="1:5">
      <c r="A31">
        <v>29</v>
      </c>
      <c r="B31" s="15" t="s">
        <v>121</v>
      </c>
      <c r="C31" s="15" t="s">
        <v>335</v>
      </c>
      <c r="D31" s="15" t="s">
        <v>334</v>
      </c>
      <c r="E31" s="15" t="e">
        <f>IF(ISNUMBER(VLOOKUP(C31,'Justice Spend Total'!C:AQ, 35, FALSE)),(VLOOKUP(C31,'Justice Spend Total'!C:AQ, 35, FALSE)), #N/A)</f>
        <v>#N/A</v>
      </c>
    </row>
    <row r="32" spans="1:5">
      <c r="A32">
        <v>30</v>
      </c>
      <c r="B32" t="s">
        <v>122</v>
      </c>
      <c r="C32" t="s">
        <v>336</v>
      </c>
      <c r="D32" t="s">
        <v>334</v>
      </c>
      <c r="E32" s="15" t="e">
        <f>IF(ISNUMBER(VLOOKUP(C32,'Justice Spend Total'!C:AQ, 35, FALSE)),(VLOOKUP(C32,'Justice Spend Total'!C:AQ, 35, FALSE)), #N/A)</f>
        <v>#N/A</v>
      </c>
    </row>
    <row r="33" spans="1:5">
      <c r="A33">
        <v>31</v>
      </c>
      <c r="B33" t="s">
        <v>123</v>
      </c>
      <c r="C33" t="s">
        <v>337</v>
      </c>
      <c r="D33" t="s">
        <v>334</v>
      </c>
      <c r="E33" s="15" t="e">
        <f>IF(ISNUMBER(VLOOKUP(C33,'Justice Spend Total'!C:AQ, 35, FALSE)),(VLOOKUP(C33,'Justice Spend Total'!C:AQ, 35, FALSE)), #N/A)</f>
        <v>#N/A</v>
      </c>
    </row>
    <row r="34" spans="1:5">
      <c r="A34">
        <v>32</v>
      </c>
      <c r="B34" s="15" t="s">
        <v>124</v>
      </c>
      <c r="C34" s="15" t="s">
        <v>338</v>
      </c>
      <c r="D34" s="15" t="s">
        <v>334</v>
      </c>
      <c r="E34" s="15">
        <f>IF(ISNUMBER(VLOOKUP(C34,'Justice Spend Total'!C:AQ, 35, FALSE)),(VLOOKUP(C34,'Justice Spend Total'!C:AQ, 35, FALSE)), #N/A)</f>
        <v>4.561439905641091</v>
      </c>
    </row>
    <row r="35" spans="1:5">
      <c r="A35">
        <v>33</v>
      </c>
      <c r="B35" t="s">
        <v>125</v>
      </c>
      <c r="C35" t="s">
        <v>339</v>
      </c>
      <c r="D35" t="s">
        <v>334</v>
      </c>
      <c r="E35" s="15" t="e">
        <f>IF(ISNUMBER(VLOOKUP(C35,'Justice Spend Total'!C:AQ, 35, FALSE)),(VLOOKUP(C35,'Justice Spend Total'!C:AQ, 35, FALSE)), #N/A)</f>
        <v>#N/A</v>
      </c>
    </row>
    <row r="36" spans="1:5">
      <c r="A36">
        <v>34</v>
      </c>
      <c r="B36" t="s">
        <v>126</v>
      </c>
      <c r="C36" t="s">
        <v>340</v>
      </c>
      <c r="D36" t="s">
        <v>334</v>
      </c>
      <c r="E36" s="15" t="e">
        <f>IF(ISNUMBER(VLOOKUP(C36,'Justice Spend Total'!C:AQ, 35, FALSE)),(VLOOKUP(C36,'Justice Spend Total'!C:AQ, 35, FALSE)), #N/A)</f>
        <v>#N/A</v>
      </c>
    </row>
    <row r="37" spans="1:5">
      <c r="A37">
        <v>35</v>
      </c>
      <c r="B37" t="s">
        <v>127</v>
      </c>
      <c r="C37" t="s">
        <v>341</v>
      </c>
      <c r="D37" t="s">
        <v>334</v>
      </c>
      <c r="E37" s="15" t="e">
        <f>IF(ISNUMBER(VLOOKUP(C37,'Justice Spend Total'!C:AQ, 35, FALSE)),(VLOOKUP(C37,'Justice Spend Total'!C:AQ, 35, FALSE)), #N/A)</f>
        <v>#N/A</v>
      </c>
    </row>
    <row r="38" spans="1:5">
      <c r="A38">
        <v>36</v>
      </c>
      <c r="B38" t="s">
        <v>128</v>
      </c>
      <c r="C38" t="s">
        <v>342</v>
      </c>
      <c r="D38" t="s">
        <v>334</v>
      </c>
      <c r="E38" s="15" t="e">
        <f>IF(ISNUMBER(VLOOKUP(C38,'Justice Spend Total'!C:AQ, 35, FALSE)),(VLOOKUP(C38,'Justice Spend Total'!C:AQ, 35, FALSE)), #N/A)</f>
        <v>#N/A</v>
      </c>
    </row>
    <row r="39" spans="1:5">
      <c r="A39">
        <v>37</v>
      </c>
      <c r="B39" t="s">
        <v>129</v>
      </c>
      <c r="C39" t="s">
        <v>343</v>
      </c>
      <c r="D39" t="s">
        <v>334</v>
      </c>
      <c r="E39" s="15" t="e">
        <f>IF(ISNUMBER(VLOOKUP(C39,'Justice Spend Total'!C:AQ, 35, FALSE)),(VLOOKUP(C39,'Justice Spend Total'!C:AQ, 35, FALSE)), #N/A)</f>
        <v>#N/A</v>
      </c>
    </row>
    <row r="40" spans="1:5">
      <c r="A40">
        <v>38</v>
      </c>
      <c r="B40" t="s">
        <v>130</v>
      </c>
      <c r="C40" t="s">
        <v>344</v>
      </c>
      <c r="D40" t="s">
        <v>334</v>
      </c>
      <c r="E40" s="15">
        <f>IF(ISNUMBER(VLOOKUP(C40,'Justice Spend Total'!C:AQ, 35, FALSE)),(VLOOKUP(C40,'Justice Spend Total'!C:AQ, 35, FALSE)), #N/A)</f>
        <v>2.598731038779905</v>
      </c>
    </row>
    <row r="41" spans="1:5">
      <c r="A41">
        <v>39</v>
      </c>
      <c r="B41" t="s">
        <v>131</v>
      </c>
      <c r="C41" t="s">
        <v>345</v>
      </c>
      <c r="D41" t="s">
        <v>334</v>
      </c>
      <c r="E41" s="15" t="e">
        <f>IF(ISNUMBER(VLOOKUP(C41,'Justice Spend Total'!C:AQ, 35, FALSE)),(VLOOKUP(C41,'Justice Spend Total'!C:AQ, 35, FALSE)), #N/A)</f>
        <v>#N/A</v>
      </c>
    </row>
    <row r="42" spans="1:5">
      <c r="A42">
        <v>40</v>
      </c>
      <c r="B42" t="s">
        <v>132</v>
      </c>
      <c r="C42" t="s">
        <v>346</v>
      </c>
      <c r="D42" t="s">
        <v>334</v>
      </c>
      <c r="E42" s="15" t="e">
        <f>IF(ISNUMBER(VLOOKUP(C42,'Justice Spend Total'!C:AQ, 35, FALSE)),(VLOOKUP(C42,'Justice Spend Total'!C:AQ, 35, FALSE)), #N/A)</f>
        <v>#N/A</v>
      </c>
    </row>
    <row r="43" spans="1:5">
      <c r="A43">
        <v>41</v>
      </c>
      <c r="B43" t="s">
        <v>133</v>
      </c>
      <c r="C43" t="s">
        <v>347</v>
      </c>
      <c r="D43" t="s">
        <v>334</v>
      </c>
      <c r="E43" s="15" t="e">
        <f>IF(ISNUMBER(VLOOKUP(C43,'Justice Spend Total'!C:AQ, 35, FALSE)),(VLOOKUP(C43,'Justice Spend Total'!C:AQ, 35, FALSE)), #N/A)</f>
        <v>#N/A</v>
      </c>
    </row>
    <row r="44" spans="1:5">
      <c r="A44">
        <v>42</v>
      </c>
      <c r="B44" t="s">
        <v>134</v>
      </c>
      <c r="C44" t="s">
        <v>348</v>
      </c>
      <c r="D44" t="s">
        <v>334</v>
      </c>
      <c r="E44" s="15" t="e">
        <f>IF(ISNUMBER(VLOOKUP(C44,'Justice Spend Total'!C:AQ, 35, FALSE)),(VLOOKUP(C44,'Justice Spend Total'!C:AQ, 35, FALSE)), #N/A)</f>
        <v>#N/A</v>
      </c>
    </row>
    <row r="45" spans="1:5">
      <c r="A45">
        <v>43</v>
      </c>
      <c r="B45" t="s">
        <v>135</v>
      </c>
      <c r="C45" t="s">
        <v>349</v>
      </c>
      <c r="D45" t="s">
        <v>334</v>
      </c>
      <c r="E45" s="15">
        <f>IF(ISNUMBER(VLOOKUP(C45,'Justice Spend Total'!C:AQ, 35, FALSE)),(VLOOKUP(C45,'Justice Spend Total'!C:AQ, 35, FALSE)), #N/A)</f>
        <v>2.7629219266363281</v>
      </c>
    </row>
    <row r="46" spans="1:5">
      <c r="A46">
        <v>44</v>
      </c>
      <c r="B46" s="15" t="s">
        <v>136</v>
      </c>
      <c r="C46" s="15" t="s">
        <v>350</v>
      </c>
      <c r="D46" s="15" t="s">
        <v>334</v>
      </c>
      <c r="E46" s="15">
        <f>IF(ISNUMBER(VLOOKUP(C46,'Justice Spend Total'!C:AQ, 35, FALSE)),(VLOOKUP(C46,'Justice Spend Total'!C:AQ, 35, FALSE)), #N/A)</f>
        <v>8.1308447781195969</v>
      </c>
    </row>
    <row r="47" spans="1:5">
      <c r="A47">
        <v>45</v>
      </c>
      <c r="B47" t="s">
        <v>137</v>
      </c>
      <c r="C47" t="s">
        <v>351</v>
      </c>
      <c r="D47" t="s">
        <v>334</v>
      </c>
      <c r="E47" s="15" t="e">
        <f>IF(ISNUMBER(VLOOKUP(C47,'Justice Spend Total'!C:AQ, 35, FALSE)),(VLOOKUP(C47,'Justice Spend Total'!C:AQ, 35, FALSE)), #N/A)</f>
        <v>#N/A</v>
      </c>
    </row>
    <row r="48" spans="1:5">
      <c r="A48">
        <v>46</v>
      </c>
      <c r="B48" t="s">
        <v>138</v>
      </c>
      <c r="C48" t="s">
        <v>352</v>
      </c>
      <c r="D48" t="s">
        <v>334</v>
      </c>
      <c r="E48" s="15" t="e">
        <f>IF(ISNUMBER(VLOOKUP(C48,'Justice Spend Total'!C:AQ, 35, FALSE)),(VLOOKUP(C48,'Justice Spend Total'!C:AQ, 35, FALSE)), #N/A)</f>
        <v>#N/A</v>
      </c>
    </row>
    <row r="49" spans="1:5">
      <c r="A49">
        <v>47</v>
      </c>
      <c r="B49" s="15" t="s">
        <v>139</v>
      </c>
      <c r="C49" s="15" t="s">
        <v>353</v>
      </c>
      <c r="D49" s="15" t="s">
        <v>334</v>
      </c>
      <c r="E49" s="15">
        <f>IF(ISNUMBER(VLOOKUP(C49,'Justice Spend Total'!C:AQ, 35, FALSE)),(VLOOKUP(C49,'Justice Spend Total'!C:AQ, 35, FALSE)), #N/A)</f>
        <v>6.4303859258652718</v>
      </c>
    </row>
    <row r="50" spans="1:5">
      <c r="A50">
        <v>48</v>
      </c>
      <c r="B50" s="15" t="s">
        <v>140</v>
      </c>
      <c r="C50" s="15" t="s">
        <v>354</v>
      </c>
      <c r="D50" s="15" t="s">
        <v>334</v>
      </c>
      <c r="E50" s="15" t="e">
        <f>IF(ISNUMBER(VLOOKUP(C50,'Justice Spend Total'!C:AQ, 35, FALSE)),(VLOOKUP(C50,'Justice Spend Total'!C:AQ, 35, FALSE)), #N/A)</f>
        <v>#N/A</v>
      </c>
    </row>
    <row r="51" spans="1:5">
      <c r="A51">
        <v>49</v>
      </c>
      <c r="B51" t="s">
        <v>141</v>
      </c>
      <c r="C51" t="s">
        <v>355</v>
      </c>
      <c r="D51" t="s">
        <v>334</v>
      </c>
      <c r="E51" s="15">
        <f>IF(ISNUMBER(VLOOKUP(C51,'Justice Spend Total'!C:AQ, 35, FALSE)),(VLOOKUP(C51,'Justice Spend Total'!C:AQ, 35, FALSE)), #N/A)</f>
        <v>5.6966954279853956</v>
      </c>
    </row>
    <row r="52" spans="1:5">
      <c r="A52">
        <v>50</v>
      </c>
      <c r="B52" s="15" t="s">
        <v>142</v>
      </c>
      <c r="C52" s="15" t="s">
        <v>356</v>
      </c>
      <c r="D52" s="15" t="s">
        <v>334</v>
      </c>
      <c r="E52" s="15">
        <f>IF(ISNUMBER(VLOOKUP(C52,'Justice Spend Total'!C:AQ, 35, FALSE)),(VLOOKUP(C52,'Justice Spend Total'!C:AQ, 35, FALSE)), #N/A)</f>
        <v>5.8202650009606209</v>
      </c>
    </row>
    <row r="53" spans="1:5">
      <c r="A53">
        <v>51</v>
      </c>
      <c r="B53" t="s">
        <v>143</v>
      </c>
      <c r="C53" t="s">
        <v>357</v>
      </c>
      <c r="D53" t="s">
        <v>334</v>
      </c>
      <c r="E53" s="15" t="e">
        <f>IF(ISNUMBER(VLOOKUP(C53,'Justice Spend Total'!C:AQ, 35, FALSE)),(VLOOKUP(C53,'Justice Spend Total'!C:AQ, 35, FALSE)), #N/A)</f>
        <v>#N/A</v>
      </c>
    </row>
    <row r="54" spans="1:5">
      <c r="A54">
        <v>52</v>
      </c>
      <c r="B54" s="15" t="s">
        <v>144</v>
      </c>
      <c r="C54" s="15" t="s">
        <v>358</v>
      </c>
      <c r="D54" s="15" t="s">
        <v>334</v>
      </c>
      <c r="E54" s="15">
        <f>IF(ISNUMBER(VLOOKUP(C54,'Justice Spend Total'!C:AQ, 35, FALSE)),(VLOOKUP(C54,'Justice Spend Total'!C:AQ, 35, FALSE)), #N/A)</f>
        <v>4.6715045155152488</v>
      </c>
    </row>
    <row r="55" spans="1:5">
      <c r="A55">
        <v>53</v>
      </c>
      <c r="B55" s="15" t="s">
        <v>145</v>
      </c>
      <c r="C55" s="15" t="s">
        <v>359</v>
      </c>
      <c r="D55" s="15" t="s">
        <v>334</v>
      </c>
      <c r="E55" s="15">
        <f>IF(ISNUMBER(VLOOKUP(C55,'Justice Spend Total'!C:AQ, 35, FALSE)),(VLOOKUP(C55,'Justice Spend Total'!C:AQ, 35, FALSE)), #N/A)</f>
        <v>7.1639195344989997</v>
      </c>
    </row>
    <row r="56" spans="1:5">
      <c r="A56">
        <v>54</v>
      </c>
      <c r="B56" t="s">
        <v>146</v>
      </c>
      <c r="C56" t="s">
        <v>360</v>
      </c>
      <c r="D56" t="s">
        <v>334</v>
      </c>
      <c r="E56" s="15">
        <f>IF(ISNUMBER(VLOOKUP(C56,'Justice Spend Total'!C:AQ, 35, FALSE)),(VLOOKUP(C56,'Justice Spend Total'!C:AQ, 35, FALSE)), #N/A)</f>
        <v>3.127132888022552</v>
      </c>
    </row>
    <row r="57" spans="1:5">
      <c r="A57">
        <v>55</v>
      </c>
      <c r="B57" t="s">
        <v>147</v>
      </c>
      <c r="C57" t="s">
        <v>361</v>
      </c>
      <c r="D57" t="s">
        <v>334</v>
      </c>
      <c r="E57" s="15" t="e">
        <f>IF(ISNUMBER(VLOOKUP(C57,'Justice Spend Total'!C:AQ, 35, FALSE)),(VLOOKUP(C57,'Justice Spend Total'!C:AQ, 35, FALSE)), #N/A)</f>
        <v>#N/A</v>
      </c>
    </row>
    <row r="58" spans="1:5">
      <c r="A58">
        <v>56</v>
      </c>
      <c r="B58" s="15" t="s">
        <v>148</v>
      </c>
      <c r="C58" s="15" t="s">
        <v>362</v>
      </c>
      <c r="D58" s="15" t="s">
        <v>334</v>
      </c>
      <c r="E58" s="15">
        <f>IF(ISNUMBER(VLOOKUP(C58,'Justice Spend Total'!C:AQ, 35, FALSE)),(VLOOKUP(C58,'Justice Spend Total'!C:AQ, 35, FALSE)), #N/A)</f>
        <v>4.9756543777083149</v>
      </c>
    </row>
    <row r="59" spans="1:5">
      <c r="A59">
        <v>57</v>
      </c>
      <c r="B59" s="15" t="s">
        <v>149</v>
      </c>
      <c r="C59" s="15" t="s">
        <v>363</v>
      </c>
      <c r="D59" s="15" t="s">
        <v>334</v>
      </c>
      <c r="E59" s="15">
        <f>IF(ISNUMBER(VLOOKUP(C59,'Justice Spend Total'!C:AQ, 35, FALSE)),(VLOOKUP(C59,'Justice Spend Total'!C:AQ, 35, FALSE)), #N/A)</f>
        <v>9.7056211003685373</v>
      </c>
    </row>
    <row r="60" spans="1:5">
      <c r="A60">
        <v>58</v>
      </c>
      <c r="B60" s="15" t="s">
        <v>150</v>
      </c>
      <c r="C60" s="15" t="s">
        <v>364</v>
      </c>
      <c r="D60" s="15" t="s">
        <v>334</v>
      </c>
      <c r="E60" s="15">
        <f>IF(ISNUMBER(VLOOKUP(C60,'Justice Spend Total'!C:AQ, 35, FALSE)),(VLOOKUP(C60,'Justice Spend Total'!C:AQ, 35, FALSE)), #N/A)</f>
        <v>4.3937904853470569</v>
      </c>
    </row>
    <row r="61" spans="1:5">
      <c r="A61">
        <v>59</v>
      </c>
      <c r="B61" s="15" t="s">
        <v>151</v>
      </c>
      <c r="C61" s="15" t="s">
        <v>365</v>
      </c>
      <c r="D61" s="15" t="s">
        <v>334</v>
      </c>
      <c r="E61" s="15" t="e">
        <f>IF(ISNUMBER(VLOOKUP(C61,'Justice Spend Total'!C:AQ, 35, FALSE)),(VLOOKUP(C61,'Justice Spend Total'!C:AQ, 35, FALSE)), #N/A)</f>
        <v>#N/A</v>
      </c>
    </row>
    <row r="62" spans="1:5">
      <c r="A62">
        <v>60</v>
      </c>
      <c r="B62" s="15" t="s">
        <v>152</v>
      </c>
      <c r="C62" s="15" t="s">
        <v>366</v>
      </c>
      <c r="D62" s="15" t="s">
        <v>334</v>
      </c>
      <c r="E62" s="15" t="e">
        <f>IF(ISNUMBER(VLOOKUP(C62,'Justice Spend Total'!C:AQ, 35, FALSE)),(VLOOKUP(C62,'Justice Spend Total'!C:AQ, 35, FALSE)), #N/A)</f>
        <v>#N/A</v>
      </c>
    </row>
    <row r="63" spans="1:5">
      <c r="A63">
        <v>61</v>
      </c>
      <c r="B63" t="s">
        <v>153</v>
      </c>
      <c r="C63" t="s">
        <v>367</v>
      </c>
      <c r="D63" t="s">
        <v>334</v>
      </c>
      <c r="E63" s="15" t="e">
        <f>IF(ISNUMBER(VLOOKUP(C63,'Justice Spend Total'!C:AQ, 35, FALSE)),(VLOOKUP(C63,'Justice Spend Total'!C:AQ, 35, FALSE)), #N/A)</f>
        <v>#N/A</v>
      </c>
    </row>
    <row r="64" spans="1:5">
      <c r="A64">
        <v>62</v>
      </c>
      <c r="B64" t="s">
        <v>154</v>
      </c>
      <c r="C64" t="s">
        <v>368</v>
      </c>
      <c r="D64" t="s">
        <v>334</v>
      </c>
      <c r="E64" s="15" t="e">
        <f>IF(ISNUMBER(VLOOKUP(C64,'Justice Spend Total'!C:AQ, 35, FALSE)),(VLOOKUP(C64,'Justice Spend Total'!C:AQ, 35, FALSE)), #N/A)</f>
        <v>#N/A</v>
      </c>
    </row>
    <row r="65" spans="1:5">
      <c r="A65">
        <v>63</v>
      </c>
      <c r="B65" s="15" t="s">
        <v>155</v>
      </c>
      <c r="C65" s="15" t="s">
        <v>369</v>
      </c>
      <c r="D65" s="15" t="s">
        <v>334</v>
      </c>
      <c r="E65" s="15">
        <f>IF(ISNUMBER(VLOOKUP(C65,'Justice Spend Total'!C:AQ, 35, FALSE)),(VLOOKUP(C65,'Justice Spend Total'!C:AQ, 35, FALSE)), #N/A)</f>
        <v>0.10558698946035391</v>
      </c>
    </row>
    <row r="66" spans="1:5">
      <c r="A66">
        <v>64</v>
      </c>
      <c r="B66" t="s">
        <v>156</v>
      </c>
      <c r="C66" t="s">
        <v>370</v>
      </c>
      <c r="D66" t="s">
        <v>334</v>
      </c>
      <c r="E66" s="15" t="e">
        <f>IF(ISNUMBER(VLOOKUP(C66,'Justice Spend Total'!C:AQ, 35, FALSE)),(VLOOKUP(C66,'Justice Spend Total'!C:AQ, 35, FALSE)), #N/A)</f>
        <v>#N/A</v>
      </c>
    </row>
    <row r="67" spans="1:5">
      <c r="A67">
        <v>65</v>
      </c>
      <c r="B67" t="s">
        <v>157</v>
      </c>
      <c r="C67" t="s">
        <v>371</v>
      </c>
      <c r="D67" t="s">
        <v>334</v>
      </c>
      <c r="E67" s="15" t="e">
        <f>IF(ISNUMBER(VLOOKUP(C67,'Justice Spend Total'!C:AQ, 35, FALSE)),(VLOOKUP(C67,'Justice Spend Total'!C:AQ, 35, FALSE)), #N/A)</f>
        <v>#N/A</v>
      </c>
    </row>
    <row r="68" spans="1:5">
      <c r="A68">
        <v>66</v>
      </c>
      <c r="B68" t="s">
        <v>158</v>
      </c>
      <c r="C68" t="s">
        <v>372</v>
      </c>
      <c r="D68" t="s">
        <v>334</v>
      </c>
      <c r="E68" s="15" t="e">
        <f>IF(ISNUMBER(VLOOKUP(C68,'Justice Spend Total'!C:AQ, 35, FALSE)),(VLOOKUP(C68,'Justice Spend Total'!C:AQ, 35, FALSE)), #N/A)</f>
        <v>#N/A</v>
      </c>
    </row>
    <row r="69" spans="1:5">
      <c r="A69">
        <v>67</v>
      </c>
      <c r="B69" s="15" t="s">
        <v>159</v>
      </c>
      <c r="C69" s="15" t="s">
        <v>373</v>
      </c>
      <c r="D69" s="15" t="s">
        <v>334</v>
      </c>
      <c r="E69" s="15">
        <f>IF(ISNUMBER(VLOOKUP(C69,'Justice Spend Total'!C:AQ, 35, FALSE)),(VLOOKUP(C69,'Justice Spend Total'!C:AQ, 35, FALSE)), #N/A)</f>
        <v>6.7513417306398091</v>
      </c>
    </row>
    <row r="70" spans="1:5">
      <c r="A70">
        <v>68</v>
      </c>
      <c r="B70" s="15" t="s">
        <v>160</v>
      </c>
      <c r="C70" s="15" t="s">
        <v>374</v>
      </c>
      <c r="D70" s="15" t="s">
        <v>334</v>
      </c>
      <c r="E70" s="15" t="e">
        <f>IF(ISNUMBER(VLOOKUP(C70,'Justice Spend Total'!C:AQ, 35, FALSE)),(VLOOKUP(C70,'Justice Spend Total'!C:AQ, 35, FALSE)), #N/A)</f>
        <v>#N/A</v>
      </c>
    </row>
    <row r="71" spans="1:5">
      <c r="A71">
        <v>69</v>
      </c>
      <c r="B71" t="s">
        <v>161</v>
      </c>
      <c r="C71" t="s">
        <v>375</v>
      </c>
      <c r="D71" t="s">
        <v>334</v>
      </c>
      <c r="E71" s="15" t="e">
        <f>IF(ISNUMBER(VLOOKUP(C71,'Justice Spend Total'!C:AQ, 35, FALSE)),(VLOOKUP(C71,'Justice Spend Total'!C:AQ, 35, FALSE)), #N/A)</f>
        <v>#N/A</v>
      </c>
    </row>
    <row r="72" spans="1:5">
      <c r="A72">
        <v>70</v>
      </c>
      <c r="B72" t="s">
        <v>162</v>
      </c>
      <c r="C72" t="s">
        <v>376</v>
      </c>
      <c r="D72" t="s">
        <v>334</v>
      </c>
      <c r="E72" s="15" t="e">
        <f>IF(ISNUMBER(VLOOKUP(C72,'Justice Spend Total'!C:AQ, 35, FALSE)),(VLOOKUP(C72,'Justice Spend Total'!C:AQ, 35, FALSE)), #N/A)</f>
        <v>#N/A</v>
      </c>
    </row>
    <row r="73" spans="1:5">
      <c r="A73">
        <v>71</v>
      </c>
      <c r="B73" s="15" t="s">
        <v>163</v>
      </c>
      <c r="C73" s="15" t="s">
        <v>377</v>
      </c>
      <c r="D73" s="15" t="s">
        <v>334</v>
      </c>
      <c r="E73" s="15">
        <f>IF(ISNUMBER(VLOOKUP(C73,'Justice Spend Total'!C:AQ, 35, FALSE)),(VLOOKUP(C73,'Justice Spend Total'!C:AQ, 35, FALSE)), #N/A)</f>
        <v>4.4974127341962404</v>
      </c>
    </row>
    <row r="74" spans="1:5">
      <c r="A74">
        <v>72</v>
      </c>
      <c r="B74" t="s">
        <v>164</v>
      </c>
      <c r="C74" t="s">
        <v>378</v>
      </c>
      <c r="D74" t="s">
        <v>334</v>
      </c>
      <c r="E74" s="15" t="e">
        <f>IF(ISNUMBER(VLOOKUP(C74,'Justice Spend Total'!C:AQ, 35, FALSE)),(VLOOKUP(C74,'Justice Spend Total'!C:AQ, 35, FALSE)), #N/A)</f>
        <v>#N/A</v>
      </c>
    </row>
    <row r="75" spans="1:5">
      <c r="A75">
        <v>73</v>
      </c>
      <c r="B75" t="s">
        <v>165</v>
      </c>
      <c r="C75" t="s">
        <v>379</v>
      </c>
      <c r="D75" t="s">
        <v>334</v>
      </c>
      <c r="E75" s="15" t="e">
        <f>IF(ISNUMBER(VLOOKUP(C75,'Justice Spend Total'!C:AQ, 35, FALSE)),(VLOOKUP(C75,'Justice Spend Total'!C:AQ, 35, FALSE)), #N/A)</f>
        <v>#N/A</v>
      </c>
    </row>
    <row r="76" spans="1:5">
      <c r="A76">
        <v>74</v>
      </c>
      <c r="B76" s="15" t="s">
        <v>166</v>
      </c>
      <c r="C76" s="15" t="s">
        <v>380</v>
      </c>
      <c r="D76" s="15" t="s">
        <v>334</v>
      </c>
      <c r="E76" s="15">
        <f>IF(ISNUMBER(VLOOKUP(C76,'Justice Spend Total'!C:AQ, 35, FALSE)),(VLOOKUP(C76,'Justice Spend Total'!C:AQ, 35, FALSE)), #N/A)</f>
        <v>2.0278442495422588</v>
      </c>
    </row>
    <row r="77" spans="1:5">
      <c r="A77">
        <v>75</v>
      </c>
      <c r="B77" s="15" t="s">
        <v>167</v>
      </c>
      <c r="C77" s="15" t="s">
        <v>381</v>
      </c>
      <c r="D77" s="15" t="s">
        <v>334</v>
      </c>
      <c r="E77" s="15">
        <f>IF(ISNUMBER(VLOOKUP(C77,'Justice Spend Total'!C:AQ, 35, FALSE)),(VLOOKUP(C77,'Justice Spend Total'!C:AQ, 35, FALSE)), #N/A)</f>
        <v>6.5945076793827102</v>
      </c>
    </row>
    <row r="78" spans="1:5">
      <c r="A78">
        <v>76</v>
      </c>
      <c r="B78" s="15" t="s">
        <v>168</v>
      </c>
      <c r="C78" s="15" t="s">
        <v>382</v>
      </c>
      <c r="D78" s="15" t="s">
        <v>334</v>
      </c>
      <c r="E78" s="15">
        <f>IF(ISNUMBER(VLOOKUP(C78,'Justice Spend Total'!C:AQ, 35, FALSE)),(VLOOKUP(C78,'Justice Spend Total'!C:AQ, 35, FALSE)), #N/A)</f>
        <v>1.9022870282147595</v>
      </c>
    </row>
    <row r="79" spans="1:5">
      <c r="A79">
        <v>77</v>
      </c>
      <c r="B79" s="15" t="s">
        <v>169</v>
      </c>
      <c r="C79" s="15" t="s">
        <v>383</v>
      </c>
      <c r="D79" s="15" t="s">
        <v>334</v>
      </c>
      <c r="E79" s="15">
        <f>IF(ISNUMBER(VLOOKUP(C79,'Justice Spend Total'!C:AQ, 35, FALSE)),(VLOOKUP(C79,'Justice Spend Total'!C:AQ, 35, FALSE)), #N/A)</f>
        <v>0</v>
      </c>
    </row>
    <row r="80" spans="1:5">
      <c r="A80">
        <v>78</v>
      </c>
      <c r="B80" s="15" t="s">
        <v>170</v>
      </c>
      <c r="C80" s="15" t="s">
        <v>384</v>
      </c>
      <c r="D80" s="15" t="s">
        <v>334</v>
      </c>
      <c r="E80" s="15">
        <f>IF(ISNUMBER(VLOOKUP(C80,'Justice Spend Total'!C:AQ, 35, FALSE)),(VLOOKUP(C80,'Justice Spend Total'!C:AQ, 35, FALSE)), #N/A)</f>
        <v>4.9688416342995465</v>
      </c>
    </row>
    <row r="81" spans="1:5">
      <c r="A81">
        <v>79</v>
      </c>
      <c r="B81" s="15" t="s">
        <v>171</v>
      </c>
      <c r="C81" s="15" t="s">
        <v>385</v>
      </c>
      <c r="D81" s="15" t="s">
        <v>334</v>
      </c>
      <c r="E81" s="15" t="e">
        <f>IF(ISNUMBER(VLOOKUP(C81,'Justice Spend Total'!C:AQ, 35, FALSE)),(VLOOKUP(C81,'Justice Spend Total'!C:AQ, 35, FALSE)), #N/A)</f>
        <v>#N/A</v>
      </c>
    </row>
    <row r="82" spans="1:5">
      <c r="A82">
        <v>80</v>
      </c>
      <c r="B82" s="15" t="s">
        <v>172</v>
      </c>
      <c r="C82" s="15" t="s">
        <v>386</v>
      </c>
      <c r="D82" s="15" t="s">
        <v>334</v>
      </c>
      <c r="E82" s="15">
        <f>IF(ISNUMBER(VLOOKUP(C82,'Justice Spend Total'!C:AQ, 35, FALSE)),(VLOOKUP(C82,'Justice Spend Total'!C:AQ, 35, FALSE)), #N/A)</f>
        <v>6.4654052623428422</v>
      </c>
    </row>
    <row r="83" spans="1:5">
      <c r="A83">
        <v>81</v>
      </c>
      <c r="B83" s="15" t="s">
        <v>173</v>
      </c>
      <c r="C83" s="15" t="s">
        <v>387</v>
      </c>
      <c r="D83" s="15" t="s">
        <v>334</v>
      </c>
      <c r="E83" s="15">
        <f>IF(ISNUMBER(VLOOKUP(C83,'Justice Spend Total'!C:AQ, 35, FALSE)),(VLOOKUP(C83,'Justice Spend Total'!C:AQ, 35, FALSE)), #N/A)</f>
        <v>0</v>
      </c>
    </row>
    <row r="84" spans="1:5">
      <c r="A84">
        <v>82</v>
      </c>
      <c r="B84" t="s">
        <v>174</v>
      </c>
      <c r="C84" t="s">
        <v>388</v>
      </c>
      <c r="D84" t="s">
        <v>389</v>
      </c>
      <c r="E84" s="15" t="e">
        <f>IF(ISNUMBER(VLOOKUP(C84,'Justice Spend Total'!C:AQ, 35, FALSE)),(VLOOKUP(C84,'Justice Spend Total'!C:AQ, 35, FALSE)), #N/A)</f>
        <v>#N/A</v>
      </c>
    </row>
    <row r="85" spans="1:5">
      <c r="A85">
        <v>83</v>
      </c>
      <c r="B85" t="s">
        <v>175</v>
      </c>
      <c r="C85" t="s">
        <v>390</v>
      </c>
      <c r="D85" t="s">
        <v>389</v>
      </c>
      <c r="E85" s="15" t="e">
        <f>IF(ISNUMBER(VLOOKUP(C85,'Justice Spend Total'!C:AQ, 35, FALSE)),(VLOOKUP(C85,'Justice Spend Total'!C:AQ, 35, FALSE)), #N/A)</f>
        <v>#N/A</v>
      </c>
    </row>
    <row r="86" spans="1:5">
      <c r="A86">
        <v>84</v>
      </c>
      <c r="B86" s="15" t="s">
        <v>176</v>
      </c>
      <c r="C86" s="15" t="s">
        <v>391</v>
      </c>
      <c r="D86" s="15" t="s">
        <v>389</v>
      </c>
      <c r="E86" s="15">
        <f>IF(ISNUMBER(VLOOKUP(C86,'Justice Spend Total'!C:AQ, 35, FALSE)),(VLOOKUP(C86,'Justice Spend Total'!C:AQ, 35, FALSE)), #N/A)</f>
        <v>15.161343077453893</v>
      </c>
    </row>
    <row r="87" spans="1:5">
      <c r="A87">
        <v>85</v>
      </c>
      <c r="B87" s="15" t="s">
        <v>177</v>
      </c>
      <c r="C87" s="15" t="s">
        <v>392</v>
      </c>
      <c r="D87" s="15" t="s">
        <v>389</v>
      </c>
      <c r="E87" s="15">
        <f>IF(ISNUMBER(VLOOKUP(C87,'Justice Spend Total'!C:AQ, 35, FALSE)),(VLOOKUP(C87,'Justice Spend Total'!C:AQ, 35, FALSE)), #N/A)</f>
        <v>10.143382926827172</v>
      </c>
    </row>
    <row r="88" spans="1:5">
      <c r="A88">
        <v>86</v>
      </c>
      <c r="B88" s="15" t="s">
        <v>178</v>
      </c>
      <c r="C88" s="15" t="s">
        <v>393</v>
      </c>
      <c r="D88" s="15" t="s">
        <v>389</v>
      </c>
      <c r="E88" s="15">
        <f>IF(ISNUMBER(VLOOKUP(C88,'Justice Spend Total'!C:AQ, 35, FALSE)),(VLOOKUP(C88,'Justice Spend Total'!C:AQ, 35, FALSE)), #N/A)</f>
        <v>3.9884035386159402</v>
      </c>
    </row>
    <row r="89" spans="1:5">
      <c r="A89">
        <v>87</v>
      </c>
      <c r="B89" s="15" t="s">
        <v>179</v>
      </c>
      <c r="C89" s="15" t="s">
        <v>394</v>
      </c>
      <c r="D89" s="15" t="s">
        <v>389</v>
      </c>
      <c r="E89" s="15">
        <f>IF(ISNUMBER(VLOOKUP(C89,'Justice Spend Total'!C:AQ, 35, FALSE)),(VLOOKUP(C89,'Justice Spend Total'!C:AQ, 35, FALSE)), #N/A)</f>
        <v>6.3733143059256383</v>
      </c>
    </row>
    <row r="90" spans="1:5">
      <c r="A90">
        <v>88</v>
      </c>
      <c r="B90" t="s">
        <v>180</v>
      </c>
      <c r="C90" t="s">
        <v>395</v>
      </c>
      <c r="D90" t="s">
        <v>389</v>
      </c>
      <c r="E90" s="15" t="e">
        <f>IF(ISNUMBER(VLOOKUP(C90,'Justice Spend Total'!C:AQ, 35, FALSE)),(VLOOKUP(C90,'Justice Spend Total'!C:AQ, 35, FALSE)), #N/A)</f>
        <v>#N/A</v>
      </c>
    </row>
    <row r="91" spans="1:5">
      <c r="A91">
        <v>89</v>
      </c>
      <c r="B91" t="s">
        <v>181</v>
      </c>
      <c r="C91" t="s">
        <v>396</v>
      </c>
      <c r="D91" t="s">
        <v>389</v>
      </c>
      <c r="E91" s="15" t="e">
        <f>IF(ISNUMBER(VLOOKUP(C91,'Justice Spend Total'!C:AQ, 35, FALSE)),(VLOOKUP(C91,'Justice Spend Total'!C:AQ, 35, FALSE)), #N/A)</f>
        <v>#N/A</v>
      </c>
    </row>
    <row r="92" spans="1:5">
      <c r="A92">
        <v>90</v>
      </c>
      <c r="B92" s="15" t="s">
        <v>182</v>
      </c>
      <c r="C92" s="15" t="s">
        <v>397</v>
      </c>
      <c r="D92" s="15" t="s">
        <v>389</v>
      </c>
      <c r="E92" s="15">
        <f>IF(ISNUMBER(VLOOKUP(C92,'Justice Spend Total'!C:AQ, 35, FALSE)),(VLOOKUP(C92,'Justice Spend Total'!C:AQ, 35, FALSE)), #N/A)</f>
        <v>3.9768539178266851</v>
      </c>
    </row>
    <row r="93" spans="1:5">
      <c r="A93">
        <v>91</v>
      </c>
      <c r="B93" s="15" t="s">
        <v>183</v>
      </c>
      <c r="C93" s="15" t="s">
        <v>398</v>
      </c>
      <c r="D93" s="15" t="s">
        <v>389</v>
      </c>
      <c r="E93" s="15">
        <f>IF(ISNUMBER(VLOOKUP(C93,'Justice Spend Total'!C:AQ, 35, FALSE)),(VLOOKUP(C93,'Justice Spend Total'!C:AQ, 35, FALSE)), #N/A)</f>
        <v>6.1676840891710878</v>
      </c>
    </row>
    <row r="94" spans="1:5">
      <c r="A94">
        <v>92</v>
      </c>
      <c r="B94" s="15" t="s">
        <v>184</v>
      </c>
      <c r="C94" s="15" t="s">
        <v>399</v>
      </c>
      <c r="D94" s="15" t="s">
        <v>389</v>
      </c>
      <c r="E94" s="15">
        <f>IF(ISNUMBER(VLOOKUP(C94,'Justice Spend Total'!C:AQ, 35, FALSE)),(VLOOKUP(C94,'Justice Spend Total'!C:AQ, 35, FALSE)), #N/A)</f>
        <v>4.9698700064581613</v>
      </c>
    </row>
    <row r="95" spans="1:5">
      <c r="A95">
        <v>93</v>
      </c>
      <c r="B95" t="s">
        <v>185</v>
      </c>
      <c r="C95" t="s">
        <v>400</v>
      </c>
      <c r="D95" t="s">
        <v>389</v>
      </c>
      <c r="E95" s="15" t="e">
        <f>IF(ISNUMBER(VLOOKUP(C95,'Justice Spend Total'!C:AQ, 35, FALSE)),(VLOOKUP(C95,'Justice Spend Total'!C:AQ, 35, FALSE)), #N/A)</f>
        <v>#N/A</v>
      </c>
    </row>
    <row r="96" spans="1:5">
      <c r="A96">
        <v>94</v>
      </c>
      <c r="B96" s="15" t="s">
        <v>186</v>
      </c>
      <c r="C96" s="15" t="s">
        <v>401</v>
      </c>
      <c r="D96" s="15" t="s">
        <v>389</v>
      </c>
      <c r="E96" s="15">
        <f>IF(ISNUMBER(VLOOKUP(C96,'Justice Spend Total'!C:AQ, 35, FALSE)),(VLOOKUP(C96,'Justice Spend Total'!C:AQ, 35, FALSE)), #N/A)</f>
        <v>0</v>
      </c>
    </row>
    <row r="97" spans="1:5">
      <c r="A97">
        <v>95</v>
      </c>
      <c r="B97" t="s">
        <v>187</v>
      </c>
      <c r="C97" t="s">
        <v>402</v>
      </c>
      <c r="D97" t="s">
        <v>389</v>
      </c>
      <c r="E97" s="15" t="e">
        <f>IF(ISNUMBER(VLOOKUP(C97,'Justice Spend Total'!C:AQ, 35, FALSE)),(VLOOKUP(C97,'Justice Spend Total'!C:AQ, 35, FALSE)), #N/A)</f>
        <v>#N/A</v>
      </c>
    </row>
    <row r="98" spans="1:5">
      <c r="A98">
        <v>96</v>
      </c>
      <c r="B98" t="s">
        <v>188</v>
      </c>
      <c r="C98" t="s">
        <v>403</v>
      </c>
      <c r="D98" t="s">
        <v>389</v>
      </c>
      <c r="E98" s="15" t="e">
        <f>IF(ISNUMBER(VLOOKUP(C98,'Justice Spend Total'!C:AQ, 35, FALSE)),(VLOOKUP(C98,'Justice Spend Total'!C:AQ, 35, FALSE)), #N/A)</f>
        <v>#N/A</v>
      </c>
    </row>
    <row r="99" spans="1:5">
      <c r="A99">
        <v>97</v>
      </c>
      <c r="B99" s="15" t="s">
        <v>189</v>
      </c>
      <c r="C99" s="15" t="s">
        <v>404</v>
      </c>
      <c r="D99" s="15" t="s">
        <v>389</v>
      </c>
      <c r="E99" s="15">
        <f>IF(ISNUMBER(VLOOKUP(C99,'Justice Spend Total'!C:AQ, 35, FALSE)),(VLOOKUP(C99,'Justice Spend Total'!C:AQ, 35, FALSE)), #N/A)</f>
        <v>4.3254528824897589</v>
      </c>
    </row>
    <row r="100" spans="1:5">
      <c r="A100">
        <v>98</v>
      </c>
      <c r="B100" t="s">
        <v>190</v>
      </c>
      <c r="C100" t="s">
        <v>405</v>
      </c>
      <c r="D100" t="s">
        <v>389</v>
      </c>
      <c r="E100" s="15" t="e">
        <f>IF(ISNUMBER(VLOOKUP(C100,'Justice Spend Total'!C:AQ, 35, FALSE)),(VLOOKUP(C100,'Justice Spend Total'!C:AQ, 35, FALSE)), #N/A)</f>
        <v>#N/A</v>
      </c>
    </row>
    <row r="101" spans="1:5">
      <c r="A101">
        <v>99</v>
      </c>
      <c r="B101" t="s">
        <v>191</v>
      </c>
      <c r="C101" t="s">
        <v>406</v>
      </c>
      <c r="D101" t="s">
        <v>389</v>
      </c>
      <c r="E101" s="15" t="e">
        <f>IF(ISNUMBER(VLOOKUP(C101,'Justice Spend Total'!C:AQ, 35, FALSE)),(VLOOKUP(C101,'Justice Spend Total'!C:AQ, 35, FALSE)), #N/A)</f>
        <v>#N/A</v>
      </c>
    </row>
    <row r="102" spans="1:5">
      <c r="A102">
        <v>100</v>
      </c>
      <c r="B102" s="15" t="s">
        <v>192</v>
      </c>
      <c r="C102" s="15" t="s">
        <v>407</v>
      </c>
      <c r="D102" s="15" t="s">
        <v>389</v>
      </c>
      <c r="E102" s="15">
        <f>IF(ISNUMBER(VLOOKUP(C102,'Justice Spend Total'!C:AQ, 35, FALSE)),(VLOOKUP(C102,'Justice Spend Total'!C:AQ, 35, FALSE)), #N/A)</f>
        <v>4.4520126682240146</v>
      </c>
    </row>
    <row r="103" spans="1:5">
      <c r="A103">
        <v>101</v>
      </c>
      <c r="B103" t="s">
        <v>193</v>
      </c>
      <c r="C103" t="s">
        <v>408</v>
      </c>
      <c r="D103" t="s">
        <v>389</v>
      </c>
      <c r="E103" s="15" t="e">
        <f>IF(ISNUMBER(VLOOKUP(C103,'Justice Spend Total'!C:AQ, 35, FALSE)),(VLOOKUP(C103,'Justice Spend Total'!C:AQ, 35, FALSE)), #N/A)</f>
        <v>#N/A</v>
      </c>
    </row>
    <row r="104" spans="1:5">
      <c r="A104">
        <v>102</v>
      </c>
      <c r="B104" t="s">
        <v>194</v>
      </c>
      <c r="C104" t="s">
        <v>409</v>
      </c>
      <c r="D104" t="s">
        <v>389</v>
      </c>
      <c r="E104" s="15" t="e">
        <f>IF(ISNUMBER(VLOOKUP(C104,'Justice Spend Total'!C:AQ, 35, FALSE)),(VLOOKUP(C104,'Justice Spend Total'!C:AQ, 35, FALSE)), #N/A)</f>
        <v>#N/A</v>
      </c>
    </row>
    <row r="105" spans="1:5">
      <c r="A105">
        <v>103</v>
      </c>
      <c r="B105" s="15" t="s">
        <v>195</v>
      </c>
      <c r="C105" s="15" t="s">
        <v>410</v>
      </c>
      <c r="D105" s="15" t="s">
        <v>389</v>
      </c>
      <c r="E105" s="15">
        <f>IF(ISNUMBER(VLOOKUP(C105,'Justice Spend Total'!C:AQ, 35, FALSE)),(VLOOKUP(C105,'Justice Spend Total'!C:AQ, 35, FALSE)), #N/A)</f>
        <v>8.7724068732662275</v>
      </c>
    </row>
    <row r="106" spans="1:5">
      <c r="A106">
        <v>104</v>
      </c>
      <c r="B106" t="s">
        <v>196</v>
      </c>
      <c r="C106" t="s">
        <v>411</v>
      </c>
      <c r="D106" t="s">
        <v>389</v>
      </c>
      <c r="E106" s="15" t="e">
        <f>IF(ISNUMBER(VLOOKUP(C106,'Justice Spend Total'!C:AQ, 35, FALSE)),(VLOOKUP(C106,'Justice Spend Total'!C:AQ, 35, FALSE)), #N/A)</f>
        <v>#N/A</v>
      </c>
    </row>
    <row r="107" spans="1:5">
      <c r="A107">
        <v>105</v>
      </c>
      <c r="B107" t="s">
        <v>197</v>
      </c>
      <c r="C107" t="s">
        <v>412</v>
      </c>
      <c r="D107" t="s">
        <v>389</v>
      </c>
      <c r="E107" s="15" t="e">
        <f>IF(ISNUMBER(VLOOKUP(C107,'Justice Spend Total'!C:AQ, 35, FALSE)),(VLOOKUP(C107,'Justice Spend Total'!C:AQ, 35, FALSE)), #N/A)</f>
        <v>#N/A</v>
      </c>
    </row>
    <row r="108" spans="1:5">
      <c r="A108">
        <v>106</v>
      </c>
      <c r="B108" t="s">
        <v>198</v>
      </c>
      <c r="C108" t="s">
        <v>413</v>
      </c>
      <c r="D108" t="s">
        <v>389</v>
      </c>
      <c r="E108" s="15" t="e">
        <f>IF(ISNUMBER(VLOOKUP(C108,'Justice Spend Total'!C:AQ, 35, FALSE)),(VLOOKUP(C108,'Justice Spend Total'!C:AQ, 35, FALSE)), #N/A)</f>
        <v>#N/A</v>
      </c>
    </row>
    <row r="109" spans="1:5">
      <c r="A109">
        <v>107</v>
      </c>
      <c r="B109" s="15" t="s">
        <v>199</v>
      </c>
      <c r="C109" s="15" t="s">
        <v>414</v>
      </c>
      <c r="D109" s="15" t="s">
        <v>389</v>
      </c>
      <c r="E109" s="15">
        <f>IF(ISNUMBER(VLOOKUP(C109,'Justice Spend Total'!C:AQ, 35, FALSE)),(VLOOKUP(C109,'Justice Spend Total'!C:AQ, 35, FALSE)), #N/A)</f>
        <v>5.4385250120568358</v>
      </c>
    </row>
    <row r="110" spans="1:5">
      <c r="A110">
        <v>108</v>
      </c>
      <c r="B110" s="15" t="s">
        <v>200</v>
      </c>
      <c r="C110" s="15" t="s">
        <v>415</v>
      </c>
      <c r="D110" s="15" t="s">
        <v>389</v>
      </c>
      <c r="E110" s="15">
        <f>IF(ISNUMBER(VLOOKUP(C110,'Justice Spend Total'!C:AQ, 35, FALSE)),(VLOOKUP(C110,'Justice Spend Total'!C:AQ, 35, FALSE)), #N/A)</f>
        <v>2.8662847015487256</v>
      </c>
    </row>
    <row r="111" spans="1:5">
      <c r="A111">
        <v>109</v>
      </c>
      <c r="B111" t="s">
        <v>201</v>
      </c>
      <c r="C111" t="s">
        <v>416</v>
      </c>
      <c r="D111" t="s">
        <v>389</v>
      </c>
      <c r="E111" s="15" t="e">
        <f>IF(ISNUMBER(VLOOKUP(C111,'Justice Spend Total'!C:AQ, 35, FALSE)),(VLOOKUP(C111,'Justice Spend Total'!C:AQ, 35, FALSE)), #N/A)</f>
        <v>#N/A</v>
      </c>
    </row>
    <row r="112" spans="1:5">
      <c r="A112">
        <v>110</v>
      </c>
      <c r="B112" t="s">
        <v>202</v>
      </c>
      <c r="C112" t="s">
        <v>417</v>
      </c>
      <c r="D112" t="s">
        <v>389</v>
      </c>
      <c r="E112" s="15" t="e">
        <f>IF(ISNUMBER(VLOOKUP(C112,'Justice Spend Total'!C:AQ, 35, FALSE)),(VLOOKUP(C112,'Justice Spend Total'!C:AQ, 35, FALSE)), #N/A)</f>
        <v>#N/A</v>
      </c>
    </row>
    <row r="113" spans="1:5">
      <c r="A113">
        <v>111</v>
      </c>
      <c r="B113" s="15" t="s">
        <v>203</v>
      </c>
      <c r="C113" s="15" t="s">
        <v>418</v>
      </c>
      <c r="D113" s="15" t="s">
        <v>389</v>
      </c>
      <c r="E113" s="15">
        <f>IF(ISNUMBER(VLOOKUP(C113,'Justice Spend Total'!C:AQ, 35, FALSE)),(VLOOKUP(C113,'Justice Spend Total'!C:AQ, 35, FALSE)), #N/A)</f>
        <v>3.9654952562179142</v>
      </c>
    </row>
    <row r="114" spans="1:5">
      <c r="A114">
        <v>112</v>
      </c>
      <c r="B114" s="15" t="s">
        <v>204</v>
      </c>
      <c r="C114" s="15" t="s">
        <v>419</v>
      </c>
      <c r="D114" s="15" t="s">
        <v>389</v>
      </c>
      <c r="E114" s="15">
        <f>IF(ISNUMBER(VLOOKUP(C114,'Justice Spend Total'!C:AQ, 35, FALSE)),(VLOOKUP(C114,'Justice Spend Total'!C:AQ, 35, FALSE)), #N/A)</f>
        <v>0.83821508418957891</v>
      </c>
    </row>
    <row r="115" spans="1:5">
      <c r="A115">
        <v>113</v>
      </c>
      <c r="B115" t="s">
        <v>205</v>
      </c>
      <c r="C115" t="s">
        <v>420</v>
      </c>
      <c r="D115" t="s">
        <v>389</v>
      </c>
      <c r="E115" s="15" t="e">
        <f>IF(ISNUMBER(VLOOKUP(C115,'Justice Spend Total'!C:AQ, 35, FALSE)),(VLOOKUP(C115,'Justice Spend Total'!C:AQ, 35, FALSE)), #N/A)</f>
        <v>#N/A</v>
      </c>
    </row>
    <row r="116" spans="1:5">
      <c r="A116">
        <v>114</v>
      </c>
      <c r="B116" t="s">
        <v>206</v>
      </c>
      <c r="C116" t="s">
        <v>421</v>
      </c>
      <c r="D116" t="s">
        <v>389</v>
      </c>
      <c r="E116" s="15" t="e">
        <f>IF(ISNUMBER(VLOOKUP(C116,'Justice Spend Total'!C:AQ, 35, FALSE)),(VLOOKUP(C116,'Justice Spend Total'!C:AQ, 35, FALSE)), #N/A)</f>
        <v>#N/A</v>
      </c>
    </row>
    <row r="117" spans="1:5">
      <c r="A117">
        <v>115</v>
      </c>
      <c r="B117" s="15" t="s">
        <v>207</v>
      </c>
      <c r="C117" s="15" t="s">
        <v>422</v>
      </c>
      <c r="D117" s="15" t="s">
        <v>389</v>
      </c>
      <c r="E117" s="15">
        <f>IF(ISNUMBER(VLOOKUP(C117,'Justice Spend Total'!C:AQ, 35, FALSE)),(VLOOKUP(C117,'Justice Spend Total'!C:AQ, 35, FALSE)), #N/A)</f>
        <v>2.4532166431434916</v>
      </c>
    </row>
    <row r="118" spans="1:5">
      <c r="A118">
        <v>116</v>
      </c>
      <c r="B118" t="s">
        <v>208</v>
      </c>
      <c r="C118" t="s">
        <v>423</v>
      </c>
      <c r="D118" t="s">
        <v>389</v>
      </c>
      <c r="E118" s="15" t="e">
        <f>IF(ISNUMBER(VLOOKUP(C118,'Justice Spend Total'!C:AQ, 35, FALSE)),(VLOOKUP(C118,'Justice Spend Total'!C:AQ, 35, FALSE)), #N/A)</f>
        <v>#N/A</v>
      </c>
    </row>
    <row r="119" spans="1:5">
      <c r="A119">
        <v>117</v>
      </c>
      <c r="B119" t="s">
        <v>209</v>
      </c>
      <c r="C119" t="s">
        <v>424</v>
      </c>
      <c r="D119" t="s">
        <v>389</v>
      </c>
      <c r="E119" s="15" t="e">
        <f>IF(ISNUMBER(VLOOKUP(C119,'Justice Spend Total'!C:AQ, 35, FALSE)),(VLOOKUP(C119,'Justice Spend Total'!C:AQ, 35, FALSE)), #N/A)</f>
        <v>#N/A</v>
      </c>
    </row>
    <row r="120" spans="1:5">
      <c r="A120">
        <v>118</v>
      </c>
      <c r="B120" t="s">
        <v>210</v>
      </c>
      <c r="C120" t="s">
        <v>425</v>
      </c>
      <c r="D120" t="s">
        <v>389</v>
      </c>
      <c r="E120" s="15" t="e">
        <f>IF(ISNUMBER(VLOOKUP(C120,'Justice Spend Total'!C:AQ, 35, FALSE)),(VLOOKUP(C120,'Justice Spend Total'!C:AQ, 35, FALSE)), #N/A)</f>
        <v>#N/A</v>
      </c>
    </row>
    <row r="121" spans="1:5">
      <c r="A121">
        <v>119</v>
      </c>
      <c r="B121" t="s">
        <v>211</v>
      </c>
      <c r="C121" t="s">
        <v>426</v>
      </c>
      <c r="D121" t="s">
        <v>389</v>
      </c>
      <c r="E121" s="15" t="e">
        <f>IF(ISNUMBER(VLOOKUP(C121,'Justice Spend Total'!C:AQ, 35, FALSE)),(VLOOKUP(C121,'Justice Spend Total'!C:AQ, 35, FALSE)), #N/A)</f>
        <v>#N/A</v>
      </c>
    </row>
    <row r="122" spans="1:5">
      <c r="A122">
        <v>120</v>
      </c>
      <c r="B122" s="15" t="s">
        <v>212</v>
      </c>
      <c r="C122" s="15" t="s">
        <v>427</v>
      </c>
      <c r="D122" s="15" t="s">
        <v>389</v>
      </c>
      <c r="E122" s="15">
        <f>IF(ISNUMBER(VLOOKUP(C122,'Justice Spend Total'!C:AQ, 35, FALSE)),(VLOOKUP(C122,'Justice Spend Total'!C:AQ, 35, FALSE)), #N/A)</f>
        <v>3.506378730608644</v>
      </c>
    </row>
    <row r="123" spans="1:5">
      <c r="A123">
        <v>121</v>
      </c>
      <c r="B123" t="s">
        <v>213</v>
      </c>
      <c r="C123" t="s">
        <v>428</v>
      </c>
      <c r="D123" t="s">
        <v>389</v>
      </c>
      <c r="E123" s="15" t="e">
        <f>IF(ISNUMBER(VLOOKUP(C123,'Justice Spend Total'!C:AQ, 35, FALSE)),(VLOOKUP(C123,'Justice Spend Total'!C:AQ, 35, FALSE)), #N/A)</f>
        <v>#N/A</v>
      </c>
    </row>
    <row r="124" spans="1:5">
      <c r="A124">
        <v>122</v>
      </c>
      <c r="B124" t="s">
        <v>214</v>
      </c>
      <c r="C124" t="s">
        <v>429</v>
      </c>
      <c r="D124" t="s">
        <v>389</v>
      </c>
      <c r="E124" s="15" t="e">
        <f>IF(ISNUMBER(VLOOKUP(C124,'Justice Spend Total'!C:AQ, 35, FALSE)),(VLOOKUP(C124,'Justice Spend Total'!C:AQ, 35, FALSE)), #N/A)</f>
        <v>#N/A</v>
      </c>
    </row>
    <row r="125" spans="1:5">
      <c r="A125">
        <v>123</v>
      </c>
      <c r="B125" t="s">
        <v>215</v>
      </c>
      <c r="C125" t="s">
        <v>430</v>
      </c>
      <c r="D125" t="s">
        <v>389</v>
      </c>
      <c r="E125" s="15" t="e">
        <f>IF(ISNUMBER(VLOOKUP(C125,'Justice Spend Total'!C:AQ, 35, FALSE)),(VLOOKUP(C125,'Justice Spend Total'!C:AQ, 35, FALSE)), #N/A)</f>
        <v>#N/A</v>
      </c>
    </row>
    <row r="126" spans="1:5">
      <c r="A126">
        <v>124</v>
      </c>
      <c r="B126" t="s">
        <v>216</v>
      </c>
      <c r="C126" t="s">
        <v>431</v>
      </c>
      <c r="D126" t="s">
        <v>389</v>
      </c>
      <c r="E126" s="15" t="e">
        <f>IF(ISNUMBER(VLOOKUP(C126,'Justice Spend Total'!C:AQ, 35, FALSE)),(VLOOKUP(C126,'Justice Spend Total'!C:AQ, 35, FALSE)), #N/A)</f>
        <v>#N/A</v>
      </c>
    </row>
    <row r="127" spans="1:5">
      <c r="A127">
        <v>125</v>
      </c>
      <c r="B127" t="s">
        <v>217</v>
      </c>
      <c r="C127" t="s">
        <v>432</v>
      </c>
      <c r="D127" t="s">
        <v>389</v>
      </c>
      <c r="E127" s="15" t="e">
        <f>IF(ISNUMBER(VLOOKUP(C127,'Justice Spend Total'!C:AQ, 35, FALSE)),(VLOOKUP(C127,'Justice Spend Total'!C:AQ, 35, FALSE)), #N/A)</f>
        <v>#N/A</v>
      </c>
    </row>
    <row r="128" spans="1:5">
      <c r="A128">
        <v>126</v>
      </c>
      <c r="B128" s="15" t="s">
        <v>218</v>
      </c>
      <c r="C128" s="15" t="s">
        <v>433</v>
      </c>
      <c r="D128" s="15" t="s">
        <v>389</v>
      </c>
      <c r="E128" s="15">
        <f>IF(ISNUMBER(VLOOKUP(C128,'Justice Spend Total'!C:AQ, 35, FALSE)),(VLOOKUP(C128,'Justice Spend Total'!C:AQ, 35, FALSE)), #N/A)</f>
        <v>5.2317115494800275</v>
      </c>
    </row>
    <row r="129" spans="1:5">
      <c r="A129">
        <v>127</v>
      </c>
      <c r="B129" s="15" t="s">
        <v>219</v>
      </c>
      <c r="C129" s="15" t="s">
        <v>434</v>
      </c>
      <c r="D129" s="15" t="s">
        <v>389</v>
      </c>
      <c r="E129" s="15">
        <f>IF(ISNUMBER(VLOOKUP(C129,'Justice Spend Total'!C:AQ, 35, FALSE)),(VLOOKUP(C129,'Justice Spend Total'!C:AQ, 35, FALSE)), #N/A)</f>
        <v>1.3486658311437034</v>
      </c>
    </row>
    <row r="130" spans="1:5">
      <c r="A130">
        <v>128</v>
      </c>
      <c r="B130" s="15" t="s">
        <v>220</v>
      </c>
      <c r="C130" s="15" t="s">
        <v>435</v>
      </c>
      <c r="D130" s="15" t="s">
        <v>389</v>
      </c>
      <c r="E130" s="15">
        <f>IF(ISNUMBER(VLOOKUP(C130,'Justice Spend Total'!C:AQ, 35, FALSE)),(VLOOKUP(C130,'Justice Spend Total'!C:AQ, 35, FALSE)), #N/A)</f>
        <v>3.6637214695914335</v>
      </c>
    </row>
    <row r="131" spans="1:5">
      <c r="A131">
        <v>129</v>
      </c>
      <c r="B131" s="15" t="s">
        <v>221</v>
      </c>
      <c r="C131" s="15" t="s">
        <v>436</v>
      </c>
      <c r="D131" s="15" t="s">
        <v>389</v>
      </c>
      <c r="E131" s="15">
        <f>IF(ISNUMBER(VLOOKUP(C131,'Justice Spend Total'!C:AQ, 35, FALSE)),(VLOOKUP(C131,'Justice Spend Total'!C:AQ, 35, FALSE)), #N/A)</f>
        <v>7.7328649700361751</v>
      </c>
    </row>
    <row r="132" spans="1:5">
      <c r="A132">
        <v>130</v>
      </c>
      <c r="B132" s="15" t="s">
        <v>222</v>
      </c>
      <c r="C132" s="15" t="s">
        <v>437</v>
      </c>
      <c r="D132" s="15" t="s">
        <v>389</v>
      </c>
      <c r="E132" s="15" t="e">
        <f>IF(ISNUMBER(VLOOKUP(C132,'Justice Spend Total'!C:AQ, 35, FALSE)),(VLOOKUP(C132,'Justice Spend Total'!C:AQ, 35, FALSE)), #N/A)</f>
        <v>#N/A</v>
      </c>
    </row>
    <row r="133" spans="1:5">
      <c r="A133">
        <v>131</v>
      </c>
      <c r="B133" s="15" t="s">
        <v>223</v>
      </c>
      <c r="C133" s="15" t="s">
        <v>438</v>
      </c>
      <c r="D133" s="15" t="s">
        <v>389</v>
      </c>
      <c r="E133" s="15">
        <f>IF(ISNUMBER(VLOOKUP(C133,'Justice Spend Total'!C:AQ, 35, FALSE)),(VLOOKUP(C133,'Justice Spend Total'!C:AQ, 35, FALSE)), #N/A)</f>
        <v>2.7538253944674684</v>
      </c>
    </row>
    <row r="134" spans="1:5">
      <c r="A134">
        <v>132</v>
      </c>
      <c r="B134" s="15" t="s">
        <v>224</v>
      </c>
      <c r="C134" s="15" t="s">
        <v>439</v>
      </c>
      <c r="D134" s="15" t="s">
        <v>389</v>
      </c>
      <c r="E134" s="15" t="e">
        <f>IF(ISNUMBER(VLOOKUP(C134,'Justice Spend Total'!C:AQ, 35, FALSE)),(VLOOKUP(C134,'Justice Spend Total'!C:AQ, 35, FALSE)), #N/A)</f>
        <v>#N/A</v>
      </c>
    </row>
    <row r="135" spans="1:5">
      <c r="A135">
        <v>133</v>
      </c>
      <c r="B135" s="15" t="s">
        <v>225</v>
      </c>
      <c r="C135" s="15" t="s">
        <v>440</v>
      </c>
      <c r="D135" s="15" t="s">
        <v>389</v>
      </c>
      <c r="E135" s="15">
        <f>IF(ISNUMBER(VLOOKUP(C135,'Justice Spend Total'!C:AQ, 35, FALSE)),(VLOOKUP(C135,'Justice Spend Total'!C:AQ, 35, FALSE)), #N/A)</f>
        <v>0</v>
      </c>
    </row>
    <row r="136" spans="1:5">
      <c r="A136">
        <v>145</v>
      </c>
      <c r="B136" s="15" t="s">
        <v>75</v>
      </c>
      <c r="C136" s="15" t="s">
        <v>441</v>
      </c>
      <c r="D136" s="15" t="s">
        <v>285</v>
      </c>
      <c r="E136" s="15">
        <f>IF(ISNUMBER(VLOOKUP(C136,'Justice Spend Total'!C:AQ, 35, FALSE)),(VLOOKUP(C136,'Justice Spend Total'!C:AQ, 35, FALSE)), #N/A)</f>
        <v>2.758189876067398</v>
      </c>
    </row>
    <row r="137" spans="1:5">
      <c r="A137">
        <v>148</v>
      </c>
      <c r="B137" s="15" t="s">
        <v>68</v>
      </c>
      <c r="C137" s="15" t="s">
        <v>442</v>
      </c>
      <c r="D137" s="15" t="s">
        <v>285</v>
      </c>
      <c r="E137" s="15">
        <f>IF(ISNUMBER(VLOOKUP(C137,'Justice Spend Total'!C:AQ, 35, FALSE)),(VLOOKUP(C137,'Justice Spend Total'!C:AQ, 35, FALSE)), #N/A)</f>
        <v>2.7951416358141477</v>
      </c>
    </row>
    <row r="138" spans="1:5">
      <c r="A138">
        <v>153</v>
      </c>
      <c r="B138" s="15" t="s">
        <v>65</v>
      </c>
      <c r="C138" s="15" t="s">
        <v>443</v>
      </c>
      <c r="D138" s="15" t="s">
        <v>285</v>
      </c>
      <c r="E138" s="15">
        <f>IF(ISNUMBER(VLOOKUP(C138,'Justice Spend Total'!C:AQ, 35, FALSE)),(VLOOKUP(C138,'Justice Spend Total'!C:AQ, 35, FALSE)), #N/A)</f>
        <v>3.0837509564688887</v>
      </c>
    </row>
    <row r="139" spans="1:5">
      <c r="A139">
        <v>154</v>
      </c>
      <c r="B139" s="15" t="s">
        <v>76</v>
      </c>
      <c r="C139" s="15" t="s">
        <v>444</v>
      </c>
      <c r="D139" s="15" t="s">
        <v>285</v>
      </c>
      <c r="E139" s="15">
        <f>IF(ISNUMBER(VLOOKUP(C139,'Justice Spend Total'!C:AQ, 35, FALSE)),(VLOOKUP(C139,'Justice Spend Total'!C:AQ, 35, FALSE)), #N/A)</f>
        <v>2.8113473867083587</v>
      </c>
    </row>
    <row r="140" spans="1:5">
      <c r="A140">
        <v>160</v>
      </c>
      <c r="B140" s="15" t="s">
        <v>62</v>
      </c>
      <c r="C140" s="15" t="s">
        <v>445</v>
      </c>
      <c r="D140" s="15" t="s">
        <v>285</v>
      </c>
      <c r="E140" s="15">
        <f>IF(ISNUMBER(VLOOKUP(C140,'Justice Spend Total'!C:AQ, 35, FALSE)),(VLOOKUP(C140,'Justice Spend Total'!C:AQ, 35, FALSE)), #N/A)</f>
        <v>2.4984380619043374</v>
      </c>
    </row>
    <row r="141" spans="1:5">
      <c r="A141">
        <v>161</v>
      </c>
      <c r="B141" s="15" t="s">
        <v>70</v>
      </c>
      <c r="C141" s="15" t="s">
        <v>446</v>
      </c>
      <c r="D141" s="15" t="s">
        <v>285</v>
      </c>
      <c r="E141" s="15">
        <f>IF(ISNUMBER(VLOOKUP(C141,'Justice Spend Total'!C:AQ, 35, FALSE)),(VLOOKUP(C141,'Justice Spend Total'!C:AQ, 35, FALSE)), #N/A)</f>
        <v>2.4676987834107256</v>
      </c>
    </row>
    <row r="142" spans="1:5">
      <c r="A142">
        <v>166</v>
      </c>
      <c r="B142" s="15" t="s">
        <v>60</v>
      </c>
      <c r="C142" s="15" t="s">
        <v>447</v>
      </c>
      <c r="D142" s="15" t="s">
        <v>285</v>
      </c>
      <c r="E142" s="15">
        <f>IF(ISNUMBER(VLOOKUP(C142,'Justice Spend Total'!C:AQ, 35, FALSE)),(VLOOKUP(C142,'Justice Spend Total'!C:AQ, 35, FALSE)), #N/A)</f>
        <v>2.0380765355266757</v>
      </c>
    </row>
    <row r="143" spans="1:5">
      <c r="A143">
        <v>167</v>
      </c>
      <c r="B143" s="15" t="s">
        <v>69</v>
      </c>
      <c r="C143" s="15" t="s">
        <v>448</v>
      </c>
      <c r="D143" s="15" t="s">
        <v>285</v>
      </c>
      <c r="E143" s="15">
        <f>IF(ISNUMBER(VLOOKUP(C143,'Justice Spend Total'!C:AQ, 35, FALSE)),(VLOOKUP(C143,'Justice Spend Total'!C:AQ, 35, FALSE)), #N/A)</f>
        <v>3.1655975584344604</v>
      </c>
    </row>
    <row r="144" spans="1:5">
      <c r="A144">
        <v>170</v>
      </c>
      <c r="B144" t="s">
        <v>73</v>
      </c>
      <c r="C144" t="s">
        <v>449</v>
      </c>
      <c r="D144" t="s">
        <v>285</v>
      </c>
      <c r="E144" s="15" t="e">
        <f>IF(ISNUMBER(VLOOKUP(C144,'Justice Spend Total'!C:AQ, 35, FALSE)),(VLOOKUP(C144,'Justice Spend Total'!C:AQ, 35, FALSE)), #N/A)</f>
        <v>#N/A</v>
      </c>
    </row>
    <row r="145" spans="1:5">
      <c r="A145">
        <v>171</v>
      </c>
      <c r="B145" s="15" t="s">
        <v>63</v>
      </c>
      <c r="C145" s="15" t="s">
        <v>450</v>
      </c>
      <c r="D145" s="15" t="s">
        <v>285</v>
      </c>
      <c r="E145" s="15">
        <f>IF(ISNUMBER(VLOOKUP(C145,'Justice Spend Total'!C:AQ, 35, FALSE)),(VLOOKUP(C145,'Justice Spend Total'!C:AQ, 35, FALSE)), #N/A)</f>
        <v>2.6164487898192252</v>
      </c>
    </row>
    <row r="146" spans="1:5">
      <c r="A146">
        <v>174</v>
      </c>
      <c r="B146" s="15" t="s">
        <v>57</v>
      </c>
      <c r="C146" s="15" t="s">
        <v>451</v>
      </c>
      <c r="D146" s="15" t="s">
        <v>285</v>
      </c>
      <c r="E146" s="15">
        <f>IF(ISNUMBER(VLOOKUP(C146,'Justice Spend Total'!C:AQ, 35, FALSE)),(VLOOKUP(C146,'Justice Spend Total'!C:AQ, 35, FALSE)), #N/A)</f>
        <v>1.8790513894598453</v>
      </c>
    </row>
    <row r="147" spans="1:5">
      <c r="A147">
        <v>175</v>
      </c>
      <c r="B147" s="15" t="s">
        <v>55</v>
      </c>
      <c r="C147" s="15" t="s">
        <v>452</v>
      </c>
      <c r="D147" s="15" t="s">
        <v>285</v>
      </c>
      <c r="E147" s="15">
        <f>IF(ISNUMBER(VLOOKUP(C147,'Justice Spend Total'!C:AQ, 35, FALSE)),(VLOOKUP(C147,'Justice Spend Total'!C:AQ, 35, FALSE)), #N/A)</f>
        <v>1.8928224922084176</v>
      </c>
    </row>
    <row r="148" spans="1:5">
      <c r="A148">
        <v>176</v>
      </c>
      <c r="B148" s="15" t="s">
        <v>71</v>
      </c>
      <c r="C148" s="15" t="s">
        <v>453</v>
      </c>
      <c r="D148" s="15" t="s">
        <v>285</v>
      </c>
      <c r="E148" s="15" t="e">
        <f>IF(ISNUMBER(VLOOKUP(C148,'Justice Spend Total'!C:AQ, 35, FALSE)),(VLOOKUP(C148,'Justice Spend Total'!C:AQ, 35, FALSE)), #N/A)</f>
        <v>#N/A</v>
      </c>
    </row>
    <row r="149" spans="1:5">
      <c r="A149">
        <v>177</v>
      </c>
      <c r="B149" s="15" t="s">
        <v>72</v>
      </c>
      <c r="C149" s="15" t="s">
        <v>454</v>
      </c>
      <c r="D149" s="15" t="s">
        <v>285</v>
      </c>
      <c r="E149" s="15">
        <f>IF(ISNUMBER(VLOOKUP(C149,'Justice Spend Total'!C:AQ, 35, FALSE)),(VLOOKUP(C149,'Justice Spend Total'!C:AQ, 35, FALSE)), #N/A)</f>
        <v>2.9748858481849183</v>
      </c>
    </row>
    <row r="150" spans="1:5">
      <c r="A150">
        <v>180</v>
      </c>
      <c r="B150" s="15" t="s">
        <v>64</v>
      </c>
      <c r="C150" s="15" t="s">
        <v>455</v>
      </c>
      <c r="D150" s="15" t="s">
        <v>285</v>
      </c>
      <c r="E150" s="15">
        <f>IF(ISNUMBER(VLOOKUP(C150,'Justice Spend Total'!C:AQ, 35, FALSE)),(VLOOKUP(C150,'Justice Spend Total'!C:AQ, 35, FALSE)), #N/A)</f>
        <v>2.0775703677724975</v>
      </c>
    </row>
    <row r="151" spans="1:5">
      <c r="A151">
        <v>182</v>
      </c>
      <c r="B151" s="15" t="s">
        <v>58</v>
      </c>
      <c r="C151" s="15" t="s">
        <v>456</v>
      </c>
      <c r="D151" s="15" t="s">
        <v>285</v>
      </c>
      <c r="E151" s="15">
        <f>IF(ISNUMBER(VLOOKUP(C151,'Justice Spend Total'!C:AQ, 35, FALSE)),(VLOOKUP(C151,'Justice Spend Total'!C:AQ, 35, FALSE)), #N/A)</f>
        <v>2.1813885743343491</v>
      </c>
    </row>
    <row r="152" spans="1:5">
      <c r="A152">
        <v>183</v>
      </c>
      <c r="B152" s="15" t="s">
        <v>56</v>
      </c>
      <c r="C152" s="15" t="s">
        <v>457</v>
      </c>
      <c r="D152" s="15" t="s">
        <v>285</v>
      </c>
      <c r="E152" s="15">
        <f>IF(ISNUMBER(VLOOKUP(C152,'Justice Spend Total'!C:AQ, 35, FALSE)),(VLOOKUP(C152,'Justice Spend Total'!C:AQ, 35, FALSE)), #N/A)</f>
        <v>1.69801225977282</v>
      </c>
    </row>
    <row r="153" spans="1:5">
      <c r="A153">
        <v>184</v>
      </c>
      <c r="B153" s="15" t="s">
        <v>53</v>
      </c>
      <c r="C153" s="15" t="s">
        <v>458</v>
      </c>
      <c r="D153" s="15" t="s">
        <v>285</v>
      </c>
      <c r="E153" s="15">
        <f>IF(ISNUMBER(VLOOKUP(C153,'Justice Spend Total'!C:AQ, 35, FALSE)),(VLOOKUP(C153,'Justice Spend Total'!C:AQ, 35, FALSE)), #N/A)</f>
        <v>1.4895610408931321</v>
      </c>
    </row>
    <row r="154" spans="1:5">
      <c r="A154">
        <v>185</v>
      </c>
      <c r="B154" s="15" t="s">
        <v>50</v>
      </c>
      <c r="C154" s="15" t="s">
        <v>459</v>
      </c>
      <c r="D154" s="15" t="s">
        <v>285</v>
      </c>
      <c r="E154" s="15">
        <f>IF(ISNUMBER(VLOOKUP(C154,'Justice Spend Total'!C:AQ, 35, FALSE)),(VLOOKUP(C154,'Justice Spend Total'!C:AQ, 35, FALSE)), #N/A)</f>
        <v>1.0381536463850289</v>
      </c>
    </row>
    <row r="155" spans="1:5">
      <c r="A155">
        <v>187</v>
      </c>
      <c r="B155" s="15" t="s">
        <v>66</v>
      </c>
      <c r="C155" s="15" t="s">
        <v>460</v>
      </c>
      <c r="D155" s="15" t="s">
        <v>285</v>
      </c>
      <c r="E155" s="15">
        <f>IF(ISNUMBER(VLOOKUP(C155,'Justice Spend Total'!C:AQ, 35, FALSE)),(VLOOKUP(C155,'Justice Spend Total'!C:AQ, 35, FALSE)), #N/A)</f>
        <v>2.1953876773443532</v>
      </c>
    </row>
    <row r="156" spans="1:5">
      <c r="A156">
        <v>188</v>
      </c>
      <c r="B156" s="15" t="s">
        <v>74</v>
      </c>
      <c r="C156" s="15" t="s">
        <v>461</v>
      </c>
      <c r="D156" s="15" t="s">
        <v>285</v>
      </c>
      <c r="E156" s="15">
        <f>IF(ISNUMBER(VLOOKUP(C156,'Justice Spend Total'!C:AQ, 35, FALSE)),(VLOOKUP(C156,'Justice Spend Total'!C:AQ, 35, FALSE)), #N/A)</f>
        <v>1.8677125912320978</v>
      </c>
    </row>
    <row r="157" spans="1:5">
      <c r="A157">
        <v>190</v>
      </c>
      <c r="B157" s="15" t="s">
        <v>52</v>
      </c>
      <c r="C157" s="15" t="s">
        <v>462</v>
      </c>
      <c r="D157" s="15" t="s">
        <v>285</v>
      </c>
      <c r="E157" s="15">
        <f>IF(ISNUMBER(VLOOKUP(C157,'Justice Spend Total'!C:AQ, 35, FALSE)),(VLOOKUP(C157,'Justice Spend Total'!C:AQ, 35, FALSE)), #N/A)</f>
        <v>1.4622759670595156</v>
      </c>
    </row>
    <row r="158" spans="1:5">
      <c r="A158">
        <v>193</v>
      </c>
      <c r="B158" s="15" t="s">
        <v>59</v>
      </c>
      <c r="C158" s="15" t="s">
        <v>463</v>
      </c>
      <c r="D158" s="15" t="s">
        <v>285</v>
      </c>
      <c r="E158" s="15">
        <f>IF(ISNUMBER(VLOOKUP(C158,'Justice Spend Total'!C:AQ, 35, FALSE)),(VLOOKUP(C158,'Justice Spend Total'!C:AQ, 35, FALSE)), #N/A)</f>
        <v>2.1155731072844337</v>
      </c>
    </row>
    <row r="159" spans="1:5">
      <c r="A159">
        <v>194</v>
      </c>
      <c r="B159" s="15" t="s">
        <v>49</v>
      </c>
      <c r="C159" s="15" t="s">
        <v>464</v>
      </c>
      <c r="D159" s="15" t="s">
        <v>285</v>
      </c>
      <c r="E159" s="15">
        <f>IF(ISNUMBER(VLOOKUP(C159,'Justice Spend Total'!C:AQ, 35, FALSE)),(VLOOKUP(C159,'Justice Spend Total'!C:AQ, 35, FALSE)), #N/A)</f>
        <v>1.0926864686830617</v>
      </c>
    </row>
    <row r="160" spans="1:5">
      <c r="A160">
        <v>195</v>
      </c>
      <c r="B160" s="15" t="s">
        <v>77</v>
      </c>
      <c r="C160" s="15" t="s">
        <v>465</v>
      </c>
      <c r="D160" s="15" t="s">
        <v>285</v>
      </c>
      <c r="E160" s="15">
        <f>IF(ISNUMBER(VLOOKUP(C160,'Justice Spend Total'!C:AQ, 35, FALSE)),(VLOOKUP(C160,'Justice Spend Total'!C:AQ, 35, FALSE)), #N/A)</f>
        <v>2.9645051777848557</v>
      </c>
    </row>
    <row r="161" spans="1:5">
      <c r="A161">
        <v>196</v>
      </c>
      <c r="B161" s="15" t="s">
        <v>61</v>
      </c>
      <c r="C161" s="15" t="s">
        <v>466</v>
      </c>
      <c r="D161" s="15" t="s">
        <v>285</v>
      </c>
      <c r="E161" s="15">
        <f>IF(ISNUMBER(VLOOKUP(C161,'Justice Spend Total'!C:AQ, 35, FALSE)),(VLOOKUP(C161,'Justice Spend Total'!C:AQ, 35, FALSE)), #N/A)</f>
        <v>2.3501746077305796</v>
      </c>
    </row>
    <row r="162" spans="1:5">
      <c r="A162">
        <v>197</v>
      </c>
      <c r="B162" s="15" t="s">
        <v>54</v>
      </c>
      <c r="C162" s="15" t="s">
        <v>467</v>
      </c>
      <c r="D162" s="15" t="s">
        <v>285</v>
      </c>
      <c r="E162" s="15">
        <f>IF(ISNUMBER(VLOOKUP(C162,'Justice Spend Total'!C:AQ, 35, FALSE)),(VLOOKUP(C162,'Justice Spend Total'!C:AQ, 35, FALSE)), #N/A)</f>
        <v>1.2163161309693518</v>
      </c>
    </row>
    <row r="163" spans="1:5">
      <c r="A163">
        <v>199</v>
      </c>
      <c r="B163" s="15" t="s">
        <v>51</v>
      </c>
      <c r="C163" s="15" t="s">
        <v>468</v>
      </c>
      <c r="D163" s="15" t="s">
        <v>285</v>
      </c>
      <c r="E163" s="15">
        <f>IF(ISNUMBER(VLOOKUP(C163,'Justice Spend Total'!C:AQ, 35, FALSE)),(VLOOKUP(C163,'Justice Spend Total'!C:AQ, 35, FALSE)), #N/A)</f>
        <v>1.2701896078386221</v>
      </c>
    </row>
    <row r="164" spans="1:5">
      <c r="A164">
        <v>200</v>
      </c>
      <c r="B164" s="15" t="s">
        <v>67</v>
      </c>
      <c r="C164" s="15" t="s">
        <v>469</v>
      </c>
      <c r="D164" s="15" t="s">
        <v>285</v>
      </c>
      <c r="E164" s="15">
        <f>IF(ISNUMBER(VLOOKUP(C164,'Justice Spend Total'!C:AQ, 35, FALSE)),(VLOOKUP(C164,'Justice Spend Total'!C:AQ, 35, FALSE)), #N/A)</f>
        <v>2.0488886818484255</v>
      </c>
    </row>
  </sheetData>
  <pageMargins left="0.7" right="0.7" top="0.75" bottom="0.75" header="0.3" footer="0.3"/>
  <pageSetup paperSize="9" orientation="portrait" horizontalDpi="4294967292" verticalDpi="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3A31-1A7F-423B-860D-160476EC8DEE}">
  <dimension ref="A1:BA443"/>
  <sheetViews>
    <sheetView topLeftCell="B1" workbookViewId="0">
      <pane ySplit="2" topLeftCell="B3" activePane="bottomLeft" state="frozen"/>
      <selection pane="bottomLeft" activeCell="B1" sqref="B1"/>
    </sheetView>
  </sheetViews>
  <sheetFormatPr defaultColWidth="8.85546875" defaultRowHeight="14.45"/>
  <cols>
    <col min="1" max="1" width="8.85546875" hidden="1" customWidth="1"/>
    <col min="2" max="2" width="14.28515625" customWidth="1"/>
    <col min="3" max="3" width="8.85546875" hidden="1" customWidth="1"/>
    <col min="4" max="4" width="13.5703125" hidden="1" customWidth="1"/>
    <col min="5" max="5" width="6.85546875" customWidth="1"/>
    <col min="6" max="6" width="14.42578125" hidden="1" customWidth="1"/>
    <col min="7" max="7" width="15.85546875" style="15" hidden="1" customWidth="1"/>
    <col min="8" max="8" width="22.28515625" hidden="1" customWidth="1"/>
    <col min="9" max="9" width="13.140625" hidden="1" customWidth="1"/>
    <col min="10" max="10" width="10" hidden="1" customWidth="1"/>
    <col min="11" max="11" width="7.85546875" hidden="1" customWidth="1"/>
    <col min="12" max="12" width="1.140625" hidden="1" customWidth="1"/>
    <col min="13" max="13" width="7.5703125" customWidth="1"/>
    <col min="14" max="14" width="8.42578125" customWidth="1"/>
    <col min="15" max="15" width="6.42578125" customWidth="1"/>
    <col min="16" max="16" width="6.5703125" customWidth="1"/>
    <col min="17" max="17" width="6.140625" customWidth="1"/>
    <col min="18" max="18" width="12.42578125" style="15" hidden="1" customWidth="1"/>
    <col min="19" max="19" width="6.140625" style="15" customWidth="1"/>
    <col min="20" max="20" width="6.85546875" style="15" customWidth="1"/>
    <col min="21" max="21" width="7.5703125" customWidth="1"/>
    <col min="22" max="22" width="11.42578125" customWidth="1"/>
  </cols>
  <sheetData>
    <row r="1" spans="1:46" s="53" customFormat="1" ht="29.1">
      <c r="G1" s="106"/>
      <c r="I1" s="160" t="s">
        <v>471</v>
      </c>
      <c r="J1" s="160"/>
      <c r="K1" s="160"/>
      <c r="L1" s="160"/>
      <c r="M1" s="160" t="s">
        <v>472</v>
      </c>
      <c r="N1" s="160"/>
      <c r="O1" s="160"/>
      <c r="P1" s="160"/>
      <c r="Q1" s="160"/>
      <c r="R1" s="153" t="s">
        <v>473</v>
      </c>
      <c r="S1" s="161" t="s">
        <v>474</v>
      </c>
      <c r="T1" s="161"/>
      <c r="U1" s="96"/>
    </row>
    <row r="2" spans="1:46" s="1" customFormat="1" ht="43.5">
      <c r="A2" s="1" t="s">
        <v>302</v>
      </c>
      <c r="B2" s="1" t="s">
        <v>47</v>
      </c>
      <c r="C2" s="1" t="s">
        <v>303</v>
      </c>
      <c r="D2" s="1" t="s">
        <v>475</v>
      </c>
      <c r="E2" s="23" t="s">
        <v>304</v>
      </c>
      <c r="F2" s="103" t="s">
        <v>20</v>
      </c>
      <c r="G2" s="75" t="s">
        <v>79</v>
      </c>
      <c r="H2" s="1" t="s">
        <v>88</v>
      </c>
      <c r="I2" s="1" t="s">
        <v>476</v>
      </c>
      <c r="J2" s="1" t="s">
        <v>470</v>
      </c>
      <c r="K2" s="1" t="s">
        <v>477</v>
      </c>
      <c r="L2" s="1" t="s">
        <v>478</v>
      </c>
      <c r="M2" s="144" t="s">
        <v>479</v>
      </c>
      <c r="N2" s="144" t="s">
        <v>476</v>
      </c>
      <c r="O2" s="144" t="s">
        <v>470</v>
      </c>
      <c r="P2" s="144" t="s">
        <v>477</v>
      </c>
      <c r="Q2" s="143" t="s">
        <v>272</v>
      </c>
      <c r="R2" s="75" t="s">
        <v>90</v>
      </c>
      <c r="S2" s="145" t="s">
        <v>480</v>
      </c>
      <c r="T2" s="145" t="s">
        <v>481</v>
      </c>
      <c r="U2" s="143" t="s">
        <v>91</v>
      </c>
      <c r="V2" s="154" t="s">
        <v>92</v>
      </c>
      <c r="W2" s="1" t="s">
        <v>482</v>
      </c>
      <c r="X2"/>
    </row>
    <row r="3" spans="1:46">
      <c r="A3">
        <v>1</v>
      </c>
      <c r="B3" t="s">
        <v>96</v>
      </c>
      <c r="C3" t="s">
        <v>309</v>
      </c>
      <c r="D3" t="s">
        <v>483</v>
      </c>
      <c r="E3" t="s">
        <v>299</v>
      </c>
      <c r="F3" s="17">
        <f>VLOOKUP(B3,'Justice Spend Total'!$B$4:$AQ$221,10,FALSE)</f>
        <v>397.56400000000002</v>
      </c>
      <c r="G3" s="15">
        <f>VLOOKUP(C3,'Justice Spend Total'!$C$4:$AQ$221,10,FALSE)</f>
        <v>25.694213754370548</v>
      </c>
      <c r="H3">
        <f>VLOOKUP(C3,'Justice Spend Total'!$C$4:$AQ$221,7,FALSE)</f>
        <v>500</v>
      </c>
      <c r="I3" s="17">
        <f t="shared" ref="I3:I66" si="0">IF(ISNUMBER(N3),$G3/100*$H3*(N3/100),"")</f>
        <v>39.527040729019056</v>
      </c>
      <c r="J3" s="17">
        <f t="shared" ref="J3:J66" si="1">IF(ISNUMBER(O3),$G3/100*$H3*(O3/100),"")</f>
        <v>3.0350688157353902</v>
      </c>
      <c r="K3" s="17">
        <f t="shared" ref="K3:K66" si="2">IF(ISNUMBER(P3),$G3/100*$H3*(P3/100),"")</f>
        <v>1.0455340636663801</v>
      </c>
      <c r="L3" s="17">
        <f t="shared" ref="L3:L66" si="3">IF(ISNUMBER(M3),$G3/100*$H3*(M3/100),"")</f>
        <v>43.977195858513298</v>
      </c>
      <c r="M3" s="16">
        <f>IF(ISNUMBER(VLOOKUP($C3,'Justice Spend Total'!$C:$BA,38,FALSE)),VLOOKUP($C3,'Justice Spend Total'!$C:$BA,38,FALSE),"")</f>
        <v>34.231205732872709</v>
      </c>
      <c r="N3" s="16">
        <f>IF(ISNUMBER(VLOOKUP($C3,'Justice Spend Total'!$C:$BA,35,FALSE)),VLOOKUP($C3,'Justice Spend Total'!$C:$BA,35,FALSE),"")</f>
        <v>30.767270099709172</v>
      </c>
      <c r="O3" s="16">
        <f>IF(ISNUMBER(VLOOKUP($C3,'Justice Spend Total'!$C:$BA,36,FALSE)),VLOOKUP($C3,'Justice Spend Total'!$C:$BA,36,FALSE),"")</f>
        <v>2.3624531536553666</v>
      </c>
      <c r="P3" s="16">
        <f>IF(ISNUMBER(VLOOKUP($C3,'Justice Spend Total'!$C:$BA,37,FALSE)),VLOOKUP($C3,'Justice Spend Total'!$C:$BA,37,FALSE),"")</f>
        <v>0.81382841573701492</v>
      </c>
      <c r="Q3" s="16">
        <f t="shared" ref="Q3:Q15" si="4">IF(ISNUMBER(M3),M3-N3-O3-P3,"")</f>
        <v>0.28765406377115543</v>
      </c>
      <c r="R3" s="15">
        <f>IF(ISNUMBER(VLOOKUP($C3,'Justice Spend Total'!$C:$BA,39,FALSE)),VLOOKUP($C3,'Justice Spend Total'!$C:$BA,39,FALSE),"")</f>
        <v>8.7954391717026592</v>
      </c>
      <c r="S3" s="16">
        <f t="shared" ref="S3:S66" si="5">R3</f>
        <v>8.7954391717026592</v>
      </c>
      <c r="T3" s="7">
        <f t="shared" ref="T3:T34" si="6">L3</f>
        <v>43.977195858513298</v>
      </c>
      <c r="U3" s="22">
        <f>VLOOKUP($C3,'Justice Spend Total'!$C:$BA,40,FALSE)</f>
        <v>2017</v>
      </c>
      <c r="V3" s="15" t="str">
        <f>VLOOKUP($C3,'Justice Spend Total'!$C:$BA,41,FALSE)</f>
        <v>IMF COFOG</v>
      </c>
      <c r="W3" t="s">
        <v>484</v>
      </c>
      <c r="AA3" s="109"/>
      <c r="AB3" s="109"/>
      <c r="AC3" s="109"/>
      <c r="AD3" s="109"/>
      <c r="AE3" s="109"/>
      <c r="AF3" s="109"/>
    </row>
    <row r="4" spans="1:46">
      <c r="A4">
        <v>2</v>
      </c>
      <c r="B4" t="s">
        <v>192</v>
      </c>
      <c r="C4" t="s">
        <v>407</v>
      </c>
      <c r="D4" t="s">
        <v>485</v>
      </c>
      <c r="E4" t="s">
        <v>486</v>
      </c>
      <c r="F4" s="17">
        <f>VLOOKUP(B4,'Justice Spend Total'!$B$4:$AQ$221,10,FALSE)</f>
        <v>425.90600000000001</v>
      </c>
      <c r="G4" s="15">
        <f>VLOOKUP(C4,'Justice Spend Total'!$C$4:$AQ$221,10,FALSE)</f>
        <v>25.905430392681623</v>
      </c>
      <c r="H4">
        <f>VLOOKUP(C4,'Justice Spend Total'!$C$4:$AQ$221,7,FALSE)</f>
        <v>6110</v>
      </c>
      <c r="I4" s="17">
        <f t="shared" si="0"/>
        <v>70.467426917532549</v>
      </c>
      <c r="J4" s="17">
        <f t="shared" si="1"/>
        <v>13.854880539410374</v>
      </c>
      <c r="K4" s="17">
        <f t="shared" si="2"/>
        <v>21.229994626792156</v>
      </c>
      <c r="L4" s="17">
        <f t="shared" si="3"/>
        <v>122.8722231896208</v>
      </c>
      <c r="M4" s="16">
        <f>IF(ISNUMBER(VLOOKUP($C4,'Justice Spend Total'!$C:$BA,38,FALSE)),VLOOKUP($C4,'Justice Spend Total'!$C:$BA,38,FALSE),"")</f>
        <v>7.7628589284695115</v>
      </c>
      <c r="N4" s="16">
        <f>IF(ISNUMBER(VLOOKUP($C4,'Justice Spend Total'!$C:$BA,35,FALSE)),VLOOKUP($C4,'Justice Spend Total'!$C:$BA,35,FALSE),"")</f>
        <v>4.4520126682240146</v>
      </c>
      <c r="O4" s="16">
        <f>IF(ISNUMBER(VLOOKUP($C4,'Justice Spend Total'!$C:$BA,36,FALSE)),VLOOKUP($C4,'Justice Spend Total'!$C:$BA,36,FALSE),"")</f>
        <v>0.87532788376637349</v>
      </c>
      <c r="P4" s="16">
        <f>IF(ISNUMBER(VLOOKUP($C4,'Justice Spend Total'!$C:$BA,37,FALSE)),VLOOKUP($C4,'Justice Spend Total'!$C:$BA,37,FALSE),"")</f>
        <v>1.3412750991379034</v>
      </c>
      <c r="Q4" s="16">
        <f t="shared" si="4"/>
        <v>1.0942432773412201</v>
      </c>
      <c r="R4" s="15">
        <f>IF(ISNUMBER(VLOOKUP($C4,'Justice Spend Total'!$C:$BA,39,FALSE)),VLOOKUP($C4,'Justice Spend Total'!$C:$BA,39,FALSE),"")</f>
        <v>2.0110020161967399</v>
      </c>
      <c r="S4" s="16">
        <f t="shared" si="5"/>
        <v>2.0110020161967399</v>
      </c>
      <c r="T4" s="7">
        <f t="shared" si="6"/>
        <v>122.8722231896208</v>
      </c>
      <c r="U4" s="22">
        <f>VLOOKUP($C4,'Justice Spend Total'!$C:$BA,40,FALSE)</f>
        <v>2020</v>
      </c>
      <c r="V4" s="15" t="str">
        <f>VLOOKUP($C4,'Justice Spend Total'!$C:$BA,41,FALSE)</f>
        <v>IMF COFOG</v>
      </c>
    </row>
    <row r="5" spans="1:46">
      <c r="A5">
        <v>3</v>
      </c>
      <c r="B5" t="s">
        <v>164</v>
      </c>
      <c r="C5" t="s">
        <v>378</v>
      </c>
      <c r="D5" t="s">
        <v>487</v>
      </c>
      <c r="E5" t="s">
        <v>488</v>
      </c>
      <c r="F5" s="142">
        <f>VLOOKUP(B5,'Justice Spend Total'!$B$4:$AQ$221,10,FALSE)</f>
        <v>5640.94</v>
      </c>
      <c r="G5" s="15">
        <f>VLOOKUP(C5,'Justice Spend Total'!$C$4:$AQ$221,10,FALSE)</f>
        <v>30.127593665714208</v>
      </c>
      <c r="H5">
        <f>VLOOKUP(C5,'Justice Spend Total'!$C$4:$AQ$221,7,FALSE)</f>
        <v>3660</v>
      </c>
      <c r="I5" s="142" t="str">
        <f t="shared" si="0"/>
        <v/>
      </c>
      <c r="J5" s="142">
        <f t="shared" si="1"/>
        <v>18.03758268165674</v>
      </c>
      <c r="K5" s="142" t="str">
        <f t="shared" si="2"/>
        <v/>
      </c>
      <c r="L5" s="142" t="str">
        <f t="shared" si="3"/>
        <v/>
      </c>
      <c r="M5" s="16" t="str">
        <f>IF(ISNUMBER(VLOOKUP($C5,'Justice Spend Total'!$C:$BA,38,FALSE)),VLOOKUP($C5,'Justice Spend Total'!$C:$BA,38,FALSE),"")</f>
        <v/>
      </c>
      <c r="N5" s="16" t="str">
        <f>IF(ISNUMBER(VLOOKUP($C5,'Justice Spend Total'!$C:$BA,35,FALSE)),VLOOKUP($C5,'Justice Spend Total'!$C:$BA,35,FALSE),"")</f>
        <v/>
      </c>
      <c r="O5" s="16">
        <f>IF(ISNUMBER(VLOOKUP($C5,'Justice Spend Total'!$C:$BA,36,FALSE)),VLOOKUP($C5,'Justice Spend Total'!$C:$BA,36,FALSE),"")</f>
        <v>1.6358097941123289</v>
      </c>
      <c r="P5" s="16" t="str">
        <f>IF(ISNUMBER(VLOOKUP($C5,'Justice Spend Total'!$C:$BA,37,FALSE)),VLOOKUP($C5,'Justice Spend Total'!$C:$BA,37,FALSE),"")</f>
        <v/>
      </c>
      <c r="Q5" s="16" t="str">
        <f t="shared" si="4"/>
        <v/>
      </c>
      <c r="R5" s="15" t="str">
        <f>IF(ISNUMBER(VLOOKUP($C5,'Justice Spend Total'!$C:$BA,39,FALSE)),VLOOKUP($C5,'Justice Spend Total'!$C:$BA,39,FALSE),"")</f>
        <v/>
      </c>
      <c r="S5" s="16" t="str">
        <f t="shared" si="5"/>
        <v/>
      </c>
      <c r="T5" s="7" t="str">
        <f t="shared" si="6"/>
        <v/>
      </c>
      <c r="U5" s="22">
        <f>VLOOKUP($C5,'Justice Spend Total'!$C:$BA,40,FALSE)</f>
        <v>2021</v>
      </c>
      <c r="V5" s="15" t="s">
        <v>489</v>
      </c>
      <c r="W5" t="s">
        <v>490</v>
      </c>
      <c r="AG5" s="109"/>
      <c r="AH5" s="109"/>
      <c r="AI5" s="109"/>
      <c r="AJ5" s="109"/>
      <c r="AK5" s="109"/>
      <c r="AL5" s="109"/>
      <c r="AM5" s="109"/>
      <c r="AN5" s="109"/>
      <c r="AO5" s="109"/>
      <c r="AP5" s="109"/>
      <c r="AQ5" s="109"/>
      <c r="AR5" s="109"/>
      <c r="AS5" s="109"/>
      <c r="AT5" s="109"/>
    </row>
    <row r="6" spans="1:46" hidden="1">
      <c r="A6">
        <v>4</v>
      </c>
      <c r="B6" t="s">
        <v>491</v>
      </c>
      <c r="C6" t="s">
        <v>492</v>
      </c>
      <c r="D6" t="s">
        <v>493</v>
      </c>
      <c r="E6" t="s">
        <v>494</v>
      </c>
      <c r="F6" s="17" t="str">
        <f>VLOOKUP(B6,'Justice Spend Total'!$B$4:$AQ$221,10,FALSE)</f>
        <v xml:space="preserve"> </v>
      </c>
      <c r="G6" s="15" t="str">
        <f>VLOOKUP(C6,'Justice Spend Total'!$C$4:$AQ$221,10,FALSE)</f>
        <v xml:space="preserve"> </v>
      </c>
      <c r="H6" t="str">
        <f>VLOOKUP(C6,'Justice Spend Total'!$C$4:$AQ$221,7,FALSE)</f>
        <v/>
      </c>
      <c r="I6" s="35" t="str">
        <f t="shared" si="0"/>
        <v/>
      </c>
      <c r="J6" s="35" t="str">
        <f t="shared" si="1"/>
        <v/>
      </c>
      <c r="K6" s="35" t="str">
        <f t="shared" si="2"/>
        <v/>
      </c>
      <c r="L6" s="35" t="str">
        <f t="shared" si="3"/>
        <v/>
      </c>
      <c r="M6" s="16" t="str">
        <f>IF(ISNUMBER(VLOOKUP($C6,'Justice Spend Total'!$C:$BA,38,FALSE)),VLOOKUP($C6,'Justice Spend Total'!$C:$BA,38,FALSE),"")</f>
        <v/>
      </c>
      <c r="N6" s="16" t="str">
        <f>IF(ISNUMBER(VLOOKUP($C6,'Justice Spend Total'!$C:$BA,35,FALSE)),VLOOKUP($C6,'Justice Spend Total'!$C:$BA,35,FALSE),"")</f>
        <v/>
      </c>
      <c r="O6" s="16" t="str">
        <f>IF(ISNUMBER(VLOOKUP($C6,'Justice Spend Total'!$C:$BA,36,FALSE)),VLOOKUP($C6,'Justice Spend Total'!$C:$BA,36,FALSE),"")</f>
        <v/>
      </c>
      <c r="P6" s="16" t="str">
        <f>IF(ISNUMBER(VLOOKUP($C6,'Justice Spend Total'!$C:$BA,37,FALSE)),VLOOKUP($C6,'Justice Spend Total'!$C:$BA,37,FALSE),"")</f>
        <v/>
      </c>
      <c r="Q6" s="16" t="str">
        <f t="shared" si="4"/>
        <v/>
      </c>
      <c r="R6" s="15" t="str">
        <f>IF(ISNUMBER(VLOOKUP($C6,'Justice Spend Total'!$C:$BA,39,FALSE)),VLOOKUP($C6,'Justice Spend Total'!$C:$BA,39,FALSE),"")</f>
        <v/>
      </c>
      <c r="S6" s="16" t="str">
        <f t="shared" si="5"/>
        <v/>
      </c>
      <c r="T6" s="7" t="str">
        <f t="shared" si="6"/>
        <v/>
      </c>
      <c r="U6" s="22" t="str">
        <f>VLOOKUP($C6,'Justice Spend Total'!$C:$BA,40,FALSE)</f>
        <v xml:space="preserve"> </v>
      </c>
      <c r="V6" s="15" t="str">
        <f>VLOOKUP($C6,'Justice Spend Total'!$C:$BA,41,FALSE)</f>
        <v xml:space="preserve"> </v>
      </c>
    </row>
    <row r="7" spans="1:46" hidden="1">
      <c r="A7">
        <v>5</v>
      </c>
      <c r="B7" t="s">
        <v>256</v>
      </c>
      <c r="C7" t="s">
        <v>495</v>
      </c>
      <c r="D7" t="s">
        <v>485</v>
      </c>
      <c r="E7" t="s">
        <v>494</v>
      </c>
      <c r="F7" s="17">
        <f>VLOOKUP(B7,'Justice Spend Total'!$B$4:$AQ$221,10,FALSE)</f>
        <v>1.022</v>
      </c>
      <c r="G7" s="15">
        <f>VLOOKUP(C7,'Justice Spend Total'!$C$4:$AQ$221,10,FALSE)</f>
        <v>40.379296720663767</v>
      </c>
      <c r="H7">
        <f>VLOOKUP(C7,'Justice Spend Total'!$C$4:$AQ$221,7,FALSE)</f>
        <v>46040</v>
      </c>
      <c r="I7" s="17" t="str">
        <f t="shared" si="0"/>
        <v/>
      </c>
      <c r="J7" s="17" t="str">
        <f t="shared" si="1"/>
        <v/>
      </c>
      <c r="K7" s="17" t="str">
        <f t="shared" si="2"/>
        <v/>
      </c>
      <c r="L7" s="17" t="str">
        <f t="shared" si="3"/>
        <v/>
      </c>
      <c r="M7" s="16" t="str">
        <f>IF(ISNUMBER(VLOOKUP($C7,'Justice Spend Total'!$C:$BA,38,FALSE)),VLOOKUP($C7,'Justice Spend Total'!$C:$BA,38,FALSE),"")</f>
        <v/>
      </c>
      <c r="N7" s="16" t="str">
        <f>IF(ISNUMBER(VLOOKUP($C7,'Justice Spend Total'!$C:$BA,35,FALSE)),VLOOKUP($C7,'Justice Spend Total'!$C:$BA,35,FALSE),"")</f>
        <v/>
      </c>
      <c r="O7" s="16" t="str">
        <f>IF(ISNUMBER(VLOOKUP($C7,'Justice Spend Total'!$C:$BA,36,FALSE)),VLOOKUP($C7,'Justice Spend Total'!$C:$BA,36,FALSE),"")</f>
        <v/>
      </c>
      <c r="P7" s="16" t="str">
        <f>IF(ISNUMBER(VLOOKUP($C7,'Justice Spend Total'!$C:$BA,37,FALSE)),VLOOKUP($C7,'Justice Spend Total'!$C:$BA,37,FALSE),"")</f>
        <v/>
      </c>
      <c r="Q7" s="16" t="str">
        <f t="shared" si="4"/>
        <v/>
      </c>
      <c r="R7" s="15" t="str">
        <f>IF(ISNUMBER(VLOOKUP($C7,'Justice Spend Total'!$C:$BA,39,FALSE)),VLOOKUP($C7,'Justice Spend Total'!$C:$BA,39,FALSE),"")</f>
        <v/>
      </c>
      <c r="S7" s="16" t="str">
        <f t="shared" si="5"/>
        <v/>
      </c>
      <c r="T7" s="7" t="str">
        <f t="shared" si="6"/>
        <v/>
      </c>
      <c r="U7" s="22" t="str">
        <f>VLOOKUP($C7,'Justice Spend Total'!$C:$BA,40,FALSE)</f>
        <v xml:space="preserve"> </v>
      </c>
      <c r="V7" s="15" t="str">
        <f>VLOOKUP($C7,'Justice Spend Total'!$C:$BA,41,FALSE)</f>
        <v xml:space="preserve"> </v>
      </c>
    </row>
    <row r="8" spans="1:46">
      <c r="A8">
        <v>6</v>
      </c>
      <c r="B8" t="s">
        <v>136</v>
      </c>
      <c r="C8" t="s">
        <v>350</v>
      </c>
      <c r="D8" t="s">
        <v>496</v>
      </c>
      <c r="E8" t="s">
        <v>488</v>
      </c>
      <c r="F8" s="17">
        <f>VLOOKUP(B8,'Justice Spend Total'!$B$4:$AQ$221,10,FALSE)</f>
        <v>7052.76</v>
      </c>
      <c r="G8" s="15">
        <f>VLOOKUP(C8,'Justice Spend Total'!$C$4:$AQ$221,10,FALSE)</f>
        <v>20.936974090169503</v>
      </c>
      <c r="H8">
        <f>VLOOKUP(C8,'Justice Spend Total'!$C$4:$AQ$221,7,FALSE)</f>
        <v>1770</v>
      </c>
      <c r="I8" s="17">
        <f t="shared" si="0"/>
        <v>30.131645701770363</v>
      </c>
      <c r="J8" s="17">
        <f t="shared" si="1"/>
        <v>0</v>
      </c>
      <c r="K8" s="17">
        <f t="shared" si="2"/>
        <v>1.3217568856445507E-2</v>
      </c>
      <c r="L8" s="17">
        <f t="shared" si="3"/>
        <v>35.139674007696833</v>
      </c>
      <c r="M8" s="16">
        <f>IF(ISNUMBER(VLOOKUP($C8,'Justice Spend Total'!$C:$BA,38,FALSE)),VLOOKUP($C8,'Justice Spend Total'!$C:$BA,38,FALSE),"")</f>
        <v>9.4822313304155088</v>
      </c>
      <c r="N8" s="16">
        <f>IF(ISNUMBER(VLOOKUP($C8,'Justice Spend Total'!$C:$BA,35,FALSE)),VLOOKUP($C8,'Justice Spend Total'!$C:$BA,35,FALSE),"")</f>
        <v>8.1308447781195969</v>
      </c>
      <c r="O8" s="16">
        <f>IF(ISNUMBER(VLOOKUP($C8,'Justice Spend Total'!$C:$BA,36,FALSE)),VLOOKUP($C8,'Justice Spend Total'!$C:$BA,36,FALSE),"")</f>
        <v>0</v>
      </c>
      <c r="P8" s="16">
        <f>IF(ISNUMBER(VLOOKUP($C8,'Justice Spend Total'!$C:$BA,37,FALSE)),VLOOKUP($C8,'Justice Spend Total'!$C:$BA,37,FALSE),"")</f>
        <v>3.5666820783556426E-3</v>
      </c>
      <c r="Q8" s="16">
        <f t="shared" si="4"/>
        <v>1.3478198702175563</v>
      </c>
      <c r="R8" s="15">
        <f>IF(ISNUMBER(VLOOKUP($C8,'Justice Spend Total'!$C:$BA,39,FALSE)),VLOOKUP($C8,'Justice Spend Total'!$C:$BA,39,FALSE),"")</f>
        <v>1.98529231681903</v>
      </c>
      <c r="S8" s="16">
        <f t="shared" si="5"/>
        <v>1.98529231681903</v>
      </c>
      <c r="T8" s="7">
        <f t="shared" si="6"/>
        <v>35.139674007696833</v>
      </c>
      <c r="U8" s="22">
        <f>VLOOKUP($C8,'Justice Spend Total'!$C:$BA,40,FALSE)</f>
        <v>2019</v>
      </c>
      <c r="V8" s="15" t="str">
        <f>VLOOKUP($C8,'Justice Spend Total'!$C:$BA,41,FALSE)</f>
        <v>IMF COFOG</v>
      </c>
      <c r="W8" t="s">
        <v>484</v>
      </c>
    </row>
    <row r="9" spans="1:46">
      <c r="A9">
        <v>7</v>
      </c>
      <c r="B9" t="s">
        <v>219</v>
      </c>
      <c r="C9" t="s">
        <v>434</v>
      </c>
      <c r="D9" t="s">
        <v>497</v>
      </c>
      <c r="E9" t="s">
        <v>486</v>
      </c>
      <c r="F9" s="17">
        <f>VLOOKUP(B9,'Justice Spend Total'!$B$4:$AQ$221,10,FALSE)</f>
        <v>15569.46</v>
      </c>
      <c r="G9" s="15">
        <f>VLOOKUP(C9,'Justice Spend Total'!$C$4:$AQ$221,10,FALSE)</f>
        <v>33.50935862541867</v>
      </c>
      <c r="H9">
        <f>VLOOKUP(C9,'Justice Spend Total'!$C$4:$AQ$221,7,FALSE)</f>
        <v>10050</v>
      </c>
      <c r="I9" s="17">
        <f t="shared" si="0"/>
        <v>45.418891636650919</v>
      </c>
      <c r="J9" s="17">
        <f t="shared" si="1"/>
        <v>39.34761454455839</v>
      </c>
      <c r="K9" s="17">
        <f t="shared" si="2"/>
        <v>8.7363684723038659</v>
      </c>
      <c r="L9" s="17">
        <f t="shared" si="3"/>
        <v>96.841293531927661</v>
      </c>
      <c r="M9" s="16">
        <f>IF(ISNUMBER(VLOOKUP($C9,'Justice Spend Total'!$C:$BA,38,FALSE)),VLOOKUP($C9,'Justice Spend Total'!$C:$BA,38,FALSE),"")</f>
        <v>2.8755995341126996</v>
      </c>
      <c r="N9" s="16">
        <f>IF(ISNUMBER(VLOOKUP($C9,'Justice Spend Total'!$C:$BA,35,FALSE)),VLOOKUP($C9,'Justice Spend Total'!$C:$BA,35,FALSE),"")</f>
        <v>1.3486658311437034</v>
      </c>
      <c r="O9" s="16">
        <f>IF(ISNUMBER(VLOOKUP($C9,'Justice Spend Total'!$C:$BA,36,FALSE)),VLOOKUP($C9,'Justice Spend Total'!$C:$BA,36,FALSE),"")</f>
        <v>1.1683856950493372</v>
      </c>
      <c r="P9" s="16">
        <f>IF(ISNUMBER(VLOOKUP($C9,'Justice Spend Total'!$C:$BA,37,FALSE)),VLOOKUP($C9,'Justice Spend Total'!$C:$BA,37,FALSE),"")</f>
        <v>0.25941719892982734</v>
      </c>
      <c r="Q9" s="16">
        <f t="shared" si="4"/>
        <v>9.9130808989831676E-2</v>
      </c>
      <c r="R9" s="15">
        <f>IF(ISNUMBER(VLOOKUP($C9,'Justice Spend Total'!$C:$BA,39,FALSE)),VLOOKUP($C9,'Justice Spend Total'!$C:$BA,39,FALSE),"")</f>
        <v>0.96359496051669302</v>
      </c>
      <c r="S9" s="16">
        <f t="shared" si="5"/>
        <v>0.96359496051669302</v>
      </c>
      <c r="T9" s="7">
        <f t="shared" si="6"/>
        <v>96.841293531927661</v>
      </c>
      <c r="U9" s="22">
        <f>VLOOKUP($C9,'Justice Spend Total'!$C:$BA,40,FALSE)</f>
        <v>2020</v>
      </c>
      <c r="V9" s="15" t="str">
        <f>VLOOKUP($C9,'Justice Spend Total'!$C:$BA,41,FALSE)</f>
        <v>IMF COFOG</v>
      </c>
    </row>
    <row r="10" spans="1:46">
      <c r="A10">
        <v>8</v>
      </c>
      <c r="B10" t="s">
        <v>178</v>
      </c>
      <c r="C10" t="s">
        <v>393</v>
      </c>
      <c r="D10" t="s">
        <v>485</v>
      </c>
      <c r="E10" t="s">
        <v>486</v>
      </c>
      <c r="F10" s="17">
        <f>VLOOKUP(B10,'Justice Spend Total'!$B$4:$AQ$221,10,FALSE)</f>
        <v>1560.66</v>
      </c>
      <c r="G10" s="15">
        <f>VLOOKUP(C10,'Justice Spend Total'!$C$4:$AQ$221,10,FALSE)</f>
        <v>25.246616604601357</v>
      </c>
      <c r="H10">
        <f>VLOOKUP(C10,'Justice Spend Total'!$C$4:$AQ$221,7,FALSE)</f>
        <v>4560</v>
      </c>
      <c r="I10" s="17">
        <f t="shared" si="0"/>
        <v>45.916324921765636</v>
      </c>
      <c r="J10" s="17">
        <f t="shared" si="1"/>
        <v>10.843596669013751</v>
      </c>
      <c r="K10" s="17">
        <f t="shared" si="2"/>
        <v>8.6865583036524008</v>
      </c>
      <c r="L10" s="17">
        <f t="shared" si="3"/>
        <v>111.69064456858753</v>
      </c>
      <c r="M10" s="16">
        <f>IF(ISNUMBER(VLOOKUP($C10,'Justice Spend Total'!$C:$BA,38,FALSE)),VLOOKUP($C10,'Justice Spend Total'!$C:$BA,38,FALSE),"")</f>
        <v>9.7017207449999034</v>
      </c>
      <c r="N10" s="16">
        <f>IF(ISNUMBER(VLOOKUP($C10,'Justice Spend Total'!$C:$BA,35,FALSE)),VLOOKUP($C10,'Justice Spend Total'!$C:$BA,35,FALSE),"")</f>
        <v>3.9884035386159402</v>
      </c>
      <c r="O10" s="16">
        <f>IF(ISNUMBER(VLOOKUP($C10,'Justice Spend Total'!$C:$BA,36,FALSE)),VLOOKUP($C10,'Justice Spend Total'!$C:$BA,36,FALSE),"")</f>
        <v>0.94190115170818878</v>
      </c>
      <c r="P10" s="16">
        <f>IF(ISNUMBER(VLOOKUP($C10,'Justice Spend Total'!$C:$BA,37,FALSE)),VLOOKUP($C10,'Justice Spend Total'!$C:$BA,37,FALSE),"")</f>
        <v>0.75453555866484356</v>
      </c>
      <c r="Q10" s="16">
        <f t="shared" si="4"/>
        <v>4.0168804960109306</v>
      </c>
      <c r="R10" s="15">
        <f>IF(ISNUMBER(VLOOKUP($C10,'Justice Spend Total'!$C:$BA,39,FALSE)),VLOOKUP($C10,'Justice Spend Total'!$C:$BA,39,FALSE),"")</f>
        <v>2.4493562405392</v>
      </c>
      <c r="S10" s="16">
        <f t="shared" si="5"/>
        <v>2.4493562405392</v>
      </c>
      <c r="T10" s="7">
        <f t="shared" si="6"/>
        <v>111.69064456858753</v>
      </c>
      <c r="U10" s="22">
        <f>VLOOKUP($C10,'Justice Spend Total'!$C:$BA,40,FALSE)</f>
        <v>2020</v>
      </c>
      <c r="V10" s="15" t="str">
        <f>VLOOKUP($C10,'Justice Spend Total'!$C:$BA,41,FALSE)</f>
        <v>IMF COFOG</v>
      </c>
    </row>
    <row r="11" spans="1:46">
      <c r="A11">
        <v>9</v>
      </c>
      <c r="B11" t="s">
        <v>74</v>
      </c>
      <c r="C11" t="s">
        <v>461</v>
      </c>
      <c r="D11" t="s">
        <v>493</v>
      </c>
      <c r="E11" t="s">
        <v>494</v>
      </c>
      <c r="F11" s="17">
        <f>VLOOKUP(B11,'Justice Spend Total'!$B$4:$AQ$221,10,FALSE)</f>
        <v>709.49699999999996</v>
      </c>
      <c r="G11" s="15">
        <f>VLOOKUP(C11,'Justice Spend Total'!$C$4:$AQ$221,10,FALSE)</f>
        <v>36.089820542036293</v>
      </c>
      <c r="H11">
        <f>VLOOKUP(C11,'Justice Spend Total'!$C$4:$AQ$221,7,FALSE)</f>
        <v>56760</v>
      </c>
      <c r="I11" s="17">
        <f t="shared" si="0"/>
        <v>382.59311988370757</v>
      </c>
      <c r="J11" s="17">
        <f t="shared" si="1"/>
        <v>230.51876924045871</v>
      </c>
      <c r="K11" s="17">
        <f t="shared" si="2"/>
        <v>197.04799746855136</v>
      </c>
      <c r="L11" s="17">
        <f t="shared" si="3"/>
        <v>1145.5018480490724</v>
      </c>
      <c r="M11" s="16">
        <f>IF(ISNUMBER(VLOOKUP($C11,'Justice Spend Total'!$C:$BA,38,FALSE)),VLOOKUP($C11,'Justice Spend Total'!$C:$BA,38,FALSE),"")</f>
        <v>5.5920195991271333</v>
      </c>
      <c r="N11" s="16">
        <f>IF(ISNUMBER(VLOOKUP($C11,'Justice Spend Total'!$C:$BA,35,FALSE)),VLOOKUP($C11,'Justice Spend Total'!$C:$BA,35,FALSE),"")</f>
        <v>1.8677125912320978</v>
      </c>
      <c r="O11" s="16">
        <f>IF(ISNUMBER(VLOOKUP($C11,'Justice Spend Total'!$C:$BA,36,FALSE)),VLOOKUP($C11,'Justice Spend Total'!$C:$BA,36,FALSE),"")</f>
        <v>1.1253281500634362</v>
      </c>
      <c r="P11" s="16">
        <f>IF(ISNUMBER(VLOOKUP($C11,'Justice Spend Total'!$C:$BA,37,FALSE)),VLOOKUP($C11,'Justice Spend Total'!$C:$BA,37,FALSE),"")</f>
        <v>0.9619332048128556</v>
      </c>
      <c r="Q11" s="16">
        <f t="shared" si="4"/>
        <v>1.6370456530187436</v>
      </c>
      <c r="R11" s="15">
        <f>IF(ISNUMBER(VLOOKUP($C11,'Justice Spend Total'!$C:$BA,39,FALSE)),VLOOKUP($C11,'Justice Spend Total'!$C:$BA,39,FALSE),"")</f>
        <v>2.0181498380004799</v>
      </c>
      <c r="S11" s="16">
        <f t="shared" si="5"/>
        <v>2.0181498380004799</v>
      </c>
      <c r="T11" s="7">
        <f t="shared" si="6"/>
        <v>1145.5018480490724</v>
      </c>
      <c r="U11" s="22">
        <f>VLOOKUP($C11,'Justice Spend Total'!$C:$BA,40,FALSE)</f>
        <v>2020</v>
      </c>
      <c r="V11" s="15" t="str">
        <f>VLOOKUP($C11,'Justice Spend Total'!$C:$BA,41,FALSE)</f>
        <v>IMF COFOG</v>
      </c>
    </row>
    <row r="12" spans="1:46" hidden="1">
      <c r="A12">
        <v>10</v>
      </c>
      <c r="B12" t="s">
        <v>246</v>
      </c>
      <c r="C12" t="s">
        <v>498</v>
      </c>
      <c r="D12" t="s">
        <v>497</v>
      </c>
      <c r="E12" t="s">
        <v>494</v>
      </c>
      <c r="F12" s="17">
        <f>VLOOKUP(B12,'Justice Spend Total'!$B$4:$AQ$221,10,FALSE)</f>
        <v>1.071</v>
      </c>
      <c r="G12" s="15">
        <f>VLOOKUP(C12,'Justice Spend Total'!$C$4:$AQ$221,10,FALSE)</f>
        <v>23.965092861937791</v>
      </c>
      <c r="H12">
        <f>VLOOKUP(C12,'Justice Spend Total'!$C$4:$AQ$221,7,FALSE)</f>
        <v>23070</v>
      </c>
      <c r="I12" s="17" t="str">
        <f t="shared" si="0"/>
        <v/>
      </c>
      <c r="J12" s="17" t="str">
        <f t="shared" si="1"/>
        <v/>
      </c>
      <c r="K12" s="17" t="str">
        <f t="shared" si="2"/>
        <v/>
      </c>
      <c r="L12" s="17" t="str">
        <f t="shared" si="3"/>
        <v/>
      </c>
      <c r="M12" s="16" t="str">
        <f>IF(ISNUMBER(VLOOKUP($C12,'Justice Spend Total'!$C:$BA,38,FALSE)),VLOOKUP($C12,'Justice Spend Total'!$C:$BA,38,FALSE),"")</f>
        <v/>
      </c>
      <c r="N12" s="16" t="str">
        <f>IF(ISNUMBER(VLOOKUP($C12,'Justice Spend Total'!$C:$BA,35,FALSE)),VLOOKUP($C12,'Justice Spend Total'!$C:$BA,35,FALSE),"")</f>
        <v/>
      </c>
      <c r="O12" s="16" t="str">
        <f>IF(ISNUMBER(VLOOKUP($C12,'Justice Spend Total'!$C:$BA,36,FALSE)),VLOOKUP($C12,'Justice Spend Total'!$C:$BA,36,FALSE),"")</f>
        <v/>
      </c>
      <c r="P12" s="16" t="str">
        <f>IF(ISNUMBER(VLOOKUP($C12,'Justice Spend Total'!$C:$BA,37,FALSE)),VLOOKUP($C12,'Justice Spend Total'!$C:$BA,37,FALSE),"")</f>
        <v/>
      </c>
      <c r="Q12" s="16" t="str">
        <f t="shared" si="4"/>
        <v/>
      </c>
      <c r="R12" s="15" t="str">
        <f>IF(ISNUMBER(VLOOKUP($C12,'Justice Spend Total'!$C:$BA,39,FALSE)),VLOOKUP($C12,'Justice Spend Total'!$C:$BA,39,FALSE),"")</f>
        <v/>
      </c>
      <c r="S12" s="16" t="str">
        <f t="shared" si="5"/>
        <v/>
      </c>
      <c r="T12" s="7" t="str">
        <f t="shared" si="6"/>
        <v/>
      </c>
      <c r="U12" s="22" t="str">
        <f>VLOOKUP($C12,'Justice Spend Total'!$C:$BA,40,FALSE)</f>
        <v xml:space="preserve"> </v>
      </c>
      <c r="V12" s="15" t="str">
        <f>VLOOKUP($C12,'Justice Spend Total'!$C:$BA,41,FALSE)</f>
        <v xml:space="preserve"> </v>
      </c>
    </row>
    <row r="13" spans="1:46">
      <c r="A13">
        <v>11</v>
      </c>
      <c r="B13" t="s">
        <v>53</v>
      </c>
      <c r="C13" t="s">
        <v>458</v>
      </c>
      <c r="D13" t="s">
        <v>485</v>
      </c>
      <c r="E13" t="s">
        <v>494</v>
      </c>
      <c r="F13" s="17">
        <f>VLOOKUP(B13,'Justice Spend Total'!$B$4:$AQ$221,10,FALSE)</f>
        <v>184.91499999999999</v>
      </c>
      <c r="G13" s="15">
        <f>VLOOKUP(C13,'Justice Spend Total'!$C$4:$AQ$221,10,FALSE)</f>
        <v>48.748948779529734</v>
      </c>
      <c r="H13">
        <f>VLOOKUP(C13,'Justice Spend Total'!$C$4:$AQ$221,7,FALSE)</f>
        <v>52210</v>
      </c>
      <c r="I13" s="17">
        <f t="shared" si="0"/>
        <v>379.12048664232407</v>
      </c>
      <c r="J13" s="17">
        <f t="shared" si="1"/>
        <v>148.96179065630292</v>
      </c>
      <c r="K13" s="17">
        <f t="shared" si="2"/>
        <v>80.01902049867445</v>
      </c>
      <c r="L13" s="17">
        <f t="shared" si="3"/>
        <v>746.69494665426316</v>
      </c>
      <c r="M13" s="16">
        <f>IF(ISNUMBER(VLOOKUP($C13,'Justice Spend Total'!$C:$BA,38,FALSE)),VLOOKUP($C13,'Justice Spend Total'!$C:$BA,38,FALSE),"")</f>
        <v>2.9337578452132038</v>
      </c>
      <c r="N13" s="16">
        <f>IF(ISNUMBER(VLOOKUP($C13,'Justice Spend Total'!$C:$BA,35,FALSE)),VLOOKUP($C13,'Justice Spend Total'!$C:$BA,35,FALSE),"")</f>
        <v>1.4895610408931321</v>
      </c>
      <c r="O13" s="16">
        <f>IF(ISNUMBER(VLOOKUP($C13,'Justice Spend Total'!$C:$BA,36,FALSE)),VLOOKUP($C13,'Justice Spend Total'!$C:$BA,36,FALSE),"")</f>
        <v>0.58526955878447229</v>
      </c>
      <c r="P13" s="16">
        <f>IF(ISNUMBER(VLOOKUP($C13,'Justice Spend Total'!$C:$BA,37,FALSE)),VLOOKUP($C13,'Justice Spend Total'!$C:$BA,37,FALSE),"")</f>
        <v>0.31439402423458473</v>
      </c>
      <c r="Q13" s="16">
        <f t="shared" si="4"/>
        <v>0.54453322130101467</v>
      </c>
      <c r="R13" s="15">
        <f>IF(ISNUMBER(VLOOKUP($C13,'Justice Spend Total'!$C:$BA,39,FALSE)),VLOOKUP($C13,'Justice Spend Total'!$C:$BA,39,FALSE),"")</f>
        <v>1.43017610927842</v>
      </c>
      <c r="S13" s="16">
        <f t="shared" si="5"/>
        <v>1.43017610927842</v>
      </c>
      <c r="T13" s="7">
        <f t="shared" si="6"/>
        <v>746.69494665426316</v>
      </c>
      <c r="U13" s="22">
        <f>VLOOKUP($C13,'Justice Spend Total'!$C:$BA,40,FALSE)</f>
        <v>2020</v>
      </c>
      <c r="V13" s="15" t="str">
        <f>VLOOKUP($C13,'Justice Spend Total'!$C:$BA,41,FALSE)</f>
        <v>IMF COFOG</v>
      </c>
    </row>
    <row r="14" spans="1:46">
      <c r="A14">
        <v>12</v>
      </c>
      <c r="B14" t="s">
        <v>182</v>
      </c>
      <c r="C14" t="s">
        <v>397</v>
      </c>
      <c r="D14" t="s">
        <v>485</v>
      </c>
      <c r="E14" t="s">
        <v>486</v>
      </c>
      <c r="F14" s="17">
        <f>VLOOKUP(B14,'Justice Spend Total'!$B$4:$AQ$221,10,FALSE)</f>
        <v>33.896999999999998</v>
      </c>
      <c r="G14" s="15">
        <f>VLOOKUP(C14,'Justice Spend Total'!$C$4:$AQ$221,10,FALSE)</f>
        <v>36.504124577311593</v>
      </c>
      <c r="H14">
        <f>VLOOKUP(C14,'Justice Spend Total'!$C$4:$AQ$221,7,FALSE)</f>
        <v>4880</v>
      </c>
      <c r="I14" s="17">
        <f t="shared" si="0"/>
        <v>70.843726570952114</v>
      </c>
      <c r="J14" s="17">
        <f t="shared" si="1"/>
        <v>7.9668653734849499</v>
      </c>
      <c r="K14" s="17">
        <f t="shared" si="2"/>
        <v>0</v>
      </c>
      <c r="L14" s="17">
        <f t="shared" si="3"/>
        <v>102.12722934641636</v>
      </c>
      <c r="M14" s="16">
        <f>IF(ISNUMBER(VLOOKUP($C14,'Justice Spend Total'!$C:$BA,38,FALSE)),VLOOKUP($C14,'Justice Spend Total'!$C:$BA,38,FALSE),"")</f>
        <v>5.732971595393332</v>
      </c>
      <c r="N14" s="16">
        <f>IF(ISNUMBER(VLOOKUP($C14,'Justice Spend Total'!$C:$BA,35,FALSE)),VLOOKUP($C14,'Justice Spend Total'!$C:$BA,35,FALSE),"")</f>
        <v>3.9768539178266851</v>
      </c>
      <c r="O14" s="16">
        <f>IF(ISNUMBER(VLOOKUP($C14,'Justice Spend Total'!$C:$BA,36,FALSE)),VLOOKUP($C14,'Justice Spend Total'!$C:$BA,36,FALSE),"")</f>
        <v>0.44722463522030914</v>
      </c>
      <c r="P14" s="16">
        <f>IF(ISNUMBER(VLOOKUP($C14,'Justice Spend Total'!$C:$BA,37,FALSE)),VLOOKUP($C14,'Justice Spend Total'!$C:$BA,37,FALSE),"")</f>
        <v>0</v>
      </c>
      <c r="Q14" s="16">
        <f t="shared" si="4"/>
        <v>1.3088930423463379</v>
      </c>
      <c r="R14" s="15">
        <f>IF(ISNUMBER(VLOOKUP($C14,'Justice Spend Total'!$C:$BA,39,FALSE)),VLOOKUP($C14,'Justice Spend Total'!$C:$BA,39,FALSE),"")</f>
        <v>2.09277109316427</v>
      </c>
      <c r="S14" s="16">
        <f t="shared" si="5"/>
        <v>2.09277109316427</v>
      </c>
      <c r="T14" s="7">
        <f t="shared" si="6"/>
        <v>102.12722934641636</v>
      </c>
      <c r="U14" s="22">
        <f>VLOOKUP($C14,'Justice Spend Total'!$C:$BA,40,FALSE)</f>
        <v>2019</v>
      </c>
      <c r="V14" s="15" t="str">
        <f>VLOOKUP($C14,'Justice Spend Total'!$C:$BA,41,FALSE)</f>
        <v>IMF COFOG</v>
      </c>
    </row>
    <row r="15" spans="1:46">
      <c r="A15">
        <v>13</v>
      </c>
      <c r="B15" t="s">
        <v>249</v>
      </c>
      <c r="C15" t="s">
        <v>499</v>
      </c>
      <c r="D15" t="s">
        <v>497</v>
      </c>
      <c r="E15" t="s">
        <v>494</v>
      </c>
      <c r="F15" s="17">
        <f>VLOOKUP(B15,'Justice Spend Total'!$B$4:$AQ$221,10,FALSE)</f>
        <v>1.891</v>
      </c>
      <c r="G15" s="15">
        <f>VLOOKUP(C15,'Justice Spend Total'!$C$4:$AQ$221,10,FALSE)</f>
        <v>16.996225058421714</v>
      </c>
      <c r="H15">
        <f>VLOOKUP(C15,'Justice Spend Total'!$C$4:$AQ$221,7,FALSE)</f>
        <v>27220</v>
      </c>
      <c r="I15" s="17">
        <f t="shared" si="0"/>
        <v>452.42423421766955</v>
      </c>
      <c r="J15" s="17">
        <f t="shared" si="1"/>
        <v>84.887517818667817</v>
      </c>
      <c r="K15" s="17">
        <f t="shared" si="2"/>
        <v>63.541870372396843</v>
      </c>
      <c r="L15" s="17">
        <f t="shared" si="3"/>
        <v>600.85362240873314</v>
      </c>
      <c r="M15" s="16">
        <f>IF(ISNUMBER(VLOOKUP($C15,'Justice Spend Total'!$C:$BA,38,FALSE)),VLOOKUP($C15,'Justice Spend Total'!$C:$BA,38,FALSE),"")</f>
        <v>12.987575632670406</v>
      </c>
      <c r="N15" s="16">
        <f>IF(ISNUMBER(VLOOKUP($C15,'Justice Spend Total'!$C:$BA,35,FALSE)),VLOOKUP($C15,'Justice Spend Total'!$C:$BA,35,FALSE),"")</f>
        <v>9.7792436307521715</v>
      </c>
      <c r="O15" s="16">
        <f>IF(ISNUMBER(VLOOKUP($C15,'Justice Spend Total'!$C:$BA,36,FALSE)),VLOOKUP($C15,'Justice Spend Total'!$C:$BA,36,FALSE),"")</f>
        <v>1.8348612986968671</v>
      </c>
      <c r="P15" s="16">
        <f>IF(ISNUMBER(VLOOKUP($C15,'Justice Spend Total'!$C:$BA,37,FALSE)),VLOOKUP($C15,'Justice Spend Total'!$C:$BA,37,FALSE),"")</f>
        <v>1.3734707032213909</v>
      </c>
      <c r="Q15" s="16">
        <f t="shared" si="4"/>
        <v>-2.3092638912203256E-14</v>
      </c>
      <c r="R15" s="15">
        <f>IF(ISNUMBER(VLOOKUP($C15,'Justice Spend Total'!$C:$BA,39,FALSE)),VLOOKUP($C15,'Justice Spend Total'!$C:$BA,39,FALSE),"")</f>
        <v>2.2073975841614</v>
      </c>
      <c r="S15" s="16">
        <f t="shared" si="5"/>
        <v>2.2073975841614</v>
      </c>
      <c r="T15" s="7">
        <f t="shared" si="6"/>
        <v>600.85362240873314</v>
      </c>
      <c r="U15" s="22">
        <f>VLOOKUP($C15,'Justice Spend Total'!$C:$BA,40,FALSE)</f>
        <v>2020</v>
      </c>
      <c r="V15" s="15" t="str">
        <f>VLOOKUP($C15,'Justice Spend Total'!$C:$BA,41,FALSE)</f>
        <v>IMF COFOG</v>
      </c>
    </row>
    <row r="16" spans="1:46">
      <c r="A16">
        <v>14</v>
      </c>
      <c r="B16" t="s">
        <v>242</v>
      </c>
      <c r="C16" t="s">
        <v>500</v>
      </c>
      <c r="D16" t="s">
        <v>487</v>
      </c>
      <c r="E16" t="s">
        <v>494</v>
      </c>
      <c r="F16" s="17">
        <f>VLOOKUP(B16,'Justice Spend Total'!$B$4:$AQ$221,10,FALSE)</f>
        <v>2.3290000000000002</v>
      </c>
      <c r="G16" s="15">
        <f>VLOOKUP(C16,'Justice Spend Total'!$C$4:$AQ$221,10,FALSE)</f>
        <v>17.838541666666668</v>
      </c>
      <c r="H16">
        <f>VLOOKUP(C16,'Justice Spend Total'!$C$4:$AQ$221,7,FALSE)</f>
        <v>19930</v>
      </c>
      <c r="I16" s="17" t="str">
        <f t="shared" si="0"/>
        <v/>
      </c>
      <c r="J16" s="17" t="str">
        <f t="shared" si="1"/>
        <v/>
      </c>
      <c r="K16" s="17" t="str">
        <f t="shared" si="2"/>
        <v/>
      </c>
      <c r="L16" s="17">
        <f t="shared" si="3"/>
        <v>696.65085564019796</v>
      </c>
      <c r="M16" s="16">
        <f>IF(ISNUMBER(VLOOKUP($C16,'Justice Spend Total'!$C:$BA,38,FALSE)),VLOOKUP($C16,'Justice Spend Total'!$C:$BA,38,FALSE),"")</f>
        <v>19.595147143896778</v>
      </c>
      <c r="N16" s="16" t="str">
        <f>IF(ISNUMBER(VLOOKUP($C16,'Justice Spend Total'!$C:$BA,35,FALSE)),VLOOKUP($C16,'Justice Spend Total'!$C:$BA,35,FALSE),"")</f>
        <v/>
      </c>
      <c r="O16" s="16" t="str">
        <f>IF(ISNUMBER(VLOOKUP($C16,'Justice Spend Total'!$C:$BA,36,FALSE)),VLOOKUP($C16,'Justice Spend Total'!$C:$BA,36,FALSE),"")</f>
        <v/>
      </c>
      <c r="P16" s="16" t="str">
        <f>IF(ISNUMBER(VLOOKUP($C16,'Justice Spend Total'!$C:$BA,37,FALSE)),VLOOKUP($C16,'Justice Spend Total'!$C:$BA,37,FALSE),"")</f>
        <v/>
      </c>
      <c r="Q16" s="16"/>
      <c r="R16" s="15">
        <f>IF(ISNUMBER(VLOOKUP($C16,'Justice Spend Total'!$C:$BA,39,FALSE)),VLOOKUP($C16,'Justice Spend Total'!$C:$BA,39,FALSE),"")</f>
        <v>3.4954884879086698</v>
      </c>
      <c r="S16" s="16">
        <f t="shared" si="5"/>
        <v>3.4954884879086698</v>
      </c>
      <c r="T16" s="7">
        <f t="shared" si="6"/>
        <v>696.65085564019796</v>
      </c>
      <c r="U16" s="22">
        <f>VLOOKUP($C16,'Justice Spend Total'!$C:$BA,40,FALSE)</f>
        <v>2020</v>
      </c>
      <c r="V16" s="15" t="str">
        <f>VLOOKUP($C16,'Justice Spend Total'!$C:$BA,41,FALSE)</f>
        <v>IMF COFOG</v>
      </c>
    </row>
    <row r="17" spans="1:23">
      <c r="A17">
        <v>15</v>
      </c>
      <c r="B17" t="s">
        <v>149</v>
      </c>
      <c r="C17" t="s">
        <v>363</v>
      </c>
      <c r="D17" t="s">
        <v>483</v>
      </c>
      <c r="E17" t="s">
        <v>488</v>
      </c>
      <c r="F17" s="17">
        <f>VLOOKUP(B17,'Justice Spend Total'!$B$4:$AQ$221,10,FALSE)</f>
        <v>2403.63</v>
      </c>
      <c r="G17" s="15">
        <f>VLOOKUP(C17,'Justice Spend Total'!$C$4:$AQ$221,10,FALSE)</f>
        <v>9.4538648030823396</v>
      </c>
      <c r="H17">
        <f>VLOOKUP(C17,'Justice Spend Total'!$C$4:$AQ$221,7,FALSE)</f>
        <v>2620</v>
      </c>
      <c r="I17" s="17">
        <f t="shared" si="0"/>
        <v>24.039974984760782</v>
      </c>
      <c r="J17" s="17">
        <f t="shared" si="1"/>
        <v>3.2355689602130733</v>
      </c>
      <c r="K17" s="17">
        <f t="shared" si="2"/>
        <v>1.390992263269176</v>
      </c>
      <c r="L17" s="17">
        <f t="shared" si="3"/>
        <v>22.818102296808949</v>
      </c>
      <c r="M17" s="16">
        <f>IF(ISNUMBER(VLOOKUP($C17,'Justice Spend Total'!$C:$BA,38,FALSE)),VLOOKUP($C17,'Justice Spend Total'!$C:$BA,38,FALSE),"")</f>
        <v>9.2123163714881251</v>
      </c>
      <c r="N17" s="16">
        <f>IF(ISNUMBER(VLOOKUP($C17,'Justice Spend Total'!$C:$BA,35,FALSE)),VLOOKUP($C17,'Justice Spend Total'!$C:$BA,35,FALSE),"")</f>
        <v>9.7056211003685373</v>
      </c>
      <c r="O17" s="16">
        <f>IF(ISNUMBER(VLOOKUP($C17,'Justice Spend Total'!$C:$BA,36,FALSE)),VLOOKUP($C17,'Justice Spend Total'!$C:$BA,36,FALSE),"")</f>
        <v>1.3062911418106029</v>
      </c>
      <c r="P17" s="16">
        <f>IF(ISNUMBER(VLOOKUP($C17,'Justice Spend Total'!$C:$BA,37,FALSE)),VLOOKUP($C17,'Justice Spend Total'!$C:$BA,37,FALSE),"")</f>
        <v>0.56158310769427966</v>
      </c>
      <c r="Q17" s="16">
        <f>IF(ISNUMBER(M17),M17-N17-O17-P17,"")</f>
        <v>-2.3611789783852948</v>
      </c>
      <c r="R17" s="15">
        <f>IF(ISNUMBER(VLOOKUP($C17,'Justice Spend Total'!$C:$BA,39,FALSE)),VLOOKUP($C17,'Justice Spend Total'!$C:$BA,39,FALSE),"")</f>
        <v>0.87091993499270803</v>
      </c>
      <c r="S17" s="16">
        <f t="shared" si="5"/>
        <v>0.87091993499270803</v>
      </c>
      <c r="T17" s="7">
        <f t="shared" si="6"/>
        <v>22.818102296808949</v>
      </c>
      <c r="U17" s="22" t="str">
        <f>VLOOKUP($C17,'Justice Spend Total'!$C:$BA,40,FALSE)</f>
        <v>FY 20/21</v>
      </c>
      <c r="V17" s="15" t="s">
        <v>489</v>
      </c>
      <c r="W17" t="s">
        <v>484</v>
      </c>
    </row>
    <row r="18" spans="1:23">
      <c r="A18">
        <v>16</v>
      </c>
      <c r="B18" t="s">
        <v>200</v>
      </c>
      <c r="C18" t="s">
        <v>415</v>
      </c>
      <c r="D18" t="s">
        <v>485</v>
      </c>
      <c r="E18" t="s">
        <v>486</v>
      </c>
      <c r="F18" s="17">
        <f>VLOOKUP(B18,'Justice Spend Total'!$B$4:$AQ$221,10,FALSE)</f>
        <v>52.664000000000001</v>
      </c>
      <c r="G18" s="15">
        <f>VLOOKUP(C18,'Justice Spend Total'!$C$4:$AQ$221,10,FALSE)</f>
        <v>35.17475838392744</v>
      </c>
      <c r="H18">
        <f>VLOOKUP(C18,'Justice Spend Total'!$C$4:$AQ$221,7,FALSE)</f>
        <v>6950</v>
      </c>
      <c r="I18" s="17">
        <f t="shared" si="0"/>
        <v>70.070505926384172</v>
      </c>
      <c r="J18" s="17">
        <f t="shared" si="1"/>
        <v>12.782512040665003</v>
      </c>
      <c r="K18" s="17">
        <f t="shared" si="2"/>
        <v>13.17650920197813</v>
      </c>
      <c r="L18" s="17">
        <f t="shared" si="3"/>
        <v>164.98539096596366</v>
      </c>
      <c r="M18" s="16">
        <f>IF(ISNUMBER(VLOOKUP($C18,'Justice Spend Total'!$C:$BA,38,FALSE)),VLOOKUP($C18,'Justice Spend Total'!$C:$BA,38,FALSE),"")</f>
        <v>6.7488466916679455</v>
      </c>
      <c r="N18" s="16">
        <f>IF(ISNUMBER(VLOOKUP($C18,'Justice Spend Total'!$C:$BA,35,FALSE)),VLOOKUP($C18,'Justice Spend Total'!$C:$BA,35,FALSE),"")</f>
        <v>2.8662847015487256</v>
      </c>
      <c r="O18" s="16">
        <f>IF(ISNUMBER(VLOOKUP($C18,'Justice Spend Total'!$C:$BA,36,FALSE)),VLOOKUP($C18,'Justice Spend Total'!$C:$BA,36,FALSE),"")</f>
        <v>0.52287789598683032</v>
      </c>
      <c r="P18" s="16">
        <f>IF(ISNUMBER(VLOOKUP($C18,'Justice Spend Total'!$C:$BA,37,FALSE)),VLOOKUP($C18,'Justice Spend Total'!$C:$BA,37,FALSE),"")</f>
        <v>0.53899463470585551</v>
      </c>
      <c r="Q18" s="16">
        <f>IF(ISNUMBER(M18),M18-N18-O18-P18,"")</f>
        <v>2.8206894594265339</v>
      </c>
      <c r="R18" s="15">
        <f>IF(ISNUMBER(VLOOKUP($C18,'Justice Spend Total'!$C:$BA,39,FALSE)),VLOOKUP($C18,'Justice Spend Total'!$C:$BA,39,FALSE),"")</f>
        <v>2.3738905174958802</v>
      </c>
      <c r="S18" s="16">
        <f t="shared" si="5"/>
        <v>2.3738905174958802</v>
      </c>
      <c r="T18" s="7">
        <f t="shared" si="6"/>
        <v>164.98539096596366</v>
      </c>
      <c r="U18" s="22">
        <f>VLOOKUP($C18,'Justice Spend Total'!$C:$BA,40,FALSE)</f>
        <v>2020</v>
      </c>
      <c r="V18" s="15" t="str">
        <f>VLOOKUP($C18,'Justice Spend Total'!$C:$BA,41,FALSE)</f>
        <v>IMF COFOG</v>
      </c>
    </row>
    <row r="19" spans="1:23">
      <c r="A19">
        <v>17</v>
      </c>
      <c r="B19" t="s">
        <v>58</v>
      </c>
      <c r="C19" t="s">
        <v>456</v>
      </c>
      <c r="D19" t="s">
        <v>485</v>
      </c>
      <c r="E19" t="s">
        <v>494</v>
      </c>
      <c r="F19" s="17">
        <f>VLOOKUP(B19,'Justice Spend Total'!$B$4:$AQ$221,10,FALSE)</f>
        <v>228.97800000000001</v>
      </c>
      <c r="G19" s="15">
        <f>VLOOKUP(C19,'Justice Spend Total'!$C$4:$AQ$221,10,FALSE)</f>
        <v>50.116219516999571</v>
      </c>
      <c r="H19">
        <f>VLOOKUP(C19,'Justice Spend Total'!$C$4:$AQ$221,7,FALSE)</f>
        <v>50510</v>
      </c>
      <c r="I19" s="17">
        <f t="shared" si="0"/>
        <v>552.19021359687883</v>
      </c>
      <c r="J19" s="17">
        <f t="shared" si="1"/>
        <v>134.37553997655047</v>
      </c>
      <c r="K19" s="17">
        <f t="shared" si="2"/>
        <v>71.022113272618142</v>
      </c>
      <c r="L19" s="17">
        <f t="shared" si="3"/>
        <v>919.30199456089122</v>
      </c>
      <c r="M19" s="16">
        <f>IF(ISNUMBER(VLOOKUP($C19,'Justice Spend Total'!$C:$BA,38,FALSE)),VLOOKUP($C19,'Justice Spend Total'!$C:$BA,38,FALSE),"")</f>
        <v>3.6316378268193934</v>
      </c>
      <c r="N19" s="16">
        <f>IF(ISNUMBER(VLOOKUP($C19,'Justice Spend Total'!$C:$BA,35,FALSE)),VLOOKUP($C19,'Justice Spend Total'!$C:$BA,35,FALSE),"")</f>
        <v>2.1813885743343491</v>
      </c>
      <c r="O19" s="16">
        <f>IF(ISNUMBER(VLOOKUP($C19,'Justice Spend Total'!$C:$BA,36,FALSE)),VLOOKUP($C19,'Justice Spend Total'!$C:$BA,36,FALSE),"")</f>
        <v>0.5308411130025007</v>
      </c>
      <c r="P19" s="16">
        <f>IF(ISNUMBER(VLOOKUP($C19,'Justice Spend Total'!$C:$BA,37,FALSE)),VLOOKUP($C19,'Justice Spend Total'!$C:$BA,37,FALSE),"")</f>
        <v>0.28056785977571125</v>
      </c>
      <c r="Q19" s="16">
        <f>IF(ISNUMBER(M19),M19-N19-O19-P19,"")</f>
        <v>0.63884027970683244</v>
      </c>
      <c r="R19" s="15">
        <f>IF(ISNUMBER(VLOOKUP($C19,'Justice Spend Total'!$C:$BA,39,FALSE)),VLOOKUP($C19,'Justice Spend Total'!$C:$BA,39,FALSE),"")</f>
        <v>1.8200395853511999</v>
      </c>
      <c r="S19" s="16">
        <f t="shared" si="5"/>
        <v>1.8200395853511999</v>
      </c>
      <c r="T19" s="7">
        <f t="shared" si="6"/>
        <v>919.30199456089122</v>
      </c>
      <c r="U19" s="22">
        <f>VLOOKUP($C19,'Justice Spend Total'!$C:$BA,40,FALSE)</f>
        <v>2020</v>
      </c>
      <c r="V19" s="15" t="str">
        <f>VLOOKUP($C19,'Justice Spend Total'!$C:$BA,41,FALSE)</f>
        <v>IMF COFOG</v>
      </c>
    </row>
    <row r="20" spans="1:23">
      <c r="A20">
        <v>18</v>
      </c>
      <c r="B20" t="s">
        <v>126</v>
      </c>
      <c r="C20" t="s">
        <v>340</v>
      </c>
      <c r="D20" t="s">
        <v>496</v>
      </c>
      <c r="E20" t="s">
        <v>488</v>
      </c>
      <c r="F20" s="17">
        <f>VLOOKUP(B20,'Justice Spend Total'!$B$4:$AQ$221,10,FALSE)</f>
        <v>1386.3</v>
      </c>
      <c r="G20" s="15">
        <f>VLOOKUP(C20,'Justice Spend Total'!$C$4:$AQ$221,10,FALSE)</f>
        <v>14.330030007990416</v>
      </c>
      <c r="H20">
        <f>VLOOKUP(C20,'Justice Spend Total'!$C$4:$AQ$221,7,FALSE)</f>
        <v>1370</v>
      </c>
      <c r="I20" s="17" t="str">
        <f t="shared" si="0"/>
        <v/>
      </c>
      <c r="J20" s="17" t="str">
        <f t="shared" si="1"/>
        <v/>
      </c>
      <c r="K20" s="17" t="str">
        <f t="shared" si="2"/>
        <v/>
      </c>
      <c r="L20" s="17">
        <f t="shared" si="3"/>
        <v>15.41357167444173</v>
      </c>
      <c r="M20" s="16">
        <f>IF(ISNUMBER(VLOOKUP($C20,'Justice Spend Total'!$C:$BA,38,FALSE)),VLOOKUP($C20,'Justice Spend Total'!$C:$BA,38,FALSE),"")</f>
        <v>7.8511923826011687</v>
      </c>
      <c r="N20" s="16" t="str">
        <f>IF(ISNUMBER(VLOOKUP($C20,'Justice Spend Total'!$C:$BA,35,FALSE)),VLOOKUP($C20,'Justice Spend Total'!$C:$BA,35,FALSE),"")</f>
        <v/>
      </c>
      <c r="O20" s="16" t="str">
        <f>IF(ISNUMBER(VLOOKUP($C20,'Justice Spend Total'!$C:$BA,36,FALSE)),VLOOKUP($C20,'Justice Spend Total'!$C:$BA,36,FALSE),"")</f>
        <v/>
      </c>
      <c r="P20" s="16" t="str">
        <f>IF(ISNUMBER(VLOOKUP($C20,'Justice Spend Total'!$C:$BA,37,FALSE)),VLOOKUP($C20,'Justice Spend Total'!$C:$BA,37,FALSE),"")</f>
        <v/>
      </c>
      <c r="Q20" s="16"/>
      <c r="R20" s="15">
        <f>IF(ISNUMBER(VLOOKUP($C20,'Justice Spend Total'!$C:$BA,39,FALSE)),VLOOKUP($C20,'Justice Spend Total'!$C:$BA,39,FALSE),"")</f>
        <v>1.1250782244118052</v>
      </c>
      <c r="S20" s="16">
        <f t="shared" si="5"/>
        <v>1.1250782244118052</v>
      </c>
      <c r="T20" s="7">
        <f t="shared" si="6"/>
        <v>15.41357167444173</v>
      </c>
      <c r="U20" s="22">
        <f>VLOOKUP($C20,'Justice Spend Total'!$C:$BA,40,FALSE)</f>
        <v>2020</v>
      </c>
      <c r="V20" s="15" t="s">
        <v>489</v>
      </c>
    </row>
    <row r="21" spans="1:23">
      <c r="A21">
        <v>19</v>
      </c>
      <c r="B21" t="s">
        <v>151</v>
      </c>
      <c r="C21" t="s">
        <v>365</v>
      </c>
      <c r="D21" t="s">
        <v>483</v>
      </c>
      <c r="E21" t="s">
        <v>488</v>
      </c>
      <c r="F21" s="17">
        <f>VLOOKUP(B21,'Justice Spend Total'!$B$4:$AQ$221,10,FALSE)</f>
        <v>59.695999999999998</v>
      </c>
      <c r="G21" s="15">
        <f>VLOOKUP(C21,'Justice Spend Total'!$C$4:$AQ$221,10,FALSE)</f>
        <v>33.789359883625494</v>
      </c>
      <c r="H21">
        <f>VLOOKUP(C21,'Justice Spend Total'!$C$4:$AQ$221,7,FALSE)</f>
        <v>2840</v>
      </c>
      <c r="I21" s="17" t="str">
        <f t="shared" si="0"/>
        <v/>
      </c>
      <c r="J21" s="17" t="str">
        <f t="shared" si="1"/>
        <v/>
      </c>
      <c r="K21" s="17" t="str">
        <f t="shared" si="2"/>
        <v/>
      </c>
      <c r="L21" s="17">
        <f t="shared" si="3"/>
        <v>61.10759026665383</v>
      </c>
      <c r="M21" s="16">
        <f>IF(ISNUMBER(VLOOKUP($C21,'Justice Spend Total'!$C:$BA,38,FALSE)),VLOOKUP($C21,'Justice Spend Total'!$C:$BA,38,FALSE),"")</f>
        <v>6.3679090726346823</v>
      </c>
      <c r="N21" s="16" t="str">
        <f>IF(ISNUMBER(VLOOKUP($C21,'Justice Spend Total'!$C:$BA,35,FALSE)),VLOOKUP($C21,'Justice Spend Total'!$C:$BA,35,FALSE),"")</f>
        <v/>
      </c>
      <c r="O21" s="16" t="str">
        <f>IF(ISNUMBER(VLOOKUP($C21,'Justice Spend Total'!$C:$BA,36,FALSE)),VLOOKUP($C21,'Justice Spend Total'!$C:$BA,36,FALSE),"")</f>
        <v/>
      </c>
      <c r="P21" s="16" t="str">
        <f>IF(ISNUMBER(VLOOKUP($C21,'Justice Spend Total'!$C:$BA,37,FALSE)),VLOOKUP($C21,'Justice Spend Total'!$C:$BA,37,FALSE),"")</f>
        <v/>
      </c>
      <c r="Q21" s="16"/>
      <c r="R21" s="15">
        <f>IF(ISNUMBER(VLOOKUP($C21,'Justice Spend Total'!$C:$BA,39,FALSE)),VLOOKUP($C21,'Justice Spend Total'!$C:$BA,39,FALSE),"")</f>
        <v>2.1516757136145714</v>
      </c>
      <c r="S21" s="16">
        <f t="shared" si="5"/>
        <v>2.1516757136145714</v>
      </c>
      <c r="T21" s="7">
        <f t="shared" si="6"/>
        <v>61.10759026665383</v>
      </c>
      <c r="U21" s="22" t="str">
        <f>VLOOKUP($C21,'Justice Spend Total'!$C:$BA,40,FALSE)</f>
        <v>FY 22/23</v>
      </c>
      <c r="V21" s="15" t="s">
        <v>489</v>
      </c>
      <c r="W21" t="s">
        <v>484</v>
      </c>
    </row>
    <row r="22" spans="1:23">
      <c r="A22">
        <v>20</v>
      </c>
      <c r="B22" t="s">
        <v>199</v>
      </c>
      <c r="C22" t="s">
        <v>414</v>
      </c>
      <c r="D22" t="s">
        <v>496</v>
      </c>
      <c r="E22" t="s">
        <v>486</v>
      </c>
      <c r="F22" s="17">
        <f>VLOOKUP(B22,'Justice Spend Total'!$B$4:$AQ$221,10,FALSE)</f>
        <v>62.475999999999999</v>
      </c>
      <c r="G22" s="15">
        <f>VLOOKUP(C22,'Justice Spend Total'!$C$4:$AQ$221,10,FALSE)</f>
        <v>31.649763422121808</v>
      </c>
      <c r="H22">
        <f>VLOOKUP(C22,'Justice Spend Total'!$C$4:$AQ$221,7,FALSE)</f>
        <v>6940</v>
      </c>
      <c r="I22" s="17">
        <f t="shared" si="0"/>
        <v>119.45685281784235</v>
      </c>
      <c r="J22" s="17">
        <f t="shared" si="1"/>
        <v>58.335418036387473</v>
      </c>
      <c r="K22" s="17">
        <f t="shared" si="2"/>
        <v>26.144396202736672</v>
      </c>
      <c r="L22" s="17">
        <f t="shared" si="3"/>
        <v>203.93666705696651</v>
      </c>
      <c r="M22" s="16">
        <f>IF(ISNUMBER(VLOOKUP($C22,'Justice Spend Total'!$C:$BA,38,FALSE)),VLOOKUP($C22,'Justice Spend Total'!$C:$BA,38,FALSE),"")</f>
        <v>9.2846466192784192</v>
      </c>
      <c r="N22" s="16">
        <f>IF(ISNUMBER(VLOOKUP($C22,'Justice Spend Total'!$C:$BA,35,FALSE)),VLOOKUP($C22,'Justice Spend Total'!$C:$BA,35,FALSE),"")</f>
        <v>5.4385250120568358</v>
      </c>
      <c r="O22" s="16">
        <f>IF(ISNUMBER(VLOOKUP($C22,'Justice Spend Total'!$C:$BA,36,FALSE)),VLOOKUP($C22,'Justice Spend Total'!$C:$BA,36,FALSE),"")</f>
        <v>2.6558428637281013</v>
      </c>
      <c r="P22" s="16">
        <f>IF(ISNUMBER(VLOOKUP($C22,'Justice Spend Total'!$C:$BA,37,FALSE)),VLOOKUP($C22,'Justice Spend Total'!$C:$BA,37,FALSE),"")</f>
        <v>1.1902787434934816</v>
      </c>
      <c r="Q22" s="16">
        <f>IF(ISNUMBER(M22),M22-N22-O22-P22,"")</f>
        <v>4.4408920985006262E-16</v>
      </c>
      <c r="R22" s="15">
        <f>IF(ISNUMBER(VLOOKUP($C22,'Justice Spend Total'!$C:$BA,39,FALSE)),VLOOKUP($C22,'Justice Spend Total'!$C:$BA,39,FALSE),"")</f>
        <v>2.9385686895816501</v>
      </c>
      <c r="S22" s="16">
        <f t="shared" si="5"/>
        <v>2.9385686895816501</v>
      </c>
      <c r="T22" s="7">
        <f t="shared" si="6"/>
        <v>203.93666705696651</v>
      </c>
      <c r="U22" s="22">
        <f>VLOOKUP($C22,'Justice Spend Total'!$C:$BA,40,FALSE)</f>
        <v>2020</v>
      </c>
      <c r="V22" s="15" t="str">
        <f>VLOOKUP($C22,'Justice Spend Total'!$C:$BA,41,FALSE)</f>
        <v>IMF COFOG</v>
      </c>
    </row>
    <row r="23" spans="1:23">
      <c r="A23">
        <v>21</v>
      </c>
      <c r="B23" t="s">
        <v>204</v>
      </c>
      <c r="C23" t="s">
        <v>419</v>
      </c>
      <c r="D23" t="s">
        <v>497</v>
      </c>
      <c r="E23" t="s">
        <v>486</v>
      </c>
      <c r="F23" s="17">
        <f>VLOOKUP(B23,'Justice Spend Total'!$B$4:$AQ$221,10,FALSE)</f>
        <v>2205.5500000000002</v>
      </c>
      <c r="G23" s="15">
        <f>VLOOKUP(C23,'Justice Spend Total'!$C$4:$AQ$221,10,FALSE)</f>
        <v>29.534845104598258</v>
      </c>
      <c r="H23">
        <f>VLOOKUP(C23,'Justice Spend Total'!$C$4:$AQ$221,7,FALSE)</f>
        <v>7720</v>
      </c>
      <c r="I23" s="17">
        <f t="shared" si="0"/>
        <v>19.112058665777042</v>
      </c>
      <c r="J23" s="17">
        <f t="shared" si="1"/>
        <v>62.248844964503817</v>
      </c>
      <c r="K23" s="17">
        <f t="shared" si="2"/>
        <v>0.38246150076753699</v>
      </c>
      <c r="L23" s="17">
        <f t="shared" si="3"/>
        <v>83.726297746687223</v>
      </c>
      <c r="M23" s="16">
        <f>IF(ISNUMBER(VLOOKUP($C23,'Justice Spend Total'!$C:$BA,38,FALSE)),VLOOKUP($C23,'Justice Spend Total'!$C:$BA,38,FALSE),"")</f>
        <v>3.6720610239801097</v>
      </c>
      <c r="N23" s="16">
        <f>IF(ISNUMBER(VLOOKUP($C23,'Justice Spend Total'!$C:$BA,35,FALSE)),VLOOKUP($C23,'Justice Spend Total'!$C:$BA,35,FALSE),"")</f>
        <v>0.83821508418957891</v>
      </c>
      <c r="O23" s="16">
        <f>IF(ISNUMBER(VLOOKUP($C23,'Justice Spend Total'!$C:$BA,36,FALSE)),VLOOKUP($C23,'Justice Spend Total'!$C:$BA,36,FALSE),"")</f>
        <v>2.7301046807719289</v>
      </c>
      <c r="P23" s="16">
        <f>IF(ISNUMBER(VLOOKUP($C23,'Justice Spend Total'!$C:$BA,37,FALSE)),VLOOKUP($C23,'Justice Spend Total'!$C:$BA,37,FALSE),"")</f>
        <v>1.6773964786911646E-2</v>
      </c>
      <c r="Q23" s="16">
        <f>IF(ISNUMBER(M23),M23-N23-O23-P23,"")</f>
        <v>8.6967294231690334E-2</v>
      </c>
      <c r="R23" s="15">
        <f>IF(ISNUMBER(VLOOKUP($C23,'Justice Spend Total'!$C:$BA,39,FALSE)),VLOOKUP($C23,'Justice Spend Total'!$C:$BA,39,FALSE),"")</f>
        <v>1.08453753557885</v>
      </c>
      <c r="S23" s="16">
        <f t="shared" si="5"/>
        <v>1.08453753557885</v>
      </c>
      <c r="T23" s="7">
        <f t="shared" si="6"/>
        <v>83.726297746687223</v>
      </c>
      <c r="U23" s="22">
        <f>VLOOKUP($C23,'Justice Spend Total'!$C:$BA,40,FALSE)</f>
        <v>2020</v>
      </c>
      <c r="V23" s="15" t="str">
        <f>VLOOKUP($C23,'Justice Spend Total'!$C:$BA,41,FALSE)</f>
        <v>IMF COFOG</v>
      </c>
    </row>
    <row r="24" spans="1:23" hidden="1">
      <c r="A24">
        <v>22</v>
      </c>
      <c r="B24" t="s">
        <v>264</v>
      </c>
      <c r="C24" t="s">
        <v>501</v>
      </c>
      <c r="D24" t="s">
        <v>502</v>
      </c>
      <c r="E24" t="s">
        <v>494</v>
      </c>
      <c r="F24" s="17" t="str">
        <f>VLOOKUP(B24,'Justice Spend Total'!$B$4:$AQ$221,10,FALSE)</f>
        <v xml:space="preserve"> </v>
      </c>
      <c r="G24" s="15" t="str">
        <f>VLOOKUP(C24,'Justice Spend Total'!$C$4:$AQ$221,10,FALSE)</f>
        <v xml:space="preserve"> </v>
      </c>
      <c r="H24">
        <f>VLOOKUP(C24,'Justice Spend Total'!$C$4:$AQ$221,7,FALSE)</f>
        <v>116540</v>
      </c>
      <c r="I24" s="35" t="str">
        <f t="shared" si="0"/>
        <v/>
      </c>
      <c r="J24" s="35" t="str">
        <f t="shared" si="1"/>
        <v/>
      </c>
      <c r="K24" s="35" t="str">
        <f t="shared" si="2"/>
        <v/>
      </c>
      <c r="L24" s="35" t="str">
        <f t="shared" si="3"/>
        <v/>
      </c>
      <c r="M24" s="16" t="str">
        <f>IF(ISNUMBER(VLOOKUP($C24,'Justice Spend Total'!$C:$BA,38,FALSE)),VLOOKUP($C24,'Justice Spend Total'!$C:$BA,38,FALSE),"")</f>
        <v/>
      </c>
      <c r="N24" s="16" t="str">
        <f>IF(ISNUMBER(VLOOKUP($C24,'Justice Spend Total'!$C:$BA,35,FALSE)),VLOOKUP($C24,'Justice Spend Total'!$C:$BA,35,FALSE),"")</f>
        <v/>
      </c>
      <c r="O24" s="16" t="str">
        <f>IF(ISNUMBER(VLOOKUP($C24,'Justice Spend Total'!$C:$BA,36,FALSE)),VLOOKUP($C24,'Justice Spend Total'!$C:$BA,36,FALSE),"")</f>
        <v/>
      </c>
      <c r="P24" s="16" t="str">
        <f>IF(ISNUMBER(VLOOKUP($C24,'Justice Spend Total'!$C:$BA,37,FALSE)),VLOOKUP($C24,'Justice Spend Total'!$C:$BA,37,FALSE),"")</f>
        <v/>
      </c>
      <c r="Q24" s="16" t="str">
        <f>IF(ISNUMBER(M24),M24-N24-O24-P24,"")</f>
        <v/>
      </c>
      <c r="R24" s="15" t="str">
        <f>IF(ISNUMBER(VLOOKUP($C24,'Justice Spend Total'!$C:$BA,39,FALSE)),VLOOKUP($C24,'Justice Spend Total'!$C:$BA,39,FALSE),"")</f>
        <v/>
      </c>
      <c r="S24" s="16" t="str">
        <f t="shared" si="5"/>
        <v/>
      </c>
      <c r="T24" s="7" t="str">
        <f t="shared" si="6"/>
        <v/>
      </c>
      <c r="U24" s="22" t="str">
        <f>VLOOKUP($C24,'Justice Spend Total'!$C:$BA,40,FALSE)</f>
        <v xml:space="preserve"> </v>
      </c>
      <c r="V24" s="15" t="str">
        <f>VLOOKUP($C24,'Justice Spend Total'!$C:$BA,41,FALSE)</f>
        <v xml:space="preserve"> </v>
      </c>
    </row>
    <row r="25" spans="1:23">
      <c r="A25">
        <v>23</v>
      </c>
      <c r="B25" t="s">
        <v>220</v>
      </c>
      <c r="C25" t="s">
        <v>435</v>
      </c>
      <c r="D25" t="s">
        <v>485</v>
      </c>
      <c r="E25" t="s">
        <v>486</v>
      </c>
      <c r="F25" s="17">
        <f>VLOOKUP(B25,'Justice Spend Total'!$B$4:$AQ$221,10,FALSE)</f>
        <v>49.744999999999997</v>
      </c>
      <c r="G25" s="15">
        <f>VLOOKUP(C25,'Justice Spend Total'!$C$4:$AQ$221,10,FALSE)</f>
        <v>37.474386789610072</v>
      </c>
      <c r="H25">
        <f>VLOOKUP(C25,'Justice Spend Total'!$C$4:$AQ$221,7,FALSE)</f>
        <v>10720</v>
      </c>
      <c r="I25" s="17">
        <f t="shared" si="0"/>
        <v>147.18100695261052</v>
      </c>
      <c r="J25" s="17">
        <f t="shared" si="1"/>
        <v>78.207272141831055</v>
      </c>
      <c r="K25" s="17">
        <f t="shared" si="2"/>
        <v>18.650102227910388</v>
      </c>
      <c r="L25" s="17">
        <f t="shared" si="3"/>
        <v>296.50610275267746</v>
      </c>
      <c r="M25" s="16">
        <f>IF(ISNUMBER(VLOOKUP($C25,'Justice Spend Total'!$C:$BA,38,FALSE)),VLOOKUP($C25,'Justice Spend Total'!$C:$BA,38,FALSE),"")</f>
        <v>7.3808149367373277</v>
      </c>
      <c r="N25" s="16">
        <f>IF(ISNUMBER(VLOOKUP($C25,'Justice Spend Total'!$C:$BA,35,FALSE)),VLOOKUP($C25,'Justice Spend Total'!$C:$BA,35,FALSE),"")</f>
        <v>3.6637214695914335</v>
      </c>
      <c r="O25" s="16">
        <f>IF(ISNUMBER(VLOOKUP($C25,'Justice Spend Total'!$C:$BA,36,FALSE)),VLOOKUP($C25,'Justice Spend Total'!$C:$BA,36,FALSE),"")</f>
        <v>1.9467842213938893</v>
      </c>
      <c r="P25" s="16">
        <f>IF(ISNUMBER(VLOOKUP($C25,'Justice Spend Total'!$C:$BA,37,FALSE)),VLOOKUP($C25,'Justice Spend Total'!$C:$BA,37,FALSE),"")</f>
        <v>0.46424998277441387</v>
      </c>
      <c r="Q25" s="16">
        <f>IF(ISNUMBER(M25),M25-N25-O25-P25,"")</f>
        <v>1.3060592629775911</v>
      </c>
      <c r="R25" s="15">
        <f>IF(ISNUMBER(VLOOKUP($C25,'Justice Spend Total'!$C:$BA,39,FALSE)),VLOOKUP($C25,'Justice Spend Total'!$C:$BA,39,FALSE),"")</f>
        <v>2.76591513761826</v>
      </c>
      <c r="S25" s="16">
        <f t="shared" si="5"/>
        <v>2.76591513761826</v>
      </c>
      <c r="T25" s="7">
        <f t="shared" si="6"/>
        <v>296.50610275267746</v>
      </c>
      <c r="U25" s="22">
        <f>VLOOKUP($C25,'Justice Spend Total'!$C:$BA,40,FALSE)</f>
        <v>2020</v>
      </c>
      <c r="V25" s="15" t="str">
        <f>VLOOKUP($C25,'Justice Spend Total'!$C:$BA,41,FALSE)</f>
        <v>IMF COFOG</v>
      </c>
    </row>
    <row r="26" spans="1:23">
      <c r="A26">
        <v>24</v>
      </c>
      <c r="B26" t="s">
        <v>112</v>
      </c>
      <c r="C26" t="s">
        <v>325</v>
      </c>
      <c r="D26" t="s">
        <v>496</v>
      </c>
      <c r="E26" t="s">
        <v>299</v>
      </c>
      <c r="F26" s="17">
        <f>VLOOKUP(B26,'Justice Spend Total'!$B$4:$AQ$221,10,FALSE)</f>
        <v>1975.34</v>
      </c>
      <c r="G26" s="15">
        <f>VLOOKUP(C26,'Justice Spend Total'!$C$4:$AQ$221,10,FALSE)</f>
        <v>19.776399953145507</v>
      </c>
      <c r="H26">
        <f>VLOOKUP(C26,'Justice Spend Total'!$C$4:$AQ$221,7,FALSE)</f>
        <v>860</v>
      </c>
      <c r="I26" s="17">
        <f t="shared" si="0"/>
        <v>1.9851191451857642</v>
      </c>
      <c r="J26" s="17">
        <f t="shared" si="1"/>
        <v>0.34133292118806974</v>
      </c>
      <c r="K26" s="17">
        <f t="shared" si="2"/>
        <v>4.0029794231479961E-2</v>
      </c>
      <c r="L26" s="17">
        <f t="shared" si="3"/>
        <v>2.8930766751330186</v>
      </c>
      <c r="M26" s="16">
        <f>IF(ISNUMBER(VLOOKUP($C26,'Justice Spend Total'!$C:$BA,38,FALSE)),VLOOKUP($C26,'Justice Spend Total'!$C:$BA,38,FALSE),"")</f>
        <v>1.7010389421096062</v>
      </c>
      <c r="N26" s="16">
        <f>IF(ISNUMBER(VLOOKUP($C26,'Justice Spend Total'!$C:$BA,35,FALSE)),VLOOKUP($C26,'Justice Spend Total'!$C:$BA,35,FALSE),"")</f>
        <v>1.1671882047623436</v>
      </c>
      <c r="O26" s="16">
        <f>IF(ISNUMBER(VLOOKUP($C26,'Justice Spend Total'!$C:$BA,36,FALSE)),VLOOKUP($C26,'Justice Spend Total'!$C:$BA,36,FALSE),"")</f>
        <v>0.20069312236193665</v>
      </c>
      <c r="P26" s="16">
        <f>IF(ISNUMBER(VLOOKUP($C26,'Justice Spend Total'!$C:$BA,37,FALSE)),VLOOKUP($C26,'Justice Spend Total'!$C:$BA,37,FALSE),"")</f>
        <v>2.3536271754446718E-2</v>
      </c>
      <c r="Q26" s="16">
        <f>IF(ISNUMBER(M26),M26-N26-O26-P26,"")</f>
        <v>0.30962134323087914</v>
      </c>
      <c r="R26" s="15">
        <f>IF(ISNUMBER(VLOOKUP($C26,'Justice Spend Total'!$C:$BA,39,FALSE)),VLOOKUP($C26,'Justice Spend Total'!$C:$BA,39,FALSE),"")</f>
        <v>0.336404264550351</v>
      </c>
      <c r="S26" s="16">
        <f t="shared" si="5"/>
        <v>0.336404264550351</v>
      </c>
      <c r="T26" s="7">
        <f t="shared" si="6"/>
        <v>2.8930766751330186</v>
      </c>
      <c r="U26" s="22">
        <f>VLOOKUP($C26,'Justice Spend Total'!$C:$BA,40,FALSE)</f>
        <v>2020</v>
      </c>
      <c r="V26" s="15" t="str">
        <f>VLOOKUP($C26,'Justice Spend Total'!$C:$BA,41,FALSE)</f>
        <v>IMF COFOG</v>
      </c>
      <c r="W26" t="s">
        <v>484</v>
      </c>
    </row>
    <row r="27" spans="1:23">
      <c r="A27">
        <v>25</v>
      </c>
      <c r="B27" t="s">
        <v>93</v>
      </c>
      <c r="C27" t="s">
        <v>305</v>
      </c>
      <c r="D27" t="s">
        <v>496</v>
      </c>
      <c r="E27" t="s">
        <v>299</v>
      </c>
      <c r="F27" s="17">
        <f>VLOOKUP(B27,'Justice Spend Total'!$B$4:$AQ$221,10,FALSE)</f>
        <v>1320.17</v>
      </c>
      <c r="G27" s="15">
        <f>VLOOKUP(C27,'Justice Spend Total'!$C$4:$AQ$221,10,FALSE)</f>
        <v>22.335747652087704</v>
      </c>
      <c r="H27">
        <f>VLOOKUP(C27,'Justice Spend Total'!$C$4:$AQ$221,7,FALSE)</f>
        <v>240</v>
      </c>
      <c r="I27" s="17" t="str">
        <f t="shared" si="0"/>
        <v/>
      </c>
      <c r="J27" s="17" t="str">
        <f t="shared" si="1"/>
        <v/>
      </c>
      <c r="K27" s="17" t="str">
        <f t="shared" si="2"/>
        <v/>
      </c>
      <c r="L27" s="17">
        <f t="shared" si="3"/>
        <v>8.3744690822712542</v>
      </c>
      <c r="M27" s="16">
        <f>IF(ISNUMBER(VLOOKUP($C27,'Justice Spend Total'!$C:$BA,38,FALSE)),VLOOKUP($C27,'Justice Spend Total'!$C:$BA,38,FALSE),"")</f>
        <v>15.622320649234567</v>
      </c>
      <c r="N27" s="16" t="str">
        <f>IF(ISNUMBER(VLOOKUP($C27,'Justice Spend Total'!$C:$BA,35,FALSE)),VLOOKUP($C27,'Justice Spend Total'!$C:$BA,35,FALSE),"")</f>
        <v/>
      </c>
      <c r="O27" s="16" t="str">
        <f>IF(ISNUMBER(VLOOKUP($C27,'Justice Spend Total'!$C:$BA,36,FALSE)),VLOOKUP($C27,'Justice Spend Total'!$C:$BA,36,FALSE),"")</f>
        <v/>
      </c>
      <c r="P27" s="16" t="str">
        <f>IF(ISNUMBER(VLOOKUP($C27,'Justice Spend Total'!$C:$BA,37,FALSE)),VLOOKUP($C27,'Justice Spend Total'!$C:$BA,37,FALSE),"")</f>
        <v/>
      </c>
      <c r="Q27" s="16"/>
      <c r="R27" s="15">
        <f>IF(ISNUMBER(VLOOKUP($C27,'Justice Spend Total'!$C:$BA,39,FALSE)),VLOOKUP($C27,'Justice Spend Total'!$C:$BA,39,FALSE),"")</f>
        <v>3.4893621176130223</v>
      </c>
      <c r="S27" s="16">
        <f t="shared" si="5"/>
        <v>3.4893621176130223</v>
      </c>
      <c r="T27" s="7">
        <f t="shared" si="6"/>
        <v>8.3744690822712542</v>
      </c>
      <c r="U27" s="22" t="str">
        <f>VLOOKUP($C27,'Justice Spend Total'!$C:$BA,40,FALSE)</f>
        <v>FY 20/21</v>
      </c>
      <c r="V27" s="15" t="s">
        <v>489</v>
      </c>
      <c r="W27" t="s">
        <v>503</v>
      </c>
    </row>
    <row r="28" spans="1:23">
      <c r="A28">
        <v>26</v>
      </c>
      <c r="B28" t="s">
        <v>155</v>
      </c>
      <c r="C28" t="s">
        <v>369</v>
      </c>
      <c r="D28" t="s">
        <v>496</v>
      </c>
      <c r="E28" t="s">
        <v>488</v>
      </c>
      <c r="F28" s="17">
        <f>VLOOKUP(B28,'Justice Spend Total'!$B$4:$AQ$221,10,FALSE)</f>
        <v>43.750999999999998</v>
      </c>
      <c r="G28" s="15">
        <f>VLOOKUP(C28,'Justice Spend Total'!$C$4:$AQ$221,10,FALSE)</f>
        <v>26.530067733504737</v>
      </c>
      <c r="H28">
        <f>VLOOKUP(C28,'Justice Spend Total'!$C$4:$AQ$221,7,FALSE)</f>
        <v>3330</v>
      </c>
      <c r="I28" s="17">
        <f t="shared" si="0"/>
        <v>0.93280958405929326</v>
      </c>
      <c r="J28" s="17">
        <f t="shared" si="1"/>
        <v>16.238270485757198</v>
      </c>
      <c r="K28" s="17">
        <f t="shared" si="2"/>
        <v>6.932752634224248</v>
      </c>
      <c r="L28" s="17">
        <f t="shared" si="3"/>
        <v>119.0294284281545</v>
      </c>
      <c r="M28" s="16">
        <f>IF(ISNUMBER(VLOOKUP($C28,'Justice Spend Total'!$C:$BA,38,FALSE)),VLOOKUP($C28,'Justice Spend Total'!$C:$BA,38,FALSE),"")</f>
        <v>13.473230999861412</v>
      </c>
      <c r="N28" s="16">
        <f>IF(ISNUMBER(VLOOKUP($C28,'Justice Spend Total'!$C:$BA,35,FALSE)),VLOOKUP($C28,'Justice Spend Total'!$C:$BA,35,FALSE),"")</f>
        <v>0.10558698946035391</v>
      </c>
      <c r="O28" s="16">
        <f>IF(ISNUMBER(VLOOKUP($C28,'Justice Spend Total'!$C:$BA,36,FALSE)),VLOOKUP($C28,'Justice Spend Total'!$C:$BA,36,FALSE),"")</f>
        <v>1.8380493982199879</v>
      </c>
      <c r="P28" s="16">
        <f>IF(ISNUMBER(VLOOKUP($C28,'Justice Spend Total'!$C:$BA,37,FALSE)),VLOOKUP($C28,'Justice Spend Total'!$C:$BA,37,FALSE),"")</f>
        <v>0.78473516120579123</v>
      </c>
      <c r="Q28" s="16">
        <f>IF(ISNUMBER(M28),M28-N28-O28-P28,"")</f>
        <v>10.744859450975278</v>
      </c>
      <c r="R28" s="15">
        <f>IF(ISNUMBER(VLOOKUP($C28,'Justice Spend Total'!$C:$BA,39,FALSE)),VLOOKUP($C28,'Justice Spend Total'!$C:$BA,39,FALSE),"")</f>
        <v>3.5744573101547901</v>
      </c>
      <c r="S28" s="16">
        <f t="shared" si="5"/>
        <v>3.5744573101547901</v>
      </c>
      <c r="T28" s="7">
        <f t="shared" si="6"/>
        <v>119.0294284281545</v>
      </c>
      <c r="U28" s="22">
        <f>VLOOKUP($C28,'Justice Spend Total'!$C:$BA,40,FALSE)</f>
        <v>2020</v>
      </c>
      <c r="V28" s="15" t="str">
        <f>VLOOKUP($C28,'Justice Spend Total'!$C:$BA,41,FALSE)</f>
        <v>IMF COFOG</v>
      </c>
      <c r="W28" t="s">
        <v>484</v>
      </c>
    </row>
    <row r="29" spans="1:23">
      <c r="A29">
        <v>27</v>
      </c>
      <c r="B29" t="s">
        <v>132</v>
      </c>
      <c r="C29" t="s">
        <v>346</v>
      </c>
      <c r="D29" t="s">
        <v>493</v>
      </c>
      <c r="E29" t="s">
        <v>488</v>
      </c>
      <c r="F29" s="17">
        <f>VLOOKUP(B29,'Justice Spend Total'!$B$4:$AQ$221,10,FALSE)</f>
        <v>29461.49</v>
      </c>
      <c r="G29" s="15">
        <f>VLOOKUP(C29,'Justice Spend Total'!$C$4:$AQ$221,10,FALSE)</f>
        <v>26.779752222557029</v>
      </c>
      <c r="H29">
        <f>VLOOKUP(C29,'Justice Spend Total'!$C$4:$AQ$221,7,FALSE)</f>
        <v>1550</v>
      </c>
      <c r="I29" s="17" t="str">
        <f t="shared" si="0"/>
        <v/>
      </c>
      <c r="J29" s="17" t="str">
        <f t="shared" si="1"/>
        <v/>
      </c>
      <c r="K29" s="17" t="str">
        <f t="shared" si="2"/>
        <v/>
      </c>
      <c r="L29" s="17">
        <f t="shared" si="3"/>
        <v>24.809355168726171</v>
      </c>
      <c r="M29" s="16">
        <f>IF(ISNUMBER(VLOOKUP($C29,'Justice Spend Total'!$C:$BA,38,FALSE)),VLOOKUP($C29,'Justice Spend Total'!$C:$BA,38,FALSE),"")</f>
        <v>5.9769169855292441</v>
      </c>
      <c r="N29" s="16" t="str">
        <f>IF(ISNUMBER(VLOOKUP($C29,'Justice Spend Total'!$C:$BA,35,FALSE)),VLOOKUP($C29,'Justice Spend Total'!$C:$BA,35,FALSE),"")</f>
        <v/>
      </c>
      <c r="O29" s="16" t="str">
        <f>IF(ISNUMBER(VLOOKUP($C29,'Justice Spend Total'!$C:$BA,36,FALSE)),VLOOKUP($C29,'Justice Spend Total'!$C:$BA,36,FALSE),"")</f>
        <v/>
      </c>
      <c r="P29" s="16" t="str">
        <f>IF(ISNUMBER(VLOOKUP($C29,'Justice Spend Total'!$C:$BA,37,FALSE)),VLOOKUP($C29,'Justice Spend Total'!$C:$BA,37,FALSE),"")</f>
        <v/>
      </c>
      <c r="Q29" s="16"/>
      <c r="R29" s="15">
        <f>IF(ISNUMBER(VLOOKUP($C29,'Justice Spend Total'!$C:$BA,39,FALSE)),VLOOKUP($C29,'Justice Spend Total'!$C:$BA,39,FALSE),"")</f>
        <v>1.6006035592726564</v>
      </c>
      <c r="S29" s="16">
        <f t="shared" si="5"/>
        <v>1.6006035592726564</v>
      </c>
      <c r="T29" s="7">
        <f t="shared" si="6"/>
        <v>24.809355168726171</v>
      </c>
      <c r="U29" s="22">
        <f>VLOOKUP($C29,'Justice Spend Total'!$C:$BA,40,FALSE)</f>
        <v>2022</v>
      </c>
      <c r="V29" s="15" t="s">
        <v>489</v>
      </c>
    </row>
    <row r="30" spans="1:23" hidden="1">
      <c r="A30">
        <v>28</v>
      </c>
      <c r="B30" t="s">
        <v>504</v>
      </c>
      <c r="C30" t="s">
        <v>505</v>
      </c>
      <c r="D30" t="s">
        <v>497</v>
      </c>
      <c r="E30" t="s">
        <v>494</v>
      </c>
      <c r="F30" s="17" t="str">
        <f>VLOOKUP(B30,'Justice Spend Total'!$B$4:$AQ$221,10,FALSE)</f>
        <v xml:space="preserve"> </v>
      </c>
      <c r="G30" s="15" t="str">
        <f>VLOOKUP(C30,'Justice Spend Total'!$C$4:$AQ$221,10,FALSE)</f>
        <v xml:space="preserve"> </v>
      </c>
      <c r="H30" t="str">
        <f>VLOOKUP(C30,'Justice Spend Total'!$C$4:$AQ$221,7,FALSE)</f>
        <v/>
      </c>
      <c r="I30" s="35" t="str">
        <f t="shared" si="0"/>
        <v/>
      </c>
      <c r="J30" s="35" t="str">
        <f t="shared" si="1"/>
        <v/>
      </c>
      <c r="K30" s="35" t="str">
        <f t="shared" si="2"/>
        <v/>
      </c>
      <c r="L30" s="35" t="str">
        <f t="shared" si="3"/>
        <v/>
      </c>
      <c r="M30" s="16" t="str">
        <f>IF(ISNUMBER(VLOOKUP($C30,'Justice Spend Total'!$C:$BA,38,FALSE)),VLOOKUP($C30,'Justice Spend Total'!$C:$BA,38,FALSE),"")</f>
        <v/>
      </c>
      <c r="N30" s="16" t="str">
        <f>IF(ISNUMBER(VLOOKUP($C30,'Justice Spend Total'!$C:$BA,35,FALSE)),VLOOKUP($C30,'Justice Spend Total'!$C:$BA,35,FALSE),"")</f>
        <v/>
      </c>
      <c r="O30" s="16" t="str">
        <f>IF(ISNUMBER(VLOOKUP($C30,'Justice Spend Total'!$C:$BA,36,FALSE)),VLOOKUP($C30,'Justice Spend Total'!$C:$BA,36,FALSE),"")</f>
        <v/>
      </c>
      <c r="P30" s="16" t="str">
        <f>IF(ISNUMBER(VLOOKUP($C30,'Justice Spend Total'!$C:$BA,37,FALSE)),VLOOKUP($C30,'Justice Spend Total'!$C:$BA,37,FALSE),"")</f>
        <v/>
      </c>
      <c r="Q30" s="16" t="str">
        <f>IF(ISNUMBER(M30),M30-N30-O30-P30,"")</f>
        <v/>
      </c>
      <c r="R30" s="15" t="str">
        <f>IF(ISNUMBER(VLOOKUP($C30,'Justice Spend Total'!$C:$BA,39,FALSE)),VLOOKUP($C30,'Justice Spend Total'!$C:$BA,39,FALSE),"")</f>
        <v/>
      </c>
      <c r="S30" s="16" t="str">
        <f t="shared" si="5"/>
        <v/>
      </c>
      <c r="T30" s="7" t="str">
        <f t="shared" si="6"/>
        <v/>
      </c>
      <c r="U30" t="str">
        <f>VLOOKUP($C30,'Justice Spend Total'!$C:$BA,40,FALSE)</f>
        <v xml:space="preserve"> </v>
      </c>
      <c r="V30" s="15" t="str">
        <f>VLOOKUP($C30,'Justice Spend Total'!$C:$BA,41,FALSE)</f>
        <v xml:space="preserve"> </v>
      </c>
    </row>
    <row r="31" spans="1:23">
      <c r="A31">
        <v>29</v>
      </c>
      <c r="B31" t="s">
        <v>64</v>
      </c>
      <c r="C31" t="s">
        <v>455</v>
      </c>
      <c r="D31" t="s">
        <v>502</v>
      </c>
      <c r="E31" t="s">
        <v>494</v>
      </c>
      <c r="F31" s="17">
        <f>VLOOKUP(B31,'Justice Spend Total'!$B$4:$AQ$221,10,FALSE)</f>
        <v>1023.74</v>
      </c>
      <c r="G31" s="15">
        <f>VLOOKUP(C31,'Justice Spend Total'!$C$4:$AQ$221,10,FALSE)</f>
        <v>41.012431044359957</v>
      </c>
      <c r="H31">
        <f>VLOOKUP(C31,'Justice Spend Total'!$C$4:$AQ$221,7,FALSE)</f>
        <v>48310</v>
      </c>
      <c r="I31" s="17">
        <f t="shared" si="0"/>
        <v>411.63120750565088</v>
      </c>
      <c r="J31" s="17">
        <f t="shared" si="1"/>
        <v>124.27965564056686</v>
      </c>
      <c r="K31" s="17">
        <f t="shared" si="2"/>
        <v>121.38994020203324</v>
      </c>
      <c r="L31" s="17">
        <f t="shared" si="3"/>
        <v>895.37395027288869</v>
      </c>
      <c r="M31" s="16">
        <f>IF(ISNUMBER(VLOOKUP($C31,'Justice Spend Total'!$C:$BA,38,FALSE)),VLOOKUP($C31,'Justice Spend Total'!$C:$BA,38,FALSE),"")</f>
        <v>4.5190995076261862</v>
      </c>
      <c r="N31" s="16">
        <f>IF(ISNUMBER(VLOOKUP($C31,'Justice Spend Total'!$C:$BA,35,FALSE)),VLOOKUP($C31,'Justice Spend Total'!$C:$BA,35,FALSE),"")</f>
        <v>2.0775703677724975</v>
      </c>
      <c r="O31" s="16">
        <f>IF(ISNUMBER(VLOOKUP($C31,'Justice Spend Total'!$C:$BA,36,FALSE)),VLOOKUP($C31,'Justice Spend Total'!$C:$BA,36,FALSE),"")</f>
        <v>0.62725985097295445</v>
      </c>
      <c r="P31" s="16">
        <f>IF(ISNUMBER(VLOOKUP($C31,'Justice Spend Total'!$C:$BA,37,FALSE)),VLOOKUP($C31,'Justice Spend Total'!$C:$BA,37,FALSE),"")</f>
        <v>0.61267498214638538</v>
      </c>
      <c r="Q31" s="16">
        <f>IF(ISNUMBER(M31),M31-N31-O31-P31,"")</f>
        <v>1.2015943067343491</v>
      </c>
      <c r="R31" s="15">
        <f>IF(ISNUMBER(VLOOKUP($C31,'Justice Spend Total'!$C:$BA,39,FALSE)),VLOOKUP($C31,'Justice Spend Total'!$C:$BA,39,FALSE),"")</f>
        <v>1.8533925693911999</v>
      </c>
      <c r="S31" s="16">
        <f t="shared" si="5"/>
        <v>1.8533925693911999</v>
      </c>
      <c r="T31" s="7">
        <f t="shared" si="6"/>
        <v>895.37395027288869</v>
      </c>
      <c r="U31" s="22">
        <f>VLOOKUP($C31,'Justice Spend Total'!$C:$BA,40,FALSE)</f>
        <v>2020</v>
      </c>
      <c r="V31" s="15" t="str">
        <f>VLOOKUP($C31,'Justice Spend Total'!$C:$BA,41,FALSE)</f>
        <v>IMF COFOG</v>
      </c>
    </row>
    <row r="32" spans="1:23">
      <c r="A32">
        <v>30</v>
      </c>
      <c r="B32" t="s">
        <v>99</v>
      </c>
      <c r="C32" t="s">
        <v>312</v>
      </c>
      <c r="D32" t="s">
        <v>496</v>
      </c>
      <c r="E32" t="s">
        <v>299</v>
      </c>
      <c r="F32" s="17">
        <f>VLOOKUP(B32,'Justice Spend Total'!$B$4:$AQ$221,10,FALSE)</f>
        <v>298.58699999999999</v>
      </c>
      <c r="G32" s="15">
        <f>VLOOKUP(C32,'Justice Spend Total'!$C$4:$AQ$221,10,FALSE)</f>
        <v>21.754814172574331</v>
      </c>
      <c r="H32">
        <f>VLOOKUP(C32,'Justice Spend Total'!$C$4:$AQ$221,7,FALSE)</f>
        <v>530</v>
      </c>
      <c r="I32" s="17" t="str">
        <f t="shared" si="0"/>
        <v/>
      </c>
      <c r="J32" s="17" t="str">
        <f t="shared" si="1"/>
        <v/>
      </c>
      <c r="K32" s="17" t="str">
        <f t="shared" si="2"/>
        <v/>
      </c>
      <c r="L32" s="17">
        <f t="shared" si="3"/>
        <v>7.6151907235648553</v>
      </c>
      <c r="M32" s="16">
        <f>IF(ISNUMBER(VLOOKUP($C32,'Justice Spend Total'!$C:$BA,38,FALSE)),VLOOKUP($C32,'Justice Spend Total'!$C:$BA,38,FALSE),"")</f>
        <v>6.6046458821047134</v>
      </c>
      <c r="N32" s="16" t="str">
        <f>IF(ISNUMBER(VLOOKUP($C32,'Justice Spend Total'!$C:$BA,35,FALSE)),VLOOKUP($C32,'Justice Spend Total'!$C:$BA,35,FALSE),"")</f>
        <v/>
      </c>
      <c r="O32" s="16" t="str">
        <f>IF(ISNUMBER(VLOOKUP($C32,'Justice Spend Total'!$C:$BA,36,FALSE)),VLOOKUP($C32,'Justice Spend Total'!$C:$BA,36,FALSE),"")</f>
        <v/>
      </c>
      <c r="P32" s="16" t="str">
        <f>IF(ISNUMBER(VLOOKUP($C32,'Justice Spend Total'!$C:$BA,37,FALSE)),VLOOKUP($C32,'Justice Spend Total'!$C:$BA,37,FALSE),"")</f>
        <v/>
      </c>
      <c r="Q32" s="16"/>
      <c r="R32" s="15">
        <f>IF(ISNUMBER(VLOOKUP($C32,'Justice Spend Total'!$C:$BA,39,FALSE)),VLOOKUP($C32,'Justice Spend Total'!$C:$BA,39,FALSE),"")</f>
        <v>1.4368284384084631</v>
      </c>
      <c r="S32" s="16">
        <f t="shared" si="5"/>
        <v>1.4368284384084631</v>
      </c>
      <c r="T32" s="7">
        <f t="shared" si="6"/>
        <v>7.6151907235648553</v>
      </c>
      <c r="U32" s="22">
        <f>VLOOKUP($C32,'Justice Spend Total'!$C:$BA,40,FALSE)</f>
        <v>2021</v>
      </c>
      <c r="V32" s="15" t="s">
        <v>489</v>
      </c>
      <c r="W32" t="s">
        <v>506</v>
      </c>
    </row>
    <row r="33" spans="1:46">
      <c r="A33">
        <v>31</v>
      </c>
      <c r="B33" t="s">
        <v>232</v>
      </c>
      <c r="C33" t="s">
        <v>507</v>
      </c>
      <c r="D33" t="s">
        <v>497</v>
      </c>
      <c r="E33" t="s">
        <v>494</v>
      </c>
      <c r="F33" s="17">
        <f>VLOOKUP(B33,'Justice Spend Total'!$B$4:$AQ$221,10,FALSE)</f>
        <v>62283.95</v>
      </c>
      <c r="G33" s="15">
        <f>VLOOKUP(C33,'Justice Spend Total'!$C$4:$AQ$221,10,FALSE)</f>
        <v>25.895409635408434</v>
      </c>
      <c r="H33">
        <f>VLOOKUP(C33,'Justice Spend Total'!$C$4:$AQ$221,7,FALSE)</f>
        <v>15000</v>
      </c>
      <c r="I33" s="17">
        <f t="shared" si="0"/>
        <v>114.41510814123511</v>
      </c>
      <c r="J33" s="17">
        <f t="shared" si="1"/>
        <v>78.040524785211005</v>
      </c>
      <c r="K33" s="17">
        <f t="shared" si="2"/>
        <v>43.198603853344352</v>
      </c>
      <c r="L33" s="17">
        <f t="shared" si="3"/>
        <v>242.09689134730351</v>
      </c>
      <c r="M33" s="16">
        <f>IF(ISNUMBER(VLOOKUP($C33,'Justice Spend Total'!$C:$BA,38,FALSE)),VLOOKUP($C33,'Justice Spend Total'!$C:$BA,38,FALSE),"")</f>
        <v>6.2326848594887405</v>
      </c>
      <c r="N33" s="16">
        <f>IF(ISNUMBER(VLOOKUP($C33,'Justice Spend Total'!$C:$BA,35,FALSE)),VLOOKUP($C33,'Justice Spend Total'!$C:$BA,35,FALSE),"")</f>
        <v>2.94556988419003</v>
      </c>
      <c r="O33" s="16">
        <f>IF(ISNUMBER(VLOOKUP($C33,'Justice Spend Total'!$C:$BA,36,FALSE)),VLOOKUP($C33,'Justice Spend Total'!$C:$BA,36,FALSE),"")</f>
        <v>2.0091212016331328</v>
      </c>
      <c r="P33" s="16">
        <f>IF(ISNUMBER(VLOOKUP($C33,'Justice Spend Total'!$C:$BA,37,FALSE)),VLOOKUP($C33,'Justice Spend Total'!$C:$BA,37,FALSE),"")</f>
        <v>1.1121302825881583</v>
      </c>
      <c r="Q33" s="16">
        <f>IF(ISNUMBER(M33),M33-N33-O33-P33,"")</f>
        <v>0.16586349107741949</v>
      </c>
      <c r="R33" s="15">
        <f>IF(ISNUMBER(VLOOKUP($C33,'Justice Spend Total'!$C:$BA,39,FALSE)),VLOOKUP($C33,'Justice Spend Total'!$C:$BA,39,FALSE),"")</f>
        <v>1.6139792756486899</v>
      </c>
      <c r="S33" s="16">
        <f t="shared" si="5"/>
        <v>1.6139792756486899</v>
      </c>
      <c r="T33" s="7">
        <f t="shared" si="6"/>
        <v>242.09689134730351</v>
      </c>
      <c r="U33" s="22">
        <f>VLOOKUP($C33,'Justice Spend Total'!$C:$BA,40,FALSE)</f>
        <v>2020</v>
      </c>
      <c r="V33" s="15" t="str">
        <f>VLOOKUP($C33,'Justice Spend Total'!$C:$BA,41,FALSE)</f>
        <v>IMF COFOG</v>
      </c>
    </row>
    <row r="34" spans="1:46">
      <c r="A34">
        <v>32</v>
      </c>
      <c r="B34" t="s">
        <v>224</v>
      </c>
      <c r="C34" t="s">
        <v>439</v>
      </c>
      <c r="D34" t="s">
        <v>493</v>
      </c>
      <c r="E34" t="s">
        <v>486</v>
      </c>
      <c r="F34" s="17">
        <f>VLOOKUP(B34,'Justice Spend Total'!$B$4:$AQ$221,10,FALSE)</f>
        <v>26342.87</v>
      </c>
      <c r="G34" s="15">
        <f>VLOOKUP(C34,'Justice Spend Total'!$C$4:$AQ$221,10,FALSE)</f>
        <v>25.684614427603602</v>
      </c>
      <c r="H34">
        <f>VLOOKUP(C34,'Justice Spend Total'!$C$4:$AQ$221,7,FALSE)</f>
        <v>11890</v>
      </c>
      <c r="I34" s="17" t="str">
        <f t="shared" si="0"/>
        <v/>
      </c>
      <c r="J34" s="17" t="str">
        <f t="shared" si="1"/>
        <v/>
      </c>
      <c r="K34" s="17" t="str">
        <f t="shared" si="2"/>
        <v/>
      </c>
      <c r="L34" s="17">
        <f t="shared" si="3"/>
        <v>160.71103813427891</v>
      </c>
      <c r="M34" s="16">
        <f>IF(ISNUMBER(VLOOKUP($C34,'Justice Spend Total'!$C:$BA,38,FALSE)),VLOOKUP($C34,'Justice Spend Total'!$C:$BA,38,FALSE),"")</f>
        <v>5.2624841560543532</v>
      </c>
      <c r="N34" s="16" t="str">
        <f>IF(ISNUMBER(VLOOKUP($C34,'Justice Spend Total'!$C:$BA,35,FALSE)),VLOOKUP($C34,'Justice Spend Total'!$C:$BA,35,FALSE),"")</f>
        <v/>
      </c>
      <c r="O34" s="16" t="str">
        <f>IF(ISNUMBER(VLOOKUP($C34,'Justice Spend Total'!$C:$BA,36,FALSE)),VLOOKUP($C34,'Justice Spend Total'!$C:$BA,36,FALSE),"")</f>
        <v/>
      </c>
      <c r="P34" s="16" t="str">
        <f>IF(ISNUMBER(VLOOKUP($C34,'Justice Spend Total'!$C:$BA,37,FALSE)),VLOOKUP($C34,'Justice Spend Total'!$C:$BA,37,FALSE),"")</f>
        <v/>
      </c>
      <c r="Q34" s="16"/>
      <c r="R34" s="15">
        <f>IF(ISNUMBER(VLOOKUP($C34,'Justice Spend Total'!$C:$BA,39,FALSE)),VLOOKUP($C34,'Justice Spend Total'!$C:$BA,39,FALSE),"")</f>
        <v>1.35164876479629</v>
      </c>
      <c r="S34" s="16">
        <f t="shared" si="5"/>
        <v>1.35164876479629</v>
      </c>
      <c r="T34" s="7">
        <f t="shared" si="6"/>
        <v>160.71103813427891</v>
      </c>
      <c r="U34" s="22">
        <f>VLOOKUP($C34,'Justice Spend Total'!$C:$BA,40,FALSE)</f>
        <v>2020</v>
      </c>
      <c r="V34" s="15" t="str">
        <f>VLOOKUP($C34,'Justice Spend Total'!$C:$BA,41,FALSE)</f>
        <v>IMF COFOG</v>
      </c>
    </row>
    <row r="35" spans="1:46">
      <c r="A35">
        <v>33</v>
      </c>
      <c r="B35" t="s">
        <v>100</v>
      </c>
      <c r="C35" t="s">
        <v>313</v>
      </c>
      <c r="D35" t="s">
        <v>496</v>
      </c>
      <c r="E35" t="s">
        <v>299</v>
      </c>
      <c r="F35" s="17">
        <f>VLOOKUP(B35,'Justice Spend Total'!$B$4:$AQ$221,10,FALSE)</f>
        <v>8072.74</v>
      </c>
      <c r="G35" s="15">
        <f>VLOOKUP(C35,'Justice Spend Total'!$C$4:$AQ$221,10,FALSE)</f>
        <v>8.9517032680369084</v>
      </c>
      <c r="H35">
        <f>VLOOKUP(C35,'Justice Spend Total'!$C$4:$AQ$221,7,FALSE)</f>
        <v>580</v>
      </c>
      <c r="I35" s="17">
        <f t="shared" si="0"/>
        <v>2.4947563961027286</v>
      </c>
      <c r="J35" s="17">
        <f t="shared" si="1"/>
        <v>1.4334607641702994</v>
      </c>
      <c r="K35" s="17">
        <f t="shared" si="2"/>
        <v>0.40082123562256144</v>
      </c>
      <c r="L35" s="17">
        <f t="shared" si="3"/>
        <v>5.1464327220244162</v>
      </c>
      <c r="M35" s="16">
        <f>IF(ISNUMBER(VLOOKUP($C35,'Justice Spend Total'!$C:$BA,38,FALSE)),VLOOKUP($C35,'Justice Spend Total'!$C:$BA,38,FALSE),"")</f>
        <v>9.9122587063871759</v>
      </c>
      <c r="N35" s="16">
        <f>IF(ISNUMBER(VLOOKUP($C35,'Justice Spend Total'!$C:$BA,35,FALSE)),VLOOKUP($C35,'Justice Spend Total'!$C:$BA,35,FALSE),"")</f>
        <v>4.8050119652311363</v>
      </c>
      <c r="O35" s="16">
        <f>IF(ISNUMBER(VLOOKUP($C35,'Justice Spend Total'!$C:$BA,36,FALSE)),VLOOKUP($C35,'Justice Spend Total'!$C:$BA,36,FALSE),"")</f>
        <v>2.7609092953074175</v>
      </c>
      <c r="P35" s="16">
        <f>IF(ISNUMBER(VLOOKUP($C35,'Justice Spend Total'!$C:$BA,37,FALSE)),VLOOKUP($C35,'Justice Spend Total'!$C:$BA,37,FALSE),"")</f>
        <v>0.77199955718876123</v>
      </c>
      <c r="Q35" s="16">
        <f t="shared" ref="Q35:Q44" si="7">IF(ISNUMBER(M35),M35-N35-O35-P35,"")</f>
        <v>1.5743378886598609</v>
      </c>
      <c r="R35" s="15">
        <f>IF(ISNUMBER(VLOOKUP($C35,'Justice Spend Total'!$C:$BA,39,FALSE)),VLOOKUP($C35,'Justice Spend Total'!$C:$BA,39,FALSE),"")</f>
        <v>0.88731598655593391</v>
      </c>
      <c r="S35" s="16">
        <f t="shared" si="5"/>
        <v>0.88731598655593391</v>
      </c>
      <c r="T35" s="7">
        <f t="shared" ref="T35:T66" si="8">L35</f>
        <v>5.1464327220244162</v>
      </c>
      <c r="U35" s="22">
        <f>VLOOKUP($C35,'Justice Spend Total'!$C:$BA,40,FALSE)</f>
        <v>2020</v>
      </c>
      <c r="V35" s="15" t="s">
        <v>489</v>
      </c>
      <c r="W35" t="s">
        <v>508</v>
      </c>
    </row>
    <row r="36" spans="1:46">
      <c r="A36">
        <v>34</v>
      </c>
      <c r="B36" t="s">
        <v>134</v>
      </c>
      <c r="C36" t="s">
        <v>348</v>
      </c>
      <c r="D36" t="s">
        <v>496</v>
      </c>
      <c r="E36" t="s">
        <v>488</v>
      </c>
      <c r="F36" s="17">
        <f>VLOOKUP(B36,'Justice Spend Total'!$B$4:$AQ$221,10,FALSE)</f>
        <v>1320.48</v>
      </c>
      <c r="G36" s="15">
        <f>VLOOKUP(C36,'Justice Spend Total'!$C$4:$AQ$221,10,FALSE)</f>
        <v>22.243409416322748</v>
      </c>
      <c r="H36">
        <f>VLOOKUP(C36,'Justice Spend Total'!$C$4:$AQ$221,7,FALSE)</f>
        <v>1630</v>
      </c>
      <c r="I36" s="17" t="str">
        <f t="shared" si="0"/>
        <v/>
      </c>
      <c r="J36" s="17">
        <f t="shared" si="1"/>
        <v>8.2181802264869859</v>
      </c>
      <c r="K36" s="17" t="str">
        <f t="shared" si="2"/>
        <v/>
      </c>
      <c r="L36" s="17" t="str">
        <f t="shared" si="3"/>
        <v/>
      </c>
      <c r="M36" s="16" t="str">
        <f>IF(ISNUMBER(VLOOKUP($C36,'Justice Spend Total'!$C:$BA,38,FALSE)),VLOOKUP($C36,'Justice Spend Total'!$C:$BA,38,FALSE),"")</f>
        <v/>
      </c>
      <c r="N36" s="16" t="str">
        <f>IF(ISNUMBER(VLOOKUP($C36,'Justice Spend Total'!$C:$BA,35,FALSE)),VLOOKUP($C36,'Justice Spend Total'!$C:$BA,35,FALSE),"")</f>
        <v/>
      </c>
      <c r="O36" s="16">
        <f>IF(ISNUMBER(VLOOKUP($C36,'Justice Spend Total'!$C:$BA,36,FALSE)),VLOOKUP($C36,'Justice Spend Total'!$C:$BA,36,FALSE),"")</f>
        <v>2.2666616728765296</v>
      </c>
      <c r="P36" s="16" t="str">
        <f>IF(ISNUMBER(VLOOKUP($C36,'Justice Spend Total'!$C:$BA,37,FALSE)),VLOOKUP($C36,'Justice Spend Total'!$C:$BA,37,FALSE),"")</f>
        <v/>
      </c>
      <c r="Q36" s="16" t="str">
        <f t="shared" si="7"/>
        <v/>
      </c>
      <c r="R36" s="15" t="str">
        <f>IF(ISNUMBER(VLOOKUP($C36,'Justice Spend Total'!$C:$BA,39,FALSE)),VLOOKUP($C36,'Justice Spend Total'!$C:$BA,39,FALSE),"")</f>
        <v/>
      </c>
      <c r="S36" s="16" t="str">
        <f t="shared" si="5"/>
        <v/>
      </c>
      <c r="T36" s="7" t="str">
        <f t="shared" si="8"/>
        <v/>
      </c>
      <c r="U36" s="22">
        <f>VLOOKUP($C36,'Justice Spend Total'!$C:$BA,40,FALSE)</f>
        <v>2020</v>
      </c>
      <c r="V36" s="15" t="s">
        <v>489</v>
      </c>
    </row>
    <row r="37" spans="1:46">
      <c r="A37">
        <v>35</v>
      </c>
      <c r="B37" t="s">
        <v>225</v>
      </c>
      <c r="C37" t="s">
        <v>440</v>
      </c>
      <c r="D37" t="s">
        <v>497</v>
      </c>
      <c r="E37" t="s">
        <v>486</v>
      </c>
      <c r="F37" s="17">
        <f>VLOOKUP(B37,'Justice Spend Total'!$B$4:$AQ$221,10,FALSE)</f>
        <v>6326.21</v>
      </c>
      <c r="G37" s="15">
        <f>VLOOKUP(C37,'Justice Spend Total'!$C$4:$AQ$221,10,FALSE)</f>
        <v>15.852957796597215</v>
      </c>
      <c r="H37">
        <f>VLOOKUP(C37,'Justice Spend Total'!$C$4:$AQ$221,7,FALSE)</f>
        <v>12310</v>
      </c>
      <c r="I37" s="17">
        <f t="shared" si="0"/>
        <v>0</v>
      </c>
      <c r="J37" s="17">
        <f t="shared" si="1"/>
        <v>198.63991793295094</v>
      </c>
      <c r="K37" s="17">
        <f t="shared" si="2"/>
        <v>0</v>
      </c>
      <c r="L37" s="17">
        <f t="shared" si="3"/>
        <v>296.45858416697945</v>
      </c>
      <c r="M37" s="16">
        <f>IF(ISNUMBER(VLOOKUP($C37,'Justice Spend Total'!$C:$BA,38,FALSE)),VLOOKUP($C37,'Justice Spend Total'!$C:$BA,38,FALSE),"")</f>
        <v>15.191325655425752</v>
      </c>
      <c r="N37" s="16">
        <f>IF(ISNUMBER(VLOOKUP($C37,'Justice Spend Total'!$C:$BA,35,FALSE)),VLOOKUP($C37,'Justice Spend Total'!$C:$BA,35,FALSE),"")</f>
        <v>0</v>
      </c>
      <c r="O37" s="16">
        <f>IF(ISNUMBER(VLOOKUP($C37,'Justice Spend Total'!$C:$BA,36,FALSE)),VLOOKUP($C37,'Justice Spend Total'!$C:$BA,36,FALSE),"")</f>
        <v>10.178837256359719</v>
      </c>
      <c r="P37" s="16">
        <f>IF(ISNUMBER(VLOOKUP($C37,'Justice Spend Total'!$C:$BA,37,FALSE)),VLOOKUP($C37,'Justice Spend Total'!$C:$BA,37,FALSE),"")</f>
        <v>0</v>
      </c>
      <c r="Q37" s="16">
        <f t="shared" si="7"/>
        <v>5.0124883990660329</v>
      </c>
      <c r="R37" s="15">
        <f>IF(ISNUMBER(VLOOKUP($C37,'Justice Spend Total'!$C:$BA,39,FALSE)),VLOOKUP($C37,'Justice Spend Total'!$C:$BA,39,FALSE),"")</f>
        <v>2.4082744448982898</v>
      </c>
      <c r="S37" s="16">
        <f t="shared" si="5"/>
        <v>2.4082744448982898</v>
      </c>
      <c r="T37" s="7">
        <f t="shared" si="8"/>
        <v>296.45858416697945</v>
      </c>
      <c r="U37" s="22">
        <f>VLOOKUP($C37,'Justice Spend Total'!$C:$BA,40,FALSE)</f>
        <v>2020</v>
      </c>
      <c r="V37" s="15" t="str">
        <f>VLOOKUP($C37,'Justice Spend Total'!$C:$BA,41,FALSE)</f>
        <v>IMF COFOG</v>
      </c>
    </row>
    <row r="38" spans="1:46">
      <c r="A38">
        <v>36</v>
      </c>
      <c r="B38" t="s">
        <v>238</v>
      </c>
      <c r="C38" t="s">
        <v>509</v>
      </c>
      <c r="D38" t="s">
        <v>485</v>
      </c>
      <c r="E38" t="s">
        <v>494</v>
      </c>
      <c r="F38" s="17">
        <f>VLOOKUP(B38,'Justice Spend Total'!$B$4:$AQ$221,10,FALSE)</f>
        <v>178.304</v>
      </c>
      <c r="G38" s="15">
        <f>VLOOKUP(C38,'Justice Spend Total'!$C$4:$AQ$221,10,FALSE)</f>
        <v>47.126609946848298</v>
      </c>
      <c r="H38">
        <f>VLOOKUP(C38,'Justice Spend Total'!$C$4:$AQ$221,7,FALSE)</f>
        <v>17150</v>
      </c>
      <c r="I38" s="17">
        <f t="shared" si="0"/>
        <v>240.93235082742072</v>
      </c>
      <c r="J38" s="17">
        <f t="shared" si="1"/>
        <v>88.357334004457456</v>
      </c>
      <c r="K38" s="17">
        <f t="shared" si="2"/>
        <v>26.787884909398247</v>
      </c>
      <c r="L38" s="17">
        <f t="shared" si="3"/>
        <v>427.50440505927111</v>
      </c>
      <c r="M38" s="16">
        <f>IF(ISNUMBER(VLOOKUP($C38,'Justice Spend Total'!$C:$BA,38,FALSE)),VLOOKUP($C38,'Justice Spend Total'!$C:$BA,38,FALSE),"")</f>
        <v>5.2894469993717381</v>
      </c>
      <c r="N38" s="16">
        <f>IF(ISNUMBER(VLOOKUP($C38,'Justice Spend Total'!$C:$BA,35,FALSE)),VLOOKUP($C38,'Justice Spend Total'!$C:$BA,35,FALSE),"")</f>
        <v>2.9810193416813826</v>
      </c>
      <c r="O38" s="16">
        <f>IF(ISNUMBER(VLOOKUP($C38,'Justice Spend Total'!$C:$BA,36,FALSE)),VLOOKUP($C38,'Justice Spend Total'!$C:$BA,36,FALSE),"")</f>
        <v>1.0932318584122354</v>
      </c>
      <c r="P38" s="16">
        <f>IF(ISNUMBER(VLOOKUP($C38,'Justice Spend Total'!$C:$BA,37,FALSE)),VLOOKUP($C38,'Justice Spend Total'!$C:$BA,37,FALSE),"")</f>
        <v>0.33144242673683572</v>
      </c>
      <c r="Q38" s="16">
        <f t="shared" si="7"/>
        <v>0.8837533725412845</v>
      </c>
      <c r="R38" s="15">
        <f>IF(ISNUMBER(VLOOKUP($C38,'Justice Spend Total'!$C:$BA,39,FALSE)),VLOOKUP($C38,'Justice Spend Total'!$C:$BA,39,FALSE),"")</f>
        <v>2.4927370557391901</v>
      </c>
      <c r="S38" s="16">
        <f t="shared" si="5"/>
        <v>2.4927370557391901</v>
      </c>
      <c r="T38" s="7">
        <f t="shared" si="8"/>
        <v>427.50440505927111</v>
      </c>
      <c r="U38" s="22">
        <f>VLOOKUP($C38,'Justice Spend Total'!$C:$BA,40,FALSE)</f>
        <v>2020</v>
      </c>
      <c r="V38" s="15" t="str">
        <f>VLOOKUP($C38,'Justice Spend Total'!$C:$BA,41,FALSE)</f>
        <v>IMF COFOG</v>
      </c>
    </row>
    <row r="39" spans="1:46" hidden="1">
      <c r="A39">
        <v>37</v>
      </c>
      <c r="B39" t="s">
        <v>261</v>
      </c>
      <c r="C39" t="s">
        <v>510</v>
      </c>
      <c r="D39" t="s">
        <v>497</v>
      </c>
      <c r="E39" t="s">
        <v>494</v>
      </c>
      <c r="F39" s="17" t="str">
        <f>VLOOKUP(B39,'Justice Spend Total'!$B$4:$AQ$221,10,FALSE)</f>
        <v xml:space="preserve"> </v>
      </c>
      <c r="G39" s="15" t="str">
        <f>VLOOKUP(C39,'Justice Spend Total'!$C$4:$AQ$221,10,FALSE)</f>
        <v xml:space="preserve"> </v>
      </c>
      <c r="H39">
        <f>VLOOKUP(C39,'Justice Spend Total'!$C$4:$AQ$221,7,FALSE)</f>
        <v>63370</v>
      </c>
      <c r="I39" s="17" t="str">
        <f t="shared" si="0"/>
        <v/>
      </c>
      <c r="J39" s="17" t="str">
        <f t="shared" si="1"/>
        <v/>
      </c>
      <c r="K39" s="17" t="str">
        <f t="shared" si="2"/>
        <v/>
      </c>
      <c r="L39" s="17" t="str">
        <f t="shared" si="3"/>
        <v/>
      </c>
      <c r="M39" s="16" t="str">
        <f>IF(ISNUMBER(VLOOKUP($C39,'Justice Spend Total'!$C:$BA,38,FALSE)),VLOOKUP($C39,'Justice Spend Total'!$C:$BA,38,FALSE),"")</f>
        <v/>
      </c>
      <c r="N39" s="16" t="str">
        <f>IF(ISNUMBER(VLOOKUP($C39,'Justice Spend Total'!$C:$BA,35,FALSE)),VLOOKUP($C39,'Justice Spend Total'!$C:$BA,35,FALSE),"")</f>
        <v/>
      </c>
      <c r="O39" s="16" t="str">
        <f>IF(ISNUMBER(VLOOKUP($C39,'Justice Spend Total'!$C:$BA,36,FALSE)),VLOOKUP($C39,'Justice Spend Total'!$C:$BA,36,FALSE),"")</f>
        <v/>
      </c>
      <c r="P39" s="16" t="str">
        <f>IF(ISNUMBER(VLOOKUP($C39,'Justice Spend Total'!$C:$BA,37,FALSE)),VLOOKUP($C39,'Justice Spend Total'!$C:$BA,37,FALSE),"")</f>
        <v/>
      </c>
      <c r="Q39" s="16" t="str">
        <f t="shared" si="7"/>
        <v/>
      </c>
      <c r="R39" s="15" t="str">
        <f>IF(ISNUMBER(VLOOKUP($C39,'Justice Spend Total'!$C:$BA,39,FALSE)),VLOOKUP($C39,'Justice Spend Total'!$C:$BA,39,FALSE),"")</f>
        <v/>
      </c>
      <c r="S39" s="16" t="str">
        <f t="shared" si="5"/>
        <v/>
      </c>
      <c r="T39" s="7" t="str">
        <f t="shared" si="8"/>
        <v/>
      </c>
      <c r="U39" s="22" t="str">
        <f>VLOOKUP($C39,'Justice Spend Total'!$C:$BA,40,FALSE)</f>
        <v xml:space="preserve"> </v>
      </c>
      <c r="V39" s="15" t="str">
        <f>VLOOKUP($C39,'Justice Spend Total'!$C:$BA,41,FALSE)</f>
        <v xml:space="preserve"> </v>
      </c>
    </row>
    <row r="40" spans="1:46">
      <c r="A40">
        <v>38</v>
      </c>
      <c r="B40" t="s">
        <v>251</v>
      </c>
      <c r="C40" t="s">
        <v>511</v>
      </c>
      <c r="D40" t="s">
        <v>485</v>
      </c>
      <c r="E40" t="s">
        <v>494</v>
      </c>
      <c r="F40" s="17">
        <f>VLOOKUP(B40,'Justice Spend Total'!$B$4:$AQ$221,10,FALSE)</f>
        <v>8.4920000000000009</v>
      </c>
      <c r="G40" s="15">
        <f>VLOOKUP(C40,'Justice Spend Total'!$C$4:$AQ$221,10,FALSE)</f>
        <v>39.282079748357859</v>
      </c>
      <c r="H40">
        <f>VLOOKUP(C40,'Justice Spend Total'!$C$4:$AQ$221,7,FALSE)</f>
        <v>28130</v>
      </c>
      <c r="I40" s="17">
        <f t="shared" si="0"/>
        <v>418.8313732264258</v>
      </c>
      <c r="J40" s="17">
        <f t="shared" si="1"/>
        <v>45.217051250677692</v>
      </c>
      <c r="K40" s="17">
        <f t="shared" si="2"/>
        <v>25.375539209335589</v>
      </c>
      <c r="L40" s="17">
        <f t="shared" si="3"/>
        <v>540.71494719467069</v>
      </c>
      <c r="M40" s="16">
        <f>IF(ISNUMBER(VLOOKUP($C40,'Justice Spend Total'!$C:$BA,38,FALSE)),VLOOKUP($C40,'Justice Spend Total'!$C:$BA,38,FALSE),"")</f>
        <v>4.893326224792732</v>
      </c>
      <c r="N40" s="16">
        <f>IF(ISNUMBER(VLOOKUP($C40,'Justice Spend Total'!$C:$BA,35,FALSE)),VLOOKUP($C40,'Justice Spend Total'!$C:$BA,35,FALSE),"")</f>
        <v>3.7903123503574228</v>
      </c>
      <c r="O40" s="16">
        <f>IF(ISNUMBER(VLOOKUP($C40,'Justice Spend Total'!$C:$BA,36,FALSE)),VLOOKUP($C40,'Justice Spend Total'!$C:$BA,36,FALSE),"")</f>
        <v>0.40920226792450487</v>
      </c>
      <c r="P40" s="16">
        <f>IF(ISNUMBER(VLOOKUP($C40,'Justice Spend Total'!$C:$BA,37,FALSE)),VLOOKUP($C40,'Justice Spend Total'!$C:$BA,37,FALSE),"")</f>
        <v>0.22964186976061812</v>
      </c>
      <c r="Q40" s="16">
        <f t="shared" si="7"/>
        <v>0.4641697367501863</v>
      </c>
      <c r="R40" s="15">
        <f>IF(ISNUMBER(VLOOKUP($C40,'Justice Spend Total'!$C:$BA,39,FALSE)),VLOOKUP($C40,'Justice Spend Total'!$C:$BA,39,FALSE),"")</f>
        <v>1.9222003099703899</v>
      </c>
      <c r="S40" s="16">
        <f t="shared" si="5"/>
        <v>1.9222003099703899</v>
      </c>
      <c r="T40" s="7">
        <f t="shared" si="8"/>
        <v>540.71494719467069</v>
      </c>
      <c r="U40" s="22">
        <f>VLOOKUP($C40,'Justice Spend Total'!$C:$BA,40,FALSE)</f>
        <v>2020</v>
      </c>
      <c r="V40" s="15" t="str">
        <f>VLOOKUP($C40,'Justice Spend Total'!$C:$BA,41,FALSE)</f>
        <v>IMF COFOG</v>
      </c>
    </row>
    <row r="41" spans="1:46">
      <c r="A41">
        <v>39</v>
      </c>
      <c r="B41" t="s">
        <v>70</v>
      </c>
      <c r="C41" t="s">
        <v>446</v>
      </c>
      <c r="D41" t="s">
        <v>485</v>
      </c>
      <c r="E41" t="s">
        <v>494</v>
      </c>
      <c r="F41" s="17">
        <f>VLOOKUP(B41,'Justice Spend Total'!$B$4:$AQ$221,10,FALSE)</f>
        <v>2371.1</v>
      </c>
      <c r="G41" s="15">
        <f>VLOOKUP(C41,'Justice Spend Total'!$C$4:$AQ$221,10,FALSE)</f>
        <v>41.639227379930063</v>
      </c>
      <c r="H41">
        <f>VLOOKUP(C41,'Justice Spend Total'!$C$4:$AQ$221,7,FALSE)</f>
        <v>24070</v>
      </c>
      <c r="I41" s="17">
        <f t="shared" si="0"/>
        <v>247.32664128951166</v>
      </c>
      <c r="J41" s="17">
        <f t="shared" si="1"/>
        <v>78.766311659261788</v>
      </c>
      <c r="K41" s="17">
        <f t="shared" si="2"/>
        <v>48.084011882788268</v>
      </c>
      <c r="L41" s="17">
        <f t="shared" si="3"/>
        <v>514.55303011279216</v>
      </c>
      <c r="M41" s="16">
        <f>IF(ISNUMBER(VLOOKUP($C41,'Justice Spend Total'!$C:$BA,38,FALSE)),VLOOKUP($C41,'Justice Spend Total'!$C:$BA,38,FALSE),"")</f>
        <v>5.1339470741581055</v>
      </c>
      <c r="N41" s="16">
        <f>IF(ISNUMBER(VLOOKUP($C41,'Justice Spend Total'!$C:$BA,35,FALSE)),VLOOKUP($C41,'Justice Spend Total'!$C:$BA,35,FALSE),"")</f>
        <v>2.4676987834107256</v>
      </c>
      <c r="O41" s="16">
        <f>IF(ISNUMBER(VLOOKUP($C41,'Justice Spend Total'!$C:$BA,36,FALSE)),VLOOKUP($C41,'Justice Spend Total'!$C:$BA,36,FALSE),"")</f>
        <v>0.78588998921384312</v>
      </c>
      <c r="P41" s="16">
        <f>IF(ISNUMBER(VLOOKUP($C41,'Justice Spend Total'!$C:$BA,37,FALSE)),VLOOKUP($C41,'Justice Spend Total'!$C:$BA,37,FALSE),"")</f>
        <v>0.47975768807602098</v>
      </c>
      <c r="Q41" s="16">
        <f t="shared" si="7"/>
        <v>1.4006006134575157</v>
      </c>
      <c r="R41" s="15">
        <f>IF(ISNUMBER(VLOOKUP($C41,'Justice Spend Total'!$C:$BA,39,FALSE)),VLOOKUP($C41,'Justice Spend Total'!$C:$BA,39,FALSE),"")</f>
        <v>2.1377358957739601</v>
      </c>
      <c r="S41" s="16">
        <f t="shared" si="5"/>
        <v>2.1377358957739601</v>
      </c>
      <c r="T41" s="7">
        <f t="shared" si="8"/>
        <v>514.55303011279216</v>
      </c>
      <c r="U41" s="22">
        <f>VLOOKUP($C41,'Justice Spend Total'!$C:$BA,40,FALSE)</f>
        <v>2020</v>
      </c>
      <c r="V41" s="15" t="str">
        <f>VLOOKUP($C41,'Justice Spend Total'!$C:$BA,41,FALSE)</f>
        <v>IMF COFOG</v>
      </c>
    </row>
    <row r="42" spans="1:46" hidden="1">
      <c r="A42">
        <v>40</v>
      </c>
      <c r="B42" t="s">
        <v>512</v>
      </c>
      <c r="C42" t="s">
        <v>513</v>
      </c>
      <c r="D42" t="s">
        <v>485</v>
      </c>
      <c r="E42" t="s">
        <v>494</v>
      </c>
      <c r="F42" s="17" t="str">
        <f>VLOOKUP(B42,'Justice Spend Total'!$B$4:$AQ$221,10,FALSE)</f>
        <v xml:space="preserve"> </v>
      </c>
      <c r="G42" s="15" t="str">
        <f>VLOOKUP(C42,'Justice Spend Total'!$C$4:$AQ$221,10,FALSE)</f>
        <v xml:space="preserve"> </v>
      </c>
      <c r="H42" t="str">
        <f>VLOOKUP(C42,'Justice Spend Total'!$C$4:$AQ$221,7,FALSE)</f>
        <v/>
      </c>
      <c r="I42" s="35" t="str">
        <f t="shared" si="0"/>
        <v/>
      </c>
      <c r="J42" s="35" t="str">
        <f t="shared" si="1"/>
        <v/>
      </c>
      <c r="K42" s="35" t="str">
        <f t="shared" si="2"/>
        <v/>
      </c>
      <c r="L42" s="35" t="str">
        <f t="shared" si="3"/>
        <v/>
      </c>
      <c r="M42" s="16" t="str">
        <f>IF(ISNUMBER(VLOOKUP($C42,'Justice Spend Total'!$C:$BA,38,FALSE)),VLOOKUP($C42,'Justice Spend Total'!$C:$BA,38,FALSE),"")</f>
        <v/>
      </c>
      <c r="N42" s="16" t="str">
        <f>IF(ISNUMBER(VLOOKUP($C42,'Justice Spend Total'!$C:$BA,35,FALSE)),VLOOKUP($C42,'Justice Spend Total'!$C:$BA,35,FALSE),"")</f>
        <v/>
      </c>
      <c r="O42" s="16" t="str">
        <f>IF(ISNUMBER(VLOOKUP($C42,'Justice Spend Total'!$C:$BA,36,FALSE)),VLOOKUP($C42,'Justice Spend Total'!$C:$BA,36,FALSE),"")</f>
        <v/>
      </c>
      <c r="P42" s="16" t="str">
        <f>IF(ISNUMBER(VLOOKUP($C42,'Justice Spend Total'!$C:$BA,37,FALSE)),VLOOKUP($C42,'Justice Spend Total'!$C:$BA,37,FALSE),"")</f>
        <v/>
      </c>
      <c r="Q42" s="16" t="str">
        <f t="shared" si="7"/>
        <v/>
      </c>
      <c r="R42" s="15" t="str">
        <f>IF(ISNUMBER(VLOOKUP($C42,'Justice Spend Total'!$C:$BA,39,FALSE)),VLOOKUP($C42,'Justice Spend Total'!$C:$BA,39,FALSE),"")</f>
        <v/>
      </c>
      <c r="S42" s="16" t="str">
        <f t="shared" si="5"/>
        <v/>
      </c>
      <c r="T42" s="7" t="str">
        <f t="shared" si="8"/>
        <v/>
      </c>
      <c r="U42" s="22" t="str">
        <f>VLOOKUP($C42,'Justice Spend Total'!$C:$BA,40,FALSE)</f>
        <v xml:space="preserve"> </v>
      </c>
      <c r="V42" s="15" t="str">
        <f>VLOOKUP($C42,'Justice Spend Total'!$C:$BA,41,FALSE)</f>
        <v xml:space="preserve"> </v>
      </c>
    </row>
    <row r="43" spans="1:46">
      <c r="A43">
        <v>41</v>
      </c>
      <c r="B43" t="s">
        <v>49</v>
      </c>
      <c r="C43" t="s">
        <v>464</v>
      </c>
      <c r="D43" t="s">
        <v>485</v>
      </c>
      <c r="E43" t="s">
        <v>494</v>
      </c>
      <c r="F43" s="17">
        <f>VLOOKUP(B43,'Justice Spend Total'!$B$4:$AQ$221,10,FALSE)</f>
        <v>1240.52</v>
      </c>
      <c r="G43" s="15">
        <f>VLOOKUP(C43,'Justice Spend Total'!$C$4:$AQ$221,10,FALSE)</f>
        <v>53.251257748244306</v>
      </c>
      <c r="H43">
        <f>VLOOKUP(C43,'Justice Spend Total'!$C$4:$AQ$221,7,FALSE)</f>
        <v>68110</v>
      </c>
      <c r="I43" s="17">
        <f t="shared" si="0"/>
        <v>396.31117193325264</v>
      </c>
      <c r="J43" s="17">
        <f t="shared" si="1"/>
        <v>112.50500845438231</v>
      </c>
      <c r="K43" s="17">
        <f t="shared" si="2"/>
        <v>114.49314269941831</v>
      </c>
      <c r="L43" s="17">
        <f t="shared" si="3"/>
        <v>678.88937014313012</v>
      </c>
      <c r="M43" s="16">
        <f>IF(ISNUMBER(VLOOKUP($C43,'Justice Spend Total'!$C:$BA,38,FALSE)),VLOOKUP($C43,'Justice Spend Total'!$C:$BA,38,FALSE),"")</f>
        <v>1.8717948950808341</v>
      </c>
      <c r="N43" s="16">
        <f>IF(ISNUMBER(VLOOKUP($C43,'Justice Spend Total'!$C:$BA,35,FALSE)),VLOOKUP($C43,'Justice Spend Total'!$C:$BA,35,FALSE),"")</f>
        <v>1.0926864686830617</v>
      </c>
      <c r="O43" s="16">
        <f>IF(ISNUMBER(VLOOKUP($C43,'Justice Spend Total'!$C:$BA,36,FALSE)),VLOOKUP($C43,'Justice Spend Total'!$C:$BA,36,FALSE),"")</f>
        <v>0.31019236676447148</v>
      </c>
      <c r="P43" s="16">
        <f>IF(ISNUMBER(VLOOKUP($C43,'Justice Spend Total'!$C:$BA,37,FALSE)),VLOOKUP($C43,'Justice Spend Total'!$C:$BA,37,FALSE),"")</f>
        <v>0.31567393665532012</v>
      </c>
      <c r="Q43" s="16">
        <f t="shared" si="7"/>
        <v>0.15324212297798073</v>
      </c>
      <c r="R43" s="15">
        <f>IF(ISNUMBER(VLOOKUP($C43,'Justice Spend Total'!$C:$BA,39,FALSE)),VLOOKUP($C43,'Justice Spend Total'!$C:$BA,39,FALSE),"")</f>
        <v>0.99675432409797404</v>
      </c>
      <c r="S43" s="16">
        <f t="shared" si="5"/>
        <v>0.99675432409797404</v>
      </c>
      <c r="T43" s="7">
        <f t="shared" si="8"/>
        <v>678.88937014313012</v>
      </c>
      <c r="U43" s="22">
        <f>VLOOKUP($C43,'Justice Spend Total'!$C:$BA,40,FALSE)</f>
        <v>2020</v>
      </c>
      <c r="V43" s="15" t="str">
        <f>VLOOKUP($C43,'Justice Spend Total'!$C:$BA,41,FALSE)</f>
        <v>IMF COFOG</v>
      </c>
    </row>
    <row r="44" spans="1:46">
      <c r="A44">
        <v>42</v>
      </c>
      <c r="B44" t="s">
        <v>207</v>
      </c>
      <c r="C44" t="s">
        <v>422</v>
      </c>
      <c r="D44" t="s">
        <v>497</v>
      </c>
      <c r="E44" t="s">
        <v>486</v>
      </c>
      <c r="F44" s="17">
        <f>VLOOKUP(B44,'Justice Spend Total'!$B$4:$AQ$221,10,FALSE)</f>
        <v>632.25199999999995</v>
      </c>
      <c r="G44" s="15">
        <f>VLOOKUP(C44,'Justice Spend Total'!$C$4:$AQ$221,10,FALSE)</f>
        <v>14.186677915748563</v>
      </c>
      <c r="H44">
        <f>VLOOKUP(C44,'Justice Spend Total'!$C$4:$AQ$221,7,FALSE)</f>
        <v>8220</v>
      </c>
      <c r="I44" s="17">
        <f t="shared" si="0"/>
        <v>28.608061375288752</v>
      </c>
      <c r="J44" s="17">
        <f t="shared" si="1"/>
        <v>27.653890471006232</v>
      </c>
      <c r="K44" s="17">
        <f t="shared" si="2"/>
        <v>10.857181410842346</v>
      </c>
      <c r="L44" s="17">
        <f t="shared" si="3"/>
        <v>78.382771916190535</v>
      </c>
      <c r="M44" s="16">
        <f>IF(ISNUMBER(VLOOKUP($C44,'Justice Spend Total'!$C:$BA,38,FALSE)),VLOOKUP($C44,'Justice Spend Total'!$C:$BA,38,FALSE),"")</f>
        <v>6.7215292248574476</v>
      </c>
      <c r="N44" s="16">
        <f>IF(ISNUMBER(VLOOKUP($C44,'Justice Spend Total'!$C:$BA,35,FALSE)),VLOOKUP($C44,'Justice Spend Total'!$C:$BA,35,FALSE),"")</f>
        <v>2.4532166431434916</v>
      </c>
      <c r="O44" s="16">
        <f>IF(ISNUMBER(VLOOKUP($C44,'Justice Spend Total'!$C:$BA,36,FALSE)),VLOOKUP($C44,'Justice Spend Total'!$C:$BA,36,FALSE),"")</f>
        <v>2.3713939739286145</v>
      </c>
      <c r="P44" s="16">
        <f>IF(ISNUMBER(VLOOKUP($C44,'Justice Spend Total'!$C:$BA,37,FALSE)),VLOOKUP($C44,'Justice Spend Total'!$C:$BA,37,FALSE),"")</f>
        <v>0.93103191388262119</v>
      </c>
      <c r="Q44" s="16">
        <f t="shared" si="7"/>
        <v>0.96588669390272031</v>
      </c>
      <c r="R44" s="15">
        <f>IF(ISNUMBER(VLOOKUP($C44,'Justice Spend Total'!$C:$BA,39,FALSE)),VLOOKUP($C44,'Justice Spend Total'!$C:$BA,39,FALSE),"")</f>
        <v>0.95356170214343705</v>
      </c>
      <c r="S44" s="16">
        <f t="shared" si="5"/>
        <v>0.95356170214343705</v>
      </c>
      <c r="T44" s="7">
        <f t="shared" si="8"/>
        <v>78.382771916190535</v>
      </c>
      <c r="U44" s="22">
        <f>VLOOKUP($C44,'Justice Spend Total'!$C:$BA,40,FALSE)</f>
        <v>2020</v>
      </c>
      <c r="V44" s="15" t="str">
        <f>VLOOKUP($C44,'Justice Spend Total'!$C:$BA,41,FALSE)</f>
        <v>IMF COFOG</v>
      </c>
    </row>
    <row r="45" spans="1:46">
      <c r="A45">
        <v>43</v>
      </c>
      <c r="B45" t="s">
        <v>160</v>
      </c>
      <c r="C45" t="s">
        <v>374</v>
      </c>
      <c r="D45" t="s">
        <v>487</v>
      </c>
      <c r="E45" t="s">
        <v>488</v>
      </c>
      <c r="F45" s="17">
        <f>VLOOKUP(B45,'Justice Spend Total'!$B$4:$AQ$221,10,FALSE)</f>
        <v>1266.02</v>
      </c>
      <c r="G45" s="15">
        <f>VLOOKUP(C45,'Justice Spend Total'!$C$4:$AQ$221,10,FALSE)</f>
        <v>19.965620564579719</v>
      </c>
      <c r="H45">
        <f>VLOOKUP(C45,'Justice Spend Total'!$C$4:$AQ$221,7,FALSE)</f>
        <v>3510</v>
      </c>
      <c r="I45" s="17" t="str">
        <f t="shared" si="0"/>
        <v/>
      </c>
      <c r="J45" s="17" t="str">
        <f t="shared" si="1"/>
        <v/>
      </c>
      <c r="K45" s="17" t="str">
        <f t="shared" si="2"/>
        <v/>
      </c>
      <c r="L45" s="17">
        <f t="shared" si="3"/>
        <v>38.747831572307206</v>
      </c>
      <c r="M45" s="16">
        <f>IF(ISNUMBER(VLOOKUP($C45,'Justice Spend Total'!$C:$BA,38,FALSE)),VLOOKUP($C45,'Justice Spend Total'!$C:$BA,38,FALSE),"")</f>
        <v>5.5291385602123189</v>
      </c>
      <c r="N45" s="16" t="str">
        <f>IF(ISNUMBER(VLOOKUP($C45,'Justice Spend Total'!$C:$BA,35,FALSE)),VLOOKUP($C45,'Justice Spend Total'!$C:$BA,35,FALSE),"")</f>
        <v/>
      </c>
      <c r="O45" s="16" t="str">
        <f>IF(ISNUMBER(VLOOKUP($C45,'Justice Spend Total'!$C:$BA,36,FALSE)),VLOOKUP($C45,'Justice Spend Total'!$C:$BA,36,FALSE),"")</f>
        <v/>
      </c>
      <c r="P45" s="16" t="str">
        <f>IF(ISNUMBER(VLOOKUP($C45,'Justice Spend Total'!$C:$BA,37,FALSE)),VLOOKUP($C45,'Justice Spend Total'!$C:$BA,37,FALSE),"")</f>
        <v/>
      </c>
      <c r="Q45" s="16"/>
      <c r="R45" s="15">
        <f>IF(ISNUMBER(VLOOKUP($C45,'Justice Spend Total'!$C:$BA,39,FALSE)),VLOOKUP($C45,'Justice Spend Total'!$C:$BA,39,FALSE),"")</f>
        <v>1.1039268254218577</v>
      </c>
      <c r="S45" s="16">
        <f t="shared" si="5"/>
        <v>1.1039268254218577</v>
      </c>
      <c r="T45" s="7">
        <f t="shared" si="8"/>
        <v>38.747831572307206</v>
      </c>
      <c r="U45" s="22" t="str">
        <f>VLOOKUP($C45,'Justice Spend Total'!$C:$BA,40,FALSE)</f>
        <v>2019/20</v>
      </c>
      <c r="V45" s="15" t="s">
        <v>489</v>
      </c>
      <c r="W45" t="s">
        <v>514</v>
      </c>
    </row>
    <row r="46" spans="1:46">
      <c r="A46">
        <v>44</v>
      </c>
      <c r="B46" t="s">
        <v>172</v>
      </c>
      <c r="C46" t="s">
        <v>386</v>
      </c>
      <c r="D46" t="s">
        <v>497</v>
      </c>
      <c r="E46" t="s">
        <v>488</v>
      </c>
      <c r="F46" s="17">
        <f>VLOOKUP(B46,'Justice Spend Total'!$B$4:$AQ$221,10,FALSE)</f>
        <v>6.0430000000000001</v>
      </c>
      <c r="G46" s="15">
        <f>VLOOKUP(C46,'Justice Spend Total'!$C$4:$AQ$221,10,FALSE)</f>
        <v>24.526157717439833</v>
      </c>
      <c r="H46">
        <f>VLOOKUP(C46,'Justice Spend Total'!$C$4:$AQ$221,7,FALSE)</f>
        <v>4140</v>
      </c>
      <c r="I46" s="17">
        <f t="shared" si="0"/>
        <v>65.648621356953811</v>
      </c>
      <c r="J46" s="17">
        <f t="shared" si="1"/>
        <v>57.095985505740408</v>
      </c>
      <c r="K46" s="17">
        <f t="shared" si="2"/>
        <v>13.30783417320381</v>
      </c>
      <c r="L46" s="17">
        <f t="shared" si="3"/>
        <v>137.61510338199383</v>
      </c>
      <c r="M46" s="16">
        <f>IF(ISNUMBER(VLOOKUP($C46,'Justice Spend Total'!$C:$BA,38,FALSE)),VLOOKUP($C46,'Justice Spend Total'!$C:$BA,38,FALSE),"")</f>
        <v>13.553025108417636</v>
      </c>
      <c r="N46" s="16">
        <f>IF(ISNUMBER(VLOOKUP($C46,'Justice Spend Total'!$C:$BA,35,FALSE)),VLOOKUP($C46,'Justice Spend Total'!$C:$BA,35,FALSE),"")</f>
        <v>6.4654052623428422</v>
      </c>
      <c r="O46" s="16">
        <f>IF(ISNUMBER(VLOOKUP($C46,'Justice Spend Total'!$C:$BA,36,FALSE)),VLOOKUP($C46,'Justice Spend Total'!$C:$BA,36,FALSE),"")</f>
        <v>5.6230988178758263</v>
      </c>
      <c r="P46" s="16">
        <f>IF(ISNUMBER(VLOOKUP($C46,'Justice Spend Total'!$C:$BA,37,FALSE)),VLOOKUP($C46,'Justice Spend Total'!$C:$BA,37,FALSE),"")</f>
        <v>1.3106222082865417</v>
      </c>
      <c r="Q46" s="16">
        <f>IF(ISNUMBER(M46),M46-N46-O46-P46,"")</f>
        <v>0.15389881991242538</v>
      </c>
      <c r="R46" s="15">
        <f>IF(ISNUMBER(VLOOKUP($C46,'Justice Spend Total'!$C:$BA,39,FALSE)),VLOOKUP($C46,'Justice Spend Total'!$C:$BA,39,FALSE),"")</f>
        <v>3.3240363135747302</v>
      </c>
      <c r="S46" s="16">
        <f t="shared" si="5"/>
        <v>3.3240363135747302</v>
      </c>
      <c r="T46" s="7">
        <f t="shared" si="8"/>
        <v>137.61510338199383</v>
      </c>
      <c r="U46" s="22">
        <f>VLOOKUP($C46,'Justice Spend Total'!$C:$BA,40,FALSE)</f>
        <v>2020</v>
      </c>
      <c r="V46" s="15" t="str">
        <f>VLOOKUP($C46,'Justice Spend Total'!$C:$BA,41,FALSE)</f>
        <v>IMF COFOG</v>
      </c>
      <c r="W46" t="s">
        <v>484</v>
      </c>
    </row>
    <row r="47" spans="1:46">
      <c r="A47">
        <v>45</v>
      </c>
      <c r="B47" t="s">
        <v>248</v>
      </c>
      <c r="C47" t="s">
        <v>515</v>
      </c>
      <c r="D47" t="s">
        <v>485</v>
      </c>
      <c r="E47" t="s">
        <v>494</v>
      </c>
      <c r="F47" s="17">
        <f>VLOOKUP(B47,'Justice Spend Total'!$B$4:$AQ$221,10,FALSE)</f>
        <v>12.387</v>
      </c>
      <c r="G47" s="15">
        <f>VLOOKUP(C47,'Justice Spend Total'!$C$4:$AQ$221,10,FALSE)</f>
        <v>40.401174168297452</v>
      </c>
      <c r="H47">
        <f>VLOOKUP(C47,'Justice Spend Total'!$C$4:$AQ$221,7,FALSE)</f>
        <v>25970</v>
      </c>
      <c r="I47" s="17">
        <f t="shared" si="0"/>
        <v>280.36681856056993</v>
      </c>
      <c r="J47" s="17">
        <f t="shared" si="1"/>
        <v>83.810032748862227</v>
      </c>
      <c r="K47" s="17">
        <f t="shared" si="2"/>
        <v>43.84058295061741</v>
      </c>
      <c r="L47" s="17">
        <f t="shared" si="3"/>
        <v>523.37720220074618</v>
      </c>
      <c r="M47" s="16">
        <f>IF(ISNUMBER(VLOOKUP($C47,'Justice Spend Total'!$C:$BA,38,FALSE)),VLOOKUP($C47,'Justice Spend Total'!$C:$BA,38,FALSE),"")</f>
        <v>4.9882575042029957</v>
      </c>
      <c r="N47" s="16">
        <f>IF(ISNUMBER(VLOOKUP($C47,'Justice Spend Total'!$C:$BA,35,FALSE)),VLOOKUP($C47,'Justice Spend Total'!$C:$BA,35,FALSE),"")</f>
        <v>2.67214903655253</v>
      </c>
      <c r="O47" s="16">
        <f>IF(ISNUMBER(VLOOKUP($C47,'Justice Spend Total'!$C:$BA,36,FALSE)),VLOOKUP($C47,'Justice Spend Total'!$C:$BA,36,FALSE),"")</f>
        <v>0.79878531779582118</v>
      </c>
      <c r="P47" s="16">
        <f>IF(ISNUMBER(VLOOKUP($C47,'Justice Spend Total'!$C:$BA,37,FALSE)),VLOOKUP($C47,'Justice Spend Total'!$C:$BA,37,FALSE),"")</f>
        <v>0.41784035676848474</v>
      </c>
      <c r="Q47" s="16">
        <f>IF(ISNUMBER(M47),M47-N47-O47-P47,"")</f>
        <v>1.0994827930861597</v>
      </c>
      <c r="R47" s="15">
        <f>IF(ISNUMBER(VLOOKUP($C47,'Justice Spend Total'!$C:$BA,39,FALSE)),VLOOKUP($C47,'Justice Spend Total'!$C:$BA,39,FALSE),"")</f>
        <v>2.0153146022362201</v>
      </c>
      <c r="S47" s="16">
        <f t="shared" si="5"/>
        <v>2.0153146022362201</v>
      </c>
      <c r="T47" s="7">
        <f t="shared" si="8"/>
        <v>523.37720220074618</v>
      </c>
      <c r="U47" s="22">
        <f>VLOOKUP($C47,'Justice Spend Total'!$C:$BA,40,FALSE)</f>
        <v>2020</v>
      </c>
      <c r="V47" s="15" t="str">
        <f>VLOOKUP($C47,'Justice Spend Total'!$C:$BA,41,FALSE)</f>
        <v>IMF COFOG</v>
      </c>
    </row>
    <row r="48" spans="1:46" s="97" customFormat="1">
      <c r="A48" s="97">
        <v>46</v>
      </c>
      <c r="B48" t="s">
        <v>165</v>
      </c>
      <c r="C48" t="s">
        <v>379</v>
      </c>
      <c r="D48" t="s">
        <v>496</v>
      </c>
      <c r="E48" t="s">
        <v>488</v>
      </c>
      <c r="F48" s="17">
        <f>VLOOKUP(B48,'Justice Spend Total'!$B$4:$AQ$221,10,FALSE)</f>
        <v>19.036999999999999</v>
      </c>
      <c r="G48" s="15">
        <f>VLOOKUP(C48,'Justice Spend Total'!$C$4:$AQ$221,10,FALSE)</f>
        <v>29.094326934833109</v>
      </c>
      <c r="H48">
        <f>VLOOKUP(C48,'Justice Spend Total'!$C$4:$AQ$221,7,FALSE)</f>
        <v>3680</v>
      </c>
      <c r="I48" s="17" t="str">
        <f t="shared" si="0"/>
        <v/>
      </c>
      <c r="J48" s="17" t="str">
        <f t="shared" si="1"/>
        <v/>
      </c>
      <c r="K48" s="17" t="str">
        <f t="shared" si="2"/>
        <v/>
      </c>
      <c r="L48" s="17">
        <f t="shared" si="3"/>
        <v>105.0445066634063</v>
      </c>
      <c r="M48" s="16">
        <f>IF(ISNUMBER(VLOOKUP($C48,'Justice Spend Total'!$C:$BA,38,FALSE)),VLOOKUP($C48,'Justice Spend Total'!$C:$BA,38,FALSE),"")</f>
        <v>9.8110889320796346</v>
      </c>
      <c r="N48" s="16" t="str">
        <f>IF(ISNUMBER(VLOOKUP($C48,'Justice Spend Total'!$C:$BA,35,FALSE)),VLOOKUP($C48,'Justice Spend Total'!$C:$BA,35,FALSE),"")</f>
        <v/>
      </c>
      <c r="O48" s="16" t="str">
        <f>IF(ISNUMBER(VLOOKUP($C48,'Justice Spend Total'!$C:$BA,36,FALSE)),VLOOKUP($C48,'Justice Spend Total'!$C:$BA,36,FALSE),"")</f>
        <v/>
      </c>
      <c r="P48" s="16" t="str">
        <f>IF(ISNUMBER(VLOOKUP($C48,'Justice Spend Total'!$C:$BA,37,FALSE)),VLOOKUP($C48,'Justice Spend Total'!$C:$BA,37,FALSE),"")</f>
        <v/>
      </c>
      <c r="Q48" s="16"/>
      <c r="R48" s="15">
        <f>IF(ISNUMBER(VLOOKUP($C48,'Justice Spend Total'!$C:$BA,39,FALSE)),VLOOKUP($C48,'Justice Spend Total'!$C:$BA,39,FALSE),"")</f>
        <v>2.8544702897664753</v>
      </c>
      <c r="S48" s="16">
        <f t="shared" si="5"/>
        <v>2.8544702897664753</v>
      </c>
      <c r="T48" s="7">
        <f t="shared" si="8"/>
        <v>105.0445066634063</v>
      </c>
      <c r="U48" s="22" t="str">
        <f>VLOOKUP($C48,'Justice Spend Total'!$C:$BA,40,FALSE)</f>
        <v>2021/22</v>
      </c>
      <c r="V48" s="15" t="s">
        <v>489</v>
      </c>
      <c r="W48"/>
      <c r="X48"/>
      <c r="Y48"/>
      <c r="Z48"/>
      <c r="AA48"/>
      <c r="AB48"/>
      <c r="AC48"/>
      <c r="AD48"/>
      <c r="AE48"/>
      <c r="AF48"/>
      <c r="AG48"/>
      <c r="AH48"/>
      <c r="AI48"/>
      <c r="AJ48"/>
      <c r="AK48"/>
      <c r="AL48"/>
      <c r="AM48"/>
      <c r="AN48"/>
      <c r="AO48"/>
      <c r="AP48"/>
      <c r="AQ48"/>
      <c r="AR48"/>
      <c r="AS48"/>
      <c r="AT48"/>
    </row>
    <row r="49" spans="1:53">
      <c r="A49">
        <v>47</v>
      </c>
      <c r="B49" t="s">
        <v>115</v>
      </c>
      <c r="C49" t="s">
        <v>328</v>
      </c>
      <c r="D49" t="s">
        <v>496</v>
      </c>
      <c r="E49" t="s">
        <v>299</v>
      </c>
      <c r="F49" s="17">
        <f>VLOOKUP(B49,'Justice Spend Total'!$B$4:$AQ$221,10,FALSE)</f>
        <v>478.88799999999998</v>
      </c>
      <c r="G49" s="15">
        <f>VLOOKUP(C49,'Justice Spend Total'!$C$4:$AQ$221,10,FALSE)</f>
        <v>11.030752823404484</v>
      </c>
      <c r="H49">
        <f>VLOOKUP(C49,'Justice Spend Total'!$C$4:$AQ$221,7,FALSE)</f>
        <v>960</v>
      </c>
      <c r="I49" s="17">
        <f t="shared" si="0"/>
        <v>1.0737500306535266</v>
      </c>
      <c r="J49" s="17">
        <f t="shared" si="1"/>
        <v>0.22767109120055906</v>
      </c>
      <c r="K49" s="17">
        <f t="shared" si="2"/>
        <v>0.33333163993339776</v>
      </c>
      <c r="L49" s="17">
        <f t="shared" si="3"/>
        <v>2.3109297408151779</v>
      </c>
      <c r="M49" s="16">
        <f>IF(ISNUMBER(VLOOKUP($C49,'Justice Spend Total'!$C:$BA,38,FALSE)),VLOOKUP($C49,'Justice Spend Total'!$C:$BA,38,FALSE),"")</f>
        <v>2.1822794133400376</v>
      </c>
      <c r="N49" s="16">
        <f>IF(ISNUMBER(VLOOKUP($C49,'Justice Spend Total'!$C:$BA,35,FALSE)),VLOOKUP($C49,'Justice Spend Total'!$C:$BA,35,FALSE),"")</f>
        <v>1.01397396276611</v>
      </c>
      <c r="O49" s="16">
        <f>IF(ISNUMBER(VLOOKUP($C49,'Justice Spend Total'!$C:$BA,36,FALSE)),VLOOKUP($C49,'Justice Spend Total'!$C:$BA,36,FALSE),"")</f>
        <v>0.2149965559594996</v>
      </c>
      <c r="P49" s="16">
        <f>IF(ISNUMBER(VLOOKUP($C49,'Justice Spend Total'!$C:$BA,37,FALSE)),VLOOKUP($C49,'Justice Spend Total'!$C:$BA,37,FALSE),"")</f>
        <v>0.31477494222084412</v>
      </c>
      <c r="Q49" s="16">
        <f t="shared" ref="Q49:Q58" si="9">IF(ISNUMBER(M49),M49-N49-O49-P49,"")</f>
        <v>0.6385339523935839</v>
      </c>
      <c r="R49" s="15">
        <f>IF(ISNUMBER(VLOOKUP($C49,'Justice Spend Total'!$C:$BA,39,FALSE)),VLOOKUP($C49,'Justice Spend Total'!$C:$BA,39,FALSE),"")</f>
        <v>0.240721848001581</v>
      </c>
      <c r="S49" s="16">
        <f t="shared" si="5"/>
        <v>0.240721848001581</v>
      </c>
      <c r="T49" s="7">
        <f t="shared" si="8"/>
        <v>2.3109297408151779</v>
      </c>
      <c r="U49" s="22">
        <f>VLOOKUP($C49,'Justice Spend Total'!$C:$BA,40,FALSE)</f>
        <v>2020</v>
      </c>
      <c r="V49" s="15" t="str">
        <f>VLOOKUP($C49,'Justice Spend Total'!$C:$BA,41,FALSE)</f>
        <v>IMF COFOG</v>
      </c>
      <c r="W49" t="s">
        <v>484</v>
      </c>
    </row>
    <row r="50" spans="1:53">
      <c r="A50">
        <v>48</v>
      </c>
      <c r="B50" t="s">
        <v>50</v>
      </c>
      <c r="C50" t="s">
        <v>459</v>
      </c>
      <c r="D50" t="s">
        <v>485</v>
      </c>
      <c r="E50" t="s">
        <v>494</v>
      </c>
      <c r="F50" s="17">
        <f>VLOOKUP(B50,'Justice Spend Total'!$B$4:$AQ$221,10,FALSE)</f>
        <v>122.492</v>
      </c>
      <c r="G50" s="15">
        <f>VLOOKUP(C50,'Justice Spend Total'!$C$4:$AQ$221,10,FALSE)</f>
        <v>51.468308157734413</v>
      </c>
      <c r="H50">
        <f>VLOOKUP(C50,'Justice Spend Total'!$C$4:$AQ$221,7,FALSE)</f>
        <v>53660</v>
      </c>
      <c r="I50" s="17">
        <f t="shared" si="0"/>
        <v>286.71617525022418</v>
      </c>
      <c r="J50" s="17">
        <f t="shared" si="1"/>
        <v>128.59061425643958</v>
      </c>
      <c r="K50" s="17">
        <f t="shared" si="2"/>
        <v>51.345368943384095</v>
      </c>
      <c r="L50" s="17">
        <f t="shared" si="3"/>
        <v>626.59525462766976</v>
      </c>
      <c r="M50" s="16">
        <f>IF(ISNUMBER(VLOOKUP($C50,'Justice Spend Total'!$C:$BA,38,FALSE)),VLOOKUP($C50,'Justice Spend Total'!$C:$BA,38,FALSE),"")</f>
        <v>2.2688017089777439</v>
      </c>
      <c r="N50" s="16">
        <f>IF(ISNUMBER(VLOOKUP($C50,'Justice Spend Total'!$C:$BA,35,FALSE)),VLOOKUP($C50,'Justice Spend Total'!$C:$BA,35,FALSE),"")</f>
        <v>1.0381536463850289</v>
      </c>
      <c r="O50" s="16">
        <f>IF(ISNUMBER(VLOOKUP($C50,'Justice Spend Total'!$C:$BA,36,FALSE)),VLOOKUP($C50,'Justice Spend Total'!$C:$BA,36,FALSE),"")</f>
        <v>0.46560615202371308</v>
      </c>
      <c r="P50" s="16">
        <f>IF(ISNUMBER(VLOOKUP($C50,'Justice Spend Total'!$C:$BA,37,FALSE)),VLOOKUP($C50,'Justice Spend Total'!$C:$BA,37,FALSE),"")</f>
        <v>0.18591341052536986</v>
      </c>
      <c r="Q50" s="16">
        <f t="shared" si="9"/>
        <v>0.57912850004363192</v>
      </c>
      <c r="R50" s="15">
        <f>IF(ISNUMBER(VLOOKUP($C50,'Justice Spend Total'!$C:$BA,39,FALSE)),VLOOKUP($C50,'Justice Spend Total'!$C:$BA,39,FALSE),"")</f>
        <v>1.16771385506461</v>
      </c>
      <c r="S50" s="16">
        <f t="shared" si="5"/>
        <v>1.16771385506461</v>
      </c>
      <c r="T50" s="7">
        <f t="shared" si="8"/>
        <v>626.59525462766976</v>
      </c>
      <c r="U50" s="22">
        <f>VLOOKUP($C50,'Justice Spend Total'!$C:$BA,40,FALSE)</f>
        <v>2020</v>
      </c>
      <c r="V50" s="15" t="str">
        <f>VLOOKUP($C50,'Justice Spend Total'!$C:$BA,41,FALSE)</f>
        <v>IMF COFOG</v>
      </c>
    </row>
    <row r="51" spans="1:53">
      <c r="A51">
        <v>49</v>
      </c>
      <c r="B51" t="s">
        <v>55</v>
      </c>
      <c r="C51" t="s">
        <v>452</v>
      </c>
      <c r="D51" t="s">
        <v>485</v>
      </c>
      <c r="E51" t="s">
        <v>494</v>
      </c>
      <c r="F51" s="17">
        <f>VLOOKUP(B51,'Justice Spend Total'!$B$4:$AQ$221,10,FALSE)</f>
        <v>1310.6199999999999</v>
      </c>
      <c r="G51" s="15">
        <f>VLOOKUP(C51,'Justice Spend Total'!$C$4:$AQ$221,10,FALSE)</f>
        <v>52.81372023581654</v>
      </c>
      <c r="H51">
        <f>VLOOKUP(C51,'Justice Spend Total'!$C$4:$AQ$221,7,FALSE)</f>
        <v>43880</v>
      </c>
      <c r="I51" s="17">
        <f t="shared" si="0"/>
        <v>438.65518529133351</v>
      </c>
      <c r="J51" s="17">
        <f t="shared" si="1"/>
        <v>108.24899472829459</v>
      </c>
      <c r="K51" s="17">
        <f t="shared" si="2"/>
        <v>75.722848979095474</v>
      </c>
      <c r="L51" s="17">
        <f t="shared" si="3"/>
        <v>778.36000451612529</v>
      </c>
      <c r="M51" s="16">
        <f>IF(ISNUMBER(VLOOKUP($C51,'Justice Spend Total'!$C:$BA,38,FALSE)),VLOOKUP($C51,'Justice Spend Total'!$C:$BA,38,FALSE),"")</f>
        <v>3.3586684324843326</v>
      </c>
      <c r="N51" s="16">
        <f>IF(ISNUMBER(VLOOKUP($C51,'Justice Spend Total'!$C:$BA,35,FALSE)),VLOOKUP($C51,'Justice Spend Total'!$C:$BA,35,FALSE),"")</f>
        <v>1.8928224922084176</v>
      </c>
      <c r="O51" s="16">
        <f>IF(ISNUMBER(VLOOKUP($C51,'Justice Spend Total'!$C:$BA,36,FALSE)),VLOOKUP($C51,'Justice Spend Total'!$C:$BA,36,FALSE),"")</f>
        <v>0.46710067235289687</v>
      </c>
      <c r="P51" s="16">
        <f>IF(ISNUMBER(VLOOKUP($C51,'Justice Spend Total'!$C:$BA,37,FALSE)),VLOOKUP($C51,'Justice Spend Total'!$C:$BA,37,FALSE),"")</f>
        <v>0.32674847243978283</v>
      </c>
      <c r="Q51" s="16">
        <f t="shared" si="9"/>
        <v>0.67199679548323532</v>
      </c>
      <c r="R51" s="15">
        <f>IF(ISNUMBER(VLOOKUP($C51,'Justice Spend Total'!$C:$BA,39,FALSE)),VLOOKUP($C51,'Justice Spend Total'!$C:$BA,39,FALSE),"")</f>
        <v>1.7738377495809601</v>
      </c>
      <c r="S51" s="16">
        <f t="shared" si="5"/>
        <v>1.7738377495809601</v>
      </c>
      <c r="T51" s="7">
        <f t="shared" si="8"/>
        <v>778.36000451612529</v>
      </c>
      <c r="U51" s="22">
        <f>VLOOKUP($C51,'Justice Spend Total'!$C:$BA,40,FALSE)</f>
        <v>2020</v>
      </c>
      <c r="V51" s="15" t="str">
        <f>VLOOKUP($C51,'Justice Spend Total'!$C:$BA,41,FALSE)</f>
        <v>IMF COFOG</v>
      </c>
    </row>
    <row r="52" spans="1:53">
      <c r="A52">
        <v>50</v>
      </c>
      <c r="B52" t="s">
        <v>109</v>
      </c>
      <c r="C52" t="s">
        <v>322</v>
      </c>
      <c r="D52" t="s">
        <v>496</v>
      </c>
      <c r="E52" t="s">
        <v>299</v>
      </c>
      <c r="F52" s="17">
        <f>VLOOKUP(B52,'Justice Spend Total'!$B$4:$AQ$221,10,FALSE)</f>
        <v>21.446000000000002</v>
      </c>
      <c r="G52" s="15">
        <f>VLOOKUP(C52,'Justice Spend Total'!$C$4:$AQ$221,10,FALSE)</f>
        <v>22.749790493163182</v>
      </c>
      <c r="H52">
        <f>VLOOKUP(C52,'Justice Spend Total'!$C$4:$AQ$221,7,FALSE)</f>
        <v>800</v>
      </c>
      <c r="I52" s="17">
        <f t="shared" si="0"/>
        <v>1.0799987270470675</v>
      </c>
      <c r="J52" s="17">
        <f t="shared" si="1"/>
        <v>2.1494828628711451</v>
      </c>
      <c r="K52" s="17">
        <f t="shared" si="2"/>
        <v>0.73151513222798581</v>
      </c>
      <c r="L52" s="17">
        <f t="shared" si="3"/>
        <v>10.123200627990112</v>
      </c>
      <c r="M52" s="16">
        <f>IF(ISNUMBER(VLOOKUP($C52,'Justice Spend Total'!$C:$BA,38,FALSE)),VLOOKUP($C52,'Justice Spend Total'!$C:$BA,38,FALSE),"")</f>
        <v>5.5622493705119833</v>
      </c>
      <c r="N52" s="16">
        <f>IF(ISNUMBER(VLOOKUP($C52,'Justice Spend Total'!$C:$BA,35,FALSE)),VLOOKUP($C52,'Justice Spend Total'!$C:$BA,35,FALSE),"")</f>
        <v>0.59341135876154061</v>
      </c>
      <c r="O52" s="16">
        <f>IF(ISNUMBER(VLOOKUP($C52,'Justice Spend Total'!$C:$BA,36,FALSE)),VLOOKUP($C52,'Justice Spend Total'!$C:$BA,36,FALSE),"")</f>
        <v>1.1810454163946655</v>
      </c>
      <c r="P52" s="16">
        <f>IF(ISNUMBER(VLOOKUP($C52,'Justice Spend Total'!$C:$BA,37,FALSE)),VLOOKUP($C52,'Justice Spend Total'!$C:$BA,37,FALSE),"")</f>
        <v>0.40193509279119649</v>
      </c>
      <c r="Q52" s="16">
        <f t="shared" si="9"/>
        <v>3.3858575025645803</v>
      </c>
      <c r="R52" s="15">
        <f>IF(ISNUMBER(VLOOKUP($C52,'Justice Spend Total'!$C:$BA,39,FALSE)),VLOOKUP($C52,'Justice Spend Total'!$C:$BA,39,FALSE),"")</f>
        <v>1.2654000784987642</v>
      </c>
      <c r="S52" s="16">
        <f t="shared" si="5"/>
        <v>1.2654000784987642</v>
      </c>
      <c r="T52" s="7">
        <f t="shared" si="8"/>
        <v>10.123200627990112</v>
      </c>
      <c r="U52" s="22">
        <f>VLOOKUP($C52,'Justice Spend Total'!$C:$BA,40,FALSE)</f>
        <v>2020</v>
      </c>
      <c r="V52" s="15" t="s">
        <v>489</v>
      </c>
      <c r="W52" t="s">
        <v>516</v>
      </c>
    </row>
    <row r="53" spans="1:53" s="109" customFormat="1" hidden="1">
      <c r="A53" s="109">
        <v>51</v>
      </c>
      <c r="B53" t="s">
        <v>236</v>
      </c>
      <c r="C53" t="s">
        <v>517</v>
      </c>
      <c r="D53" t="s">
        <v>497</v>
      </c>
      <c r="E53" t="s">
        <v>494</v>
      </c>
      <c r="F53" s="17" t="str">
        <f>VLOOKUP(B53,'Justice Spend Total'!$B$4:$AQ$221,10,FALSE)</f>
        <v xml:space="preserve"> </v>
      </c>
      <c r="G53" s="15" t="str">
        <f>VLOOKUP(C53,'Justice Spend Total'!$C$4:$AQ$221,10,FALSE)</f>
        <v xml:space="preserve"> </v>
      </c>
      <c r="H53">
        <f>VLOOKUP(C53,'Justice Spend Total'!$C$4:$AQ$221,7,FALSE)</f>
        <v>16560</v>
      </c>
      <c r="I53" s="17" t="str">
        <f t="shared" si="0"/>
        <v/>
      </c>
      <c r="J53" s="17" t="str">
        <f t="shared" si="1"/>
        <v/>
      </c>
      <c r="K53" s="17" t="str">
        <f t="shared" si="2"/>
        <v/>
      </c>
      <c r="L53" s="17" t="str">
        <f t="shared" si="3"/>
        <v/>
      </c>
      <c r="M53" s="16" t="str">
        <f>IF(ISNUMBER(VLOOKUP($C53,'Justice Spend Total'!$C:$BA,38,FALSE)),VLOOKUP($C53,'Justice Spend Total'!$C:$BA,38,FALSE),"")</f>
        <v/>
      </c>
      <c r="N53" s="16" t="str">
        <f>IF(ISNUMBER(VLOOKUP($C53,'Justice Spend Total'!$C:$BA,35,FALSE)),VLOOKUP($C53,'Justice Spend Total'!$C:$BA,35,FALSE),"")</f>
        <v/>
      </c>
      <c r="O53" s="16" t="str">
        <f>IF(ISNUMBER(VLOOKUP($C53,'Justice Spend Total'!$C:$BA,36,FALSE)),VLOOKUP($C53,'Justice Spend Total'!$C:$BA,36,FALSE),"")</f>
        <v/>
      </c>
      <c r="P53" s="16" t="str">
        <f>IF(ISNUMBER(VLOOKUP($C53,'Justice Spend Total'!$C:$BA,37,FALSE)),VLOOKUP($C53,'Justice Spend Total'!$C:$BA,37,FALSE),"")</f>
        <v/>
      </c>
      <c r="Q53" s="16" t="str">
        <f t="shared" si="9"/>
        <v/>
      </c>
      <c r="R53" s="15" t="str">
        <f>IF(ISNUMBER(VLOOKUP($C53,'Justice Spend Total'!$C:$BA,39,FALSE)),VLOOKUP($C53,'Justice Spend Total'!$C:$BA,39,FALSE),"")</f>
        <v/>
      </c>
      <c r="S53" s="16" t="str">
        <f t="shared" si="5"/>
        <v/>
      </c>
      <c r="T53" s="7" t="str">
        <f t="shared" si="8"/>
        <v/>
      </c>
      <c r="U53" s="22" t="str">
        <f>VLOOKUP($C53,'Justice Spend Total'!$C:$BA,40,FALSE)</f>
        <v xml:space="preserve"> </v>
      </c>
      <c r="V53" s="15" t="str">
        <f>VLOOKUP($C53,'Justice Spend Total'!$C:$BA,41,FALSE)</f>
        <v xml:space="preserve"> </v>
      </c>
      <c r="W53"/>
      <c r="X53"/>
      <c r="Y53"/>
      <c r="Z53"/>
      <c r="AA53"/>
      <c r="AB53"/>
      <c r="AC53"/>
      <c r="AD53"/>
      <c r="AE53"/>
      <c r="AF53"/>
      <c r="AG53"/>
      <c r="AH53"/>
      <c r="AI53"/>
      <c r="AJ53"/>
      <c r="AK53"/>
      <c r="AL53"/>
      <c r="AM53"/>
      <c r="AN53"/>
      <c r="AO53"/>
      <c r="AP53"/>
      <c r="AQ53"/>
      <c r="AR53"/>
      <c r="AS53"/>
      <c r="AT53"/>
      <c r="AU53"/>
      <c r="AV53"/>
      <c r="AW53"/>
      <c r="AX53"/>
      <c r="AY53"/>
      <c r="AZ53"/>
      <c r="BA53"/>
    </row>
    <row r="54" spans="1:53">
      <c r="A54">
        <v>52</v>
      </c>
      <c r="B54" t="s">
        <v>179</v>
      </c>
      <c r="C54" t="s">
        <v>394</v>
      </c>
      <c r="D54" t="s">
        <v>485</v>
      </c>
      <c r="E54" t="s">
        <v>486</v>
      </c>
      <c r="F54" s="17">
        <f>VLOOKUP(B54,'Justice Spend Total'!$B$4:$AQ$221,10,FALSE)</f>
        <v>15.313000000000001</v>
      </c>
      <c r="G54" s="15">
        <f>VLOOKUP(C54,'Justice Spend Total'!$C$4:$AQ$221,10,FALSE)</f>
        <v>25.423362996413868</v>
      </c>
      <c r="H54">
        <f>VLOOKUP(C54,'Justice Spend Total'!$C$4:$AQ$221,7,FALSE)</f>
        <v>4740</v>
      </c>
      <c r="I54" s="17">
        <f t="shared" si="0"/>
        <v>76.802733384558096</v>
      </c>
      <c r="J54" s="17">
        <f t="shared" si="1"/>
        <v>13.546583556852422</v>
      </c>
      <c r="K54" s="17">
        <f t="shared" si="2"/>
        <v>13.53689358292047</v>
      </c>
      <c r="L54" s="17">
        <f t="shared" si="3"/>
        <v>143.09184505296145</v>
      </c>
      <c r="M54" s="16">
        <f>IF(ISNUMBER(VLOOKUP($C54,'Justice Spend Total'!$C:$BA,38,FALSE)),VLOOKUP($C54,'Justice Spend Total'!$C:$BA,38,FALSE),"")</f>
        <v>11.874177688065121</v>
      </c>
      <c r="N54" s="16">
        <f>IF(ISNUMBER(VLOOKUP($C54,'Justice Spend Total'!$C:$BA,35,FALSE)),VLOOKUP($C54,'Justice Spend Total'!$C:$BA,35,FALSE),"")</f>
        <v>6.3733143059256383</v>
      </c>
      <c r="O54" s="16">
        <f>IF(ISNUMBER(VLOOKUP($C54,'Justice Spend Total'!$C:$BA,36,FALSE)),VLOOKUP($C54,'Justice Spend Total'!$C:$BA,36,FALSE),"")</f>
        <v>1.1241349229982398</v>
      </c>
      <c r="P54" s="16">
        <f>IF(ISNUMBER(VLOOKUP($C54,'Justice Spend Total'!$C:$BA,37,FALSE)),VLOOKUP($C54,'Justice Spend Total'!$C:$BA,37,FALSE),"")</f>
        <v>1.1233308207643347</v>
      </c>
      <c r="Q54" s="16">
        <f t="shared" si="9"/>
        <v>3.2533976383769074</v>
      </c>
      <c r="R54" s="15">
        <f>IF(ISNUMBER(VLOOKUP($C54,'Justice Spend Total'!$C:$BA,39,FALSE)),VLOOKUP($C54,'Justice Spend Total'!$C:$BA,39,FALSE),"")</f>
        <v>3.0188152964759798</v>
      </c>
      <c r="S54" s="16">
        <f t="shared" si="5"/>
        <v>3.0188152964759798</v>
      </c>
      <c r="T54" s="7">
        <f t="shared" si="8"/>
        <v>143.09184505296145</v>
      </c>
      <c r="U54" s="22">
        <f>VLOOKUP($C54,'Justice Spend Total'!$C:$BA,40,FALSE)</f>
        <v>2020</v>
      </c>
      <c r="V54" s="15" t="str">
        <f>VLOOKUP($C54,'Justice Spend Total'!$C:$BA,41,FALSE)</f>
        <v>IMF COFOG</v>
      </c>
    </row>
    <row r="55" spans="1:53">
      <c r="A55">
        <v>53</v>
      </c>
      <c r="B55" t="s">
        <v>56</v>
      </c>
      <c r="C55" t="s">
        <v>457</v>
      </c>
      <c r="D55" t="s">
        <v>485</v>
      </c>
      <c r="E55" t="s">
        <v>494</v>
      </c>
      <c r="F55" s="17">
        <f>VLOOKUP(B55,'Justice Spend Total'!$B$4:$AQ$221,10,FALSE)</f>
        <v>1705.77</v>
      </c>
      <c r="G55" s="15">
        <f>VLOOKUP(C55,'Justice Spend Total'!$C$4:$AQ$221,10,FALSE)</f>
        <v>47.772375665850745</v>
      </c>
      <c r="H55">
        <f>VLOOKUP(C55,'Justice Spend Total'!$C$4:$AQ$221,7,FALSE)</f>
        <v>51040</v>
      </c>
      <c r="I55" s="17">
        <f t="shared" si="0"/>
        <v>414.02667806958164</v>
      </c>
      <c r="J55" s="17">
        <f t="shared" si="1"/>
        <v>202.06478281010581</v>
      </c>
      <c r="K55" s="17">
        <f t="shared" si="2"/>
        <v>50.425257456437286</v>
      </c>
      <c r="L55" s="17">
        <f t="shared" si="3"/>
        <v>875.65952796683723</v>
      </c>
      <c r="M55" s="16">
        <f>IF(ISNUMBER(VLOOKUP($C55,'Justice Spend Total'!$C:$BA,38,FALSE)),VLOOKUP($C55,'Justice Spend Total'!$C:$BA,38,FALSE),"")</f>
        <v>3.5912676468270579</v>
      </c>
      <c r="N55" s="16">
        <f>IF(ISNUMBER(VLOOKUP($C55,'Justice Spend Total'!$C:$BA,35,FALSE)),VLOOKUP($C55,'Justice Spend Total'!$C:$BA,35,FALSE),"")</f>
        <v>1.69801225977282</v>
      </c>
      <c r="O55" s="16">
        <f>IF(ISNUMBER(VLOOKUP($C55,'Justice Spend Total'!$C:$BA,36,FALSE)),VLOOKUP($C55,'Justice Spend Total'!$C:$BA,36,FALSE),"")</f>
        <v>0.8287110388143365</v>
      </c>
      <c r="P55" s="16">
        <f>IF(ISNUMBER(VLOOKUP($C55,'Justice Spend Total'!$C:$BA,37,FALSE)),VLOOKUP($C55,'Justice Spend Total'!$C:$BA,37,FALSE),"")</f>
        <v>0.20680480244039132</v>
      </c>
      <c r="Q55" s="16">
        <f t="shared" si="9"/>
        <v>0.85773954579951017</v>
      </c>
      <c r="R55" s="15">
        <f>IF(ISNUMBER(VLOOKUP($C55,'Justice Spend Total'!$C:$BA,39,FALSE)),VLOOKUP($C55,'Justice Spend Total'!$C:$BA,39,FALSE),"")</f>
        <v>1.7156338714083801</v>
      </c>
      <c r="S55" s="16">
        <f t="shared" si="5"/>
        <v>1.7156338714083801</v>
      </c>
      <c r="T55" s="7">
        <f t="shared" si="8"/>
        <v>875.65952796683723</v>
      </c>
      <c r="U55" s="22">
        <f>VLOOKUP($C55,'Justice Spend Total'!$C:$BA,40,FALSE)</f>
        <v>2020</v>
      </c>
      <c r="V55" s="15" t="str">
        <f>VLOOKUP($C55,'Justice Spend Total'!$C:$BA,41,FALSE)</f>
        <v>IMF COFOG</v>
      </c>
    </row>
    <row r="56" spans="1:53">
      <c r="A56">
        <v>54</v>
      </c>
      <c r="B56" t="s">
        <v>145</v>
      </c>
      <c r="C56" t="s">
        <v>359</v>
      </c>
      <c r="D56" t="s">
        <v>496</v>
      </c>
      <c r="E56" t="s">
        <v>488</v>
      </c>
      <c r="F56" s="17">
        <f>VLOOKUP(B56,'Justice Spend Total'!$B$4:$AQ$221,10,FALSE)</f>
        <v>43.523000000000003</v>
      </c>
      <c r="G56" s="15">
        <f>VLOOKUP(C56,'Justice Spend Total'!$C$4:$AQ$221,10,FALSE)</f>
        <v>14.103964198102966</v>
      </c>
      <c r="H56">
        <f>VLOOKUP(C56,'Justice Spend Total'!$C$4:$AQ$221,7,FALSE)</f>
        <v>2360</v>
      </c>
      <c r="I56" s="17">
        <f t="shared" si="0"/>
        <v>23.84536085330879</v>
      </c>
      <c r="J56" s="17">
        <f t="shared" si="1"/>
        <v>5.9036976930330836</v>
      </c>
      <c r="K56" s="17">
        <f t="shared" si="2"/>
        <v>3.9584243589004071</v>
      </c>
      <c r="L56" s="17">
        <f t="shared" si="3"/>
        <v>36.539671040192879</v>
      </c>
      <c r="M56" s="16">
        <f>IF(ISNUMBER(VLOOKUP($C56,'Justice Spend Total'!$C:$BA,38,FALSE)),VLOOKUP($C56,'Justice Spend Total'!$C:$BA,38,FALSE),"")</f>
        <v>10.977701900144751</v>
      </c>
      <c r="N56" s="16">
        <f>IF(ISNUMBER(VLOOKUP($C56,'Justice Spend Total'!$C:$BA,35,FALSE)),VLOOKUP($C56,'Justice Spend Total'!$C:$BA,35,FALSE),"")</f>
        <v>7.1639195344989997</v>
      </c>
      <c r="O56" s="16">
        <f>IF(ISNUMBER(VLOOKUP($C56,'Justice Spend Total'!$C:$BA,36,FALSE)),VLOOKUP($C56,'Justice Spend Total'!$C:$BA,36,FALSE),"")</f>
        <v>1.7736622015945593</v>
      </c>
      <c r="P56" s="16">
        <f>IF(ISNUMBER(VLOOKUP($C56,'Justice Spend Total'!$C:$BA,37,FALSE)),VLOOKUP($C56,'Justice Spend Total'!$C:$BA,37,FALSE),"")</f>
        <v>1.1892390207476506</v>
      </c>
      <c r="Q56" s="16">
        <f t="shared" si="9"/>
        <v>0.85088114330354148</v>
      </c>
      <c r="R56" s="15">
        <f>IF(ISNUMBER(VLOOKUP($C56,'Justice Spend Total'!$C:$BA,39,FALSE)),VLOOKUP($C56,'Justice Spend Total'!$C:$BA,39,FALSE),"")</f>
        <v>1.548291145770885</v>
      </c>
      <c r="S56" s="16">
        <f t="shared" si="5"/>
        <v>1.548291145770885</v>
      </c>
      <c r="T56" s="7">
        <f t="shared" si="8"/>
        <v>36.539671040192879</v>
      </c>
      <c r="U56" s="22">
        <f>VLOOKUP($C56,'Justice Spend Total'!$C:$BA,40,FALSE)</f>
        <v>2022</v>
      </c>
      <c r="V56" s="15" t="s">
        <v>489</v>
      </c>
      <c r="W56" t="s">
        <v>518</v>
      </c>
    </row>
    <row r="57" spans="1:53">
      <c r="A57">
        <v>55</v>
      </c>
      <c r="B57" t="s">
        <v>65</v>
      </c>
      <c r="C57" t="s">
        <v>443</v>
      </c>
      <c r="D57" t="s">
        <v>485</v>
      </c>
      <c r="E57" t="s">
        <v>494</v>
      </c>
      <c r="F57" s="17">
        <f>VLOOKUP(B57,'Justice Spend Total'!$B$4:$AQ$221,10,FALSE)</f>
        <v>89.81</v>
      </c>
      <c r="G57" s="15">
        <f>VLOOKUP(C57,'Justice Spend Total'!$C$4:$AQ$221,10,FALSE)</f>
        <v>49.122135316961106</v>
      </c>
      <c r="H57">
        <f>VLOOKUP(C57,'Justice Spend Total'!$C$4:$AQ$221,7,FALSE)</f>
        <v>20140</v>
      </c>
      <c r="I57" s="17">
        <f t="shared" si="0"/>
        <v>305.08158957969061</v>
      </c>
      <c r="J57" s="17">
        <f t="shared" si="1"/>
        <v>80.399686425857823</v>
      </c>
      <c r="K57" s="17">
        <f t="shared" si="2"/>
        <v>17.488753542784774</v>
      </c>
      <c r="L57" s="17">
        <f t="shared" si="3"/>
        <v>476.32563468612415</v>
      </c>
      <c r="M57" s="16">
        <f>IF(ISNUMBER(VLOOKUP($C57,'Justice Spend Total'!$C:$BA,38,FALSE)),VLOOKUP($C57,'Justice Spend Total'!$C:$BA,38,FALSE),"")</f>
        <v>4.814678045888118</v>
      </c>
      <c r="N57" s="16">
        <f>IF(ISNUMBER(VLOOKUP($C57,'Justice Spend Total'!$C:$BA,35,FALSE)),VLOOKUP($C57,'Justice Spend Total'!$C:$BA,35,FALSE),"")</f>
        <v>3.0837509564688887</v>
      </c>
      <c r="O57" s="16">
        <f>IF(ISNUMBER(VLOOKUP($C57,'Justice Spend Total'!$C:$BA,36,FALSE)),VLOOKUP($C57,'Justice Spend Total'!$C:$BA,36,FALSE),"")</f>
        <v>0.81267640652165651</v>
      </c>
      <c r="P57" s="16">
        <f>IF(ISNUMBER(VLOOKUP($C57,'Justice Spend Total'!$C:$BA,37,FALSE)),VLOOKUP($C57,'Justice Spend Total'!$C:$BA,37,FALSE),"")</f>
        <v>0.17677553253643272</v>
      </c>
      <c r="Q57" s="16">
        <f t="shared" si="9"/>
        <v>0.74147515036113998</v>
      </c>
      <c r="R57" s="15">
        <f>IF(ISNUMBER(VLOOKUP($C57,'Justice Spend Total'!$C:$BA,39,FALSE)),VLOOKUP($C57,'Justice Spend Total'!$C:$BA,39,FALSE),"")</f>
        <v>2.36507266477718</v>
      </c>
      <c r="S57" s="16">
        <f t="shared" si="5"/>
        <v>2.36507266477718</v>
      </c>
      <c r="T57" s="7">
        <f t="shared" si="8"/>
        <v>476.32563468612415</v>
      </c>
      <c r="U57" s="22">
        <f>VLOOKUP($C57,'Justice Spend Total'!$C:$BA,40,FALSE)</f>
        <v>2020</v>
      </c>
      <c r="V57" s="15" t="str">
        <f>VLOOKUP($C57,'Justice Spend Total'!$C:$BA,41,FALSE)</f>
        <v>IMF COFOG</v>
      </c>
    </row>
    <row r="58" spans="1:53">
      <c r="A58">
        <v>56</v>
      </c>
      <c r="B58" t="s">
        <v>183</v>
      </c>
      <c r="C58" t="s">
        <v>398</v>
      </c>
      <c r="D58" t="s">
        <v>497</v>
      </c>
      <c r="E58" t="s">
        <v>486</v>
      </c>
      <c r="F58" s="17">
        <f>VLOOKUP(B58,'Justice Spend Total'!$B$4:$AQ$221,10,FALSE)</f>
        <v>82.186000000000007</v>
      </c>
      <c r="G58" s="15">
        <f>VLOOKUP(C58,'Justice Spend Total'!$C$4:$AQ$221,10,FALSE)</f>
        <v>12.395274514624241</v>
      </c>
      <c r="H58">
        <f>VLOOKUP(C58,'Justice Spend Total'!$C$4:$AQ$221,7,FALSE)</f>
        <v>4940</v>
      </c>
      <c r="I58" s="17">
        <f t="shared" si="0"/>
        <v>37.766367877949371</v>
      </c>
      <c r="J58" s="17">
        <f t="shared" si="1"/>
        <v>27.759423779206092</v>
      </c>
      <c r="K58" s="17">
        <f t="shared" si="2"/>
        <v>4.2457109726031099</v>
      </c>
      <c r="L58" s="17">
        <f t="shared" si="3"/>
        <v>91.415425354801158</v>
      </c>
      <c r="M58" s="16">
        <f>IF(ISNUMBER(VLOOKUP($C58,'Justice Spend Total'!$C:$BA,38,FALSE)),VLOOKUP($C58,'Justice Spend Total'!$C:$BA,38,FALSE),"")</f>
        <v>14.929194840439303</v>
      </c>
      <c r="N58" s="16">
        <f>IF(ISNUMBER(VLOOKUP($C58,'Justice Spend Total'!$C:$BA,35,FALSE)),VLOOKUP($C58,'Justice Spend Total'!$C:$BA,35,FALSE),"")</f>
        <v>6.1676840891710878</v>
      </c>
      <c r="O58" s="16">
        <f>IF(ISNUMBER(VLOOKUP($C58,'Justice Spend Total'!$C:$BA,36,FALSE)),VLOOKUP($C58,'Justice Spend Total'!$C:$BA,36,FALSE),"")</f>
        <v>4.5334345341568323</v>
      </c>
      <c r="P58" s="16">
        <f>IF(ISNUMBER(VLOOKUP($C58,'Justice Spend Total'!$C:$BA,37,FALSE)),VLOOKUP($C58,'Justice Spend Total'!$C:$BA,37,FALSE),"")</f>
        <v>0.69337364126648326</v>
      </c>
      <c r="Q58" s="16">
        <f t="shared" si="9"/>
        <v>3.5347025758448996</v>
      </c>
      <c r="R58" s="15">
        <f>IF(ISNUMBER(VLOOKUP($C58,'Justice Spend Total'!$C:$BA,39,FALSE)),VLOOKUP($C58,'Justice Spend Total'!$C:$BA,39,FALSE),"")</f>
        <v>1.8505146832955699</v>
      </c>
      <c r="S58" s="16">
        <f t="shared" si="5"/>
        <v>1.8505146832955699</v>
      </c>
      <c r="T58" s="7">
        <f t="shared" si="8"/>
        <v>91.415425354801158</v>
      </c>
      <c r="U58" s="22">
        <f>VLOOKUP($C58,'Justice Spend Total'!$C:$BA,40,FALSE)</f>
        <v>2020</v>
      </c>
      <c r="V58" s="15" t="str">
        <f>VLOOKUP($C58,'Justice Spend Total'!$C:$BA,41,FALSE)</f>
        <v>IMF COFOG</v>
      </c>
    </row>
    <row r="59" spans="1:53">
      <c r="A59">
        <v>57</v>
      </c>
      <c r="B59" t="s">
        <v>117</v>
      </c>
      <c r="C59" t="s">
        <v>330</v>
      </c>
      <c r="D59" t="s">
        <v>496</v>
      </c>
      <c r="E59" t="s">
        <v>299</v>
      </c>
      <c r="F59" s="17">
        <f>VLOOKUP(B59,'Justice Spend Total'!$B$4:$AQ$221,10,FALSE)</f>
        <v>21605.15</v>
      </c>
      <c r="G59" s="15">
        <f>VLOOKUP(C59,'Justice Spend Total'!$C$4:$AQ$221,10,FALSE)</f>
        <v>12.584858373998658</v>
      </c>
      <c r="H59">
        <f>VLOOKUP(C59,'Justice Spend Total'!$C$4:$AQ$221,7,FALSE)</f>
        <v>1010</v>
      </c>
      <c r="I59" s="17" t="str">
        <f t="shared" si="0"/>
        <v/>
      </c>
      <c r="J59" s="17" t="str">
        <f t="shared" si="1"/>
        <v/>
      </c>
      <c r="K59" s="17" t="str">
        <f t="shared" si="2"/>
        <v/>
      </c>
      <c r="L59" s="17">
        <f t="shared" si="3"/>
        <v>4.0208031710943457</v>
      </c>
      <c r="M59" s="16">
        <f>IF(ISNUMBER(VLOOKUP($C59,'Justice Spend Total'!$C:$BA,38,FALSE)),VLOOKUP($C59,'Justice Spend Total'!$C:$BA,38,FALSE),"")</f>
        <v>3.1633198566082625</v>
      </c>
      <c r="N59" s="16" t="str">
        <f>IF(ISNUMBER(VLOOKUP($C59,'Justice Spend Total'!$C:$BA,35,FALSE)),VLOOKUP($C59,'Justice Spend Total'!$C:$BA,35,FALSE),"")</f>
        <v/>
      </c>
      <c r="O59" s="16" t="str">
        <f>IF(ISNUMBER(VLOOKUP($C59,'Justice Spend Total'!$C:$BA,36,FALSE)),VLOOKUP($C59,'Justice Spend Total'!$C:$BA,36,FALSE),"")</f>
        <v/>
      </c>
      <c r="P59" s="16" t="str">
        <f>IF(ISNUMBER(VLOOKUP($C59,'Justice Spend Total'!$C:$BA,37,FALSE)),VLOOKUP($C59,'Justice Spend Total'!$C:$BA,37,FALSE),"")</f>
        <v/>
      </c>
      <c r="Q59" s="16"/>
      <c r="R59" s="15">
        <f>IF(ISNUMBER(VLOOKUP($C59,'Justice Spend Total'!$C:$BA,39,FALSE)),VLOOKUP($C59,'Justice Spend Total'!$C:$BA,39,FALSE),"")</f>
        <v>0.39809932387072727</v>
      </c>
      <c r="S59" s="16">
        <f t="shared" si="5"/>
        <v>0.39809932387072727</v>
      </c>
      <c r="T59" s="7">
        <f t="shared" si="8"/>
        <v>4.0208031710943457</v>
      </c>
      <c r="U59" s="22">
        <f>VLOOKUP($C59,'Justice Spend Total'!$C:$BA,40,FALSE)</f>
        <v>2021</v>
      </c>
      <c r="V59" s="15" t="s">
        <v>489</v>
      </c>
      <c r="W59" t="s">
        <v>519</v>
      </c>
    </row>
    <row r="60" spans="1:53">
      <c r="A60">
        <v>58</v>
      </c>
      <c r="B60" t="s">
        <v>128</v>
      </c>
      <c r="C60" t="s">
        <v>342</v>
      </c>
      <c r="D60" t="s">
        <v>497</v>
      </c>
      <c r="E60" t="s">
        <v>488</v>
      </c>
      <c r="F60" s="17">
        <f>VLOOKUP(B60,'Justice Spend Total'!$B$4:$AQ$221,10,FALSE)</f>
        <v>141.178</v>
      </c>
      <c r="G60" s="15">
        <f>VLOOKUP(C60,'Justice Spend Total'!$C$4:$AQ$221,10,FALSE)</f>
        <v>8.3084492205201244</v>
      </c>
      <c r="H60">
        <f>VLOOKUP(C60,'Justice Spend Total'!$C$4:$AQ$221,7,FALSE)</f>
        <v>1420</v>
      </c>
      <c r="I60" s="17" t="str">
        <f t="shared" si="0"/>
        <v/>
      </c>
      <c r="J60" s="17" t="str">
        <f t="shared" si="1"/>
        <v/>
      </c>
      <c r="K60" s="17" t="str">
        <f t="shared" si="2"/>
        <v/>
      </c>
      <c r="L60" s="17">
        <f t="shared" si="3"/>
        <v>21.020022736377495</v>
      </c>
      <c r="M60" s="16">
        <f>IF(ISNUMBER(VLOOKUP($C60,'Justice Spend Total'!$C:$BA,38,FALSE)),VLOOKUP($C60,'Justice Spend Total'!$C:$BA,38,FALSE),"")</f>
        <v>17.816601534233381</v>
      </c>
      <c r="N60" s="16" t="str">
        <f>IF(ISNUMBER(VLOOKUP($C60,'Justice Spend Total'!$C:$BA,35,FALSE)),VLOOKUP($C60,'Justice Spend Total'!$C:$BA,35,FALSE),"")</f>
        <v/>
      </c>
      <c r="O60" s="16" t="str">
        <f>IF(ISNUMBER(VLOOKUP($C60,'Justice Spend Total'!$C:$BA,36,FALSE)),VLOOKUP($C60,'Justice Spend Total'!$C:$BA,36,FALSE),"")</f>
        <v/>
      </c>
      <c r="P60" s="16" t="str">
        <f>IF(ISNUMBER(VLOOKUP($C60,'Justice Spend Total'!$C:$BA,37,FALSE)),VLOOKUP($C60,'Justice Spend Total'!$C:$BA,37,FALSE),"")</f>
        <v/>
      </c>
      <c r="Q60" s="16"/>
      <c r="R60" s="15">
        <f>IF(ISNUMBER(VLOOKUP($C60,'Justice Spend Total'!$C:$BA,39,FALSE)),VLOOKUP($C60,'Justice Spend Total'!$C:$BA,39,FALSE),"")</f>
        <v>1.4802832912941897</v>
      </c>
      <c r="S60" s="16">
        <f t="shared" si="5"/>
        <v>1.4802832912941897</v>
      </c>
      <c r="T60" s="7">
        <f t="shared" si="8"/>
        <v>21.020022736377495</v>
      </c>
      <c r="U60" s="22" t="str">
        <f>VLOOKUP($C60,'Justice Spend Total'!$C:$BA,40,FALSE)</f>
        <v>20/21</v>
      </c>
      <c r="V60" s="15" t="s">
        <v>489</v>
      </c>
    </row>
    <row r="61" spans="1:53">
      <c r="A61">
        <v>59</v>
      </c>
      <c r="B61" t="s">
        <v>148</v>
      </c>
      <c r="C61" t="s">
        <v>362</v>
      </c>
      <c r="D61" t="s">
        <v>497</v>
      </c>
      <c r="E61" t="s">
        <v>488</v>
      </c>
      <c r="F61" s="17">
        <f>VLOOKUP(B61,'Justice Spend Total'!$B$4:$AQ$221,10,FALSE)</f>
        <v>172.268</v>
      </c>
      <c r="G61" s="15">
        <f>VLOOKUP(C61,'Justice Spend Total'!$C$4:$AQ$221,10,FALSE)</f>
        <v>25.021605660029312</v>
      </c>
      <c r="H61">
        <f>VLOOKUP(C61,'Justice Spend Total'!$C$4:$AQ$221,7,FALSE)</f>
        <v>2540</v>
      </c>
      <c r="I61" s="17">
        <f t="shared" si="0"/>
        <v>31.62271088186246</v>
      </c>
      <c r="J61" s="17">
        <f t="shared" si="1"/>
        <v>24.175084053658484</v>
      </c>
      <c r="K61" s="17">
        <f t="shared" si="2"/>
        <v>5.0562613807806356</v>
      </c>
      <c r="L61" s="17">
        <f t="shared" si="3"/>
        <v>67.444389565309734</v>
      </c>
      <c r="M61" s="16">
        <f>IF(ISNUMBER(VLOOKUP($C61,'Justice Spend Total'!$C:$BA,38,FALSE)),VLOOKUP($C61,'Justice Spend Total'!$C:$BA,38,FALSE),"")</f>
        <v>10.611992546944284</v>
      </c>
      <c r="N61" s="16">
        <f>IF(ISNUMBER(VLOOKUP($C61,'Justice Spend Total'!$C:$BA,35,FALSE)),VLOOKUP($C61,'Justice Spend Total'!$C:$BA,35,FALSE),"")</f>
        <v>4.9756543777083149</v>
      </c>
      <c r="O61" s="16">
        <f>IF(ISNUMBER(VLOOKUP($C61,'Justice Spend Total'!$C:$BA,36,FALSE)),VLOOKUP($C61,'Justice Spend Total'!$C:$BA,36,FALSE),"")</f>
        <v>3.8038124957858721</v>
      </c>
      <c r="P61" s="16">
        <f>IF(ISNUMBER(VLOOKUP($C61,'Justice Spend Total'!$C:$BA,37,FALSE)),VLOOKUP($C61,'Justice Spend Total'!$C:$BA,37,FALSE),"")</f>
        <v>0.79557407864574992</v>
      </c>
      <c r="Q61" s="16">
        <f>IF(ISNUMBER(M61),M61-N61-O61-P61,"")</f>
        <v>1.0369515948043475</v>
      </c>
      <c r="R61" s="15">
        <f>IF(ISNUMBER(VLOOKUP($C61,'Justice Spend Total'!$C:$BA,39,FALSE)),VLOOKUP($C61,'Justice Spend Total'!$C:$BA,39,FALSE),"")</f>
        <v>2.6552909277681001</v>
      </c>
      <c r="S61" s="16">
        <f t="shared" si="5"/>
        <v>2.6552909277681001</v>
      </c>
      <c r="T61" s="7">
        <f t="shared" si="8"/>
        <v>67.444389565309734</v>
      </c>
      <c r="U61" s="22">
        <f>VLOOKUP($C61,'Justice Spend Total'!$C:$BA,40,FALSE)</f>
        <v>2020</v>
      </c>
      <c r="V61" s="15" t="str">
        <f>VLOOKUP($C61,'Justice Spend Total'!$C:$BA,41,FALSE)</f>
        <v>IMF COFOG</v>
      </c>
      <c r="W61" t="s">
        <v>484</v>
      </c>
    </row>
    <row r="62" spans="1:53">
      <c r="A62">
        <v>60</v>
      </c>
      <c r="B62" t="s">
        <v>259</v>
      </c>
      <c r="C62" t="s">
        <v>520</v>
      </c>
      <c r="D62" t="s">
        <v>493</v>
      </c>
      <c r="E62" t="s">
        <v>494</v>
      </c>
      <c r="F62" s="17">
        <f>VLOOKUP(B62,'Justice Spend Total'!$B$4:$AQ$221,10,FALSE)</f>
        <v>694.548</v>
      </c>
      <c r="G62" s="15">
        <f>VLOOKUP(C62,'Justice Spend Total'!$C$4:$AQ$221,10,FALSE)</f>
        <v>24.271147112474754</v>
      </c>
      <c r="H62">
        <f>VLOOKUP(C62,'Justice Spend Total'!$C$4:$AQ$221,7,FALSE)</f>
        <v>54450</v>
      </c>
      <c r="I62" s="17">
        <f t="shared" si="0"/>
        <v>846.67444643881186</v>
      </c>
      <c r="J62" s="17">
        <f t="shared" si="1"/>
        <v>146.53980803748661</v>
      </c>
      <c r="K62" s="17">
        <f t="shared" si="2"/>
        <v>128.22233203280086</v>
      </c>
      <c r="L62" s="17">
        <f t="shared" si="3"/>
        <v>1736.0896702218899</v>
      </c>
      <c r="M62" s="16">
        <f>IF(ISNUMBER(VLOOKUP($C62,'Justice Spend Total'!$C:$BA,38,FALSE)),VLOOKUP($C62,'Justice Spend Total'!$C:$BA,38,FALSE),"")</f>
        <v>13.136629950635287</v>
      </c>
      <c r="N62" s="16">
        <f>IF(ISNUMBER(VLOOKUP($C62,'Justice Spend Total'!$C:$BA,35,FALSE)),VLOOKUP($C62,'Justice Spend Total'!$C:$BA,35,FALSE),"")</f>
        <v>6.4066096828420651</v>
      </c>
      <c r="O62" s="16">
        <f>IF(ISNUMBER(VLOOKUP($C62,'Justice Spend Total'!$C:$BA,36,FALSE)),VLOOKUP($C62,'Justice Spend Total'!$C:$BA,36,FALSE),"")</f>
        <v>1.1088362912611263</v>
      </c>
      <c r="P62" s="16">
        <f>IF(ISNUMBER(VLOOKUP($C62,'Justice Spend Total'!$C:$BA,37,FALSE)),VLOOKUP($C62,'Justice Spend Total'!$C:$BA,37,FALSE),"")</f>
        <v>0.97023175485348601</v>
      </c>
      <c r="Q62" s="16">
        <f>IF(ISNUMBER(M62),M62-N62-O62-P62,"")</f>
        <v>4.6509522216786099</v>
      </c>
      <c r="R62" s="15">
        <f>IF(ISNUMBER(VLOOKUP($C62,'Justice Spend Total'!$C:$BA,39,FALSE)),VLOOKUP($C62,'Justice Spend Total'!$C:$BA,39,FALSE),"")</f>
        <v>3.1884107809401101</v>
      </c>
      <c r="S62" s="16">
        <f t="shared" si="5"/>
        <v>3.1884107809401101</v>
      </c>
      <c r="T62" s="7">
        <f t="shared" si="8"/>
        <v>1736.0896702218899</v>
      </c>
      <c r="U62" s="22">
        <f>VLOOKUP($C62,'Justice Spend Total'!$C:$BA,40,FALSE)</f>
        <v>2020</v>
      </c>
      <c r="V62" s="15" t="str">
        <f>VLOOKUP($C62,'Justice Spend Total'!$C:$BA,41,FALSE)</f>
        <v>IMF COFOG</v>
      </c>
    </row>
    <row r="63" spans="1:53">
      <c r="A63">
        <v>61</v>
      </c>
      <c r="B63" t="s">
        <v>68</v>
      </c>
      <c r="C63" t="s">
        <v>442</v>
      </c>
      <c r="D63" t="s">
        <v>485</v>
      </c>
      <c r="E63" t="s">
        <v>494</v>
      </c>
      <c r="F63" s="17">
        <f>VLOOKUP(B63,'Justice Spend Total'!$B$4:$AQ$221,10,FALSE)</f>
        <v>20774.79</v>
      </c>
      <c r="G63" s="15">
        <f>VLOOKUP(C63,'Justice Spend Total'!$C$4:$AQ$221,10,FALSE)</f>
        <v>43.291202388573261</v>
      </c>
      <c r="H63">
        <f>VLOOKUP(C63,'Justice Spend Total'!$C$4:$AQ$221,7,FALSE)</f>
        <v>17740</v>
      </c>
      <c r="I63" s="17">
        <f t="shared" si="0"/>
        <v>214.6629449705847</v>
      </c>
      <c r="J63" s="17">
        <f t="shared" si="1"/>
        <v>74.863386224690672</v>
      </c>
      <c r="K63" s="17">
        <f t="shared" si="2"/>
        <v>51.654803856402147</v>
      </c>
      <c r="L63" s="17">
        <f t="shared" si="3"/>
        <v>382.66609053197095</v>
      </c>
      <c r="M63" s="16">
        <f>IF(ISNUMBER(VLOOKUP($C63,'Justice Spend Total'!$C:$BA,38,FALSE)),VLOOKUP($C63,'Justice Spend Total'!$C:$BA,38,FALSE),"")</f>
        <v>4.9827226697495757</v>
      </c>
      <c r="N63" s="16">
        <f>IF(ISNUMBER(VLOOKUP($C63,'Justice Spend Total'!$C:$BA,35,FALSE)),VLOOKUP($C63,'Justice Spend Total'!$C:$BA,35,FALSE),"")</f>
        <v>2.7951416358141477</v>
      </c>
      <c r="O63" s="16">
        <f>IF(ISNUMBER(VLOOKUP($C63,'Justice Spend Total'!$C:$BA,36,FALSE)),VLOOKUP($C63,'Justice Spend Total'!$C:$BA,36,FALSE),"")</f>
        <v>0.97480153299556327</v>
      </c>
      <c r="P63" s="16">
        <f>IF(ISNUMBER(VLOOKUP($C63,'Justice Spend Total'!$C:$BA,37,FALSE)),VLOOKUP($C63,'Justice Spend Total'!$C:$BA,37,FALSE),"")</f>
        <v>0.67260091381224452</v>
      </c>
      <c r="Q63" s="16">
        <f>IF(ISNUMBER(M63),M63-N63-O63-P63,"")</f>
        <v>0.54017858712762024</v>
      </c>
      <c r="R63" s="15">
        <f>IF(ISNUMBER(VLOOKUP($C63,'Justice Spend Total'!$C:$BA,39,FALSE)),VLOOKUP($C63,'Justice Spend Total'!$C:$BA,39,FALSE),"")</f>
        <v>2.1570805554226098</v>
      </c>
      <c r="S63" s="16">
        <f t="shared" si="5"/>
        <v>2.1570805554226098</v>
      </c>
      <c r="T63" s="7">
        <f t="shared" si="8"/>
        <v>382.66609053197095</v>
      </c>
      <c r="U63" s="22">
        <f>VLOOKUP($C63,'Justice Spend Total'!$C:$BA,40,FALSE)</f>
        <v>2020</v>
      </c>
      <c r="V63" s="15" t="str">
        <f>VLOOKUP($C63,'Justice Spend Total'!$C:$BA,41,FALSE)</f>
        <v>IMF COFOG</v>
      </c>
    </row>
    <row r="64" spans="1:53">
      <c r="A64">
        <v>62</v>
      </c>
      <c r="B64" t="s">
        <v>59</v>
      </c>
      <c r="C64" t="s">
        <v>463</v>
      </c>
      <c r="D64" t="s">
        <v>485</v>
      </c>
      <c r="E64" t="s">
        <v>494</v>
      </c>
      <c r="F64" s="17">
        <f>VLOOKUP(B64,'Justice Spend Total'!$B$4:$AQ$221,10,FALSE)</f>
        <v>1231.6099999999999</v>
      </c>
      <c r="G64" s="15">
        <f>VLOOKUP(C64,'Justice Spend Total'!$C$4:$AQ$221,10,FALSE)</f>
        <v>42.056432198383455</v>
      </c>
      <c r="H64">
        <f>VLOOKUP(C64,'Justice Spend Total'!$C$4:$AQ$221,7,FALSE)</f>
        <v>64410</v>
      </c>
      <c r="I64" s="17">
        <f t="shared" si="0"/>
        <v>573.07803619711615</v>
      </c>
      <c r="J64" s="17">
        <f t="shared" si="1"/>
        <v>160.26538021292038</v>
      </c>
      <c r="K64" s="17">
        <f t="shared" si="2"/>
        <v>49.435415937555163</v>
      </c>
      <c r="L64" s="17">
        <f t="shared" si="3"/>
        <v>1024.4099999965451</v>
      </c>
      <c r="M64" s="16">
        <f>IF(ISNUMBER(VLOOKUP($C64,'Justice Spend Total'!$C:$BA,38,FALSE)),VLOOKUP($C64,'Justice Spend Total'!$C:$BA,38,FALSE),"")</f>
        <v>3.7817087899709736</v>
      </c>
      <c r="N64" s="16">
        <f>IF(ISNUMBER(VLOOKUP($C64,'Justice Spend Total'!$C:$BA,35,FALSE)),VLOOKUP($C64,'Justice Spend Total'!$C:$BA,35,FALSE),"")</f>
        <v>2.1155731072844337</v>
      </c>
      <c r="O64" s="16">
        <f>IF(ISNUMBER(VLOOKUP($C64,'Justice Spend Total'!$C:$BA,36,FALSE)),VLOOKUP($C64,'Justice Spend Total'!$C:$BA,36,FALSE),"")</f>
        <v>0.59163518228178669</v>
      </c>
      <c r="P64" s="16">
        <f>IF(ISNUMBER(VLOOKUP($C64,'Justice Spend Total'!$C:$BA,37,FALSE)),VLOOKUP($C64,'Justice Spend Total'!$C:$BA,37,FALSE),"")</f>
        <v>0.18249562869120178</v>
      </c>
      <c r="Q64" s="16">
        <f>IF(ISNUMBER(M64),M64-N64-O64-P64,"")</f>
        <v>0.89200487171355136</v>
      </c>
      <c r="R64" s="15">
        <f>IF(ISNUMBER(VLOOKUP($C64,'Justice Spend Total'!$C:$BA,39,FALSE)),VLOOKUP($C64,'Justice Spend Total'!$C:$BA,39,FALSE),"")</f>
        <v>1.59045179319445</v>
      </c>
      <c r="S64" s="16">
        <f t="shared" si="5"/>
        <v>1.59045179319445</v>
      </c>
      <c r="T64" s="7">
        <f t="shared" si="8"/>
        <v>1024.4099999965451</v>
      </c>
      <c r="U64" s="22">
        <f>VLOOKUP($C64,'Justice Spend Total'!$C:$BA,40,FALSE)</f>
        <v>2020</v>
      </c>
      <c r="V64" s="15" t="str">
        <f>VLOOKUP($C64,'Justice Spend Total'!$C:$BA,41,FALSE)</f>
        <v>IMF COFOG</v>
      </c>
    </row>
    <row r="65" spans="1:46">
      <c r="A65">
        <v>63</v>
      </c>
      <c r="B65" t="s">
        <v>142</v>
      </c>
      <c r="C65" t="s">
        <v>356</v>
      </c>
      <c r="D65" t="s">
        <v>483</v>
      </c>
      <c r="E65" t="s">
        <v>488</v>
      </c>
      <c r="F65" s="17">
        <f>VLOOKUP(B65,'Justice Spend Total'!$B$4:$AQ$221,10,FALSE)</f>
        <v>36226.58</v>
      </c>
      <c r="G65" s="15">
        <f>VLOOKUP(C65,'Justice Spend Total'!$C$4:$AQ$221,10,FALSE)</f>
        <v>18.295411675524004</v>
      </c>
      <c r="H65">
        <f>VLOOKUP(C65,'Justice Spend Total'!$C$4:$AQ$221,7,FALSE)</f>
        <v>2170</v>
      </c>
      <c r="I65" s="17">
        <f t="shared" si="0"/>
        <v>23.10705930294845</v>
      </c>
      <c r="J65" s="17">
        <f t="shared" si="1"/>
        <v>1.8415206304642562</v>
      </c>
      <c r="K65" s="17">
        <f t="shared" si="2"/>
        <v>1.0959092284142497E-4</v>
      </c>
      <c r="L65" s="17">
        <f t="shared" si="3"/>
        <v>24.953879750441324</v>
      </c>
      <c r="M65" s="16">
        <f>IF(ISNUMBER(VLOOKUP($C65,'Justice Spend Total'!$C:$BA,38,FALSE)),VLOOKUP($C65,'Justice Spend Total'!$C:$BA,38,FALSE),"")</f>
        <v>6.2854468431273407</v>
      </c>
      <c r="N65" s="16">
        <f>IF(ISNUMBER(VLOOKUP($C65,'Justice Spend Total'!$C:$BA,35,FALSE)),VLOOKUP($C65,'Justice Spend Total'!$C:$BA,35,FALSE),"")</f>
        <v>5.8202650009606209</v>
      </c>
      <c r="O65" s="16">
        <f>IF(ISNUMBER(VLOOKUP($C65,'Justice Spend Total'!$C:$BA,36,FALSE)),VLOOKUP($C65,'Justice Spend Total'!$C:$BA,36,FALSE),"")</f>
        <v>0.46384691074343748</v>
      </c>
      <c r="P65" s="16">
        <f>IF(ISNUMBER(VLOOKUP($C65,'Justice Spend Total'!$C:$BA,37,FALSE)),VLOOKUP($C65,'Justice Spend Total'!$C:$BA,37,FALSE),"")</f>
        <v>2.7604041010771648E-5</v>
      </c>
      <c r="Q65" s="16">
        <f>IF(ISNUMBER(M65),M65-N65-O65-P65,"")</f>
        <v>1.3073273822715101E-3</v>
      </c>
      <c r="R65" s="15">
        <f>IF(ISNUMBER(VLOOKUP($C65,'Justice Spend Total'!$C:$BA,39,FALSE)),VLOOKUP($C65,'Justice Spend Total'!$C:$BA,39,FALSE),"")</f>
        <v>1.1499483755963744</v>
      </c>
      <c r="S65" s="16">
        <f t="shared" si="5"/>
        <v>1.1499483755963744</v>
      </c>
      <c r="T65" s="7">
        <f t="shared" si="8"/>
        <v>24.953879750441324</v>
      </c>
      <c r="U65" s="22" t="str">
        <f>VLOOKUP($C65,'Justice Spend Total'!$C:$BA,40,FALSE)</f>
        <v>20/21</v>
      </c>
      <c r="V65" s="15" t="s">
        <v>489</v>
      </c>
      <c r="W65" t="s">
        <v>521</v>
      </c>
    </row>
    <row r="66" spans="1:46">
      <c r="A66">
        <v>64</v>
      </c>
      <c r="B66" t="s">
        <v>171</v>
      </c>
      <c r="C66" t="s">
        <v>385</v>
      </c>
      <c r="D66" t="s">
        <v>493</v>
      </c>
      <c r="E66" t="s">
        <v>488</v>
      </c>
      <c r="F66" s="17">
        <f>VLOOKUP(B66,'Justice Spend Total'!$B$4:$AQ$221,10,FALSE)</f>
        <v>2307072.59</v>
      </c>
      <c r="G66" s="15">
        <f>VLOOKUP(C66,'Justice Spend Total'!$C$4:$AQ$221,10,FALSE)</f>
        <v>13.594374208596028</v>
      </c>
      <c r="H66">
        <f>VLOOKUP(C66,'Justice Spend Total'!$C$4:$AQ$221,7,FALSE)</f>
        <v>4140</v>
      </c>
      <c r="I66" s="17" t="str">
        <f t="shared" si="0"/>
        <v/>
      </c>
      <c r="J66" s="17" t="str">
        <f t="shared" si="1"/>
        <v/>
      </c>
      <c r="K66" s="17" t="str">
        <f t="shared" si="2"/>
        <v/>
      </c>
      <c r="L66" s="17">
        <f t="shared" si="3"/>
        <v>46.535221693721915</v>
      </c>
      <c r="M66" s="16">
        <f>IF(ISNUMBER(VLOOKUP($C66,'Justice Spend Total'!$C:$BA,38,FALSE)),VLOOKUP($C66,'Justice Spend Total'!$C:$BA,38,FALSE),"")</f>
        <v>8.2684142285504016</v>
      </c>
      <c r="N66" s="16" t="str">
        <f>IF(ISNUMBER(VLOOKUP($C66,'Justice Spend Total'!$C:$BA,35,FALSE)),VLOOKUP($C66,'Justice Spend Total'!$C:$BA,35,FALSE),"")</f>
        <v/>
      </c>
      <c r="O66" s="16" t="str">
        <f>IF(ISNUMBER(VLOOKUP($C66,'Justice Spend Total'!$C:$BA,36,FALSE)),VLOOKUP($C66,'Justice Spend Total'!$C:$BA,36,FALSE),"")</f>
        <v/>
      </c>
      <c r="P66" s="16" t="str">
        <f>IF(ISNUMBER(VLOOKUP($C66,'Justice Spend Total'!$C:$BA,37,FALSE)),VLOOKUP($C66,'Justice Spend Total'!$C:$BA,37,FALSE),"")</f>
        <v/>
      </c>
      <c r="Q66" s="16"/>
      <c r="R66" s="15">
        <f>IF(ISNUMBER(VLOOKUP($C66,'Justice Spend Total'!$C:$BA,39,FALSE)),VLOOKUP($C66,'Justice Spend Total'!$C:$BA,39,FALSE),"")</f>
        <v>1.1240391713459399</v>
      </c>
      <c r="S66" s="16">
        <f t="shared" si="5"/>
        <v>1.1240391713459399</v>
      </c>
      <c r="T66" s="7">
        <f t="shared" si="8"/>
        <v>46.535221693721915</v>
      </c>
      <c r="U66" s="22">
        <f>VLOOKUP($C66,'Justice Spend Total'!$C:$BA,40,FALSE)</f>
        <v>2020</v>
      </c>
      <c r="V66" s="15" t="str">
        <f>VLOOKUP($C66,'Justice Spend Total'!$C:$BA,41,FALSE)</f>
        <v>IMF COFOG</v>
      </c>
      <c r="W66" t="s">
        <v>484</v>
      </c>
    </row>
    <row r="67" spans="1:46">
      <c r="A67">
        <v>65</v>
      </c>
      <c r="B67" t="s">
        <v>61</v>
      </c>
      <c r="C67" t="s">
        <v>466</v>
      </c>
      <c r="D67" t="s">
        <v>485</v>
      </c>
      <c r="E67" t="s">
        <v>494</v>
      </c>
      <c r="F67" s="17">
        <f>VLOOKUP(B67,'Justice Spend Total'!$B$4:$AQ$221,10,FALSE)</f>
        <v>83.616</v>
      </c>
      <c r="G67" s="15">
        <f>VLOOKUP(C67,'Justice Spend Total'!$C$4:$AQ$221,10,FALSE)</f>
        <v>22.425033993171866</v>
      </c>
      <c r="H67">
        <f>VLOOKUP(C67,'Justice Spend Total'!$C$4:$AQ$221,7,FALSE)</f>
        <v>74520</v>
      </c>
      <c r="I67" s="17">
        <f t="shared" ref="I67:I130" si="10">IF(ISNUMBER(N67),$G67/100*$H67*(N67/100),"")</f>
        <v>392.74085922938116</v>
      </c>
      <c r="J67" s="17">
        <f t="shared" ref="J67:J130" si="11">IF(ISNUMBER(O67),$G67/100*$H67*(O67/100),"")</f>
        <v>147.79529861694044</v>
      </c>
      <c r="K67" s="17">
        <f t="shared" ref="K67:K130" si="12">IF(ISNUMBER(P67),$G67/100*$H67*(P67/100),"")</f>
        <v>41.564792138794019</v>
      </c>
      <c r="L67" s="17">
        <f t="shared" ref="L67:L130" si="13">IF(ISNUMBER(M67),$G67/100*$H67*(M67/100),"")</f>
        <v>697.17846932836983</v>
      </c>
      <c r="M67" s="16">
        <f>IF(ISNUMBER(VLOOKUP($C67,'Justice Spend Total'!$C:$BA,38,FALSE)),VLOOKUP($C67,'Justice Spend Total'!$C:$BA,38,FALSE),"")</f>
        <v>4.1719395809414452</v>
      </c>
      <c r="N67" s="16">
        <f>IF(ISNUMBER(VLOOKUP($C67,'Justice Spend Total'!$C:$BA,35,FALSE)),VLOOKUP($C67,'Justice Spend Total'!$C:$BA,35,FALSE),"")</f>
        <v>2.3501746077305796</v>
      </c>
      <c r="O67" s="16">
        <f>IF(ISNUMBER(VLOOKUP($C67,'Justice Spend Total'!$C:$BA,36,FALSE)),VLOOKUP($C67,'Justice Spend Total'!$C:$BA,36,FALSE),"")</f>
        <v>0.88441207424416324</v>
      </c>
      <c r="P67" s="16">
        <f>IF(ISNUMBER(VLOOKUP($C67,'Justice Spend Total'!$C:$BA,37,FALSE)),VLOOKUP($C67,'Justice Spend Total'!$C:$BA,37,FALSE),"")</f>
        <v>0.24872512437810923</v>
      </c>
      <c r="Q67" s="16">
        <f t="shared" ref="Q67:Q75" si="14">IF(ISNUMBER(M67),M67-N67-O67-P67,"")</f>
        <v>0.68862777458859314</v>
      </c>
      <c r="R67" s="15">
        <f>IF(ISNUMBER(VLOOKUP($C67,'Justice Spend Total'!$C:$BA,39,FALSE)),VLOOKUP($C67,'Justice Spend Total'!$C:$BA,39,FALSE),"")</f>
        <v>0.93555886920071096</v>
      </c>
      <c r="S67" s="16">
        <f t="shared" ref="S67:S130" si="15">R67</f>
        <v>0.93555886920071096</v>
      </c>
      <c r="T67" s="7">
        <f t="shared" ref="T67:T98" si="16">L67</f>
        <v>697.17846932836983</v>
      </c>
      <c r="U67" s="22">
        <f>VLOOKUP($C67,'Justice Spend Total'!$C:$BA,40,FALSE)</f>
        <v>2020</v>
      </c>
      <c r="V67" s="15" t="str">
        <f>VLOOKUP($C67,'Justice Spend Total'!$C:$BA,41,FALSE)</f>
        <v>IMF COFOG</v>
      </c>
    </row>
    <row r="68" spans="1:46" hidden="1">
      <c r="A68">
        <v>66</v>
      </c>
      <c r="B68" t="s">
        <v>522</v>
      </c>
      <c r="C68" t="s">
        <v>523</v>
      </c>
      <c r="D68" t="s">
        <v>485</v>
      </c>
      <c r="E68" t="s">
        <v>494</v>
      </c>
      <c r="F68" s="17" t="str">
        <f>VLOOKUP(B68,'Justice Spend Total'!$B$4:$AQ$221,10,FALSE)</f>
        <v xml:space="preserve"> </v>
      </c>
      <c r="G68" s="15" t="str">
        <f>VLOOKUP(C68,'Justice Spend Total'!$C$4:$AQ$221,10,FALSE)</f>
        <v xml:space="preserve"> </v>
      </c>
      <c r="H68" t="str">
        <f>VLOOKUP(C68,'Justice Spend Total'!$C$4:$AQ$221,7,FALSE)</f>
        <v/>
      </c>
      <c r="I68" s="35" t="str">
        <f t="shared" si="10"/>
        <v/>
      </c>
      <c r="J68" s="35" t="str">
        <f t="shared" si="11"/>
        <v/>
      </c>
      <c r="K68" s="35" t="str">
        <f t="shared" si="12"/>
        <v/>
      </c>
      <c r="L68" s="35" t="str">
        <f t="shared" si="13"/>
        <v/>
      </c>
      <c r="M68" s="16" t="str">
        <f>IF(ISNUMBER(VLOOKUP($C68,'Justice Spend Total'!$C:$BA,38,FALSE)),VLOOKUP($C68,'Justice Spend Total'!$C:$BA,38,FALSE),"")</f>
        <v/>
      </c>
      <c r="N68" s="16" t="str">
        <f>IF(ISNUMBER(VLOOKUP($C68,'Justice Spend Total'!$C:$BA,35,FALSE)),VLOOKUP($C68,'Justice Spend Total'!$C:$BA,35,FALSE),"")</f>
        <v/>
      </c>
      <c r="O68" s="16" t="str">
        <f>IF(ISNUMBER(VLOOKUP($C68,'Justice Spend Total'!$C:$BA,36,FALSE)),VLOOKUP($C68,'Justice Spend Total'!$C:$BA,36,FALSE),"")</f>
        <v/>
      </c>
      <c r="P68" s="16" t="str">
        <f>IF(ISNUMBER(VLOOKUP($C68,'Justice Spend Total'!$C:$BA,37,FALSE)),VLOOKUP($C68,'Justice Spend Total'!$C:$BA,37,FALSE),"")</f>
        <v/>
      </c>
      <c r="Q68" s="16" t="str">
        <f t="shared" si="14"/>
        <v/>
      </c>
      <c r="R68" s="15" t="str">
        <f>IF(ISNUMBER(VLOOKUP($C68,'Justice Spend Total'!$C:$BA,39,FALSE)),VLOOKUP($C68,'Justice Spend Total'!$C:$BA,39,FALSE),"")</f>
        <v/>
      </c>
      <c r="S68" s="16" t="str">
        <f t="shared" si="15"/>
        <v/>
      </c>
      <c r="T68" s="7" t="str">
        <f t="shared" si="16"/>
        <v/>
      </c>
      <c r="U68" s="22" t="str">
        <f>VLOOKUP($C68,'Justice Spend Total'!$C:$BA,40,FALSE)</f>
        <v xml:space="preserve"> </v>
      </c>
      <c r="V68" s="15" t="str">
        <f>VLOOKUP($C68,'Justice Spend Total'!$C:$BA,41,FALSE)</f>
        <v xml:space="preserve"> </v>
      </c>
    </row>
    <row r="69" spans="1:46">
      <c r="A69">
        <v>67</v>
      </c>
      <c r="B69" t="s">
        <v>258</v>
      </c>
      <c r="C69" t="s">
        <v>524</v>
      </c>
      <c r="D69" t="s">
        <v>487</v>
      </c>
      <c r="E69" t="s">
        <v>494</v>
      </c>
      <c r="F69" s="17">
        <f>VLOOKUP(B69,'Justice Spend Total'!$B$4:$AQ$221,10,FALSE)</f>
        <v>483.86200000000002</v>
      </c>
      <c r="G69" s="15">
        <f>VLOOKUP(C69,'Justice Spend Total'!$C$4:$AQ$221,10,FALSE)</f>
        <v>34.526798010575064</v>
      </c>
      <c r="H69">
        <f>VLOOKUP(C69,'Justice Spend Total'!$C$4:$AQ$221,7,FALSE)</f>
        <v>49560</v>
      </c>
      <c r="I69" s="17">
        <f t="shared" si="10"/>
        <v>501.33760235854919</v>
      </c>
      <c r="J69" s="17">
        <f t="shared" si="11"/>
        <v>176.46439077043112</v>
      </c>
      <c r="K69" s="17">
        <f t="shared" si="12"/>
        <v>113.33121946513414</v>
      </c>
      <c r="L69" s="17">
        <f t="shared" si="13"/>
        <v>853.62174525373348</v>
      </c>
      <c r="M69" s="16">
        <f>IF(ISNUMBER(VLOOKUP($C69,'Justice Spend Total'!$C:$BA,38,FALSE)),VLOOKUP($C69,'Justice Spend Total'!$C:$BA,38,FALSE),"")</f>
        <v>4.9885906460253953</v>
      </c>
      <c r="N69" s="16">
        <f>IF(ISNUMBER(VLOOKUP($C69,'Justice Spend Total'!$C:$BA,35,FALSE)),VLOOKUP($C69,'Justice Spend Total'!$C:$BA,35,FALSE),"")</f>
        <v>2.9298317287866906</v>
      </c>
      <c r="O69" s="16">
        <f>IF(ISNUMBER(VLOOKUP($C69,'Justice Spend Total'!$C:$BA,36,FALSE)),VLOOKUP($C69,'Justice Spend Total'!$C:$BA,36,FALSE),"")</f>
        <v>1.03126310224475</v>
      </c>
      <c r="P69" s="16">
        <f>IF(ISNUMBER(VLOOKUP($C69,'Justice Spend Total'!$C:$BA,37,FALSE)),VLOOKUP($C69,'Justice Spend Total'!$C:$BA,37,FALSE),"")</f>
        <v>0.6623109878232647</v>
      </c>
      <c r="Q69" s="16">
        <f t="shared" si="14"/>
        <v>0.3651848271706899</v>
      </c>
      <c r="R69" s="15">
        <f>IF(ISNUMBER(VLOOKUP($C69,'Justice Spend Total'!$C:$BA,39,FALSE)),VLOOKUP($C69,'Justice Spend Total'!$C:$BA,39,FALSE),"")</f>
        <v>1.7224006159276299</v>
      </c>
      <c r="S69" s="16">
        <f t="shared" si="15"/>
        <v>1.7224006159276299</v>
      </c>
      <c r="T69" s="7">
        <f t="shared" si="16"/>
        <v>853.62174525373348</v>
      </c>
      <c r="U69" s="22">
        <f>VLOOKUP($C69,'Justice Spend Total'!$C:$BA,40,FALSE)</f>
        <v>2020</v>
      </c>
      <c r="V69" s="15" t="str">
        <f>VLOOKUP($C69,'Justice Spend Total'!$C:$BA,41,FALSE)</f>
        <v>IMF COFOG</v>
      </c>
    </row>
    <row r="70" spans="1:46">
      <c r="A70">
        <v>68</v>
      </c>
      <c r="B70" t="s">
        <v>63</v>
      </c>
      <c r="C70" t="s">
        <v>450</v>
      </c>
      <c r="D70" t="s">
        <v>485</v>
      </c>
      <c r="E70" t="s">
        <v>494</v>
      </c>
      <c r="F70" s="17">
        <f>VLOOKUP(B70,'Justice Spend Total'!$B$4:$AQ$221,10,FALSE)</f>
        <v>785.39800000000002</v>
      </c>
      <c r="G70" s="15">
        <f>VLOOKUP(C70,'Justice Spend Total'!$C$4:$AQ$221,10,FALSE)</f>
        <v>47.399937234453461</v>
      </c>
      <c r="H70">
        <f>VLOOKUP(C70,'Justice Spend Total'!$C$4:$AQ$221,7,FALSE)</f>
        <v>35710</v>
      </c>
      <c r="I70" s="17">
        <f t="shared" si="10"/>
        <v>442.87366454851161</v>
      </c>
      <c r="J70" s="17">
        <f t="shared" si="11"/>
        <v>123.04808987675536</v>
      </c>
      <c r="K70" s="17">
        <f t="shared" si="12"/>
        <v>76.56181448841896</v>
      </c>
      <c r="L70" s="17">
        <f t="shared" si="13"/>
        <v>721.87780297227687</v>
      </c>
      <c r="M70" s="16">
        <f>IF(ISNUMBER(VLOOKUP($C70,'Justice Spend Total'!$C:$BA,38,FALSE)),VLOOKUP($C70,'Justice Spend Total'!$C:$BA,38,FALSE),"")</f>
        <v>4.2647744835080026</v>
      </c>
      <c r="N70" s="16">
        <f>IF(ISNUMBER(VLOOKUP($C70,'Justice Spend Total'!$C:$BA,35,FALSE)),VLOOKUP($C70,'Justice Spend Total'!$C:$BA,35,FALSE),"")</f>
        <v>2.6164487898192252</v>
      </c>
      <c r="O70" s="16">
        <f>IF(ISNUMBER(VLOOKUP($C70,'Justice Spend Total'!$C:$BA,36,FALSE)),VLOOKUP($C70,'Justice Spend Total'!$C:$BA,36,FALSE),"")</f>
        <v>0.72695455074262627</v>
      </c>
      <c r="P70" s="16">
        <f>IF(ISNUMBER(VLOOKUP($C70,'Justice Spend Total'!$C:$BA,37,FALSE)),VLOOKUP($C70,'Justice Spend Total'!$C:$BA,37,FALSE),"")</f>
        <v>0.45231876017916867</v>
      </c>
      <c r="Q70" s="16">
        <f t="shared" si="14"/>
        <v>0.46905238276698241</v>
      </c>
      <c r="R70" s="15">
        <f>IF(ISNUMBER(VLOOKUP($C70,'Justice Spend Total'!$C:$BA,39,FALSE)),VLOOKUP($C70,'Justice Spend Total'!$C:$BA,39,FALSE),"")</f>
        <v>2.0215004283737801</v>
      </c>
      <c r="S70" s="16">
        <f t="shared" si="15"/>
        <v>2.0215004283737801</v>
      </c>
      <c r="T70" s="7">
        <f t="shared" si="16"/>
        <v>721.87780297227687</v>
      </c>
      <c r="U70" s="22">
        <f>VLOOKUP($C70,'Justice Spend Total'!$C:$BA,40,FALSE)</f>
        <v>2020</v>
      </c>
      <c r="V70" s="15" t="str">
        <f>VLOOKUP($C70,'Justice Spend Total'!$C:$BA,41,FALSE)</f>
        <v>IMF COFOG</v>
      </c>
    </row>
    <row r="71" spans="1:46">
      <c r="A71">
        <v>69</v>
      </c>
      <c r="B71" t="s">
        <v>57</v>
      </c>
      <c r="C71" t="s">
        <v>451</v>
      </c>
      <c r="D71" t="s">
        <v>493</v>
      </c>
      <c r="E71" t="s">
        <v>494</v>
      </c>
      <c r="F71" s="17">
        <f>VLOOKUP(B71,'Justice Spend Total'!$B$4:$AQ$221,10,FALSE)</f>
        <v>191417.7</v>
      </c>
      <c r="G71" s="15">
        <f>VLOOKUP(C71,'Justice Spend Total'!$C$4:$AQ$221,10,FALSE)</f>
        <v>35.569224056843062</v>
      </c>
      <c r="H71">
        <f>VLOOKUP(C71,'Justice Spend Total'!$C$4:$AQ$221,7,FALSE)</f>
        <v>42620</v>
      </c>
      <c r="I71" s="17">
        <f t="shared" si="10"/>
        <v>284.85673631421514</v>
      </c>
      <c r="J71" s="17">
        <f t="shared" si="11"/>
        <v>44.693803561798788</v>
      </c>
      <c r="K71" s="17">
        <f t="shared" si="12"/>
        <v>20.048521548167447</v>
      </c>
      <c r="L71" s="17">
        <f t="shared" si="13"/>
        <v>549.01618282180004</v>
      </c>
      <c r="M71" s="16">
        <f>IF(ISNUMBER(VLOOKUP($C71,'Justice Spend Total'!$C:$BA,38,FALSE)),VLOOKUP($C71,'Justice Spend Total'!$C:$BA,38,FALSE),"")</f>
        <v>3.6215735478668494</v>
      </c>
      <c r="N71" s="16">
        <f>IF(ISNUMBER(VLOOKUP($C71,'Justice Spend Total'!$C:$BA,35,FALSE)),VLOOKUP($C71,'Justice Spend Total'!$C:$BA,35,FALSE),"")</f>
        <v>1.8790513894598453</v>
      </c>
      <c r="O71" s="16">
        <f>IF(ISNUMBER(VLOOKUP($C71,'Justice Spend Total'!$C:$BA,36,FALSE)),VLOOKUP($C71,'Justice Spend Total'!$C:$BA,36,FALSE),"")</f>
        <v>0.29482172256023442</v>
      </c>
      <c r="P71" s="16">
        <f>IF(ISNUMBER(VLOOKUP($C71,'Justice Spend Total'!$C:$BA,37,FALSE)),VLOOKUP($C71,'Justice Spend Total'!$C:$BA,37,FALSE),"")</f>
        <v>0.13224964506419412</v>
      </c>
      <c r="Q71" s="16">
        <f t="shared" si="14"/>
        <v>1.3154507907825754</v>
      </c>
      <c r="R71" s="15">
        <f>IF(ISNUMBER(VLOOKUP($C71,'Justice Spend Total'!$C:$BA,39,FALSE)),VLOOKUP($C71,'Justice Spend Total'!$C:$BA,39,FALSE),"")</f>
        <v>1.2881656096241201</v>
      </c>
      <c r="S71" s="16">
        <f t="shared" si="15"/>
        <v>1.2881656096241201</v>
      </c>
      <c r="T71" s="7">
        <f t="shared" si="16"/>
        <v>549.01618282180004</v>
      </c>
      <c r="U71" s="22">
        <f>VLOOKUP($C71,'Justice Spend Total'!$C:$BA,40,FALSE)</f>
        <v>2020</v>
      </c>
      <c r="V71" s="15" t="str">
        <f>VLOOKUP($C71,'Justice Spend Total'!$C:$BA,41,FALSE)</f>
        <v>IMF COFOG</v>
      </c>
    </row>
    <row r="72" spans="1:46" hidden="1">
      <c r="A72">
        <v>70</v>
      </c>
      <c r="B72" t="s">
        <v>525</v>
      </c>
      <c r="C72" t="s">
        <v>526</v>
      </c>
      <c r="D72" t="s">
        <v>493</v>
      </c>
      <c r="E72" t="s">
        <v>494</v>
      </c>
      <c r="F72" s="17" t="str">
        <f>VLOOKUP(B72,'Justice Spend Total'!$B$4:$AQ$221,10,FALSE)</f>
        <v xml:space="preserve"> </v>
      </c>
      <c r="G72" s="15" t="str">
        <f>VLOOKUP(C72,'Justice Spend Total'!$C$4:$AQ$221,10,FALSE)</f>
        <v xml:space="preserve"> </v>
      </c>
      <c r="H72" t="str">
        <f>VLOOKUP(C72,'Justice Spend Total'!$C$4:$AQ$221,7,FALSE)</f>
        <v/>
      </c>
      <c r="I72" s="35" t="str">
        <f t="shared" si="10"/>
        <v/>
      </c>
      <c r="J72" s="35" t="str">
        <f t="shared" si="11"/>
        <v/>
      </c>
      <c r="K72" s="35" t="str">
        <f t="shared" si="12"/>
        <v/>
      </c>
      <c r="L72" s="35" t="str">
        <f t="shared" si="13"/>
        <v/>
      </c>
      <c r="M72" s="16" t="str">
        <f>IF(ISNUMBER(VLOOKUP($C72,'Justice Spend Total'!$C:$BA,38,FALSE)),VLOOKUP($C72,'Justice Spend Total'!$C:$BA,38,FALSE),"")</f>
        <v/>
      </c>
      <c r="N72" s="16" t="str">
        <f>IF(ISNUMBER(VLOOKUP($C72,'Justice Spend Total'!$C:$BA,35,FALSE)),VLOOKUP($C72,'Justice Spend Total'!$C:$BA,35,FALSE),"")</f>
        <v/>
      </c>
      <c r="O72" s="16" t="str">
        <f>IF(ISNUMBER(VLOOKUP($C72,'Justice Spend Total'!$C:$BA,36,FALSE)),VLOOKUP($C72,'Justice Spend Total'!$C:$BA,36,FALSE),"")</f>
        <v/>
      </c>
      <c r="P72" s="16" t="str">
        <f>IF(ISNUMBER(VLOOKUP($C72,'Justice Spend Total'!$C:$BA,37,FALSE)),VLOOKUP($C72,'Justice Spend Total'!$C:$BA,37,FALSE),"")</f>
        <v/>
      </c>
      <c r="Q72" s="16" t="str">
        <f t="shared" si="14"/>
        <v/>
      </c>
      <c r="R72" s="15" t="str">
        <f>IF(ISNUMBER(VLOOKUP($C72,'Justice Spend Total'!$C:$BA,39,FALSE)),VLOOKUP($C72,'Justice Spend Total'!$C:$BA,39,FALSE),"")</f>
        <v/>
      </c>
      <c r="S72" s="16" t="str">
        <f t="shared" si="15"/>
        <v/>
      </c>
      <c r="T72" s="7" t="str">
        <f t="shared" si="16"/>
        <v/>
      </c>
      <c r="U72" s="22" t="str">
        <f>VLOOKUP($C72,'Justice Spend Total'!$C:$BA,40,FALSE)</f>
        <v xml:space="preserve"> </v>
      </c>
      <c r="V72" s="15" t="str">
        <f>VLOOKUP($C72,'Justice Spend Total'!$C:$BA,41,FALSE)</f>
        <v xml:space="preserve"> </v>
      </c>
    </row>
    <row r="73" spans="1:46">
      <c r="A73">
        <v>71</v>
      </c>
      <c r="B73" t="s">
        <v>176</v>
      </c>
      <c r="C73" t="s">
        <v>391</v>
      </c>
      <c r="D73" t="s">
        <v>487</v>
      </c>
      <c r="E73" t="s">
        <v>486</v>
      </c>
      <c r="F73" s="17">
        <f>VLOOKUP(B73,'Justice Spend Total'!$B$4:$AQ$221,10,FALSE)</f>
        <v>7.0289999999999999</v>
      </c>
      <c r="G73" s="15">
        <f>VLOOKUP(C73,'Justice Spend Total'!$C$4:$AQ$221,10,FALSE)</f>
        <v>22.655922643029815</v>
      </c>
      <c r="H73">
        <f>VLOOKUP(C73,'Justice Spend Total'!$C$4:$AQ$221,7,FALSE)</f>
        <v>4480</v>
      </c>
      <c r="I73" s="17">
        <f t="shared" si="10"/>
        <v>153.88540873539947</v>
      </c>
      <c r="J73" s="17">
        <f t="shared" si="11"/>
        <v>13.732290861158372</v>
      </c>
      <c r="K73" s="17">
        <f t="shared" si="12"/>
        <v>0</v>
      </c>
      <c r="L73" s="17">
        <f t="shared" si="13"/>
        <v>206.57639648762546</v>
      </c>
      <c r="M73" s="16">
        <f>IF(ISNUMBER(VLOOKUP($C73,'Justice Spend Total'!$C:$BA,38,FALSE)),VLOOKUP($C73,'Justice Spend Total'!$C:$BA,38,FALSE),"")</f>
        <v>20.352648406310909</v>
      </c>
      <c r="N73" s="16">
        <f>IF(ISNUMBER(VLOOKUP($C73,'Justice Spend Total'!$C:$BA,35,FALSE)),VLOOKUP($C73,'Justice Spend Total'!$C:$BA,35,FALSE),"")</f>
        <v>15.161343077453893</v>
      </c>
      <c r="O73" s="16">
        <f>IF(ISNUMBER(VLOOKUP($C73,'Justice Spend Total'!$C:$BA,36,FALSE)),VLOOKUP($C73,'Justice Spend Total'!$C:$BA,36,FALSE),"")</f>
        <v>1.35295460886353</v>
      </c>
      <c r="P73" s="16">
        <f>IF(ISNUMBER(VLOOKUP($C73,'Justice Spend Total'!$C:$BA,37,FALSE)),VLOOKUP($C73,'Justice Spend Total'!$C:$BA,37,FALSE),"")</f>
        <v>0</v>
      </c>
      <c r="Q73" s="16">
        <f t="shared" si="14"/>
        <v>3.8383507199934863</v>
      </c>
      <c r="R73" s="15">
        <f>IF(ISNUMBER(VLOOKUP($C73,'Justice Spend Total'!$C:$BA,39,FALSE)),VLOOKUP($C73,'Justice Spend Total'!$C:$BA,39,FALSE),"")</f>
        <v>4.6110802787416398</v>
      </c>
      <c r="S73" s="16">
        <f t="shared" si="15"/>
        <v>4.6110802787416398</v>
      </c>
      <c r="T73" s="7">
        <f t="shared" si="16"/>
        <v>206.57639648762546</v>
      </c>
      <c r="U73" s="22">
        <f>VLOOKUP($C73,'Justice Spend Total'!$C:$BA,40,FALSE)</f>
        <v>2020</v>
      </c>
      <c r="V73" s="15" t="str">
        <f>VLOOKUP($C73,'Justice Spend Total'!$C:$BA,41,FALSE)</f>
        <v>IMF COFOG</v>
      </c>
    </row>
    <row r="74" spans="1:46" s="109" customFormat="1">
      <c r="A74" s="109">
        <v>72</v>
      </c>
      <c r="B74" t="s">
        <v>212</v>
      </c>
      <c r="C74" t="s">
        <v>427</v>
      </c>
      <c r="D74" t="s">
        <v>485</v>
      </c>
      <c r="E74" t="s">
        <v>486</v>
      </c>
      <c r="F74" s="17">
        <f>VLOOKUP(B74,'Justice Spend Total'!$B$4:$AQ$221,10,FALSE)</f>
        <v>15199.1</v>
      </c>
      <c r="G74" s="15">
        <f>VLOOKUP(C74,'Justice Spend Total'!$C$4:$AQ$221,10,FALSE)</f>
        <v>18.702158246116028</v>
      </c>
      <c r="H74">
        <f>VLOOKUP(C74,'Justice Spend Total'!$C$4:$AQ$221,7,FALSE)</f>
        <v>8720</v>
      </c>
      <c r="I74" s="17">
        <f t="shared" si="10"/>
        <v>57.183013104654037</v>
      </c>
      <c r="J74" s="17">
        <f t="shared" si="11"/>
        <v>10.576314714272991</v>
      </c>
      <c r="K74" s="17">
        <f t="shared" si="12"/>
        <v>5.0675620700109469</v>
      </c>
      <c r="L74" s="17">
        <f t="shared" si="13"/>
        <v>81.411701687290801</v>
      </c>
      <c r="M74" s="16">
        <f>IF(ISNUMBER(VLOOKUP($C74,'Justice Spend Total'!$C:$BA,38,FALSE)),VLOOKUP($C74,'Justice Spend Total'!$C:$BA,38,FALSE),"")</f>
        <v>4.9920464788473904</v>
      </c>
      <c r="N74" s="16">
        <f>IF(ISNUMBER(VLOOKUP($C74,'Justice Spend Total'!$C:$BA,35,FALSE)),VLOOKUP($C74,'Justice Spend Total'!$C:$BA,35,FALSE),"")</f>
        <v>3.506378730608644</v>
      </c>
      <c r="O74" s="16">
        <f>IF(ISNUMBER(VLOOKUP($C74,'Justice Spend Total'!$C:$BA,36,FALSE)),VLOOKUP($C74,'Justice Spend Total'!$C:$BA,36,FALSE),"")</f>
        <v>0.64852414989884122</v>
      </c>
      <c r="P74" s="16">
        <f>IF(ISNUMBER(VLOOKUP($C74,'Justice Spend Total'!$C:$BA,37,FALSE)),VLOOKUP($C74,'Justice Spend Total'!$C:$BA,37,FALSE),"")</f>
        <v>0.31073549457433758</v>
      </c>
      <c r="Q74" s="16">
        <f t="shared" si="14"/>
        <v>0.52640810376556757</v>
      </c>
      <c r="R74" s="15">
        <f>IF(ISNUMBER(VLOOKUP($C74,'Justice Spend Total'!$C:$BA,39,FALSE)),VLOOKUP($C74,'Justice Spend Total'!$C:$BA,39,FALSE),"")</f>
        <v>0.93362043219370205</v>
      </c>
      <c r="S74" s="16">
        <f t="shared" si="15"/>
        <v>0.93362043219370205</v>
      </c>
      <c r="T74" s="7">
        <f t="shared" si="16"/>
        <v>81.411701687290801</v>
      </c>
      <c r="U74" s="22">
        <f>VLOOKUP($C74,'Justice Spend Total'!$C:$BA,40,FALSE)</f>
        <v>2020</v>
      </c>
      <c r="V74" s="15" t="str">
        <f>VLOOKUP($C74,'Justice Spend Total'!$C:$BA,41,FALSE)</f>
        <v>IMF COFOG</v>
      </c>
      <c r="W74"/>
      <c r="X74"/>
      <c r="Y74"/>
      <c r="Z74"/>
      <c r="AA74"/>
      <c r="AB74"/>
      <c r="AC74"/>
      <c r="AD74"/>
      <c r="AE74"/>
      <c r="AF74"/>
      <c r="AG74"/>
      <c r="AH74"/>
      <c r="AI74"/>
      <c r="AJ74"/>
      <c r="AK74"/>
      <c r="AL74"/>
      <c r="AM74"/>
      <c r="AN74"/>
      <c r="AO74"/>
      <c r="AP74"/>
      <c r="AQ74"/>
      <c r="AR74"/>
      <c r="AS74"/>
      <c r="AT74"/>
    </row>
    <row r="75" spans="1:46">
      <c r="A75">
        <v>73</v>
      </c>
      <c r="B75" t="s">
        <v>139</v>
      </c>
      <c r="C75" t="s">
        <v>353</v>
      </c>
      <c r="D75" t="s">
        <v>496</v>
      </c>
      <c r="E75" t="s">
        <v>488</v>
      </c>
      <c r="F75" s="17">
        <f>VLOOKUP(B75,'Justice Spend Total'!$B$4:$AQ$221,10,FALSE)</f>
        <v>1785.93</v>
      </c>
      <c r="G75" s="15">
        <f>VLOOKUP(C75,'Justice Spend Total'!$C$4:$AQ$221,10,FALSE)</f>
        <v>16.608682794273967</v>
      </c>
      <c r="H75">
        <f>VLOOKUP(C75,'Justice Spend Total'!$C$4:$AQ$221,7,FALSE)</f>
        <v>2010</v>
      </c>
      <c r="I75" s="17">
        <f t="shared" si="10"/>
        <v>21.466848257579464</v>
      </c>
      <c r="J75" s="17">
        <f t="shared" si="11"/>
        <v>5.5577802621286123</v>
      </c>
      <c r="K75" s="17">
        <f t="shared" si="12"/>
        <v>5.7439308338061643</v>
      </c>
      <c r="L75" s="17">
        <f t="shared" si="13"/>
        <v>32.992520896853229</v>
      </c>
      <c r="M75" s="16">
        <f>IF(ISNUMBER(VLOOKUP($C75,'Justice Spend Total'!$C:$BA,38,FALSE)),VLOOKUP($C75,'Justice Spend Total'!$C:$BA,38,FALSE),"")</f>
        <v>9.8828966175336799</v>
      </c>
      <c r="N75" s="16">
        <f>IF(ISNUMBER(VLOOKUP($C75,'Justice Spend Total'!$C:$BA,35,FALSE)),VLOOKUP($C75,'Justice Spend Total'!$C:$BA,35,FALSE),"")</f>
        <v>6.4303859258652718</v>
      </c>
      <c r="O75" s="16">
        <f>IF(ISNUMBER(VLOOKUP($C75,'Justice Spend Total'!$C:$BA,36,FALSE)),VLOOKUP($C75,'Justice Spend Total'!$C:$BA,36,FALSE),"")</f>
        <v>1.6648308847119697</v>
      </c>
      <c r="P75" s="16">
        <f>IF(ISNUMBER(VLOOKUP($C75,'Justice Spend Total'!$C:$BA,37,FALSE)),VLOOKUP($C75,'Justice Spend Total'!$C:$BA,37,FALSE),"")</f>
        <v>1.7205922150127264</v>
      </c>
      <c r="Q75" s="16">
        <f t="shared" si="14"/>
        <v>6.7087591943711944E-2</v>
      </c>
      <c r="R75" s="15">
        <f>IF(ISNUMBER(VLOOKUP($C75,'Justice Spend Total'!$C:$BA,39,FALSE)),VLOOKUP($C75,'Justice Spend Total'!$C:$BA,39,FALSE),"")</f>
        <v>1.6414189500922001</v>
      </c>
      <c r="S75" s="16">
        <f t="shared" si="15"/>
        <v>1.6414189500922001</v>
      </c>
      <c r="T75" s="7">
        <f t="shared" si="16"/>
        <v>32.992520896853229</v>
      </c>
      <c r="U75" s="22">
        <f>VLOOKUP($C75,'Justice Spend Total'!$C:$BA,40,FALSE)</f>
        <v>2020</v>
      </c>
      <c r="V75" s="15" t="str">
        <f>VLOOKUP($C75,'Justice Spend Total'!$C:$BA,41,FALSE)</f>
        <v>IMF COFOG</v>
      </c>
      <c r="W75" t="s">
        <v>484</v>
      </c>
    </row>
    <row r="76" spans="1:46">
      <c r="A76">
        <v>74</v>
      </c>
      <c r="B76" t="s">
        <v>152</v>
      </c>
      <c r="C76" t="s">
        <v>366</v>
      </c>
      <c r="D76" t="s">
        <v>493</v>
      </c>
      <c r="E76" t="s">
        <v>488</v>
      </c>
      <c r="F76" s="17">
        <f>VLOOKUP(B76,'Justice Spend Total'!$B$4:$AQ$221,10,FALSE)</f>
        <v>0.3</v>
      </c>
      <c r="G76" s="15">
        <f>VLOOKUP(C76,'Justice Spend Total'!$C$4:$AQ$221,10,FALSE)</f>
        <v>114.06844106463878</v>
      </c>
      <c r="H76">
        <f>VLOOKUP(C76,'Justice Spend Total'!$C$4:$AQ$221,7,FALSE)</f>
        <v>2910</v>
      </c>
      <c r="I76" s="17" t="str">
        <f t="shared" si="10"/>
        <v/>
      </c>
      <c r="J76" s="17" t="str">
        <f t="shared" si="11"/>
        <v/>
      </c>
      <c r="K76" s="17" t="str">
        <f t="shared" si="12"/>
        <v/>
      </c>
      <c r="L76" s="17">
        <f t="shared" si="13"/>
        <v>135.5677930875907</v>
      </c>
      <c r="M76" s="16">
        <f>IF(ISNUMBER(VLOOKUP($C76,'Justice Spend Total'!$C:$BA,38,FALSE)),VLOOKUP($C76,'Justice Spend Total'!$C:$BA,38,FALSE),"")</f>
        <v>4.0841156451358946</v>
      </c>
      <c r="N76" s="16" t="str">
        <f>IF(ISNUMBER(VLOOKUP($C76,'Justice Spend Total'!$C:$BA,35,FALSE)),VLOOKUP($C76,'Justice Spend Total'!$C:$BA,35,FALSE),"")</f>
        <v/>
      </c>
      <c r="O76" s="16" t="str">
        <f>IF(ISNUMBER(VLOOKUP($C76,'Justice Spend Total'!$C:$BA,36,FALSE)),VLOOKUP($C76,'Justice Spend Total'!$C:$BA,36,FALSE),"")</f>
        <v/>
      </c>
      <c r="P76" s="16" t="str">
        <f>IF(ISNUMBER(VLOOKUP($C76,'Justice Spend Total'!$C:$BA,37,FALSE)),VLOOKUP($C76,'Justice Spend Total'!$C:$BA,37,FALSE),"")</f>
        <v/>
      </c>
      <c r="Q76" s="16"/>
      <c r="R76" s="15">
        <f>IF(ISNUMBER(VLOOKUP($C76,'Justice Spend Total'!$C:$BA,39,FALSE)),VLOOKUP($C76,'Justice Spend Total'!$C:$BA,39,FALSE),"")</f>
        <v>4.6586870476835296</v>
      </c>
      <c r="S76" s="16">
        <f t="shared" si="15"/>
        <v>4.6586870476835296</v>
      </c>
      <c r="T76" s="7">
        <f t="shared" si="16"/>
        <v>135.5677930875907</v>
      </c>
      <c r="U76" s="22">
        <f>VLOOKUP($C76,'Justice Spend Total'!$C:$BA,40,FALSE)</f>
        <v>2020</v>
      </c>
      <c r="V76" s="15" t="str">
        <f>VLOOKUP($C76,'Justice Spend Total'!$C:$BA,41,FALSE)</f>
        <v>IMF COFOG</v>
      </c>
      <c r="W76" t="s">
        <v>484</v>
      </c>
    </row>
    <row r="77" spans="1:46">
      <c r="A77">
        <v>75</v>
      </c>
      <c r="B77" t="s">
        <v>73</v>
      </c>
      <c r="C77" t="s">
        <v>449</v>
      </c>
      <c r="D77" t="s">
        <v>493</v>
      </c>
      <c r="E77" t="s">
        <v>494</v>
      </c>
      <c r="F77" s="17">
        <f>VLOOKUP(B77,'Justice Spend Total'!$B$4:$AQ$221,10,FALSE)</f>
        <v>441148</v>
      </c>
      <c r="G77" s="15">
        <f>VLOOKUP(C77,'Justice Spend Total'!$C$4:$AQ$221,10,FALSE)</f>
        <v>22.92275699948766</v>
      </c>
      <c r="H77">
        <f>VLOOKUP(C77,'Justice Spend Total'!$C$4:$AQ$221,7,FALSE)</f>
        <v>34980</v>
      </c>
      <c r="I77" s="17" t="str">
        <f t="shared" si="10"/>
        <v/>
      </c>
      <c r="J77" s="17" t="str">
        <f t="shared" si="11"/>
        <v/>
      </c>
      <c r="K77" s="17" t="str">
        <f t="shared" si="12"/>
        <v/>
      </c>
      <c r="L77" s="17">
        <f t="shared" si="13"/>
        <v>447.63904353239127</v>
      </c>
      <c r="M77" s="16">
        <f>IF(ISNUMBER(VLOOKUP($C77,'Justice Spend Total'!$C:$BA,38,FALSE)),VLOOKUP($C77,'Justice Spend Total'!$C:$BA,38,FALSE),"")</f>
        <v>5.5826616010953236</v>
      </c>
      <c r="N77" s="16" t="str">
        <f>IF(ISNUMBER(VLOOKUP($C77,'Justice Spend Total'!$C:$BA,35,FALSE)),VLOOKUP($C77,'Justice Spend Total'!$C:$BA,35,FALSE),"")</f>
        <v/>
      </c>
      <c r="O77" s="16" t="str">
        <f>IF(ISNUMBER(VLOOKUP($C77,'Justice Spend Total'!$C:$BA,36,FALSE)),VLOOKUP($C77,'Justice Spend Total'!$C:$BA,36,FALSE),"")</f>
        <v/>
      </c>
      <c r="P77" s="16" t="str">
        <f>IF(ISNUMBER(VLOOKUP($C77,'Justice Spend Total'!$C:$BA,37,FALSE)),VLOOKUP($C77,'Justice Spend Total'!$C:$BA,37,FALSE),"")</f>
        <v/>
      </c>
      <c r="Q77" s="16"/>
      <c r="R77" s="15">
        <f>IF(ISNUMBER(VLOOKUP($C77,'Justice Spend Total'!$C:$BA,39,FALSE)),VLOOKUP($C77,'Justice Spend Total'!$C:$BA,39,FALSE),"")</f>
        <v>1.2796999529227882</v>
      </c>
      <c r="S77" s="16">
        <f t="shared" si="15"/>
        <v>1.2796999529227882</v>
      </c>
      <c r="T77" s="7">
        <f t="shared" si="16"/>
        <v>447.63904353239127</v>
      </c>
      <c r="U77" s="22" t="str">
        <f>VLOOKUP($C77,'Justice Spend Total'!$C:$BA,40,FALSE)</f>
        <v xml:space="preserve"> </v>
      </c>
      <c r="V77" s="15" t="str">
        <f>VLOOKUP($C77,'Justice Spend Total'!$C:$BA,41,FALSE)</f>
        <v>IMF COFOG</v>
      </c>
    </row>
    <row r="78" spans="1:46" hidden="1">
      <c r="A78">
        <v>76</v>
      </c>
      <c r="B78" t="s">
        <v>527</v>
      </c>
      <c r="C78" t="s">
        <v>528</v>
      </c>
      <c r="D78" t="s">
        <v>485</v>
      </c>
      <c r="E78" t="s">
        <v>494</v>
      </c>
      <c r="F78" s="17" t="str">
        <f>VLOOKUP(B78,'Justice Spend Total'!$B$4:$AQ$221,10,FALSE)</f>
        <v xml:space="preserve"> </v>
      </c>
      <c r="G78" s="15" t="str">
        <f>VLOOKUP(C78,'Justice Spend Total'!$C$4:$AQ$221,10,FALSE)</f>
        <v xml:space="preserve"> </v>
      </c>
      <c r="H78" t="str">
        <f>VLOOKUP(C78,'Justice Spend Total'!$C$4:$AQ$221,7,FALSE)</f>
        <v/>
      </c>
      <c r="I78" s="35" t="str">
        <f t="shared" si="10"/>
        <v/>
      </c>
      <c r="J78" s="35" t="str">
        <f t="shared" si="11"/>
        <v/>
      </c>
      <c r="K78" s="35" t="str">
        <f t="shared" si="12"/>
        <v/>
      </c>
      <c r="L78" s="35" t="str">
        <f t="shared" si="13"/>
        <v/>
      </c>
      <c r="M78" s="16" t="str">
        <f>IF(ISNUMBER(VLOOKUP($C78,'Justice Spend Total'!$C:$BA,38,FALSE)),VLOOKUP($C78,'Justice Spend Total'!$C:$BA,38,FALSE),"")</f>
        <v/>
      </c>
      <c r="N78" s="16" t="str">
        <f>IF(ISNUMBER(VLOOKUP($C78,'Justice Spend Total'!$C:$BA,35,FALSE)),VLOOKUP($C78,'Justice Spend Total'!$C:$BA,35,FALSE),"")</f>
        <v/>
      </c>
      <c r="O78" s="16" t="str">
        <f>IF(ISNUMBER(VLOOKUP($C78,'Justice Spend Total'!$C:$BA,36,FALSE)),VLOOKUP($C78,'Justice Spend Total'!$C:$BA,36,FALSE),"")</f>
        <v/>
      </c>
      <c r="P78" s="16" t="str">
        <f>IF(ISNUMBER(VLOOKUP($C78,'Justice Spend Total'!$C:$BA,37,FALSE)),VLOOKUP($C78,'Justice Spend Total'!$C:$BA,37,FALSE),"")</f>
        <v/>
      </c>
      <c r="Q78" s="16" t="str">
        <f>IF(ISNUMBER(M78),M78-N78-O78-P78,"")</f>
        <v/>
      </c>
      <c r="R78" s="15" t="str">
        <f>IF(ISNUMBER(VLOOKUP($C78,'Justice Spend Total'!$C:$BA,39,FALSE)),VLOOKUP($C78,'Justice Spend Total'!$C:$BA,39,FALSE),"")</f>
        <v/>
      </c>
      <c r="S78" s="16" t="str">
        <f t="shared" si="15"/>
        <v/>
      </c>
      <c r="T78" s="7" t="str">
        <f t="shared" si="16"/>
        <v/>
      </c>
      <c r="U78" s="22" t="str">
        <f>VLOOKUP($C78,'Justice Spend Total'!$C:$BA,40,FALSE)</f>
        <v xml:space="preserve"> </v>
      </c>
      <c r="V78" s="15" t="str">
        <f>VLOOKUP($C78,'Justice Spend Total'!$C:$BA,41,FALSE)</f>
        <v xml:space="preserve"> </v>
      </c>
    </row>
    <row r="79" spans="1:46">
      <c r="A79">
        <v>77</v>
      </c>
      <c r="B79" t="s">
        <v>184</v>
      </c>
      <c r="C79" t="s">
        <v>399</v>
      </c>
      <c r="D79" t="s">
        <v>485</v>
      </c>
      <c r="E79" t="s">
        <v>486</v>
      </c>
      <c r="F79" s="17">
        <f>VLOOKUP(B79,'Justice Spend Total'!$B$4:$AQ$221,10,FALSE)</f>
        <v>2.194</v>
      </c>
      <c r="G79" s="15">
        <f>VLOOKUP(C79,'Justice Spend Total'!$C$4:$AQ$221,10,FALSE)</f>
        <v>28.728558334424513</v>
      </c>
      <c r="H79">
        <f>VLOOKUP(C79,'Justice Spend Total'!$C$4:$AQ$221,7,FALSE)</f>
        <v>4970</v>
      </c>
      <c r="I79" s="17">
        <f t="shared" si="10"/>
        <v>70.960268596334899</v>
      </c>
      <c r="J79" s="17">
        <f t="shared" si="11"/>
        <v>36.989166064429163</v>
      </c>
      <c r="K79" s="17">
        <f t="shared" si="12"/>
        <v>10.565517718275846</v>
      </c>
      <c r="L79" s="17">
        <f t="shared" si="13"/>
        <v>134.36534966867922</v>
      </c>
      <c r="M79" s="16">
        <f>IF(ISNUMBER(VLOOKUP($C79,'Justice Spend Total'!$C:$BA,38,FALSE)),VLOOKUP($C79,'Justice Spend Total'!$C:$BA,38,FALSE),"")</f>
        <v>9.4105946106878555</v>
      </c>
      <c r="N79" s="16">
        <f>IF(ISNUMBER(VLOOKUP($C79,'Justice Spend Total'!$C:$BA,35,FALSE)),VLOOKUP($C79,'Justice Spend Total'!$C:$BA,35,FALSE),"")</f>
        <v>4.9698700064581613</v>
      </c>
      <c r="O79" s="16">
        <f>IF(ISNUMBER(VLOOKUP($C79,'Justice Spend Total'!$C:$BA,36,FALSE)),VLOOKUP($C79,'Justice Spend Total'!$C:$BA,36,FALSE),"")</f>
        <v>2.5906236070391859</v>
      </c>
      <c r="P79" s="16">
        <f>IF(ISNUMBER(VLOOKUP($C79,'Justice Spend Total'!$C:$BA,37,FALSE)),VLOOKUP($C79,'Justice Spend Total'!$C:$BA,37,FALSE),"")</f>
        <v>0.73998098724042183</v>
      </c>
      <c r="Q79" s="16">
        <f>IF(ISNUMBER(M79),M79-N79-O79-P79,"")</f>
        <v>1.1101200099500863</v>
      </c>
      <c r="R79" s="15">
        <f>IF(ISNUMBER(VLOOKUP($C79,'Justice Spend Total'!$C:$BA,39,FALSE)),VLOOKUP($C79,'Justice Spend Total'!$C:$BA,39,FALSE),"")</f>
        <v>2.7035281623476699</v>
      </c>
      <c r="S79" s="16">
        <f t="shared" si="15"/>
        <v>2.7035281623476699</v>
      </c>
      <c r="T79" s="7">
        <f t="shared" si="16"/>
        <v>134.36534966867922</v>
      </c>
      <c r="U79" s="22">
        <f>VLOOKUP($C79,'Justice Spend Total'!$C:$BA,40,FALSE)</f>
        <v>2021</v>
      </c>
      <c r="V79" s="15" t="str">
        <f>VLOOKUP($C79,'Justice Spend Total'!$C:$BA,41,FALSE)</f>
        <v>IMF COFOG</v>
      </c>
    </row>
    <row r="80" spans="1:46" hidden="1">
      <c r="A80">
        <v>78</v>
      </c>
      <c r="B80" t="s">
        <v>529</v>
      </c>
      <c r="C80" t="s">
        <v>530</v>
      </c>
      <c r="D80" t="s">
        <v>485</v>
      </c>
      <c r="E80" t="s">
        <v>494</v>
      </c>
      <c r="F80" s="17" t="str">
        <f>VLOOKUP(B80,'Justice Spend Total'!$B$4:$AQ$221,10,FALSE)</f>
        <v xml:space="preserve"> </v>
      </c>
      <c r="G80" s="15" t="str">
        <f>VLOOKUP(C80,'Justice Spend Total'!$C$4:$AQ$221,10,FALSE)</f>
        <v xml:space="preserve"> </v>
      </c>
      <c r="H80" t="str">
        <f>VLOOKUP(C80,'Justice Spend Total'!$C$4:$AQ$221,7,FALSE)</f>
        <v/>
      </c>
      <c r="I80" s="35" t="str">
        <f t="shared" si="10"/>
        <v/>
      </c>
      <c r="J80" s="35" t="str">
        <f t="shared" si="11"/>
        <v/>
      </c>
      <c r="K80" s="35" t="str">
        <f t="shared" si="12"/>
        <v/>
      </c>
      <c r="L80" s="35" t="str">
        <f t="shared" si="13"/>
        <v/>
      </c>
      <c r="M80" s="16" t="str">
        <f>IF(ISNUMBER(VLOOKUP($C80,'Justice Spend Total'!$C:$BA,38,FALSE)),VLOOKUP($C80,'Justice Spend Total'!$C:$BA,38,FALSE),"")</f>
        <v/>
      </c>
      <c r="N80" s="16" t="str">
        <f>IF(ISNUMBER(VLOOKUP($C80,'Justice Spend Total'!$C:$BA,35,FALSE)),VLOOKUP($C80,'Justice Spend Total'!$C:$BA,35,FALSE),"")</f>
        <v/>
      </c>
      <c r="O80" s="16" t="str">
        <f>IF(ISNUMBER(VLOOKUP($C80,'Justice Spend Total'!$C:$BA,36,FALSE)),VLOOKUP($C80,'Justice Spend Total'!$C:$BA,36,FALSE),"")</f>
        <v/>
      </c>
      <c r="P80" s="16" t="str">
        <f>IF(ISNUMBER(VLOOKUP($C80,'Justice Spend Total'!$C:$BA,37,FALSE)),VLOOKUP($C80,'Justice Spend Total'!$C:$BA,37,FALSE),"")</f>
        <v/>
      </c>
      <c r="Q80" s="16" t="str">
        <f>IF(ISNUMBER(M80),M80-N80-O80-P80,"")</f>
        <v/>
      </c>
      <c r="R80" s="15" t="str">
        <f>IF(ISNUMBER(VLOOKUP($C80,'Justice Spend Total'!$C:$BA,39,FALSE)),VLOOKUP($C80,'Justice Spend Total'!$C:$BA,39,FALSE),"")</f>
        <v/>
      </c>
      <c r="S80" s="16" t="str">
        <f t="shared" si="15"/>
        <v/>
      </c>
      <c r="T80" s="7" t="str">
        <f t="shared" si="16"/>
        <v/>
      </c>
      <c r="U80" s="22" t="str">
        <f>VLOOKUP($C80,'Justice Spend Total'!$C:$BA,40,FALSE)</f>
        <v xml:space="preserve"> </v>
      </c>
      <c r="V80" s="15" t="str">
        <f>VLOOKUP($C80,'Justice Spend Total'!$C:$BA,41,FALSE)</f>
        <v xml:space="preserve"> </v>
      </c>
    </row>
    <row r="81" spans="1:23">
      <c r="A81">
        <v>79</v>
      </c>
      <c r="B81" t="s">
        <v>123</v>
      </c>
      <c r="C81" t="s">
        <v>337</v>
      </c>
      <c r="D81" t="s">
        <v>485</v>
      </c>
      <c r="E81" t="s">
        <v>488</v>
      </c>
      <c r="F81" s="17">
        <f>VLOOKUP(B81,'Justice Spend Total'!$B$4:$AQ$221,10,FALSE)</f>
        <v>245.58500000000001</v>
      </c>
      <c r="G81" s="15">
        <f>VLOOKUP(C81,'Justice Spend Total'!$C$4:$AQ$221,10,FALSE)</f>
        <v>33.96176578779238</v>
      </c>
      <c r="H81">
        <f>VLOOKUP(C81,'Justice Spend Total'!$C$4:$AQ$221,7,FALSE)</f>
        <v>1180</v>
      </c>
      <c r="I81" s="17" t="str">
        <f t="shared" si="10"/>
        <v/>
      </c>
      <c r="J81" s="17" t="str">
        <f t="shared" si="11"/>
        <v/>
      </c>
      <c r="K81" s="17" t="str">
        <f t="shared" si="12"/>
        <v/>
      </c>
      <c r="L81" s="17">
        <f t="shared" si="13"/>
        <v>20.226141425651551</v>
      </c>
      <c r="M81" s="16">
        <f>IF(ISNUMBER(VLOOKUP($C81,'Justice Spend Total'!$C:$BA,38,FALSE)),VLOOKUP($C81,'Justice Spend Total'!$C:$BA,38,FALSE),"")</f>
        <v>5.0470867520410456</v>
      </c>
      <c r="N81" s="16" t="str">
        <f>IF(ISNUMBER(VLOOKUP($C81,'Justice Spend Total'!$C:$BA,35,FALSE)),VLOOKUP($C81,'Justice Spend Total'!$C:$BA,35,FALSE),"")</f>
        <v/>
      </c>
      <c r="O81" s="16" t="str">
        <f>IF(ISNUMBER(VLOOKUP($C81,'Justice Spend Total'!$C:$BA,36,FALSE)),VLOOKUP($C81,'Justice Spend Total'!$C:$BA,36,FALSE),"")</f>
        <v/>
      </c>
      <c r="P81" s="16" t="str">
        <f>IF(ISNUMBER(VLOOKUP($C81,'Justice Spend Total'!$C:$BA,37,FALSE)),VLOOKUP($C81,'Justice Spend Total'!$C:$BA,37,FALSE),"")</f>
        <v/>
      </c>
      <c r="Q81" s="16"/>
      <c r="R81" s="15">
        <f>IF(ISNUMBER(VLOOKUP($C81,'Justice Spend Total'!$C:$BA,39,FALSE)),VLOOKUP($C81,'Justice Spend Total'!$C:$BA,39,FALSE),"")</f>
        <v>1.7140797818348776</v>
      </c>
      <c r="S81" s="16">
        <f t="shared" si="15"/>
        <v>1.7140797818348776</v>
      </c>
      <c r="T81" s="7">
        <f t="shared" si="16"/>
        <v>20.226141425651551</v>
      </c>
      <c r="U81" s="22">
        <f>VLOOKUP($C81,'Justice Spend Total'!$C:$BA,40,FALSE)</f>
        <v>2019</v>
      </c>
      <c r="V81" s="15" t="s">
        <v>489</v>
      </c>
    </row>
    <row r="82" spans="1:23" hidden="1">
      <c r="A82">
        <v>80</v>
      </c>
      <c r="B82" t="s">
        <v>531</v>
      </c>
      <c r="C82" t="s">
        <v>532</v>
      </c>
      <c r="D82" t="s">
        <v>493</v>
      </c>
      <c r="E82" t="s">
        <v>494</v>
      </c>
      <c r="F82" s="17" t="str">
        <f>VLOOKUP(B82,'Justice Spend Total'!$B$4:$AQ$221,10,FALSE)</f>
        <v xml:space="preserve"> </v>
      </c>
      <c r="G82" s="15" t="str">
        <f>VLOOKUP(C82,'Justice Spend Total'!$C$4:$AQ$221,10,FALSE)</f>
        <v xml:space="preserve"> </v>
      </c>
      <c r="H82" t="str">
        <f>VLOOKUP(C82,'Justice Spend Total'!$C$4:$AQ$221,7,FALSE)</f>
        <v/>
      </c>
      <c r="I82" s="35" t="str">
        <f t="shared" si="10"/>
        <v/>
      </c>
      <c r="J82" s="35" t="str">
        <f t="shared" si="11"/>
        <v/>
      </c>
      <c r="K82" s="35" t="str">
        <f t="shared" si="12"/>
        <v/>
      </c>
      <c r="L82" s="35" t="str">
        <f t="shared" si="13"/>
        <v/>
      </c>
      <c r="M82" s="16" t="str">
        <f>IF(ISNUMBER(VLOOKUP($C82,'Justice Spend Total'!$C:$BA,38,FALSE)),VLOOKUP($C82,'Justice Spend Total'!$C:$BA,38,FALSE),"")</f>
        <v/>
      </c>
      <c r="N82" s="16" t="str">
        <f>IF(ISNUMBER(VLOOKUP($C82,'Justice Spend Total'!$C:$BA,35,FALSE)),VLOOKUP($C82,'Justice Spend Total'!$C:$BA,35,FALSE),"")</f>
        <v/>
      </c>
      <c r="O82" s="16" t="str">
        <f>IF(ISNUMBER(VLOOKUP($C82,'Justice Spend Total'!$C:$BA,36,FALSE)),VLOOKUP($C82,'Justice Spend Total'!$C:$BA,36,FALSE),"")</f>
        <v/>
      </c>
      <c r="P82" s="16" t="str">
        <f>IF(ISNUMBER(VLOOKUP($C82,'Justice Spend Total'!$C:$BA,37,FALSE)),VLOOKUP($C82,'Justice Spend Total'!$C:$BA,37,FALSE),"")</f>
        <v/>
      </c>
      <c r="Q82" s="16" t="str">
        <f>IF(ISNUMBER(M82),M82-N82-O82-P82,"")</f>
        <v/>
      </c>
      <c r="R82" s="15" t="str">
        <f>IF(ISNUMBER(VLOOKUP($C82,'Justice Spend Total'!$C:$BA,39,FALSE)),VLOOKUP($C82,'Justice Spend Total'!$C:$BA,39,FALSE),"")</f>
        <v/>
      </c>
      <c r="S82" s="16" t="str">
        <f t="shared" si="15"/>
        <v/>
      </c>
      <c r="T82" s="7" t="str">
        <f t="shared" si="16"/>
        <v/>
      </c>
      <c r="U82" s="22" t="str">
        <f>VLOOKUP($C82,'Justice Spend Total'!$C:$BA,40,FALSE)</f>
        <v xml:space="preserve"> </v>
      </c>
      <c r="V82" s="15" t="str">
        <f>VLOOKUP($C82,'Justice Spend Total'!$C:$BA,41,FALSE)</f>
        <v xml:space="preserve"> </v>
      </c>
    </row>
    <row r="83" spans="1:23">
      <c r="A83">
        <v>81</v>
      </c>
      <c r="B83" t="s">
        <v>147</v>
      </c>
      <c r="C83" t="s">
        <v>361</v>
      </c>
      <c r="D83" t="s">
        <v>493</v>
      </c>
      <c r="E83" t="s">
        <v>488</v>
      </c>
      <c r="F83" s="17">
        <f>VLOOKUP(B83,'Justice Spend Total'!$B$4:$AQ$221,10,FALSE)</f>
        <v>21780.87</v>
      </c>
      <c r="G83" s="15">
        <f>VLOOKUP(C83,'Justice Spend Total'!$C$4:$AQ$221,10,FALSE)</f>
        <v>12.980879772890164</v>
      </c>
      <c r="H83">
        <f>VLOOKUP(C83,'Justice Spend Total'!$C$4:$AQ$221,7,FALSE)</f>
        <v>2520</v>
      </c>
      <c r="I83" s="17" t="str">
        <f t="shared" si="10"/>
        <v/>
      </c>
      <c r="J83" s="17" t="str">
        <f t="shared" si="11"/>
        <v/>
      </c>
      <c r="K83" s="17" t="str">
        <f t="shared" si="12"/>
        <v/>
      </c>
      <c r="L83" s="17">
        <f t="shared" si="13"/>
        <v>6.4264666729522286</v>
      </c>
      <c r="M83" s="16">
        <f>IF(ISNUMBER(VLOOKUP($C83,'Justice Spend Total'!$C:$BA,38,FALSE)),VLOOKUP($C83,'Justice Spend Total'!$C:$BA,38,FALSE),"")</f>
        <v>1.9645703775836318</v>
      </c>
      <c r="N83" s="16" t="str">
        <f>IF(ISNUMBER(VLOOKUP($C83,'Justice Spend Total'!$C:$BA,35,FALSE)),VLOOKUP($C83,'Justice Spend Total'!$C:$BA,35,FALSE),"")</f>
        <v/>
      </c>
      <c r="O83" s="16" t="str">
        <f>IF(ISNUMBER(VLOOKUP($C83,'Justice Spend Total'!$C:$BA,36,FALSE)),VLOOKUP($C83,'Justice Spend Total'!$C:$BA,36,FALSE),"")</f>
        <v/>
      </c>
      <c r="P83" s="16" t="str">
        <f>IF(ISNUMBER(VLOOKUP($C83,'Justice Spend Total'!$C:$BA,37,FALSE)),VLOOKUP($C83,'Justice Spend Total'!$C:$BA,37,FALSE),"")</f>
        <v/>
      </c>
      <c r="Q83" s="16"/>
      <c r="R83" s="15">
        <f>IF(ISNUMBER(VLOOKUP($C83,'Justice Spend Total'!$C:$BA,39,FALSE)),VLOOKUP($C83,'Justice Spend Total'!$C:$BA,39,FALSE),"")</f>
        <v>0.25501851876794557</v>
      </c>
      <c r="S83" s="16">
        <f t="shared" si="15"/>
        <v>0.25501851876794557</v>
      </c>
      <c r="T83" s="7">
        <f t="shared" si="16"/>
        <v>6.4264666729522286</v>
      </c>
      <c r="U83" s="22">
        <f>VLOOKUP($C83,'Justice Spend Total'!$C:$BA,40,FALSE)</f>
        <v>2022</v>
      </c>
      <c r="V83" s="15" t="s">
        <v>489</v>
      </c>
      <c r="W83" t="s">
        <v>533</v>
      </c>
    </row>
    <row r="84" spans="1:23">
      <c r="A84">
        <v>82</v>
      </c>
      <c r="B84" t="s">
        <v>240</v>
      </c>
      <c r="C84" t="s">
        <v>534</v>
      </c>
      <c r="D84" t="s">
        <v>485</v>
      </c>
      <c r="E84" t="s">
        <v>494</v>
      </c>
      <c r="F84" s="17">
        <f>VLOOKUP(B84,'Justice Spend Total'!$B$4:$AQ$221,10,FALSE)</f>
        <v>11.321</v>
      </c>
      <c r="G84" s="15">
        <f>VLOOKUP(C84,'Justice Spend Total'!$C$4:$AQ$221,10,FALSE)</f>
        <v>38.432291136232472</v>
      </c>
      <c r="H84">
        <f>VLOOKUP(C84,'Justice Spend Total'!$C$4:$AQ$221,7,FALSE)</f>
        <v>19370</v>
      </c>
      <c r="I84" s="17">
        <f t="shared" si="10"/>
        <v>232.5079818629595</v>
      </c>
      <c r="J84" s="17">
        <f t="shared" si="11"/>
        <v>92.634466811963236</v>
      </c>
      <c r="K84" s="17">
        <f t="shared" si="12"/>
        <v>38.69245125895533</v>
      </c>
      <c r="L84" s="17">
        <f t="shared" si="13"/>
        <v>442.94853542666721</v>
      </c>
      <c r="M84" s="16">
        <f>IF(ISNUMBER(VLOOKUP($C84,'Justice Spend Total'!$C:$BA,38,FALSE)),VLOOKUP($C84,'Justice Spend Total'!$C:$BA,38,FALSE),"")</f>
        <v>5.9501425948484661</v>
      </c>
      <c r="N84" s="16">
        <f>IF(ISNUMBER(VLOOKUP($C84,'Justice Spend Total'!$C:$BA,35,FALSE)),VLOOKUP($C84,'Justice Spend Total'!$C:$BA,35,FALSE),"")</f>
        <v>3.1232875512105385</v>
      </c>
      <c r="O84" s="16">
        <f>IF(ISNUMBER(VLOOKUP($C84,'Justice Spend Total'!$C:$BA,36,FALSE)),VLOOKUP($C84,'Justice Spend Total'!$C:$BA,36,FALSE),"")</f>
        <v>1.2443619126046115</v>
      </c>
      <c r="P84" s="16">
        <f>IF(ISNUMBER(VLOOKUP($C84,'Justice Spend Total'!$C:$BA,37,FALSE)),VLOOKUP($C84,'Justice Spend Total'!$C:$BA,37,FALSE),"")</f>
        <v>0.51975700091940702</v>
      </c>
      <c r="Q84" s="16">
        <f>IF(ISNUMBER(M84),M84-N84-O84-P84,"")</f>
        <v>1.0627361301139091</v>
      </c>
      <c r="R84" s="15">
        <f>IF(ISNUMBER(VLOOKUP($C84,'Justice Spend Total'!$C:$BA,39,FALSE)),VLOOKUP($C84,'Justice Spend Total'!$C:$BA,39,FALSE),"")</f>
        <v>2.28677612507314</v>
      </c>
      <c r="S84" s="16">
        <f t="shared" si="15"/>
        <v>2.28677612507314</v>
      </c>
      <c r="T84" s="7">
        <f t="shared" si="16"/>
        <v>442.94853542666721</v>
      </c>
      <c r="U84" s="22">
        <f>VLOOKUP($C84,'Justice Spend Total'!$C:$BA,40,FALSE)</f>
        <v>2020</v>
      </c>
      <c r="V84" s="15" t="str">
        <f>VLOOKUP($C84,'Justice Spend Total'!$C:$BA,41,FALSE)</f>
        <v>IMF COFOG</v>
      </c>
    </row>
    <row r="85" spans="1:23">
      <c r="A85">
        <v>83</v>
      </c>
      <c r="B85" t="s">
        <v>159</v>
      </c>
      <c r="C85" t="s">
        <v>373</v>
      </c>
      <c r="D85" t="s">
        <v>487</v>
      </c>
      <c r="E85" t="s">
        <v>488</v>
      </c>
      <c r="F85" s="17">
        <f>VLOOKUP(B85,'Justice Spend Total'!$B$4:$AQ$221,10,FALSE)</f>
        <v>14694.56</v>
      </c>
      <c r="G85" s="15">
        <f>VLOOKUP(C85,'Justice Spend Total'!$C$4:$AQ$221,10,FALSE)</f>
        <v>13.766547402981812</v>
      </c>
      <c r="H85">
        <f>VLOOKUP(C85,'Justice Spend Total'!$C$4:$AQ$221,7,FALSE)</f>
        <v>3450</v>
      </c>
      <c r="I85" s="17">
        <f t="shared" si="10"/>
        <v>32.065219759160861</v>
      </c>
      <c r="J85" s="17">
        <f t="shared" si="11"/>
        <v>3.8903355046946579</v>
      </c>
      <c r="K85" s="17">
        <f t="shared" si="12"/>
        <v>0.68274280190471415</v>
      </c>
      <c r="L85" s="17">
        <f t="shared" si="13"/>
        <v>49.917387195256694</v>
      </c>
      <c r="M85" s="16">
        <f>IF(ISNUMBER(VLOOKUP($C85,'Justice Spend Total'!$C:$BA,38,FALSE)),VLOOKUP($C85,'Justice Spend Total'!$C:$BA,38,FALSE),"")</f>
        <v>10.510120990502802</v>
      </c>
      <c r="N85" s="16">
        <f>IF(ISNUMBER(VLOOKUP($C85,'Justice Spend Total'!$C:$BA,35,FALSE)),VLOOKUP($C85,'Justice Spend Total'!$C:$BA,35,FALSE),"")</f>
        <v>6.7513417306398091</v>
      </c>
      <c r="O85" s="16">
        <f>IF(ISNUMBER(VLOOKUP($C85,'Justice Spend Total'!$C:$BA,36,FALSE)),VLOOKUP($C85,'Justice Spend Total'!$C:$BA,36,FALSE),"")</f>
        <v>0.81911131862837039</v>
      </c>
      <c r="P85" s="16">
        <f>IF(ISNUMBER(VLOOKUP($C85,'Justice Spend Total'!$C:$BA,37,FALSE)),VLOOKUP($C85,'Justice Spend Total'!$C:$BA,37,FALSE),"")</f>
        <v>0.14375170369684917</v>
      </c>
      <c r="Q85" s="16">
        <f>IF(ISNUMBER(M85),M85-N85-O85-P85,"")</f>
        <v>2.7959162375377735</v>
      </c>
      <c r="R85" s="15">
        <f>IF(ISNUMBER(VLOOKUP($C85,'Justice Spend Total'!$C:$BA,39,FALSE)),VLOOKUP($C85,'Justice Spend Total'!$C:$BA,39,FALSE),"")</f>
        <v>1.4468807882683099</v>
      </c>
      <c r="S85" s="16">
        <f t="shared" si="15"/>
        <v>1.4468807882683099</v>
      </c>
      <c r="T85" s="7">
        <f t="shared" si="16"/>
        <v>49.917387195256694</v>
      </c>
      <c r="U85" s="22">
        <f>VLOOKUP($C85,'Justice Spend Total'!$C:$BA,40,FALSE)</f>
        <v>2020</v>
      </c>
      <c r="V85" s="15" t="str">
        <f>VLOOKUP($C85,'Justice Spend Total'!$C:$BA,41,FALSE)</f>
        <v>IMF COFOG</v>
      </c>
      <c r="W85" t="s">
        <v>484</v>
      </c>
    </row>
    <row r="86" spans="1:23">
      <c r="A86">
        <v>84</v>
      </c>
      <c r="B86" t="s">
        <v>125</v>
      </c>
      <c r="C86" t="s">
        <v>339</v>
      </c>
      <c r="D86" t="s">
        <v>496</v>
      </c>
      <c r="E86" t="s">
        <v>488</v>
      </c>
      <c r="F86" s="17">
        <f>VLOOKUP(B86,'Justice Spend Total'!$B$4:$AQ$221,10,FALSE)</f>
        <v>16.957000000000001</v>
      </c>
      <c r="G86" s="15">
        <f>VLOOKUP(C86,'Justice Spend Total'!$C$4:$AQ$221,10,FALSE)</f>
        <v>46.273707190612633</v>
      </c>
      <c r="H86">
        <f>VLOOKUP(C86,'Justice Spend Total'!$C$4:$AQ$221,7,FALSE)</f>
        <v>1270</v>
      </c>
      <c r="I86" s="17" t="str">
        <f t="shared" si="10"/>
        <v/>
      </c>
      <c r="J86" s="17" t="str">
        <f t="shared" si="11"/>
        <v/>
      </c>
      <c r="K86" s="17" t="str">
        <f t="shared" si="12"/>
        <v/>
      </c>
      <c r="L86" s="17">
        <f t="shared" si="13"/>
        <v>42.701062847045975</v>
      </c>
      <c r="M86" s="16">
        <f>IF(ISNUMBER(VLOOKUP($C86,'Justice Spend Total'!$C:$BA,38,FALSE)),VLOOKUP($C86,'Justice Spend Total'!$C:$BA,38,FALSE),"")</f>
        <v>7.2660882762281052</v>
      </c>
      <c r="N86" s="16" t="str">
        <f>IF(ISNUMBER(VLOOKUP($C86,'Justice Spend Total'!$C:$BA,35,FALSE)),VLOOKUP($C86,'Justice Spend Total'!$C:$BA,35,FALSE),"")</f>
        <v/>
      </c>
      <c r="O86" s="16" t="str">
        <f>IF(ISNUMBER(VLOOKUP($C86,'Justice Spend Total'!$C:$BA,36,FALSE)),VLOOKUP($C86,'Justice Spend Total'!$C:$BA,36,FALSE),"")</f>
        <v/>
      </c>
      <c r="P86" s="16" t="str">
        <f>IF(ISNUMBER(VLOOKUP($C86,'Justice Spend Total'!$C:$BA,37,FALSE)),VLOOKUP($C86,'Justice Spend Total'!$C:$BA,37,FALSE),"")</f>
        <v/>
      </c>
      <c r="Q86" s="16"/>
      <c r="R86" s="15">
        <f>IF(ISNUMBER(VLOOKUP($C86,'Justice Spend Total'!$C:$BA,39,FALSE)),VLOOKUP($C86,'Justice Spend Total'!$C:$BA,39,FALSE),"")</f>
        <v>3.3622884131532258</v>
      </c>
      <c r="S86" s="16">
        <f t="shared" si="15"/>
        <v>3.3622884131532258</v>
      </c>
      <c r="T86" s="7">
        <f t="shared" si="16"/>
        <v>42.701062847045975</v>
      </c>
      <c r="U86" s="22" t="str">
        <f>VLOOKUP($C86,'Justice Spend Total'!$C:$BA,40,FALSE)</f>
        <v>22/23</v>
      </c>
      <c r="V86" s="15" t="s">
        <v>489</v>
      </c>
    </row>
    <row r="87" spans="1:23">
      <c r="A87">
        <v>85</v>
      </c>
      <c r="B87" t="s">
        <v>103</v>
      </c>
      <c r="C87" t="s">
        <v>316</v>
      </c>
      <c r="D87" t="s">
        <v>496</v>
      </c>
      <c r="E87" t="s">
        <v>299</v>
      </c>
      <c r="F87" s="17">
        <f>VLOOKUP(B87,'Justice Spend Total'!$B$4:$AQ$221,10,FALSE)</f>
        <v>0.95</v>
      </c>
      <c r="G87" s="15">
        <f>VLOOKUP(C87,'Justice Spend Total'!$C$4:$AQ$221,10,FALSE)</f>
        <v>31.280869278893647</v>
      </c>
      <c r="H87">
        <f>VLOOKUP(C87,'Justice Spend Total'!$C$4:$AQ$221,7,FALSE)</f>
        <v>620</v>
      </c>
      <c r="I87" s="17" t="str">
        <f t="shared" si="10"/>
        <v/>
      </c>
      <c r="J87" s="17" t="str">
        <f t="shared" si="11"/>
        <v/>
      </c>
      <c r="K87" s="17" t="str">
        <f t="shared" si="12"/>
        <v/>
      </c>
      <c r="L87" s="17">
        <f t="shared" si="13"/>
        <v>18.311407250576231</v>
      </c>
      <c r="M87" s="16">
        <f>IF(ISNUMBER(VLOOKUP($C87,'Justice Spend Total'!$C:$BA,38,FALSE)),VLOOKUP($C87,'Justice Spend Total'!$C:$BA,38,FALSE),"")</f>
        <v>9.4417222105263168</v>
      </c>
      <c r="N87" s="16" t="str">
        <f>IF(ISNUMBER(VLOOKUP($C87,'Justice Spend Total'!$C:$BA,35,FALSE)),VLOOKUP($C87,'Justice Spend Total'!$C:$BA,35,FALSE),"")</f>
        <v/>
      </c>
      <c r="O87" s="16" t="str">
        <f>IF(ISNUMBER(VLOOKUP($C87,'Justice Spend Total'!$C:$BA,36,FALSE)),VLOOKUP($C87,'Justice Spend Total'!$C:$BA,36,FALSE),"")</f>
        <v/>
      </c>
      <c r="P87" s="16" t="str">
        <f>IF(ISNUMBER(VLOOKUP($C87,'Justice Spend Total'!$C:$BA,37,FALSE)),VLOOKUP($C87,'Justice Spend Total'!$C:$BA,37,FALSE),"")</f>
        <v/>
      </c>
      <c r="Q87" s="16"/>
      <c r="R87" s="15">
        <f>IF(ISNUMBER(VLOOKUP($C87,'Justice Spend Total'!$C:$BA,39,FALSE)),VLOOKUP($C87,'Justice Spend Total'!$C:$BA,39,FALSE),"")</f>
        <v>2.9534527823510048</v>
      </c>
      <c r="S87" s="16">
        <f t="shared" si="15"/>
        <v>2.9534527823510048</v>
      </c>
      <c r="T87" s="7">
        <f t="shared" si="16"/>
        <v>18.311407250576231</v>
      </c>
      <c r="U87" s="22" t="str">
        <f>VLOOKUP($C87,'Justice Spend Total'!$C:$BA,40,FALSE)</f>
        <v>FY 20/21</v>
      </c>
      <c r="V87" s="15" t="s">
        <v>489</v>
      </c>
      <c r="W87" t="s">
        <v>535</v>
      </c>
    </row>
    <row r="88" spans="1:23">
      <c r="A88">
        <v>86</v>
      </c>
      <c r="B88" t="s">
        <v>244</v>
      </c>
      <c r="C88" t="s">
        <v>536</v>
      </c>
      <c r="D88" t="s">
        <v>485</v>
      </c>
      <c r="E88" t="s">
        <v>494</v>
      </c>
      <c r="F88" s="17">
        <f>VLOOKUP(B88,'Justice Spend Total'!$B$4:$AQ$221,10,FALSE)</f>
        <v>17.282</v>
      </c>
      <c r="G88" s="15">
        <f>VLOOKUP(C88,'Justice Spend Total'!$C$4:$AQ$221,10,FALSE)</f>
        <v>34.908194800735252</v>
      </c>
      <c r="H88">
        <f>VLOOKUP(C88,'Justice Spend Total'!$C$4:$AQ$221,7,FALSE)</f>
        <v>21610</v>
      </c>
      <c r="I88" s="17">
        <f t="shared" si="10"/>
        <v>112.20883532905376</v>
      </c>
      <c r="J88" s="17">
        <f t="shared" si="11"/>
        <v>58.498845077734025</v>
      </c>
      <c r="K88" s="17">
        <f t="shared" si="12"/>
        <v>44.3292583032392</v>
      </c>
      <c r="L88" s="17">
        <f t="shared" si="13"/>
        <v>332.75010842085658</v>
      </c>
      <c r="M88" s="16">
        <f>IF(ISNUMBER(VLOOKUP($C88,'Justice Spend Total'!$C:$BA,38,FALSE)),VLOOKUP($C88,'Justice Spend Total'!$C:$BA,38,FALSE),"")</f>
        <v>4.4109897434273178</v>
      </c>
      <c r="N88" s="16">
        <f>IF(ISNUMBER(VLOOKUP($C88,'Justice Spend Total'!$C:$BA,35,FALSE)),VLOOKUP($C88,'Justice Spend Total'!$C:$BA,35,FALSE),"")</f>
        <v>1.4874586340701479</v>
      </c>
      <c r="O88" s="16">
        <f>IF(ISNUMBER(VLOOKUP($C88,'Justice Spend Total'!$C:$BA,36,FALSE)),VLOOKUP($C88,'Justice Spend Total'!$C:$BA,36,FALSE),"")</f>
        <v>0.77547023760505174</v>
      </c>
      <c r="P88" s="16">
        <f>IF(ISNUMBER(VLOOKUP($C88,'Justice Spend Total'!$C:$BA,37,FALSE)),VLOOKUP($C88,'Justice Spend Total'!$C:$BA,37,FALSE),"")</f>
        <v>0.58763588278690482</v>
      </c>
      <c r="Q88" s="16">
        <f>IF(ISNUMBER(M88),M88-N88-O88-P88,"")</f>
        <v>1.5604249889652138</v>
      </c>
      <c r="R88" s="15">
        <f>IF(ISNUMBER(VLOOKUP($C88,'Justice Spend Total'!$C:$BA,39,FALSE)),VLOOKUP($C88,'Justice Spend Total'!$C:$BA,39,FALSE),"")</f>
        <v>1.5397968922760601</v>
      </c>
      <c r="S88" s="16">
        <f t="shared" si="15"/>
        <v>1.5397968922760601</v>
      </c>
      <c r="T88" s="7">
        <f t="shared" si="16"/>
        <v>332.75010842085658</v>
      </c>
      <c r="U88" s="22">
        <f>VLOOKUP($C88,'Justice Spend Total'!$C:$BA,40,FALSE)</f>
        <v>2020</v>
      </c>
      <c r="V88" s="15" t="str">
        <f>VLOOKUP($C88,'Justice Spend Total'!$C:$BA,41,FALSE)</f>
        <v>IMF COFOG</v>
      </c>
    </row>
    <row r="89" spans="1:23">
      <c r="A89">
        <v>87</v>
      </c>
      <c r="B89" t="s">
        <v>54</v>
      </c>
      <c r="C89" t="s">
        <v>467</v>
      </c>
      <c r="D89" t="s">
        <v>485</v>
      </c>
      <c r="E89" t="s">
        <v>494</v>
      </c>
      <c r="F89" s="17">
        <f>VLOOKUP(B89,'Justice Spend Total'!$B$4:$AQ$221,10,FALSE)</f>
        <v>28.202999999999999</v>
      </c>
      <c r="G89" s="15">
        <f>VLOOKUP(C89,'Justice Spend Total'!$C$4:$AQ$221,10,FALSE)</f>
        <v>43.915541645256226</v>
      </c>
      <c r="H89">
        <f>VLOOKUP(C89,'Justice Spend Total'!$C$4:$AQ$221,7,FALSE)</f>
        <v>81110</v>
      </c>
      <c r="I89" s="17">
        <f t="shared" si="10"/>
        <v>433.25053879612733</v>
      </c>
      <c r="J89" s="17">
        <f t="shared" si="11"/>
        <v>191.40508332943543</v>
      </c>
      <c r="K89" s="17">
        <f t="shared" si="12"/>
        <v>145.52582885116075</v>
      </c>
      <c r="L89" s="17">
        <f t="shared" si="13"/>
        <v>1050.6984063732627</v>
      </c>
      <c r="M89" s="16">
        <f>IF(ISNUMBER(VLOOKUP($C89,'Justice Spend Total'!$C:$BA,38,FALSE)),VLOOKUP($C89,'Justice Spend Total'!$C:$BA,38,FALSE),"")</f>
        <v>2.9497514856108795</v>
      </c>
      <c r="N89" s="16">
        <f>IF(ISNUMBER(VLOOKUP($C89,'Justice Spend Total'!$C:$BA,35,FALSE)),VLOOKUP($C89,'Justice Spend Total'!$C:$BA,35,FALSE),"")</f>
        <v>1.2163161309693518</v>
      </c>
      <c r="O89" s="16">
        <f>IF(ISNUMBER(VLOOKUP($C89,'Justice Spend Total'!$C:$BA,36,FALSE)),VLOOKUP($C89,'Justice Spend Total'!$C:$BA,36,FALSE),"")</f>
        <v>0.53735441633848069</v>
      </c>
      <c r="P89" s="16">
        <f>IF(ISNUMBER(VLOOKUP($C89,'Justice Spend Total'!$C:$BA,37,FALSE)),VLOOKUP($C89,'Justice Spend Total'!$C:$BA,37,FALSE),"")</f>
        <v>0.40855208996668901</v>
      </c>
      <c r="Q89" s="16">
        <f>IF(ISNUMBER(M89),M89-N89-O89-P89,"")</f>
        <v>0.78752884833635806</v>
      </c>
      <c r="R89" s="15">
        <f>IF(ISNUMBER(VLOOKUP($C89,'Justice Spend Total'!$C:$BA,39,FALSE)),VLOOKUP($C89,'Justice Spend Total'!$C:$BA,39,FALSE),"")</f>
        <v>1.2953993420950101</v>
      </c>
      <c r="S89" s="16">
        <f t="shared" si="15"/>
        <v>1.2953993420950101</v>
      </c>
      <c r="T89" s="7">
        <f t="shared" si="16"/>
        <v>1050.6984063732627</v>
      </c>
      <c r="U89" s="22">
        <f>VLOOKUP($C89,'Justice Spend Total'!$C:$BA,40,FALSE)</f>
        <v>2020</v>
      </c>
      <c r="V89" s="15" t="str">
        <f>VLOOKUP($C89,'Justice Spend Total'!$C:$BA,41,FALSE)</f>
        <v>IMF COFOG</v>
      </c>
    </row>
    <row r="90" spans="1:23">
      <c r="A90">
        <v>88</v>
      </c>
      <c r="B90" t="s">
        <v>257</v>
      </c>
      <c r="C90" t="s">
        <v>537</v>
      </c>
      <c r="D90" t="s">
        <v>493</v>
      </c>
      <c r="E90" t="s">
        <v>494</v>
      </c>
      <c r="F90" s="17">
        <f>VLOOKUP(B90,'Justice Spend Total'!$B$4:$AQ$221,10,FALSE)</f>
        <v>56.511000000000003</v>
      </c>
      <c r="G90" s="15">
        <f>VLOOKUP(C90,'Justice Spend Total'!$C$4:$AQ$221,10,FALSE)</f>
        <v>27.646042982451853</v>
      </c>
      <c r="H90">
        <f>VLOOKUP(C90,'Justice Spend Total'!$C$4:$AQ$221,7,FALSE)</f>
        <v>46730</v>
      </c>
      <c r="I90" s="17" t="str">
        <f t="shared" si="10"/>
        <v/>
      </c>
      <c r="J90" s="17" t="str">
        <f t="shared" si="11"/>
        <v/>
      </c>
      <c r="K90" s="17" t="str">
        <f t="shared" si="12"/>
        <v/>
      </c>
      <c r="L90" s="17">
        <f t="shared" si="13"/>
        <v>2978.8412194303805</v>
      </c>
      <c r="M90" s="16">
        <f>IF(ISNUMBER(VLOOKUP($C90,'Justice Spend Total'!$C:$BA,38,FALSE)),VLOOKUP($C90,'Justice Spend Total'!$C:$BA,38,FALSE),"")</f>
        <v>23.057838595085464</v>
      </c>
      <c r="N90" s="16" t="str">
        <f>IF(ISNUMBER(VLOOKUP($C90,'Justice Spend Total'!$C:$BA,35,FALSE)),VLOOKUP($C90,'Justice Spend Total'!$C:$BA,35,FALSE),"")</f>
        <v/>
      </c>
      <c r="O90" s="16" t="str">
        <f>IF(ISNUMBER(VLOOKUP($C90,'Justice Spend Total'!$C:$BA,36,FALSE)),VLOOKUP($C90,'Justice Spend Total'!$C:$BA,36,FALSE),"")</f>
        <v/>
      </c>
      <c r="P90" s="16" t="str">
        <f>IF(ISNUMBER(VLOOKUP($C90,'Justice Spend Total'!$C:$BA,37,FALSE)),VLOOKUP($C90,'Justice Spend Total'!$C:$BA,37,FALSE),"")</f>
        <v/>
      </c>
      <c r="Q90" s="16"/>
      <c r="R90" s="15">
        <f>IF(ISNUMBER(VLOOKUP($C90,'Justice Spend Total'!$C:$BA,39,FALSE)),VLOOKUP($C90,'Justice Spend Total'!$C:$BA,39,FALSE),"")</f>
        <v>6.3745799688217</v>
      </c>
      <c r="S90" s="16">
        <f t="shared" si="15"/>
        <v>6.3745799688217</v>
      </c>
      <c r="T90" s="7">
        <f t="shared" si="16"/>
        <v>2978.8412194303805</v>
      </c>
      <c r="U90" s="22">
        <f>VLOOKUP($C90,'Justice Spend Total'!$C:$BA,40,FALSE)</f>
        <v>2020</v>
      </c>
      <c r="V90" s="15" t="str">
        <f>VLOOKUP($C90,'Justice Spend Total'!$C:$BA,41,FALSE)</f>
        <v>IMF COFOG</v>
      </c>
    </row>
    <row r="91" spans="1:23">
      <c r="A91">
        <v>89</v>
      </c>
      <c r="B91" t="s">
        <v>97</v>
      </c>
      <c r="C91" t="s">
        <v>310</v>
      </c>
      <c r="D91" t="s">
        <v>496</v>
      </c>
      <c r="E91" t="s">
        <v>299</v>
      </c>
      <c r="F91" s="17">
        <f>VLOOKUP(B91,'Justice Spend Total'!$B$4:$AQ$221,10,FALSE)</f>
        <v>6129.15</v>
      </c>
      <c r="G91" s="15">
        <f>VLOOKUP(C91,'Justice Spend Total'!$C$4:$AQ$221,10,FALSE)</f>
        <v>12.39383401121302</v>
      </c>
      <c r="H91">
        <f>VLOOKUP(C91,'Justice Spend Total'!$C$4:$AQ$221,7,FALSE)</f>
        <v>500</v>
      </c>
      <c r="I91" s="17">
        <f t="shared" si="10"/>
        <v>1.52399078391547</v>
      </c>
      <c r="J91" s="17">
        <f t="shared" si="11"/>
        <v>1.2421391751599351</v>
      </c>
      <c r="K91" s="17">
        <f t="shared" si="12"/>
        <v>0.23372307501619405</v>
      </c>
      <c r="L91" s="17">
        <f t="shared" si="13"/>
        <v>7.296149017192409</v>
      </c>
      <c r="M91" s="16">
        <f>IF(ISNUMBER(VLOOKUP($C91,'Justice Spend Total'!$C:$BA,38,FALSE)),VLOOKUP($C91,'Justice Spend Total'!$C:$BA,38,FALSE),"")</f>
        <v>11.773836910501457</v>
      </c>
      <c r="N91" s="16">
        <f>IF(ISNUMBER(VLOOKUP($C91,'Justice Spend Total'!$C:$BA,35,FALSE)),VLOOKUP($C91,'Justice Spend Total'!$C:$BA,35,FALSE),"")</f>
        <v>2.4592725423572341</v>
      </c>
      <c r="O91" s="16">
        <f>IF(ISNUMBER(VLOOKUP($C91,'Justice Spend Total'!$C:$BA,36,FALSE)),VLOOKUP($C91,'Justice Spend Total'!$C:$BA,36,FALSE),"")</f>
        <v>2.0044470081431456</v>
      </c>
      <c r="P91" s="16">
        <f>IF(ISNUMBER(VLOOKUP($C91,'Justice Spend Total'!$C:$BA,37,FALSE)),VLOOKUP($C91,'Justice Spend Total'!$C:$BA,37,FALSE),"")</f>
        <v>0.37716024727253689</v>
      </c>
      <c r="Q91" s="16">
        <f>IF(ISNUMBER(M91),M91-N91-O91-P91,"")</f>
        <v>6.9329571127285394</v>
      </c>
      <c r="R91" s="15">
        <f>IF(ISNUMBER(VLOOKUP($C91,'Justice Spend Total'!$C:$BA,39,FALSE)),VLOOKUP($C91,'Justice Spend Total'!$C:$BA,39,FALSE),"")</f>
        <v>1.4592298034384816</v>
      </c>
      <c r="S91" s="16">
        <f t="shared" si="15"/>
        <v>1.4592298034384816</v>
      </c>
      <c r="T91" s="7">
        <f t="shared" si="16"/>
        <v>7.296149017192409</v>
      </c>
      <c r="U91" s="22">
        <f>VLOOKUP($C91,'Justice Spend Total'!$C:$BA,40,FALSE)</f>
        <v>2021</v>
      </c>
      <c r="V91" s="15" t="s">
        <v>489</v>
      </c>
      <c r="W91" t="s">
        <v>484</v>
      </c>
    </row>
    <row r="92" spans="1:23">
      <c r="A92">
        <v>90</v>
      </c>
      <c r="B92" t="s">
        <v>104</v>
      </c>
      <c r="C92" t="s">
        <v>317</v>
      </c>
      <c r="D92" t="s">
        <v>496</v>
      </c>
      <c r="E92" t="s">
        <v>299</v>
      </c>
      <c r="F92" s="17">
        <f>VLOOKUP(B92,'Justice Spend Total'!$B$4:$AQ$221,10,FALSE)</f>
        <v>1438.91</v>
      </c>
      <c r="G92" s="15">
        <f>VLOOKUP(C92,'Justice Spend Total'!$C$4:$AQ$221,10,FALSE)</f>
        <v>14.778604911035245</v>
      </c>
      <c r="H92">
        <f>VLOOKUP(C92,'Justice Spend Total'!$C$4:$AQ$221,7,FALSE)</f>
        <v>630</v>
      </c>
      <c r="I92" s="17">
        <f t="shared" si="10"/>
        <v>3.7691052728841337</v>
      </c>
      <c r="J92" s="17">
        <f t="shared" si="11"/>
        <v>0.78807586081873859</v>
      </c>
      <c r="K92" s="17">
        <f t="shared" si="12"/>
        <v>0.64222839664394782</v>
      </c>
      <c r="L92" s="17">
        <f t="shared" si="13"/>
        <v>5.511696497843154</v>
      </c>
      <c r="M92" s="16">
        <f>IF(ISNUMBER(VLOOKUP($C92,'Justice Spend Total'!$C:$BA,38,FALSE)),VLOOKUP($C92,'Justice Spend Total'!$C:$BA,38,FALSE),"")</f>
        <v>5.9198582358868865</v>
      </c>
      <c r="N92" s="16">
        <f>IF(ISNUMBER(VLOOKUP($C92,'Justice Spend Total'!$C:$BA,35,FALSE)),VLOOKUP($C92,'Justice Spend Total'!$C:$BA,35,FALSE),"")</f>
        <v>4.0482216138604912</v>
      </c>
      <c r="O92" s="16">
        <f>IF(ISNUMBER(VLOOKUP($C92,'Justice Spend Total'!$C:$BA,36,FALSE)),VLOOKUP($C92,'Justice Spend Total'!$C:$BA,36,FALSE),"")</f>
        <v>0.84643582552070651</v>
      </c>
      <c r="P92" s="16">
        <f>IF(ISNUMBER(VLOOKUP($C92,'Justice Spend Total'!$C:$BA,37,FALSE)),VLOOKUP($C92,'Justice Spend Total'!$C:$BA,37,FALSE),"")</f>
        <v>0.68978781119041499</v>
      </c>
      <c r="Q92" s="16">
        <f>IF(ISNUMBER(M92),M92-N92-O92-P92,"")</f>
        <v>0.33541298531527386</v>
      </c>
      <c r="R92" s="15">
        <f>IF(ISNUMBER(VLOOKUP($C92,'Justice Spend Total'!$C:$BA,39,FALSE)),VLOOKUP($C92,'Justice Spend Total'!$C:$BA,39,FALSE),"")</f>
        <v>0.87487245997510388</v>
      </c>
      <c r="S92" s="16">
        <f t="shared" si="15"/>
        <v>0.87487245997510388</v>
      </c>
      <c r="T92" s="7">
        <f t="shared" si="16"/>
        <v>5.511696497843154</v>
      </c>
      <c r="U92" s="22" t="str">
        <f>VLOOKUP($C92,'Justice Spend Total'!$C:$BA,40,FALSE)</f>
        <v>18/19</v>
      </c>
      <c r="V92" s="15" t="s">
        <v>489</v>
      </c>
      <c r="W92" t="s">
        <v>538</v>
      </c>
    </row>
    <row r="93" spans="1:23">
      <c r="A93">
        <v>91</v>
      </c>
      <c r="B93" t="s">
        <v>222</v>
      </c>
      <c r="C93" t="s">
        <v>437</v>
      </c>
      <c r="D93" t="s">
        <v>493</v>
      </c>
      <c r="E93" t="s">
        <v>486</v>
      </c>
      <c r="F93" s="17">
        <f>VLOOKUP(B93,'Justice Spend Total'!$B$4:$AQ$221,10,FALSE)</f>
        <v>292.428</v>
      </c>
      <c r="G93" s="15">
        <f>VLOOKUP(C93,'Justice Spend Total'!$C$4:$AQ$221,10,FALSE)</f>
        <v>20.642802182675542</v>
      </c>
      <c r="H93">
        <f>VLOOKUP(C93,'Justice Spend Total'!$C$4:$AQ$221,7,FALSE)</f>
        <v>10930</v>
      </c>
      <c r="I93" s="17" t="str">
        <f t="shared" si="10"/>
        <v/>
      </c>
      <c r="J93" s="17" t="str">
        <f t="shared" si="11"/>
        <v/>
      </c>
      <c r="K93" s="17" t="str">
        <f t="shared" si="12"/>
        <v/>
      </c>
      <c r="L93" s="17">
        <f t="shared" si="13"/>
        <v>126.10827858242544</v>
      </c>
      <c r="M93" s="16">
        <f>IF(ISNUMBER(VLOOKUP($C93,'Justice Spend Total'!$C:$BA,38,FALSE)),VLOOKUP($C93,'Justice Spend Total'!$C:$BA,38,FALSE),"")</f>
        <v>5.5892660773992198</v>
      </c>
      <c r="N93" s="16" t="str">
        <f>IF(ISNUMBER(VLOOKUP($C93,'Justice Spend Total'!$C:$BA,35,FALSE)),VLOOKUP($C93,'Justice Spend Total'!$C:$BA,35,FALSE),"")</f>
        <v/>
      </c>
      <c r="O93" s="16" t="str">
        <f>IF(ISNUMBER(VLOOKUP($C93,'Justice Spend Total'!$C:$BA,36,FALSE)),VLOOKUP($C93,'Justice Spend Total'!$C:$BA,36,FALSE),"")</f>
        <v/>
      </c>
      <c r="P93" s="16" t="str">
        <f>IF(ISNUMBER(VLOOKUP($C93,'Justice Spend Total'!$C:$BA,37,FALSE)),VLOOKUP($C93,'Justice Spend Total'!$C:$BA,37,FALSE),"")</f>
        <v/>
      </c>
      <c r="Q93" s="16"/>
      <c r="R93" s="15">
        <f>IF(ISNUMBER(VLOOKUP($C93,'Justice Spend Total'!$C:$BA,39,FALSE)),VLOOKUP($C93,'Justice Spend Total'!$C:$BA,39,FALSE),"")</f>
        <v>1.1537811398209099</v>
      </c>
      <c r="S93" s="16">
        <f t="shared" si="15"/>
        <v>1.1537811398209099</v>
      </c>
      <c r="T93" s="7">
        <f t="shared" si="16"/>
        <v>126.10827858242544</v>
      </c>
      <c r="U93" s="22">
        <f>VLOOKUP($C93,'Justice Spend Total'!$C:$BA,40,FALSE)</f>
        <v>2020</v>
      </c>
      <c r="V93" s="15" t="str">
        <f>VLOOKUP($C93,'Justice Spend Total'!$C:$BA,41,FALSE)</f>
        <v>IMF COFOG</v>
      </c>
    </row>
    <row r="94" spans="1:23">
      <c r="A94">
        <v>92</v>
      </c>
      <c r="B94" t="s">
        <v>113</v>
      </c>
      <c r="C94" t="s">
        <v>326</v>
      </c>
      <c r="D94" t="s">
        <v>496</v>
      </c>
      <c r="E94" t="s">
        <v>299</v>
      </c>
      <c r="F94" s="17">
        <f>VLOOKUP(B94,'Justice Spend Total'!$B$4:$AQ$221,10,FALSE)</f>
        <v>2173.3000000000002</v>
      </c>
      <c r="G94" s="15">
        <f>VLOOKUP(C94,'Justice Spend Total'!$C$4:$AQ$221,10,FALSE)</f>
        <v>21.465284965905234</v>
      </c>
      <c r="H94">
        <f>VLOOKUP(C94,'Justice Spend Total'!$C$4:$AQ$221,7,FALSE)</f>
        <v>870</v>
      </c>
      <c r="I94" s="17">
        <f t="shared" si="10"/>
        <v>5.069769830671861</v>
      </c>
      <c r="J94" s="17">
        <f t="shared" si="11"/>
        <v>1.9419796300539671</v>
      </c>
      <c r="K94" s="17">
        <f t="shared" si="12"/>
        <v>0.65305509683230745</v>
      </c>
      <c r="L94" s="17">
        <f t="shared" si="13"/>
        <v>14.453140432525542</v>
      </c>
      <c r="M94" s="16">
        <f>IF(ISNUMBER(VLOOKUP($C94,'Justice Spend Total'!$C:$BA,38,FALSE)),VLOOKUP($C94,'Justice Spend Total'!$C:$BA,38,FALSE),"")</f>
        <v>7.7393825058666526</v>
      </c>
      <c r="N94" s="16">
        <f>IF(ISNUMBER(VLOOKUP($C94,'Justice Spend Total'!$C:$BA,35,FALSE)),VLOOKUP($C94,'Justice Spend Total'!$C:$BA,35,FALSE),"")</f>
        <v>2.7147655638890167</v>
      </c>
      <c r="O94" s="16">
        <f>IF(ISNUMBER(VLOOKUP($C94,'Justice Spend Total'!$C:$BA,36,FALSE)),VLOOKUP($C94,'Justice Spend Total'!$C:$BA,36,FALSE),"")</f>
        <v>1.0398932498964708</v>
      </c>
      <c r="P94" s="16">
        <f>IF(ISNUMBER(VLOOKUP($C94,'Justice Spend Total'!$C:$BA,37,FALSE)),VLOOKUP($C94,'Justice Spend Total'!$C:$BA,37,FALSE),"")</f>
        <v>0.34969861500943261</v>
      </c>
      <c r="Q94" s="16">
        <f t="shared" ref="Q94:Q102" si="17">IF(ISNUMBER(M94),M94-N94-O94-P94,"")</f>
        <v>3.6350250770717318</v>
      </c>
      <c r="R94" s="15">
        <f>IF(ISNUMBER(VLOOKUP($C94,'Justice Spend Total'!$C:$BA,39,FALSE)),VLOOKUP($C94,'Justice Spend Total'!$C:$BA,39,FALSE),"")</f>
        <v>1.6612805094856944</v>
      </c>
      <c r="S94" s="16">
        <f t="shared" si="15"/>
        <v>1.6612805094856944</v>
      </c>
      <c r="T94" s="7">
        <f t="shared" si="16"/>
        <v>14.453140432525542</v>
      </c>
      <c r="U94" s="22">
        <f>VLOOKUP($C94,'Justice Spend Total'!$C:$BA,40,FALSE)</f>
        <v>2020</v>
      </c>
      <c r="V94" s="15" t="s">
        <v>489</v>
      </c>
      <c r="W94" t="s">
        <v>539</v>
      </c>
    </row>
    <row r="95" spans="1:23">
      <c r="A95">
        <v>93</v>
      </c>
      <c r="B95" t="s">
        <v>252</v>
      </c>
      <c r="C95" t="s">
        <v>540</v>
      </c>
      <c r="D95" t="s">
        <v>487</v>
      </c>
      <c r="E95" t="s">
        <v>494</v>
      </c>
      <c r="F95" s="17">
        <f>VLOOKUP(B95,'Justice Spend Total'!$B$4:$AQ$221,10,FALSE)</f>
        <v>4.6749999999999998</v>
      </c>
      <c r="G95" s="15">
        <f>VLOOKUP(C95,'Justice Spend Total'!$C$4:$AQ$221,10,FALSE)</f>
        <v>35.796324655436443</v>
      </c>
      <c r="H95">
        <f>VLOOKUP(C95,'Justice Spend Total'!$C$4:$AQ$221,7,FALSE)</f>
        <v>30560</v>
      </c>
      <c r="I95" s="17">
        <f t="shared" si="10"/>
        <v>245.80396351507756</v>
      </c>
      <c r="J95" s="17">
        <f t="shared" si="11"/>
        <v>106.91963271797685</v>
      </c>
      <c r="K95" s="17">
        <f t="shared" si="12"/>
        <v>59.727518966593976</v>
      </c>
      <c r="L95" s="17">
        <f t="shared" si="13"/>
        <v>451.44079013233818</v>
      </c>
      <c r="M95" s="16">
        <f>IF(ISNUMBER(VLOOKUP($C95,'Justice Spend Total'!$C:$BA,38,FALSE)),VLOOKUP($C95,'Justice Spend Total'!$C:$BA,38,FALSE),"")</f>
        <v>4.1267580697765327</v>
      </c>
      <c r="N95" s="16">
        <f>IF(ISNUMBER(VLOOKUP($C95,'Justice Spend Total'!$C:$BA,35,FALSE)),VLOOKUP($C95,'Justice Spend Total'!$C:$BA,35,FALSE),"")</f>
        <v>2.246969064805914</v>
      </c>
      <c r="O95" s="16">
        <f>IF(ISNUMBER(VLOOKUP($C95,'Justice Spend Total'!$C:$BA,36,FALSE)),VLOOKUP($C95,'Justice Spend Total'!$C:$BA,36,FALSE),"")</f>
        <v>0.97738500104766479</v>
      </c>
      <c r="P95" s="16">
        <f>IF(ISNUMBER(VLOOKUP($C95,'Justice Spend Total'!$C:$BA,37,FALSE)),VLOOKUP($C95,'Justice Spend Total'!$C:$BA,37,FALSE),"")</f>
        <v>0.54598748334386804</v>
      </c>
      <c r="Q95" s="16">
        <f t="shared" si="17"/>
        <v>0.3564165205790859</v>
      </c>
      <c r="R95" s="15">
        <f>IF(ISNUMBER(VLOOKUP($C95,'Justice Spend Total'!$C:$BA,39,FALSE)),VLOOKUP($C95,'Justice Spend Total'!$C:$BA,39,FALSE),"")</f>
        <v>1.4772277164016301</v>
      </c>
      <c r="S95" s="16">
        <f t="shared" si="15"/>
        <v>1.4772277164016301</v>
      </c>
      <c r="T95" s="7">
        <f t="shared" si="16"/>
        <v>451.44079013233818</v>
      </c>
      <c r="U95" s="22">
        <f>VLOOKUP($C95,'Justice Spend Total'!$C:$BA,40,FALSE)</f>
        <v>2020</v>
      </c>
      <c r="V95" s="15" t="str">
        <f>VLOOKUP($C95,'Justice Spend Total'!$C:$BA,41,FALSE)</f>
        <v>IMF COFOG</v>
      </c>
    </row>
    <row r="96" spans="1:23">
      <c r="A96">
        <v>94</v>
      </c>
      <c r="B96" t="s">
        <v>186</v>
      </c>
      <c r="C96" t="s">
        <v>401</v>
      </c>
      <c r="D96" t="s">
        <v>493</v>
      </c>
      <c r="E96" t="s">
        <v>486</v>
      </c>
      <c r="F96" s="17">
        <f>VLOOKUP(B96,'Justice Spend Total'!$B$4:$AQ$221,10,FALSE)</f>
        <v>0.17100000000000001</v>
      </c>
      <c r="G96" s="15">
        <f>VLOOKUP(C96,'Justice Spend Total'!$C$4:$AQ$221,10,FALSE)</f>
        <v>70.081967213114766</v>
      </c>
      <c r="H96">
        <f>VLOOKUP(C96,'Justice Spend Total'!$C$4:$AQ$221,7,FALSE)</f>
        <v>5050</v>
      </c>
      <c r="I96" s="17">
        <f t="shared" si="10"/>
        <v>0</v>
      </c>
      <c r="J96" s="17">
        <f t="shared" si="11"/>
        <v>141.01796227251521</v>
      </c>
      <c r="K96" s="17">
        <f t="shared" si="12"/>
        <v>0</v>
      </c>
      <c r="L96" s="17">
        <f t="shared" si="13"/>
        <v>176.57202622703048</v>
      </c>
      <c r="M96" s="16">
        <f>IF(ISNUMBER(VLOOKUP($C96,'Justice Spend Total'!$C:$BA,38,FALSE)),VLOOKUP($C96,'Justice Spend Total'!$C:$BA,38,FALSE),"")</f>
        <v>4.9891233164721704</v>
      </c>
      <c r="N96" s="16">
        <f>IF(ISNUMBER(VLOOKUP($C96,'Justice Spend Total'!$C:$BA,35,FALSE)),VLOOKUP($C96,'Justice Spend Total'!$C:$BA,35,FALSE),"")</f>
        <v>0</v>
      </c>
      <c r="O96" s="16">
        <f>IF(ISNUMBER(VLOOKUP($C96,'Justice Spend Total'!$C:$BA,36,FALSE)),VLOOKUP($C96,'Justice Spend Total'!$C:$BA,36,FALSE),"")</f>
        <v>3.9845269867979511</v>
      </c>
      <c r="P96" s="16">
        <f>IF(ISNUMBER(VLOOKUP($C96,'Justice Spend Total'!$C:$BA,37,FALSE)),VLOOKUP($C96,'Justice Spend Total'!$C:$BA,37,FALSE),"")</f>
        <v>0</v>
      </c>
      <c r="Q96" s="16">
        <f t="shared" si="17"/>
        <v>1.0045963296742193</v>
      </c>
      <c r="R96" s="15">
        <f>IF(ISNUMBER(VLOOKUP($C96,'Justice Spend Total'!$C:$BA,39,FALSE)),VLOOKUP($C96,'Justice Spend Total'!$C:$BA,39,FALSE),"")</f>
        <v>3.4964757668718902</v>
      </c>
      <c r="S96" s="16">
        <f t="shared" si="15"/>
        <v>3.4964757668718902</v>
      </c>
      <c r="T96" s="7">
        <f t="shared" si="16"/>
        <v>176.57202622703048</v>
      </c>
      <c r="U96" s="22">
        <f>VLOOKUP($C96,'Justice Spend Total'!$C:$BA,40,FALSE)</f>
        <v>2019</v>
      </c>
      <c r="V96" s="15" t="str">
        <f>VLOOKUP($C96,'Justice Spend Total'!$C:$BA,41,FALSE)</f>
        <v>IMF COFOG</v>
      </c>
    </row>
    <row r="97" spans="1:23" hidden="1">
      <c r="A97">
        <v>95</v>
      </c>
      <c r="B97" t="s">
        <v>263</v>
      </c>
      <c r="C97" t="s">
        <v>541</v>
      </c>
      <c r="D97" t="s">
        <v>485</v>
      </c>
      <c r="E97" t="s">
        <v>494</v>
      </c>
      <c r="F97" s="17" t="str">
        <f>VLOOKUP(B97,'Justice Spend Total'!$B$4:$AQ$221,10,FALSE)</f>
        <v xml:space="preserve"> </v>
      </c>
      <c r="G97" s="15" t="str">
        <f>VLOOKUP(C97,'Justice Spend Total'!$C$4:$AQ$221,10,FALSE)</f>
        <v xml:space="preserve"> </v>
      </c>
      <c r="H97">
        <f>VLOOKUP(C97,'Justice Spend Total'!$C$4:$AQ$221,7,FALSE)</f>
        <v>83920</v>
      </c>
      <c r="I97" s="17" t="str">
        <f t="shared" si="10"/>
        <v/>
      </c>
      <c r="J97" s="17" t="str">
        <f t="shared" si="11"/>
        <v/>
      </c>
      <c r="K97" s="17" t="str">
        <f t="shared" si="12"/>
        <v/>
      </c>
      <c r="L97" s="17" t="str">
        <f t="shared" si="13"/>
        <v/>
      </c>
      <c r="M97" s="16" t="str">
        <f>IF(ISNUMBER(VLOOKUP($C97,'Justice Spend Total'!$C:$BA,38,FALSE)),VLOOKUP($C97,'Justice Spend Total'!$C:$BA,38,FALSE),"")</f>
        <v/>
      </c>
      <c r="N97" s="16" t="str">
        <f>IF(ISNUMBER(VLOOKUP($C97,'Justice Spend Total'!$C:$BA,35,FALSE)),VLOOKUP($C97,'Justice Spend Total'!$C:$BA,35,FALSE),"")</f>
        <v/>
      </c>
      <c r="O97" s="16" t="str">
        <f>IF(ISNUMBER(VLOOKUP($C97,'Justice Spend Total'!$C:$BA,36,FALSE)),VLOOKUP($C97,'Justice Spend Total'!$C:$BA,36,FALSE),"")</f>
        <v/>
      </c>
      <c r="P97" s="16" t="str">
        <f>IF(ISNUMBER(VLOOKUP($C97,'Justice Spend Total'!$C:$BA,37,FALSE)),VLOOKUP($C97,'Justice Spend Total'!$C:$BA,37,FALSE),"")</f>
        <v/>
      </c>
      <c r="Q97" s="16" t="str">
        <f t="shared" si="17"/>
        <v/>
      </c>
      <c r="R97" s="15" t="str">
        <f>IF(ISNUMBER(VLOOKUP($C97,'Justice Spend Total'!$C:$BA,39,FALSE)),VLOOKUP($C97,'Justice Spend Total'!$C:$BA,39,FALSE),"")</f>
        <v/>
      </c>
      <c r="S97" s="16" t="str">
        <f t="shared" si="15"/>
        <v/>
      </c>
      <c r="T97" s="7" t="str">
        <f t="shared" si="16"/>
        <v/>
      </c>
      <c r="U97" s="22" t="str">
        <f>VLOOKUP($C97,'Justice Spend Total'!$C:$BA,40,FALSE)</f>
        <v xml:space="preserve"> </v>
      </c>
      <c r="V97" s="15" t="str">
        <f>VLOOKUP($C97,'Justice Spend Total'!$C:$BA,41,FALSE)</f>
        <v xml:space="preserve"> </v>
      </c>
    </row>
    <row r="98" spans="1:23">
      <c r="A98">
        <v>96</v>
      </c>
      <c r="B98" t="s">
        <v>135</v>
      </c>
      <c r="C98" t="s">
        <v>349</v>
      </c>
      <c r="D98" t="s">
        <v>496</v>
      </c>
      <c r="E98" t="s">
        <v>488</v>
      </c>
      <c r="F98" s="17">
        <f>VLOOKUP(B98,'Justice Spend Total'!$B$4:$AQ$221,10,FALSE)</f>
        <v>65.481999999999999</v>
      </c>
      <c r="G98" s="15">
        <f>VLOOKUP(C98,'Justice Spend Total'!$C$4:$AQ$221,10,FALSE)</f>
        <v>22.243358277653037</v>
      </c>
      <c r="H98">
        <f>VLOOKUP(C98,'Justice Spend Total'!$C$4:$AQ$221,7,FALSE)</f>
        <v>1730</v>
      </c>
      <c r="I98" s="17">
        <f t="shared" si="10"/>
        <v>10.632002579172458</v>
      </c>
      <c r="J98" s="17">
        <f t="shared" si="11"/>
        <v>2.4908478107877667</v>
      </c>
      <c r="K98" s="17">
        <f t="shared" si="12"/>
        <v>0.53339526612747057</v>
      </c>
      <c r="L98" s="17">
        <f t="shared" si="13"/>
        <v>20.660809153127325</v>
      </c>
      <c r="M98" s="16">
        <f>IF(ISNUMBER(VLOOKUP($C98,'Justice Spend Total'!$C:$BA,38,FALSE)),VLOOKUP($C98,'Justice Spend Total'!$C:$BA,38,FALSE),"")</f>
        <v>5.3690922482514285</v>
      </c>
      <c r="N98" s="16">
        <f>IF(ISNUMBER(VLOOKUP($C98,'Justice Spend Total'!$C:$BA,35,FALSE)),VLOOKUP($C98,'Justice Spend Total'!$C:$BA,35,FALSE),"")</f>
        <v>2.7629219266363281</v>
      </c>
      <c r="O98" s="16">
        <f>IF(ISNUMBER(VLOOKUP($C98,'Justice Spend Total'!$C:$BA,36,FALSE)),VLOOKUP($C98,'Justice Spend Total'!$C:$BA,36,FALSE),"")</f>
        <v>0.64729273540820376</v>
      </c>
      <c r="P98" s="16">
        <f>IF(ISNUMBER(VLOOKUP($C98,'Justice Spend Total'!$C:$BA,37,FALSE)),VLOOKUP($C98,'Justice Spend Total'!$C:$BA,37,FALSE),"")</f>
        <v>0.13861259582786106</v>
      </c>
      <c r="Q98" s="16">
        <f t="shared" si="17"/>
        <v>1.8202649903790356</v>
      </c>
      <c r="R98" s="15">
        <f>IF(ISNUMBER(VLOOKUP($C98,'Justice Spend Total'!$C:$BA,39,FALSE)),VLOOKUP($C98,'Justice Spend Total'!$C:$BA,39,FALSE),"")</f>
        <v>1.1942664250362618</v>
      </c>
      <c r="S98" s="16">
        <f t="shared" si="15"/>
        <v>1.1942664250362618</v>
      </c>
      <c r="T98" s="7">
        <f t="shared" si="16"/>
        <v>20.660809153127325</v>
      </c>
      <c r="U98" s="22">
        <f>VLOOKUP($C98,'Justice Spend Total'!$C:$BA,40,FALSE)</f>
        <v>2021</v>
      </c>
      <c r="V98" s="15" t="s">
        <v>489</v>
      </c>
    </row>
    <row r="99" spans="1:23">
      <c r="A99">
        <v>97</v>
      </c>
      <c r="B99" t="s">
        <v>221</v>
      </c>
      <c r="C99" t="s">
        <v>436</v>
      </c>
      <c r="D99" t="s">
        <v>496</v>
      </c>
      <c r="E99" t="s">
        <v>486</v>
      </c>
      <c r="F99" s="17">
        <f>VLOOKUP(B99,'Justice Spend Total'!$B$4:$AQ$221,10,FALSE)</f>
        <v>114.059</v>
      </c>
      <c r="G99" s="15">
        <f>VLOOKUP(C99,'Justice Spend Total'!$C$4:$AQ$221,10,FALSE)</f>
        <v>24.69557874680639</v>
      </c>
      <c r="H99">
        <f>VLOOKUP(C99,'Justice Spend Total'!$C$4:$AQ$221,7,FALSE)</f>
        <v>10860</v>
      </c>
      <c r="I99" s="17">
        <f t="shared" si="10"/>
        <v>207.39078732526062</v>
      </c>
      <c r="J99" s="17">
        <f t="shared" si="11"/>
        <v>23.055297864374456</v>
      </c>
      <c r="K99" s="17">
        <f t="shared" si="12"/>
        <v>22.133637212583398</v>
      </c>
      <c r="L99" s="17">
        <f t="shared" si="13"/>
        <v>283.06174960958651</v>
      </c>
      <c r="M99" s="16">
        <f>IF(ISNUMBER(VLOOKUP($C99,'Justice Spend Total'!$C:$BA,38,FALSE)),VLOOKUP($C99,'Justice Spend Total'!$C:$BA,38,FALSE),"")</f>
        <v>10.554366064873475</v>
      </c>
      <c r="N99" s="16">
        <f>IF(ISNUMBER(VLOOKUP($C99,'Justice Spend Total'!$C:$BA,35,FALSE)),VLOOKUP($C99,'Justice Spend Total'!$C:$BA,35,FALSE),"")</f>
        <v>7.7328649700361751</v>
      </c>
      <c r="O99" s="16">
        <f>IF(ISNUMBER(VLOOKUP($C99,'Justice Spend Total'!$C:$BA,36,FALSE)),VLOOKUP($C99,'Justice Spend Total'!$C:$BA,36,FALSE),"")</f>
        <v>0.85965007186920395</v>
      </c>
      <c r="P99" s="16">
        <f>IF(ISNUMBER(VLOOKUP($C99,'Justice Spend Total'!$C:$BA,37,FALSE)),VLOOKUP($C99,'Justice Spend Total'!$C:$BA,37,FALSE),"")</f>
        <v>0.82528462362333721</v>
      </c>
      <c r="Q99" s="16">
        <f t="shared" si="17"/>
        <v>1.1365663993447592</v>
      </c>
      <c r="R99" s="15">
        <f>IF(ISNUMBER(VLOOKUP($C99,'Justice Spend Total'!$C:$BA,39,FALSE)),VLOOKUP($C99,'Justice Spend Total'!$C:$BA,39,FALSE),"")</f>
        <v>2.60646178277704</v>
      </c>
      <c r="S99" s="16">
        <f t="shared" si="15"/>
        <v>2.60646178277704</v>
      </c>
      <c r="T99" s="7">
        <f t="shared" ref="T99:T125" si="18">L99</f>
        <v>283.06174960958651</v>
      </c>
      <c r="U99" s="22">
        <f>VLOOKUP($C99,'Justice Spend Total'!$C:$BA,40,FALSE)</f>
        <v>2020</v>
      </c>
      <c r="V99" s="15" t="str">
        <f>VLOOKUP($C99,'Justice Spend Total'!$C:$BA,41,FALSE)</f>
        <v>IMF COFOG</v>
      </c>
    </row>
    <row r="100" spans="1:23">
      <c r="A100">
        <v>98</v>
      </c>
      <c r="B100" t="s">
        <v>169</v>
      </c>
      <c r="C100" t="s">
        <v>383</v>
      </c>
      <c r="D100" t="s">
        <v>493</v>
      </c>
      <c r="E100" t="s">
        <v>488</v>
      </c>
      <c r="F100" s="17">
        <f>VLOOKUP(B100,'Justice Spend Total'!$B$4:$AQ$221,10,FALSE)</f>
        <v>0.32</v>
      </c>
      <c r="G100" s="15">
        <f>VLOOKUP(C100,'Justice Spend Total'!$C$4:$AQ$221,10,FALSE)</f>
        <v>79.601990049751237</v>
      </c>
      <c r="H100">
        <f>VLOOKUP(C100,'Justice Spend Total'!$C$4:$AQ$221,7,FALSE)</f>
        <v>3880</v>
      </c>
      <c r="I100" s="17">
        <f t="shared" si="10"/>
        <v>0</v>
      </c>
      <c r="J100" s="17">
        <f t="shared" si="11"/>
        <v>0</v>
      </c>
      <c r="K100" s="17">
        <f t="shared" si="12"/>
        <v>0</v>
      </c>
      <c r="L100" s="17">
        <f t="shared" si="13"/>
        <v>63.581016975182784</v>
      </c>
      <c r="M100" s="16">
        <f>IF(ISNUMBER(VLOOKUP($C100,'Justice Spend Total'!$C:$BA,38,FALSE)),VLOOKUP($C100,'Justice Spend Total'!$C:$BA,38,FALSE),"")</f>
        <v>2.0585992931719943</v>
      </c>
      <c r="N100" s="16">
        <f>IF(ISNUMBER(VLOOKUP($C100,'Justice Spend Total'!$C:$BA,35,FALSE)),VLOOKUP($C100,'Justice Spend Total'!$C:$BA,35,FALSE),"")</f>
        <v>0</v>
      </c>
      <c r="O100" s="16">
        <f>IF(ISNUMBER(VLOOKUP($C100,'Justice Spend Total'!$C:$BA,36,FALSE)),VLOOKUP($C100,'Justice Spend Total'!$C:$BA,36,FALSE),"")</f>
        <v>0</v>
      </c>
      <c r="P100" s="16">
        <f>IF(ISNUMBER(VLOOKUP($C100,'Justice Spend Total'!$C:$BA,37,FALSE)),VLOOKUP($C100,'Justice Spend Total'!$C:$BA,37,FALSE),"")</f>
        <v>0</v>
      </c>
      <c r="Q100" s="16">
        <f t="shared" si="17"/>
        <v>2.0585992931719943</v>
      </c>
      <c r="R100" s="15">
        <f>IF(ISNUMBER(VLOOKUP($C100,'Justice Spend Total'!$C:$BA,39,FALSE)),VLOOKUP($C100,'Justice Spend Total'!$C:$BA,39,FALSE),"")</f>
        <v>1.63868600451502</v>
      </c>
      <c r="S100" s="16">
        <f t="shared" si="15"/>
        <v>1.63868600451502</v>
      </c>
      <c r="T100" s="7">
        <f t="shared" si="18"/>
        <v>63.581016975182784</v>
      </c>
      <c r="U100" s="22">
        <f>VLOOKUP($C100,'Justice Spend Total'!$C:$BA,40,FALSE)</f>
        <v>2020</v>
      </c>
      <c r="V100" s="15" t="str">
        <f>VLOOKUP($C100,'Justice Spend Total'!$C:$BA,41,FALSE)</f>
        <v>IMF COFOG</v>
      </c>
      <c r="W100" t="s">
        <v>484</v>
      </c>
    </row>
    <row r="101" spans="1:23">
      <c r="A101">
        <v>99</v>
      </c>
      <c r="B101" t="s">
        <v>189</v>
      </c>
      <c r="C101" t="s">
        <v>404</v>
      </c>
      <c r="D101" t="s">
        <v>485</v>
      </c>
      <c r="E101" t="s">
        <v>486</v>
      </c>
      <c r="F101" s="17">
        <f>VLOOKUP(B101,'Justice Spend Total'!$B$4:$AQ$221,10,FALSE)</f>
        <v>77.373000000000005</v>
      </c>
      <c r="G101" s="15">
        <f>VLOOKUP(C101,'Justice Spend Total'!$C$4:$AQ$221,10,FALSE)</f>
        <v>31.989366232413147</v>
      </c>
      <c r="H101">
        <f>VLOOKUP(C101,'Justice Spend Total'!$C$4:$AQ$221,7,FALSE)</f>
        <v>5460</v>
      </c>
      <c r="I101" s="17">
        <f t="shared" si="10"/>
        <v>75.549199022940556</v>
      </c>
      <c r="J101" s="17">
        <f t="shared" si="11"/>
        <v>25.888407821052613</v>
      </c>
      <c r="K101" s="17">
        <f t="shared" si="12"/>
        <v>14.886177117642831</v>
      </c>
      <c r="L101" s="17">
        <f t="shared" si="13"/>
        <v>130.75496100534613</v>
      </c>
      <c r="M101" s="16">
        <f>IF(ISNUMBER(VLOOKUP($C101,'Justice Spend Total'!$C:$BA,38,FALSE)),VLOOKUP($C101,'Justice Spend Total'!$C:$BA,38,FALSE),"")</f>
        <v>7.4861736496858624</v>
      </c>
      <c r="N101" s="16">
        <f>IF(ISNUMBER(VLOOKUP($C101,'Justice Spend Total'!$C:$BA,35,FALSE)),VLOOKUP($C101,'Justice Spend Total'!$C:$BA,35,FALSE),"")</f>
        <v>4.3254528824897589</v>
      </c>
      <c r="O101" s="16">
        <f>IF(ISNUMBER(VLOOKUP($C101,'Justice Spend Total'!$C:$BA,36,FALSE)),VLOOKUP($C101,'Justice Spend Total'!$C:$BA,36,FALSE),"")</f>
        <v>1.4822008662016382</v>
      </c>
      <c r="P101" s="16">
        <f>IF(ISNUMBER(VLOOKUP($C101,'Justice Spend Total'!$C:$BA,37,FALSE)),VLOOKUP($C101,'Justice Spend Total'!$C:$BA,37,FALSE),"")</f>
        <v>0.85228511427645148</v>
      </c>
      <c r="Q101" s="16">
        <f t="shared" si="17"/>
        <v>0.82623478671801387</v>
      </c>
      <c r="R101" s="15">
        <f>IF(ISNUMBER(VLOOKUP($C101,'Justice Spend Total'!$C:$BA,39,FALSE)),VLOOKUP($C101,'Justice Spend Total'!$C:$BA,39,FALSE),"")</f>
        <v>2.3947795055924201</v>
      </c>
      <c r="S101" s="16">
        <f t="shared" si="15"/>
        <v>2.3947795055924201</v>
      </c>
      <c r="T101" s="7">
        <f t="shared" si="18"/>
        <v>130.75496100534613</v>
      </c>
      <c r="U101" s="22">
        <f>VLOOKUP($C101,'Justice Spend Total'!$C:$BA,40,FALSE)</f>
        <v>2020</v>
      </c>
      <c r="V101" s="15" t="str">
        <f>VLOOKUP($C101,'Justice Spend Total'!$C:$BA,41,FALSE)</f>
        <v>IMF COFOG</v>
      </c>
    </row>
    <row r="102" spans="1:23">
      <c r="A102">
        <v>100</v>
      </c>
      <c r="B102" t="s">
        <v>166</v>
      </c>
      <c r="C102" t="s">
        <v>380</v>
      </c>
      <c r="D102" t="s">
        <v>493</v>
      </c>
      <c r="E102" t="s">
        <v>488</v>
      </c>
      <c r="F102" s="17">
        <f>VLOOKUP(B102,'Justice Spend Total'!$B$4:$AQ$221,10,FALSE)</f>
        <v>14248.83</v>
      </c>
      <c r="G102" s="15">
        <f>VLOOKUP(C102,'Justice Spend Total'!$C$4:$AQ$221,10,FALSE)</f>
        <v>33.122471153189018</v>
      </c>
      <c r="H102">
        <f>VLOOKUP(C102,'Justice Spend Total'!$C$4:$AQ$221,7,FALSE)</f>
        <v>3760</v>
      </c>
      <c r="I102" s="17">
        <f t="shared" si="10"/>
        <v>25.254871959642514</v>
      </c>
      <c r="J102" s="17">
        <f t="shared" si="11"/>
        <v>12.277491485847467</v>
      </c>
      <c r="K102" s="17">
        <f t="shared" si="12"/>
        <v>7.7962493942610251</v>
      </c>
      <c r="L102" s="17">
        <f t="shared" si="13"/>
        <v>71.504015396565904</v>
      </c>
      <c r="M102" s="16">
        <f>IF(ISNUMBER(VLOOKUP($C102,'Justice Spend Total'!$C:$BA,38,FALSE)),VLOOKUP($C102,'Justice Spend Total'!$C:$BA,38,FALSE),"")</f>
        <v>5.741427106532826</v>
      </c>
      <c r="N102" s="16">
        <f>IF(ISNUMBER(VLOOKUP($C102,'Justice Spend Total'!$C:$BA,35,FALSE)),VLOOKUP($C102,'Justice Spend Total'!$C:$BA,35,FALSE),"")</f>
        <v>2.0278442495422588</v>
      </c>
      <c r="O102" s="16">
        <f>IF(ISNUMBER(VLOOKUP($C102,'Justice Spend Total'!$C:$BA,36,FALSE)),VLOOKUP($C102,'Justice Spend Total'!$C:$BA,36,FALSE),"")</f>
        <v>0.98582327196768926</v>
      </c>
      <c r="P102" s="16">
        <f>IF(ISNUMBER(VLOOKUP($C102,'Justice Spend Total'!$C:$BA,37,FALSE)),VLOOKUP($C102,'Justice Spend Total'!$C:$BA,37,FALSE),"")</f>
        <v>0.6260011742452456</v>
      </c>
      <c r="Q102" s="16">
        <f t="shared" si="17"/>
        <v>2.1017584107776326</v>
      </c>
      <c r="R102" s="15">
        <f>IF(ISNUMBER(VLOOKUP($C102,'Justice Spend Total'!$C:$BA,39,FALSE)),VLOOKUP($C102,'Justice Spend Total'!$C:$BA,39,FALSE),"")</f>
        <v>1.9017025371427101</v>
      </c>
      <c r="S102" s="16">
        <f t="shared" si="15"/>
        <v>1.9017025371427101</v>
      </c>
      <c r="T102" s="7">
        <f t="shared" si="18"/>
        <v>71.504015396565904</v>
      </c>
      <c r="U102" s="22">
        <f>VLOOKUP($C102,'Justice Spend Total'!$C:$BA,40,FALSE)</f>
        <v>2020</v>
      </c>
      <c r="V102" s="15" t="str">
        <f>VLOOKUP($C102,'Justice Spend Total'!$C:$BA,41,FALSE)</f>
        <v>IMF COFOG</v>
      </c>
      <c r="W102" t="s">
        <v>484</v>
      </c>
    </row>
    <row r="103" spans="1:23">
      <c r="A103">
        <v>101</v>
      </c>
      <c r="B103" t="s">
        <v>156</v>
      </c>
      <c r="C103" t="s">
        <v>370</v>
      </c>
      <c r="D103" t="s">
        <v>487</v>
      </c>
      <c r="E103" t="s">
        <v>488</v>
      </c>
      <c r="F103" s="17">
        <f>VLOOKUP(B103,'Justice Spend Total'!$B$4:$AQ$221,10,FALSE)</f>
        <v>311.14699999999999</v>
      </c>
      <c r="G103" s="15">
        <f>VLOOKUP(C103,'Justice Spend Total'!$C$4:$AQ$221,10,FALSE)</f>
        <v>28.558172406197222</v>
      </c>
      <c r="H103">
        <f>VLOOKUP(C103,'Justice Spend Total'!$C$4:$AQ$221,7,FALSE)</f>
        <v>3350</v>
      </c>
      <c r="I103" s="17" t="str">
        <f t="shared" si="10"/>
        <v/>
      </c>
      <c r="J103" s="17" t="str">
        <f t="shared" si="11"/>
        <v/>
      </c>
      <c r="K103" s="17" t="str">
        <f t="shared" si="12"/>
        <v/>
      </c>
      <c r="L103" s="17">
        <f t="shared" si="13"/>
        <v>137.13000174388722</v>
      </c>
      <c r="M103" s="16">
        <f>IF(ISNUMBER(VLOOKUP($C103,'Justice Spend Total'!$C:$BA,38,FALSE)),VLOOKUP($C103,'Justice Spend Total'!$C:$BA,38,FALSE),"")</f>
        <v>14.333665437879844</v>
      </c>
      <c r="N103" s="16" t="str">
        <f>IF(ISNUMBER(VLOOKUP($C103,'Justice Spend Total'!$C:$BA,35,FALSE)),VLOOKUP($C103,'Justice Spend Total'!$C:$BA,35,FALSE),"")</f>
        <v/>
      </c>
      <c r="O103" s="16" t="str">
        <f>IF(ISNUMBER(VLOOKUP($C103,'Justice Spend Total'!$C:$BA,36,FALSE)),VLOOKUP($C103,'Justice Spend Total'!$C:$BA,36,FALSE),"")</f>
        <v/>
      </c>
      <c r="P103" s="16" t="str">
        <f>IF(ISNUMBER(VLOOKUP($C103,'Justice Spend Total'!$C:$BA,37,FALSE)),VLOOKUP($C103,'Justice Spend Total'!$C:$BA,37,FALSE),"")</f>
        <v/>
      </c>
      <c r="Q103" s="16"/>
      <c r="R103" s="15">
        <f>IF(ISNUMBER(VLOOKUP($C103,'Justice Spend Total'!$C:$BA,39,FALSE)),VLOOKUP($C103,'Justice Spend Total'!$C:$BA,39,FALSE),"")</f>
        <v>4.0934328878772304</v>
      </c>
      <c r="S103" s="16">
        <f t="shared" si="15"/>
        <v>4.0934328878772304</v>
      </c>
      <c r="T103" s="7">
        <f t="shared" si="18"/>
        <v>137.13000174388722</v>
      </c>
      <c r="U103" s="22">
        <f>VLOOKUP($C103,'Justice Spend Total'!$C:$BA,40,FALSE)</f>
        <v>2022</v>
      </c>
      <c r="V103" s="15" t="s">
        <v>489</v>
      </c>
      <c r="W103" t="s">
        <v>542</v>
      </c>
    </row>
    <row r="104" spans="1:23">
      <c r="A104">
        <v>102</v>
      </c>
      <c r="B104" t="s">
        <v>95</v>
      </c>
      <c r="C104" t="s">
        <v>308</v>
      </c>
      <c r="D104" t="s">
        <v>496</v>
      </c>
      <c r="E104" t="s">
        <v>299</v>
      </c>
      <c r="F104" s="17">
        <f>VLOOKUP(B104,'Justice Spend Total'!$B$4:$AQ$221,10,FALSE)</f>
        <v>273.46699999999998</v>
      </c>
      <c r="G104" s="15">
        <f>VLOOKUP(C104,'Justice Spend Total'!$C$4:$AQ$221,10,FALSE)</f>
        <v>28.061971593958408</v>
      </c>
      <c r="H104">
        <f>VLOOKUP(C104,'Justice Spend Total'!$C$4:$AQ$221,7,FALSE)</f>
        <v>480</v>
      </c>
      <c r="I104" s="17">
        <f t="shared" si="10"/>
        <v>2.0957711098181571E-2</v>
      </c>
      <c r="J104" s="17">
        <f t="shared" si="11"/>
        <v>3.4389343578471649</v>
      </c>
      <c r="K104" s="17">
        <f t="shared" si="12"/>
        <v>1.1696598601760257</v>
      </c>
      <c r="L104" s="17">
        <f t="shared" si="13"/>
        <v>19.944033469093732</v>
      </c>
      <c r="M104" s="16">
        <f>IF(ISNUMBER(VLOOKUP($C104,'Justice Spend Total'!$C:$BA,38,FALSE)),VLOOKUP($C104,'Justice Spend Total'!$C:$BA,38,FALSE),"")</f>
        <v>14.806539728742408</v>
      </c>
      <c r="N104" s="16">
        <f>IF(ISNUMBER(VLOOKUP($C104,'Justice Spend Total'!$C:$BA,35,FALSE)),VLOOKUP($C104,'Justice Spend Total'!$C:$BA,35,FALSE),"")</f>
        <v>1.5559098538397698E-2</v>
      </c>
      <c r="O104" s="16">
        <f>IF(ISNUMBER(VLOOKUP($C104,'Justice Spend Total'!$C:$BA,36,FALSE)),VLOOKUP($C104,'Justice Spend Total'!$C:$BA,36,FALSE),"")</f>
        <v>2.5530802619694501</v>
      </c>
      <c r="P104" s="16">
        <f>IF(ISNUMBER(VLOOKUP($C104,'Justice Spend Total'!$C:$BA,37,FALSE)),VLOOKUP($C104,'Justice Spend Total'!$C:$BA,37,FALSE),"")</f>
        <v>0.86836071628386513</v>
      </c>
      <c r="Q104" s="16">
        <f t="shared" ref="Q104:Q110" si="19">IF(ISNUMBER(M104),M104-N104-O104-P104,"")</f>
        <v>11.369539651950694</v>
      </c>
      <c r="R104" s="15">
        <f>IF(ISNUMBER(VLOOKUP($C104,'Justice Spend Total'!$C:$BA,39,FALSE)),VLOOKUP($C104,'Justice Spend Total'!$C:$BA,39,FALSE),"")</f>
        <v>4.1550069727278602</v>
      </c>
      <c r="S104" s="16">
        <f t="shared" si="15"/>
        <v>4.1550069727278602</v>
      </c>
      <c r="T104" s="7">
        <f t="shared" si="18"/>
        <v>19.944033469093732</v>
      </c>
      <c r="U104" s="22">
        <f>VLOOKUP($C104,'Justice Spend Total'!$C:$BA,40,FALSE)</f>
        <v>2021</v>
      </c>
      <c r="V104" s="15" t="s">
        <v>489</v>
      </c>
      <c r="W104" t="s">
        <v>484</v>
      </c>
    </row>
    <row r="105" spans="1:23">
      <c r="A105">
        <v>103</v>
      </c>
      <c r="B105" t="s">
        <v>120</v>
      </c>
      <c r="C105" t="s">
        <v>333</v>
      </c>
      <c r="D105" t="s">
        <v>493</v>
      </c>
      <c r="E105" t="s">
        <v>488</v>
      </c>
      <c r="F105" s="17">
        <f>VLOOKUP(B105,'Justice Spend Total'!$B$4:$AQ$221,10,FALSE)</f>
        <v>18460.259999999998</v>
      </c>
      <c r="G105" s="15">
        <f>VLOOKUP(C105,'Justice Spend Total'!$C$4:$AQ$221,10,FALSE)</f>
        <v>16.037650939449076</v>
      </c>
      <c r="H105">
        <f>VLOOKUP(C105,'Justice Spend Total'!$C$4:$AQ$221,7,FALSE)</f>
        <v>1140</v>
      </c>
      <c r="I105" s="17">
        <f t="shared" si="10"/>
        <v>4.0454443866666274</v>
      </c>
      <c r="J105" s="17">
        <f t="shared" si="11"/>
        <v>0.51361770898944714</v>
      </c>
      <c r="K105" s="17">
        <f t="shared" si="12"/>
        <v>0.8466437214817637</v>
      </c>
      <c r="L105" s="17">
        <f t="shared" si="13"/>
        <v>6.4275869070678224</v>
      </c>
      <c r="M105" s="16">
        <f>IF(ISNUMBER(VLOOKUP($C105,'Justice Spend Total'!$C:$BA,38,FALSE)),VLOOKUP($C105,'Justice Spend Total'!$C:$BA,38,FALSE),"")</f>
        <v>3.5156234228405929</v>
      </c>
      <c r="N105" s="16">
        <f>IF(ISNUMBER(VLOOKUP($C105,'Justice Spend Total'!$C:$BA,35,FALSE)),VLOOKUP($C105,'Justice Spend Total'!$C:$BA,35,FALSE),"")</f>
        <v>2.212690275089908</v>
      </c>
      <c r="O105" s="16">
        <f>IF(ISNUMBER(VLOOKUP($C105,'Justice Spend Total'!$C:$BA,36,FALSE)),VLOOKUP($C105,'Justice Spend Total'!$C:$BA,36,FALSE),"")</f>
        <v>0.28092758203292084</v>
      </c>
      <c r="P105" s="16">
        <f>IF(ISNUMBER(VLOOKUP($C105,'Justice Spend Total'!$C:$BA,37,FALSE)),VLOOKUP($C105,'Justice Spend Total'!$C:$BA,37,FALSE),"")</f>
        <v>0.4630789969979644</v>
      </c>
      <c r="Q105" s="16">
        <f t="shared" si="19"/>
        <v>0.55892656871979962</v>
      </c>
      <c r="R105" s="15">
        <f>IF(ISNUMBER(VLOOKUP($C105,'Justice Spend Total'!$C:$BA,39,FALSE)),VLOOKUP($C105,'Justice Spend Total'!$C:$BA,39,FALSE),"")</f>
        <v>0.56382341290068605</v>
      </c>
      <c r="S105" s="16">
        <f t="shared" si="15"/>
        <v>0.56382341290068605</v>
      </c>
      <c r="T105" s="7">
        <f t="shared" si="18"/>
        <v>6.4275869070678224</v>
      </c>
      <c r="U105" s="22">
        <f>VLOOKUP($C105,'Justice Spend Total'!$C:$BA,40,FALSE)</f>
        <v>2019</v>
      </c>
      <c r="V105" s="15" t="str">
        <f>VLOOKUP($C105,'Justice Spend Total'!$C:$BA,41,FALSE)</f>
        <v>IMF COFOG</v>
      </c>
      <c r="W105" t="s">
        <v>484</v>
      </c>
    </row>
    <row r="106" spans="1:23" hidden="1">
      <c r="A106">
        <v>104</v>
      </c>
      <c r="B106" t="s">
        <v>543</v>
      </c>
      <c r="C106" t="s">
        <v>544</v>
      </c>
      <c r="D106" t="s">
        <v>493</v>
      </c>
      <c r="E106" t="s">
        <v>494</v>
      </c>
      <c r="F106" s="17" t="str">
        <f>VLOOKUP(B106,'Justice Spend Total'!$B$4:$AQ$221,10,FALSE)</f>
        <v xml:space="preserve"> </v>
      </c>
      <c r="G106" s="15" t="str">
        <f>VLOOKUP(C106,'Justice Spend Total'!$C$4:$AQ$221,10,FALSE)</f>
        <v xml:space="preserve"> </v>
      </c>
      <c r="H106" t="str">
        <f>VLOOKUP(C106,'Justice Spend Total'!$C$4:$AQ$221,7,FALSE)</f>
        <v/>
      </c>
      <c r="I106" s="35" t="str">
        <f t="shared" si="10"/>
        <v/>
      </c>
      <c r="J106" s="35" t="str">
        <f t="shared" si="11"/>
        <v/>
      </c>
      <c r="K106" s="35" t="str">
        <f t="shared" si="12"/>
        <v/>
      </c>
      <c r="L106" s="35" t="str">
        <f t="shared" si="13"/>
        <v/>
      </c>
      <c r="M106" s="16" t="str">
        <f>IF(ISNUMBER(VLOOKUP($C106,'Justice Spend Total'!$C:$BA,38,FALSE)),VLOOKUP($C106,'Justice Spend Total'!$C:$BA,38,FALSE),"")</f>
        <v/>
      </c>
      <c r="N106" s="16" t="str">
        <f>IF(ISNUMBER(VLOOKUP($C106,'Justice Spend Total'!$C:$BA,35,FALSE)),VLOOKUP($C106,'Justice Spend Total'!$C:$BA,35,FALSE),"")</f>
        <v/>
      </c>
      <c r="O106" s="16" t="str">
        <f>IF(ISNUMBER(VLOOKUP($C106,'Justice Spend Total'!$C:$BA,36,FALSE)),VLOOKUP($C106,'Justice Spend Total'!$C:$BA,36,FALSE),"")</f>
        <v/>
      </c>
      <c r="P106" s="16" t="str">
        <f>IF(ISNUMBER(VLOOKUP($C106,'Justice Spend Total'!$C:$BA,37,FALSE)),VLOOKUP($C106,'Justice Spend Total'!$C:$BA,37,FALSE),"")</f>
        <v/>
      </c>
      <c r="Q106" s="16" t="str">
        <f t="shared" si="19"/>
        <v/>
      </c>
      <c r="R106" s="15" t="str">
        <f>IF(ISNUMBER(VLOOKUP($C106,'Justice Spend Total'!$C:$BA,39,FALSE)),VLOOKUP($C106,'Justice Spend Total'!$C:$BA,39,FALSE),"")</f>
        <v/>
      </c>
      <c r="S106" s="16" t="str">
        <f t="shared" si="15"/>
        <v/>
      </c>
      <c r="T106" s="7" t="str">
        <f t="shared" si="18"/>
        <v/>
      </c>
      <c r="U106" s="22" t="str">
        <f>VLOOKUP($C106,'Justice Spend Total'!$C:$BA,40,FALSE)</f>
        <v xml:space="preserve"> </v>
      </c>
      <c r="V106" s="15" t="str">
        <f>VLOOKUP($C106,'Justice Spend Total'!$C:$BA,41,FALSE)</f>
        <v xml:space="preserve"> </v>
      </c>
    </row>
    <row r="107" spans="1:23">
      <c r="A107">
        <v>105</v>
      </c>
      <c r="B107" t="s">
        <v>177</v>
      </c>
      <c r="C107" t="s">
        <v>392</v>
      </c>
      <c r="D107" t="s">
        <v>496</v>
      </c>
      <c r="E107" t="s">
        <v>486</v>
      </c>
      <c r="F107" s="17">
        <f>VLOOKUP(B107,'Justice Spend Total'!$B$4:$AQ$221,10,FALSE)</f>
        <v>58.01</v>
      </c>
      <c r="G107" s="15">
        <f>VLOOKUP(C107,'Justice Spend Total'!$C$4:$AQ$221,10,FALSE)</f>
        <v>33.181373586459756</v>
      </c>
      <c r="H107">
        <f>VLOOKUP(C107,'Justice Spend Total'!$C$4:$AQ$221,7,FALSE)</f>
        <v>4550</v>
      </c>
      <c r="I107" s="17">
        <f t="shared" si="10"/>
        <v>153.13997713813436</v>
      </c>
      <c r="J107" s="17">
        <f t="shared" si="11"/>
        <v>0</v>
      </c>
      <c r="K107" s="17">
        <f t="shared" si="12"/>
        <v>9.5292534956381498</v>
      </c>
      <c r="L107" s="17">
        <f t="shared" si="13"/>
        <v>322.06329650717043</v>
      </c>
      <c r="M107" s="16">
        <f>IF(ISNUMBER(VLOOKUP($C107,'Justice Spend Total'!$C:$BA,38,FALSE)),VLOOKUP($C107,'Justice Spend Total'!$C:$BA,38,FALSE),"")</f>
        <v>21.332191660194656</v>
      </c>
      <c r="N107" s="16">
        <f>IF(ISNUMBER(VLOOKUP($C107,'Justice Spend Total'!$C:$BA,35,FALSE)),VLOOKUP($C107,'Justice Spend Total'!$C:$BA,35,FALSE),"")</f>
        <v>10.143382926827172</v>
      </c>
      <c r="O107" s="16">
        <f>IF(ISNUMBER(VLOOKUP($C107,'Justice Spend Total'!$C:$BA,36,FALSE)),VLOOKUP($C107,'Justice Spend Total'!$C:$BA,36,FALSE),"")</f>
        <v>0</v>
      </c>
      <c r="P107" s="16">
        <f>IF(ISNUMBER(VLOOKUP($C107,'Justice Spend Total'!$C:$BA,37,FALSE)),VLOOKUP($C107,'Justice Spend Total'!$C:$BA,37,FALSE),"")</f>
        <v>0.63117984617352096</v>
      </c>
      <c r="Q107" s="16">
        <f t="shared" si="19"/>
        <v>10.557628887193964</v>
      </c>
      <c r="R107" s="15">
        <f>IF(ISNUMBER(VLOOKUP($C107,'Justice Spend Total'!$C:$BA,39,FALSE)),VLOOKUP($C107,'Justice Spend Total'!$C:$BA,39,FALSE),"")</f>
        <v>7.0783142089488003</v>
      </c>
      <c r="S107" s="16">
        <f t="shared" si="15"/>
        <v>7.0783142089488003</v>
      </c>
      <c r="T107" s="7">
        <f t="shared" si="18"/>
        <v>322.06329650717043</v>
      </c>
      <c r="U107" s="22">
        <f>VLOOKUP($C107,'Justice Spend Total'!$C:$BA,40,FALSE)</f>
        <v>2020</v>
      </c>
      <c r="V107" s="15" t="str">
        <f>VLOOKUP($C107,'Justice Spend Total'!$C:$BA,41,FALSE)</f>
        <v>IMF COFOG</v>
      </c>
    </row>
    <row r="108" spans="1:23">
      <c r="A108">
        <v>106</v>
      </c>
      <c r="B108" t="s">
        <v>241</v>
      </c>
      <c r="C108" t="s">
        <v>545</v>
      </c>
      <c r="D108" t="s">
        <v>493</v>
      </c>
      <c r="E108" t="s">
        <v>494</v>
      </c>
      <c r="F108" s="17">
        <f>VLOOKUP(B108,'Justice Spend Total'!$B$4:$AQ$221,10,FALSE)</f>
        <v>0.32</v>
      </c>
      <c r="G108" s="15">
        <f>VLOOKUP(C108,'Justice Spend Total'!$C$4:$AQ$221,10,FALSE)</f>
        <v>178.77094972067042</v>
      </c>
      <c r="H108">
        <f>VLOOKUP(C108,'Justice Spend Total'!$C$4:$AQ$221,7,FALSE)</f>
        <v>19470</v>
      </c>
      <c r="I108" s="17">
        <f t="shared" si="10"/>
        <v>343.09594369135948</v>
      </c>
      <c r="J108" s="17">
        <f t="shared" si="11"/>
        <v>601.04662386687528</v>
      </c>
      <c r="K108" s="17">
        <f t="shared" si="12"/>
        <v>74.568759863651707</v>
      </c>
      <c r="L108" s="17">
        <f t="shared" si="13"/>
        <v>3227.4242796239887</v>
      </c>
      <c r="M108" s="16">
        <f>IF(ISNUMBER(VLOOKUP($C108,'Justice Spend Total'!$C:$BA,38,FALSE)),VLOOKUP($C108,'Justice Spend Total'!$C:$BA,38,FALSE),"")</f>
        <v>9.2724214505119065</v>
      </c>
      <c r="N108" s="16">
        <f>IF(ISNUMBER(VLOOKUP($C108,'Justice Spend Total'!$C:$BA,35,FALSE)),VLOOKUP($C108,'Justice Spend Total'!$C:$BA,35,FALSE),"")</f>
        <v>0.98571799436237373</v>
      </c>
      <c r="O108" s="16">
        <f>IF(ISNUMBER(VLOOKUP($C108,'Justice Spend Total'!$C:$BA,36,FALSE)),VLOOKUP($C108,'Justice Spend Total'!$C:$BA,36,FALSE),"")</f>
        <v>1.7268128157449065</v>
      </c>
      <c r="P108" s="16">
        <f>IF(ISNUMBER(VLOOKUP($C108,'Justice Spend Total'!$C:$BA,37,FALSE)),VLOOKUP($C108,'Justice Spend Total'!$C:$BA,37,FALSE),"")</f>
        <v>0.21423677477519346</v>
      </c>
      <c r="Q108" s="16">
        <f t="shared" si="19"/>
        <v>6.3456538656294326</v>
      </c>
      <c r="R108" s="15">
        <f>IF(ISNUMBER(VLOOKUP($C108,'Justice Spend Total'!$C:$BA,39,FALSE)),VLOOKUP($C108,'Justice Spend Total'!$C:$BA,39,FALSE),"")</f>
        <v>16.576395889183299</v>
      </c>
      <c r="S108" s="16">
        <f t="shared" si="15"/>
        <v>16.576395889183299</v>
      </c>
      <c r="T108" s="7">
        <f t="shared" si="18"/>
        <v>3227.4242796239887</v>
      </c>
      <c r="U108" s="22">
        <f>VLOOKUP($C108,'Justice Spend Total'!$C:$BA,40,FALSE)</f>
        <v>2018</v>
      </c>
      <c r="V108" s="15" t="str">
        <f>VLOOKUP($C108,'Justice Spend Total'!$C:$BA,41,FALSE)</f>
        <v>IMF COFOG</v>
      </c>
    </row>
    <row r="109" spans="1:23">
      <c r="A109">
        <v>107</v>
      </c>
      <c r="B109" t="s">
        <v>124</v>
      </c>
      <c r="C109" t="s">
        <v>338</v>
      </c>
      <c r="D109" t="s">
        <v>483</v>
      </c>
      <c r="E109" t="s">
        <v>488</v>
      </c>
      <c r="F109" s="17">
        <f>VLOOKUP(B109,'Justice Spend Total'!$B$4:$AQ$221,10,FALSE)</f>
        <v>865.03099999999995</v>
      </c>
      <c r="G109" s="15">
        <f>VLOOKUP(C109,'Justice Spend Total'!$C$4:$AQ$221,10,FALSE)</f>
        <v>22.096993383911922</v>
      </c>
      <c r="H109">
        <f>VLOOKUP(C109,'Justice Spend Total'!$C$4:$AQ$221,7,FALSE)</f>
        <v>1230</v>
      </c>
      <c r="I109" s="17">
        <f t="shared" si="10"/>
        <v>12.397675212175749</v>
      </c>
      <c r="J109" s="17">
        <f t="shared" si="11"/>
        <v>1.9457547145284</v>
      </c>
      <c r="K109" s="17">
        <f t="shared" si="12"/>
        <v>0.60935051189362921</v>
      </c>
      <c r="L109" s="17">
        <f t="shared" si="13"/>
        <v>17.912197900438365</v>
      </c>
      <c r="M109" s="16">
        <f>IF(ISNUMBER(VLOOKUP($C109,'Justice Spend Total'!$C:$BA,38,FALSE)),VLOOKUP($C109,'Justice Spend Total'!$C:$BA,38,FALSE),"")</f>
        <v>6.5903818984189302</v>
      </c>
      <c r="N109" s="16">
        <f>IF(ISNUMBER(VLOOKUP($C109,'Justice Spend Total'!$C:$BA,35,FALSE)),VLOOKUP($C109,'Justice Spend Total'!$C:$BA,35,FALSE),"")</f>
        <v>4.561439905641091</v>
      </c>
      <c r="O109" s="16">
        <f>IF(ISNUMBER(VLOOKUP($C109,'Justice Spend Total'!$C:$BA,36,FALSE)),VLOOKUP($C109,'Justice Spend Total'!$C:$BA,36,FALSE),"")</f>
        <v>0.71589576670975907</v>
      </c>
      <c r="P109" s="16">
        <f>IF(ISNUMBER(VLOOKUP($C109,'Justice Spend Total'!$C:$BA,37,FALSE)),VLOOKUP($C109,'Justice Spend Total'!$C:$BA,37,FALSE),"")</f>
        <v>0.2241965282930356</v>
      </c>
      <c r="Q109" s="16">
        <f t="shared" si="19"/>
        <v>1.0888496977750446</v>
      </c>
      <c r="R109" s="15">
        <f>IF(ISNUMBER(VLOOKUP($C109,'Justice Spend Total'!$C:$BA,39,FALSE)),VLOOKUP($C109,'Justice Spend Total'!$C:$BA,39,FALSE),"")</f>
        <v>1.45627625206816</v>
      </c>
      <c r="S109" s="16">
        <f t="shared" si="15"/>
        <v>1.45627625206816</v>
      </c>
      <c r="T109" s="7">
        <f t="shared" si="18"/>
        <v>17.912197900438365</v>
      </c>
      <c r="U109" s="22">
        <f>VLOOKUP($C109,'Justice Spend Total'!$C:$BA,40,FALSE)</f>
        <v>2020</v>
      </c>
      <c r="V109" s="15" t="str">
        <f>VLOOKUP($C109,'Justice Spend Total'!$C:$BA,41,FALSE)</f>
        <v>IMF COFOG</v>
      </c>
      <c r="W109" t="s">
        <v>484</v>
      </c>
    </row>
    <row r="110" spans="1:23">
      <c r="A110">
        <v>108</v>
      </c>
      <c r="B110" t="s">
        <v>66</v>
      </c>
      <c r="C110" t="s">
        <v>460</v>
      </c>
      <c r="D110" t="s">
        <v>485</v>
      </c>
      <c r="E110" t="s">
        <v>494</v>
      </c>
      <c r="F110" s="17">
        <f>VLOOKUP(B110,'Justice Spend Total'!$B$4:$AQ$221,10,FALSE)</f>
        <v>328.59800000000001</v>
      </c>
      <c r="G110" s="15">
        <f>VLOOKUP(C110,'Justice Spend Total'!$C$4:$AQ$221,10,FALSE)</f>
        <v>41.069872952586884</v>
      </c>
      <c r="H110">
        <f>VLOOKUP(C110,'Justice Spend Total'!$C$4:$AQ$221,7,FALSE)</f>
        <v>56370</v>
      </c>
      <c r="I110" s="17">
        <f t="shared" si="10"/>
        <v>508.25611958579907</v>
      </c>
      <c r="J110" s="17">
        <f t="shared" si="11"/>
        <v>163.87631468763058</v>
      </c>
      <c r="K110" s="17">
        <f t="shared" si="12"/>
        <v>202.97835881989002</v>
      </c>
      <c r="L110" s="17">
        <f t="shared" si="13"/>
        <v>1116.9093795111826</v>
      </c>
      <c r="M110" s="16">
        <f>IF(ISNUMBER(VLOOKUP($C110,'Justice Spend Total'!$C:$BA,38,FALSE)),VLOOKUP($C110,'Justice Spend Total'!$C:$BA,38,FALSE),"")</f>
        <v>4.8244359369198815</v>
      </c>
      <c r="N110" s="16">
        <f>IF(ISNUMBER(VLOOKUP($C110,'Justice Spend Total'!$C:$BA,35,FALSE)),VLOOKUP($C110,'Justice Spend Total'!$C:$BA,35,FALSE),"")</f>
        <v>2.1953876773443532</v>
      </c>
      <c r="O110" s="16">
        <f>IF(ISNUMBER(VLOOKUP($C110,'Justice Spend Total'!$C:$BA,36,FALSE)),VLOOKUP($C110,'Justice Spend Total'!$C:$BA,36,FALSE),"")</f>
        <v>0.70785579948751853</v>
      </c>
      <c r="P110" s="16">
        <f>IF(ISNUMBER(VLOOKUP($C110,'Justice Spend Total'!$C:$BA,37,FALSE)),VLOOKUP($C110,'Justice Spend Total'!$C:$BA,37,FALSE),"")</f>
        <v>0.8767551841459772</v>
      </c>
      <c r="Q110" s="16">
        <f t="shared" si="19"/>
        <v>1.0444372759420326</v>
      </c>
      <c r="R110" s="15">
        <f>IF(ISNUMBER(VLOOKUP($C110,'Justice Spend Total'!$C:$BA,39,FALSE)),VLOOKUP($C110,'Justice Spend Total'!$C:$BA,39,FALSE),"")</f>
        <v>1.98138970997194</v>
      </c>
      <c r="S110" s="16">
        <f t="shared" si="15"/>
        <v>1.98138970997194</v>
      </c>
      <c r="T110" s="7">
        <f t="shared" si="18"/>
        <v>1116.9093795111826</v>
      </c>
      <c r="U110" s="22">
        <f>VLOOKUP($C110,'Justice Spend Total'!$C:$BA,40,FALSE)</f>
        <v>2020</v>
      </c>
      <c r="V110" s="15" t="str">
        <f>VLOOKUP($C110,'Justice Spend Total'!$C:$BA,41,FALSE)</f>
        <v>IMF COFOG</v>
      </c>
    </row>
    <row r="111" spans="1:23">
      <c r="A111">
        <v>109</v>
      </c>
      <c r="B111" t="s">
        <v>71</v>
      </c>
      <c r="C111" t="s">
        <v>453</v>
      </c>
      <c r="D111" t="s">
        <v>493</v>
      </c>
      <c r="E111" t="s">
        <v>494</v>
      </c>
      <c r="F111" s="17">
        <f>VLOOKUP(B111,'Justice Spend Total'!$B$4:$AQ$221,10,FALSE)</f>
        <v>122.033</v>
      </c>
      <c r="G111" s="15">
        <f>VLOOKUP(C111,'Justice Spend Total'!$C$4:$AQ$221,10,FALSE)</f>
        <v>37.648238415499478</v>
      </c>
      <c r="H111">
        <f>VLOOKUP(C111,'Justice Spend Total'!$C$4:$AQ$221,7,FALSE)</f>
        <v>45340</v>
      </c>
      <c r="I111" s="17" t="str">
        <f t="shared" si="10"/>
        <v/>
      </c>
      <c r="J111" s="17" t="str">
        <f t="shared" si="11"/>
        <v/>
      </c>
      <c r="K111" s="17" t="str">
        <f t="shared" si="12"/>
        <v/>
      </c>
      <c r="L111" s="17">
        <f t="shared" si="13"/>
        <v>884.59278523385558</v>
      </c>
      <c r="M111" s="16">
        <f>IF(ISNUMBER(VLOOKUP($C111,'Justice Spend Total'!$C:$BA,38,FALSE)),VLOOKUP($C111,'Justice Spend Total'!$C:$BA,38,FALSE),"")</f>
        <v>5.1822363589645422</v>
      </c>
      <c r="N111" s="16" t="str">
        <f>IF(ISNUMBER(VLOOKUP($C111,'Justice Spend Total'!$C:$BA,35,FALSE)),VLOOKUP($C111,'Justice Spend Total'!$C:$BA,35,FALSE),"")</f>
        <v/>
      </c>
      <c r="O111" s="16" t="str">
        <f>IF(ISNUMBER(VLOOKUP($C111,'Justice Spend Total'!$C:$BA,36,FALSE)),VLOOKUP($C111,'Justice Spend Total'!$C:$BA,36,FALSE),"")</f>
        <v/>
      </c>
      <c r="P111" s="16" t="str">
        <f>IF(ISNUMBER(VLOOKUP($C111,'Justice Spend Total'!$C:$BA,37,FALSE)),VLOOKUP($C111,'Justice Spend Total'!$C:$BA,37,FALSE),"")</f>
        <v/>
      </c>
      <c r="Q111" s="16"/>
      <c r="R111" s="15">
        <f>IF(ISNUMBER(VLOOKUP($C111,'Justice Spend Total'!$C:$BA,39,FALSE)),VLOOKUP($C111,'Justice Spend Total'!$C:$BA,39,FALSE),"")</f>
        <v>1.95102069967767</v>
      </c>
      <c r="S111" s="16">
        <f t="shared" si="15"/>
        <v>1.95102069967767</v>
      </c>
      <c r="T111" s="7">
        <f t="shared" si="18"/>
        <v>884.59278523385558</v>
      </c>
      <c r="U111" s="22">
        <f>VLOOKUP($C111,'Justice Spend Total'!$C:$BA,40,FALSE)</f>
        <v>2020</v>
      </c>
      <c r="V111" s="15" t="str">
        <f>VLOOKUP($C111,'Justice Spend Total'!$C:$BA,41,FALSE)</f>
        <v>IMF COFOG</v>
      </c>
    </row>
    <row r="112" spans="1:23">
      <c r="A112">
        <v>110</v>
      </c>
      <c r="B112" t="s">
        <v>140</v>
      </c>
      <c r="C112" t="s">
        <v>354</v>
      </c>
      <c r="D112" t="s">
        <v>497</v>
      </c>
      <c r="E112" t="s">
        <v>488</v>
      </c>
      <c r="F112" s="17">
        <f>VLOOKUP(B112,'Justice Spend Total'!$B$4:$AQ$221,10,FALSE)</f>
        <v>116.38800000000001</v>
      </c>
      <c r="G112" s="15">
        <f>VLOOKUP(C112,'Justice Spend Total'!$C$4:$AQ$221,10,FALSE)</f>
        <v>26.851663867407392</v>
      </c>
      <c r="H112">
        <f>VLOOKUP(C112,'Justice Spend Total'!$C$4:$AQ$221,7,FALSE)</f>
        <v>2010</v>
      </c>
      <c r="I112" s="17" t="str">
        <f t="shared" si="10"/>
        <v/>
      </c>
      <c r="J112" s="17" t="str">
        <f t="shared" si="11"/>
        <v/>
      </c>
      <c r="K112" s="17" t="str">
        <f t="shared" si="12"/>
        <v/>
      </c>
      <c r="L112" s="17">
        <f t="shared" si="13"/>
        <v>40.414465112992104</v>
      </c>
      <c r="M112" s="16">
        <f>IF(ISNUMBER(VLOOKUP($C112,'Justice Spend Total'!$C:$BA,38,FALSE)),VLOOKUP($C112,'Justice Spend Total'!$C:$BA,38,FALSE),"")</f>
        <v>7.4880644866092094</v>
      </c>
      <c r="N112" s="16" t="str">
        <f>IF(ISNUMBER(VLOOKUP($C112,'Justice Spend Total'!$C:$BA,35,FALSE)),VLOOKUP($C112,'Justice Spend Total'!$C:$BA,35,FALSE),"")</f>
        <v/>
      </c>
      <c r="O112" s="16" t="str">
        <f>IF(ISNUMBER(VLOOKUP($C112,'Justice Spend Total'!$C:$BA,36,FALSE)),VLOOKUP($C112,'Justice Spend Total'!$C:$BA,36,FALSE),"")</f>
        <v/>
      </c>
      <c r="P112" s="16" t="str">
        <f>IF(ISNUMBER(VLOOKUP($C112,'Justice Spend Total'!$C:$BA,37,FALSE)),VLOOKUP($C112,'Justice Spend Total'!$C:$BA,37,FALSE),"")</f>
        <v/>
      </c>
      <c r="Q112" s="16"/>
      <c r="R112" s="15">
        <f>IF(ISNUMBER(VLOOKUP($C112,'Justice Spend Total'!$C:$BA,39,FALSE)),VLOOKUP($C112,'Justice Spend Total'!$C:$BA,39,FALSE),"")</f>
        <v>2.0106699061190101</v>
      </c>
      <c r="S112" s="16">
        <f t="shared" si="15"/>
        <v>2.0106699061190101</v>
      </c>
      <c r="T112" s="7">
        <f t="shared" si="18"/>
        <v>40.414465112992104</v>
      </c>
      <c r="U112" s="22">
        <f>VLOOKUP($C112,'Justice Spend Total'!$C:$BA,40,FALSE)</f>
        <v>2020</v>
      </c>
      <c r="V112" s="15" t="str">
        <f>VLOOKUP($C112,'Justice Spend Total'!$C:$BA,41,FALSE)</f>
        <v>IMF COFOG</v>
      </c>
      <c r="W112" t="s">
        <v>484</v>
      </c>
    </row>
    <row r="113" spans="1:23">
      <c r="A113">
        <v>111</v>
      </c>
      <c r="B113" t="s">
        <v>141</v>
      </c>
      <c r="C113" t="s">
        <v>355</v>
      </c>
      <c r="D113" t="s">
        <v>496</v>
      </c>
      <c r="E113" t="s">
        <v>488</v>
      </c>
      <c r="F113" s="17">
        <f>VLOOKUP(B113,'Justice Spend Total'!$B$4:$AQ$221,10,FALSE)</f>
        <v>9750.7999999999993</v>
      </c>
      <c r="G113" s="15">
        <f>VLOOKUP(C113,'Justice Spend Total'!$C$4:$AQ$221,10,FALSE)</f>
        <v>6.3213311799783618</v>
      </c>
      <c r="H113">
        <f>VLOOKUP(C113,'Justice Spend Total'!$C$4:$AQ$221,7,FALSE)</f>
        <v>2100</v>
      </c>
      <c r="I113" s="17">
        <f t="shared" si="10"/>
        <v>7.5622466706704952</v>
      </c>
      <c r="J113" s="17">
        <f t="shared" si="11"/>
        <v>2.4645457040685028</v>
      </c>
      <c r="K113" s="17">
        <f t="shared" si="12"/>
        <v>1.2725430734707912</v>
      </c>
      <c r="L113" s="17">
        <f t="shared" si="13"/>
        <v>11.328301594748787</v>
      </c>
      <c r="M113" s="16">
        <f>IF(ISNUMBER(VLOOKUP($C113,'Justice Spend Total'!$C:$BA,38,FALSE)),VLOOKUP($C113,'Justice Spend Total'!$C:$BA,38,FALSE),"")</f>
        <v>8.5336919981642545</v>
      </c>
      <c r="N113" s="16">
        <f>IF(ISNUMBER(VLOOKUP($C113,'Justice Spend Total'!$C:$BA,35,FALSE)),VLOOKUP($C113,'Justice Spend Total'!$C:$BA,35,FALSE),"")</f>
        <v>5.6966954279853956</v>
      </c>
      <c r="O113" s="16">
        <f>IF(ISNUMBER(VLOOKUP($C113,'Justice Spend Total'!$C:$BA,36,FALSE)),VLOOKUP($C113,'Justice Spend Total'!$C:$BA,36,FALSE),"")</f>
        <v>1.8565602070189116</v>
      </c>
      <c r="P113" s="16">
        <f>IF(ISNUMBER(VLOOKUP($C113,'Justice Spend Total'!$C:$BA,37,FALSE)),VLOOKUP($C113,'Justice Spend Total'!$C:$BA,37,FALSE),"")</f>
        <v>0.95861595426016322</v>
      </c>
      <c r="Q113" s="16">
        <f t="shared" ref="Q113:Q126" si="20">IF(ISNUMBER(M113),M113-N113-O113-P113,"")</f>
        <v>2.1820408899784094E-2</v>
      </c>
      <c r="R113" s="15">
        <f>IF(ISNUMBER(VLOOKUP($C113,'Justice Spend Total'!$C:$BA,39,FALSE)),VLOOKUP($C113,'Justice Spend Total'!$C:$BA,39,FALSE),"")</f>
        <v>0.53944293308327551</v>
      </c>
      <c r="S113" s="16">
        <f t="shared" si="15"/>
        <v>0.53944293308327551</v>
      </c>
      <c r="T113" s="7">
        <f t="shared" si="18"/>
        <v>11.328301594748787</v>
      </c>
      <c r="U113" s="22">
        <f>VLOOKUP($C113,'Justice Spend Total'!$C:$BA,40,FALSE)</f>
        <v>2022</v>
      </c>
      <c r="V113" s="15" t="s">
        <v>489</v>
      </c>
    </row>
    <row r="114" spans="1:23">
      <c r="A114">
        <v>112</v>
      </c>
      <c r="B114" t="s">
        <v>51</v>
      </c>
      <c r="C114" t="s">
        <v>468</v>
      </c>
      <c r="D114" t="s">
        <v>485</v>
      </c>
      <c r="E114" t="s">
        <v>494</v>
      </c>
      <c r="F114" s="17">
        <f>VLOOKUP(B114,'Justice Spend Total'!$B$4:$AQ$221,10,FALSE)</f>
        <v>2071.4299999999998</v>
      </c>
      <c r="G114" s="15">
        <f>VLOOKUP(C114,'Justice Spend Total'!$C$4:$AQ$221,10,FALSE)</f>
        <v>49.984677121615391</v>
      </c>
      <c r="H114">
        <f>VLOOKUP(C114,'Justice Spend Total'!$C$4:$AQ$221,7,FALSE)</f>
        <v>84090</v>
      </c>
      <c r="I114" s="17">
        <f t="shared" si="10"/>
        <v>533.8875565776558</v>
      </c>
      <c r="J114" s="17">
        <f t="shared" si="11"/>
        <v>140.19721689200102</v>
      </c>
      <c r="K114" s="17">
        <f t="shared" si="12"/>
        <v>124.57869018148831</v>
      </c>
      <c r="L114" s="17">
        <f t="shared" si="13"/>
        <v>1090.7102052175933</v>
      </c>
      <c r="M114" s="16">
        <f>IF(ISNUMBER(VLOOKUP($C114,'Justice Spend Total'!$C:$BA,38,FALSE)),VLOOKUP($C114,'Justice Spend Total'!$C:$BA,38,FALSE),"")</f>
        <v>2.59494485451527</v>
      </c>
      <c r="N114" s="16">
        <f>IF(ISNUMBER(VLOOKUP($C114,'Justice Spend Total'!$C:$BA,35,FALSE)),VLOOKUP($C114,'Justice Spend Total'!$C:$BA,35,FALSE),"")</f>
        <v>1.2701896078386221</v>
      </c>
      <c r="O114" s="16">
        <f>IF(ISNUMBER(VLOOKUP($C114,'Justice Spend Total'!$C:$BA,36,FALSE)),VLOOKUP($C114,'Justice Spend Total'!$C:$BA,36,FALSE),"")</f>
        <v>0.33354785244599555</v>
      </c>
      <c r="P114" s="16">
        <f>IF(ISNUMBER(VLOOKUP($C114,'Justice Spend Total'!$C:$BA,37,FALSE)),VLOOKUP($C114,'Justice Spend Total'!$C:$BA,37,FALSE),"")</f>
        <v>0.29638929710409445</v>
      </c>
      <c r="Q114" s="16">
        <f t="shared" si="20"/>
        <v>0.69481809712655784</v>
      </c>
      <c r="R114" s="15">
        <f>IF(ISNUMBER(VLOOKUP($C114,'Justice Spend Total'!$C:$BA,39,FALSE)),VLOOKUP($C114,'Justice Spend Total'!$C:$BA,39,FALSE),"")</f>
        <v>1.2970748070134299</v>
      </c>
      <c r="S114" s="16">
        <f t="shared" si="15"/>
        <v>1.2970748070134299</v>
      </c>
      <c r="T114" s="7">
        <f t="shared" si="18"/>
        <v>1090.7102052175933</v>
      </c>
      <c r="U114" s="22">
        <f>VLOOKUP($C114,'Justice Spend Total'!$C:$BA,40,FALSE)</f>
        <v>2020</v>
      </c>
      <c r="V114" s="15" t="str">
        <f>VLOOKUP($C114,'Justice Spend Total'!$C:$BA,41,FALSE)</f>
        <v>IMF COFOG</v>
      </c>
    </row>
    <row r="115" spans="1:23">
      <c r="A115">
        <v>113</v>
      </c>
      <c r="B115" t="s">
        <v>130</v>
      </c>
      <c r="C115" t="s">
        <v>344</v>
      </c>
      <c r="D115" t="s">
        <v>483</v>
      </c>
      <c r="E115" t="s">
        <v>488</v>
      </c>
      <c r="F115" s="17">
        <f>VLOOKUP(B115,'Justice Spend Total'!$B$4:$AQ$221,10,FALSE)</f>
        <v>6933.23</v>
      </c>
      <c r="G115" s="15">
        <f>VLOOKUP(C115,'Justice Spend Total'!$C$4:$AQ$221,10,FALSE)</f>
        <v>12.495005677803185</v>
      </c>
      <c r="H115">
        <f>VLOOKUP(C115,'Justice Spend Total'!$C$4:$AQ$221,7,FALSE)</f>
        <v>1500</v>
      </c>
      <c r="I115" s="17">
        <f t="shared" si="10"/>
        <v>4.8706738626957424</v>
      </c>
      <c r="J115" s="17">
        <f t="shared" si="11"/>
        <v>0.29163057027995776</v>
      </c>
      <c r="K115" s="17">
        <f t="shared" si="12"/>
        <v>1.1894461524210363E-3</v>
      </c>
      <c r="L115" s="17">
        <f t="shared" si="13"/>
        <v>5.3146887048210951</v>
      </c>
      <c r="M115" s="16">
        <f>IF(ISNUMBER(VLOOKUP($C115,'Justice Spend Total'!$C:$BA,38,FALSE)),VLOOKUP($C115,'Justice Spend Total'!$C:$BA,38,FALSE),"")</f>
        <v>2.8356336080008888</v>
      </c>
      <c r="N115" s="16">
        <f>IF(ISNUMBER(VLOOKUP($C115,'Justice Spend Total'!$C:$BA,35,FALSE)),VLOOKUP($C115,'Justice Spend Total'!$C:$BA,35,FALSE),"")</f>
        <v>2.598731038779905</v>
      </c>
      <c r="O115" s="16">
        <f>IF(ISNUMBER(VLOOKUP($C115,'Justice Spend Total'!$C:$BA,36,FALSE)),VLOOKUP($C115,'Justice Spend Total'!$C:$BA,36,FALSE),"")</f>
        <v>0.15559847286185516</v>
      </c>
      <c r="P115" s="16">
        <f>IF(ISNUMBER(VLOOKUP($C115,'Justice Spend Total'!$C:$BA,37,FALSE)),VLOOKUP($C115,'Justice Spend Total'!$C:$BA,37,FALSE),"")</f>
        <v>6.3462484296640954E-4</v>
      </c>
      <c r="Q115" s="16">
        <f t="shared" si="20"/>
        <v>8.0669471516162286E-2</v>
      </c>
      <c r="R115" s="15">
        <f>IF(ISNUMBER(VLOOKUP($C115,'Justice Spend Total'!$C:$BA,39,FALSE)),VLOOKUP($C115,'Justice Spend Total'!$C:$BA,39,FALSE),"")</f>
        <v>0.35431258032140639</v>
      </c>
      <c r="S115" s="16">
        <f t="shared" si="15"/>
        <v>0.35431258032140639</v>
      </c>
      <c r="T115" s="7">
        <f t="shared" si="18"/>
        <v>5.3146887048210951</v>
      </c>
      <c r="U115" s="22" t="str">
        <f>VLOOKUP($C115,'Justice Spend Total'!$C:$BA,40,FALSE)</f>
        <v>21/22</v>
      </c>
      <c r="V115" s="15" t="s">
        <v>489</v>
      </c>
    </row>
    <row r="116" spans="1:23">
      <c r="A116">
        <v>114</v>
      </c>
      <c r="B116" t="s">
        <v>230</v>
      </c>
      <c r="C116" t="s">
        <v>546</v>
      </c>
      <c r="D116" t="s">
        <v>493</v>
      </c>
      <c r="E116" t="s">
        <v>494</v>
      </c>
      <c r="F116" s="17">
        <f>VLOOKUP(B116,'Justice Spend Total'!$B$4:$AQ$221,10,FALSE)</f>
        <v>0.122</v>
      </c>
      <c r="G116" s="15">
        <f>VLOOKUP(C116,'Justice Spend Total'!$C$4:$AQ$221,10,FALSE)</f>
        <v>47.286821705426348</v>
      </c>
      <c r="H116">
        <f>VLOOKUP(C116,'Justice Spend Total'!$C$4:$AQ$221,7,FALSE)</f>
        <v>14390</v>
      </c>
      <c r="I116" s="17">
        <f t="shared" si="10"/>
        <v>227.10292214577197</v>
      </c>
      <c r="J116" s="17">
        <f t="shared" si="11"/>
        <v>412.21050226496681</v>
      </c>
      <c r="K116" s="17">
        <f t="shared" si="12"/>
        <v>0</v>
      </c>
      <c r="L116" s="17">
        <f t="shared" si="13"/>
        <v>719.3899553187747</v>
      </c>
      <c r="M116" s="16">
        <f>IF(ISNUMBER(VLOOKUP($C116,'Justice Spend Total'!$C:$BA,38,FALSE)),VLOOKUP($C116,'Justice Spend Total'!$C:$BA,38,FALSE),"")</f>
        <v>10.572153275398668</v>
      </c>
      <c r="N116" s="16">
        <f>IF(ISNUMBER(VLOOKUP($C116,'Justice Spend Total'!$C:$BA,35,FALSE)),VLOOKUP($C116,'Justice Spend Total'!$C:$BA,35,FALSE),"")</f>
        <v>3.3375040678071741</v>
      </c>
      <c r="O116" s="16">
        <f>IF(ISNUMBER(VLOOKUP($C116,'Justice Spend Total'!$C:$BA,36,FALSE)),VLOOKUP($C116,'Justice Spend Total'!$C:$BA,36,FALSE),"")</f>
        <v>6.0578446772212864</v>
      </c>
      <c r="P116" s="16">
        <f>IF(ISNUMBER(VLOOKUP($C116,'Justice Spend Total'!$C:$BA,37,FALSE)),VLOOKUP($C116,'Justice Spend Total'!$C:$BA,37,FALSE),"")</f>
        <v>0</v>
      </c>
      <c r="Q116" s="16">
        <f t="shared" si="20"/>
        <v>1.176804530370207</v>
      </c>
      <c r="R116" s="15">
        <f>IF(ISNUMBER(VLOOKUP($C116,'Justice Spend Total'!$C:$BA,39,FALSE)),VLOOKUP($C116,'Justice Spend Total'!$C:$BA,39,FALSE),"")</f>
        <v>4.9992352697621598</v>
      </c>
      <c r="S116" s="16">
        <f t="shared" si="15"/>
        <v>4.9992352697621598</v>
      </c>
      <c r="T116" s="7">
        <f t="shared" si="18"/>
        <v>719.3899553187747</v>
      </c>
      <c r="U116" s="22">
        <f>VLOOKUP($C116,'Justice Spend Total'!$C:$BA,40,FALSE)</f>
        <v>2019</v>
      </c>
      <c r="V116" s="15" t="str">
        <f>VLOOKUP($C116,'Justice Spend Total'!$C:$BA,41,FALSE)</f>
        <v>IMF COFOG</v>
      </c>
    </row>
    <row r="117" spans="1:23">
      <c r="A117">
        <v>115</v>
      </c>
      <c r="B117" t="s">
        <v>228</v>
      </c>
      <c r="C117" t="s">
        <v>547</v>
      </c>
      <c r="D117" t="s">
        <v>497</v>
      </c>
      <c r="E117" t="s">
        <v>494</v>
      </c>
      <c r="F117" s="17">
        <f>VLOOKUP(B117,'Justice Spend Total'!$B$4:$AQ$221,10,FALSE)</f>
        <v>11.565</v>
      </c>
      <c r="G117" s="15">
        <f>VLOOKUP(C117,'Justice Spend Total'!$C$4:$AQ$221,10,FALSE)</f>
        <v>18.182532819746875</v>
      </c>
      <c r="H117">
        <f>VLOOKUP(C117,'Justice Spend Total'!$C$4:$AQ$221,7,FALSE)</f>
        <v>14010</v>
      </c>
      <c r="I117" s="17">
        <f t="shared" si="10"/>
        <v>179.92023026331321</v>
      </c>
      <c r="J117" s="17">
        <f t="shared" si="11"/>
        <v>67.25206498739864</v>
      </c>
      <c r="K117" s="17">
        <f t="shared" si="12"/>
        <v>18.713790078298274</v>
      </c>
      <c r="L117" s="17">
        <f t="shared" si="13"/>
        <v>275.06615340248311</v>
      </c>
      <c r="M117" s="16">
        <f>IF(ISNUMBER(VLOOKUP($C117,'Justice Spend Total'!$C:$BA,38,FALSE)),VLOOKUP($C117,'Justice Spend Total'!$C:$BA,38,FALSE),"")</f>
        <v>10.798032710971961</v>
      </c>
      <c r="N117" s="16">
        <f>IF(ISNUMBER(VLOOKUP($C117,'Justice Spend Total'!$C:$BA,35,FALSE)),VLOOKUP($C117,'Justice Spend Total'!$C:$BA,35,FALSE),"")</f>
        <v>7.0629719713502386</v>
      </c>
      <c r="O117" s="16">
        <f>IF(ISNUMBER(VLOOKUP($C117,'Justice Spend Total'!$C:$BA,36,FALSE)),VLOOKUP($C117,'Justice Spend Total'!$C:$BA,36,FALSE),"")</f>
        <v>2.6400558143253807</v>
      </c>
      <c r="P117" s="16">
        <f>IF(ISNUMBER(VLOOKUP($C117,'Justice Spend Total'!$C:$BA,37,FALSE)),VLOOKUP($C117,'Justice Spend Total'!$C:$BA,37,FALSE),"")</f>
        <v>0.73463097844703096</v>
      </c>
      <c r="Q117" s="16">
        <f t="shared" si="20"/>
        <v>0.36037394684931112</v>
      </c>
      <c r="R117" s="15">
        <f>IF(ISNUMBER(VLOOKUP($C117,'Justice Spend Total'!$C:$BA,39,FALSE)),VLOOKUP($C117,'Justice Spend Total'!$C:$BA,39,FALSE),"")</f>
        <v>1.9633558415594801</v>
      </c>
      <c r="S117" s="16">
        <f t="shared" si="15"/>
        <v>1.9633558415594801</v>
      </c>
      <c r="T117" s="7">
        <f t="shared" si="18"/>
        <v>275.06615340248311</v>
      </c>
      <c r="U117" s="22">
        <f>VLOOKUP($C117,'Justice Spend Total'!$C:$BA,40,FALSE)</f>
        <v>2020</v>
      </c>
      <c r="V117" s="15" t="str">
        <f>VLOOKUP($C117,'Justice Spend Total'!$C:$BA,41,FALSE)</f>
        <v>IMF COFOG</v>
      </c>
    </row>
    <row r="118" spans="1:23">
      <c r="A118">
        <v>116</v>
      </c>
      <c r="B118" t="s">
        <v>150</v>
      </c>
      <c r="C118" t="s">
        <v>364</v>
      </c>
      <c r="D118" t="s">
        <v>493</v>
      </c>
      <c r="E118" t="s">
        <v>488</v>
      </c>
      <c r="F118" s="17">
        <f>VLOOKUP(B118,'Justice Spend Total'!$B$4:$AQ$221,10,FALSE)</f>
        <v>12.093</v>
      </c>
      <c r="G118" s="15">
        <f>VLOOKUP(C118,'Justice Spend Total'!$C$4:$AQ$221,10,FALSE)</f>
        <v>14.170543362354843</v>
      </c>
      <c r="H118">
        <f>VLOOKUP(C118,'Justice Spend Total'!$C$4:$AQ$221,7,FALSE)</f>
        <v>2790</v>
      </c>
      <c r="I118" s="17">
        <f t="shared" si="10"/>
        <v>17.371209208761815</v>
      </c>
      <c r="J118" s="17">
        <f t="shared" si="11"/>
        <v>17.464682697211376</v>
      </c>
      <c r="K118" s="17">
        <f t="shared" si="12"/>
        <v>5.5405384893395375</v>
      </c>
      <c r="L118" s="17">
        <f t="shared" si="13"/>
        <v>45.302886136467507</v>
      </c>
      <c r="M118" s="16">
        <f>IF(ISNUMBER(VLOOKUP($C118,'Justice Spend Total'!$C:$BA,38,FALSE)),VLOOKUP($C118,'Justice Spend Total'!$C:$BA,38,FALSE),"")</f>
        <v>11.458695112875219</v>
      </c>
      <c r="N118" s="16">
        <f>IF(ISNUMBER(VLOOKUP($C118,'Justice Spend Total'!$C:$BA,35,FALSE)),VLOOKUP($C118,'Justice Spend Total'!$C:$BA,35,FALSE),"")</f>
        <v>4.3937904853470569</v>
      </c>
      <c r="O118" s="16">
        <f>IF(ISNUMBER(VLOOKUP($C118,'Justice Spend Total'!$C:$BA,36,FALSE)),VLOOKUP($C118,'Justice Spend Total'!$C:$BA,36,FALSE),"")</f>
        <v>4.4174332219721339</v>
      </c>
      <c r="P118" s="16">
        <f>IF(ISNUMBER(VLOOKUP($C118,'Justice Spend Total'!$C:$BA,37,FALSE)),VLOOKUP($C118,'Justice Spend Total'!$C:$BA,37,FALSE),"")</f>
        <v>1.4013972778521619</v>
      </c>
      <c r="Q118" s="16">
        <f t="shared" si="20"/>
        <v>1.2460741277038663</v>
      </c>
      <c r="R118" s="15">
        <f>IF(ISNUMBER(VLOOKUP($C118,'Justice Spend Total'!$C:$BA,39,FALSE)),VLOOKUP($C118,'Justice Spend Total'!$C:$BA,39,FALSE),"")</f>
        <v>1.6237593597300182</v>
      </c>
      <c r="S118" s="16">
        <f t="shared" si="15"/>
        <v>1.6237593597300182</v>
      </c>
      <c r="T118" s="7">
        <f t="shared" si="18"/>
        <v>45.302886136467507</v>
      </c>
      <c r="U118" s="22">
        <f>VLOOKUP($C118,'Justice Spend Total'!$C:$BA,40,FALSE)</f>
        <v>2022</v>
      </c>
      <c r="V118" s="15" t="s">
        <v>489</v>
      </c>
      <c r="W118" t="s">
        <v>548</v>
      </c>
    </row>
    <row r="119" spans="1:23">
      <c r="A119">
        <v>117</v>
      </c>
      <c r="B119" t="s">
        <v>163</v>
      </c>
      <c r="C119" t="s">
        <v>377</v>
      </c>
      <c r="D119" t="s">
        <v>493</v>
      </c>
      <c r="E119" t="s">
        <v>488</v>
      </c>
      <c r="F119" s="17">
        <f>VLOOKUP(B119,'Justice Spend Total'!$B$4:$AQ$221,10,FALSE)</f>
        <v>3950.3</v>
      </c>
      <c r="G119" s="15">
        <f>VLOOKUP(C119,'Justice Spend Total'!$C$4:$AQ$221,10,FALSE)</f>
        <v>20.375804460775946</v>
      </c>
      <c r="H119">
        <f>VLOOKUP(C119,'Justice Spend Total'!$C$4:$AQ$221,7,FALSE)</f>
        <v>3640</v>
      </c>
      <c r="I119" s="17">
        <f t="shared" si="10"/>
        <v>33.356378492304614</v>
      </c>
      <c r="J119" s="17">
        <f t="shared" si="11"/>
        <v>6.0543028792016313</v>
      </c>
      <c r="K119" s="17">
        <f t="shared" si="12"/>
        <v>4.1382897936648639</v>
      </c>
      <c r="L119" s="17">
        <f t="shared" si="13"/>
        <v>49.849315667279129</v>
      </c>
      <c r="M119" s="16">
        <f>IF(ISNUMBER(VLOOKUP($C119,'Justice Spend Total'!$C:$BA,38,FALSE)),VLOOKUP($C119,'Justice Spend Total'!$C:$BA,38,FALSE),"")</f>
        <v>6.7211417188083269</v>
      </c>
      <c r="N119" s="16">
        <f>IF(ISNUMBER(VLOOKUP($C119,'Justice Spend Total'!$C:$BA,35,FALSE)),VLOOKUP($C119,'Justice Spend Total'!$C:$BA,35,FALSE),"")</f>
        <v>4.4974127341962404</v>
      </c>
      <c r="O119" s="16">
        <f>IF(ISNUMBER(VLOOKUP($C119,'Justice Spend Total'!$C:$BA,36,FALSE)),VLOOKUP($C119,'Justice Spend Total'!$C:$BA,36,FALSE),"")</f>
        <v>0.81629661540997611</v>
      </c>
      <c r="P119" s="16">
        <f>IF(ISNUMBER(VLOOKUP($C119,'Justice Spend Total'!$C:$BA,37,FALSE)),VLOOKUP($C119,'Justice Spend Total'!$C:$BA,37,FALSE),"")</f>
        <v>0.55796216666975473</v>
      </c>
      <c r="Q119" s="16">
        <f t="shared" si="20"/>
        <v>0.8494702025323555</v>
      </c>
      <c r="R119" s="15">
        <f>IF(ISNUMBER(VLOOKUP($C119,'Justice Spend Total'!$C:$BA,39,FALSE)),VLOOKUP($C119,'Justice Spend Total'!$C:$BA,39,FALSE),"")</f>
        <v>1.36948669415602</v>
      </c>
      <c r="S119" s="16">
        <f t="shared" si="15"/>
        <v>1.36948669415602</v>
      </c>
      <c r="T119" s="7">
        <f t="shared" si="18"/>
        <v>49.849315667279129</v>
      </c>
      <c r="U119" s="22">
        <f>VLOOKUP($C119,'Justice Spend Total'!$C:$BA,40,FALSE)</f>
        <v>2020</v>
      </c>
      <c r="V119" s="15" t="str">
        <f>VLOOKUP($C119,'Justice Spend Total'!$C:$BA,41,FALSE)</f>
        <v>IMF COFOG</v>
      </c>
      <c r="W119" t="s">
        <v>484</v>
      </c>
    </row>
    <row r="120" spans="1:23">
      <c r="A120">
        <v>118</v>
      </c>
      <c r="B120" t="s">
        <v>75</v>
      </c>
      <c r="C120" t="s">
        <v>441</v>
      </c>
      <c r="D120" t="s">
        <v>485</v>
      </c>
      <c r="E120" t="s">
        <v>494</v>
      </c>
      <c r="F120" s="17">
        <f>VLOOKUP(B120,'Justice Spend Total'!$B$4:$AQ$221,10,FALSE)</f>
        <v>966.27499999999998</v>
      </c>
      <c r="G120" s="15">
        <f>VLOOKUP(C120,'Justice Spend Total'!$C$4:$AQ$221,10,FALSE)</f>
        <v>41.530563124822713</v>
      </c>
      <c r="H120">
        <f>VLOOKUP(C120,'Justice Spend Total'!$C$4:$AQ$221,7,FALSE)</f>
        <v>16670</v>
      </c>
      <c r="I120" s="17">
        <f t="shared" si="10"/>
        <v>190.95348099002609</v>
      </c>
      <c r="J120" s="17">
        <f t="shared" si="11"/>
        <v>93.054594607504171</v>
      </c>
      <c r="K120" s="17">
        <f t="shared" si="12"/>
        <v>40.047800963827875</v>
      </c>
      <c r="L120" s="17">
        <f t="shared" si="13"/>
        <v>391.1539861024263</v>
      </c>
      <c r="M120" s="16">
        <f>IF(ISNUMBER(VLOOKUP($C120,'Justice Spend Total'!$C:$BA,38,FALSE)),VLOOKUP($C120,'Justice Spend Total'!$C:$BA,38,FALSE),"")</f>
        <v>5.6499465673918348</v>
      </c>
      <c r="N120" s="16">
        <f>IF(ISNUMBER(VLOOKUP($C120,'Justice Spend Total'!$C:$BA,35,FALSE)),VLOOKUP($C120,'Justice Spend Total'!$C:$BA,35,FALSE),"")</f>
        <v>2.758189876067398</v>
      </c>
      <c r="O120" s="16">
        <f>IF(ISNUMBER(VLOOKUP($C120,'Justice Spend Total'!$C:$BA,36,FALSE)),VLOOKUP($C120,'Justice Spend Total'!$C:$BA,36,FALSE),"")</f>
        <v>1.3441087297140182</v>
      </c>
      <c r="P120" s="16">
        <f>IF(ISNUMBER(VLOOKUP($C120,'Justice Spend Total'!$C:$BA,37,FALSE)),VLOOKUP($C120,'Justice Spend Total'!$C:$BA,37,FALSE),"")</f>
        <v>0.57846255854828732</v>
      </c>
      <c r="Q120" s="16">
        <f t="shared" si="20"/>
        <v>0.9691854030621313</v>
      </c>
      <c r="R120" s="15">
        <f>IF(ISNUMBER(VLOOKUP($C120,'Justice Spend Total'!$C:$BA,39,FALSE)),VLOOKUP($C120,'Justice Spend Total'!$C:$BA,39,FALSE),"")</f>
        <v>2.3464546256894199</v>
      </c>
      <c r="S120" s="16">
        <f t="shared" si="15"/>
        <v>2.3464546256894199</v>
      </c>
      <c r="T120" s="7">
        <f t="shared" si="18"/>
        <v>391.1539861024263</v>
      </c>
      <c r="U120" s="22">
        <f>VLOOKUP($C120,'Justice Spend Total'!$C:$BA,40,FALSE)</f>
        <v>2020</v>
      </c>
      <c r="V120" s="15" t="str">
        <f>VLOOKUP($C120,'Justice Spend Total'!$C:$BA,41,FALSE)</f>
        <v>IMF COFOG</v>
      </c>
    </row>
    <row r="121" spans="1:23">
      <c r="A121">
        <v>119</v>
      </c>
      <c r="B121" t="s">
        <v>62</v>
      </c>
      <c r="C121" t="s">
        <v>445</v>
      </c>
      <c r="D121" t="s">
        <v>485</v>
      </c>
      <c r="E121" t="s">
        <v>494</v>
      </c>
      <c r="F121" s="17">
        <f>VLOOKUP(B121,'Justice Spend Total'!$B$4:$AQ$221,10,FALSE)</f>
        <v>95.75</v>
      </c>
      <c r="G121" s="15">
        <f>VLOOKUP(C121,'Justice Spend Total'!$C$4:$AQ$221,10,FALSE)</f>
        <v>45.319436950368711</v>
      </c>
      <c r="H121">
        <f>VLOOKUP(C121,'Justice Spend Total'!$C$4:$AQ$221,7,FALSE)</f>
        <v>23730</v>
      </c>
      <c r="I121" s="17">
        <f t="shared" si="10"/>
        <v>268.68958416213644</v>
      </c>
      <c r="J121" s="17">
        <f t="shared" si="11"/>
        <v>85.945282016476767</v>
      </c>
      <c r="K121" s="17">
        <f t="shared" si="12"/>
        <v>35.196463099162614</v>
      </c>
      <c r="L121" s="17">
        <f t="shared" si="13"/>
        <v>452.43793743340399</v>
      </c>
      <c r="M121" s="16">
        <f>IF(ISNUMBER(VLOOKUP($C121,'Justice Spend Total'!$C:$BA,38,FALSE)),VLOOKUP($C121,'Justice Spend Total'!$C:$BA,38,FALSE),"")</f>
        <v>4.2070412482048241</v>
      </c>
      <c r="N121" s="16">
        <f>IF(ISNUMBER(VLOOKUP($C121,'Justice Spend Total'!$C:$BA,35,FALSE)),VLOOKUP($C121,'Justice Spend Total'!$C:$BA,35,FALSE),"")</f>
        <v>2.4984380619043374</v>
      </c>
      <c r="O121" s="16">
        <f>IF(ISNUMBER(VLOOKUP($C121,'Justice Spend Total'!$C:$BA,36,FALSE)),VLOOKUP($C121,'Justice Spend Total'!$C:$BA,36,FALSE),"")</f>
        <v>0.7991711494908309</v>
      </c>
      <c r="P121" s="16">
        <f>IF(ISNUMBER(VLOOKUP($C121,'Justice Spend Total'!$C:$BA,37,FALSE)),VLOOKUP($C121,'Justice Spend Total'!$C:$BA,37,FALSE),"")</f>
        <v>0.3272779751607181</v>
      </c>
      <c r="Q121" s="16">
        <f t="shared" si="20"/>
        <v>0.58215406164893768</v>
      </c>
      <c r="R121" s="15">
        <f>IF(ISNUMBER(VLOOKUP($C121,'Justice Spend Total'!$C:$BA,39,FALSE)),VLOOKUP($C121,'Justice Spend Total'!$C:$BA,39,FALSE),"")</f>
        <v>1.9066074059561899</v>
      </c>
      <c r="S121" s="16">
        <f t="shared" si="15"/>
        <v>1.9066074059561899</v>
      </c>
      <c r="T121" s="7">
        <f t="shared" si="18"/>
        <v>452.43793743340399</v>
      </c>
      <c r="U121" s="22">
        <f>VLOOKUP($C121,'Justice Spend Total'!$C:$BA,40,FALSE)</f>
        <v>2020</v>
      </c>
      <c r="V121" s="15" t="str">
        <f>VLOOKUP($C121,'Justice Spend Total'!$C:$BA,41,FALSE)</f>
        <v>IMF COFOG</v>
      </c>
    </row>
    <row r="122" spans="1:23">
      <c r="A122">
        <v>120</v>
      </c>
      <c r="B122" t="s">
        <v>229</v>
      </c>
      <c r="C122" t="s">
        <v>549</v>
      </c>
      <c r="D122" t="s">
        <v>485</v>
      </c>
      <c r="E122" t="s">
        <v>494</v>
      </c>
      <c r="F122" s="17">
        <f>VLOOKUP(B122,'Justice Spend Total'!$B$4:$AQ$221,10,FALSE)</f>
        <v>305.29599999999999</v>
      </c>
      <c r="G122" s="15">
        <f>VLOOKUP(C122,'Justice Spend Total'!$C$4:$AQ$221,10,FALSE)</f>
        <v>28.830612032901133</v>
      </c>
      <c r="H122">
        <f>VLOOKUP(C122,'Justice Spend Total'!$C$4:$AQ$221,7,FALSE)</f>
        <v>14170</v>
      </c>
      <c r="I122" s="17">
        <f t="shared" si="10"/>
        <v>196.07795868840964</v>
      </c>
      <c r="J122" s="17">
        <f t="shared" si="11"/>
        <v>60.373088387765748</v>
      </c>
      <c r="K122" s="17">
        <f t="shared" si="12"/>
        <v>18.764481566366168</v>
      </c>
      <c r="L122" s="17">
        <f t="shared" si="13"/>
        <v>359.89464816785409</v>
      </c>
      <c r="M122" s="16">
        <f>IF(ISNUMBER(VLOOKUP($C122,'Justice Spend Total'!$C:$BA,38,FALSE)),VLOOKUP($C122,'Justice Spend Total'!$C:$BA,38,FALSE),"")</f>
        <v>8.8095084468387004</v>
      </c>
      <c r="N122" s="16">
        <f>IF(ISNUMBER(VLOOKUP($C122,'Justice Spend Total'!$C:$BA,35,FALSE)),VLOOKUP($C122,'Justice Spend Total'!$C:$BA,35,FALSE),"")</f>
        <v>4.7996002221705778</v>
      </c>
      <c r="O122" s="16">
        <f>IF(ISNUMBER(VLOOKUP($C122,'Justice Spend Total'!$C:$BA,36,FALSE)),VLOOKUP($C122,'Justice Spend Total'!$C:$BA,36,FALSE),"")</f>
        <v>1.4778136735884573</v>
      </c>
      <c r="P122" s="16">
        <f>IF(ISNUMBER(VLOOKUP($C122,'Justice Spend Total'!$C:$BA,37,FALSE)),VLOOKUP($C122,'Justice Spend Total'!$C:$BA,37,FALSE),"")</f>
        <v>0.45931735773507121</v>
      </c>
      <c r="Q122" s="16">
        <f t="shared" si="20"/>
        <v>2.072777193344594</v>
      </c>
      <c r="R122" s="15">
        <f>IF(ISNUMBER(VLOOKUP($C122,'Justice Spend Total'!$C:$BA,39,FALSE)),VLOOKUP($C122,'Justice Spend Total'!$C:$BA,39,FALSE),"")</f>
        <v>2.5398352023137201</v>
      </c>
      <c r="S122" s="16">
        <f t="shared" si="15"/>
        <v>2.5398352023137201</v>
      </c>
      <c r="T122" s="7">
        <f t="shared" si="18"/>
        <v>359.89464816785409</v>
      </c>
      <c r="U122" s="22">
        <f>VLOOKUP($C122,'Justice Spend Total'!$C:$BA,40,FALSE)</f>
        <v>2020</v>
      </c>
      <c r="V122" s="15" t="str">
        <f>VLOOKUP($C122,'Justice Spend Total'!$C:$BA,41,FALSE)</f>
        <v>IMF COFOG</v>
      </c>
    </row>
    <row r="123" spans="1:23">
      <c r="A123">
        <v>121</v>
      </c>
      <c r="B123" t="s">
        <v>223</v>
      </c>
      <c r="C123" t="s">
        <v>438</v>
      </c>
      <c r="D123" t="s">
        <v>485</v>
      </c>
      <c r="E123" t="s">
        <v>486</v>
      </c>
      <c r="F123" s="17">
        <f>VLOOKUP(B123,'Justice Spend Total'!$B$4:$AQ$221,10,FALSE)</f>
        <v>48451.33</v>
      </c>
      <c r="G123" s="15">
        <f>VLOOKUP(C123,'Justice Spend Total'!$C$4:$AQ$221,10,FALSE)</f>
        <v>37.043632301772313</v>
      </c>
      <c r="H123">
        <f>VLOOKUP(C123,'Justice Spend Total'!$C$4:$AQ$221,7,FALSE)</f>
        <v>11600</v>
      </c>
      <c r="I123" s="17">
        <f t="shared" si="10"/>
        <v>118.33356658968574</v>
      </c>
      <c r="J123" s="17">
        <f t="shared" si="11"/>
        <v>34.589145512566809</v>
      </c>
      <c r="K123" s="17">
        <f t="shared" si="12"/>
        <v>23.011190676749813</v>
      </c>
      <c r="L123" s="17">
        <f t="shared" si="13"/>
        <v>271.56225599540721</v>
      </c>
      <c r="M123" s="16">
        <f>IF(ISNUMBER(VLOOKUP($C123,'Justice Spend Total'!$C:$BA,38,FALSE)),VLOOKUP($C123,'Justice Spend Total'!$C:$BA,38,FALSE),"")</f>
        <v>6.3197202475278988</v>
      </c>
      <c r="N123" s="16">
        <f>IF(ISNUMBER(VLOOKUP($C123,'Justice Spend Total'!$C:$BA,35,FALSE)),VLOOKUP($C123,'Justice Spend Total'!$C:$BA,35,FALSE),"")</f>
        <v>2.7538253944674684</v>
      </c>
      <c r="O123" s="16">
        <f>IF(ISNUMBER(VLOOKUP($C123,'Justice Spend Total'!$C:$BA,36,FALSE)),VLOOKUP($C123,'Justice Spend Total'!$C:$BA,36,FALSE),"")</f>
        <v>0.80494884106484288</v>
      </c>
      <c r="P123" s="16">
        <f>IF(ISNUMBER(VLOOKUP($C123,'Justice Spend Total'!$C:$BA,37,FALSE)),VLOOKUP($C123,'Justice Spend Total'!$C:$BA,37,FALSE),"")</f>
        <v>0.53550994082933412</v>
      </c>
      <c r="Q123" s="16">
        <f t="shared" si="20"/>
        <v>2.2254360711662531</v>
      </c>
      <c r="R123" s="15">
        <f>IF(ISNUMBER(VLOOKUP($C123,'Justice Spend Total'!$C:$BA,39,FALSE)),VLOOKUP($C123,'Justice Spend Total'!$C:$BA,39,FALSE),"")</f>
        <v>2.3410539309948901</v>
      </c>
      <c r="S123" s="16">
        <f t="shared" si="15"/>
        <v>2.3410539309948901</v>
      </c>
      <c r="T123" s="7">
        <f t="shared" si="18"/>
        <v>271.56225599540721</v>
      </c>
      <c r="U123" s="22">
        <f>VLOOKUP($C123,'Justice Spend Total'!$C:$BA,40,FALSE)</f>
        <v>2020</v>
      </c>
      <c r="V123" s="15" t="str">
        <f>VLOOKUP($C123,'Justice Spend Total'!$C:$BA,41,FALSE)</f>
        <v>IMF COFOG</v>
      </c>
    </row>
    <row r="124" spans="1:23">
      <c r="A124">
        <v>122</v>
      </c>
      <c r="B124" t="s">
        <v>111</v>
      </c>
      <c r="C124" t="s">
        <v>324</v>
      </c>
      <c r="D124" t="s">
        <v>496</v>
      </c>
      <c r="E124" t="s">
        <v>299</v>
      </c>
      <c r="F124" s="17">
        <f>VLOOKUP(B124,'Justice Spend Total'!$B$4:$AQ$221,10,FALSE)</f>
        <v>2152.3000000000002</v>
      </c>
      <c r="G124" s="15">
        <f>VLOOKUP(C124,'Justice Spend Total'!$C$4:$AQ$221,10,FALSE)</f>
        <v>23.105743424584006</v>
      </c>
      <c r="H124">
        <f>VLOOKUP(C124,'Justice Spend Total'!$C$4:$AQ$221,7,FALSE)</f>
        <v>850</v>
      </c>
      <c r="I124" s="17">
        <f t="shared" si="10"/>
        <v>6.4538071210091248</v>
      </c>
      <c r="J124" s="17">
        <f t="shared" si="11"/>
        <v>2.6529293778636602</v>
      </c>
      <c r="K124" s="17">
        <f t="shared" si="12"/>
        <v>1.9497899083467525</v>
      </c>
      <c r="L124" s="17">
        <f t="shared" si="13"/>
        <v>13.253551083580247</v>
      </c>
      <c r="M124" s="16">
        <f>IF(ISNUMBER(VLOOKUP($C124,'Justice Spend Total'!$C:$BA,38,FALSE)),VLOOKUP($C124,'Justice Spend Total'!$C:$BA,38,FALSE),"")</f>
        <v>6.7482845078752964</v>
      </c>
      <c r="N124" s="16">
        <f>IF(ISNUMBER(VLOOKUP($C124,'Justice Spend Total'!$C:$BA,35,FALSE)),VLOOKUP($C124,'Justice Spend Total'!$C:$BA,35,FALSE),"")</f>
        <v>3.2860722637178834</v>
      </c>
      <c r="O124" s="16">
        <f>IF(ISNUMBER(VLOOKUP($C124,'Justice Spend Total'!$C:$BA,36,FALSE)),VLOOKUP($C124,'Justice Spend Total'!$C:$BA,36,FALSE),"")</f>
        <v>1.3507868274868744</v>
      </c>
      <c r="P124" s="16">
        <f>IF(ISNUMBER(VLOOKUP($C124,'Justice Spend Total'!$C:$BA,37,FALSE)),VLOOKUP($C124,'Justice Spend Total'!$C:$BA,37,FALSE),"")</f>
        <v>0.99277068833341064</v>
      </c>
      <c r="Q124" s="16">
        <f t="shared" si="20"/>
        <v>1.118654728337128</v>
      </c>
      <c r="R124" s="15">
        <f>IF(ISNUMBER(VLOOKUP($C124,'Justice Spend Total'!$C:$BA,39,FALSE)),VLOOKUP($C124,'Justice Spend Total'!$C:$BA,39,FALSE),"")</f>
        <v>1.5592413039506174</v>
      </c>
      <c r="S124" s="16">
        <f t="shared" si="15"/>
        <v>1.5592413039506174</v>
      </c>
      <c r="T124" s="7">
        <f t="shared" si="18"/>
        <v>13.253551083580247</v>
      </c>
      <c r="U124" s="22" t="str">
        <f>VLOOKUP($C124,'Justice Spend Total'!$C:$BA,40,FALSE)</f>
        <v>FY 21/22</v>
      </c>
      <c r="V124" s="15" t="s">
        <v>489</v>
      </c>
      <c r="W124" t="s">
        <v>550</v>
      </c>
    </row>
    <row r="125" spans="1:23">
      <c r="A125">
        <v>123</v>
      </c>
      <c r="B125" t="s">
        <v>168</v>
      </c>
      <c r="C125" t="s">
        <v>382</v>
      </c>
      <c r="D125" t="s">
        <v>493</v>
      </c>
      <c r="E125" t="s">
        <v>488</v>
      </c>
      <c r="F125" s="17">
        <f>VLOOKUP(B125,'Justice Spend Total'!$B$4:$AQ$221,10,FALSE)</f>
        <v>0.79200000000000004</v>
      </c>
      <c r="G125" s="15">
        <f>VLOOKUP(C125,'Justice Spend Total'!$C$4:$AQ$221,10,FALSE)</f>
        <v>39.072520966946222</v>
      </c>
      <c r="H125">
        <f>VLOOKUP(C125,'Justice Spend Total'!$C$4:$AQ$221,7,FALSE)</f>
        <v>3860</v>
      </c>
      <c r="I125" s="17">
        <f t="shared" si="10"/>
        <v>28.690279820897409</v>
      </c>
      <c r="J125" s="17">
        <f t="shared" si="11"/>
        <v>26.874082001155511</v>
      </c>
      <c r="K125" s="17">
        <f t="shared" si="12"/>
        <v>12.373325168362147</v>
      </c>
      <c r="L125" s="17">
        <f t="shared" si="13"/>
        <v>97.903303514181331</v>
      </c>
      <c r="M125" s="16">
        <f>IF(ISNUMBER(VLOOKUP($C125,'Justice Spend Total'!$C:$BA,38,FALSE)),VLOOKUP($C125,'Justice Spend Total'!$C:$BA,38,FALSE),"")</f>
        <v>6.4914035505065417</v>
      </c>
      <c r="N125" s="16">
        <f>IF(ISNUMBER(VLOOKUP($C125,'Justice Spend Total'!$C:$BA,35,FALSE)),VLOOKUP($C125,'Justice Spend Total'!$C:$BA,35,FALSE),"")</f>
        <v>1.9022870282147595</v>
      </c>
      <c r="O125" s="16">
        <f>IF(ISNUMBER(VLOOKUP($C125,'Justice Spend Total'!$C:$BA,36,FALSE)),VLOOKUP($C125,'Justice Spend Total'!$C:$BA,36,FALSE),"")</f>
        <v>1.7818654228928608</v>
      </c>
      <c r="P125" s="16">
        <f>IF(ISNUMBER(VLOOKUP($C125,'Justice Spend Total'!$C:$BA,37,FALSE)),VLOOKUP($C125,'Justice Spend Total'!$C:$BA,37,FALSE),"")</f>
        <v>0.82040384794414589</v>
      </c>
      <c r="Q125" s="16">
        <f t="shared" si="20"/>
        <v>1.9868472514547753</v>
      </c>
      <c r="R125" s="15">
        <f>IF(ISNUMBER(VLOOKUP($C125,'Justice Spend Total'!$C:$BA,39,FALSE)),VLOOKUP($C125,'Justice Spend Total'!$C:$BA,39,FALSE),"")</f>
        <v>2.53635501332076</v>
      </c>
      <c r="S125" s="16">
        <f t="shared" si="15"/>
        <v>2.53635501332076</v>
      </c>
      <c r="T125" s="7">
        <f t="shared" si="18"/>
        <v>97.903303514181331</v>
      </c>
      <c r="U125" s="22">
        <f>VLOOKUP($C125,'Justice Spend Total'!$C:$BA,40,FALSE)</f>
        <v>2020</v>
      </c>
      <c r="V125" s="15" t="str">
        <f>VLOOKUP($C125,'Justice Spend Total'!$C:$BA,41,FALSE)</f>
        <v>IMF COFOG</v>
      </c>
      <c r="W125" t="s">
        <v>484</v>
      </c>
    </row>
    <row r="126" spans="1:23">
      <c r="A126">
        <v>124</v>
      </c>
      <c r="B126" t="s">
        <v>265</v>
      </c>
      <c r="C126" t="s">
        <v>551</v>
      </c>
      <c r="D126" t="s">
        <v>485</v>
      </c>
      <c r="E126" t="s">
        <v>494</v>
      </c>
      <c r="F126" s="17">
        <f>VLOOKUP(B126,'Justice Spend Total'!$B$4:$AQ$221,10,FALSE)</f>
        <v>0.29199999999999998</v>
      </c>
      <c r="G126" s="15">
        <f>VLOOKUP(C126,'Justice Spend Total'!$C$4:$AQ$221,10,FALSE)</f>
        <v>21.597633136094672</v>
      </c>
      <c r="H126" t="str">
        <f>VLOOKUP(C126,'Justice Spend Total'!$C$4:$AQ$221,7,FALSE)</f>
        <v/>
      </c>
      <c r="I126" s="35" t="e">
        <f t="shared" si="10"/>
        <v>#VALUE!</v>
      </c>
      <c r="J126" s="35" t="e">
        <f t="shared" si="11"/>
        <v>#VALUE!</v>
      </c>
      <c r="K126" s="35" t="e">
        <f t="shared" si="12"/>
        <v>#VALUE!</v>
      </c>
      <c r="L126" s="35" t="e">
        <f t="shared" si="13"/>
        <v>#VALUE!</v>
      </c>
      <c r="M126" s="16">
        <f>IF(ISNUMBER(VLOOKUP($C126,'Justice Spend Total'!$C:$BA,38,FALSE)),VLOOKUP($C126,'Justice Spend Total'!$C:$BA,38,FALSE),"")</f>
        <v>5.2077561845409228</v>
      </c>
      <c r="N126" s="16">
        <f>IF(ISNUMBER(VLOOKUP($C126,'Justice Spend Total'!$C:$BA,35,FALSE)),VLOOKUP($C126,'Justice Spend Total'!$C:$BA,35,FALSE),"")</f>
        <v>3.4682912158677177</v>
      </c>
      <c r="O126" s="16">
        <f>IF(ISNUMBER(VLOOKUP($C126,'Justice Spend Total'!$C:$BA,36,FALSE)),VLOOKUP($C126,'Justice Spend Total'!$C:$BA,36,FALSE),"")</f>
        <v>1.2920853741557681</v>
      </c>
      <c r="P126" s="16">
        <f>IF(ISNUMBER(VLOOKUP($C126,'Justice Spend Total'!$C:$BA,37,FALSE)),VLOOKUP($C126,'Justice Spend Total'!$C:$BA,37,FALSE),"")</f>
        <v>1.2467613056237149E-2</v>
      </c>
      <c r="Q126" s="16">
        <f t="shared" si="20"/>
        <v>0.43491198146119986</v>
      </c>
      <c r="R126" s="15">
        <f>IF(ISNUMBER(VLOOKUP($C126,'Justice Spend Total'!$C:$BA,39,FALSE)),VLOOKUP($C126,'Justice Spend Total'!$C:$BA,39,FALSE),"")</f>
        <v>1.12475207535943</v>
      </c>
      <c r="S126" s="16">
        <f t="shared" si="15"/>
        <v>1.12475207535943</v>
      </c>
      <c r="T126" s="7"/>
      <c r="U126" s="22">
        <f>VLOOKUP($C126,'Justice Spend Total'!$C:$BA,40,FALSE)</f>
        <v>2020</v>
      </c>
      <c r="V126" s="15" t="str">
        <f>VLOOKUP($C126,'Justice Spend Total'!$C:$BA,41,FALSE)</f>
        <v>IMF COFOG</v>
      </c>
    </row>
    <row r="127" spans="1:23">
      <c r="A127">
        <v>125</v>
      </c>
      <c r="B127" t="s">
        <v>131</v>
      </c>
      <c r="C127" t="s">
        <v>345</v>
      </c>
      <c r="D127" t="s">
        <v>496</v>
      </c>
      <c r="E127" t="s">
        <v>488</v>
      </c>
      <c r="F127" s="17">
        <f>VLOOKUP(B127,'Justice Spend Total'!$B$4:$AQ$221,10,FALSE)</f>
        <v>2842.64</v>
      </c>
      <c r="G127" s="15">
        <f>VLOOKUP(C127,'Justice Spend Total'!$C$4:$AQ$221,10,FALSE)</f>
        <v>20.15913764981207</v>
      </c>
      <c r="H127">
        <f>VLOOKUP(C127,'Justice Spend Total'!$C$4:$AQ$221,7,FALSE)</f>
        <v>1540</v>
      </c>
      <c r="I127" s="17" t="str">
        <f t="shared" si="10"/>
        <v/>
      </c>
      <c r="J127" s="17" t="str">
        <f t="shared" si="11"/>
        <v/>
      </c>
      <c r="K127" s="17" t="str">
        <f t="shared" si="12"/>
        <v/>
      </c>
      <c r="L127" s="17">
        <f t="shared" si="13"/>
        <v>18.522462460954543</v>
      </c>
      <c r="M127" s="16">
        <f>IF(ISNUMBER(VLOOKUP($C127,'Justice Spend Total'!$C:$BA,38,FALSE)),VLOOKUP($C127,'Justice Spend Total'!$C:$BA,38,FALSE),"")</f>
        <v>5.966313259786677</v>
      </c>
      <c r="N127" s="16" t="str">
        <f>IF(ISNUMBER(VLOOKUP($C127,'Justice Spend Total'!$C:$BA,35,FALSE)),VLOOKUP($C127,'Justice Spend Total'!$C:$BA,35,FALSE),"")</f>
        <v/>
      </c>
      <c r="O127" s="16" t="str">
        <f>IF(ISNUMBER(VLOOKUP($C127,'Justice Spend Total'!$C:$BA,36,FALSE)),VLOOKUP($C127,'Justice Spend Total'!$C:$BA,36,FALSE),"")</f>
        <v/>
      </c>
      <c r="P127" s="16" t="str">
        <f>IF(ISNUMBER(VLOOKUP($C127,'Justice Spend Total'!$C:$BA,37,FALSE)),VLOOKUP($C127,'Justice Spend Total'!$C:$BA,37,FALSE),"")</f>
        <v/>
      </c>
      <c r="Q127" s="16"/>
      <c r="R127" s="15">
        <f>IF(ISNUMBER(VLOOKUP($C127,'Justice Spend Total'!$C:$BA,39,FALSE)),VLOOKUP($C127,'Justice Spend Total'!$C:$BA,39,FALSE),"")</f>
        <v>1.2027573026593859</v>
      </c>
      <c r="S127" s="16">
        <f t="shared" si="15"/>
        <v>1.2027573026593859</v>
      </c>
      <c r="T127" s="7">
        <f t="shared" ref="T127:T158" si="21">L127</f>
        <v>18.522462460954543</v>
      </c>
      <c r="U127" s="22">
        <f>VLOOKUP($C127,'Justice Spend Total'!$C:$BA,40,FALSE)</f>
        <v>2021</v>
      </c>
      <c r="V127" s="15" t="s">
        <v>489</v>
      </c>
    </row>
    <row r="128" spans="1:23">
      <c r="A128">
        <v>126</v>
      </c>
      <c r="B128" t="s">
        <v>227</v>
      </c>
      <c r="C128" t="s">
        <v>552</v>
      </c>
      <c r="D128" t="s">
        <v>496</v>
      </c>
      <c r="E128" t="s">
        <v>494</v>
      </c>
      <c r="F128" s="17">
        <f>VLOOKUP(B128,'Justice Spend Total'!$B$4:$AQ$221,10,FALSE)</f>
        <v>7.5430000000000001</v>
      </c>
      <c r="G128" s="15">
        <f>VLOOKUP(C128,'Justice Spend Total'!$C$4:$AQ$221,10,FALSE)</f>
        <v>35.662616424755335</v>
      </c>
      <c r="H128">
        <f>VLOOKUP(C128,'Justice Spend Total'!$C$4:$AQ$221,7,FALSE)</f>
        <v>13260</v>
      </c>
      <c r="I128" s="17">
        <f t="shared" si="10"/>
        <v>236.81304877080439</v>
      </c>
      <c r="J128" s="17">
        <f t="shared" si="11"/>
        <v>0</v>
      </c>
      <c r="K128" s="17">
        <f t="shared" si="12"/>
        <v>54.735040645526574</v>
      </c>
      <c r="L128" s="17">
        <f t="shared" si="13"/>
        <v>329.74540852277687</v>
      </c>
      <c r="M128" s="16">
        <f>IF(ISNUMBER(VLOOKUP($C128,'Justice Spend Total'!$C:$BA,38,FALSE)),VLOOKUP($C128,'Justice Spend Total'!$C:$BA,38,FALSE),"")</f>
        <v>6.9730379766015744</v>
      </c>
      <c r="N128" s="16">
        <f>IF(ISNUMBER(VLOOKUP($C128,'Justice Spend Total'!$C:$BA,35,FALSE)),VLOOKUP($C128,'Justice Spend Total'!$C:$BA,35,FALSE),"")</f>
        <v>5.0078222160280887</v>
      </c>
      <c r="O128" s="16">
        <f>IF(ISNUMBER(VLOOKUP($C128,'Justice Spend Total'!$C:$BA,36,FALSE)),VLOOKUP($C128,'Justice Spend Total'!$C:$BA,36,FALSE),"")</f>
        <v>0</v>
      </c>
      <c r="P128" s="16">
        <f>IF(ISNUMBER(VLOOKUP($C128,'Justice Spend Total'!$C:$BA,37,FALSE)),VLOOKUP($C128,'Justice Spend Total'!$C:$BA,37,FALSE),"")</f>
        <v>1.1574672677988906</v>
      </c>
      <c r="Q128" s="16">
        <f t="shared" ref="Q128:Q138" si="22">IF(ISNUMBER(M128),M128-N128-O128-P128,"")</f>
        <v>0.80774849277459504</v>
      </c>
      <c r="R128" s="15">
        <f>IF(ISNUMBER(VLOOKUP($C128,'Justice Spend Total'!$C:$BA,39,FALSE)),VLOOKUP($C128,'Justice Spend Total'!$C:$BA,39,FALSE),"")</f>
        <v>2.4867677867479401</v>
      </c>
      <c r="S128" s="16">
        <f t="shared" si="15"/>
        <v>2.4867677867479401</v>
      </c>
      <c r="T128" s="7">
        <f t="shared" si="21"/>
        <v>329.74540852277687</v>
      </c>
      <c r="U128" s="22">
        <f>VLOOKUP($C128,'Justice Spend Total'!$C:$BA,40,FALSE)</f>
        <v>2018</v>
      </c>
      <c r="V128" s="15" t="str">
        <f>VLOOKUP($C128,'Justice Spend Total'!$C:$BA,41,FALSE)</f>
        <v>IMF COFOG</v>
      </c>
    </row>
    <row r="129" spans="1:23">
      <c r="A129">
        <v>127</v>
      </c>
      <c r="B129" t="s">
        <v>98</v>
      </c>
      <c r="C129" t="s">
        <v>311</v>
      </c>
      <c r="D129" t="s">
        <v>496</v>
      </c>
      <c r="E129" t="s">
        <v>299</v>
      </c>
      <c r="F129" s="17">
        <f>VLOOKUP(B129,'Justice Spend Total'!$B$4:$AQ$221,10,FALSE)</f>
        <v>7974.25</v>
      </c>
      <c r="G129" s="15">
        <f>VLOOKUP(C129,'Justice Spend Total'!$C$4:$AQ$221,10,FALSE)</f>
        <v>19.966538192756936</v>
      </c>
      <c r="H129">
        <f>VLOOKUP(C129,'Justice Spend Total'!$C$4:$AQ$221,7,FALSE)</f>
        <v>510</v>
      </c>
      <c r="I129" s="17">
        <f t="shared" si="10"/>
        <v>5.2398455909361674</v>
      </c>
      <c r="J129" s="17">
        <f t="shared" si="11"/>
        <v>1.4031041059320097</v>
      </c>
      <c r="K129" s="17">
        <f t="shared" si="12"/>
        <v>1.3497903128518729</v>
      </c>
      <c r="L129" s="17">
        <f t="shared" si="13"/>
        <v>8.700938728386225</v>
      </c>
      <c r="M129" s="16">
        <f>IF(ISNUMBER(VLOOKUP($C129,'Justice Spend Total'!$C:$BA,38,FALSE)),VLOOKUP($C129,'Justice Spend Total'!$C:$BA,38,FALSE),"")</f>
        <v>8.5446280214440229</v>
      </c>
      <c r="N129" s="16">
        <f>IF(ISNUMBER(VLOOKUP($C129,'Justice Spend Total'!$C:$BA,35,FALSE)),VLOOKUP($C129,'Justice Spend Total'!$C:$BA,35,FALSE),"")</f>
        <v>5.145712762955764</v>
      </c>
      <c r="O129" s="16">
        <f>IF(ISNUMBER(VLOOKUP($C129,'Justice Spend Total'!$C:$BA,36,FALSE)),VLOOKUP($C129,'Justice Spend Total'!$C:$BA,36,FALSE),"")</f>
        <v>1.3778976079255105</v>
      </c>
      <c r="P129" s="16">
        <f>IF(ISNUMBER(VLOOKUP($C129,'Justice Spend Total'!$C:$BA,37,FALSE)),VLOOKUP($C129,'Justice Spend Total'!$C:$BA,37,FALSE),"")</f>
        <v>1.3255415869831018</v>
      </c>
      <c r="Q129" s="16">
        <f t="shared" si="22"/>
        <v>0.69547606357964642</v>
      </c>
      <c r="R129" s="15">
        <f>IF(ISNUMBER(VLOOKUP($C129,'Justice Spend Total'!$C:$BA,39,FALSE)),VLOOKUP($C129,'Justice Spend Total'!$C:$BA,39,FALSE),"")</f>
        <v>1.7060664173306321</v>
      </c>
      <c r="S129" s="16">
        <f t="shared" si="15"/>
        <v>1.7060664173306321</v>
      </c>
      <c r="T129" s="7">
        <f t="shared" si="21"/>
        <v>8.700938728386225</v>
      </c>
      <c r="U129" s="22" t="str">
        <f>VLOOKUP($C129,'Justice Spend Total'!$C:$BA,40,FALSE)</f>
        <v>FY 2020</v>
      </c>
      <c r="V129" s="15" t="s">
        <v>489</v>
      </c>
      <c r="W129" t="s">
        <v>553</v>
      </c>
    </row>
    <row r="130" spans="1:23">
      <c r="A130">
        <v>128</v>
      </c>
      <c r="B130" t="s">
        <v>262</v>
      </c>
      <c r="C130" t="s">
        <v>554</v>
      </c>
      <c r="D130" t="s">
        <v>493</v>
      </c>
      <c r="E130" t="s">
        <v>494</v>
      </c>
      <c r="F130" s="17">
        <f>VLOOKUP(B130,'Justice Spend Total'!$B$4:$AQ$221,10,FALSE)</f>
        <v>103.31399999999999</v>
      </c>
      <c r="G130" s="15">
        <f>VLOOKUP(C130,'Justice Spend Total'!$C$4:$AQ$221,10,FALSE)</f>
        <v>18.00538519854652</v>
      </c>
      <c r="H130">
        <f>VLOOKUP(C130,'Justice Spend Total'!$C$4:$AQ$221,7,FALSE)</f>
        <v>64010</v>
      </c>
      <c r="I130" s="17">
        <f t="shared" si="10"/>
        <v>488.88426476348656</v>
      </c>
      <c r="J130" s="17">
        <f t="shared" si="11"/>
        <v>23.715593264662928</v>
      </c>
      <c r="K130" s="17">
        <f t="shared" si="12"/>
        <v>85.071320788557131</v>
      </c>
      <c r="L130" s="17">
        <f t="shared" si="13"/>
        <v>785.01857674280234</v>
      </c>
      <c r="M130" s="16">
        <f>IF(ISNUMBER(VLOOKUP($C130,'Justice Spend Total'!$C:$BA,38,FALSE)),VLOOKUP($C130,'Justice Spend Total'!$C:$BA,38,FALSE),"")</f>
        <v>6.8112949967605845</v>
      </c>
      <c r="N130" s="16">
        <f>IF(ISNUMBER(VLOOKUP($C130,'Justice Spend Total'!$C:$BA,35,FALSE)),VLOOKUP($C130,'Justice Spend Total'!$C:$BA,35,FALSE),"")</f>
        <v>4.24185496398706</v>
      </c>
      <c r="O130" s="16">
        <f>IF(ISNUMBER(VLOOKUP($C130,'Justice Spend Total'!$C:$BA,36,FALSE)),VLOOKUP($C130,'Justice Spend Total'!$C:$BA,36,FALSE),"")</f>
        <v>0.20577080152554325</v>
      </c>
      <c r="P130" s="16">
        <f>IF(ISNUMBER(VLOOKUP($C130,'Justice Spend Total'!$C:$BA,37,FALSE)),VLOOKUP($C130,'Justice Spend Total'!$C:$BA,37,FALSE),"")</f>
        <v>0.73813012688075441</v>
      </c>
      <c r="Q130" s="16">
        <f t="shared" si="22"/>
        <v>1.6255391043672272</v>
      </c>
      <c r="R130" s="15">
        <f>IF(ISNUMBER(VLOOKUP($C130,'Justice Spend Total'!$C:$BA,39,FALSE)),VLOOKUP($C130,'Justice Spend Total'!$C:$BA,39,FALSE),"")</f>
        <v>1.22639990117607</v>
      </c>
      <c r="S130" s="16">
        <f t="shared" si="15"/>
        <v>1.22639990117607</v>
      </c>
      <c r="T130" s="7">
        <f t="shared" si="21"/>
        <v>785.01857674280234</v>
      </c>
      <c r="U130" s="22">
        <f>VLOOKUP($C130,'Justice Spend Total'!$C:$BA,40,FALSE)</f>
        <v>2020</v>
      </c>
      <c r="V130" s="15" t="str">
        <f>VLOOKUP($C130,'Justice Spend Total'!$C:$BA,41,FALSE)</f>
        <v>IMF COFOG</v>
      </c>
    </row>
    <row r="131" spans="1:23">
      <c r="A131">
        <v>129</v>
      </c>
      <c r="B131" t="s">
        <v>76</v>
      </c>
      <c r="C131" t="s">
        <v>444</v>
      </c>
      <c r="D131" t="s">
        <v>485</v>
      </c>
      <c r="E131" t="s">
        <v>494</v>
      </c>
      <c r="F131" s="17">
        <f>VLOOKUP(B131,'Justice Spend Total'!$B$4:$AQ$221,10,FALSE)</f>
        <v>36.881999999999998</v>
      </c>
      <c r="G131" s="15">
        <f>VLOOKUP(C131,'Justice Spend Total'!$C$4:$AQ$221,10,FALSE)</f>
        <v>40.054735607467499</v>
      </c>
      <c r="H131">
        <f>VLOOKUP(C131,'Justice Spend Total'!$C$4:$AQ$221,7,FALSE)</f>
        <v>20250</v>
      </c>
      <c r="I131" s="17">
        <f t="shared" ref="I131:I194" si="23">IF(ISNUMBER(N131),$G131/100*$H131*(N131/100),"")</f>
        <v>228.03074695757971</v>
      </c>
      <c r="J131" s="17">
        <f t="shared" ref="J131:J194" si="24">IF(ISNUMBER(O131),$G131/100*$H131*(O131/100),"")</f>
        <v>66.265239406960177</v>
      </c>
      <c r="K131" s="17">
        <f t="shared" ref="K131:K194" si="25">IF(ISNUMBER(P131),$G131/100*$H131*(P131/100),"")</f>
        <v>44.313366551836388</v>
      </c>
      <c r="L131" s="17">
        <f t="shared" ref="L131:L194" si="26">IF(ISNUMBER(M131),$G131/100*$H131*(M131/100),"")</f>
        <v>506.85071825364844</v>
      </c>
      <c r="M131" s="16">
        <f>IF(ISNUMBER(VLOOKUP($C131,'Justice Spend Total'!$C:$BA,38,FALSE)),VLOOKUP($C131,'Justice Spend Total'!$C:$BA,38,FALSE),"")</f>
        <v>6.2488653886606258</v>
      </c>
      <c r="N131" s="16">
        <f>IF(ISNUMBER(VLOOKUP($C131,'Justice Spend Total'!$C:$BA,35,FALSE)),VLOOKUP($C131,'Justice Spend Total'!$C:$BA,35,FALSE),"")</f>
        <v>2.8113473867083587</v>
      </c>
      <c r="O131" s="16">
        <f>IF(ISNUMBER(VLOOKUP($C131,'Justice Spend Total'!$C:$BA,36,FALSE)),VLOOKUP($C131,'Justice Spend Total'!$C:$BA,36,FALSE),"")</f>
        <v>0.81697143969368924</v>
      </c>
      <c r="P131" s="16">
        <f>IF(ISNUMBER(VLOOKUP($C131,'Justice Spend Total'!$C:$BA,37,FALSE)),VLOOKUP($C131,'Justice Spend Total'!$C:$BA,37,FALSE),"")</f>
        <v>0.54633100541888924</v>
      </c>
      <c r="Q131" s="16">
        <f t="shared" si="22"/>
        <v>2.0742155568396887</v>
      </c>
      <c r="R131" s="15">
        <f>IF(ISNUMBER(VLOOKUP($C131,'Justice Spend Total'!$C:$BA,39,FALSE)),VLOOKUP($C131,'Justice Spend Total'!$C:$BA,39,FALSE),"")</f>
        <v>2.5029665098945602</v>
      </c>
      <c r="S131" s="16">
        <f t="shared" ref="S131:S194" si="27">R131</f>
        <v>2.5029665098945602</v>
      </c>
      <c r="T131" s="7">
        <f t="shared" si="21"/>
        <v>506.85071825364844</v>
      </c>
      <c r="U131" s="22">
        <f>VLOOKUP($C131,'Justice Spend Total'!$C:$BA,40,FALSE)</f>
        <v>2020</v>
      </c>
      <c r="V131" s="15" t="str">
        <f>VLOOKUP($C131,'Justice Spend Total'!$C:$BA,41,FALSE)</f>
        <v>IMF COFOG</v>
      </c>
    </row>
    <row r="132" spans="1:23">
      <c r="A132">
        <v>130</v>
      </c>
      <c r="B132" t="s">
        <v>60</v>
      </c>
      <c r="C132" t="s">
        <v>447</v>
      </c>
      <c r="D132" t="s">
        <v>485</v>
      </c>
      <c r="E132" t="s">
        <v>494</v>
      </c>
      <c r="F132" s="17">
        <f>VLOOKUP(B132,'Justice Spend Total'!$B$4:$AQ$221,10,FALSE)</f>
        <v>22.843</v>
      </c>
      <c r="G132" s="15">
        <f>VLOOKUP(C132,'Justice Spend Total'!$C$4:$AQ$221,10,FALSE)</f>
        <v>43.9119569396386</v>
      </c>
      <c r="H132">
        <f>VLOOKUP(C132,'Justice Spend Total'!$C$4:$AQ$221,7,FALSE)</f>
        <v>28240</v>
      </c>
      <c r="I132" s="17">
        <f t="shared" si="23"/>
        <v>252.7365036872842</v>
      </c>
      <c r="J132" s="17">
        <f t="shared" si="24"/>
        <v>136.77602625857892</v>
      </c>
      <c r="K132" s="17">
        <f t="shared" si="25"/>
        <v>28.741383690694501</v>
      </c>
      <c r="L132" s="17">
        <f t="shared" si="26"/>
        <v>495.12271452321147</v>
      </c>
      <c r="M132" s="16">
        <f>IF(ISNUMBER(VLOOKUP($C132,'Justice Spend Total'!$C:$BA,38,FALSE)),VLOOKUP($C132,'Justice Spend Total'!$C:$BA,38,FALSE),"")</f>
        <v>3.9926879257798338</v>
      </c>
      <c r="N132" s="16">
        <f>IF(ISNUMBER(VLOOKUP($C132,'Justice Spend Total'!$C:$BA,35,FALSE)),VLOOKUP($C132,'Justice Spend Total'!$C:$BA,35,FALSE),"")</f>
        <v>2.0380765355266757</v>
      </c>
      <c r="O132" s="16">
        <f>IF(ISNUMBER(VLOOKUP($C132,'Justice Spend Total'!$C:$BA,36,FALSE)),VLOOKUP($C132,'Justice Spend Total'!$C:$BA,36,FALSE),"")</f>
        <v>1.1029669464965985</v>
      </c>
      <c r="P132" s="16">
        <f>IF(ISNUMBER(VLOOKUP($C132,'Justice Spend Total'!$C:$BA,37,FALSE)),VLOOKUP($C132,'Justice Spend Total'!$C:$BA,37,FALSE),"")</f>
        <v>0.23177158362154199</v>
      </c>
      <c r="Q132" s="16">
        <f t="shared" si="22"/>
        <v>0.61987286013501763</v>
      </c>
      <c r="R132" s="15">
        <f>IF(ISNUMBER(VLOOKUP($C132,'Justice Spend Total'!$C:$BA,39,FALSE)),VLOOKUP($C132,'Justice Spend Total'!$C:$BA,39,FALSE),"")</f>
        <v>1.7532674027025901</v>
      </c>
      <c r="S132" s="16">
        <f t="shared" si="27"/>
        <v>1.7532674027025901</v>
      </c>
      <c r="T132" s="7">
        <f t="shared" si="21"/>
        <v>495.12271452321147</v>
      </c>
      <c r="U132" s="22">
        <f>VLOOKUP($C132,'Justice Spend Total'!$C:$BA,40,FALSE)</f>
        <v>2020</v>
      </c>
      <c r="V132" s="15" t="str">
        <f>VLOOKUP($C132,'Justice Spend Total'!$C:$BA,41,FALSE)</f>
        <v>IMF COFOG</v>
      </c>
    </row>
    <row r="133" spans="1:23">
      <c r="A133">
        <v>131</v>
      </c>
      <c r="B133" t="s">
        <v>144</v>
      </c>
      <c r="C133" t="s">
        <v>358</v>
      </c>
      <c r="D133" t="s">
        <v>493</v>
      </c>
      <c r="E133" t="s">
        <v>488</v>
      </c>
      <c r="F133" s="17">
        <f>VLOOKUP(B133,'Justice Spend Total'!$B$4:$AQ$221,10,FALSE)</f>
        <v>4.218</v>
      </c>
      <c r="G133" s="15">
        <f>VLOOKUP(C133,'Justice Spend Total'!$C$4:$AQ$221,10,FALSE)</f>
        <v>33.220445774592427</v>
      </c>
      <c r="H133">
        <f>VLOOKUP(C133,'Justice Spend Total'!$C$4:$AQ$221,7,FALSE)</f>
        <v>2300</v>
      </c>
      <c r="I133" s="17">
        <f t="shared" si="23"/>
        <v>35.693576361990736</v>
      </c>
      <c r="J133" s="17">
        <f t="shared" si="24"/>
        <v>13.415988066806847</v>
      </c>
      <c r="K133" s="17">
        <f t="shared" si="25"/>
        <v>26.182780598439653</v>
      </c>
      <c r="L133" s="17">
        <f t="shared" si="26"/>
        <v>81.130967939719582</v>
      </c>
      <c r="M133" s="16">
        <f>IF(ISNUMBER(VLOOKUP($C133,'Justice Spend Total'!$C:$BA,38,FALSE)),VLOOKUP($C133,'Justice Spend Total'!$C:$BA,38,FALSE),"")</f>
        <v>10.618260250382619</v>
      </c>
      <c r="N133" s="16">
        <f>IF(ISNUMBER(VLOOKUP($C133,'Justice Spend Total'!$C:$BA,35,FALSE)),VLOOKUP($C133,'Justice Spend Total'!$C:$BA,35,FALSE),"")</f>
        <v>4.6715045155152488</v>
      </c>
      <c r="O133" s="16">
        <f>IF(ISNUMBER(VLOOKUP($C133,'Justice Spend Total'!$C:$BA,36,FALSE)),VLOOKUP($C133,'Justice Spend Total'!$C:$BA,36,FALSE),"")</f>
        <v>1.7558579224054931</v>
      </c>
      <c r="P133" s="16">
        <f>IF(ISNUMBER(VLOOKUP($C133,'Justice Spend Total'!$C:$BA,37,FALSE)),VLOOKUP($C133,'Justice Spend Total'!$C:$BA,37,FALSE),"")</f>
        <v>3.4267504201289323</v>
      </c>
      <c r="Q133" s="16">
        <f t="shared" si="22"/>
        <v>0.76414739233294471</v>
      </c>
      <c r="R133" s="15">
        <f>IF(ISNUMBER(VLOOKUP($C133,'Justice Spend Total'!$C:$BA,39,FALSE)),VLOOKUP($C133,'Justice Spend Total'!$C:$BA,39,FALSE),"")</f>
        <v>3.5274333886834599</v>
      </c>
      <c r="S133" s="16">
        <f t="shared" si="27"/>
        <v>3.5274333886834599</v>
      </c>
      <c r="T133" s="7">
        <f t="shared" si="21"/>
        <v>81.130967939719582</v>
      </c>
      <c r="U133" s="22">
        <f>VLOOKUP($C133,'Justice Spend Total'!$C:$BA,40,FALSE)</f>
        <v>2020</v>
      </c>
      <c r="V133" s="15" t="str">
        <f>VLOOKUP($C133,'Justice Spend Total'!$C:$BA,41,FALSE)</f>
        <v>IMF COFOG</v>
      </c>
      <c r="W133" t="s">
        <v>484</v>
      </c>
    </row>
    <row r="134" spans="1:23">
      <c r="A134">
        <v>132</v>
      </c>
      <c r="B134" t="s">
        <v>94</v>
      </c>
      <c r="C134" t="s">
        <v>307</v>
      </c>
      <c r="D134" t="s">
        <v>496</v>
      </c>
      <c r="E134" t="s">
        <v>299</v>
      </c>
      <c r="F134" s="17">
        <f>VLOOKUP(B134,'Justice Spend Total'!$B$4:$AQ$221,10,FALSE)</f>
        <v>0.497</v>
      </c>
      <c r="G134" s="15">
        <f>VLOOKUP(C134,'Justice Spend Total'!$C$4:$AQ$221,10,FALSE)</f>
        <v>7.1356783919597984</v>
      </c>
      <c r="H134">
        <f>VLOOKUP(C134,'Justice Spend Total'!$C$4:$AQ$221,7,FALSE)</f>
        <v>450</v>
      </c>
      <c r="I134" s="17">
        <f t="shared" si="23"/>
        <v>5.4337154856224403</v>
      </c>
      <c r="J134" s="17">
        <f t="shared" si="24"/>
        <v>0.91285377683097613</v>
      </c>
      <c r="K134" s="17">
        <f t="shared" si="25"/>
        <v>0</v>
      </c>
      <c r="L134" s="17">
        <f t="shared" si="26"/>
        <v>6.7521990593651866</v>
      </c>
      <c r="M134" s="16">
        <f>IF(ISNUMBER(VLOOKUP($C134,'Justice Spend Total'!$C:$BA,38,FALSE)),VLOOKUP($C134,'Justice Spend Total'!$C:$BA,38,FALSE),"")</f>
        <v>21.027975161403319</v>
      </c>
      <c r="N134" s="16">
        <f>IF(ISNUMBER(VLOOKUP($C134,'Justice Spend Total'!$C:$BA,35,FALSE)),VLOOKUP($C134,'Justice Spend Total'!$C:$BA,35,FALSE),"")</f>
        <v>16.921899556163783</v>
      </c>
      <c r="O134" s="16">
        <f>IF(ISNUMBER(VLOOKUP($C134,'Justice Spend Total'!$C:$BA,36,FALSE)),VLOOKUP($C134,'Justice Spend Total'!$C:$BA,36,FALSE),"")</f>
        <v>2.8428466602404421</v>
      </c>
      <c r="P134" s="16">
        <f>IF(ISNUMBER(VLOOKUP($C134,'Justice Spend Total'!$C:$BA,37,FALSE)),VLOOKUP($C134,'Justice Spend Total'!$C:$BA,37,FALSE),"")</f>
        <v>0</v>
      </c>
      <c r="Q134" s="16">
        <f t="shared" si="22"/>
        <v>1.2632289449990934</v>
      </c>
      <c r="R134" s="15">
        <f>IF(ISNUMBER(VLOOKUP($C134,'Justice Spend Total'!$C:$BA,39,FALSE)),VLOOKUP($C134,'Justice Spend Total'!$C:$BA,39,FALSE),"")</f>
        <v>1.5004886798589301</v>
      </c>
      <c r="S134" s="16">
        <f t="shared" si="27"/>
        <v>1.5004886798589301</v>
      </c>
      <c r="T134" s="7">
        <f t="shared" si="21"/>
        <v>6.7521990593651866</v>
      </c>
      <c r="U134" s="22">
        <f>VLOOKUP($C134,'Justice Spend Total'!$C:$BA,40,FALSE)</f>
        <v>2019</v>
      </c>
      <c r="V134" s="15" t="str">
        <f>VLOOKUP($C134,'Justice Spend Total'!$C:$BA,41,FALSE)</f>
        <v>IMF COFOG</v>
      </c>
      <c r="W134" t="s">
        <v>484</v>
      </c>
    </row>
    <row r="135" spans="1:23">
      <c r="A135">
        <v>133</v>
      </c>
      <c r="B135" t="s">
        <v>195</v>
      </c>
      <c r="C135" t="s">
        <v>410</v>
      </c>
      <c r="D135" t="s">
        <v>496</v>
      </c>
      <c r="E135" t="s">
        <v>486</v>
      </c>
      <c r="F135" s="17">
        <f>VLOOKUP(B135,'Justice Spend Total'!$B$4:$AQ$221,10,FALSE)</f>
        <v>1652.73</v>
      </c>
      <c r="G135" s="15">
        <f>VLOOKUP(C135,'Justice Spend Total'!$C$4:$AQ$221,10,FALSE)</f>
        <v>26.745887127834834</v>
      </c>
      <c r="H135">
        <f>VLOOKUP(C135,'Justice Spend Total'!$C$4:$AQ$221,7,FALSE)</f>
        <v>6440</v>
      </c>
      <c r="I135" s="17">
        <f t="shared" si="23"/>
        <v>151.09901782225273</v>
      </c>
      <c r="J135" s="17">
        <f t="shared" si="24"/>
        <v>32.395135327409925</v>
      </c>
      <c r="K135" s="17">
        <f t="shared" si="25"/>
        <v>30.589116028813557</v>
      </c>
      <c r="L135" s="17">
        <f t="shared" si="26"/>
        <v>229.97009036631349</v>
      </c>
      <c r="M135" s="16">
        <f>IF(ISNUMBER(VLOOKUP($C135,'Justice Spend Total'!$C:$BA,38,FALSE)),VLOOKUP($C135,'Justice Spend Total'!$C:$BA,38,FALSE),"")</f>
        <v>13.35145145515299</v>
      </c>
      <c r="N135" s="16">
        <f>IF(ISNUMBER(VLOOKUP($C135,'Justice Spend Total'!$C:$BA,35,FALSE)),VLOOKUP($C135,'Justice Spend Total'!$C:$BA,35,FALSE),"")</f>
        <v>8.7724068732662275</v>
      </c>
      <c r="O135" s="16">
        <f>IF(ISNUMBER(VLOOKUP($C135,'Justice Spend Total'!$C:$BA,36,FALSE)),VLOOKUP($C135,'Justice Spend Total'!$C:$BA,36,FALSE),"")</f>
        <v>1.8807753478640283</v>
      </c>
      <c r="P135" s="16">
        <f>IF(ISNUMBER(VLOOKUP($C135,'Justice Spend Total'!$C:$BA,37,FALSE)),VLOOKUP($C135,'Justice Spend Total'!$C:$BA,37,FALSE),"")</f>
        <v>1.7759226735276836</v>
      </c>
      <c r="Q135" s="16">
        <f t="shared" si="22"/>
        <v>0.9223465604950507</v>
      </c>
      <c r="R135" s="15">
        <f>IF(ISNUMBER(VLOOKUP($C135,'Justice Spend Total'!$C:$BA,39,FALSE)),VLOOKUP($C135,'Justice Spend Total'!$C:$BA,39,FALSE),"")</f>
        <v>3.5709641361228801</v>
      </c>
      <c r="S135" s="16">
        <f t="shared" si="27"/>
        <v>3.5709641361228801</v>
      </c>
      <c r="T135" s="7">
        <f t="shared" si="21"/>
        <v>229.97009036631349</v>
      </c>
      <c r="U135" s="22">
        <f>VLOOKUP($C135,'Justice Spend Total'!$C:$BA,40,FALSE)</f>
        <v>2020</v>
      </c>
      <c r="V135" s="15" t="str">
        <f>VLOOKUP($C135,'Justice Spend Total'!$C:$BA,41,FALSE)</f>
        <v>IMF COFOG</v>
      </c>
    </row>
    <row r="136" spans="1:23">
      <c r="A136">
        <v>134</v>
      </c>
      <c r="B136" t="s">
        <v>119</v>
      </c>
      <c r="C136" t="s">
        <v>332</v>
      </c>
      <c r="D136" t="s">
        <v>496</v>
      </c>
      <c r="E136" t="s">
        <v>299</v>
      </c>
      <c r="F136" s="17">
        <f>VLOOKUP(B136,'Justice Spend Total'!$B$4:$AQ$221,10,FALSE)</f>
        <v>306.55900000000003</v>
      </c>
      <c r="G136" s="15">
        <f>VLOOKUP(C136,'Justice Spend Total'!$C$4:$AQ$221,10,FALSE)</f>
        <v>36.468766022647927</v>
      </c>
      <c r="H136">
        <f>VLOOKUP(C136,'Justice Spend Total'!$C$4:$AQ$221,7,FALSE)</f>
        <v>1090</v>
      </c>
      <c r="I136" s="17">
        <f t="shared" si="23"/>
        <v>8.8087491460337599</v>
      </c>
      <c r="J136" s="17">
        <f t="shared" si="24"/>
        <v>0.40609055959562562</v>
      </c>
      <c r="K136" s="17">
        <f t="shared" si="25"/>
        <v>3.6192205256558649</v>
      </c>
      <c r="L136" s="17">
        <f t="shared" si="26"/>
        <v>16.543570219900616</v>
      </c>
      <c r="M136" s="16">
        <f>IF(ISNUMBER(VLOOKUP($C136,'Justice Spend Total'!$C:$BA,38,FALSE)),VLOOKUP($C136,'Justice Spend Total'!$C:$BA,38,FALSE),"")</f>
        <v>4.161804473527118</v>
      </c>
      <c r="N136" s="16">
        <f>IF(ISNUMBER(VLOOKUP($C136,'Justice Spend Total'!$C:$BA,35,FALSE)),VLOOKUP($C136,'Justice Spend Total'!$C:$BA,35,FALSE),"")</f>
        <v>2.2159842836126162</v>
      </c>
      <c r="O136" s="16">
        <f>IF(ISNUMBER(VLOOKUP($C136,'Justice Spend Total'!$C:$BA,36,FALSE)),VLOOKUP($C136,'Justice Spend Total'!$C:$BA,36,FALSE),"")</f>
        <v>0.10215869278018261</v>
      </c>
      <c r="P136" s="16">
        <f>IF(ISNUMBER(VLOOKUP($C136,'Justice Spend Total'!$C:$BA,37,FALSE)),VLOOKUP($C136,'Justice Spend Total'!$C:$BA,37,FALSE),"")</f>
        <v>0.91047385625605493</v>
      </c>
      <c r="Q136" s="16">
        <f t="shared" si="22"/>
        <v>0.93318764087826434</v>
      </c>
      <c r="R136" s="15">
        <f>IF(ISNUMBER(VLOOKUP($C136,'Justice Spend Total'!$C:$BA,39,FALSE)),VLOOKUP($C136,'Justice Spend Total'!$C:$BA,39,FALSE),"")</f>
        <v>1.5177587357706992</v>
      </c>
      <c r="S136" s="16">
        <f t="shared" si="27"/>
        <v>1.5177587357706992</v>
      </c>
      <c r="T136" s="7">
        <f t="shared" si="21"/>
        <v>16.543570219900616</v>
      </c>
      <c r="U136" s="22" t="str">
        <f>VLOOKUP($C136,'Justice Spend Total'!$C:$BA,40,FALSE)</f>
        <v>FY 20/21</v>
      </c>
      <c r="V136" s="15" t="s">
        <v>489</v>
      </c>
      <c r="W136" t="s">
        <v>555</v>
      </c>
    </row>
    <row r="137" spans="1:23">
      <c r="A137">
        <v>135</v>
      </c>
      <c r="B137" t="s">
        <v>69</v>
      </c>
      <c r="C137" t="s">
        <v>448</v>
      </c>
      <c r="D137" t="s">
        <v>485</v>
      </c>
      <c r="E137" t="s">
        <v>494</v>
      </c>
      <c r="F137" s="17">
        <f>VLOOKUP(B137,'Justice Spend Total'!$B$4:$AQ$221,10,FALSE)</f>
        <v>465.37900000000002</v>
      </c>
      <c r="G137" s="15">
        <f>VLOOKUP(C137,'Justice Spend Total'!$C$4:$AQ$221,10,FALSE)</f>
        <v>41.479477695084448</v>
      </c>
      <c r="H137">
        <f>VLOOKUP(C137,'Justice Spend Total'!$C$4:$AQ$221,7,FALSE)</f>
        <v>29740</v>
      </c>
      <c r="I137" s="17">
        <f t="shared" si="23"/>
        <v>390.50800928385382</v>
      </c>
      <c r="J137" s="17">
        <f t="shared" si="24"/>
        <v>116.87142363104171</v>
      </c>
      <c r="K137" s="17">
        <f t="shared" si="25"/>
        <v>49.728008784720899</v>
      </c>
      <c r="L137" s="17">
        <f t="shared" si="26"/>
        <v>619.93013936474927</v>
      </c>
      <c r="M137" s="16">
        <f>IF(ISNUMBER(VLOOKUP($C137,'Justice Spend Total'!$C:$BA,38,FALSE)),VLOOKUP($C137,'Justice Spend Total'!$C:$BA,38,FALSE),"")</f>
        <v>5.0253753800642604</v>
      </c>
      <c r="N137" s="16">
        <f>IF(ISNUMBER(VLOOKUP($C137,'Justice Spend Total'!$C:$BA,35,FALSE)),VLOOKUP($C137,'Justice Spend Total'!$C:$BA,35,FALSE),"")</f>
        <v>3.1655975584344604</v>
      </c>
      <c r="O137" s="16">
        <f>IF(ISNUMBER(VLOOKUP($C137,'Justice Spend Total'!$C:$BA,36,FALSE)),VLOOKUP($C137,'Justice Spend Total'!$C:$BA,36,FALSE),"")</f>
        <v>0.94740155003648474</v>
      </c>
      <c r="P137" s="16">
        <f>IF(ISNUMBER(VLOOKUP($C137,'Justice Spend Total'!$C:$BA,37,FALSE)),VLOOKUP($C137,'Justice Spend Total'!$C:$BA,37,FALSE),"")</f>
        <v>0.40311302060976345</v>
      </c>
      <c r="Q137" s="16">
        <f t="shared" si="22"/>
        <v>0.50926325098355174</v>
      </c>
      <c r="R137" s="15">
        <f>IF(ISNUMBER(VLOOKUP($C137,'Justice Spend Total'!$C:$BA,39,FALSE)),VLOOKUP($C137,'Justice Spend Total'!$C:$BA,39,FALSE),"")</f>
        <v>2.0844994598680202</v>
      </c>
      <c r="S137" s="16">
        <f t="shared" si="27"/>
        <v>2.0844994598680202</v>
      </c>
      <c r="T137" s="7">
        <f t="shared" si="21"/>
        <v>619.93013936474927</v>
      </c>
      <c r="U137" s="22">
        <f>VLOOKUP($C137,'Justice Spend Total'!$C:$BA,40,FALSE)</f>
        <v>2020</v>
      </c>
      <c r="V137" s="15" t="str">
        <f>VLOOKUP($C137,'Justice Spend Total'!$C:$BA,41,FALSE)</f>
        <v>IMF COFOG</v>
      </c>
    </row>
    <row r="138" spans="1:23">
      <c r="A138">
        <v>136</v>
      </c>
      <c r="B138" t="s">
        <v>167</v>
      </c>
      <c r="C138" t="s">
        <v>381</v>
      </c>
      <c r="D138" t="s">
        <v>483</v>
      </c>
      <c r="E138" t="s">
        <v>488</v>
      </c>
      <c r="F138" s="17">
        <f>VLOOKUP(B138,'Justice Spend Total'!$B$4:$AQ$221,10,FALSE)</f>
        <v>1373.31</v>
      </c>
      <c r="G138" s="15">
        <f>VLOOKUP(C138,'Justice Spend Total'!$C$4:$AQ$221,10,FALSE)</f>
        <v>9.1719155626230968</v>
      </c>
      <c r="H138">
        <f>VLOOKUP(C138,'Justice Spend Total'!$C$4:$AQ$221,7,FALSE)</f>
        <v>3820</v>
      </c>
      <c r="I138" s="17">
        <f t="shared" si="23"/>
        <v>23.104990227924503</v>
      </c>
      <c r="J138" s="17">
        <f t="shared" si="24"/>
        <v>0</v>
      </c>
      <c r="K138" s="17">
        <f t="shared" si="25"/>
        <v>0</v>
      </c>
      <c r="L138" s="17">
        <f t="shared" si="26"/>
        <v>23.104990227924503</v>
      </c>
      <c r="M138" s="16">
        <f>IF(ISNUMBER(VLOOKUP($C138,'Justice Spend Total'!$C:$BA,38,FALSE)),VLOOKUP($C138,'Justice Spend Total'!$C:$BA,38,FALSE),"")</f>
        <v>6.5945076793827102</v>
      </c>
      <c r="N138" s="16">
        <f>IF(ISNUMBER(VLOOKUP($C138,'Justice Spend Total'!$C:$BA,35,FALSE)),VLOOKUP($C138,'Justice Spend Total'!$C:$BA,35,FALSE),"")</f>
        <v>6.5945076793827102</v>
      </c>
      <c r="O138" s="16">
        <f>IF(ISNUMBER(VLOOKUP($C138,'Justice Spend Total'!$C:$BA,36,FALSE)),VLOOKUP($C138,'Justice Spend Total'!$C:$BA,36,FALSE),"")</f>
        <v>0</v>
      </c>
      <c r="P138" s="16">
        <f>IF(ISNUMBER(VLOOKUP($C138,'Justice Spend Total'!$C:$BA,37,FALSE)),VLOOKUP($C138,'Justice Spend Total'!$C:$BA,37,FALSE),"")</f>
        <v>0</v>
      </c>
      <c r="Q138" s="16">
        <f t="shared" si="22"/>
        <v>0</v>
      </c>
      <c r="R138" s="15">
        <f>IF(ISNUMBER(VLOOKUP($C138,'Justice Spend Total'!$C:$BA,39,FALSE)),VLOOKUP($C138,'Justice Spend Total'!$C:$BA,39,FALSE),"")</f>
        <v>0.60484267612367804</v>
      </c>
      <c r="S138" s="16">
        <f t="shared" si="27"/>
        <v>0.60484267612367804</v>
      </c>
      <c r="T138" s="7">
        <f t="shared" si="21"/>
        <v>23.104990227924503</v>
      </c>
      <c r="U138" s="22">
        <f>VLOOKUP($C138,'Justice Spend Total'!$C:$BA,40,FALSE)</f>
        <v>2019</v>
      </c>
      <c r="V138" s="15" t="str">
        <f>VLOOKUP($C138,'Justice Spend Total'!$C:$BA,41,FALSE)</f>
        <v>IMF COFOG</v>
      </c>
      <c r="W138" t="s">
        <v>484</v>
      </c>
    </row>
    <row r="139" spans="1:23">
      <c r="A139">
        <v>137</v>
      </c>
      <c r="B139" t="s">
        <v>106</v>
      </c>
      <c r="C139" t="s">
        <v>319</v>
      </c>
      <c r="D139" t="s">
        <v>496</v>
      </c>
      <c r="E139" t="s">
        <v>299</v>
      </c>
      <c r="F139" s="17">
        <f>VLOOKUP(B139,'Justice Spend Total'!$B$4:$AQ$221,10,FALSE)</f>
        <v>159.24</v>
      </c>
      <c r="G139" s="15">
        <f>VLOOKUP(C139,'Justice Spend Total'!$C$4:$AQ$221,10,FALSE)</f>
        <v>7.8453011454612644</v>
      </c>
      <c r="H139">
        <f>VLOOKUP(C139,'Justice Spend Total'!$C$4:$AQ$221,7,FALSE)</f>
        <v>670</v>
      </c>
      <c r="I139" s="17" t="str">
        <f t="shared" si="23"/>
        <v/>
      </c>
      <c r="J139" s="17" t="str">
        <f t="shared" si="24"/>
        <v/>
      </c>
      <c r="K139" s="17" t="str">
        <f t="shared" si="25"/>
        <v/>
      </c>
      <c r="L139" s="17">
        <f t="shared" si="26"/>
        <v>3.8661450917600688</v>
      </c>
      <c r="M139" s="16">
        <f>IF(ISNUMBER(VLOOKUP($C139,'Justice Spend Total'!$C:$BA,38,FALSE)),VLOOKUP($C139,'Justice Spend Total'!$C:$BA,38,FALSE),"")</f>
        <v>7.3551871389098205</v>
      </c>
      <c r="N139" s="16" t="str">
        <f>IF(ISNUMBER(VLOOKUP($C139,'Justice Spend Total'!$C:$BA,35,FALSE)),VLOOKUP($C139,'Justice Spend Total'!$C:$BA,35,FALSE),"")</f>
        <v/>
      </c>
      <c r="O139" s="16" t="str">
        <f>IF(ISNUMBER(VLOOKUP($C139,'Justice Spend Total'!$C:$BA,36,FALSE)),VLOOKUP($C139,'Justice Spend Total'!$C:$BA,36,FALSE),"")</f>
        <v/>
      </c>
      <c r="P139" s="16" t="str">
        <f>IF(ISNUMBER(VLOOKUP($C139,'Justice Spend Total'!$C:$BA,37,FALSE)),VLOOKUP($C139,'Justice Spend Total'!$C:$BA,37,FALSE),"")</f>
        <v/>
      </c>
      <c r="Q139" s="16"/>
      <c r="R139" s="15">
        <f>IF(ISNUMBER(VLOOKUP($C139,'Justice Spend Total'!$C:$BA,39,FALSE)),VLOOKUP($C139,'Justice Spend Total'!$C:$BA,39,FALSE),"")</f>
        <v>0.57703658085971177</v>
      </c>
      <c r="S139" s="16">
        <f t="shared" si="27"/>
        <v>0.57703658085971177</v>
      </c>
      <c r="T139" s="7">
        <f t="shared" si="21"/>
        <v>3.8661450917600688</v>
      </c>
      <c r="U139" s="22" t="str">
        <f>VLOOKUP($C139,'Justice Spend Total'!$C:$BA,40,FALSE)</f>
        <v>FY 2021</v>
      </c>
      <c r="V139" s="15" t="s">
        <v>489</v>
      </c>
      <c r="W139" t="s">
        <v>556</v>
      </c>
    </row>
    <row r="140" spans="1:23">
      <c r="A140">
        <v>138</v>
      </c>
      <c r="B140" t="s">
        <v>52</v>
      </c>
      <c r="C140" t="s">
        <v>462</v>
      </c>
      <c r="D140" t="s">
        <v>485</v>
      </c>
      <c r="E140" t="s">
        <v>494</v>
      </c>
      <c r="F140" s="17">
        <f>VLOOKUP(B140,'Justice Spend Total'!$B$4:$AQ$221,10,FALSE)</f>
        <v>2424.83</v>
      </c>
      <c r="G140" s="15">
        <f>VLOOKUP(C140,'Justice Spend Total'!$C$4:$AQ$221,10,FALSE)</f>
        <v>48.620484995769218</v>
      </c>
      <c r="H140">
        <f>VLOOKUP(C140,'Justice Spend Total'!$C$4:$AQ$221,7,FALSE)</f>
        <v>58890</v>
      </c>
      <c r="I140" s="17">
        <f t="shared" si="23"/>
        <v>418.68768139106049</v>
      </c>
      <c r="J140" s="17">
        <f t="shared" si="24"/>
        <v>158.55299523634957</v>
      </c>
      <c r="K140" s="17">
        <f t="shared" si="25"/>
        <v>127.04801757367491</v>
      </c>
      <c r="L140" s="17">
        <f t="shared" si="26"/>
        <v>823.47819334052292</v>
      </c>
      <c r="M140" s="16">
        <f>IF(ISNUMBER(VLOOKUP($C140,'Justice Spend Total'!$C:$BA,38,FALSE)),VLOOKUP($C140,'Justice Spend Total'!$C:$BA,38,FALSE),"")</f>
        <v>2.8760157631548267</v>
      </c>
      <c r="N140" s="16">
        <f>IF(ISNUMBER(VLOOKUP($C140,'Justice Spend Total'!$C:$BA,35,FALSE)),VLOOKUP($C140,'Justice Spend Total'!$C:$BA,35,FALSE),"")</f>
        <v>1.4622759670595156</v>
      </c>
      <c r="O140" s="16">
        <f>IF(ISNUMBER(VLOOKUP($C140,'Justice Spend Total'!$C:$BA,36,FALSE)),VLOOKUP($C140,'Justice Spend Total'!$C:$BA,36,FALSE),"")</f>
        <v>0.55374983488674978</v>
      </c>
      <c r="P140" s="16">
        <f>IF(ISNUMBER(VLOOKUP($C140,'Justice Spend Total'!$C:$BA,37,FALSE)),VLOOKUP($C140,'Justice Spend Total'!$C:$BA,37,FALSE),"")</f>
        <v>0.44371800513285037</v>
      </c>
      <c r="Q140" s="16">
        <f>IF(ISNUMBER(M140),M140-N140-O140-P140,"")</f>
        <v>0.41627195607571094</v>
      </c>
      <c r="R140" s="15">
        <f>IF(ISNUMBER(VLOOKUP($C140,'Justice Spend Total'!$C:$BA,39,FALSE)),VLOOKUP($C140,'Justice Spend Total'!$C:$BA,39,FALSE),"")</f>
        <v>1.39833281260065</v>
      </c>
      <c r="S140" s="16">
        <f t="shared" si="27"/>
        <v>1.39833281260065</v>
      </c>
      <c r="T140" s="7">
        <f t="shared" si="21"/>
        <v>823.47819334052292</v>
      </c>
      <c r="U140" s="22">
        <f>VLOOKUP($C140,'Justice Spend Total'!$C:$BA,40,FALSE)</f>
        <v>2020</v>
      </c>
      <c r="V140" s="15" t="str">
        <f>VLOOKUP($C140,'Justice Spend Total'!$C:$BA,41,FALSE)</f>
        <v>IMF COFOG</v>
      </c>
    </row>
    <row r="141" spans="1:23">
      <c r="A141">
        <v>139</v>
      </c>
      <c r="B141" t="s">
        <v>67</v>
      </c>
      <c r="C141" t="s">
        <v>469</v>
      </c>
      <c r="D141" t="s">
        <v>485</v>
      </c>
      <c r="E141" t="s">
        <v>494</v>
      </c>
      <c r="F141" s="17">
        <f>VLOOKUP(B141,'Justice Spend Total'!$B$4:$AQ$221,10,FALSE)</f>
        <v>238.78700000000001</v>
      </c>
      <c r="G141" s="15">
        <f>VLOOKUP(C141,'Justice Spend Total'!$C$4:$AQ$221,10,FALSE)</f>
        <v>32.806540782343951</v>
      </c>
      <c r="H141">
        <f>VLOOKUP(C141,'Justice Spend Total'!$C$4:$AQ$221,7,FALSE)</f>
        <v>90360</v>
      </c>
      <c r="I141" s="17">
        <f t="shared" si="23"/>
        <v>607.37236109947332</v>
      </c>
      <c r="J141" s="17">
        <f t="shared" si="24"/>
        <v>266.92323444295556</v>
      </c>
      <c r="K141" s="17">
        <f t="shared" si="25"/>
        <v>177.37006195550819</v>
      </c>
      <c r="L141" s="17">
        <f t="shared" si="26"/>
        <v>1457.6736244494107</v>
      </c>
      <c r="M141" s="16">
        <f>IF(ISNUMBER(VLOOKUP($C141,'Justice Spend Total'!$C:$BA,38,FALSE)),VLOOKUP($C141,'Justice Spend Total'!$C:$BA,38,FALSE),"")</f>
        <v>4.917265226815668</v>
      </c>
      <c r="N141" s="16">
        <f>IF(ISNUMBER(VLOOKUP($C141,'Justice Spend Total'!$C:$BA,35,FALSE)),VLOOKUP($C141,'Justice Spend Total'!$C:$BA,35,FALSE),"")</f>
        <v>2.0488886818484255</v>
      </c>
      <c r="O141" s="16">
        <f>IF(ISNUMBER(VLOOKUP($C141,'Justice Spend Total'!$C:$BA,36,FALSE)),VLOOKUP($C141,'Justice Spend Total'!$C:$BA,36,FALSE),"")</f>
        <v>0.90042950420487888</v>
      </c>
      <c r="P141" s="16">
        <f>IF(ISNUMBER(VLOOKUP($C141,'Justice Spend Total'!$C:$BA,37,FALSE)),VLOOKUP($C141,'Justice Spend Total'!$C:$BA,37,FALSE),"")</f>
        <v>0.59833396399787186</v>
      </c>
      <c r="Q141" s="16">
        <f>IF(ISNUMBER(M141),M141-N141-O141-P141,"")</f>
        <v>1.3696130767644918</v>
      </c>
      <c r="R141" s="15">
        <f>IF(ISNUMBER(VLOOKUP($C141,'Justice Spend Total'!$C:$BA,39,FALSE)),VLOOKUP($C141,'Justice Spend Total'!$C:$BA,39,FALSE),"")</f>
        <v>1.6131846220113</v>
      </c>
      <c r="S141" s="16">
        <f t="shared" si="27"/>
        <v>1.6131846220113</v>
      </c>
      <c r="T141" s="7">
        <f t="shared" si="21"/>
        <v>1457.6736244494107</v>
      </c>
      <c r="U141" s="22">
        <f>VLOOKUP($C141,'Justice Spend Total'!$C:$BA,40,FALSE)</f>
        <v>2020</v>
      </c>
      <c r="V141" s="15" t="str">
        <f>VLOOKUP($C141,'Justice Spend Total'!$C:$BA,41,FALSE)</f>
        <v>IMF COFOG</v>
      </c>
    </row>
    <row r="142" spans="1:23">
      <c r="A142">
        <v>140</v>
      </c>
      <c r="B142" t="s">
        <v>121</v>
      </c>
      <c r="C142" t="s">
        <v>335</v>
      </c>
      <c r="D142" t="s">
        <v>496</v>
      </c>
      <c r="E142" t="s">
        <v>488</v>
      </c>
      <c r="F142" s="17">
        <f>VLOOKUP(B142,'Justice Spend Total'!$B$4:$AQ$221,10,FALSE)</f>
        <v>23732.240000000002</v>
      </c>
      <c r="G142" s="15">
        <f>VLOOKUP(C142,'Justice Spend Total'!$C$4:$AQ$221,10,FALSE)</f>
        <v>14.620880256558982</v>
      </c>
      <c r="H142">
        <f>VLOOKUP(C142,'Justice Spend Total'!$C$4:$AQ$221,7,FALSE)</f>
        <v>1140</v>
      </c>
      <c r="I142" s="17" t="str">
        <f t="shared" si="23"/>
        <v/>
      </c>
      <c r="J142" s="17" t="str">
        <f t="shared" si="24"/>
        <v/>
      </c>
      <c r="K142" s="17" t="str">
        <f t="shared" si="25"/>
        <v/>
      </c>
      <c r="L142" s="17">
        <f t="shared" si="26"/>
        <v>8.4243627853936829</v>
      </c>
      <c r="M142" s="16">
        <f>IF(ISNUMBER(VLOOKUP($C142,'Justice Spend Total'!$C:$BA,38,FALSE)),VLOOKUP($C142,'Justice Spend Total'!$C:$BA,38,FALSE),"")</f>
        <v>5.0542729215615552</v>
      </c>
      <c r="N142" s="16" t="str">
        <f>IF(ISNUMBER(VLOOKUP($C142,'Justice Spend Total'!$C:$BA,35,FALSE)),VLOOKUP($C142,'Justice Spend Total'!$C:$BA,35,FALSE),"")</f>
        <v/>
      </c>
      <c r="O142" s="16" t="str">
        <f>IF(ISNUMBER(VLOOKUP($C142,'Justice Spend Total'!$C:$BA,36,FALSE)),VLOOKUP($C142,'Justice Spend Total'!$C:$BA,36,FALSE),"")</f>
        <v/>
      </c>
      <c r="P142" s="16" t="str">
        <f>IF(ISNUMBER(VLOOKUP($C142,'Justice Spend Total'!$C:$BA,37,FALSE)),VLOOKUP($C142,'Justice Spend Total'!$C:$BA,37,FALSE),"")</f>
        <v/>
      </c>
      <c r="Q142" s="16"/>
      <c r="R142" s="15">
        <f>IF(ISNUMBER(VLOOKUP($C142,'Justice Spend Total'!$C:$BA,39,FALSE)),VLOOKUP($C142,'Justice Spend Total'!$C:$BA,39,FALSE),"")</f>
        <v>0.73897919170120019</v>
      </c>
      <c r="S142" s="16">
        <f t="shared" si="27"/>
        <v>0.73897919170120019</v>
      </c>
      <c r="T142" s="7">
        <f t="shared" si="21"/>
        <v>8.4243627853936829</v>
      </c>
      <c r="U142" s="22" t="str">
        <f>VLOOKUP($C142,'Justice Spend Total'!$C:$BA,40,FALSE)</f>
        <v>FY 21/22</v>
      </c>
      <c r="V142" s="15" t="s">
        <v>489</v>
      </c>
      <c r="W142" t="s">
        <v>484</v>
      </c>
    </row>
    <row r="143" spans="1:23" hidden="1">
      <c r="A143">
        <v>141</v>
      </c>
      <c r="B143" t="s">
        <v>557</v>
      </c>
      <c r="C143" t="s">
        <v>558</v>
      </c>
      <c r="D143" t="s">
        <v>493</v>
      </c>
      <c r="E143" t="s">
        <v>494</v>
      </c>
      <c r="F143" s="17" t="str">
        <f>VLOOKUP(B143,'Justice Spend Total'!$B$4:$AQ$221,10,FALSE)</f>
        <v xml:space="preserve"> </v>
      </c>
      <c r="G143" s="15" t="str">
        <f>VLOOKUP(C143,'Justice Spend Total'!$C$4:$AQ$221,10,FALSE)</f>
        <v xml:space="preserve"> </v>
      </c>
      <c r="H143" t="str">
        <f>VLOOKUP(C143,'Justice Spend Total'!$C$4:$AQ$221,7,FALSE)</f>
        <v/>
      </c>
      <c r="I143" s="35" t="str">
        <f t="shared" si="23"/>
        <v/>
      </c>
      <c r="J143" s="35" t="str">
        <f t="shared" si="24"/>
        <v/>
      </c>
      <c r="K143" s="35" t="str">
        <f t="shared" si="25"/>
        <v/>
      </c>
      <c r="L143" s="35" t="str">
        <f t="shared" si="26"/>
        <v/>
      </c>
      <c r="M143" s="16" t="str">
        <f>IF(ISNUMBER(VLOOKUP($C143,'Justice Spend Total'!$C:$BA,38,FALSE)),VLOOKUP($C143,'Justice Spend Total'!$C:$BA,38,FALSE),"")</f>
        <v/>
      </c>
      <c r="N143" s="16" t="str">
        <f>IF(ISNUMBER(VLOOKUP($C143,'Justice Spend Total'!$C:$BA,35,FALSE)),VLOOKUP($C143,'Justice Spend Total'!$C:$BA,35,FALSE),"")</f>
        <v/>
      </c>
      <c r="O143" s="16" t="str">
        <f>IF(ISNUMBER(VLOOKUP($C143,'Justice Spend Total'!$C:$BA,36,FALSE)),VLOOKUP($C143,'Justice Spend Total'!$C:$BA,36,FALSE),"")</f>
        <v/>
      </c>
      <c r="P143" s="16" t="str">
        <f>IF(ISNUMBER(VLOOKUP($C143,'Justice Spend Total'!$C:$BA,37,FALSE)),VLOOKUP($C143,'Justice Spend Total'!$C:$BA,37,FALSE),"")</f>
        <v/>
      </c>
      <c r="Q143" s="16" t="str">
        <f>IF(ISNUMBER(M143),M143-N143-O143-P143,"")</f>
        <v/>
      </c>
      <c r="R143" s="15" t="str">
        <f>IF(ISNUMBER(VLOOKUP($C143,'Justice Spend Total'!$C:$BA,39,FALSE)),VLOOKUP($C143,'Justice Spend Total'!$C:$BA,39,FALSE),"")</f>
        <v/>
      </c>
      <c r="S143" s="16" t="str">
        <f t="shared" si="27"/>
        <v/>
      </c>
      <c r="T143" s="7" t="str">
        <f t="shared" si="21"/>
        <v/>
      </c>
      <c r="U143" s="22" t="str">
        <f>VLOOKUP($C143,'Justice Spend Total'!$C:$BA,40,FALSE)</f>
        <v xml:space="preserve"> </v>
      </c>
      <c r="V143" s="15" t="str">
        <f>VLOOKUP($C143,'Justice Spend Total'!$C:$BA,41,FALSE)</f>
        <v xml:space="preserve"> </v>
      </c>
    </row>
    <row r="144" spans="1:23">
      <c r="A144">
        <v>142</v>
      </c>
      <c r="B144" t="s">
        <v>203</v>
      </c>
      <c r="C144" t="s">
        <v>418</v>
      </c>
      <c r="D144" t="s">
        <v>493</v>
      </c>
      <c r="E144" t="s">
        <v>486</v>
      </c>
      <c r="F144" s="17">
        <f>VLOOKUP(B144,'Justice Spend Total'!$B$4:$AQ$221,10,FALSE)</f>
        <v>3276.1</v>
      </c>
      <c r="G144" s="15">
        <f>VLOOKUP(C144,'Justice Spend Total'!$C$4:$AQ$221,10,FALSE)</f>
        <v>20.92835769789982</v>
      </c>
      <c r="H144">
        <f>VLOOKUP(C144,'Justice Spend Total'!$C$4:$AQ$221,7,FALSE)</f>
        <v>7260</v>
      </c>
      <c r="I144" s="17">
        <f t="shared" si="23"/>
        <v>60.251686102475169</v>
      </c>
      <c r="J144" s="17">
        <f t="shared" si="24"/>
        <v>20.064389928481823</v>
      </c>
      <c r="K144" s="17">
        <f t="shared" si="25"/>
        <v>6.5466018550344813</v>
      </c>
      <c r="L144" s="17">
        <f t="shared" si="26"/>
        <v>96.783543917271814</v>
      </c>
      <c r="M144" s="16">
        <f>IF(ISNUMBER(VLOOKUP($C144,'Justice Spend Total'!$C:$BA,38,FALSE)),VLOOKUP($C144,'Justice Spend Total'!$C:$BA,38,FALSE),"")</f>
        <v>6.369857992540612</v>
      </c>
      <c r="N144" s="16">
        <f>IF(ISNUMBER(VLOOKUP($C144,'Justice Spend Total'!$C:$BA,35,FALSE)),VLOOKUP($C144,'Justice Spend Total'!$C:$BA,35,FALSE),"")</f>
        <v>3.9654952562179142</v>
      </c>
      <c r="O144" s="16">
        <f>IF(ISNUMBER(VLOOKUP($C144,'Justice Spend Total'!$C:$BA,36,FALSE)),VLOOKUP($C144,'Justice Spend Total'!$C:$BA,36,FALSE),"")</f>
        <v>1.3205479917189005</v>
      </c>
      <c r="P144" s="16">
        <f>IF(ISNUMBER(VLOOKUP($C144,'Justice Spend Total'!$C:$BA,37,FALSE)),VLOOKUP($C144,'Justice Spend Total'!$C:$BA,37,FALSE),"")</f>
        <v>0.43086791888833403</v>
      </c>
      <c r="Q144" s="16">
        <f>IF(ISNUMBER(M144),M144-N144-O144-P144,"")</f>
        <v>0.65294682571546336</v>
      </c>
      <c r="R144" s="15">
        <f>IF(ISNUMBER(VLOOKUP($C144,'Justice Spend Total'!$C:$BA,39,FALSE)),VLOOKUP($C144,'Justice Spend Total'!$C:$BA,39,FALSE),"")</f>
        <v>1.33310666552716</v>
      </c>
      <c r="S144" s="16">
        <f t="shared" si="27"/>
        <v>1.33310666552716</v>
      </c>
      <c r="T144" s="7">
        <f t="shared" si="21"/>
        <v>96.783543917271814</v>
      </c>
      <c r="U144" s="22">
        <f>VLOOKUP($C144,'Justice Spend Total'!$C:$BA,40,FALSE)</f>
        <v>2020</v>
      </c>
      <c r="V144" s="15" t="str">
        <f>VLOOKUP($C144,'Justice Spend Total'!$C:$BA,41,FALSE)</f>
        <v>IMF COFOG</v>
      </c>
    </row>
    <row r="145" spans="1:23">
      <c r="A145">
        <v>143</v>
      </c>
      <c r="B145" t="s">
        <v>137</v>
      </c>
      <c r="C145" t="s">
        <v>351</v>
      </c>
      <c r="D145" t="s">
        <v>493</v>
      </c>
      <c r="E145" t="s">
        <v>488</v>
      </c>
      <c r="F145" s="17">
        <f>VLOOKUP(B145,'Justice Spend Total'!$B$4:$AQ$221,10,FALSE)</f>
        <v>0.879</v>
      </c>
      <c r="G145" s="15">
        <f>VLOOKUP(C145,'Justice Spend Total'!$C$4:$AQ$221,10,FALSE)</f>
        <v>51.584507042253527</v>
      </c>
      <c r="H145">
        <f>VLOOKUP(C145,'Justice Spend Total'!$C$4:$AQ$221,7,FALSE)</f>
        <v>1940</v>
      </c>
      <c r="I145" s="17" t="str">
        <f t="shared" si="23"/>
        <v/>
      </c>
      <c r="J145" s="17" t="str">
        <f t="shared" si="24"/>
        <v/>
      </c>
      <c r="K145" s="17" t="str">
        <f t="shared" si="25"/>
        <v/>
      </c>
      <c r="L145" s="17">
        <f t="shared" si="26"/>
        <v>134.25847417840379</v>
      </c>
      <c r="M145" s="16">
        <f>IF(ISNUMBER(VLOOKUP($C145,'Justice Spend Total'!$C:$BA,38,FALSE)),VLOOKUP($C145,'Justice Spend Total'!$C:$BA,38,FALSE),"")</f>
        <v>13.415927189988624</v>
      </c>
      <c r="N145" s="16" t="str">
        <f>IF(ISNUMBER(VLOOKUP($C145,'Justice Spend Total'!$C:$BA,35,FALSE)),VLOOKUP($C145,'Justice Spend Total'!$C:$BA,35,FALSE),"")</f>
        <v/>
      </c>
      <c r="O145" s="16" t="str">
        <f>IF(ISNUMBER(VLOOKUP($C145,'Justice Spend Total'!$C:$BA,36,FALSE)),VLOOKUP($C145,'Justice Spend Total'!$C:$BA,36,FALSE),"")</f>
        <v/>
      </c>
      <c r="P145" s="16" t="str">
        <f>IF(ISNUMBER(VLOOKUP($C145,'Justice Spend Total'!$C:$BA,37,FALSE)),VLOOKUP($C145,'Justice Spend Total'!$C:$BA,37,FALSE),"")</f>
        <v/>
      </c>
      <c r="Q145" s="16"/>
      <c r="R145" s="15">
        <f>IF(ISNUMBER(VLOOKUP($C145,'Justice Spend Total'!$C:$BA,39,FALSE)),VLOOKUP($C145,'Justice Spend Total'!$C:$BA,39,FALSE),"")</f>
        <v>6.9205399061032873</v>
      </c>
      <c r="S145" s="16">
        <f t="shared" si="27"/>
        <v>6.9205399061032873</v>
      </c>
      <c r="T145" s="7">
        <f t="shared" si="21"/>
        <v>134.25847417840379</v>
      </c>
      <c r="U145" s="22">
        <f>VLOOKUP($C145,'Justice Spend Total'!$C:$BA,40,FALSE)</f>
        <v>2021</v>
      </c>
      <c r="V145" s="15" t="s">
        <v>489</v>
      </c>
    </row>
    <row r="146" spans="1:23">
      <c r="A146">
        <v>144</v>
      </c>
      <c r="B146" t="s">
        <v>116</v>
      </c>
      <c r="C146" t="s">
        <v>329</v>
      </c>
      <c r="D146" t="s">
        <v>496</v>
      </c>
      <c r="E146" t="s">
        <v>299</v>
      </c>
      <c r="F146" s="17">
        <f>VLOOKUP(B146,'Justice Spend Total'!$B$4:$AQ$221,10,FALSE)</f>
        <v>707.96299999999997</v>
      </c>
      <c r="G146" s="15">
        <f>VLOOKUP(C146,'Justice Spend Total'!$C$4:$AQ$221,10,FALSE)</f>
        <v>16.238242141358072</v>
      </c>
      <c r="H146">
        <f>VLOOKUP(C146,'Justice Spend Total'!$C$4:$AQ$221,7,FALSE)</f>
        <v>980</v>
      </c>
      <c r="I146" s="17" t="str">
        <f t="shared" si="23"/>
        <v/>
      </c>
      <c r="J146" s="17" t="str">
        <f t="shared" si="24"/>
        <v/>
      </c>
      <c r="K146" s="17" t="str">
        <f t="shared" si="25"/>
        <v/>
      </c>
      <c r="L146" s="17">
        <f t="shared" si="26"/>
        <v>5.9895596775118403</v>
      </c>
      <c r="M146" s="16">
        <f>IF(ISNUMBER(VLOOKUP($C146,'Justice Spend Total'!$C:$BA,38,FALSE)),VLOOKUP($C146,'Justice Spend Total'!$C:$BA,38,FALSE),"")</f>
        <v>3.7638283356616098</v>
      </c>
      <c r="N146" s="16" t="str">
        <f>IF(ISNUMBER(VLOOKUP($C146,'Justice Spend Total'!$C:$BA,35,FALSE)),VLOOKUP($C146,'Justice Spend Total'!$C:$BA,35,FALSE),"")</f>
        <v/>
      </c>
      <c r="O146" s="16" t="str">
        <f>IF(ISNUMBER(VLOOKUP($C146,'Justice Spend Total'!$C:$BA,36,FALSE)),VLOOKUP($C146,'Justice Spend Total'!$C:$BA,36,FALSE),"")</f>
        <v/>
      </c>
      <c r="P146" s="16" t="str">
        <f>IF(ISNUMBER(VLOOKUP($C146,'Justice Spend Total'!$C:$BA,37,FALSE)),VLOOKUP($C146,'Justice Spend Total'!$C:$BA,37,FALSE),"")</f>
        <v/>
      </c>
      <c r="Q146" s="16"/>
      <c r="R146" s="15">
        <f>IF(ISNUMBER(VLOOKUP($C146,'Justice Spend Total'!$C:$BA,39,FALSE)),VLOOKUP($C146,'Justice Spend Total'!$C:$BA,39,FALSE),"")</f>
        <v>0.61117955892977971</v>
      </c>
      <c r="S146" s="16">
        <f t="shared" si="27"/>
        <v>0.61117955892977971</v>
      </c>
      <c r="T146" s="7">
        <f t="shared" si="21"/>
        <v>5.9895596775118403</v>
      </c>
      <c r="U146" s="22">
        <f>VLOOKUP($C146,'Justice Spend Total'!$C:$BA,40,FALSE)</f>
        <v>2021</v>
      </c>
      <c r="V146" s="15" t="s">
        <v>489</v>
      </c>
    </row>
    <row r="147" spans="1:23">
      <c r="A147">
        <v>145</v>
      </c>
      <c r="B147" t="s">
        <v>218</v>
      </c>
      <c r="C147" t="s">
        <v>433</v>
      </c>
      <c r="D147" t="s">
        <v>485</v>
      </c>
      <c r="E147" t="s">
        <v>486</v>
      </c>
      <c r="F147" s="17">
        <f>VLOOKUP(B147,'Justice Spend Total'!$B$4:$AQ$221,10,FALSE)</f>
        <v>2005.97</v>
      </c>
      <c r="G147" s="15">
        <f>VLOOKUP(C147,'Justice Spend Total'!$C$4:$AQ$221,10,FALSE)</f>
        <v>28.040308196391329</v>
      </c>
      <c r="H147">
        <f>VLOOKUP(C147,'Justice Spend Total'!$C$4:$AQ$221,7,FALSE)</f>
        <v>9830</v>
      </c>
      <c r="I147" s="17">
        <f t="shared" si="23"/>
        <v>144.20492456992531</v>
      </c>
      <c r="J147" s="17">
        <f t="shared" si="24"/>
        <v>29.780464024726356</v>
      </c>
      <c r="K147" s="17">
        <f t="shared" si="25"/>
        <v>28.093369454433066</v>
      </c>
      <c r="L147" s="17">
        <f t="shared" si="26"/>
        <v>220.36691007341915</v>
      </c>
      <c r="M147" s="16">
        <f>IF(ISNUMBER(VLOOKUP($C147,'Justice Spend Total'!$C:$BA,38,FALSE)),VLOOKUP($C147,'Justice Spend Total'!$C:$BA,38,FALSE),"")</f>
        <v>7.9948456128853733</v>
      </c>
      <c r="N147" s="16">
        <f>IF(ISNUMBER(VLOOKUP($C147,'Justice Spend Total'!$C:$BA,35,FALSE)),VLOOKUP($C147,'Justice Spend Total'!$C:$BA,35,FALSE),"")</f>
        <v>5.2317115494800275</v>
      </c>
      <c r="O147" s="16">
        <f>IF(ISNUMBER(VLOOKUP($C147,'Justice Spend Total'!$C:$BA,36,FALSE)),VLOOKUP($C147,'Justice Spend Total'!$C:$BA,36,FALSE),"")</f>
        <v>1.0804263311513069</v>
      </c>
      <c r="P147" s="16">
        <f>IF(ISNUMBER(VLOOKUP($C147,'Justice Spend Total'!$C:$BA,37,FALSE)),VLOOKUP($C147,'Justice Spend Total'!$C:$BA,37,FALSE),"")</f>
        <v>1.0192190445430849</v>
      </c>
      <c r="Q147" s="16">
        <f t="shared" ref="Q147:Q154" si="28">IF(ISNUMBER(M147),M147-N147-O147-P147,"")</f>
        <v>0.66348868771095404</v>
      </c>
      <c r="R147" s="15">
        <f>IF(ISNUMBER(VLOOKUP($C147,'Justice Spend Total'!$C:$BA,39,FALSE)),VLOOKUP($C147,'Justice Spend Total'!$C:$BA,39,FALSE),"")</f>
        <v>2.2417793496787302</v>
      </c>
      <c r="S147" s="16">
        <f t="shared" si="27"/>
        <v>2.2417793496787302</v>
      </c>
      <c r="T147" s="7">
        <f t="shared" si="21"/>
        <v>220.36691007341915</v>
      </c>
      <c r="U147" s="22">
        <f>VLOOKUP($C147,'Justice Spend Total'!$C:$BA,40,FALSE)</f>
        <v>2020</v>
      </c>
      <c r="V147" s="15" t="str">
        <f>VLOOKUP($C147,'Justice Spend Total'!$C:$BA,41,FALSE)</f>
        <v>IMF COFOG</v>
      </c>
    </row>
    <row r="148" spans="1:23">
      <c r="A148">
        <v>146</v>
      </c>
      <c r="B148" t="s">
        <v>110</v>
      </c>
      <c r="C148" t="s">
        <v>323</v>
      </c>
      <c r="D148" t="s">
        <v>496</v>
      </c>
      <c r="E148" t="s">
        <v>299</v>
      </c>
      <c r="F148" s="17">
        <f>VLOOKUP(B148,'Justice Spend Total'!$B$4:$AQ$221,10,FALSE)</f>
        <v>19699</v>
      </c>
      <c r="G148" s="15">
        <f>VLOOKUP(C148,'Justice Spend Total'!$C$4:$AQ$221,10,FALSE)</f>
        <v>13.94382547390178</v>
      </c>
      <c r="H148">
        <f>VLOOKUP(C148,'Justice Spend Total'!$C$4:$AQ$221,7,FALSE)</f>
        <v>840</v>
      </c>
      <c r="I148" s="17">
        <f t="shared" si="23"/>
        <v>0</v>
      </c>
      <c r="J148" s="17">
        <f t="shared" si="24"/>
        <v>0</v>
      </c>
      <c r="K148" s="17">
        <f t="shared" si="25"/>
        <v>0</v>
      </c>
      <c r="L148" s="17">
        <f t="shared" si="26"/>
        <v>10.876511743137447</v>
      </c>
      <c r="M148" s="16">
        <f>IF(ISNUMBER(VLOOKUP($C148,'Justice Spend Total'!$C:$BA,38,FALSE)),VLOOKUP($C148,'Justice Spend Total'!$C:$BA,38,FALSE),"")</f>
        <v>9.2859942129042068</v>
      </c>
      <c r="N148" s="16">
        <f>IF(ISNUMBER(VLOOKUP($C148,'Justice Spend Total'!$C:$BA,35,FALSE)),VLOOKUP($C148,'Justice Spend Total'!$C:$BA,35,FALSE),"")</f>
        <v>0</v>
      </c>
      <c r="O148" s="16">
        <f>IF(ISNUMBER(VLOOKUP($C148,'Justice Spend Total'!$C:$BA,36,FALSE)),VLOOKUP($C148,'Justice Spend Total'!$C:$BA,36,FALSE),"")</f>
        <v>0</v>
      </c>
      <c r="P148" s="16">
        <f>IF(ISNUMBER(VLOOKUP($C148,'Justice Spend Total'!$C:$BA,37,FALSE)),VLOOKUP($C148,'Justice Spend Total'!$C:$BA,37,FALSE),"")</f>
        <v>0</v>
      </c>
      <c r="Q148" s="16">
        <f t="shared" si="28"/>
        <v>9.2859942129042068</v>
      </c>
      <c r="R148" s="15">
        <f>IF(ISNUMBER(VLOOKUP($C148,'Justice Spend Total'!$C:$BA,39,FALSE)),VLOOKUP($C148,'Justice Spend Total'!$C:$BA,39,FALSE),"")</f>
        <v>1.2948228265639818</v>
      </c>
      <c r="S148" s="16">
        <f t="shared" si="27"/>
        <v>1.2948228265639818</v>
      </c>
      <c r="T148" s="7">
        <f t="shared" si="21"/>
        <v>10.876511743137447</v>
      </c>
      <c r="U148" s="22" t="str">
        <f>VLOOKUP($C148,'Justice Spend Total'!$C:$BA,40,FALSE)</f>
        <v>FY 20/21</v>
      </c>
      <c r="V148" s="15" t="s">
        <v>489</v>
      </c>
      <c r="W148" t="s">
        <v>484</v>
      </c>
    </row>
    <row r="149" spans="1:23" hidden="1">
      <c r="A149">
        <v>147</v>
      </c>
      <c r="B149" t="s">
        <v>559</v>
      </c>
      <c r="C149" t="s">
        <v>560</v>
      </c>
      <c r="D149" t="s">
        <v>493</v>
      </c>
      <c r="E149" t="s">
        <v>494</v>
      </c>
      <c r="F149" s="17" t="str">
        <f>VLOOKUP(B149,'Justice Spend Total'!$B$4:$AQ$221,10,FALSE)</f>
        <v xml:space="preserve"> </v>
      </c>
      <c r="G149" s="15" t="str">
        <f>VLOOKUP(C149,'Justice Spend Total'!$C$4:$AQ$221,10,FALSE)</f>
        <v xml:space="preserve"> </v>
      </c>
      <c r="H149" t="str">
        <f>VLOOKUP(C149,'Justice Spend Total'!$C$4:$AQ$221,7,FALSE)</f>
        <v/>
      </c>
      <c r="I149" s="35" t="str">
        <f t="shared" si="23"/>
        <v/>
      </c>
      <c r="J149" s="35" t="str">
        <f t="shared" si="24"/>
        <v/>
      </c>
      <c r="K149" s="35" t="str">
        <f t="shared" si="25"/>
        <v/>
      </c>
      <c r="L149" s="35" t="str">
        <f t="shared" si="26"/>
        <v/>
      </c>
      <c r="M149" s="16" t="str">
        <f>IF(ISNUMBER(VLOOKUP($C149,'Justice Spend Total'!$C:$BA,38,FALSE)),VLOOKUP($C149,'Justice Spend Total'!$C:$BA,38,FALSE),"")</f>
        <v/>
      </c>
      <c r="N149" s="16" t="str">
        <f>IF(ISNUMBER(VLOOKUP($C149,'Justice Spend Total'!$C:$BA,35,FALSE)),VLOOKUP($C149,'Justice Spend Total'!$C:$BA,35,FALSE),"")</f>
        <v/>
      </c>
      <c r="O149" s="16" t="str">
        <f>IF(ISNUMBER(VLOOKUP($C149,'Justice Spend Total'!$C:$BA,36,FALSE)),VLOOKUP($C149,'Justice Spend Total'!$C:$BA,36,FALSE),"")</f>
        <v/>
      </c>
      <c r="P149" s="16" t="str">
        <f>IF(ISNUMBER(VLOOKUP($C149,'Justice Spend Total'!$C:$BA,37,FALSE)),VLOOKUP($C149,'Justice Spend Total'!$C:$BA,37,FALSE),"")</f>
        <v/>
      </c>
      <c r="Q149" s="16" t="str">
        <f t="shared" si="28"/>
        <v/>
      </c>
      <c r="R149" s="15" t="str">
        <f>IF(ISNUMBER(VLOOKUP($C149,'Justice Spend Total'!$C:$BA,39,FALSE)),VLOOKUP($C149,'Justice Spend Total'!$C:$BA,39,FALSE),"")</f>
        <v/>
      </c>
      <c r="S149" s="16" t="str">
        <f t="shared" si="27"/>
        <v/>
      </c>
      <c r="T149" s="7" t="str">
        <f t="shared" si="21"/>
        <v/>
      </c>
      <c r="U149" s="22" t="str">
        <f>VLOOKUP($C149,'Justice Spend Total'!$C:$BA,40,FALSE)</f>
        <v xml:space="preserve"> </v>
      </c>
      <c r="V149" s="15" t="str">
        <f>VLOOKUP($C149,'Justice Spend Total'!$C:$BA,41,FALSE)</f>
        <v xml:space="preserve"> </v>
      </c>
    </row>
    <row r="150" spans="1:23">
      <c r="A150">
        <v>148</v>
      </c>
      <c r="B150" t="s">
        <v>170</v>
      </c>
      <c r="C150" t="s">
        <v>384</v>
      </c>
      <c r="D150" t="s">
        <v>485</v>
      </c>
      <c r="E150" t="s">
        <v>488</v>
      </c>
      <c r="F150" s="17">
        <f>VLOOKUP(B150,'Justice Spend Total'!$B$4:$AQ$221,10,FALSE)</f>
        <v>1982.68</v>
      </c>
      <c r="G150" s="15">
        <f>VLOOKUP(C150,'Justice Spend Total'!$C$4:$AQ$221,10,FALSE)</f>
        <v>36.572647065876438</v>
      </c>
      <c r="H150">
        <f>VLOOKUP(C150,'Justice Spend Total'!$C$4:$AQ$221,7,FALSE)</f>
        <v>4120</v>
      </c>
      <c r="I150" s="17">
        <f t="shared" si="23"/>
        <v>74.87016086399764</v>
      </c>
      <c r="J150" s="17">
        <f t="shared" si="24"/>
        <v>18.329090829282649</v>
      </c>
      <c r="K150" s="17">
        <f t="shared" si="25"/>
        <v>7.6037695879446412</v>
      </c>
      <c r="L150" s="17">
        <f t="shared" si="26"/>
        <v>156.7750175101099</v>
      </c>
      <c r="M150" s="16">
        <f>IF(ISNUMBER(VLOOKUP($C150,'Justice Spend Total'!$C:$BA,38,FALSE)),VLOOKUP($C150,'Justice Spend Total'!$C:$BA,38,FALSE),"")</f>
        <v>10.404548691131007</v>
      </c>
      <c r="N150" s="16">
        <f>IF(ISNUMBER(VLOOKUP($C150,'Justice Spend Total'!$C:$BA,35,FALSE)),VLOOKUP($C150,'Justice Spend Total'!$C:$BA,35,FALSE),"")</f>
        <v>4.9688416342995465</v>
      </c>
      <c r="O150" s="16">
        <f>IF(ISNUMBER(VLOOKUP($C150,'Justice Spend Total'!$C:$BA,36,FALSE)),VLOOKUP($C150,'Justice Spend Total'!$C:$BA,36,FALSE),"")</f>
        <v>1.2164305322762035</v>
      </c>
      <c r="P150" s="16">
        <f>IF(ISNUMBER(VLOOKUP($C150,'Justice Spend Total'!$C:$BA,37,FALSE)),VLOOKUP($C150,'Justice Spend Total'!$C:$BA,37,FALSE),"")</f>
        <v>0.50463263962837301</v>
      </c>
      <c r="Q150" s="16">
        <f t="shared" si="28"/>
        <v>3.7146438849268839</v>
      </c>
      <c r="R150" s="15">
        <f>IF(ISNUMBER(VLOOKUP($C150,'Justice Spend Total'!$C:$BA,39,FALSE)),VLOOKUP($C150,'Justice Spend Total'!$C:$BA,39,FALSE),"")</f>
        <v>3.8052188716046098</v>
      </c>
      <c r="S150" s="16">
        <f t="shared" si="27"/>
        <v>3.8052188716046098</v>
      </c>
      <c r="T150" s="7">
        <f t="shared" si="21"/>
        <v>156.7750175101099</v>
      </c>
      <c r="U150" s="22">
        <f>VLOOKUP($C150,'Justice Spend Total'!$C:$BA,40,FALSE)</f>
        <v>2020</v>
      </c>
      <c r="V150" s="15" t="str">
        <f>VLOOKUP($C150,'Justice Spend Total'!$C:$BA,41,FALSE)</f>
        <v>IMF COFOG</v>
      </c>
      <c r="W150" t="s">
        <v>484</v>
      </c>
    </row>
    <row r="151" spans="1:23">
      <c r="A151">
        <v>149</v>
      </c>
      <c r="B151" t="s">
        <v>255</v>
      </c>
      <c r="C151" t="s">
        <v>561</v>
      </c>
      <c r="D151" t="s">
        <v>487</v>
      </c>
      <c r="E151" t="s">
        <v>494</v>
      </c>
      <c r="F151" s="17">
        <f>VLOOKUP(B151,'Justice Spend Total'!$B$4:$AQ$221,10,FALSE)</f>
        <v>367.86500000000001</v>
      </c>
      <c r="G151" s="15">
        <f>VLOOKUP(C151,'Justice Spend Total'!$C$4:$AQ$221,10,FALSE)</f>
        <v>27.911908646003265</v>
      </c>
      <c r="H151">
        <f>VLOOKUP(C151,'Justice Spend Total'!$C$4:$AQ$221,7,FALSE)</f>
        <v>39410</v>
      </c>
      <c r="I151" s="17">
        <f t="shared" si="23"/>
        <v>354.01595102824973</v>
      </c>
      <c r="J151" s="17">
        <f t="shared" si="24"/>
        <v>26.066375267541623</v>
      </c>
      <c r="K151" s="17">
        <f t="shared" si="25"/>
        <v>0</v>
      </c>
      <c r="L151" s="17">
        <f t="shared" si="26"/>
        <v>1262.4758861525274</v>
      </c>
      <c r="M151" s="16">
        <f>IF(ISNUMBER(VLOOKUP($C151,'Justice Spend Total'!$C:$BA,38,FALSE)),VLOOKUP($C151,'Justice Spend Total'!$C:$BA,38,FALSE),"")</f>
        <v>11.476966705598093</v>
      </c>
      <c r="N151" s="16">
        <f>IF(ISNUMBER(VLOOKUP($C151,'Justice Spend Total'!$C:$BA,35,FALSE)),VLOOKUP($C151,'Justice Spend Total'!$C:$BA,35,FALSE),"")</f>
        <v>3.2183024862234779</v>
      </c>
      <c r="O151" s="16">
        <f>IF(ISNUMBER(VLOOKUP($C151,'Justice Spend Total'!$C:$BA,36,FALSE)),VLOOKUP($C151,'Justice Spend Total'!$C:$BA,36,FALSE),"")</f>
        <v>0.23696525562394555</v>
      </c>
      <c r="P151" s="16">
        <f>IF(ISNUMBER(VLOOKUP($C151,'Justice Spend Total'!$C:$BA,37,FALSE)),VLOOKUP($C151,'Justice Spend Total'!$C:$BA,37,FALSE),"")</f>
        <v>0</v>
      </c>
      <c r="Q151" s="16">
        <f t="shared" si="28"/>
        <v>8.021698963750671</v>
      </c>
      <c r="R151" s="15">
        <f>IF(ISNUMBER(VLOOKUP($C151,'Justice Spend Total'!$C:$BA,39,FALSE)),VLOOKUP($C151,'Justice Spend Total'!$C:$BA,39,FALSE),"")</f>
        <v>3.20344046219875</v>
      </c>
      <c r="S151" s="16">
        <f t="shared" si="27"/>
        <v>3.20344046219875</v>
      </c>
      <c r="T151" s="7">
        <f t="shared" si="21"/>
        <v>1262.4758861525274</v>
      </c>
      <c r="U151" s="22">
        <f>VLOOKUP($C151,'Justice Spend Total'!$C:$BA,40,FALSE)</f>
        <v>2020</v>
      </c>
      <c r="V151" s="15" t="str">
        <f>VLOOKUP($C151,'Justice Spend Total'!$C:$BA,41,FALSE)</f>
        <v>IMF COFOG</v>
      </c>
    </row>
    <row r="152" spans="1:23">
      <c r="A152">
        <v>150</v>
      </c>
      <c r="B152" t="s">
        <v>72</v>
      </c>
      <c r="C152" t="s">
        <v>454</v>
      </c>
      <c r="D152" t="s">
        <v>485</v>
      </c>
      <c r="E152" t="s">
        <v>494</v>
      </c>
      <c r="F152" s="17">
        <f>VLOOKUP(B152,'Justice Spend Total'!$B$4:$AQ$221,10,FALSE)</f>
        <v>854.72199999999998</v>
      </c>
      <c r="G152" s="15">
        <f>VLOOKUP(C152,'Justice Spend Total'!$C$4:$AQ$221,10,FALSE)</f>
        <v>36.888370988973044</v>
      </c>
      <c r="H152">
        <f>VLOOKUP(C152,'Justice Spend Total'!$C$4:$AQ$221,7,FALSE)</f>
        <v>45380</v>
      </c>
      <c r="I152" s="17">
        <f t="shared" si="23"/>
        <v>497.99418800668178</v>
      </c>
      <c r="J152" s="17">
        <f t="shared" si="24"/>
        <v>186.21496376688589</v>
      </c>
      <c r="K152" s="17">
        <f t="shared" si="25"/>
        <v>101.7809123127484</v>
      </c>
      <c r="L152" s="17">
        <f t="shared" si="26"/>
        <v>915.18408133256605</v>
      </c>
      <c r="M152" s="16">
        <f>IF(ISNUMBER(VLOOKUP($C152,'Justice Spend Total'!$C:$BA,38,FALSE)),VLOOKUP($C152,'Justice Spend Total'!$C:$BA,38,FALSE),"")</f>
        <v>5.4670681658715186</v>
      </c>
      <c r="N152" s="16">
        <f>IF(ISNUMBER(VLOOKUP($C152,'Justice Spend Total'!$C:$BA,35,FALSE)),VLOOKUP($C152,'Justice Spend Total'!$C:$BA,35,FALSE),"")</f>
        <v>2.9748858481849183</v>
      </c>
      <c r="O152" s="16">
        <f>IF(ISNUMBER(VLOOKUP($C152,'Justice Spend Total'!$C:$BA,36,FALSE)),VLOOKUP($C152,'Justice Spend Total'!$C:$BA,36,FALSE),"")</f>
        <v>1.1123990475626662</v>
      </c>
      <c r="P152" s="16">
        <f>IF(ISNUMBER(VLOOKUP($C152,'Justice Spend Total'!$C:$BA,37,FALSE)),VLOOKUP($C152,'Justice Spend Total'!$C:$BA,37,FALSE),"")</f>
        <v>0.60801230806830764</v>
      </c>
      <c r="Q152" s="16">
        <f t="shared" si="28"/>
        <v>0.77177096205562645</v>
      </c>
      <c r="R152" s="15">
        <f>IF(ISNUMBER(VLOOKUP($C152,'Justice Spend Total'!$C:$BA,39,FALSE)),VLOOKUP($C152,'Justice Spend Total'!$C:$BA,39,FALSE),"")</f>
        <v>2.0167123872467299</v>
      </c>
      <c r="S152" s="16">
        <f t="shared" si="27"/>
        <v>2.0167123872467299</v>
      </c>
      <c r="T152" s="7">
        <f t="shared" si="21"/>
        <v>915.18408133256605</v>
      </c>
      <c r="U152" s="22">
        <f>VLOOKUP($C152,'Justice Spend Total'!$C:$BA,40,FALSE)</f>
        <v>2020</v>
      </c>
      <c r="V152" s="15" t="str">
        <f>VLOOKUP($C152,'Justice Spend Total'!$C:$BA,41,FALSE)</f>
        <v>IMF COFOG</v>
      </c>
    </row>
    <row r="153" spans="1:23">
      <c r="A153">
        <v>151</v>
      </c>
      <c r="B153" t="s">
        <v>77</v>
      </c>
      <c r="C153" t="s">
        <v>465</v>
      </c>
      <c r="D153" t="s">
        <v>502</v>
      </c>
      <c r="E153" t="s">
        <v>494</v>
      </c>
      <c r="F153" s="17">
        <f>VLOOKUP(B153,'Justice Spend Total'!$B$4:$AQ$221,10,FALSE)</f>
        <v>6436.15</v>
      </c>
      <c r="G153" s="15">
        <f>VLOOKUP(C153,'Justice Spend Total'!$C$4:$AQ$221,10,FALSE)</f>
        <v>30.804187855219862</v>
      </c>
      <c r="H153">
        <f>VLOOKUP(C153,'Justice Spend Total'!$C$4:$AQ$221,7,FALSE)</f>
        <v>70430</v>
      </c>
      <c r="I153" s="17">
        <f t="shared" si="23"/>
        <v>643.16094525874951</v>
      </c>
      <c r="J153" s="17">
        <f t="shared" si="24"/>
        <v>212.70154950643135</v>
      </c>
      <c r="K153" s="17">
        <f t="shared" si="25"/>
        <v>308.77118755608734</v>
      </c>
      <c r="L153" s="17">
        <f t="shared" si="26"/>
        <v>1380.3690098713728</v>
      </c>
      <c r="M153" s="16">
        <f>IF(ISNUMBER(VLOOKUP($C153,'Justice Spend Total'!$C:$BA,38,FALSE)),VLOOKUP($C153,'Justice Spend Total'!$C:$BA,38,FALSE),"")</f>
        <v>6.3624993202457985</v>
      </c>
      <c r="N153" s="16">
        <f>IF(ISNUMBER(VLOOKUP($C153,'Justice Spend Total'!$C:$BA,35,FALSE)),VLOOKUP($C153,'Justice Spend Total'!$C:$BA,35,FALSE),"")</f>
        <v>2.9645051777848557</v>
      </c>
      <c r="O153" s="16">
        <f>IF(ISNUMBER(VLOOKUP($C153,'Justice Spend Total'!$C:$BA,36,FALSE)),VLOOKUP($C153,'Justice Spend Total'!$C:$BA,36,FALSE),"")</f>
        <v>0.98039977315631244</v>
      </c>
      <c r="P153" s="16">
        <f>IF(ISNUMBER(VLOOKUP($C153,'Justice Spend Total'!$C:$BA,37,FALSE)),VLOOKUP($C153,'Justice Spend Total'!$C:$BA,37,FALSE),"")</f>
        <v>1.4232110811587673</v>
      </c>
      <c r="Q153" s="16">
        <f t="shared" si="28"/>
        <v>0.99438328814586296</v>
      </c>
      <c r="R153" s="15">
        <f>IF(ISNUMBER(VLOOKUP($C153,'Justice Spend Total'!$C:$BA,39,FALSE)),VLOOKUP($C153,'Justice Spend Total'!$C:$BA,39,FALSE),"")</f>
        <v>1.9599162428956027</v>
      </c>
      <c r="S153" s="16">
        <f t="shared" si="27"/>
        <v>1.9599162428956027</v>
      </c>
      <c r="T153" s="7">
        <f t="shared" si="21"/>
        <v>1380.3690098713728</v>
      </c>
      <c r="U153" s="22">
        <f>VLOOKUP($C153,'Justice Spend Total'!$C:$BA,40,FALSE)</f>
        <v>2020</v>
      </c>
      <c r="V153" s="15" t="str">
        <f>VLOOKUP($C153,'Justice Spend Total'!$C:$BA,41,FALSE)</f>
        <v>IMF COFOG</v>
      </c>
    </row>
    <row r="154" spans="1:23">
      <c r="A154">
        <v>152</v>
      </c>
      <c r="B154" t="s">
        <v>138</v>
      </c>
      <c r="C154" t="s">
        <v>352</v>
      </c>
      <c r="D154" t="s">
        <v>485</v>
      </c>
      <c r="E154" t="s">
        <v>488</v>
      </c>
      <c r="F154" s="142">
        <f>VLOOKUP(B154,'Justice Spend Total'!$B$4:$AQ$221,10,FALSE)</f>
        <v>190871.59</v>
      </c>
      <c r="G154" s="15">
        <f>VLOOKUP(C154,'Justice Spend Total'!$C$4:$AQ$221,10,FALSE)</f>
        <v>25.983499315330221</v>
      </c>
      <c r="H154">
        <f>VLOOKUP(C154,'Justice Spend Total'!$C$4:$AQ$221,7,FALSE)</f>
        <v>1960</v>
      </c>
      <c r="I154" s="142" t="str">
        <f t="shared" si="23"/>
        <v/>
      </c>
      <c r="J154" s="142">
        <f t="shared" si="24"/>
        <v>1.5523374540575618</v>
      </c>
      <c r="K154" s="142" t="str">
        <f t="shared" si="25"/>
        <v/>
      </c>
      <c r="L154" s="142" t="str">
        <f t="shared" si="26"/>
        <v/>
      </c>
      <c r="M154" s="16"/>
      <c r="N154" s="16" t="str">
        <f>IF(ISNUMBER(VLOOKUP($C154,'Justice Spend Total'!$C:$BA,35,FALSE)),VLOOKUP($C154,'Justice Spend Total'!$C:$BA,35,FALSE),"")</f>
        <v/>
      </c>
      <c r="O154" s="16">
        <f>IF(ISNUMBER(VLOOKUP($C154,'Justice Spend Total'!$C:$BA,36,FALSE)),VLOOKUP($C154,'Justice Spend Total'!$C:$BA,36,FALSE),"")</f>
        <v>0.30481225623991504</v>
      </c>
      <c r="P154" s="16" t="str">
        <f>IF(ISNUMBER(VLOOKUP($C154,'Justice Spend Total'!$C:$BA,37,FALSE)),VLOOKUP($C154,'Justice Spend Total'!$C:$BA,37,FALSE),"")</f>
        <v/>
      </c>
      <c r="Q154" s="16" t="str">
        <f t="shared" si="28"/>
        <v/>
      </c>
      <c r="R154" s="15" t="str">
        <f>IF(ISNUMBER(VLOOKUP($C154,'Justice Spend Total'!$C:$BA,39,FALSE)),VLOOKUP($C154,'Justice Spend Total'!$C:$BA,39,FALSE),"")</f>
        <v/>
      </c>
      <c r="S154" s="16" t="str">
        <f t="shared" si="27"/>
        <v/>
      </c>
      <c r="T154" s="7" t="str">
        <f t="shared" si="21"/>
        <v/>
      </c>
      <c r="U154" s="22">
        <f>VLOOKUP($C154,'Justice Spend Total'!$C:$BA,40,FALSE)</f>
        <v>2020</v>
      </c>
      <c r="V154" s="15" t="s">
        <v>489</v>
      </c>
      <c r="W154" t="s">
        <v>562</v>
      </c>
    </row>
    <row r="155" spans="1:23">
      <c r="A155">
        <v>153</v>
      </c>
      <c r="B155" t="s">
        <v>153</v>
      </c>
      <c r="C155" t="s">
        <v>367</v>
      </c>
      <c r="D155" t="s">
        <v>493</v>
      </c>
      <c r="E155" t="s">
        <v>488</v>
      </c>
      <c r="F155" s="17">
        <f>VLOOKUP(B155,'Justice Spend Total'!$B$4:$AQ$221,10,FALSE)</f>
        <v>43.470999999999997</v>
      </c>
      <c r="G155" s="15">
        <f>VLOOKUP(C155,'Justice Spend Total'!$C$4:$AQ$221,10,FALSE)</f>
        <v>42.010707796977073</v>
      </c>
      <c r="H155">
        <f>VLOOKUP(C155,'Justice Spend Total'!$C$4:$AQ$221,7,FALSE)</f>
        <v>3140</v>
      </c>
      <c r="I155" s="17" t="str">
        <f t="shared" si="23"/>
        <v/>
      </c>
      <c r="J155" s="17" t="str">
        <f t="shared" si="24"/>
        <v/>
      </c>
      <c r="K155" s="17" t="str">
        <f t="shared" si="25"/>
        <v/>
      </c>
      <c r="L155" s="17">
        <f t="shared" si="26"/>
        <v>47.041130310410139</v>
      </c>
      <c r="M155" s="16">
        <f>IF(ISNUMBER(VLOOKUP($C155,'Justice Spend Total'!$C:$BA,38,FALSE)),VLOOKUP($C155,'Justice Spend Total'!$C:$BA,38,FALSE),"")</f>
        <v>3.5660555312737228</v>
      </c>
      <c r="N155" s="16" t="str">
        <f>IF(ISNUMBER(VLOOKUP($C155,'Justice Spend Total'!$C:$BA,35,FALSE)),VLOOKUP($C155,'Justice Spend Total'!$C:$BA,35,FALSE),"")</f>
        <v/>
      </c>
      <c r="O155" s="16" t="str">
        <f>IF(ISNUMBER(VLOOKUP($C155,'Justice Spend Total'!$C:$BA,36,FALSE)),VLOOKUP($C155,'Justice Spend Total'!$C:$BA,36,FALSE),"")</f>
        <v/>
      </c>
      <c r="P155" s="16" t="str">
        <f>IF(ISNUMBER(VLOOKUP($C155,'Justice Spend Total'!$C:$BA,37,FALSE)),VLOOKUP($C155,'Justice Spend Total'!$C:$BA,37,FALSE),"")</f>
        <v/>
      </c>
      <c r="Q155" s="16"/>
      <c r="R155" s="15">
        <f>IF(ISNUMBER(VLOOKUP($C155,'Justice Spend Total'!$C:$BA,39,FALSE)),VLOOKUP($C155,'Justice Spend Total'!$C:$BA,39,FALSE),"")</f>
        <v>1.4981251691213422</v>
      </c>
      <c r="S155" s="16">
        <f t="shared" si="27"/>
        <v>1.4981251691213422</v>
      </c>
      <c r="T155" s="7">
        <f t="shared" si="21"/>
        <v>47.041130310410139</v>
      </c>
      <c r="U155" s="22">
        <f>VLOOKUP($C155,'Justice Spend Total'!$C:$BA,40,FALSE)</f>
        <v>2021</v>
      </c>
      <c r="V155" s="15" t="s">
        <v>489</v>
      </c>
      <c r="W155" t="s">
        <v>563</v>
      </c>
    </row>
    <row r="156" spans="1:23">
      <c r="A156">
        <v>154</v>
      </c>
      <c r="B156" t="s">
        <v>173</v>
      </c>
      <c r="C156" t="s">
        <v>387</v>
      </c>
      <c r="D156" t="s">
        <v>487</v>
      </c>
      <c r="E156" t="s">
        <v>488</v>
      </c>
      <c r="F156" s="17">
        <f>VLOOKUP(B156,'Justice Spend Total'!$B$4:$AQ$221,10,FALSE)</f>
        <v>14.282</v>
      </c>
      <c r="G156" s="15">
        <f>VLOOKUP(C156,'Justice Spend Total'!$C$4:$AQ$221,10,FALSE)</f>
        <v>24.87416618771444</v>
      </c>
      <c r="H156">
        <f>VLOOKUP(C156,'Justice Spend Total'!$C$4:$AQ$221,7,FALSE)</f>
        <v>4220</v>
      </c>
      <c r="I156" s="17">
        <f t="shared" si="23"/>
        <v>0</v>
      </c>
      <c r="J156" s="17">
        <f t="shared" si="24"/>
        <v>4.6310552662146263</v>
      </c>
      <c r="K156" s="17">
        <f t="shared" si="25"/>
        <v>0</v>
      </c>
      <c r="L156" s="17">
        <f t="shared" si="26"/>
        <v>77.097950648759735</v>
      </c>
      <c r="M156" s="16">
        <f>IF(ISNUMBER(VLOOKUP($C156,'Justice Spend Total'!$C:$BA,38,FALSE)),VLOOKUP($C156,'Justice Spend Total'!$C:$BA,38,FALSE),"")</f>
        <v>7.3448317479129557</v>
      </c>
      <c r="N156" s="16">
        <f>IF(ISNUMBER(VLOOKUP($C156,'Justice Spend Total'!$C:$BA,35,FALSE)),VLOOKUP($C156,'Justice Spend Total'!$C:$BA,35,FALSE),"")</f>
        <v>0</v>
      </c>
      <c r="O156" s="16">
        <f>IF(ISNUMBER(VLOOKUP($C156,'Justice Spend Total'!$C:$BA,36,FALSE)),VLOOKUP($C156,'Justice Spend Total'!$C:$BA,36,FALSE),"")</f>
        <v>0.44118321511026903</v>
      </c>
      <c r="P156" s="16">
        <f>IF(ISNUMBER(VLOOKUP($C156,'Justice Spend Total'!$C:$BA,37,FALSE)),VLOOKUP($C156,'Justice Spend Total'!$C:$BA,37,FALSE),"")</f>
        <v>0</v>
      </c>
      <c r="Q156" s="16">
        <f>IF(ISNUMBER(M156),M156-N156-O156-P156,"")</f>
        <v>6.9036485328026869</v>
      </c>
      <c r="R156" s="15">
        <f>IF(ISNUMBER(VLOOKUP($C156,'Justice Spend Total'!$C:$BA,39,FALSE)),VLOOKUP($C156,'Justice Spend Total'!$C:$BA,39,FALSE),"")</f>
        <v>1.82696565518388</v>
      </c>
      <c r="S156" s="16">
        <f t="shared" si="27"/>
        <v>1.82696565518388</v>
      </c>
      <c r="T156" s="7">
        <f t="shared" si="21"/>
        <v>77.097950648759735</v>
      </c>
      <c r="U156" s="22">
        <f>VLOOKUP($C156,'Justice Spend Total'!$C:$BA,40,FALSE)</f>
        <v>2018</v>
      </c>
      <c r="V156" s="15" t="str">
        <f>VLOOKUP($C156,'Justice Spend Total'!$C:$BA,41,FALSE)</f>
        <v>IMF COFOG</v>
      </c>
      <c r="W156" t="s">
        <v>484</v>
      </c>
    </row>
    <row r="157" spans="1:23">
      <c r="A157">
        <v>155</v>
      </c>
      <c r="B157" t="s">
        <v>118</v>
      </c>
      <c r="C157" t="s">
        <v>331</v>
      </c>
      <c r="D157" t="s">
        <v>496</v>
      </c>
      <c r="E157" t="s">
        <v>299</v>
      </c>
      <c r="F157" s="17">
        <f>VLOOKUP(B157,'Justice Spend Total'!$B$4:$AQ$221,10,FALSE)</f>
        <v>98.944999999999993</v>
      </c>
      <c r="G157" s="15">
        <f>VLOOKUP(C157,'Justice Spend Total'!$C$4:$AQ$221,10,FALSE)</f>
        <v>23.816515704771003</v>
      </c>
      <c r="H157">
        <f>VLOOKUP(C157,'Justice Spend Total'!$C$4:$AQ$221,7,FALSE)</f>
        <v>1040</v>
      </c>
      <c r="I157" s="17">
        <f t="shared" si="23"/>
        <v>4.289908401728602</v>
      </c>
      <c r="J157" s="17">
        <f t="shared" si="24"/>
        <v>3.0797421386859085</v>
      </c>
      <c r="K157" s="17">
        <f t="shared" si="25"/>
        <v>0.91775671440355866</v>
      </c>
      <c r="L157" s="17">
        <f t="shared" si="26"/>
        <v>7.1197718844521685</v>
      </c>
      <c r="M157" s="16">
        <f>IF(ISNUMBER(VLOOKUP($C157,'Justice Spend Total'!$C:$BA,38,FALSE)),VLOOKUP($C157,'Justice Spend Total'!$C:$BA,38,FALSE),"")</f>
        <v>2.8744483824346863</v>
      </c>
      <c r="N157" s="16">
        <f>IF(ISNUMBER(VLOOKUP($C157,'Justice Spend Total'!$C:$BA,35,FALSE)),VLOOKUP($C157,'Justice Spend Total'!$C:$BA,35,FALSE),"")</f>
        <v>1.7319544033524283</v>
      </c>
      <c r="O157" s="16">
        <f>IF(ISNUMBER(VLOOKUP($C157,'Justice Spend Total'!$C:$BA,36,FALSE)),VLOOKUP($C157,'Justice Spend Total'!$C:$BA,36,FALSE),"")</f>
        <v>1.243376887986182</v>
      </c>
      <c r="P157" s="16">
        <f>IF(ISNUMBER(VLOOKUP($C157,'Justice Spend Total'!$C:$BA,37,FALSE)),VLOOKUP($C157,'Justice Spend Total'!$C:$BA,37,FALSE),"")</f>
        <v>0.37052371143332863</v>
      </c>
      <c r="Q157" s="16">
        <f>IF(ISNUMBER(M157),M157-N157-O157-P157,"")</f>
        <v>-0.47140662033725267</v>
      </c>
      <c r="R157" s="15">
        <f>IF(ISNUMBER(VLOOKUP($C157,'Justice Spend Total'!$C:$BA,39,FALSE)),VLOOKUP($C157,'Justice Spend Total'!$C:$BA,39,FALSE),"")</f>
        <v>0.68459345042809316</v>
      </c>
      <c r="S157" s="16">
        <f t="shared" si="27"/>
        <v>0.68459345042809316</v>
      </c>
      <c r="T157" s="7">
        <f t="shared" si="21"/>
        <v>7.1197718844521685</v>
      </c>
      <c r="U157" s="22">
        <f>VLOOKUP($C157,'Justice Spend Total'!$C:$BA,40,FALSE)</f>
        <v>2021</v>
      </c>
      <c r="V157" s="15" t="s">
        <v>489</v>
      </c>
      <c r="W157" t="s">
        <v>484</v>
      </c>
    </row>
    <row r="158" spans="1:23">
      <c r="A158">
        <v>156</v>
      </c>
      <c r="B158" t="s">
        <v>127</v>
      </c>
      <c r="C158" t="s">
        <v>341</v>
      </c>
      <c r="D158" t="s">
        <v>496</v>
      </c>
      <c r="E158" t="s">
        <v>488</v>
      </c>
      <c r="F158" s="17">
        <f>VLOOKUP(B158,'Justice Spend Total'!$B$4:$AQ$221,10,FALSE)</f>
        <v>22.971</v>
      </c>
      <c r="G158" s="15">
        <f>VLOOKUP(C158,'Justice Spend Total'!$C$4:$AQ$221,10,FALSE)</f>
        <v>12.256952596418586</v>
      </c>
      <c r="H158">
        <f>VLOOKUP(C158,'Justice Spend Total'!$C$4:$AQ$221,7,FALSE)</f>
        <v>1400</v>
      </c>
      <c r="I158" s="17" t="str">
        <f t="shared" si="23"/>
        <v/>
      </c>
      <c r="J158" s="17" t="str">
        <f t="shared" si="24"/>
        <v/>
      </c>
      <c r="K158" s="17" t="str">
        <f t="shared" si="25"/>
        <v/>
      </c>
      <c r="L158" s="17">
        <f t="shared" si="26"/>
        <v>16.842783260786867</v>
      </c>
      <c r="M158" s="16">
        <f>IF(ISNUMBER(VLOOKUP($C158,'Justice Spend Total'!$C:$BA,38,FALSE)),VLOOKUP($C158,'Justice Spend Total'!$C:$BA,38,FALSE),"")</f>
        <v>9.8152941176470581</v>
      </c>
      <c r="N158" s="16" t="str">
        <f>IF(ISNUMBER(VLOOKUP($C158,'Justice Spend Total'!$C:$BA,35,FALSE)),VLOOKUP($C158,'Justice Spend Total'!$C:$BA,35,FALSE),"")</f>
        <v/>
      </c>
      <c r="O158" s="16" t="str">
        <f>IF(ISNUMBER(VLOOKUP($C158,'Justice Spend Total'!$C:$BA,36,FALSE)),VLOOKUP($C158,'Justice Spend Total'!$C:$BA,36,FALSE),"")</f>
        <v/>
      </c>
      <c r="P158" s="16" t="str">
        <f>IF(ISNUMBER(VLOOKUP($C158,'Justice Spend Total'!$C:$BA,37,FALSE)),VLOOKUP($C158,'Justice Spend Total'!$C:$BA,37,FALSE),"")</f>
        <v/>
      </c>
      <c r="Q158" s="16"/>
      <c r="R158" s="15">
        <f>IF(ISNUMBER(VLOOKUP($C158,'Justice Spend Total'!$C:$BA,39,FALSE)),VLOOKUP($C158,'Justice Spend Total'!$C:$BA,39,FALSE),"")</f>
        <v>1.2030559471990618</v>
      </c>
      <c r="S158" s="16">
        <f t="shared" si="27"/>
        <v>1.2030559471990618</v>
      </c>
      <c r="T158" s="7">
        <f t="shared" si="21"/>
        <v>16.842783260786867</v>
      </c>
      <c r="U158" s="22">
        <f>VLOOKUP($C158,'Justice Spend Total'!$C:$BA,40,FALSE)</f>
        <v>2022</v>
      </c>
      <c r="V158" s="15" t="s">
        <v>489</v>
      </c>
      <c r="W158" t="s">
        <v>564</v>
      </c>
    </row>
    <row r="159" spans="1:23">
      <c r="A159">
        <v>157</v>
      </c>
      <c r="B159" t="s">
        <v>231</v>
      </c>
      <c r="C159" t="s">
        <v>565</v>
      </c>
      <c r="D159" t="s">
        <v>497</v>
      </c>
      <c r="E159" t="s">
        <v>494</v>
      </c>
      <c r="F159" s="17">
        <f>VLOOKUP(B159,'Justice Spend Total'!$B$4:$AQ$221,10,FALSE)</f>
        <v>0.755</v>
      </c>
      <c r="G159" s="15">
        <f>VLOOKUP(C159,'Justice Spend Total'!$C$4:$AQ$221,10,FALSE)</f>
        <v>20.405405405405403</v>
      </c>
      <c r="H159">
        <f>VLOOKUP(C159,'Justice Spend Total'!$C$4:$AQ$221,7,FALSE)</f>
        <v>14900</v>
      </c>
      <c r="I159" s="17" t="str">
        <f t="shared" si="23"/>
        <v/>
      </c>
      <c r="J159" s="17" t="str">
        <f t="shared" si="24"/>
        <v/>
      </c>
      <c r="K159" s="17" t="str">
        <f t="shared" si="25"/>
        <v/>
      </c>
      <c r="L159" s="17" t="str">
        <f t="shared" si="26"/>
        <v/>
      </c>
      <c r="M159" s="16" t="str">
        <f>IF(ISNUMBER(VLOOKUP($C159,'Justice Spend Total'!$C:$BA,38,FALSE)),VLOOKUP($C159,'Justice Spend Total'!$C:$BA,38,FALSE),"")</f>
        <v/>
      </c>
      <c r="N159" s="16" t="str">
        <f>IF(ISNUMBER(VLOOKUP($C159,'Justice Spend Total'!$C:$BA,35,FALSE)),VLOOKUP($C159,'Justice Spend Total'!$C:$BA,35,FALSE),"")</f>
        <v/>
      </c>
      <c r="O159" s="16" t="str">
        <f>IF(ISNUMBER(VLOOKUP($C159,'Justice Spend Total'!$C:$BA,36,FALSE)),VLOOKUP($C159,'Justice Spend Total'!$C:$BA,36,FALSE),"")</f>
        <v/>
      </c>
      <c r="P159" s="16" t="str">
        <f>IF(ISNUMBER(VLOOKUP($C159,'Justice Spend Total'!$C:$BA,37,FALSE)),VLOOKUP($C159,'Justice Spend Total'!$C:$BA,37,FALSE),"")</f>
        <v/>
      </c>
      <c r="Q159" s="16" t="str">
        <f t="shared" ref="Q159:Q190" si="29">IF(ISNUMBER(M159),M159-N159-O159-P159,"")</f>
        <v/>
      </c>
      <c r="R159" s="15" t="str">
        <f>IF(ISNUMBER(VLOOKUP($C159,'Justice Spend Total'!$C:$BA,39,FALSE)),VLOOKUP($C159,'Justice Spend Total'!$C:$BA,39,FALSE),"")</f>
        <v/>
      </c>
      <c r="S159" s="16" t="str">
        <f t="shared" si="27"/>
        <v/>
      </c>
      <c r="T159" s="7" t="str">
        <f t="shared" ref="T159:T190" si="30">L159</f>
        <v/>
      </c>
      <c r="U159" s="22" t="str">
        <f>VLOOKUP($C159,'Justice Spend Total'!$C:$BA,40,FALSE)</f>
        <v xml:space="preserve"> </v>
      </c>
      <c r="V159" s="15" t="str">
        <f>VLOOKUP($C159,'Justice Spend Total'!$C:$BA,41,FALSE)</f>
        <v xml:space="preserve"> </v>
      </c>
    </row>
    <row r="160" spans="1:23">
      <c r="A160">
        <v>158</v>
      </c>
      <c r="B160" t="s">
        <v>237</v>
      </c>
      <c r="C160" t="s">
        <v>566</v>
      </c>
      <c r="D160" t="s">
        <v>497</v>
      </c>
      <c r="E160" t="s">
        <v>494</v>
      </c>
      <c r="F160" s="17">
        <f>VLOOKUP(B160,'Justice Spend Total'!$B$4:$AQ$221,10,FALSE)</f>
        <v>2.702</v>
      </c>
      <c r="G160" s="15">
        <f>VLOOKUP(C160,'Justice Spend Total'!$C$4:$AQ$221,10,FALSE)</f>
        <v>28.88603805858456</v>
      </c>
      <c r="H160">
        <f>VLOOKUP(C160,'Justice Spend Total'!$C$4:$AQ$221,7,FALSE)</f>
        <v>16720</v>
      </c>
      <c r="I160" s="17" t="str">
        <f t="shared" si="23"/>
        <v/>
      </c>
      <c r="J160" s="17" t="str">
        <f t="shared" si="24"/>
        <v/>
      </c>
      <c r="K160" s="17" t="str">
        <f t="shared" si="25"/>
        <v/>
      </c>
      <c r="L160" s="17" t="str">
        <f t="shared" si="26"/>
        <v/>
      </c>
      <c r="M160" s="16" t="str">
        <f>IF(ISNUMBER(VLOOKUP($C160,'Justice Spend Total'!$C:$BA,38,FALSE)),VLOOKUP($C160,'Justice Spend Total'!$C:$BA,38,FALSE),"")</f>
        <v/>
      </c>
      <c r="N160" s="16" t="str">
        <f>IF(ISNUMBER(VLOOKUP($C160,'Justice Spend Total'!$C:$BA,35,FALSE)),VLOOKUP($C160,'Justice Spend Total'!$C:$BA,35,FALSE),"")</f>
        <v/>
      </c>
      <c r="O160" s="16" t="str">
        <f>IF(ISNUMBER(VLOOKUP($C160,'Justice Spend Total'!$C:$BA,36,FALSE)),VLOOKUP($C160,'Justice Spend Total'!$C:$BA,36,FALSE),"")</f>
        <v/>
      </c>
      <c r="P160" s="16" t="str">
        <f>IF(ISNUMBER(VLOOKUP($C160,'Justice Spend Total'!$C:$BA,37,FALSE)),VLOOKUP($C160,'Justice Spend Total'!$C:$BA,37,FALSE),"")</f>
        <v/>
      </c>
      <c r="Q160" s="16" t="str">
        <f t="shared" si="29"/>
        <v/>
      </c>
      <c r="R160" s="15" t="str">
        <f>IF(ISNUMBER(VLOOKUP($C160,'Justice Spend Total'!$C:$BA,39,FALSE)),VLOOKUP($C160,'Justice Spend Total'!$C:$BA,39,FALSE),"")</f>
        <v/>
      </c>
      <c r="S160" s="16" t="str">
        <f t="shared" si="27"/>
        <v/>
      </c>
      <c r="T160" s="7" t="str">
        <f t="shared" si="30"/>
        <v/>
      </c>
      <c r="U160" s="22" t="str">
        <f>VLOOKUP($C160,'Justice Spend Total'!$C:$BA,40,FALSE)</f>
        <v xml:space="preserve"> </v>
      </c>
      <c r="V160" s="15" t="str">
        <f>VLOOKUP($C160,'Justice Spend Total'!$C:$BA,41,FALSE)</f>
        <v xml:space="preserve"> </v>
      </c>
    </row>
    <row r="161" spans="1:23">
      <c r="A161">
        <v>159</v>
      </c>
      <c r="B161" t="s">
        <v>174</v>
      </c>
      <c r="C161" t="s">
        <v>388</v>
      </c>
      <c r="D161" t="s">
        <v>497</v>
      </c>
      <c r="E161" t="s">
        <v>486</v>
      </c>
      <c r="F161" s="17">
        <f>VLOOKUP(B161,'Justice Spend Total'!$B$4:$AQ$221,10,FALSE)</f>
        <v>0.96699999999999997</v>
      </c>
      <c r="G161" s="15">
        <f>VLOOKUP(C161,'Justice Spend Total'!$C$4:$AQ$221,10,FALSE)</f>
        <v>30.495111952065596</v>
      </c>
      <c r="H161">
        <f>VLOOKUP(C161,'Justice Spend Total'!$C$4:$AQ$221,7,FALSE)</f>
        <v>4290</v>
      </c>
      <c r="I161" s="17" t="str">
        <f t="shared" si="23"/>
        <v/>
      </c>
      <c r="J161" s="17" t="str">
        <f t="shared" si="24"/>
        <v/>
      </c>
      <c r="K161" s="17" t="str">
        <f t="shared" si="25"/>
        <v/>
      </c>
      <c r="L161" s="17" t="str">
        <f t="shared" si="26"/>
        <v/>
      </c>
      <c r="M161" s="16" t="str">
        <f>IF(ISNUMBER(VLOOKUP($C161,'Justice Spend Total'!$C:$BA,38,FALSE)),VLOOKUP($C161,'Justice Spend Total'!$C:$BA,38,FALSE),"")</f>
        <v/>
      </c>
      <c r="N161" s="16" t="str">
        <f>IF(ISNUMBER(VLOOKUP($C161,'Justice Spend Total'!$C:$BA,35,FALSE)),VLOOKUP($C161,'Justice Spend Total'!$C:$BA,35,FALSE),"")</f>
        <v/>
      </c>
      <c r="O161" s="16" t="str">
        <f>IF(ISNUMBER(VLOOKUP($C161,'Justice Spend Total'!$C:$BA,36,FALSE)),VLOOKUP($C161,'Justice Spend Total'!$C:$BA,36,FALSE),"")</f>
        <v/>
      </c>
      <c r="P161" s="16" t="str">
        <f>IF(ISNUMBER(VLOOKUP($C161,'Justice Spend Total'!$C:$BA,37,FALSE)),VLOOKUP($C161,'Justice Spend Total'!$C:$BA,37,FALSE),"")</f>
        <v/>
      </c>
      <c r="Q161" s="16" t="str">
        <f t="shared" si="29"/>
        <v/>
      </c>
      <c r="R161" s="15" t="str">
        <f>IF(ISNUMBER(VLOOKUP($C161,'Justice Spend Total'!$C:$BA,39,FALSE)),VLOOKUP($C161,'Justice Spend Total'!$C:$BA,39,FALSE),"")</f>
        <v/>
      </c>
      <c r="S161" s="16" t="str">
        <f t="shared" si="27"/>
        <v/>
      </c>
      <c r="T161" s="7" t="str">
        <f t="shared" si="30"/>
        <v/>
      </c>
      <c r="U161" s="22" t="str">
        <f>VLOOKUP($C161,'Justice Spend Total'!$C:$BA,40,FALSE)</f>
        <v xml:space="preserve"> </v>
      </c>
      <c r="V161" s="15" t="str">
        <f>VLOOKUP($C161,'Justice Spend Total'!$C:$BA,41,FALSE)</f>
        <v xml:space="preserve"> </v>
      </c>
    </row>
    <row r="162" spans="1:23">
      <c r="A162">
        <v>160</v>
      </c>
      <c r="B162" t="s">
        <v>157</v>
      </c>
      <c r="C162" t="s">
        <v>371</v>
      </c>
      <c r="D162" t="s">
        <v>497</v>
      </c>
      <c r="E162" t="s">
        <v>488</v>
      </c>
      <c r="F162" s="17">
        <f>VLOOKUP(B162,'Justice Spend Total'!$B$4:$AQ$221,10,FALSE)</f>
        <v>63.935000000000002</v>
      </c>
      <c r="G162" s="15">
        <f>VLOOKUP(C162,'Justice Spend Total'!$C$4:$AQ$221,10,FALSE)</f>
        <v>25.259568886500837</v>
      </c>
      <c r="H162">
        <f>VLOOKUP(C162,'Justice Spend Total'!$C$4:$AQ$221,7,FALSE)</f>
        <v>3360</v>
      </c>
      <c r="I162" s="17" t="str">
        <f t="shared" si="23"/>
        <v/>
      </c>
      <c r="J162" s="17" t="str">
        <f t="shared" si="24"/>
        <v/>
      </c>
      <c r="K162" s="17" t="str">
        <f t="shared" si="25"/>
        <v/>
      </c>
      <c r="L162" s="17" t="str">
        <f t="shared" si="26"/>
        <v/>
      </c>
      <c r="M162" s="16" t="str">
        <f>IF(ISNUMBER(VLOOKUP($C162,'Justice Spend Total'!$C:$BA,38,FALSE)),VLOOKUP($C162,'Justice Spend Total'!$C:$BA,38,FALSE),"")</f>
        <v/>
      </c>
      <c r="N162" s="16" t="str">
        <f>IF(ISNUMBER(VLOOKUP($C162,'Justice Spend Total'!$C:$BA,35,FALSE)),VLOOKUP($C162,'Justice Spend Total'!$C:$BA,35,FALSE),"")</f>
        <v/>
      </c>
      <c r="O162" s="16" t="str">
        <f>IF(ISNUMBER(VLOOKUP($C162,'Justice Spend Total'!$C:$BA,36,FALSE)),VLOOKUP($C162,'Justice Spend Total'!$C:$BA,36,FALSE),"")</f>
        <v/>
      </c>
      <c r="P162" s="16" t="str">
        <f>IF(ISNUMBER(VLOOKUP($C162,'Justice Spend Total'!$C:$BA,37,FALSE)),VLOOKUP($C162,'Justice Spend Total'!$C:$BA,37,FALSE),"")</f>
        <v/>
      </c>
      <c r="Q162" s="16" t="str">
        <f t="shared" si="29"/>
        <v/>
      </c>
      <c r="R162" s="15" t="str">
        <f>IF(ISNUMBER(VLOOKUP($C162,'Justice Spend Total'!$C:$BA,39,FALSE)),VLOOKUP($C162,'Justice Spend Total'!$C:$BA,39,FALSE),"")</f>
        <v/>
      </c>
      <c r="S162" s="16" t="str">
        <f t="shared" si="27"/>
        <v/>
      </c>
      <c r="T162" s="7" t="str">
        <f t="shared" si="30"/>
        <v/>
      </c>
      <c r="U162" s="22" t="str">
        <f>VLOOKUP($C162,'Justice Spend Total'!$C:$BA,40,FALSE)</f>
        <v xml:space="preserve"> </v>
      </c>
      <c r="V162" s="15" t="str">
        <f>VLOOKUP($C162,'Justice Spend Total'!$C:$BA,41,FALSE)</f>
        <v xml:space="preserve"> </v>
      </c>
      <c r="W162" t="s">
        <v>484</v>
      </c>
    </row>
    <row r="163" spans="1:23">
      <c r="A163">
        <v>161</v>
      </c>
      <c r="B163" t="s">
        <v>198</v>
      </c>
      <c r="C163" t="s">
        <v>413</v>
      </c>
      <c r="D163" t="s">
        <v>485</v>
      </c>
      <c r="E163" t="s">
        <v>486</v>
      </c>
      <c r="F163" s="17">
        <f>VLOOKUP(B163,'Justice Spend Total'!$B$4:$AQ$221,10,FALSE)</f>
        <v>14.138999999999999</v>
      </c>
      <c r="G163" s="15">
        <f>VLOOKUP(C163,'Justice Spend Total'!$C$4:$AQ$221,10,FALSE)</f>
        <v>41.275726171361839</v>
      </c>
      <c r="H163">
        <f>VLOOKUP(C163,'Justice Spend Total'!$C$4:$AQ$221,7,FALSE)</f>
        <v>6770</v>
      </c>
      <c r="I163" s="17" t="str">
        <f t="shared" si="23"/>
        <v/>
      </c>
      <c r="J163" s="17" t="str">
        <f t="shared" si="24"/>
        <v/>
      </c>
      <c r="K163" s="17" t="str">
        <f t="shared" si="25"/>
        <v/>
      </c>
      <c r="L163" s="17" t="str">
        <f t="shared" si="26"/>
        <v/>
      </c>
      <c r="M163" s="16" t="str">
        <f>IF(ISNUMBER(VLOOKUP($C163,'Justice Spend Total'!$C:$BA,38,FALSE)),VLOOKUP($C163,'Justice Spend Total'!$C:$BA,38,FALSE),"")</f>
        <v/>
      </c>
      <c r="N163" s="16" t="str">
        <f>IF(ISNUMBER(VLOOKUP($C163,'Justice Spend Total'!$C:$BA,35,FALSE)),VLOOKUP($C163,'Justice Spend Total'!$C:$BA,35,FALSE),"")</f>
        <v/>
      </c>
      <c r="O163" s="16" t="str">
        <f>IF(ISNUMBER(VLOOKUP($C163,'Justice Spend Total'!$C:$BA,36,FALSE)),VLOOKUP($C163,'Justice Spend Total'!$C:$BA,36,FALSE),"")</f>
        <v/>
      </c>
      <c r="P163" s="16" t="str">
        <f>IF(ISNUMBER(VLOOKUP($C163,'Justice Spend Total'!$C:$BA,37,FALSE)),VLOOKUP($C163,'Justice Spend Total'!$C:$BA,37,FALSE),"")</f>
        <v/>
      </c>
      <c r="Q163" s="16" t="str">
        <f t="shared" si="29"/>
        <v/>
      </c>
      <c r="R163" s="15" t="str">
        <f>IF(ISNUMBER(VLOOKUP($C163,'Justice Spend Total'!$C:$BA,39,FALSE)),VLOOKUP($C163,'Justice Spend Total'!$C:$BA,39,FALSE),"")</f>
        <v/>
      </c>
      <c r="S163" s="16" t="str">
        <f t="shared" si="27"/>
        <v/>
      </c>
      <c r="T163" s="7" t="str">
        <f t="shared" si="30"/>
        <v/>
      </c>
      <c r="U163" s="22" t="str">
        <f>VLOOKUP($C163,'Justice Spend Total'!$C:$BA,40,FALSE)</f>
        <v xml:space="preserve"> </v>
      </c>
      <c r="V163" s="15" t="str">
        <f>VLOOKUP($C163,'Justice Spend Total'!$C:$BA,41,FALSE)</f>
        <v xml:space="preserve"> </v>
      </c>
    </row>
    <row r="164" spans="1:23">
      <c r="A164">
        <v>162</v>
      </c>
      <c r="B164" t="s">
        <v>253</v>
      </c>
      <c r="C164" t="s">
        <v>567</v>
      </c>
      <c r="D164" t="s">
        <v>493</v>
      </c>
      <c r="E164" t="s">
        <v>494</v>
      </c>
      <c r="F164" s="17">
        <f>VLOOKUP(B164,'Justice Spend Total'!$B$4:$AQ$221,10,FALSE)</f>
        <v>2.8919999999999999</v>
      </c>
      <c r="G164" s="15">
        <f>VLOOKUP(C164,'Justice Spend Total'!$C$4:$AQ$221,10,FALSE)</f>
        <v>17.462713604250951</v>
      </c>
      <c r="H164">
        <f>VLOOKUP(C164,'Justice Spend Total'!$C$4:$AQ$221,7,FALSE)</f>
        <v>31510</v>
      </c>
      <c r="I164" s="17" t="str">
        <f t="shared" si="23"/>
        <v/>
      </c>
      <c r="J164" s="17" t="str">
        <f t="shared" si="24"/>
        <v/>
      </c>
      <c r="K164" s="17" t="str">
        <f t="shared" si="25"/>
        <v/>
      </c>
      <c r="L164" s="17" t="str">
        <f t="shared" si="26"/>
        <v/>
      </c>
      <c r="M164" s="16" t="str">
        <f>IF(ISNUMBER(VLOOKUP($C164,'Justice Spend Total'!$C:$BA,38,FALSE)),VLOOKUP($C164,'Justice Spend Total'!$C:$BA,38,FALSE),"")</f>
        <v/>
      </c>
      <c r="N164" s="16" t="str">
        <f>IF(ISNUMBER(VLOOKUP($C164,'Justice Spend Total'!$C:$BA,35,FALSE)),VLOOKUP($C164,'Justice Spend Total'!$C:$BA,35,FALSE),"")</f>
        <v/>
      </c>
      <c r="O164" s="16" t="str">
        <f>IF(ISNUMBER(VLOOKUP($C164,'Justice Spend Total'!$C:$BA,36,FALSE)),VLOOKUP($C164,'Justice Spend Total'!$C:$BA,36,FALSE),"")</f>
        <v/>
      </c>
      <c r="P164" s="16" t="str">
        <f>IF(ISNUMBER(VLOOKUP($C164,'Justice Spend Total'!$C:$BA,37,FALSE)),VLOOKUP($C164,'Justice Spend Total'!$C:$BA,37,FALSE),"")</f>
        <v/>
      </c>
      <c r="Q164" s="16" t="str">
        <f t="shared" si="29"/>
        <v/>
      </c>
      <c r="R164" s="15" t="str">
        <f>IF(ISNUMBER(VLOOKUP($C164,'Justice Spend Total'!$C:$BA,39,FALSE)),VLOOKUP($C164,'Justice Spend Total'!$C:$BA,39,FALSE),"")</f>
        <v/>
      </c>
      <c r="S164" s="16" t="str">
        <f t="shared" si="27"/>
        <v/>
      </c>
      <c r="T164" s="7" t="str">
        <f t="shared" si="30"/>
        <v/>
      </c>
      <c r="U164" s="22" t="str">
        <f>VLOOKUP($C164,'Justice Spend Total'!$C:$BA,40,FALSE)</f>
        <v xml:space="preserve"> </v>
      </c>
      <c r="V164" s="15" t="str">
        <f>VLOOKUP($C164,'Justice Spend Total'!$C:$BA,41,FALSE)</f>
        <v xml:space="preserve"> </v>
      </c>
    </row>
    <row r="165" spans="1:23">
      <c r="A165">
        <v>163</v>
      </c>
      <c r="B165" t="s">
        <v>133</v>
      </c>
      <c r="C165" t="s">
        <v>347</v>
      </c>
      <c r="D165" t="s">
        <v>496</v>
      </c>
      <c r="E165" t="s">
        <v>488</v>
      </c>
      <c r="F165" s="17">
        <f>VLOOKUP(B165,'Justice Spend Total'!$B$4:$AQ$221,10,FALSE)</f>
        <v>3145.32</v>
      </c>
      <c r="G165" s="15">
        <f>VLOOKUP(C165,'Justice Spend Total'!$C$4:$AQ$221,10,FALSE)</f>
        <v>13.392050827561572</v>
      </c>
      <c r="H165">
        <f>VLOOKUP(C165,'Justice Spend Total'!$C$4:$AQ$221,7,FALSE)</f>
        <v>1590</v>
      </c>
      <c r="I165" s="17" t="str">
        <f t="shared" si="23"/>
        <v/>
      </c>
      <c r="J165" s="17" t="str">
        <f t="shared" si="24"/>
        <v/>
      </c>
      <c r="K165" s="17" t="str">
        <f t="shared" si="25"/>
        <v/>
      </c>
      <c r="L165" s="17" t="str">
        <f t="shared" si="26"/>
        <v/>
      </c>
      <c r="M165" s="16" t="str">
        <f>IF(ISNUMBER(VLOOKUP($C165,'Justice Spend Total'!$C:$BA,38,FALSE)),VLOOKUP($C165,'Justice Spend Total'!$C:$BA,38,FALSE),"")</f>
        <v/>
      </c>
      <c r="N165" s="16" t="str">
        <f>IF(ISNUMBER(VLOOKUP($C165,'Justice Spend Total'!$C:$BA,35,FALSE)),VLOOKUP($C165,'Justice Spend Total'!$C:$BA,35,FALSE),"")</f>
        <v/>
      </c>
      <c r="O165" s="16" t="str">
        <f>IF(ISNUMBER(VLOOKUP($C165,'Justice Spend Total'!$C:$BA,36,FALSE)),VLOOKUP($C165,'Justice Spend Total'!$C:$BA,36,FALSE),"")</f>
        <v/>
      </c>
      <c r="P165" s="16" t="str">
        <f>IF(ISNUMBER(VLOOKUP($C165,'Justice Spend Total'!$C:$BA,37,FALSE)),VLOOKUP($C165,'Justice Spend Total'!$C:$BA,37,FALSE),"")</f>
        <v/>
      </c>
      <c r="Q165" s="16" t="str">
        <f t="shared" si="29"/>
        <v/>
      </c>
      <c r="R165" s="15" t="str">
        <f>IF(ISNUMBER(VLOOKUP($C165,'Justice Spend Total'!$C:$BA,39,FALSE)),VLOOKUP($C165,'Justice Spend Total'!$C:$BA,39,FALSE),"")</f>
        <v/>
      </c>
      <c r="S165" s="16" t="str">
        <f t="shared" si="27"/>
        <v/>
      </c>
      <c r="T165" s="7" t="str">
        <f t="shared" si="30"/>
        <v/>
      </c>
      <c r="U165" s="22" t="str">
        <f>VLOOKUP($C165,'Justice Spend Total'!$C:$BA,40,FALSE)</f>
        <v xml:space="preserve"> </v>
      </c>
      <c r="V165" s="15" t="str">
        <f>VLOOKUP($C165,'Justice Spend Total'!$C:$BA,41,FALSE)</f>
        <v xml:space="preserve"> </v>
      </c>
      <c r="W165" t="s">
        <v>484</v>
      </c>
    </row>
    <row r="166" spans="1:23">
      <c r="A166">
        <v>164</v>
      </c>
      <c r="B166" t="s">
        <v>105</v>
      </c>
      <c r="C166" t="s">
        <v>318</v>
      </c>
      <c r="D166" t="s">
        <v>496</v>
      </c>
      <c r="E166" t="s">
        <v>299</v>
      </c>
      <c r="F166" s="17">
        <f>VLOOKUP(B166,'Justice Spend Total'!$B$4:$AQ$221,10,FALSE)</f>
        <v>1304.19</v>
      </c>
      <c r="G166" s="15">
        <f>VLOOKUP(C166,'Justice Spend Total'!$C$4:$AQ$221,10,FALSE)</f>
        <v>21.152171268702105</v>
      </c>
      <c r="H166">
        <f>VLOOKUP(C166,'Justice Spend Total'!$C$4:$AQ$221,7,FALSE)</f>
        <v>650</v>
      </c>
      <c r="I166" s="17" t="str">
        <f t="shared" si="23"/>
        <v/>
      </c>
      <c r="J166" s="17" t="str">
        <f t="shared" si="24"/>
        <v/>
      </c>
      <c r="K166" s="17" t="str">
        <f t="shared" si="25"/>
        <v/>
      </c>
      <c r="L166" s="17" t="str">
        <f t="shared" si="26"/>
        <v/>
      </c>
      <c r="M166" s="16" t="str">
        <f>IF(ISNUMBER(VLOOKUP($C166,'Justice Spend Total'!$C:$BA,38,FALSE)),VLOOKUP($C166,'Justice Spend Total'!$C:$BA,38,FALSE),"")</f>
        <v/>
      </c>
      <c r="N166" s="16" t="str">
        <f>IF(ISNUMBER(VLOOKUP($C166,'Justice Spend Total'!$C:$BA,35,FALSE)),VLOOKUP($C166,'Justice Spend Total'!$C:$BA,35,FALSE),"")</f>
        <v/>
      </c>
      <c r="O166" s="16" t="str">
        <f>IF(ISNUMBER(VLOOKUP($C166,'Justice Spend Total'!$C:$BA,36,FALSE)),VLOOKUP($C166,'Justice Spend Total'!$C:$BA,36,FALSE),"")</f>
        <v/>
      </c>
      <c r="P166" s="16" t="str">
        <f>IF(ISNUMBER(VLOOKUP($C166,'Justice Spend Total'!$C:$BA,37,FALSE)),VLOOKUP($C166,'Justice Spend Total'!$C:$BA,37,FALSE),"")</f>
        <v/>
      </c>
      <c r="Q166" s="16" t="str">
        <f t="shared" si="29"/>
        <v/>
      </c>
      <c r="R166" s="15" t="str">
        <f>IF(ISNUMBER(VLOOKUP($C166,'Justice Spend Total'!$C:$BA,39,FALSE)),VLOOKUP($C166,'Justice Spend Total'!$C:$BA,39,FALSE),"")</f>
        <v/>
      </c>
      <c r="S166" s="16" t="str">
        <f t="shared" si="27"/>
        <v/>
      </c>
      <c r="T166" s="7" t="str">
        <f t="shared" si="30"/>
        <v/>
      </c>
      <c r="U166" s="22" t="str">
        <f>VLOOKUP($C166,'Justice Spend Total'!$C:$BA,40,FALSE)</f>
        <v xml:space="preserve"> </v>
      </c>
      <c r="V166" s="15" t="str">
        <f>VLOOKUP($C166,'Justice Spend Total'!$C:$BA,41,FALSE)</f>
        <v xml:space="preserve"> </v>
      </c>
      <c r="W166" t="s">
        <v>568</v>
      </c>
    </row>
    <row r="167" spans="1:23">
      <c r="A167">
        <v>165</v>
      </c>
      <c r="B167" t="s">
        <v>194</v>
      </c>
      <c r="C167" t="s">
        <v>409</v>
      </c>
      <c r="D167" t="s">
        <v>497</v>
      </c>
      <c r="E167" t="s">
        <v>486</v>
      </c>
      <c r="F167" s="17">
        <f>VLOOKUP(B167,'Justice Spend Total'!$B$4:$AQ$221,10,FALSE)</f>
        <v>265500.87</v>
      </c>
      <c r="G167" s="15">
        <f>VLOOKUP(C167,'Justice Spend Total'!$C$4:$AQ$221,10,FALSE)</f>
        <v>26.58416790325197</v>
      </c>
      <c r="H167">
        <f>VLOOKUP(C167,'Justice Spend Total'!$C$4:$AQ$221,7,FALSE)</f>
        <v>6160</v>
      </c>
      <c r="I167" s="17" t="str">
        <f t="shared" si="23"/>
        <v/>
      </c>
      <c r="J167" s="17" t="str">
        <f t="shared" si="24"/>
        <v/>
      </c>
      <c r="K167" s="17" t="str">
        <f t="shared" si="25"/>
        <v/>
      </c>
      <c r="L167" s="17" t="str">
        <f t="shared" si="26"/>
        <v/>
      </c>
      <c r="M167" s="16" t="str">
        <f>IF(ISNUMBER(VLOOKUP($C167,'Justice Spend Total'!$C:$BA,38,FALSE)),VLOOKUP($C167,'Justice Spend Total'!$C:$BA,38,FALSE),"")</f>
        <v/>
      </c>
      <c r="N167" s="16" t="str">
        <f>IF(ISNUMBER(VLOOKUP($C167,'Justice Spend Total'!$C:$BA,35,FALSE)),VLOOKUP($C167,'Justice Spend Total'!$C:$BA,35,FALSE),"")</f>
        <v/>
      </c>
      <c r="O167" s="16" t="str">
        <f>IF(ISNUMBER(VLOOKUP($C167,'Justice Spend Total'!$C:$BA,36,FALSE)),VLOOKUP($C167,'Justice Spend Total'!$C:$BA,36,FALSE),"")</f>
        <v/>
      </c>
      <c r="P167" s="16" t="str">
        <f>IF(ISNUMBER(VLOOKUP($C167,'Justice Spend Total'!$C:$BA,37,FALSE)),VLOOKUP($C167,'Justice Spend Total'!$C:$BA,37,FALSE),"")</f>
        <v/>
      </c>
      <c r="Q167" s="16" t="str">
        <f t="shared" si="29"/>
        <v/>
      </c>
      <c r="R167" s="15" t="str">
        <f>IF(ISNUMBER(VLOOKUP($C167,'Justice Spend Total'!$C:$BA,39,FALSE)),VLOOKUP($C167,'Justice Spend Total'!$C:$BA,39,FALSE),"")</f>
        <v/>
      </c>
      <c r="S167" s="16" t="str">
        <f t="shared" si="27"/>
        <v/>
      </c>
      <c r="T167" s="7" t="str">
        <f t="shared" si="30"/>
        <v/>
      </c>
      <c r="U167" s="22" t="str">
        <f>VLOOKUP($C167,'Justice Spend Total'!$C:$BA,40,FALSE)</f>
        <v xml:space="preserve"> </v>
      </c>
      <c r="V167" s="15" t="str">
        <f>VLOOKUP($C167,'Justice Spend Total'!$C:$BA,41,FALSE)</f>
        <v xml:space="preserve"> </v>
      </c>
    </row>
    <row r="168" spans="1:23">
      <c r="A168">
        <v>166</v>
      </c>
      <c r="B168" t="s">
        <v>129</v>
      </c>
      <c r="C168" t="s">
        <v>343</v>
      </c>
      <c r="D168" t="s">
        <v>496</v>
      </c>
      <c r="E168" t="s">
        <v>488</v>
      </c>
      <c r="F168" s="17">
        <f>VLOOKUP(B168,'Justice Spend Total'!$B$4:$AQ$221,10,FALSE)</f>
        <v>95.807000000000002</v>
      </c>
      <c r="G168" s="15">
        <f>VLOOKUP(C168,'Justice Spend Total'!$C$4:$AQ$221,10,FALSE)</f>
        <v>18.250794842145972</v>
      </c>
      <c r="H168">
        <f>VLOOKUP(C168,'Justice Spend Total'!$C$4:$AQ$221,7,FALSE)</f>
        <v>1460</v>
      </c>
      <c r="I168" s="17" t="str">
        <f t="shared" si="23"/>
        <v/>
      </c>
      <c r="J168" s="17" t="str">
        <f t="shared" si="24"/>
        <v/>
      </c>
      <c r="K168" s="17" t="str">
        <f t="shared" si="25"/>
        <v/>
      </c>
      <c r="L168" s="17" t="str">
        <f t="shared" si="26"/>
        <v/>
      </c>
      <c r="M168" s="16" t="str">
        <f>IF(ISNUMBER(VLOOKUP($C168,'Justice Spend Total'!$C:$BA,38,FALSE)),VLOOKUP($C168,'Justice Spend Total'!$C:$BA,38,FALSE),"")</f>
        <v/>
      </c>
      <c r="N168" s="16" t="str">
        <f>IF(ISNUMBER(VLOOKUP($C168,'Justice Spend Total'!$C:$BA,35,FALSE)),VLOOKUP($C168,'Justice Spend Total'!$C:$BA,35,FALSE),"")</f>
        <v/>
      </c>
      <c r="O168" s="16" t="str">
        <f>IF(ISNUMBER(VLOOKUP($C168,'Justice Spend Total'!$C:$BA,36,FALSE)),VLOOKUP($C168,'Justice Spend Total'!$C:$BA,36,FALSE),"")</f>
        <v/>
      </c>
      <c r="P168" s="16" t="str">
        <f>IF(ISNUMBER(VLOOKUP($C168,'Justice Spend Total'!$C:$BA,37,FALSE)),VLOOKUP($C168,'Justice Spend Total'!$C:$BA,37,FALSE),"")</f>
        <v/>
      </c>
      <c r="Q168" s="16" t="str">
        <f t="shared" si="29"/>
        <v/>
      </c>
      <c r="R168" s="15" t="str">
        <f>IF(ISNUMBER(VLOOKUP($C168,'Justice Spend Total'!$C:$BA,39,FALSE)),VLOOKUP($C168,'Justice Spend Total'!$C:$BA,39,FALSE),"")</f>
        <v/>
      </c>
      <c r="S168" s="16" t="str">
        <f t="shared" si="27"/>
        <v/>
      </c>
      <c r="T168" s="7" t="str">
        <f t="shared" si="30"/>
        <v/>
      </c>
      <c r="U168" s="22" t="str">
        <f>VLOOKUP($C168,'Justice Spend Total'!$C:$BA,40,FALSE)</f>
        <v xml:space="preserve"> </v>
      </c>
      <c r="V168" s="15" t="str">
        <f>VLOOKUP($C168,'Justice Spend Total'!$C:$BA,41,FALSE)</f>
        <v xml:space="preserve"> </v>
      </c>
      <c r="W168" t="s">
        <v>484</v>
      </c>
    </row>
    <row r="169" spans="1:23">
      <c r="A169">
        <v>167</v>
      </c>
      <c r="B169" t="s">
        <v>146</v>
      </c>
      <c r="C169" t="s">
        <v>360</v>
      </c>
      <c r="D169" t="s">
        <v>496</v>
      </c>
      <c r="E169" t="s">
        <v>488</v>
      </c>
      <c r="F169" s="17">
        <f>VLOOKUP(B169,'Justice Spend Total'!$B$4:$AQ$221,10,FALSE)</f>
        <v>5289.19</v>
      </c>
      <c r="G169" s="15">
        <f>VLOOKUP(C169,'Justice Spend Total'!$C$4:$AQ$221,10,FALSE)</f>
        <v>14.978712245174219</v>
      </c>
      <c r="H169">
        <f>VLOOKUP(C169,'Justice Spend Total'!$C$4:$AQ$221,7,FALSE)</f>
        <v>2450</v>
      </c>
      <c r="I169" s="17">
        <f t="shared" si="23"/>
        <v>11.475903802117053</v>
      </c>
      <c r="J169" s="17">
        <f t="shared" si="24"/>
        <v>4.926173941658468</v>
      </c>
      <c r="K169" s="17" t="str">
        <f t="shared" si="25"/>
        <v/>
      </c>
      <c r="L169" s="17" t="str">
        <f t="shared" si="26"/>
        <v/>
      </c>
      <c r="M169" s="16" t="str">
        <f>IF(ISNUMBER(VLOOKUP($C169,'Justice Spend Total'!$C:$BA,38,FALSE)),VLOOKUP($C169,'Justice Spend Total'!$C:$BA,38,FALSE),"")</f>
        <v/>
      </c>
      <c r="N169" s="16">
        <f>IF(ISNUMBER(VLOOKUP($C169,'Justice Spend Total'!$C:$BA,35,FALSE)),VLOOKUP($C169,'Justice Spend Total'!$C:$BA,35,FALSE),"")</f>
        <v>3.127132888022552</v>
      </c>
      <c r="O169" s="16">
        <f>IF(ISNUMBER(VLOOKUP($C169,'Justice Spend Total'!$C:$BA,36,FALSE)),VLOOKUP($C169,'Justice Spend Total'!$C:$BA,36,FALSE),"")</f>
        <v>1.3423605504812646</v>
      </c>
      <c r="P169" s="16" t="str">
        <f>IF(ISNUMBER(VLOOKUP($C169,'Justice Spend Total'!$C:$BA,37,FALSE)),VLOOKUP($C169,'Justice Spend Total'!$C:$BA,37,FALSE),"")</f>
        <v/>
      </c>
      <c r="Q169" s="16" t="str">
        <f t="shared" si="29"/>
        <v/>
      </c>
      <c r="R169" s="15" t="str">
        <f>IF(ISNUMBER(VLOOKUP($C169,'Justice Spend Total'!$C:$BA,39,FALSE)),VLOOKUP($C169,'Justice Spend Total'!$C:$BA,39,FALSE),"")</f>
        <v/>
      </c>
      <c r="S169" s="16" t="str">
        <f t="shared" si="27"/>
        <v/>
      </c>
      <c r="T169" s="7" t="str">
        <f t="shared" si="30"/>
        <v/>
      </c>
      <c r="U169" s="22" t="str">
        <f>VLOOKUP($C169,'Justice Spend Total'!$C:$BA,40,FALSE)</f>
        <v xml:space="preserve"> </v>
      </c>
      <c r="V169" s="15" t="str">
        <f>VLOOKUP($C169,'Justice Spend Total'!$C:$BA,41,FALSE)</f>
        <v xml:space="preserve"> </v>
      </c>
      <c r="W169" t="s">
        <v>569</v>
      </c>
    </row>
    <row r="170" spans="1:23">
      <c r="A170">
        <v>168</v>
      </c>
      <c r="B170" t="s">
        <v>211</v>
      </c>
      <c r="C170" t="s">
        <v>426</v>
      </c>
      <c r="D170" t="s">
        <v>497</v>
      </c>
      <c r="E170" t="s">
        <v>486</v>
      </c>
      <c r="F170" s="17" t="str">
        <f>VLOOKUP(B170,'Justice Spend Total'!$B$4:$AQ$221,10,FALSE)</f>
        <v xml:space="preserve"> </v>
      </c>
      <c r="G170" s="15" t="str">
        <f>VLOOKUP(C170,'Justice Spend Total'!$C$4:$AQ$221,10,FALSE)</f>
        <v xml:space="preserve"> </v>
      </c>
      <c r="H170">
        <f>VLOOKUP(C170,'Justice Spend Total'!$C$4:$AQ$221,7,FALSE)</f>
        <v>8630</v>
      </c>
      <c r="I170" s="17" t="str">
        <f t="shared" si="23"/>
        <v/>
      </c>
      <c r="J170" s="17" t="str">
        <f t="shared" si="24"/>
        <v/>
      </c>
      <c r="K170" s="17" t="str">
        <f t="shared" si="25"/>
        <v/>
      </c>
      <c r="L170" s="17" t="str">
        <f t="shared" si="26"/>
        <v/>
      </c>
      <c r="M170" s="16" t="str">
        <f>IF(ISNUMBER(VLOOKUP($C170,'Justice Spend Total'!$C:$BA,38,FALSE)),VLOOKUP($C170,'Justice Spend Total'!$C:$BA,38,FALSE),"")</f>
        <v/>
      </c>
      <c r="N170" s="16" t="str">
        <f>IF(ISNUMBER(VLOOKUP($C170,'Justice Spend Total'!$C:$BA,35,FALSE)),VLOOKUP($C170,'Justice Spend Total'!$C:$BA,35,FALSE),"")</f>
        <v/>
      </c>
      <c r="O170" s="16" t="str">
        <f>IF(ISNUMBER(VLOOKUP($C170,'Justice Spend Total'!$C:$BA,36,FALSE)),VLOOKUP($C170,'Justice Spend Total'!$C:$BA,36,FALSE),"")</f>
        <v/>
      </c>
      <c r="P170" s="16" t="str">
        <f>IF(ISNUMBER(VLOOKUP($C170,'Justice Spend Total'!$C:$BA,37,FALSE)),VLOOKUP($C170,'Justice Spend Total'!$C:$BA,37,FALSE),"")</f>
        <v/>
      </c>
      <c r="Q170" s="16" t="str">
        <f t="shared" si="29"/>
        <v/>
      </c>
      <c r="R170" s="15" t="str">
        <f>IF(ISNUMBER(VLOOKUP($C170,'Justice Spend Total'!$C:$BA,39,FALSE)),VLOOKUP($C170,'Justice Spend Total'!$C:$BA,39,FALSE),"")</f>
        <v/>
      </c>
      <c r="S170" s="16" t="str">
        <f t="shared" si="27"/>
        <v/>
      </c>
      <c r="T170" s="7" t="str">
        <f t="shared" si="30"/>
        <v/>
      </c>
      <c r="U170" s="22" t="str">
        <f>VLOOKUP($C170,'Justice Spend Total'!$C:$BA,40,FALSE)</f>
        <v xml:space="preserve"> </v>
      </c>
      <c r="V170" s="15" t="str">
        <f>VLOOKUP($C170,'Justice Spend Total'!$C:$BA,41,FALSE)</f>
        <v xml:space="preserve"> </v>
      </c>
    </row>
    <row r="171" spans="1:23">
      <c r="A171">
        <v>169</v>
      </c>
      <c r="B171" t="s">
        <v>154</v>
      </c>
      <c r="C171" t="s">
        <v>368</v>
      </c>
      <c r="D171" t="s">
        <v>487</v>
      </c>
      <c r="E171" t="s">
        <v>488</v>
      </c>
      <c r="F171" s="17">
        <f>VLOOKUP(B171,'Justice Spend Total'!$B$4:$AQ$221,10,FALSE)</f>
        <v>132.58000000000001</v>
      </c>
      <c r="G171" s="15">
        <f>VLOOKUP(C171,'Justice Spend Total'!$C$4:$AQ$221,10,FALSE)</f>
        <v>21.875613591326317</v>
      </c>
      <c r="H171">
        <f>VLOOKUP(C171,'Justice Spend Total'!$C$4:$AQ$221,7,FALSE)</f>
        <v>3300</v>
      </c>
      <c r="I171" s="17" t="str">
        <f t="shared" si="23"/>
        <v/>
      </c>
      <c r="J171" s="17" t="str">
        <f t="shared" si="24"/>
        <v/>
      </c>
      <c r="K171" s="17" t="str">
        <f t="shared" si="25"/>
        <v/>
      </c>
      <c r="L171" s="17" t="str">
        <f t="shared" si="26"/>
        <v/>
      </c>
      <c r="M171" s="16" t="str">
        <f>IF(ISNUMBER(VLOOKUP($C171,'Justice Spend Total'!$C:$BA,38,FALSE)),VLOOKUP($C171,'Justice Spend Total'!$C:$BA,38,FALSE),"")</f>
        <v/>
      </c>
      <c r="N171" s="16" t="str">
        <f>IF(ISNUMBER(VLOOKUP($C171,'Justice Spend Total'!$C:$BA,35,FALSE)),VLOOKUP($C171,'Justice Spend Total'!$C:$BA,35,FALSE),"")</f>
        <v/>
      </c>
      <c r="O171" s="16" t="str">
        <f>IF(ISNUMBER(VLOOKUP($C171,'Justice Spend Total'!$C:$BA,36,FALSE)),VLOOKUP($C171,'Justice Spend Total'!$C:$BA,36,FALSE),"")</f>
        <v/>
      </c>
      <c r="P171" s="16" t="str">
        <f>IF(ISNUMBER(VLOOKUP($C171,'Justice Spend Total'!$C:$BA,37,FALSE)),VLOOKUP($C171,'Justice Spend Total'!$C:$BA,37,FALSE),"")</f>
        <v/>
      </c>
      <c r="Q171" s="16" t="str">
        <f t="shared" si="29"/>
        <v/>
      </c>
      <c r="R171" s="15" t="str">
        <f>IF(ISNUMBER(VLOOKUP($C171,'Justice Spend Total'!$C:$BA,39,FALSE)),VLOOKUP($C171,'Justice Spend Total'!$C:$BA,39,FALSE),"")</f>
        <v/>
      </c>
      <c r="S171" s="16" t="str">
        <f t="shared" si="27"/>
        <v/>
      </c>
      <c r="T171" s="7" t="str">
        <f t="shared" si="30"/>
        <v/>
      </c>
      <c r="U171" s="22" t="str">
        <f>VLOOKUP($C171,'Justice Spend Total'!$C:$BA,40,FALSE)</f>
        <v xml:space="preserve"> </v>
      </c>
      <c r="V171" s="15" t="str">
        <f>VLOOKUP($C171,'Justice Spend Total'!$C:$BA,41,FALSE)</f>
        <v xml:space="preserve"> </v>
      </c>
      <c r="W171" t="s">
        <v>484</v>
      </c>
    </row>
    <row r="172" spans="1:23">
      <c r="A172">
        <v>170</v>
      </c>
      <c r="B172" t="s">
        <v>205</v>
      </c>
      <c r="C172" t="s">
        <v>420</v>
      </c>
      <c r="D172" t="s">
        <v>497</v>
      </c>
      <c r="E172" t="s">
        <v>486</v>
      </c>
      <c r="F172" s="17">
        <f>VLOOKUP(B172,'Justice Spend Total'!$B$4:$AQ$221,10,FALSE)</f>
        <v>0.82799999999999996</v>
      </c>
      <c r="G172" s="15">
        <f>VLOOKUP(C172,'Justice Spend Total'!$C$4:$AQ$221,10,FALSE)</f>
        <v>54.082299150881774</v>
      </c>
      <c r="H172">
        <f>VLOOKUP(C172,'Justice Spend Total'!$C$4:$AQ$221,7,FALSE)</f>
        <v>7760</v>
      </c>
      <c r="I172" s="17" t="str">
        <f t="shared" si="23"/>
        <v/>
      </c>
      <c r="J172" s="17" t="str">
        <f t="shared" si="24"/>
        <v/>
      </c>
      <c r="K172" s="17" t="str">
        <f t="shared" si="25"/>
        <v/>
      </c>
      <c r="L172" s="17" t="str">
        <f t="shared" si="26"/>
        <v/>
      </c>
      <c r="M172" s="16" t="str">
        <f>IF(ISNUMBER(VLOOKUP($C172,'Justice Spend Total'!$C:$BA,38,FALSE)),VLOOKUP($C172,'Justice Spend Total'!$C:$BA,38,FALSE),"")</f>
        <v/>
      </c>
      <c r="N172" s="16" t="str">
        <f>IF(ISNUMBER(VLOOKUP($C172,'Justice Spend Total'!$C:$BA,35,FALSE)),VLOOKUP($C172,'Justice Spend Total'!$C:$BA,35,FALSE),"")</f>
        <v/>
      </c>
      <c r="O172" s="16" t="str">
        <f>IF(ISNUMBER(VLOOKUP($C172,'Justice Spend Total'!$C:$BA,36,FALSE)),VLOOKUP($C172,'Justice Spend Total'!$C:$BA,36,FALSE),"")</f>
        <v/>
      </c>
      <c r="P172" s="16" t="str">
        <f>IF(ISNUMBER(VLOOKUP($C172,'Justice Spend Total'!$C:$BA,37,FALSE)),VLOOKUP($C172,'Justice Spend Total'!$C:$BA,37,FALSE),"")</f>
        <v/>
      </c>
      <c r="Q172" s="16" t="str">
        <f t="shared" si="29"/>
        <v/>
      </c>
      <c r="R172" s="15" t="str">
        <f>IF(ISNUMBER(VLOOKUP($C172,'Justice Spend Total'!$C:$BA,39,FALSE)),VLOOKUP($C172,'Justice Spend Total'!$C:$BA,39,FALSE),"")</f>
        <v/>
      </c>
      <c r="S172" s="16" t="str">
        <f t="shared" si="27"/>
        <v/>
      </c>
      <c r="T172" s="7" t="str">
        <f t="shared" si="30"/>
        <v/>
      </c>
      <c r="U172" s="22" t="str">
        <f>VLOOKUP($C172,'Justice Spend Total'!$C:$BA,40,FALSE)</f>
        <v xml:space="preserve"> </v>
      </c>
      <c r="V172" s="15" t="str">
        <f>VLOOKUP($C172,'Justice Spend Total'!$C:$BA,41,FALSE)</f>
        <v xml:space="preserve"> </v>
      </c>
    </row>
    <row r="173" spans="1:23">
      <c r="A173">
        <v>171</v>
      </c>
      <c r="B173" t="s">
        <v>191</v>
      </c>
      <c r="C173" t="s">
        <v>406</v>
      </c>
      <c r="D173" t="s">
        <v>497</v>
      </c>
      <c r="E173" t="s">
        <v>486</v>
      </c>
      <c r="F173" s="17">
        <f>VLOOKUP(B173,'Justice Spend Total'!$B$4:$AQ$221,10,FALSE)</f>
        <v>29.408000000000001</v>
      </c>
      <c r="G173" s="15">
        <f>VLOOKUP(C173,'Justice Spend Total'!$C$4:$AQ$221,10,FALSE)</f>
        <v>29.617991560161549</v>
      </c>
      <c r="H173">
        <f>VLOOKUP(C173,'Justice Spend Total'!$C$4:$AQ$221,7,FALSE)</f>
        <v>5930</v>
      </c>
      <c r="I173" s="17" t="str">
        <f t="shared" si="23"/>
        <v/>
      </c>
      <c r="J173" s="17" t="str">
        <f t="shared" si="24"/>
        <v/>
      </c>
      <c r="K173" s="17" t="str">
        <f t="shared" si="25"/>
        <v/>
      </c>
      <c r="L173" s="17" t="str">
        <f t="shared" si="26"/>
        <v/>
      </c>
      <c r="M173" s="16" t="str">
        <f>IF(ISNUMBER(VLOOKUP($C173,'Justice Spend Total'!$C:$BA,38,FALSE)),VLOOKUP($C173,'Justice Spend Total'!$C:$BA,38,FALSE),"")</f>
        <v/>
      </c>
      <c r="N173" s="16" t="str">
        <f>IF(ISNUMBER(VLOOKUP($C173,'Justice Spend Total'!$C:$BA,35,FALSE)),VLOOKUP($C173,'Justice Spend Total'!$C:$BA,35,FALSE),"")</f>
        <v/>
      </c>
      <c r="O173" s="16" t="str">
        <f>IF(ISNUMBER(VLOOKUP($C173,'Justice Spend Total'!$C:$BA,36,FALSE)),VLOOKUP($C173,'Justice Spend Total'!$C:$BA,36,FALSE),"")</f>
        <v/>
      </c>
      <c r="P173" s="16" t="str">
        <f>IF(ISNUMBER(VLOOKUP($C173,'Justice Spend Total'!$C:$BA,37,FALSE)),VLOOKUP($C173,'Justice Spend Total'!$C:$BA,37,FALSE),"")</f>
        <v/>
      </c>
      <c r="Q173" s="16" t="str">
        <f t="shared" si="29"/>
        <v/>
      </c>
      <c r="R173" s="15" t="str">
        <f>IF(ISNUMBER(VLOOKUP($C173,'Justice Spend Total'!$C:$BA,39,FALSE)),VLOOKUP($C173,'Justice Spend Total'!$C:$BA,39,FALSE),"")</f>
        <v/>
      </c>
      <c r="S173" s="16" t="str">
        <f t="shared" si="27"/>
        <v/>
      </c>
      <c r="T173" s="7" t="str">
        <f t="shared" si="30"/>
        <v/>
      </c>
      <c r="U173" s="22" t="str">
        <f>VLOOKUP($C173,'Justice Spend Total'!$C:$BA,40,FALSE)</f>
        <v xml:space="preserve"> </v>
      </c>
      <c r="V173" s="15" t="str">
        <f>VLOOKUP($C173,'Justice Spend Total'!$C:$BA,41,FALSE)</f>
        <v xml:space="preserve"> </v>
      </c>
    </row>
    <row r="174" spans="1:23">
      <c r="A174">
        <v>172</v>
      </c>
      <c r="B174" t="s">
        <v>190</v>
      </c>
      <c r="C174" t="s">
        <v>405</v>
      </c>
      <c r="D174" t="s">
        <v>496</v>
      </c>
      <c r="E174" t="s">
        <v>486</v>
      </c>
      <c r="F174" s="17">
        <f>VLOOKUP(B174,'Justice Spend Total'!$B$4:$AQ$221,10,FALSE)</f>
        <v>819.73299999999995</v>
      </c>
      <c r="G174" s="15">
        <f>VLOOKUP(C174,'Justice Spend Total'!$C$4:$AQ$221,10,FALSE)</f>
        <v>14.210653140190416</v>
      </c>
      <c r="H174">
        <f>VLOOKUP(C174,'Justice Spend Total'!$C$4:$AQ$221,7,FALSE)</f>
        <v>5810</v>
      </c>
      <c r="I174" s="17" t="str">
        <f t="shared" si="23"/>
        <v/>
      </c>
      <c r="J174" s="17" t="str">
        <f t="shared" si="24"/>
        <v/>
      </c>
      <c r="K174" s="17" t="str">
        <f t="shared" si="25"/>
        <v/>
      </c>
      <c r="L174" s="17" t="str">
        <f t="shared" si="26"/>
        <v/>
      </c>
      <c r="M174" s="16" t="str">
        <f>IF(ISNUMBER(VLOOKUP($C174,'Justice Spend Total'!$C:$BA,38,FALSE)),VLOOKUP($C174,'Justice Spend Total'!$C:$BA,38,FALSE),"")</f>
        <v/>
      </c>
      <c r="N174" s="16" t="str">
        <f>IF(ISNUMBER(VLOOKUP($C174,'Justice Spend Total'!$C:$BA,35,FALSE)),VLOOKUP($C174,'Justice Spend Total'!$C:$BA,35,FALSE),"")</f>
        <v/>
      </c>
      <c r="O174" s="16" t="str">
        <f>IF(ISNUMBER(VLOOKUP($C174,'Justice Spend Total'!$C:$BA,36,FALSE)),VLOOKUP($C174,'Justice Spend Total'!$C:$BA,36,FALSE),"")</f>
        <v/>
      </c>
      <c r="P174" s="16" t="str">
        <f>IF(ISNUMBER(VLOOKUP($C174,'Justice Spend Total'!$C:$BA,37,FALSE)),VLOOKUP($C174,'Justice Spend Total'!$C:$BA,37,FALSE),"")</f>
        <v/>
      </c>
      <c r="Q174" s="16" t="str">
        <f t="shared" si="29"/>
        <v/>
      </c>
      <c r="R174" s="15" t="str">
        <f>IF(ISNUMBER(VLOOKUP($C174,'Justice Spend Total'!$C:$BA,39,FALSE)),VLOOKUP($C174,'Justice Spend Total'!$C:$BA,39,FALSE),"")</f>
        <v/>
      </c>
      <c r="S174" s="16" t="str">
        <f t="shared" si="27"/>
        <v/>
      </c>
      <c r="T174" s="7" t="str">
        <f t="shared" si="30"/>
        <v/>
      </c>
      <c r="U174" s="22" t="str">
        <f>VLOOKUP($C174,'Justice Spend Total'!$C:$BA,40,FALSE)</f>
        <v xml:space="preserve"> </v>
      </c>
      <c r="V174" s="15" t="str">
        <f>VLOOKUP($C174,'Justice Spend Total'!$C:$BA,41,FALSE)</f>
        <v xml:space="preserve"> </v>
      </c>
    </row>
    <row r="175" spans="1:23" hidden="1">
      <c r="A175">
        <v>173</v>
      </c>
      <c r="B175" t="s">
        <v>250</v>
      </c>
      <c r="C175" t="s">
        <v>570</v>
      </c>
      <c r="D175" t="s">
        <v>497</v>
      </c>
      <c r="E175" t="s">
        <v>494</v>
      </c>
      <c r="F175" s="17" t="str">
        <f>VLOOKUP(B175,'Justice Spend Total'!$B$4:$AQ$221,10,FALSE)</f>
        <v xml:space="preserve"> </v>
      </c>
      <c r="G175" s="15" t="str">
        <f>VLOOKUP(C175,'Justice Spend Total'!$C$4:$AQ$221,10,FALSE)</f>
        <v xml:space="preserve"> </v>
      </c>
      <c r="H175">
        <f>VLOOKUP(C175,'Justice Spend Total'!$C$4:$AQ$221,7,FALSE)</f>
        <v>27510</v>
      </c>
      <c r="I175" s="17" t="str">
        <f t="shared" si="23"/>
        <v/>
      </c>
      <c r="J175" s="17" t="str">
        <f t="shared" si="24"/>
        <v/>
      </c>
      <c r="K175" s="17" t="str">
        <f t="shared" si="25"/>
        <v/>
      </c>
      <c r="L175" s="17" t="str">
        <f t="shared" si="26"/>
        <v/>
      </c>
      <c r="M175" s="16" t="str">
        <f>IF(ISNUMBER(VLOOKUP($C175,'Justice Spend Total'!$C:$BA,38,FALSE)),VLOOKUP($C175,'Justice Spend Total'!$C:$BA,38,FALSE),"")</f>
        <v/>
      </c>
      <c r="N175" s="16" t="str">
        <f>IF(ISNUMBER(VLOOKUP($C175,'Justice Spend Total'!$C:$BA,35,FALSE)),VLOOKUP($C175,'Justice Spend Total'!$C:$BA,35,FALSE),"")</f>
        <v/>
      </c>
      <c r="O175" s="16" t="str">
        <f>IF(ISNUMBER(VLOOKUP($C175,'Justice Spend Total'!$C:$BA,36,FALSE)),VLOOKUP($C175,'Justice Spend Total'!$C:$BA,36,FALSE),"")</f>
        <v/>
      </c>
      <c r="P175" s="16" t="str">
        <f>IF(ISNUMBER(VLOOKUP($C175,'Justice Spend Total'!$C:$BA,37,FALSE)),VLOOKUP($C175,'Justice Spend Total'!$C:$BA,37,FALSE),"")</f>
        <v/>
      </c>
      <c r="Q175" s="16" t="str">
        <f t="shared" si="29"/>
        <v/>
      </c>
      <c r="R175" s="15" t="str">
        <f>IF(ISNUMBER(VLOOKUP($C175,'Justice Spend Total'!$C:$BA,39,FALSE)),VLOOKUP($C175,'Justice Spend Total'!$C:$BA,39,FALSE),"")</f>
        <v/>
      </c>
      <c r="S175" s="16" t="str">
        <f t="shared" si="27"/>
        <v/>
      </c>
      <c r="T175" s="7" t="str">
        <f t="shared" si="30"/>
        <v/>
      </c>
      <c r="U175" s="22" t="str">
        <f>VLOOKUP($C175,'Justice Spend Total'!$C:$BA,40,FALSE)</f>
        <v xml:space="preserve"> </v>
      </c>
      <c r="V175" s="15" t="str">
        <f>VLOOKUP($C175,'Justice Spend Total'!$C:$BA,41,FALSE)</f>
        <v xml:space="preserve"> </v>
      </c>
    </row>
    <row r="176" spans="1:23">
      <c r="A176">
        <v>174</v>
      </c>
      <c r="B176" t="s">
        <v>102</v>
      </c>
      <c r="C176" t="s">
        <v>315</v>
      </c>
      <c r="D176" t="s">
        <v>496</v>
      </c>
      <c r="E176" t="s">
        <v>299</v>
      </c>
      <c r="F176" s="17">
        <f>VLOOKUP(B176,'Justice Spend Total'!$B$4:$AQ$221,10,FALSE)</f>
        <v>9.5489999999999995</v>
      </c>
      <c r="G176" s="15">
        <f>VLOOKUP(C176,'Justice Spend Total'!$C$4:$AQ$221,10,FALSE)</f>
        <v>31.5826029436084</v>
      </c>
      <c r="H176">
        <f>VLOOKUP(C176,'Justice Spend Total'!$C$4:$AQ$221,7,FALSE)</f>
        <v>600</v>
      </c>
      <c r="I176" s="17" t="str">
        <f t="shared" si="23"/>
        <v/>
      </c>
      <c r="J176" s="17" t="str">
        <f t="shared" si="24"/>
        <v/>
      </c>
      <c r="K176" s="17" t="str">
        <f t="shared" si="25"/>
        <v/>
      </c>
      <c r="L176" s="17" t="str">
        <f t="shared" si="26"/>
        <v/>
      </c>
      <c r="M176" s="16" t="str">
        <f>IF(ISNUMBER(VLOOKUP($C176,'Justice Spend Total'!$C:$BA,38,FALSE)),VLOOKUP($C176,'Justice Spend Total'!$C:$BA,38,FALSE),"")</f>
        <v/>
      </c>
      <c r="N176" s="16" t="str">
        <f>IF(ISNUMBER(VLOOKUP($C176,'Justice Spend Total'!$C:$BA,35,FALSE)),VLOOKUP($C176,'Justice Spend Total'!$C:$BA,35,FALSE),"")</f>
        <v/>
      </c>
      <c r="O176" s="16" t="str">
        <f>IF(ISNUMBER(VLOOKUP($C176,'Justice Spend Total'!$C:$BA,36,FALSE)),VLOOKUP($C176,'Justice Spend Total'!$C:$BA,36,FALSE),"")</f>
        <v/>
      </c>
      <c r="P176" s="16" t="str">
        <f>IF(ISNUMBER(VLOOKUP($C176,'Justice Spend Total'!$C:$BA,37,FALSE)),VLOOKUP($C176,'Justice Spend Total'!$C:$BA,37,FALSE),"")</f>
        <v/>
      </c>
      <c r="Q176" s="16" t="str">
        <f t="shared" si="29"/>
        <v/>
      </c>
      <c r="R176" s="15" t="str">
        <f>IF(ISNUMBER(VLOOKUP($C176,'Justice Spend Total'!$C:$BA,39,FALSE)),VLOOKUP($C176,'Justice Spend Total'!$C:$BA,39,FALSE),"")</f>
        <v/>
      </c>
      <c r="S176" s="16" t="str">
        <f t="shared" si="27"/>
        <v/>
      </c>
      <c r="T176" s="7" t="str">
        <f t="shared" si="30"/>
        <v/>
      </c>
      <c r="U176" s="22" t="str">
        <f>VLOOKUP($C176,'Justice Spend Total'!$C:$BA,40,FALSE)</f>
        <v xml:space="preserve"> </v>
      </c>
      <c r="V176" s="15" t="str">
        <f>VLOOKUP($C176,'Justice Spend Total'!$C:$BA,41,FALSE)</f>
        <v xml:space="preserve"> </v>
      </c>
      <c r="W176" t="s">
        <v>484</v>
      </c>
    </row>
    <row r="177" spans="1:23">
      <c r="A177">
        <v>175</v>
      </c>
      <c r="B177" t="s">
        <v>181</v>
      </c>
      <c r="C177" t="s">
        <v>396</v>
      </c>
      <c r="D177" t="s">
        <v>493</v>
      </c>
      <c r="E177" t="s">
        <v>486</v>
      </c>
      <c r="F177" s="17">
        <f>VLOOKUP(B177,'Justice Spend Total'!$B$4:$AQ$221,10,FALSE)</f>
        <v>1.905</v>
      </c>
      <c r="G177" s="15">
        <f>VLOOKUP(C177,'Justice Spend Total'!$C$4:$AQ$221,10,FALSE)</f>
        <v>19.761410788381742</v>
      </c>
      <c r="H177">
        <f>VLOOKUP(C177,'Justice Spend Total'!$C$4:$AQ$221,7,FALSE)</f>
        <v>4860</v>
      </c>
      <c r="I177" s="17" t="str">
        <f t="shared" si="23"/>
        <v/>
      </c>
      <c r="J177" s="17" t="str">
        <f t="shared" si="24"/>
        <v/>
      </c>
      <c r="K177" s="17" t="str">
        <f t="shared" si="25"/>
        <v/>
      </c>
      <c r="L177" s="17" t="str">
        <f t="shared" si="26"/>
        <v/>
      </c>
      <c r="M177" s="16" t="str">
        <f>IF(ISNUMBER(VLOOKUP($C177,'Justice Spend Total'!$C:$BA,38,FALSE)),VLOOKUP($C177,'Justice Spend Total'!$C:$BA,38,FALSE),"")</f>
        <v/>
      </c>
      <c r="N177" s="16" t="str">
        <f>IF(ISNUMBER(VLOOKUP($C177,'Justice Spend Total'!$C:$BA,35,FALSE)),VLOOKUP($C177,'Justice Spend Total'!$C:$BA,35,FALSE),"")</f>
        <v/>
      </c>
      <c r="O177" s="16" t="str">
        <f>IF(ISNUMBER(VLOOKUP($C177,'Justice Spend Total'!$C:$BA,36,FALSE)),VLOOKUP($C177,'Justice Spend Total'!$C:$BA,36,FALSE),"")</f>
        <v/>
      </c>
      <c r="P177" s="16" t="str">
        <f>IF(ISNUMBER(VLOOKUP($C177,'Justice Spend Total'!$C:$BA,37,FALSE)),VLOOKUP($C177,'Justice Spend Total'!$C:$BA,37,FALSE),"")</f>
        <v/>
      </c>
      <c r="Q177" s="16" t="str">
        <f t="shared" si="29"/>
        <v/>
      </c>
      <c r="R177" s="15" t="str">
        <f>IF(ISNUMBER(VLOOKUP($C177,'Justice Spend Total'!$C:$BA,39,FALSE)),VLOOKUP($C177,'Justice Spend Total'!$C:$BA,39,FALSE),"")</f>
        <v/>
      </c>
      <c r="S177" s="16" t="str">
        <f t="shared" si="27"/>
        <v/>
      </c>
      <c r="T177" s="7" t="str">
        <f t="shared" si="30"/>
        <v/>
      </c>
      <c r="U177" s="22" t="str">
        <f>VLOOKUP($C177,'Justice Spend Total'!$C:$BA,40,FALSE)</f>
        <v xml:space="preserve"> </v>
      </c>
      <c r="V177" s="15" t="str">
        <f>VLOOKUP($C177,'Justice Spend Total'!$C:$BA,41,FALSE)</f>
        <v xml:space="preserve"> </v>
      </c>
    </row>
    <row r="178" spans="1:23">
      <c r="A178">
        <v>176</v>
      </c>
      <c r="B178" t="s">
        <v>201</v>
      </c>
      <c r="C178" t="s">
        <v>416</v>
      </c>
      <c r="D178" t="s">
        <v>496</v>
      </c>
      <c r="E178" t="s">
        <v>486</v>
      </c>
      <c r="F178" s="17">
        <f>VLOOKUP(B178,'Justice Spend Total'!$B$4:$AQ$221,10,FALSE)</f>
        <v>1552.95</v>
      </c>
      <c r="G178" s="15">
        <f>VLOOKUP(C178,'Justice Spend Total'!$C$4:$AQ$221,10,FALSE)</f>
        <v>17.614851851263708</v>
      </c>
      <c r="H178">
        <f>VLOOKUP(C178,'Justice Spend Total'!$C$4:$AQ$221,7,FALSE)</f>
        <v>7100</v>
      </c>
      <c r="I178" s="17" t="str">
        <f t="shared" si="23"/>
        <v/>
      </c>
      <c r="J178" s="17" t="str">
        <f t="shared" si="24"/>
        <v/>
      </c>
      <c r="K178" s="17" t="str">
        <f t="shared" si="25"/>
        <v/>
      </c>
      <c r="L178" s="17" t="str">
        <f t="shared" si="26"/>
        <v/>
      </c>
      <c r="M178" s="16" t="str">
        <f>IF(ISNUMBER(VLOOKUP($C178,'Justice Spend Total'!$C:$BA,38,FALSE)),VLOOKUP($C178,'Justice Spend Total'!$C:$BA,38,FALSE),"")</f>
        <v/>
      </c>
      <c r="N178" s="16" t="str">
        <f>IF(ISNUMBER(VLOOKUP($C178,'Justice Spend Total'!$C:$BA,35,FALSE)),VLOOKUP($C178,'Justice Spend Total'!$C:$BA,35,FALSE),"")</f>
        <v/>
      </c>
      <c r="O178" s="16" t="str">
        <f>IF(ISNUMBER(VLOOKUP($C178,'Justice Spend Total'!$C:$BA,36,FALSE)),VLOOKUP($C178,'Justice Spend Total'!$C:$BA,36,FALSE),"")</f>
        <v/>
      </c>
      <c r="P178" s="16" t="str">
        <f>IF(ISNUMBER(VLOOKUP($C178,'Justice Spend Total'!$C:$BA,37,FALSE)),VLOOKUP($C178,'Justice Spend Total'!$C:$BA,37,FALSE),"")</f>
        <v/>
      </c>
      <c r="Q178" s="16" t="str">
        <f t="shared" si="29"/>
        <v/>
      </c>
      <c r="R178" s="15" t="str">
        <f>IF(ISNUMBER(VLOOKUP($C178,'Justice Spend Total'!$C:$BA,39,FALSE)),VLOOKUP($C178,'Justice Spend Total'!$C:$BA,39,FALSE),"")</f>
        <v/>
      </c>
      <c r="S178" s="16" t="str">
        <f t="shared" si="27"/>
        <v/>
      </c>
      <c r="T178" s="7" t="str">
        <f t="shared" si="30"/>
        <v/>
      </c>
      <c r="U178" s="22" t="str">
        <f>VLOOKUP($C178,'Justice Spend Total'!$C:$BA,40,FALSE)</f>
        <v xml:space="preserve"> </v>
      </c>
      <c r="V178" s="15" t="str">
        <f>VLOOKUP($C178,'Justice Spend Total'!$C:$BA,41,FALSE)</f>
        <v xml:space="preserve"> </v>
      </c>
    </row>
    <row r="179" spans="1:23">
      <c r="A179">
        <v>177</v>
      </c>
      <c r="B179" t="s">
        <v>216</v>
      </c>
      <c r="C179" t="s">
        <v>431</v>
      </c>
      <c r="D179" t="s">
        <v>497</v>
      </c>
      <c r="E179" t="s">
        <v>486</v>
      </c>
      <c r="F179" s="17">
        <f>VLOOKUP(B179,'Justice Spend Total'!$B$4:$AQ$221,10,FALSE)</f>
        <v>0.79300000000000004</v>
      </c>
      <c r="G179" s="15">
        <f>VLOOKUP(C179,'Justice Spend Total'!$C$4:$AQ$221,10,FALSE)</f>
        <v>28.150514731984384</v>
      </c>
      <c r="H179">
        <f>VLOOKUP(C179,'Justice Spend Total'!$C$4:$AQ$221,7,FALSE)</f>
        <v>9630</v>
      </c>
      <c r="I179" s="17" t="str">
        <f t="shared" si="23"/>
        <v/>
      </c>
      <c r="J179" s="17" t="str">
        <f t="shared" si="24"/>
        <v/>
      </c>
      <c r="K179" s="17" t="str">
        <f t="shared" si="25"/>
        <v/>
      </c>
      <c r="L179" s="17" t="str">
        <f t="shared" si="26"/>
        <v/>
      </c>
      <c r="M179" s="16" t="str">
        <f>IF(ISNUMBER(VLOOKUP($C179,'Justice Spend Total'!$C:$BA,38,FALSE)),VLOOKUP($C179,'Justice Spend Total'!$C:$BA,38,FALSE),"")</f>
        <v/>
      </c>
      <c r="N179" s="16" t="str">
        <f>IF(ISNUMBER(VLOOKUP($C179,'Justice Spend Total'!$C:$BA,35,FALSE)),VLOOKUP($C179,'Justice Spend Total'!$C:$BA,35,FALSE),"")</f>
        <v/>
      </c>
      <c r="O179" s="16" t="str">
        <f>IF(ISNUMBER(VLOOKUP($C179,'Justice Spend Total'!$C:$BA,36,FALSE)),VLOOKUP($C179,'Justice Spend Total'!$C:$BA,36,FALSE),"")</f>
        <v/>
      </c>
      <c r="P179" s="16" t="str">
        <f>IF(ISNUMBER(VLOOKUP($C179,'Justice Spend Total'!$C:$BA,37,FALSE)),VLOOKUP($C179,'Justice Spend Total'!$C:$BA,37,FALSE),"")</f>
        <v/>
      </c>
      <c r="Q179" s="16" t="str">
        <f t="shared" si="29"/>
        <v/>
      </c>
      <c r="R179" s="15" t="str">
        <f>IF(ISNUMBER(VLOOKUP($C179,'Justice Spend Total'!$C:$BA,39,FALSE)),VLOOKUP($C179,'Justice Spend Total'!$C:$BA,39,FALSE),"")</f>
        <v/>
      </c>
      <c r="S179" s="16" t="str">
        <f t="shared" si="27"/>
        <v/>
      </c>
      <c r="T179" s="7" t="str">
        <f t="shared" si="30"/>
        <v/>
      </c>
      <c r="U179" s="22" t="str">
        <f>VLOOKUP($C179,'Justice Spend Total'!$C:$BA,40,FALSE)</f>
        <v xml:space="preserve"> </v>
      </c>
      <c r="V179" s="15" t="str">
        <f>VLOOKUP($C179,'Justice Spend Total'!$C:$BA,41,FALSE)</f>
        <v xml:space="preserve"> </v>
      </c>
    </row>
    <row r="180" spans="1:23">
      <c r="A180">
        <v>178</v>
      </c>
      <c r="B180" t="s">
        <v>108</v>
      </c>
      <c r="C180" t="s">
        <v>321</v>
      </c>
      <c r="D180" t="s">
        <v>496</v>
      </c>
      <c r="E180" t="s">
        <v>299</v>
      </c>
      <c r="F180" s="17">
        <f>VLOOKUP(B180,'Justice Spend Total'!$B$4:$AQ$221,10,FALSE)</f>
        <v>134.74799999999999</v>
      </c>
      <c r="G180" s="15">
        <f>VLOOKUP(C180,'Justice Spend Total'!$C$4:$AQ$221,10,FALSE)</f>
        <v>15.898249691764052</v>
      </c>
      <c r="H180">
        <f>VLOOKUP(C180,'Justice Spend Total'!$C$4:$AQ$221,7,FALSE)</f>
        <v>780</v>
      </c>
      <c r="I180" s="17" t="str">
        <f t="shared" si="23"/>
        <v/>
      </c>
      <c r="J180" s="17" t="str">
        <f t="shared" si="24"/>
        <v/>
      </c>
      <c r="K180" s="17" t="str">
        <f t="shared" si="25"/>
        <v/>
      </c>
      <c r="L180" s="17" t="str">
        <f t="shared" si="26"/>
        <v/>
      </c>
      <c r="M180" s="16" t="str">
        <f>IF(ISNUMBER(VLOOKUP($C180,'Justice Spend Total'!$C:$BA,38,FALSE)),VLOOKUP($C180,'Justice Spend Total'!$C:$BA,38,FALSE),"")</f>
        <v/>
      </c>
      <c r="N180" s="16" t="str">
        <f>IF(ISNUMBER(VLOOKUP($C180,'Justice Spend Total'!$C:$BA,35,FALSE)),VLOOKUP($C180,'Justice Spend Total'!$C:$BA,35,FALSE),"")</f>
        <v/>
      </c>
      <c r="O180" s="16" t="str">
        <f>IF(ISNUMBER(VLOOKUP($C180,'Justice Spend Total'!$C:$BA,36,FALSE)),VLOOKUP($C180,'Justice Spend Total'!$C:$BA,36,FALSE),"")</f>
        <v/>
      </c>
      <c r="P180" s="16" t="str">
        <f>IF(ISNUMBER(VLOOKUP($C180,'Justice Spend Total'!$C:$BA,37,FALSE)),VLOOKUP($C180,'Justice Spend Total'!$C:$BA,37,FALSE),"")</f>
        <v/>
      </c>
      <c r="Q180" s="16" t="str">
        <f t="shared" si="29"/>
        <v/>
      </c>
      <c r="R180" s="15" t="str">
        <f>IF(ISNUMBER(VLOOKUP($C180,'Justice Spend Total'!$C:$BA,39,FALSE)),VLOOKUP($C180,'Justice Spend Total'!$C:$BA,39,FALSE),"")</f>
        <v/>
      </c>
      <c r="S180" s="16" t="str">
        <f t="shared" si="27"/>
        <v/>
      </c>
      <c r="T180" s="7" t="str">
        <f t="shared" si="30"/>
        <v/>
      </c>
      <c r="U180" s="22" t="str">
        <f>VLOOKUP($C180,'Justice Spend Total'!$C:$BA,40,FALSE)</f>
        <v xml:space="preserve"> </v>
      </c>
      <c r="V180" s="15" t="str">
        <f>VLOOKUP($C180,'Justice Spend Total'!$C:$BA,41,FALSE)</f>
        <v xml:space="preserve"> </v>
      </c>
      <c r="W180" t="s">
        <v>484</v>
      </c>
    </row>
    <row r="181" spans="1:23">
      <c r="A181">
        <v>179</v>
      </c>
      <c r="B181" t="s">
        <v>214</v>
      </c>
      <c r="C181" t="s">
        <v>429</v>
      </c>
      <c r="D181" t="s">
        <v>497</v>
      </c>
      <c r="E181" t="s">
        <v>486</v>
      </c>
      <c r="F181" s="17">
        <f>VLOOKUP(B181,'Justice Spend Total'!$B$4:$AQ$221,10,FALSE)</f>
        <v>298.25099999999998</v>
      </c>
      <c r="G181" s="15">
        <f>VLOOKUP(C181,'Justice Spend Total'!$C$4:$AQ$221,10,FALSE)</f>
        <v>18.793265322839805</v>
      </c>
      <c r="H181">
        <f>VLOOKUP(C181,'Justice Spend Total'!$C$4:$AQ$221,7,FALSE)</f>
        <v>9380</v>
      </c>
      <c r="I181" s="17" t="str">
        <f t="shared" si="23"/>
        <v/>
      </c>
      <c r="J181" s="17" t="str">
        <f t="shared" si="24"/>
        <v/>
      </c>
      <c r="K181" s="17" t="str">
        <f t="shared" si="25"/>
        <v/>
      </c>
      <c r="L181" s="17" t="str">
        <f t="shared" si="26"/>
        <v/>
      </c>
      <c r="M181" s="16" t="str">
        <f>IF(ISNUMBER(VLOOKUP($C181,'Justice Spend Total'!$C:$BA,38,FALSE)),VLOOKUP($C181,'Justice Spend Total'!$C:$BA,38,FALSE),"")</f>
        <v/>
      </c>
      <c r="N181" s="16" t="str">
        <f>IF(ISNUMBER(VLOOKUP($C181,'Justice Spend Total'!$C:$BA,35,FALSE)),VLOOKUP($C181,'Justice Spend Total'!$C:$BA,35,FALSE),"")</f>
        <v/>
      </c>
      <c r="O181" s="16" t="str">
        <f>IF(ISNUMBER(VLOOKUP($C181,'Justice Spend Total'!$C:$BA,36,FALSE)),VLOOKUP($C181,'Justice Spend Total'!$C:$BA,36,FALSE),"")</f>
        <v/>
      </c>
      <c r="P181" s="16" t="str">
        <f>IF(ISNUMBER(VLOOKUP($C181,'Justice Spend Total'!$C:$BA,37,FALSE)),VLOOKUP($C181,'Justice Spend Total'!$C:$BA,37,FALSE),"")</f>
        <v/>
      </c>
      <c r="Q181" s="16" t="str">
        <f t="shared" si="29"/>
        <v/>
      </c>
      <c r="R181" s="15" t="str">
        <f>IF(ISNUMBER(VLOOKUP($C181,'Justice Spend Total'!$C:$BA,39,FALSE)),VLOOKUP($C181,'Justice Spend Total'!$C:$BA,39,FALSE),"")</f>
        <v/>
      </c>
      <c r="S181" s="16" t="str">
        <f t="shared" si="27"/>
        <v/>
      </c>
      <c r="T181" s="7" t="str">
        <f t="shared" si="30"/>
        <v/>
      </c>
      <c r="U181" s="22" t="str">
        <f>VLOOKUP($C181,'Justice Spend Total'!$C:$BA,40,FALSE)</f>
        <v xml:space="preserve"> </v>
      </c>
      <c r="V181" s="15" t="str">
        <f>VLOOKUP($C181,'Justice Spend Total'!$C:$BA,41,FALSE)</f>
        <v xml:space="preserve"> </v>
      </c>
    </row>
    <row r="182" spans="1:23">
      <c r="A182">
        <v>180</v>
      </c>
      <c r="B182" t="s">
        <v>158</v>
      </c>
      <c r="C182" t="s">
        <v>372</v>
      </c>
      <c r="D182" t="s">
        <v>487</v>
      </c>
      <c r="E182" t="s">
        <v>488</v>
      </c>
      <c r="F182" s="17">
        <f>VLOOKUP(B182,'Justice Spend Total'!$B$4:$AQ$221,10,FALSE)</f>
        <v>2550000</v>
      </c>
      <c r="G182" s="15">
        <f>VLOOKUP(C182,'Justice Spend Total'!$C$4:$AQ$221,10,FALSE)</f>
        <v>9.2581704325267289</v>
      </c>
      <c r="H182">
        <f>VLOOKUP(C182,'Justice Spend Total'!$C$4:$AQ$221,7,FALSE)</f>
        <v>3370</v>
      </c>
      <c r="I182" s="17" t="str">
        <f t="shared" si="23"/>
        <v/>
      </c>
      <c r="J182" s="17" t="str">
        <f t="shared" si="24"/>
        <v/>
      </c>
      <c r="K182" s="17" t="str">
        <f t="shared" si="25"/>
        <v/>
      </c>
      <c r="L182" s="17" t="str">
        <f t="shared" si="26"/>
        <v/>
      </c>
      <c r="M182" s="16" t="str">
        <f>IF(ISNUMBER(VLOOKUP($C182,'Justice Spend Total'!$C:$BA,38,FALSE)),VLOOKUP($C182,'Justice Spend Total'!$C:$BA,38,FALSE),"")</f>
        <v/>
      </c>
      <c r="N182" s="16" t="str">
        <f>IF(ISNUMBER(VLOOKUP($C182,'Justice Spend Total'!$C:$BA,35,FALSE)),VLOOKUP($C182,'Justice Spend Total'!$C:$BA,35,FALSE),"")</f>
        <v/>
      </c>
      <c r="O182" s="16" t="str">
        <f>IF(ISNUMBER(VLOOKUP($C182,'Justice Spend Total'!$C:$BA,36,FALSE)),VLOOKUP($C182,'Justice Spend Total'!$C:$BA,36,FALSE),"")</f>
        <v/>
      </c>
      <c r="P182" s="16" t="str">
        <f>IF(ISNUMBER(VLOOKUP($C182,'Justice Spend Total'!$C:$BA,37,FALSE)),VLOOKUP($C182,'Justice Spend Total'!$C:$BA,37,FALSE),"")</f>
        <v/>
      </c>
      <c r="Q182" s="16" t="str">
        <f t="shared" si="29"/>
        <v/>
      </c>
      <c r="R182" s="15" t="str">
        <f>IF(ISNUMBER(VLOOKUP($C182,'Justice Spend Total'!$C:$BA,39,FALSE)),VLOOKUP($C182,'Justice Spend Total'!$C:$BA,39,FALSE),"")</f>
        <v/>
      </c>
      <c r="S182" s="16" t="str">
        <f t="shared" si="27"/>
        <v/>
      </c>
      <c r="T182" s="7" t="str">
        <f t="shared" si="30"/>
        <v/>
      </c>
      <c r="U182" s="22" t="str">
        <f>VLOOKUP($C182,'Justice Spend Total'!$C:$BA,40,FALSE)</f>
        <v xml:space="preserve"> </v>
      </c>
      <c r="V182" s="15" t="str">
        <f>VLOOKUP($C182,'Justice Spend Total'!$C:$BA,41,FALSE)</f>
        <v xml:space="preserve"> </v>
      </c>
      <c r="W182" t="s">
        <v>484</v>
      </c>
    </row>
    <row r="183" spans="1:23">
      <c r="A183">
        <v>181</v>
      </c>
      <c r="B183" t="s">
        <v>185</v>
      </c>
      <c r="C183" t="s">
        <v>400</v>
      </c>
      <c r="D183" t="s">
        <v>487</v>
      </c>
      <c r="E183" t="s">
        <v>486</v>
      </c>
      <c r="F183" s="17">
        <f>VLOOKUP(B183,'Justice Spend Total'!$B$4:$AQ$221,10,FALSE)</f>
        <v>63166.239999999998</v>
      </c>
      <c r="G183" s="15">
        <f>VLOOKUP(C183,'Justice Spend Total'!$C$4:$AQ$221,10,FALSE)</f>
        <v>31.297055523399468</v>
      </c>
      <c r="H183">
        <f>VLOOKUP(C183,'Justice Spend Total'!$C$4:$AQ$221,7,FALSE)</f>
        <v>5040</v>
      </c>
      <c r="I183" s="17" t="str">
        <f t="shared" si="23"/>
        <v/>
      </c>
      <c r="J183" s="17" t="str">
        <f t="shared" si="24"/>
        <v/>
      </c>
      <c r="K183" s="17" t="str">
        <f t="shared" si="25"/>
        <v/>
      </c>
      <c r="L183" s="17" t="str">
        <f t="shared" si="26"/>
        <v/>
      </c>
      <c r="M183" s="16" t="str">
        <f>IF(ISNUMBER(VLOOKUP($C183,'Justice Spend Total'!$C:$BA,38,FALSE)),VLOOKUP($C183,'Justice Spend Total'!$C:$BA,38,FALSE),"")</f>
        <v/>
      </c>
      <c r="N183" s="16" t="str">
        <f>IF(ISNUMBER(VLOOKUP($C183,'Justice Spend Total'!$C:$BA,35,FALSE)),VLOOKUP($C183,'Justice Spend Total'!$C:$BA,35,FALSE),"")</f>
        <v/>
      </c>
      <c r="O183" s="16" t="str">
        <f>IF(ISNUMBER(VLOOKUP($C183,'Justice Spend Total'!$C:$BA,36,FALSE)),VLOOKUP($C183,'Justice Spend Total'!$C:$BA,36,FALSE),"")</f>
        <v/>
      </c>
      <c r="P183" s="16" t="str">
        <f>IF(ISNUMBER(VLOOKUP($C183,'Justice Spend Total'!$C:$BA,37,FALSE)),VLOOKUP($C183,'Justice Spend Total'!$C:$BA,37,FALSE),"")</f>
        <v/>
      </c>
      <c r="Q183" s="16" t="str">
        <f t="shared" si="29"/>
        <v/>
      </c>
      <c r="R183" s="15" t="str">
        <f>IF(ISNUMBER(VLOOKUP($C183,'Justice Spend Total'!$C:$BA,39,FALSE)),VLOOKUP($C183,'Justice Spend Total'!$C:$BA,39,FALSE),"")</f>
        <v/>
      </c>
      <c r="S183" s="16" t="str">
        <f t="shared" si="27"/>
        <v/>
      </c>
      <c r="T183" s="7" t="str">
        <f t="shared" si="30"/>
        <v/>
      </c>
      <c r="U183" s="22" t="str">
        <f>VLOOKUP($C183,'Justice Spend Total'!$C:$BA,40,FALSE)</f>
        <v xml:space="preserve"> </v>
      </c>
      <c r="V183" s="15" t="str">
        <f>VLOOKUP($C183,'Justice Spend Total'!$C:$BA,41,FALSE)</f>
        <v xml:space="preserve"> </v>
      </c>
    </row>
    <row r="184" spans="1:23">
      <c r="A184">
        <v>182</v>
      </c>
      <c r="B184" t="s">
        <v>180</v>
      </c>
      <c r="C184" t="s">
        <v>395</v>
      </c>
      <c r="D184" t="s">
        <v>497</v>
      </c>
      <c r="E184" t="s">
        <v>486</v>
      </c>
      <c r="F184" s="17">
        <f>VLOOKUP(B184,'Justice Spend Total'!$B$4:$AQ$221,10,FALSE)</f>
        <v>706.197</v>
      </c>
      <c r="G184" s="15">
        <f>VLOOKUP(C184,'Justice Spend Total'!$C$4:$AQ$221,10,FALSE)</f>
        <v>31.330139082983958</v>
      </c>
      <c r="H184">
        <f>VLOOKUP(C184,'Justice Spend Total'!$C$4:$AQ$221,7,FALSE)</f>
        <v>4800</v>
      </c>
      <c r="I184" s="17" t="str">
        <f t="shared" si="23"/>
        <v/>
      </c>
      <c r="J184" s="17" t="str">
        <f t="shared" si="24"/>
        <v/>
      </c>
      <c r="K184" s="17" t="str">
        <f t="shared" si="25"/>
        <v/>
      </c>
      <c r="L184" s="17" t="str">
        <f t="shared" si="26"/>
        <v/>
      </c>
      <c r="M184" s="16" t="str">
        <f>IF(ISNUMBER(VLOOKUP($C184,'Justice Spend Total'!$C:$BA,38,FALSE)),VLOOKUP($C184,'Justice Spend Total'!$C:$BA,38,FALSE),"")</f>
        <v/>
      </c>
      <c r="N184" s="16" t="str">
        <f>IF(ISNUMBER(VLOOKUP($C184,'Justice Spend Total'!$C:$BA,35,FALSE)),VLOOKUP($C184,'Justice Spend Total'!$C:$BA,35,FALSE),"")</f>
        <v/>
      </c>
      <c r="O184" s="16" t="str">
        <f>IF(ISNUMBER(VLOOKUP($C184,'Justice Spend Total'!$C:$BA,36,FALSE)),VLOOKUP($C184,'Justice Spend Total'!$C:$BA,36,FALSE),"")</f>
        <v/>
      </c>
      <c r="P184" s="16" t="str">
        <f>IF(ISNUMBER(VLOOKUP($C184,'Justice Spend Total'!$C:$BA,37,FALSE)),VLOOKUP($C184,'Justice Spend Total'!$C:$BA,37,FALSE),"")</f>
        <v/>
      </c>
      <c r="Q184" s="16" t="str">
        <f t="shared" si="29"/>
        <v/>
      </c>
      <c r="R184" s="15" t="str">
        <f>IF(ISNUMBER(VLOOKUP($C184,'Justice Spend Total'!$C:$BA,39,FALSE)),VLOOKUP($C184,'Justice Spend Total'!$C:$BA,39,FALSE),"")</f>
        <v/>
      </c>
      <c r="S184" s="16" t="str">
        <f t="shared" si="27"/>
        <v/>
      </c>
      <c r="T184" s="7" t="str">
        <f t="shared" si="30"/>
        <v/>
      </c>
      <c r="U184" s="22" t="str">
        <f>VLOOKUP($C184,'Justice Spend Total'!$C:$BA,40,FALSE)</f>
        <v xml:space="preserve"> </v>
      </c>
      <c r="V184" s="15" t="str">
        <f>VLOOKUP($C184,'Justice Spend Total'!$C:$BA,41,FALSE)</f>
        <v xml:space="preserve"> </v>
      </c>
    </row>
    <row r="185" spans="1:23">
      <c r="A185">
        <v>183</v>
      </c>
      <c r="B185" t="s">
        <v>254</v>
      </c>
      <c r="C185" t="s">
        <v>571</v>
      </c>
      <c r="D185" t="s">
        <v>487</v>
      </c>
      <c r="E185" t="s">
        <v>494</v>
      </c>
      <c r="F185" s="17">
        <f>VLOOKUP(B185,'Justice Spend Total'!$B$4:$AQ$221,10,FALSE)</f>
        <v>17.123000000000001</v>
      </c>
      <c r="G185" s="15">
        <f>VLOOKUP(C185,'Justice Spend Total'!$C$4:$AQ$221,10,FALSE)</f>
        <v>52.775466173524435</v>
      </c>
      <c r="H185">
        <f>VLOOKUP(C185,'Justice Spend Total'!$C$4:$AQ$221,7,FALSE)</f>
        <v>36200</v>
      </c>
      <c r="I185" s="17" t="str">
        <f t="shared" si="23"/>
        <v/>
      </c>
      <c r="J185" s="17" t="str">
        <f t="shared" si="24"/>
        <v/>
      </c>
      <c r="K185" s="17" t="str">
        <f t="shared" si="25"/>
        <v/>
      </c>
      <c r="L185" s="17" t="str">
        <f t="shared" si="26"/>
        <v/>
      </c>
      <c r="M185" s="16" t="str">
        <f>IF(ISNUMBER(VLOOKUP($C185,'Justice Spend Total'!$C:$BA,38,FALSE)),VLOOKUP($C185,'Justice Spend Total'!$C:$BA,38,FALSE),"")</f>
        <v/>
      </c>
      <c r="N185" s="16" t="str">
        <f>IF(ISNUMBER(VLOOKUP($C185,'Justice Spend Total'!$C:$BA,35,FALSE)),VLOOKUP($C185,'Justice Spend Total'!$C:$BA,35,FALSE),"")</f>
        <v/>
      </c>
      <c r="O185" s="16" t="str">
        <f>IF(ISNUMBER(VLOOKUP($C185,'Justice Spend Total'!$C:$BA,36,FALSE)),VLOOKUP($C185,'Justice Spend Total'!$C:$BA,36,FALSE),"")</f>
        <v/>
      </c>
      <c r="P185" s="16" t="str">
        <f>IF(ISNUMBER(VLOOKUP($C185,'Justice Spend Total'!$C:$BA,37,FALSE)),VLOOKUP($C185,'Justice Spend Total'!$C:$BA,37,FALSE),"")</f>
        <v/>
      </c>
      <c r="Q185" s="16" t="str">
        <f t="shared" si="29"/>
        <v/>
      </c>
      <c r="R185" s="15" t="str">
        <f>IF(ISNUMBER(VLOOKUP($C185,'Justice Spend Total'!$C:$BA,39,FALSE)),VLOOKUP($C185,'Justice Spend Total'!$C:$BA,39,FALSE),"")</f>
        <v/>
      </c>
      <c r="S185" s="16" t="str">
        <f t="shared" si="27"/>
        <v/>
      </c>
      <c r="T185" s="7" t="str">
        <f t="shared" si="30"/>
        <v/>
      </c>
      <c r="U185" s="22" t="str">
        <f>VLOOKUP($C185,'Justice Spend Total'!$C:$BA,40,FALSE)</f>
        <v xml:space="preserve"> </v>
      </c>
      <c r="V185" s="15" t="str">
        <f>VLOOKUP($C185,'Justice Spend Total'!$C:$BA,41,FALSE)</f>
        <v xml:space="preserve"> </v>
      </c>
    </row>
    <row r="186" spans="1:23" hidden="1">
      <c r="A186">
        <v>184</v>
      </c>
      <c r="B186" t="s">
        <v>572</v>
      </c>
      <c r="C186" t="s">
        <v>573</v>
      </c>
      <c r="D186" t="s">
        <v>497</v>
      </c>
      <c r="E186" t="s">
        <v>494</v>
      </c>
      <c r="F186" s="17" t="str">
        <f>VLOOKUP(B186,'Justice Spend Total'!$B$4:$AQ$221,10,FALSE)</f>
        <v xml:space="preserve"> </v>
      </c>
      <c r="G186" s="15" t="str">
        <f>VLOOKUP(C186,'Justice Spend Total'!$C$4:$AQ$221,10,FALSE)</f>
        <v xml:space="preserve"> </v>
      </c>
      <c r="H186" t="str">
        <f>VLOOKUP(C186,'Justice Spend Total'!$C$4:$AQ$221,7,FALSE)</f>
        <v/>
      </c>
      <c r="I186" s="35" t="str">
        <f t="shared" si="23"/>
        <v/>
      </c>
      <c r="J186" s="35" t="str">
        <f t="shared" si="24"/>
        <v/>
      </c>
      <c r="K186" s="35" t="str">
        <f t="shared" si="25"/>
        <v/>
      </c>
      <c r="L186" s="35" t="str">
        <f t="shared" si="26"/>
        <v/>
      </c>
      <c r="M186" s="16" t="str">
        <f>IF(ISNUMBER(VLOOKUP($C186,'Justice Spend Total'!$C:$BA,38,FALSE)),VLOOKUP($C186,'Justice Spend Total'!$C:$BA,38,FALSE),"")</f>
        <v/>
      </c>
      <c r="N186" s="16" t="str">
        <f>IF(ISNUMBER(VLOOKUP($C186,'Justice Spend Total'!$C:$BA,35,FALSE)),VLOOKUP($C186,'Justice Spend Total'!$C:$BA,35,FALSE),"")</f>
        <v/>
      </c>
      <c r="O186" s="16" t="str">
        <f>IF(ISNUMBER(VLOOKUP($C186,'Justice Spend Total'!$C:$BA,36,FALSE)),VLOOKUP($C186,'Justice Spend Total'!$C:$BA,36,FALSE),"")</f>
        <v/>
      </c>
      <c r="P186" s="16" t="str">
        <f>IF(ISNUMBER(VLOOKUP($C186,'Justice Spend Total'!$C:$BA,37,FALSE)),VLOOKUP($C186,'Justice Spend Total'!$C:$BA,37,FALSE),"")</f>
        <v/>
      </c>
      <c r="Q186" s="16" t="str">
        <f t="shared" si="29"/>
        <v/>
      </c>
      <c r="R186" s="15" t="str">
        <f>IF(ISNUMBER(VLOOKUP($C186,'Justice Spend Total'!$C:$BA,39,FALSE)),VLOOKUP($C186,'Justice Spend Total'!$C:$BA,39,FALSE),"")</f>
        <v/>
      </c>
      <c r="S186" s="16" t="str">
        <f t="shared" si="27"/>
        <v/>
      </c>
      <c r="T186" s="7" t="str">
        <f t="shared" si="30"/>
        <v/>
      </c>
      <c r="U186" s="22" t="str">
        <f>VLOOKUP($C186,'Justice Spend Total'!$C:$BA,40,FALSE)</f>
        <v xml:space="preserve"> </v>
      </c>
      <c r="V186" s="15" t="str">
        <f>VLOOKUP($C186,'Justice Spend Total'!$C:$BA,41,FALSE)</f>
        <v xml:space="preserve"> </v>
      </c>
    </row>
    <row r="187" spans="1:23">
      <c r="A187">
        <v>185</v>
      </c>
      <c r="B187" t="s">
        <v>209</v>
      </c>
      <c r="C187" t="s">
        <v>424</v>
      </c>
      <c r="D187" t="s">
        <v>487</v>
      </c>
      <c r="E187" t="s">
        <v>486</v>
      </c>
      <c r="F187" s="17">
        <f>VLOOKUP(B187,'Justice Spend Total'!$B$4:$AQ$221,10,FALSE)</f>
        <v>105.62</v>
      </c>
      <c r="G187" s="15">
        <f>VLOOKUP(C187,'Justice Spend Total'!$C$4:$AQ$221,10,FALSE)</f>
        <v>73.55204423429133</v>
      </c>
      <c r="H187">
        <f>VLOOKUP(C187,'Justice Spend Total'!$C$4:$AQ$221,7,FALSE)</f>
        <v>8430</v>
      </c>
      <c r="I187" s="17" t="str">
        <f t="shared" si="23"/>
        <v/>
      </c>
      <c r="J187" s="17" t="str">
        <f t="shared" si="24"/>
        <v/>
      </c>
      <c r="K187" s="17" t="str">
        <f t="shared" si="25"/>
        <v/>
      </c>
      <c r="L187" s="17" t="str">
        <f t="shared" si="26"/>
        <v/>
      </c>
      <c r="M187" s="16" t="str">
        <f>IF(ISNUMBER(VLOOKUP($C187,'Justice Spend Total'!$C:$BA,38,FALSE)),VLOOKUP($C187,'Justice Spend Total'!$C:$BA,38,FALSE),"")</f>
        <v/>
      </c>
      <c r="N187" s="16" t="str">
        <f>IF(ISNUMBER(VLOOKUP($C187,'Justice Spend Total'!$C:$BA,35,FALSE)),VLOOKUP($C187,'Justice Spend Total'!$C:$BA,35,FALSE),"")</f>
        <v/>
      </c>
      <c r="O187" s="16" t="str">
        <f>IF(ISNUMBER(VLOOKUP($C187,'Justice Spend Total'!$C:$BA,36,FALSE)),VLOOKUP($C187,'Justice Spend Total'!$C:$BA,36,FALSE),"")</f>
        <v/>
      </c>
      <c r="P187" s="16" t="str">
        <f>IF(ISNUMBER(VLOOKUP($C187,'Justice Spend Total'!$C:$BA,37,FALSE)),VLOOKUP($C187,'Justice Spend Total'!$C:$BA,37,FALSE),"")</f>
        <v/>
      </c>
      <c r="Q187" s="16" t="str">
        <f t="shared" si="29"/>
        <v/>
      </c>
      <c r="R187" s="15" t="str">
        <f>IF(ISNUMBER(VLOOKUP($C187,'Justice Spend Total'!$C:$BA,39,FALSE)),VLOOKUP($C187,'Justice Spend Total'!$C:$BA,39,FALSE),"")</f>
        <v/>
      </c>
      <c r="S187" s="16" t="str">
        <f t="shared" si="27"/>
        <v/>
      </c>
      <c r="T187" s="7" t="str">
        <f t="shared" si="30"/>
        <v/>
      </c>
      <c r="U187" s="22" t="str">
        <f>VLOOKUP($C187,'Justice Spend Total'!$C:$BA,40,FALSE)</f>
        <v xml:space="preserve"> </v>
      </c>
      <c r="V187" s="15" t="str">
        <f>VLOOKUP($C187,'Justice Spend Total'!$C:$BA,41,FALSE)</f>
        <v xml:space="preserve"> </v>
      </c>
    </row>
    <row r="188" spans="1:23">
      <c r="A188">
        <v>186</v>
      </c>
      <c r="B188" t="s">
        <v>574</v>
      </c>
      <c r="C188" t="s">
        <v>575</v>
      </c>
      <c r="D188" t="s">
        <v>485</v>
      </c>
      <c r="E188" t="s">
        <v>494</v>
      </c>
      <c r="F188" s="17" t="str">
        <f>VLOOKUP(B188,'Justice Spend Total'!$B$4:$AQ$221,10,FALSE)</f>
        <v xml:space="preserve"> </v>
      </c>
      <c r="G188" s="15" t="str">
        <f>VLOOKUP(C188,'Justice Spend Total'!$C$4:$AQ$221,10,FALSE)</f>
        <v xml:space="preserve"> </v>
      </c>
      <c r="H188" t="str">
        <f>VLOOKUP(C188,'Justice Spend Total'!$C$4:$AQ$221,7,FALSE)</f>
        <v/>
      </c>
      <c r="I188" s="35" t="str">
        <f t="shared" si="23"/>
        <v/>
      </c>
      <c r="J188" s="35" t="str">
        <f t="shared" si="24"/>
        <v/>
      </c>
      <c r="K188" s="35" t="str">
        <f t="shared" si="25"/>
        <v/>
      </c>
      <c r="L188" s="35" t="str">
        <f t="shared" si="26"/>
        <v/>
      </c>
      <c r="M188" s="16" t="str">
        <f>IF(ISNUMBER(VLOOKUP($C188,'Justice Spend Total'!$C:$BA,38,FALSE)),VLOOKUP($C188,'Justice Spend Total'!$C:$BA,38,FALSE),"")</f>
        <v/>
      </c>
      <c r="N188" s="16" t="str">
        <f>IF(ISNUMBER(VLOOKUP($C188,'Justice Spend Total'!$C:$BA,35,FALSE)),VLOOKUP($C188,'Justice Spend Total'!$C:$BA,35,FALSE),"")</f>
        <v/>
      </c>
      <c r="O188" s="16" t="str">
        <f>IF(ISNUMBER(VLOOKUP($C188,'Justice Spend Total'!$C:$BA,36,FALSE)),VLOOKUP($C188,'Justice Spend Total'!$C:$BA,36,FALSE),"")</f>
        <v/>
      </c>
      <c r="P188" s="16" t="str">
        <f>IF(ISNUMBER(VLOOKUP($C188,'Justice Spend Total'!$C:$BA,37,FALSE)),VLOOKUP($C188,'Justice Spend Total'!$C:$BA,37,FALSE),"")</f>
        <v/>
      </c>
      <c r="Q188" s="16" t="str">
        <f t="shared" si="29"/>
        <v/>
      </c>
      <c r="R188" s="15" t="str">
        <f>IF(ISNUMBER(VLOOKUP($C188,'Justice Spend Total'!$C:$BA,39,FALSE)),VLOOKUP($C188,'Justice Spend Total'!$C:$BA,39,FALSE),"")</f>
        <v/>
      </c>
      <c r="S188" s="16" t="str">
        <f t="shared" si="27"/>
        <v/>
      </c>
      <c r="T188" s="7" t="str">
        <f t="shared" si="30"/>
        <v/>
      </c>
      <c r="U188" s="22" t="str">
        <f>VLOOKUP($C188,'Justice Spend Total'!$C:$BA,40,FALSE)</f>
        <v xml:space="preserve"> </v>
      </c>
      <c r="V188" s="15" t="str">
        <f>VLOOKUP($C188,'Justice Spend Total'!$C:$BA,41,FALSE)</f>
        <v xml:space="preserve"> </v>
      </c>
    </row>
    <row r="189" spans="1:23">
      <c r="A189">
        <v>187</v>
      </c>
      <c r="B189" t="s">
        <v>208</v>
      </c>
      <c r="C189" t="s">
        <v>423</v>
      </c>
      <c r="D189" t="s">
        <v>483</v>
      </c>
      <c r="E189" t="s">
        <v>486</v>
      </c>
      <c r="F189" s="17">
        <f>VLOOKUP(B189,'Justice Spend Total'!$B$4:$AQ$221,10,FALSE)</f>
        <v>15.222</v>
      </c>
      <c r="G189" s="15">
        <f>VLOOKUP(C189,'Justice Spend Total'!$C$4:$AQ$221,10,FALSE)</f>
        <v>26.441313901578972</v>
      </c>
      <c r="H189">
        <f>VLOOKUP(C189,'Justice Spend Total'!$C$4:$AQ$221,7,FALSE)</f>
        <v>8400</v>
      </c>
      <c r="I189" s="17" t="str">
        <f t="shared" si="23"/>
        <v/>
      </c>
      <c r="J189" s="17" t="str">
        <f t="shared" si="24"/>
        <v/>
      </c>
      <c r="K189" s="17" t="str">
        <f t="shared" si="25"/>
        <v/>
      </c>
      <c r="L189" s="17" t="str">
        <f t="shared" si="26"/>
        <v/>
      </c>
      <c r="M189" s="16" t="str">
        <f>IF(ISNUMBER(VLOOKUP($C189,'Justice Spend Total'!$C:$BA,38,FALSE)),VLOOKUP($C189,'Justice Spend Total'!$C:$BA,38,FALSE),"")</f>
        <v/>
      </c>
      <c r="N189" s="16" t="str">
        <f>IF(ISNUMBER(VLOOKUP($C189,'Justice Spend Total'!$C:$BA,35,FALSE)),VLOOKUP($C189,'Justice Spend Total'!$C:$BA,35,FALSE),"")</f>
        <v/>
      </c>
      <c r="O189" s="16" t="str">
        <f>IF(ISNUMBER(VLOOKUP($C189,'Justice Spend Total'!$C:$BA,36,FALSE)),VLOOKUP($C189,'Justice Spend Total'!$C:$BA,36,FALSE),"")</f>
        <v/>
      </c>
      <c r="P189" s="16" t="str">
        <f>IF(ISNUMBER(VLOOKUP($C189,'Justice Spend Total'!$C:$BA,37,FALSE)),VLOOKUP($C189,'Justice Spend Total'!$C:$BA,37,FALSE),"")</f>
        <v/>
      </c>
      <c r="Q189" s="16" t="str">
        <f t="shared" si="29"/>
        <v/>
      </c>
      <c r="R189" s="15" t="str">
        <f>IF(ISNUMBER(VLOOKUP($C189,'Justice Spend Total'!$C:$BA,39,FALSE)),VLOOKUP($C189,'Justice Spend Total'!$C:$BA,39,FALSE),"")</f>
        <v/>
      </c>
      <c r="S189" s="16" t="str">
        <f t="shared" si="27"/>
        <v/>
      </c>
      <c r="T189" s="7" t="str">
        <f t="shared" si="30"/>
        <v/>
      </c>
      <c r="U189" s="22" t="str">
        <f>VLOOKUP($C189,'Justice Spend Total'!$C:$BA,40,FALSE)</f>
        <v xml:space="preserve"> </v>
      </c>
      <c r="V189" s="15" t="str">
        <f>VLOOKUP($C189,'Justice Spend Total'!$C:$BA,41,FALSE)</f>
        <v xml:space="preserve"> </v>
      </c>
    </row>
    <row r="190" spans="1:23">
      <c r="A190">
        <v>188</v>
      </c>
      <c r="B190" t="s">
        <v>215</v>
      </c>
      <c r="C190" t="s">
        <v>430</v>
      </c>
      <c r="D190" t="s">
        <v>497</v>
      </c>
      <c r="E190" t="s">
        <v>486</v>
      </c>
      <c r="F190" s="17">
        <f>VLOOKUP(B190,'Justice Spend Total'!$B$4:$AQ$221,10,FALSE)</f>
        <v>6122.6</v>
      </c>
      <c r="G190" s="15">
        <f>VLOOKUP(C190,'Justice Spend Total'!$C$4:$AQ$221,10,FALSE)</f>
        <v>23.324821357072896</v>
      </c>
      <c r="H190">
        <f>VLOOKUP(C190,'Justice Spend Total'!$C$4:$AQ$221,7,FALSE)</f>
        <v>9380</v>
      </c>
      <c r="I190" s="17" t="str">
        <f t="shared" si="23"/>
        <v/>
      </c>
      <c r="J190" s="17" t="str">
        <f t="shared" si="24"/>
        <v/>
      </c>
      <c r="K190" s="17" t="str">
        <f t="shared" si="25"/>
        <v/>
      </c>
      <c r="L190" s="17" t="str">
        <f t="shared" si="26"/>
        <v/>
      </c>
      <c r="M190" s="16" t="str">
        <f>IF(ISNUMBER(VLOOKUP($C190,'Justice Spend Total'!$C:$BA,38,FALSE)),VLOOKUP($C190,'Justice Spend Total'!$C:$BA,38,FALSE),"")</f>
        <v/>
      </c>
      <c r="N190" s="16" t="str">
        <f>IF(ISNUMBER(VLOOKUP($C190,'Justice Spend Total'!$C:$BA,35,FALSE)),VLOOKUP($C190,'Justice Spend Total'!$C:$BA,35,FALSE),"")</f>
        <v/>
      </c>
      <c r="O190" s="16" t="str">
        <f>IF(ISNUMBER(VLOOKUP($C190,'Justice Spend Total'!$C:$BA,36,FALSE)),VLOOKUP($C190,'Justice Spend Total'!$C:$BA,36,FALSE),"")</f>
        <v/>
      </c>
      <c r="P190" s="16" t="str">
        <f>IF(ISNUMBER(VLOOKUP($C190,'Justice Spend Total'!$C:$BA,37,FALSE)),VLOOKUP($C190,'Justice Spend Total'!$C:$BA,37,FALSE),"")</f>
        <v/>
      </c>
      <c r="Q190" s="16" t="str">
        <f t="shared" si="29"/>
        <v/>
      </c>
      <c r="R190" s="15" t="str">
        <f>IF(ISNUMBER(VLOOKUP($C190,'Justice Spend Total'!$C:$BA,39,FALSE)),VLOOKUP($C190,'Justice Spend Total'!$C:$BA,39,FALSE),"")</f>
        <v/>
      </c>
      <c r="S190" s="16" t="str">
        <f t="shared" si="27"/>
        <v/>
      </c>
      <c r="T190" s="7" t="str">
        <f t="shared" si="30"/>
        <v/>
      </c>
      <c r="U190" s="22" t="str">
        <f>VLOOKUP($C190,'Justice Spend Total'!$C:$BA,40,FALSE)</f>
        <v xml:space="preserve"> </v>
      </c>
      <c r="V190" s="15" t="str">
        <f>VLOOKUP($C190,'Justice Spend Total'!$C:$BA,41,FALSE)</f>
        <v xml:space="preserve"> </v>
      </c>
    </row>
    <row r="191" spans="1:23">
      <c r="A191">
        <v>189</v>
      </c>
      <c r="B191" t="s">
        <v>576</v>
      </c>
      <c r="C191" t="s">
        <v>577</v>
      </c>
      <c r="D191" t="s">
        <v>485</v>
      </c>
      <c r="E191" t="s">
        <v>494</v>
      </c>
      <c r="F191" s="17" t="str">
        <f>VLOOKUP(B191,'Justice Spend Total'!$B$4:$AQ$221,10,FALSE)</f>
        <v xml:space="preserve"> </v>
      </c>
      <c r="G191" s="15" t="str">
        <f>VLOOKUP(C191,'Justice Spend Total'!$C$4:$AQ$221,10,FALSE)</f>
        <v xml:space="preserve"> </v>
      </c>
      <c r="H191" t="str">
        <f>VLOOKUP(C191,'Justice Spend Total'!$C$4:$AQ$221,7,FALSE)</f>
        <v/>
      </c>
      <c r="I191" s="35" t="str">
        <f t="shared" si="23"/>
        <v/>
      </c>
      <c r="J191" s="35" t="str">
        <f t="shared" si="24"/>
        <v/>
      </c>
      <c r="K191" s="35" t="str">
        <f t="shared" si="25"/>
        <v/>
      </c>
      <c r="L191" s="35" t="str">
        <f t="shared" si="26"/>
        <v/>
      </c>
      <c r="M191" s="16" t="str">
        <f>IF(ISNUMBER(VLOOKUP($C191,'Justice Spend Total'!$C:$BA,38,FALSE)),VLOOKUP($C191,'Justice Spend Total'!$C:$BA,38,FALSE),"")</f>
        <v/>
      </c>
      <c r="N191" s="16" t="str">
        <f>IF(ISNUMBER(VLOOKUP($C191,'Justice Spend Total'!$C:$BA,35,FALSE)),VLOOKUP($C191,'Justice Spend Total'!$C:$BA,35,FALSE),"")</f>
        <v/>
      </c>
      <c r="O191" s="16" t="str">
        <f>IF(ISNUMBER(VLOOKUP($C191,'Justice Spend Total'!$C:$BA,36,FALSE)),VLOOKUP($C191,'Justice Spend Total'!$C:$BA,36,FALSE),"")</f>
        <v/>
      </c>
      <c r="P191" s="16" t="str">
        <f>IF(ISNUMBER(VLOOKUP($C191,'Justice Spend Total'!$C:$BA,37,FALSE)),VLOOKUP($C191,'Justice Spend Total'!$C:$BA,37,FALSE),"")</f>
        <v/>
      </c>
      <c r="Q191" s="16" t="str">
        <f t="shared" ref="Q191:Q222" si="31">IF(ISNUMBER(M191),M191-N191-O191-P191,"")</f>
        <v/>
      </c>
      <c r="R191" s="15" t="str">
        <f>IF(ISNUMBER(VLOOKUP($C191,'Justice Spend Total'!$C:$BA,39,FALSE)),VLOOKUP($C191,'Justice Spend Total'!$C:$BA,39,FALSE),"")</f>
        <v/>
      </c>
      <c r="S191" s="16" t="str">
        <f t="shared" si="27"/>
        <v/>
      </c>
      <c r="T191" s="7" t="str">
        <f t="shared" ref="T191:T220" si="32">L191</f>
        <v/>
      </c>
      <c r="U191" s="22" t="str">
        <f>VLOOKUP($C191,'Justice Spend Total'!$C:$BA,40,FALSE)</f>
        <v xml:space="preserve"> </v>
      </c>
      <c r="V191" s="15" t="str">
        <f>VLOOKUP($C191,'Justice Spend Total'!$C:$BA,41,FALSE)</f>
        <v xml:space="preserve"> </v>
      </c>
    </row>
    <row r="192" spans="1:23">
      <c r="A192">
        <v>190</v>
      </c>
      <c r="B192" t="s">
        <v>213</v>
      </c>
      <c r="C192" t="s">
        <v>428</v>
      </c>
      <c r="D192" t="s">
        <v>485</v>
      </c>
      <c r="E192" t="s">
        <v>486</v>
      </c>
      <c r="F192" s="17">
        <f>VLOOKUP(B192,'Justice Spend Total'!$B$4:$AQ$221,10,FALSE)</f>
        <v>1.8169999999999999</v>
      </c>
      <c r="G192" s="15">
        <f>VLOOKUP(C192,'Justice Spend Total'!$C$4:$AQ$221,10,FALSE)</f>
        <v>43.406593406593409</v>
      </c>
      <c r="H192">
        <f>VLOOKUP(C192,'Justice Spend Total'!$C$4:$AQ$221,7,FALSE)</f>
        <v>9300</v>
      </c>
      <c r="I192" s="17" t="str">
        <f t="shared" si="23"/>
        <v/>
      </c>
      <c r="J192" s="17" t="str">
        <f t="shared" si="24"/>
        <v/>
      </c>
      <c r="K192" s="17" t="str">
        <f t="shared" si="25"/>
        <v/>
      </c>
      <c r="L192" s="17" t="str">
        <f t="shared" si="26"/>
        <v/>
      </c>
      <c r="M192" s="16" t="str">
        <f>IF(ISNUMBER(VLOOKUP($C192,'Justice Spend Total'!$C:$BA,38,FALSE)),VLOOKUP($C192,'Justice Spend Total'!$C:$BA,38,FALSE),"")</f>
        <v/>
      </c>
      <c r="N192" s="16" t="str">
        <f>IF(ISNUMBER(VLOOKUP($C192,'Justice Spend Total'!$C:$BA,35,FALSE)),VLOOKUP($C192,'Justice Spend Total'!$C:$BA,35,FALSE),"")</f>
        <v/>
      </c>
      <c r="O192" s="16" t="str">
        <f>IF(ISNUMBER(VLOOKUP($C192,'Justice Spend Total'!$C:$BA,36,FALSE)),VLOOKUP($C192,'Justice Spend Total'!$C:$BA,36,FALSE),"")</f>
        <v/>
      </c>
      <c r="P192" s="16" t="str">
        <f>IF(ISNUMBER(VLOOKUP($C192,'Justice Spend Total'!$C:$BA,37,FALSE)),VLOOKUP($C192,'Justice Spend Total'!$C:$BA,37,FALSE),"")</f>
        <v/>
      </c>
      <c r="Q192" s="16" t="str">
        <f t="shared" si="31"/>
        <v/>
      </c>
      <c r="R192" s="15" t="str">
        <f>IF(ISNUMBER(VLOOKUP($C192,'Justice Spend Total'!$C:$BA,39,FALSE)),VLOOKUP($C192,'Justice Spend Total'!$C:$BA,39,FALSE),"")</f>
        <v/>
      </c>
      <c r="S192" s="16" t="str">
        <f t="shared" si="27"/>
        <v/>
      </c>
      <c r="T192" s="7" t="str">
        <f t="shared" si="32"/>
        <v/>
      </c>
      <c r="U192" s="22" t="str">
        <f>VLOOKUP($C192,'Justice Spend Total'!$C:$BA,40,FALSE)</f>
        <v xml:space="preserve"> </v>
      </c>
      <c r="V192" s="15" t="str">
        <f>VLOOKUP($C192,'Justice Spend Total'!$C:$BA,41,FALSE)</f>
        <v xml:space="preserve"> </v>
      </c>
    </row>
    <row r="193" spans="1:23">
      <c r="A193">
        <v>191</v>
      </c>
      <c r="B193" t="s">
        <v>101</v>
      </c>
      <c r="C193" t="s">
        <v>314</v>
      </c>
      <c r="D193" t="s">
        <v>496</v>
      </c>
      <c r="E193" t="s">
        <v>299</v>
      </c>
      <c r="F193" s="17">
        <f>VLOOKUP(B193,'Justice Spend Total'!$B$4:$AQ$221,10,FALSE)</f>
        <v>1388.37</v>
      </c>
      <c r="G193" s="15">
        <f>VLOOKUP(C193,'Justice Spend Total'!$C$4:$AQ$221,10,FALSE)</f>
        <v>17.557879401420696</v>
      </c>
      <c r="H193">
        <f>VLOOKUP(C193,'Justice Spend Total'!$C$4:$AQ$221,7,FALSE)</f>
        <v>590</v>
      </c>
      <c r="I193" s="17" t="str">
        <f t="shared" si="23"/>
        <v/>
      </c>
      <c r="J193" s="17" t="str">
        <f t="shared" si="24"/>
        <v/>
      </c>
      <c r="K193" s="17" t="str">
        <f t="shared" si="25"/>
        <v/>
      </c>
      <c r="L193" s="17" t="str">
        <f t="shared" si="26"/>
        <v/>
      </c>
      <c r="M193" s="16" t="str">
        <f>IF(ISNUMBER(VLOOKUP($C193,'Justice Spend Total'!$C:$BA,38,FALSE)),VLOOKUP($C193,'Justice Spend Total'!$C:$BA,38,FALSE),"")</f>
        <v/>
      </c>
      <c r="N193" s="16" t="str">
        <f>IF(ISNUMBER(VLOOKUP($C193,'Justice Spend Total'!$C:$BA,35,FALSE)),VLOOKUP($C193,'Justice Spend Total'!$C:$BA,35,FALSE),"")</f>
        <v/>
      </c>
      <c r="O193" s="16" t="str">
        <f>IF(ISNUMBER(VLOOKUP($C193,'Justice Spend Total'!$C:$BA,36,FALSE)),VLOOKUP($C193,'Justice Spend Total'!$C:$BA,36,FALSE),"")</f>
        <v/>
      </c>
      <c r="P193" s="16" t="str">
        <f>IF(ISNUMBER(VLOOKUP($C193,'Justice Spend Total'!$C:$BA,37,FALSE)),VLOOKUP($C193,'Justice Spend Total'!$C:$BA,37,FALSE),"")</f>
        <v/>
      </c>
      <c r="Q193" s="16" t="str">
        <f t="shared" si="31"/>
        <v/>
      </c>
      <c r="R193" s="15" t="str">
        <f>IF(ISNUMBER(VLOOKUP($C193,'Justice Spend Total'!$C:$BA,39,FALSE)),VLOOKUP($C193,'Justice Spend Total'!$C:$BA,39,FALSE),"")</f>
        <v/>
      </c>
      <c r="S193" s="16" t="str">
        <f t="shared" si="27"/>
        <v/>
      </c>
      <c r="T193" s="7" t="str">
        <f t="shared" si="32"/>
        <v/>
      </c>
      <c r="U193" s="22" t="str">
        <f>VLOOKUP($C193,'Justice Spend Total'!$C:$BA,40,FALSE)</f>
        <v xml:space="preserve"> </v>
      </c>
      <c r="V193" s="15" t="str">
        <f>VLOOKUP($C193,'Justice Spend Total'!$C:$BA,41,FALSE)</f>
        <v xml:space="preserve"> </v>
      </c>
      <c r="W193" t="s">
        <v>484</v>
      </c>
    </row>
    <row r="194" spans="1:23">
      <c r="A194">
        <v>192</v>
      </c>
      <c r="B194" t="s">
        <v>193</v>
      </c>
      <c r="C194" t="s">
        <v>408</v>
      </c>
      <c r="D194" t="s">
        <v>485</v>
      </c>
      <c r="E194" t="s">
        <v>486</v>
      </c>
      <c r="F194" s="17">
        <f>VLOOKUP(B194,'Justice Spend Total'!$B$4:$AQ$221,10,FALSE)</f>
        <v>218.505</v>
      </c>
      <c r="G194" s="15">
        <f>VLOOKUP(C194,'Justice Spend Total'!$C$4:$AQ$221,10,FALSE)</f>
        <v>30.21204638030634</v>
      </c>
      <c r="H194">
        <f>VLOOKUP(C194,'Justice Spend Total'!$C$4:$AQ$221,7,FALSE)</f>
        <v>6130</v>
      </c>
      <c r="I194" s="17" t="str">
        <f t="shared" si="23"/>
        <v/>
      </c>
      <c r="J194" s="17" t="str">
        <f t="shared" si="24"/>
        <v/>
      </c>
      <c r="K194" s="17" t="str">
        <f t="shared" si="25"/>
        <v/>
      </c>
      <c r="L194" s="17" t="str">
        <f t="shared" si="26"/>
        <v/>
      </c>
      <c r="M194" s="16" t="str">
        <f>IF(ISNUMBER(VLOOKUP($C194,'Justice Spend Total'!$C:$BA,38,FALSE)),VLOOKUP($C194,'Justice Spend Total'!$C:$BA,38,FALSE),"")</f>
        <v/>
      </c>
      <c r="N194" s="16" t="str">
        <f>IF(ISNUMBER(VLOOKUP($C194,'Justice Spend Total'!$C:$BA,35,FALSE)),VLOOKUP($C194,'Justice Spend Total'!$C:$BA,35,FALSE),"")</f>
        <v/>
      </c>
      <c r="O194" s="16" t="str">
        <f>IF(ISNUMBER(VLOOKUP($C194,'Justice Spend Total'!$C:$BA,36,FALSE)),VLOOKUP($C194,'Justice Spend Total'!$C:$BA,36,FALSE),"")</f>
        <v/>
      </c>
      <c r="P194" s="16" t="str">
        <f>IF(ISNUMBER(VLOOKUP($C194,'Justice Spend Total'!$C:$BA,37,FALSE)),VLOOKUP($C194,'Justice Spend Total'!$C:$BA,37,FALSE),"")</f>
        <v/>
      </c>
      <c r="Q194" s="16" t="str">
        <f t="shared" si="31"/>
        <v/>
      </c>
      <c r="R194" s="15" t="str">
        <f>IF(ISNUMBER(VLOOKUP($C194,'Justice Spend Total'!$C:$BA,39,FALSE)),VLOOKUP($C194,'Justice Spend Total'!$C:$BA,39,FALSE),"")</f>
        <v/>
      </c>
      <c r="S194" s="16" t="str">
        <f t="shared" si="27"/>
        <v/>
      </c>
      <c r="T194" s="7" t="str">
        <f t="shared" si="32"/>
        <v/>
      </c>
      <c r="U194" s="22" t="str">
        <f>VLOOKUP($C194,'Justice Spend Total'!$C:$BA,40,FALSE)</f>
        <v xml:space="preserve"> </v>
      </c>
      <c r="V194" s="15" t="str">
        <f>VLOOKUP($C194,'Justice Spend Total'!$C:$BA,41,FALSE)</f>
        <v xml:space="preserve"> </v>
      </c>
    </row>
    <row r="195" spans="1:23">
      <c r="A195">
        <v>193</v>
      </c>
      <c r="B195" t="s">
        <v>233</v>
      </c>
      <c r="C195" t="s">
        <v>578</v>
      </c>
      <c r="D195" t="s">
        <v>487</v>
      </c>
      <c r="E195" t="s">
        <v>494</v>
      </c>
      <c r="F195" s="17">
        <f>VLOOKUP(B195,'Justice Spend Total'!$B$4:$AQ$221,10,FALSE)</f>
        <v>11.198</v>
      </c>
      <c r="G195" s="15">
        <f>VLOOKUP(C195,'Justice Spend Total'!$C$4:$AQ$221,10,FALSE)</f>
        <v>34.813156749362683</v>
      </c>
      <c r="H195">
        <f>VLOOKUP(C195,'Justice Spend Total'!$C$4:$AQ$221,7,FALSE)</f>
        <v>15030</v>
      </c>
      <c r="I195" s="17" t="str">
        <f t="shared" ref="I195:I220" si="33">IF(ISNUMBER(N195),$G195/100*$H195*(N195/100),"")</f>
        <v/>
      </c>
      <c r="J195" s="17" t="str">
        <f t="shared" ref="J195:J220" si="34">IF(ISNUMBER(O195),$G195/100*$H195*(O195/100),"")</f>
        <v/>
      </c>
      <c r="K195" s="17" t="str">
        <f t="shared" ref="K195:K220" si="35">IF(ISNUMBER(P195),$G195/100*$H195*(P195/100),"")</f>
        <v/>
      </c>
      <c r="L195" s="17" t="str">
        <f t="shared" ref="L195:L220" si="36">IF(ISNUMBER(M195),$G195/100*$H195*(M195/100),"")</f>
        <v/>
      </c>
      <c r="M195" s="16" t="str">
        <f>IF(ISNUMBER(VLOOKUP($C195,'Justice Spend Total'!$C:$BA,38,FALSE)),VLOOKUP($C195,'Justice Spend Total'!$C:$BA,38,FALSE),"")</f>
        <v/>
      </c>
      <c r="N195" s="16" t="str">
        <f>IF(ISNUMBER(VLOOKUP($C195,'Justice Spend Total'!$C:$BA,35,FALSE)),VLOOKUP($C195,'Justice Spend Total'!$C:$BA,35,FALSE),"")</f>
        <v/>
      </c>
      <c r="O195" s="16" t="str">
        <f>IF(ISNUMBER(VLOOKUP($C195,'Justice Spend Total'!$C:$BA,36,FALSE)),VLOOKUP($C195,'Justice Spend Total'!$C:$BA,36,FALSE),"")</f>
        <v/>
      </c>
      <c r="P195" s="16" t="str">
        <f>IF(ISNUMBER(VLOOKUP($C195,'Justice Spend Total'!$C:$BA,37,FALSE)),VLOOKUP($C195,'Justice Spend Total'!$C:$BA,37,FALSE),"")</f>
        <v/>
      </c>
      <c r="Q195" s="16" t="str">
        <f t="shared" si="31"/>
        <v/>
      </c>
      <c r="R195" s="15" t="str">
        <f>IF(ISNUMBER(VLOOKUP($C195,'Justice Spend Total'!$C:$BA,39,FALSE)),VLOOKUP($C195,'Justice Spend Total'!$C:$BA,39,FALSE),"")</f>
        <v/>
      </c>
      <c r="S195" s="16" t="str">
        <f t="shared" ref="S195:S220" si="37">R195</f>
        <v/>
      </c>
      <c r="T195" s="7" t="str">
        <f t="shared" si="32"/>
        <v/>
      </c>
      <c r="U195" s="22" t="str">
        <f>VLOOKUP($C195,'Justice Spend Total'!$C:$BA,40,FALSE)</f>
        <v xml:space="preserve"> </v>
      </c>
      <c r="V195" s="15" t="str">
        <f>VLOOKUP($C195,'Justice Spend Total'!$C:$BA,41,FALSE)</f>
        <v xml:space="preserve"> </v>
      </c>
    </row>
    <row r="196" spans="1:23">
      <c r="A196">
        <v>194</v>
      </c>
      <c r="B196" t="s">
        <v>188</v>
      </c>
      <c r="C196" t="s">
        <v>403</v>
      </c>
      <c r="D196" t="s">
        <v>497</v>
      </c>
      <c r="E196" t="s">
        <v>486</v>
      </c>
      <c r="F196" s="17">
        <f>VLOOKUP(B196,'Justice Spend Total'!$B$4:$AQ$221,10,FALSE)</f>
        <v>50580.11</v>
      </c>
      <c r="G196" s="15">
        <f>VLOOKUP(C196,'Justice Spend Total'!$C$4:$AQ$221,10,FALSE)</f>
        <v>19.151660526385538</v>
      </c>
      <c r="H196">
        <f>VLOOKUP(C196,'Justice Spend Total'!$C$4:$AQ$221,7,FALSE)</f>
        <v>5340</v>
      </c>
      <c r="I196" s="17" t="str">
        <f t="shared" si="33"/>
        <v/>
      </c>
      <c r="J196" s="17" t="str">
        <f t="shared" si="34"/>
        <v/>
      </c>
      <c r="K196" s="17" t="str">
        <f t="shared" si="35"/>
        <v/>
      </c>
      <c r="L196" s="17" t="str">
        <f t="shared" si="36"/>
        <v/>
      </c>
      <c r="M196" s="16" t="str">
        <f>IF(ISNUMBER(VLOOKUP($C196,'Justice Spend Total'!$C:$BA,38,FALSE)),VLOOKUP($C196,'Justice Spend Total'!$C:$BA,38,FALSE),"")</f>
        <v/>
      </c>
      <c r="N196" s="16" t="str">
        <f>IF(ISNUMBER(VLOOKUP($C196,'Justice Spend Total'!$C:$BA,35,FALSE)),VLOOKUP($C196,'Justice Spend Total'!$C:$BA,35,FALSE),"")</f>
        <v/>
      </c>
      <c r="O196" s="16" t="str">
        <f>IF(ISNUMBER(VLOOKUP($C196,'Justice Spend Total'!$C:$BA,36,FALSE)),VLOOKUP($C196,'Justice Spend Total'!$C:$BA,36,FALSE),"")</f>
        <v/>
      </c>
      <c r="P196" s="16" t="str">
        <f>IF(ISNUMBER(VLOOKUP($C196,'Justice Spend Total'!$C:$BA,37,FALSE)),VLOOKUP($C196,'Justice Spend Total'!$C:$BA,37,FALSE),"")</f>
        <v/>
      </c>
      <c r="Q196" s="16" t="str">
        <f t="shared" si="31"/>
        <v/>
      </c>
      <c r="R196" s="15" t="str">
        <f>IF(ISNUMBER(VLOOKUP($C196,'Justice Spend Total'!$C:$BA,39,FALSE)),VLOOKUP($C196,'Justice Spend Total'!$C:$BA,39,FALSE),"")</f>
        <v/>
      </c>
      <c r="S196" s="16" t="str">
        <f t="shared" si="37"/>
        <v/>
      </c>
      <c r="T196" s="7" t="str">
        <f t="shared" si="32"/>
        <v/>
      </c>
      <c r="U196" s="22" t="str">
        <f>VLOOKUP($C196,'Justice Spend Total'!$C:$BA,40,FALSE)</f>
        <v xml:space="preserve"> </v>
      </c>
      <c r="V196" s="15" t="str">
        <f>VLOOKUP($C196,'Justice Spend Total'!$C:$BA,41,FALSE)</f>
        <v xml:space="preserve"> </v>
      </c>
    </row>
    <row r="197" spans="1:23">
      <c r="A197">
        <v>195</v>
      </c>
      <c r="B197" t="s">
        <v>196</v>
      </c>
      <c r="C197" t="s">
        <v>411</v>
      </c>
      <c r="D197" t="s">
        <v>497</v>
      </c>
      <c r="E197" t="s">
        <v>486</v>
      </c>
      <c r="F197" s="17">
        <f>VLOOKUP(B197,'Justice Spend Total'!$B$4:$AQ$221,10,FALSE)</f>
        <v>183.64400000000001</v>
      </c>
      <c r="G197" s="15">
        <f>VLOOKUP(C197,'Justice Spend Total'!$C$4:$AQ$221,10,FALSE)</f>
        <v>21.060623089114635</v>
      </c>
      <c r="H197">
        <f>VLOOKUP(C197,'Justice Spend Total'!$C$4:$AQ$221,7,FALSE)</f>
        <v>6520</v>
      </c>
      <c r="I197" s="17" t="str">
        <f t="shared" si="33"/>
        <v/>
      </c>
      <c r="J197" s="17" t="str">
        <f t="shared" si="34"/>
        <v/>
      </c>
      <c r="K197" s="17" t="str">
        <f t="shared" si="35"/>
        <v/>
      </c>
      <c r="L197" s="17" t="str">
        <f t="shared" si="36"/>
        <v/>
      </c>
      <c r="M197" s="16" t="str">
        <f>IF(ISNUMBER(VLOOKUP($C197,'Justice Spend Total'!$C:$BA,38,FALSE)),VLOOKUP($C197,'Justice Spend Total'!$C:$BA,38,FALSE),"")</f>
        <v/>
      </c>
      <c r="N197" s="16" t="str">
        <f>IF(ISNUMBER(VLOOKUP($C197,'Justice Spend Total'!$C:$BA,35,FALSE)),VLOOKUP($C197,'Justice Spend Total'!$C:$BA,35,FALSE),"")</f>
        <v/>
      </c>
      <c r="O197" s="16" t="str">
        <f>IF(ISNUMBER(VLOOKUP($C197,'Justice Spend Total'!$C:$BA,36,FALSE)),VLOOKUP($C197,'Justice Spend Total'!$C:$BA,36,FALSE),"")</f>
        <v/>
      </c>
      <c r="P197" s="16" t="str">
        <f>IF(ISNUMBER(VLOOKUP($C197,'Justice Spend Total'!$C:$BA,37,FALSE)),VLOOKUP($C197,'Justice Spend Total'!$C:$BA,37,FALSE),"")</f>
        <v/>
      </c>
      <c r="Q197" s="16" t="str">
        <f t="shared" si="31"/>
        <v/>
      </c>
      <c r="R197" s="15" t="str">
        <f>IF(ISNUMBER(VLOOKUP($C197,'Justice Spend Total'!$C:$BA,39,FALSE)),VLOOKUP($C197,'Justice Spend Total'!$C:$BA,39,FALSE),"")</f>
        <v/>
      </c>
      <c r="S197" s="16" t="str">
        <f t="shared" si="37"/>
        <v/>
      </c>
      <c r="T197" s="7" t="str">
        <f t="shared" si="32"/>
        <v/>
      </c>
      <c r="U197" s="22" t="str">
        <f>VLOOKUP($C197,'Justice Spend Total'!$C:$BA,40,FALSE)</f>
        <v xml:space="preserve"> </v>
      </c>
      <c r="V197" s="15" t="str">
        <f>VLOOKUP($C197,'Justice Spend Total'!$C:$BA,41,FALSE)</f>
        <v xml:space="preserve"> </v>
      </c>
    </row>
    <row r="198" spans="1:23">
      <c r="A198">
        <v>196</v>
      </c>
      <c r="B198" t="s">
        <v>243</v>
      </c>
      <c r="C198" t="s">
        <v>579</v>
      </c>
      <c r="D198" t="s">
        <v>497</v>
      </c>
      <c r="E198" t="s">
        <v>494</v>
      </c>
      <c r="F198" s="17">
        <f>VLOOKUP(B198,'Justice Spend Total'!$B$4:$AQ$221,10,FALSE)</f>
        <v>21.463000000000001</v>
      </c>
      <c r="G198" s="15">
        <f>VLOOKUP(C198,'Justice Spend Total'!$C$4:$AQ$221,10,FALSE)</f>
        <v>20.809982741569545</v>
      </c>
      <c r="H198">
        <f>VLOOKUP(C198,'Justice Spend Total'!$C$4:$AQ$221,7,FALSE)</f>
        <v>21160</v>
      </c>
      <c r="I198" s="17" t="str">
        <f t="shared" si="33"/>
        <v/>
      </c>
      <c r="J198" s="17" t="str">
        <f t="shared" si="34"/>
        <v/>
      </c>
      <c r="K198" s="17" t="str">
        <f t="shared" si="35"/>
        <v/>
      </c>
      <c r="L198" s="17" t="str">
        <f t="shared" si="36"/>
        <v/>
      </c>
      <c r="M198" s="16" t="str">
        <f>IF(ISNUMBER(VLOOKUP($C198,'Justice Spend Total'!$C:$BA,38,FALSE)),VLOOKUP($C198,'Justice Spend Total'!$C:$BA,38,FALSE),"")</f>
        <v/>
      </c>
      <c r="N198" s="16" t="str">
        <f>IF(ISNUMBER(VLOOKUP($C198,'Justice Spend Total'!$C:$BA,35,FALSE)),VLOOKUP($C198,'Justice Spend Total'!$C:$BA,35,FALSE),"")</f>
        <v/>
      </c>
      <c r="O198" s="16" t="str">
        <f>IF(ISNUMBER(VLOOKUP($C198,'Justice Spend Total'!$C:$BA,36,FALSE)),VLOOKUP($C198,'Justice Spend Total'!$C:$BA,36,FALSE),"")</f>
        <v/>
      </c>
      <c r="P198" s="16" t="str">
        <f>IF(ISNUMBER(VLOOKUP($C198,'Justice Spend Total'!$C:$BA,37,FALSE)),VLOOKUP($C198,'Justice Spend Total'!$C:$BA,37,FALSE),"")</f>
        <v/>
      </c>
      <c r="Q198" s="16" t="str">
        <f t="shared" si="31"/>
        <v/>
      </c>
      <c r="R198" s="15" t="str">
        <f>IF(ISNUMBER(VLOOKUP($C198,'Justice Spend Total'!$C:$BA,39,FALSE)),VLOOKUP($C198,'Justice Spend Total'!$C:$BA,39,FALSE),"")</f>
        <v/>
      </c>
      <c r="S198" s="16" t="str">
        <f t="shared" si="37"/>
        <v/>
      </c>
      <c r="T198" s="7" t="str">
        <f t="shared" si="32"/>
        <v/>
      </c>
      <c r="U198" s="22" t="str">
        <f>VLOOKUP($C198,'Justice Spend Total'!$C:$BA,40,FALSE)</f>
        <v xml:space="preserve"> </v>
      </c>
      <c r="V198" s="15" t="str">
        <f>VLOOKUP($C198,'Justice Spend Total'!$C:$BA,41,FALSE)</f>
        <v xml:space="preserve"> </v>
      </c>
    </row>
    <row r="199" spans="1:23">
      <c r="A199">
        <v>197</v>
      </c>
      <c r="B199" t="s">
        <v>260</v>
      </c>
      <c r="C199" t="s">
        <v>580</v>
      </c>
      <c r="D199" t="s">
        <v>487</v>
      </c>
      <c r="E199" t="s">
        <v>494</v>
      </c>
      <c r="F199" s="17">
        <f>VLOOKUP(B199,'Justice Spend Total'!$B$4:$AQ$221,10,FALSE)</f>
        <v>187.81800000000001</v>
      </c>
      <c r="G199" s="15">
        <f>VLOOKUP(C199,'Justice Spend Total'!$C$4:$AQ$221,10,FALSE)</f>
        <v>35.730143420519461</v>
      </c>
      <c r="H199">
        <f>VLOOKUP(C199,'Justice Spend Total'!$C$4:$AQ$221,7,FALSE)</f>
        <v>57120</v>
      </c>
      <c r="I199" s="17" t="str">
        <f t="shared" si="33"/>
        <v/>
      </c>
      <c r="J199" s="17" t="str">
        <f t="shared" si="34"/>
        <v/>
      </c>
      <c r="K199" s="17" t="str">
        <f t="shared" si="35"/>
        <v/>
      </c>
      <c r="L199" s="17" t="str">
        <f t="shared" si="36"/>
        <v/>
      </c>
      <c r="M199" s="16" t="str">
        <f>IF(ISNUMBER(VLOOKUP($C199,'Justice Spend Total'!$C:$BA,38,FALSE)),VLOOKUP($C199,'Justice Spend Total'!$C:$BA,38,FALSE),"")</f>
        <v/>
      </c>
      <c r="N199" s="16" t="str">
        <f>IF(ISNUMBER(VLOOKUP($C199,'Justice Spend Total'!$C:$BA,35,FALSE)),VLOOKUP($C199,'Justice Spend Total'!$C:$BA,35,FALSE),"")</f>
        <v/>
      </c>
      <c r="O199" s="16" t="str">
        <f>IF(ISNUMBER(VLOOKUP($C199,'Justice Spend Total'!$C:$BA,36,FALSE)),VLOOKUP($C199,'Justice Spend Total'!$C:$BA,36,FALSE),"")</f>
        <v/>
      </c>
      <c r="P199" s="16" t="str">
        <f>IF(ISNUMBER(VLOOKUP($C199,'Justice Spend Total'!$C:$BA,37,FALSE)),VLOOKUP($C199,'Justice Spend Total'!$C:$BA,37,FALSE),"")</f>
        <v/>
      </c>
      <c r="Q199" s="16" t="str">
        <f t="shared" si="31"/>
        <v/>
      </c>
      <c r="R199" s="15" t="str">
        <f>IF(ISNUMBER(VLOOKUP($C199,'Justice Spend Total'!$C:$BA,39,FALSE)),VLOOKUP($C199,'Justice Spend Total'!$C:$BA,39,FALSE),"")</f>
        <v/>
      </c>
      <c r="S199" s="16" t="str">
        <f t="shared" si="37"/>
        <v/>
      </c>
      <c r="T199" s="7" t="str">
        <f t="shared" si="32"/>
        <v/>
      </c>
      <c r="U199" s="22" t="str">
        <f>VLOOKUP($C199,'Justice Spend Total'!$C:$BA,40,FALSE)</f>
        <v xml:space="preserve"> </v>
      </c>
      <c r="V199" s="15" t="str">
        <f>VLOOKUP($C199,'Justice Spend Total'!$C:$BA,41,FALSE)</f>
        <v xml:space="preserve"> </v>
      </c>
    </row>
    <row r="200" spans="1:23">
      <c r="A200">
        <v>198</v>
      </c>
      <c r="B200" t="s">
        <v>143</v>
      </c>
      <c r="C200" t="s">
        <v>357</v>
      </c>
      <c r="D200" t="s">
        <v>496</v>
      </c>
      <c r="E200" t="s">
        <v>488</v>
      </c>
      <c r="F200" s="142">
        <f>VLOOKUP(B200,'Justice Spend Total'!$B$4:$AQ$221,10,FALSE)</f>
        <v>2.9729999999999999</v>
      </c>
      <c r="G200" s="15">
        <f>VLOOKUP(C200,'Justice Spend Total'!$C$4:$AQ$221,10,FALSE)</f>
        <v>29.013369766761006</v>
      </c>
      <c r="H200">
        <f>VLOOKUP(C200,'Justice Spend Total'!$C$4:$AQ$221,7,FALSE)</f>
        <v>2280</v>
      </c>
      <c r="I200" s="142" t="str">
        <f t="shared" si="33"/>
        <v/>
      </c>
      <c r="J200" s="142" t="str">
        <f t="shared" si="34"/>
        <v/>
      </c>
      <c r="K200" s="142" t="str">
        <f t="shared" si="35"/>
        <v/>
      </c>
      <c r="L200" s="142" t="str">
        <f t="shared" si="36"/>
        <v/>
      </c>
      <c r="M200" s="16" t="str">
        <f>IF(ISNUMBER(VLOOKUP($C200,'Justice Spend Total'!$C:$BA,38,FALSE)),VLOOKUP($C200,'Justice Spend Total'!$C:$BA,38,FALSE),"")</f>
        <v/>
      </c>
      <c r="N200" s="16" t="str">
        <f>IF(ISNUMBER(VLOOKUP($C200,'Justice Spend Total'!$C:$BA,35,FALSE)),VLOOKUP($C200,'Justice Spend Total'!$C:$BA,35,FALSE),"")</f>
        <v/>
      </c>
      <c r="O200" s="16" t="str">
        <f>IF(ISNUMBER(VLOOKUP($C200,'Justice Spend Total'!$C:$BA,36,FALSE)),VLOOKUP($C200,'Justice Spend Total'!$C:$BA,36,FALSE),"")</f>
        <v/>
      </c>
      <c r="P200" s="16" t="str">
        <f>IF(ISNUMBER(VLOOKUP($C200,'Justice Spend Total'!$C:$BA,37,FALSE)),VLOOKUP($C200,'Justice Spend Total'!$C:$BA,37,FALSE),"")</f>
        <v/>
      </c>
      <c r="Q200" s="16" t="str">
        <f t="shared" si="31"/>
        <v/>
      </c>
      <c r="R200" s="15" t="str">
        <f>IF(ISNUMBER(VLOOKUP($C200,'Justice Spend Total'!$C:$BA,39,FALSE)),VLOOKUP($C200,'Justice Spend Total'!$C:$BA,39,FALSE),"")</f>
        <v/>
      </c>
      <c r="S200" s="16" t="str">
        <f t="shared" si="37"/>
        <v/>
      </c>
      <c r="T200" s="7" t="str">
        <f t="shared" si="32"/>
        <v/>
      </c>
      <c r="U200" s="22" t="str">
        <f>VLOOKUP($C200,'Justice Spend Total'!$C:$BA,40,FALSE)</f>
        <v xml:space="preserve"> </v>
      </c>
      <c r="V200" s="15" t="str">
        <f>VLOOKUP($C200,'Justice Spend Total'!$C:$BA,41,FALSE)</f>
        <v xml:space="preserve"> </v>
      </c>
      <c r="W200" t="s">
        <v>581</v>
      </c>
    </row>
    <row r="201" spans="1:23">
      <c r="A201">
        <v>199</v>
      </c>
      <c r="B201" t="s">
        <v>245</v>
      </c>
      <c r="C201" t="s">
        <v>582</v>
      </c>
      <c r="D201" t="s">
        <v>487</v>
      </c>
      <c r="E201" t="s">
        <v>494</v>
      </c>
      <c r="F201" s="17">
        <f>VLOOKUP(B201,'Justice Spend Total'!$B$4:$AQ$221,10,FALSE)</f>
        <v>962.48599999999999</v>
      </c>
      <c r="G201" s="15">
        <f>VLOOKUP(C201,'Justice Spend Total'!$C$4:$AQ$221,10,FALSE)</f>
        <v>30.791866350158998</v>
      </c>
      <c r="H201">
        <f>VLOOKUP(C201,'Justice Spend Total'!$C$4:$AQ$221,7,FALSE)</f>
        <v>22270</v>
      </c>
      <c r="I201" s="17" t="str">
        <f t="shared" si="33"/>
        <v/>
      </c>
      <c r="J201" s="17" t="str">
        <f t="shared" si="34"/>
        <v/>
      </c>
      <c r="K201" s="17" t="str">
        <f t="shared" si="35"/>
        <v/>
      </c>
      <c r="L201" s="17" t="str">
        <f t="shared" si="36"/>
        <v/>
      </c>
      <c r="M201" s="16" t="str">
        <f>IF(ISNUMBER(VLOOKUP($C201,'Justice Spend Total'!$C:$BA,38,FALSE)),VLOOKUP($C201,'Justice Spend Total'!$C:$BA,38,FALSE),"")</f>
        <v/>
      </c>
      <c r="N201" s="16" t="str">
        <f>IF(ISNUMBER(VLOOKUP($C201,'Justice Spend Total'!$C:$BA,35,FALSE)),VLOOKUP($C201,'Justice Spend Total'!$C:$BA,35,FALSE),"")</f>
        <v/>
      </c>
      <c r="O201" s="16" t="str">
        <f>IF(ISNUMBER(VLOOKUP($C201,'Justice Spend Total'!$C:$BA,36,FALSE)),VLOOKUP($C201,'Justice Spend Total'!$C:$BA,36,FALSE),"")</f>
        <v/>
      </c>
      <c r="P201" s="16" t="str">
        <f>IF(ISNUMBER(VLOOKUP($C201,'Justice Spend Total'!$C:$BA,37,FALSE)),VLOOKUP($C201,'Justice Spend Total'!$C:$BA,37,FALSE),"")</f>
        <v/>
      </c>
      <c r="Q201" s="16" t="str">
        <f t="shared" si="31"/>
        <v/>
      </c>
      <c r="R201" s="15" t="str">
        <f>IF(ISNUMBER(VLOOKUP($C201,'Justice Spend Total'!$C:$BA,39,FALSE)),VLOOKUP($C201,'Justice Spend Total'!$C:$BA,39,FALSE),"")</f>
        <v/>
      </c>
      <c r="S201" s="16" t="str">
        <f t="shared" si="37"/>
        <v/>
      </c>
      <c r="T201" s="7" t="str">
        <f t="shared" si="32"/>
        <v/>
      </c>
      <c r="U201" s="22" t="str">
        <f>VLOOKUP($C201,'Justice Spend Total'!$C:$BA,40,FALSE)</f>
        <v xml:space="preserve"> </v>
      </c>
      <c r="V201" s="15" t="str">
        <f>VLOOKUP($C201,'Justice Spend Total'!$C:$BA,41,FALSE)</f>
        <v xml:space="preserve"> </v>
      </c>
    </row>
    <row r="202" spans="1:23">
      <c r="A202">
        <v>200</v>
      </c>
      <c r="B202" t="s">
        <v>210</v>
      </c>
      <c r="C202" t="s">
        <v>425</v>
      </c>
      <c r="D202" t="s">
        <v>485</v>
      </c>
      <c r="E202" t="s">
        <v>486</v>
      </c>
      <c r="F202" s="17">
        <f>VLOOKUP(B202,'Justice Spend Total'!$B$4:$AQ$221,10,FALSE)</f>
        <v>2254.96</v>
      </c>
      <c r="G202" s="15">
        <f>VLOOKUP(C202,'Justice Spend Total'!$C$4:$AQ$221,10,FALSE)</f>
        <v>40.982730606918658</v>
      </c>
      <c r="H202">
        <f>VLOOKUP(C202,'Justice Spend Total'!$C$4:$AQ$221,7,FALSE)</f>
        <v>8440</v>
      </c>
      <c r="I202" s="17" t="str">
        <f t="shared" si="33"/>
        <v/>
      </c>
      <c r="J202" s="17" t="str">
        <f t="shared" si="34"/>
        <v/>
      </c>
      <c r="K202" s="17" t="str">
        <f t="shared" si="35"/>
        <v/>
      </c>
      <c r="L202" s="17" t="str">
        <f t="shared" si="36"/>
        <v/>
      </c>
      <c r="M202" s="16" t="str">
        <f>IF(ISNUMBER(VLOOKUP($C202,'Justice Spend Total'!$C:$BA,38,FALSE)),VLOOKUP($C202,'Justice Spend Total'!$C:$BA,38,FALSE),"")</f>
        <v/>
      </c>
      <c r="N202" s="16" t="str">
        <f>IF(ISNUMBER(VLOOKUP($C202,'Justice Spend Total'!$C:$BA,35,FALSE)),VLOOKUP($C202,'Justice Spend Total'!$C:$BA,35,FALSE),"")</f>
        <v/>
      </c>
      <c r="O202" s="16" t="str">
        <f>IF(ISNUMBER(VLOOKUP($C202,'Justice Spend Total'!$C:$BA,36,FALSE)),VLOOKUP($C202,'Justice Spend Total'!$C:$BA,36,FALSE),"")</f>
        <v/>
      </c>
      <c r="P202" s="16" t="str">
        <f>IF(ISNUMBER(VLOOKUP($C202,'Justice Spend Total'!$C:$BA,37,FALSE)),VLOOKUP($C202,'Justice Spend Total'!$C:$BA,37,FALSE),"")</f>
        <v/>
      </c>
      <c r="Q202" s="16" t="str">
        <f t="shared" si="31"/>
        <v/>
      </c>
      <c r="R202" s="15" t="str">
        <f>IF(ISNUMBER(VLOOKUP($C202,'Justice Spend Total'!$C:$BA,39,FALSE)),VLOOKUP($C202,'Justice Spend Total'!$C:$BA,39,FALSE),"")</f>
        <v/>
      </c>
      <c r="S202" s="16" t="str">
        <f t="shared" si="37"/>
        <v/>
      </c>
      <c r="T202" s="7" t="str">
        <f t="shared" si="32"/>
        <v/>
      </c>
      <c r="U202" s="22" t="str">
        <f>VLOOKUP($C202,'Justice Spend Total'!$C:$BA,40,FALSE)</f>
        <v xml:space="preserve"> </v>
      </c>
      <c r="V202" s="15" t="str">
        <f>VLOOKUP($C202,'Justice Spend Total'!$C:$BA,41,FALSE)</f>
        <v xml:space="preserve"> </v>
      </c>
    </row>
    <row r="203" spans="1:23">
      <c r="A203">
        <v>201</v>
      </c>
      <c r="B203" t="s">
        <v>239</v>
      </c>
      <c r="C203" t="s">
        <v>583</v>
      </c>
      <c r="D203" t="s">
        <v>497</v>
      </c>
      <c r="E203" t="s">
        <v>494</v>
      </c>
      <c r="F203" s="17">
        <f>VLOOKUP(B203,'Justice Spend Total'!$B$4:$AQ$221,10,FALSE)</f>
        <v>1.085</v>
      </c>
      <c r="G203" s="15">
        <f>VLOOKUP(C203,'Justice Spend Total'!$C$4:$AQ$221,10,FALSE)</f>
        <v>42.283710054559627</v>
      </c>
      <c r="H203">
        <f>VLOOKUP(C203,'Justice Spend Total'!$C$4:$AQ$221,7,FALSE)</f>
        <v>18560</v>
      </c>
      <c r="I203" s="17" t="str">
        <f t="shared" si="33"/>
        <v/>
      </c>
      <c r="J203" s="17" t="str">
        <f t="shared" si="34"/>
        <v/>
      </c>
      <c r="K203" s="17" t="str">
        <f t="shared" si="35"/>
        <v/>
      </c>
      <c r="L203" s="17" t="str">
        <f t="shared" si="36"/>
        <v/>
      </c>
      <c r="M203" s="16" t="str">
        <f>IF(ISNUMBER(VLOOKUP($C203,'Justice Spend Total'!$C:$BA,38,FALSE)),VLOOKUP($C203,'Justice Spend Total'!$C:$BA,38,FALSE),"")</f>
        <v/>
      </c>
      <c r="N203" s="16" t="str">
        <f>IF(ISNUMBER(VLOOKUP($C203,'Justice Spend Total'!$C:$BA,35,FALSE)),VLOOKUP($C203,'Justice Spend Total'!$C:$BA,35,FALSE),"")</f>
        <v/>
      </c>
      <c r="O203" s="16" t="str">
        <f>IF(ISNUMBER(VLOOKUP($C203,'Justice Spend Total'!$C:$BA,36,FALSE)),VLOOKUP($C203,'Justice Spend Total'!$C:$BA,36,FALSE),"")</f>
        <v/>
      </c>
      <c r="P203" s="16" t="str">
        <f>IF(ISNUMBER(VLOOKUP($C203,'Justice Spend Total'!$C:$BA,37,FALSE)),VLOOKUP($C203,'Justice Spend Total'!$C:$BA,37,FALSE),"")</f>
        <v/>
      </c>
      <c r="Q203" s="16" t="str">
        <f t="shared" si="31"/>
        <v/>
      </c>
      <c r="R203" s="15" t="str">
        <f>IF(ISNUMBER(VLOOKUP($C203,'Justice Spend Total'!$C:$BA,39,FALSE)),VLOOKUP($C203,'Justice Spend Total'!$C:$BA,39,FALSE),"")</f>
        <v/>
      </c>
      <c r="S203" s="16" t="str">
        <f t="shared" si="37"/>
        <v/>
      </c>
      <c r="T203" s="7" t="str">
        <f t="shared" si="32"/>
        <v/>
      </c>
      <c r="U203" s="22" t="str">
        <f>VLOOKUP($C203,'Justice Spend Total'!$C:$BA,40,FALSE)</f>
        <v xml:space="preserve"> </v>
      </c>
      <c r="V203" s="15" t="str">
        <f>VLOOKUP($C203,'Justice Spend Total'!$C:$BA,41,FALSE)</f>
        <v xml:space="preserve"> </v>
      </c>
    </row>
    <row r="204" spans="1:23">
      <c r="A204">
        <v>202</v>
      </c>
      <c r="B204" t="s">
        <v>217</v>
      </c>
      <c r="C204" t="s">
        <v>432</v>
      </c>
      <c r="D204" t="s">
        <v>497</v>
      </c>
      <c r="E204" t="s">
        <v>486</v>
      </c>
      <c r="F204" s="17">
        <f>VLOOKUP(B204,'Justice Spend Total'!$B$4:$AQ$221,10,FALSE)</f>
        <v>0.94399999999999995</v>
      </c>
      <c r="G204" s="15">
        <f>VLOOKUP(C204,'Justice Spend Total'!$C$4:$AQ$221,10,FALSE)</f>
        <v>21.626575028636882</v>
      </c>
      <c r="H204">
        <f>VLOOKUP(C204,'Justice Spend Total'!$C$4:$AQ$221,7,FALSE)</f>
        <v>9680</v>
      </c>
      <c r="I204" s="17" t="str">
        <f t="shared" si="33"/>
        <v/>
      </c>
      <c r="J204" s="17" t="str">
        <f t="shared" si="34"/>
        <v/>
      </c>
      <c r="K204" s="17" t="str">
        <f t="shared" si="35"/>
        <v/>
      </c>
      <c r="L204" s="17" t="str">
        <f t="shared" si="36"/>
        <v/>
      </c>
      <c r="M204" s="16" t="str">
        <f>IF(ISNUMBER(VLOOKUP($C204,'Justice Spend Total'!$C:$BA,38,FALSE)),VLOOKUP($C204,'Justice Spend Total'!$C:$BA,38,FALSE),"")</f>
        <v/>
      </c>
      <c r="N204" s="16" t="str">
        <f>IF(ISNUMBER(VLOOKUP($C204,'Justice Spend Total'!$C:$BA,35,FALSE)),VLOOKUP($C204,'Justice Spend Total'!$C:$BA,35,FALSE),"")</f>
        <v/>
      </c>
      <c r="O204" s="16" t="str">
        <f>IF(ISNUMBER(VLOOKUP($C204,'Justice Spend Total'!$C:$BA,36,FALSE)),VLOOKUP($C204,'Justice Spend Total'!$C:$BA,36,FALSE),"")</f>
        <v/>
      </c>
      <c r="P204" s="16" t="str">
        <f>IF(ISNUMBER(VLOOKUP($C204,'Justice Spend Total'!$C:$BA,37,FALSE)),VLOOKUP($C204,'Justice Spend Total'!$C:$BA,37,FALSE),"")</f>
        <v/>
      </c>
      <c r="Q204" s="16" t="str">
        <f t="shared" si="31"/>
        <v/>
      </c>
      <c r="R204" s="15" t="str">
        <f>IF(ISNUMBER(VLOOKUP($C204,'Justice Spend Total'!$C:$BA,39,FALSE)),VLOOKUP($C204,'Justice Spend Total'!$C:$BA,39,FALSE),"")</f>
        <v/>
      </c>
      <c r="S204" s="16" t="str">
        <f t="shared" si="37"/>
        <v/>
      </c>
      <c r="T204" s="7" t="str">
        <f t="shared" si="32"/>
        <v/>
      </c>
      <c r="U204" s="22" t="str">
        <f>VLOOKUP($C204,'Justice Spend Total'!$C:$BA,40,FALSE)</f>
        <v xml:space="preserve"> </v>
      </c>
      <c r="V204" s="15" t="str">
        <f>VLOOKUP($C204,'Justice Spend Total'!$C:$BA,41,FALSE)</f>
        <v xml:space="preserve"> </v>
      </c>
    </row>
    <row r="205" spans="1:23">
      <c r="A205">
        <v>203</v>
      </c>
      <c r="B205" t="s">
        <v>206</v>
      </c>
      <c r="C205" t="s">
        <v>421</v>
      </c>
      <c r="D205" t="s">
        <v>497</v>
      </c>
      <c r="E205" t="s">
        <v>486</v>
      </c>
      <c r="F205" s="17">
        <f>VLOOKUP(B205,'Justice Spend Total'!$B$4:$AQ$221,10,FALSE)</f>
        <v>0.74099999999999999</v>
      </c>
      <c r="G205" s="15">
        <f>VLOOKUP(C205,'Justice Spend Total'!$C$4:$AQ$221,10,FALSE)</f>
        <v>31.451612903225808</v>
      </c>
      <c r="H205">
        <f>VLOOKUP(C205,'Justice Spend Total'!$C$4:$AQ$221,7,FALSE)</f>
        <v>8100</v>
      </c>
      <c r="I205" s="17" t="str">
        <f t="shared" si="33"/>
        <v/>
      </c>
      <c r="J205" s="17" t="str">
        <f t="shared" si="34"/>
        <v/>
      </c>
      <c r="K205" s="17" t="str">
        <f t="shared" si="35"/>
        <v/>
      </c>
      <c r="L205" s="17" t="str">
        <f t="shared" si="36"/>
        <v/>
      </c>
      <c r="M205" s="16" t="str">
        <f>IF(ISNUMBER(VLOOKUP($C205,'Justice Spend Total'!$C:$BA,38,FALSE)),VLOOKUP($C205,'Justice Spend Total'!$C:$BA,38,FALSE),"")</f>
        <v/>
      </c>
      <c r="N205" s="16" t="str">
        <f>IF(ISNUMBER(VLOOKUP($C205,'Justice Spend Total'!$C:$BA,35,FALSE)),VLOOKUP($C205,'Justice Spend Total'!$C:$BA,35,FALSE),"")</f>
        <v/>
      </c>
      <c r="O205" s="16" t="str">
        <f>IF(ISNUMBER(VLOOKUP($C205,'Justice Spend Total'!$C:$BA,36,FALSE)),VLOOKUP($C205,'Justice Spend Total'!$C:$BA,36,FALSE),"")</f>
        <v/>
      </c>
      <c r="P205" s="16" t="str">
        <f>IF(ISNUMBER(VLOOKUP($C205,'Justice Spend Total'!$C:$BA,37,FALSE)),VLOOKUP($C205,'Justice Spend Total'!$C:$BA,37,FALSE),"")</f>
        <v/>
      </c>
      <c r="Q205" s="16" t="str">
        <f t="shared" si="31"/>
        <v/>
      </c>
      <c r="R205" s="15" t="str">
        <f>IF(ISNUMBER(VLOOKUP($C205,'Justice Spend Total'!$C:$BA,39,FALSE)),VLOOKUP($C205,'Justice Spend Total'!$C:$BA,39,FALSE),"")</f>
        <v/>
      </c>
      <c r="S205" s="16" t="str">
        <f t="shared" si="37"/>
        <v/>
      </c>
      <c r="T205" s="7" t="str">
        <f t="shared" si="32"/>
        <v/>
      </c>
      <c r="U205" s="22" t="str">
        <f>VLOOKUP($C205,'Justice Spend Total'!$C:$BA,40,FALSE)</f>
        <v xml:space="preserve"> </v>
      </c>
      <c r="V205" s="15" t="str">
        <f>VLOOKUP($C205,'Justice Spend Total'!$C:$BA,41,FALSE)</f>
        <v xml:space="preserve"> </v>
      </c>
    </row>
    <row r="206" spans="1:23">
      <c r="A206">
        <v>204</v>
      </c>
      <c r="B206" t="s">
        <v>175</v>
      </c>
      <c r="C206" t="s">
        <v>390</v>
      </c>
      <c r="D206" t="s">
        <v>497</v>
      </c>
      <c r="E206" t="s">
        <v>486</v>
      </c>
      <c r="F206" s="17">
        <f>VLOOKUP(B206,'Justice Spend Total'!$B$4:$AQ$221,10,FALSE)</f>
        <v>15.269</v>
      </c>
      <c r="G206" s="15">
        <f>VLOOKUP(C206,'Justice Spend Total'!$C$4:$AQ$221,10,FALSE)</f>
        <v>27.149715504978662</v>
      </c>
      <c r="H206">
        <f>VLOOKUP(C206,'Justice Spend Total'!$C$4:$AQ$221,7,FALSE)</f>
        <v>4440</v>
      </c>
      <c r="I206" s="17" t="str">
        <f t="shared" si="33"/>
        <v/>
      </c>
      <c r="J206" s="17" t="str">
        <f t="shared" si="34"/>
        <v/>
      </c>
      <c r="K206" s="17" t="str">
        <f t="shared" si="35"/>
        <v/>
      </c>
      <c r="L206" s="17" t="str">
        <f t="shared" si="36"/>
        <v/>
      </c>
      <c r="M206" s="16" t="str">
        <f>IF(ISNUMBER(VLOOKUP($C206,'Justice Spend Total'!$C:$BA,38,FALSE)),VLOOKUP($C206,'Justice Spend Total'!$C:$BA,38,FALSE),"")</f>
        <v/>
      </c>
      <c r="N206" s="16" t="str">
        <f>IF(ISNUMBER(VLOOKUP($C206,'Justice Spend Total'!$C:$BA,35,FALSE)),VLOOKUP($C206,'Justice Spend Total'!$C:$BA,35,FALSE),"")</f>
        <v/>
      </c>
      <c r="O206" s="16" t="str">
        <f>IF(ISNUMBER(VLOOKUP($C206,'Justice Spend Total'!$C:$BA,36,FALSE)),VLOOKUP($C206,'Justice Spend Total'!$C:$BA,36,FALSE),"")</f>
        <v/>
      </c>
      <c r="P206" s="16" t="str">
        <f>IF(ISNUMBER(VLOOKUP($C206,'Justice Spend Total'!$C:$BA,37,FALSE)),VLOOKUP($C206,'Justice Spend Total'!$C:$BA,37,FALSE),"")</f>
        <v/>
      </c>
      <c r="Q206" s="16" t="str">
        <f t="shared" si="31"/>
        <v/>
      </c>
      <c r="R206" s="15" t="str">
        <f>IF(ISNUMBER(VLOOKUP($C206,'Justice Spend Total'!$C:$BA,39,FALSE)),VLOOKUP($C206,'Justice Spend Total'!$C:$BA,39,FALSE),"")</f>
        <v/>
      </c>
      <c r="S206" s="16" t="str">
        <f t="shared" si="37"/>
        <v/>
      </c>
      <c r="T206" s="7" t="str">
        <f t="shared" si="32"/>
        <v/>
      </c>
      <c r="U206" s="22" t="str">
        <f>VLOOKUP($C206,'Justice Spend Total'!$C:$BA,40,FALSE)</f>
        <v xml:space="preserve"> </v>
      </c>
      <c r="V206" s="15" t="str">
        <f>VLOOKUP($C206,'Justice Spend Total'!$C:$BA,41,FALSE)</f>
        <v xml:space="preserve"> </v>
      </c>
    </row>
    <row r="207" spans="1:23">
      <c r="A207">
        <v>205</v>
      </c>
      <c r="B207" t="s">
        <v>114</v>
      </c>
      <c r="C207" t="s">
        <v>327</v>
      </c>
      <c r="D207" t="s">
        <v>487</v>
      </c>
      <c r="E207" t="s">
        <v>299</v>
      </c>
      <c r="F207" s="17">
        <f>VLOOKUP(B207,'Justice Spend Total'!$B$4:$AQ$221,10,FALSE)</f>
        <v>582.024</v>
      </c>
      <c r="G207" s="15">
        <f>VLOOKUP(C207,'Justice Spend Total'!$C$4:$AQ$221,10,FALSE)</f>
        <v>23.089685049053639</v>
      </c>
      <c r="H207">
        <f>VLOOKUP(C207,'Justice Spend Total'!$C$4:$AQ$221,7,FALSE)</f>
        <v>930</v>
      </c>
      <c r="I207" s="17" t="str">
        <f t="shared" si="33"/>
        <v/>
      </c>
      <c r="J207" s="17" t="str">
        <f t="shared" si="34"/>
        <v/>
      </c>
      <c r="K207" s="17" t="str">
        <f t="shared" si="35"/>
        <v/>
      </c>
      <c r="L207" s="17" t="str">
        <f t="shared" si="36"/>
        <v/>
      </c>
      <c r="M207" s="16" t="str">
        <f>IF(ISNUMBER(VLOOKUP($C207,'Justice Spend Total'!$C:$BA,38,FALSE)),VLOOKUP($C207,'Justice Spend Total'!$C:$BA,38,FALSE),"")</f>
        <v/>
      </c>
      <c r="N207" s="16" t="str">
        <f>IF(ISNUMBER(VLOOKUP($C207,'Justice Spend Total'!$C:$BA,35,FALSE)),VLOOKUP($C207,'Justice Spend Total'!$C:$BA,35,FALSE),"")</f>
        <v/>
      </c>
      <c r="O207" s="16" t="str">
        <f>IF(ISNUMBER(VLOOKUP($C207,'Justice Spend Total'!$C:$BA,36,FALSE)),VLOOKUP($C207,'Justice Spend Total'!$C:$BA,36,FALSE),"")</f>
        <v/>
      </c>
      <c r="P207" s="16" t="str">
        <f>IF(ISNUMBER(VLOOKUP($C207,'Justice Spend Total'!$C:$BA,37,FALSE)),VLOOKUP($C207,'Justice Spend Total'!$C:$BA,37,FALSE),"")</f>
        <v/>
      </c>
      <c r="Q207" s="16" t="str">
        <f t="shared" si="31"/>
        <v/>
      </c>
      <c r="R207" s="15" t="str">
        <f>IF(ISNUMBER(VLOOKUP($C207,'Justice Spend Total'!$C:$BA,39,FALSE)),VLOOKUP($C207,'Justice Spend Total'!$C:$BA,39,FALSE),"")</f>
        <v/>
      </c>
      <c r="S207" s="16" t="str">
        <f t="shared" si="37"/>
        <v/>
      </c>
      <c r="T207" s="7" t="str">
        <f t="shared" si="32"/>
        <v/>
      </c>
      <c r="U207" s="22" t="str">
        <f>VLOOKUP($C207,'Justice Spend Total'!$C:$BA,40,FALSE)</f>
        <v xml:space="preserve"> </v>
      </c>
      <c r="V207" s="15" t="str">
        <f>VLOOKUP($C207,'Justice Spend Total'!$C:$BA,41,FALSE)</f>
        <v xml:space="preserve"> </v>
      </c>
      <c r="W207" t="s">
        <v>484</v>
      </c>
    </row>
    <row r="208" spans="1:23">
      <c r="A208">
        <v>206</v>
      </c>
      <c r="B208" t="s">
        <v>266</v>
      </c>
      <c r="C208" t="s">
        <v>584</v>
      </c>
      <c r="D208" t="s">
        <v>493</v>
      </c>
      <c r="E208" t="s">
        <v>494</v>
      </c>
      <c r="F208" s="17">
        <f>VLOOKUP(B208,'Justice Spend Total'!$B$4:$AQ$221,10,FALSE)</f>
        <v>3036.13</v>
      </c>
      <c r="G208" s="15">
        <f>VLOOKUP(C208,'Justice Spend Total'!$C$4:$AQ$221,10,FALSE)</f>
        <v>15.335074197165458</v>
      </c>
      <c r="H208" t="str">
        <f>VLOOKUP(C208,'Justice Spend Total'!$C$4:$AQ$221,7,FALSE)</f>
        <v/>
      </c>
      <c r="I208" s="35" t="str">
        <f t="shared" si="33"/>
        <v/>
      </c>
      <c r="J208" s="35" t="str">
        <f t="shared" si="34"/>
        <v/>
      </c>
      <c r="K208" s="35" t="str">
        <f t="shared" si="35"/>
        <v/>
      </c>
      <c r="L208" s="35" t="str">
        <f t="shared" si="36"/>
        <v/>
      </c>
      <c r="M208" s="16" t="str">
        <f>IF(ISNUMBER(VLOOKUP($C208,'Justice Spend Total'!$C:$BA,38,FALSE)),VLOOKUP($C208,'Justice Spend Total'!$C:$BA,38,FALSE),"")</f>
        <v/>
      </c>
      <c r="N208" s="16" t="str">
        <f>IF(ISNUMBER(VLOOKUP($C208,'Justice Spend Total'!$C:$BA,35,FALSE)),VLOOKUP($C208,'Justice Spend Total'!$C:$BA,35,FALSE),"")</f>
        <v/>
      </c>
      <c r="O208" s="16" t="str">
        <f>IF(ISNUMBER(VLOOKUP($C208,'Justice Spend Total'!$C:$BA,36,FALSE)),VLOOKUP($C208,'Justice Spend Total'!$C:$BA,36,FALSE),"")</f>
        <v/>
      </c>
      <c r="P208" s="16" t="str">
        <f>IF(ISNUMBER(VLOOKUP($C208,'Justice Spend Total'!$C:$BA,37,FALSE)),VLOOKUP($C208,'Justice Spend Total'!$C:$BA,37,FALSE),"")</f>
        <v/>
      </c>
      <c r="Q208" s="16" t="str">
        <f t="shared" si="31"/>
        <v/>
      </c>
      <c r="R208" s="15" t="str">
        <f>IF(ISNUMBER(VLOOKUP($C208,'Justice Spend Total'!$C:$BA,39,FALSE)),VLOOKUP($C208,'Justice Spend Total'!$C:$BA,39,FALSE),"")</f>
        <v/>
      </c>
      <c r="S208" s="16" t="str">
        <f t="shared" si="37"/>
        <v/>
      </c>
      <c r="T208" s="7" t="str">
        <f t="shared" si="32"/>
        <v/>
      </c>
      <c r="U208" s="22" t="str">
        <f>VLOOKUP($C208,'Justice Spend Total'!$C:$BA,40,FALSE)</f>
        <v xml:space="preserve"> </v>
      </c>
      <c r="V208" s="15" t="str">
        <f>VLOOKUP($C208,'Justice Spend Total'!$C:$BA,41,FALSE)</f>
        <v xml:space="preserve"> </v>
      </c>
    </row>
    <row r="209" spans="1:46">
      <c r="A209">
        <v>207</v>
      </c>
      <c r="B209" t="s">
        <v>122</v>
      </c>
      <c r="C209" t="s">
        <v>336</v>
      </c>
      <c r="D209" t="s">
        <v>485</v>
      </c>
      <c r="E209" t="s">
        <v>488</v>
      </c>
      <c r="F209" s="17">
        <f>VLOOKUP(B209,'Justice Spend Total'!$B$4:$AQ$221,10,FALSE)</f>
        <v>20.841999999999999</v>
      </c>
      <c r="G209" s="15">
        <f>VLOOKUP(C209,'Justice Spend Total'!$C$4:$AQ$221,10,FALSE)</f>
        <v>24.824316920364943</v>
      </c>
      <c r="H209">
        <f>VLOOKUP(C209,'Justice Spend Total'!$C$4:$AQ$221,7,FALSE)</f>
        <v>1150</v>
      </c>
      <c r="I209" s="17" t="str">
        <f t="shared" si="33"/>
        <v/>
      </c>
      <c r="J209" s="17" t="str">
        <f t="shared" si="34"/>
        <v/>
      </c>
      <c r="K209" s="17" t="str">
        <f t="shared" si="35"/>
        <v/>
      </c>
      <c r="L209" s="17" t="str">
        <f t="shared" si="36"/>
        <v/>
      </c>
      <c r="M209" s="16" t="str">
        <f>IF(ISNUMBER(VLOOKUP($C209,'Justice Spend Total'!$C:$BA,38,FALSE)),VLOOKUP($C209,'Justice Spend Total'!$C:$BA,38,FALSE),"")</f>
        <v/>
      </c>
      <c r="N209" s="16" t="str">
        <f>IF(ISNUMBER(VLOOKUP($C209,'Justice Spend Total'!$C:$BA,35,FALSE)),VLOOKUP($C209,'Justice Spend Total'!$C:$BA,35,FALSE),"")</f>
        <v/>
      </c>
      <c r="O209" s="16" t="str">
        <f>IF(ISNUMBER(VLOOKUP($C209,'Justice Spend Total'!$C:$BA,36,FALSE)),VLOOKUP($C209,'Justice Spend Total'!$C:$BA,36,FALSE),"")</f>
        <v/>
      </c>
      <c r="P209" s="16" t="str">
        <f>IF(ISNUMBER(VLOOKUP($C209,'Justice Spend Total'!$C:$BA,37,FALSE)),VLOOKUP($C209,'Justice Spend Total'!$C:$BA,37,FALSE),"")</f>
        <v/>
      </c>
      <c r="Q209" s="16" t="str">
        <f t="shared" si="31"/>
        <v/>
      </c>
      <c r="R209" s="15" t="str">
        <f>IF(ISNUMBER(VLOOKUP($C209,'Justice Spend Total'!$C:$BA,39,FALSE)),VLOOKUP($C209,'Justice Spend Total'!$C:$BA,39,FALSE),"")</f>
        <v/>
      </c>
      <c r="S209" s="16" t="str">
        <f t="shared" si="37"/>
        <v/>
      </c>
      <c r="T209" s="7" t="str">
        <f t="shared" si="32"/>
        <v/>
      </c>
      <c r="U209" s="22" t="str">
        <f>VLOOKUP($C209,'Justice Spend Total'!$C:$BA,40,FALSE)</f>
        <v xml:space="preserve"> </v>
      </c>
      <c r="V209" s="15" t="str">
        <f>VLOOKUP($C209,'Justice Spend Total'!$C:$BA,41,FALSE)</f>
        <v xml:space="preserve"> </v>
      </c>
      <c r="W209" t="s">
        <v>484</v>
      </c>
    </row>
    <row r="210" spans="1:46">
      <c r="A210">
        <v>208</v>
      </c>
      <c r="B210" t="s">
        <v>187</v>
      </c>
      <c r="C210" t="s">
        <v>402</v>
      </c>
      <c r="D210" t="s">
        <v>493</v>
      </c>
      <c r="E210" t="s">
        <v>486</v>
      </c>
      <c r="F210" s="17">
        <f>VLOOKUP(B210,'Justice Spend Total'!$B$4:$AQ$221,10,FALSE)</f>
        <v>0.495</v>
      </c>
      <c r="G210" s="15">
        <f>VLOOKUP(C210,'Justice Spend Total'!$C$4:$AQ$221,10,FALSE)</f>
        <v>43.844109831709474</v>
      </c>
      <c r="H210">
        <f>VLOOKUP(C210,'Justice Spend Total'!$C$4:$AQ$221,7,FALSE)</f>
        <v>5190</v>
      </c>
      <c r="I210" s="17" t="str">
        <f t="shared" si="33"/>
        <v/>
      </c>
      <c r="J210" s="17" t="str">
        <f t="shared" si="34"/>
        <v/>
      </c>
      <c r="K210" s="17" t="str">
        <f t="shared" si="35"/>
        <v/>
      </c>
      <c r="L210" s="17" t="str">
        <f t="shared" si="36"/>
        <v/>
      </c>
      <c r="M210" s="16" t="str">
        <f>IF(ISNUMBER(VLOOKUP($C210,'Justice Spend Total'!$C:$BA,38,FALSE)),VLOOKUP($C210,'Justice Spend Total'!$C:$BA,38,FALSE),"")</f>
        <v/>
      </c>
      <c r="N210" s="16" t="str">
        <f>IF(ISNUMBER(VLOOKUP($C210,'Justice Spend Total'!$C:$BA,35,FALSE)),VLOOKUP($C210,'Justice Spend Total'!$C:$BA,35,FALSE),"")</f>
        <v/>
      </c>
      <c r="O210" s="16" t="str">
        <f>IF(ISNUMBER(VLOOKUP($C210,'Justice Spend Total'!$C:$BA,36,FALSE)),VLOOKUP($C210,'Justice Spend Total'!$C:$BA,36,FALSE),"")</f>
        <v/>
      </c>
      <c r="P210" s="16" t="str">
        <f>IF(ISNUMBER(VLOOKUP($C210,'Justice Spend Total'!$C:$BA,37,FALSE)),VLOOKUP($C210,'Justice Spend Total'!$C:$BA,37,FALSE),"")</f>
        <v/>
      </c>
      <c r="Q210" s="16" t="str">
        <f t="shared" si="31"/>
        <v/>
      </c>
      <c r="R210" s="15" t="str">
        <f>IF(ISNUMBER(VLOOKUP($C210,'Justice Spend Total'!$C:$BA,39,FALSE)),VLOOKUP($C210,'Justice Spend Total'!$C:$BA,39,FALSE),"")</f>
        <v/>
      </c>
      <c r="S210" s="16" t="str">
        <f t="shared" si="37"/>
        <v/>
      </c>
      <c r="T210" s="7" t="str">
        <f t="shared" si="32"/>
        <v/>
      </c>
      <c r="U210" s="22" t="str">
        <f>VLOOKUP($C210,'Justice Spend Total'!$C:$BA,40,FALSE)</f>
        <v xml:space="preserve"> </v>
      </c>
      <c r="V210" s="15" t="str">
        <f>VLOOKUP($C210,'Justice Spend Total'!$C:$BA,41,FALSE)</f>
        <v xml:space="preserve"> </v>
      </c>
    </row>
    <row r="211" spans="1:46">
      <c r="A211">
        <v>209</v>
      </c>
      <c r="B211" t="s">
        <v>234</v>
      </c>
      <c r="C211" t="s">
        <v>585</v>
      </c>
      <c r="D211" t="s">
        <v>497</v>
      </c>
      <c r="E211" t="s">
        <v>494</v>
      </c>
      <c r="F211" s="17">
        <f>VLOOKUP(B211,'Justice Spend Total'!$B$4:$AQ$221,10,FALSE)</f>
        <v>36.149000000000001</v>
      </c>
      <c r="G211" s="15">
        <f>VLOOKUP(C211,'Justice Spend Total'!$C$4:$AQ$221,10,FALSE)</f>
        <v>25.003285446509473</v>
      </c>
      <c r="H211">
        <f>VLOOKUP(C211,'Justice Spend Total'!$C$4:$AQ$221,7,FALSE)</f>
        <v>15070</v>
      </c>
      <c r="I211" s="17" t="str">
        <f t="shared" si="33"/>
        <v/>
      </c>
      <c r="J211" s="17" t="str">
        <f t="shared" si="34"/>
        <v/>
      </c>
      <c r="K211" s="17" t="str">
        <f t="shared" si="35"/>
        <v/>
      </c>
      <c r="L211" s="17" t="str">
        <f t="shared" si="36"/>
        <v/>
      </c>
      <c r="M211" s="16" t="str">
        <f>IF(ISNUMBER(VLOOKUP($C211,'Justice Spend Total'!$C:$BA,38,FALSE)),VLOOKUP($C211,'Justice Spend Total'!$C:$BA,38,FALSE),"")</f>
        <v/>
      </c>
      <c r="N211" s="16" t="str">
        <f>IF(ISNUMBER(VLOOKUP($C211,'Justice Spend Total'!$C:$BA,35,FALSE)),VLOOKUP($C211,'Justice Spend Total'!$C:$BA,35,FALSE),"")</f>
        <v/>
      </c>
      <c r="O211" s="16" t="str">
        <f>IF(ISNUMBER(VLOOKUP($C211,'Justice Spend Total'!$C:$BA,36,FALSE)),VLOOKUP($C211,'Justice Spend Total'!$C:$BA,36,FALSE),"")</f>
        <v/>
      </c>
      <c r="P211" s="16" t="str">
        <f>IF(ISNUMBER(VLOOKUP($C211,'Justice Spend Total'!$C:$BA,37,FALSE)),VLOOKUP($C211,'Justice Spend Total'!$C:$BA,37,FALSE),"")</f>
        <v/>
      </c>
      <c r="Q211" s="16" t="str">
        <f t="shared" si="31"/>
        <v/>
      </c>
      <c r="R211" s="15" t="str">
        <f>IF(ISNUMBER(VLOOKUP($C211,'Justice Spend Total'!$C:$BA,39,FALSE)),VLOOKUP($C211,'Justice Spend Total'!$C:$BA,39,FALSE),"")</f>
        <v/>
      </c>
      <c r="S211" s="16" t="str">
        <f t="shared" si="37"/>
        <v/>
      </c>
      <c r="T211" s="7" t="str">
        <f t="shared" si="32"/>
        <v/>
      </c>
      <c r="U211" s="22" t="str">
        <f>VLOOKUP($C211,'Justice Spend Total'!$C:$BA,40,FALSE)</f>
        <v xml:space="preserve"> </v>
      </c>
      <c r="V211" s="15" t="str">
        <f>VLOOKUP($C211,'Justice Spend Total'!$C:$BA,41,FALSE)</f>
        <v xml:space="preserve"> </v>
      </c>
    </row>
    <row r="212" spans="1:46">
      <c r="A212">
        <v>210</v>
      </c>
      <c r="B212" t="s">
        <v>162</v>
      </c>
      <c r="C212" t="s">
        <v>376</v>
      </c>
      <c r="D212" t="s">
        <v>487</v>
      </c>
      <c r="E212" t="s">
        <v>488</v>
      </c>
      <c r="F212" s="17">
        <f>VLOOKUP(B212,'Justice Spend Total'!$B$4:$AQ$221,10,FALSE)</f>
        <v>33.497</v>
      </c>
      <c r="G212" s="15">
        <f>VLOOKUP(C212,'Justice Spend Total'!$C$4:$AQ$221,10,FALSE)</f>
        <v>25.790531332527465</v>
      </c>
      <c r="H212">
        <f>VLOOKUP(C212,'Justice Spend Total'!$C$4:$AQ$221,7,FALSE)</f>
        <v>3630</v>
      </c>
      <c r="I212" s="17" t="str">
        <f t="shared" si="33"/>
        <v/>
      </c>
      <c r="J212" s="17" t="str">
        <f t="shared" si="34"/>
        <v/>
      </c>
      <c r="K212" s="17" t="str">
        <f t="shared" si="35"/>
        <v/>
      </c>
      <c r="L212" s="17" t="str">
        <f t="shared" si="36"/>
        <v/>
      </c>
      <c r="M212" s="16" t="str">
        <f>IF(ISNUMBER(VLOOKUP($C212,'Justice Spend Total'!$C:$BA,38,FALSE)),VLOOKUP($C212,'Justice Spend Total'!$C:$BA,38,FALSE),"")</f>
        <v/>
      </c>
      <c r="N212" s="16" t="str">
        <f>IF(ISNUMBER(VLOOKUP($C212,'Justice Spend Total'!$C:$BA,35,FALSE)),VLOOKUP($C212,'Justice Spend Total'!$C:$BA,35,FALSE),"")</f>
        <v/>
      </c>
      <c r="O212" s="16" t="str">
        <f>IF(ISNUMBER(VLOOKUP($C212,'Justice Spend Total'!$C:$BA,36,FALSE)),VLOOKUP($C212,'Justice Spend Total'!$C:$BA,36,FALSE),"")</f>
        <v/>
      </c>
      <c r="P212" s="16" t="str">
        <f>IF(ISNUMBER(VLOOKUP($C212,'Justice Spend Total'!$C:$BA,37,FALSE)),VLOOKUP($C212,'Justice Spend Total'!$C:$BA,37,FALSE),"")</f>
        <v/>
      </c>
      <c r="Q212" s="16" t="str">
        <f t="shared" si="31"/>
        <v/>
      </c>
      <c r="R212" s="15" t="str">
        <f>IF(ISNUMBER(VLOOKUP($C212,'Justice Spend Total'!$C:$BA,39,FALSE)),VLOOKUP($C212,'Justice Spend Total'!$C:$BA,39,FALSE),"")</f>
        <v/>
      </c>
      <c r="S212" s="16" t="str">
        <f t="shared" si="37"/>
        <v/>
      </c>
      <c r="T212" s="7" t="str">
        <f t="shared" si="32"/>
        <v/>
      </c>
      <c r="U212" s="22" t="str">
        <f>VLOOKUP($C212,'Justice Spend Total'!$C:$BA,40,FALSE)</f>
        <v xml:space="preserve"> </v>
      </c>
      <c r="V212" s="15" t="str">
        <f>VLOOKUP($C212,'Justice Spend Total'!$C:$BA,41,FALSE)</f>
        <v xml:space="preserve"> </v>
      </c>
      <c r="W212" t="s">
        <v>484</v>
      </c>
      <c r="AO212" s="97"/>
      <c r="AP212" s="97"/>
      <c r="AQ212" s="97"/>
      <c r="AR212" s="97"/>
      <c r="AS212" s="97"/>
      <c r="AT212" s="97"/>
    </row>
    <row r="213" spans="1:46">
      <c r="A213">
        <v>211</v>
      </c>
      <c r="B213" t="s">
        <v>202</v>
      </c>
      <c r="C213" t="s">
        <v>417</v>
      </c>
      <c r="D213" t="s">
        <v>485</v>
      </c>
      <c r="E213" t="s">
        <v>486</v>
      </c>
      <c r="F213" s="17">
        <f>VLOOKUP(B213,'Justice Spend Total'!$B$4:$AQ$221,10,FALSE)</f>
        <v>21.3</v>
      </c>
      <c r="G213" s="15">
        <f>VLOOKUP(C213,'Justice Spend Total'!$C$4:$AQ$221,10,FALSE)</f>
        <v>11.442200770334081</v>
      </c>
      <c r="H213">
        <f>VLOOKUP(C213,'Justice Spend Total'!$C$4:$AQ$221,7,FALSE)</f>
        <v>7220</v>
      </c>
      <c r="I213" s="17" t="str">
        <f t="shared" si="33"/>
        <v/>
      </c>
      <c r="J213" s="17" t="str">
        <f t="shared" si="34"/>
        <v/>
      </c>
      <c r="K213" s="17" t="str">
        <f t="shared" si="35"/>
        <v/>
      </c>
      <c r="L213" s="17" t="str">
        <f t="shared" si="36"/>
        <v/>
      </c>
      <c r="M213" s="16" t="str">
        <f>IF(ISNUMBER(VLOOKUP($C213,'Justice Spend Total'!$C:$BA,38,FALSE)),VLOOKUP($C213,'Justice Spend Total'!$C:$BA,38,FALSE),"")</f>
        <v/>
      </c>
      <c r="N213" s="16" t="str">
        <f>IF(ISNUMBER(VLOOKUP($C213,'Justice Spend Total'!$C:$BA,35,FALSE)),VLOOKUP($C213,'Justice Spend Total'!$C:$BA,35,FALSE),"")</f>
        <v/>
      </c>
      <c r="O213" s="16" t="str">
        <f>IF(ISNUMBER(VLOOKUP($C213,'Justice Spend Total'!$C:$BA,36,FALSE)),VLOOKUP($C213,'Justice Spend Total'!$C:$BA,36,FALSE),"")</f>
        <v/>
      </c>
      <c r="P213" s="16" t="str">
        <f>IF(ISNUMBER(VLOOKUP($C213,'Justice Spend Total'!$C:$BA,37,FALSE)),VLOOKUP($C213,'Justice Spend Total'!$C:$BA,37,FALSE),"")</f>
        <v/>
      </c>
      <c r="Q213" s="16" t="str">
        <f t="shared" si="31"/>
        <v/>
      </c>
      <c r="R213" s="15" t="str">
        <f>IF(ISNUMBER(VLOOKUP($C213,'Justice Spend Total'!$C:$BA,39,FALSE)),VLOOKUP($C213,'Justice Spend Total'!$C:$BA,39,FALSE),"")</f>
        <v/>
      </c>
      <c r="S213" s="16" t="str">
        <f t="shared" si="37"/>
        <v/>
      </c>
      <c r="T213" s="7" t="str">
        <f t="shared" si="32"/>
        <v/>
      </c>
      <c r="U213" s="22" t="str">
        <f>VLOOKUP($C213,'Justice Spend Total'!$C:$BA,40,FALSE)</f>
        <v xml:space="preserve"> </v>
      </c>
      <c r="V213" s="15" t="str">
        <f>VLOOKUP($C213,'Justice Spend Total'!$C:$BA,41,FALSE)</f>
        <v xml:space="preserve"> </v>
      </c>
    </row>
    <row r="214" spans="1:46">
      <c r="A214">
        <v>212</v>
      </c>
      <c r="B214" t="s">
        <v>247</v>
      </c>
      <c r="C214" t="s">
        <v>586</v>
      </c>
      <c r="D214" t="s">
        <v>497</v>
      </c>
      <c r="E214" t="s">
        <v>494</v>
      </c>
      <c r="F214" s="17" t="str">
        <f>VLOOKUP(B214,'Justice Spend Total'!$B$4:$AQ$221,10,FALSE)</f>
        <v xml:space="preserve"> </v>
      </c>
      <c r="G214" s="15" t="str">
        <f>VLOOKUP(C214,'Justice Spend Total'!$C$4:$AQ$221,10,FALSE)</f>
        <v xml:space="preserve"> </v>
      </c>
      <c r="H214">
        <f>VLOOKUP(C214,'Justice Spend Total'!$C$4:$AQ$221,7,FALSE)</f>
        <v>23600</v>
      </c>
      <c r="I214" s="17" t="str">
        <f t="shared" si="33"/>
        <v/>
      </c>
      <c r="J214" s="17" t="str">
        <f t="shared" si="34"/>
        <v/>
      </c>
      <c r="K214" s="17" t="str">
        <f t="shared" si="35"/>
        <v/>
      </c>
      <c r="L214" s="17" t="str">
        <f t="shared" si="36"/>
        <v/>
      </c>
      <c r="M214" s="16" t="str">
        <f>IF(ISNUMBER(VLOOKUP($C214,'Justice Spend Total'!$C:$BA,38,FALSE)),VLOOKUP($C214,'Justice Spend Total'!$C:$BA,38,FALSE),"")</f>
        <v/>
      </c>
      <c r="N214" s="16" t="str">
        <f>IF(ISNUMBER(VLOOKUP($C214,'Justice Spend Total'!$C:$BA,35,FALSE)),VLOOKUP($C214,'Justice Spend Total'!$C:$BA,35,FALSE),"")</f>
        <v/>
      </c>
      <c r="O214" s="16" t="str">
        <f>IF(ISNUMBER(VLOOKUP($C214,'Justice Spend Total'!$C:$BA,36,FALSE)),VLOOKUP($C214,'Justice Spend Total'!$C:$BA,36,FALSE),"")</f>
        <v/>
      </c>
      <c r="P214" s="16" t="str">
        <f>IF(ISNUMBER(VLOOKUP($C214,'Justice Spend Total'!$C:$BA,37,FALSE)),VLOOKUP($C214,'Justice Spend Total'!$C:$BA,37,FALSE),"")</f>
        <v/>
      </c>
      <c r="Q214" s="16" t="str">
        <f t="shared" si="31"/>
        <v/>
      </c>
      <c r="R214" s="15" t="str">
        <f>IF(ISNUMBER(VLOOKUP($C214,'Justice Spend Total'!$C:$BA,39,FALSE)),VLOOKUP($C214,'Justice Spend Total'!$C:$BA,39,FALSE),"")</f>
        <v/>
      </c>
      <c r="S214" s="16" t="str">
        <f t="shared" si="37"/>
        <v/>
      </c>
      <c r="T214" s="7" t="str">
        <f t="shared" si="32"/>
        <v/>
      </c>
      <c r="U214" s="22" t="str">
        <f>VLOOKUP($C214,'Justice Spend Total'!$C:$BA,40,FALSE)</f>
        <v xml:space="preserve"> </v>
      </c>
      <c r="V214" s="15" t="str">
        <f>VLOOKUP($C214,'Justice Spend Total'!$C:$BA,41,FALSE)</f>
        <v xml:space="preserve"> </v>
      </c>
    </row>
    <row r="215" spans="1:46">
      <c r="A215">
        <v>213</v>
      </c>
      <c r="B215" t="s">
        <v>197</v>
      </c>
      <c r="C215" t="s">
        <v>412</v>
      </c>
      <c r="D215" t="s">
        <v>493</v>
      </c>
      <c r="E215" t="s">
        <v>486</v>
      </c>
      <c r="F215" s="17">
        <f>VLOOKUP(B215,'Justice Spend Total'!$B$4:$AQ$221,10,FALSE)</f>
        <v>8.6999999999999994E-2</v>
      </c>
      <c r="G215" s="15">
        <f>VLOOKUP(C215,'Justice Spend Total'!$C$4:$AQ$221,10,FALSE)</f>
        <v>111.53846153846155</v>
      </c>
      <c r="H215">
        <f>VLOOKUP(C215,'Justice Spend Total'!$C$4:$AQ$221,7,FALSE)</f>
        <v>6760</v>
      </c>
      <c r="I215" s="17" t="str">
        <f t="shared" si="33"/>
        <v/>
      </c>
      <c r="J215" s="17" t="str">
        <f t="shared" si="34"/>
        <v/>
      </c>
      <c r="K215" s="17" t="str">
        <f t="shared" si="35"/>
        <v/>
      </c>
      <c r="L215" s="17" t="str">
        <f t="shared" si="36"/>
        <v/>
      </c>
      <c r="M215" s="16" t="str">
        <f>IF(ISNUMBER(VLOOKUP($C215,'Justice Spend Total'!$C:$BA,38,FALSE)),VLOOKUP($C215,'Justice Spend Total'!$C:$BA,38,FALSE),"")</f>
        <v/>
      </c>
      <c r="N215" s="16" t="str">
        <f>IF(ISNUMBER(VLOOKUP($C215,'Justice Spend Total'!$C:$BA,35,FALSE)),VLOOKUP($C215,'Justice Spend Total'!$C:$BA,35,FALSE),"")</f>
        <v/>
      </c>
      <c r="O215" s="16" t="str">
        <f>IF(ISNUMBER(VLOOKUP($C215,'Justice Spend Total'!$C:$BA,36,FALSE)),VLOOKUP($C215,'Justice Spend Total'!$C:$BA,36,FALSE),"")</f>
        <v/>
      </c>
      <c r="P215" s="16" t="str">
        <f>IF(ISNUMBER(VLOOKUP($C215,'Justice Spend Total'!$C:$BA,37,FALSE)),VLOOKUP($C215,'Justice Spend Total'!$C:$BA,37,FALSE),"")</f>
        <v/>
      </c>
      <c r="Q215" s="16" t="str">
        <f t="shared" si="31"/>
        <v/>
      </c>
      <c r="R215" s="15" t="str">
        <f>IF(ISNUMBER(VLOOKUP($C215,'Justice Spend Total'!$C:$BA,39,FALSE)),VLOOKUP($C215,'Justice Spend Total'!$C:$BA,39,FALSE),"")</f>
        <v/>
      </c>
      <c r="S215" s="16" t="str">
        <f t="shared" si="37"/>
        <v/>
      </c>
      <c r="T215" s="7" t="str">
        <f t="shared" si="32"/>
        <v/>
      </c>
      <c r="U215" s="22" t="str">
        <f>VLOOKUP($C215,'Justice Spend Total'!$C:$BA,40,FALSE)</f>
        <v xml:space="preserve"> </v>
      </c>
      <c r="V215" s="15" t="str">
        <f>VLOOKUP($C215,'Justice Spend Total'!$C:$BA,41,FALSE)</f>
        <v xml:space="preserve"> </v>
      </c>
    </row>
    <row r="216" spans="1:46" hidden="1">
      <c r="A216">
        <v>214</v>
      </c>
      <c r="B216" t="s">
        <v>587</v>
      </c>
      <c r="C216" t="s">
        <v>588</v>
      </c>
      <c r="D216" t="s">
        <v>497</v>
      </c>
      <c r="E216" t="s">
        <v>494</v>
      </c>
      <c r="F216" s="17" t="str">
        <f>VLOOKUP(B216,'Justice Spend Total'!$B$4:$AQ$221,10,FALSE)</f>
        <v xml:space="preserve"> </v>
      </c>
      <c r="G216" s="15" t="str">
        <f>VLOOKUP(C216,'Justice Spend Total'!$C$4:$AQ$221,10,FALSE)</f>
        <v xml:space="preserve"> </v>
      </c>
      <c r="H216" t="str">
        <f>VLOOKUP(C216,'Justice Spend Total'!$C$4:$AQ$221,7,FALSE)</f>
        <v/>
      </c>
      <c r="I216" s="35" t="str">
        <f t="shared" si="33"/>
        <v/>
      </c>
      <c r="J216" s="35" t="str">
        <f t="shared" si="34"/>
        <v/>
      </c>
      <c r="K216" s="35" t="str">
        <f t="shared" si="35"/>
        <v/>
      </c>
      <c r="L216" s="35" t="str">
        <f t="shared" si="36"/>
        <v/>
      </c>
      <c r="M216" s="16" t="str">
        <f>IF(ISNUMBER(VLOOKUP($C216,'Justice Spend Total'!$C:$BA,38,FALSE)),VLOOKUP($C216,'Justice Spend Total'!$C:$BA,38,FALSE),"")</f>
        <v/>
      </c>
      <c r="N216" s="16" t="str">
        <f>IF(ISNUMBER(VLOOKUP($C216,'Justice Spend Total'!$C:$BA,35,FALSE)),VLOOKUP($C216,'Justice Spend Total'!$C:$BA,35,FALSE),"")</f>
        <v/>
      </c>
      <c r="O216" s="16" t="str">
        <f>IF(ISNUMBER(VLOOKUP($C216,'Justice Spend Total'!$C:$BA,36,FALSE)),VLOOKUP($C216,'Justice Spend Total'!$C:$BA,36,FALSE),"")</f>
        <v/>
      </c>
      <c r="P216" s="16" t="str">
        <f>IF(ISNUMBER(VLOOKUP($C216,'Justice Spend Total'!$C:$BA,37,FALSE)),VLOOKUP($C216,'Justice Spend Total'!$C:$BA,37,FALSE),"")</f>
        <v/>
      </c>
      <c r="Q216" s="16" t="str">
        <f t="shared" si="31"/>
        <v/>
      </c>
      <c r="R216" s="15" t="str">
        <f>IF(ISNUMBER(VLOOKUP($C216,'Justice Spend Total'!$C:$BA,39,FALSE)),VLOOKUP($C216,'Justice Spend Total'!$C:$BA,39,FALSE),"")</f>
        <v/>
      </c>
      <c r="S216" s="16" t="str">
        <f t="shared" si="37"/>
        <v/>
      </c>
      <c r="T216" s="7" t="str">
        <f t="shared" si="32"/>
        <v/>
      </c>
      <c r="U216" t="str">
        <f>VLOOKUP($C216,'Justice Spend Total'!$C:$BA,40,FALSE)</f>
        <v xml:space="preserve"> </v>
      </c>
      <c r="V216" s="15" t="str">
        <f>VLOOKUP($C216,'Justice Spend Total'!$C:$BA,41,FALSE)</f>
        <v xml:space="preserve"> </v>
      </c>
    </row>
    <row r="217" spans="1:46">
      <c r="A217">
        <v>215</v>
      </c>
      <c r="B217" t="s">
        <v>235</v>
      </c>
      <c r="C217" t="s">
        <v>589</v>
      </c>
      <c r="D217" t="s">
        <v>497</v>
      </c>
      <c r="E217" t="s">
        <v>494</v>
      </c>
      <c r="F217" s="17">
        <f>VLOOKUP(B217,'Justice Spend Total'!$B$4:$AQ$221,10,FALSE)</f>
        <v>731.40099999999995</v>
      </c>
      <c r="G217" s="15">
        <f>VLOOKUP(C217,'Justice Spend Total'!$C$4:$AQ$221,10,FALSE)</f>
        <v>28.309922393605696</v>
      </c>
      <c r="H217">
        <f>VLOOKUP(C217,'Justice Spend Total'!$C$4:$AQ$221,7,FALSE)</f>
        <v>15800</v>
      </c>
      <c r="I217" s="17" t="str">
        <f t="shared" si="33"/>
        <v/>
      </c>
      <c r="J217" s="17" t="str">
        <f t="shared" si="34"/>
        <v/>
      </c>
      <c r="K217" s="17" t="str">
        <f t="shared" si="35"/>
        <v/>
      </c>
      <c r="L217" s="17" t="str">
        <f t="shared" si="36"/>
        <v/>
      </c>
      <c r="M217" s="16" t="str">
        <f>IF(ISNUMBER(VLOOKUP($C217,'Justice Spend Total'!$C:$BA,38,FALSE)),VLOOKUP($C217,'Justice Spend Total'!$C:$BA,38,FALSE),"")</f>
        <v/>
      </c>
      <c r="N217" s="16" t="str">
        <f>IF(ISNUMBER(VLOOKUP($C217,'Justice Spend Total'!$C:$BA,35,FALSE)),VLOOKUP($C217,'Justice Spend Total'!$C:$BA,35,FALSE),"")</f>
        <v/>
      </c>
      <c r="O217" s="16" t="str">
        <f>IF(ISNUMBER(VLOOKUP($C217,'Justice Spend Total'!$C:$BA,36,FALSE)),VLOOKUP($C217,'Justice Spend Total'!$C:$BA,36,FALSE),"")</f>
        <v/>
      </c>
      <c r="P217" s="16" t="str">
        <f>IF(ISNUMBER(VLOOKUP($C217,'Justice Spend Total'!$C:$BA,37,FALSE)),VLOOKUP($C217,'Justice Spend Total'!$C:$BA,37,FALSE),"")</f>
        <v/>
      </c>
      <c r="Q217" s="16" t="str">
        <f t="shared" si="31"/>
        <v/>
      </c>
      <c r="R217" s="15" t="str">
        <f>IF(ISNUMBER(VLOOKUP($C217,'Justice Spend Total'!$C:$BA,39,FALSE)),VLOOKUP($C217,'Justice Spend Total'!$C:$BA,39,FALSE),"")</f>
        <v/>
      </c>
      <c r="S217" s="16" t="str">
        <f t="shared" si="37"/>
        <v/>
      </c>
      <c r="T217" s="7" t="str">
        <f t="shared" si="32"/>
        <v/>
      </c>
      <c r="U217" s="22" t="str">
        <f>VLOOKUP($C217,'Justice Spend Total'!$C:$BA,40,FALSE)</f>
        <v xml:space="preserve"> </v>
      </c>
      <c r="V217" s="15" t="str">
        <f>VLOOKUP($C217,'Justice Spend Total'!$C:$BA,41,FALSE)</f>
        <v xml:space="preserve"> </v>
      </c>
    </row>
    <row r="218" spans="1:46">
      <c r="A218">
        <v>216</v>
      </c>
      <c r="B218" t="s">
        <v>226</v>
      </c>
      <c r="C218" t="s">
        <v>590</v>
      </c>
      <c r="D218" t="s">
        <v>497</v>
      </c>
      <c r="F218" s="17" t="str">
        <f>VLOOKUP(B218,'Justice Spend Total'!$B$4:$AQ$221,10,FALSE)</f>
        <v xml:space="preserve"> </v>
      </c>
      <c r="G218" s="15" t="str">
        <f>VLOOKUP(C218,'Justice Spend Total'!$C$4:$AQ$221,10,FALSE)</f>
        <v xml:space="preserve"> </v>
      </c>
      <c r="H218">
        <f>VLOOKUP(C218,'Justice Spend Total'!$C$4:$AQ$221,7,FALSE)</f>
        <v>13080</v>
      </c>
      <c r="I218" s="17" t="str">
        <f t="shared" si="33"/>
        <v/>
      </c>
      <c r="J218" s="17" t="str">
        <f t="shared" si="34"/>
        <v/>
      </c>
      <c r="K218" s="17" t="str">
        <f t="shared" si="35"/>
        <v/>
      </c>
      <c r="L218" s="17" t="str">
        <f t="shared" si="36"/>
        <v/>
      </c>
      <c r="M218" s="16" t="str">
        <f>IF(ISNUMBER(VLOOKUP($C218,'Justice Spend Total'!$C:$BA,38,FALSE)),VLOOKUP($C218,'Justice Spend Total'!$C:$BA,38,FALSE),"")</f>
        <v/>
      </c>
      <c r="N218" s="16" t="str">
        <f>IF(ISNUMBER(VLOOKUP($C218,'Justice Spend Total'!$C:$BA,35,FALSE)),VLOOKUP($C218,'Justice Spend Total'!$C:$BA,35,FALSE),"")</f>
        <v/>
      </c>
      <c r="O218" s="16" t="str">
        <f>IF(ISNUMBER(VLOOKUP($C218,'Justice Spend Total'!$C:$BA,36,FALSE)),VLOOKUP($C218,'Justice Spend Total'!$C:$BA,36,FALSE),"")</f>
        <v/>
      </c>
      <c r="P218" s="16" t="str">
        <f>IF(ISNUMBER(VLOOKUP($C218,'Justice Spend Total'!$C:$BA,37,FALSE)),VLOOKUP($C218,'Justice Spend Total'!$C:$BA,37,FALSE),"")</f>
        <v/>
      </c>
      <c r="Q218" s="16" t="str">
        <f t="shared" si="31"/>
        <v/>
      </c>
      <c r="R218" s="15" t="str">
        <f>IF(ISNUMBER(VLOOKUP($C218,'Justice Spend Total'!$C:$BA,39,FALSE)),VLOOKUP($C218,'Justice Spend Total'!$C:$BA,39,FALSE),"")</f>
        <v/>
      </c>
      <c r="S218" s="16" t="str">
        <f t="shared" si="37"/>
        <v/>
      </c>
      <c r="T218" s="7" t="str">
        <f t="shared" si="32"/>
        <v/>
      </c>
      <c r="U218" s="22" t="str">
        <f>VLOOKUP($C218,'Justice Spend Total'!$C:$BA,40,FALSE)</f>
        <v xml:space="preserve"> </v>
      </c>
      <c r="V218" s="15" t="str">
        <f>VLOOKUP($C218,'Justice Spend Total'!$C:$BA,41,FALSE)</f>
        <v xml:space="preserve"> </v>
      </c>
    </row>
    <row r="219" spans="1:46">
      <c r="A219">
        <v>217</v>
      </c>
      <c r="B219" t="s">
        <v>161</v>
      </c>
      <c r="C219" t="s">
        <v>375</v>
      </c>
      <c r="D219" t="s">
        <v>493</v>
      </c>
      <c r="E219" t="s">
        <v>488</v>
      </c>
      <c r="F219" s="17">
        <f>VLOOKUP(B219,'Justice Spend Total'!$B$4:$AQ$221,10,FALSE)</f>
        <v>1476551</v>
      </c>
      <c r="G219" s="15">
        <f>VLOOKUP(C219,'Justice Spend Total'!$C$4:$AQ$221,10,FALSE)</f>
        <v>18.535381248356675</v>
      </c>
      <c r="H219">
        <f>VLOOKUP(C219,'Justice Spend Total'!$C$4:$AQ$221,7,FALSE)</f>
        <v>3560</v>
      </c>
      <c r="I219" s="17" t="str">
        <f t="shared" si="33"/>
        <v/>
      </c>
      <c r="J219" s="17" t="str">
        <f t="shared" si="34"/>
        <v/>
      </c>
      <c r="K219" s="17" t="str">
        <f t="shared" si="35"/>
        <v/>
      </c>
      <c r="L219" s="17" t="str">
        <f t="shared" si="36"/>
        <v/>
      </c>
      <c r="M219" s="16" t="str">
        <f>IF(ISNUMBER(VLOOKUP($C219,'Justice Spend Total'!$C:$BA,38,FALSE)),VLOOKUP($C219,'Justice Spend Total'!$C:$BA,38,FALSE),"")</f>
        <v/>
      </c>
      <c r="N219" s="16" t="str">
        <f>IF(ISNUMBER(VLOOKUP($C219,'Justice Spend Total'!$C:$BA,35,FALSE)),VLOOKUP($C219,'Justice Spend Total'!$C:$BA,35,FALSE),"")</f>
        <v/>
      </c>
      <c r="O219" s="16" t="str">
        <f>IF(ISNUMBER(VLOOKUP($C219,'Justice Spend Total'!$C:$BA,36,FALSE)),VLOOKUP($C219,'Justice Spend Total'!$C:$BA,36,FALSE),"")</f>
        <v/>
      </c>
      <c r="P219" s="16" t="str">
        <f>IF(ISNUMBER(VLOOKUP($C219,'Justice Spend Total'!$C:$BA,37,FALSE)),VLOOKUP($C219,'Justice Spend Total'!$C:$BA,37,FALSE),"")</f>
        <v/>
      </c>
      <c r="Q219" s="16" t="str">
        <f t="shared" si="31"/>
        <v/>
      </c>
      <c r="R219" s="15" t="str">
        <f>IF(ISNUMBER(VLOOKUP($C219,'Justice Spend Total'!$C:$BA,39,FALSE)),VLOOKUP($C219,'Justice Spend Total'!$C:$BA,39,FALSE),"")</f>
        <v/>
      </c>
      <c r="S219" s="16" t="str">
        <f t="shared" si="37"/>
        <v/>
      </c>
      <c r="T219" s="7" t="str">
        <f t="shared" si="32"/>
        <v/>
      </c>
      <c r="U219" s="22" t="str">
        <f>VLOOKUP($C219,'Justice Spend Total'!$C:$BA,40,FALSE)</f>
        <v xml:space="preserve"> </v>
      </c>
      <c r="V219" s="15" t="str">
        <f>VLOOKUP($C219,'Justice Spend Total'!$C:$BA,41,FALSE)</f>
        <v xml:space="preserve"> </v>
      </c>
      <c r="W219" t="s">
        <v>484</v>
      </c>
    </row>
    <row r="220" spans="1:46">
      <c r="A220">
        <v>218</v>
      </c>
      <c r="B220" t="s">
        <v>107</v>
      </c>
      <c r="C220" t="s">
        <v>320</v>
      </c>
      <c r="D220" t="s">
        <v>487</v>
      </c>
      <c r="E220" t="s">
        <v>299</v>
      </c>
      <c r="F220" s="17">
        <f>VLOOKUP(B220,'Justice Spend Total'!$B$4:$AQ$221,10,FALSE)</f>
        <v>915</v>
      </c>
      <c r="G220" s="15">
        <f>VLOOKUP(C220,'Justice Spend Total'!$C$4:$AQ$221,10,FALSE)</f>
        <v>6.5366340835103216</v>
      </c>
      <c r="H220">
        <f>VLOOKUP(C220,'Justice Spend Total'!$C$4:$AQ$221,7,FALSE)</f>
        <v>670</v>
      </c>
      <c r="I220" s="17" t="str">
        <f t="shared" si="33"/>
        <v/>
      </c>
      <c r="J220" s="17" t="str">
        <f t="shared" si="34"/>
        <v/>
      </c>
      <c r="K220" s="17" t="str">
        <f t="shared" si="35"/>
        <v/>
      </c>
      <c r="L220" s="17" t="str">
        <f t="shared" si="36"/>
        <v/>
      </c>
      <c r="M220" s="16" t="str">
        <f>IF(ISNUMBER(VLOOKUP($C220,'Justice Spend Total'!$C:$BA,38,FALSE)),VLOOKUP($C220,'Justice Spend Total'!$C:$BA,38,FALSE),"")</f>
        <v/>
      </c>
      <c r="N220" s="16" t="str">
        <f>IF(ISNUMBER(VLOOKUP($C220,'Justice Spend Total'!$C:$BA,35,FALSE)),VLOOKUP($C220,'Justice Spend Total'!$C:$BA,35,FALSE),"")</f>
        <v/>
      </c>
      <c r="O220" s="16" t="str">
        <f>IF(ISNUMBER(VLOOKUP($C220,'Justice Spend Total'!$C:$BA,36,FALSE)),VLOOKUP($C220,'Justice Spend Total'!$C:$BA,36,FALSE),"")</f>
        <v/>
      </c>
      <c r="P220" s="16" t="str">
        <f>IF(ISNUMBER(VLOOKUP($C220,'Justice Spend Total'!$C:$BA,37,FALSE)),VLOOKUP($C220,'Justice Spend Total'!$C:$BA,37,FALSE),"")</f>
        <v/>
      </c>
      <c r="Q220" s="16" t="str">
        <f t="shared" si="31"/>
        <v/>
      </c>
      <c r="R220" s="15" t="str">
        <f>IF(ISNUMBER(VLOOKUP($C220,'Justice Spend Total'!$C:$BA,39,FALSE)),VLOOKUP($C220,'Justice Spend Total'!$C:$BA,39,FALSE),"")</f>
        <v/>
      </c>
      <c r="S220" s="16" t="str">
        <f t="shared" si="37"/>
        <v/>
      </c>
      <c r="T220" s="7" t="str">
        <f t="shared" si="32"/>
        <v/>
      </c>
      <c r="U220" s="22" t="str">
        <f>VLOOKUP($C220,'Justice Spend Total'!$C:$BA,40,FALSE)</f>
        <v xml:space="preserve"> </v>
      </c>
      <c r="V220" s="15" t="str">
        <f>VLOOKUP($C220,'Justice Spend Total'!$C:$BA,41,FALSE)</f>
        <v xml:space="preserve"> </v>
      </c>
      <c r="W220" t="s">
        <v>484</v>
      </c>
    </row>
    <row r="221" spans="1:46">
      <c r="M221" s="16"/>
      <c r="N221" s="16"/>
      <c r="O221" s="16" t="str">
        <f>IF(ISNUMBER(#REF!),(#REF!/(VLOOKUP(C221,'Justice Spend Total'!$C$4:$AQ$221,9,FALSE))*100),"")</f>
        <v/>
      </c>
      <c r="P221" s="16" t="str">
        <f>IF(ISNUMBER(#REF!),(#REF!/(VLOOKUP(C221,'Justice Spend Total'!$C$4:$AQ$221,9,FALSE))*100),"")</f>
        <v/>
      </c>
      <c r="Q221" s="16" t="str">
        <f t="shared" si="31"/>
        <v/>
      </c>
    </row>
    <row r="222" spans="1:46">
      <c r="M222" s="16"/>
      <c r="N222" s="16"/>
      <c r="O222" s="16" t="str">
        <f>IF(ISNUMBER(#REF!),(#REF!/(VLOOKUP(C222,'Justice Spend Total'!$C$4:$AQ$221,9,FALSE))*100),"")</f>
        <v/>
      </c>
      <c r="P222" s="16" t="str">
        <f>IF(ISNUMBER(#REF!),(#REF!/(VLOOKUP(C222,'Justice Spend Total'!$C$4:$AQ$221,9,FALSE))*100),"")</f>
        <v/>
      </c>
      <c r="Q222" s="16" t="str">
        <f t="shared" si="31"/>
        <v/>
      </c>
    </row>
    <row r="223" spans="1:46">
      <c r="M223" s="16"/>
      <c r="N223" s="16"/>
      <c r="O223" s="16" t="str">
        <f>IF(ISNUMBER(#REF!),(#REF!/(VLOOKUP(C223,'Justice Spend Total'!$C$4:$AQ$221,9,FALSE))*100),"")</f>
        <v/>
      </c>
      <c r="P223" s="16" t="str">
        <f>IF(ISNUMBER(#REF!),(#REF!/(VLOOKUP(C223,'Justice Spend Total'!$C$4:$AQ$221,9,FALSE))*100),"")</f>
        <v/>
      </c>
      <c r="Q223" s="16" t="str">
        <f t="shared" ref="Q223:Q254" si="38">IF(ISNUMBER(M223),M223-N223-O223-P223,"")</f>
        <v/>
      </c>
    </row>
    <row r="224" spans="1:46" ht="15" thickBot="1">
      <c r="M224" s="16"/>
      <c r="N224" s="16"/>
      <c r="O224" s="16" t="str">
        <f>IF(ISNUMBER(#REF!),(#REF!/(VLOOKUP(C224,'Justice Spend Total'!$C$4:$AQ$221,9,FALSE))*100),"")</f>
        <v/>
      </c>
      <c r="P224" s="16" t="str">
        <f>IF(ISNUMBER(#REF!),(#REF!/(VLOOKUP(C224,'Justice Spend Total'!$C$4:$AQ$221,9,FALSE))*100),"")</f>
        <v/>
      </c>
      <c r="Q224" s="16" t="str">
        <f t="shared" si="38"/>
        <v/>
      </c>
    </row>
    <row r="225" spans="5:17" ht="46.35" customHeight="1">
      <c r="E225" s="77"/>
      <c r="F225" s="68"/>
      <c r="G225" s="107" t="s">
        <v>591</v>
      </c>
      <c r="H225" s="69" t="s">
        <v>273</v>
      </c>
      <c r="M225" s="16"/>
      <c r="N225" s="16"/>
      <c r="O225" s="16" t="str">
        <f>IF(ISNUMBER(#REF!),(#REF!/(VLOOKUP(C225,'Justice Spend Total'!$C$4:$AQ$221,9,FALSE))*100),"")</f>
        <v/>
      </c>
      <c r="P225" s="16" t="str">
        <f>IF(ISNUMBER(#REF!),(#REF!/(VLOOKUP(C225,'Justice Spend Total'!$C$4:$AQ$221,9,FALSE))*100),"")</f>
        <v/>
      </c>
      <c r="Q225" s="16" t="str">
        <f t="shared" si="38"/>
        <v/>
      </c>
    </row>
    <row r="226" spans="5:17">
      <c r="E226" s="78" t="s">
        <v>282</v>
      </c>
      <c r="G226" s="15">
        <f>'Justice Spend Total'!C239</f>
        <v>21</v>
      </c>
      <c r="H226" s="111">
        <f>'Justice Spend Total'!D239</f>
        <v>3</v>
      </c>
      <c r="M226" s="16"/>
      <c r="N226" s="16"/>
      <c r="O226" s="16"/>
      <c r="P226" s="16"/>
      <c r="Q226" s="16" t="str">
        <f t="shared" si="38"/>
        <v/>
      </c>
    </row>
    <row r="227" spans="5:17">
      <c r="E227" s="78" t="s">
        <v>283</v>
      </c>
      <c r="G227" s="15">
        <f>'Justice Spend Total'!C240</f>
        <v>41</v>
      </c>
      <c r="H227" s="111">
        <f>'Justice Spend Total'!D240</f>
        <v>19</v>
      </c>
      <c r="M227" s="16"/>
      <c r="N227" s="16"/>
      <c r="O227" s="16"/>
      <c r="P227" s="16"/>
      <c r="Q227" s="16" t="str">
        <f t="shared" si="38"/>
        <v/>
      </c>
    </row>
    <row r="228" spans="5:17">
      <c r="E228" s="78" t="s">
        <v>284</v>
      </c>
      <c r="G228" s="15">
        <f>'Justice Spend Total'!C241</f>
        <v>26</v>
      </c>
      <c r="H228" s="111">
        <f>'Justice Spend Total'!D241</f>
        <v>26</v>
      </c>
      <c r="M228" s="16"/>
      <c r="N228" s="16"/>
      <c r="O228" s="16"/>
      <c r="P228" s="16"/>
      <c r="Q228" s="16" t="str">
        <f t="shared" si="38"/>
        <v/>
      </c>
    </row>
    <row r="229" spans="5:17">
      <c r="E229" s="78" t="s">
        <v>592</v>
      </c>
      <c r="G229" s="15">
        <f>'Justice Spend Total'!C242</f>
        <v>48</v>
      </c>
      <c r="H229" s="111">
        <f>'Justice Spend Total'!D242</f>
        <v>47</v>
      </c>
      <c r="M229" s="16"/>
      <c r="N229" s="16"/>
      <c r="O229" s="16"/>
      <c r="P229" s="16"/>
      <c r="Q229" s="16" t="str">
        <f t="shared" si="38"/>
        <v/>
      </c>
    </row>
    <row r="230" spans="5:17" ht="15" thickBot="1">
      <c r="E230" s="100" t="s">
        <v>285</v>
      </c>
      <c r="F230" s="101"/>
      <c r="G230" s="108">
        <f>'Justice Spend Total'!C243</f>
        <v>29</v>
      </c>
      <c r="H230" s="112">
        <f>'Justice Spend Total'!D243</f>
        <v>28</v>
      </c>
      <c r="M230" s="16"/>
      <c r="N230" s="16"/>
      <c r="O230" s="16"/>
      <c r="P230" s="16"/>
      <c r="Q230" s="16" t="str">
        <f t="shared" si="38"/>
        <v/>
      </c>
    </row>
    <row r="231" spans="5:17">
      <c r="M231" s="16"/>
      <c r="N231" s="16"/>
      <c r="O231" s="16"/>
      <c r="P231" s="16"/>
      <c r="Q231" s="16" t="str">
        <f t="shared" si="38"/>
        <v/>
      </c>
    </row>
    <row r="232" spans="5:17">
      <c r="M232" s="16"/>
      <c r="N232" s="16"/>
      <c r="O232" s="16"/>
      <c r="P232" s="16"/>
      <c r="Q232" s="16" t="str">
        <f t="shared" si="38"/>
        <v/>
      </c>
    </row>
    <row r="233" spans="5:17">
      <c r="M233" s="16"/>
      <c r="N233" s="16"/>
      <c r="O233" s="16"/>
      <c r="P233" s="16"/>
      <c r="Q233" s="16" t="str">
        <f t="shared" si="38"/>
        <v/>
      </c>
    </row>
    <row r="234" spans="5:17">
      <c r="M234" s="16"/>
      <c r="N234" s="16"/>
      <c r="O234" s="16"/>
      <c r="P234" s="16"/>
      <c r="Q234" s="16" t="str">
        <f t="shared" si="38"/>
        <v/>
      </c>
    </row>
    <row r="235" spans="5:17">
      <c r="M235" s="16"/>
      <c r="N235" s="16"/>
      <c r="O235" s="16"/>
      <c r="P235" s="16"/>
      <c r="Q235" s="16" t="str">
        <f t="shared" si="38"/>
        <v/>
      </c>
    </row>
    <row r="236" spans="5:17">
      <c r="M236" s="16"/>
      <c r="N236" s="16"/>
      <c r="O236" s="16"/>
      <c r="P236" s="16"/>
      <c r="Q236" s="16" t="str">
        <f t="shared" si="38"/>
        <v/>
      </c>
    </row>
    <row r="237" spans="5:17">
      <c r="M237" s="16"/>
      <c r="N237" s="16"/>
      <c r="O237" s="16"/>
      <c r="P237" s="16"/>
      <c r="Q237" s="16" t="str">
        <f t="shared" si="38"/>
        <v/>
      </c>
    </row>
    <row r="238" spans="5:17">
      <c r="M238" s="16"/>
      <c r="N238" s="16"/>
      <c r="O238" s="16"/>
      <c r="P238" s="16"/>
      <c r="Q238" s="16" t="str">
        <f t="shared" si="38"/>
        <v/>
      </c>
    </row>
    <row r="239" spans="5:17">
      <c r="M239" s="16"/>
      <c r="N239" s="16"/>
      <c r="O239" s="16"/>
      <c r="P239" s="16"/>
      <c r="Q239" s="16" t="str">
        <f t="shared" si="38"/>
        <v/>
      </c>
    </row>
    <row r="240" spans="5:17">
      <c r="M240" s="16"/>
      <c r="N240" s="16"/>
      <c r="O240" s="16"/>
      <c r="P240" s="16"/>
      <c r="Q240" s="16" t="str">
        <f t="shared" si="38"/>
        <v/>
      </c>
    </row>
    <row r="241" spans="13:17">
      <c r="M241" s="16"/>
      <c r="N241" s="16"/>
      <c r="O241" s="16"/>
      <c r="P241" s="16"/>
      <c r="Q241" s="16" t="str">
        <f t="shared" si="38"/>
        <v/>
      </c>
    </row>
    <row r="242" spans="13:17">
      <c r="M242" s="16"/>
      <c r="N242" s="16"/>
      <c r="O242" s="16"/>
      <c r="P242" s="16"/>
      <c r="Q242" s="16" t="str">
        <f t="shared" si="38"/>
        <v/>
      </c>
    </row>
    <row r="243" spans="13:17">
      <c r="M243" s="16"/>
      <c r="N243" s="16"/>
      <c r="O243" s="16"/>
      <c r="P243" s="16"/>
      <c r="Q243" s="16" t="str">
        <f t="shared" si="38"/>
        <v/>
      </c>
    </row>
    <row r="244" spans="13:17">
      <c r="M244" s="16"/>
      <c r="N244" s="16"/>
      <c r="O244" s="16"/>
      <c r="P244" s="16"/>
      <c r="Q244" s="16" t="str">
        <f t="shared" si="38"/>
        <v/>
      </c>
    </row>
    <row r="245" spans="13:17">
      <c r="M245" s="16"/>
      <c r="N245" s="16"/>
      <c r="O245" s="16"/>
      <c r="P245" s="16"/>
      <c r="Q245" s="16" t="str">
        <f t="shared" si="38"/>
        <v/>
      </c>
    </row>
    <row r="246" spans="13:17">
      <c r="M246" s="16"/>
      <c r="N246" s="16"/>
      <c r="O246" s="16"/>
      <c r="P246" s="16"/>
      <c r="Q246" s="16" t="str">
        <f t="shared" si="38"/>
        <v/>
      </c>
    </row>
    <row r="247" spans="13:17">
      <c r="M247" s="16"/>
      <c r="N247" s="16"/>
      <c r="O247" s="16"/>
      <c r="P247" s="16"/>
      <c r="Q247" s="16" t="str">
        <f t="shared" si="38"/>
        <v/>
      </c>
    </row>
    <row r="248" spans="13:17">
      <c r="M248" s="16"/>
      <c r="N248" s="16"/>
      <c r="O248" s="16"/>
      <c r="P248" s="16"/>
      <c r="Q248" s="16" t="str">
        <f t="shared" si="38"/>
        <v/>
      </c>
    </row>
    <row r="249" spans="13:17">
      <c r="M249" s="16"/>
      <c r="N249" s="16"/>
      <c r="O249" s="16"/>
      <c r="P249" s="16"/>
      <c r="Q249" s="16" t="str">
        <f t="shared" si="38"/>
        <v/>
      </c>
    </row>
    <row r="250" spans="13:17">
      <c r="M250" s="16"/>
      <c r="N250" s="16"/>
      <c r="O250" s="16"/>
      <c r="P250" s="16"/>
      <c r="Q250" s="16" t="str">
        <f t="shared" si="38"/>
        <v/>
      </c>
    </row>
    <row r="251" spans="13:17">
      <c r="M251" s="16"/>
      <c r="N251" s="16"/>
      <c r="O251" s="16"/>
      <c r="P251" s="16"/>
      <c r="Q251" s="16" t="str">
        <f t="shared" si="38"/>
        <v/>
      </c>
    </row>
    <row r="252" spans="13:17">
      <c r="M252" s="16"/>
      <c r="N252" s="16"/>
      <c r="O252" s="16"/>
      <c r="P252" s="16"/>
      <c r="Q252" s="16" t="str">
        <f t="shared" si="38"/>
        <v/>
      </c>
    </row>
    <row r="253" spans="13:17">
      <c r="M253" s="16"/>
      <c r="N253" s="16"/>
      <c r="O253" s="16"/>
      <c r="P253" s="16"/>
      <c r="Q253" s="16" t="str">
        <f t="shared" si="38"/>
        <v/>
      </c>
    </row>
    <row r="254" spans="13:17">
      <c r="M254" s="16"/>
      <c r="N254" s="16"/>
      <c r="O254" s="16"/>
      <c r="P254" s="16"/>
      <c r="Q254" s="16" t="str">
        <f t="shared" si="38"/>
        <v/>
      </c>
    </row>
    <row r="255" spans="13:17">
      <c r="M255" s="16"/>
      <c r="N255" s="16"/>
      <c r="O255" s="16"/>
      <c r="P255" s="16"/>
      <c r="Q255" s="16" t="str">
        <f t="shared" ref="Q255:Q266" si="39">IF(ISNUMBER(M255),M255-N255-O255-P255,"")</f>
        <v/>
      </c>
    </row>
    <row r="256" spans="13:17">
      <c r="M256" s="16"/>
      <c r="N256" s="16"/>
      <c r="O256" s="16"/>
      <c r="P256" s="16"/>
      <c r="Q256" s="16" t="str">
        <f t="shared" si="39"/>
        <v/>
      </c>
    </row>
    <row r="257" spans="13:17">
      <c r="M257" s="16"/>
      <c r="N257" s="16"/>
      <c r="O257" s="16"/>
      <c r="P257" s="16"/>
      <c r="Q257" s="16" t="str">
        <f t="shared" si="39"/>
        <v/>
      </c>
    </row>
    <row r="258" spans="13:17">
      <c r="M258" s="16"/>
      <c r="N258" s="16"/>
      <c r="O258" s="16"/>
      <c r="P258" s="16"/>
      <c r="Q258" s="16" t="str">
        <f t="shared" si="39"/>
        <v/>
      </c>
    </row>
    <row r="259" spans="13:17">
      <c r="M259" s="16"/>
      <c r="N259" s="16"/>
      <c r="O259" s="16"/>
      <c r="P259" s="16"/>
      <c r="Q259" s="16" t="str">
        <f t="shared" si="39"/>
        <v/>
      </c>
    </row>
    <row r="260" spans="13:17">
      <c r="M260" s="16"/>
      <c r="N260" s="16"/>
      <c r="O260" s="16"/>
      <c r="P260" s="16"/>
      <c r="Q260" s="16" t="str">
        <f t="shared" si="39"/>
        <v/>
      </c>
    </row>
    <row r="261" spans="13:17">
      <c r="M261" s="16"/>
      <c r="N261" s="16"/>
      <c r="O261" s="16"/>
      <c r="P261" s="16"/>
      <c r="Q261" s="16" t="str">
        <f t="shared" si="39"/>
        <v/>
      </c>
    </row>
    <row r="262" spans="13:17">
      <c r="M262" s="16"/>
      <c r="N262" s="16"/>
      <c r="O262" s="16"/>
      <c r="P262" s="16"/>
      <c r="Q262" s="16" t="str">
        <f t="shared" si="39"/>
        <v/>
      </c>
    </row>
    <row r="263" spans="13:17">
      <c r="M263" s="16"/>
      <c r="N263" s="16"/>
      <c r="O263" s="16"/>
      <c r="P263" s="16"/>
      <c r="Q263" s="16" t="str">
        <f t="shared" si="39"/>
        <v/>
      </c>
    </row>
    <row r="264" spans="13:17">
      <c r="M264" s="16"/>
      <c r="N264" s="16"/>
      <c r="O264" s="16"/>
      <c r="P264" s="16"/>
      <c r="Q264" s="16" t="str">
        <f t="shared" si="39"/>
        <v/>
      </c>
    </row>
    <row r="265" spans="13:17">
      <c r="M265" s="16"/>
      <c r="N265" s="16"/>
      <c r="O265" s="16"/>
      <c r="P265" s="16"/>
      <c r="Q265" s="16" t="str">
        <f t="shared" si="39"/>
        <v/>
      </c>
    </row>
    <row r="266" spans="13:17">
      <c r="M266" s="16"/>
      <c r="N266" s="16"/>
      <c r="O266" s="16"/>
      <c r="P266" s="16"/>
      <c r="Q266" s="16" t="str">
        <f t="shared" si="39"/>
        <v/>
      </c>
    </row>
    <row r="267" spans="13:17">
      <c r="M267" s="16"/>
      <c r="N267" s="16"/>
      <c r="O267" s="16"/>
      <c r="P267" s="16"/>
    </row>
    <row r="268" spans="13:17">
      <c r="M268" s="16"/>
      <c r="N268" s="16"/>
      <c r="O268" s="16"/>
      <c r="P268" s="16"/>
    </row>
    <row r="269" spans="13:17">
      <c r="M269" s="16"/>
      <c r="N269" s="16"/>
      <c r="O269" s="16"/>
      <c r="P269" s="16"/>
    </row>
    <row r="270" spans="13:17">
      <c r="M270" s="16"/>
      <c r="N270" s="16"/>
      <c r="O270" s="16"/>
      <c r="P270" s="16"/>
    </row>
    <row r="271" spans="13:17">
      <c r="M271" s="16"/>
      <c r="N271" s="16"/>
      <c r="O271" s="16"/>
      <c r="P271" s="16"/>
    </row>
    <row r="272" spans="13:17">
      <c r="M272" s="16"/>
      <c r="N272" s="16"/>
      <c r="O272" s="16"/>
      <c r="P272" s="16"/>
    </row>
    <row r="273" spans="13:16">
      <c r="M273" s="16"/>
      <c r="N273" s="16"/>
      <c r="O273" s="16"/>
      <c r="P273" s="16"/>
    </row>
    <row r="274" spans="13:16">
      <c r="M274" s="16"/>
      <c r="N274" s="16"/>
      <c r="O274" s="16"/>
      <c r="P274" s="16"/>
    </row>
    <row r="275" spans="13:16">
      <c r="M275" s="16"/>
      <c r="N275" s="16"/>
      <c r="O275" s="16"/>
      <c r="P275" s="16"/>
    </row>
    <row r="276" spans="13:16">
      <c r="M276" s="16"/>
      <c r="N276" s="16"/>
      <c r="O276" s="16"/>
      <c r="P276" s="16"/>
    </row>
    <row r="277" spans="13:16">
      <c r="M277" s="16"/>
      <c r="N277" s="16"/>
      <c r="O277" s="16"/>
      <c r="P277" s="16"/>
    </row>
    <row r="278" spans="13:16">
      <c r="M278" s="16"/>
      <c r="N278" s="16"/>
      <c r="O278" s="16"/>
      <c r="P278" s="16"/>
    </row>
    <row r="279" spans="13:16">
      <c r="M279" s="16"/>
      <c r="N279" s="16"/>
      <c r="O279" s="16"/>
      <c r="P279" s="16"/>
    </row>
    <row r="280" spans="13:16">
      <c r="M280" s="16"/>
      <c r="N280" s="16"/>
      <c r="O280" s="16"/>
      <c r="P280" s="16"/>
    </row>
    <row r="281" spans="13:16">
      <c r="M281" s="16"/>
      <c r="N281" s="16"/>
      <c r="O281" s="16"/>
      <c r="P281" s="16"/>
    </row>
    <row r="282" spans="13:16">
      <c r="M282" s="16"/>
      <c r="N282" s="16"/>
      <c r="O282" s="16"/>
      <c r="P282" s="16"/>
    </row>
    <row r="283" spans="13:16">
      <c r="M283" s="16"/>
      <c r="N283" s="16"/>
      <c r="O283" s="16"/>
      <c r="P283" s="16"/>
    </row>
    <row r="284" spans="13:16">
      <c r="M284" s="16"/>
      <c r="N284" s="16"/>
      <c r="O284" s="16"/>
      <c r="P284" s="16"/>
    </row>
    <row r="285" spans="13:16">
      <c r="M285" s="16"/>
      <c r="N285" s="16"/>
      <c r="O285" s="16"/>
      <c r="P285" s="16"/>
    </row>
    <row r="286" spans="13:16">
      <c r="M286" s="16"/>
      <c r="N286" s="16"/>
      <c r="O286" s="16"/>
      <c r="P286" s="16"/>
    </row>
    <row r="287" spans="13:16">
      <c r="M287" s="16"/>
      <c r="N287" s="16"/>
      <c r="O287" s="16"/>
      <c r="P287" s="16"/>
    </row>
    <row r="288" spans="13:16">
      <c r="M288" s="16"/>
      <c r="N288" s="16"/>
      <c r="O288" s="16"/>
      <c r="P288" s="16"/>
    </row>
    <row r="289" spans="13:16">
      <c r="M289" s="16"/>
      <c r="N289" s="16"/>
      <c r="O289" s="16"/>
      <c r="P289" s="16"/>
    </row>
    <row r="290" spans="13:16">
      <c r="M290" s="16"/>
      <c r="N290" s="16"/>
      <c r="O290" s="16"/>
      <c r="P290" s="16"/>
    </row>
    <row r="291" spans="13:16">
      <c r="M291" s="16"/>
      <c r="N291" s="16"/>
      <c r="O291" s="16"/>
      <c r="P291" s="16"/>
    </row>
    <row r="292" spans="13:16">
      <c r="M292" s="16"/>
      <c r="N292" s="16"/>
      <c r="O292" s="16"/>
      <c r="P292" s="16"/>
    </row>
    <row r="293" spans="13:16">
      <c r="M293" s="16"/>
      <c r="N293" s="16"/>
      <c r="O293" s="16"/>
      <c r="P293" s="16"/>
    </row>
    <row r="294" spans="13:16">
      <c r="M294" s="16"/>
      <c r="N294" s="16"/>
      <c r="O294" s="16"/>
      <c r="P294" s="16"/>
    </row>
    <row r="295" spans="13:16">
      <c r="M295" s="16"/>
      <c r="N295" s="16"/>
      <c r="O295" s="16"/>
      <c r="P295" s="16"/>
    </row>
    <row r="296" spans="13:16">
      <c r="M296" s="16"/>
      <c r="N296" s="16"/>
      <c r="O296" s="16"/>
      <c r="P296" s="16"/>
    </row>
    <row r="297" spans="13:16">
      <c r="M297" s="16"/>
      <c r="N297" s="16"/>
      <c r="O297" s="16"/>
      <c r="P297" s="16"/>
    </row>
    <row r="298" spans="13:16">
      <c r="M298" s="16"/>
      <c r="N298" s="16"/>
      <c r="O298" s="16"/>
      <c r="P298" s="16"/>
    </row>
    <row r="299" spans="13:16">
      <c r="M299" s="16"/>
      <c r="N299" s="16"/>
      <c r="O299" s="16"/>
      <c r="P299" s="16"/>
    </row>
    <row r="300" spans="13:16">
      <c r="M300" s="16"/>
      <c r="N300" s="16"/>
      <c r="O300" s="16"/>
      <c r="P300" s="16"/>
    </row>
    <row r="301" spans="13:16">
      <c r="M301" s="16"/>
      <c r="N301" s="16"/>
      <c r="O301" s="16"/>
      <c r="P301" s="16"/>
    </row>
    <row r="302" spans="13:16">
      <c r="M302" s="16"/>
      <c r="N302" s="16"/>
      <c r="O302" s="16"/>
      <c r="P302" s="16"/>
    </row>
    <row r="303" spans="13:16">
      <c r="M303" s="16"/>
      <c r="N303" s="16"/>
      <c r="O303" s="16"/>
      <c r="P303" s="16"/>
    </row>
    <row r="304" spans="13:16">
      <c r="M304" s="16"/>
      <c r="N304" s="16"/>
      <c r="O304" s="16"/>
      <c r="P304" s="16"/>
    </row>
    <row r="305" spans="13:16">
      <c r="M305" s="16"/>
      <c r="N305" s="16"/>
      <c r="O305" s="16"/>
      <c r="P305" s="16"/>
    </row>
    <row r="306" spans="13:16">
      <c r="M306" s="16"/>
      <c r="N306" s="16"/>
      <c r="O306" s="16"/>
      <c r="P306" s="16"/>
    </row>
    <row r="307" spans="13:16">
      <c r="M307" s="16"/>
      <c r="N307" s="16"/>
      <c r="O307" s="16"/>
      <c r="P307" s="16"/>
    </row>
    <row r="308" spans="13:16">
      <c r="M308" s="16"/>
      <c r="N308" s="16"/>
      <c r="O308" s="16"/>
      <c r="P308" s="16"/>
    </row>
    <row r="309" spans="13:16">
      <c r="M309" s="16"/>
      <c r="N309" s="16"/>
      <c r="O309" s="16"/>
      <c r="P309" s="16"/>
    </row>
    <row r="310" spans="13:16">
      <c r="M310" s="16"/>
      <c r="N310" s="16"/>
      <c r="O310" s="16"/>
      <c r="P310" s="16"/>
    </row>
    <row r="311" spans="13:16">
      <c r="M311" s="16"/>
      <c r="N311" s="16"/>
      <c r="O311" s="16"/>
      <c r="P311" s="16"/>
    </row>
    <row r="312" spans="13:16">
      <c r="M312" s="16"/>
      <c r="N312" s="16"/>
      <c r="O312" s="16"/>
      <c r="P312" s="16"/>
    </row>
    <row r="313" spans="13:16">
      <c r="M313" s="16"/>
      <c r="N313" s="16"/>
      <c r="O313" s="16"/>
      <c r="P313" s="16"/>
    </row>
    <row r="314" spans="13:16">
      <c r="M314" s="16"/>
      <c r="N314" s="16"/>
      <c r="O314" s="16"/>
      <c r="P314" s="16"/>
    </row>
    <row r="315" spans="13:16">
      <c r="M315" s="16"/>
      <c r="N315" s="16"/>
      <c r="O315" s="16"/>
      <c r="P315" s="16"/>
    </row>
    <row r="316" spans="13:16">
      <c r="M316" s="16"/>
      <c r="N316" s="16"/>
      <c r="O316" s="16"/>
      <c r="P316" s="16"/>
    </row>
    <row r="317" spans="13:16">
      <c r="M317" s="16"/>
      <c r="N317" s="16"/>
      <c r="O317" s="16"/>
      <c r="P317" s="16"/>
    </row>
    <row r="318" spans="13:16">
      <c r="M318" s="16"/>
      <c r="N318" s="16"/>
      <c r="O318" s="16"/>
      <c r="P318" s="16"/>
    </row>
    <row r="319" spans="13:16">
      <c r="M319" s="16"/>
      <c r="N319" s="16"/>
      <c r="O319" s="16"/>
      <c r="P319" s="16"/>
    </row>
    <row r="320" spans="13:16">
      <c r="M320" s="16"/>
      <c r="N320" s="16"/>
      <c r="O320" s="16"/>
      <c r="P320" s="16"/>
    </row>
    <row r="321" spans="13:16">
      <c r="M321" s="16"/>
      <c r="N321" s="16"/>
      <c r="O321" s="16"/>
      <c r="P321" s="16"/>
    </row>
    <row r="322" spans="13:16">
      <c r="M322" s="16"/>
      <c r="N322" s="16"/>
      <c r="O322" s="16"/>
      <c r="P322" s="16"/>
    </row>
    <row r="323" spans="13:16">
      <c r="M323" s="16"/>
      <c r="N323" s="16"/>
      <c r="O323" s="16"/>
      <c r="P323" s="16"/>
    </row>
    <row r="324" spans="13:16">
      <c r="M324" s="16"/>
      <c r="N324" s="16"/>
      <c r="O324" s="16"/>
      <c r="P324" s="16"/>
    </row>
    <row r="325" spans="13:16">
      <c r="M325" s="16"/>
      <c r="N325" s="16"/>
      <c r="O325" s="16"/>
      <c r="P325" s="16"/>
    </row>
    <row r="326" spans="13:16">
      <c r="M326" s="16"/>
      <c r="N326" s="16"/>
      <c r="O326" s="16"/>
      <c r="P326" s="16"/>
    </row>
    <row r="327" spans="13:16">
      <c r="M327" s="16"/>
      <c r="N327" s="16"/>
      <c r="O327" s="16"/>
      <c r="P327" s="16"/>
    </row>
    <row r="328" spans="13:16">
      <c r="M328" s="16"/>
      <c r="N328" s="16"/>
      <c r="O328" s="16"/>
      <c r="P328" s="16"/>
    </row>
    <row r="329" spans="13:16">
      <c r="M329" s="16"/>
      <c r="N329" s="16"/>
      <c r="O329" s="16"/>
      <c r="P329" s="16"/>
    </row>
    <row r="330" spans="13:16">
      <c r="M330" s="16"/>
      <c r="N330" s="16"/>
      <c r="O330" s="16"/>
      <c r="P330" s="16"/>
    </row>
    <row r="331" spans="13:16">
      <c r="M331" s="16"/>
      <c r="N331" s="16"/>
      <c r="O331" s="16"/>
      <c r="P331" s="16"/>
    </row>
    <row r="332" spans="13:16">
      <c r="M332" s="16"/>
      <c r="N332" s="16"/>
      <c r="O332" s="16"/>
      <c r="P332" s="16"/>
    </row>
    <row r="333" spans="13:16">
      <c r="M333" s="16"/>
      <c r="N333" s="16"/>
      <c r="O333" s="16"/>
      <c r="P333" s="16"/>
    </row>
    <row r="334" spans="13:16">
      <c r="M334" s="16"/>
      <c r="N334" s="16"/>
      <c r="O334" s="16"/>
      <c r="P334" s="16"/>
    </row>
    <row r="335" spans="13:16">
      <c r="M335" s="16"/>
      <c r="N335" s="16"/>
      <c r="O335" s="16"/>
      <c r="P335" s="16"/>
    </row>
    <row r="336" spans="13:16">
      <c r="M336" s="16"/>
      <c r="N336" s="16"/>
      <c r="O336" s="16"/>
      <c r="P336" s="16"/>
    </row>
    <row r="337" spans="13:16">
      <c r="M337" s="16"/>
      <c r="N337" s="16"/>
      <c r="O337" s="16"/>
      <c r="P337" s="16"/>
    </row>
    <row r="338" spans="13:16">
      <c r="M338" s="16"/>
      <c r="N338" s="16"/>
      <c r="O338" s="16"/>
      <c r="P338" s="16"/>
    </row>
    <row r="339" spans="13:16">
      <c r="M339" s="16"/>
      <c r="N339" s="16"/>
      <c r="O339" s="16"/>
      <c r="P339" s="16"/>
    </row>
    <row r="340" spans="13:16">
      <c r="M340" s="16"/>
      <c r="N340" s="16"/>
      <c r="O340" s="16"/>
      <c r="P340" s="16"/>
    </row>
    <row r="341" spans="13:16">
      <c r="M341" s="16"/>
      <c r="N341" s="16"/>
      <c r="O341" s="16"/>
      <c r="P341" s="16"/>
    </row>
    <row r="342" spans="13:16">
      <c r="M342" s="16"/>
      <c r="N342" s="16"/>
      <c r="O342" s="16"/>
      <c r="P342" s="16"/>
    </row>
    <row r="343" spans="13:16">
      <c r="M343" s="16"/>
      <c r="N343" s="16"/>
      <c r="O343" s="16"/>
      <c r="P343" s="16"/>
    </row>
    <row r="344" spans="13:16">
      <c r="M344" s="16"/>
      <c r="N344" s="16"/>
      <c r="O344" s="16"/>
      <c r="P344" s="16"/>
    </row>
    <row r="345" spans="13:16">
      <c r="M345" s="16"/>
      <c r="N345" s="16"/>
      <c r="O345" s="16"/>
      <c r="P345" s="16"/>
    </row>
    <row r="346" spans="13:16">
      <c r="M346" s="16"/>
      <c r="N346" s="16"/>
      <c r="O346" s="16"/>
      <c r="P346" s="16"/>
    </row>
    <row r="347" spans="13:16">
      <c r="M347" s="16"/>
      <c r="N347" s="16"/>
      <c r="O347" s="16"/>
      <c r="P347" s="16"/>
    </row>
    <row r="348" spans="13:16">
      <c r="M348" s="16"/>
      <c r="N348" s="16"/>
      <c r="O348" s="16"/>
      <c r="P348" s="16"/>
    </row>
    <row r="349" spans="13:16">
      <c r="M349" s="16"/>
      <c r="N349" s="16"/>
      <c r="O349" s="16"/>
      <c r="P349" s="16"/>
    </row>
    <row r="350" spans="13:16">
      <c r="M350" s="16"/>
      <c r="N350" s="16"/>
      <c r="O350" s="16"/>
      <c r="P350" s="16"/>
    </row>
    <row r="351" spans="13:16">
      <c r="M351" s="16"/>
      <c r="N351" s="16"/>
      <c r="O351" s="16"/>
      <c r="P351" s="16"/>
    </row>
    <row r="352" spans="13:16">
      <c r="M352" s="16"/>
      <c r="N352" s="16"/>
      <c r="O352" s="16"/>
      <c r="P352" s="16"/>
    </row>
    <row r="353" spans="13:16">
      <c r="M353" s="16"/>
      <c r="N353" s="16"/>
      <c r="O353" s="16"/>
      <c r="P353" s="16"/>
    </row>
    <row r="354" spans="13:16">
      <c r="M354" s="16"/>
      <c r="N354" s="16"/>
      <c r="O354" s="16"/>
      <c r="P354" s="16"/>
    </row>
    <row r="355" spans="13:16">
      <c r="M355" s="16"/>
      <c r="N355" s="16"/>
      <c r="O355" s="16"/>
      <c r="P355" s="16"/>
    </row>
    <row r="356" spans="13:16">
      <c r="M356" s="16"/>
      <c r="N356" s="16"/>
      <c r="O356" s="16"/>
      <c r="P356" s="16"/>
    </row>
    <row r="357" spans="13:16">
      <c r="M357" s="16"/>
      <c r="N357" s="16"/>
      <c r="O357" s="16"/>
      <c r="P357" s="16"/>
    </row>
    <row r="358" spans="13:16">
      <c r="M358" s="16"/>
      <c r="N358" s="16"/>
      <c r="O358" s="16"/>
      <c r="P358" s="16"/>
    </row>
    <row r="359" spans="13:16">
      <c r="M359" s="16"/>
      <c r="N359" s="16"/>
      <c r="O359" s="16"/>
      <c r="P359" s="16"/>
    </row>
    <row r="360" spans="13:16">
      <c r="M360" s="16"/>
      <c r="N360" s="16"/>
      <c r="O360" s="16"/>
      <c r="P360" s="16"/>
    </row>
    <row r="361" spans="13:16">
      <c r="M361" s="16"/>
      <c r="N361" s="16"/>
      <c r="O361" s="16"/>
      <c r="P361" s="16"/>
    </row>
    <row r="362" spans="13:16">
      <c r="M362" s="16"/>
      <c r="N362" s="16"/>
      <c r="O362" s="16"/>
      <c r="P362" s="16"/>
    </row>
    <row r="363" spans="13:16">
      <c r="M363" s="16"/>
      <c r="N363" s="16"/>
      <c r="O363" s="16"/>
      <c r="P363" s="16"/>
    </row>
    <row r="364" spans="13:16">
      <c r="M364" s="16"/>
      <c r="N364" s="16"/>
      <c r="O364" s="16"/>
      <c r="P364" s="16"/>
    </row>
    <row r="365" spans="13:16">
      <c r="M365" s="16"/>
      <c r="N365" s="16"/>
      <c r="O365" s="16"/>
      <c r="P365" s="16"/>
    </row>
    <row r="366" spans="13:16">
      <c r="M366" s="16"/>
      <c r="N366" s="16"/>
      <c r="O366" s="16"/>
      <c r="P366" s="16"/>
    </row>
    <row r="367" spans="13:16">
      <c r="M367" s="16"/>
      <c r="N367" s="16"/>
      <c r="O367" s="16"/>
      <c r="P367" s="16"/>
    </row>
    <row r="368" spans="13:16">
      <c r="M368" s="16"/>
      <c r="N368" s="16"/>
      <c r="O368" s="16"/>
      <c r="P368" s="16"/>
    </row>
    <row r="369" spans="13:16">
      <c r="M369" s="16"/>
      <c r="N369" s="16"/>
      <c r="O369" s="16"/>
      <c r="P369" s="16"/>
    </row>
    <row r="370" spans="13:16">
      <c r="M370" s="16"/>
      <c r="N370" s="16"/>
      <c r="O370" s="16"/>
      <c r="P370" s="16"/>
    </row>
    <row r="371" spans="13:16">
      <c r="M371" s="16"/>
      <c r="N371" s="16"/>
      <c r="O371" s="16"/>
      <c r="P371" s="16"/>
    </row>
    <row r="372" spans="13:16">
      <c r="M372" s="16"/>
      <c r="N372" s="16"/>
      <c r="O372" s="16"/>
      <c r="P372" s="16"/>
    </row>
    <row r="373" spans="13:16">
      <c r="M373" s="16"/>
      <c r="N373" s="16"/>
      <c r="O373" s="16"/>
      <c r="P373" s="16"/>
    </row>
    <row r="374" spans="13:16">
      <c r="M374" s="16"/>
      <c r="N374" s="16"/>
      <c r="O374" s="16"/>
      <c r="P374" s="16"/>
    </row>
    <row r="375" spans="13:16">
      <c r="M375" s="16"/>
      <c r="N375" s="16"/>
      <c r="O375" s="16"/>
      <c r="P375" s="16"/>
    </row>
    <row r="376" spans="13:16">
      <c r="M376" s="16"/>
      <c r="N376" s="16"/>
      <c r="O376" s="16"/>
      <c r="P376" s="16"/>
    </row>
    <row r="377" spans="13:16">
      <c r="M377" s="16"/>
      <c r="N377" s="16"/>
      <c r="O377" s="16"/>
      <c r="P377" s="16"/>
    </row>
    <row r="378" spans="13:16">
      <c r="M378" s="16"/>
      <c r="N378" s="16"/>
      <c r="O378" s="16"/>
      <c r="P378" s="16"/>
    </row>
    <row r="379" spans="13:16">
      <c r="M379" s="16"/>
      <c r="N379" s="16"/>
      <c r="O379" s="16"/>
      <c r="P379" s="16"/>
    </row>
    <row r="380" spans="13:16">
      <c r="M380" s="16"/>
      <c r="N380" s="16"/>
      <c r="O380" s="16"/>
      <c r="P380" s="16"/>
    </row>
    <row r="381" spans="13:16">
      <c r="M381" s="16"/>
      <c r="N381" s="16"/>
      <c r="O381" s="16"/>
      <c r="P381" s="16"/>
    </row>
    <row r="382" spans="13:16">
      <c r="M382" s="16"/>
      <c r="N382" s="16"/>
      <c r="O382" s="16"/>
      <c r="P382" s="16"/>
    </row>
    <row r="383" spans="13:16">
      <c r="M383" s="16"/>
      <c r="N383" s="16"/>
      <c r="O383" s="16"/>
      <c r="P383" s="16"/>
    </row>
    <row r="384" spans="13:16">
      <c r="M384" s="16"/>
      <c r="N384" s="16"/>
      <c r="O384" s="16"/>
      <c r="P384" s="16"/>
    </row>
    <row r="385" spans="13:16">
      <c r="M385" s="16"/>
      <c r="N385" s="16"/>
      <c r="O385" s="16"/>
      <c r="P385" s="16"/>
    </row>
    <row r="386" spans="13:16">
      <c r="M386" s="16"/>
      <c r="N386" s="16"/>
      <c r="O386" s="16"/>
      <c r="P386" s="16"/>
    </row>
    <row r="387" spans="13:16">
      <c r="M387" s="16"/>
      <c r="N387" s="16"/>
      <c r="O387" s="16"/>
      <c r="P387" s="16"/>
    </row>
    <row r="388" spans="13:16">
      <c r="M388" s="16"/>
      <c r="N388" s="16"/>
      <c r="O388" s="16"/>
      <c r="P388" s="16"/>
    </row>
    <row r="389" spans="13:16">
      <c r="M389" s="16"/>
      <c r="N389" s="16"/>
      <c r="O389" s="16"/>
      <c r="P389" s="16"/>
    </row>
    <row r="390" spans="13:16">
      <c r="M390" s="16"/>
      <c r="N390" s="16"/>
      <c r="O390" s="16"/>
      <c r="P390" s="16"/>
    </row>
    <row r="391" spans="13:16">
      <c r="M391" s="16"/>
      <c r="N391" s="16"/>
      <c r="O391" s="16"/>
      <c r="P391" s="16"/>
    </row>
    <row r="392" spans="13:16">
      <c r="M392" s="16"/>
      <c r="N392" s="16"/>
      <c r="O392" s="16"/>
      <c r="P392" s="16"/>
    </row>
    <row r="393" spans="13:16">
      <c r="M393" s="16"/>
      <c r="N393" s="16"/>
      <c r="O393" s="16"/>
      <c r="P393" s="16"/>
    </row>
    <row r="394" spans="13:16">
      <c r="M394" s="16"/>
      <c r="N394" s="16"/>
      <c r="O394" s="16"/>
      <c r="P394" s="16"/>
    </row>
    <row r="395" spans="13:16">
      <c r="M395" s="16"/>
      <c r="N395" s="16"/>
      <c r="O395" s="16"/>
      <c r="P395" s="16"/>
    </row>
    <row r="396" spans="13:16">
      <c r="M396" s="16"/>
      <c r="N396" s="16"/>
      <c r="O396" s="16"/>
      <c r="P396" s="16"/>
    </row>
    <row r="397" spans="13:16">
      <c r="M397" s="16"/>
      <c r="N397" s="16"/>
      <c r="O397" s="16"/>
      <c r="P397" s="16"/>
    </row>
    <row r="398" spans="13:16">
      <c r="M398" s="16"/>
      <c r="N398" s="16"/>
      <c r="O398" s="16"/>
      <c r="P398" s="16"/>
    </row>
    <row r="399" spans="13:16">
      <c r="M399" s="16"/>
      <c r="N399" s="16"/>
      <c r="O399" s="16"/>
      <c r="P399" s="16"/>
    </row>
    <row r="400" spans="13:16">
      <c r="M400" s="16"/>
      <c r="N400" s="16"/>
      <c r="O400" s="16"/>
      <c r="P400" s="16"/>
    </row>
    <row r="401" spans="13:16">
      <c r="M401" s="16"/>
      <c r="N401" s="16"/>
      <c r="O401" s="16"/>
      <c r="P401" s="16"/>
    </row>
    <row r="402" spans="13:16">
      <c r="M402" s="16"/>
      <c r="N402" s="16"/>
      <c r="O402" s="16"/>
      <c r="P402" s="16"/>
    </row>
    <row r="403" spans="13:16">
      <c r="M403" s="16"/>
      <c r="N403" s="16"/>
      <c r="O403" s="16"/>
      <c r="P403" s="16"/>
    </row>
    <row r="404" spans="13:16">
      <c r="M404" s="16"/>
      <c r="N404" s="16"/>
      <c r="O404" s="16"/>
      <c r="P404" s="16"/>
    </row>
    <row r="405" spans="13:16">
      <c r="M405" s="16"/>
      <c r="N405" s="16"/>
      <c r="O405" s="16"/>
      <c r="P405" s="16"/>
    </row>
    <row r="406" spans="13:16">
      <c r="M406" s="16"/>
      <c r="N406" s="16"/>
      <c r="O406" s="16"/>
      <c r="P406" s="16"/>
    </row>
    <row r="407" spans="13:16">
      <c r="M407" s="16"/>
      <c r="N407" s="16"/>
      <c r="O407" s="16"/>
      <c r="P407" s="16"/>
    </row>
    <row r="408" spans="13:16">
      <c r="M408" s="16"/>
      <c r="N408" s="16"/>
      <c r="O408" s="16"/>
      <c r="P408" s="16"/>
    </row>
    <row r="409" spans="13:16">
      <c r="M409" s="16"/>
      <c r="N409" s="16"/>
      <c r="O409" s="16"/>
      <c r="P409" s="16"/>
    </row>
    <row r="410" spans="13:16">
      <c r="M410" s="16"/>
      <c r="N410" s="16"/>
      <c r="O410" s="16"/>
      <c r="P410" s="16"/>
    </row>
    <row r="411" spans="13:16">
      <c r="M411" s="16"/>
      <c r="N411" s="16"/>
      <c r="O411" s="16"/>
      <c r="P411" s="16"/>
    </row>
    <row r="412" spans="13:16">
      <c r="M412" s="16"/>
      <c r="N412" s="16"/>
      <c r="O412" s="16"/>
      <c r="P412" s="16"/>
    </row>
    <row r="413" spans="13:16">
      <c r="M413" s="16"/>
      <c r="N413" s="16"/>
      <c r="O413" s="16"/>
      <c r="P413" s="16"/>
    </row>
    <row r="414" spans="13:16">
      <c r="M414" s="16"/>
      <c r="N414" s="16"/>
      <c r="O414" s="16"/>
      <c r="P414" s="16"/>
    </row>
    <row r="415" spans="13:16">
      <c r="M415" s="16"/>
      <c r="N415" s="16"/>
      <c r="O415" s="16"/>
      <c r="P415" s="16"/>
    </row>
    <row r="416" spans="13:16">
      <c r="M416" s="16"/>
      <c r="N416" s="16"/>
      <c r="O416" s="16"/>
      <c r="P416" s="16"/>
    </row>
    <row r="417" spans="13:16">
      <c r="M417" s="16"/>
      <c r="N417" s="16"/>
      <c r="O417" s="16"/>
      <c r="P417" s="16"/>
    </row>
    <row r="418" spans="13:16">
      <c r="M418" s="16"/>
      <c r="N418" s="16"/>
      <c r="O418" s="16"/>
      <c r="P418" s="16"/>
    </row>
    <row r="419" spans="13:16">
      <c r="M419" s="16"/>
      <c r="N419" s="16"/>
      <c r="O419" s="16"/>
      <c r="P419" s="16"/>
    </row>
    <row r="420" spans="13:16">
      <c r="M420" s="16"/>
      <c r="N420" s="16"/>
      <c r="O420" s="16"/>
      <c r="P420" s="16"/>
    </row>
    <row r="421" spans="13:16">
      <c r="M421" s="16"/>
      <c r="N421" s="16"/>
      <c r="O421" s="16"/>
      <c r="P421" s="16"/>
    </row>
    <row r="422" spans="13:16">
      <c r="M422" s="16"/>
      <c r="N422" s="16"/>
      <c r="O422" s="16"/>
      <c r="P422" s="16"/>
    </row>
    <row r="423" spans="13:16">
      <c r="M423" s="16"/>
      <c r="N423" s="16"/>
      <c r="O423" s="16"/>
      <c r="P423" s="16"/>
    </row>
    <row r="424" spans="13:16">
      <c r="M424" s="16"/>
      <c r="N424" s="16"/>
      <c r="O424" s="16"/>
      <c r="P424" s="16"/>
    </row>
    <row r="425" spans="13:16">
      <c r="M425" s="16"/>
      <c r="N425" s="16"/>
      <c r="O425" s="16"/>
      <c r="P425" s="16"/>
    </row>
    <row r="426" spans="13:16">
      <c r="M426" s="16"/>
      <c r="N426" s="16"/>
      <c r="O426" s="16"/>
      <c r="P426" s="16"/>
    </row>
    <row r="427" spans="13:16">
      <c r="M427" s="16"/>
      <c r="N427" s="16"/>
      <c r="O427" s="16"/>
      <c r="P427" s="16"/>
    </row>
    <row r="428" spans="13:16">
      <c r="M428" s="16"/>
      <c r="N428" s="16"/>
      <c r="O428" s="16"/>
      <c r="P428" s="16"/>
    </row>
    <row r="429" spans="13:16">
      <c r="M429" s="16"/>
      <c r="N429" s="16"/>
      <c r="O429" s="16"/>
      <c r="P429" s="16"/>
    </row>
    <row r="430" spans="13:16">
      <c r="M430" s="16"/>
      <c r="N430" s="16"/>
      <c r="O430" s="16"/>
      <c r="P430" s="16"/>
    </row>
    <row r="431" spans="13:16">
      <c r="M431" s="16"/>
      <c r="N431" s="16"/>
      <c r="O431" s="16"/>
      <c r="P431" s="16"/>
    </row>
    <row r="432" spans="13:16">
      <c r="M432" s="16"/>
      <c r="N432" s="16"/>
      <c r="O432" s="16"/>
      <c r="P432" s="16"/>
    </row>
    <row r="433" spans="13:16">
      <c r="M433" s="16"/>
      <c r="N433" s="16"/>
      <c r="O433" s="16"/>
      <c r="P433" s="16"/>
    </row>
    <row r="434" spans="13:16">
      <c r="M434" s="16"/>
      <c r="N434" s="16"/>
      <c r="O434" s="16"/>
      <c r="P434" s="16"/>
    </row>
    <row r="435" spans="13:16">
      <c r="M435" s="16"/>
      <c r="N435" s="16"/>
      <c r="O435" s="16"/>
      <c r="P435" s="16"/>
    </row>
    <row r="436" spans="13:16">
      <c r="M436" s="16"/>
      <c r="N436" s="16"/>
      <c r="O436" s="16"/>
      <c r="P436" s="16"/>
    </row>
    <row r="437" spans="13:16">
      <c r="M437" s="16"/>
      <c r="N437" s="16"/>
      <c r="O437" s="16"/>
      <c r="P437" s="16"/>
    </row>
    <row r="438" spans="13:16">
      <c r="M438" s="16"/>
      <c r="N438" s="16"/>
      <c r="O438" s="16"/>
      <c r="P438" s="16"/>
    </row>
    <row r="439" spans="13:16">
      <c r="M439" s="16"/>
      <c r="N439" s="16"/>
      <c r="O439" s="16"/>
      <c r="P439" s="16"/>
    </row>
    <row r="440" spans="13:16">
      <c r="M440" s="16"/>
      <c r="N440" s="16"/>
      <c r="O440" s="16"/>
      <c r="P440" s="16"/>
    </row>
    <row r="441" spans="13:16">
      <c r="M441" s="16"/>
      <c r="N441" s="16"/>
      <c r="O441" s="16"/>
      <c r="P441" s="16"/>
    </row>
    <row r="442" spans="13:16">
      <c r="M442" s="16"/>
      <c r="N442" s="16"/>
      <c r="O442" s="16"/>
      <c r="P442" s="16"/>
    </row>
    <row r="443" spans="13:16">
      <c r="M443" s="16"/>
      <c r="N443" s="16"/>
      <c r="O443" s="16"/>
      <c r="P443" s="16"/>
    </row>
  </sheetData>
  <sortState xmlns:xlrd2="http://schemas.microsoft.com/office/spreadsheetml/2017/richdata2" ref="B3:Y158">
    <sortCondition ref="B3:B158"/>
  </sortState>
  <mergeCells count="3">
    <mergeCell ref="I1:L1"/>
    <mergeCell ref="M1:Q1"/>
    <mergeCell ref="S1:T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A9E-451C-43FD-9466-6F8D7C54B70F}">
  <sheetPr>
    <pageSetUpPr fitToPage="1"/>
  </sheetPr>
  <dimension ref="A1:T443"/>
  <sheetViews>
    <sheetView topLeftCell="N1" workbookViewId="0">
      <pane ySplit="2" topLeftCell="A14" activePane="bottomLeft" state="frozen"/>
      <selection pane="bottomLeft"/>
    </sheetView>
  </sheetViews>
  <sheetFormatPr defaultColWidth="8.85546875" defaultRowHeight="14.45"/>
  <cols>
    <col min="1" max="1" width="8.85546875" customWidth="1"/>
    <col min="2" max="2" width="14.28515625" customWidth="1"/>
    <col min="3" max="3" width="8.85546875" customWidth="1"/>
    <col min="4" max="4" width="0.140625" customWidth="1"/>
    <col min="5" max="5" width="4.42578125" customWidth="1"/>
    <col min="6" max="6" width="14.42578125" customWidth="1"/>
    <col min="7" max="7" width="15.85546875" style="15" customWidth="1"/>
    <col min="8" max="8" width="22.28515625" customWidth="1"/>
    <col min="9" max="9" width="13.140625" customWidth="1"/>
    <col min="10" max="10" width="10" customWidth="1"/>
    <col min="11" max="11" width="7.85546875" customWidth="1"/>
    <col min="12" max="12" width="11.28515625" customWidth="1"/>
    <col min="13" max="13" width="9.140625" customWidth="1"/>
    <col min="14" max="14" width="7.140625" customWidth="1"/>
    <col min="15" max="15" width="6.5703125" customWidth="1"/>
    <col min="16" max="16" width="6.42578125" customWidth="1"/>
    <col min="17" max="17" width="12.42578125" style="15" customWidth="1"/>
    <col min="19" max="19" width="11.42578125" customWidth="1"/>
  </cols>
  <sheetData>
    <row r="1" spans="1:20" s="53" customFormat="1" ht="29.1">
      <c r="G1" s="106"/>
      <c r="I1" s="160" t="s">
        <v>471</v>
      </c>
      <c r="J1" s="160"/>
      <c r="K1" s="160"/>
      <c r="L1" s="160"/>
      <c r="M1" s="160" t="s">
        <v>593</v>
      </c>
      <c r="N1" s="160"/>
      <c r="O1" s="160"/>
      <c r="P1" s="160"/>
      <c r="Q1" s="153" t="s">
        <v>473</v>
      </c>
      <c r="R1" s="96"/>
      <c r="S1" s="152" t="s">
        <v>92</v>
      </c>
      <c r="T1" s="96" t="s">
        <v>482</v>
      </c>
    </row>
    <row r="2" spans="1:20" s="1" customFormat="1" ht="29.1">
      <c r="A2" s="1" t="s">
        <v>302</v>
      </c>
      <c r="B2" s="1" t="s">
        <v>47</v>
      </c>
      <c r="C2" s="1" t="s">
        <v>303</v>
      </c>
      <c r="D2" s="1" t="s">
        <v>475</v>
      </c>
      <c r="E2" s="1" t="s">
        <v>304</v>
      </c>
      <c r="F2" s="103" t="s">
        <v>20</v>
      </c>
      <c r="G2" s="75" t="s">
        <v>79</v>
      </c>
      <c r="H2" s="1" t="s">
        <v>88</v>
      </c>
      <c r="I2" s="1" t="s">
        <v>476</v>
      </c>
      <c r="J2" s="1" t="s">
        <v>470</v>
      </c>
      <c r="K2" s="1" t="s">
        <v>477</v>
      </c>
      <c r="L2" s="1" t="s">
        <v>478</v>
      </c>
      <c r="M2" s="23" t="s">
        <v>476</v>
      </c>
      <c r="N2" s="23" t="s">
        <v>470</v>
      </c>
      <c r="O2" s="23" t="s">
        <v>477</v>
      </c>
      <c r="P2" s="1" t="s">
        <v>478</v>
      </c>
      <c r="Q2" s="75" t="s">
        <v>90</v>
      </c>
      <c r="R2" s="1" t="s">
        <v>91</v>
      </c>
    </row>
    <row r="3" spans="1:20" hidden="1">
      <c r="A3">
        <v>1</v>
      </c>
      <c r="B3" t="s">
        <v>93</v>
      </c>
      <c r="C3" t="s">
        <v>305</v>
      </c>
      <c r="D3" t="s">
        <v>496</v>
      </c>
      <c r="E3" t="s">
        <v>299</v>
      </c>
      <c r="F3" s="17">
        <f>VLOOKUP(B3,'Justice Spend Total'!$B$4:$AQ$221,10,FALSE)</f>
        <v>1320.17</v>
      </c>
      <c r="G3" s="15">
        <f>VLOOKUP(C3,'Justice Spend Total'!$C$4:$AQ$221,10,FALSE)</f>
        <v>22.335747652087704</v>
      </c>
      <c r="H3">
        <f>VLOOKUP(C3,'Justice Spend Total'!$C$4:$AQ$221,7,FALSE)</f>
        <v>240</v>
      </c>
      <c r="I3" s="17" t="str">
        <f>IF(ISNUMBER(M3),$G3/100*$H3*(M3/100),"")</f>
        <v/>
      </c>
      <c r="J3" s="17" t="str">
        <f t="shared" ref="J3:L3" si="0">IF(ISNUMBER(N3),$G3/100*$H3*(N3/100),"")</f>
        <v/>
      </c>
      <c r="K3" s="17" t="str">
        <f t="shared" si="0"/>
        <v/>
      </c>
      <c r="L3" s="17">
        <f t="shared" si="0"/>
        <v>8.3744690822712542</v>
      </c>
      <c r="M3" s="16" t="str">
        <f>IF(ISNUMBER(VLOOKUP($C3,'Justice Spend Total'!$C:$BA,35,FALSE)),VLOOKUP($C3,'Justice Spend Total'!$C:$BA,35,FALSE),"")</f>
        <v/>
      </c>
      <c r="N3" s="16" t="str">
        <f>IF(ISNUMBER(VLOOKUP($C3,'Justice Spend Total'!$C:$BA,36,FALSE)),VLOOKUP($C3,'Justice Spend Total'!$C:$BA,36,FALSE),"")</f>
        <v/>
      </c>
      <c r="O3" s="16" t="str">
        <f>IF(ISNUMBER(VLOOKUP($C3,'Justice Spend Total'!$C:$BA,37,FALSE)),VLOOKUP($C3,'Justice Spend Total'!$C:$BA,37,FALSE),"")</f>
        <v/>
      </c>
      <c r="P3" s="16">
        <f>IF(ISNUMBER(VLOOKUP($C3,'Justice Spend Total'!$C:$BA,38,FALSE)),VLOOKUP($C3,'Justice Spend Total'!$C:$BA,38,FALSE),"")</f>
        <v>15.622320649234567</v>
      </c>
      <c r="Q3" s="15">
        <f>IF(ISNUMBER(VLOOKUP($C3,'Justice Spend Total'!$C:$BA,39,FALSE)),VLOOKUP($C3,'Justice Spend Total'!$C:$BA,39,FALSE),"")</f>
        <v>3.4893621176130223</v>
      </c>
      <c r="R3" s="22" t="str">
        <f>VLOOKUP($C3,'Justice Spend Total'!$C:$BA,40,FALSE)</f>
        <v>FY 20/21</v>
      </c>
      <c r="S3" s="15" t="str">
        <f>VLOOKUP($C3,'Justice Spend Total'!$C:$BA,41,FALSE)</f>
        <v>National</v>
      </c>
      <c r="T3" t="s">
        <v>503</v>
      </c>
    </row>
    <row r="4" spans="1:20" hidden="1">
      <c r="A4">
        <v>2</v>
      </c>
      <c r="B4" t="s">
        <v>94</v>
      </c>
      <c r="C4" t="s">
        <v>307</v>
      </c>
      <c r="D4" t="s">
        <v>496</v>
      </c>
      <c r="E4" t="s">
        <v>299</v>
      </c>
      <c r="F4" s="17">
        <f>VLOOKUP(B4,'Justice Spend Total'!$B$4:$AQ$221,10,FALSE)</f>
        <v>0.497</v>
      </c>
      <c r="G4" s="15">
        <f>VLOOKUP(C4,'Justice Spend Total'!$C$4:$AQ$221,10,FALSE)</f>
        <v>7.1356783919597984</v>
      </c>
      <c r="H4">
        <f>VLOOKUP(C4,'Justice Spend Total'!$C$4:$AQ$221,7,FALSE)</f>
        <v>450</v>
      </c>
      <c r="I4" s="17">
        <f t="shared" ref="I4:I67" si="1">IF(ISNUMBER(M4),$G4/100*$H4*(M4/100),"")</f>
        <v>5.4337154856224403</v>
      </c>
      <c r="J4" s="17">
        <f t="shared" ref="J4:J67" si="2">IF(ISNUMBER(N4),$G4/100*$H4*(N4/100),"")</f>
        <v>0.91285377683097613</v>
      </c>
      <c r="K4" s="17">
        <f t="shared" ref="K4:K67" si="3">IF(ISNUMBER(O4),$G4/100*$H4*(O4/100),"")</f>
        <v>0</v>
      </c>
      <c r="L4" s="17">
        <f t="shared" ref="L4:L67" si="4">IF(ISNUMBER(P4),$G4/100*$H4*(P4/100),"")</f>
        <v>6.7521990593651866</v>
      </c>
      <c r="M4" s="16">
        <f>IF(ISNUMBER(VLOOKUP($C4,'Justice Spend Total'!$C:$BA,35,FALSE)),VLOOKUP($C4,'Justice Spend Total'!$C:$BA,35,FALSE),"")</f>
        <v>16.921899556163783</v>
      </c>
      <c r="N4" s="16">
        <f>IF(ISNUMBER(VLOOKUP($C4,'Justice Spend Total'!$C:$BA,36,FALSE)),VLOOKUP($C4,'Justice Spend Total'!$C:$BA,36,FALSE),"")</f>
        <v>2.8428466602404421</v>
      </c>
      <c r="O4" s="16">
        <f>IF(ISNUMBER(VLOOKUP($C4,'Justice Spend Total'!$C:$BA,37,FALSE)),VLOOKUP($C4,'Justice Spend Total'!$C:$BA,37,FALSE),"")</f>
        <v>0</v>
      </c>
      <c r="P4" s="16">
        <f>IF(ISNUMBER(VLOOKUP($C4,'Justice Spend Total'!$C:$BA,38,FALSE)),VLOOKUP($C4,'Justice Spend Total'!$C:$BA,38,FALSE),"")</f>
        <v>21.027975161403319</v>
      </c>
      <c r="Q4" s="15">
        <f>IF(ISNUMBER(VLOOKUP($C4,'Justice Spend Total'!$C:$BA,39,FALSE)),VLOOKUP($C4,'Justice Spend Total'!$C:$BA,39,FALSE),"")</f>
        <v>1.5004886798589301</v>
      </c>
      <c r="R4" s="22">
        <f>VLOOKUP($C4,'Justice Spend Total'!$C:$BA,40,FALSE)</f>
        <v>2019</v>
      </c>
      <c r="S4" s="15" t="str">
        <f>VLOOKUP($C4,'Justice Spend Total'!$C:$BA,41,FALSE)</f>
        <v>IMF COFOG</v>
      </c>
      <c r="T4" t="s">
        <v>484</v>
      </c>
    </row>
    <row r="5" spans="1:20" hidden="1">
      <c r="A5">
        <v>3</v>
      </c>
      <c r="B5" t="s">
        <v>95</v>
      </c>
      <c r="C5" t="s">
        <v>308</v>
      </c>
      <c r="D5" t="s">
        <v>496</v>
      </c>
      <c r="E5" t="s">
        <v>299</v>
      </c>
      <c r="F5" s="17">
        <f>VLOOKUP(B5,'Justice Spend Total'!$B$4:$AQ$221,10,FALSE)</f>
        <v>273.46699999999998</v>
      </c>
      <c r="G5" s="15">
        <f>VLOOKUP(C5,'Justice Spend Total'!$C$4:$AQ$221,10,FALSE)</f>
        <v>28.061971593958408</v>
      </c>
      <c r="H5">
        <f>VLOOKUP(C5,'Justice Spend Total'!$C$4:$AQ$221,7,FALSE)</f>
        <v>480</v>
      </c>
      <c r="I5" s="17">
        <f t="shared" si="1"/>
        <v>2.0957711098181571E-2</v>
      </c>
      <c r="J5" s="17">
        <f t="shared" si="2"/>
        <v>3.4389343578471649</v>
      </c>
      <c r="K5" s="17">
        <f t="shared" si="3"/>
        <v>1.1696598601760257</v>
      </c>
      <c r="L5" s="17">
        <f t="shared" si="4"/>
        <v>19.944033469093732</v>
      </c>
      <c r="M5" s="16">
        <f>IF(ISNUMBER(VLOOKUP($C5,'Justice Spend Total'!$C:$BA,35,FALSE)),VLOOKUP($C5,'Justice Spend Total'!$C:$BA,35,FALSE),"")</f>
        <v>1.5559098538397698E-2</v>
      </c>
      <c r="N5" s="16">
        <f>IF(ISNUMBER(VLOOKUP($C5,'Justice Spend Total'!$C:$BA,36,FALSE)),VLOOKUP($C5,'Justice Spend Total'!$C:$BA,36,FALSE),"")</f>
        <v>2.5530802619694501</v>
      </c>
      <c r="O5" s="16">
        <f>IF(ISNUMBER(VLOOKUP($C5,'Justice Spend Total'!$C:$BA,37,FALSE)),VLOOKUP($C5,'Justice Spend Total'!$C:$BA,37,FALSE),"")</f>
        <v>0.86836071628386513</v>
      </c>
      <c r="P5" s="16">
        <f>IF(ISNUMBER(VLOOKUP($C5,'Justice Spend Total'!$C:$BA,38,FALSE)),VLOOKUP($C5,'Justice Spend Total'!$C:$BA,38,FALSE),"")</f>
        <v>14.806539728742408</v>
      </c>
      <c r="Q5" s="15">
        <f>IF(ISNUMBER(VLOOKUP($C5,'Justice Spend Total'!$C:$BA,39,FALSE)),VLOOKUP($C5,'Justice Spend Total'!$C:$BA,39,FALSE),"")</f>
        <v>4.1550069727278602</v>
      </c>
      <c r="R5" s="22">
        <f>VLOOKUP($C5,'Justice Spend Total'!$C:$BA,40,FALSE)</f>
        <v>2021</v>
      </c>
      <c r="S5" s="15" t="str">
        <f>VLOOKUP($C5,'Justice Spend Total'!$C:$BA,41,FALSE)</f>
        <v>National</v>
      </c>
      <c r="T5" t="s">
        <v>484</v>
      </c>
    </row>
    <row r="6" spans="1:20" hidden="1">
      <c r="A6">
        <v>4</v>
      </c>
      <c r="B6" t="s">
        <v>96</v>
      </c>
      <c r="C6" t="s">
        <v>309</v>
      </c>
      <c r="D6" t="s">
        <v>483</v>
      </c>
      <c r="E6" t="s">
        <v>299</v>
      </c>
      <c r="F6" s="17">
        <f>VLOOKUP(B6,'Justice Spend Total'!$B$4:$AQ$221,10,FALSE)</f>
        <v>397.56400000000002</v>
      </c>
      <c r="G6" s="15">
        <f>VLOOKUP(C6,'Justice Spend Total'!$C$4:$AQ$221,10,FALSE)</f>
        <v>25.694213754370548</v>
      </c>
      <c r="H6">
        <f>VLOOKUP(C6,'Justice Spend Total'!$C$4:$AQ$221,7,FALSE)</f>
        <v>500</v>
      </c>
      <c r="I6" s="17">
        <f t="shared" si="1"/>
        <v>39.527040729019056</v>
      </c>
      <c r="J6" s="17">
        <f t="shared" si="2"/>
        <v>3.0350688157353902</v>
      </c>
      <c r="K6" s="17">
        <f t="shared" si="3"/>
        <v>1.0455340636663801</v>
      </c>
      <c r="L6" s="17">
        <f t="shared" si="4"/>
        <v>43.977195858513298</v>
      </c>
      <c r="M6" s="16">
        <f>IF(ISNUMBER(VLOOKUP($C6,'Justice Spend Total'!$C:$BA,35,FALSE)),VLOOKUP($C6,'Justice Spend Total'!$C:$BA,35,FALSE),"")</f>
        <v>30.767270099709172</v>
      </c>
      <c r="N6" s="16">
        <f>IF(ISNUMBER(VLOOKUP($C6,'Justice Spend Total'!$C:$BA,36,FALSE)),VLOOKUP($C6,'Justice Spend Total'!$C:$BA,36,FALSE),"")</f>
        <v>2.3624531536553666</v>
      </c>
      <c r="O6" s="16">
        <f>IF(ISNUMBER(VLOOKUP($C6,'Justice Spend Total'!$C:$BA,37,FALSE)),VLOOKUP($C6,'Justice Spend Total'!$C:$BA,37,FALSE),"")</f>
        <v>0.81382841573701492</v>
      </c>
      <c r="P6" s="16">
        <f>IF(ISNUMBER(VLOOKUP($C6,'Justice Spend Total'!$C:$BA,38,FALSE)),VLOOKUP($C6,'Justice Spend Total'!$C:$BA,38,FALSE),"")</f>
        <v>34.231205732872709</v>
      </c>
      <c r="Q6" s="15">
        <f>IF(ISNUMBER(VLOOKUP($C6,'Justice Spend Total'!$C:$BA,39,FALSE)),VLOOKUP($C6,'Justice Spend Total'!$C:$BA,39,FALSE),"")</f>
        <v>8.7954391717026592</v>
      </c>
      <c r="R6" s="22">
        <f>VLOOKUP($C6,'Justice Spend Total'!$C:$BA,40,FALSE)</f>
        <v>2017</v>
      </c>
      <c r="S6" s="15" t="str">
        <f>VLOOKUP($C6,'Justice Spend Total'!$C:$BA,41,FALSE)</f>
        <v>IMF COFOG</v>
      </c>
      <c r="T6" t="s">
        <v>484</v>
      </c>
    </row>
    <row r="7" spans="1:20" hidden="1">
      <c r="A7">
        <v>5</v>
      </c>
      <c r="B7" t="s">
        <v>97</v>
      </c>
      <c r="C7" t="s">
        <v>310</v>
      </c>
      <c r="D7" t="s">
        <v>496</v>
      </c>
      <c r="E7" t="s">
        <v>299</v>
      </c>
      <c r="F7" s="17">
        <f>VLOOKUP(B7,'Justice Spend Total'!$B$4:$AQ$221,10,FALSE)</f>
        <v>6129.15</v>
      </c>
      <c r="G7" s="15">
        <f>VLOOKUP(C7,'Justice Spend Total'!$C$4:$AQ$221,10,FALSE)</f>
        <v>12.39383401121302</v>
      </c>
      <c r="H7">
        <f>VLOOKUP(C7,'Justice Spend Total'!$C$4:$AQ$221,7,FALSE)</f>
        <v>500</v>
      </c>
      <c r="I7" s="17">
        <f t="shared" si="1"/>
        <v>1.52399078391547</v>
      </c>
      <c r="J7" s="17">
        <f t="shared" si="2"/>
        <v>1.2421391751599351</v>
      </c>
      <c r="K7" s="17">
        <f t="shared" si="3"/>
        <v>0.23372307501619405</v>
      </c>
      <c r="L7" s="17">
        <f t="shared" si="4"/>
        <v>7.296149017192409</v>
      </c>
      <c r="M7" s="16">
        <f>IF(ISNUMBER(VLOOKUP($C7,'Justice Spend Total'!$C:$BA,35,FALSE)),VLOOKUP($C7,'Justice Spend Total'!$C:$BA,35,FALSE),"")</f>
        <v>2.4592725423572341</v>
      </c>
      <c r="N7" s="16">
        <f>IF(ISNUMBER(VLOOKUP($C7,'Justice Spend Total'!$C:$BA,36,FALSE)),VLOOKUP($C7,'Justice Spend Total'!$C:$BA,36,FALSE),"")</f>
        <v>2.0044470081431456</v>
      </c>
      <c r="O7" s="16">
        <f>IF(ISNUMBER(VLOOKUP($C7,'Justice Spend Total'!$C:$BA,37,FALSE)),VLOOKUP($C7,'Justice Spend Total'!$C:$BA,37,FALSE),"")</f>
        <v>0.37716024727253689</v>
      </c>
      <c r="P7" s="16">
        <f>IF(ISNUMBER(VLOOKUP($C7,'Justice Spend Total'!$C:$BA,38,FALSE)),VLOOKUP($C7,'Justice Spend Total'!$C:$BA,38,FALSE),"")</f>
        <v>11.773836910501457</v>
      </c>
      <c r="Q7" s="15">
        <f>IF(ISNUMBER(VLOOKUP($C7,'Justice Spend Total'!$C:$BA,39,FALSE)),VLOOKUP($C7,'Justice Spend Total'!$C:$BA,39,FALSE),"")</f>
        <v>1.4592298034384816</v>
      </c>
      <c r="R7" s="22">
        <f>VLOOKUP($C7,'Justice Spend Total'!$C:$BA,40,FALSE)</f>
        <v>2021</v>
      </c>
      <c r="S7" s="15" t="str">
        <f>VLOOKUP($C7,'Justice Spend Total'!$C:$BA,41,FALSE)</f>
        <v>National</v>
      </c>
      <c r="T7" t="s">
        <v>484</v>
      </c>
    </row>
    <row r="8" spans="1:20" hidden="1">
      <c r="A8">
        <v>6</v>
      </c>
      <c r="B8" t="s">
        <v>98</v>
      </c>
      <c r="C8" t="s">
        <v>311</v>
      </c>
      <c r="D8" t="s">
        <v>496</v>
      </c>
      <c r="E8" t="s">
        <v>299</v>
      </c>
      <c r="F8" s="17">
        <f>VLOOKUP(B8,'Justice Spend Total'!$B$4:$AQ$221,10,FALSE)</f>
        <v>7974.25</v>
      </c>
      <c r="G8" s="15">
        <f>VLOOKUP(C8,'Justice Spend Total'!$C$4:$AQ$221,10,FALSE)</f>
        <v>19.966538192756936</v>
      </c>
      <c r="H8">
        <f>VLOOKUP(C8,'Justice Spend Total'!$C$4:$AQ$221,7,FALSE)</f>
        <v>510</v>
      </c>
      <c r="I8" s="17">
        <f t="shared" si="1"/>
        <v>5.2398455909361674</v>
      </c>
      <c r="J8" s="17">
        <f t="shared" si="2"/>
        <v>1.4031041059320097</v>
      </c>
      <c r="K8" s="17">
        <f t="shared" si="3"/>
        <v>1.3497903128518729</v>
      </c>
      <c r="L8" s="17">
        <f t="shared" si="4"/>
        <v>8.700938728386225</v>
      </c>
      <c r="M8" s="16">
        <f>IF(ISNUMBER(VLOOKUP($C8,'Justice Spend Total'!$C:$BA,35,FALSE)),VLOOKUP($C8,'Justice Spend Total'!$C:$BA,35,FALSE),"")</f>
        <v>5.145712762955764</v>
      </c>
      <c r="N8" s="16">
        <f>IF(ISNUMBER(VLOOKUP($C8,'Justice Spend Total'!$C:$BA,36,FALSE)),VLOOKUP($C8,'Justice Spend Total'!$C:$BA,36,FALSE),"")</f>
        <v>1.3778976079255105</v>
      </c>
      <c r="O8" s="16">
        <f>IF(ISNUMBER(VLOOKUP($C8,'Justice Spend Total'!$C:$BA,37,FALSE)),VLOOKUP($C8,'Justice Spend Total'!$C:$BA,37,FALSE),"")</f>
        <v>1.3255415869831018</v>
      </c>
      <c r="P8" s="16">
        <f>IF(ISNUMBER(VLOOKUP($C8,'Justice Spend Total'!$C:$BA,38,FALSE)),VLOOKUP($C8,'Justice Spend Total'!$C:$BA,38,FALSE),"")</f>
        <v>8.5446280214440229</v>
      </c>
      <c r="Q8" s="15">
        <f>IF(ISNUMBER(VLOOKUP($C8,'Justice Spend Total'!$C:$BA,39,FALSE)),VLOOKUP($C8,'Justice Spend Total'!$C:$BA,39,FALSE),"")</f>
        <v>1.7060664173306321</v>
      </c>
      <c r="R8" s="22" t="str">
        <f>VLOOKUP($C8,'Justice Spend Total'!$C:$BA,40,FALSE)</f>
        <v>FY 2020</v>
      </c>
      <c r="S8" s="15" t="str">
        <f>VLOOKUP($C8,'Justice Spend Total'!$C:$BA,41,FALSE)</f>
        <v>National</v>
      </c>
      <c r="T8" t="s">
        <v>594</v>
      </c>
    </row>
    <row r="9" spans="1:20" hidden="1">
      <c r="A9">
        <v>7</v>
      </c>
      <c r="B9" t="s">
        <v>99</v>
      </c>
      <c r="C9" t="s">
        <v>312</v>
      </c>
      <c r="D9" t="s">
        <v>496</v>
      </c>
      <c r="E9" t="s">
        <v>299</v>
      </c>
      <c r="F9" s="17">
        <f>VLOOKUP(B9,'Justice Spend Total'!$B$4:$AQ$221,10,FALSE)</f>
        <v>298.58699999999999</v>
      </c>
      <c r="G9" s="15">
        <f>VLOOKUP(C9,'Justice Spend Total'!$C$4:$AQ$221,10,FALSE)</f>
        <v>21.754814172574331</v>
      </c>
      <c r="H9">
        <f>VLOOKUP(C9,'Justice Spend Total'!$C$4:$AQ$221,7,FALSE)</f>
        <v>530</v>
      </c>
      <c r="I9" s="17" t="str">
        <f t="shared" si="1"/>
        <v/>
      </c>
      <c r="J9" s="17" t="str">
        <f t="shared" si="2"/>
        <v/>
      </c>
      <c r="K9" s="17" t="str">
        <f t="shared" si="3"/>
        <v/>
      </c>
      <c r="L9" s="17">
        <f t="shared" si="4"/>
        <v>7.6151907235648553</v>
      </c>
      <c r="M9" s="16" t="str">
        <f>IF(ISNUMBER(VLOOKUP($C9,'Justice Spend Total'!$C:$BA,35,FALSE)),VLOOKUP($C9,'Justice Spend Total'!$C:$BA,35,FALSE),"")</f>
        <v/>
      </c>
      <c r="N9" s="16" t="str">
        <f>IF(ISNUMBER(VLOOKUP($C9,'Justice Spend Total'!$C:$BA,36,FALSE)),VLOOKUP($C9,'Justice Spend Total'!$C:$BA,36,FALSE),"")</f>
        <v/>
      </c>
      <c r="O9" s="16" t="str">
        <f>IF(ISNUMBER(VLOOKUP($C9,'Justice Spend Total'!$C:$BA,37,FALSE)),VLOOKUP($C9,'Justice Spend Total'!$C:$BA,37,FALSE),"")</f>
        <v/>
      </c>
      <c r="P9" s="16">
        <f>IF(ISNUMBER(VLOOKUP($C9,'Justice Spend Total'!$C:$BA,38,FALSE)),VLOOKUP($C9,'Justice Spend Total'!$C:$BA,38,FALSE),"")</f>
        <v>6.6046458821047134</v>
      </c>
      <c r="Q9" s="15">
        <f>IF(ISNUMBER(VLOOKUP($C9,'Justice Spend Total'!$C:$BA,39,FALSE)),VLOOKUP($C9,'Justice Spend Total'!$C:$BA,39,FALSE),"")</f>
        <v>1.4368284384084631</v>
      </c>
      <c r="R9" s="22">
        <f>VLOOKUP($C9,'Justice Spend Total'!$C:$BA,40,FALSE)</f>
        <v>2021</v>
      </c>
      <c r="S9" s="15" t="str">
        <f>VLOOKUP($C9,'Justice Spend Total'!$C:$BA,41,FALSE)</f>
        <v>National</v>
      </c>
      <c r="T9" t="s">
        <v>506</v>
      </c>
    </row>
    <row r="10" spans="1:20" hidden="1">
      <c r="A10">
        <v>8</v>
      </c>
      <c r="B10" t="s">
        <v>100</v>
      </c>
      <c r="C10" t="s">
        <v>313</v>
      </c>
      <c r="D10" t="s">
        <v>496</v>
      </c>
      <c r="E10" t="s">
        <v>299</v>
      </c>
      <c r="F10" s="17">
        <f>VLOOKUP(B10,'Justice Spend Total'!$B$4:$AQ$221,10,FALSE)</f>
        <v>8072.74</v>
      </c>
      <c r="G10" s="15">
        <f>VLOOKUP(C10,'Justice Spend Total'!$C$4:$AQ$221,10,FALSE)</f>
        <v>8.9517032680369084</v>
      </c>
      <c r="H10">
        <f>VLOOKUP(C10,'Justice Spend Total'!$C$4:$AQ$221,7,FALSE)</f>
        <v>580</v>
      </c>
      <c r="I10" s="17">
        <f t="shared" si="1"/>
        <v>2.4947563961027286</v>
      </c>
      <c r="J10" s="17">
        <f t="shared" si="2"/>
        <v>1.4334607641702994</v>
      </c>
      <c r="K10" s="17">
        <f t="shared" si="3"/>
        <v>0.40082123562256144</v>
      </c>
      <c r="L10" s="17">
        <f t="shared" si="4"/>
        <v>5.1464327220244162</v>
      </c>
      <c r="M10" s="16">
        <f>IF(ISNUMBER(VLOOKUP($C10,'Justice Spend Total'!$C:$BA,35,FALSE)),VLOOKUP($C10,'Justice Spend Total'!$C:$BA,35,FALSE),"")</f>
        <v>4.8050119652311363</v>
      </c>
      <c r="N10" s="16">
        <f>IF(ISNUMBER(VLOOKUP($C10,'Justice Spend Total'!$C:$BA,36,FALSE)),VLOOKUP($C10,'Justice Spend Total'!$C:$BA,36,FALSE),"")</f>
        <v>2.7609092953074175</v>
      </c>
      <c r="O10" s="16">
        <f>IF(ISNUMBER(VLOOKUP($C10,'Justice Spend Total'!$C:$BA,37,FALSE)),VLOOKUP($C10,'Justice Spend Total'!$C:$BA,37,FALSE),"")</f>
        <v>0.77199955718876123</v>
      </c>
      <c r="P10" s="16">
        <f>IF(ISNUMBER(VLOOKUP($C10,'Justice Spend Total'!$C:$BA,38,FALSE)),VLOOKUP($C10,'Justice Spend Total'!$C:$BA,38,FALSE),"")</f>
        <v>9.9122587063871759</v>
      </c>
      <c r="Q10" s="15">
        <f>IF(ISNUMBER(VLOOKUP($C10,'Justice Spend Total'!$C:$BA,39,FALSE)),VLOOKUP($C10,'Justice Spend Total'!$C:$BA,39,FALSE),"")</f>
        <v>0.88731598655593391</v>
      </c>
      <c r="R10" s="22">
        <f>VLOOKUP($C10,'Justice Spend Total'!$C:$BA,40,FALSE)</f>
        <v>2020</v>
      </c>
      <c r="S10" s="15" t="str">
        <f>VLOOKUP($C10,'Justice Spend Total'!$C:$BA,41,FALSE)</f>
        <v>National</v>
      </c>
      <c r="T10" t="s">
        <v>508</v>
      </c>
    </row>
    <row r="11" spans="1:20" hidden="1">
      <c r="A11">
        <v>9</v>
      </c>
      <c r="B11" t="s">
        <v>101</v>
      </c>
      <c r="C11" t="s">
        <v>314</v>
      </c>
      <c r="D11" t="s">
        <v>496</v>
      </c>
      <c r="E11" t="s">
        <v>299</v>
      </c>
      <c r="F11" s="17">
        <f>VLOOKUP(B11,'Justice Spend Total'!$B$4:$AQ$221,10,FALSE)</f>
        <v>1388.37</v>
      </c>
      <c r="G11" s="15">
        <f>VLOOKUP(C11,'Justice Spend Total'!$C$4:$AQ$221,10,FALSE)</f>
        <v>17.557879401420696</v>
      </c>
      <c r="H11">
        <f>VLOOKUP(C11,'Justice Spend Total'!$C$4:$AQ$221,7,FALSE)</f>
        <v>590</v>
      </c>
      <c r="I11" s="17" t="str">
        <f t="shared" si="1"/>
        <v/>
      </c>
      <c r="J11" s="17" t="str">
        <f t="shared" si="2"/>
        <v/>
      </c>
      <c r="K11" s="17" t="str">
        <f t="shared" si="3"/>
        <v/>
      </c>
      <c r="L11" s="17" t="str">
        <f t="shared" si="4"/>
        <v/>
      </c>
      <c r="M11" s="16" t="str">
        <f>IF(ISNUMBER(VLOOKUP($C11,'Justice Spend Total'!$C:$BA,35,FALSE)),VLOOKUP($C11,'Justice Spend Total'!$C:$BA,35,FALSE),"")</f>
        <v/>
      </c>
      <c r="N11" s="16" t="str">
        <f>IF(ISNUMBER(VLOOKUP($C11,'Justice Spend Total'!$C:$BA,36,FALSE)),VLOOKUP($C11,'Justice Spend Total'!$C:$BA,36,FALSE),"")</f>
        <v/>
      </c>
      <c r="O11" s="16" t="str">
        <f>IF(ISNUMBER(VLOOKUP($C11,'Justice Spend Total'!$C:$BA,37,FALSE)),VLOOKUP($C11,'Justice Spend Total'!$C:$BA,37,FALSE),"")</f>
        <v/>
      </c>
      <c r="P11" s="16" t="str">
        <f>IF(ISNUMBER(VLOOKUP($C11,'Justice Spend Total'!$C:$BA,38,FALSE)),VLOOKUP($C11,'Justice Spend Total'!$C:$BA,38,FALSE),"")</f>
        <v/>
      </c>
      <c r="Q11" s="15" t="str">
        <f>IF(ISNUMBER(VLOOKUP($C11,'Justice Spend Total'!$C:$BA,39,FALSE)),VLOOKUP($C11,'Justice Spend Total'!$C:$BA,39,FALSE),"")</f>
        <v/>
      </c>
      <c r="R11" s="22" t="str">
        <f>VLOOKUP($C11,'Justice Spend Total'!$C:$BA,40,FALSE)</f>
        <v xml:space="preserve"> </v>
      </c>
      <c r="S11" s="15" t="str">
        <f>VLOOKUP($C11,'Justice Spend Total'!$C:$BA,41,FALSE)</f>
        <v xml:space="preserve"> </v>
      </c>
      <c r="T11" t="s">
        <v>484</v>
      </c>
    </row>
    <row r="12" spans="1:20" hidden="1">
      <c r="A12">
        <v>10</v>
      </c>
      <c r="B12" t="s">
        <v>102</v>
      </c>
      <c r="C12" t="s">
        <v>315</v>
      </c>
      <c r="D12" t="s">
        <v>496</v>
      </c>
      <c r="E12" t="s">
        <v>299</v>
      </c>
      <c r="F12" s="17">
        <f>VLOOKUP(B12,'Justice Spend Total'!$B$4:$AQ$221,10,FALSE)</f>
        <v>9.5489999999999995</v>
      </c>
      <c r="G12" s="15">
        <f>VLOOKUP(C12,'Justice Spend Total'!$C$4:$AQ$221,10,FALSE)</f>
        <v>31.5826029436084</v>
      </c>
      <c r="H12">
        <f>VLOOKUP(C12,'Justice Spend Total'!$C$4:$AQ$221,7,FALSE)</f>
        <v>600</v>
      </c>
      <c r="I12" s="17" t="str">
        <f t="shared" si="1"/>
        <v/>
      </c>
      <c r="J12" s="17" t="str">
        <f t="shared" si="2"/>
        <v/>
      </c>
      <c r="K12" s="17" t="str">
        <f t="shared" si="3"/>
        <v/>
      </c>
      <c r="L12" s="17" t="str">
        <f t="shared" si="4"/>
        <v/>
      </c>
      <c r="M12" s="16" t="str">
        <f>IF(ISNUMBER(VLOOKUP($C12,'Justice Spend Total'!$C:$BA,35,FALSE)),VLOOKUP($C12,'Justice Spend Total'!$C:$BA,35,FALSE),"")</f>
        <v/>
      </c>
      <c r="N12" s="16" t="str">
        <f>IF(ISNUMBER(VLOOKUP($C12,'Justice Spend Total'!$C:$BA,36,FALSE)),VLOOKUP($C12,'Justice Spend Total'!$C:$BA,36,FALSE),"")</f>
        <v/>
      </c>
      <c r="O12" s="16" t="str">
        <f>IF(ISNUMBER(VLOOKUP($C12,'Justice Spend Total'!$C:$BA,37,FALSE)),VLOOKUP($C12,'Justice Spend Total'!$C:$BA,37,FALSE),"")</f>
        <v/>
      </c>
      <c r="P12" s="16" t="str">
        <f>IF(ISNUMBER(VLOOKUP($C12,'Justice Spend Total'!$C:$BA,38,FALSE)),VLOOKUP($C12,'Justice Spend Total'!$C:$BA,38,FALSE),"")</f>
        <v/>
      </c>
      <c r="Q12" s="15" t="str">
        <f>IF(ISNUMBER(VLOOKUP($C12,'Justice Spend Total'!$C:$BA,39,FALSE)),VLOOKUP($C12,'Justice Spend Total'!$C:$BA,39,FALSE),"")</f>
        <v/>
      </c>
      <c r="R12" s="22" t="str">
        <f>VLOOKUP($C12,'Justice Spend Total'!$C:$BA,40,FALSE)</f>
        <v xml:space="preserve"> </v>
      </c>
      <c r="S12" s="15" t="str">
        <f>VLOOKUP($C12,'Justice Spend Total'!$C:$BA,41,FALSE)</f>
        <v xml:space="preserve"> </v>
      </c>
      <c r="T12" t="s">
        <v>484</v>
      </c>
    </row>
    <row r="13" spans="1:20" hidden="1">
      <c r="A13">
        <v>11</v>
      </c>
      <c r="B13" t="s">
        <v>103</v>
      </c>
      <c r="C13" t="s">
        <v>316</v>
      </c>
      <c r="D13" t="s">
        <v>496</v>
      </c>
      <c r="E13" t="s">
        <v>299</v>
      </c>
      <c r="F13" s="17">
        <f>VLOOKUP(B13,'Justice Spend Total'!$B$4:$AQ$221,10,FALSE)</f>
        <v>0.95</v>
      </c>
      <c r="G13" s="15">
        <f>VLOOKUP(C13,'Justice Spend Total'!$C$4:$AQ$221,10,FALSE)</f>
        <v>31.280869278893647</v>
      </c>
      <c r="H13">
        <f>VLOOKUP(C13,'Justice Spend Total'!$C$4:$AQ$221,7,FALSE)</f>
        <v>620</v>
      </c>
      <c r="I13" s="17" t="str">
        <f t="shared" si="1"/>
        <v/>
      </c>
      <c r="J13" s="17" t="str">
        <f t="shared" si="2"/>
        <v/>
      </c>
      <c r="K13" s="17" t="str">
        <f t="shared" si="3"/>
        <v/>
      </c>
      <c r="L13" s="17">
        <f t="shared" si="4"/>
        <v>18.311407250576231</v>
      </c>
      <c r="M13" s="16" t="str">
        <f>IF(ISNUMBER(VLOOKUP($C13,'Justice Spend Total'!$C:$BA,35,FALSE)),VLOOKUP($C13,'Justice Spend Total'!$C:$BA,35,FALSE),"")</f>
        <v/>
      </c>
      <c r="N13" s="16" t="str">
        <f>IF(ISNUMBER(VLOOKUP($C13,'Justice Spend Total'!$C:$BA,36,FALSE)),VLOOKUP($C13,'Justice Spend Total'!$C:$BA,36,FALSE),"")</f>
        <v/>
      </c>
      <c r="O13" s="16" t="str">
        <f>IF(ISNUMBER(VLOOKUP($C13,'Justice Spend Total'!$C:$BA,37,FALSE)),VLOOKUP($C13,'Justice Spend Total'!$C:$BA,37,FALSE),"")</f>
        <v/>
      </c>
      <c r="P13" s="16">
        <f>IF(ISNUMBER(VLOOKUP($C13,'Justice Spend Total'!$C:$BA,38,FALSE)),VLOOKUP($C13,'Justice Spend Total'!$C:$BA,38,FALSE),"")</f>
        <v>9.4417222105263168</v>
      </c>
      <c r="Q13" s="15">
        <f>IF(ISNUMBER(VLOOKUP($C13,'Justice Spend Total'!$C:$BA,39,FALSE)),VLOOKUP($C13,'Justice Spend Total'!$C:$BA,39,FALSE),"")</f>
        <v>2.9534527823510048</v>
      </c>
      <c r="R13" s="22" t="str">
        <f>VLOOKUP($C13,'Justice Spend Total'!$C:$BA,40,FALSE)</f>
        <v>FY 20/21</v>
      </c>
      <c r="S13" s="15" t="str">
        <f>VLOOKUP($C13,'Justice Spend Total'!$C:$BA,41,FALSE)</f>
        <v>National</v>
      </c>
      <c r="T13" t="s">
        <v>595</v>
      </c>
    </row>
    <row r="14" spans="1:20">
      <c r="A14">
        <v>12</v>
      </c>
      <c r="B14" t="s">
        <v>104</v>
      </c>
      <c r="C14" t="s">
        <v>317</v>
      </c>
      <c r="D14" t="s">
        <v>496</v>
      </c>
      <c r="E14" t="s">
        <v>299</v>
      </c>
      <c r="F14" s="17">
        <f>VLOOKUP(B14,'Justice Spend Total'!$B$4:$AQ$221,10,FALSE)</f>
        <v>1438.91</v>
      </c>
      <c r="G14" s="15">
        <f>VLOOKUP(C14,'Justice Spend Total'!$C$4:$AQ$221,10,FALSE)</f>
        <v>14.778604911035245</v>
      </c>
      <c r="H14">
        <f>VLOOKUP(C14,'Justice Spend Total'!$C$4:$AQ$221,7,FALSE)</f>
        <v>630</v>
      </c>
      <c r="I14" s="17">
        <f t="shared" si="1"/>
        <v>3.7691052728841337</v>
      </c>
      <c r="J14" s="17">
        <f t="shared" si="2"/>
        <v>0.78807586081873859</v>
      </c>
      <c r="K14" s="17">
        <f t="shared" si="3"/>
        <v>0.64222839664394782</v>
      </c>
      <c r="L14" s="17">
        <f t="shared" si="4"/>
        <v>5.511696497843154</v>
      </c>
      <c r="M14" s="16">
        <f>IF(ISNUMBER(VLOOKUP($C14,'Justice Spend Total'!$C:$BA,35,FALSE)),VLOOKUP($C14,'Justice Spend Total'!$C:$BA,35,FALSE),"")</f>
        <v>4.0482216138604912</v>
      </c>
      <c r="N14" s="16">
        <f>IF(ISNUMBER(VLOOKUP($C14,'Justice Spend Total'!$C:$BA,36,FALSE)),VLOOKUP($C14,'Justice Spend Total'!$C:$BA,36,FALSE),"")</f>
        <v>0.84643582552070651</v>
      </c>
      <c r="O14" s="16">
        <f>IF(ISNUMBER(VLOOKUP($C14,'Justice Spend Total'!$C:$BA,37,FALSE)),VLOOKUP($C14,'Justice Spend Total'!$C:$BA,37,FALSE),"")</f>
        <v>0.68978781119041499</v>
      </c>
      <c r="P14" s="16">
        <f>IF(ISNUMBER(VLOOKUP($C14,'Justice Spend Total'!$C:$BA,38,FALSE)),VLOOKUP($C14,'Justice Spend Total'!$C:$BA,38,FALSE),"")</f>
        <v>5.9198582358868865</v>
      </c>
      <c r="Q14" s="15">
        <f>IF(ISNUMBER(VLOOKUP($C14,'Justice Spend Total'!$C:$BA,39,FALSE)),VLOOKUP($C14,'Justice Spend Total'!$C:$BA,39,FALSE),"")</f>
        <v>0.87487245997510388</v>
      </c>
      <c r="R14" s="22" t="str">
        <f>VLOOKUP($C14,'Justice Spend Total'!$C:$BA,40,FALSE)</f>
        <v>18/19</v>
      </c>
      <c r="S14" s="15" t="str">
        <f>VLOOKUP($C14,'Justice Spend Total'!$C:$BA,41,FALSE)</f>
        <v>National</v>
      </c>
      <c r="T14" t="s">
        <v>538</v>
      </c>
    </row>
    <row r="15" spans="1:20">
      <c r="A15">
        <v>13</v>
      </c>
      <c r="B15" t="s">
        <v>105</v>
      </c>
      <c r="C15" t="s">
        <v>318</v>
      </c>
      <c r="D15" t="s">
        <v>496</v>
      </c>
      <c r="E15" t="s">
        <v>299</v>
      </c>
      <c r="F15" s="17">
        <f>VLOOKUP(B15,'Justice Spend Total'!$B$4:$AQ$221,10,FALSE)</f>
        <v>1304.19</v>
      </c>
      <c r="G15" s="15">
        <f>VLOOKUP(C15,'Justice Spend Total'!$C$4:$AQ$221,10,FALSE)</f>
        <v>21.152171268702105</v>
      </c>
      <c r="H15">
        <f>VLOOKUP(C15,'Justice Spend Total'!$C$4:$AQ$221,7,FALSE)</f>
        <v>650</v>
      </c>
      <c r="I15" s="17" t="str">
        <f t="shared" si="1"/>
        <v/>
      </c>
      <c r="J15" s="17" t="str">
        <f t="shared" si="2"/>
        <v/>
      </c>
      <c r="K15" s="17" t="str">
        <f t="shared" si="3"/>
        <v/>
      </c>
      <c r="L15" s="17" t="str">
        <f t="shared" si="4"/>
        <v/>
      </c>
      <c r="M15" s="16" t="str">
        <f>IF(ISNUMBER(VLOOKUP($C15,'Justice Spend Total'!$C:$BA,35,FALSE)),VLOOKUP($C15,'Justice Spend Total'!$C:$BA,35,FALSE),"")</f>
        <v/>
      </c>
      <c r="N15" s="16" t="str">
        <f>IF(ISNUMBER(VLOOKUP($C15,'Justice Spend Total'!$C:$BA,36,FALSE)),VLOOKUP($C15,'Justice Spend Total'!$C:$BA,36,FALSE),"")</f>
        <v/>
      </c>
      <c r="O15" s="16" t="str">
        <f>IF(ISNUMBER(VLOOKUP($C15,'Justice Spend Total'!$C:$BA,37,FALSE)),VLOOKUP($C15,'Justice Spend Total'!$C:$BA,37,FALSE),"")</f>
        <v/>
      </c>
      <c r="P15" s="16" t="str">
        <f>IF(ISNUMBER(VLOOKUP($C15,'Justice Spend Total'!$C:$BA,38,FALSE)),VLOOKUP($C15,'Justice Spend Total'!$C:$BA,38,FALSE),"")</f>
        <v/>
      </c>
      <c r="Q15" s="15" t="str">
        <f>IF(ISNUMBER(VLOOKUP($C15,'Justice Spend Total'!$C:$BA,39,FALSE)),VLOOKUP($C15,'Justice Spend Total'!$C:$BA,39,FALSE),"")</f>
        <v/>
      </c>
      <c r="R15" s="22" t="str">
        <f>VLOOKUP($C15,'Justice Spend Total'!$C:$BA,40,FALSE)</f>
        <v xml:space="preserve"> </v>
      </c>
      <c r="S15" s="15" t="str">
        <f>VLOOKUP($C15,'Justice Spend Total'!$C:$BA,41,FALSE)</f>
        <v xml:space="preserve"> </v>
      </c>
      <c r="T15" t="s">
        <v>568</v>
      </c>
    </row>
    <row r="16" spans="1:20">
      <c r="A16">
        <v>14</v>
      </c>
      <c r="B16" t="s">
        <v>106</v>
      </c>
      <c r="C16" t="s">
        <v>319</v>
      </c>
      <c r="D16" t="s">
        <v>496</v>
      </c>
      <c r="E16" t="s">
        <v>299</v>
      </c>
      <c r="F16" s="17">
        <f>VLOOKUP(B16,'Justice Spend Total'!$B$4:$AQ$221,10,FALSE)</f>
        <v>159.24</v>
      </c>
      <c r="G16" s="15">
        <f>VLOOKUP(C16,'Justice Spend Total'!$C$4:$AQ$221,10,FALSE)</f>
        <v>7.8453011454612644</v>
      </c>
      <c r="H16">
        <f>VLOOKUP(C16,'Justice Spend Total'!$C$4:$AQ$221,7,FALSE)</f>
        <v>670</v>
      </c>
      <c r="I16" s="17" t="str">
        <f t="shared" si="1"/>
        <v/>
      </c>
      <c r="J16" s="17" t="str">
        <f t="shared" si="2"/>
        <v/>
      </c>
      <c r="K16" s="17" t="str">
        <f t="shared" si="3"/>
        <v/>
      </c>
      <c r="L16" s="17">
        <f t="shared" si="4"/>
        <v>3.8661450917600688</v>
      </c>
      <c r="M16" s="16" t="str">
        <f>IF(ISNUMBER(VLOOKUP($C16,'Justice Spend Total'!$C:$BA,35,FALSE)),VLOOKUP($C16,'Justice Spend Total'!$C:$BA,35,FALSE),"")</f>
        <v/>
      </c>
      <c r="N16" s="16" t="str">
        <f>IF(ISNUMBER(VLOOKUP($C16,'Justice Spend Total'!$C:$BA,36,FALSE)),VLOOKUP($C16,'Justice Spend Total'!$C:$BA,36,FALSE),"")</f>
        <v/>
      </c>
      <c r="O16" s="16" t="str">
        <f>IF(ISNUMBER(VLOOKUP($C16,'Justice Spend Total'!$C:$BA,37,FALSE)),VLOOKUP($C16,'Justice Spend Total'!$C:$BA,37,FALSE),"")</f>
        <v/>
      </c>
      <c r="P16" s="16">
        <f>IF(ISNUMBER(VLOOKUP($C16,'Justice Spend Total'!$C:$BA,38,FALSE)),VLOOKUP($C16,'Justice Spend Total'!$C:$BA,38,FALSE),"")</f>
        <v>7.3551871389098205</v>
      </c>
      <c r="Q16" s="15">
        <f>IF(ISNUMBER(VLOOKUP($C16,'Justice Spend Total'!$C:$BA,39,FALSE)),VLOOKUP($C16,'Justice Spend Total'!$C:$BA,39,FALSE),"")</f>
        <v>0.57703658085971177</v>
      </c>
      <c r="R16" s="22" t="str">
        <f>VLOOKUP($C16,'Justice Spend Total'!$C:$BA,40,FALSE)</f>
        <v>FY 2021</v>
      </c>
      <c r="S16" s="15" t="str">
        <f>VLOOKUP($C16,'Justice Spend Total'!$C:$BA,41,FALSE)</f>
        <v>National</v>
      </c>
      <c r="T16" t="s">
        <v>556</v>
      </c>
    </row>
    <row r="17" spans="1:20">
      <c r="A17">
        <v>15</v>
      </c>
      <c r="B17" t="s">
        <v>107</v>
      </c>
      <c r="C17" t="s">
        <v>320</v>
      </c>
      <c r="D17" t="s">
        <v>487</v>
      </c>
      <c r="E17" t="s">
        <v>299</v>
      </c>
      <c r="F17" s="17">
        <f>VLOOKUP(B17,'Justice Spend Total'!$B$4:$AQ$221,10,FALSE)</f>
        <v>915</v>
      </c>
      <c r="G17" s="15">
        <f>VLOOKUP(C17,'Justice Spend Total'!$C$4:$AQ$221,10,FALSE)</f>
        <v>6.5366340835103216</v>
      </c>
      <c r="H17">
        <f>VLOOKUP(C17,'Justice Spend Total'!$C$4:$AQ$221,7,FALSE)</f>
        <v>670</v>
      </c>
      <c r="I17" s="17" t="str">
        <f t="shared" si="1"/>
        <v/>
      </c>
      <c r="J17" s="17" t="str">
        <f t="shared" si="2"/>
        <v/>
      </c>
      <c r="K17" s="17" t="str">
        <f t="shared" si="3"/>
        <v/>
      </c>
      <c r="L17" s="17" t="str">
        <f t="shared" si="4"/>
        <v/>
      </c>
      <c r="M17" s="16" t="str">
        <f>IF(ISNUMBER(VLOOKUP($C17,'Justice Spend Total'!$C:$BA,35,FALSE)),VLOOKUP($C17,'Justice Spend Total'!$C:$BA,35,FALSE),"")</f>
        <v/>
      </c>
      <c r="N17" s="16" t="str">
        <f>IF(ISNUMBER(VLOOKUP($C17,'Justice Spend Total'!$C:$BA,36,FALSE)),VLOOKUP($C17,'Justice Spend Total'!$C:$BA,36,FALSE),"")</f>
        <v/>
      </c>
      <c r="O17" s="16" t="str">
        <f>IF(ISNUMBER(VLOOKUP($C17,'Justice Spend Total'!$C:$BA,37,FALSE)),VLOOKUP($C17,'Justice Spend Total'!$C:$BA,37,FALSE),"")</f>
        <v/>
      </c>
      <c r="P17" s="16" t="str">
        <f>IF(ISNUMBER(VLOOKUP($C17,'Justice Spend Total'!$C:$BA,38,FALSE)),VLOOKUP($C17,'Justice Spend Total'!$C:$BA,38,FALSE),"")</f>
        <v/>
      </c>
      <c r="Q17" s="15" t="str">
        <f>IF(ISNUMBER(VLOOKUP($C17,'Justice Spend Total'!$C:$BA,39,FALSE)),VLOOKUP($C17,'Justice Spend Total'!$C:$BA,39,FALSE),"")</f>
        <v/>
      </c>
      <c r="R17" s="22" t="str">
        <f>VLOOKUP($C17,'Justice Spend Total'!$C:$BA,40,FALSE)</f>
        <v xml:space="preserve"> </v>
      </c>
      <c r="S17" s="15" t="str">
        <f>VLOOKUP($C17,'Justice Spend Total'!$C:$BA,41,FALSE)</f>
        <v xml:space="preserve"> </v>
      </c>
      <c r="T17" t="s">
        <v>484</v>
      </c>
    </row>
    <row r="18" spans="1:20">
      <c r="A18">
        <v>16</v>
      </c>
      <c r="B18" t="s">
        <v>108</v>
      </c>
      <c r="C18" t="s">
        <v>321</v>
      </c>
      <c r="D18" t="s">
        <v>496</v>
      </c>
      <c r="E18" t="s">
        <v>299</v>
      </c>
      <c r="F18" s="17">
        <f>VLOOKUP(B18,'Justice Spend Total'!$B$4:$AQ$221,10,FALSE)</f>
        <v>134.74799999999999</v>
      </c>
      <c r="G18" s="15">
        <f>VLOOKUP(C18,'Justice Spend Total'!$C$4:$AQ$221,10,FALSE)</f>
        <v>15.898249691764052</v>
      </c>
      <c r="H18">
        <f>VLOOKUP(C18,'Justice Spend Total'!$C$4:$AQ$221,7,FALSE)</f>
        <v>780</v>
      </c>
      <c r="I18" s="17" t="str">
        <f t="shared" si="1"/>
        <v/>
      </c>
      <c r="J18" s="17" t="str">
        <f t="shared" si="2"/>
        <v/>
      </c>
      <c r="K18" s="17" t="str">
        <f t="shared" si="3"/>
        <v/>
      </c>
      <c r="L18" s="17" t="str">
        <f t="shared" si="4"/>
        <v/>
      </c>
      <c r="M18" s="16" t="str">
        <f>IF(ISNUMBER(VLOOKUP($C18,'Justice Spend Total'!$C:$BA,35,FALSE)),VLOOKUP($C18,'Justice Spend Total'!$C:$BA,35,FALSE),"")</f>
        <v/>
      </c>
      <c r="N18" s="16" t="str">
        <f>IF(ISNUMBER(VLOOKUP($C18,'Justice Spend Total'!$C:$BA,36,FALSE)),VLOOKUP($C18,'Justice Spend Total'!$C:$BA,36,FALSE),"")</f>
        <v/>
      </c>
      <c r="O18" s="16" t="str">
        <f>IF(ISNUMBER(VLOOKUP($C18,'Justice Spend Total'!$C:$BA,37,FALSE)),VLOOKUP($C18,'Justice Spend Total'!$C:$BA,37,FALSE),"")</f>
        <v/>
      </c>
      <c r="P18" s="16" t="str">
        <f>IF(ISNUMBER(VLOOKUP($C18,'Justice Spend Total'!$C:$BA,38,FALSE)),VLOOKUP($C18,'Justice Spend Total'!$C:$BA,38,FALSE),"")</f>
        <v/>
      </c>
      <c r="Q18" s="15" t="str">
        <f>IF(ISNUMBER(VLOOKUP($C18,'Justice Spend Total'!$C:$BA,39,FALSE)),VLOOKUP($C18,'Justice Spend Total'!$C:$BA,39,FALSE),"")</f>
        <v/>
      </c>
      <c r="R18" s="22" t="str">
        <f>VLOOKUP($C18,'Justice Spend Total'!$C:$BA,40,FALSE)</f>
        <v xml:space="preserve"> </v>
      </c>
      <c r="S18" s="15" t="str">
        <f>VLOOKUP($C18,'Justice Spend Total'!$C:$BA,41,FALSE)</f>
        <v xml:space="preserve"> </v>
      </c>
      <c r="T18" t="s">
        <v>484</v>
      </c>
    </row>
    <row r="19" spans="1:20">
      <c r="A19">
        <v>17</v>
      </c>
      <c r="B19" t="s">
        <v>109</v>
      </c>
      <c r="C19" t="s">
        <v>322</v>
      </c>
      <c r="D19" t="s">
        <v>496</v>
      </c>
      <c r="E19" t="s">
        <v>299</v>
      </c>
      <c r="F19" s="17">
        <f>VLOOKUP(B19,'Justice Spend Total'!$B$4:$AQ$221,10,FALSE)</f>
        <v>21.446000000000002</v>
      </c>
      <c r="G19" s="15">
        <f>VLOOKUP(C19,'Justice Spend Total'!$C$4:$AQ$221,10,FALSE)</f>
        <v>22.749790493163182</v>
      </c>
      <c r="H19">
        <f>VLOOKUP(C19,'Justice Spend Total'!$C$4:$AQ$221,7,FALSE)</f>
        <v>800</v>
      </c>
      <c r="I19" s="17">
        <f t="shared" si="1"/>
        <v>1.0799987270470675</v>
      </c>
      <c r="J19" s="17">
        <f t="shared" si="2"/>
        <v>2.1494828628711451</v>
      </c>
      <c r="K19" s="17">
        <f t="shared" si="3"/>
        <v>0.73151513222798581</v>
      </c>
      <c r="L19" s="17">
        <f t="shared" si="4"/>
        <v>10.123200627990112</v>
      </c>
      <c r="M19" s="16">
        <f>IF(ISNUMBER(VLOOKUP($C19,'Justice Spend Total'!$C:$BA,35,FALSE)),VLOOKUP($C19,'Justice Spend Total'!$C:$BA,35,FALSE),"")</f>
        <v>0.59341135876154061</v>
      </c>
      <c r="N19" s="16">
        <f>IF(ISNUMBER(VLOOKUP($C19,'Justice Spend Total'!$C:$BA,36,FALSE)),VLOOKUP($C19,'Justice Spend Total'!$C:$BA,36,FALSE),"")</f>
        <v>1.1810454163946655</v>
      </c>
      <c r="O19" s="16">
        <f>IF(ISNUMBER(VLOOKUP($C19,'Justice Spend Total'!$C:$BA,37,FALSE)),VLOOKUP($C19,'Justice Spend Total'!$C:$BA,37,FALSE),"")</f>
        <v>0.40193509279119649</v>
      </c>
      <c r="P19" s="16">
        <f>IF(ISNUMBER(VLOOKUP($C19,'Justice Spend Total'!$C:$BA,38,FALSE)),VLOOKUP($C19,'Justice Spend Total'!$C:$BA,38,FALSE),"")</f>
        <v>5.5622493705119833</v>
      </c>
      <c r="Q19" s="15">
        <f>IF(ISNUMBER(VLOOKUP($C19,'Justice Spend Total'!$C:$BA,39,FALSE)),VLOOKUP($C19,'Justice Spend Total'!$C:$BA,39,FALSE),"")</f>
        <v>1.2654000784987642</v>
      </c>
      <c r="R19" s="22">
        <f>VLOOKUP($C19,'Justice Spend Total'!$C:$BA,40,FALSE)</f>
        <v>2020</v>
      </c>
      <c r="S19" s="15" t="str">
        <f>VLOOKUP($C19,'Justice Spend Total'!$C:$BA,41,FALSE)</f>
        <v>National</v>
      </c>
      <c r="T19" t="s">
        <v>516</v>
      </c>
    </row>
    <row r="20" spans="1:20">
      <c r="A20">
        <v>18</v>
      </c>
      <c r="B20" t="s">
        <v>110</v>
      </c>
      <c r="C20" t="s">
        <v>323</v>
      </c>
      <c r="D20" t="s">
        <v>496</v>
      </c>
      <c r="E20" t="s">
        <v>299</v>
      </c>
      <c r="F20" s="17">
        <f>VLOOKUP(B20,'Justice Spend Total'!$B$4:$AQ$221,10,FALSE)</f>
        <v>19699</v>
      </c>
      <c r="G20" s="15">
        <f>VLOOKUP(C20,'Justice Spend Total'!$C$4:$AQ$221,10,FALSE)</f>
        <v>13.94382547390178</v>
      </c>
      <c r="H20">
        <f>VLOOKUP(C20,'Justice Spend Total'!$C$4:$AQ$221,7,FALSE)</f>
        <v>840</v>
      </c>
      <c r="I20" s="17">
        <f t="shared" si="1"/>
        <v>0</v>
      </c>
      <c r="J20" s="17">
        <f t="shared" si="2"/>
        <v>0</v>
      </c>
      <c r="K20" s="17">
        <f t="shared" si="3"/>
        <v>0</v>
      </c>
      <c r="L20" s="17">
        <f t="shared" si="4"/>
        <v>10.876511743137447</v>
      </c>
      <c r="M20" s="16">
        <f>IF(ISNUMBER(VLOOKUP($C20,'Justice Spend Total'!$C:$BA,35,FALSE)),VLOOKUP($C20,'Justice Spend Total'!$C:$BA,35,FALSE),"")</f>
        <v>0</v>
      </c>
      <c r="N20" s="16">
        <f>IF(ISNUMBER(VLOOKUP($C20,'Justice Spend Total'!$C:$BA,36,FALSE)),VLOOKUP($C20,'Justice Spend Total'!$C:$BA,36,FALSE),"")</f>
        <v>0</v>
      </c>
      <c r="O20" s="16">
        <f>IF(ISNUMBER(VLOOKUP($C20,'Justice Spend Total'!$C:$BA,37,FALSE)),VLOOKUP($C20,'Justice Spend Total'!$C:$BA,37,FALSE),"")</f>
        <v>0</v>
      </c>
      <c r="P20" s="16">
        <f>IF(ISNUMBER(VLOOKUP($C20,'Justice Spend Total'!$C:$BA,38,FALSE)),VLOOKUP($C20,'Justice Spend Total'!$C:$BA,38,FALSE),"")</f>
        <v>9.2859942129042068</v>
      </c>
      <c r="Q20" s="15">
        <f>IF(ISNUMBER(VLOOKUP($C20,'Justice Spend Total'!$C:$BA,39,FALSE)),VLOOKUP($C20,'Justice Spend Total'!$C:$BA,39,FALSE),"")</f>
        <v>1.2948228265639818</v>
      </c>
      <c r="R20" s="22" t="str">
        <f>VLOOKUP($C20,'Justice Spend Total'!$C:$BA,40,FALSE)</f>
        <v>FY 20/21</v>
      </c>
      <c r="S20" s="15" t="str">
        <f>VLOOKUP($C20,'Justice Spend Total'!$C:$BA,41,FALSE)</f>
        <v>National</v>
      </c>
      <c r="T20" t="s">
        <v>484</v>
      </c>
    </row>
    <row r="21" spans="1:20">
      <c r="A21">
        <v>19</v>
      </c>
      <c r="B21" t="s">
        <v>111</v>
      </c>
      <c r="C21" t="s">
        <v>324</v>
      </c>
      <c r="D21" t="s">
        <v>496</v>
      </c>
      <c r="E21" t="s">
        <v>299</v>
      </c>
      <c r="F21" s="17">
        <f>VLOOKUP(B21,'Justice Spend Total'!$B$4:$AQ$221,10,FALSE)</f>
        <v>2152.3000000000002</v>
      </c>
      <c r="G21" s="15">
        <f>VLOOKUP(C21,'Justice Spend Total'!$C$4:$AQ$221,10,FALSE)</f>
        <v>23.105743424584006</v>
      </c>
      <c r="H21">
        <f>VLOOKUP(C21,'Justice Spend Total'!$C$4:$AQ$221,7,FALSE)</f>
        <v>850</v>
      </c>
      <c r="I21" s="17">
        <f t="shared" si="1"/>
        <v>6.4538071210091248</v>
      </c>
      <c r="J21" s="17">
        <f t="shared" si="2"/>
        <v>2.6529293778636602</v>
      </c>
      <c r="K21" s="17">
        <f t="shared" si="3"/>
        <v>1.9497899083467525</v>
      </c>
      <c r="L21" s="17">
        <f t="shared" si="4"/>
        <v>13.253551083580247</v>
      </c>
      <c r="M21" s="16">
        <f>IF(ISNUMBER(VLOOKUP($C21,'Justice Spend Total'!$C:$BA,35,FALSE)),VLOOKUP($C21,'Justice Spend Total'!$C:$BA,35,FALSE),"")</f>
        <v>3.2860722637178834</v>
      </c>
      <c r="N21" s="16">
        <f>IF(ISNUMBER(VLOOKUP($C21,'Justice Spend Total'!$C:$BA,36,FALSE)),VLOOKUP($C21,'Justice Spend Total'!$C:$BA,36,FALSE),"")</f>
        <v>1.3507868274868744</v>
      </c>
      <c r="O21" s="16">
        <f>IF(ISNUMBER(VLOOKUP($C21,'Justice Spend Total'!$C:$BA,37,FALSE)),VLOOKUP($C21,'Justice Spend Total'!$C:$BA,37,FALSE),"")</f>
        <v>0.99277068833341064</v>
      </c>
      <c r="P21" s="16">
        <f>IF(ISNUMBER(VLOOKUP($C21,'Justice Spend Total'!$C:$BA,38,FALSE)),VLOOKUP($C21,'Justice Spend Total'!$C:$BA,38,FALSE),"")</f>
        <v>6.7482845078752964</v>
      </c>
      <c r="Q21" s="15">
        <f>IF(ISNUMBER(VLOOKUP($C21,'Justice Spend Total'!$C:$BA,39,FALSE)),VLOOKUP($C21,'Justice Spend Total'!$C:$BA,39,FALSE),"")</f>
        <v>1.5592413039506174</v>
      </c>
      <c r="R21" s="22" t="str">
        <f>VLOOKUP($C21,'Justice Spend Total'!$C:$BA,40,FALSE)</f>
        <v>FY 21/22</v>
      </c>
      <c r="S21" s="15" t="str">
        <f>VLOOKUP($C21,'Justice Spend Total'!$C:$BA,41,FALSE)</f>
        <v>National</v>
      </c>
      <c r="T21" t="s">
        <v>550</v>
      </c>
    </row>
    <row r="22" spans="1:20">
      <c r="A22">
        <v>20</v>
      </c>
      <c r="B22" t="s">
        <v>112</v>
      </c>
      <c r="C22" t="s">
        <v>325</v>
      </c>
      <c r="D22" t="s">
        <v>496</v>
      </c>
      <c r="E22" t="s">
        <v>299</v>
      </c>
      <c r="F22" s="17">
        <f>VLOOKUP(B22,'Justice Spend Total'!$B$4:$AQ$221,10,FALSE)</f>
        <v>1975.34</v>
      </c>
      <c r="G22" s="15">
        <f>VLOOKUP(C22,'Justice Spend Total'!$C$4:$AQ$221,10,FALSE)</f>
        <v>19.776399953145507</v>
      </c>
      <c r="H22">
        <f>VLOOKUP(C22,'Justice Spend Total'!$C$4:$AQ$221,7,FALSE)</f>
        <v>860</v>
      </c>
      <c r="I22" s="17">
        <f t="shared" si="1"/>
        <v>1.9851191451857642</v>
      </c>
      <c r="J22" s="17">
        <f t="shared" si="2"/>
        <v>0.34133292118806974</v>
      </c>
      <c r="K22" s="17">
        <f t="shared" si="3"/>
        <v>4.0029794231479961E-2</v>
      </c>
      <c r="L22" s="17">
        <f t="shared" si="4"/>
        <v>2.8930766751330186</v>
      </c>
      <c r="M22" s="16">
        <f>IF(ISNUMBER(VLOOKUP($C22,'Justice Spend Total'!$C:$BA,35,FALSE)),VLOOKUP($C22,'Justice Spend Total'!$C:$BA,35,FALSE),"")</f>
        <v>1.1671882047623436</v>
      </c>
      <c r="N22" s="16">
        <f>IF(ISNUMBER(VLOOKUP($C22,'Justice Spend Total'!$C:$BA,36,FALSE)),VLOOKUP($C22,'Justice Spend Total'!$C:$BA,36,FALSE),"")</f>
        <v>0.20069312236193665</v>
      </c>
      <c r="O22" s="16">
        <f>IF(ISNUMBER(VLOOKUP($C22,'Justice Spend Total'!$C:$BA,37,FALSE)),VLOOKUP($C22,'Justice Spend Total'!$C:$BA,37,FALSE),"")</f>
        <v>2.3536271754446718E-2</v>
      </c>
      <c r="P22" s="16">
        <f>IF(ISNUMBER(VLOOKUP($C22,'Justice Spend Total'!$C:$BA,38,FALSE)),VLOOKUP($C22,'Justice Spend Total'!$C:$BA,38,FALSE),"")</f>
        <v>1.7010389421096062</v>
      </c>
      <c r="Q22" s="15">
        <f>IF(ISNUMBER(VLOOKUP($C22,'Justice Spend Total'!$C:$BA,39,FALSE)),VLOOKUP($C22,'Justice Spend Total'!$C:$BA,39,FALSE),"")</f>
        <v>0.336404264550351</v>
      </c>
      <c r="R22" s="22">
        <f>VLOOKUP($C22,'Justice Spend Total'!$C:$BA,40,FALSE)</f>
        <v>2020</v>
      </c>
      <c r="S22" s="15" t="str">
        <f>VLOOKUP($C22,'Justice Spend Total'!$C:$BA,41,FALSE)</f>
        <v>IMF COFOG</v>
      </c>
      <c r="T22" t="s">
        <v>484</v>
      </c>
    </row>
    <row r="23" spans="1:20">
      <c r="A23">
        <v>21</v>
      </c>
      <c r="B23" t="s">
        <v>113</v>
      </c>
      <c r="C23" t="s">
        <v>326</v>
      </c>
      <c r="D23" t="s">
        <v>496</v>
      </c>
      <c r="E23" t="s">
        <v>299</v>
      </c>
      <c r="F23" s="17">
        <f>VLOOKUP(B23,'Justice Spend Total'!$B$4:$AQ$221,10,FALSE)</f>
        <v>2173.3000000000002</v>
      </c>
      <c r="G23" s="15">
        <f>VLOOKUP(C23,'Justice Spend Total'!$C$4:$AQ$221,10,FALSE)</f>
        <v>21.465284965905234</v>
      </c>
      <c r="H23">
        <f>VLOOKUP(C23,'Justice Spend Total'!$C$4:$AQ$221,7,FALSE)</f>
        <v>870</v>
      </c>
      <c r="I23" s="17">
        <f t="shared" si="1"/>
        <v>5.069769830671861</v>
      </c>
      <c r="J23" s="17">
        <f t="shared" si="2"/>
        <v>1.9419796300539671</v>
      </c>
      <c r="K23" s="17">
        <f t="shared" si="3"/>
        <v>0.65305509683230745</v>
      </c>
      <c r="L23" s="17">
        <f t="shared" si="4"/>
        <v>14.453140432525542</v>
      </c>
      <c r="M23" s="16">
        <f>IF(ISNUMBER(VLOOKUP($C23,'Justice Spend Total'!$C:$BA,35,FALSE)),VLOOKUP($C23,'Justice Spend Total'!$C:$BA,35,FALSE),"")</f>
        <v>2.7147655638890167</v>
      </c>
      <c r="N23" s="16">
        <f>IF(ISNUMBER(VLOOKUP($C23,'Justice Spend Total'!$C:$BA,36,FALSE)),VLOOKUP($C23,'Justice Spend Total'!$C:$BA,36,FALSE),"")</f>
        <v>1.0398932498964708</v>
      </c>
      <c r="O23" s="16">
        <f>IF(ISNUMBER(VLOOKUP($C23,'Justice Spend Total'!$C:$BA,37,FALSE)),VLOOKUP($C23,'Justice Spend Total'!$C:$BA,37,FALSE),"")</f>
        <v>0.34969861500943261</v>
      </c>
      <c r="P23" s="16">
        <f>IF(ISNUMBER(VLOOKUP($C23,'Justice Spend Total'!$C:$BA,38,FALSE)),VLOOKUP($C23,'Justice Spend Total'!$C:$BA,38,FALSE),"")</f>
        <v>7.7393825058666526</v>
      </c>
      <c r="Q23" s="15">
        <f>IF(ISNUMBER(VLOOKUP($C23,'Justice Spend Total'!$C:$BA,39,FALSE)),VLOOKUP($C23,'Justice Spend Total'!$C:$BA,39,FALSE),"")</f>
        <v>1.6612805094856944</v>
      </c>
      <c r="R23" s="22">
        <f>VLOOKUP($C23,'Justice Spend Total'!$C:$BA,40,FALSE)</f>
        <v>2020</v>
      </c>
      <c r="S23" s="15" t="str">
        <f>VLOOKUP($C23,'Justice Spend Total'!$C:$BA,41,FALSE)</f>
        <v>National</v>
      </c>
      <c r="T23" t="s">
        <v>539</v>
      </c>
    </row>
    <row r="24" spans="1:20">
      <c r="A24">
        <v>22</v>
      </c>
      <c r="B24" t="s">
        <v>114</v>
      </c>
      <c r="C24" t="s">
        <v>327</v>
      </c>
      <c r="D24" t="s">
        <v>487</v>
      </c>
      <c r="E24" t="s">
        <v>299</v>
      </c>
      <c r="F24" s="17">
        <f>VLOOKUP(B24,'Justice Spend Total'!$B$4:$AQ$221,10,FALSE)</f>
        <v>582.024</v>
      </c>
      <c r="G24" s="15">
        <f>VLOOKUP(C24,'Justice Spend Total'!$C$4:$AQ$221,10,FALSE)</f>
        <v>23.089685049053639</v>
      </c>
      <c r="H24">
        <f>VLOOKUP(C24,'Justice Spend Total'!$C$4:$AQ$221,7,FALSE)</f>
        <v>930</v>
      </c>
      <c r="I24" s="17" t="str">
        <f t="shared" si="1"/>
        <v/>
      </c>
      <c r="J24" s="17" t="str">
        <f t="shared" si="2"/>
        <v/>
      </c>
      <c r="K24" s="17" t="str">
        <f t="shared" si="3"/>
        <v/>
      </c>
      <c r="L24" s="17" t="str">
        <f t="shared" si="4"/>
        <v/>
      </c>
      <c r="M24" s="16" t="str">
        <f>IF(ISNUMBER(VLOOKUP($C24,'Justice Spend Total'!$C:$BA,35,FALSE)),VLOOKUP($C24,'Justice Spend Total'!$C:$BA,35,FALSE),"")</f>
        <v/>
      </c>
      <c r="N24" s="16" t="str">
        <f>IF(ISNUMBER(VLOOKUP($C24,'Justice Spend Total'!$C:$BA,36,FALSE)),VLOOKUP($C24,'Justice Spend Total'!$C:$BA,36,FALSE),"")</f>
        <v/>
      </c>
      <c r="O24" s="16" t="str">
        <f>IF(ISNUMBER(VLOOKUP($C24,'Justice Spend Total'!$C:$BA,37,FALSE)),VLOOKUP($C24,'Justice Spend Total'!$C:$BA,37,FALSE),"")</f>
        <v/>
      </c>
      <c r="P24" s="16" t="str">
        <f>IF(ISNUMBER(VLOOKUP($C24,'Justice Spend Total'!$C:$BA,38,FALSE)),VLOOKUP($C24,'Justice Spend Total'!$C:$BA,38,FALSE),"")</f>
        <v/>
      </c>
      <c r="Q24" s="15" t="str">
        <f>IF(ISNUMBER(VLOOKUP($C24,'Justice Spend Total'!$C:$BA,39,FALSE)),VLOOKUP($C24,'Justice Spend Total'!$C:$BA,39,FALSE),"")</f>
        <v/>
      </c>
      <c r="R24" s="22" t="str">
        <f>VLOOKUP($C24,'Justice Spend Total'!$C:$BA,40,FALSE)</f>
        <v xml:space="preserve"> </v>
      </c>
      <c r="S24" s="15" t="str">
        <f>VLOOKUP($C24,'Justice Spend Total'!$C:$BA,41,FALSE)</f>
        <v xml:space="preserve"> </v>
      </c>
      <c r="T24" t="s">
        <v>484</v>
      </c>
    </row>
    <row r="25" spans="1:20">
      <c r="A25">
        <v>23</v>
      </c>
      <c r="B25" t="s">
        <v>115</v>
      </c>
      <c r="C25" t="s">
        <v>328</v>
      </c>
      <c r="D25" t="s">
        <v>496</v>
      </c>
      <c r="E25" t="s">
        <v>299</v>
      </c>
      <c r="F25" s="17">
        <f>VLOOKUP(B25,'Justice Spend Total'!$B$4:$AQ$221,10,FALSE)</f>
        <v>478.88799999999998</v>
      </c>
      <c r="G25" s="15">
        <f>VLOOKUP(C25,'Justice Spend Total'!$C$4:$AQ$221,10,FALSE)</f>
        <v>11.030752823404484</v>
      </c>
      <c r="H25">
        <f>VLOOKUP(C25,'Justice Spend Total'!$C$4:$AQ$221,7,FALSE)</f>
        <v>960</v>
      </c>
      <c r="I25" s="17">
        <f t="shared" si="1"/>
        <v>1.0737500306535266</v>
      </c>
      <c r="J25" s="17">
        <f t="shared" si="2"/>
        <v>0.22767109120055906</v>
      </c>
      <c r="K25" s="17">
        <f t="shared" si="3"/>
        <v>0.33333163993339776</v>
      </c>
      <c r="L25" s="17">
        <f t="shared" si="4"/>
        <v>2.3109297408151779</v>
      </c>
      <c r="M25" s="16">
        <f>IF(ISNUMBER(VLOOKUP($C25,'Justice Spend Total'!$C:$BA,35,FALSE)),VLOOKUP($C25,'Justice Spend Total'!$C:$BA,35,FALSE),"")</f>
        <v>1.01397396276611</v>
      </c>
      <c r="N25" s="16">
        <f>IF(ISNUMBER(VLOOKUP($C25,'Justice Spend Total'!$C:$BA,36,FALSE)),VLOOKUP($C25,'Justice Spend Total'!$C:$BA,36,FALSE),"")</f>
        <v>0.2149965559594996</v>
      </c>
      <c r="O25" s="16">
        <f>IF(ISNUMBER(VLOOKUP($C25,'Justice Spend Total'!$C:$BA,37,FALSE)),VLOOKUP($C25,'Justice Spend Total'!$C:$BA,37,FALSE),"")</f>
        <v>0.31477494222084412</v>
      </c>
      <c r="P25" s="16">
        <f>IF(ISNUMBER(VLOOKUP($C25,'Justice Spend Total'!$C:$BA,38,FALSE)),VLOOKUP($C25,'Justice Spend Total'!$C:$BA,38,FALSE),"")</f>
        <v>2.1822794133400376</v>
      </c>
      <c r="Q25" s="15">
        <f>IF(ISNUMBER(VLOOKUP($C25,'Justice Spend Total'!$C:$BA,39,FALSE)),VLOOKUP($C25,'Justice Spend Total'!$C:$BA,39,FALSE),"")</f>
        <v>0.240721848001581</v>
      </c>
      <c r="R25" s="22">
        <f>VLOOKUP($C25,'Justice Spend Total'!$C:$BA,40,FALSE)</f>
        <v>2020</v>
      </c>
      <c r="S25" s="15" t="str">
        <f>VLOOKUP($C25,'Justice Spend Total'!$C:$BA,41,FALSE)</f>
        <v>IMF COFOG</v>
      </c>
      <c r="T25" t="s">
        <v>484</v>
      </c>
    </row>
    <row r="26" spans="1:20">
      <c r="A26">
        <v>24</v>
      </c>
      <c r="B26" t="s">
        <v>116</v>
      </c>
      <c r="C26" t="s">
        <v>329</v>
      </c>
      <c r="D26" t="s">
        <v>496</v>
      </c>
      <c r="E26" t="s">
        <v>299</v>
      </c>
      <c r="F26" s="17">
        <f>VLOOKUP(B26,'Justice Spend Total'!$B$4:$AQ$221,10,FALSE)</f>
        <v>707.96299999999997</v>
      </c>
      <c r="G26" s="15">
        <f>VLOOKUP(C26,'Justice Spend Total'!$C$4:$AQ$221,10,FALSE)</f>
        <v>16.238242141358072</v>
      </c>
      <c r="H26">
        <f>VLOOKUP(C26,'Justice Spend Total'!$C$4:$AQ$221,7,FALSE)</f>
        <v>980</v>
      </c>
      <c r="I26" s="17" t="str">
        <f t="shared" si="1"/>
        <v/>
      </c>
      <c r="J26" s="17" t="str">
        <f t="shared" si="2"/>
        <v/>
      </c>
      <c r="K26" s="17" t="str">
        <f t="shared" si="3"/>
        <v/>
      </c>
      <c r="L26" s="17">
        <f t="shared" si="4"/>
        <v>5.9895596775118403</v>
      </c>
      <c r="M26" s="16" t="str">
        <f>IF(ISNUMBER(VLOOKUP($C26,'Justice Spend Total'!$C:$BA,35,FALSE)),VLOOKUP($C26,'Justice Spend Total'!$C:$BA,35,FALSE),"")</f>
        <v/>
      </c>
      <c r="N26" s="16" t="str">
        <f>IF(ISNUMBER(VLOOKUP($C26,'Justice Spend Total'!$C:$BA,36,FALSE)),VLOOKUP($C26,'Justice Spend Total'!$C:$BA,36,FALSE),"")</f>
        <v/>
      </c>
      <c r="O26" s="16" t="str">
        <f>IF(ISNUMBER(VLOOKUP($C26,'Justice Spend Total'!$C:$BA,37,FALSE)),VLOOKUP($C26,'Justice Spend Total'!$C:$BA,37,FALSE),"")</f>
        <v/>
      </c>
      <c r="P26" s="16">
        <f>IF(ISNUMBER(VLOOKUP($C26,'Justice Spend Total'!$C:$BA,38,FALSE)),VLOOKUP($C26,'Justice Spend Total'!$C:$BA,38,FALSE),"")</f>
        <v>3.7638283356616098</v>
      </c>
      <c r="Q26" s="15">
        <f>IF(ISNUMBER(VLOOKUP($C26,'Justice Spend Total'!$C:$BA,39,FALSE)),VLOOKUP($C26,'Justice Spend Total'!$C:$BA,39,FALSE),"")</f>
        <v>0.61117955892977971</v>
      </c>
      <c r="R26" s="22">
        <f>VLOOKUP($C26,'Justice Spend Total'!$C:$BA,40,FALSE)</f>
        <v>2021</v>
      </c>
      <c r="S26" s="15" t="str">
        <f>VLOOKUP($C26,'Justice Spend Total'!$C:$BA,41,FALSE)</f>
        <v>National</v>
      </c>
    </row>
    <row r="27" spans="1:20">
      <c r="A27">
        <v>25</v>
      </c>
      <c r="B27" t="s">
        <v>117</v>
      </c>
      <c r="C27" t="s">
        <v>330</v>
      </c>
      <c r="D27" t="s">
        <v>496</v>
      </c>
      <c r="E27" t="s">
        <v>299</v>
      </c>
      <c r="F27" s="17">
        <f>VLOOKUP(B27,'Justice Spend Total'!$B$4:$AQ$221,10,FALSE)</f>
        <v>21605.15</v>
      </c>
      <c r="G27" s="15">
        <f>VLOOKUP(C27,'Justice Spend Total'!$C$4:$AQ$221,10,FALSE)</f>
        <v>12.584858373998658</v>
      </c>
      <c r="H27">
        <f>VLOOKUP(C27,'Justice Spend Total'!$C$4:$AQ$221,7,FALSE)</f>
        <v>1010</v>
      </c>
      <c r="I27" s="17" t="str">
        <f t="shared" si="1"/>
        <v/>
      </c>
      <c r="J27" s="17" t="str">
        <f t="shared" si="2"/>
        <v/>
      </c>
      <c r="K27" s="17" t="str">
        <f t="shared" si="3"/>
        <v/>
      </c>
      <c r="L27" s="17">
        <f t="shared" si="4"/>
        <v>4.0208031710943457</v>
      </c>
      <c r="M27" s="16" t="str">
        <f>IF(ISNUMBER(VLOOKUP($C27,'Justice Spend Total'!$C:$BA,35,FALSE)),VLOOKUP($C27,'Justice Spend Total'!$C:$BA,35,FALSE),"")</f>
        <v/>
      </c>
      <c r="N27" s="16" t="str">
        <f>IF(ISNUMBER(VLOOKUP($C27,'Justice Spend Total'!$C:$BA,36,FALSE)),VLOOKUP($C27,'Justice Spend Total'!$C:$BA,36,FALSE),"")</f>
        <v/>
      </c>
      <c r="O27" s="16" t="str">
        <f>IF(ISNUMBER(VLOOKUP($C27,'Justice Spend Total'!$C:$BA,37,FALSE)),VLOOKUP($C27,'Justice Spend Total'!$C:$BA,37,FALSE),"")</f>
        <v/>
      </c>
      <c r="P27" s="16">
        <f>IF(ISNUMBER(VLOOKUP($C27,'Justice Spend Total'!$C:$BA,38,FALSE)),VLOOKUP($C27,'Justice Spend Total'!$C:$BA,38,FALSE),"")</f>
        <v>3.1633198566082625</v>
      </c>
      <c r="Q27" s="15">
        <f>IF(ISNUMBER(VLOOKUP($C27,'Justice Spend Total'!$C:$BA,39,FALSE)),VLOOKUP($C27,'Justice Spend Total'!$C:$BA,39,FALSE),"")</f>
        <v>0.39809932387072727</v>
      </c>
      <c r="R27" s="22">
        <f>VLOOKUP($C27,'Justice Spend Total'!$C:$BA,40,FALSE)</f>
        <v>2021</v>
      </c>
      <c r="S27" s="15" t="str">
        <f>VLOOKUP($C27,'Justice Spend Total'!$C:$BA,41,FALSE)</f>
        <v>National</v>
      </c>
      <c r="T27" t="s">
        <v>519</v>
      </c>
    </row>
    <row r="28" spans="1:20">
      <c r="A28">
        <v>26</v>
      </c>
      <c r="B28" t="s">
        <v>118</v>
      </c>
      <c r="C28" t="s">
        <v>331</v>
      </c>
      <c r="D28" t="s">
        <v>496</v>
      </c>
      <c r="E28" t="s">
        <v>299</v>
      </c>
      <c r="F28" s="17">
        <f>VLOOKUP(B28,'Justice Spend Total'!$B$4:$AQ$221,10,FALSE)</f>
        <v>98.944999999999993</v>
      </c>
      <c r="G28" s="15">
        <f>VLOOKUP(C28,'Justice Spend Total'!$C$4:$AQ$221,10,FALSE)</f>
        <v>23.816515704771003</v>
      </c>
      <c r="H28">
        <f>VLOOKUP(C28,'Justice Spend Total'!$C$4:$AQ$221,7,FALSE)</f>
        <v>1040</v>
      </c>
      <c r="I28" s="17">
        <f t="shared" si="1"/>
        <v>4.289908401728602</v>
      </c>
      <c r="J28" s="17">
        <f t="shared" si="2"/>
        <v>3.0797421386859085</v>
      </c>
      <c r="K28" s="17">
        <f t="shared" si="3"/>
        <v>0.91775671440355866</v>
      </c>
      <c r="L28" s="17">
        <f t="shared" si="4"/>
        <v>7.1197718844521685</v>
      </c>
      <c r="M28" s="16">
        <f>IF(ISNUMBER(VLOOKUP($C28,'Justice Spend Total'!$C:$BA,35,FALSE)),VLOOKUP($C28,'Justice Spend Total'!$C:$BA,35,FALSE),"")</f>
        <v>1.7319544033524283</v>
      </c>
      <c r="N28" s="16">
        <f>IF(ISNUMBER(VLOOKUP($C28,'Justice Spend Total'!$C:$BA,36,FALSE)),VLOOKUP($C28,'Justice Spend Total'!$C:$BA,36,FALSE),"")</f>
        <v>1.243376887986182</v>
      </c>
      <c r="O28" s="16">
        <f>IF(ISNUMBER(VLOOKUP($C28,'Justice Spend Total'!$C:$BA,37,FALSE)),VLOOKUP($C28,'Justice Spend Total'!$C:$BA,37,FALSE),"")</f>
        <v>0.37052371143332863</v>
      </c>
      <c r="P28" s="16">
        <f>IF(ISNUMBER(VLOOKUP($C28,'Justice Spend Total'!$C:$BA,38,FALSE)),VLOOKUP($C28,'Justice Spend Total'!$C:$BA,38,FALSE),"")</f>
        <v>2.8744483824346863</v>
      </c>
      <c r="Q28" s="15">
        <f>IF(ISNUMBER(VLOOKUP($C28,'Justice Spend Total'!$C:$BA,39,FALSE)),VLOOKUP($C28,'Justice Spend Total'!$C:$BA,39,FALSE),"")</f>
        <v>0.68459345042809316</v>
      </c>
      <c r="R28" s="22">
        <f>VLOOKUP($C28,'Justice Spend Total'!$C:$BA,40,FALSE)</f>
        <v>2021</v>
      </c>
      <c r="S28" s="15" t="str">
        <f>VLOOKUP($C28,'Justice Spend Total'!$C:$BA,41,FALSE)</f>
        <v>National</v>
      </c>
      <c r="T28" t="s">
        <v>484</v>
      </c>
    </row>
    <row r="29" spans="1:20">
      <c r="A29">
        <v>27</v>
      </c>
      <c r="B29" t="s">
        <v>119</v>
      </c>
      <c r="C29" t="s">
        <v>332</v>
      </c>
      <c r="D29" t="s">
        <v>496</v>
      </c>
      <c r="E29" t="s">
        <v>299</v>
      </c>
      <c r="F29" s="17">
        <f>VLOOKUP(B29,'Justice Spend Total'!$B$4:$AQ$221,10,FALSE)</f>
        <v>306.55900000000003</v>
      </c>
      <c r="G29" s="15">
        <f>VLOOKUP(C29,'Justice Spend Total'!$C$4:$AQ$221,10,FALSE)</f>
        <v>36.468766022647927</v>
      </c>
      <c r="H29">
        <f>VLOOKUP(C29,'Justice Spend Total'!$C$4:$AQ$221,7,FALSE)</f>
        <v>1090</v>
      </c>
      <c r="I29" s="17">
        <f t="shared" si="1"/>
        <v>8.8087491460337599</v>
      </c>
      <c r="J29" s="17">
        <f t="shared" si="2"/>
        <v>0.40609055959562562</v>
      </c>
      <c r="K29" s="17">
        <f t="shared" si="3"/>
        <v>3.6192205256558649</v>
      </c>
      <c r="L29" s="17">
        <f t="shared" si="4"/>
        <v>16.543570219900616</v>
      </c>
      <c r="M29" s="16">
        <f>IF(ISNUMBER(VLOOKUP($C29,'Justice Spend Total'!$C:$BA,35,FALSE)),VLOOKUP($C29,'Justice Spend Total'!$C:$BA,35,FALSE),"")</f>
        <v>2.2159842836126162</v>
      </c>
      <c r="N29" s="16">
        <f>IF(ISNUMBER(VLOOKUP($C29,'Justice Spend Total'!$C:$BA,36,FALSE)),VLOOKUP($C29,'Justice Spend Total'!$C:$BA,36,FALSE),"")</f>
        <v>0.10215869278018261</v>
      </c>
      <c r="O29" s="16">
        <f>IF(ISNUMBER(VLOOKUP($C29,'Justice Spend Total'!$C:$BA,37,FALSE)),VLOOKUP($C29,'Justice Spend Total'!$C:$BA,37,FALSE),"")</f>
        <v>0.91047385625605493</v>
      </c>
      <c r="P29" s="16">
        <f>IF(ISNUMBER(VLOOKUP($C29,'Justice Spend Total'!$C:$BA,38,FALSE)),VLOOKUP($C29,'Justice Spend Total'!$C:$BA,38,FALSE),"")</f>
        <v>4.161804473527118</v>
      </c>
      <c r="Q29" s="15">
        <f>IF(ISNUMBER(VLOOKUP($C29,'Justice Spend Total'!$C:$BA,39,FALSE)),VLOOKUP($C29,'Justice Spend Total'!$C:$BA,39,FALSE),"")</f>
        <v>1.5177587357706992</v>
      </c>
      <c r="R29" s="22" t="str">
        <f>VLOOKUP($C29,'Justice Spend Total'!$C:$BA,40,FALSE)</f>
        <v>FY 20/21</v>
      </c>
      <c r="S29" s="15" t="str">
        <f>VLOOKUP($C29,'Justice Spend Total'!$C:$BA,41,FALSE)</f>
        <v>National</v>
      </c>
      <c r="T29" t="s">
        <v>555</v>
      </c>
    </row>
    <row r="30" spans="1:20">
      <c r="A30">
        <v>28</v>
      </c>
      <c r="B30" t="s">
        <v>120</v>
      </c>
      <c r="C30" t="s">
        <v>333</v>
      </c>
      <c r="D30" t="s">
        <v>493</v>
      </c>
      <c r="E30" t="s">
        <v>488</v>
      </c>
      <c r="F30" s="17">
        <f>VLOOKUP(B30,'Justice Spend Total'!$B$4:$AQ$221,10,FALSE)</f>
        <v>18460.259999999998</v>
      </c>
      <c r="G30" s="15">
        <f>VLOOKUP(C30,'Justice Spend Total'!$C$4:$AQ$221,10,FALSE)</f>
        <v>16.037650939449076</v>
      </c>
      <c r="H30">
        <f>VLOOKUP(C30,'Justice Spend Total'!$C$4:$AQ$221,7,FALSE)</f>
        <v>1140</v>
      </c>
      <c r="I30" s="17">
        <f t="shared" si="1"/>
        <v>4.0454443866666274</v>
      </c>
      <c r="J30" s="17">
        <f t="shared" si="2"/>
        <v>0.51361770898944714</v>
      </c>
      <c r="K30" s="17">
        <f t="shared" si="3"/>
        <v>0.8466437214817637</v>
      </c>
      <c r="L30" s="17">
        <f t="shared" si="4"/>
        <v>6.4275869070678224</v>
      </c>
      <c r="M30" s="16">
        <f>IF(ISNUMBER(VLOOKUP($C30,'Justice Spend Total'!$C:$BA,35,FALSE)),VLOOKUP($C30,'Justice Spend Total'!$C:$BA,35,FALSE),"")</f>
        <v>2.212690275089908</v>
      </c>
      <c r="N30" s="16">
        <f>IF(ISNUMBER(VLOOKUP($C30,'Justice Spend Total'!$C:$BA,36,FALSE)),VLOOKUP($C30,'Justice Spend Total'!$C:$BA,36,FALSE),"")</f>
        <v>0.28092758203292084</v>
      </c>
      <c r="O30" s="16">
        <f>IF(ISNUMBER(VLOOKUP($C30,'Justice Spend Total'!$C:$BA,37,FALSE)),VLOOKUP($C30,'Justice Spend Total'!$C:$BA,37,FALSE),"")</f>
        <v>0.4630789969979644</v>
      </c>
      <c r="P30" s="16">
        <f>IF(ISNUMBER(VLOOKUP($C30,'Justice Spend Total'!$C:$BA,38,FALSE)),VLOOKUP($C30,'Justice Spend Total'!$C:$BA,38,FALSE),"")</f>
        <v>3.5156234228405929</v>
      </c>
      <c r="Q30" s="15">
        <f>IF(ISNUMBER(VLOOKUP($C30,'Justice Spend Total'!$C:$BA,39,FALSE)),VLOOKUP($C30,'Justice Spend Total'!$C:$BA,39,FALSE),"")</f>
        <v>0.56382341290068605</v>
      </c>
      <c r="R30" s="22">
        <f>VLOOKUP($C30,'Justice Spend Total'!$C:$BA,40,FALSE)</f>
        <v>2019</v>
      </c>
      <c r="S30" s="15" t="str">
        <f>VLOOKUP($C30,'Justice Spend Total'!$C:$BA,41,FALSE)</f>
        <v>IMF COFOG</v>
      </c>
      <c r="T30" t="s">
        <v>484</v>
      </c>
    </row>
    <row r="31" spans="1:20">
      <c r="A31">
        <v>29</v>
      </c>
      <c r="B31" t="s">
        <v>121</v>
      </c>
      <c r="C31" t="s">
        <v>335</v>
      </c>
      <c r="D31" t="s">
        <v>496</v>
      </c>
      <c r="E31" t="s">
        <v>488</v>
      </c>
      <c r="F31" s="17">
        <f>VLOOKUP(B31,'Justice Spend Total'!$B$4:$AQ$221,10,FALSE)</f>
        <v>23732.240000000002</v>
      </c>
      <c r="G31" s="15">
        <f>VLOOKUP(C31,'Justice Spend Total'!$C$4:$AQ$221,10,FALSE)</f>
        <v>14.620880256558982</v>
      </c>
      <c r="H31">
        <f>VLOOKUP(C31,'Justice Spend Total'!$C$4:$AQ$221,7,FALSE)</f>
        <v>1140</v>
      </c>
      <c r="I31" s="17" t="str">
        <f t="shared" si="1"/>
        <v/>
      </c>
      <c r="J31" s="17" t="str">
        <f t="shared" si="2"/>
        <v/>
      </c>
      <c r="K31" s="17" t="str">
        <f t="shared" si="3"/>
        <v/>
      </c>
      <c r="L31" s="17">
        <f t="shared" si="4"/>
        <v>8.4243627853936829</v>
      </c>
      <c r="M31" s="16" t="str">
        <f>IF(ISNUMBER(VLOOKUP($C31,'Justice Spend Total'!$C:$BA,35,FALSE)),VLOOKUP($C31,'Justice Spend Total'!$C:$BA,35,FALSE),"")</f>
        <v/>
      </c>
      <c r="N31" s="16" t="str">
        <f>IF(ISNUMBER(VLOOKUP($C31,'Justice Spend Total'!$C:$BA,36,FALSE)),VLOOKUP($C31,'Justice Spend Total'!$C:$BA,36,FALSE),"")</f>
        <v/>
      </c>
      <c r="O31" s="16" t="str">
        <f>IF(ISNUMBER(VLOOKUP($C31,'Justice Spend Total'!$C:$BA,37,FALSE)),VLOOKUP($C31,'Justice Spend Total'!$C:$BA,37,FALSE),"")</f>
        <v/>
      </c>
      <c r="P31" s="16">
        <f>IF(ISNUMBER(VLOOKUP($C31,'Justice Spend Total'!$C:$BA,38,FALSE)),VLOOKUP($C31,'Justice Spend Total'!$C:$BA,38,FALSE),"")</f>
        <v>5.0542729215615552</v>
      </c>
      <c r="Q31" s="15">
        <f>IF(ISNUMBER(VLOOKUP($C31,'Justice Spend Total'!$C:$BA,39,FALSE)),VLOOKUP($C31,'Justice Spend Total'!$C:$BA,39,FALSE),"")</f>
        <v>0.73897919170120019</v>
      </c>
      <c r="R31" s="22" t="str">
        <f>VLOOKUP($C31,'Justice Spend Total'!$C:$BA,40,FALSE)</f>
        <v>FY 21/22</v>
      </c>
      <c r="S31" s="15" t="str">
        <f>VLOOKUP($C31,'Justice Spend Total'!$C:$BA,41,FALSE)</f>
        <v>National</v>
      </c>
      <c r="T31" t="s">
        <v>484</v>
      </c>
    </row>
    <row r="32" spans="1:20">
      <c r="A32">
        <v>30</v>
      </c>
      <c r="B32" t="s">
        <v>122</v>
      </c>
      <c r="C32" t="s">
        <v>336</v>
      </c>
      <c r="D32" t="s">
        <v>485</v>
      </c>
      <c r="E32" t="s">
        <v>488</v>
      </c>
      <c r="F32" s="17">
        <f>VLOOKUP(B32,'Justice Spend Total'!$B$4:$AQ$221,10,FALSE)</f>
        <v>20.841999999999999</v>
      </c>
      <c r="G32" s="15">
        <f>VLOOKUP(C32,'Justice Spend Total'!$C$4:$AQ$221,10,FALSE)</f>
        <v>24.824316920364943</v>
      </c>
      <c r="H32">
        <f>VLOOKUP(C32,'Justice Spend Total'!$C$4:$AQ$221,7,FALSE)</f>
        <v>1150</v>
      </c>
      <c r="I32" s="17" t="str">
        <f t="shared" si="1"/>
        <v/>
      </c>
      <c r="J32" s="17" t="str">
        <f t="shared" si="2"/>
        <v/>
      </c>
      <c r="K32" s="17" t="str">
        <f t="shared" si="3"/>
        <v/>
      </c>
      <c r="L32" s="17" t="str">
        <f t="shared" si="4"/>
        <v/>
      </c>
      <c r="M32" s="16" t="str">
        <f>IF(ISNUMBER(VLOOKUP($C32,'Justice Spend Total'!$C:$BA,35,FALSE)),VLOOKUP($C32,'Justice Spend Total'!$C:$BA,35,FALSE),"")</f>
        <v/>
      </c>
      <c r="N32" s="16" t="str">
        <f>IF(ISNUMBER(VLOOKUP($C32,'Justice Spend Total'!$C:$BA,36,FALSE)),VLOOKUP($C32,'Justice Spend Total'!$C:$BA,36,FALSE),"")</f>
        <v/>
      </c>
      <c r="O32" s="16" t="str">
        <f>IF(ISNUMBER(VLOOKUP($C32,'Justice Spend Total'!$C:$BA,37,FALSE)),VLOOKUP($C32,'Justice Spend Total'!$C:$BA,37,FALSE),"")</f>
        <v/>
      </c>
      <c r="P32" s="16" t="str">
        <f>IF(ISNUMBER(VLOOKUP($C32,'Justice Spend Total'!$C:$BA,38,FALSE)),VLOOKUP($C32,'Justice Spend Total'!$C:$BA,38,FALSE),"")</f>
        <v/>
      </c>
      <c r="Q32" s="15" t="str">
        <f>IF(ISNUMBER(VLOOKUP($C32,'Justice Spend Total'!$C:$BA,39,FALSE)),VLOOKUP($C32,'Justice Spend Total'!$C:$BA,39,FALSE),"")</f>
        <v/>
      </c>
      <c r="R32" s="22" t="str">
        <f>VLOOKUP($C32,'Justice Spend Total'!$C:$BA,40,FALSE)</f>
        <v xml:space="preserve"> </v>
      </c>
      <c r="S32" s="15" t="str">
        <f>VLOOKUP($C32,'Justice Spend Total'!$C:$BA,41,FALSE)</f>
        <v xml:space="preserve"> </v>
      </c>
      <c r="T32" t="s">
        <v>484</v>
      </c>
    </row>
    <row r="33" spans="1:20">
      <c r="A33">
        <v>31</v>
      </c>
      <c r="B33" t="s">
        <v>123</v>
      </c>
      <c r="C33" t="s">
        <v>337</v>
      </c>
      <c r="D33" t="s">
        <v>485</v>
      </c>
      <c r="E33" t="s">
        <v>488</v>
      </c>
      <c r="F33" s="17">
        <f>VLOOKUP(B33,'Justice Spend Total'!$B$4:$AQ$221,10,FALSE)</f>
        <v>245.58500000000001</v>
      </c>
      <c r="G33" s="15">
        <f>VLOOKUP(C33,'Justice Spend Total'!$C$4:$AQ$221,10,FALSE)</f>
        <v>33.96176578779238</v>
      </c>
      <c r="H33">
        <f>VLOOKUP(C33,'Justice Spend Total'!$C$4:$AQ$221,7,FALSE)</f>
        <v>1180</v>
      </c>
      <c r="I33" s="17" t="str">
        <f t="shared" si="1"/>
        <v/>
      </c>
      <c r="J33" s="17" t="str">
        <f t="shared" si="2"/>
        <v/>
      </c>
      <c r="K33" s="17" t="str">
        <f t="shared" si="3"/>
        <v/>
      </c>
      <c r="L33" s="17">
        <f t="shared" si="4"/>
        <v>20.226141425651551</v>
      </c>
      <c r="M33" s="16" t="str">
        <f>IF(ISNUMBER(VLOOKUP($C33,'Justice Spend Total'!$C:$BA,35,FALSE)),VLOOKUP($C33,'Justice Spend Total'!$C:$BA,35,FALSE),"")</f>
        <v/>
      </c>
      <c r="N33" s="16" t="str">
        <f>IF(ISNUMBER(VLOOKUP($C33,'Justice Spend Total'!$C:$BA,36,FALSE)),VLOOKUP($C33,'Justice Spend Total'!$C:$BA,36,FALSE),"")</f>
        <v/>
      </c>
      <c r="O33" s="16" t="str">
        <f>IF(ISNUMBER(VLOOKUP($C33,'Justice Spend Total'!$C:$BA,37,FALSE)),VLOOKUP($C33,'Justice Spend Total'!$C:$BA,37,FALSE),"")</f>
        <v/>
      </c>
      <c r="P33" s="16">
        <f>IF(ISNUMBER(VLOOKUP($C33,'Justice Spend Total'!$C:$BA,38,FALSE)),VLOOKUP($C33,'Justice Spend Total'!$C:$BA,38,FALSE),"")</f>
        <v>5.0470867520410456</v>
      </c>
      <c r="Q33" s="15">
        <f>IF(ISNUMBER(VLOOKUP($C33,'Justice Spend Total'!$C:$BA,39,FALSE)),VLOOKUP($C33,'Justice Spend Total'!$C:$BA,39,FALSE),"")</f>
        <v>1.7140797818348776</v>
      </c>
      <c r="R33" s="22">
        <f>VLOOKUP($C33,'Justice Spend Total'!$C:$BA,40,FALSE)</f>
        <v>2019</v>
      </c>
      <c r="S33" s="15" t="str">
        <f>VLOOKUP($C33,'Justice Spend Total'!$C:$BA,41,FALSE)</f>
        <v>National</v>
      </c>
    </row>
    <row r="34" spans="1:20">
      <c r="A34">
        <v>32</v>
      </c>
      <c r="B34" t="s">
        <v>124</v>
      </c>
      <c r="C34" t="s">
        <v>338</v>
      </c>
      <c r="D34" t="s">
        <v>483</v>
      </c>
      <c r="E34" t="s">
        <v>488</v>
      </c>
      <c r="F34" s="17">
        <f>VLOOKUP(B34,'Justice Spend Total'!$B$4:$AQ$221,10,FALSE)</f>
        <v>865.03099999999995</v>
      </c>
      <c r="G34" s="15">
        <f>VLOOKUP(C34,'Justice Spend Total'!$C$4:$AQ$221,10,FALSE)</f>
        <v>22.096993383911922</v>
      </c>
      <c r="H34">
        <f>VLOOKUP(C34,'Justice Spend Total'!$C$4:$AQ$221,7,FALSE)</f>
        <v>1230</v>
      </c>
      <c r="I34" s="17">
        <f t="shared" si="1"/>
        <v>12.397675212175749</v>
      </c>
      <c r="J34" s="17">
        <f t="shared" si="2"/>
        <v>1.9457547145284</v>
      </c>
      <c r="K34" s="17">
        <f t="shared" si="3"/>
        <v>0.60935051189362921</v>
      </c>
      <c r="L34" s="17">
        <f t="shared" si="4"/>
        <v>17.912197900438365</v>
      </c>
      <c r="M34" s="16">
        <f>IF(ISNUMBER(VLOOKUP($C34,'Justice Spend Total'!$C:$BA,35,FALSE)),VLOOKUP($C34,'Justice Spend Total'!$C:$BA,35,FALSE),"")</f>
        <v>4.561439905641091</v>
      </c>
      <c r="N34" s="16">
        <f>IF(ISNUMBER(VLOOKUP($C34,'Justice Spend Total'!$C:$BA,36,FALSE)),VLOOKUP($C34,'Justice Spend Total'!$C:$BA,36,FALSE),"")</f>
        <v>0.71589576670975907</v>
      </c>
      <c r="O34" s="16">
        <f>IF(ISNUMBER(VLOOKUP($C34,'Justice Spend Total'!$C:$BA,37,FALSE)),VLOOKUP($C34,'Justice Spend Total'!$C:$BA,37,FALSE),"")</f>
        <v>0.2241965282930356</v>
      </c>
      <c r="P34" s="16">
        <f>IF(ISNUMBER(VLOOKUP($C34,'Justice Spend Total'!$C:$BA,38,FALSE)),VLOOKUP($C34,'Justice Spend Total'!$C:$BA,38,FALSE),"")</f>
        <v>6.5903818984189302</v>
      </c>
      <c r="Q34" s="15">
        <f>IF(ISNUMBER(VLOOKUP($C34,'Justice Spend Total'!$C:$BA,39,FALSE)),VLOOKUP($C34,'Justice Spend Total'!$C:$BA,39,FALSE),"")</f>
        <v>1.45627625206816</v>
      </c>
      <c r="R34" s="22">
        <f>VLOOKUP($C34,'Justice Spend Total'!$C:$BA,40,FALSE)</f>
        <v>2020</v>
      </c>
      <c r="S34" s="15" t="str">
        <f>VLOOKUP($C34,'Justice Spend Total'!$C:$BA,41,FALSE)</f>
        <v>IMF COFOG</v>
      </c>
      <c r="T34" t="s">
        <v>484</v>
      </c>
    </row>
    <row r="35" spans="1:20">
      <c r="A35">
        <v>33</v>
      </c>
      <c r="B35" t="s">
        <v>125</v>
      </c>
      <c r="C35" t="s">
        <v>339</v>
      </c>
      <c r="D35" t="s">
        <v>496</v>
      </c>
      <c r="E35" t="s">
        <v>488</v>
      </c>
      <c r="F35" s="17">
        <f>VLOOKUP(B35,'Justice Spend Total'!$B$4:$AQ$221,10,FALSE)</f>
        <v>16.957000000000001</v>
      </c>
      <c r="G35" s="15">
        <f>VLOOKUP(C35,'Justice Spend Total'!$C$4:$AQ$221,10,FALSE)</f>
        <v>46.273707190612633</v>
      </c>
      <c r="H35">
        <f>VLOOKUP(C35,'Justice Spend Total'!$C$4:$AQ$221,7,FALSE)</f>
        <v>1270</v>
      </c>
      <c r="I35" s="17" t="str">
        <f t="shared" si="1"/>
        <v/>
      </c>
      <c r="J35" s="17" t="str">
        <f t="shared" si="2"/>
        <v/>
      </c>
      <c r="K35" s="17" t="str">
        <f t="shared" si="3"/>
        <v/>
      </c>
      <c r="L35" s="17">
        <f t="shared" si="4"/>
        <v>42.701062847045975</v>
      </c>
      <c r="M35" s="16" t="str">
        <f>IF(ISNUMBER(VLOOKUP($C35,'Justice Spend Total'!$C:$BA,35,FALSE)),VLOOKUP($C35,'Justice Spend Total'!$C:$BA,35,FALSE),"")</f>
        <v/>
      </c>
      <c r="N35" s="16" t="str">
        <f>IF(ISNUMBER(VLOOKUP($C35,'Justice Spend Total'!$C:$BA,36,FALSE)),VLOOKUP($C35,'Justice Spend Total'!$C:$BA,36,FALSE),"")</f>
        <v/>
      </c>
      <c r="O35" s="16" t="str">
        <f>IF(ISNUMBER(VLOOKUP($C35,'Justice Spend Total'!$C:$BA,37,FALSE)),VLOOKUP($C35,'Justice Spend Total'!$C:$BA,37,FALSE),"")</f>
        <v/>
      </c>
      <c r="P35" s="16">
        <f>IF(ISNUMBER(VLOOKUP($C35,'Justice Spend Total'!$C:$BA,38,FALSE)),VLOOKUP($C35,'Justice Spend Total'!$C:$BA,38,FALSE),"")</f>
        <v>7.2660882762281052</v>
      </c>
      <c r="Q35" s="15">
        <f>IF(ISNUMBER(VLOOKUP($C35,'Justice Spend Total'!$C:$BA,39,FALSE)),VLOOKUP($C35,'Justice Spend Total'!$C:$BA,39,FALSE),"")</f>
        <v>3.3622884131532258</v>
      </c>
      <c r="R35" s="22" t="str">
        <f>VLOOKUP($C35,'Justice Spend Total'!$C:$BA,40,FALSE)</f>
        <v>22/23</v>
      </c>
      <c r="S35" s="15" t="str">
        <f>VLOOKUP($C35,'Justice Spend Total'!$C:$BA,41,FALSE)</f>
        <v>National</v>
      </c>
    </row>
    <row r="36" spans="1:20">
      <c r="A36">
        <v>34</v>
      </c>
      <c r="B36" t="s">
        <v>126</v>
      </c>
      <c r="C36" t="s">
        <v>340</v>
      </c>
      <c r="D36" t="s">
        <v>496</v>
      </c>
      <c r="E36" t="s">
        <v>488</v>
      </c>
      <c r="F36" s="17">
        <f>VLOOKUP(B36,'Justice Spend Total'!$B$4:$AQ$221,10,FALSE)</f>
        <v>1386.3</v>
      </c>
      <c r="G36" s="15">
        <f>VLOOKUP(C36,'Justice Spend Total'!$C$4:$AQ$221,10,FALSE)</f>
        <v>14.330030007990416</v>
      </c>
      <c r="H36">
        <f>VLOOKUP(C36,'Justice Spend Total'!$C$4:$AQ$221,7,FALSE)</f>
        <v>1370</v>
      </c>
      <c r="I36" s="17" t="str">
        <f t="shared" si="1"/>
        <v/>
      </c>
      <c r="J36" s="17" t="str">
        <f t="shared" si="2"/>
        <v/>
      </c>
      <c r="K36" s="17" t="str">
        <f t="shared" si="3"/>
        <v/>
      </c>
      <c r="L36" s="17">
        <f t="shared" si="4"/>
        <v>15.41357167444173</v>
      </c>
      <c r="M36" s="16" t="str">
        <f>IF(ISNUMBER(VLOOKUP($C36,'Justice Spend Total'!$C:$BA,35,FALSE)),VLOOKUP($C36,'Justice Spend Total'!$C:$BA,35,FALSE),"")</f>
        <v/>
      </c>
      <c r="N36" s="16" t="str">
        <f>IF(ISNUMBER(VLOOKUP($C36,'Justice Spend Total'!$C:$BA,36,FALSE)),VLOOKUP($C36,'Justice Spend Total'!$C:$BA,36,FALSE),"")</f>
        <v/>
      </c>
      <c r="O36" s="16" t="str">
        <f>IF(ISNUMBER(VLOOKUP($C36,'Justice Spend Total'!$C:$BA,37,FALSE)),VLOOKUP($C36,'Justice Spend Total'!$C:$BA,37,FALSE),"")</f>
        <v/>
      </c>
      <c r="P36" s="16">
        <f>IF(ISNUMBER(VLOOKUP($C36,'Justice Spend Total'!$C:$BA,38,FALSE)),VLOOKUP($C36,'Justice Spend Total'!$C:$BA,38,FALSE),"")</f>
        <v>7.8511923826011687</v>
      </c>
      <c r="Q36" s="15">
        <f>IF(ISNUMBER(VLOOKUP($C36,'Justice Spend Total'!$C:$BA,39,FALSE)),VLOOKUP($C36,'Justice Spend Total'!$C:$BA,39,FALSE),"")</f>
        <v>1.1250782244118052</v>
      </c>
      <c r="R36" s="22">
        <f>VLOOKUP($C36,'Justice Spend Total'!$C:$BA,40,FALSE)</f>
        <v>2020</v>
      </c>
      <c r="S36" s="15" t="str">
        <f>VLOOKUP($C36,'Justice Spend Total'!$C:$BA,41,FALSE)</f>
        <v>National</v>
      </c>
    </row>
    <row r="37" spans="1:20">
      <c r="A37">
        <v>35</v>
      </c>
      <c r="B37" t="s">
        <v>127</v>
      </c>
      <c r="C37" t="s">
        <v>341</v>
      </c>
      <c r="D37" t="s">
        <v>496</v>
      </c>
      <c r="E37" t="s">
        <v>488</v>
      </c>
      <c r="F37" s="17">
        <f>VLOOKUP(B37,'Justice Spend Total'!$B$4:$AQ$221,10,FALSE)</f>
        <v>22.971</v>
      </c>
      <c r="G37" s="15">
        <f>VLOOKUP(C37,'Justice Spend Total'!$C$4:$AQ$221,10,FALSE)</f>
        <v>12.256952596418586</v>
      </c>
      <c r="H37">
        <f>VLOOKUP(C37,'Justice Spend Total'!$C$4:$AQ$221,7,FALSE)</f>
        <v>1400</v>
      </c>
      <c r="I37" s="17" t="str">
        <f t="shared" si="1"/>
        <v/>
      </c>
      <c r="J37" s="17" t="str">
        <f t="shared" si="2"/>
        <v/>
      </c>
      <c r="K37" s="17" t="str">
        <f t="shared" si="3"/>
        <v/>
      </c>
      <c r="L37" s="17">
        <f t="shared" si="4"/>
        <v>16.842783260786867</v>
      </c>
      <c r="M37" s="16" t="str">
        <f>IF(ISNUMBER(VLOOKUP($C37,'Justice Spend Total'!$C:$BA,35,FALSE)),VLOOKUP($C37,'Justice Spend Total'!$C:$BA,35,FALSE),"")</f>
        <v/>
      </c>
      <c r="N37" s="16" t="str">
        <f>IF(ISNUMBER(VLOOKUP($C37,'Justice Spend Total'!$C:$BA,36,FALSE)),VLOOKUP($C37,'Justice Spend Total'!$C:$BA,36,FALSE),"")</f>
        <v/>
      </c>
      <c r="O37" s="16" t="str">
        <f>IF(ISNUMBER(VLOOKUP($C37,'Justice Spend Total'!$C:$BA,37,FALSE)),VLOOKUP($C37,'Justice Spend Total'!$C:$BA,37,FALSE),"")</f>
        <v/>
      </c>
      <c r="P37" s="16">
        <f>IF(ISNUMBER(VLOOKUP($C37,'Justice Spend Total'!$C:$BA,38,FALSE)),VLOOKUP($C37,'Justice Spend Total'!$C:$BA,38,FALSE),"")</f>
        <v>9.8152941176470581</v>
      </c>
      <c r="Q37" s="15">
        <f>IF(ISNUMBER(VLOOKUP($C37,'Justice Spend Total'!$C:$BA,39,FALSE)),VLOOKUP($C37,'Justice Spend Total'!$C:$BA,39,FALSE),"")</f>
        <v>1.2030559471990618</v>
      </c>
      <c r="R37" s="22">
        <f>VLOOKUP($C37,'Justice Spend Total'!$C:$BA,40,FALSE)</f>
        <v>2022</v>
      </c>
      <c r="S37" s="15" t="str">
        <f>VLOOKUP($C37,'Justice Spend Total'!$C:$BA,41,FALSE)</f>
        <v>National</v>
      </c>
      <c r="T37" t="s">
        <v>596</v>
      </c>
    </row>
    <row r="38" spans="1:20">
      <c r="A38">
        <v>36</v>
      </c>
      <c r="B38" t="s">
        <v>128</v>
      </c>
      <c r="C38" t="s">
        <v>342</v>
      </c>
      <c r="D38" t="s">
        <v>497</v>
      </c>
      <c r="E38" t="s">
        <v>488</v>
      </c>
      <c r="F38" s="17">
        <f>VLOOKUP(B38,'Justice Spend Total'!$B$4:$AQ$221,10,FALSE)</f>
        <v>141.178</v>
      </c>
      <c r="G38" s="15">
        <f>VLOOKUP(C38,'Justice Spend Total'!$C$4:$AQ$221,10,FALSE)</f>
        <v>8.3084492205201244</v>
      </c>
      <c r="H38">
        <f>VLOOKUP(C38,'Justice Spend Total'!$C$4:$AQ$221,7,FALSE)</f>
        <v>1420</v>
      </c>
      <c r="I38" s="17" t="str">
        <f t="shared" si="1"/>
        <v/>
      </c>
      <c r="J38" s="17" t="str">
        <f t="shared" si="2"/>
        <v/>
      </c>
      <c r="K38" s="17" t="str">
        <f t="shared" si="3"/>
        <v/>
      </c>
      <c r="L38" s="17">
        <f t="shared" si="4"/>
        <v>21.020022736377495</v>
      </c>
      <c r="M38" s="16" t="str">
        <f>IF(ISNUMBER(VLOOKUP($C38,'Justice Spend Total'!$C:$BA,35,FALSE)),VLOOKUP($C38,'Justice Spend Total'!$C:$BA,35,FALSE),"")</f>
        <v/>
      </c>
      <c r="N38" s="16" t="str">
        <f>IF(ISNUMBER(VLOOKUP($C38,'Justice Spend Total'!$C:$BA,36,FALSE)),VLOOKUP($C38,'Justice Spend Total'!$C:$BA,36,FALSE),"")</f>
        <v/>
      </c>
      <c r="O38" s="16" t="str">
        <f>IF(ISNUMBER(VLOOKUP($C38,'Justice Spend Total'!$C:$BA,37,FALSE)),VLOOKUP($C38,'Justice Spend Total'!$C:$BA,37,FALSE),"")</f>
        <v/>
      </c>
      <c r="P38" s="16">
        <f>IF(ISNUMBER(VLOOKUP($C38,'Justice Spend Total'!$C:$BA,38,FALSE)),VLOOKUP($C38,'Justice Spend Total'!$C:$BA,38,FALSE),"")</f>
        <v>17.816601534233381</v>
      </c>
      <c r="Q38" s="15">
        <f>IF(ISNUMBER(VLOOKUP($C38,'Justice Spend Total'!$C:$BA,39,FALSE)),VLOOKUP($C38,'Justice Spend Total'!$C:$BA,39,FALSE),"")</f>
        <v>1.4802832912941897</v>
      </c>
      <c r="R38" s="22" t="str">
        <f>VLOOKUP($C38,'Justice Spend Total'!$C:$BA,40,FALSE)</f>
        <v>20/21</v>
      </c>
      <c r="S38" s="15" t="str">
        <f>VLOOKUP($C38,'Justice Spend Total'!$C:$BA,41,FALSE)</f>
        <v>National</v>
      </c>
    </row>
    <row r="39" spans="1:20">
      <c r="A39">
        <v>37</v>
      </c>
      <c r="B39" t="s">
        <v>129</v>
      </c>
      <c r="C39" t="s">
        <v>343</v>
      </c>
      <c r="D39" t="s">
        <v>496</v>
      </c>
      <c r="E39" t="s">
        <v>488</v>
      </c>
      <c r="F39" s="17">
        <f>VLOOKUP(B39,'Justice Spend Total'!$B$4:$AQ$221,10,FALSE)</f>
        <v>95.807000000000002</v>
      </c>
      <c r="G39" s="15">
        <f>VLOOKUP(C39,'Justice Spend Total'!$C$4:$AQ$221,10,FALSE)</f>
        <v>18.250794842145972</v>
      </c>
      <c r="H39">
        <f>VLOOKUP(C39,'Justice Spend Total'!$C$4:$AQ$221,7,FALSE)</f>
        <v>1460</v>
      </c>
      <c r="I39" s="17" t="str">
        <f t="shared" si="1"/>
        <v/>
      </c>
      <c r="J39" s="17" t="str">
        <f t="shared" si="2"/>
        <v/>
      </c>
      <c r="K39" s="17" t="str">
        <f t="shared" si="3"/>
        <v/>
      </c>
      <c r="L39" s="17" t="str">
        <f t="shared" si="4"/>
        <v/>
      </c>
      <c r="M39" s="16" t="str">
        <f>IF(ISNUMBER(VLOOKUP($C39,'Justice Spend Total'!$C:$BA,35,FALSE)),VLOOKUP($C39,'Justice Spend Total'!$C:$BA,35,FALSE),"")</f>
        <v/>
      </c>
      <c r="N39" s="16" t="str">
        <f>IF(ISNUMBER(VLOOKUP($C39,'Justice Spend Total'!$C:$BA,36,FALSE)),VLOOKUP($C39,'Justice Spend Total'!$C:$BA,36,FALSE),"")</f>
        <v/>
      </c>
      <c r="O39" s="16" t="str">
        <f>IF(ISNUMBER(VLOOKUP($C39,'Justice Spend Total'!$C:$BA,37,FALSE)),VLOOKUP($C39,'Justice Spend Total'!$C:$BA,37,FALSE),"")</f>
        <v/>
      </c>
      <c r="P39" s="16" t="str">
        <f>IF(ISNUMBER(VLOOKUP($C39,'Justice Spend Total'!$C:$BA,38,FALSE)),VLOOKUP($C39,'Justice Spend Total'!$C:$BA,38,FALSE),"")</f>
        <v/>
      </c>
      <c r="Q39" s="15" t="str">
        <f>IF(ISNUMBER(VLOOKUP($C39,'Justice Spend Total'!$C:$BA,39,FALSE)),VLOOKUP($C39,'Justice Spend Total'!$C:$BA,39,FALSE),"")</f>
        <v/>
      </c>
      <c r="R39" s="22" t="str">
        <f>VLOOKUP($C39,'Justice Spend Total'!$C:$BA,40,FALSE)</f>
        <v xml:space="preserve"> </v>
      </c>
      <c r="S39" s="15" t="str">
        <f>VLOOKUP($C39,'Justice Spend Total'!$C:$BA,41,FALSE)</f>
        <v xml:space="preserve"> </v>
      </c>
      <c r="T39" t="s">
        <v>484</v>
      </c>
    </row>
    <row r="40" spans="1:20">
      <c r="A40">
        <v>38</v>
      </c>
      <c r="B40" t="s">
        <v>130</v>
      </c>
      <c r="C40" t="s">
        <v>344</v>
      </c>
      <c r="D40" t="s">
        <v>483</v>
      </c>
      <c r="E40" t="s">
        <v>488</v>
      </c>
      <c r="F40" s="17">
        <f>VLOOKUP(B40,'Justice Spend Total'!$B$4:$AQ$221,10,FALSE)</f>
        <v>6933.23</v>
      </c>
      <c r="G40" s="15">
        <f>VLOOKUP(C40,'Justice Spend Total'!$C$4:$AQ$221,10,FALSE)</f>
        <v>12.495005677803185</v>
      </c>
      <c r="H40">
        <f>VLOOKUP(C40,'Justice Spend Total'!$C$4:$AQ$221,7,FALSE)</f>
        <v>1500</v>
      </c>
      <c r="I40" s="17">
        <f t="shared" si="1"/>
        <v>4.8706738626957424</v>
      </c>
      <c r="J40" s="17">
        <f t="shared" si="2"/>
        <v>0.29163057027995776</v>
      </c>
      <c r="K40" s="17">
        <f t="shared" si="3"/>
        <v>1.1894461524210363E-3</v>
      </c>
      <c r="L40" s="17">
        <f t="shared" si="4"/>
        <v>5.3146887048210951</v>
      </c>
      <c r="M40" s="16">
        <f>IF(ISNUMBER(VLOOKUP($C40,'Justice Spend Total'!$C:$BA,35,FALSE)),VLOOKUP($C40,'Justice Spend Total'!$C:$BA,35,FALSE),"")</f>
        <v>2.598731038779905</v>
      </c>
      <c r="N40" s="16">
        <f>IF(ISNUMBER(VLOOKUP($C40,'Justice Spend Total'!$C:$BA,36,FALSE)),VLOOKUP($C40,'Justice Spend Total'!$C:$BA,36,FALSE),"")</f>
        <v>0.15559847286185516</v>
      </c>
      <c r="O40" s="16">
        <f>IF(ISNUMBER(VLOOKUP($C40,'Justice Spend Total'!$C:$BA,37,FALSE)),VLOOKUP($C40,'Justice Spend Total'!$C:$BA,37,FALSE),"")</f>
        <v>6.3462484296640954E-4</v>
      </c>
      <c r="P40" s="16">
        <f>IF(ISNUMBER(VLOOKUP($C40,'Justice Spend Total'!$C:$BA,38,FALSE)),VLOOKUP($C40,'Justice Spend Total'!$C:$BA,38,FALSE),"")</f>
        <v>2.8356336080008888</v>
      </c>
      <c r="Q40" s="15">
        <f>IF(ISNUMBER(VLOOKUP($C40,'Justice Spend Total'!$C:$BA,39,FALSE)),VLOOKUP($C40,'Justice Spend Total'!$C:$BA,39,FALSE),"")</f>
        <v>0.35431258032140639</v>
      </c>
      <c r="R40" s="22" t="str">
        <f>VLOOKUP($C40,'Justice Spend Total'!$C:$BA,40,FALSE)</f>
        <v>21/22</v>
      </c>
      <c r="S40" s="15" t="str">
        <f>VLOOKUP($C40,'Justice Spend Total'!$C:$BA,41,FALSE)</f>
        <v>National</v>
      </c>
    </row>
    <row r="41" spans="1:20">
      <c r="A41">
        <v>39</v>
      </c>
      <c r="B41" t="s">
        <v>131</v>
      </c>
      <c r="C41" t="s">
        <v>345</v>
      </c>
      <c r="D41" t="s">
        <v>496</v>
      </c>
      <c r="E41" t="s">
        <v>488</v>
      </c>
      <c r="F41" s="17">
        <f>VLOOKUP(B41,'Justice Spend Total'!$B$4:$AQ$221,10,FALSE)</f>
        <v>2842.64</v>
      </c>
      <c r="G41" s="15">
        <f>VLOOKUP(C41,'Justice Spend Total'!$C$4:$AQ$221,10,FALSE)</f>
        <v>20.15913764981207</v>
      </c>
      <c r="H41">
        <f>VLOOKUP(C41,'Justice Spend Total'!$C$4:$AQ$221,7,FALSE)</f>
        <v>1540</v>
      </c>
      <c r="I41" s="17" t="str">
        <f t="shared" si="1"/>
        <v/>
      </c>
      <c r="J41" s="17" t="str">
        <f t="shared" si="2"/>
        <v/>
      </c>
      <c r="K41" s="17" t="str">
        <f t="shared" si="3"/>
        <v/>
      </c>
      <c r="L41" s="17">
        <f t="shared" si="4"/>
        <v>18.522462460954543</v>
      </c>
      <c r="M41" s="16" t="str">
        <f>IF(ISNUMBER(VLOOKUP($C41,'Justice Spend Total'!$C:$BA,35,FALSE)),VLOOKUP($C41,'Justice Spend Total'!$C:$BA,35,FALSE),"")</f>
        <v/>
      </c>
      <c r="N41" s="16" t="str">
        <f>IF(ISNUMBER(VLOOKUP($C41,'Justice Spend Total'!$C:$BA,36,FALSE)),VLOOKUP($C41,'Justice Spend Total'!$C:$BA,36,FALSE),"")</f>
        <v/>
      </c>
      <c r="O41" s="16" t="str">
        <f>IF(ISNUMBER(VLOOKUP($C41,'Justice Spend Total'!$C:$BA,37,FALSE)),VLOOKUP($C41,'Justice Spend Total'!$C:$BA,37,FALSE),"")</f>
        <v/>
      </c>
      <c r="P41" s="16">
        <f>IF(ISNUMBER(VLOOKUP($C41,'Justice Spend Total'!$C:$BA,38,FALSE)),VLOOKUP($C41,'Justice Spend Total'!$C:$BA,38,FALSE),"")</f>
        <v>5.966313259786677</v>
      </c>
      <c r="Q41" s="15">
        <f>IF(ISNUMBER(VLOOKUP($C41,'Justice Spend Total'!$C:$BA,39,FALSE)),VLOOKUP($C41,'Justice Spend Total'!$C:$BA,39,FALSE),"")</f>
        <v>1.2027573026593859</v>
      </c>
      <c r="R41" s="22">
        <f>VLOOKUP($C41,'Justice Spend Total'!$C:$BA,40,FALSE)</f>
        <v>2021</v>
      </c>
      <c r="S41" s="15" t="str">
        <f>VLOOKUP($C41,'Justice Spend Total'!$C:$BA,41,FALSE)</f>
        <v>National</v>
      </c>
    </row>
    <row r="42" spans="1:20">
      <c r="A42">
        <v>40</v>
      </c>
      <c r="B42" t="s">
        <v>132</v>
      </c>
      <c r="C42" t="s">
        <v>346</v>
      </c>
      <c r="D42" t="s">
        <v>493</v>
      </c>
      <c r="E42" t="s">
        <v>488</v>
      </c>
      <c r="F42" s="17">
        <f>VLOOKUP(B42,'Justice Spend Total'!$B$4:$AQ$221,10,FALSE)</f>
        <v>29461.49</v>
      </c>
      <c r="G42" s="15">
        <f>VLOOKUP(C42,'Justice Spend Total'!$C$4:$AQ$221,10,FALSE)</f>
        <v>26.779752222557029</v>
      </c>
      <c r="H42">
        <f>VLOOKUP(C42,'Justice Spend Total'!$C$4:$AQ$221,7,FALSE)</f>
        <v>1550</v>
      </c>
      <c r="I42" s="17" t="str">
        <f t="shared" si="1"/>
        <v/>
      </c>
      <c r="J42" s="17" t="str">
        <f t="shared" si="2"/>
        <v/>
      </c>
      <c r="K42" s="17" t="str">
        <f t="shared" si="3"/>
        <v/>
      </c>
      <c r="L42" s="17">
        <f t="shared" si="4"/>
        <v>24.809355168726171</v>
      </c>
      <c r="M42" s="16" t="str">
        <f>IF(ISNUMBER(VLOOKUP($C42,'Justice Spend Total'!$C:$BA,35,FALSE)),VLOOKUP($C42,'Justice Spend Total'!$C:$BA,35,FALSE),"")</f>
        <v/>
      </c>
      <c r="N42" s="16" t="str">
        <f>IF(ISNUMBER(VLOOKUP($C42,'Justice Spend Total'!$C:$BA,36,FALSE)),VLOOKUP($C42,'Justice Spend Total'!$C:$BA,36,FALSE),"")</f>
        <v/>
      </c>
      <c r="O42" s="16" t="str">
        <f>IF(ISNUMBER(VLOOKUP($C42,'Justice Spend Total'!$C:$BA,37,FALSE)),VLOOKUP($C42,'Justice Spend Total'!$C:$BA,37,FALSE),"")</f>
        <v/>
      </c>
      <c r="P42" s="16">
        <f>IF(ISNUMBER(VLOOKUP($C42,'Justice Spend Total'!$C:$BA,38,FALSE)),VLOOKUP($C42,'Justice Spend Total'!$C:$BA,38,FALSE),"")</f>
        <v>5.9769169855292441</v>
      </c>
      <c r="Q42" s="15">
        <f>IF(ISNUMBER(VLOOKUP($C42,'Justice Spend Total'!$C:$BA,39,FALSE)),VLOOKUP($C42,'Justice Spend Total'!$C:$BA,39,FALSE),"")</f>
        <v>1.6006035592726564</v>
      </c>
      <c r="R42" s="22">
        <f>VLOOKUP($C42,'Justice Spend Total'!$C:$BA,40,FALSE)</f>
        <v>2022</v>
      </c>
      <c r="S42" s="15" t="str">
        <f>VLOOKUP($C42,'Justice Spend Total'!$C:$BA,41,FALSE)</f>
        <v>National</v>
      </c>
    </row>
    <row r="43" spans="1:20">
      <c r="A43">
        <v>41</v>
      </c>
      <c r="B43" t="s">
        <v>133</v>
      </c>
      <c r="C43" t="s">
        <v>347</v>
      </c>
      <c r="D43" t="s">
        <v>496</v>
      </c>
      <c r="E43" t="s">
        <v>488</v>
      </c>
      <c r="F43" s="17">
        <f>VLOOKUP(B43,'Justice Spend Total'!$B$4:$AQ$221,10,FALSE)</f>
        <v>3145.32</v>
      </c>
      <c r="G43" s="15">
        <f>VLOOKUP(C43,'Justice Spend Total'!$C$4:$AQ$221,10,FALSE)</f>
        <v>13.392050827561572</v>
      </c>
      <c r="H43">
        <f>VLOOKUP(C43,'Justice Spend Total'!$C$4:$AQ$221,7,FALSE)</f>
        <v>1590</v>
      </c>
      <c r="I43" s="17" t="str">
        <f t="shared" si="1"/>
        <v/>
      </c>
      <c r="J43" s="17" t="str">
        <f t="shared" si="2"/>
        <v/>
      </c>
      <c r="K43" s="17" t="str">
        <f t="shared" si="3"/>
        <v/>
      </c>
      <c r="L43" s="17" t="str">
        <f t="shared" si="4"/>
        <v/>
      </c>
      <c r="M43" s="16" t="str">
        <f>IF(ISNUMBER(VLOOKUP($C43,'Justice Spend Total'!$C:$BA,35,FALSE)),VLOOKUP($C43,'Justice Spend Total'!$C:$BA,35,FALSE),"")</f>
        <v/>
      </c>
      <c r="N43" s="16" t="str">
        <f>IF(ISNUMBER(VLOOKUP($C43,'Justice Spend Total'!$C:$BA,36,FALSE)),VLOOKUP($C43,'Justice Spend Total'!$C:$BA,36,FALSE),"")</f>
        <v/>
      </c>
      <c r="O43" s="16" t="str">
        <f>IF(ISNUMBER(VLOOKUP($C43,'Justice Spend Total'!$C:$BA,37,FALSE)),VLOOKUP($C43,'Justice Spend Total'!$C:$BA,37,FALSE),"")</f>
        <v/>
      </c>
      <c r="P43" s="16" t="str">
        <f>IF(ISNUMBER(VLOOKUP($C43,'Justice Spend Total'!$C:$BA,38,FALSE)),VLOOKUP($C43,'Justice Spend Total'!$C:$BA,38,FALSE),"")</f>
        <v/>
      </c>
      <c r="Q43" s="15" t="str">
        <f>IF(ISNUMBER(VLOOKUP($C43,'Justice Spend Total'!$C:$BA,39,FALSE)),VLOOKUP($C43,'Justice Spend Total'!$C:$BA,39,FALSE),"")</f>
        <v/>
      </c>
      <c r="R43" s="22" t="str">
        <f>VLOOKUP($C43,'Justice Spend Total'!$C:$BA,40,FALSE)</f>
        <v xml:space="preserve"> </v>
      </c>
      <c r="S43" s="15" t="str">
        <f>VLOOKUP($C43,'Justice Spend Total'!$C:$BA,41,FALSE)</f>
        <v xml:space="preserve"> </v>
      </c>
      <c r="T43" t="s">
        <v>484</v>
      </c>
    </row>
    <row r="44" spans="1:20">
      <c r="A44">
        <v>42</v>
      </c>
      <c r="B44" t="s">
        <v>134</v>
      </c>
      <c r="C44" t="s">
        <v>348</v>
      </c>
      <c r="D44" t="s">
        <v>496</v>
      </c>
      <c r="E44" t="s">
        <v>488</v>
      </c>
      <c r="F44" s="17">
        <f>VLOOKUP(B44,'Justice Spend Total'!$B$4:$AQ$221,10,FALSE)</f>
        <v>1320.48</v>
      </c>
      <c r="G44" s="15">
        <f>VLOOKUP(C44,'Justice Spend Total'!$C$4:$AQ$221,10,FALSE)</f>
        <v>22.243409416322748</v>
      </c>
      <c r="H44">
        <f>VLOOKUP(C44,'Justice Spend Total'!$C$4:$AQ$221,7,FALSE)</f>
        <v>1630</v>
      </c>
      <c r="I44" s="17" t="str">
        <f t="shared" si="1"/>
        <v/>
      </c>
      <c r="J44" s="17">
        <f t="shared" si="2"/>
        <v>8.2181802264869859</v>
      </c>
      <c r="K44" s="17" t="str">
        <f t="shared" si="3"/>
        <v/>
      </c>
      <c r="L44" s="17" t="str">
        <f t="shared" si="4"/>
        <v/>
      </c>
      <c r="M44" s="16" t="str">
        <f>IF(ISNUMBER(VLOOKUP($C44,'Justice Spend Total'!$C:$BA,35,FALSE)),VLOOKUP($C44,'Justice Spend Total'!$C:$BA,35,FALSE),"")</f>
        <v/>
      </c>
      <c r="N44" s="16">
        <f>IF(ISNUMBER(VLOOKUP($C44,'Justice Spend Total'!$C:$BA,36,FALSE)),VLOOKUP($C44,'Justice Spend Total'!$C:$BA,36,FALSE),"")</f>
        <v>2.2666616728765296</v>
      </c>
      <c r="O44" s="16" t="str">
        <f>IF(ISNUMBER(VLOOKUP($C44,'Justice Spend Total'!$C:$BA,37,FALSE)),VLOOKUP($C44,'Justice Spend Total'!$C:$BA,37,FALSE),"")</f>
        <v/>
      </c>
      <c r="P44" s="16" t="str">
        <f>IF(ISNUMBER(VLOOKUP($C44,'Justice Spend Total'!$C:$BA,38,FALSE)),VLOOKUP($C44,'Justice Spend Total'!$C:$BA,38,FALSE),"")</f>
        <v/>
      </c>
      <c r="Q44" s="15" t="str">
        <f>IF(ISNUMBER(VLOOKUP($C44,'Justice Spend Total'!$C:$BA,39,FALSE)),VLOOKUP($C44,'Justice Spend Total'!$C:$BA,39,FALSE),"")</f>
        <v/>
      </c>
      <c r="R44" s="22">
        <f>VLOOKUP($C44,'Justice Spend Total'!$C:$BA,40,FALSE)</f>
        <v>2020</v>
      </c>
      <c r="S44" s="15" t="str">
        <f>VLOOKUP($C44,'Justice Spend Total'!$C:$BA,41,FALSE)</f>
        <v>National</v>
      </c>
    </row>
    <row r="45" spans="1:20">
      <c r="A45">
        <v>43</v>
      </c>
      <c r="B45" t="s">
        <v>135</v>
      </c>
      <c r="C45" t="s">
        <v>349</v>
      </c>
      <c r="D45" t="s">
        <v>496</v>
      </c>
      <c r="E45" t="s">
        <v>488</v>
      </c>
      <c r="F45" s="17">
        <f>VLOOKUP(B45,'Justice Spend Total'!$B$4:$AQ$221,10,FALSE)</f>
        <v>65.481999999999999</v>
      </c>
      <c r="G45" s="15">
        <f>VLOOKUP(C45,'Justice Spend Total'!$C$4:$AQ$221,10,FALSE)</f>
        <v>22.243358277653037</v>
      </c>
      <c r="H45">
        <f>VLOOKUP(C45,'Justice Spend Total'!$C$4:$AQ$221,7,FALSE)</f>
        <v>1730</v>
      </c>
      <c r="I45" s="17">
        <f t="shared" si="1"/>
        <v>10.632002579172458</v>
      </c>
      <c r="J45" s="17">
        <f t="shared" si="2"/>
        <v>2.4908478107877667</v>
      </c>
      <c r="K45" s="17">
        <f t="shared" si="3"/>
        <v>0.53339526612747057</v>
      </c>
      <c r="L45" s="17">
        <f t="shared" si="4"/>
        <v>20.660809153127325</v>
      </c>
      <c r="M45" s="16">
        <f>IF(ISNUMBER(VLOOKUP($C45,'Justice Spend Total'!$C:$BA,35,FALSE)),VLOOKUP($C45,'Justice Spend Total'!$C:$BA,35,FALSE),"")</f>
        <v>2.7629219266363281</v>
      </c>
      <c r="N45" s="16">
        <f>IF(ISNUMBER(VLOOKUP($C45,'Justice Spend Total'!$C:$BA,36,FALSE)),VLOOKUP($C45,'Justice Spend Total'!$C:$BA,36,FALSE),"")</f>
        <v>0.64729273540820376</v>
      </c>
      <c r="O45" s="16">
        <f>IF(ISNUMBER(VLOOKUP($C45,'Justice Spend Total'!$C:$BA,37,FALSE)),VLOOKUP($C45,'Justice Spend Total'!$C:$BA,37,FALSE),"")</f>
        <v>0.13861259582786106</v>
      </c>
      <c r="P45" s="16">
        <f>IF(ISNUMBER(VLOOKUP($C45,'Justice Spend Total'!$C:$BA,38,FALSE)),VLOOKUP($C45,'Justice Spend Total'!$C:$BA,38,FALSE),"")</f>
        <v>5.3690922482514285</v>
      </c>
      <c r="Q45" s="15">
        <f>IF(ISNUMBER(VLOOKUP($C45,'Justice Spend Total'!$C:$BA,39,FALSE)),VLOOKUP($C45,'Justice Spend Total'!$C:$BA,39,FALSE),"")</f>
        <v>1.1942664250362618</v>
      </c>
      <c r="R45" s="22">
        <f>VLOOKUP($C45,'Justice Spend Total'!$C:$BA,40,FALSE)</f>
        <v>2021</v>
      </c>
      <c r="S45" s="15" t="str">
        <f>VLOOKUP($C45,'Justice Spend Total'!$C:$BA,41,FALSE)</f>
        <v>National</v>
      </c>
    </row>
    <row r="46" spans="1:20">
      <c r="A46">
        <v>44</v>
      </c>
      <c r="B46" t="s">
        <v>136</v>
      </c>
      <c r="C46" t="s">
        <v>350</v>
      </c>
      <c r="D46" t="s">
        <v>496</v>
      </c>
      <c r="E46" t="s">
        <v>488</v>
      </c>
      <c r="F46" s="17">
        <f>VLOOKUP(B46,'Justice Spend Total'!$B$4:$AQ$221,10,FALSE)</f>
        <v>7052.76</v>
      </c>
      <c r="G46" s="15">
        <f>VLOOKUP(C46,'Justice Spend Total'!$C$4:$AQ$221,10,FALSE)</f>
        <v>20.936974090169503</v>
      </c>
      <c r="H46">
        <f>VLOOKUP(C46,'Justice Spend Total'!$C$4:$AQ$221,7,FALSE)</f>
        <v>1770</v>
      </c>
      <c r="I46" s="17">
        <f t="shared" si="1"/>
        <v>30.131645701770363</v>
      </c>
      <c r="J46" s="17">
        <f t="shared" si="2"/>
        <v>0</v>
      </c>
      <c r="K46" s="17">
        <f t="shared" si="3"/>
        <v>1.3217568856445507E-2</v>
      </c>
      <c r="L46" s="17">
        <f t="shared" si="4"/>
        <v>35.139674007696833</v>
      </c>
      <c r="M46" s="16">
        <f>IF(ISNUMBER(VLOOKUP($C46,'Justice Spend Total'!$C:$BA,35,FALSE)),VLOOKUP($C46,'Justice Spend Total'!$C:$BA,35,FALSE),"")</f>
        <v>8.1308447781195969</v>
      </c>
      <c r="N46" s="16">
        <f>IF(ISNUMBER(VLOOKUP($C46,'Justice Spend Total'!$C:$BA,36,FALSE)),VLOOKUP($C46,'Justice Spend Total'!$C:$BA,36,FALSE),"")</f>
        <v>0</v>
      </c>
      <c r="O46" s="16">
        <f>IF(ISNUMBER(VLOOKUP($C46,'Justice Spend Total'!$C:$BA,37,FALSE)),VLOOKUP($C46,'Justice Spend Total'!$C:$BA,37,FALSE),"")</f>
        <v>3.5666820783556426E-3</v>
      </c>
      <c r="P46" s="16">
        <f>IF(ISNUMBER(VLOOKUP($C46,'Justice Spend Total'!$C:$BA,38,FALSE)),VLOOKUP($C46,'Justice Spend Total'!$C:$BA,38,FALSE),"")</f>
        <v>9.4822313304155088</v>
      </c>
      <c r="Q46" s="15">
        <f>IF(ISNUMBER(VLOOKUP($C46,'Justice Spend Total'!$C:$BA,39,FALSE)),VLOOKUP($C46,'Justice Spend Total'!$C:$BA,39,FALSE),"")</f>
        <v>1.98529231681903</v>
      </c>
      <c r="R46" s="22">
        <f>VLOOKUP($C46,'Justice Spend Total'!$C:$BA,40,FALSE)</f>
        <v>2019</v>
      </c>
      <c r="S46" s="15" t="str">
        <f>VLOOKUP($C46,'Justice Spend Total'!$C:$BA,41,FALSE)</f>
        <v>IMF COFOG</v>
      </c>
      <c r="T46" t="s">
        <v>484</v>
      </c>
    </row>
    <row r="47" spans="1:20">
      <c r="A47">
        <v>45</v>
      </c>
      <c r="B47" t="s">
        <v>137</v>
      </c>
      <c r="C47" t="s">
        <v>351</v>
      </c>
      <c r="D47" t="s">
        <v>493</v>
      </c>
      <c r="E47" t="s">
        <v>488</v>
      </c>
      <c r="F47" s="17">
        <f>VLOOKUP(B47,'Justice Spend Total'!$B$4:$AQ$221,10,FALSE)</f>
        <v>0.879</v>
      </c>
      <c r="G47" s="15">
        <f>VLOOKUP(C47,'Justice Spend Total'!$C$4:$AQ$221,10,FALSE)</f>
        <v>51.584507042253527</v>
      </c>
      <c r="H47">
        <f>VLOOKUP(C47,'Justice Spend Total'!$C$4:$AQ$221,7,FALSE)</f>
        <v>1940</v>
      </c>
      <c r="I47" s="17" t="str">
        <f t="shared" si="1"/>
        <v/>
      </c>
      <c r="J47" s="17" t="str">
        <f t="shared" si="2"/>
        <v/>
      </c>
      <c r="K47" s="17" t="str">
        <f t="shared" si="3"/>
        <v/>
      </c>
      <c r="L47" s="17">
        <f t="shared" si="4"/>
        <v>134.25847417840379</v>
      </c>
      <c r="M47" s="16" t="str">
        <f>IF(ISNUMBER(VLOOKUP($C47,'Justice Spend Total'!$C:$BA,35,FALSE)),VLOOKUP($C47,'Justice Spend Total'!$C:$BA,35,FALSE),"")</f>
        <v/>
      </c>
      <c r="N47" s="16" t="str">
        <f>IF(ISNUMBER(VLOOKUP($C47,'Justice Spend Total'!$C:$BA,36,FALSE)),VLOOKUP($C47,'Justice Spend Total'!$C:$BA,36,FALSE),"")</f>
        <v/>
      </c>
      <c r="O47" s="16" t="str">
        <f>IF(ISNUMBER(VLOOKUP($C47,'Justice Spend Total'!$C:$BA,37,FALSE)),VLOOKUP($C47,'Justice Spend Total'!$C:$BA,37,FALSE),"")</f>
        <v/>
      </c>
      <c r="P47" s="16">
        <f>IF(ISNUMBER(VLOOKUP($C47,'Justice Spend Total'!$C:$BA,38,FALSE)),VLOOKUP($C47,'Justice Spend Total'!$C:$BA,38,FALSE),"")</f>
        <v>13.415927189988624</v>
      </c>
      <c r="Q47" s="15">
        <f>IF(ISNUMBER(VLOOKUP($C47,'Justice Spend Total'!$C:$BA,39,FALSE)),VLOOKUP($C47,'Justice Spend Total'!$C:$BA,39,FALSE),"")</f>
        <v>6.9205399061032873</v>
      </c>
      <c r="R47" s="22">
        <f>VLOOKUP($C47,'Justice Spend Total'!$C:$BA,40,FALSE)</f>
        <v>2021</v>
      </c>
      <c r="S47" s="15" t="str">
        <f>VLOOKUP($C47,'Justice Spend Total'!$C:$BA,41,FALSE)</f>
        <v>National</v>
      </c>
    </row>
    <row r="48" spans="1:20" s="97" customFormat="1">
      <c r="A48" s="97">
        <v>46</v>
      </c>
      <c r="B48" s="97" t="s">
        <v>138</v>
      </c>
      <c r="C48" s="97" t="s">
        <v>352</v>
      </c>
      <c r="D48" s="97" t="s">
        <v>485</v>
      </c>
      <c r="E48" t="s">
        <v>488</v>
      </c>
      <c r="F48" s="17">
        <f>VLOOKUP(B48,'Justice Spend Total'!$B$4:$AQ$221,10,FALSE)</f>
        <v>190871.59</v>
      </c>
      <c r="G48" s="98">
        <f>VLOOKUP(C48,'Justice Spend Total'!$C$4:$AQ$221,10,FALSE)</f>
        <v>25.983499315330221</v>
      </c>
      <c r="H48" s="97">
        <f>VLOOKUP(C48,'Justice Spend Total'!$C$4:$AQ$221,7,FALSE)</f>
        <v>1960</v>
      </c>
      <c r="I48" s="17" t="str">
        <f t="shared" si="1"/>
        <v/>
      </c>
      <c r="J48" s="17">
        <f t="shared" si="2"/>
        <v>1.5523374540575618</v>
      </c>
      <c r="K48" s="17" t="str">
        <f t="shared" si="3"/>
        <v/>
      </c>
      <c r="L48" s="17" t="str">
        <f t="shared" si="4"/>
        <v/>
      </c>
      <c r="M48" s="116" t="str">
        <f>IF(ISNUMBER(VLOOKUP($C48,'Justice Spend Total'!$C:$BA,35,FALSE)),VLOOKUP($C48,'Justice Spend Total'!$C:$BA,35,FALSE),"")</f>
        <v/>
      </c>
      <c r="N48" s="116">
        <f>IF(ISNUMBER(VLOOKUP($C48,'Justice Spend Total'!$C:$BA,36,FALSE)),VLOOKUP($C48,'Justice Spend Total'!$C:$BA,36,FALSE),"")</f>
        <v>0.30481225623991504</v>
      </c>
      <c r="O48" s="116" t="str">
        <f>IF(ISNUMBER(VLOOKUP($C48,'Justice Spend Total'!$C:$BA,37,FALSE)),VLOOKUP($C48,'Justice Spend Total'!$C:$BA,37,FALSE),"")</f>
        <v/>
      </c>
      <c r="P48" s="116"/>
      <c r="Q48" s="98" t="str">
        <f>IF(ISNUMBER(VLOOKUP($C48,'Justice Spend Total'!$C:$BA,39,FALSE)),VLOOKUP($C48,'Justice Spend Total'!$C:$BA,39,FALSE),"")</f>
        <v/>
      </c>
      <c r="R48" s="118">
        <f>VLOOKUP($C48,'Justice Spend Total'!$C:$BA,40,FALSE)</f>
        <v>2020</v>
      </c>
      <c r="S48" s="98" t="str">
        <f>VLOOKUP($C48,'Justice Spend Total'!$C:$BA,41,FALSE)</f>
        <v>National</v>
      </c>
      <c r="T48" s="97" t="s">
        <v>562</v>
      </c>
    </row>
    <row r="49" spans="1:20">
      <c r="A49">
        <v>47</v>
      </c>
      <c r="B49" t="s">
        <v>139</v>
      </c>
      <c r="C49" t="s">
        <v>353</v>
      </c>
      <c r="D49" t="s">
        <v>496</v>
      </c>
      <c r="E49" t="s">
        <v>488</v>
      </c>
      <c r="F49" s="17">
        <f>VLOOKUP(B49,'Justice Spend Total'!$B$4:$AQ$221,10,FALSE)</f>
        <v>1785.93</v>
      </c>
      <c r="G49" s="15">
        <f>VLOOKUP(C49,'Justice Spend Total'!$C$4:$AQ$221,10,FALSE)</f>
        <v>16.608682794273967</v>
      </c>
      <c r="H49">
        <f>VLOOKUP(C49,'Justice Spend Total'!$C$4:$AQ$221,7,FALSE)</f>
        <v>2010</v>
      </c>
      <c r="I49" s="17">
        <f t="shared" si="1"/>
        <v>21.466848257579464</v>
      </c>
      <c r="J49" s="17">
        <f t="shared" si="2"/>
        <v>5.5577802621286123</v>
      </c>
      <c r="K49" s="17">
        <f t="shared" si="3"/>
        <v>5.7439308338061643</v>
      </c>
      <c r="L49" s="17">
        <f t="shared" si="4"/>
        <v>32.992520896853229</v>
      </c>
      <c r="M49" s="16">
        <f>IF(ISNUMBER(VLOOKUP($C49,'Justice Spend Total'!$C:$BA,35,FALSE)),VLOOKUP($C49,'Justice Spend Total'!$C:$BA,35,FALSE),"")</f>
        <v>6.4303859258652718</v>
      </c>
      <c r="N49" s="16">
        <f>IF(ISNUMBER(VLOOKUP($C49,'Justice Spend Total'!$C:$BA,36,FALSE)),VLOOKUP($C49,'Justice Spend Total'!$C:$BA,36,FALSE),"")</f>
        <v>1.6648308847119697</v>
      </c>
      <c r="O49" s="16">
        <f>IF(ISNUMBER(VLOOKUP($C49,'Justice Spend Total'!$C:$BA,37,FALSE)),VLOOKUP($C49,'Justice Spend Total'!$C:$BA,37,FALSE),"")</f>
        <v>1.7205922150127264</v>
      </c>
      <c r="P49" s="16">
        <f>IF(ISNUMBER(VLOOKUP($C49,'Justice Spend Total'!$C:$BA,38,FALSE)),VLOOKUP($C49,'Justice Spend Total'!$C:$BA,38,FALSE),"")</f>
        <v>9.8828966175336799</v>
      </c>
      <c r="Q49" s="15">
        <f>IF(ISNUMBER(VLOOKUP($C49,'Justice Spend Total'!$C:$BA,39,FALSE)),VLOOKUP($C49,'Justice Spend Total'!$C:$BA,39,FALSE),"")</f>
        <v>1.6414189500922001</v>
      </c>
      <c r="R49" s="22">
        <f>VLOOKUP($C49,'Justice Spend Total'!$C:$BA,40,FALSE)</f>
        <v>2020</v>
      </c>
      <c r="S49" s="15" t="str">
        <f>VLOOKUP($C49,'Justice Spend Total'!$C:$BA,41,FALSE)</f>
        <v>IMF COFOG</v>
      </c>
      <c r="T49" t="s">
        <v>484</v>
      </c>
    </row>
    <row r="50" spans="1:20">
      <c r="A50">
        <v>48</v>
      </c>
      <c r="B50" t="s">
        <v>140</v>
      </c>
      <c r="C50" t="s">
        <v>354</v>
      </c>
      <c r="D50" t="s">
        <v>497</v>
      </c>
      <c r="E50" t="s">
        <v>488</v>
      </c>
      <c r="F50" s="17">
        <f>VLOOKUP(B50,'Justice Spend Total'!$B$4:$AQ$221,10,FALSE)</f>
        <v>116.38800000000001</v>
      </c>
      <c r="G50" s="15">
        <f>VLOOKUP(C50,'Justice Spend Total'!$C$4:$AQ$221,10,FALSE)</f>
        <v>26.851663867407392</v>
      </c>
      <c r="H50">
        <f>VLOOKUP(C50,'Justice Spend Total'!$C$4:$AQ$221,7,FALSE)</f>
        <v>2010</v>
      </c>
      <c r="I50" s="17" t="str">
        <f t="shared" si="1"/>
        <v/>
      </c>
      <c r="J50" s="17" t="str">
        <f t="shared" si="2"/>
        <v/>
      </c>
      <c r="K50" s="17" t="str">
        <f t="shared" si="3"/>
        <v/>
      </c>
      <c r="L50" s="17">
        <f t="shared" si="4"/>
        <v>40.414465112992104</v>
      </c>
      <c r="M50" s="16" t="str">
        <f>IF(ISNUMBER(VLOOKUP($C50,'Justice Spend Total'!$C:$BA,35,FALSE)),VLOOKUP($C50,'Justice Spend Total'!$C:$BA,35,FALSE),"")</f>
        <v/>
      </c>
      <c r="N50" s="16" t="str">
        <f>IF(ISNUMBER(VLOOKUP($C50,'Justice Spend Total'!$C:$BA,36,FALSE)),VLOOKUP($C50,'Justice Spend Total'!$C:$BA,36,FALSE),"")</f>
        <v/>
      </c>
      <c r="O50" s="16" t="str">
        <f>IF(ISNUMBER(VLOOKUP($C50,'Justice Spend Total'!$C:$BA,37,FALSE)),VLOOKUP($C50,'Justice Spend Total'!$C:$BA,37,FALSE),"")</f>
        <v/>
      </c>
      <c r="P50" s="16">
        <f>IF(ISNUMBER(VLOOKUP($C50,'Justice Spend Total'!$C:$BA,38,FALSE)),VLOOKUP($C50,'Justice Spend Total'!$C:$BA,38,FALSE),"")</f>
        <v>7.4880644866092094</v>
      </c>
      <c r="Q50" s="15">
        <f>IF(ISNUMBER(VLOOKUP($C50,'Justice Spend Total'!$C:$BA,39,FALSE)),VLOOKUP($C50,'Justice Spend Total'!$C:$BA,39,FALSE),"")</f>
        <v>2.0106699061190101</v>
      </c>
      <c r="R50" s="22">
        <f>VLOOKUP($C50,'Justice Spend Total'!$C:$BA,40,FALSE)</f>
        <v>2020</v>
      </c>
      <c r="S50" s="15" t="str">
        <f>VLOOKUP($C50,'Justice Spend Total'!$C:$BA,41,FALSE)</f>
        <v>IMF COFOG</v>
      </c>
      <c r="T50" t="s">
        <v>484</v>
      </c>
    </row>
    <row r="51" spans="1:20">
      <c r="A51">
        <v>49</v>
      </c>
      <c r="B51" t="s">
        <v>141</v>
      </c>
      <c r="C51" t="s">
        <v>355</v>
      </c>
      <c r="D51" t="s">
        <v>496</v>
      </c>
      <c r="E51" t="s">
        <v>488</v>
      </c>
      <c r="F51" s="17">
        <f>VLOOKUP(B51,'Justice Spend Total'!$B$4:$AQ$221,10,FALSE)</f>
        <v>9750.7999999999993</v>
      </c>
      <c r="G51" s="15">
        <f>VLOOKUP(C51,'Justice Spend Total'!$C$4:$AQ$221,10,FALSE)</f>
        <v>6.3213311799783618</v>
      </c>
      <c r="H51">
        <f>VLOOKUP(C51,'Justice Spend Total'!$C$4:$AQ$221,7,FALSE)</f>
        <v>2100</v>
      </c>
      <c r="I51" s="17">
        <f t="shared" si="1"/>
        <v>7.5622466706704952</v>
      </c>
      <c r="J51" s="17">
        <f t="shared" si="2"/>
        <v>2.4645457040685028</v>
      </c>
      <c r="K51" s="17">
        <f t="shared" si="3"/>
        <v>1.2725430734707912</v>
      </c>
      <c r="L51" s="17">
        <f t="shared" si="4"/>
        <v>11.328301594748787</v>
      </c>
      <c r="M51" s="16">
        <f>IF(ISNUMBER(VLOOKUP($C51,'Justice Spend Total'!$C:$BA,35,FALSE)),VLOOKUP($C51,'Justice Spend Total'!$C:$BA,35,FALSE),"")</f>
        <v>5.6966954279853956</v>
      </c>
      <c r="N51" s="16">
        <f>IF(ISNUMBER(VLOOKUP($C51,'Justice Spend Total'!$C:$BA,36,FALSE)),VLOOKUP($C51,'Justice Spend Total'!$C:$BA,36,FALSE),"")</f>
        <v>1.8565602070189116</v>
      </c>
      <c r="O51" s="16">
        <f>IF(ISNUMBER(VLOOKUP($C51,'Justice Spend Total'!$C:$BA,37,FALSE)),VLOOKUP($C51,'Justice Spend Total'!$C:$BA,37,FALSE),"")</f>
        <v>0.95861595426016322</v>
      </c>
      <c r="P51" s="16">
        <f>IF(ISNUMBER(VLOOKUP($C51,'Justice Spend Total'!$C:$BA,38,FALSE)),VLOOKUP($C51,'Justice Spend Total'!$C:$BA,38,FALSE),"")</f>
        <v>8.5336919981642545</v>
      </c>
      <c r="Q51" s="15">
        <f>IF(ISNUMBER(VLOOKUP($C51,'Justice Spend Total'!$C:$BA,39,FALSE)),VLOOKUP($C51,'Justice Spend Total'!$C:$BA,39,FALSE),"")</f>
        <v>0.53944293308327551</v>
      </c>
      <c r="R51" s="22">
        <f>VLOOKUP($C51,'Justice Spend Total'!$C:$BA,40,FALSE)</f>
        <v>2022</v>
      </c>
      <c r="S51" s="15" t="str">
        <f>VLOOKUP($C51,'Justice Spend Total'!$C:$BA,41,FALSE)</f>
        <v>National</v>
      </c>
    </row>
    <row r="52" spans="1:20">
      <c r="A52">
        <v>50</v>
      </c>
      <c r="B52" t="s">
        <v>142</v>
      </c>
      <c r="C52" t="s">
        <v>356</v>
      </c>
      <c r="D52" t="s">
        <v>483</v>
      </c>
      <c r="E52" t="s">
        <v>488</v>
      </c>
      <c r="F52" s="17">
        <f>VLOOKUP(B52,'Justice Spend Total'!$B$4:$AQ$221,10,FALSE)</f>
        <v>36226.58</v>
      </c>
      <c r="G52" s="15">
        <f>VLOOKUP(C52,'Justice Spend Total'!$C$4:$AQ$221,10,FALSE)</f>
        <v>18.295411675524004</v>
      </c>
      <c r="H52">
        <f>VLOOKUP(C52,'Justice Spend Total'!$C$4:$AQ$221,7,FALSE)</f>
        <v>2170</v>
      </c>
      <c r="I52" s="17">
        <f t="shared" si="1"/>
        <v>23.10705930294845</v>
      </c>
      <c r="J52" s="17">
        <f t="shared" si="2"/>
        <v>1.8415206304642562</v>
      </c>
      <c r="K52" s="17">
        <f t="shared" si="3"/>
        <v>1.0959092284142497E-4</v>
      </c>
      <c r="L52" s="17">
        <f t="shared" si="4"/>
        <v>24.953879750441324</v>
      </c>
      <c r="M52" s="16">
        <f>IF(ISNUMBER(VLOOKUP($C52,'Justice Spend Total'!$C:$BA,35,FALSE)),VLOOKUP($C52,'Justice Spend Total'!$C:$BA,35,FALSE),"")</f>
        <v>5.8202650009606209</v>
      </c>
      <c r="N52" s="16">
        <f>IF(ISNUMBER(VLOOKUP($C52,'Justice Spend Total'!$C:$BA,36,FALSE)),VLOOKUP($C52,'Justice Spend Total'!$C:$BA,36,FALSE),"")</f>
        <v>0.46384691074343748</v>
      </c>
      <c r="O52" s="16">
        <f>IF(ISNUMBER(VLOOKUP($C52,'Justice Spend Total'!$C:$BA,37,FALSE)),VLOOKUP($C52,'Justice Spend Total'!$C:$BA,37,FALSE),"")</f>
        <v>2.7604041010771648E-5</v>
      </c>
      <c r="P52" s="16">
        <f>IF(ISNUMBER(VLOOKUP($C52,'Justice Spend Total'!$C:$BA,38,FALSE)),VLOOKUP($C52,'Justice Spend Total'!$C:$BA,38,FALSE),"")</f>
        <v>6.2854468431273407</v>
      </c>
      <c r="Q52" s="15">
        <f>IF(ISNUMBER(VLOOKUP($C52,'Justice Spend Total'!$C:$BA,39,FALSE)),VLOOKUP($C52,'Justice Spend Total'!$C:$BA,39,FALSE),"")</f>
        <v>1.1499483755963744</v>
      </c>
      <c r="R52" s="22" t="str">
        <f>VLOOKUP($C52,'Justice Spend Total'!$C:$BA,40,FALSE)</f>
        <v>20/21</v>
      </c>
      <c r="S52" s="15" t="str">
        <f>VLOOKUP($C52,'Justice Spend Total'!$C:$BA,41,FALSE)</f>
        <v>National</v>
      </c>
      <c r="T52" t="s">
        <v>521</v>
      </c>
    </row>
    <row r="53" spans="1:20" s="109" customFormat="1">
      <c r="A53" s="109">
        <v>51</v>
      </c>
      <c r="B53" s="109" t="s">
        <v>143</v>
      </c>
      <c r="C53" s="109" t="s">
        <v>357</v>
      </c>
      <c r="D53" s="109" t="s">
        <v>496</v>
      </c>
      <c r="E53" t="s">
        <v>488</v>
      </c>
      <c r="F53" s="17">
        <f>VLOOKUP(B53,'Justice Spend Total'!$B$4:$AQ$221,10,FALSE)</f>
        <v>2.9729999999999999</v>
      </c>
      <c r="G53" s="110">
        <f>VLOOKUP(C53,'Justice Spend Total'!$C$4:$AQ$221,10,FALSE)</f>
        <v>29.013369766761006</v>
      </c>
      <c r="H53" s="109">
        <f>VLOOKUP(C53,'Justice Spend Total'!$C$4:$AQ$221,7,FALSE)</f>
        <v>2280</v>
      </c>
      <c r="I53" s="17" t="str">
        <f t="shared" si="1"/>
        <v/>
      </c>
      <c r="J53" s="17" t="str">
        <f t="shared" si="2"/>
        <v/>
      </c>
      <c r="K53" s="17" t="str">
        <f t="shared" si="3"/>
        <v/>
      </c>
      <c r="L53" s="17" t="str">
        <f t="shared" si="4"/>
        <v/>
      </c>
      <c r="M53" s="117" t="str">
        <f>IF(ISNUMBER(VLOOKUP($C53,'Justice Spend Total'!$C:$BA,35,FALSE)),VLOOKUP($C53,'Justice Spend Total'!$C:$BA,35,FALSE),"")</f>
        <v/>
      </c>
      <c r="N53" s="117" t="str">
        <f>IF(ISNUMBER(VLOOKUP($C53,'Justice Spend Total'!$C:$BA,36,FALSE)),VLOOKUP($C53,'Justice Spend Total'!$C:$BA,36,FALSE),"")</f>
        <v/>
      </c>
      <c r="O53" s="117" t="str">
        <f>IF(ISNUMBER(VLOOKUP($C53,'Justice Spend Total'!$C:$BA,37,FALSE)),VLOOKUP($C53,'Justice Spend Total'!$C:$BA,37,FALSE),"")</f>
        <v/>
      </c>
      <c r="P53" s="117" t="str">
        <f>IF(ISNUMBER(VLOOKUP($C53,'Justice Spend Total'!$C:$BA,38,FALSE)),VLOOKUP($C53,'Justice Spend Total'!$C:$BA,38,FALSE),"")</f>
        <v/>
      </c>
      <c r="Q53" s="110" t="str">
        <f>IF(ISNUMBER(VLOOKUP($C53,'Justice Spend Total'!$C:$BA,39,FALSE)),VLOOKUP($C53,'Justice Spend Total'!$C:$BA,39,FALSE),"")</f>
        <v/>
      </c>
      <c r="R53" s="119" t="str">
        <f>VLOOKUP($C53,'Justice Spend Total'!$C:$BA,40,FALSE)</f>
        <v xml:space="preserve"> </v>
      </c>
      <c r="S53" s="110" t="str">
        <f>VLOOKUP($C53,'Justice Spend Total'!$C:$BA,41,FALSE)</f>
        <v xml:space="preserve"> </v>
      </c>
      <c r="T53" s="109" t="s">
        <v>581</v>
      </c>
    </row>
    <row r="54" spans="1:20">
      <c r="A54">
        <v>52</v>
      </c>
      <c r="B54" t="s">
        <v>144</v>
      </c>
      <c r="C54" t="s">
        <v>358</v>
      </c>
      <c r="D54" t="s">
        <v>493</v>
      </c>
      <c r="E54" t="s">
        <v>488</v>
      </c>
      <c r="F54" s="17">
        <f>VLOOKUP(B54,'Justice Spend Total'!$B$4:$AQ$221,10,FALSE)</f>
        <v>4.218</v>
      </c>
      <c r="G54" s="15">
        <f>VLOOKUP(C54,'Justice Spend Total'!$C$4:$AQ$221,10,FALSE)</f>
        <v>33.220445774592427</v>
      </c>
      <c r="H54">
        <f>VLOOKUP(C54,'Justice Spend Total'!$C$4:$AQ$221,7,FALSE)</f>
        <v>2300</v>
      </c>
      <c r="I54" s="17">
        <f t="shared" si="1"/>
        <v>35.693576361990736</v>
      </c>
      <c r="J54" s="17">
        <f t="shared" si="2"/>
        <v>13.415988066806847</v>
      </c>
      <c r="K54" s="17">
        <f t="shared" si="3"/>
        <v>26.182780598439653</v>
      </c>
      <c r="L54" s="17">
        <f t="shared" si="4"/>
        <v>81.130967939719582</v>
      </c>
      <c r="M54" s="16">
        <f>IF(ISNUMBER(VLOOKUP($C54,'Justice Spend Total'!$C:$BA,35,FALSE)),VLOOKUP($C54,'Justice Spend Total'!$C:$BA,35,FALSE),"")</f>
        <v>4.6715045155152488</v>
      </c>
      <c r="N54" s="16">
        <f>IF(ISNUMBER(VLOOKUP($C54,'Justice Spend Total'!$C:$BA,36,FALSE)),VLOOKUP($C54,'Justice Spend Total'!$C:$BA,36,FALSE),"")</f>
        <v>1.7558579224054931</v>
      </c>
      <c r="O54" s="16">
        <f>IF(ISNUMBER(VLOOKUP($C54,'Justice Spend Total'!$C:$BA,37,FALSE)),VLOOKUP($C54,'Justice Spend Total'!$C:$BA,37,FALSE),"")</f>
        <v>3.4267504201289323</v>
      </c>
      <c r="P54" s="16">
        <f>IF(ISNUMBER(VLOOKUP($C54,'Justice Spend Total'!$C:$BA,38,FALSE)),VLOOKUP($C54,'Justice Spend Total'!$C:$BA,38,FALSE),"")</f>
        <v>10.618260250382619</v>
      </c>
      <c r="Q54" s="15">
        <f>IF(ISNUMBER(VLOOKUP($C54,'Justice Spend Total'!$C:$BA,39,FALSE)),VLOOKUP($C54,'Justice Spend Total'!$C:$BA,39,FALSE),"")</f>
        <v>3.5274333886834599</v>
      </c>
      <c r="R54" s="22">
        <f>VLOOKUP($C54,'Justice Spend Total'!$C:$BA,40,FALSE)</f>
        <v>2020</v>
      </c>
      <c r="S54" s="15" t="str">
        <f>VLOOKUP($C54,'Justice Spend Total'!$C:$BA,41,FALSE)</f>
        <v>IMF COFOG</v>
      </c>
      <c r="T54" t="s">
        <v>484</v>
      </c>
    </row>
    <row r="55" spans="1:20">
      <c r="A55">
        <v>53</v>
      </c>
      <c r="B55" t="s">
        <v>145</v>
      </c>
      <c r="C55" t="s">
        <v>359</v>
      </c>
      <c r="D55" t="s">
        <v>496</v>
      </c>
      <c r="E55" t="s">
        <v>488</v>
      </c>
      <c r="F55" s="17">
        <f>VLOOKUP(B55,'Justice Spend Total'!$B$4:$AQ$221,10,FALSE)</f>
        <v>43.523000000000003</v>
      </c>
      <c r="G55" s="15">
        <f>VLOOKUP(C55,'Justice Spend Total'!$C$4:$AQ$221,10,FALSE)</f>
        <v>14.103964198102966</v>
      </c>
      <c r="H55">
        <f>VLOOKUP(C55,'Justice Spend Total'!$C$4:$AQ$221,7,FALSE)</f>
        <v>2360</v>
      </c>
      <c r="I55" s="17">
        <f t="shared" si="1"/>
        <v>23.84536085330879</v>
      </c>
      <c r="J55" s="17">
        <f t="shared" si="2"/>
        <v>5.9036976930330836</v>
      </c>
      <c r="K55" s="17">
        <f t="shared" si="3"/>
        <v>3.9584243589004071</v>
      </c>
      <c r="L55" s="17">
        <f t="shared" si="4"/>
        <v>36.539671040192879</v>
      </c>
      <c r="M55" s="16">
        <f>IF(ISNUMBER(VLOOKUP($C55,'Justice Spend Total'!$C:$BA,35,FALSE)),VLOOKUP($C55,'Justice Spend Total'!$C:$BA,35,FALSE),"")</f>
        <v>7.1639195344989997</v>
      </c>
      <c r="N55" s="16">
        <f>IF(ISNUMBER(VLOOKUP($C55,'Justice Spend Total'!$C:$BA,36,FALSE)),VLOOKUP($C55,'Justice Spend Total'!$C:$BA,36,FALSE),"")</f>
        <v>1.7736622015945593</v>
      </c>
      <c r="O55" s="16">
        <f>IF(ISNUMBER(VLOOKUP($C55,'Justice Spend Total'!$C:$BA,37,FALSE)),VLOOKUP($C55,'Justice Spend Total'!$C:$BA,37,FALSE),"")</f>
        <v>1.1892390207476506</v>
      </c>
      <c r="P55" s="16">
        <f>IF(ISNUMBER(VLOOKUP($C55,'Justice Spend Total'!$C:$BA,38,FALSE)),VLOOKUP($C55,'Justice Spend Total'!$C:$BA,38,FALSE),"")</f>
        <v>10.977701900144751</v>
      </c>
      <c r="Q55" s="15">
        <f>IF(ISNUMBER(VLOOKUP($C55,'Justice Spend Total'!$C:$BA,39,FALSE)),VLOOKUP($C55,'Justice Spend Total'!$C:$BA,39,FALSE),"")</f>
        <v>1.548291145770885</v>
      </c>
      <c r="R55" s="22">
        <f>VLOOKUP($C55,'Justice Spend Total'!$C:$BA,40,FALSE)</f>
        <v>2022</v>
      </c>
      <c r="S55" s="15" t="str">
        <f>VLOOKUP($C55,'Justice Spend Total'!$C:$BA,41,FALSE)</f>
        <v>National</v>
      </c>
      <c r="T55" t="s">
        <v>518</v>
      </c>
    </row>
    <row r="56" spans="1:20">
      <c r="A56">
        <v>54</v>
      </c>
      <c r="B56" t="s">
        <v>146</v>
      </c>
      <c r="C56" t="s">
        <v>360</v>
      </c>
      <c r="D56" t="s">
        <v>496</v>
      </c>
      <c r="E56" t="s">
        <v>488</v>
      </c>
      <c r="F56" s="17">
        <f>VLOOKUP(B56,'Justice Spend Total'!$B$4:$AQ$221,10,FALSE)</f>
        <v>5289.19</v>
      </c>
      <c r="G56" s="15">
        <f>VLOOKUP(C56,'Justice Spend Total'!$C$4:$AQ$221,10,FALSE)</f>
        <v>14.978712245174219</v>
      </c>
      <c r="H56">
        <f>VLOOKUP(C56,'Justice Spend Total'!$C$4:$AQ$221,7,FALSE)</f>
        <v>2450</v>
      </c>
      <c r="I56" s="17">
        <f t="shared" si="1"/>
        <v>11.475903802117053</v>
      </c>
      <c r="J56" s="17">
        <f t="shared" si="2"/>
        <v>4.926173941658468</v>
      </c>
      <c r="K56" s="17" t="str">
        <f t="shared" si="3"/>
        <v/>
      </c>
      <c r="L56" s="17" t="str">
        <f t="shared" si="4"/>
        <v/>
      </c>
      <c r="M56" s="16">
        <f>IF(ISNUMBER(VLOOKUP($C56,'Justice Spend Total'!$C:$BA,35,FALSE)),VLOOKUP($C56,'Justice Spend Total'!$C:$BA,35,FALSE),"")</f>
        <v>3.127132888022552</v>
      </c>
      <c r="N56" s="16">
        <f>IF(ISNUMBER(VLOOKUP($C56,'Justice Spend Total'!$C:$BA,36,FALSE)),VLOOKUP($C56,'Justice Spend Total'!$C:$BA,36,FALSE),"")</f>
        <v>1.3423605504812646</v>
      </c>
      <c r="O56" s="16" t="str">
        <f>IF(ISNUMBER(VLOOKUP($C56,'Justice Spend Total'!$C:$BA,37,FALSE)),VLOOKUP($C56,'Justice Spend Total'!$C:$BA,37,FALSE),"")</f>
        <v/>
      </c>
      <c r="P56" s="16" t="str">
        <f>IF(ISNUMBER(VLOOKUP($C56,'Justice Spend Total'!$C:$BA,38,FALSE)),VLOOKUP($C56,'Justice Spend Total'!$C:$BA,38,FALSE),"")</f>
        <v/>
      </c>
      <c r="Q56" s="15" t="str">
        <f>IF(ISNUMBER(VLOOKUP($C56,'Justice Spend Total'!$C:$BA,39,FALSE)),VLOOKUP($C56,'Justice Spend Total'!$C:$BA,39,FALSE),"")</f>
        <v/>
      </c>
      <c r="R56" s="22" t="str">
        <f>VLOOKUP($C56,'Justice Spend Total'!$C:$BA,40,FALSE)</f>
        <v xml:space="preserve"> </v>
      </c>
      <c r="S56" s="15" t="str">
        <f>VLOOKUP($C56,'Justice Spend Total'!$C:$BA,41,FALSE)</f>
        <v xml:space="preserve"> </v>
      </c>
      <c r="T56" t="s">
        <v>569</v>
      </c>
    </row>
    <row r="57" spans="1:20">
      <c r="A57">
        <v>55</v>
      </c>
      <c r="B57" t="s">
        <v>147</v>
      </c>
      <c r="C57" t="s">
        <v>361</v>
      </c>
      <c r="D57" t="s">
        <v>493</v>
      </c>
      <c r="E57" t="s">
        <v>488</v>
      </c>
      <c r="F57" s="17">
        <f>VLOOKUP(B57,'Justice Spend Total'!$B$4:$AQ$221,10,FALSE)</f>
        <v>21780.87</v>
      </c>
      <c r="G57" s="15">
        <f>VLOOKUP(C57,'Justice Spend Total'!$C$4:$AQ$221,10,FALSE)</f>
        <v>12.980879772890164</v>
      </c>
      <c r="H57">
        <f>VLOOKUP(C57,'Justice Spend Total'!$C$4:$AQ$221,7,FALSE)</f>
        <v>2520</v>
      </c>
      <c r="I57" s="17" t="str">
        <f t="shared" si="1"/>
        <v/>
      </c>
      <c r="J57" s="17" t="str">
        <f t="shared" si="2"/>
        <v/>
      </c>
      <c r="K57" s="17" t="str">
        <f t="shared" si="3"/>
        <v/>
      </c>
      <c r="L57" s="17">
        <f t="shared" si="4"/>
        <v>6.4264666729522286</v>
      </c>
      <c r="M57" s="16" t="str">
        <f>IF(ISNUMBER(VLOOKUP($C57,'Justice Spend Total'!$C:$BA,35,FALSE)),VLOOKUP($C57,'Justice Spend Total'!$C:$BA,35,FALSE),"")</f>
        <v/>
      </c>
      <c r="N57" s="16" t="str">
        <f>IF(ISNUMBER(VLOOKUP($C57,'Justice Spend Total'!$C:$BA,36,FALSE)),VLOOKUP($C57,'Justice Spend Total'!$C:$BA,36,FALSE),"")</f>
        <v/>
      </c>
      <c r="O57" s="16" t="str">
        <f>IF(ISNUMBER(VLOOKUP($C57,'Justice Spend Total'!$C:$BA,37,FALSE)),VLOOKUP($C57,'Justice Spend Total'!$C:$BA,37,FALSE),"")</f>
        <v/>
      </c>
      <c r="P57" s="16">
        <f>IF(ISNUMBER(VLOOKUP($C57,'Justice Spend Total'!$C:$BA,38,FALSE)),VLOOKUP($C57,'Justice Spend Total'!$C:$BA,38,FALSE),"")</f>
        <v>1.9645703775836318</v>
      </c>
      <c r="Q57" s="15">
        <f>IF(ISNUMBER(VLOOKUP($C57,'Justice Spend Total'!$C:$BA,39,FALSE)),VLOOKUP($C57,'Justice Spend Total'!$C:$BA,39,FALSE),"")</f>
        <v>0.25501851876794557</v>
      </c>
      <c r="R57" s="22">
        <f>VLOOKUP($C57,'Justice Spend Total'!$C:$BA,40,FALSE)</f>
        <v>2022</v>
      </c>
      <c r="S57" s="15" t="str">
        <f>VLOOKUP($C57,'Justice Spend Total'!$C:$BA,41,FALSE)</f>
        <v>National</v>
      </c>
      <c r="T57" t="s">
        <v>533</v>
      </c>
    </row>
    <row r="58" spans="1:20">
      <c r="A58">
        <v>56</v>
      </c>
      <c r="B58" t="s">
        <v>148</v>
      </c>
      <c r="C58" t="s">
        <v>362</v>
      </c>
      <c r="D58" t="s">
        <v>497</v>
      </c>
      <c r="E58" t="s">
        <v>488</v>
      </c>
      <c r="F58" s="17">
        <f>VLOOKUP(B58,'Justice Spend Total'!$B$4:$AQ$221,10,FALSE)</f>
        <v>172.268</v>
      </c>
      <c r="G58" s="15">
        <f>VLOOKUP(C58,'Justice Spend Total'!$C$4:$AQ$221,10,FALSE)</f>
        <v>25.021605660029312</v>
      </c>
      <c r="H58">
        <f>VLOOKUP(C58,'Justice Spend Total'!$C$4:$AQ$221,7,FALSE)</f>
        <v>2540</v>
      </c>
      <c r="I58" s="17">
        <f t="shared" si="1"/>
        <v>31.62271088186246</v>
      </c>
      <c r="J58" s="17">
        <f t="shared" si="2"/>
        <v>24.175084053658484</v>
      </c>
      <c r="K58" s="17">
        <f t="shared" si="3"/>
        <v>5.0562613807806356</v>
      </c>
      <c r="L58" s="17">
        <f t="shared" si="4"/>
        <v>67.444389565309734</v>
      </c>
      <c r="M58" s="16">
        <f>IF(ISNUMBER(VLOOKUP($C58,'Justice Spend Total'!$C:$BA,35,FALSE)),VLOOKUP($C58,'Justice Spend Total'!$C:$BA,35,FALSE),"")</f>
        <v>4.9756543777083149</v>
      </c>
      <c r="N58" s="16">
        <f>IF(ISNUMBER(VLOOKUP($C58,'Justice Spend Total'!$C:$BA,36,FALSE)),VLOOKUP($C58,'Justice Spend Total'!$C:$BA,36,FALSE),"")</f>
        <v>3.8038124957858721</v>
      </c>
      <c r="O58" s="16">
        <f>IF(ISNUMBER(VLOOKUP($C58,'Justice Spend Total'!$C:$BA,37,FALSE)),VLOOKUP($C58,'Justice Spend Total'!$C:$BA,37,FALSE),"")</f>
        <v>0.79557407864574992</v>
      </c>
      <c r="P58" s="16">
        <f>IF(ISNUMBER(VLOOKUP($C58,'Justice Spend Total'!$C:$BA,38,FALSE)),VLOOKUP($C58,'Justice Spend Total'!$C:$BA,38,FALSE),"")</f>
        <v>10.611992546944284</v>
      </c>
      <c r="Q58" s="15">
        <f>IF(ISNUMBER(VLOOKUP($C58,'Justice Spend Total'!$C:$BA,39,FALSE)),VLOOKUP($C58,'Justice Spend Total'!$C:$BA,39,FALSE),"")</f>
        <v>2.6552909277681001</v>
      </c>
      <c r="R58" s="22">
        <f>VLOOKUP($C58,'Justice Spend Total'!$C:$BA,40,FALSE)</f>
        <v>2020</v>
      </c>
      <c r="S58" s="15" t="str">
        <f>VLOOKUP($C58,'Justice Spend Total'!$C:$BA,41,FALSE)</f>
        <v>IMF COFOG</v>
      </c>
      <c r="T58" t="s">
        <v>484</v>
      </c>
    </row>
    <row r="59" spans="1:20">
      <c r="A59">
        <v>57</v>
      </c>
      <c r="B59" t="s">
        <v>149</v>
      </c>
      <c r="C59" t="s">
        <v>363</v>
      </c>
      <c r="D59" t="s">
        <v>483</v>
      </c>
      <c r="E59" t="s">
        <v>488</v>
      </c>
      <c r="F59" s="17">
        <f>VLOOKUP(B59,'Justice Spend Total'!$B$4:$AQ$221,10,FALSE)</f>
        <v>2403.63</v>
      </c>
      <c r="G59" s="15">
        <f>VLOOKUP(C59,'Justice Spend Total'!$C$4:$AQ$221,10,FALSE)</f>
        <v>9.4538648030823396</v>
      </c>
      <c r="H59">
        <f>VLOOKUP(C59,'Justice Spend Total'!$C$4:$AQ$221,7,FALSE)</f>
        <v>2620</v>
      </c>
      <c r="I59" s="17">
        <f t="shared" si="1"/>
        <v>24.039974984760782</v>
      </c>
      <c r="J59" s="17">
        <f t="shared" si="2"/>
        <v>3.2355689602130733</v>
      </c>
      <c r="K59" s="17">
        <f t="shared" si="3"/>
        <v>1.390992263269176</v>
      </c>
      <c r="L59" s="17">
        <f t="shared" si="4"/>
        <v>22.818102296808949</v>
      </c>
      <c r="M59" s="16">
        <f>IF(ISNUMBER(VLOOKUP($C59,'Justice Spend Total'!$C:$BA,35,FALSE)),VLOOKUP($C59,'Justice Spend Total'!$C:$BA,35,FALSE),"")</f>
        <v>9.7056211003685373</v>
      </c>
      <c r="N59" s="16">
        <f>IF(ISNUMBER(VLOOKUP($C59,'Justice Spend Total'!$C:$BA,36,FALSE)),VLOOKUP($C59,'Justice Spend Total'!$C:$BA,36,FALSE),"")</f>
        <v>1.3062911418106029</v>
      </c>
      <c r="O59" s="16">
        <f>IF(ISNUMBER(VLOOKUP($C59,'Justice Spend Total'!$C:$BA,37,FALSE)),VLOOKUP($C59,'Justice Spend Total'!$C:$BA,37,FALSE),"")</f>
        <v>0.56158310769427966</v>
      </c>
      <c r="P59" s="16">
        <f>IF(ISNUMBER(VLOOKUP($C59,'Justice Spend Total'!$C:$BA,38,FALSE)),VLOOKUP($C59,'Justice Spend Total'!$C:$BA,38,FALSE),"")</f>
        <v>9.2123163714881251</v>
      </c>
      <c r="Q59" s="15">
        <f>IF(ISNUMBER(VLOOKUP($C59,'Justice Spend Total'!$C:$BA,39,FALSE)),VLOOKUP($C59,'Justice Spend Total'!$C:$BA,39,FALSE),"")</f>
        <v>0.87091993499270803</v>
      </c>
      <c r="R59" s="22" t="str">
        <f>VLOOKUP($C59,'Justice Spend Total'!$C:$BA,40,FALSE)</f>
        <v>FY 20/21</v>
      </c>
      <c r="S59" s="15" t="str">
        <f>VLOOKUP($C59,'Justice Spend Total'!$C:$BA,41,FALSE)</f>
        <v>National</v>
      </c>
      <c r="T59" t="s">
        <v>484</v>
      </c>
    </row>
    <row r="60" spans="1:20">
      <c r="A60">
        <v>58</v>
      </c>
      <c r="B60" t="s">
        <v>150</v>
      </c>
      <c r="C60" t="s">
        <v>364</v>
      </c>
      <c r="D60" t="s">
        <v>493</v>
      </c>
      <c r="E60" t="s">
        <v>488</v>
      </c>
      <c r="F60" s="17">
        <f>VLOOKUP(B60,'Justice Spend Total'!$B$4:$AQ$221,10,FALSE)</f>
        <v>12.093</v>
      </c>
      <c r="G60" s="15">
        <f>VLOOKUP(C60,'Justice Spend Total'!$C$4:$AQ$221,10,FALSE)</f>
        <v>14.170543362354843</v>
      </c>
      <c r="H60">
        <f>VLOOKUP(C60,'Justice Spend Total'!$C$4:$AQ$221,7,FALSE)</f>
        <v>2790</v>
      </c>
      <c r="I60" s="17">
        <f t="shared" si="1"/>
        <v>17.371209208761815</v>
      </c>
      <c r="J60" s="17">
        <f t="shared" si="2"/>
        <v>17.464682697211376</v>
      </c>
      <c r="K60" s="17">
        <f t="shared" si="3"/>
        <v>5.5405384893395375</v>
      </c>
      <c r="L60" s="17">
        <f t="shared" si="4"/>
        <v>45.302886136467507</v>
      </c>
      <c r="M60" s="16">
        <f>IF(ISNUMBER(VLOOKUP($C60,'Justice Spend Total'!$C:$BA,35,FALSE)),VLOOKUP($C60,'Justice Spend Total'!$C:$BA,35,FALSE),"")</f>
        <v>4.3937904853470569</v>
      </c>
      <c r="N60" s="16">
        <f>IF(ISNUMBER(VLOOKUP($C60,'Justice Spend Total'!$C:$BA,36,FALSE)),VLOOKUP($C60,'Justice Spend Total'!$C:$BA,36,FALSE),"")</f>
        <v>4.4174332219721339</v>
      </c>
      <c r="O60" s="16">
        <f>IF(ISNUMBER(VLOOKUP($C60,'Justice Spend Total'!$C:$BA,37,FALSE)),VLOOKUP($C60,'Justice Spend Total'!$C:$BA,37,FALSE),"")</f>
        <v>1.4013972778521619</v>
      </c>
      <c r="P60" s="16">
        <f>IF(ISNUMBER(VLOOKUP($C60,'Justice Spend Total'!$C:$BA,38,FALSE)),VLOOKUP($C60,'Justice Spend Total'!$C:$BA,38,FALSE),"")</f>
        <v>11.458695112875219</v>
      </c>
      <c r="Q60" s="15">
        <f>IF(ISNUMBER(VLOOKUP($C60,'Justice Spend Total'!$C:$BA,39,FALSE)),VLOOKUP($C60,'Justice Spend Total'!$C:$BA,39,FALSE),"")</f>
        <v>1.6237593597300182</v>
      </c>
      <c r="R60" s="22">
        <f>VLOOKUP($C60,'Justice Spend Total'!$C:$BA,40,FALSE)</f>
        <v>2022</v>
      </c>
      <c r="S60" s="15" t="str">
        <f>VLOOKUP($C60,'Justice Spend Total'!$C:$BA,41,FALSE)</f>
        <v>National</v>
      </c>
      <c r="T60" t="s">
        <v>597</v>
      </c>
    </row>
    <row r="61" spans="1:20">
      <c r="A61">
        <v>59</v>
      </c>
      <c r="B61" t="s">
        <v>151</v>
      </c>
      <c r="C61" t="s">
        <v>365</v>
      </c>
      <c r="D61" t="s">
        <v>483</v>
      </c>
      <c r="E61" t="s">
        <v>488</v>
      </c>
      <c r="F61" s="17">
        <f>VLOOKUP(B61,'Justice Spend Total'!$B$4:$AQ$221,10,FALSE)</f>
        <v>59.695999999999998</v>
      </c>
      <c r="G61" s="15">
        <f>VLOOKUP(C61,'Justice Spend Total'!$C$4:$AQ$221,10,FALSE)</f>
        <v>33.789359883625494</v>
      </c>
      <c r="H61">
        <f>VLOOKUP(C61,'Justice Spend Total'!$C$4:$AQ$221,7,FALSE)</f>
        <v>2840</v>
      </c>
      <c r="I61" s="17" t="str">
        <f t="shared" si="1"/>
        <v/>
      </c>
      <c r="J61" s="17" t="str">
        <f t="shared" si="2"/>
        <v/>
      </c>
      <c r="K61" s="17" t="str">
        <f t="shared" si="3"/>
        <v/>
      </c>
      <c r="L61" s="17">
        <f t="shared" si="4"/>
        <v>61.10759026665383</v>
      </c>
      <c r="M61" s="16" t="str">
        <f>IF(ISNUMBER(VLOOKUP($C61,'Justice Spend Total'!$C:$BA,35,FALSE)),VLOOKUP($C61,'Justice Spend Total'!$C:$BA,35,FALSE),"")</f>
        <v/>
      </c>
      <c r="N61" s="16" t="str">
        <f>IF(ISNUMBER(VLOOKUP($C61,'Justice Spend Total'!$C:$BA,36,FALSE)),VLOOKUP($C61,'Justice Spend Total'!$C:$BA,36,FALSE),"")</f>
        <v/>
      </c>
      <c r="O61" s="16" t="str">
        <f>IF(ISNUMBER(VLOOKUP($C61,'Justice Spend Total'!$C:$BA,37,FALSE)),VLOOKUP($C61,'Justice Spend Total'!$C:$BA,37,FALSE),"")</f>
        <v/>
      </c>
      <c r="P61" s="16">
        <f>IF(ISNUMBER(VLOOKUP($C61,'Justice Spend Total'!$C:$BA,38,FALSE)),VLOOKUP($C61,'Justice Spend Total'!$C:$BA,38,FALSE),"")</f>
        <v>6.3679090726346823</v>
      </c>
      <c r="Q61" s="15">
        <f>IF(ISNUMBER(VLOOKUP($C61,'Justice Spend Total'!$C:$BA,39,FALSE)),VLOOKUP($C61,'Justice Spend Total'!$C:$BA,39,FALSE),"")</f>
        <v>2.1516757136145714</v>
      </c>
      <c r="R61" s="22" t="str">
        <f>VLOOKUP($C61,'Justice Spend Total'!$C:$BA,40,FALSE)</f>
        <v>FY 22/23</v>
      </c>
      <c r="S61" s="15" t="str">
        <f>VLOOKUP($C61,'Justice Spend Total'!$C:$BA,41,FALSE)</f>
        <v>National</v>
      </c>
      <c r="T61" t="s">
        <v>484</v>
      </c>
    </row>
    <row r="62" spans="1:20">
      <c r="A62">
        <v>60</v>
      </c>
      <c r="B62" t="s">
        <v>152</v>
      </c>
      <c r="C62" t="s">
        <v>366</v>
      </c>
      <c r="D62" t="s">
        <v>493</v>
      </c>
      <c r="E62" t="s">
        <v>488</v>
      </c>
      <c r="F62" s="17">
        <f>VLOOKUP(B62,'Justice Spend Total'!$B$4:$AQ$221,10,FALSE)</f>
        <v>0.3</v>
      </c>
      <c r="G62" s="15">
        <f>VLOOKUP(C62,'Justice Spend Total'!$C$4:$AQ$221,10,FALSE)</f>
        <v>114.06844106463878</v>
      </c>
      <c r="H62">
        <f>VLOOKUP(C62,'Justice Spend Total'!$C$4:$AQ$221,7,FALSE)</f>
        <v>2910</v>
      </c>
      <c r="I62" s="17" t="str">
        <f t="shared" si="1"/>
        <v/>
      </c>
      <c r="J62" s="17" t="str">
        <f t="shared" si="2"/>
        <v/>
      </c>
      <c r="K62" s="17" t="str">
        <f t="shared" si="3"/>
        <v/>
      </c>
      <c r="L62" s="17">
        <f t="shared" si="4"/>
        <v>135.5677930875907</v>
      </c>
      <c r="M62" s="16" t="str">
        <f>IF(ISNUMBER(VLOOKUP($C62,'Justice Spend Total'!$C:$BA,35,FALSE)),VLOOKUP($C62,'Justice Spend Total'!$C:$BA,35,FALSE),"")</f>
        <v/>
      </c>
      <c r="N62" s="16" t="str">
        <f>IF(ISNUMBER(VLOOKUP($C62,'Justice Spend Total'!$C:$BA,36,FALSE)),VLOOKUP($C62,'Justice Spend Total'!$C:$BA,36,FALSE),"")</f>
        <v/>
      </c>
      <c r="O62" s="16" t="str">
        <f>IF(ISNUMBER(VLOOKUP($C62,'Justice Spend Total'!$C:$BA,37,FALSE)),VLOOKUP($C62,'Justice Spend Total'!$C:$BA,37,FALSE),"")</f>
        <v/>
      </c>
      <c r="P62" s="16">
        <f>IF(ISNUMBER(VLOOKUP($C62,'Justice Spend Total'!$C:$BA,38,FALSE)),VLOOKUP($C62,'Justice Spend Total'!$C:$BA,38,FALSE),"")</f>
        <v>4.0841156451358946</v>
      </c>
      <c r="Q62" s="15">
        <f>IF(ISNUMBER(VLOOKUP($C62,'Justice Spend Total'!$C:$BA,39,FALSE)),VLOOKUP($C62,'Justice Spend Total'!$C:$BA,39,FALSE),"")</f>
        <v>4.6586870476835296</v>
      </c>
      <c r="R62" s="22">
        <f>VLOOKUP($C62,'Justice Spend Total'!$C:$BA,40,FALSE)</f>
        <v>2020</v>
      </c>
      <c r="S62" s="15" t="str">
        <f>VLOOKUP($C62,'Justice Spend Total'!$C:$BA,41,FALSE)</f>
        <v>IMF COFOG</v>
      </c>
      <c r="T62" t="s">
        <v>484</v>
      </c>
    </row>
    <row r="63" spans="1:20">
      <c r="A63">
        <v>61</v>
      </c>
      <c r="B63" t="s">
        <v>153</v>
      </c>
      <c r="C63" t="s">
        <v>367</v>
      </c>
      <c r="D63" t="s">
        <v>493</v>
      </c>
      <c r="E63" t="s">
        <v>488</v>
      </c>
      <c r="F63" s="17">
        <f>VLOOKUP(B63,'Justice Spend Total'!$B$4:$AQ$221,10,FALSE)</f>
        <v>43.470999999999997</v>
      </c>
      <c r="G63" s="15">
        <f>VLOOKUP(C63,'Justice Spend Total'!$C$4:$AQ$221,10,FALSE)</f>
        <v>42.010707796977073</v>
      </c>
      <c r="H63">
        <f>VLOOKUP(C63,'Justice Spend Total'!$C$4:$AQ$221,7,FALSE)</f>
        <v>3140</v>
      </c>
      <c r="I63" s="17" t="str">
        <f t="shared" si="1"/>
        <v/>
      </c>
      <c r="J63" s="17" t="str">
        <f t="shared" si="2"/>
        <v/>
      </c>
      <c r="K63" s="17" t="str">
        <f t="shared" si="3"/>
        <v/>
      </c>
      <c r="L63" s="17">
        <f t="shared" si="4"/>
        <v>47.041130310410139</v>
      </c>
      <c r="M63" s="16" t="str">
        <f>IF(ISNUMBER(VLOOKUP($C63,'Justice Spend Total'!$C:$BA,35,FALSE)),VLOOKUP($C63,'Justice Spend Total'!$C:$BA,35,FALSE),"")</f>
        <v/>
      </c>
      <c r="N63" s="16" t="str">
        <f>IF(ISNUMBER(VLOOKUP($C63,'Justice Spend Total'!$C:$BA,36,FALSE)),VLOOKUP($C63,'Justice Spend Total'!$C:$BA,36,FALSE),"")</f>
        <v/>
      </c>
      <c r="O63" s="16" t="str">
        <f>IF(ISNUMBER(VLOOKUP($C63,'Justice Spend Total'!$C:$BA,37,FALSE)),VLOOKUP($C63,'Justice Spend Total'!$C:$BA,37,FALSE),"")</f>
        <v/>
      </c>
      <c r="P63" s="16">
        <f>IF(ISNUMBER(VLOOKUP($C63,'Justice Spend Total'!$C:$BA,38,FALSE)),VLOOKUP($C63,'Justice Spend Total'!$C:$BA,38,FALSE),"")</f>
        <v>3.5660555312737228</v>
      </c>
      <c r="Q63" s="15">
        <f>IF(ISNUMBER(VLOOKUP($C63,'Justice Spend Total'!$C:$BA,39,FALSE)),VLOOKUP($C63,'Justice Spend Total'!$C:$BA,39,FALSE),"")</f>
        <v>1.4981251691213422</v>
      </c>
      <c r="R63" s="22">
        <f>VLOOKUP($C63,'Justice Spend Total'!$C:$BA,40,FALSE)</f>
        <v>2021</v>
      </c>
      <c r="S63" s="15" t="str">
        <f>VLOOKUP($C63,'Justice Spend Total'!$C:$BA,41,FALSE)</f>
        <v>National</v>
      </c>
      <c r="T63" t="s">
        <v>563</v>
      </c>
    </row>
    <row r="64" spans="1:20">
      <c r="A64">
        <v>62</v>
      </c>
      <c r="B64" t="s">
        <v>154</v>
      </c>
      <c r="C64" t="s">
        <v>368</v>
      </c>
      <c r="D64" t="s">
        <v>487</v>
      </c>
      <c r="E64" t="s">
        <v>488</v>
      </c>
      <c r="F64" s="17">
        <f>VLOOKUP(B64,'Justice Spend Total'!$B$4:$AQ$221,10,FALSE)</f>
        <v>132.58000000000001</v>
      </c>
      <c r="G64" s="15">
        <f>VLOOKUP(C64,'Justice Spend Total'!$C$4:$AQ$221,10,FALSE)</f>
        <v>21.875613591326317</v>
      </c>
      <c r="H64">
        <f>VLOOKUP(C64,'Justice Spend Total'!$C$4:$AQ$221,7,FALSE)</f>
        <v>3300</v>
      </c>
      <c r="I64" s="17" t="str">
        <f t="shared" si="1"/>
        <v/>
      </c>
      <c r="J64" s="17" t="str">
        <f t="shared" si="2"/>
        <v/>
      </c>
      <c r="K64" s="17" t="str">
        <f t="shared" si="3"/>
        <v/>
      </c>
      <c r="L64" s="17" t="str">
        <f t="shared" si="4"/>
        <v/>
      </c>
      <c r="M64" s="16" t="str">
        <f>IF(ISNUMBER(VLOOKUP($C64,'Justice Spend Total'!$C:$BA,35,FALSE)),VLOOKUP($C64,'Justice Spend Total'!$C:$BA,35,FALSE),"")</f>
        <v/>
      </c>
      <c r="N64" s="16" t="str">
        <f>IF(ISNUMBER(VLOOKUP($C64,'Justice Spend Total'!$C:$BA,36,FALSE)),VLOOKUP($C64,'Justice Spend Total'!$C:$BA,36,FALSE),"")</f>
        <v/>
      </c>
      <c r="O64" s="16" t="str">
        <f>IF(ISNUMBER(VLOOKUP($C64,'Justice Spend Total'!$C:$BA,37,FALSE)),VLOOKUP($C64,'Justice Spend Total'!$C:$BA,37,FALSE),"")</f>
        <v/>
      </c>
      <c r="P64" s="16" t="str">
        <f>IF(ISNUMBER(VLOOKUP($C64,'Justice Spend Total'!$C:$BA,38,FALSE)),VLOOKUP($C64,'Justice Spend Total'!$C:$BA,38,FALSE),"")</f>
        <v/>
      </c>
      <c r="Q64" s="15" t="str">
        <f>IF(ISNUMBER(VLOOKUP($C64,'Justice Spend Total'!$C:$BA,39,FALSE)),VLOOKUP($C64,'Justice Spend Total'!$C:$BA,39,FALSE),"")</f>
        <v/>
      </c>
      <c r="R64" s="22" t="str">
        <f>VLOOKUP($C64,'Justice Spend Total'!$C:$BA,40,FALSE)</f>
        <v xml:space="preserve"> </v>
      </c>
      <c r="S64" s="15" t="str">
        <f>VLOOKUP($C64,'Justice Spend Total'!$C:$BA,41,FALSE)</f>
        <v xml:space="preserve"> </v>
      </c>
      <c r="T64" t="s">
        <v>484</v>
      </c>
    </row>
    <row r="65" spans="1:20">
      <c r="A65">
        <v>63</v>
      </c>
      <c r="B65" t="s">
        <v>155</v>
      </c>
      <c r="C65" t="s">
        <v>369</v>
      </c>
      <c r="D65" t="s">
        <v>496</v>
      </c>
      <c r="E65" t="s">
        <v>488</v>
      </c>
      <c r="F65" s="17">
        <f>VLOOKUP(B65,'Justice Spend Total'!$B$4:$AQ$221,10,FALSE)</f>
        <v>43.750999999999998</v>
      </c>
      <c r="G65" s="15">
        <f>VLOOKUP(C65,'Justice Spend Total'!$C$4:$AQ$221,10,FALSE)</f>
        <v>26.530067733504737</v>
      </c>
      <c r="H65">
        <f>VLOOKUP(C65,'Justice Spend Total'!$C$4:$AQ$221,7,FALSE)</f>
        <v>3330</v>
      </c>
      <c r="I65" s="17">
        <f t="shared" si="1"/>
        <v>0.93280958405929326</v>
      </c>
      <c r="J65" s="17">
        <f t="shared" si="2"/>
        <v>16.238270485757198</v>
      </c>
      <c r="K65" s="17">
        <f t="shared" si="3"/>
        <v>6.932752634224248</v>
      </c>
      <c r="L65" s="17">
        <f t="shared" si="4"/>
        <v>119.0294284281545</v>
      </c>
      <c r="M65" s="16">
        <f>IF(ISNUMBER(VLOOKUP($C65,'Justice Spend Total'!$C:$BA,35,FALSE)),VLOOKUP($C65,'Justice Spend Total'!$C:$BA,35,FALSE),"")</f>
        <v>0.10558698946035391</v>
      </c>
      <c r="N65" s="16">
        <f>IF(ISNUMBER(VLOOKUP($C65,'Justice Spend Total'!$C:$BA,36,FALSE)),VLOOKUP($C65,'Justice Spend Total'!$C:$BA,36,FALSE),"")</f>
        <v>1.8380493982199879</v>
      </c>
      <c r="O65" s="16">
        <f>IF(ISNUMBER(VLOOKUP($C65,'Justice Spend Total'!$C:$BA,37,FALSE)),VLOOKUP($C65,'Justice Spend Total'!$C:$BA,37,FALSE),"")</f>
        <v>0.78473516120579123</v>
      </c>
      <c r="P65" s="16">
        <f>IF(ISNUMBER(VLOOKUP($C65,'Justice Spend Total'!$C:$BA,38,FALSE)),VLOOKUP($C65,'Justice Spend Total'!$C:$BA,38,FALSE),"")</f>
        <v>13.473230999861412</v>
      </c>
      <c r="Q65" s="15">
        <f>IF(ISNUMBER(VLOOKUP($C65,'Justice Spend Total'!$C:$BA,39,FALSE)),VLOOKUP($C65,'Justice Spend Total'!$C:$BA,39,FALSE),"")</f>
        <v>3.5744573101547901</v>
      </c>
      <c r="R65" s="22">
        <f>VLOOKUP($C65,'Justice Spend Total'!$C:$BA,40,FALSE)</f>
        <v>2020</v>
      </c>
      <c r="S65" s="15" t="str">
        <f>VLOOKUP($C65,'Justice Spend Total'!$C:$BA,41,FALSE)</f>
        <v>IMF COFOG</v>
      </c>
      <c r="T65" t="s">
        <v>484</v>
      </c>
    </row>
    <row r="66" spans="1:20">
      <c r="A66">
        <v>64</v>
      </c>
      <c r="B66" t="s">
        <v>156</v>
      </c>
      <c r="C66" t="s">
        <v>370</v>
      </c>
      <c r="D66" t="s">
        <v>487</v>
      </c>
      <c r="E66" t="s">
        <v>488</v>
      </c>
      <c r="F66" s="17">
        <f>VLOOKUP(B66,'Justice Spend Total'!$B$4:$AQ$221,10,FALSE)</f>
        <v>311.14699999999999</v>
      </c>
      <c r="G66" s="15">
        <f>VLOOKUP(C66,'Justice Spend Total'!$C$4:$AQ$221,10,FALSE)</f>
        <v>28.558172406197222</v>
      </c>
      <c r="H66">
        <f>VLOOKUP(C66,'Justice Spend Total'!$C$4:$AQ$221,7,FALSE)</f>
        <v>3350</v>
      </c>
      <c r="I66" s="17" t="str">
        <f t="shared" si="1"/>
        <v/>
      </c>
      <c r="J66" s="17" t="str">
        <f t="shared" si="2"/>
        <v/>
      </c>
      <c r="K66" s="17" t="str">
        <f t="shared" si="3"/>
        <v/>
      </c>
      <c r="L66" s="17">
        <f t="shared" si="4"/>
        <v>137.13000174388722</v>
      </c>
      <c r="M66" s="16" t="str">
        <f>IF(ISNUMBER(VLOOKUP($C66,'Justice Spend Total'!$C:$BA,35,FALSE)),VLOOKUP($C66,'Justice Spend Total'!$C:$BA,35,FALSE),"")</f>
        <v/>
      </c>
      <c r="N66" s="16" t="str">
        <f>IF(ISNUMBER(VLOOKUP($C66,'Justice Spend Total'!$C:$BA,36,FALSE)),VLOOKUP($C66,'Justice Spend Total'!$C:$BA,36,FALSE),"")</f>
        <v/>
      </c>
      <c r="O66" s="16" t="str">
        <f>IF(ISNUMBER(VLOOKUP($C66,'Justice Spend Total'!$C:$BA,37,FALSE)),VLOOKUP($C66,'Justice Spend Total'!$C:$BA,37,FALSE),"")</f>
        <v/>
      </c>
      <c r="P66" s="16">
        <f>IF(ISNUMBER(VLOOKUP($C66,'Justice Spend Total'!$C:$BA,38,FALSE)),VLOOKUP($C66,'Justice Spend Total'!$C:$BA,38,FALSE),"")</f>
        <v>14.333665437879844</v>
      </c>
      <c r="Q66" s="15">
        <f>IF(ISNUMBER(VLOOKUP($C66,'Justice Spend Total'!$C:$BA,39,FALSE)),VLOOKUP($C66,'Justice Spend Total'!$C:$BA,39,FALSE),"")</f>
        <v>4.0934328878772304</v>
      </c>
      <c r="R66" s="22">
        <f>VLOOKUP($C66,'Justice Spend Total'!$C:$BA,40,FALSE)</f>
        <v>2022</v>
      </c>
      <c r="S66" s="15" t="str">
        <f>VLOOKUP($C66,'Justice Spend Total'!$C:$BA,41,FALSE)</f>
        <v>National</v>
      </c>
      <c r="T66" t="s">
        <v>542</v>
      </c>
    </row>
    <row r="67" spans="1:20">
      <c r="A67">
        <v>65</v>
      </c>
      <c r="B67" t="s">
        <v>157</v>
      </c>
      <c r="C67" t="s">
        <v>371</v>
      </c>
      <c r="D67" t="s">
        <v>497</v>
      </c>
      <c r="E67" t="s">
        <v>488</v>
      </c>
      <c r="F67" s="17">
        <f>VLOOKUP(B67,'Justice Spend Total'!$B$4:$AQ$221,10,FALSE)</f>
        <v>63.935000000000002</v>
      </c>
      <c r="G67" s="15">
        <f>VLOOKUP(C67,'Justice Spend Total'!$C$4:$AQ$221,10,FALSE)</f>
        <v>25.259568886500837</v>
      </c>
      <c r="H67">
        <f>VLOOKUP(C67,'Justice Spend Total'!$C$4:$AQ$221,7,FALSE)</f>
        <v>3360</v>
      </c>
      <c r="I67" s="17" t="str">
        <f t="shared" si="1"/>
        <v/>
      </c>
      <c r="J67" s="17" t="str">
        <f t="shared" si="2"/>
        <v/>
      </c>
      <c r="K67" s="17" t="str">
        <f t="shared" si="3"/>
        <v/>
      </c>
      <c r="L67" s="17" t="str">
        <f t="shared" si="4"/>
        <v/>
      </c>
      <c r="M67" s="16" t="str">
        <f>IF(ISNUMBER(VLOOKUP($C67,'Justice Spend Total'!$C:$BA,35,FALSE)),VLOOKUP($C67,'Justice Spend Total'!$C:$BA,35,FALSE),"")</f>
        <v/>
      </c>
      <c r="N67" s="16" t="str">
        <f>IF(ISNUMBER(VLOOKUP($C67,'Justice Spend Total'!$C:$BA,36,FALSE)),VLOOKUP($C67,'Justice Spend Total'!$C:$BA,36,FALSE),"")</f>
        <v/>
      </c>
      <c r="O67" s="16" t="str">
        <f>IF(ISNUMBER(VLOOKUP($C67,'Justice Spend Total'!$C:$BA,37,FALSE)),VLOOKUP($C67,'Justice Spend Total'!$C:$BA,37,FALSE),"")</f>
        <v/>
      </c>
      <c r="P67" s="16" t="str">
        <f>IF(ISNUMBER(VLOOKUP($C67,'Justice Spend Total'!$C:$BA,38,FALSE)),VLOOKUP($C67,'Justice Spend Total'!$C:$BA,38,FALSE),"")</f>
        <v/>
      </c>
      <c r="Q67" s="15" t="str">
        <f>IF(ISNUMBER(VLOOKUP($C67,'Justice Spend Total'!$C:$BA,39,FALSE)),VLOOKUP($C67,'Justice Spend Total'!$C:$BA,39,FALSE),"")</f>
        <v/>
      </c>
      <c r="R67" s="22" t="str">
        <f>VLOOKUP($C67,'Justice Spend Total'!$C:$BA,40,FALSE)</f>
        <v xml:space="preserve"> </v>
      </c>
      <c r="S67" s="15" t="str">
        <f>VLOOKUP($C67,'Justice Spend Total'!$C:$BA,41,FALSE)</f>
        <v xml:space="preserve"> </v>
      </c>
      <c r="T67" t="s">
        <v>484</v>
      </c>
    </row>
    <row r="68" spans="1:20">
      <c r="A68">
        <v>66</v>
      </c>
      <c r="B68" t="s">
        <v>158</v>
      </c>
      <c r="C68" t="s">
        <v>372</v>
      </c>
      <c r="D68" t="s">
        <v>487</v>
      </c>
      <c r="E68" t="s">
        <v>488</v>
      </c>
      <c r="F68" s="17">
        <f>VLOOKUP(B68,'Justice Spend Total'!$B$4:$AQ$221,10,FALSE)</f>
        <v>2550000</v>
      </c>
      <c r="G68" s="15">
        <f>VLOOKUP(C68,'Justice Spend Total'!$C$4:$AQ$221,10,FALSE)</f>
        <v>9.2581704325267289</v>
      </c>
      <c r="H68">
        <f>VLOOKUP(C68,'Justice Spend Total'!$C$4:$AQ$221,7,FALSE)</f>
        <v>3370</v>
      </c>
      <c r="I68" s="17" t="str">
        <f t="shared" ref="I68:I131" si="5">IF(ISNUMBER(M68),$G68/100*$H68*(M68/100),"")</f>
        <v/>
      </c>
      <c r="J68" s="17" t="str">
        <f t="shared" ref="J68:J131" si="6">IF(ISNUMBER(N68),$G68/100*$H68*(N68/100),"")</f>
        <v/>
      </c>
      <c r="K68" s="17" t="str">
        <f t="shared" ref="K68:K131" si="7">IF(ISNUMBER(O68),$G68/100*$H68*(O68/100),"")</f>
        <v/>
      </c>
      <c r="L68" s="17" t="str">
        <f t="shared" ref="L68:L131" si="8">IF(ISNUMBER(P68),$G68/100*$H68*(P68/100),"")</f>
        <v/>
      </c>
      <c r="M68" s="16" t="str">
        <f>IF(ISNUMBER(VLOOKUP($C68,'Justice Spend Total'!$C:$BA,35,FALSE)),VLOOKUP($C68,'Justice Spend Total'!$C:$BA,35,FALSE),"")</f>
        <v/>
      </c>
      <c r="N68" s="16" t="str">
        <f>IF(ISNUMBER(VLOOKUP($C68,'Justice Spend Total'!$C:$BA,36,FALSE)),VLOOKUP($C68,'Justice Spend Total'!$C:$BA,36,FALSE),"")</f>
        <v/>
      </c>
      <c r="O68" s="16" t="str">
        <f>IF(ISNUMBER(VLOOKUP($C68,'Justice Spend Total'!$C:$BA,37,FALSE)),VLOOKUP($C68,'Justice Spend Total'!$C:$BA,37,FALSE),"")</f>
        <v/>
      </c>
      <c r="P68" s="16" t="str">
        <f>IF(ISNUMBER(VLOOKUP($C68,'Justice Spend Total'!$C:$BA,38,FALSE)),VLOOKUP($C68,'Justice Spend Total'!$C:$BA,38,FALSE),"")</f>
        <v/>
      </c>
      <c r="Q68" s="15" t="str">
        <f>IF(ISNUMBER(VLOOKUP($C68,'Justice Spend Total'!$C:$BA,39,FALSE)),VLOOKUP($C68,'Justice Spend Total'!$C:$BA,39,FALSE),"")</f>
        <v/>
      </c>
      <c r="R68" s="22" t="str">
        <f>VLOOKUP($C68,'Justice Spend Total'!$C:$BA,40,FALSE)</f>
        <v xml:space="preserve"> </v>
      </c>
      <c r="S68" s="15" t="str">
        <f>VLOOKUP($C68,'Justice Spend Total'!$C:$BA,41,FALSE)</f>
        <v xml:space="preserve"> </v>
      </c>
      <c r="T68" t="s">
        <v>484</v>
      </c>
    </row>
    <row r="69" spans="1:20">
      <c r="A69">
        <v>67</v>
      </c>
      <c r="B69" t="s">
        <v>159</v>
      </c>
      <c r="C69" t="s">
        <v>373</v>
      </c>
      <c r="D69" t="s">
        <v>487</v>
      </c>
      <c r="E69" t="s">
        <v>488</v>
      </c>
      <c r="F69" s="17">
        <f>VLOOKUP(B69,'Justice Spend Total'!$B$4:$AQ$221,10,FALSE)</f>
        <v>14694.56</v>
      </c>
      <c r="G69" s="15">
        <f>VLOOKUP(C69,'Justice Spend Total'!$C$4:$AQ$221,10,FALSE)</f>
        <v>13.766547402981812</v>
      </c>
      <c r="H69">
        <f>VLOOKUP(C69,'Justice Spend Total'!$C$4:$AQ$221,7,FALSE)</f>
        <v>3450</v>
      </c>
      <c r="I69" s="17">
        <f t="shared" si="5"/>
        <v>32.065219759160861</v>
      </c>
      <c r="J69" s="17">
        <f t="shared" si="6"/>
        <v>3.8903355046946579</v>
      </c>
      <c r="K69" s="17">
        <f t="shared" si="7"/>
        <v>0.68274280190471415</v>
      </c>
      <c r="L69" s="17">
        <f t="shared" si="8"/>
        <v>49.917387195256694</v>
      </c>
      <c r="M69" s="16">
        <f>IF(ISNUMBER(VLOOKUP($C69,'Justice Spend Total'!$C:$BA,35,FALSE)),VLOOKUP($C69,'Justice Spend Total'!$C:$BA,35,FALSE),"")</f>
        <v>6.7513417306398091</v>
      </c>
      <c r="N69" s="16">
        <f>IF(ISNUMBER(VLOOKUP($C69,'Justice Spend Total'!$C:$BA,36,FALSE)),VLOOKUP($C69,'Justice Spend Total'!$C:$BA,36,FALSE),"")</f>
        <v>0.81911131862837039</v>
      </c>
      <c r="O69" s="16">
        <f>IF(ISNUMBER(VLOOKUP($C69,'Justice Spend Total'!$C:$BA,37,FALSE)),VLOOKUP($C69,'Justice Spend Total'!$C:$BA,37,FALSE),"")</f>
        <v>0.14375170369684917</v>
      </c>
      <c r="P69" s="16">
        <f>IF(ISNUMBER(VLOOKUP($C69,'Justice Spend Total'!$C:$BA,38,FALSE)),VLOOKUP($C69,'Justice Spend Total'!$C:$BA,38,FALSE),"")</f>
        <v>10.510120990502802</v>
      </c>
      <c r="Q69" s="15">
        <f>IF(ISNUMBER(VLOOKUP($C69,'Justice Spend Total'!$C:$BA,39,FALSE)),VLOOKUP($C69,'Justice Spend Total'!$C:$BA,39,FALSE),"")</f>
        <v>1.4468807882683099</v>
      </c>
      <c r="R69" s="22">
        <f>VLOOKUP($C69,'Justice Spend Total'!$C:$BA,40,FALSE)</f>
        <v>2020</v>
      </c>
      <c r="S69" s="15" t="str">
        <f>VLOOKUP($C69,'Justice Spend Total'!$C:$BA,41,FALSE)</f>
        <v>IMF COFOG</v>
      </c>
      <c r="T69" t="s">
        <v>484</v>
      </c>
    </row>
    <row r="70" spans="1:20">
      <c r="A70">
        <v>68</v>
      </c>
      <c r="B70" t="s">
        <v>160</v>
      </c>
      <c r="C70" t="s">
        <v>374</v>
      </c>
      <c r="D70" t="s">
        <v>487</v>
      </c>
      <c r="E70" t="s">
        <v>488</v>
      </c>
      <c r="F70" s="17">
        <f>VLOOKUP(B70,'Justice Spend Total'!$B$4:$AQ$221,10,FALSE)</f>
        <v>1266.02</v>
      </c>
      <c r="G70" s="15">
        <f>VLOOKUP(C70,'Justice Spend Total'!$C$4:$AQ$221,10,FALSE)</f>
        <v>19.965620564579719</v>
      </c>
      <c r="H70">
        <f>VLOOKUP(C70,'Justice Spend Total'!$C$4:$AQ$221,7,FALSE)</f>
        <v>3510</v>
      </c>
      <c r="I70" s="17" t="str">
        <f t="shared" si="5"/>
        <v/>
      </c>
      <c r="J70" s="17" t="str">
        <f t="shared" si="6"/>
        <v/>
      </c>
      <c r="K70" s="17" t="str">
        <f t="shared" si="7"/>
        <v/>
      </c>
      <c r="L70" s="17">
        <f t="shared" si="8"/>
        <v>38.747831572307206</v>
      </c>
      <c r="M70" s="16" t="str">
        <f>IF(ISNUMBER(VLOOKUP($C70,'Justice Spend Total'!$C:$BA,35,FALSE)),VLOOKUP($C70,'Justice Spend Total'!$C:$BA,35,FALSE),"")</f>
        <v/>
      </c>
      <c r="N70" s="16" t="str">
        <f>IF(ISNUMBER(VLOOKUP($C70,'Justice Spend Total'!$C:$BA,36,FALSE)),VLOOKUP($C70,'Justice Spend Total'!$C:$BA,36,FALSE),"")</f>
        <v/>
      </c>
      <c r="O70" s="16" t="str">
        <f>IF(ISNUMBER(VLOOKUP($C70,'Justice Spend Total'!$C:$BA,37,FALSE)),VLOOKUP($C70,'Justice Spend Total'!$C:$BA,37,FALSE),"")</f>
        <v/>
      </c>
      <c r="P70" s="16">
        <f>IF(ISNUMBER(VLOOKUP($C70,'Justice Spend Total'!$C:$BA,38,FALSE)),VLOOKUP($C70,'Justice Spend Total'!$C:$BA,38,FALSE),"")</f>
        <v>5.5291385602123189</v>
      </c>
      <c r="Q70" s="15">
        <f>IF(ISNUMBER(VLOOKUP($C70,'Justice Spend Total'!$C:$BA,39,FALSE)),VLOOKUP($C70,'Justice Spend Total'!$C:$BA,39,FALSE),"")</f>
        <v>1.1039268254218577</v>
      </c>
      <c r="R70" s="22" t="str">
        <f>VLOOKUP($C70,'Justice Spend Total'!$C:$BA,40,FALSE)</f>
        <v>2019/20</v>
      </c>
      <c r="S70" s="15" t="str">
        <f>VLOOKUP($C70,'Justice Spend Total'!$C:$BA,41,FALSE)</f>
        <v>National</v>
      </c>
      <c r="T70" t="s">
        <v>514</v>
      </c>
    </row>
    <row r="71" spans="1:20">
      <c r="A71">
        <v>69</v>
      </c>
      <c r="B71" t="s">
        <v>161</v>
      </c>
      <c r="C71" t="s">
        <v>375</v>
      </c>
      <c r="D71" t="s">
        <v>493</v>
      </c>
      <c r="E71" t="s">
        <v>488</v>
      </c>
      <c r="F71" s="17">
        <f>VLOOKUP(B71,'Justice Spend Total'!$B$4:$AQ$221,10,FALSE)</f>
        <v>1476551</v>
      </c>
      <c r="G71" s="15">
        <f>VLOOKUP(C71,'Justice Spend Total'!$C$4:$AQ$221,10,FALSE)</f>
        <v>18.535381248356675</v>
      </c>
      <c r="H71">
        <f>VLOOKUP(C71,'Justice Spend Total'!$C$4:$AQ$221,7,FALSE)</f>
        <v>3560</v>
      </c>
      <c r="I71" s="17" t="str">
        <f t="shared" si="5"/>
        <v/>
      </c>
      <c r="J71" s="17" t="str">
        <f t="shared" si="6"/>
        <v/>
      </c>
      <c r="K71" s="17" t="str">
        <f t="shared" si="7"/>
        <v/>
      </c>
      <c r="L71" s="17" t="str">
        <f t="shared" si="8"/>
        <v/>
      </c>
      <c r="M71" s="16" t="str">
        <f>IF(ISNUMBER(VLOOKUP($C71,'Justice Spend Total'!$C:$BA,35,FALSE)),VLOOKUP($C71,'Justice Spend Total'!$C:$BA,35,FALSE),"")</f>
        <v/>
      </c>
      <c r="N71" s="16" t="str">
        <f>IF(ISNUMBER(VLOOKUP($C71,'Justice Spend Total'!$C:$BA,36,FALSE)),VLOOKUP($C71,'Justice Spend Total'!$C:$BA,36,FALSE),"")</f>
        <v/>
      </c>
      <c r="O71" s="16" t="str">
        <f>IF(ISNUMBER(VLOOKUP($C71,'Justice Spend Total'!$C:$BA,37,FALSE)),VLOOKUP($C71,'Justice Spend Total'!$C:$BA,37,FALSE),"")</f>
        <v/>
      </c>
      <c r="P71" s="16" t="str">
        <f>IF(ISNUMBER(VLOOKUP($C71,'Justice Spend Total'!$C:$BA,38,FALSE)),VLOOKUP($C71,'Justice Spend Total'!$C:$BA,38,FALSE),"")</f>
        <v/>
      </c>
      <c r="Q71" s="15" t="str">
        <f>IF(ISNUMBER(VLOOKUP($C71,'Justice Spend Total'!$C:$BA,39,FALSE)),VLOOKUP($C71,'Justice Spend Total'!$C:$BA,39,FALSE),"")</f>
        <v/>
      </c>
      <c r="R71" s="22" t="str">
        <f>VLOOKUP($C71,'Justice Spend Total'!$C:$BA,40,FALSE)</f>
        <v xml:space="preserve"> </v>
      </c>
      <c r="S71" s="15" t="str">
        <f>VLOOKUP($C71,'Justice Spend Total'!$C:$BA,41,FALSE)</f>
        <v xml:space="preserve"> </v>
      </c>
      <c r="T71" t="s">
        <v>484</v>
      </c>
    </row>
    <row r="72" spans="1:20">
      <c r="A72">
        <v>70</v>
      </c>
      <c r="B72" t="s">
        <v>162</v>
      </c>
      <c r="C72" t="s">
        <v>376</v>
      </c>
      <c r="D72" t="s">
        <v>487</v>
      </c>
      <c r="E72" t="s">
        <v>488</v>
      </c>
      <c r="F72" s="17">
        <f>VLOOKUP(B72,'Justice Spend Total'!$B$4:$AQ$221,10,FALSE)</f>
        <v>33.497</v>
      </c>
      <c r="G72" s="15">
        <f>VLOOKUP(C72,'Justice Spend Total'!$C$4:$AQ$221,10,FALSE)</f>
        <v>25.790531332527465</v>
      </c>
      <c r="H72">
        <f>VLOOKUP(C72,'Justice Spend Total'!$C$4:$AQ$221,7,FALSE)</f>
        <v>3630</v>
      </c>
      <c r="I72" s="17" t="str">
        <f t="shared" si="5"/>
        <v/>
      </c>
      <c r="J72" s="17" t="str">
        <f t="shared" si="6"/>
        <v/>
      </c>
      <c r="K72" s="17" t="str">
        <f t="shared" si="7"/>
        <v/>
      </c>
      <c r="L72" s="17" t="str">
        <f t="shared" si="8"/>
        <v/>
      </c>
      <c r="M72" s="16" t="str">
        <f>IF(ISNUMBER(VLOOKUP($C72,'Justice Spend Total'!$C:$BA,35,FALSE)),VLOOKUP($C72,'Justice Spend Total'!$C:$BA,35,FALSE),"")</f>
        <v/>
      </c>
      <c r="N72" s="16" t="str">
        <f>IF(ISNUMBER(VLOOKUP($C72,'Justice Spend Total'!$C:$BA,36,FALSE)),VLOOKUP($C72,'Justice Spend Total'!$C:$BA,36,FALSE),"")</f>
        <v/>
      </c>
      <c r="O72" s="16" t="str">
        <f>IF(ISNUMBER(VLOOKUP($C72,'Justice Spend Total'!$C:$BA,37,FALSE)),VLOOKUP($C72,'Justice Spend Total'!$C:$BA,37,FALSE),"")</f>
        <v/>
      </c>
      <c r="P72" s="16" t="str">
        <f>IF(ISNUMBER(VLOOKUP($C72,'Justice Spend Total'!$C:$BA,38,FALSE)),VLOOKUP($C72,'Justice Spend Total'!$C:$BA,38,FALSE),"")</f>
        <v/>
      </c>
      <c r="Q72" s="15" t="str">
        <f>IF(ISNUMBER(VLOOKUP($C72,'Justice Spend Total'!$C:$BA,39,FALSE)),VLOOKUP($C72,'Justice Spend Total'!$C:$BA,39,FALSE),"")</f>
        <v/>
      </c>
      <c r="R72" s="22" t="str">
        <f>VLOOKUP($C72,'Justice Spend Total'!$C:$BA,40,FALSE)</f>
        <v xml:space="preserve"> </v>
      </c>
      <c r="S72" s="15" t="str">
        <f>VLOOKUP($C72,'Justice Spend Total'!$C:$BA,41,FALSE)</f>
        <v xml:space="preserve"> </v>
      </c>
      <c r="T72" t="s">
        <v>484</v>
      </c>
    </row>
    <row r="73" spans="1:20">
      <c r="A73">
        <v>71</v>
      </c>
      <c r="B73" t="s">
        <v>163</v>
      </c>
      <c r="C73" t="s">
        <v>377</v>
      </c>
      <c r="D73" t="s">
        <v>493</v>
      </c>
      <c r="E73" t="s">
        <v>488</v>
      </c>
      <c r="F73" s="17">
        <f>VLOOKUP(B73,'Justice Spend Total'!$B$4:$AQ$221,10,FALSE)</f>
        <v>3950.3</v>
      </c>
      <c r="G73" s="15">
        <f>VLOOKUP(C73,'Justice Spend Total'!$C$4:$AQ$221,10,FALSE)</f>
        <v>20.375804460775946</v>
      </c>
      <c r="H73">
        <f>VLOOKUP(C73,'Justice Spend Total'!$C$4:$AQ$221,7,FALSE)</f>
        <v>3640</v>
      </c>
      <c r="I73" s="17">
        <f t="shared" si="5"/>
        <v>33.356378492304614</v>
      </c>
      <c r="J73" s="17">
        <f t="shared" si="6"/>
        <v>6.0543028792016313</v>
      </c>
      <c r="K73" s="17">
        <f t="shared" si="7"/>
        <v>4.1382897936648639</v>
      </c>
      <c r="L73" s="17">
        <f t="shared" si="8"/>
        <v>49.849315667279129</v>
      </c>
      <c r="M73" s="16">
        <f>IF(ISNUMBER(VLOOKUP($C73,'Justice Spend Total'!$C:$BA,35,FALSE)),VLOOKUP($C73,'Justice Spend Total'!$C:$BA,35,FALSE),"")</f>
        <v>4.4974127341962404</v>
      </c>
      <c r="N73" s="16">
        <f>IF(ISNUMBER(VLOOKUP($C73,'Justice Spend Total'!$C:$BA,36,FALSE)),VLOOKUP($C73,'Justice Spend Total'!$C:$BA,36,FALSE),"")</f>
        <v>0.81629661540997611</v>
      </c>
      <c r="O73" s="16">
        <f>IF(ISNUMBER(VLOOKUP($C73,'Justice Spend Total'!$C:$BA,37,FALSE)),VLOOKUP($C73,'Justice Spend Total'!$C:$BA,37,FALSE),"")</f>
        <v>0.55796216666975473</v>
      </c>
      <c r="P73" s="16">
        <f>IF(ISNUMBER(VLOOKUP($C73,'Justice Spend Total'!$C:$BA,38,FALSE)),VLOOKUP($C73,'Justice Spend Total'!$C:$BA,38,FALSE),"")</f>
        <v>6.7211417188083269</v>
      </c>
      <c r="Q73" s="15">
        <f>IF(ISNUMBER(VLOOKUP($C73,'Justice Spend Total'!$C:$BA,39,FALSE)),VLOOKUP($C73,'Justice Spend Total'!$C:$BA,39,FALSE),"")</f>
        <v>1.36948669415602</v>
      </c>
      <c r="R73" s="22">
        <f>VLOOKUP($C73,'Justice Spend Total'!$C:$BA,40,FALSE)</f>
        <v>2020</v>
      </c>
      <c r="S73" s="15" t="str">
        <f>VLOOKUP($C73,'Justice Spend Total'!$C:$BA,41,FALSE)</f>
        <v>IMF COFOG</v>
      </c>
      <c r="T73" t="s">
        <v>484</v>
      </c>
    </row>
    <row r="74" spans="1:20" s="109" customFormat="1">
      <c r="A74" s="109">
        <v>72</v>
      </c>
      <c r="B74" s="109" t="s">
        <v>164</v>
      </c>
      <c r="C74" s="109" t="s">
        <v>378</v>
      </c>
      <c r="D74" s="109" t="s">
        <v>487</v>
      </c>
      <c r="E74" t="s">
        <v>488</v>
      </c>
      <c r="F74" s="17">
        <f>VLOOKUP(B74,'Justice Spend Total'!$B$4:$AQ$221,10,FALSE)</f>
        <v>5640.94</v>
      </c>
      <c r="G74" s="110">
        <f>VLOOKUP(C74,'Justice Spend Total'!$C$4:$AQ$221,10,FALSE)</f>
        <v>30.127593665714208</v>
      </c>
      <c r="H74" s="109">
        <f>VLOOKUP(C74,'Justice Spend Total'!$C$4:$AQ$221,7,FALSE)</f>
        <v>3660</v>
      </c>
      <c r="I74" s="17" t="str">
        <f t="shared" si="5"/>
        <v/>
      </c>
      <c r="J74" s="17">
        <f t="shared" si="6"/>
        <v>18.03758268165674</v>
      </c>
      <c r="K74" s="17" t="str">
        <f t="shared" si="7"/>
        <v/>
      </c>
      <c r="L74" s="17" t="str">
        <f t="shared" si="8"/>
        <v/>
      </c>
      <c r="M74" s="117" t="str">
        <f>IF(ISNUMBER(VLOOKUP($C74,'Justice Spend Total'!$C:$BA,35,FALSE)),VLOOKUP($C74,'Justice Spend Total'!$C:$BA,35,FALSE),"")</f>
        <v/>
      </c>
      <c r="N74" s="117">
        <f>IF(ISNUMBER(VLOOKUP($C74,'Justice Spend Total'!$C:$BA,36,FALSE)),VLOOKUP($C74,'Justice Spend Total'!$C:$BA,36,FALSE),"")</f>
        <v>1.6358097941123289</v>
      </c>
      <c r="O74" s="117" t="str">
        <f>IF(ISNUMBER(VLOOKUP($C74,'Justice Spend Total'!$C:$BA,37,FALSE)),VLOOKUP($C74,'Justice Spend Total'!$C:$BA,37,FALSE),"")</f>
        <v/>
      </c>
      <c r="P74" s="117" t="str">
        <f>IF(ISNUMBER(VLOOKUP($C74,'Justice Spend Total'!$C:$BA,38,FALSE)),VLOOKUP($C74,'Justice Spend Total'!$C:$BA,38,FALSE),"")</f>
        <v/>
      </c>
      <c r="Q74" s="110" t="str">
        <f>IF(ISNUMBER(VLOOKUP($C74,'Justice Spend Total'!$C:$BA,39,FALSE)),VLOOKUP($C74,'Justice Spend Total'!$C:$BA,39,FALSE),"")</f>
        <v/>
      </c>
      <c r="R74" s="119">
        <f>VLOOKUP($C74,'Justice Spend Total'!$C:$BA,40,FALSE)</f>
        <v>2021</v>
      </c>
      <c r="S74" s="110" t="str">
        <f>VLOOKUP($C74,'Justice Spend Total'!$C:$BA,41,FALSE)</f>
        <v>National</v>
      </c>
      <c r="T74" s="109" t="s">
        <v>490</v>
      </c>
    </row>
    <row r="75" spans="1:20">
      <c r="A75">
        <v>73</v>
      </c>
      <c r="B75" t="s">
        <v>165</v>
      </c>
      <c r="C75" t="s">
        <v>379</v>
      </c>
      <c r="D75" t="s">
        <v>496</v>
      </c>
      <c r="E75" t="s">
        <v>488</v>
      </c>
      <c r="F75" s="17">
        <f>VLOOKUP(B75,'Justice Spend Total'!$B$4:$AQ$221,10,FALSE)</f>
        <v>19.036999999999999</v>
      </c>
      <c r="G75" s="15">
        <f>VLOOKUP(C75,'Justice Spend Total'!$C$4:$AQ$221,10,FALSE)</f>
        <v>29.094326934833109</v>
      </c>
      <c r="H75">
        <f>VLOOKUP(C75,'Justice Spend Total'!$C$4:$AQ$221,7,FALSE)</f>
        <v>3680</v>
      </c>
      <c r="I75" s="17" t="str">
        <f t="shared" si="5"/>
        <v/>
      </c>
      <c r="J75" s="17" t="str">
        <f t="shared" si="6"/>
        <v/>
      </c>
      <c r="K75" s="17" t="str">
        <f t="shared" si="7"/>
        <v/>
      </c>
      <c r="L75" s="17">
        <f t="shared" si="8"/>
        <v>105.0445066634063</v>
      </c>
      <c r="M75" s="16" t="str">
        <f>IF(ISNUMBER(VLOOKUP($C75,'Justice Spend Total'!$C:$BA,35,FALSE)),VLOOKUP($C75,'Justice Spend Total'!$C:$BA,35,FALSE),"")</f>
        <v/>
      </c>
      <c r="N75" s="16" t="str">
        <f>IF(ISNUMBER(VLOOKUP($C75,'Justice Spend Total'!$C:$BA,36,FALSE)),VLOOKUP($C75,'Justice Spend Total'!$C:$BA,36,FALSE),"")</f>
        <v/>
      </c>
      <c r="O75" s="16" t="str">
        <f>IF(ISNUMBER(VLOOKUP($C75,'Justice Spend Total'!$C:$BA,37,FALSE)),VLOOKUP($C75,'Justice Spend Total'!$C:$BA,37,FALSE),"")</f>
        <v/>
      </c>
      <c r="P75" s="16">
        <f>IF(ISNUMBER(VLOOKUP($C75,'Justice Spend Total'!$C:$BA,38,FALSE)),VLOOKUP($C75,'Justice Spend Total'!$C:$BA,38,FALSE),"")</f>
        <v>9.8110889320796346</v>
      </c>
      <c r="Q75" s="15">
        <f>IF(ISNUMBER(VLOOKUP($C75,'Justice Spend Total'!$C:$BA,39,FALSE)),VLOOKUP($C75,'Justice Spend Total'!$C:$BA,39,FALSE),"")</f>
        <v>2.8544702897664753</v>
      </c>
      <c r="R75" s="22" t="str">
        <f>VLOOKUP($C75,'Justice Spend Total'!$C:$BA,40,FALSE)</f>
        <v>2021/22</v>
      </c>
      <c r="S75" s="15" t="str">
        <f>VLOOKUP($C75,'Justice Spend Total'!$C:$BA,41,FALSE)</f>
        <v>National</v>
      </c>
    </row>
    <row r="76" spans="1:20">
      <c r="A76">
        <v>74</v>
      </c>
      <c r="B76" t="s">
        <v>166</v>
      </c>
      <c r="C76" t="s">
        <v>380</v>
      </c>
      <c r="D76" t="s">
        <v>493</v>
      </c>
      <c r="E76" t="s">
        <v>488</v>
      </c>
      <c r="F76" s="17">
        <f>VLOOKUP(B76,'Justice Spend Total'!$B$4:$AQ$221,10,FALSE)</f>
        <v>14248.83</v>
      </c>
      <c r="G76" s="15">
        <f>VLOOKUP(C76,'Justice Spend Total'!$C$4:$AQ$221,10,FALSE)</f>
        <v>33.122471153189018</v>
      </c>
      <c r="H76">
        <f>VLOOKUP(C76,'Justice Spend Total'!$C$4:$AQ$221,7,FALSE)</f>
        <v>3760</v>
      </c>
      <c r="I76" s="17">
        <f t="shared" si="5"/>
        <v>25.254871959642514</v>
      </c>
      <c r="J76" s="17">
        <f t="shared" si="6"/>
        <v>12.277491485847467</v>
      </c>
      <c r="K76" s="17">
        <f t="shared" si="7"/>
        <v>7.7962493942610251</v>
      </c>
      <c r="L76" s="17">
        <f t="shared" si="8"/>
        <v>71.504015396565904</v>
      </c>
      <c r="M76" s="16">
        <f>IF(ISNUMBER(VLOOKUP($C76,'Justice Spend Total'!$C:$BA,35,FALSE)),VLOOKUP($C76,'Justice Spend Total'!$C:$BA,35,FALSE),"")</f>
        <v>2.0278442495422588</v>
      </c>
      <c r="N76" s="16">
        <f>IF(ISNUMBER(VLOOKUP($C76,'Justice Spend Total'!$C:$BA,36,FALSE)),VLOOKUP($C76,'Justice Spend Total'!$C:$BA,36,FALSE),"")</f>
        <v>0.98582327196768926</v>
      </c>
      <c r="O76" s="16">
        <f>IF(ISNUMBER(VLOOKUP($C76,'Justice Spend Total'!$C:$BA,37,FALSE)),VLOOKUP($C76,'Justice Spend Total'!$C:$BA,37,FALSE),"")</f>
        <v>0.6260011742452456</v>
      </c>
      <c r="P76" s="16">
        <f>IF(ISNUMBER(VLOOKUP($C76,'Justice Spend Total'!$C:$BA,38,FALSE)),VLOOKUP($C76,'Justice Spend Total'!$C:$BA,38,FALSE),"")</f>
        <v>5.741427106532826</v>
      </c>
      <c r="Q76" s="15">
        <f>IF(ISNUMBER(VLOOKUP($C76,'Justice Spend Total'!$C:$BA,39,FALSE)),VLOOKUP($C76,'Justice Spend Total'!$C:$BA,39,FALSE),"")</f>
        <v>1.9017025371427101</v>
      </c>
      <c r="R76" s="22">
        <f>VLOOKUP($C76,'Justice Spend Total'!$C:$BA,40,FALSE)</f>
        <v>2020</v>
      </c>
      <c r="S76" s="15" t="str">
        <f>VLOOKUP($C76,'Justice Spend Total'!$C:$BA,41,FALSE)</f>
        <v>IMF COFOG</v>
      </c>
      <c r="T76" t="s">
        <v>484</v>
      </c>
    </row>
    <row r="77" spans="1:20">
      <c r="A77">
        <v>75</v>
      </c>
      <c r="B77" t="s">
        <v>167</v>
      </c>
      <c r="C77" t="s">
        <v>381</v>
      </c>
      <c r="D77" t="s">
        <v>483</v>
      </c>
      <c r="E77" t="s">
        <v>488</v>
      </c>
      <c r="F77" s="17">
        <f>VLOOKUP(B77,'Justice Spend Total'!$B$4:$AQ$221,10,FALSE)</f>
        <v>1373.31</v>
      </c>
      <c r="G77" s="15">
        <f>VLOOKUP(C77,'Justice Spend Total'!$C$4:$AQ$221,10,FALSE)</f>
        <v>9.1719155626230968</v>
      </c>
      <c r="H77">
        <f>VLOOKUP(C77,'Justice Spend Total'!$C$4:$AQ$221,7,FALSE)</f>
        <v>3820</v>
      </c>
      <c r="I77" s="17">
        <f t="shared" si="5"/>
        <v>23.104990227924503</v>
      </c>
      <c r="J77" s="17">
        <f t="shared" si="6"/>
        <v>0</v>
      </c>
      <c r="K77" s="17">
        <f t="shared" si="7"/>
        <v>0</v>
      </c>
      <c r="L77" s="17">
        <f t="shared" si="8"/>
        <v>23.104990227924503</v>
      </c>
      <c r="M77" s="16">
        <f>IF(ISNUMBER(VLOOKUP($C77,'Justice Spend Total'!$C:$BA,35,FALSE)),VLOOKUP($C77,'Justice Spend Total'!$C:$BA,35,FALSE),"")</f>
        <v>6.5945076793827102</v>
      </c>
      <c r="N77" s="16">
        <f>IF(ISNUMBER(VLOOKUP($C77,'Justice Spend Total'!$C:$BA,36,FALSE)),VLOOKUP($C77,'Justice Spend Total'!$C:$BA,36,FALSE),"")</f>
        <v>0</v>
      </c>
      <c r="O77" s="16">
        <f>IF(ISNUMBER(VLOOKUP($C77,'Justice Spend Total'!$C:$BA,37,FALSE)),VLOOKUP($C77,'Justice Spend Total'!$C:$BA,37,FALSE),"")</f>
        <v>0</v>
      </c>
      <c r="P77" s="16">
        <f>IF(ISNUMBER(VLOOKUP($C77,'Justice Spend Total'!$C:$BA,38,FALSE)),VLOOKUP($C77,'Justice Spend Total'!$C:$BA,38,FALSE),"")</f>
        <v>6.5945076793827102</v>
      </c>
      <c r="Q77" s="15">
        <f>IF(ISNUMBER(VLOOKUP($C77,'Justice Spend Total'!$C:$BA,39,FALSE)),VLOOKUP($C77,'Justice Spend Total'!$C:$BA,39,FALSE),"")</f>
        <v>0.60484267612367804</v>
      </c>
      <c r="R77" s="22">
        <f>VLOOKUP($C77,'Justice Spend Total'!$C:$BA,40,FALSE)</f>
        <v>2019</v>
      </c>
      <c r="S77" s="15" t="str">
        <f>VLOOKUP($C77,'Justice Spend Total'!$C:$BA,41,FALSE)</f>
        <v>IMF COFOG</v>
      </c>
      <c r="T77" t="s">
        <v>484</v>
      </c>
    </row>
    <row r="78" spans="1:20">
      <c r="A78">
        <v>76</v>
      </c>
      <c r="B78" t="s">
        <v>168</v>
      </c>
      <c r="C78" t="s">
        <v>382</v>
      </c>
      <c r="D78" t="s">
        <v>493</v>
      </c>
      <c r="E78" t="s">
        <v>488</v>
      </c>
      <c r="F78" s="17">
        <f>VLOOKUP(B78,'Justice Spend Total'!$B$4:$AQ$221,10,FALSE)</f>
        <v>0.79200000000000004</v>
      </c>
      <c r="G78" s="15">
        <f>VLOOKUP(C78,'Justice Spend Total'!$C$4:$AQ$221,10,FALSE)</f>
        <v>39.072520966946222</v>
      </c>
      <c r="H78">
        <f>VLOOKUP(C78,'Justice Spend Total'!$C$4:$AQ$221,7,FALSE)</f>
        <v>3860</v>
      </c>
      <c r="I78" s="17">
        <f t="shared" si="5"/>
        <v>28.690279820897409</v>
      </c>
      <c r="J78" s="17">
        <f t="shared" si="6"/>
        <v>26.874082001155511</v>
      </c>
      <c r="K78" s="17">
        <f t="shared" si="7"/>
        <v>12.373325168362147</v>
      </c>
      <c r="L78" s="17">
        <f t="shared" si="8"/>
        <v>97.903303514181331</v>
      </c>
      <c r="M78" s="16">
        <f>IF(ISNUMBER(VLOOKUP($C78,'Justice Spend Total'!$C:$BA,35,FALSE)),VLOOKUP($C78,'Justice Spend Total'!$C:$BA,35,FALSE),"")</f>
        <v>1.9022870282147595</v>
      </c>
      <c r="N78" s="16">
        <f>IF(ISNUMBER(VLOOKUP($C78,'Justice Spend Total'!$C:$BA,36,FALSE)),VLOOKUP($C78,'Justice Spend Total'!$C:$BA,36,FALSE),"")</f>
        <v>1.7818654228928608</v>
      </c>
      <c r="O78" s="16">
        <f>IF(ISNUMBER(VLOOKUP($C78,'Justice Spend Total'!$C:$BA,37,FALSE)),VLOOKUP($C78,'Justice Spend Total'!$C:$BA,37,FALSE),"")</f>
        <v>0.82040384794414589</v>
      </c>
      <c r="P78" s="16">
        <f>IF(ISNUMBER(VLOOKUP($C78,'Justice Spend Total'!$C:$BA,38,FALSE)),VLOOKUP($C78,'Justice Spend Total'!$C:$BA,38,FALSE),"")</f>
        <v>6.4914035505065417</v>
      </c>
      <c r="Q78" s="15">
        <f>IF(ISNUMBER(VLOOKUP($C78,'Justice Spend Total'!$C:$BA,39,FALSE)),VLOOKUP($C78,'Justice Spend Total'!$C:$BA,39,FALSE),"")</f>
        <v>2.53635501332076</v>
      </c>
      <c r="R78" s="22">
        <f>VLOOKUP($C78,'Justice Spend Total'!$C:$BA,40,FALSE)</f>
        <v>2020</v>
      </c>
      <c r="S78" s="15" t="str">
        <f>VLOOKUP($C78,'Justice Spend Total'!$C:$BA,41,FALSE)</f>
        <v>IMF COFOG</v>
      </c>
      <c r="T78" t="s">
        <v>484</v>
      </c>
    </row>
    <row r="79" spans="1:20">
      <c r="A79">
        <v>77</v>
      </c>
      <c r="B79" t="s">
        <v>169</v>
      </c>
      <c r="C79" t="s">
        <v>383</v>
      </c>
      <c r="D79" t="s">
        <v>493</v>
      </c>
      <c r="E79" t="s">
        <v>488</v>
      </c>
      <c r="F79" s="17">
        <f>VLOOKUP(B79,'Justice Spend Total'!$B$4:$AQ$221,10,FALSE)</f>
        <v>0.32</v>
      </c>
      <c r="G79" s="15">
        <f>VLOOKUP(C79,'Justice Spend Total'!$C$4:$AQ$221,10,FALSE)</f>
        <v>79.601990049751237</v>
      </c>
      <c r="H79">
        <f>VLOOKUP(C79,'Justice Spend Total'!$C$4:$AQ$221,7,FALSE)</f>
        <v>3880</v>
      </c>
      <c r="I79" s="17">
        <f t="shared" si="5"/>
        <v>0</v>
      </c>
      <c r="J79" s="17">
        <f t="shared" si="6"/>
        <v>0</v>
      </c>
      <c r="K79" s="17">
        <f t="shared" si="7"/>
        <v>0</v>
      </c>
      <c r="L79" s="17">
        <f t="shared" si="8"/>
        <v>63.581016975182784</v>
      </c>
      <c r="M79" s="16">
        <f>IF(ISNUMBER(VLOOKUP($C79,'Justice Spend Total'!$C:$BA,35,FALSE)),VLOOKUP($C79,'Justice Spend Total'!$C:$BA,35,FALSE),"")</f>
        <v>0</v>
      </c>
      <c r="N79" s="16">
        <f>IF(ISNUMBER(VLOOKUP($C79,'Justice Spend Total'!$C:$BA,36,FALSE)),VLOOKUP($C79,'Justice Spend Total'!$C:$BA,36,FALSE),"")</f>
        <v>0</v>
      </c>
      <c r="O79" s="16">
        <f>IF(ISNUMBER(VLOOKUP($C79,'Justice Spend Total'!$C:$BA,37,FALSE)),VLOOKUP($C79,'Justice Spend Total'!$C:$BA,37,FALSE),"")</f>
        <v>0</v>
      </c>
      <c r="P79" s="16">
        <f>IF(ISNUMBER(VLOOKUP($C79,'Justice Spend Total'!$C:$BA,38,FALSE)),VLOOKUP($C79,'Justice Spend Total'!$C:$BA,38,FALSE),"")</f>
        <v>2.0585992931719943</v>
      </c>
      <c r="Q79" s="15">
        <f>IF(ISNUMBER(VLOOKUP($C79,'Justice Spend Total'!$C:$BA,39,FALSE)),VLOOKUP($C79,'Justice Spend Total'!$C:$BA,39,FALSE),"")</f>
        <v>1.63868600451502</v>
      </c>
      <c r="R79" s="22">
        <f>VLOOKUP($C79,'Justice Spend Total'!$C:$BA,40,FALSE)</f>
        <v>2020</v>
      </c>
      <c r="S79" s="15" t="str">
        <f>VLOOKUP($C79,'Justice Spend Total'!$C:$BA,41,FALSE)</f>
        <v>IMF COFOG</v>
      </c>
      <c r="T79" t="s">
        <v>484</v>
      </c>
    </row>
    <row r="80" spans="1:20">
      <c r="A80">
        <v>78</v>
      </c>
      <c r="B80" t="s">
        <v>170</v>
      </c>
      <c r="C80" t="s">
        <v>384</v>
      </c>
      <c r="D80" t="s">
        <v>485</v>
      </c>
      <c r="E80" t="s">
        <v>488</v>
      </c>
      <c r="F80" s="17">
        <f>VLOOKUP(B80,'Justice Spend Total'!$B$4:$AQ$221,10,FALSE)</f>
        <v>1982.68</v>
      </c>
      <c r="G80" s="15">
        <f>VLOOKUP(C80,'Justice Spend Total'!$C$4:$AQ$221,10,FALSE)</f>
        <v>36.572647065876438</v>
      </c>
      <c r="H80">
        <f>VLOOKUP(C80,'Justice Spend Total'!$C$4:$AQ$221,7,FALSE)</f>
        <v>4120</v>
      </c>
      <c r="I80" s="17">
        <f t="shared" si="5"/>
        <v>74.87016086399764</v>
      </c>
      <c r="J80" s="17">
        <f t="shared" si="6"/>
        <v>18.329090829282649</v>
      </c>
      <c r="K80" s="17">
        <f t="shared" si="7"/>
        <v>7.6037695879446412</v>
      </c>
      <c r="L80" s="17">
        <f t="shared" si="8"/>
        <v>156.7750175101099</v>
      </c>
      <c r="M80" s="16">
        <f>IF(ISNUMBER(VLOOKUP($C80,'Justice Spend Total'!$C:$BA,35,FALSE)),VLOOKUP($C80,'Justice Spend Total'!$C:$BA,35,FALSE),"")</f>
        <v>4.9688416342995465</v>
      </c>
      <c r="N80" s="16">
        <f>IF(ISNUMBER(VLOOKUP($C80,'Justice Spend Total'!$C:$BA,36,FALSE)),VLOOKUP($C80,'Justice Spend Total'!$C:$BA,36,FALSE),"")</f>
        <v>1.2164305322762035</v>
      </c>
      <c r="O80" s="16">
        <f>IF(ISNUMBER(VLOOKUP($C80,'Justice Spend Total'!$C:$BA,37,FALSE)),VLOOKUP($C80,'Justice Spend Total'!$C:$BA,37,FALSE),"")</f>
        <v>0.50463263962837301</v>
      </c>
      <c r="P80" s="16">
        <f>IF(ISNUMBER(VLOOKUP($C80,'Justice Spend Total'!$C:$BA,38,FALSE)),VLOOKUP($C80,'Justice Spend Total'!$C:$BA,38,FALSE),"")</f>
        <v>10.404548691131007</v>
      </c>
      <c r="Q80" s="15">
        <f>IF(ISNUMBER(VLOOKUP($C80,'Justice Spend Total'!$C:$BA,39,FALSE)),VLOOKUP($C80,'Justice Spend Total'!$C:$BA,39,FALSE),"")</f>
        <v>3.8052188716046098</v>
      </c>
      <c r="R80" s="22">
        <f>VLOOKUP($C80,'Justice Spend Total'!$C:$BA,40,FALSE)</f>
        <v>2020</v>
      </c>
      <c r="S80" s="15" t="str">
        <f>VLOOKUP($C80,'Justice Spend Total'!$C:$BA,41,FALSE)</f>
        <v>IMF COFOG</v>
      </c>
      <c r="T80" t="s">
        <v>484</v>
      </c>
    </row>
    <row r="81" spans="1:20">
      <c r="A81">
        <v>79</v>
      </c>
      <c r="B81" t="s">
        <v>171</v>
      </c>
      <c r="C81" t="s">
        <v>385</v>
      </c>
      <c r="D81" t="s">
        <v>493</v>
      </c>
      <c r="E81" t="s">
        <v>488</v>
      </c>
      <c r="F81" s="17">
        <f>VLOOKUP(B81,'Justice Spend Total'!$B$4:$AQ$221,10,FALSE)</f>
        <v>2307072.59</v>
      </c>
      <c r="G81" s="15">
        <f>VLOOKUP(C81,'Justice Spend Total'!$C$4:$AQ$221,10,FALSE)</f>
        <v>13.594374208596028</v>
      </c>
      <c r="H81">
        <f>VLOOKUP(C81,'Justice Spend Total'!$C$4:$AQ$221,7,FALSE)</f>
        <v>4140</v>
      </c>
      <c r="I81" s="17" t="str">
        <f t="shared" si="5"/>
        <v/>
      </c>
      <c r="J81" s="17" t="str">
        <f t="shared" si="6"/>
        <v/>
      </c>
      <c r="K81" s="17" t="str">
        <f t="shared" si="7"/>
        <v/>
      </c>
      <c r="L81" s="17">
        <f t="shared" si="8"/>
        <v>46.535221693721915</v>
      </c>
      <c r="M81" s="16" t="str">
        <f>IF(ISNUMBER(VLOOKUP($C81,'Justice Spend Total'!$C:$BA,35,FALSE)),VLOOKUP($C81,'Justice Spend Total'!$C:$BA,35,FALSE),"")</f>
        <v/>
      </c>
      <c r="N81" s="16" t="str">
        <f>IF(ISNUMBER(VLOOKUP($C81,'Justice Spend Total'!$C:$BA,36,FALSE)),VLOOKUP($C81,'Justice Spend Total'!$C:$BA,36,FALSE),"")</f>
        <v/>
      </c>
      <c r="O81" s="16" t="str">
        <f>IF(ISNUMBER(VLOOKUP($C81,'Justice Spend Total'!$C:$BA,37,FALSE)),VLOOKUP($C81,'Justice Spend Total'!$C:$BA,37,FALSE),"")</f>
        <v/>
      </c>
      <c r="P81" s="16">
        <f>IF(ISNUMBER(VLOOKUP($C81,'Justice Spend Total'!$C:$BA,38,FALSE)),VLOOKUP($C81,'Justice Spend Total'!$C:$BA,38,FALSE),"")</f>
        <v>8.2684142285504016</v>
      </c>
      <c r="Q81" s="15">
        <f>IF(ISNUMBER(VLOOKUP($C81,'Justice Spend Total'!$C:$BA,39,FALSE)),VLOOKUP($C81,'Justice Spend Total'!$C:$BA,39,FALSE),"")</f>
        <v>1.1240391713459399</v>
      </c>
      <c r="R81" s="22">
        <f>VLOOKUP($C81,'Justice Spend Total'!$C:$BA,40,FALSE)</f>
        <v>2020</v>
      </c>
      <c r="S81" s="15" t="str">
        <f>VLOOKUP($C81,'Justice Spend Total'!$C:$BA,41,FALSE)</f>
        <v>IMF COFOG</v>
      </c>
      <c r="T81" t="s">
        <v>484</v>
      </c>
    </row>
    <row r="82" spans="1:20">
      <c r="A82">
        <v>80</v>
      </c>
      <c r="B82" t="s">
        <v>172</v>
      </c>
      <c r="C82" t="s">
        <v>386</v>
      </c>
      <c r="D82" t="s">
        <v>497</v>
      </c>
      <c r="E82" t="s">
        <v>488</v>
      </c>
      <c r="F82" s="17">
        <f>VLOOKUP(B82,'Justice Spend Total'!$B$4:$AQ$221,10,FALSE)</f>
        <v>6.0430000000000001</v>
      </c>
      <c r="G82" s="15">
        <f>VLOOKUP(C82,'Justice Spend Total'!$C$4:$AQ$221,10,FALSE)</f>
        <v>24.526157717439833</v>
      </c>
      <c r="H82">
        <f>VLOOKUP(C82,'Justice Spend Total'!$C$4:$AQ$221,7,FALSE)</f>
        <v>4140</v>
      </c>
      <c r="I82" s="17">
        <f t="shared" si="5"/>
        <v>65.648621356953811</v>
      </c>
      <c r="J82" s="17">
        <f t="shared" si="6"/>
        <v>57.095985505740408</v>
      </c>
      <c r="K82" s="17">
        <f t="shared" si="7"/>
        <v>13.30783417320381</v>
      </c>
      <c r="L82" s="17">
        <f t="shared" si="8"/>
        <v>137.61510338199383</v>
      </c>
      <c r="M82" s="16">
        <f>IF(ISNUMBER(VLOOKUP($C82,'Justice Spend Total'!$C:$BA,35,FALSE)),VLOOKUP($C82,'Justice Spend Total'!$C:$BA,35,FALSE),"")</f>
        <v>6.4654052623428422</v>
      </c>
      <c r="N82" s="16">
        <f>IF(ISNUMBER(VLOOKUP($C82,'Justice Spend Total'!$C:$BA,36,FALSE)),VLOOKUP($C82,'Justice Spend Total'!$C:$BA,36,FALSE),"")</f>
        <v>5.6230988178758263</v>
      </c>
      <c r="O82" s="16">
        <f>IF(ISNUMBER(VLOOKUP($C82,'Justice Spend Total'!$C:$BA,37,FALSE)),VLOOKUP($C82,'Justice Spend Total'!$C:$BA,37,FALSE),"")</f>
        <v>1.3106222082865417</v>
      </c>
      <c r="P82" s="16">
        <f>IF(ISNUMBER(VLOOKUP($C82,'Justice Spend Total'!$C:$BA,38,FALSE)),VLOOKUP($C82,'Justice Spend Total'!$C:$BA,38,FALSE),"")</f>
        <v>13.553025108417636</v>
      </c>
      <c r="Q82" s="15">
        <f>IF(ISNUMBER(VLOOKUP($C82,'Justice Spend Total'!$C:$BA,39,FALSE)),VLOOKUP($C82,'Justice Spend Total'!$C:$BA,39,FALSE),"")</f>
        <v>3.3240363135747302</v>
      </c>
      <c r="R82" s="22">
        <f>VLOOKUP($C82,'Justice Spend Total'!$C:$BA,40,FALSE)</f>
        <v>2020</v>
      </c>
      <c r="S82" s="15" t="str">
        <f>VLOOKUP($C82,'Justice Spend Total'!$C:$BA,41,FALSE)</f>
        <v>IMF COFOG</v>
      </c>
      <c r="T82" t="s">
        <v>484</v>
      </c>
    </row>
    <row r="83" spans="1:20">
      <c r="A83">
        <v>81</v>
      </c>
      <c r="B83" t="s">
        <v>173</v>
      </c>
      <c r="C83" t="s">
        <v>387</v>
      </c>
      <c r="D83" t="s">
        <v>487</v>
      </c>
      <c r="E83" t="s">
        <v>488</v>
      </c>
      <c r="F83" s="17">
        <f>VLOOKUP(B83,'Justice Spend Total'!$B$4:$AQ$221,10,FALSE)</f>
        <v>14.282</v>
      </c>
      <c r="G83" s="15">
        <f>VLOOKUP(C83,'Justice Spend Total'!$C$4:$AQ$221,10,FALSE)</f>
        <v>24.87416618771444</v>
      </c>
      <c r="H83">
        <f>VLOOKUP(C83,'Justice Spend Total'!$C$4:$AQ$221,7,FALSE)</f>
        <v>4220</v>
      </c>
      <c r="I83" s="17">
        <f t="shared" si="5"/>
        <v>0</v>
      </c>
      <c r="J83" s="17">
        <f t="shared" si="6"/>
        <v>4.6310552662146263</v>
      </c>
      <c r="K83" s="17">
        <f t="shared" si="7"/>
        <v>0</v>
      </c>
      <c r="L83" s="17">
        <f t="shared" si="8"/>
        <v>77.097950648759735</v>
      </c>
      <c r="M83" s="16">
        <f>IF(ISNUMBER(VLOOKUP($C83,'Justice Spend Total'!$C:$BA,35,FALSE)),VLOOKUP($C83,'Justice Spend Total'!$C:$BA,35,FALSE),"")</f>
        <v>0</v>
      </c>
      <c r="N83" s="16">
        <f>IF(ISNUMBER(VLOOKUP($C83,'Justice Spend Total'!$C:$BA,36,FALSE)),VLOOKUP($C83,'Justice Spend Total'!$C:$BA,36,FALSE),"")</f>
        <v>0.44118321511026903</v>
      </c>
      <c r="O83" s="16">
        <f>IF(ISNUMBER(VLOOKUP($C83,'Justice Spend Total'!$C:$BA,37,FALSE)),VLOOKUP($C83,'Justice Spend Total'!$C:$BA,37,FALSE),"")</f>
        <v>0</v>
      </c>
      <c r="P83" s="16">
        <f>IF(ISNUMBER(VLOOKUP($C83,'Justice Spend Total'!$C:$BA,38,FALSE)),VLOOKUP($C83,'Justice Spend Total'!$C:$BA,38,FALSE),"")</f>
        <v>7.3448317479129557</v>
      </c>
      <c r="Q83" s="15">
        <f>IF(ISNUMBER(VLOOKUP($C83,'Justice Spend Total'!$C:$BA,39,FALSE)),VLOOKUP($C83,'Justice Spend Total'!$C:$BA,39,FALSE),"")</f>
        <v>1.82696565518388</v>
      </c>
      <c r="R83" s="22">
        <f>VLOOKUP($C83,'Justice Spend Total'!$C:$BA,40,FALSE)</f>
        <v>2018</v>
      </c>
      <c r="S83" s="15" t="str">
        <f>VLOOKUP($C83,'Justice Spend Total'!$C:$BA,41,FALSE)</f>
        <v>IMF COFOG</v>
      </c>
      <c r="T83" t="s">
        <v>484</v>
      </c>
    </row>
    <row r="84" spans="1:20">
      <c r="A84">
        <v>82</v>
      </c>
      <c r="B84" t="s">
        <v>174</v>
      </c>
      <c r="C84" t="s">
        <v>388</v>
      </c>
      <c r="D84" t="s">
        <v>497</v>
      </c>
      <c r="E84" t="s">
        <v>486</v>
      </c>
      <c r="F84" s="17">
        <f>VLOOKUP(B84,'Justice Spend Total'!$B$4:$AQ$221,10,FALSE)</f>
        <v>0.96699999999999997</v>
      </c>
      <c r="G84" s="15">
        <f>VLOOKUP(C84,'Justice Spend Total'!$C$4:$AQ$221,10,FALSE)</f>
        <v>30.495111952065596</v>
      </c>
      <c r="H84">
        <f>VLOOKUP(C84,'Justice Spend Total'!$C$4:$AQ$221,7,FALSE)</f>
        <v>4290</v>
      </c>
      <c r="I84" s="17" t="str">
        <f t="shared" si="5"/>
        <v/>
      </c>
      <c r="J84" s="17" t="str">
        <f t="shared" si="6"/>
        <v/>
      </c>
      <c r="K84" s="17" t="str">
        <f t="shared" si="7"/>
        <v/>
      </c>
      <c r="L84" s="17" t="str">
        <f t="shared" si="8"/>
        <v/>
      </c>
      <c r="M84" s="16" t="str">
        <f>IF(ISNUMBER(VLOOKUP($C84,'Justice Spend Total'!$C:$BA,35,FALSE)),VLOOKUP($C84,'Justice Spend Total'!$C:$BA,35,FALSE),"")</f>
        <v/>
      </c>
      <c r="N84" s="16" t="str">
        <f>IF(ISNUMBER(VLOOKUP($C84,'Justice Spend Total'!$C:$BA,36,FALSE)),VLOOKUP($C84,'Justice Spend Total'!$C:$BA,36,FALSE),"")</f>
        <v/>
      </c>
      <c r="O84" s="16" t="str">
        <f>IF(ISNUMBER(VLOOKUP($C84,'Justice Spend Total'!$C:$BA,37,FALSE)),VLOOKUP($C84,'Justice Spend Total'!$C:$BA,37,FALSE),"")</f>
        <v/>
      </c>
      <c r="P84" s="16" t="str">
        <f>IF(ISNUMBER(VLOOKUP($C84,'Justice Spend Total'!$C:$BA,38,FALSE)),VLOOKUP($C84,'Justice Spend Total'!$C:$BA,38,FALSE),"")</f>
        <v/>
      </c>
      <c r="Q84" s="15" t="str">
        <f>IF(ISNUMBER(VLOOKUP($C84,'Justice Spend Total'!$C:$BA,39,FALSE)),VLOOKUP($C84,'Justice Spend Total'!$C:$BA,39,FALSE),"")</f>
        <v/>
      </c>
      <c r="R84" s="22" t="str">
        <f>VLOOKUP($C84,'Justice Spend Total'!$C:$BA,40,FALSE)</f>
        <v xml:space="preserve"> </v>
      </c>
      <c r="S84" s="15" t="str">
        <f>VLOOKUP($C84,'Justice Spend Total'!$C:$BA,41,FALSE)</f>
        <v xml:space="preserve"> </v>
      </c>
    </row>
    <row r="85" spans="1:20">
      <c r="A85">
        <v>83</v>
      </c>
      <c r="B85" t="s">
        <v>175</v>
      </c>
      <c r="C85" t="s">
        <v>390</v>
      </c>
      <c r="D85" t="s">
        <v>497</v>
      </c>
      <c r="E85" t="s">
        <v>486</v>
      </c>
      <c r="F85" s="17">
        <f>VLOOKUP(B85,'Justice Spend Total'!$B$4:$AQ$221,10,FALSE)</f>
        <v>15.269</v>
      </c>
      <c r="G85" s="15">
        <f>VLOOKUP(C85,'Justice Spend Total'!$C$4:$AQ$221,10,FALSE)</f>
        <v>27.149715504978662</v>
      </c>
      <c r="H85">
        <f>VLOOKUP(C85,'Justice Spend Total'!$C$4:$AQ$221,7,FALSE)</f>
        <v>4440</v>
      </c>
      <c r="I85" s="17" t="str">
        <f t="shared" si="5"/>
        <v/>
      </c>
      <c r="J85" s="17" t="str">
        <f t="shared" si="6"/>
        <v/>
      </c>
      <c r="K85" s="17" t="str">
        <f t="shared" si="7"/>
        <v/>
      </c>
      <c r="L85" s="17" t="str">
        <f t="shared" si="8"/>
        <v/>
      </c>
      <c r="M85" s="16" t="str">
        <f>IF(ISNUMBER(VLOOKUP($C85,'Justice Spend Total'!$C:$BA,35,FALSE)),VLOOKUP($C85,'Justice Spend Total'!$C:$BA,35,FALSE),"")</f>
        <v/>
      </c>
      <c r="N85" s="16" t="str">
        <f>IF(ISNUMBER(VLOOKUP($C85,'Justice Spend Total'!$C:$BA,36,FALSE)),VLOOKUP($C85,'Justice Spend Total'!$C:$BA,36,FALSE),"")</f>
        <v/>
      </c>
      <c r="O85" s="16" t="str">
        <f>IF(ISNUMBER(VLOOKUP($C85,'Justice Spend Total'!$C:$BA,37,FALSE)),VLOOKUP($C85,'Justice Spend Total'!$C:$BA,37,FALSE),"")</f>
        <v/>
      </c>
      <c r="P85" s="16" t="str">
        <f>IF(ISNUMBER(VLOOKUP($C85,'Justice Spend Total'!$C:$BA,38,FALSE)),VLOOKUP($C85,'Justice Spend Total'!$C:$BA,38,FALSE),"")</f>
        <v/>
      </c>
      <c r="Q85" s="15" t="str">
        <f>IF(ISNUMBER(VLOOKUP($C85,'Justice Spend Total'!$C:$BA,39,FALSE)),VLOOKUP($C85,'Justice Spend Total'!$C:$BA,39,FALSE),"")</f>
        <v/>
      </c>
      <c r="R85" s="22" t="str">
        <f>VLOOKUP($C85,'Justice Spend Total'!$C:$BA,40,FALSE)</f>
        <v xml:space="preserve"> </v>
      </c>
      <c r="S85" s="15" t="str">
        <f>VLOOKUP($C85,'Justice Spend Total'!$C:$BA,41,FALSE)</f>
        <v xml:space="preserve"> </v>
      </c>
    </row>
    <row r="86" spans="1:20">
      <c r="A86">
        <v>84</v>
      </c>
      <c r="B86" t="s">
        <v>176</v>
      </c>
      <c r="C86" t="s">
        <v>391</v>
      </c>
      <c r="D86" t="s">
        <v>487</v>
      </c>
      <c r="E86" t="s">
        <v>486</v>
      </c>
      <c r="F86" s="17">
        <f>VLOOKUP(B86,'Justice Spend Total'!$B$4:$AQ$221,10,FALSE)</f>
        <v>7.0289999999999999</v>
      </c>
      <c r="G86" s="15">
        <f>VLOOKUP(C86,'Justice Spend Total'!$C$4:$AQ$221,10,FALSE)</f>
        <v>22.655922643029815</v>
      </c>
      <c r="H86">
        <f>VLOOKUP(C86,'Justice Spend Total'!$C$4:$AQ$221,7,FALSE)</f>
        <v>4480</v>
      </c>
      <c r="I86" s="17">
        <f t="shared" si="5"/>
        <v>153.88540873539947</v>
      </c>
      <c r="J86" s="17">
        <f t="shared" si="6"/>
        <v>13.732290861158372</v>
      </c>
      <c r="K86" s="17">
        <f t="shared" si="7"/>
        <v>0</v>
      </c>
      <c r="L86" s="17">
        <f t="shared" si="8"/>
        <v>206.57639648762546</v>
      </c>
      <c r="M86" s="16">
        <f>IF(ISNUMBER(VLOOKUP($C86,'Justice Spend Total'!$C:$BA,35,FALSE)),VLOOKUP($C86,'Justice Spend Total'!$C:$BA,35,FALSE),"")</f>
        <v>15.161343077453893</v>
      </c>
      <c r="N86" s="16">
        <f>IF(ISNUMBER(VLOOKUP($C86,'Justice Spend Total'!$C:$BA,36,FALSE)),VLOOKUP($C86,'Justice Spend Total'!$C:$BA,36,FALSE),"")</f>
        <v>1.35295460886353</v>
      </c>
      <c r="O86" s="16">
        <f>IF(ISNUMBER(VLOOKUP($C86,'Justice Spend Total'!$C:$BA,37,FALSE)),VLOOKUP($C86,'Justice Spend Total'!$C:$BA,37,FALSE),"")</f>
        <v>0</v>
      </c>
      <c r="P86" s="16">
        <f>IF(ISNUMBER(VLOOKUP($C86,'Justice Spend Total'!$C:$BA,38,FALSE)),VLOOKUP($C86,'Justice Spend Total'!$C:$BA,38,FALSE),"")</f>
        <v>20.352648406310909</v>
      </c>
      <c r="Q86" s="15">
        <f>IF(ISNUMBER(VLOOKUP($C86,'Justice Spend Total'!$C:$BA,39,FALSE)),VLOOKUP($C86,'Justice Spend Total'!$C:$BA,39,FALSE),"")</f>
        <v>4.6110802787416398</v>
      </c>
      <c r="R86" s="22">
        <f>VLOOKUP($C86,'Justice Spend Total'!$C:$BA,40,FALSE)</f>
        <v>2020</v>
      </c>
      <c r="S86" s="15" t="str">
        <f>VLOOKUP($C86,'Justice Spend Total'!$C:$BA,41,FALSE)</f>
        <v>IMF COFOG</v>
      </c>
    </row>
    <row r="87" spans="1:20">
      <c r="A87">
        <v>85</v>
      </c>
      <c r="B87" t="s">
        <v>177</v>
      </c>
      <c r="C87" t="s">
        <v>392</v>
      </c>
      <c r="D87" t="s">
        <v>496</v>
      </c>
      <c r="E87" t="s">
        <v>486</v>
      </c>
      <c r="F87" s="17">
        <f>VLOOKUP(B87,'Justice Spend Total'!$B$4:$AQ$221,10,FALSE)</f>
        <v>58.01</v>
      </c>
      <c r="G87" s="15">
        <f>VLOOKUP(C87,'Justice Spend Total'!$C$4:$AQ$221,10,FALSE)</f>
        <v>33.181373586459756</v>
      </c>
      <c r="H87">
        <f>VLOOKUP(C87,'Justice Spend Total'!$C$4:$AQ$221,7,FALSE)</f>
        <v>4550</v>
      </c>
      <c r="I87" s="17">
        <f t="shared" si="5"/>
        <v>153.13997713813436</v>
      </c>
      <c r="J87" s="17">
        <f t="shared" si="6"/>
        <v>0</v>
      </c>
      <c r="K87" s="17">
        <f t="shared" si="7"/>
        <v>9.5292534956381498</v>
      </c>
      <c r="L87" s="17">
        <f t="shared" si="8"/>
        <v>322.06329650717043</v>
      </c>
      <c r="M87" s="16">
        <f>IF(ISNUMBER(VLOOKUP($C87,'Justice Spend Total'!$C:$BA,35,FALSE)),VLOOKUP($C87,'Justice Spend Total'!$C:$BA,35,FALSE),"")</f>
        <v>10.143382926827172</v>
      </c>
      <c r="N87" s="16">
        <f>IF(ISNUMBER(VLOOKUP($C87,'Justice Spend Total'!$C:$BA,36,FALSE)),VLOOKUP($C87,'Justice Spend Total'!$C:$BA,36,FALSE),"")</f>
        <v>0</v>
      </c>
      <c r="O87" s="16">
        <f>IF(ISNUMBER(VLOOKUP($C87,'Justice Spend Total'!$C:$BA,37,FALSE)),VLOOKUP($C87,'Justice Spend Total'!$C:$BA,37,FALSE),"")</f>
        <v>0.63117984617352096</v>
      </c>
      <c r="P87" s="16">
        <f>IF(ISNUMBER(VLOOKUP($C87,'Justice Spend Total'!$C:$BA,38,FALSE)),VLOOKUP($C87,'Justice Spend Total'!$C:$BA,38,FALSE),"")</f>
        <v>21.332191660194656</v>
      </c>
      <c r="Q87" s="15">
        <f>IF(ISNUMBER(VLOOKUP($C87,'Justice Spend Total'!$C:$BA,39,FALSE)),VLOOKUP($C87,'Justice Spend Total'!$C:$BA,39,FALSE),"")</f>
        <v>7.0783142089488003</v>
      </c>
      <c r="R87" s="22">
        <f>VLOOKUP($C87,'Justice Spend Total'!$C:$BA,40,FALSE)</f>
        <v>2020</v>
      </c>
      <c r="S87" s="15" t="str">
        <f>VLOOKUP($C87,'Justice Spend Total'!$C:$BA,41,FALSE)</f>
        <v>IMF COFOG</v>
      </c>
    </row>
    <row r="88" spans="1:20">
      <c r="A88">
        <v>86</v>
      </c>
      <c r="B88" t="s">
        <v>178</v>
      </c>
      <c r="C88" t="s">
        <v>393</v>
      </c>
      <c r="D88" t="s">
        <v>485</v>
      </c>
      <c r="E88" t="s">
        <v>486</v>
      </c>
      <c r="F88" s="17">
        <f>VLOOKUP(B88,'Justice Spend Total'!$B$4:$AQ$221,10,FALSE)</f>
        <v>1560.66</v>
      </c>
      <c r="G88" s="15">
        <f>VLOOKUP(C88,'Justice Spend Total'!$C$4:$AQ$221,10,FALSE)</f>
        <v>25.246616604601357</v>
      </c>
      <c r="H88">
        <f>VLOOKUP(C88,'Justice Spend Total'!$C$4:$AQ$221,7,FALSE)</f>
        <v>4560</v>
      </c>
      <c r="I88" s="17">
        <f t="shared" si="5"/>
        <v>45.916324921765636</v>
      </c>
      <c r="J88" s="17">
        <f t="shared" si="6"/>
        <v>10.843596669013751</v>
      </c>
      <c r="K88" s="17">
        <f t="shared" si="7"/>
        <v>8.6865583036524008</v>
      </c>
      <c r="L88" s="17">
        <f t="shared" si="8"/>
        <v>111.69064456858753</v>
      </c>
      <c r="M88" s="16">
        <f>IF(ISNUMBER(VLOOKUP($C88,'Justice Spend Total'!$C:$BA,35,FALSE)),VLOOKUP($C88,'Justice Spend Total'!$C:$BA,35,FALSE),"")</f>
        <v>3.9884035386159402</v>
      </c>
      <c r="N88" s="16">
        <f>IF(ISNUMBER(VLOOKUP($C88,'Justice Spend Total'!$C:$BA,36,FALSE)),VLOOKUP($C88,'Justice Spend Total'!$C:$BA,36,FALSE),"")</f>
        <v>0.94190115170818878</v>
      </c>
      <c r="O88" s="16">
        <f>IF(ISNUMBER(VLOOKUP($C88,'Justice Spend Total'!$C:$BA,37,FALSE)),VLOOKUP($C88,'Justice Spend Total'!$C:$BA,37,FALSE),"")</f>
        <v>0.75453555866484356</v>
      </c>
      <c r="P88" s="16">
        <f>IF(ISNUMBER(VLOOKUP($C88,'Justice Spend Total'!$C:$BA,38,FALSE)),VLOOKUP($C88,'Justice Spend Total'!$C:$BA,38,FALSE),"")</f>
        <v>9.7017207449999034</v>
      </c>
      <c r="Q88" s="15">
        <f>IF(ISNUMBER(VLOOKUP($C88,'Justice Spend Total'!$C:$BA,39,FALSE)),VLOOKUP($C88,'Justice Spend Total'!$C:$BA,39,FALSE),"")</f>
        <v>2.4493562405392</v>
      </c>
      <c r="R88" s="22">
        <f>VLOOKUP($C88,'Justice Spend Total'!$C:$BA,40,FALSE)</f>
        <v>2020</v>
      </c>
      <c r="S88" s="15" t="str">
        <f>VLOOKUP($C88,'Justice Spend Total'!$C:$BA,41,FALSE)</f>
        <v>IMF COFOG</v>
      </c>
    </row>
    <row r="89" spans="1:20">
      <c r="A89">
        <v>87</v>
      </c>
      <c r="B89" t="s">
        <v>179</v>
      </c>
      <c r="C89" t="s">
        <v>394</v>
      </c>
      <c r="D89" t="s">
        <v>485</v>
      </c>
      <c r="E89" t="s">
        <v>486</v>
      </c>
      <c r="F89" s="17">
        <f>VLOOKUP(B89,'Justice Spend Total'!$B$4:$AQ$221,10,FALSE)</f>
        <v>15.313000000000001</v>
      </c>
      <c r="G89" s="15">
        <f>VLOOKUP(C89,'Justice Spend Total'!$C$4:$AQ$221,10,FALSE)</f>
        <v>25.423362996413868</v>
      </c>
      <c r="H89">
        <f>VLOOKUP(C89,'Justice Spend Total'!$C$4:$AQ$221,7,FALSE)</f>
        <v>4740</v>
      </c>
      <c r="I89" s="17">
        <f t="shared" si="5"/>
        <v>76.802733384558096</v>
      </c>
      <c r="J89" s="17">
        <f t="shared" si="6"/>
        <v>13.546583556852422</v>
      </c>
      <c r="K89" s="17">
        <f t="shared" si="7"/>
        <v>13.53689358292047</v>
      </c>
      <c r="L89" s="17">
        <f t="shared" si="8"/>
        <v>143.09184505296145</v>
      </c>
      <c r="M89" s="16">
        <f>IF(ISNUMBER(VLOOKUP($C89,'Justice Spend Total'!$C:$BA,35,FALSE)),VLOOKUP($C89,'Justice Spend Total'!$C:$BA,35,FALSE),"")</f>
        <v>6.3733143059256383</v>
      </c>
      <c r="N89" s="16">
        <f>IF(ISNUMBER(VLOOKUP($C89,'Justice Spend Total'!$C:$BA,36,FALSE)),VLOOKUP($C89,'Justice Spend Total'!$C:$BA,36,FALSE),"")</f>
        <v>1.1241349229982398</v>
      </c>
      <c r="O89" s="16">
        <f>IF(ISNUMBER(VLOOKUP($C89,'Justice Spend Total'!$C:$BA,37,FALSE)),VLOOKUP($C89,'Justice Spend Total'!$C:$BA,37,FALSE),"")</f>
        <v>1.1233308207643347</v>
      </c>
      <c r="P89" s="16">
        <f>IF(ISNUMBER(VLOOKUP($C89,'Justice Spend Total'!$C:$BA,38,FALSE)),VLOOKUP($C89,'Justice Spend Total'!$C:$BA,38,FALSE),"")</f>
        <v>11.874177688065121</v>
      </c>
      <c r="Q89" s="15">
        <f>IF(ISNUMBER(VLOOKUP($C89,'Justice Spend Total'!$C:$BA,39,FALSE)),VLOOKUP($C89,'Justice Spend Total'!$C:$BA,39,FALSE),"")</f>
        <v>3.0188152964759798</v>
      </c>
      <c r="R89" s="22">
        <f>VLOOKUP($C89,'Justice Spend Total'!$C:$BA,40,FALSE)</f>
        <v>2020</v>
      </c>
      <c r="S89" s="15" t="str">
        <f>VLOOKUP($C89,'Justice Spend Total'!$C:$BA,41,FALSE)</f>
        <v>IMF COFOG</v>
      </c>
    </row>
    <row r="90" spans="1:20">
      <c r="A90">
        <v>88</v>
      </c>
      <c r="B90" t="s">
        <v>180</v>
      </c>
      <c r="C90" t="s">
        <v>395</v>
      </c>
      <c r="D90" t="s">
        <v>497</v>
      </c>
      <c r="E90" t="s">
        <v>486</v>
      </c>
      <c r="F90" s="17">
        <f>VLOOKUP(B90,'Justice Spend Total'!$B$4:$AQ$221,10,FALSE)</f>
        <v>706.197</v>
      </c>
      <c r="G90" s="15">
        <f>VLOOKUP(C90,'Justice Spend Total'!$C$4:$AQ$221,10,FALSE)</f>
        <v>31.330139082983958</v>
      </c>
      <c r="H90">
        <f>VLOOKUP(C90,'Justice Spend Total'!$C$4:$AQ$221,7,FALSE)</f>
        <v>4800</v>
      </c>
      <c r="I90" s="17" t="str">
        <f t="shared" si="5"/>
        <v/>
      </c>
      <c r="J90" s="17" t="str">
        <f t="shared" si="6"/>
        <v/>
      </c>
      <c r="K90" s="17" t="str">
        <f t="shared" si="7"/>
        <v/>
      </c>
      <c r="L90" s="17" t="str">
        <f t="shared" si="8"/>
        <v/>
      </c>
      <c r="M90" s="16" t="str">
        <f>IF(ISNUMBER(VLOOKUP($C90,'Justice Spend Total'!$C:$BA,35,FALSE)),VLOOKUP($C90,'Justice Spend Total'!$C:$BA,35,FALSE),"")</f>
        <v/>
      </c>
      <c r="N90" s="16" t="str">
        <f>IF(ISNUMBER(VLOOKUP($C90,'Justice Spend Total'!$C:$BA,36,FALSE)),VLOOKUP($C90,'Justice Spend Total'!$C:$BA,36,FALSE),"")</f>
        <v/>
      </c>
      <c r="O90" s="16" t="str">
        <f>IF(ISNUMBER(VLOOKUP($C90,'Justice Spend Total'!$C:$BA,37,FALSE)),VLOOKUP($C90,'Justice Spend Total'!$C:$BA,37,FALSE),"")</f>
        <v/>
      </c>
      <c r="P90" s="16" t="str">
        <f>IF(ISNUMBER(VLOOKUP($C90,'Justice Spend Total'!$C:$BA,38,FALSE)),VLOOKUP($C90,'Justice Spend Total'!$C:$BA,38,FALSE),"")</f>
        <v/>
      </c>
      <c r="Q90" s="15" t="str">
        <f>IF(ISNUMBER(VLOOKUP($C90,'Justice Spend Total'!$C:$BA,39,FALSE)),VLOOKUP($C90,'Justice Spend Total'!$C:$BA,39,FALSE),"")</f>
        <v/>
      </c>
      <c r="R90" s="22" t="str">
        <f>VLOOKUP($C90,'Justice Spend Total'!$C:$BA,40,FALSE)</f>
        <v xml:space="preserve"> </v>
      </c>
      <c r="S90" s="15" t="str">
        <f>VLOOKUP($C90,'Justice Spend Total'!$C:$BA,41,FALSE)</f>
        <v xml:space="preserve"> </v>
      </c>
    </row>
    <row r="91" spans="1:20">
      <c r="A91">
        <v>89</v>
      </c>
      <c r="B91" t="s">
        <v>181</v>
      </c>
      <c r="C91" t="s">
        <v>396</v>
      </c>
      <c r="D91" t="s">
        <v>493</v>
      </c>
      <c r="E91" t="s">
        <v>486</v>
      </c>
      <c r="F91" s="17">
        <f>VLOOKUP(B91,'Justice Spend Total'!$B$4:$AQ$221,10,FALSE)</f>
        <v>1.905</v>
      </c>
      <c r="G91" s="15">
        <f>VLOOKUP(C91,'Justice Spend Total'!$C$4:$AQ$221,10,FALSE)</f>
        <v>19.761410788381742</v>
      </c>
      <c r="H91">
        <f>VLOOKUP(C91,'Justice Spend Total'!$C$4:$AQ$221,7,FALSE)</f>
        <v>4860</v>
      </c>
      <c r="I91" s="17" t="str">
        <f t="shared" si="5"/>
        <v/>
      </c>
      <c r="J91" s="17" t="str">
        <f t="shared" si="6"/>
        <v/>
      </c>
      <c r="K91" s="17" t="str">
        <f t="shared" si="7"/>
        <v/>
      </c>
      <c r="L91" s="17" t="str">
        <f t="shared" si="8"/>
        <v/>
      </c>
      <c r="M91" s="16" t="str">
        <f>IF(ISNUMBER(VLOOKUP($C91,'Justice Spend Total'!$C:$BA,35,FALSE)),VLOOKUP($C91,'Justice Spend Total'!$C:$BA,35,FALSE),"")</f>
        <v/>
      </c>
      <c r="N91" s="16" t="str">
        <f>IF(ISNUMBER(VLOOKUP($C91,'Justice Spend Total'!$C:$BA,36,FALSE)),VLOOKUP($C91,'Justice Spend Total'!$C:$BA,36,FALSE),"")</f>
        <v/>
      </c>
      <c r="O91" s="16" t="str">
        <f>IF(ISNUMBER(VLOOKUP($C91,'Justice Spend Total'!$C:$BA,37,FALSE)),VLOOKUP($C91,'Justice Spend Total'!$C:$BA,37,FALSE),"")</f>
        <v/>
      </c>
      <c r="P91" s="16" t="str">
        <f>IF(ISNUMBER(VLOOKUP($C91,'Justice Spend Total'!$C:$BA,38,FALSE)),VLOOKUP($C91,'Justice Spend Total'!$C:$BA,38,FALSE),"")</f>
        <v/>
      </c>
      <c r="Q91" s="15" t="str">
        <f>IF(ISNUMBER(VLOOKUP($C91,'Justice Spend Total'!$C:$BA,39,FALSE)),VLOOKUP($C91,'Justice Spend Total'!$C:$BA,39,FALSE),"")</f>
        <v/>
      </c>
      <c r="R91" s="22" t="str">
        <f>VLOOKUP($C91,'Justice Spend Total'!$C:$BA,40,FALSE)</f>
        <v xml:space="preserve"> </v>
      </c>
      <c r="S91" s="15" t="str">
        <f>VLOOKUP($C91,'Justice Spend Total'!$C:$BA,41,FALSE)</f>
        <v xml:space="preserve"> </v>
      </c>
    </row>
    <row r="92" spans="1:20">
      <c r="A92">
        <v>90</v>
      </c>
      <c r="B92" t="s">
        <v>182</v>
      </c>
      <c r="C92" t="s">
        <v>397</v>
      </c>
      <c r="D92" t="s">
        <v>485</v>
      </c>
      <c r="E92" t="s">
        <v>486</v>
      </c>
      <c r="F92" s="17">
        <f>VLOOKUP(B92,'Justice Spend Total'!$B$4:$AQ$221,10,FALSE)</f>
        <v>33.896999999999998</v>
      </c>
      <c r="G92" s="15">
        <f>VLOOKUP(C92,'Justice Spend Total'!$C$4:$AQ$221,10,FALSE)</f>
        <v>36.504124577311593</v>
      </c>
      <c r="H92">
        <f>VLOOKUP(C92,'Justice Spend Total'!$C$4:$AQ$221,7,FALSE)</f>
        <v>4880</v>
      </c>
      <c r="I92" s="17">
        <f t="shared" si="5"/>
        <v>70.843726570952114</v>
      </c>
      <c r="J92" s="17">
        <f t="shared" si="6"/>
        <v>7.9668653734849499</v>
      </c>
      <c r="K92" s="17">
        <f t="shared" si="7"/>
        <v>0</v>
      </c>
      <c r="L92" s="17">
        <f t="shared" si="8"/>
        <v>102.12722934641636</v>
      </c>
      <c r="M92" s="16">
        <f>IF(ISNUMBER(VLOOKUP($C92,'Justice Spend Total'!$C:$BA,35,FALSE)),VLOOKUP($C92,'Justice Spend Total'!$C:$BA,35,FALSE),"")</f>
        <v>3.9768539178266851</v>
      </c>
      <c r="N92" s="16">
        <f>IF(ISNUMBER(VLOOKUP($C92,'Justice Spend Total'!$C:$BA,36,FALSE)),VLOOKUP($C92,'Justice Spend Total'!$C:$BA,36,FALSE),"")</f>
        <v>0.44722463522030914</v>
      </c>
      <c r="O92" s="16">
        <f>IF(ISNUMBER(VLOOKUP($C92,'Justice Spend Total'!$C:$BA,37,FALSE)),VLOOKUP($C92,'Justice Spend Total'!$C:$BA,37,FALSE),"")</f>
        <v>0</v>
      </c>
      <c r="P92" s="16">
        <f>IF(ISNUMBER(VLOOKUP($C92,'Justice Spend Total'!$C:$BA,38,FALSE)),VLOOKUP($C92,'Justice Spend Total'!$C:$BA,38,FALSE),"")</f>
        <v>5.732971595393332</v>
      </c>
      <c r="Q92" s="15">
        <f>IF(ISNUMBER(VLOOKUP($C92,'Justice Spend Total'!$C:$BA,39,FALSE)),VLOOKUP($C92,'Justice Spend Total'!$C:$BA,39,FALSE),"")</f>
        <v>2.09277109316427</v>
      </c>
      <c r="R92" s="22">
        <f>VLOOKUP($C92,'Justice Spend Total'!$C:$BA,40,FALSE)</f>
        <v>2019</v>
      </c>
      <c r="S92" s="15" t="str">
        <f>VLOOKUP($C92,'Justice Spend Total'!$C:$BA,41,FALSE)</f>
        <v>IMF COFOG</v>
      </c>
    </row>
    <row r="93" spans="1:20">
      <c r="A93">
        <v>91</v>
      </c>
      <c r="B93" t="s">
        <v>183</v>
      </c>
      <c r="C93" t="s">
        <v>398</v>
      </c>
      <c r="D93" t="s">
        <v>497</v>
      </c>
      <c r="E93" t="s">
        <v>486</v>
      </c>
      <c r="F93" s="17">
        <f>VLOOKUP(B93,'Justice Spend Total'!$B$4:$AQ$221,10,FALSE)</f>
        <v>82.186000000000007</v>
      </c>
      <c r="G93" s="15">
        <f>VLOOKUP(C93,'Justice Spend Total'!$C$4:$AQ$221,10,FALSE)</f>
        <v>12.395274514624241</v>
      </c>
      <c r="H93">
        <f>VLOOKUP(C93,'Justice Spend Total'!$C$4:$AQ$221,7,FALSE)</f>
        <v>4940</v>
      </c>
      <c r="I93" s="17">
        <f t="shared" si="5"/>
        <v>37.766367877949371</v>
      </c>
      <c r="J93" s="17">
        <f t="shared" si="6"/>
        <v>27.759423779206092</v>
      </c>
      <c r="K93" s="17">
        <f t="shared" si="7"/>
        <v>4.2457109726031099</v>
      </c>
      <c r="L93" s="17">
        <f t="shared" si="8"/>
        <v>91.415425354801158</v>
      </c>
      <c r="M93" s="16">
        <f>IF(ISNUMBER(VLOOKUP($C93,'Justice Spend Total'!$C:$BA,35,FALSE)),VLOOKUP($C93,'Justice Spend Total'!$C:$BA,35,FALSE),"")</f>
        <v>6.1676840891710878</v>
      </c>
      <c r="N93" s="16">
        <f>IF(ISNUMBER(VLOOKUP($C93,'Justice Spend Total'!$C:$BA,36,FALSE)),VLOOKUP($C93,'Justice Spend Total'!$C:$BA,36,FALSE),"")</f>
        <v>4.5334345341568323</v>
      </c>
      <c r="O93" s="16">
        <f>IF(ISNUMBER(VLOOKUP($C93,'Justice Spend Total'!$C:$BA,37,FALSE)),VLOOKUP($C93,'Justice Spend Total'!$C:$BA,37,FALSE),"")</f>
        <v>0.69337364126648326</v>
      </c>
      <c r="P93" s="16">
        <f>IF(ISNUMBER(VLOOKUP($C93,'Justice Spend Total'!$C:$BA,38,FALSE)),VLOOKUP($C93,'Justice Spend Total'!$C:$BA,38,FALSE),"")</f>
        <v>14.929194840439303</v>
      </c>
      <c r="Q93" s="15">
        <f>IF(ISNUMBER(VLOOKUP($C93,'Justice Spend Total'!$C:$BA,39,FALSE)),VLOOKUP($C93,'Justice Spend Total'!$C:$BA,39,FALSE),"")</f>
        <v>1.8505146832955699</v>
      </c>
      <c r="R93" s="22">
        <f>VLOOKUP($C93,'Justice Spend Total'!$C:$BA,40,FALSE)</f>
        <v>2020</v>
      </c>
      <c r="S93" s="15" t="str">
        <f>VLOOKUP($C93,'Justice Spend Total'!$C:$BA,41,FALSE)</f>
        <v>IMF COFOG</v>
      </c>
    </row>
    <row r="94" spans="1:20">
      <c r="A94">
        <v>92</v>
      </c>
      <c r="B94" t="s">
        <v>184</v>
      </c>
      <c r="C94" t="s">
        <v>399</v>
      </c>
      <c r="D94" t="s">
        <v>485</v>
      </c>
      <c r="E94" t="s">
        <v>486</v>
      </c>
      <c r="F94" s="17">
        <f>VLOOKUP(B94,'Justice Spend Total'!$B$4:$AQ$221,10,FALSE)</f>
        <v>2.194</v>
      </c>
      <c r="G94" s="15">
        <f>VLOOKUP(C94,'Justice Spend Total'!$C$4:$AQ$221,10,FALSE)</f>
        <v>28.728558334424513</v>
      </c>
      <c r="H94">
        <f>VLOOKUP(C94,'Justice Spend Total'!$C$4:$AQ$221,7,FALSE)</f>
        <v>4970</v>
      </c>
      <c r="I94" s="17">
        <f t="shared" si="5"/>
        <v>70.960268596334899</v>
      </c>
      <c r="J94" s="17">
        <f t="shared" si="6"/>
        <v>36.989166064429163</v>
      </c>
      <c r="K94" s="17">
        <f t="shared" si="7"/>
        <v>10.565517718275846</v>
      </c>
      <c r="L94" s="17">
        <f t="shared" si="8"/>
        <v>134.36534966867922</v>
      </c>
      <c r="M94" s="16">
        <f>IF(ISNUMBER(VLOOKUP($C94,'Justice Spend Total'!$C:$BA,35,FALSE)),VLOOKUP($C94,'Justice Spend Total'!$C:$BA,35,FALSE),"")</f>
        <v>4.9698700064581613</v>
      </c>
      <c r="N94" s="16">
        <f>IF(ISNUMBER(VLOOKUP($C94,'Justice Spend Total'!$C:$BA,36,FALSE)),VLOOKUP($C94,'Justice Spend Total'!$C:$BA,36,FALSE),"")</f>
        <v>2.5906236070391859</v>
      </c>
      <c r="O94" s="16">
        <f>IF(ISNUMBER(VLOOKUP($C94,'Justice Spend Total'!$C:$BA,37,FALSE)),VLOOKUP($C94,'Justice Spend Total'!$C:$BA,37,FALSE),"")</f>
        <v>0.73998098724042183</v>
      </c>
      <c r="P94" s="16">
        <f>IF(ISNUMBER(VLOOKUP($C94,'Justice Spend Total'!$C:$BA,38,FALSE)),VLOOKUP($C94,'Justice Spend Total'!$C:$BA,38,FALSE),"")</f>
        <v>9.4105946106878555</v>
      </c>
      <c r="Q94" s="15">
        <f>IF(ISNUMBER(VLOOKUP($C94,'Justice Spend Total'!$C:$BA,39,FALSE)),VLOOKUP($C94,'Justice Spend Total'!$C:$BA,39,FALSE),"")</f>
        <v>2.7035281623476699</v>
      </c>
      <c r="R94" s="22">
        <f>VLOOKUP($C94,'Justice Spend Total'!$C:$BA,40,FALSE)</f>
        <v>2021</v>
      </c>
      <c r="S94" s="15" t="str">
        <f>VLOOKUP($C94,'Justice Spend Total'!$C:$BA,41,FALSE)</f>
        <v>IMF COFOG</v>
      </c>
    </row>
    <row r="95" spans="1:20">
      <c r="A95">
        <v>93</v>
      </c>
      <c r="B95" t="s">
        <v>185</v>
      </c>
      <c r="C95" t="s">
        <v>400</v>
      </c>
      <c r="D95" t="s">
        <v>487</v>
      </c>
      <c r="E95" t="s">
        <v>486</v>
      </c>
      <c r="F95" s="17">
        <f>VLOOKUP(B95,'Justice Spend Total'!$B$4:$AQ$221,10,FALSE)</f>
        <v>63166.239999999998</v>
      </c>
      <c r="G95" s="15">
        <f>VLOOKUP(C95,'Justice Spend Total'!$C$4:$AQ$221,10,FALSE)</f>
        <v>31.297055523399468</v>
      </c>
      <c r="H95">
        <f>VLOOKUP(C95,'Justice Spend Total'!$C$4:$AQ$221,7,FALSE)</f>
        <v>5040</v>
      </c>
      <c r="I95" s="17" t="str">
        <f t="shared" si="5"/>
        <v/>
      </c>
      <c r="J95" s="17" t="str">
        <f t="shared" si="6"/>
        <v/>
      </c>
      <c r="K95" s="17" t="str">
        <f t="shared" si="7"/>
        <v/>
      </c>
      <c r="L95" s="17" t="str">
        <f t="shared" si="8"/>
        <v/>
      </c>
      <c r="M95" s="16" t="str">
        <f>IF(ISNUMBER(VLOOKUP($C95,'Justice Spend Total'!$C:$BA,35,FALSE)),VLOOKUP($C95,'Justice Spend Total'!$C:$BA,35,FALSE),"")</f>
        <v/>
      </c>
      <c r="N95" s="16" t="str">
        <f>IF(ISNUMBER(VLOOKUP($C95,'Justice Spend Total'!$C:$BA,36,FALSE)),VLOOKUP($C95,'Justice Spend Total'!$C:$BA,36,FALSE),"")</f>
        <v/>
      </c>
      <c r="O95" s="16" t="str">
        <f>IF(ISNUMBER(VLOOKUP($C95,'Justice Spend Total'!$C:$BA,37,FALSE)),VLOOKUP($C95,'Justice Spend Total'!$C:$BA,37,FALSE),"")</f>
        <v/>
      </c>
      <c r="P95" s="16" t="str">
        <f>IF(ISNUMBER(VLOOKUP($C95,'Justice Spend Total'!$C:$BA,38,FALSE)),VLOOKUP($C95,'Justice Spend Total'!$C:$BA,38,FALSE),"")</f>
        <v/>
      </c>
      <c r="Q95" s="15" t="str">
        <f>IF(ISNUMBER(VLOOKUP($C95,'Justice Spend Total'!$C:$BA,39,FALSE)),VLOOKUP($C95,'Justice Spend Total'!$C:$BA,39,FALSE),"")</f>
        <v/>
      </c>
      <c r="R95" s="22" t="str">
        <f>VLOOKUP($C95,'Justice Spend Total'!$C:$BA,40,FALSE)</f>
        <v xml:space="preserve"> </v>
      </c>
      <c r="S95" s="15" t="str">
        <f>VLOOKUP($C95,'Justice Spend Total'!$C:$BA,41,FALSE)</f>
        <v xml:space="preserve"> </v>
      </c>
    </row>
    <row r="96" spans="1:20">
      <c r="A96">
        <v>94</v>
      </c>
      <c r="B96" t="s">
        <v>186</v>
      </c>
      <c r="C96" t="s">
        <v>401</v>
      </c>
      <c r="D96" t="s">
        <v>493</v>
      </c>
      <c r="E96" t="s">
        <v>486</v>
      </c>
      <c r="F96" s="17">
        <f>VLOOKUP(B96,'Justice Spend Total'!$B$4:$AQ$221,10,FALSE)</f>
        <v>0.17100000000000001</v>
      </c>
      <c r="G96" s="15">
        <f>VLOOKUP(C96,'Justice Spend Total'!$C$4:$AQ$221,10,FALSE)</f>
        <v>70.081967213114766</v>
      </c>
      <c r="H96">
        <f>VLOOKUP(C96,'Justice Spend Total'!$C$4:$AQ$221,7,FALSE)</f>
        <v>5050</v>
      </c>
      <c r="I96" s="17">
        <f t="shared" si="5"/>
        <v>0</v>
      </c>
      <c r="J96" s="17">
        <f t="shared" si="6"/>
        <v>141.01796227251521</v>
      </c>
      <c r="K96" s="17">
        <f t="shared" si="7"/>
        <v>0</v>
      </c>
      <c r="L96" s="17">
        <f t="shared" si="8"/>
        <v>176.57202622703048</v>
      </c>
      <c r="M96" s="16">
        <f>IF(ISNUMBER(VLOOKUP($C96,'Justice Spend Total'!$C:$BA,35,FALSE)),VLOOKUP($C96,'Justice Spend Total'!$C:$BA,35,FALSE),"")</f>
        <v>0</v>
      </c>
      <c r="N96" s="16">
        <f>IF(ISNUMBER(VLOOKUP($C96,'Justice Spend Total'!$C:$BA,36,FALSE)),VLOOKUP($C96,'Justice Spend Total'!$C:$BA,36,FALSE),"")</f>
        <v>3.9845269867979511</v>
      </c>
      <c r="O96" s="16">
        <f>IF(ISNUMBER(VLOOKUP($C96,'Justice Spend Total'!$C:$BA,37,FALSE)),VLOOKUP($C96,'Justice Spend Total'!$C:$BA,37,FALSE),"")</f>
        <v>0</v>
      </c>
      <c r="P96" s="16">
        <f>IF(ISNUMBER(VLOOKUP($C96,'Justice Spend Total'!$C:$BA,38,FALSE)),VLOOKUP($C96,'Justice Spend Total'!$C:$BA,38,FALSE),"")</f>
        <v>4.9891233164721704</v>
      </c>
      <c r="Q96" s="15">
        <f>IF(ISNUMBER(VLOOKUP($C96,'Justice Spend Total'!$C:$BA,39,FALSE)),VLOOKUP($C96,'Justice Spend Total'!$C:$BA,39,FALSE),"")</f>
        <v>3.4964757668718902</v>
      </c>
      <c r="R96" s="22">
        <f>VLOOKUP($C96,'Justice Spend Total'!$C:$BA,40,FALSE)</f>
        <v>2019</v>
      </c>
      <c r="S96" s="15" t="str">
        <f>VLOOKUP($C96,'Justice Spend Total'!$C:$BA,41,FALSE)</f>
        <v>IMF COFOG</v>
      </c>
    </row>
    <row r="97" spans="1:19">
      <c r="A97">
        <v>95</v>
      </c>
      <c r="B97" t="s">
        <v>187</v>
      </c>
      <c r="C97" t="s">
        <v>402</v>
      </c>
      <c r="D97" t="s">
        <v>493</v>
      </c>
      <c r="E97" t="s">
        <v>486</v>
      </c>
      <c r="F97" s="17">
        <f>VLOOKUP(B97,'Justice Spend Total'!$B$4:$AQ$221,10,FALSE)</f>
        <v>0.495</v>
      </c>
      <c r="G97" s="15">
        <f>VLOOKUP(C97,'Justice Spend Total'!$C$4:$AQ$221,10,FALSE)</f>
        <v>43.844109831709474</v>
      </c>
      <c r="H97">
        <f>VLOOKUP(C97,'Justice Spend Total'!$C$4:$AQ$221,7,FALSE)</f>
        <v>5190</v>
      </c>
      <c r="I97" s="17" t="str">
        <f t="shared" si="5"/>
        <v/>
      </c>
      <c r="J97" s="17" t="str">
        <f t="shared" si="6"/>
        <v/>
      </c>
      <c r="K97" s="17" t="str">
        <f t="shared" si="7"/>
        <v/>
      </c>
      <c r="L97" s="17" t="str">
        <f t="shared" si="8"/>
        <v/>
      </c>
      <c r="M97" s="16" t="str">
        <f>IF(ISNUMBER(VLOOKUP($C97,'Justice Spend Total'!$C:$BA,35,FALSE)),VLOOKUP($C97,'Justice Spend Total'!$C:$BA,35,FALSE),"")</f>
        <v/>
      </c>
      <c r="N97" s="16" t="str">
        <f>IF(ISNUMBER(VLOOKUP($C97,'Justice Spend Total'!$C:$BA,36,FALSE)),VLOOKUP($C97,'Justice Spend Total'!$C:$BA,36,FALSE),"")</f>
        <v/>
      </c>
      <c r="O97" s="16" t="str">
        <f>IF(ISNUMBER(VLOOKUP($C97,'Justice Spend Total'!$C:$BA,37,FALSE)),VLOOKUP($C97,'Justice Spend Total'!$C:$BA,37,FALSE),"")</f>
        <v/>
      </c>
      <c r="P97" s="16" t="str">
        <f>IF(ISNUMBER(VLOOKUP($C97,'Justice Spend Total'!$C:$BA,38,FALSE)),VLOOKUP($C97,'Justice Spend Total'!$C:$BA,38,FALSE),"")</f>
        <v/>
      </c>
      <c r="Q97" s="15" t="str">
        <f>IF(ISNUMBER(VLOOKUP($C97,'Justice Spend Total'!$C:$BA,39,FALSE)),VLOOKUP($C97,'Justice Spend Total'!$C:$BA,39,FALSE),"")</f>
        <v/>
      </c>
      <c r="R97" s="22" t="str">
        <f>VLOOKUP($C97,'Justice Spend Total'!$C:$BA,40,FALSE)</f>
        <v xml:space="preserve"> </v>
      </c>
      <c r="S97" s="15" t="str">
        <f>VLOOKUP($C97,'Justice Spend Total'!$C:$BA,41,FALSE)</f>
        <v xml:space="preserve"> </v>
      </c>
    </row>
    <row r="98" spans="1:19">
      <c r="A98">
        <v>96</v>
      </c>
      <c r="B98" t="s">
        <v>188</v>
      </c>
      <c r="C98" t="s">
        <v>403</v>
      </c>
      <c r="D98" t="s">
        <v>497</v>
      </c>
      <c r="E98" t="s">
        <v>486</v>
      </c>
      <c r="F98" s="17">
        <f>VLOOKUP(B98,'Justice Spend Total'!$B$4:$AQ$221,10,FALSE)</f>
        <v>50580.11</v>
      </c>
      <c r="G98" s="15">
        <f>VLOOKUP(C98,'Justice Spend Total'!$C$4:$AQ$221,10,FALSE)</f>
        <v>19.151660526385538</v>
      </c>
      <c r="H98">
        <f>VLOOKUP(C98,'Justice Spend Total'!$C$4:$AQ$221,7,FALSE)</f>
        <v>5340</v>
      </c>
      <c r="I98" s="17" t="str">
        <f t="shared" si="5"/>
        <v/>
      </c>
      <c r="J98" s="17" t="str">
        <f t="shared" si="6"/>
        <v/>
      </c>
      <c r="K98" s="17" t="str">
        <f t="shared" si="7"/>
        <v/>
      </c>
      <c r="L98" s="17" t="str">
        <f t="shared" si="8"/>
        <v/>
      </c>
      <c r="M98" s="16" t="str">
        <f>IF(ISNUMBER(VLOOKUP($C98,'Justice Spend Total'!$C:$BA,35,FALSE)),VLOOKUP($C98,'Justice Spend Total'!$C:$BA,35,FALSE),"")</f>
        <v/>
      </c>
      <c r="N98" s="16" t="str">
        <f>IF(ISNUMBER(VLOOKUP($C98,'Justice Spend Total'!$C:$BA,36,FALSE)),VLOOKUP($C98,'Justice Spend Total'!$C:$BA,36,FALSE),"")</f>
        <v/>
      </c>
      <c r="O98" s="16" t="str">
        <f>IF(ISNUMBER(VLOOKUP($C98,'Justice Spend Total'!$C:$BA,37,FALSE)),VLOOKUP($C98,'Justice Spend Total'!$C:$BA,37,FALSE),"")</f>
        <v/>
      </c>
      <c r="P98" s="16" t="str">
        <f>IF(ISNUMBER(VLOOKUP($C98,'Justice Spend Total'!$C:$BA,38,FALSE)),VLOOKUP($C98,'Justice Spend Total'!$C:$BA,38,FALSE),"")</f>
        <v/>
      </c>
      <c r="Q98" s="15" t="str">
        <f>IF(ISNUMBER(VLOOKUP($C98,'Justice Spend Total'!$C:$BA,39,FALSE)),VLOOKUP($C98,'Justice Spend Total'!$C:$BA,39,FALSE),"")</f>
        <v/>
      </c>
      <c r="R98" s="22" t="str">
        <f>VLOOKUP($C98,'Justice Spend Total'!$C:$BA,40,FALSE)</f>
        <v xml:space="preserve"> </v>
      </c>
      <c r="S98" s="15" t="str">
        <f>VLOOKUP($C98,'Justice Spend Total'!$C:$BA,41,FALSE)</f>
        <v xml:space="preserve"> </v>
      </c>
    </row>
    <row r="99" spans="1:19">
      <c r="A99">
        <v>97</v>
      </c>
      <c r="B99" t="s">
        <v>189</v>
      </c>
      <c r="C99" t="s">
        <v>404</v>
      </c>
      <c r="D99" t="s">
        <v>485</v>
      </c>
      <c r="E99" t="s">
        <v>486</v>
      </c>
      <c r="F99" s="17">
        <f>VLOOKUP(B99,'Justice Spend Total'!$B$4:$AQ$221,10,FALSE)</f>
        <v>77.373000000000005</v>
      </c>
      <c r="G99" s="15">
        <f>VLOOKUP(C99,'Justice Spend Total'!$C$4:$AQ$221,10,FALSE)</f>
        <v>31.989366232413147</v>
      </c>
      <c r="H99">
        <f>VLOOKUP(C99,'Justice Spend Total'!$C$4:$AQ$221,7,FALSE)</f>
        <v>5460</v>
      </c>
      <c r="I99" s="17">
        <f t="shared" si="5"/>
        <v>75.549199022940556</v>
      </c>
      <c r="J99" s="17">
        <f t="shared" si="6"/>
        <v>25.888407821052613</v>
      </c>
      <c r="K99" s="17">
        <f t="shared" si="7"/>
        <v>14.886177117642831</v>
      </c>
      <c r="L99" s="17">
        <f t="shared" si="8"/>
        <v>130.75496100534613</v>
      </c>
      <c r="M99" s="16">
        <f>IF(ISNUMBER(VLOOKUP($C99,'Justice Spend Total'!$C:$BA,35,FALSE)),VLOOKUP($C99,'Justice Spend Total'!$C:$BA,35,FALSE),"")</f>
        <v>4.3254528824897589</v>
      </c>
      <c r="N99" s="16">
        <f>IF(ISNUMBER(VLOOKUP($C99,'Justice Spend Total'!$C:$BA,36,FALSE)),VLOOKUP($C99,'Justice Spend Total'!$C:$BA,36,FALSE),"")</f>
        <v>1.4822008662016382</v>
      </c>
      <c r="O99" s="16">
        <f>IF(ISNUMBER(VLOOKUP($C99,'Justice Spend Total'!$C:$BA,37,FALSE)),VLOOKUP($C99,'Justice Spend Total'!$C:$BA,37,FALSE),"")</f>
        <v>0.85228511427645148</v>
      </c>
      <c r="P99" s="16">
        <f>IF(ISNUMBER(VLOOKUP($C99,'Justice Spend Total'!$C:$BA,38,FALSE)),VLOOKUP($C99,'Justice Spend Total'!$C:$BA,38,FALSE),"")</f>
        <v>7.4861736496858624</v>
      </c>
      <c r="Q99" s="15">
        <f>IF(ISNUMBER(VLOOKUP($C99,'Justice Spend Total'!$C:$BA,39,FALSE)),VLOOKUP($C99,'Justice Spend Total'!$C:$BA,39,FALSE),"")</f>
        <v>2.3947795055924201</v>
      </c>
      <c r="R99" s="22">
        <f>VLOOKUP($C99,'Justice Spend Total'!$C:$BA,40,FALSE)</f>
        <v>2020</v>
      </c>
      <c r="S99" s="15" t="str">
        <f>VLOOKUP($C99,'Justice Spend Total'!$C:$BA,41,FALSE)</f>
        <v>IMF COFOG</v>
      </c>
    </row>
    <row r="100" spans="1:19">
      <c r="A100">
        <v>98</v>
      </c>
      <c r="B100" t="s">
        <v>190</v>
      </c>
      <c r="C100" t="s">
        <v>405</v>
      </c>
      <c r="D100" t="s">
        <v>496</v>
      </c>
      <c r="E100" t="s">
        <v>486</v>
      </c>
      <c r="F100" s="17">
        <f>VLOOKUP(B100,'Justice Spend Total'!$B$4:$AQ$221,10,FALSE)</f>
        <v>819.73299999999995</v>
      </c>
      <c r="G100" s="15">
        <f>VLOOKUP(C100,'Justice Spend Total'!$C$4:$AQ$221,10,FALSE)</f>
        <v>14.210653140190416</v>
      </c>
      <c r="H100">
        <f>VLOOKUP(C100,'Justice Spend Total'!$C$4:$AQ$221,7,FALSE)</f>
        <v>5810</v>
      </c>
      <c r="I100" s="17" t="str">
        <f t="shared" si="5"/>
        <v/>
      </c>
      <c r="J100" s="17" t="str">
        <f t="shared" si="6"/>
        <v/>
      </c>
      <c r="K100" s="17" t="str">
        <f t="shared" si="7"/>
        <v/>
      </c>
      <c r="L100" s="17" t="str">
        <f t="shared" si="8"/>
        <v/>
      </c>
      <c r="M100" s="16" t="str">
        <f>IF(ISNUMBER(VLOOKUP($C100,'Justice Spend Total'!$C:$BA,35,FALSE)),VLOOKUP($C100,'Justice Spend Total'!$C:$BA,35,FALSE),"")</f>
        <v/>
      </c>
      <c r="N100" s="16" t="str">
        <f>IF(ISNUMBER(VLOOKUP($C100,'Justice Spend Total'!$C:$BA,36,FALSE)),VLOOKUP($C100,'Justice Spend Total'!$C:$BA,36,FALSE),"")</f>
        <v/>
      </c>
      <c r="O100" s="16" t="str">
        <f>IF(ISNUMBER(VLOOKUP($C100,'Justice Spend Total'!$C:$BA,37,FALSE)),VLOOKUP($C100,'Justice Spend Total'!$C:$BA,37,FALSE),"")</f>
        <v/>
      </c>
      <c r="P100" s="16" t="str">
        <f>IF(ISNUMBER(VLOOKUP($C100,'Justice Spend Total'!$C:$BA,38,FALSE)),VLOOKUP($C100,'Justice Spend Total'!$C:$BA,38,FALSE),"")</f>
        <v/>
      </c>
      <c r="Q100" s="15" t="str">
        <f>IF(ISNUMBER(VLOOKUP($C100,'Justice Spend Total'!$C:$BA,39,FALSE)),VLOOKUP($C100,'Justice Spend Total'!$C:$BA,39,FALSE),"")</f>
        <v/>
      </c>
      <c r="R100" s="22" t="str">
        <f>VLOOKUP($C100,'Justice Spend Total'!$C:$BA,40,FALSE)</f>
        <v xml:space="preserve"> </v>
      </c>
      <c r="S100" s="15" t="str">
        <f>VLOOKUP($C100,'Justice Spend Total'!$C:$BA,41,FALSE)</f>
        <v xml:space="preserve"> </v>
      </c>
    </row>
    <row r="101" spans="1:19">
      <c r="A101">
        <v>99</v>
      </c>
      <c r="B101" t="s">
        <v>191</v>
      </c>
      <c r="C101" t="s">
        <v>406</v>
      </c>
      <c r="D101" t="s">
        <v>497</v>
      </c>
      <c r="E101" t="s">
        <v>486</v>
      </c>
      <c r="F101" s="17">
        <f>VLOOKUP(B101,'Justice Spend Total'!$B$4:$AQ$221,10,FALSE)</f>
        <v>29.408000000000001</v>
      </c>
      <c r="G101" s="15">
        <f>VLOOKUP(C101,'Justice Spend Total'!$C$4:$AQ$221,10,FALSE)</f>
        <v>29.617991560161549</v>
      </c>
      <c r="H101">
        <f>VLOOKUP(C101,'Justice Spend Total'!$C$4:$AQ$221,7,FALSE)</f>
        <v>5930</v>
      </c>
      <c r="I101" s="17" t="str">
        <f t="shared" si="5"/>
        <v/>
      </c>
      <c r="J101" s="17" t="str">
        <f t="shared" si="6"/>
        <v/>
      </c>
      <c r="K101" s="17" t="str">
        <f t="shared" si="7"/>
        <v/>
      </c>
      <c r="L101" s="17" t="str">
        <f t="shared" si="8"/>
        <v/>
      </c>
      <c r="M101" s="16" t="str">
        <f>IF(ISNUMBER(VLOOKUP($C101,'Justice Spend Total'!$C:$BA,35,FALSE)),VLOOKUP($C101,'Justice Spend Total'!$C:$BA,35,FALSE),"")</f>
        <v/>
      </c>
      <c r="N101" s="16" t="str">
        <f>IF(ISNUMBER(VLOOKUP($C101,'Justice Spend Total'!$C:$BA,36,FALSE)),VLOOKUP($C101,'Justice Spend Total'!$C:$BA,36,FALSE),"")</f>
        <v/>
      </c>
      <c r="O101" s="16" t="str">
        <f>IF(ISNUMBER(VLOOKUP($C101,'Justice Spend Total'!$C:$BA,37,FALSE)),VLOOKUP($C101,'Justice Spend Total'!$C:$BA,37,FALSE),"")</f>
        <v/>
      </c>
      <c r="P101" s="16" t="str">
        <f>IF(ISNUMBER(VLOOKUP($C101,'Justice Spend Total'!$C:$BA,38,FALSE)),VLOOKUP($C101,'Justice Spend Total'!$C:$BA,38,FALSE),"")</f>
        <v/>
      </c>
      <c r="Q101" s="15" t="str">
        <f>IF(ISNUMBER(VLOOKUP($C101,'Justice Spend Total'!$C:$BA,39,FALSE)),VLOOKUP($C101,'Justice Spend Total'!$C:$BA,39,FALSE),"")</f>
        <v/>
      </c>
      <c r="R101" s="22" t="str">
        <f>VLOOKUP($C101,'Justice Spend Total'!$C:$BA,40,FALSE)</f>
        <v xml:space="preserve"> </v>
      </c>
      <c r="S101" s="15" t="str">
        <f>VLOOKUP($C101,'Justice Spend Total'!$C:$BA,41,FALSE)</f>
        <v xml:space="preserve"> </v>
      </c>
    </row>
    <row r="102" spans="1:19">
      <c r="A102">
        <v>100</v>
      </c>
      <c r="B102" t="s">
        <v>192</v>
      </c>
      <c r="C102" t="s">
        <v>407</v>
      </c>
      <c r="D102" t="s">
        <v>485</v>
      </c>
      <c r="E102" t="s">
        <v>486</v>
      </c>
      <c r="F102" s="17">
        <f>VLOOKUP(B102,'Justice Spend Total'!$B$4:$AQ$221,10,FALSE)</f>
        <v>425.90600000000001</v>
      </c>
      <c r="G102" s="15">
        <f>VLOOKUP(C102,'Justice Spend Total'!$C$4:$AQ$221,10,FALSE)</f>
        <v>25.905430392681623</v>
      </c>
      <c r="H102">
        <f>VLOOKUP(C102,'Justice Spend Total'!$C$4:$AQ$221,7,FALSE)</f>
        <v>6110</v>
      </c>
      <c r="I102" s="17">
        <f t="shared" si="5"/>
        <v>70.467426917532549</v>
      </c>
      <c r="J102" s="17">
        <f t="shared" si="6"/>
        <v>13.854880539410374</v>
      </c>
      <c r="K102" s="17">
        <f t="shared" si="7"/>
        <v>21.229994626792156</v>
      </c>
      <c r="L102" s="17">
        <f t="shared" si="8"/>
        <v>122.8722231896208</v>
      </c>
      <c r="M102" s="16">
        <f>IF(ISNUMBER(VLOOKUP($C102,'Justice Spend Total'!$C:$BA,35,FALSE)),VLOOKUP($C102,'Justice Spend Total'!$C:$BA,35,FALSE),"")</f>
        <v>4.4520126682240146</v>
      </c>
      <c r="N102" s="16">
        <f>IF(ISNUMBER(VLOOKUP($C102,'Justice Spend Total'!$C:$BA,36,FALSE)),VLOOKUP($C102,'Justice Spend Total'!$C:$BA,36,FALSE),"")</f>
        <v>0.87532788376637349</v>
      </c>
      <c r="O102" s="16">
        <f>IF(ISNUMBER(VLOOKUP($C102,'Justice Spend Total'!$C:$BA,37,FALSE)),VLOOKUP($C102,'Justice Spend Total'!$C:$BA,37,FALSE),"")</f>
        <v>1.3412750991379034</v>
      </c>
      <c r="P102" s="16">
        <f>IF(ISNUMBER(VLOOKUP($C102,'Justice Spend Total'!$C:$BA,38,FALSE)),VLOOKUP($C102,'Justice Spend Total'!$C:$BA,38,FALSE),"")</f>
        <v>7.7628589284695115</v>
      </c>
      <c r="Q102" s="15">
        <f>IF(ISNUMBER(VLOOKUP($C102,'Justice Spend Total'!$C:$BA,39,FALSE)),VLOOKUP($C102,'Justice Spend Total'!$C:$BA,39,FALSE),"")</f>
        <v>2.0110020161967399</v>
      </c>
      <c r="R102" s="22">
        <f>VLOOKUP($C102,'Justice Spend Total'!$C:$BA,40,FALSE)</f>
        <v>2020</v>
      </c>
      <c r="S102" s="15" t="str">
        <f>VLOOKUP($C102,'Justice Spend Total'!$C:$BA,41,FALSE)</f>
        <v>IMF COFOG</v>
      </c>
    </row>
    <row r="103" spans="1:19">
      <c r="A103">
        <v>101</v>
      </c>
      <c r="B103" t="s">
        <v>193</v>
      </c>
      <c r="C103" t="s">
        <v>408</v>
      </c>
      <c r="D103" t="s">
        <v>485</v>
      </c>
      <c r="E103" t="s">
        <v>486</v>
      </c>
      <c r="F103" s="17">
        <f>VLOOKUP(B103,'Justice Spend Total'!$B$4:$AQ$221,10,FALSE)</f>
        <v>218.505</v>
      </c>
      <c r="G103" s="15">
        <f>VLOOKUP(C103,'Justice Spend Total'!$C$4:$AQ$221,10,FALSE)</f>
        <v>30.21204638030634</v>
      </c>
      <c r="H103">
        <f>VLOOKUP(C103,'Justice Spend Total'!$C$4:$AQ$221,7,FALSE)</f>
        <v>6130</v>
      </c>
      <c r="I103" s="17" t="str">
        <f t="shared" si="5"/>
        <v/>
      </c>
      <c r="J103" s="17" t="str">
        <f t="shared" si="6"/>
        <v/>
      </c>
      <c r="K103" s="17" t="str">
        <f t="shared" si="7"/>
        <v/>
      </c>
      <c r="L103" s="17" t="str">
        <f t="shared" si="8"/>
        <v/>
      </c>
      <c r="M103" s="16" t="str">
        <f>IF(ISNUMBER(VLOOKUP($C103,'Justice Spend Total'!$C:$BA,35,FALSE)),VLOOKUP($C103,'Justice Spend Total'!$C:$BA,35,FALSE),"")</f>
        <v/>
      </c>
      <c r="N103" s="16" t="str">
        <f>IF(ISNUMBER(VLOOKUP($C103,'Justice Spend Total'!$C:$BA,36,FALSE)),VLOOKUP($C103,'Justice Spend Total'!$C:$BA,36,FALSE),"")</f>
        <v/>
      </c>
      <c r="O103" s="16" t="str">
        <f>IF(ISNUMBER(VLOOKUP($C103,'Justice Spend Total'!$C:$BA,37,FALSE)),VLOOKUP($C103,'Justice Spend Total'!$C:$BA,37,FALSE),"")</f>
        <v/>
      </c>
      <c r="P103" s="16" t="str">
        <f>IF(ISNUMBER(VLOOKUP($C103,'Justice Spend Total'!$C:$BA,38,FALSE)),VLOOKUP($C103,'Justice Spend Total'!$C:$BA,38,FALSE),"")</f>
        <v/>
      </c>
      <c r="Q103" s="15" t="str">
        <f>IF(ISNUMBER(VLOOKUP($C103,'Justice Spend Total'!$C:$BA,39,FALSE)),VLOOKUP($C103,'Justice Spend Total'!$C:$BA,39,FALSE),"")</f>
        <v/>
      </c>
      <c r="R103" s="22" t="str">
        <f>VLOOKUP($C103,'Justice Spend Total'!$C:$BA,40,FALSE)</f>
        <v xml:space="preserve"> </v>
      </c>
      <c r="S103" s="15" t="str">
        <f>VLOOKUP($C103,'Justice Spend Total'!$C:$BA,41,FALSE)</f>
        <v xml:space="preserve"> </v>
      </c>
    </row>
    <row r="104" spans="1:19">
      <c r="A104">
        <v>102</v>
      </c>
      <c r="B104" t="s">
        <v>194</v>
      </c>
      <c r="C104" t="s">
        <v>409</v>
      </c>
      <c r="D104" t="s">
        <v>497</v>
      </c>
      <c r="E104" t="s">
        <v>486</v>
      </c>
      <c r="F104" s="17">
        <f>VLOOKUP(B104,'Justice Spend Total'!$B$4:$AQ$221,10,FALSE)</f>
        <v>265500.87</v>
      </c>
      <c r="G104" s="15">
        <f>VLOOKUP(C104,'Justice Spend Total'!$C$4:$AQ$221,10,FALSE)</f>
        <v>26.58416790325197</v>
      </c>
      <c r="H104">
        <f>VLOOKUP(C104,'Justice Spend Total'!$C$4:$AQ$221,7,FALSE)</f>
        <v>6160</v>
      </c>
      <c r="I104" s="17" t="str">
        <f t="shared" si="5"/>
        <v/>
      </c>
      <c r="J104" s="17" t="str">
        <f t="shared" si="6"/>
        <v/>
      </c>
      <c r="K104" s="17" t="str">
        <f t="shared" si="7"/>
        <v/>
      </c>
      <c r="L104" s="17" t="str">
        <f t="shared" si="8"/>
        <v/>
      </c>
      <c r="M104" s="16" t="str">
        <f>IF(ISNUMBER(VLOOKUP($C104,'Justice Spend Total'!$C:$BA,35,FALSE)),VLOOKUP($C104,'Justice Spend Total'!$C:$BA,35,FALSE),"")</f>
        <v/>
      </c>
      <c r="N104" s="16" t="str">
        <f>IF(ISNUMBER(VLOOKUP($C104,'Justice Spend Total'!$C:$BA,36,FALSE)),VLOOKUP($C104,'Justice Spend Total'!$C:$BA,36,FALSE),"")</f>
        <v/>
      </c>
      <c r="O104" s="16" t="str">
        <f>IF(ISNUMBER(VLOOKUP($C104,'Justice Spend Total'!$C:$BA,37,FALSE)),VLOOKUP($C104,'Justice Spend Total'!$C:$BA,37,FALSE),"")</f>
        <v/>
      </c>
      <c r="P104" s="16" t="str">
        <f>IF(ISNUMBER(VLOOKUP($C104,'Justice Spend Total'!$C:$BA,38,FALSE)),VLOOKUP($C104,'Justice Spend Total'!$C:$BA,38,FALSE),"")</f>
        <v/>
      </c>
      <c r="Q104" s="15" t="str">
        <f>IF(ISNUMBER(VLOOKUP($C104,'Justice Spend Total'!$C:$BA,39,FALSE)),VLOOKUP($C104,'Justice Spend Total'!$C:$BA,39,FALSE),"")</f>
        <v/>
      </c>
      <c r="R104" s="22" t="str">
        <f>VLOOKUP($C104,'Justice Spend Total'!$C:$BA,40,FALSE)</f>
        <v xml:space="preserve"> </v>
      </c>
      <c r="S104" s="15" t="str">
        <f>VLOOKUP($C104,'Justice Spend Total'!$C:$BA,41,FALSE)</f>
        <v xml:space="preserve"> </v>
      </c>
    </row>
    <row r="105" spans="1:19">
      <c r="A105">
        <v>103</v>
      </c>
      <c r="B105" t="s">
        <v>195</v>
      </c>
      <c r="C105" t="s">
        <v>410</v>
      </c>
      <c r="D105" t="s">
        <v>496</v>
      </c>
      <c r="E105" t="s">
        <v>486</v>
      </c>
      <c r="F105" s="17">
        <f>VLOOKUP(B105,'Justice Spend Total'!$B$4:$AQ$221,10,FALSE)</f>
        <v>1652.73</v>
      </c>
      <c r="G105" s="15">
        <f>VLOOKUP(C105,'Justice Spend Total'!$C$4:$AQ$221,10,FALSE)</f>
        <v>26.745887127834834</v>
      </c>
      <c r="H105">
        <f>VLOOKUP(C105,'Justice Spend Total'!$C$4:$AQ$221,7,FALSE)</f>
        <v>6440</v>
      </c>
      <c r="I105" s="17">
        <f t="shared" si="5"/>
        <v>151.09901782225273</v>
      </c>
      <c r="J105" s="17">
        <f t="shared" si="6"/>
        <v>32.395135327409925</v>
      </c>
      <c r="K105" s="17">
        <f t="shared" si="7"/>
        <v>30.589116028813557</v>
      </c>
      <c r="L105" s="17">
        <f t="shared" si="8"/>
        <v>229.97009036631349</v>
      </c>
      <c r="M105" s="16">
        <f>IF(ISNUMBER(VLOOKUP($C105,'Justice Spend Total'!$C:$BA,35,FALSE)),VLOOKUP($C105,'Justice Spend Total'!$C:$BA,35,FALSE),"")</f>
        <v>8.7724068732662275</v>
      </c>
      <c r="N105" s="16">
        <f>IF(ISNUMBER(VLOOKUP($C105,'Justice Spend Total'!$C:$BA,36,FALSE)),VLOOKUP($C105,'Justice Spend Total'!$C:$BA,36,FALSE),"")</f>
        <v>1.8807753478640283</v>
      </c>
      <c r="O105" s="16">
        <f>IF(ISNUMBER(VLOOKUP($C105,'Justice Spend Total'!$C:$BA,37,FALSE)),VLOOKUP($C105,'Justice Spend Total'!$C:$BA,37,FALSE),"")</f>
        <v>1.7759226735276836</v>
      </c>
      <c r="P105" s="16">
        <f>IF(ISNUMBER(VLOOKUP($C105,'Justice Spend Total'!$C:$BA,38,FALSE)),VLOOKUP($C105,'Justice Spend Total'!$C:$BA,38,FALSE),"")</f>
        <v>13.35145145515299</v>
      </c>
      <c r="Q105" s="15">
        <f>IF(ISNUMBER(VLOOKUP($C105,'Justice Spend Total'!$C:$BA,39,FALSE)),VLOOKUP($C105,'Justice Spend Total'!$C:$BA,39,FALSE),"")</f>
        <v>3.5709641361228801</v>
      </c>
      <c r="R105" s="22">
        <f>VLOOKUP($C105,'Justice Spend Total'!$C:$BA,40,FALSE)</f>
        <v>2020</v>
      </c>
      <c r="S105" s="15" t="str">
        <f>VLOOKUP($C105,'Justice Spend Total'!$C:$BA,41,FALSE)</f>
        <v>IMF COFOG</v>
      </c>
    </row>
    <row r="106" spans="1:19">
      <c r="A106">
        <v>104</v>
      </c>
      <c r="B106" t="s">
        <v>196</v>
      </c>
      <c r="C106" t="s">
        <v>411</v>
      </c>
      <c r="D106" t="s">
        <v>497</v>
      </c>
      <c r="E106" t="s">
        <v>486</v>
      </c>
      <c r="F106" s="17">
        <f>VLOOKUP(B106,'Justice Spend Total'!$B$4:$AQ$221,10,FALSE)</f>
        <v>183.64400000000001</v>
      </c>
      <c r="G106" s="15">
        <f>VLOOKUP(C106,'Justice Spend Total'!$C$4:$AQ$221,10,FALSE)</f>
        <v>21.060623089114635</v>
      </c>
      <c r="H106">
        <f>VLOOKUP(C106,'Justice Spend Total'!$C$4:$AQ$221,7,FALSE)</f>
        <v>6520</v>
      </c>
      <c r="I106" s="17" t="str">
        <f t="shared" si="5"/>
        <v/>
      </c>
      <c r="J106" s="17" t="str">
        <f t="shared" si="6"/>
        <v/>
      </c>
      <c r="K106" s="17" t="str">
        <f t="shared" si="7"/>
        <v/>
      </c>
      <c r="L106" s="17" t="str">
        <f t="shared" si="8"/>
        <v/>
      </c>
      <c r="M106" s="16" t="str">
        <f>IF(ISNUMBER(VLOOKUP($C106,'Justice Spend Total'!$C:$BA,35,FALSE)),VLOOKUP($C106,'Justice Spend Total'!$C:$BA,35,FALSE),"")</f>
        <v/>
      </c>
      <c r="N106" s="16" t="str">
        <f>IF(ISNUMBER(VLOOKUP($C106,'Justice Spend Total'!$C:$BA,36,FALSE)),VLOOKUP($C106,'Justice Spend Total'!$C:$BA,36,FALSE),"")</f>
        <v/>
      </c>
      <c r="O106" s="16" t="str">
        <f>IF(ISNUMBER(VLOOKUP($C106,'Justice Spend Total'!$C:$BA,37,FALSE)),VLOOKUP($C106,'Justice Spend Total'!$C:$BA,37,FALSE),"")</f>
        <v/>
      </c>
      <c r="P106" s="16" t="str">
        <f>IF(ISNUMBER(VLOOKUP($C106,'Justice Spend Total'!$C:$BA,38,FALSE)),VLOOKUP($C106,'Justice Spend Total'!$C:$BA,38,FALSE),"")</f>
        <v/>
      </c>
      <c r="Q106" s="15" t="str">
        <f>IF(ISNUMBER(VLOOKUP($C106,'Justice Spend Total'!$C:$BA,39,FALSE)),VLOOKUP($C106,'Justice Spend Total'!$C:$BA,39,FALSE),"")</f>
        <v/>
      </c>
      <c r="R106" s="22" t="str">
        <f>VLOOKUP($C106,'Justice Spend Total'!$C:$BA,40,FALSE)</f>
        <v xml:space="preserve"> </v>
      </c>
      <c r="S106" s="15" t="str">
        <f>VLOOKUP($C106,'Justice Spend Total'!$C:$BA,41,FALSE)</f>
        <v xml:space="preserve"> </v>
      </c>
    </row>
    <row r="107" spans="1:19">
      <c r="A107">
        <v>105</v>
      </c>
      <c r="B107" t="s">
        <v>197</v>
      </c>
      <c r="C107" t="s">
        <v>412</v>
      </c>
      <c r="D107" t="s">
        <v>493</v>
      </c>
      <c r="E107" t="s">
        <v>486</v>
      </c>
      <c r="F107" s="17">
        <f>VLOOKUP(B107,'Justice Spend Total'!$B$4:$AQ$221,10,FALSE)</f>
        <v>8.6999999999999994E-2</v>
      </c>
      <c r="G107" s="15">
        <f>VLOOKUP(C107,'Justice Spend Total'!$C$4:$AQ$221,10,FALSE)</f>
        <v>111.53846153846155</v>
      </c>
      <c r="H107">
        <f>VLOOKUP(C107,'Justice Spend Total'!$C$4:$AQ$221,7,FALSE)</f>
        <v>6760</v>
      </c>
      <c r="I107" s="17" t="str">
        <f t="shared" si="5"/>
        <v/>
      </c>
      <c r="J107" s="17" t="str">
        <f t="shared" si="6"/>
        <v/>
      </c>
      <c r="K107" s="17" t="str">
        <f t="shared" si="7"/>
        <v/>
      </c>
      <c r="L107" s="17" t="str">
        <f t="shared" si="8"/>
        <v/>
      </c>
      <c r="M107" s="16" t="str">
        <f>IF(ISNUMBER(VLOOKUP($C107,'Justice Spend Total'!$C:$BA,35,FALSE)),VLOOKUP($C107,'Justice Spend Total'!$C:$BA,35,FALSE),"")</f>
        <v/>
      </c>
      <c r="N107" s="16" t="str">
        <f>IF(ISNUMBER(VLOOKUP($C107,'Justice Spend Total'!$C:$BA,36,FALSE)),VLOOKUP($C107,'Justice Spend Total'!$C:$BA,36,FALSE),"")</f>
        <v/>
      </c>
      <c r="O107" s="16" t="str">
        <f>IF(ISNUMBER(VLOOKUP($C107,'Justice Spend Total'!$C:$BA,37,FALSE)),VLOOKUP($C107,'Justice Spend Total'!$C:$BA,37,FALSE),"")</f>
        <v/>
      </c>
      <c r="P107" s="16" t="str">
        <f>IF(ISNUMBER(VLOOKUP($C107,'Justice Spend Total'!$C:$BA,38,FALSE)),VLOOKUP($C107,'Justice Spend Total'!$C:$BA,38,FALSE),"")</f>
        <v/>
      </c>
      <c r="Q107" s="15" t="str">
        <f>IF(ISNUMBER(VLOOKUP($C107,'Justice Spend Total'!$C:$BA,39,FALSE)),VLOOKUP($C107,'Justice Spend Total'!$C:$BA,39,FALSE),"")</f>
        <v/>
      </c>
      <c r="R107" s="22" t="str">
        <f>VLOOKUP($C107,'Justice Spend Total'!$C:$BA,40,FALSE)</f>
        <v xml:space="preserve"> </v>
      </c>
      <c r="S107" s="15" t="str">
        <f>VLOOKUP($C107,'Justice Spend Total'!$C:$BA,41,FALSE)</f>
        <v xml:space="preserve"> </v>
      </c>
    </row>
    <row r="108" spans="1:19">
      <c r="A108">
        <v>106</v>
      </c>
      <c r="B108" t="s">
        <v>198</v>
      </c>
      <c r="C108" t="s">
        <v>413</v>
      </c>
      <c r="D108" t="s">
        <v>485</v>
      </c>
      <c r="E108" t="s">
        <v>486</v>
      </c>
      <c r="F108" s="17">
        <f>VLOOKUP(B108,'Justice Spend Total'!$B$4:$AQ$221,10,FALSE)</f>
        <v>14.138999999999999</v>
      </c>
      <c r="G108" s="15">
        <f>VLOOKUP(C108,'Justice Spend Total'!$C$4:$AQ$221,10,FALSE)</f>
        <v>41.275726171361839</v>
      </c>
      <c r="H108">
        <f>VLOOKUP(C108,'Justice Spend Total'!$C$4:$AQ$221,7,FALSE)</f>
        <v>6770</v>
      </c>
      <c r="I108" s="17" t="str">
        <f t="shared" si="5"/>
        <v/>
      </c>
      <c r="J108" s="17" t="str">
        <f t="shared" si="6"/>
        <v/>
      </c>
      <c r="K108" s="17" t="str">
        <f t="shared" si="7"/>
        <v/>
      </c>
      <c r="L108" s="17" t="str">
        <f t="shared" si="8"/>
        <v/>
      </c>
      <c r="M108" s="16" t="str">
        <f>IF(ISNUMBER(VLOOKUP($C108,'Justice Spend Total'!$C:$BA,35,FALSE)),VLOOKUP($C108,'Justice Spend Total'!$C:$BA,35,FALSE),"")</f>
        <v/>
      </c>
      <c r="N108" s="16" t="str">
        <f>IF(ISNUMBER(VLOOKUP($C108,'Justice Spend Total'!$C:$BA,36,FALSE)),VLOOKUP($C108,'Justice Spend Total'!$C:$BA,36,FALSE),"")</f>
        <v/>
      </c>
      <c r="O108" s="16" t="str">
        <f>IF(ISNUMBER(VLOOKUP($C108,'Justice Spend Total'!$C:$BA,37,FALSE)),VLOOKUP($C108,'Justice Spend Total'!$C:$BA,37,FALSE),"")</f>
        <v/>
      </c>
      <c r="P108" s="16" t="str">
        <f>IF(ISNUMBER(VLOOKUP($C108,'Justice Spend Total'!$C:$BA,38,FALSE)),VLOOKUP($C108,'Justice Spend Total'!$C:$BA,38,FALSE),"")</f>
        <v/>
      </c>
      <c r="Q108" s="15" t="str">
        <f>IF(ISNUMBER(VLOOKUP($C108,'Justice Spend Total'!$C:$BA,39,FALSE)),VLOOKUP($C108,'Justice Spend Total'!$C:$BA,39,FALSE),"")</f>
        <v/>
      </c>
      <c r="R108" s="22" t="str">
        <f>VLOOKUP($C108,'Justice Spend Total'!$C:$BA,40,FALSE)</f>
        <v xml:space="preserve"> </v>
      </c>
      <c r="S108" s="15" t="str">
        <f>VLOOKUP($C108,'Justice Spend Total'!$C:$BA,41,FALSE)</f>
        <v xml:space="preserve"> </v>
      </c>
    </row>
    <row r="109" spans="1:19">
      <c r="A109">
        <v>107</v>
      </c>
      <c r="B109" t="s">
        <v>199</v>
      </c>
      <c r="C109" t="s">
        <v>414</v>
      </c>
      <c r="D109" t="s">
        <v>496</v>
      </c>
      <c r="E109" t="s">
        <v>486</v>
      </c>
      <c r="F109" s="17">
        <f>VLOOKUP(B109,'Justice Spend Total'!$B$4:$AQ$221,10,FALSE)</f>
        <v>62.475999999999999</v>
      </c>
      <c r="G109" s="15">
        <f>VLOOKUP(C109,'Justice Spend Total'!$C$4:$AQ$221,10,FALSE)</f>
        <v>31.649763422121808</v>
      </c>
      <c r="H109">
        <f>VLOOKUP(C109,'Justice Spend Total'!$C$4:$AQ$221,7,FALSE)</f>
        <v>6940</v>
      </c>
      <c r="I109" s="17">
        <f t="shared" si="5"/>
        <v>119.45685281784235</v>
      </c>
      <c r="J109" s="17">
        <f t="shared" si="6"/>
        <v>58.335418036387473</v>
      </c>
      <c r="K109" s="17">
        <f t="shared" si="7"/>
        <v>26.144396202736672</v>
      </c>
      <c r="L109" s="17">
        <f t="shared" si="8"/>
        <v>203.93666705696651</v>
      </c>
      <c r="M109" s="16">
        <f>IF(ISNUMBER(VLOOKUP($C109,'Justice Spend Total'!$C:$BA,35,FALSE)),VLOOKUP($C109,'Justice Spend Total'!$C:$BA,35,FALSE),"")</f>
        <v>5.4385250120568358</v>
      </c>
      <c r="N109" s="16">
        <f>IF(ISNUMBER(VLOOKUP($C109,'Justice Spend Total'!$C:$BA,36,FALSE)),VLOOKUP($C109,'Justice Spend Total'!$C:$BA,36,FALSE),"")</f>
        <v>2.6558428637281013</v>
      </c>
      <c r="O109" s="16">
        <f>IF(ISNUMBER(VLOOKUP($C109,'Justice Spend Total'!$C:$BA,37,FALSE)),VLOOKUP($C109,'Justice Spend Total'!$C:$BA,37,FALSE),"")</f>
        <v>1.1902787434934816</v>
      </c>
      <c r="P109" s="16">
        <f>IF(ISNUMBER(VLOOKUP($C109,'Justice Spend Total'!$C:$BA,38,FALSE)),VLOOKUP($C109,'Justice Spend Total'!$C:$BA,38,FALSE),"")</f>
        <v>9.2846466192784192</v>
      </c>
      <c r="Q109" s="15">
        <f>IF(ISNUMBER(VLOOKUP($C109,'Justice Spend Total'!$C:$BA,39,FALSE)),VLOOKUP($C109,'Justice Spend Total'!$C:$BA,39,FALSE),"")</f>
        <v>2.9385686895816501</v>
      </c>
      <c r="R109" s="22">
        <f>VLOOKUP($C109,'Justice Spend Total'!$C:$BA,40,FALSE)</f>
        <v>2020</v>
      </c>
      <c r="S109" s="15" t="str">
        <f>VLOOKUP($C109,'Justice Spend Total'!$C:$BA,41,FALSE)</f>
        <v>IMF COFOG</v>
      </c>
    </row>
    <row r="110" spans="1:19">
      <c r="A110">
        <v>108</v>
      </c>
      <c r="B110" t="s">
        <v>200</v>
      </c>
      <c r="C110" t="s">
        <v>415</v>
      </c>
      <c r="D110" t="s">
        <v>485</v>
      </c>
      <c r="E110" t="s">
        <v>486</v>
      </c>
      <c r="F110" s="17">
        <f>VLOOKUP(B110,'Justice Spend Total'!$B$4:$AQ$221,10,FALSE)</f>
        <v>52.664000000000001</v>
      </c>
      <c r="G110" s="15">
        <f>VLOOKUP(C110,'Justice Spend Total'!$C$4:$AQ$221,10,FALSE)</f>
        <v>35.17475838392744</v>
      </c>
      <c r="H110">
        <f>VLOOKUP(C110,'Justice Spend Total'!$C$4:$AQ$221,7,FALSE)</f>
        <v>6950</v>
      </c>
      <c r="I110" s="17">
        <f t="shared" si="5"/>
        <v>70.070505926384172</v>
      </c>
      <c r="J110" s="17">
        <f t="shared" si="6"/>
        <v>12.782512040665003</v>
      </c>
      <c r="K110" s="17">
        <f t="shared" si="7"/>
        <v>13.17650920197813</v>
      </c>
      <c r="L110" s="17">
        <f t="shared" si="8"/>
        <v>164.98539096596366</v>
      </c>
      <c r="M110" s="16">
        <f>IF(ISNUMBER(VLOOKUP($C110,'Justice Spend Total'!$C:$BA,35,FALSE)),VLOOKUP($C110,'Justice Spend Total'!$C:$BA,35,FALSE),"")</f>
        <v>2.8662847015487256</v>
      </c>
      <c r="N110" s="16">
        <f>IF(ISNUMBER(VLOOKUP($C110,'Justice Spend Total'!$C:$BA,36,FALSE)),VLOOKUP($C110,'Justice Spend Total'!$C:$BA,36,FALSE),"")</f>
        <v>0.52287789598683032</v>
      </c>
      <c r="O110" s="16">
        <f>IF(ISNUMBER(VLOOKUP($C110,'Justice Spend Total'!$C:$BA,37,FALSE)),VLOOKUP($C110,'Justice Spend Total'!$C:$BA,37,FALSE),"")</f>
        <v>0.53899463470585551</v>
      </c>
      <c r="P110" s="16">
        <f>IF(ISNUMBER(VLOOKUP($C110,'Justice Spend Total'!$C:$BA,38,FALSE)),VLOOKUP($C110,'Justice Spend Total'!$C:$BA,38,FALSE),"")</f>
        <v>6.7488466916679455</v>
      </c>
      <c r="Q110" s="15">
        <f>IF(ISNUMBER(VLOOKUP($C110,'Justice Spend Total'!$C:$BA,39,FALSE)),VLOOKUP($C110,'Justice Spend Total'!$C:$BA,39,FALSE),"")</f>
        <v>2.3738905174958802</v>
      </c>
      <c r="R110" s="22">
        <f>VLOOKUP($C110,'Justice Spend Total'!$C:$BA,40,FALSE)</f>
        <v>2020</v>
      </c>
      <c r="S110" s="15" t="str">
        <f>VLOOKUP($C110,'Justice Spend Total'!$C:$BA,41,FALSE)</f>
        <v>IMF COFOG</v>
      </c>
    </row>
    <row r="111" spans="1:19">
      <c r="A111">
        <v>109</v>
      </c>
      <c r="B111" t="s">
        <v>201</v>
      </c>
      <c r="C111" t="s">
        <v>416</v>
      </c>
      <c r="D111" t="s">
        <v>496</v>
      </c>
      <c r="E111" t="s">
        <v>486</v>
      </c>
      <c r="F111" s="17">
        <f>VLOOKUP(B111,'Justice Spend Total'!$B$4:$AQ$221,10,FALSE)</f>
        <v>1552.95</v>
      </c>
      <c r="G111" s="15">
        <f>VLOOKUP(C111,'Justice Spend Total'!$C$4:$AQ$221,10,FALSE)</f>
        <v>17.614851851263708</v>
      </c>
      <c r="H111">
        <f>VLOOKUP(C111,'Justice Spend Total'!$C$4:$AQ$221,7,FALSE)</f>
        <v>7100</v>
      </c>
      <c r="I111" s="17" t="str">
        <f t="shared" si="5"/>
        <v/>
      </c>
      <c r="J111" s="17" t="str">
        <f t="shared" si="6"/>
        <v/>
      </c>
      <c r="K111" s="17" t="str">
        <f t="shared" si="7"/>
        <v/>
      </c>
      <c r="L111" s="17" t="str">
        <f t="shared" si="8"/>
        <v/>
      </c>
      <c r="M111" s="16" t="str">
        <f>IF(ISNUMBER(VLOOKUP($C111,'Justice Spend Total'!$C:$BA,35,FALSE)),VLOOKUP($C111,'Justice Spend Total'!$C:$BA,35,FALSE),"")</f>
        <v/>
      </c>
      <c r="N111" s="16" t="str">
        <f>IF(ISNUMBER(VLOOKUP($C111,'Justice Spend Total'!$C:$BA,36,FALSE)),VLOOKUP($C111,'Justice Spend Total'!$C:$BA,36,FALSE),"")</f>
        <v/>
      </c>
      <c r="O111" s="16" t="str">
        <f>IF(ISNUMBER(VLOOKUP($C111,'Justice Spend Total'!$C:$BA,37,FALSE)),VLOOKUP($C111,'Justice Spend Total'!$C:$BA,37,FALSE),"")</f>
        <v/>
      </c>
      <c r="P111" s="16" t="str">
        <f>IF(ISNUMBER(VLOOKUP($C111,'Justice Spend Total'!$C:$BA,38,FALSE)),VLOOKUP($C111,'Justice Spend Total'!$C:$BA,38,FALSE),"")</f>
        <v/>
      </c>
      <c r="Q111" s="15" t="str">
        <f>IF(ISNUMBER(VLOOKUP($C111,'Justice Spend Total'!$C:$BA,39,FALSE)),VLOOKUP($C111,'Justice Spend Total'!$C:$BA,39,FALSE),"")</f>
        <v/>
      </c>
      <c r="R111" s="22" t="str">
        <f>VLOOKUP($C111,'Justice Spend Total'!$C:$BA,40,FALSE)</f>
        <v xml:space="preserve"> </v>
      </c>
      <c r="S111" s="15" t="str">
        <f>VLOOKUP($C111,'Justice Spend Total'!$C:$BA,41,FALSE)</f>
        <v xml:space="preserve"> </v>
      </c>
    </row>
    <row r="112" spans="1:19">
      <c r="A112">
        <v>110</v>
      </c>
      <c r="B112" t="s">
        <v>202</v>
      </c>
      <c r="C112" t="s">
        <v>417</v>
      </c>
      <c r="D112" t="s">
        <v>485</v>
      </c>
      <c r="E112" t="s">
        <v>486</v>
      </c>
      <c r="F112" s="17">
        <f>VLOOKUP(B112,'Justice Spend Total'!$B$4:$AQ$221,10,FALSE)</f>
        <v>21.3</v>
      </c>
      <c r="G112" s="15">
        <f>VLOOKUP(C112,'Justice Spend Total'!$C$4:$AQ$221,10,FALSE)</f>
        <v>11.442200770334081</v>
      </c>
      <c r="H112">
        <f>VLOOKUP(C112,'Justice Spend Total'!$C$4:$AQ$221,7,FALSE)</f>
        <v>7220</v>
      </c>
      <c r="I112" s="17" t="str">
        <f t="shared" si="5"/>
        <v/>
      </c>
      <c r="J112" s="17" t="str">
        <f t="shared" si="6"/>
        <v/>
      </c>
      <c r="K112" s="17" t="str">
        <f t="shared" si="7"/>
        <v/>
      </c>
      <c r="L112" s="17" t="str">
        <f t="shared" si="8"/>
        <v/>
      </c>
      <c r="M112" s="16" t="str">
        <f>IF(ISNUMBER(VLOOKUP($C112,'Justice Spend Total'!$C:$BA,35,FALSE)),VLOOKUP($C112,'Justice Spend Total'!$C:$BA,35,FALSE),"")</f>
        <v/>
      </c>
      <c r="N112" s="16" t="str">
        <f>IF(ISNUMBER(VLOOKUP($C112,'Justice Spend Total'!$C:$BA,36,FALSE)),VLOOKUP($C112,'Justice Spend Total'!$C:$BA,36,FALSE),"")</f>
        <v/>
      </c>
      <c r="O112" s="16" t="str">
        <f>IF(ISNUMBER(VLOOKUP($C112,'Justice Spend Total'!$C:$BA,37,FALSE)),VLOOKUP($C112,'Justice Spend Total'!$C:$BA,37,FALSE),"")</f>
        <v/>
      </c>
      <c r="P112" s="16" t="str">
        <f>IF(ISNUMBER(VLOOKUP($C112,'Justice Spend Total'!$C:$BA,38,FALSE)),VLOOKUP($C112,'Justice Spend Total'!$C:$BA,38,FALSE),"")</f>
        <v/>
      </c>
      <c r="Q112" s="15" t="str">
        <f>IF(ISNUMBER(VLOOKUP($C112,'Justice Spend Total'!$C:$BA,39,FALSE)),VLOOKUP($C112,'Justice Spend Total'!$C:$BA,39,FALSE),"")</f>
        <v/>
      </c>
      <c r="R112" s="22" t="str">
        <f>VLOOKUP($C112,'Justice Spend Total'!$C:$BA,40,FALSE)</f>
        <v xml:space="preserve"> </v>
      </c>
      <c r="S112" s="15" t="str">
        <f>VLOOKUP($C112,'Justice Spend Total'!$C:$BA,41,FALSE)</f>
        <v xml:space="preserve"> </v>
      </c>
    </row>
    <row r="113" spans="1:19">
      <c r="A113">
        <v>111</v>
      </c>
      <c r="B113" t="s">
        <v>203</v>
      </c>
      <c r="C113" t="s">
        <v>418</v>
      </c>
      <c r="D113" t="s">
        <v>493</v>
      </c>
      <c r="E113" t="s">
        <v>486</v>
      </c>
      <c r="F113" s="17">
        <f>VLOOKUP(B113,'Justice Spend Total'!$B$4:$AQ$221,10,FALSE)</f>
        <v>3276.1</v>
      </c>
      <c r="G113" s="15">
        <f>VLOOKUP(C113,'Justice Spend Total'!$C$4:$AQ$221,10,FALSE)</f>
        <v>20.92835769789982</v>
      </c>
      <c r="H113">
        <f>VLOOKUP(C113,'Justice Spend Total'!$C$4:$AQ$221,7,FALSE)</f>
        <v>7260</v>
      </c>
      <c r="I113" s="17">
        <f t="shared" si="5"/>
        <v>60.251686102475169</v>
      </c>
      <c r="J113" s="17">
        <f t="shared" si="6"/>
        <v>20.064389928481823</v>
      </c>
      <c r="K113" s="17">
        <f t="shared" si="7"/>
        <v>6.5466018550344813</v>
      </c>
      <c r="L113" s="17">
        <f t="shared" si="8"/>
        <v>96.783543917271814</v>
      </c>
      <c r="M113" s="16">
        <f>IF(ISNUMBER(VLOOKUP($C113,'Justice Spend Total'!$C:$BA,35,FALSE)),VLOOKUP($C113,'Justice Spend Total'!$C:$BA,35,FALSE),"")</f>
        <v>3.9654952562179142</v>
      </c>
      <c r="N113" s="16">
        <f>IF(ISNUMBER(VLOOKUP($C113,'Justice Spend Total'!$C:$BA,36,FALSE)),VLOOKUP($C113,'Justice Spend Total'!$C:$BA,36,FALSE),"")</f>
        <v>1.3205479917189005</v>
      </c>
      <c r="O113" s="16">
        <f>IF(ISNUMBER(VLOOKUP($C113,'Justice Spend Total'!$C:$BA,37,FALSE)),VLOOKUP($C113,'Justice Spend Total'!$C:$BA,37,FALSE),"")</f>
        <v>0.43086791888833403</v>
      </c>
      <c r="P113" s="16">
        <f>IF(ISNUMBER(VLOOKUP($C113,'Justice Spend Total'!$C:$BA,38,FALSE)),VLOOKUP($C113,'Justice Spend Total'!$C:$BA,38,FALSE),"")</f>
        <v>6.369857992540612</v>
      </c>
      <c r="Q113" s="15">
        <f>IF(ISNUMBER(VLOOKUP($C113,'Justice Spend Total'!$C:$BA,39,FALSE)),VLOOKUP($C113,'Justice Spend Total'!$C:$BA,39,FALSE),"")</f>
        <v>1.33310666552716</v>
      </c>
      <c r="R113" s="22">
        <f>VLOOKUP($C113,'Justice Spend Total'!$C:$BA,40,FALSE)</f>
        <v>2020</v>
      </c>
      <c r="S113" s="15" t="str">
        <f>VLOOKUP($C113,'Justice Spend Total'!$C:$BA,41,FALSE)</f>
        <v>IMF COFOG</v>
      </c>
    </row>
    <row r="114" spans="1:19">
      <c r="A114">
        <v>112</v>
      </c>
      <c r="B114" t="s">
        <v>204</v>
      </c>
      <c r="C114" t="s">
        <v>419</v>
      </c>
      <c r="D114" t="s">
        <v>497</v>
      </c>
      <c r="E114" t="s">
        <v>486</v>
      </c>
      <c r="F114" s="17">
        <f>VLOOKUP(B114,'Justice Spend Total'!$B$4:$AQ$221,10,FALSE)</f>
        <v>2205.5500000000002</v>
      </c>
      <c r="G114" s="15">
        <f>VLOOKUP(C114,'Justice Spend Total'!$C$4:$AQ$221,10,FALSE)</f>
        <v>29.534845104598258</v>
      </c>
      <c r="H114">
        <f>VLOOKUP(C114,'Justice Spend Total'!$C$4:$AQ$221,7,FALSE)</f>
        <v>7720</v>
      </c>
      <c r="I114" s="17">
        <f t="shared" si="5"/>
        <v>19.112058665777042</v>
      </c>
      <c r="J114" s="17">
        <f t="shared" si="6"/>
        <v>62.248844964503817</v>
      </c>
      <c r="K114" s="17">
        <f t="shared" si="7"/>
        <v>0.38246150076753699</v>
      </c>
      <c r="L114" s="17">
        <f t="shared" si="8"/>
        <v>83.726297746687223</v>
      </c>
      <c r="M114" s="16">
        <f>IF(ISNUMBER(VLOOKUP($C114,'Justice Spend Total'!$C:$BA,35,FALSE)),VLOOKUP($C114,'Justice Spend Total'!$C:$BA,35,FALSE),"")</f>
        <v>0.83821508418957891</v>
      </c>
      <c r="N114" s="16">
        <f>IF(ISNUMBER(VLOOKUP($C114,'Justice Spend Total'!$C:$BA,36,FALSE)),VLOOKUP($C114,'Justice Spend Total'!$C:$BA,36,FALSE),"")</f>
        <v>2.7301046807719289</v>
      </c>
      <c r="O114" s="16">
        <f>IF(ISNUMBER(VLOOKUP($C114,'Justice Spend Total'!$C:$BA,37,FALSE)),VLOOKUP($C114,'Justice Spend Total'!$C:$BA,37,FALSE),"")</f>
        <v>1.6773964786911646E-2</v>
      </c>
      <c r="P114" s="16">
        <f>IF(ISNUMBER(VLOOKUP($C114,'Justice Spend Total'!$C:$BA,38,FALSE)),VLOOKUP($C114,'Justice Spend Total'!$C:$BA,38,FALSE),"")</f>
        <v>3.6720610239801097</v>
      </c>
      <c r="Q114" s="15">
        <f>IF(ISNUMBER(VLOOKUP($C114,'Justice Spend Total'!$C:$BA,39,FALSE)),VLOOKUP($C114,'Justice Spend Total'!$C:$BA,39,FALSE),"")</f>
        <v>1.08453753557885</v>
      </c>
      <c r="R114" s="22">
        <f>VLOOKUP($C114,'Justice Spend Total'!$C:$BA,40,FALSE)</f>
        <v>2020</v>
      </c>
      <c r="S114" s="15" t="str">
        <f>VLOOKUP($C114,'Justice Spend Total'!$C:$BA,41,FALSE)</f>
        <v>IMF COFOG</v>
      </c>
    </row>
    <row r="115" spans="1:19">
      <c r="A115">
        <v>113</v>
      </c>
      <c r="B115" t="s">
        <v>205</v>
      </c>
      <c r="C115" t="s">
        <v>420</v>
      </c>
      <c r="D115" t="s">
        <v>497</v>
      </c>
      <c r="E115" t="s">
        <v>486</v>
      </c>
      <c r="F115" s="17">
        <f>VLOOKUP(B115,'Justice Spend Total'!$B$4:$AQ$221,10,FALSE)</f>
        <v>0.82799999999999996</v>
      </c>
      <c r="G115" s="15">
        <f>VLOOKUP(C115,'Justice Spend Total'!$C$4:$AQ$221,10,FALSE)</f>
        <v>54.082299150881774</v>
      </c>
      <c r="H115">
        <f>VLOOKUP(C115,'Justice Spend Total'!$C$4:$AQ$221,7,FALSE)</f>
        <v>7760</v>
      </c>
      <c r="I115" s="17" t="str">
        <f t="shared" si="5"/>
        <v/>
      </c>
      <c r="J115" s="17" t="str">
        <f t="shared" si="6"/>
        <v/>
      </c>
      <c r="K115" s="17" t="str">
        <f t="shared" si="7"/>
        <v/>
      </c>
      <c r="L115" s="17" t="str">
        <f t="shared" si="8"/>
        <v/>
      </c>
      <c r="M115" s="16" t="str">
        <f>IF(ISNUMBER(VLOOKUP($C115,'Justice Spend Total'!$C:$BA,35,FALSE)),VLOOKUP($C115,'Justice Spend Total'!$C:$BA,35,FALSE),"")</f>
        <v/>
      </c>
      <c r="N115" s="16" t="str">
        <f>IF(ISNUMBER(VLOOKUP($C115,'Justice Spend Total'!$C:$BA,36,FALSE)),VLOOKUP($C115,'Justice Spend Total'!$C:$BA,36,FALSE),"")</f>
        <v/>
      </c>
      <c r="O115" s="16" t="str">
        <f>IF(ISNUMBER(VLOOKUP($C115,'Justice Spend Total'!$C:$BA,37,FALSE)),VLOOKUP($C115,'Justice Spend Total'!$C:$BA,37,FALSE),"")</f>
        <v/>
      </c>
      <c r="P115" s="16" t="str">
        <f>IF(ISNUMBER(VLOOKUP($C115,'Justice Spend Total'!$C:$BA,38,FALSE)),VLOOKUP($C115,'Justice Spend Total'!$C:$BA,38,FALSE),"")</f>
        <v/>
      </c>
      <c r="Q115" s="15" t="str">
        <f>IF(ISNUMBER(VLOOKUP($C115,'Justice Spend Total'!$C:$BA,39,FALSE)),VLOOKUP($C115,'Justice Spend Total'!$C:$BA,39,FALSE),"")</f>
        <v/>
      </c>
      <c r="R115" s="22" t="str">
        <f>VLOOKUP($C115,'Justice Spend Total'!$C:$BA,40,FALSE)</f>
        <v xml:space="preserve"> </v>
      </c>
      <c r="S115" s="15" t="str">
        <f>VLOOKUP($C115,'Justice Spend Total'!$C:$BA,41,FALSE)</f>
        <v xml:space="preserve"> </v>
      </c>
    </row>
    <row r="116" spans="1:19">
      <c r="A116">
        <v>114</v>
      </c>
      <c r="B116" t="s">
        <v>206</v>
      </c>
      <c r="C116" t="s">
        <v>421</v>
      </c>
      <c r="D116" t="s">
        <v>497</v>
      </c>
      <c r="E116" t="s">
        <v>486</v>
      </c>
      <c r="F116" s="17">
        <f>VLOOKUP(B116,'Justice Spend Total'!$B$4:$AQ$221,10,FALSE)</f>
        <v>0.74099999999999999</v>
      </c>
      <c r="G116" s="15">
        <f>VLOOKUP(C116,'Justice Spend Total'!$C$4:$AQ$221,10,FALSE)</f>
        <v>31.451612903225808</v>
      </c>
      <c r="H116">
        <f>VLOOKUP(C116,'Justice Spend Total'!$C$4:$AQ$221,7,FALSE)</f>
        <v>8100</v>
      </c>
      <c r="I116" s="17" t="str">
        <f t="shared" si="5"/>
        <v/>
      </c>
      <c r="J116" s="17" t="str">
        <f t="shared" si="6"/>
        <v/>
      </c>
      <c r="K116" s="17" t="str">
        <f t="shared" si="7"/>
        <v/>
      </c>
      <c r="L116" s="17" t="str">
        <f t="shared" si="8"/>
        <v/>
      </c>
      <c r="M116" s="16" t="str">
        <f>IF(ISNUMBER(VLOOKUP($C116,'Justice Spend Total'!$C:$BA,35,FALSE)),VLOOKUP($C116,'Justice Spend Total'!$C:$BA,35,FALSE),"")</f>
        <v/>
      </c>
      <c r="N116" s="16" t="str">
        <f>IF(ISNUMBER(VLOOKUP($C116,'Justice Spend Total'!$C:$BA,36,FALSE)),VLOOKUP($C116,'Justice Spend Total'!$C:$BA,36,FALSE),"")</f>
        <v/>
      </c>
      <c r="O116" s="16" t="str">
        <f>IF(ISNUMBER(VLOOKUP($C116,'Justice Spend Total'!$C:$BA,37,FALSE)),VLOOKUP($C116,'Justice Spend Total'!$C:$BA,37,FALSE),"")</f>
        <v/>
      </c>
      <c r="P116" s="16" t="str">
        <f>IF(ISNUMBER(VLOOKUP($C116,'Justice Spend Total'!$C:$BA,38,FALSE)),VLOOKUP($C116,'Justice Spend Total'!$C:$BA,38,FALSE),"")</f>
        <v/>
      </c>
      <c r="Q116" s="15" t="str">
        <f>IF(ISNUMBER(VLOOKUP($C116,'Justice Spend Total'!$C:$BA,39,FALSE)),VLOOKUP($C116,'Justice Spend Total'!$C:$BA,39,FALSE),"")</f>
        <v/>
      </c>
      <c r="R116" s="22" t="str">
        <f>VLOOKUP($C116,'Justice Spend Total'!$C:$BA,40,FALSE)</f>
        <v xml:space="preserve"> </v>
      </c>
      <c r="S116" s="15" t="str">
        <f>VLOOKUP($C116,'Justice Spend Total'!$C:$BA,41,FALSE)</f>
        <v xml:space="preserve"> </v>
      </c>
    </row>
    <row r="117" spans="1:19">
      <c r="A117">
        <v>115</v>
      </c>
      <c r="B117" t="s">
        <v>207</v>
      </c>
      <c r="C117" t="s">
        <v>422</v>
      </c>
      <c r="D117" t="s">
        <v>497</v>
      </c>
      <c r="E117" t="s">
        <v>486</v>
      </c>
      <c r="F117" s="17">
        <f>VLOOKUP(B117,'Justice Spend Total'!$B$4:$AQ$221,10,FALSE)</f>
        <v>632.25199999999995</v>
      </c>
      <c r="G117" s="15">
        <f>VLOOKUP(C117,'Justice Spend Total'!$C$4:$AQ$221,10,FALSE)</f>
        <v>14.186677915748563</v>
      </c>
      <c r="H117">
        <f>VLOOKUP(C117,'Justice Spend Total'!$C$4:$AQ$221,7,FALSE)</f>
        <v>8220</v>
      </c>
      <c r="I117" s="17">
        <f t="shared" si="5"/>
        <v>28.608061375288752</v>
      </c>
      <c r="J117" s="17">
        <f t="shared" si="6"/>
        <v>27.653890471006232</v>
      </c>
      <c r="K117" s="17">
        <f t="shared" si="7"/>
        <v>10.857181410842346</v>
      </c>
      <c r="L117" s="17">
        <f t="shared" si="8"/>
        <v>78.382771916190535</v>
      </c>
      <c r="M117" s="16">
        <f>IF(ISNUMBER(VLOOKUP($C117,'Justice Spend Total'!$C:$BA,35,FALSE)),VLOOKUP($C117,'Justice Spend Total'!$C:$BA,35,FALSE),"")</f>
        <v>2.4532166431434916</v>
      </c>
      <c r="N117" s="16">
        <f>IF(ISNUMBER(VLOOKUP($C117,'Justice Spend Total'!$C:$BA,36,FALSE)),VLOOKUP($C117,'Justice Spend Total'!$C:$BA,36,FALSE),"")</f>
        <v>2.3713939739286145</v>
      </c>
      <c r="O117" s="16">
        <f>IF(ISNUMBER(VLOOKUP($C117,'Justice Spend Total'!$C:$BA,37,FALSE)),VLOOKUP($C117,'Justice Spend Total'!$C:$BA,37,FALSE),"")</f>
        <v>0.93103191388262119</v>
      </c>
      <c r="P117" s="16">
        <f>IF(ISNUMBER(VLOOKUP($C117,'Justice Spend Total'!$C:$BA,38,FALSE)),VLOOKUP($C117,'Justice Spend Total'!$C:$BA,38,FALSE),"")</f>
        <v>6.7215292248574476</v>
      </c>
      <c r="Q117" s="15">
        <f>IF(ISNUMBER(VLOOKUP($C117,'Justice Spend Total'!$C:$BA,39,FALSE)),VLOOKUP($C117,'Justice Spend Total'!$C:$BA,39,FALSE),"")</f>
        <v>0.95356170214343705</v>
      </c>
      <c r="R117" s="22">
        <f>VLOOKUP($C117,'Justice Spend Total'!$C:$BA,40,FALSE)</f>
        <v>2020</v>
      </c>
      <c r="S117" s="15" t="str">
        <f>VLOOKUP($C117,'Justice Spend Total'!$C:$BA,41,FALSE)</f>
        <v>IMF COFOG</v>
      </c>
    </row>
    <row r="118" spans="1:19">
      <c r="A118">
        <v>116</v>
      </c>
      <c r="B118" t="s">
        <v>208</v>
      </c>
      <c r="C118" t="s">
        <v>423</v>
      </c>
      <c r="D118" t="s">
        <v>483</v>
      </c>
      <c r="E118" t="s">
        <v>486</v>
      </c>
      <c r="F118" s="17">
        <f>VLOOKUP(B118,'Justice Spend Total'!$B$4:$AQ$221,10,FALSE)</f>
        <v>15.222</v>
      </c>
      <c r="G118" s="15">
        <f>VLOOKUP(C118,'Justice Spend Total'!$C$4:$AQ$221,10,FALSE)</f>
        <v>26.441313901578972</v>
      </c>
      <c r="H118">
        <f>VLOOKUP(C118,'Justice Spend Total'!$C$4:$AQ$221,7,FALSE)</f>
        <v>8400</v>
      </c>
      <c r="I118" s="17" t="str">
        <f t="shared" si="5"/>
        <v/>
      </c>
      <c r="J118" s="17" t="str">
        <f t="shared" si="6"/>
        <v/>
      </c>
      <c r="K118" s="17" t="str">
        <f t="shared" si="7"/>
        <v/>
      </c>
      <c r="L118" s="17" t="str">
        <f t="shared" si="8"/>
        <v/>
      </c>
      <c r="M118" s="16" t="str">
        <f>IF(ISNUMBER(VLOOKUP($C118,'Justice Spend Total'!$C:$BA,35,FALSE)),VLOOKUP($C118,'Justice Spend Total'!$C:$BA,35,FALSE),"")</f>
        <v/>
      </c>
      <c r="N118" s="16" t="str">
        <f>IF(ISNUMBER(VLOOKUP($C118,'Justice Spend Total'!$C:$BA,36,FALSE)),VLOOKUP($C118,'Justice Spend Total'!$C:$BA,36,FALSE),"")</f>
        <v/>
      </c>
      <c r="O118" s="16" t="str">
        <f>IF(ISNUMBER(VLOOKUP($C118,'Justice Spend Total'!$C:$BA,37,FALSE)),VLOOKUP($C118,'Justice Spend Total'!$C:$BA,37,FALSE),"")</f>
        <v/>
      </c>
      <c r="P118" s="16" t="str">
        <f>IF(ISNUMBER(VLOOKUP($C118,'Justice Spend Total'!$C:$BA,38,FALSE)),VLOOKUP($C118,'Justice Spend Total'!$C:$BA,38,FALSE),"")</f>
        <v/>
      </c>
      <c r="Q118" s="15" t="str">
        <f>IF(ISNUMBER(VLOOKUP($C118,'Justice Spend Total'!$C:$BA,39,FALSE)),VLOOKUP($C118,'Justice Spend Total'!$C:$BA,39,FALSE),"")</f>
        <v/>
      </c>
      <c r="R118" s="22" t="str">
        <f>VLOOKUP($C118,'Justice Spend Total'!$C:$BA,40,FALSE)</f>
        <v xml:space="preserve"> </v>
      </c>
      <c r="S118" s="15" t="str">
        <f>VLOOKUP($C118,'Justice Spend Total'!$C:$BA,41,FALSE)</f>
        <v xml:space="preserve"> </v>
      </c>
    </row>
    <row r="119" spans="1:19">
      <c r="A119">
        <v>117</v>
      </c>
      <c r="B119" t="s">
        <v>209</v>
      </c>
      <c r="C119" t="s">
        <v>424</v>
      </c>
      <c r="D119" t="s">
        <v>487</v>
      </c>
      <c r="E119" t="s">
        <v>486</v>
      </c>
      <c r="F119" s="17">
        <f>VLOOKUP(B119,'Justice Spend Total'!$B$4:$AQ$221,10,FALSE)</f>
        <v>105.62</v>
      </c>
      <c r="G119" s="15">
        <f>VLOOKUP(C119,'Justice Spend Total'!$C$4:$AQ$221,10,FALSE)</f>
        <v>73.55204423429133</v>
      </c>
      <c r="H119">
        <f>VLOOKUP(C119,'Justice Spend Total'!$C$4:$AQ$221,7,FALSE)</f>
        <v>8430</v>
      </c>
      <c r="I119" s="17" t="str">
        <f t="shared" si="5"/>
        <v/>
      </c>
      <c r="J119" s="17" t="str">
        <f t="shared" si="6"/>
        <v/>
      </c>
      <c r="K119" s="17" t="str">
        <f t="shared" si="7"/>
        <v/>
      </c>
      <c r="L119" s="17" t="str">
        <f t="shared" si="8"/>
        <v/>
      </c>
      <c r="M119" s="16" t="str">
        <f>IF(ISNUMBER(VLOOKUP($C119,'Justice Spend Total'!$C:$BA,35,FALSE)),VLOOKUP($C119,'Justice Spend Total'!$C:$BA,35,FALSE),"")</f>
        <v/>
      </c>
      <c r="N119" s="16" t="str">
        <f>IF(ISNUMBER(VLOOKUP($C119,'Justice Spend Total'!$C:$BA,36,FALSE)),VLOOKUP($C119,'Justice Spend Total'!$C:$BA,36,FALSE),"")</f>
        <v/>
      </c>
      <c r="O119" s="16" t="str">
        <f>IF(ISNUMBER(VLOOKUP($C119,'Justice Spend Total'!$C:$BA,37,FALSE)),VLOOKUP($C119,'Justice Spend Total'!$C:$BA,37,FALSE),"")</f>
        <v/>
      </c>
      <c r="P119" s="16" t="str">
        <f>IF(ISNUMBER(VLOOKUP($C119,'Justice Spend Total'!$C:$BA,38,FALSE)),VLOOKUP($C119,'Justice Spend Total'!$C:$BA,38,FALSE),"")</f>
        <v/>
      </c>
      <c r="Q119" s="15" t="str">
        <f>IF(ISNUMBER(VLOOKUP($C119,'Justice Spend Total'!$C:$BA,39,FALSE)),VLOOKUP($C119,'Justice Spend Total'!$C:$BA,39,FALSE),"")</f>
        <v/>
      </c>
      <c r="R119" s="22" t="str">
        <f>VLOOKUP($C119,'Justice Spend Total'!$C:$BA,40,FALSE)</f>
        <v xml:space="preserve"> </v>
      </c>
      <c r="S119" s="15" t="str">
        <f>VLOOKUP($C119,'Justice Spend Total'!$C:$BA,41,FALSE)</f>
        <v xml:space="preserve"> </v>
      </c>
    </row>
    <row r="120" spans="1:19">
      <c r="A120">
        <v>118</v>
      </c>
      <c r="B120" t="s">
        <v>210</v>
      </c>
      <c r="C120" t="s">
        <v>425</v>
      </c>
      <c r="D120" t="s">
        <v>485</v>
      </c>
      <c r="E120" t="s">
        <v>486</v>
      </c>
      <c r="F120" s="17">
        <f>VLOOKUP(B120,'Justice Spend Total'!$B$4:$AQ$221,10,FALSE)</f>
        <v>2254.96</v>
      </c>
      <c r="G120" s="15">
        <f>VLOOKUP(C120,'Justice Spend Total'!$C$4:$AQ$221,10,FALSE)</f>
        <v>40.982730606918658</v>
      </c>
      <c r="H120">
        <f>VLOOKUP(C120,'Justice Spend Total'!$C$4:$AQ$221,7,FALSE)</f>
        <v>8440</v>
      </c>
      <c r="I120" s="17" t="str">
        <f t="shared" si="5"/>
        <v/>
      </c>
      <c r="J120" s="17" t="str">
        <f t="shared" si="6"/>
        <v/>
      </c>
      <c r="K120" s="17" t="str">
        <f t="shared" si="7"/>
        <v/>
      </c>
      <c r="L120" s="17" t="str">
        <f t="shared" si="8"/>
        <v/>
      </c>
      <c r="M120" s="16" t="str">
        <f>IF(ISNUMBER(VLOOKUP($C120,'Justice Spend Total'!$C:$BA,35,FALSE)),VLOOKUP($C120,'Justice Spend Total'!$C:$BA,35,FALSE),"")</f>
        <v/>
      </c>
      <c r="N120" s="16" t="str">
        <f>IF(ISNUMBER(VLOOKUP($C120,'Justice Spend Total'!$C:$BA,36,FALSE)),VLOOKUP($C120,'Justice Spend Total'!$C:$BA,36,FALSE),"")</f>
        <v/>
      </c>
      <c r="O120" s="16" t="str">
        <f>IF(ISNUMBER(VLOOKUP($C120,'Justice Spend Total'!$C:$BA,37,FALSE)),VLOOKUP($C120,'Justice Spend Total'!$C:$BA,37,FALSE),"")</f>
        <v/>
      </c>
      <c r="P120" s="16" t="str">
        <f>IF(ISNUMBER(VLOOKUP($C120,'Justice Spend Total'!$C:$BA,38,FALSE)),VLOOKUP($C120,'Justice Spend Total'!$C:$BA,38,FALSE),"")</f>
        <v/>
      </c>
      <c r="Q120" s="15" t="str">
        <f>IF(ISNUMBER(VLOOKUP($C120,'Justice Spend Total'!$C:$BA,39,FALSE)),VLOOKUP($C120,'Justice Spend Total'!$C:$BA,39,FALSE),"")</f>
        <v/>
      </c>
      <c r="R120" s="22" t="str">
        <f>VLOOKUP($C120,'Justice Spend Total'!$C:$BA,40,FALSE)</f>
        <v xml:space="preserve"> </v>
      </c>
      <c r="S120" s="15" t="str">
        <f>VLOOKUP($C120,'Justice Spend Total'!$C:$BA,41,FALSE)</f>
        <v xml:space="preserve"> </v>
      </c>
    </row>
    <row r="121" spans="1:19">
      <c r="A121">
        <v>119</v>
      </c>
      <c r="B121" t="s">
        <v>211</v>
      </c>
      <c r="C121" t="s">
        <v>426</v>
      </c>
      <c r="D121" t="s">
        <v>497</v>
      </c>
      <c r="E121" t="s">
        <v>486</v>
      </c>
      <c r="F121" s="17" t="str">
        <f>VLOOKUP(B121,'Justice Spend Total'!$B$4:$AQ$221,10,FALSE)</f>
        <v xml:space="preserve"> </v>
      </c>
      <c r="G121" s="15" t="str">
        <f>VLOOKUP(C121,'Justice Spend Total'!$C$4:$AQ$221,10,FALSE)</f>
        <v xml:space="preserve"> </v>
      </c>
      <c r="H121">
        <f>VLOOKUP(C121,'Justice Spend Total'!$C$4:$AQ$221,7,FALSE)</f>
        <v>8630</v>
      </c>
      <c r="I121" s="17" t="str">
        <f t="shared" si="5"/>
        <v/>
      </c>
      <c r="J121" s="17" t="str">
        <f t="shared" si="6"/>
        <v/>
      </c>
      <c r="K121" s="17" t="str">
        <f t="shared" si="7"/>
        <v/>
      </c>
      <c r="L121" s="17" t="str">
        <f t="shared" si="8"/>
        <v/>
      </c>
      <c r="M121" s="16" t="str">
        <f>IF(ISNUMBER(VLOOKUP($C121,'Justice Spend Total'!$C:$BA,35,FALSE)),VLOOKUP($C121,'Justice Spend Total'!$C:$BA,35,FALSE),"")</f>
        <v/>
      </c>
      <c r="N121" s="16" t="str">
        <f>IF(ISNUMBER(VLOOKUP($C121,'Justice Spend Total'!$C:$BA,36,FALSE)),VLOOKUP($C121,'Justice Spend Total'!$C:$BA,36,FALSE),"")</f>
        <v/>
      </c>
      <c r="O121" s="16" t="str">
        <f>IF(ISNUMBER(VLOOKUP($C121,'Justice Spend Total'!$C:$BA,37,FALSE)),VLOOKUP($C121,'Justice Spend Total'!$C:$BA,37,FALSE),"")</f>
        <v/>
      </c>
      <c r="P121" s="16" t="str">
        <f>IF(ISNUMBER(VLOOKUP($C121,'Justice Spend Total'!$C:$BA,38,FALSE)),VLOOKUP($C121,'Justice Spend Total'!$C:$BA,38,FALSE),"")</f>
        <v/>
      </c>
      <c r="Q121" s="15" t="str">
        <f>IF(ISNUMBER(VLOOKUP($C121,'Justice Spend Total'!$C:$BA,39,FALSE)),VLOOKUP($C121,'Justice Spend Total'!$C:$BA,39,FALSE),"")</f>
        <v/>
      </c>
      <c r="R121" s="22" t="str">
        <f>VLOOKUP($C121,'Justice Spend Total'!$C:$BA,40,FALSE)</f>
        <v xml:space="preserve"> </v>
      </c>
      <c r="S121" s="15" t="str">
        <f>VLOOKUP($C121,'Justice Spend Total'!$C:$BA,41,FALSE)</f>
        <v xml:space="preserve"> </v>
      </c>
    </row>
    <row r="122" spans="1:19">
      <c r="A122">
        <v>120</v>
      </c>
      <c r="B122" t="s">
        <v>212</v>
      </c>
      <c r="C122" t="s">
        <v>427</v>
      </c>
      <c r="D122" t="s">
        <v>485</v>
      </c>
      <c r="E122" t="s">
        <v>486</v>
      </c>
      <c r="F122" s="17">
        <f>VLOOKUP(B122,'Justice Spend Total'!$B$4:$AQ$221,10,FALSE)</f>
        <v>15199.1</v>
      </c>
      <c r="G122" s="15">
        <f>VLOOKUP(C122,'Justice Spend Total'!$C$4:$AQ$221,10,FALSE)</f>
        <v>18.702158246116028</v>
      </c>
      <c r="H122">
        <f>VLOOKUP(C122,'Justice Spend Total'!$C$4:$AQ$221,7,FALSE)</f>
        <v>8720</v>
      </c>
      <c r="I122" s="17">
        <f t="shared" si="5"/>
        <v>57.183013104654037</v>
      </c>
      <c r="J122" s="17">
        <f t="shared" si="6"/>
        <v>10.576314714272991</v>
      </c>
      <c r="K122" s="17">
        <f t="shared" si="7"/>
        <v>5.0675620700109469</v>
      </c>
      <c r="L122" s="17">
        <f t="shared" si="8"/>
        <v>81.411701687290801</v>
      </c>
      <c r="M122" s="16">
        <f>IF(ISNUMBER(VLOOKUP($C122,'Justice Spend Total'!$C:$BA,35,FALSE)),VLOOKUP($C122,'Justice Spend Total'!$C:$BA,35,FALSE),"")</f>
        <v>3.506378730608644</v>
      </c>
      <c r="N122" s="16">
        <f>IF(ISNUMBER(VLOOKUP($C122,'Justice Spend Total'!$C:$BA,36,FALSE)),VLOOKUP($C122,'Justice Spend Total'!$C:$BA,36,FALSE),"")</f>
        <v>0.64852414989884122</v>
      </c>
      <c r="O122" s="16">
        <f>IF(ISNUMBER(VLOOKUP($C122,'Justice Spend Total'!$C:$BA,37,FALSE)),VLOOKUP($C122,'Justice Spend Total'!$C:$BA,37,FALSE),"")</f>
        <v>0.31073549457433758</v>
      </c>
      <c r="P122" s="16">
        <f>IF(ISNUMBER(VLOOKUP($C122,'Justice Spend Total'!$C:$BA,38,FALSE)),VLOOKUP($C122,'Justice Spend Total'!$C:$BA,38,FALSE),"")</f>
        <v>4.9920464788473904</v>
      </c>
      <c r="Q122" s="15">
        <f>IF(ISNUMBER(VLOOKUP($C122,'Justice Spend Total'!$C:$BA,39,FALSE)),VLOOKUP($C122,'Justice Spend Total'!$C:$BA,39,FALSE),"")</f>
        <v>0.93362043219370205</v>
      </c>
      <c r="R122" s="22">
        <f>VLOOKUP($C122,'Justice Spend Total'!$C:$BA,40,FALSE)</f>
        <v>2020</v>
      </c>
      <c r="S122" s="15" t="str">
        <f>VLOOKUP($C122,'Justice Spend Total'!$C:$BA,41,FALSE)</f>
        <v>IMF COFOG</v>
      </c>
    </row>
    <row r="123" spans="1:19">
      <c r="A123">
        <v>121</v>
      </c>
      <c r="B123" t="s">
        <v>213</v>
      </c>
      <c r="C123" t="s">
        <v>428</v>
      </c>
      <c r="D123" t="s">
        <v>485</v>
      </c>
      <c r="E123" t="s">
        <v>486</v>
      </c>
      <c r="F123" s="17">
        <f>VLOOKUP(B123,'Justice Spend Total'!$B$4:$AQ$221,10,FALSE)</f>
        <v>1.8169999999999999</v>
      </c>
      <c r="G123" s="15">
        <f>VLOOKUP(C123,'Justice Spend Total'!$C$4:$AQ$221,10,FALSE)</f>
        <v>43.406593406593409</v>
      </c>
      <c r="H123">
        <f>VLOOKUP(C123,'Justice Spend Total'!$C$4:$AQ$221,7,FALSE)</f>
        <v>9300</v>
      </c>
      <c r="I123" s="17" t="str">
        <f t="shared" si="5"/>
        <v/>
      </c>
      <c r="J123" s="17" t="str">
        <f t="shared" si="6"/>
        <v/>
      </c>
      <c r="K123" s="17" t="str">
        <f t="shared" si="7"/>
        <v/>
      </c>
      <c r="L123" s="17" t="str">
        <f t="shared" si="8"/>
        <v/>
      </c>
      <c r="M123" s="16" t="str">
        <f>IF(ISNUMBER(VLOOKUP($C123,'Justice Spend Total'!$C:$BA,35,FALSE)),VLOOKUP($C123,'Justice Spend Total'!$C:$BA,35,FALSE),"")</f>
        <v/>
      </c>
      <c r="N123" s="16" t="str">
        <f>IF(ISNUMBER(VLOOKUP($C123,'Justice Spend Total'!$C:$BA,36,FALSE)),VLOOKUP($C123,'Justice Spend Total'!$C:$BA,36,FALSE),"")</f>
        <v/>
      </c>
      <c r="O123" s="16" t="str">
        <f>IF(ISNUMBER(VLOOKUP($C123,'Justice Spend Total'!$C:$BA,37,FALSE)),VLOOKUP($C123,'Justice Spend Total'!$C:$BA,37,FALSE),"")</f>
        <v/>
      </c>
      <c r="P123" s="16" t="str">
        <f>IF(ISNUMBER(VLOOKUP($C123,'Justice Spend Total'!$C:$BA,38,FALSE)),VLOOKUP($C123,'Justice Spend Total'!$C:$BA,38,FALSE),"")</f>
        <v/>
      </c>
      <c r="Q123" s="15" t="str">
        <f>IF(ISNUMBER(VLOOKUP($C123,'Justice Spend Total'!$C:$BA,39,FALSE)),VLOOKUP($C123,'Justice Spend Total'!$C:$BA,39,FALSE),"")</f>
        <v/>
      </c>
      <c r="R123" s="22" t="str">
        <f>VLOOKUP($C123,'Justice Spend Total'!$C:$BA,40,FALSE)</f>
        <v xml:space="preserve"> </v>
      </c>
      <c r="S123" s="15" t="str">
        <f>VLOOKUP($C123,'Justice Spend Total'!$C:$BA,41,FALSE)</f>
        <v xml:space="preserve"> </v>
      </c>
    </row>
    <row r="124" spans="1:19">
      <c r="A124">
        <v>122</v>
      </c>
      <c r="B124" t="s">
        <v>214</v>
      </c>
      <c r="C124" t="s">
        <v>429</v>
      </c>
      <c r="D124" t="s">
        <v>497</v>
      </c>
      <c r="E124" t="s">
        <v>486</v>
      </c>
      <c r="F124" s="17">
        <f>VLOOKUP(B124,'Justice Spend Total'!$B$4:$AQ$221,10,FALSE)</f>
        <v>298.25099999999998</v>
      </c>
      <c r="G124" s="15">
        <f>VLOOKUP(C124,'Justice Spend Total'!$C$4:$AQ$221,10,FALSE)</f>
        <v>18.793265322839805</v>
      </c>
      <c r="H124">
        <f>VLOOKUP(C124,'Justice Spend Total'!$C$4:$AQ$221,7,FALSE)</f>
        <v>9380</v>
      </c>
      <c r="I124" s="17" t="str">
        <f t="shared" si="5"/>
        <v/>
      </c>
      <c r="J124" s="17" t="str">
        <f t="shared" si="6"/>
        <v/>
      </c>
      <c r="K124" s="17" t="str">
        <f t="shared" si="7"/>
        <v/>
      </c>
      <c r="L124" s="17" t="str">
        <f t="shared" si="8"/>
        <v/>
      </c>
      <c r="M124" s="16" t="str">
        <f>IF(ISNUMBER(VLOOKUP($C124,'Justice Spend Total'!$C:$BA,35,FALSE)),VLOOKUP($C124,'Justice Spend Total'!$C:$BA,35,FALSE),"")</f>
        <v/>
      </c>
      <c r="N124" s="16" t="str">
        <f>IF(ISNUMBER(VLOOKUP($C124,'Justice Spend Total'!$C:$BA,36,FALSE)),VLOOKUP($C124,'Justice Spend Total'!$C:$BA,36,FALSE),"")</f>
        <v/>
      </c>
      <c r="O124" s="16" t="str">
        <f>IF(ISNUMBER(VLOOKUP($C124,'Justice Spend Total'!$C:$BA,37,FALSE)),VLOOKUP($C124,'Justice Spend Total'!$C:$BA,37,FALSE),"")</f>
        <v/>
      </c>
      <c r="P124" s="16" t="str">
        <f>IF(ISNUMBER(VLOOKUP($C124,'Justice Spend Total'!$C:$BA,38,FALSE)),VLOOKUP($C124,'Justice Spend Total'!$C:$BA,38,FALSE),"")</f>
        <v/>
      </c>
      <c r="Q124" s="15" t="str">
        <f>IF(ISNUMBER(VLOOKUP($C124,'Justice Spend Total'!$C:$BA,39,FALSE)),VLOOKUP($C124,'Justice Spend Total'!$C:$BA,39,FALSE),"")</f>
        <v/>
      </c>
      <c r="R124" s="22" t="str">
        <f>VLOOKUP($C124,'Justice Spend Total'!$C:$BA,40,FALSE)</f>
        <v xml:space="preserve"> </v>
      </c>
      <c r="S124" s="15" t="str">
        <f>VLOOKUP($C124,'Justice Spend Total'!$C:$BA,41,FALSE)</f>
        <v xml:space="preserve"> </v>
      </c>
    </row>
    <row r="125" spans="1:19">
      <c r="A125">
        <v>123</v>
      </c>
      <c r="B125" t="s">
        <v>215</v>
      </c>
      <c r="C125" t="s">
        <v>430</v>
      </c>
      <c r="D125" t="s">
        <v>497</v>
      </c>
      <c r="E125" t="s">
        <v>486</v>
      </c>
      <c r="F125" s="17">
        <f>VLOOKUP(B125,'Justice Spend Total'!$B$4:$AQ$221,10,FALSE)</f>
        <v>6122.6</v>
      </c>
      <c r="G125" s="15">
        <f>VLOOKUP(C125,'Justice Spend Total'!$C$4:$AQ$221,10,FALSE)</f>
        <v>23.324821357072896</v>
      </c>
      <c r="H125">
        <f>VLOOKUP(C125,'Justice Spend Total'!$C$4:$AQ$221,7,FALSE)</f>
        <v>9380</v>
      </c>
      <c r="I125" s="17" t="str">
        <f t="shared" si="5"/>
        <v/>
      </c>
      <c r="J125" s="17" t="str">
        <f t="shared" si="6"/>
        <v/>
      </c>
      <c r="K125" s="17" t="str">
        <f t="shared" si="7"/>
        <v/>
      </c>
      <c r="L125" s="17" t="str">
        <f t="shared" si="8"/>
        <v/>
      </c>
      <c r="M125" s="16" t="str">
        <f>IF(ISNUMBER(VLOOKUP($C125,'Justice Spend Total'!$C:$BA,35,FALSE)),VLOOKUP($C125,'Justice Spend Total'!$C:$BA,35,FALSE),"")</f>
        <v/>
      </c>
      <c r="N125" s="16" t="str">
        <f>IF(ISNUMBER(VLOOKUP($C125,'Justice Spend Total'!$C:$BA,36,FALSE)),VLOOKUP($C125,'Justice Spend Total'!$C:$BA,36,FALSE),"")</f>
        <v/>
      </c>
      <c r="O125" s="16" t="str">
        <f>IF(ISNUMBER(VLOOKUP($C125,'Justice Spend Total'!$C:$BA,37,FALSE)),VLOOKUP($C125,'Justice Spend Total'!$C:$BA,37,FALSE),"")</f>
        <v/>
      </c>
      <c r="P125" s="16" t="str">
        <f>IF(ISNUMBER(VLOOKUP($C125,'Justice Spend Total'!$C:$BA,38,FALSE)),VLOOKUP($C125,'Justice Spend Total'!$C:$BA,38,FALSE),"")</f>
        <v/>
      </c>
      <c r="Q125" s="15" t="str">
        <f>IF(ISNUMBER(VLOOKUP($C125,'Justice Spend Total'!$C:$BA,39,FALSE)),VLOOKUP($C125,'Justice Spend Total'!$C:$BA,39,FALSE),"")</f>
        <v/>
      </c>
      <c r="R125" s="22" t="str">
        <f>VLOOKUP($C125,'Justice Spend Total'!$C:$BA,40,FALSE)</f>
        <v xml:space="preserve"> </v>
      </c>
      <c r="S125" s="15" t="str">
        <f>VLOOKUP($C125,'Justice Spend Total'!$C:$BA,41,FALSE)</f>
        <v xml:space="preserve"> </v>
      </c>
    </row>
    <row r="126" spans="1:19">
      <c r="A126">
        <v>124</v>
      </c>
      <c r="B126" t="s">
        <v>216</v>
      </c>
      <c r="C126" t="s">
        <v>431</v>
      </c>
      <c r="D126" t="s">
        <v>497</v>
      </c>
      <c r="E126" t="s">
        <v>486</v>
      </c>
      <c r="F126" s="17">
        <f>VLOOKUP(B126,'Justice Spend Total'!$B$4:$AQ$221,10,FALSE)</f>
        <v>0.79300000000000004</v>
      </c>
      <c r="G126" s="15">
        <f>VLOOKUP(C126,'Justice Spend Total'!$C$4:$AQ$221,10,FALSE)</f>
        <v>28.150514731984384</v>
      </c>
      <c r="H126">
        <f>VLOOKUP(C126,'Justice Spend Total'!$C$4:$AQ$221,7,FALSE)</f>
        <v>9630</v>
      </c>
      <c r="I126" s="17" t="str">
        <f t="shared" si="5"/>
        <v/>
      </c>
      <c r="J126" s="17" t="str">
        <f t="shared" si="6"/>
        <v/>
      </c>
      <c r="K126" s="17" t="str">
        <f t="shared" si="7"/>
        <v/>
      </c>
      <c r="L126" s="17" t="str">
        <f t="shared" si="8"/>
        <v/>
      </c>
      <c r="M126" s="16" t="str">
        <f>IF(ISNUMBER(VLOOKUP($C126,'Justice Spend Total'!$C:$BA,35,FALSE)),VLOOKUP($C126,'Justice Spend Total'!$C:$BA,35,FALSE),"")</f>
        <v/>
      </c>
      <c r="N126" s="16" t="str">
        <f>IF(ISNUMBER(VLOOKUP($C126,'Justice Spend Total'!$C:$BA,36,FALSE)),VLOOKUP($C126,'Justice Spend Total'!$C:$BA,36,FALSE),"")</f>
        <v/>
      </c>
      <c r="O126" s="16" t="str">
        <f>IF(ISNUMBER(VLOOKUP($C126,'Justice Spend Total'!$C:$BA,37,FALSE)),VLOOKUP($C126,'Justice Spend Total'!$C:$BA,37,FALSE),"")</f>
        <v/>
      </c>
      <c r="P126" s="16" t="str">
        <f>IF(ISNUMBER(VLOOKUP($C126,'Justice Spend Total'!$C:$BA,38,FALSE)),VLOOKUP($C126,'Justice Spend Total'!$C:$BA,38,FALSE),"")</f>
        <v/>
      </c>
      <c r="Q126" s="15" t="str">
        <f>IF(ISNUMBER(VLOOKUP($C126,'Justice Spend Total'!$C:$BA,39,FALSE)),VLOOKUP($C126,'Justice Spend Total'!$C:$BA,39,FALSE),"")</f>
        <v/>
      </c>
      <c r="R126" s="22" t="str">
        <f>VLOOKUP($C126,'Justice Spend Total'!$C:$BA,40,FALSE)</f>
        <v xml:space="preserve"> </v>
      </c>
      <c r="S126" s="15" t="str">
        <f>VLOOKUP($C126,'Justice Spend Total'!$C:$BA,41,FALSE)</f>
        <v xml:space="preserve"> </v>
      </c>
    </row>
    <row r="127" spans="1:19">
      <c r="A127">
        <v>125</v>
      </c>
      <c r="B127" t="s">
        <v>217</v>
      </c>
      <c r="C127" t="s">
        <v>432</v>
      </c>
      <c r="D127" t="s">
        <v>497</v>
      </c>
      <c r="E127" t="s">
        <v>486</v>
      </c>
      <c r="F127" s="17">
        <f>VLOOKUP(B127,'Justice Spend Total'!$B$4:$AQ$221,10,FALSE)</f>
        <v>0.94399999999999995</v>
      </c>
      <c r="G127" s="15">
        <f>VLOOKUP(C127,'Justice Spend Total'!$C$4:$AQ$221,10,FALSE)</f>
        <v>21.626575028636882</v>
      </c>
      <c r="H127">
        <f>VLOOKUP(C127,'Justice Spend Total'!$C$4:$AQ$221,7,FALSE)</f>
        <v>9680</v>
      </c>
      <c r="I127" s="17" t="str">
        <f t="shared" si="5"/>
        <v/>
      </c>
      <c r="J127" s="17" t="str">
        <f t="shared" si="6"/>
        <v/>
      </c>
      <c r="K127" s="17" t="str">
        <f t="shared" si="7"/>
        <v/>
      </c>
      <c r="L127" s="17" t="str">
        <f t="shared" si="8"/>
        <v/>
      </c>
      <c r="M127" s="16" t="str">
        <f>IF(ISNUMBER(VLOOKUP($C127,'Justice Spend Total'!$C:$BA,35,FALSE)),VLOOKUP($C127,'Justice Spend Total'!$C:$BA,35,FALSE),"")</f>
        <v/>
      </c>
      <c r="N127" s="16" t="str">
        <f>IF(ISNUMBER(VLOOKUP($C127,'Justice Spend Total'!$C:$BA,36,FALSE)),VLOOKUP($C127,'Justice Spend Total'!$C:$BA,36,FALSE),"")</f>
        <v/>
      </c>
      <c r="O127" s="16" t="str">
        <f>IF(ISNUMBER(VLOOKUP($C127,'Justice Spend Total'!$C:$BA,37,FALSE)),VLOOKUP($C127,'Justice Spend Total'!$C:$BA,37,FALSE),"")</f>
        <v/>
      </c>
      <c r="P127" s="16" t="str">
        <f>IF(ISNUMBER(VLOOKUP($C127,'Justice Spend Total'!$C:$BA,38,FALSE)),VLOOKUP($C127,'Justice Spend Total'!$C:$BA,38,FALSE),"")</f>
        <v/>
      </c>
      <c r="Q127" s="15" t="str">
        <f>IF(ISNUMBER(VLOOKUP($C127,'Justice Spend Total'!$C:$BA,39,FALSE)),VLOOKUP($C127,'Justice Spend Total'!$C:$BA,39,FALSE),"")</f>
        <v/>
      </c>
      <c r="R127" s="22" t="str">
        <f>VLOOKUP($C127,'Justice Spend Total'!$C:$BA,40,FALSE)</f>
        <v xml:space="preserve"> </v>
      </c>
      <c r="S127" s="15" t="str">
        <f>VLOOKUP($C127,'Justice Spend Total'!$C:$BA,41,FALSE)</f>
        <v xml:space="preserve"> </v>
      </c>
    </row>
    <row r="128" spans="1:19">
      <c r="A128">
        <v>126</v>
      </c>
      <c r="B128" t="s">
        <v>218</v>
      </c>
      <c r="C128" t="s">
        <v>433</v>
      </c>
      <c r="D128" t="s">
        <v>485</v>
      </c>
      <c r="E128" t="s">
        <v>486</v>
      </c>
      <c r="F128" s="17">
        <f>VLOOKUP(B128,'Justice Spend Total'!$B$4:$AQ$221,10,FALSE)</f>
        <v>2005.97</v>
      </c>
      <c r="G128" s="15">
        <f>VLOOKUP(C128,'Justice Spend Total'!$C$4:$AQ$221,10,FALSE)</f>
        <v>28.040308196391329</v>
      </c>
      <c r="H128">
        <f>VLOOKUP(C128,'Justice Spend Total'!$C$4:$AQ$221,7,FALSE)</f>
        <v>9830</v>
      </c>
      <c r="I128" s="17">
        <f t="shared" si="5"/>
        <v>144.20492456992531</v>
      </c>
      <c r="J128" s="17">
        <f t="shared" si="6"/>
        <v>29.780464024726356</v>
      </c>
      <c r="K128" s="17">
        <f t="shared" si="7"/>
        <v>28.093369454433066</v>
      </c>
      <c r="L128" s="17">
        <f t="shared" si="8"/>
        <v>220.36691007341915</v>
      </c>
      <c r="M128" s="16">
        <f>IF(ISNUMBER(VLOOKUP($C128,'Justice Spend Total'!$C:$BA,35,FALSE)),VLOOKUP($C128,'Justice Spend Total'!$C:$BA,35,FALSE),"")</f>
        <v>5.2317115494800275</v>
      </c>
      <c r="N128" s="16">
        <f>IF(ISNUMBER(VLOOKUP($C128,'Justice Spend Total'!$C:$BA,36,FALSE)),VLOOKUP($C128,'Justice Spend Total'!$C:$BA,36,FALSE),"")</f>
        <v>1.0804263311513069</v>
      </c>
      <c r="O128" s="16">
        <f>IF(ISNUMBER(VLOOKUP($C128,'Justice Spend Total'!$C:$BA,37,FALSE)),VLOOKUP($C128,'Justice Spend Total'!$C:$BA,37,FALSE),"")</f>
        <v>1.0192190445430849</v>
      </c>
      <c r="P128" s="16">
        <f>IF(ISNUMBER(VLOOKUP($C128,'Justice Spend Total'!$C:$BA,38,FALSE)),VLOOKUP($C128,'Justice Spend Total'!$C:$BA,38,FALSE),"")</f>
        <v>7.9948456128853733</v>
      </c>
      <c r="Q128" s="15">
        <f>IF(ISNUMBER(VLOOKUP($C128,'Justice Spend Total'!$C:$BA,39,FALSE)),VLOOKUP($C128,'Justice Spend Total'!$C:$BA,39,FALSE),"")</f>
        <v>2.2417793496787302</v>
      </c>
      <c r="R128" s="22">
        <f>VLOOKUP($C128,'Justice Spend Total'!$C:$BA,40,FALSE)</f>
        <v>2020</v>
      </c>
      <c r="S128" s="15" t="str">
        <f>VLOOKUP($C128,'Justice Spend Total'!$C:$BA,41,FALSE)</f>
        <v>IMF COFOG</v>
      </c>
    </row>
    <row r="129" spans="1:19">
      <c r="A129">
        <v>127</v>
      </c>
      <c r="B129" t="s">
        <v>219</v>
      </c>
      <c r="C129" t="s">
        <v>434</v>
      </c>
      <c r="D129" t="s">
        <v>497</v>
      </c>
      <c r="E129" t="s">
        <v>486</v>
      </c>
      <c r="F129" s="17">
        <f>VLOOKUP(B129,'Justice Spend Total'!$B$4:$AQ$221,10,FALSE)</f>
        <v>15569.46</v>
      </c>
      <c r="G129" s="15">
        <f>VLOOKUP(C129,'Justice Spend Total'!$C$4:$AQ$221,10,FALSE)</f>
        <v>33.50935862541867</v>
      </c>
      <c r="H129">
        <f>VLOOKUP(C129,'Justice Spend Total'!$C$4:$AQ$221,7,FALSE)</f>
        <v>10050</v>
      </c>
      <c r="I129" s="17">
        <f t="shared" si="5"/>
        <v>45.418891636650919</v>
      </c>
      <c r="J129" s="17">
        <f t="shared" si="6"/>
        <v>39.34761454455839</v>
      </c>
      <c r="K129" s="17">
        <f t="shared" si="7"/>
        <v>8.7363684723038659</v>
      </c>
      <c r="L129" s="17">
        <f t="shared" si="8"/>
        <v>96.841293531927661</v>
      </c>
      <c r="M129" s="16">
        <f>IF(ISNUMBER(VLOOKUP($C129,'Justice Spend Total'!$C:$BA,35,FALSE)),VLOOKUP($C129,'Justice Spend Total'!$C:$BA,35,FALSE),"")</f>
        <v>1.3486658311437034</v>
      </c>
      <c r="N129" s="16">
        <f>IF(ISNUMBER(VLOOKUP($C129,'Justice Spend Total'!$C:$BA,36,FALSE)),VLOOKUP($C129,'Justice Spend Total'!$C:$BA,36,FALSE),"")</f>
        <v>1.1683856950493372</v>
      </c>
      <c r="O129" s="16">
        <f>IF(ISNUMBER(VLOOKUP($C129,'Justice Spend Total'!$C:$BA,37,FALSE)),VLOOKUP($C129,'Justice Spend Total'!$C:$BA,37,FALSE),"")</f>
        <v>0.25941719892982734</v>
      </c>
      <c r="P129" s="16">
        <f>IF(ISNUMBER(VLOOKUP($C129,'Justice Spend Total'!$C:$BA,38,FALSE)),VLOOKUP($C129,'Justice Spend Total'!$C:$BA,38,FALSE),"")</f>
        <v>2.8755995341126996</v>
      </c>
      <c r="Q129" s="15">
        <f>IF(ISNUMBER(VLOOKUP($C129,'Justice Spend Total'!$C:$BA,39,FALSE)),VLOOKUP($C129,'Justice Spend Total'!$C:$BA,39,FALSE),"")</f>
        <v>0.96359496051669302</v>
      </c>
      <c r="R129" s="22">
        <f>VLOOKUP($C129,'Justice Spend Total'!$C:$BA,40,FALSE)</f>
        <v>2020</v>
      </c>
      <c r="S129" s="15" t="str">
        <f>VLOOKUP($C129,'Justice Spend Total'!$C:$BA,41,FALSE)</f>
        <v>IMF COFOG</v>
      </c>
    </row>
    <row r="130" spans="1:19">
      <c r="A130">
        <v>128</v>
      </c>
      <c r="B130" t="s">
        <v>220</v>
      </c>
      <c r="C130" t="s">
        <v>435</v>
      </c>
      <c r="D130" t="s">
        <v>485</v>
      </c>
      <c r="E130" t="s">
        <v>486</v>
      </c>
      <c r="F130" s="17">
        <f>VLOOKUP(B130,'Justice Spend Total'!$B$4:$AQ$221,10,FALSE)</f>
        <v>49.744999999999997</v>
      </c>
      <c r="G130" s="15">
        <f>VLOOKUP(C130,'Justice Spend Total'!$C$4:$AQ$221,10,FALSE)</f>
        <v>37.474386789610072</v>
      </c>
      <c r="H130">
        <f>VLOOKUP(C130,'Justice Spend Total'!$C$4:$AQ$221,7,FALSE)</f>
        <v>10720</v>
      </c>
      <c r="I130" s="17">
        <f t="shared" si="5"/>
        <v>147.18100695261052</v>
      </c>
      <c r="J130" s="17">
        <f t="shared" si="6"/>
        <v>78.207272141831055</v>
      </c>
      <c r="K130" s="17">
        <f t="shared" si="7"/>
        <v>18.650102227910388</v>
      </c>
      <c r="L130" s="17">
        <f t="shared" si="8"/>
        <v>296.50610275267746</v>
      </c>
      <c r="M130" s="16">
        <f>IF(ISNUMBER(VLOOKUP($C130,'Justice Spend Total'!$C:$BA,35,FALSE)),VLOOKUP($C130,'Justice Spend Total'!$C:$BA,35,FALSE),"")</f>
        <v>3.6637214695914335</v>
      </c>
      <c r="N130" s="16">
        <f>IF(ISNUMBER(VLOOKUP($C130,'Justice Spend Total'!$C:$BA,36,FALSE)),VLOOKUP($C130,'Justice Spend Total'!$C:$BA,36,FALSE),"")</f>
        <v>1.9467842213938893</v>
      </c>
      <c r="O130" s="16">
        <f>IF(ISNUMBER(VLOOKUP($C130,'Justice Spend Total'!$C:$BA,37,FALSE)),VLOOKUP($C130,'Justice Spend Total'!$C:$BA,37,FALSE),"")</f>
        <v>0.46424998277441387</v>
      </c>
      <c r="P130" s="16">
        <f>IF(ISNUMBER(VLOOKUP($C130,'Justice Spend Total'!$C:$BA,38,FALSE)),VLOOKUP($C130,'Justice Spend Total'!$C:$BA,38,FALSE),"")</f>
        <v>7.3808149367373277</v>
      </c>
      <c r="Q130" s="15">
        <f>IF(ISNUMBER(VLOOKUP($C130,'Justice Spend Total'!$C:$BA,39,FALSE)),VLOOKUP($C130,'Justice Spend Total'!$C:$BA,39,FALSE),"")</f>
        <v>2.76591513761826</v>
      </c>
      <c r="R130" s="22">
        <f>VLOOKUP($C130,'Justice Spend Total'!$C:$BA,40,FALSE)</f>
        <v>2020</v>
      </c>
      <c r="S130" s="15" t="str">
        <f>VLOOKUP($C130,'Justice Spend Total'!$C:$BA,41,FALSE)</f>
        <v>IMF COFOG</v>
      </c>
    </row>
    <row r="131" spans="1:19">
      <c r="A131">
        <v>129</v>
      </c>
      <c r="B131" t="s">
        <v>221</v>
      </c>
      <c r="C131" t="s">
        <v>436</v>
      </c>
      <c r="D131" t="s">
        <v>496</v>
      </c>
      <c r="E131" t="s">
        <v>486</v>
      </c>
      <c r="F131" s="17">
        <f>VLOOKUP(B131,'Justice Spend Total'!$B$4:$AQ$221,10,FALSE)</f>
        <v>114.059</v>
      </c>
      <c r="G131" s="15">
        <f>VLOOKUP(C131,'Justice Spend Total'!$C$4:$AQ$221,10,FALSE)</f>
        <v>24.69557874680639</v>
      </c>
      <c r="H131">
        <f>VLOOKUP(C131,'Justice Spend Total'!$C$4:$AQ$221,7,FALSE)</f>
        <v>10860</v>
      </c>
      <c r="I131" s="17">
        <f t="shared" si="5"/>
        <v>207.39078732526062</v>
      </c>
      <c r="J131" s="17">
        <f t="shared" si="6"/>
        <v>23.055297864374456</v>
      </c>
      <c r="K131" s="17">
        <f t="shared" si="7"/>
        <v>22.133637212583398</v>
      </c>
      <c r="L131" s="17">
        <f t="shared" si="8"/>
        <v>283.06174960958651</v>
      </c>
      <c r="M131" s="16">
        <f>IF(ISNUMBER(VLOOKUP($C131,'Justice Spend Total'!$C:$BA,35,FALSE)),VLOOKUP($C131,'Justice Spend Total'!$C:$BA,35,FALSE),"")</f>
        <v>7.7328649700361751</v>
      </c>
      <c r="N131" s="16">
        <f>IF(ISNUMBER(VLOOKUP($C131,'Justice Spend Total'!$C:$BA,36,FALSE)),VLOOKUP($C131,'Justice Spend Total'!$C:$BA,36,FALSE),"")</f>
        <v>0.85965007186920395</v>
      </c>
      <c r="O131" s="16">
        <f>IF(ISNUMBER(VLOOKUP($C131,'Justice Spend Total'!$C:$BA,37,FALSE)),VLOOKUP($C131,'Justice Spend Total'!$C:$BA,37,FALSE),"")</f>
        <v>0.82528462362333721</v>
      </c>
      <c r="P131" s="16">
        <f>IF(ISNUMBER(VLOOKUP($C131,'Justice Spend Total'!$C:$BA,38,FALSE)),VLOOKUP($C131,'Justice Spend Total'!$C:$BA,38,FALSE),"")</f>
        <v>10.554366064873475</v>
      </c>
      <c r="Q131" s="15">
        <f>IF(ISNUMBER(VLOOKUP($C131,'Justice Spend Total'!$C:$BA,39,FALSE)),VLOOKUP($C131,'Justice Spend Total'!$C:$BA,39,FALSE),"")</f>
        <v>2.60646178277704</v>
      </c>
      <c r="R131" s="22">
        <f>VLOOKUP($C131,'Justice Spend Total'!$C:$BA,40,FALSE)</f>
        <v>2020</v>
      </c>
      <c r="S131" s="15" t="str">
        <f>VLOOKUP($C131,'Justice Spend Total'!$C:$BA,41,FALSE)</f>
        <v>IMF COFOG</v>
      </c>
    </row>
    <row r="132" spans="1:19">
      <c r="A132">
        <v>130</v>
      </c>
      <c r="B132" t="s">
        <v>222</v>
      </c>
      <c r="C132" t="s">
        <v>437</v>
      </c>
      <c r="D132" t="s">
        <v>493</v>
      </c>
      <c r="E132" t="s">
        <v>486</v>
      </c>
      <c r="F132" s="17">
        <f>VLOOKUP(B132,'Justice Spend Total'!$B$4:$AQ$221,10,FALSE)</f>
        <v>292.428</v>
      </c>
      <c r="G132" s="15">
        <f>VLOOKUP(C132,'Justice Spend Total'!$C$4:$AQ$221,10,FALSE)</f>
        <v>20.642802182675542</v>
      </c>
      <c r="H132">
        <f>VLOOKUP(C132,'Justice Spend Total'!$C$4:$AQ$221,7,FALSE)</f>
        <v>10930</v>
      </c>
      <c r="I132" s="17" t="str">
        <f t="shared" ref="I132:I195" si="9">IF(ISNUMBER(M132),$G132/100*$H132*(M132/100),"")</f>
        <v/>
      </c>
      <c r="J132" s="17" t="str">
        <f t="shared" ref="J132:J195" si="10">IF(ISNUMBER(N132),$G132/100*$H132*(N132/100),"")</f>
        <v/>
      </c>
      <c r="K132" s="17" t="str">
        <f t="shared" ref="K132:K195" si="11">IF(ISNUMBER(O132),$G132/100*$H132*(O132/100),"")</f>
        <v/>
      </c>
      <c r="L132" s="17">
        <f t="shared" ref="L132:L195" si="12">IF(ISNUMBER(P132),$G132/100*$H132*(P132/100),"")</f>
        <v>126.10827858242544</v>
      </c>
      <c r="M132" s="16" t="str">
        <f>IF(ISNUMBER(VLOOKUP($C132,'Justice Spend Total'!$C:$BA,35,FALSE)),VLOOKUP($C132,'Justice Spend Total'!$C:$BA,35,FALSE),"")</f>
        <v/>
      </c>
      <c r="N132" s="16" t="str">
        <f>IF(ISNUMBER(VLOOKUP($C132,'Justice Spend Total'!$C:$BA,36,FALSE)),VLOOKUP($C132,'Justice Spend Total'!$C:$BA,36,FALSE),"")</f>
        <v/>
      </c>
      <c r="O132" s="16" t="str">
        <f>IF(ISNUMBER(VLOOKUP($C132,'Justice Spend Total'!$C:$BA,37,FALSE)),VLOOKUP($C132,'Justice Spend Total'!$C:$BA,37,FALSE),"")</f>
        <v/>
      </c>
      <c r="P132" s="16">
        <f>IF(ISNUMBER(VLOOKUP($C132,'Justice Spend Total'!$C:$BA,38,FALSE)),VLOOKUP($C132,'Justice Spend Total'!$C:$BA,38,FALSE),"")</f>
        <v>5.5892660773992198</v>
      </c>
      <c r="Q132" s="15">
        <f>IF(ISNUMBER(VLOOKUP($C132,'Justice Spend Total'!$C:$BA,39,FALSE)),VLOOKUP($C132,'Justice Spend Total'!$C:$BA,39,FALSE),"")</f>
        <v>1.1537811398209099</v>
      </c>
      <c r="R132" s="22">
        <f>VLOOKUP($C132,'Justice Spend Total'!$C:$BA,40,FALSE)</f>
        <v>2020</v>
      </c>
      <c r="S132" s="15" t="str">
        <f>VLOOKUP($C132,'Justice Spend Total'!$C:$BA,41,FALSE)</f>
        <v>IMF COFOG</v>
      </c>
    </row>
    <row r="133" spans="1:19">
      <c r="A133">
        <v>131</v>
      </c>
      <c r="B133" t="s">
        <v>223</v>
      </c>
      <c r="C133" t="s">
        <v>438</v>
      </c>
      <c r="D133" t="s">
        <v>485</v>
      </c>
      <c r="E133" t="s">
        <v>486</v>
      </c>
      <c r="F133" s="17">
        <f>VLOOKUP(B133,'Justice Spend Total'!$B$4:$AQ$221,10,FALSE)</f>
        <v>48451.33</v>
      </c>
      <c r="G133" s="15">
        <f>VLOOKUP(C133,'Justice Spend Total'!$C$4:$AQ$221,10,FALSE)</f>
        <v>37.043632301772313</v>
      </c>
      <c r="H133">
        <f>VLOOKUP(C133,'Justice Spend Total'!$C$4:$AQ$221,7,FALSE)</f>
        <v>11600</v>
      </c>
      <c r="I133" s="17">
        <f t="shared" si="9"/>
        <v>118.33356658968574</v>
      </c>
      <c r="J133" s="17">
        <f t="shared" si="10"/>
        <v>34.589145512566809</v>
      </c>
      <c r="K133" s="17">
        <f t="shared" si="11"/>
        <v>23.011190676749813</v>
      </c>
      <c r="L133" s="17">
        <f t="shared" si="12"/>
        <v>271.56225599540721</v>
      </c>
      <c r="M133" s="16">
        <f>IF(ISNUMBER(VLOOKUP($C133,'Justice Spend Total'!$C:$BA,35,FALSE)),VLOOKUP($C133,'Justice Spend Total'!$C:$BA,35,FALSE),"")</f>
        <v>2.7538253944674684</v>
      </c>
      <c r="N133" s="16">
        <f>IF(ISNUMBER(VLOOKUP($C133,'Justice Spend Total'!$C:$BA,36,FALSE)),VLOOKUP($C133,'Justice Spend Total'!$C:$BA,36,FALSE),"")</f>
        <v>0.80494884106484288</v>
      </c>
      <c r="O133" s="16">
        <f>IF(ISNUMBER(VLOOKUP($C133,'Justice Spend Total'!$C:$BA,37,FALSE)),VLOOKUP($C133,'Justice Spend Total'!$C:$BA,37,FALSE),"")</f>
        <v>0.53550994082933412</v>
      </c>
      <c r="P133" s="16">
        <f>IF(ISNUMBER(VLOOKUP($C133,'Justice Spend Total'!$C:$BA,38,FALSE)),VLOOKUP($C133,'Justice Spend Total'!$C:$BA,38,FALSE),"")</f>
        <v>6.3197202475278988</v>
      </c>
      <c r="Q133" s="15">
        <f>IF(ISNUMBER(VLOOKUP($C133,'Justice Spend Total'!$C:$BA,39,FALSE)),VLOOKUP($C133,'Justice Spend Total'!$C:$BA,39,FALSE),"")</f>
        <v>2.3410539309948901</v>
      </c>
      <c r="R133" s="22">
        <f>VLOOKUP($C133,'Justice Spend Total'!$C:$BA,40,FALSE)</f>
        <v>2020</v>
      </c>
      <c r="S133" s="15" t="str">
        <f>VLOOKUP($C133,'Justice Spend Total'!$C:$BA,41,FALSE)</f>
        <v>IMF COFOG</v>
      </c>
    </row>
    <row r="134" spans="1:19">
      <c r="A134">
        <v>132</v>
      </c>
      <c r="B134" t="s">
        <v>224</v>
      </c>
      <c r="C134" t="s">
        <v>439</v>
      </c>
      <c r="D134" t="s">
        <v>493</v>
      </c>
      <c r="E134" t="s">
        <v>486</v>
      </c>
      <c r="F134" s="17">
        <f>VLOOKUP(B134,'Justice Spend Total'!$B$4:$AQ$221,10,FALSE)</f>
        <v>26342.87</v>
      </c>
      <c r="G134" s="15">
        <f>VLOOKUP(C134,'Justice Spend Total'!$C$4:$AQ$221,10,FALSE)</f>
        <v>25.684614427603602</v>
      </c>
      <c r="H134">
        <f>VLOOKUP(C134,'Justice Spend Total'!$C$4:$AQ$221,7,FALSE)</f>
        <v>11890</v>
      </c>
      <c r="I134" s="17" t="str">
        <f t="shared" si="9"/>
        <v/>
      </c>
      <c r="J134" s="17" t="str">
        <f t="shared" si="10"/>
        <v/>
      </c>
      <c r="K134" s="17" t="str">
        <f t="shared" si="11"/>
        <v/>
      </c>
      <c r="L134" s="17">
        <f t="shared" si="12"/>
        <v>160.71103813427891</v>
      </c>
      <c r="M134" s="16" t="str">
        <f>IF(ISNUMBER(VLOOKUP($C134,'Justice Spend Total'!$C:$BA,35,FALSE)),VLOOKUP($C134,'Justice Spend Total'!$C:$BA,35,FALSE),"")</f>
        <v/>
      </c>
      <c r="N134" s="16" t="str">
        <f>IF(ISNUMBER(VLOOKUP($C134,'Justice Spend Total'!$C:$BA,36,FALSE)),VLOOKUP($C134,'Justice Spend Total'!$C:$BA,36,FALSE),"")</f>
        <v/>
      </c>
      <c r="O134" s="16" t="str">
        <f>IF(ISNUMBER(VLOOKUP($C134,'Justice Spend Total'!$C:$BA,37,FALSE)),VLOOKUP($C134,'Justice Spend Total'!$C:$BA,37,FALSE),"")</f>
        <v/>
      </c>
      <c r="P134" s="16">
        <f>IF(ISNUMBER(VLOOKUP($C134,'Justice Spend Total'!$C:$BA,38,FALSE)),VLOOKUP($C134,'Justice Spend Total'!$C:$BA,38,FALSE),"")</f>
        <v>5.2624841560543532</v>
      </c>
      <c r="Q134" s="15">
        <f>IF(ISNUMBER(VLOOKUP($C134,'Justice Spend Total'!$C:$BA,39,FALSE)),VLOOKUP($C134,'Justice Spend Total'!$C:$BA,39,FALSE),"")</f>
        <v>1.35164876479629</v>
      </c>
      <c r="R134" s="22">
        <f>VLOOKUP($C134,'Justice Spend Total'!$C:$BA,40,FALSE)</f>
        <v>2020</v>
      </c>
      <c r="S134" s="15" t="str">
        <f>VLOOKUP($C134,'Justice Spend Total'!$C:$BA,41,FALSE)</f>
        <v>IMF COFOG</v>
      </c>
    </row>
    <row r="135" spans="1:19">
      <c r="A135">
        <v>133</v>
      </c>
      <c r="B135" t="s">
        <v>225</v>
      </c>
      <c r="C135" t="s">
        <v>440</v>
      </c>
      <c r="D135" t="s">
        <v>497</v>
      </c>
      <c r="E135" t="s">
        <v>486</v>
      </c>
      <c r="F135" s="17">
        <f>VLOOKUP(B135,'Justice Spend Total'!$B$4:$AQ$221,10,FALSE)</f>
        <v>6326.21</v>
      </c>
      <c r="G135" s="15">
        <f>VLOOKUP(C135,'Justice Spend Total'!$C$4:$AQ$221,10,FALSE)</f>
        <v>15.852957796597215</v>
      </c>
      <c r="H135">
        <f>VLOOKUP(C135,'Justice Spend Total'!$C$4:$AQ$221,7,FALSE)</f>
        <v>12310</v>
      </c>
      <c r="I135" s="17">
        <f t="shared" si="9"/>
        <v>0</v>
      </c>
      <c r="J135" s="17">
        <f t="shared" si="10"/>
        <v>198.63991793295094</v>
      </c>
      <c r="K135" s="17">
        <f t="shared" si="11"/>
        <v>0</v>
      </c>
      <c r="L135" s="17">
        <f t="shared" si="12"/>
        <v>296.45858416697945</v>
      </c>
      <c r="M135" s="16">
        <f>IF(ISNUMBER(VLOOKUP($C135,'Justice Spend Total'!$C:$BA,35,FALSE)),VLOOKUP($C135,'Justice Spend Total'!$C:$BA,35,FALSE),"")</f>
        <v>0</v>
      </c>
      <c r="N135" s="16">
        <f>IF(ISNUMBER(VLOOKUP($C135,'Justice Spend Total'!$C:$BA,36,FALSE)),VLOOKUP($C135,'Justice Spend Total'!$C:$BA,36,FALSE),"")</f>
        <v>10.178837256359719</v>
      </c>
      <c r="O135" s="16">
        <f>IF(ISNUMBER(VLOOKUP($C135,'Justice Spend Total'!$C:$BA,37,FALSE)),VLOOKUP($C135,'Justice Spend Total'!$C:$BA,37,FALSE),"")</f>
        <v>0</v>
      </c>
      <c r="P135" s="16">
        <f>IF(ISNUMBER(VLOOKUP($C135,'Justice Spend Total'!$C:$BA,38,FALSE)),VLOOKUP($C135,'Justice Spend Total'!$C:$BA,38,FALSE),"")</f>
        <v>15.191325655425752</v>
      </c>
      <c r="Q135" s="15">
        <f>IF(ISNUMBER(VLOOKUP($C135,'Justice Spend Total'!$C:$BA,39,FALSE)),VLOOKUP($C135,'Justice Spend Total'!$C:$BA,39,FALSE),"")</f>
        <v>2.4082744448982898</v>
      </c>
      <c r="R135" s="22">
        <f>VLOOKUP($C135,'Justice Spend Total'!$C:$BA,40,FALSE)</f>
        <v>2020</v>
      </c>
      <c r="S135" s="15" t="str">
        <f>VLOOKUP($C135,'Justice Spend Total'!$C:$BA,41,FALSE)</f>
        <v>IMF COFOG</v>
      </c>
    </row>
    <row r="136" spans="1:19">
      <c r="A136">
        <v>134</v>
      </c>
      <c r="B136" t="s">
        <v>226</v>
      </c>
      <c r="C136" t="s">
        <v>590</v>
      </c>
      <c r="D136" t="s">
        <v>497</v>
      </c>
      <c r="F136" s="17" t="str">
        <f>VLOOKUP(B136,'Justice Spend Total'!$B$4:$AQ$221,10,FALSE)</f>
        <v xml:space="preserve"> </v>
      </c>
      <c r="G136" s="15" t="str">
        <f>VLOOKUP(C136,'Justice Spend Total'!$C$4:$AQ$221,10,FALSE)</f>
        <v xml:space="preserve"> </v>
      </c>
      <c r="H136">
        <f>VLOOKUP(C136,'Justice Spend Total'!$C$4:$AQ$221,7,FALSE)</f>
        <v>13080</v>
      </c>
      <c r="I136" s="17" t="str">
        <f t="shared" si="9"/>
        <v/>
      </c>
      <c r="J136" s="17" t="str">
        <f t="shared" si="10"/>
        <v/>
      </c>
      <c r="K136" s="17" t="str">
        <f t="shared" si="11"/>
        <v/>
      </c>
      <c r="L136" s="17" t="str">
        <f t="shared" si="12"/>
        <v/>
      </c>
      <c r="M136" s="16" t="str">
        <f>IF(ISNUMBER(VLOOKUP($C136,'Justice Spend Total'!$C:$BA,35,FALSE)),VLOOKUP($C136,'Justice Spend Total'!$C:$BA,35,FALSE),"")</f>
        <v/>
      </c>
      <c r="N136" s="16" t="str">
        <f>IF(ISNUMBER(VLOOKUP($C136,'Justice Spend Total'!$C:$BA,36,FALSE)),VLOOKUP($C136,'Justice Spend Total'!$C:$BA,36,FALSE),"")</f>
        <v/>
      </c>
      <c r="O136" s="16" t="str">
        <f>IF(ISNUMBER(VLOOKUP($C136,'Justice Spend Total'!$C:$BA,37,FALSE)),VLOOKUP($C136,'Justice Spend Total'!$C:$BA,37,FALSE),"")</f>
        <v/>
      </c>
      <c r="P136" s="16" t="str">
        <f>IF(ISNUMBER(VLOOKUP($C136,'Justice Spend Total'!$C:$BA,38,FALSE)),VLOOKUP($C136,'Justice Spend Total'!$C:$BA,38,FALSE),"")</f>
        <v/>
      </c>
      <c r="Q136" s="15" t="str">
        <f>IF(ISNUMBER(VLOOKUP($C136,'Justice Spend Total'!$C:$BA,39,FALSE)),VLOOKUP($C136,'Justice Spend Total'!$C:$BA,39,FALSE),"")</f>
        <v/>
      </c>
      <c r="R136" s="22" t="str">
        <f>VLOOKUP($C136,'Justice Spend Total'!$C:$BA,40,FALSE)</f>
        <v xml:space="preserve"> </v>
      </c>
      <c r="S136" s="15" t="str">
        <f>VLOOKUP($C136,'Justice Spend Total'!$C:$BA,41,FALSE)</f>
        <v xml:space="preserve"> </v>
      </c>
    </row>
    <row r="137" spans="1:19">
      <c r="A137">
        <v>135</v>
      </c>
      <c r="B137" t="s">
        <v>227</v>
      </c>
      <c r="C137" t="s">
        <v>552</v>
      </c>
      <c r="D137" t="s">
        <v>496</v>
      </c>
      <c r="E137" t="s">
        <v>494</v>
      </c>
      <c r="F137" s="17">
        <f>VLOOKUP(B137,'Justice Spend Total'!$B$4:$AQ$221,10,FALSE)</f>
        <v>7.5430000000000001</v>
      </c>
      <c r="G137" s="15">
        <f>VLOOKUP(C137,'Justice Spend Total'!$C$4:$AQ$221,10,FALSE)</f>
        <v>35.662616424755335</v>
      </c>
      <c r="H137">
        <f>VLOOKUP(C137,'Justice Spend Total'!$C$4:$AQ$221,7,FALSE)</f>
        <v>13260</v>
      </c>
      <c r="I137" s="17">
        <f t="shared" si="9"/>
        <v>236.81304877080439</v>
      </c>
      <c r="J137" s="17">
        <f t="shared" si="10"/>
        <v>0</v>
      </c>
      <c r="K137" s="17">
        <f t="shared" si="11"/>
        <v>54.735040645526574</v>
      </c>
      <c r="L137" s="17">
        <f t="shared" si="12"/>
        <v>329.74540852277687</v>
      </c>
      <c r="M137" s="16">
        <f>IF(ISNUMBER(VLOOKUP($C137,'Justice Spend Total'!$C:$BA,35,FALSE)),VLOOKUP($C137,'Justice Spend Total'!$C:$BA,35,FALSE),"")</f>
        <v>5.0078222160280887</v>
      </c>
      <c r="N137" s="16">
        <f>IF(ISNUMBER(VLOOKUP($C137,'Justice Spend Total'!$C:$BA,36,FALSE)),VLOOKUP($C137,'Justice Spend Total'!$C:$BA,36,FALSE),"")</f>
        <v>0</v>
      </c>
      <c r="O137" s="16">
        <f>IF(ISNUMBER(VLOOKUP($C137,'Justice Spend Total'!$C:$BA,37,FALSE)),VLOOKUP($C137,'Justice Spend Total'!$C:$BA,37,FALSE),"")</f>
        <v>1.1574672677988906</v>
      </c>
      <c r="P137" s="16">
        <f>IF(ISNUMBER(VLOOKUP($C137,'Justice Spend Total'!$C:$BA,38,FALSE)),VLOOKUP($C137,'Justice Spend Total'!$C:$BA,38,FALSE),"")</f>
        <v>6.9730379766015744</v>
      </c>
      <c r="Q137" s="15">
        <f>IF(ISNUMBER(VLOOKUP($C137,'Justice Spend Total'!$C:$BA,39,FALSE)),VLOOKUP($C137,'Justice Spend Total'!$C:$BA,39,FALSE),"")</f>
        <v>2.4867677867479401</v>
      </c>
      <c r="R137" s="22">
        <f>VLOOKUP($C137,'Justice Spend Total'!$C:$BA,40,FALSE)</f>
        <v>2018</v>
      </c>
      <c r="S137" s="15" t="str">
        <f>VLOOKUP($C137,'Justice Spend Total'!$C:$BA,41,FALSE)</f>
        <v>IMF COFOG</v>
      </c>
    </row>
    <row r="138" spans="1:19">
      <c r="A138">
        <v>136</v>
      </c>
      <c r="B138" t="s">
        <v>228</v>
      </c>
      <c r="C138" t="s">
        <v>547</v>
      </c>
      <c r="D138" t="s">
        <v>497</v>
      </c>
      <c r="E138" t="s">
        <v>494</v>
      </c>
      <c r="F138" s="17">
        <f>VLOOKUP(B138,'Justice Spend Total'!$B$4:$AQ$221,10,FALSE)</f>
        <v>11.565</v>
      </c>
      <c r="G138" s="15">
        <f>VLOOKUP(C138,'Justice Spend Total'!$C$4:$AQ$221,10,FALSE)</f>
        <v>18.182532819746875</v>
      </c>
      <c r="H138">
        <f>VLOOKUP(C138,'Justice Spend Total'!$C$4:$AQ$221,7,FALSE)</f>
        <v>14010</v>
      </c>
      <c r="I138" s="17">
        <f t="shared" si="9"/>
        <v>179.92023026331321</v>
      </c>
      <c r="J138" s="17">
        <f t="shared" si="10"/>
        <v>67.25206498739864</v>
      </c>
      <c r="K138" s="17">
        <f t="shared" si="11"/>
        <v>18.713790078298274</v>
      </c>
      <c r="L138" s="17">
        <f t="shared" si="12"/>
        <v>275.06615340248311</v>
      </c>
      <c r="M138" s="16">
        <f>IF(ISNUMBER(VLOOKUP($C138,'Justice Spend Total'!$C:$BA,35,FALSE)),VLOOKUP($C138,'Justice Spend Total'!$C:$BA,35,FALSE),"")</f>
        <v>7.0629719713502386</v>
      </c>
      <c r="N138" s="16">
        <f>IF(ISNUMBER(VLOOKUP($C138,'Justice Spend Total'!$C:$BA,36,FALSE)),VLOOKUP($C138,'Justice Spend Total'!$C:$BA,36,FALSE),"")</f>
        <v>2.6400558143253807</v>
      </c>
      <c r="O138" s="16">
        <f>IF(ISNUMBER(VLOOKUP($C138,'Justice Spend Total'!$C:$BA,37,FALSE)),VLOOKUP($C138,'Justice Spend Total'!$C:$BA,37,FALSE),"")</f>
        <v>0.73463097844703096</v>
      </c>
      <c r="P138" s="16">
        <f>IF(ISNUMBER(VLOOKUP($C138,'Justice Spend Total'!$C:$BA,38,FALSE)),VLOOKUP($C138,'Justice Spend Total'!$C:$BA,38,FALSE),"")</f>
        <v>10.798032710971961</v>
      </c>
      <c r="Q138" s="15">
        <f>IF(ISNUMBER(VLOOKUP($C138,'Justice Spend Total'!$C:$BA,39,FALSE)),VLOOKUP($C138,'Justice Spend Total'!$C:$BA,39,FALSE),"")</f>
        <v>1.9633558415594801</v>
      </c>
      <c r="R138" s="22">
        <f>VLOOKUP($C138,'Justice Spend Total'!$C:$BA,40,FALSE)</f>
        <v>2020</v>
      </c>
      <c r="S138" s="15" t="str">
        <f>VLOOKUP($C138,'Justice Spend Total'!$C:$BA,41,FALSE)</f>
        <v>IMF COFOG</v>
      </c>
    </row>
    <row r="139" spans="1:19">
      <c r="A139">
        <v>137</v>
      </c>
      <c r="B139" t="s">
        <v>229</v>
      </c>
      <c r="C139" t="s">
        <v>549</v>
      </c>
      <c r="D139" t="s">
        <v>485</v>
      </c>
      <c r="E139" t="s">
        <v>494</v>
      </c>
      <c r="F139" s="17">
        <f>VLOOKUP(B139,'Justice Spend Total'!$B$4:$AQ$221,10,FALSE)</f>
        <v>305.29599999999999</v>
      </c>
      <c r="G139" s="15">
        <f>VLOOKUP(C139,'Justice Spend Total'!$C$4:$AQ$221,10,FALSE)</f>
        <v>28.830612032901133</v>
      </c>
      <c r="H139">
        <f>VLOOKUP(C139,'Justice Spend Total'!$C$4:$AQ$221,7,FALSE)</f>
        <v>14170</v>
      </c>
      <c r="I139" s="17">
        <f t="shared" si="9"/>
        <v>196.07795868840964</v>
      </c>
      <c r="J139" s="17">
        <f t="shared" si="10"/>
        <v>60.373088387765748</v>
      </c>
      <c r="K139" s="17">
        <f t="shared" si="11"/>
        <v>18.764481566366168</v>
      </c>
      <c r="L139" s="17">
        <f t="shared" si="12"/>
        <v>359.89464816785409</v>
      </c>
      <c r="M139" s="16">
        <f>IF(ISNUMBER(VLOOKUP($C139,'Justice Spend Total'!$C:$BA,35,FALSE)),VLOOKUP($C139,'Justice Spend Total'!$C:$BA,35,FALSE),"")</f>
        <v>4.7996002221705778</v>
      </c>
      <c r="N139" s="16">
        <f>IF(ISNUMBER(VLOOKUP($C139,'Justice Spend Total'!$C:$BA,36,FALSE)),VLOOKUP($C139,'Justice Spend Total'!$C:$BA,36,FALSE),"")</f>
        <v>1.4778136735884573</v>
      </c>
      <c r="O139" s="16">
        <f>IF(ISNUMBER(VLOOKUP($C139,'Justice Spend Total'!$C:$BA,37,FALSE)),VLOOKUP($C139,'Justice Spend Total'!$C:$BA,37,FALSE),"")</f>
        <v>0.45931735773507121</v>
      </c>
      <c r="P139" s="16">
        <f>IF(ISNUMBER(VLOOKUP($C139,'Justice Spend Total'!$C:$BA,38,FALSE)),VLOOKUP($C139,'Justice Spend Total'!$C:$BA,38,FALSE),"")</f>
        <v>8.8095084468387004</v>
      </c>
      <c r="Q139" s="15">
        <f>IF(ISNUMBER(VLOOKUP($C139,'Justice Spend Total'!$C:$BA,39,FALSE)),VLOOKUP($C139,'Justice Spend Total'!$C:$BA,39,FALSE),"")</f>
        <v>2.5398352023137201</v>
      </c>
      <c r="R139" s="22">
        <f>VLOOKUP($C139,'Justice Spend Total'!$C:$BA,40,FALSE)</f>
        <v>2020</v>
      </c>
      <c r="S139" s="15" t="str">
        <f>VLOOKUP($C139,'Justice Spend Total'!$C:$BA,41,FALSE)</f>
        <v>IMF COFOG</v>
      </c>
    </row>
    <row r="140" spans="1:19">
      <c r="A140">
        <v>138</v>
      </c>
      <c r="B140" t="s">
        <v>230</v>
      </c>
      <c r="C140" t="s">
        <v>546</v>
      </c>
      <c r="D140" t="s">
        <v>493</v>
      </c>
      <c r="E140" t="s">
        <v>494</v>
      </c>
      <c r="F140" s="17">
        <f>VLOOKUP(B140,'Justice Spend Total'!$B$4:$AQ$221,10,FALSE)</f>
        <v>0.122</v>
      </c>
      <c r="G140" s="15">
        <f>VLOOKUP(C140,'Justice Spend Total'!$C$4:$AQ$221,10,FALSE)</f>
        <v>47.286821705426348</v>
      </c>
      <c r="H140">
        <f>VLOOKUP(C140,'Justice Spend Total'!$C$4:$AQ$221,7,FALSE)</f>
        <v>14390</v>
      </c>
      <c r="I140" s="17">
        <f t="shared" si="9"/>
        <v>227.10292214577197</v>
      </c>
      <c r="J140" s="17">
        <f t="shared" si="10"/>
        <v>412.21050226496681</v>
      </c>
      <c r="K140" s="17">
        <f t="shared" si="11"/>
        <v>0</v>
      </c>
      <c r="L140" s="17">
        <f t="shared" si="12"/>
        <v>719.3899553187747</v>
      </c>
      <c r="M140" s="16">
        <f>IF(ISNUMBER(VLOOKUP($C140,'Justice Spend Total'!$C:$BA,35,FALSE)),VLOOKUP($C140,'Justice Spend Total'!$C:$BA,35,FALSE),"")</f>
        <v>3.3375040678071741</v>
      </c>
      <c r="N140" s="16">
        <f>IF(ISNUMBER(VLOOKUP($C140,'Justice Spend Total'!$C:$BA,36,FALSE)),VLOOKUP($C140,'Justice Spend Total'!$C:$BA,36,FALSE),"")</f>
        <v>6.0578446772212864</v>
      </c>
      <c r="O140" s="16">
        <f>IF(ISNUMBER(VLOOKUP($C140,'Justice Spend Total'!$C:$BA,37,FALSE)),VLOOKUP($C140,'Justice Spend Total'!$C:$BA,37,FALSE),"")</f>
        <v>0</v>
      </c>
      <c r="P140" s="16">
        <f>IF(ISNUMBER(VLOOKUP($C140,'Justice Spend Total'!$C:$BA,38,FALSE)),VLOOKUP($C140,'Justice Spend Total'!$C:$BA,38,FALSE),"")</f>
        <v>10.572153275398668</v>
      </c>
      <c r="Q140" s="15">
        <f>IF(ISNUMBER(VLOOKUP($C140,'Justice Spend Total'!$C:$BA,39,FALSE)),VLOOKUP($C140,'Justice Spend Total'!$C:$BA,39,FALSE),"")</f>
        <v>4.9992352697621598</v>
      </c>
      <c r="R140" s="22">
        <f>VLOOKUP($C140,'Justice Spend Total'!$C:$BA,40,FALSE)</f>
        <v>2019</v>
      </c>
      <c r="S140" s="15" t="str">
        <f>VLOOKUP($C140,'Justice Spend Total'!$C:$BA,41,FALSE)</f>
        <v>IMF COFOG</v>
      </c>
    </row>
    <row r="141" spans="1:19">
      <c r="A141">
        <v>139</v>
      </c>
      <c r="B141" t="s">
        <v>231</v>
      </c>
      <c r="C141" t="s">
        <v>565</v>
      </c>
      <c r="D141" t="s">
        <v>497</v>
      </c>
      <c r="E141" t="s">
        <v>494</v>
      </c>
      <c r="F141" s="17">
        <f>VLOOKUP(B141,'Justice Spend Total'!$B$4:$AQ$221,10,FALSE)</f>
        <v>0.755</v>
      </c>
      <c r="G141" s="15">
        <f>VLOOKUP(C141,'Justice Spend Total'!$C$4:$AQ$221,10,FALSE)</f>
        <v>20.405405405405403</v>
      </c>
      <c r="H141">
        <f>VLOOKUP(C141,'Justice Spend Total'!$C$4:$AQ$221,7,FALSE)</f>
        <v>14900</v>
      </c>
      <c r="I141" s="17" t="str">
        <f t="shared" si="9"/>
        <v/>
      </c>
      <c r="J141" s="17" t="str">
        <f t="shared" si="10"/>
        <v/>
      </c>
      <c r="K141" s="17" t="str">
        <f t="shared" si="11"/>
        <v/>
      </c>
      <c r="L141" s="17" t="str">
        <f t="shared" si="12"/>
        <v/>
      </c>
      <c r="M141" s="16" t="str">
        <f>IF(ISNUMBER(VLOOKUP($C141,'Justice Spend Total'!$C:$BA,35,FALSE)),VLOOKUP($C141,'Justice Spend Total'!$C:$BA,35,FALSE),"")</f>
        <v/>
      </c>
      <c r="N141" s="16" t="str">
        <f>IF(ISNUMBER(VLOOKUP($C141,'Justice Spend Total'!$C:$BA,36,FALSE)),VLOOKUP($C141,'Justice Spend Total'!$C:$BA,36,FALSE),"")</f>
        <v/>
      </c>
      <c r="O141" s="16" t="str">
        <f>IF(ISNUMBER(VLOOKUP($C141,'Justice Spend Total'!$C:$BA,37,FALSE)),VLOOKUP($C141,'Justice Spend Total'!$C:$BA,37,FALSE),"")</f>
        <v/>
      </c>
      <c r="P141" s="16" t="str">
        <f>IF(ISNUMBER(VLOOKUP($C141,'Justice Spend Total'!$C:$BA,38,FALSE)),VLOOKUP($C141,'Justice Spend Total'!$C:$BA,38,FALSE),"")</f>
        <v/>
      </c>
      <c r="Q141" s="15" t="str">
        <f>IF(ISNUMBER(VLOOKUP($C141,'Justice Spend Total'!$C:$BA,39,FALSE)),VLOOKUP($C141,'Justice Spend Total'!$C:$BA,39,FALSE),"")</f>
        <v/>
      </c>
      <c r="R141" s="22" t="str">
        <f>VLOOKUP($C141,'Justice Spend Total'!$C:$BA,40,FALSE)</f>
        <v xml:space="preserve"> </v>
      </c>
      <c r="S141" s="15" t="str">
        <f>VLOOKUP($C141,'Justice Spend Total'!$C:$BA,41,FALSE)</f>
        <v xml:space="preserve"> </v>
      </c>
    </row>
    <row r="142" spans="1:19">
      <c r="A142">
        <v>140</v>
      </c>
      <c r="B142" t="s">
        <v>232</v>
      </c>
      <c r="C142" t="s">
        <v>507</v>
      </c>
      <c r="D142" t="s">
        <v>497</v>
      </c>
      <c r="E142" t="s">
        <v>494</v>
      </c>
      <c r="F142" s="17">
        <f>VLOOKUP(B142,'Justice Spend Total'!$B$4:$AQ$221,10,FALSE)</f>
        <v>62283.95</v>
      </c>
      <c r="G142" s="15">
        <f>VLOOKUP(C142,'Justice Spend Total'!$C$4:$AQ$221,10,FALSE)</f>
        <v>25.895409635408434</v>
      </c>
      <c r="H142">
        <f>VLOOKUP(C142,'Justice Spend Total'!$C$4:$AQ$221,7,FALSE)</f>
        <v>15000</v>
      </c>
      <c r="I142" s="17">
        <f t="shared" si="9"/>
        <v>114.41510814123511</v>
      </c>
      <c r="J142" s="17">
        <f t="shared" si="10"/>
        <v>78.040524785211005</v>
      </c>
      <c r="K142" s="17">
        <f t="shared" si="11"/>
        <v>43.198603853344352</v>
      </c>
      <c r="L142" s="17">
        <f t="shared" si="12"/>
        <v>242.09689134730351</v>
      </c>
      <c r="M142" s="16">
        <f>IF(ISNUMBER(VLOOKUP($C142,'Justice Spend Total'!$C:$BA,35,FALSE)),VLOOKUP($C142,'Justice Spend Total'!$C:$BA,35,FALSE),"")</f>
        <v>2.94556988419003</v>
      </c>
      <c r="N142" s="16">
        <f>IF(ISNUMBER(VLOOKUP($C142,'Justice Spend Total'!$C:$BA,36,FALSE)),VLOOKUP($C142,'Justice Spend Total'!$C:$BA,36,FALSE),"")</f>
        <v>2.0091212016331328</v>
      </c>
      <c r="O142" s="16">
        <f>IF(ISNUMBER(VLOOKUP($C142,'Justice Spend Total'!$C:$BA,37,FALSE)),VLOOKUP($C142,'Justice Spend Total'!$C:$BA,37,FALSE),"")</f>
        <v>1.1121302825881583</v>
      </c>
      <c r="P142" s="16">
        <f>IF(ISNUMBER(VLOOKUP($C142,'Justice Spend Total'!$C:$BA,38,FALSE)),VLOOKUP($C142,'Justice Spend Total'!$C:$BA,38,FALSE),"")</f>
        <v>6.2326848594887405</v>
      </c>
      <c r="Q142" s="15">
        <f>IF(ISNUMBER(VLOOKUP($C142,'Justice Spend Total'!$C:$BA,39,FALSE)),VLOOKUP($C142,'Justice Spend Total'!$C:$BA,39,FALSE),"")</f>
        <v>1.6139792756486899</v>
      </c>
      <c r="R142" s="22">
        <f>VLOOKUP($C142,'Justice Spend Total'!$C:$BA,40,FALSE)</f>
        <v>2020</v>
      </c>
      <c r="S142" s="15" t="str">
        <f>VLOOKUP($C142,'Justice Spend Total'!$C:$BA,41,FALSE)</f>
        <v>IMF COFOG</v>
      </c>
    </row>
    <row r="143" spans="1:19">
      <c r="A143">
        <v>141</v>
      </c>
      <c r="B143" t="s">
        <v>233</v>
      </c>
      <c r="C143" t="s">
        <v>578</v>
      </c>
      <c r="D143" t="s">
        <v>487</v>
      </c>
      <c r="E143" t="s">
        <v>494</v>
      </c>
      <c r="F143" s="17">
        <f>VLOOKUP(B143,'Justice Spend Total'!$B$4:$AQ$221,10,FALSE)</f>
        <v>11.198</v>
      </c>
      <c r="G143" s="15">
        <f>VLOOKUP(C143,'Justice Spend Total'!$C$4:$AQ$221,10,FALSE)</f>
        <v>34.813156749362683</v>
      </c>
      <c r="H143">
        <f>VLOOKUP(C143,'Justice Spend Total'!$C$4:$AQ$221,7,FALSE)</f>
        <v>15030</v>
      </c>
      <c r="I143" s="17" t="str">
        <f t="shared" si="9"/>
        <v/>
      </c>
      <c r="J143" s="17" t="str">
        <f t="shared" si="10"/>
        <v/>
      </c>
      <c r="K143" s="17" t="str">
        <f t="shared" si="11"/>
        <v/>
      </c>
      <c r="L143" s="17" t="str">
        <f t="shared" si="12"/>
        <v/>
      </c>
      <c r="M143" s="16" t="str">
        <f>IF(ISNUMBER(VLOOKUP($C143,'Justice Spend Total'!$C:$BA,35,FALSE)),VLOOKUP($C143,'Justice Spend Total'!$C:$BA,35,FALSE),"")</f>
        <v/>
      </c>
      <c r="N143" s="16" t="str">
        <f>IF(ISNUMBER(VLOOKUP($C143,'Justice Spend Total'!$C:$BA,36,FALSE)),VLOOKUP($C143,'Justice Spend Total'!$C:$BA,36,FALSE),"")</f>
        <v/>
      </c>
      <c r="O143" s="16" t="str">
        <f>IF(ISNUMBER(VLOOKUP($C143,'Justice Spend Total'!$C:$BA,37,FALSE)),VLOOKUP($C143,'Justice Spend Total'!$C:$BA,37,FALSE),"")</f>
        <v/>
      </c>
      <c r="P143" s="16" t="str">
        <f>IF(ISNUMBER(VLOOKUP($C143,'Justice Spend Total'!$C:$BA,38,FALSE)),VLOOKUP($C143,'Justice Spend Total'!$C:$BA,38,FALSE),"")</f>
        <v/>
      </c>
      <c r="Q143" s="15" t="str">
        <f>IF(ISNUMBER(VLOOKUP($C143,'Justice Spend Total'!$C:$BA,39,FALSE)),VLOOKUP($C143,'Justice Spend Total'!$C:$BA,39,FALSE),"")</f>
        <v/>
      </c>
      <c r="R143" s="22" t="str">
        <f>VLOOKUP($C143,'Justice Spend Total'!$C:$BA,40,FALSE)</f>
        <v xml:space="preserve"> </v>
      </c>
      <c r="S143" s="15" t="str">
        <f>VLOOKUP($C143,'Justice Spend Total'!$C:$BA,41,FALSE)</f>
        <v xml:space="preserve"> </v>
      </c>
    </row>
    <row r="144" spans="1:19">
      <c r="A144">
        <v>142</v>
      </c>
      <c r="B144" t="s">
        <v>234</v>
      </c>
      <c r="C144" t="s">
        <v>585</v>
      </c>
      <c r="D144" t="s">
        <v>497</v>
      </c>
      <c r="E144" t="s">
        <v>494</v>
      </c>
      <c r="F144" s="17">
        <f>VLOOKUP(B144,'Justice Spend Total'!$B$4:$AQ$221,10,FALSE)</f>
        <v>36.149000000000001</v>
      </c>
      <c r="G144" s="15">
        <f>VLOOKUP(C144,'Justice Spend Total'!$C$4:$AQ$221,10,FALSE)</f>
        <v>25.003285446509473</v>
      </c>
      <c r="H144">
        <f>VLOOKUP(C144,'Justice Spend Total'!$C$4:$AQ$221,7,FALSE)</f>
        <v>15070</v>
      </c>
      <c r="I144" s="17" t="str">
        <f t="shared" si="9"/>
        <v/>
      </c>
      <c r="J144" s="17" t="str">
        <f t="shared" si="10"/>
        <v/>
      </c>
      <c r="K144" s="17" t="str">
        <f t="shared" si="11"/>
        <v/>
      </c>
      <c r="L144" s="17" t="str">
        <f t="shared" si="12"/>
        <v/>
      </c>
      <c r="M144" s="16" t="str">
        <f>IF(ISNUMBER(VLOOKUP($C144,'Justice Spend Total'!$C:$BA,35,FALSE)),VLOOKUP($C144,'Justice Spend Total'!$C:$BA,35,FALSE),"")</f>
        <v/>
      </c>
      <c r="N144" s="16" t="str">
        <f>IF(ISNUMBER(VLOOKUP($C144,'Justice Spend Total'!$C:$BA,36,FALSE)),VLOOKUP($C144,'Justice Spend Total'!$C:$BA,36,FALSE),"")</f>
        <v/>
      </c>
      <c r="O144" s="16" t="str">
        <f>IF(ISNUMBER(VLOOKUP($C144,'Justice Spend Total'!$C:$BA,37,FALSE)),VLOOKUP($C144,'Justice Spend Total'!$C:$BA,37,FALSE),"")</f>
        <v/>
      </c>
      <c r="P144" s="16" t="str">
        <f>IF(ISNUMBER(VLOOKUP($C144,'Justice Spend Total'!$C:$BA,38,FALSE)),VLOOKUP($C144,'Justice Spend Total'!$C:$BA,38,FALSE),"")</f>
        <v/>
      </c>
      <c r="Q144" s="15" t="str">
        <f>IF(ISNUMBER(VLOOKUP($C144,'Justice Spend Total'!$C:$BA,39,FALSE)),VLOOKUP($C144,'Justice Spend Total'!$C:$BA,39,FALSE),"")</f>
        <v/>
      </c>
      <c r="R144" s="22" t="str">
        <f>VLOOKUP($C144,'Justice Spend Total'!$C:$BA,40,FALSE)</f>
        <v xml:space="preserve"> </v>
      </c>
      <c r="S144" s="15" t="str">
        <f>VLOOKUP($C144,'Justice Spend Total'!$C:$BA,41,FALSE)</f>
        <v xml:space="preserve"> </v>
      </c>
    </row>
    <row r="145" spans="1:19">
      <c r="A145">
        <v>143</v>
      </c>
      <c r="B145" t="s">
        <v>235</v>
      </c>
      <c r="C145" t="s">
        <v>589</v>
      </c>
      <c r="D145" t="s">
        <v>497</v>
      </c>
      <c r="E145" t="s">
        <v>494</v>
      </c>
      <c r="F145" s="17">
        <f>VLOOKUP(B145,'Justice Spend Total'!$B$4:$AQ$221,10,FALSE)</f>
        <v>731.40099999999995</v>
      </c>
      <c r="G145" s="15">
        <f>VLOOKUP(C145,'Justice Spend Total'!$C$4:$AQ$221,10,FALSE)</f>
        <v>28.309922393605696</v>
      </c>
      <c r="H145">
        <f>VLOOKUP(C145,'Justice Spend Total'!$C$4:$AQ$221,7,FALSE)</f>
        <v>15800</v>
      </c>
      <c r="I145" s="17" t="str">
        <f t="shared" si="9"/>
        <v/>
      </c>
      <c r="J145" s="17" t="str">
        <f t="shared" si="10"/>
        <v/>
      </c>
      <c r="K145" s="17" t="str">
        <f t="shared" si="11"/>
        <v/>
      </c>
      <c r="L145" s="17" t="str">
        <f t="shared" si="12"/>
        <v/>
      </c>
      <c r="M145" s="16" t="str">
        <f>IF(ISNUMBER(VLOOKUP($C145,'Justice Spend Total'!$C:$BA,35,FALSE)),VLOOKUP($C145,'Justice Spend Total'!$C:$BA,35,FALSE),"")</f>
        <v/>
      </c>
      <c r="N145" s="16" t="str">
        <f>IF(ISNUMBER(VLOOKUP($C145,'Justice Spend Total'!$C:$BA,36,FALSE)),VLOOKUP($C145,'Justice Spend Total'!$C:$BA,36,FALSE),"")</f>
        <v/>
      </c>
      <c r="O145" s="16" t="str">
        <f>IF(ISNUMBER(VLOOKUP($C145,'Justice Spend Total'!$C:$BA,37,FALSE)),VLOOKUP($C145,'Justice Spend Total'!$C:$BA,37,FALSE),"")</f>
        <v/>
      </c>
      <c r="P145" s="16" t="str">
        <f>IF(ISNUMBER(VLOOKUP($C145,'Justice Spend Total'!$C:$BA,38,FALSE)),VLOOKUP($C145,'Justice Spend Total'!$C:$BA,38,FALSE),"")</f>
        <v/>
      </c>
      <c r="Q145" s="15" t="str">
        <f>IF(ISNUMBER(VLOOKUP($C145,'Justice Spend Total'!$C:$BA,39,FALSE)),VLOOKUP($C145,'Justice Spend Total'!$C:$BA,39,FALSE),"")</f>
        <v/>
      </c>
      <c r="R145" s="22" t="str">
        <f>VLOOKUP($C145,'Justice Spend Total'!$C:$BA,40,FALSE)</f>
        <v xml:space="preserve"> </v>
      </c>
      <c r="S145" s="15" t="str">
        <f>VLOOKUP($C145,'Justice Spend Total'!$C:$BA,41,FALSE)</f>
        <v xml:space="preserve"> </v>
      </c>
    </row>
    <row r="146" spans="1:19">
      <c r="A146">
        <v>144</v>
      </c>
      <c r="B146" t="s">
        <v>236</v>
      </c>
      <c r="C146" t="s">
        <v>517</v>
      </c>
      <c r="D146" t="s">
        <v>497</v>
      </c>
      <c r="E146" t="s">
        <v>494</v>
      </c>
      <c r="F146" s="17" t="str">
        <f>VLOOKUP(B146,'Justice Spend Total'!$B$4:$AQ$221,10,FALSE)</f>
        <v xml:space="preserve"> </v>
      </c>
      <c r="G146" s="15" t="str">
        <f>VLOOKUP(C146,'Justice Spend Total'!$C$4:$AQ$221,10,FALSE)</f>
        <v xml:space="preserve"> </v>
      </c>
      <c r="H146">
        <f>VLOOKUP(C146,'Justice Spend Total'!$C$4:$AQ$221,7,FALSE)</f>
        <v>16560</v>
      </c>
      <c r="I146" s="17" t="str">
        <f t="shared" si="9"/>
        <v/>
      </c>
      <c r="J146" s="17" t="str">
        <f t="shared" si="10"/>
        <v/>
      </c>
      <c r="K146" s="17" t="str">
        <f t="shared" si="11"/>
        <v/>
      </c>
      <c r="L146" s="17" t="str">
        <f t="shared" si="12"/>
        <v/>
      </c>
      <c r="M146" s="16" t="str">
        <f>IF(ISNUMBER(VLOOKUP($C146,'Justice Spend Total'!$C:$BA,35,FALSE)),VLOOKUP($C146,'Justice Spend Total'!$C:$BA,35,FALSE),"")</f>
        <v/>
      </c>
      <c r="N146" s="16" t="str">
        <f>IF(ISNUMBER(VLOOKUP($C146,'Justice Spend Total'!$C:$BA,36,FALSE)),VLOOKUP($C146,'Justice Spend Total'!$C:$BA,36,FALSE),"")</f>
        <v/>
      </c>
      <c r="O146" s="16" t="str">
        <f>IF(ISNUMBER(VLOOKUP($C146,'Justice Spend Total'!$C:$BA,37,FALSE)),VLOOKUP($C146,'Justice Spend Total'!$C:$BA,37,FALSE),"")</f>
        <v/>
      </c>
      <c r="P146" s="16" t="str">
        <f>IF(ISNUMBER(VLOOKUP($C146,'Justice Spend Total'!$C:$BA,38,FALSE)),VLOOKUP($C146,'Justice Spend Total'!$C:$BA,38,FALSE),"")</f>
        <v/>
      </c>
      <c r="Q146" s="15" t="str">
        <f>IF(ISNUMBER(VLOOKUP($C146,'Justice Spend Total'!$C:$BA,39,FALSE)),VLOOKUP($C146,'Justice Spend Total'!$C:$BA,39,FALSE),"")</f>
        <v/>
      </c>
      <c r="R146" s="22" t="str">
        <f>VLOOKUP($C146,'Justice Spend Total'!$C:$BA,40,FALSE)</f>
        <v xml:space="preserve"> </v>
      </c>
      <c r="S146" s="15" t="str">
        <f>VLOOKUP($C146,'Justice Spend Total'!$C:$BA,41,FALSE)</f>
        <v xml:space="preserve"> </v>
      </c>
    </row>
    <row r="147" spans="1:19">
      <c r="A147">
        <v>145</v>
      </c>
      <c r="B147" t="s">
        <v>75</v>
      </c>
      <c r="C147" t="s">
        <v>441</v>
      </c>
      <c r="D147" t="s">
        <v>485</v>
      </c>
      <c r="E147" t="s">
        <v>494</v>
      </c>
      <c r="F147" s="17">
        <f>VLOOKUP(B147,'Justice Spend Total'!$B$4:$AQ$221,10,FALSE)</f>
        <v>966.27499999999998</v>
      </c>
      <c r="G147" s="15">
        <f>VLOOKUP(C147,'Justice Spend Total'!$C$4:$AQ$221,10,FALSE)</f>
        <v>41.530563124822713</v>
      </c>
      <c r="H147">
        <f>VLOOKUP(C147,'Justice Spend Total'!$C$4:$AQ$221,7,FALSE)</f>
        <v>16670</v>
      </c>
      <c r="I147" s="17">
        <f t="shared" si="9"/>
        <v>190.95348099002609</v>
      </c>
      <c r="J147" s="17">
        <f t="shared" si="10"/>
        <v>93.054594607504171</v>
      </c>
      <c r="K147" s="17">
        <f t="shared" si="11"/>
        <v>40.047800963827875</v>
      </c>
      <c r="L147" s="17">
        <f t="shared" si="12"/>
        <v>391.1539861024263</v>
      </c>
      <c r="M147" s="16">
        <f>IF(ISNUMBER(VLOOKUP($C147,'Justice Spend Total'!$C:$BA,35,FALSE)),VLOOKUP($C147,'Justice Spend Total'!$C:$BA,35,FALSE),"")</f>
        <v>2.758189876067398</v>
      </c>
      <c r="N147" s="16">
        <f>IF(ISNUMBER(VLOOKUP($C147,'Justice Spend Total'!$C:$BA,36,FALSE)),VLOOKUP($C147,'Justice Spend Total'!$C:$BA,36,FALSE),"")</f>
        <v>1.3441087297140182</v>
      </c>
      <c r="O147" s="16">
        <f>IF(ISNUMBER(VLOOKUP($C147,'Justice Spend Total'!$C:$BA,37,FALSE)),VLOOKUP($C147,'Justice Spend Total'!$C:$BA,37,FALSE),"")</f>
        <v>0.57846255854828732</v>
      </c>
      <c r="P147" s="16">
        <f>IF(ISNUMBER(VLOOKUP($C147,'Justice Spend Total'!$C:$BA,38,FALSE)),VLOOKUP($C147,'Justice Spend Total'!$C:$BA,38,FALSE),"")</f>
        <v>5.6499465673918348</v>
      </c>
      <c r="Q147" s="15">
        <f>IF(ISNUMBER(VLOOKUP($C147,'Justice Spend Total'!$C:$BA,39,FALSE)),VLOOKUP($C147,'Justice Spend Total'!$C:$BA,39,FALSE),"")</f>
        <v>2.3464546256894199</v>
      </c>
      <c r="R147" s="22">
        <f>VLOOKUP($C147,'Justice Spend Total'!$C:$BA,40,FALSE)</f>
        <v>2020</v>
      </c>
      <c r="S147" s="15" t="str">
        <f>VLOOKUP($C147,'Justice Spend Total'!$C:$BA,41,FALSE)</f>
        <v>IMF COFOG</v>
      </c>
    </row>
    <row r="148" spans="1:19">
      <c r="A148">
        <v>146</v>
      </c>
      <c r="B148" t="s">
        <v>237</v>
      </c>
      <c r="C148" t="s">
        <v>566</v>
      </c>
      <c r="D148" t="s">
        <v>497</v>
      </c>
      <c r="E148" t="s">
        <v>494</v>
      </c>
      <c r="F148" s="17">
        <f>VLOOKUP(B148,'Justice Spend Total'!$B$4:$AQ$221,10,FALSE)</f>
        <v>2.702</v>
      </c>
      <c r="G148" s="15">
        <f>VLOOKUP(C148,'Justice Spend Total'!$C$4:$AQ$221,10,FALSE)</f>
        <v>28.88603805858456</v>
      </c>
      <c r="H148">
        <f>VLOOKUP(C148,'Justice Spend Total'!$C$4:$AQ$221,7,FALSE)</f>
        <v>16720</v>
      </c>
      <c r="I148" s="17" t="str">
        <f t="shared" si="9"/>
        <v/>
      </c>
      <c r="J148" s="17" t="str">
        <f t="shared" si="10"/>
        <v/>
      </c>
      <c r="K148" s="17" t="str">
        <f t="shared" si="11"/>
        <v/>
      </c>
      <c r="L148" s="17" t="str">
        <f t="shared" si="12"/>
        <v/>
      </c>
      <c r="M148" s="16" t="str">
        <f>IF(ISNUMBER(VLOOKUP($C148,'Justice Spend Total'!$C:$BA,35,FALSE)),VLOOKUP($C148,'Justice Spend Total'!$C:$BA,35,FALSE),"")</f>
        <v/>
      </c>
      <c r="N148" s="16" t="str">
        <f>IF(ISNUMBER(VLOOKUP($C148,'Justice Spend Total'!$C:$BA,36,FALSE)),VLOOKUP($C148,'Justice Spend Total'!$C:$BA,36,FALSE),"")</f>
        <v/>
      </c>
      <c r="O148" s="16" t="str">
        <f>IF(ISNUMBER(VLOOKUP($C148,'Justice Spend Total'!$C:$BA,37,FALSE)),VLOOKUP($C148,'Justice Spend Total'!$C:$BA,37,FALSE),"")</f>
        <v/>
      </c>
      <c r="P148" s="16" t="str">
        <f>IF(ISNUMBER(VLOOKUP($C148,'Justice Spend Total'!$C:$BA,38,FALSE)),VLOOKUP($C148,'Justice Spend Total'!$C:$BA,38,FALSE),"")</f>
        <v/>
      </c>
      <c r="Q148" s="15" t="str">
        <f>IF(ISNUMBER(VLOOKUP($C148,'Justice Spend Total'!$C:$BA,39,FALSE)),VLOOKUP($C148,'Justice Spend Total'!$C:$BA,39,FALSE),"")</f>
        <v/>
      </c>
      <c r="R148" s="22" t="str">
        <f>VLOOKUP($C148,'Justice Spend Total'!$C:$BA,40,FALSE)</f>
        <v xml:space="preserve"> </v>
      </c>
      <c r="S148" s="15" t="str">
        <f>VLOOKUP($C148,'Justice Spend Total'!$C:$BA,41,FALSE)</f>
        <v xml:space="preserve"> </v>
      </c>
    </row>
    <row r="149" spans="1:19">
      <c r="A149">
        <v>147</v>
      </c>
      <c r="B149" t="s">
        <v>238</v>
      </c>
      <c r="C149" t="s">
        <v>509</v>
      </c>
      <c r="D149" t="s">
        <v>485</v>
      </c>
      <c r="E149" t="s">
        <v>494</v>
      </c>
      <c r="F149" s="17">
        <f>VLOOKUP(B149,'Justice Spend Total'!$B$4:$AQ$221,10,FALSE)</f>
        <v>178.304</v>
      </c>
      <c r="G149" s="15">
        <f>VLOOKUP(C149,'Justice Spend Total'!$C$4:$AQ$221,10,FALSE)</f>
        <v>47.126609946848298</v>
      </c>
      <c r="H149">
        <f>VLOOKUP(C149,'Justice Spend Total'!$C$4:$AQ$221,7,FALSE)</f>
        <v>17150</v>
      </c>
      <c r="I149" s="17">
        <f t="shared" si="9"/>
        <v>240.93235082742072</v>
      </c>
      <c r="J149" s="17">
        <f t="shared" si="10"/>
        <v>88.357334004457456</v>
      </c>
      <c r="K149" s="17">
        <f t="shared" si="11"/>
        <v>26.787884909398247</v>
      </c>
      <c r="L149" s="17">
        <f t="shared" si="12"/>
        <v>427.50440505927111</v>
      </c>
      <c r="M149" s="16">
        <f>IF(ISNUMBER(VLOOKUP($C149,'Justice Spend Total'!$C:$BA,35,FALSE)),VLOOKUP($C149,'Justice Spend Total'!$C:$BA,35,FALSE),"")</f>
        <v>2.9810193416813826</v>
      </c>
      <c r="N149" s="16">
        <f>IF(ISNUMBER(VLOOKUP($C149,'Justice Spend Total'!$C:$BA,36,FALSE)),VLOOKUP($C149,'Justice Spend Total'!$C:$BA,36,FALSE),"")</f>
        <v>1.0932318584122354</v>
      </c>
      <c r="O149" s="16">
        <f>IF(ISNUMBER(VLOOKUP($C149,'Justice Spend Total'!$C:$BA,37,FALSE)),VLOOKUP($C149,'Justice Spend Total'!$C:$BA,37,FALSE),"")</f>
        <v>0.33144242673683572</v>
      </c>
      <c r="P149" s="16">
        <f>IF(ISNUMBER(VLOOKUP($C149,'Justice Spend Total'!$C:$BA,38,FALSE)),VLOOKUP($C149,'Justice Spend Total'!$C:$BA,38,FALSE),"")</f>
        <v>5.2894469993717381</v>
      </c>
      <c r="Q149" s="15">
        <f>IF(ISNUMBER(VLOOKUP($C149,'Justice Spend Total'!$C:$BA,39,FALSE)),VLOOKUP($C149,'Justice Spend Total'!$C:$BA,39,FALSE),"")</f>
        <v>2.4927370557391901</v>
      </c>
      <c r="R149" s="22">
        <f>VLOOKUP($C149,'Justice Spend Total'!$C:$BA,40,FALSE)</f>
        <v>2020</v>
      </c>
      <c r="S149" s="15" t="str">
        <f>VLOOKUP($C149,'Justice Spend Total'!$C:$BA,41,FALSE)</f>
        <v>IMF COFOG</v>
      </c>
    </row>
    <row r="150" spans="1:19">
      <c r="A150">
        <v>148</v>
      </c>
      <c r="B150" t="s">
        <v>68</v>
      </c>
      <c r="C150" t="s">
        <v>442</v>
      </c>
      <c r="D150" t="s">
        <v>485</v>
      </c>
      <c r="E150" t="s">
        <v>494</v>
      </c>
      <c r="F150" s="17">
        <f>VLOOKUP(B150,'Justice Spend Total'!$B$4:$AQ$221,10,FALSE)</f>
        <v>20774.79</v>
      </c>
      <c r="G150" s="15">
        <f>VLOOKUP(C150,'Justice Spend Total'!$C$4:$AQ$221,10,FALSE)</f>
        <v>43.291202388573261</v>
      </c>
      <c r="H150">
        <f>VLOOKUP(C150,'Justice Spend Total'!$C$4:$AQ$221,7,FALSE)</f>
        <v>17740</v>
      </c>
      <c r="I150" s="17">
        <f t="shared" si="9"/>
        <v>214.6629449705847</v>
      </c>
      <c r="J150" s="17">
        <f t="shared" si="10"/>
        <v>74.863386224690672</v>
      </c>
      <c r="K150" s="17">
        <f t="shared" si="11"/>
        <v>51.654803856402147</v>
      </c>
      <c r="L150" s="17">
        <f t="shared" si="12"/>
        <v>382.66609053197095</v>
      </c>
      <c r="M150" s="16">
        <f>IF(ISNUMBER(VLOOKUP($C150,'Justice Spend Total'!$C:$BA,35,FALSE)),VLOOKUP($C150,'Justice Spend Total'!$C:$BA,35,FALSE),"")</f>
        <v>2.7951416358141477</v>
      </c>
      <c r="N150" s="16">
        <f>IF(ISNUMBER(VLOOKUP($C150,'Justice Spend Total'!$C:$BA,36,FALSE)),VLOOKUP($C150,'Justice Spend Total'!$C:$BA,36,FALSE),"")</f>
        <v>0.97480153299556327</v>
      </c>
      <c r="O150" s="16">
        <f>IF(ISNUMBER(VLOOKUP($C150,'Justice Spend Total'!$C:$BA,37,FALSE)),VLOOKUP($C150,'Justice Spend Total'!$C:$BA,37,FALSE),"")</f>
        <v>0.67260091381224452</v>
      </c>
      <c r="P150" s="16">
        <f>IF(ISNUMBER(VLOOKUP($C150,'Justice Spend Total'!$C:$BA,38,FALSE)),VLOOKUP($C150,'Justice Spend Total'!$C:$BA,38,FALSE),"")</f>
        <v>4.9827226697495757</v>
      </c>
      <c r="Q150" s="15">
        <f>IF(ISNUMBER(VLOOKUP($C150,'Justice Spend Total'!$C:$BA,39,FALSE)),VLOOKUP($C150,'Justice Spend Total'!$C:$BA,39,FALSE),"")</f>
        <v>2.1570805554226098</v>
      </c>
      <c r="R150" s="22">
        <f>VLOOKUP($C150,'Justice Spend Total'!$C:$BA,40,FALSE)</f>
        <v>2020</v>
      </c>
      <c r="S150" s="15" t="str">
        <f>VLOOKUP($C150,'Justice Spend Total'!$C:$BA,41,FALSE)</f>
        <v>IMF COFOG</v>
      </c>
    </row>
    <row r="151" spans="1:19">
      <c r="A151">
        <v>149</v>
      </c>
      <c r="B151" t="s">
        <v>239</v>
      </c>
      <c r="C151" t="s">
        <v>583</v>
      </c>
      <c r="D151" t="s">
        <v>497</v>
      </c>
      <c r="E151" t="s">
        <v>494</v>
      </c>
      <c r="F151" s="17">
        <f>VLOOKUP(B151,'Justice Spend Total'!$B$4:$AQ$221,10,FALSE)</f>
        <v>1.085</v>
      </c>
      <c r="G151" s="15">
        <f>VLOOKUP(C151,'Justice Spend Total'!$C$4:$AQ$221,10,FALSE)</f>
        <v>42.283710054559627</v>
      </c>
      <c r="H151">
        <f>VLOOKUP(C151,'Justice Spend Total'!$C$4:$AQ$221,7,FALSE)</f>
        <v>18560</v>
      </c>
      <c r="I151" s="17" t="str">
        <f t="shared" si="9"/>
        <v/>
      </c>
      <c r="J151" s="17" t="str">
        <f t="shared" si="10"/>
        <v/>
      </c>
      <c r="K151" s="17" t="str">
        <f t="shared" si="11"/>
        <v/>
      </c>
      <c r="L151" s="17" t="str">
        <f t="shared" si="12"/>
        <v/>
      </c>
      <c r="M151" s="16" t="str">
        <f>IF(ISNUMBER(VLOOKUP($C151,'Justice Spend Total'!$C:$BA,35,FALSE)),VLOOKUP($C151,'Justice Spend Total'!$C:$BA,35,FALSE),"")</f>
        <v/>
      </c>
      <c r="N151" s="16" t="str">
        <f>IF(ISNUMBER(VLOOKUP($C151,'Justice Spend Total'!$C:$BA,36,FALSE)),VLOOKUP($C151,'Justice Spend Total'!$C:$BA,36,FALSE),"")</f>
        <v/>
      </c>
      <c r="O151" s="16" t="str">
        <f>IF(ISNUMBER(VLOOKUP($C151,'Justice Spend Total'!$C:$BA,37,FALSE)),VLOOKUP($C151,'Justice Spend Total'!$C:$BA,37,FALSE),"")</f>
        <v/>
      </c>
      <c r="P151" s="16" t="str">
        <f>IF(ISNUMBER(VLOOKUP($C151,'Justice Spend Total'!$C:$BA,38,FALSE)),VLOOKUP($C151,'Justice Spend Total'!$C:$BA,38,FALSE),"")</f>
        <v/>
      </c>
      <c r="Q151" s="15" t="str">
        <f>IF(ISNUMBER(VLOOKUP($C151,'Justice Spend Total'!$C:$BA,39,FALSE)),VLOOKUP($C151,'Justice Spend Total'!$C:$BA,39,FALSE),"")</f>
        <v/>
      </c>
      <c r="R151" s="22" t="str">
        <f>VLOOKUP($C151,'Justice Spend Total'!$C:$BA,40,FALSE)</f>
        <v xml:space="preserve"> </v>
      </c>
      <c r="S151" s="15" t="str">
        <f>VLOOKUP($C151,'Justice Spend Total'!$C:$BA,41,FALSE)</f>
        <v xml:space="preserve"> </v>
      </c>
    </row>
    <row r="152" spans="1:19">
      <c r="A152">
        <v>150</v>
      </c>
      <c r="B152" t="s">
        <v>240</v>
      </c>
      <c r="C152" t="s">
        <v>534</v>
      </c>
      <c r="D152" t="s">
        <v>485</v>
      </c>
      <c r="E152" t="s">
        <v>494</v>
      </c>
      <c r="F152" s="17">
        <f>VLOOKUP(B152,'Justice Spend Total'!$B$4:$AQ$221,10,FALSE)</f>
        <v>11.321</v>
      </c>
      <c r="G152" s="15">
        <f>VLOOKUP(C152,'Justice Spend Total'!$C$4:$AQ$221,10,FALSE)</f>
        <v>38.432291136232472</v>
      </c>
      <c r="H152">
        <f>VLOOKUP(C152,'Justice Spend Total'!$C$4:$AQ$221,7,FALSE)</f>
        <v>19370</v>
      </c>
      <c r="I152" s="17">
        <f t="shared" si="9"/>
        <v>232.5079818629595</v>
      </c>
      <c r="J152" s="17">
        <f t="shared" si="10"/>
        <v>92.634466811963236</v>
      </c>
      <c r="K152" s="17">
        <f t="shared" si="11"/>
        <v>38.69245125895533</v>
      </c>
      <c r="L152" s="17">
        <f t="shared" si="12"/>
        <v>442.94853542666721</v>
      </c>
      <c r="M152" s="16">
        <f>IF(ISNUMBER(VLOOKUP($C152,'Justice Spend Total'!$C:$BA,35,FALSE)),VLOOKUP($C152,'Justice Spend Total'!$C:$BA,35,FALSE),"")</f>
        <v>3.1232875512105385</v>
      </c>
      <c r="N152" s="16">
        <f>IF(ISNUMBER(VLOOKUP($C152,'Justice Spend Total'!$C:$BA,36,FALSE)),VLOOKUP($C152,'Justice Spend Total'!$C:$BA,36,FALSE),"")</f>
        <v>1.2443619126046115</v>
      </c>
      <c r="O152" s="16">
        <f>IF(ISNUMBER(VLOOKUP($C152,'Justice Spend Total'!$C:$BA,37,FALSE)),VLOOKUP($C152,'Justice Spend Total'!$C:$BA,37,FALSE),"")</f>
        <v>0.51975700091940702</v>
      </c>
      <c r="P152" s="16">
        <f>IF(ISNUMBER(VLOOKUP($C152,'Justice Spend Total'!$C:$BA,38,FALSE)),VLOOKUP($C152,'Justice Spend Total'!$C:$BA,38,FALSE),"")</f>
        <v>5.9501425948484661</v>
      </c>
      <c r="Q152" s="15">
        <f>IF(ISNUMBER(VLOOKUP($C152,'Justice Spend Total'!$C:$BA,39,FALSE)),VLOOKUP($C152,'Justice Spend Total'!$C:$BA,39,FALSE),"")</f>
        <v>2.28677612507314</v>
      </c>
      <c r="R152" s="22">
        <f>VLOOKUP($C152,'Justice Spend Total'!$C:$BA,40,FALSE)</f>
        <v>2020</v>
      </c>
      <c r="S152" s="15" t="str">
        <f>VLOOKUP($C152,'Justice Spend Total'!$C:$BA,41,FALSE)</f>
        <v>IMF COFOG</v>
      </c>
    </row>
    <row r="153" spans="1:19">
      <c r="A153">
        <v>151</v>
      </c>
      <c r="B153" t="s">
        <v>241</v>
      </c>
      <c r="C153" t="s">
        <v>545</v>
      </c>
      <c r="D153" t="s">
        <v>493</v>
      </c>
      <c r="E153" t="s">
        <v>494</v>
      </c>
      <c r="F153" s="17">
        <f>VLOOKUP(B153,'Justice Spend Total'!$B$4:$AQ$221,10,FALSE)</f>
        <v>0.32</v>
      </c>
      <c r="G153" s="15">
        <f>VLOOKUP(C153,'Justice Spend Total'!$C$4:$AQ$221,10,FALSE)</f>
        <v>178.77094972067042</v>
      </c>
      <c r="H153">
        <f>VLOOKUP(C153,'Justice Spend Total'!$C$4:$AQ$221,7,FALSE)</f>
        <v>19470</v>
      </c>
      <c r="I153" s="17">
        <f t="shared" si="9"/>
        <v>343.09594369135948</v>
      </c>
      <c r="J153" s="17">
        <f t="shared" si="10"/>
        <v>601.04662386687528</v>
      </c>
      <c r="K153" s="17">
        <f t="shared" si="11"/>
        <v>74.568759863651707</v>
      </c>
      <c r="L153" s="17">
        <f t="shared" si="12"/>
        <v>3227.4242796239887</v>
      </c>
      <c r="M153" s="16">
        <f>IF(ISNUMBER(VLOOKUP($C153,'Justice Spend Total'!$C:$BA,35,FALSE)),VLOOKUP($C153,'Justice Spend Total'!$C:$BA,35,FALSE),"")</f>
        <v>0.98571799436237373</v>
      </c>
      <c r="N153" s="16">
        <f>IF(ISNUMBER(VLOOKUP($C153,'Justice Spend Total'!$C:$BA,36,FALSE)),VLOOKUP($C153,'Justice Spend Total'!$C:$BA,36,FALSE),"")</f>
        <v>1.7268128157449065</v>
      </c>
      <c r="O153" s="16">
        <f>IF(ISNUMBER(VLOOKUP($C153,'Justice Spend Total'!$C:$BA,37,FALSE)),VLOOKUP($C153,'Justice Spend Total'!$C:$BA,37,FALSE),"")</f>
        <v>0.21423677477519346</v>
      </c>
      <c r="P153" s="16">
        <f>IF(ISNUMBER(VLOOKUP($C153,'Justice Spend Total'!$C:$BA,38,FALSE)),VLOOKUP($C153,'Justice Spend Total'!$C:$BA,38,FALSE),"")</f>
        <v>9.2724214505119065</v>
      </c>
      <c r="Q153" s="15">
        <f>IF(ISNUMBER(VLOOKUP($C153,'Justice Spend Total'!$C:$BA,39,FALSE)),VLOOKUP($C153,'Justice Spend Total'!$C:$BA,39,FALSE),"")</f>
        <v>16.576395889183299</v>
      </c>
      <c r="R153" s="22">
        <f>VLOOKUP($C153,'Justice Spend Total'!$C:$BA,40,FALSE)</f>
        <v>2018</v>
      </c>
      <c r="S153" s="15" t="str">
        <f>VLOOKUP($C153,'Justice Spend Total'!$C:$BA,41,FALSE)</f>
        <v>IMF COFOG</v>
      </c>
    </row>
    <row r="154" spans="1:19">
      <c r="A154">
        <v>152</v>
      </c>
      <c r="B154" t="s">
        <v>242</v>
      </c>
      <c r="C154" t="s">
        <v>500</v>
      </c>
      <c r="D154" t="s">
        <v>487</v>
      </c>
      <c r="E154" t="s">
        <v>494</v>
      </c>
      <c r="F154" s="17">
        <f>VLOOKUP(B154,'Justice Spend Total'!$B$4:$AQ$221,10,FALSE)</f>
        <v>2.3290000000000002</v>
      </c>
      <c r="G154" s="15">
        <f>VLOOKUP(C154,'Justice Spend Total'!$C$4:$AQ$221,10,FALSE)</f>
        <v>17.838541666666668</v>
      </c>
      <c r="H154">
        <f>VLOOKUP(C154,'Justice Spend Total'!$C$4:$AQ$221,7,FALSE)</f>
        <v>19930</v>
      </c>
      <c r="I154" s="17" t="str">
        <f t="shared" si="9"/>
        <v/>
      </c>
      <c r="J154" s="17" t="str">
        <f t="shared" si="10"/>
        <v/>
      </c>
      <c r="K154" s="17" t="str">
        <f t="shared" si="11"/>
        <v/>
      </c>
      <c r="L154" s="17">
        <f t="shared" si="12"/>
        <v>696.65085564019796</v>
      </c>
      <c r="M154" s="16" t="str">
        <f>IF(ISNUMBER(VLOOKUP($C154,'Justice Spend Total'!$C:$BA,35,FALSE)),VLOOKUP($C154,'Justice Spend Total'!$C:$BA,35,FALSE),"")</f>
        <v/>
      </c>
      <c r="N154" s="16" t="str">
        <f>IF(ISNUMBER(VLOOKUP($C154,'Justice Spend Total'!$C:$BA,36,FALSE)),VLOOKUP($C154,'Justice Spend Total'!$C:$BA,36,FALSE),"")</f>
        <v/>
      </c>
      <c r="O154" s="16" t="str">
        <f>IF(ISNUMBER(VLOOKUP($C154,'Justice Spend Total'!$C:$BA,37,FALSE)),VLOOKUP($C154,'Justice Spend Total'!$C:$BA,37,FALSE),"")</f>
        <v/>
      </c>
      <c r="P154" s="16">
        <f>IF(ISNUMBER(VLOOKUP($C154,'Justice Spend Total'!$C:$BA,38,FALSE)),VLOOKUP($C154,'Justice Spend Total'!$C:$BA,38,FALSE),"")</f>
        <v>19.595147143896778</v>
      </c>
      <c r="Q154" s="15">
        <f>IF(ISNUMBER(VLOOKUP($C154,'Justice Spend Total'!$C:$BA,39,FALSE)),VLOOKUP($C154,'Justice Spend Total'!$C:$BA,39,FALSE),"")</f>
        <v>3.4954884879086698</v>
      </c>
      <c r="R154" s="22">
        <f>VLOOKUP($C154,'Justice Spend Total'!$C:$BA,40,FALSE)</f>
        <v>2020</v>
      </c>
      <c r="S154" s="15" t="str">
        <f>VLOOKUP($C154,'Justice Spend Total'!$C:$BA,41,FALSE)</f>
        <v>IMF COFOG</v>
      </c>
    </row>
    <row r="155" spans="1:19">
      <c r="A155">
        <v>153</v>
      </c>
      <c r="B155" t="s">
        <v>65</v>
      </c>
      <c r="C155" t="s">
        <v>443</v>
      </c>
      <c r="D155" t="s">
        <v>485</v>
      </c>
      <c r="E155" t="s">
        <v>494</v>
      </c>
      <c r="F155" s="17">
        <f>VLOOKUP(B155,'Justice Spend Total'!$B$4:$AQ$221,10,FALSE)</f>
        <v>89.81</v>
      </c>
      <c r="G155" s="15">
        <f>VLOOKUP(C155,'Justice Spend Total'!$C$4:$AQ$221,10,FALSE)</f>
        <v>49.122135316961106</v>
      </c>
      <c r="H155">
        <f>VLOOKUP(C155,'Justice Spend Total'!$C$4:$AQ$221,7,FALSE)</f>
        <v>20140</v>
      </c>
      <c r="I155" s="17">
        <f t="shared" si="9"/>
        <v>305.08158957969061</v>
      </c>
      <c r="J155" s="17">
        <f t="shared" si="10"/>
        <v>80.399686425857823</v>
      </c>
      <c r="K155" s="17">
        <f t="shared" si="11"/>
        <v>17.488753542784774</v>
      </c>
      <c r="L155" s="17">
        <f t="shared" si="12"/>
        <v>476.32563468612415</v>
      </c>
      <c r="M155" s="16">
        <f>IF(ISNUMBER(VLOOKUP($C155,'Justice Spend Total'!$C:$BA,35,FALSE)),VLOOKUP($C155,'Justice Spend Total'!$C:$BA,35,FALSE),"")</f>
        <v>3.0837509564688887</v>
      </c>
      <c r="N155" s="16">
        <f>IF(ISNUMBER(VLOOKUP($C155,'Justice Spend Total'!$C:$BA,36,FALSE)),VLOOKUP($C155,'Justice Spend Total'!$C:$BA,36,FALSE),"")</f>
        <v>0.81267640652165651</v>
      </c>
      <c r="O155" s="16">
        <f>IF(ISNUMBER(VLOOKUP($C155,'Justice Spend Total'!$C:$BA,37,FALSE)),VLOOKUP($C155,'Justice Spend Total'!$C:$BA,37,FALSE),"")</f>
        <v>0.17677553253643272</v>
      </c>
      <c r="P155" s="16">
        <f>IF(ISNUMBER(VLOOKUP($C155,'Justice Spend Total'!$C:$BA,38,FALSE)),VLOOKUP($C155,'Justice Spend Total'!$C:$BA,38,FALSE),"")</f>
        <v>4.814678045888118</v>
      </c>
      <c r="Q155" s="15">
        <f>IF(ISNUMBER(VLOOKUP($C155,'Justice Spend Total'!$C:$BA,39,FALSE)),VLOOKUP($C155,'Justice Spend Total'!$C:$BA,39,FALSE),"")</f>
        <v>2.36507266477718</v>
      </c>
      <c r="R155" s="22">
        <f>VLOOKUP($C155,'Justice Spend Total'!$C:$BA,40,FALSE)</f>
        <v>2020</v>
      </c>
      <c r="S155" s="15" t="str">
        <f>VLOOKUP($C155,'Justice Spend Total'!$C:$BA,41,FALSE)</f>
        <v>IMF COFOG</v>
      </c>
    </row>
    <row r="156" spans="1:19">
      <c r="A156">
        <v>154</v>
      </c>
      <c r="B156" t="s">
        <v>76</v>
      </c>
      <c r="C156" t="s">
        <v>444</v>
      </c>
      <c r="D156" t="s">
        <v>485</v>
      </c>
      <c r="E156" t="s">
        <v>494</v>
      </c>
      <c r="F156" s="17">
        <f>VLOOKUP(B156,'Justice Spend Total'!$B$4:$AQ$221,10,FALSE)</f>
        <v>36.881999999999998</v>
      </c>
      <c r="G156" s="15">
        <f>VLOOKUP(C156,'Justice Spend Total'!$C$4:$AQ$221,10,FALSE)</f>
        <v>40.054735607467499</v>
      </c>
      <c r="H156">
        <f>VLOOKUP(C156,'Justice Spend Total'!$C$4:$AQ$221,7,FALSE)</f>
        <v>20250</v>
      </c>
      <c r="I156" s="17">
        <f t="shared" si="9"/>
        <v>228.03074695757971</v>
      </c>
      <c r="J156" s="17">
        <f t="shared" si="10"/>
        <v>66.265239406960177</v>
      </c>
      <c r="K156" s="17">
        <f t="shared" si="11"/>
        <v>44.313366551836388</v>
      </c>
      <c r="L156" s="17">
        <f t="shared" si="12"/>
        <v>506.85071825364844</v>
      </c>
      <c r="M156" s="16">
        <f>IF(ISNUMBER(VLOOKUP($C156,'Justice Spend Total'!$C:$BA,35,FALSE)),VLOOKUP($C156,'Justice Spend Total'!$C:$BA,35,FALSE),"")</f>
        <v>2.8113473867083587</v>
      </c>
      <c r="N156" s="16">
        <f>IF(ISNUMBER(VLOOKUP($C156,'Justice Spend Total'!$C:$BA,36,FALSE)),VLOOKUP($C156,'Justice Spend Total'!$C:$BA,36,FALSE),"")</f>
        <v>0.81697143969368924</v>
      </c>
      <c r="O156" s="16">
        <f>IF(ISNUMBER(VLOOKUP($C156,'Justice Spend Total'!$C:$BA,37,FALSE)),VLOOKUP($C156,'Justice Spend Total'!$C:$BA,37,FALSE),"")</f>
        <v>0.54633100541888924</v>
      </c>
      <c r="P156" s="16">
        <f>IF(ISNUMBER(VLOOKUP($C156,'Justice Spend Total'!$C:$BA,38,FALSE)),VLOOKUP($C156,'Justice Spend Total'!$C:$BA,38,FALSE),"")</f>
        <v>6.2488653886606258</v>
      </c>
      <c r="Q156" s="15">
        <f>IF(ISNUMBER(VLOOKUP($C156,'Justice Spend Total'!$C:$BA,39,FALSE)),VLOOKUP($C156,'Justice Spend Total'!$C:$BA,39,FALSE),"")</f>
        <v>2.5029665098945602</v>
      </c>
      <c r="R156" s="22">
        <f>VLOOKUP($C156,'Justice Spend Total'!$C:$BA,40,FALSE)</f>
        <v>2020</v>
      </c>
      <c r="S156" s="15" t="str">
        <f>VLOOKUP($C156,'Justice Spend Total'!$C:$BA,41,FALSE)</f>
        <v>IMF COFOG</v>
      </c>
    </row>
    <row r="157" spans="1:19">
      <c r="A157">
        <v>155</v>
      </c>
      <c r="B157" t="s">
        <v>243</v>
      </c>
      <c r="C157" t="s">
        <v>579</v>
      </c>
      <c r="D157" t="s">
        <v>497</v>
      </c>
      <c r="E157" t="s">
        <v>494</v>
      </c>
      <c r="F157" s="17">
        <f>VLOOKUP(B157,'Justice Spend Total'!$B$4:$AQ$221,10,FALSE)</f>
        <v>21.463000000000001</v>
      </c>
      <c r="G157" s="15">
        <f>VLOOKUP(C157,'Justice Spend Total'!$C$4:$AQ$221,10,FALSE)</f>
        <v>20.809982741569545</v>
      </c>
      <c r="H157">
        <f>VLOOKUP(C157,'Justice Spend Total'!$C$4:$AQ$221,7,FALSE)</f>
        <v>21160</v>
      </c>
      <c r="I157" s="17" t="str">
        <f t="shared" si="9"/>
        <v/>
      </c>
      <c r="J157" s="17" t="str">
        <f t="shared" si="10"/>
        <v/>
      </c>
      <c r="K157" s="17" t="str">
        <f t="shared" si="11"/>
        <v/>
      </c>
      <c r="L157" s="17" t="str">
        <f t="shared" si="12"/>
        <v/>
      </c>
      <c r="M157" s="16" t="str">
        <f>IF(ISNUMBER(VLOOKUP($C157,'Justice Spend Total'!$C:$BA,35,FALSE)),VLOOKUP($C157,'Justice Spend Total'!$C:$BA,35,FALSE),"")</f>
        <v/>
      </c>
      <c r="N157" s="16" t="str">
        <f>IF(ISNUMBER(VLOOKUP($C157,'Justice Spend Total'!$C:$BA,36,FALSE)),VLOOKUP($C157,'Justice Spend Total'!$C:$BA,36,FALSE),"")</f>
        <v/>
      </c>
      <c r="O157" s="16" t="str">
        <f>IF(ISNUMBER(VLOOKUP($C157,'Justice Spend Total'!$C:$BA,37,FALSE)),VLOOKUP($C157,'Justice Spend Total'!$C:$BA,37,FALSE),"")</f>
        <v/>
      </c>
      <c r="P157" s="16" t="str">
        <f>IF(ISNUMBER(VLOOKUP($C157,'Justice Spend Total'!$C:$BA,38,FALSE)),VLOOKUP($C157,'Justice Spend Total'!$C:$BA,38,FALSE),"")</f>
        <v/>
      </c>
      <c r="Q157" s="15" t="str">
        <f>IF(ISNUMBER(VLOOKUP($C157,'Justice Spend Total'!$C:$BA,39,FALSE)),VLOOKUP($C157,'Justice Spend Total'!$C:$BA,39,FALSE),"")</f>
        <v/>
      </c>
      <c r="R157" s="22" t="str">
        <f>VLOOKUP($C157,'Justice Spend Total'!$C:$BA,40,FALSE)</f>
        <v xml:space="preserve"> </v>
      </c>
      <c r="S157" s="15" t="str">
        <f>VLOOKUP($C157,'Justice Spend Total'!$C:$BA,41,FALSE)</f>
        <v xml:space="preserve"> </v>
      </c>
    </row>
    <row r="158" spans="1:19">
      <c r="A158">
        <v>156</v>
      </c>
      <c r="B158" t="s">
        <v>244</v>
      </c>
      <c r="C158" t="s">
        <v>536</v>
      </c>
      <c r="D158" t="s">
        <v>485</v>
      </c>
      <c r="E158" t="s">
        <v>494</v>
      </c>
      <c r="F158" s="17">
        <f>VLOOKUP(B158,'Justice Spend Total'!$B$4:$AQ$221,10,FALSE)</f>
        <v>17.282</v>
      </c>
      <c r="G158" s="15">
        <f>VLOOKUP(C158,'Justice Spend Total'!$C$4:$AQ$221,10,FALSE)</f>
        <v>34.908194800735252</v>
      </c>
      <c r="H158">
        <f>VLOOKUP(C158,'Justice Spend Total'!$C$4:$AQ$221,7,FALSE)</f>
        <v>21610</v>
      </c>
      <c r="I158" s="17">
        <f t="shared" si="9"/>
        <v>112.20883532905376</v>
      </c>
      <c r="J158" s="17">
        <f t="shared" si="10"/>
        <v>58.498845077734025</v>
      </c>
      <c r="K158" s="17">
        <f t="shared" si="11"/>
        <v>44.3292583032392</v>
      </c>
      <c r="L158" s="17">
        <f t="shared" si="12"/>
        <v>332.75010842085658</v>
      </c>
      <c r="M158" s="16">
        <f>IF(ISNUMBER(VLOOKUP($C158,'Justice Spend Total'!$C:$BA,35,FALSE)),VLOOKUP($C158,'Justice Spend Total'!$C:$BA,35,FALSE),"")</f>
        <v>1.4874586340701479</v>
      </c>
      <c r="N158" s="16">
        <f>IF(ISNUMBER(VLOOKUP($C158,'Justice Spend Total'!$C:$BA,36,FALSE)),VLOOKUP($C158,'Justice Spend Total'!$C:$BA,36,FALSE),"")</f>
        <v>0.77547023760505174</v>
      </c>
      <c r="O158" s="16">
        <f>IF(ISNUMBER(VLOOKUP($C158,'Justice Spend Total'!$C:$BA,37,FALSE)),VLOOKUP($C158,'Justice Spend Total'!$C:$BA,37,FALSE),"")</f>
        <v>0.58763588278690482</v>
      </c>
      <c r="P158" s="16">
        <f>IF(ISNUMBER(VLOOKUP($C158,'Justice Spend Total'!$C:$BA,38,FALSE)),VLOOKUP($C158,'Justice Spend Total'!$C:$BA,38,FALSE),"")</f>
        <v>4.4109897434273178</v>
      </c>
      <c r="Q158" s="15">
        <f>IF(ISNUMBER(VLOOKUP($C158,'Justice Spend Total'!$C:$BA,39,FALSE)),VLOOKUP($C158,'Justice Spend Total'!$C:$BA,39,FALSE),"")</f>
        <v>1.5397968922760601</v>
      </c>
      <c r="R158" s="22">
        <f>VLOOKUP($C158,'Justice Spend Total'!$C:$BA,40,FALSE)</f>
        <v>2020</v>
      </c>
      <c r="S158" s="15" t="str">
        <f>VLOOKUP($C158,'Justice Spend Total'!$C:$BA,41,FALSE)</f>
        <v>IMF COFOG</v>
      </c>
    </row>
    <row r="159" spans="1:19">
      <c r="A159">
        <v>157</v>
      </c>
      <c r="B159" t="s">
        <v>245</v>
      </c>
      <c r="C159" t="s">
        <v>582</v>
      </c>
      <c r="D159" t="s">
        <v>487</v>
      </c>
      <c r="E159" t="s">
        <v>494</v>
      </c>
      <c r="F159" s="17">
        <f>VLOOKUP(B159,'Justice Spend Total'!$B$4:$AQ$221,10,FALSE)</f>
        <v>962.48599999999999</v>
      </c>
      <c r="G159" s="15">
        <f>VLOOKUP(C159,'Justice Spend Total'!$C$4:$AQ$221,10,FALSE)</f>
        <v>30.791866350158998</v>
      </c>
      <c r="H159">
        <f>VLOOKUP(C159,'Justice Spend Total'!$C$4:$AQ$221,7,FALSE)</f>
        <v>22270</v>
      </c>
      <c r="I159" s="17" t="str">
        <f t="shared" si="9"/>
        <v/>
      </c>
      <c r="J159" s="17" t="str">
        <f t="shared" si="10"/>
        <v/>
      </c>
      <c r="K159" s="17" t="str">
        <f t="shared" si="11"/>
        <v/>
      </c>
      <c r="L159" s="17" t="str">
        <f t="shared" si="12"/>
        <v/>
      </c>
      <c r="M159" s="16" t="str">
        <f>IF(ISNUMBER(VLOOKUP($C159,'Justice Spend Total'!$C:$BA,35,FALSE)),VLOOKUP($C159,'Justice Spend Total'!$C:$BA,35,FALSE),"")</f>
        <v/>
      </c>
      <c r="N159" s="16" t="str">
        <f>IF(ISNUMBER(VLOOKUP($C159,'Justice Spend Total'!$C:$BA,36,FALSE)),VLOOKUP($C159,'Justice Spend Total'!$C:$BA,36,FALSE),"")</f>
        <v/>
      </c>
      <c r="O159" s="16" t="str">
        <f>IF(ISNUMBER(VLOOKUP($C159,'Justice Spend Total'!$C:$BA,37,FALSE)),VLOOKUP($C159,'Justice Spend Total'!$C:$BA,37,FALSE),"")</f>
        <v/>
      </c>
      <c r="P159" s="16" t="str">
        <f>IF(ISNUMBER(VLOOKUP($C159,'Justice Spend Total'!$C:$BA,38,FALSE)),VLOOKUP($C159,'Justice Spend Total'!$C:$BA,38,FALSE),"")</f>
        <v/>
      </c>
      <c r="Q159" s="15" t="str">
        <f>IF(ISNUMBER(VLOOKUP($C159,'Justice Spend Total'!$C:$BA,39,FALSE)),VLOOKUP($C159,'Justice Spend Total'!$C:$BA,39,FALSE),"")</f>
        <v/>
      </c>
      <c r="R159" s="22" t="str">
        <f>VLOOKUP($C159,'Justice Spend Total'!$C:$BA,40,FALSE)</f>
        <v xml:space="preserve"> </v>
      </c>
      <c r="S159" s="15" t="str">
        <f>VLOOKUP($C159,'Justice Spend Total'!$C:$BA,41,FALSE)</f>
        <v xml:space="preserve"> </v>
      </c>
    </row>
    <row r="160" spans="1:19">
      <c r="A160">
        <v>158</v>
      </c>
      <c r="B160" t="s">
        <v>246</v>
      </c>
      <c r="C160" t="s">
        <v>498</v>
      </c>
      <c r="D160" t="s">
        <v>497</v>
      </c>
      <c r="E160" t="s">
        <v>494</v>
      </c>
      <c r="F160" s="17">
        <f>VLOOKUP(B160,'Justice Spend Total'!$B$4:$AQ$221,10,FALSE)</f>
        <v>1.071</v>
      </c>
      <c r="G160" s="15">
        <f>VLOOKUP(C160,'Justice Spend Total'!$C$4:$AQ$221,10,FALSE)</f>
        <v>23.965092861937791</v>
      </c>
      <c r="H160">
        <f>VLOOKUP(C160,'Justice Spend Total'!$C$4:$AQ$221,7,FALSE)</f>
        <v>23070</v>
      </c>
      <c r="I160" s="17" t="str">
        <f t="shared" si="9"/>
        <v/>
      </c>
      <c r="J160" s="17" t="str">
        <f t="shared" si="10"/>
        <v/>
      </c>
      <c r="K160" s="17" t="str">
        <f t="shared" si="11"/>
        <v/>
      </c>
      <c r="L160" s="17" t="str">
        <f t="shared" si="12"/>
        <v/>
      </c>
      <c r="M160" s="16" t="str">
        <f>IF(ISNUMBER(VLOOKUP($C160,'Justice Spend Total'!$C:$BA,35,FALSE)),VLOOKUP($C160,'Justice Spend Total'!$C:$BA,35,FALSE),"")</f>
        <v/>
      </c>
      <c r="N160" s="16" t="str">
        <f>IF(ISNUMBER(VLOOKUP($C160,'Justice Spend Total'!$C:$BA,36,FALSE)),VLOOKUP($C160,'Justice Spend Total'!$C:$BA,36,FALSE),"")</f>
        <v/>
      </c>
      <c r="O160" s="16" t="str">
        <f>IF(ISNUMBER(VLOOKUP($C160,'Justice Spend Total'!$C:$BA,37,FALSE)),VLOOKUP($C160,'Justice Spend Total'!$C:$BA,37,FALSE),"")</f>
        <v/>
      </c>
      <c r="P160" s="16" t="str">
        <f>IF(ISNUMBER(VLOOKUP($C160,'Justice Spend Total'!$C:$BA,38,FALSE)),VLOOKUP($C160,'Justice Spend Total'!$C:$BA,38,FALSE),"")</f>
        <v/>
      </c>
      <c r="Q160" s="15" t="str">
        <f>IF(ISNUMBER(VLOOKUP($C160,'Justice Spend Total'!$C:$BA,39,FALSE)),VLOOKUP($C160,'Justice Spend Total'!$C:$BA,39,FALSE),"")</f>
        <v/>
      </c>
      <c r="R160" s="22" t="str">
        <f>VLOOKUP($C160,'Justice Spend Total'!$C:$BA,40,FALSE)</f>
        <v xml:space="preserve"> </v>
      </c>
      <c r="S160" s="15" t="str">
        <f>VLOOKUP($C160,'Justice Spend Total'!$C:$BA,41,FALSE)</f>
        <v xml:space="preserve"> </v>
      </c>
    </row>
    <row r="161" spans="1:19">
      <c r="A161">
        <v>159</v>
      </c>
      <c r="B161" t="s">
        <v>247</v>
      </c>
      <c r="C161" t="s">
        <v>586</v>
      </c>
      <c r="D161" t="s">
        <v>497</v>
      </c>
      <c r="E161" t="s">
        <v>494</v>
      </c>
      <c r="F161" s="17" t="str">
        <f>VLOOKUP(B161,'Justice Spend Total'!$B$4:$AQ$221,10,FALSE)</f>
        <v xml:space="preserve"> </v>
      </c>
      <c r="G161" s="15" t="str">
        <f>VLOOKUP(C161,'Justice Spend Total'!$C$4:$AQ$221,10,FALSE)</f>
        <v xml:space="preserve"> </v>
      </c>
      <c r="H161">
        <f>VLOOKUP(C161,'Justice Spend Total'!$C$4:$AQ$221,7,FALSE)</f>
        <v>23600</v>
      </c>
      <c r="I161" s="17" t="str">
        <f t="shared" si="9"/>
        <v/>
      </c>
      <c r="J161" s="17" t="str">
        <f t="shared" si="10"/>
        <v/>
      </c>
      <c r="K161" s="17" t="str">
        <f t="shared" si="11"/>
        <v/>
      </c>
      <c r="L161" s="17" t="str">
        <f t="shared" si="12"/>
        <v/>
      </c>
      <c r="M161" s="16" t="str">
        <f>IF(ISNUMBER(VLOOKUP($C161,'Justice Spend Total'!$C:$BA,35,FALSE)),VLOOKUP($C161,'Justice Spend Total'!$C:$BA,35,FALSE),"")</f>
        <v/>
      </c>
      <c r="N161" s="16" t="str">
        <f>IF(ISNUMBER(VLOOKUP($C161,'Justice Spend Total'!$C:$BA,36,FALSE)),VLOOKUP($C161,'Justice Spend Total'!$C:$BA,36,FALSE),"")</f>
        <v/>
      </c>
      <c r="O161" s="16" t="str">
        <f>IF(ISNUMBER(VLOOKUP($C161,'Justice Spend Total'!$C:$BA,37,FALSE)),VLOOKUP($C161,'Justice Spend Total'!$C:$BA,37,FALSE),"")</f>
        <v/>
      </c>
      <c r="P161" s="16" t="str">
        <f>IF(ISNUMBER(VLOOKUP($C161,'Justice Spend Total'!$C:$BA,38,FALSE)),VLOOKUP($C161,'Justice Spend Total'!$C:$BA,38,FALSE),"")</f>
        <v/>
      </c>
      <c r="Q161" s="15" t="str">
        <f>IF(ISNUMBER(VLOOKUP($C161,'Justice Spend Total'!$C:$BA,39,FALSE)),VLOOKUP($C161,'Justice Spend Total'!$C:$BA,39,FALSE),"")</f>
        <v/>
      </c>
      <c r="R161" s="22" t="str">
        <f>VLOOKUP($C161,'Justice Spend Total'!$C:$BA,40,FALSE)</f>
        <v xml:space="preserve"> </v>
      </c>
      <c r="S161" s="15" t="str">
        <f>VLOOKUP($C161,'Justice Spend Total'!$C:$BA,41,FALSE)</f>
        <v xml:space="preserve"> </v>
      </c>
    </row>
    <row r="162" spans="1:19">
      <c r="A162">
        <v>160</v>
      </c>
      <c r="B162" t="s">
        <v>62</v>
      </c>
      <c r="C162" t="s">
        <v>445</v>
      </c>
      <c r="D162" t="s">
        <v>485</v>
      </c>
      <c r="E162" t="s">
        <v>494</v>
      </c>
      <c r="F162" s="17">
        <f>VLOOKUP(B162,'Justice Spend Total'!$B$4:$AQ$221,10,FALSE)</f>
        <v>95.75</v>
      </c>
      <c r="G162" s="15">
        <f>VLOOKUP(C162,'Justice Spend Total'!$C$4:$AQ$221,10,FALSE)</f>
        <v>45.319436950368711</v>
      </c>
      <c r="H162">
        <f>VLOOKUP(C162,'Justice Spend Total'!$C$4:$AQ$221,7,FALSE)</f>
        <v>23730</v>
      </c>
      <c r="I162" s="17">
        <f t="shared" si="9"/>
        <v>268.68958416213644</v>
      </c>
      <c r="J162" s="17">
        <f t="shared" si="10"/>
        <v>85.945282016476767</v>
      </c>
      <c r="K162" s="17">
        <f t="shared" si="11"/>
        <v>35.196463099162614</v>
      </c>
      <c r="L162" s="17">
        <f t="shared" si="12"/>
        <v>452.43793743340399</v>
      </c>
      <c r="M162" s="16">
        <f>IF(ISNUMBER(VLOOKUP($C162,'Justice Spend Total'!$C:$BA,35,FALSE)),VLOOKUP($C162,'Justice Spend Total'!$C:$BA,35,FALSE),"")</f>
        <v>2.4984380619043374</v>
      </c>
      <c r="N162" s="16">
        <f>IF(ISNUMBER(VLOOKUP($C162,'Justice Spend Total'!$C:$BA,36,FALSE)),VLOOKUP($C162,'Justice Spend Total'!$C:$BA,36,FALSE),"")</f>
        <v>0.7991711494908309</v>
      </c>
      <c r="O162" s="16">
        <f>IF(ISNUMBER(VLOOKUP($C162,'Justice Spend Total'!$C:$BA,37,FALSE)),VLOOKUP($C162,'Justice Spend Total'!$C:$BA,37,FALSE),"")</f>
        <v>0.3272779751607181</v>
      </c>
      <c r="P162" s="16">
        <f>IF(ISNUMBER(VLOOKUP($C162,'Justice Spend Total'!$C:$BA,38,FALSE)),VLOOKUP($C162,'Justice Spend Total'!$C:$BA,38,FALSE),"")</f>
        <v>4.2070412482048241</v>
      </c>
      <c r="Q162" s="15">
        <f>IF(ISNUMBER(VLOOKUP($C162,'Justice Spend Total'!$C:$BA,39,FALSE)),VLOOKUP($C162,'Justice Spend Total'!$C:$BA,39,FALSE),"")</f>
        <v>1.9066074059561899</v>
      </c>
      <c r="R162" s="22">
        <f>VLOOKUP($C162,'Justice Spend Total'!$C:$BA,40,FALSE)</f>
        <v>2020</v>
      </c>
      <c r="S162" s="15" t="str">
        <f>VLOOKUP($C162,'Justice Spend Total'!$C:$BA,41,FALSE)</f>
        <v>IMF COFOG</v>
      </c>
    </row>
    <row r="163" spans="1:19">
      <c r="A163">
        <v>161</v>
      </c>
      <c r="B163" t="s">
        <v>70</v>
      </c>
      <c r="C163" t="s">
        <v>446</v>
      </c>
      <c r="D163" t="s">
        <v>485</v>
      </c>
      <c r="E163" t="s">
        <v>494</v>
      </c>
      <c r="F163" s="17">
        <f>VLOOKUP(B163,'Justice Spend Total'!$B$4:$AQ$221,10,FALSE)</f>
        <v>2371.1</v>
      </c>
      <c r="G163" s="15">
        <f>VLOOKUP(C163,'Justice Spend Total'!$C$4:$AQ$221,10,FALSE)</f>
        <v>41.639227379930063</v>
      </c>
      <c r="H163">
        <f>VLOOKUP(C163,'Justice Spend Total'!$C$4:$AQ$221,7,FALSE)</f>
        <v>24070</v>
      </c>
      <c r="I163" s="17">
        <f t="shared" si="9"/>
        <v>247.32664128951166</v>
      </c>
      <c r="J163" s="17">
        <f t="shared" si="10"/>
        <v>78.766311659261788</v>
      </c>
      <c r="K163" s="17">
        <f t="shared" si="11"/>
        <v>48.084011882788268</v>
      </c>
      <c r="L163" s="17">
        <f t="shared" si="12"/>
        <v>514.55303011279216</v>
      </c>
      <c r="M163" s="16">
        <f>IF(ISNUMBER(VLOOKUP($C163,'Justice Spend Total'!$C:$BA,35,FALSE)),VLOOKUP($C163,'Justice Spend Total'!$C:$BA,35,FALSE),"")</f>
        <v>2.4676987834107256</v>
      </c>
      <c r="N163" s="16">
        <f>IF(ISNUMBER(VLOOKUP($C163,'Justice Spend Total'!$C:$BA,36,FALSE)),VLOOKUP($C163,'Justice Spend Total'!$C:$BA,36,FALSE),"")</f>
        <v>0.78588998921384312</v>
      </c>
      <c r="O163" s="16">
        <f>IF(ISNUMBER(VLOOKUP($C163,'Justice Spend Total'!$C:$BA,37,FALSE)),VLOOKUP($C163,'Justice Spend Total'!$C:$BA,37,FALSE),"")</f>
        <v>0.47975768807602098</v>
      </c>
      <c r="P163" s="16">
        <f>IF(ISNUMBER(VLOOKUP($C163,'Justice Spend Total'!$C:$BA,38,FALSE)),VLOOKUP($C163,'Justice Spend Total'!$C:$BA,38,FALSE),"")</f>
        <v>5.1339470741581055</v>
      </c>
      <c r="Q163" s="15">
        <f>IF(ISNUMBER(VLOOKUP($C163,'Justice Spend Total'!$C:$BA,39,FALSE)),VLOOKUP($C163,'Justice Spend Total'!$C:$BA,39,FALSE),"")</f>
        <v>2.1377358957739601</v>
      </c>
      <c r="R163" s="22">
        <f>VLOOKUP($C163,'Justice Spend Total'!$C:$BA,40,FALSE)</f>
        <v>2020</v>
      </c>
      <c r="S163" s="15" t="str">
        <f>VLOOKUP($C163,'Justice Spend Total'!$C:$BA,41,FALSE)</f>
        <v>IMF COFOG</v>
      </c>
    </row>
    <row r="164" spans="1:19">
      <c r="A164">
        <v>162</v>
      </c>
      <c r="B164" t="s">
        <v>248</v>
      </c>
      <c r="C164" t="s">
        <v>515</v>
      </c>
      <c r="D164" t="s">
        <v>485</v>
      </c>
      <c r="E164" t="s">
        <v>494</v>
      </c>
      <c r="F164" s="17">
        <f>VLOOKUP(B164,'Justice Spend Total'!$B$4:$AQ$221,10,FALSE)</f>
        <v>12.387</v>
      </c>
      <c r="G164" s="15">
        <f>VLOOKUP(C164,'Justice Spend Total'!$C$4:$AQ$221,10,FALSE)</f>
        <v>40.401174168297452</v>
      </c>
      <c r="H164">
        <f>VLOOKUP(C164,'Justice Spend Total'!$C$4:$AQ$221,7,FALSE)</f>
        <v>25970</v>
      </c>
      <c r="I164" s="17">
        <f t="shared" si="9"/>
        <v>280.36681856056993</v>
      </c>
      <c r="J164" s="17">
        <f t="shared" si="10"/>
        <v>83.810032748862227</v>
      </c>
      <c r="K164" s="17">
        <f t="shared" si="11"/>
        <v>43.84058295061741</v>
      </c>
      <c r="L164" s="17">
        <f t="shared" si="12"/>
        <v>523.37720220074618</v>
      </c>
      <c r="M164" s="16">
        <f>IF(ISNUMBER(VLOOKUP($C164,'Justice Spend Total'!$C:$BA,35,FALSE)),VLOOKUP($C164,'Justice Spend Total'!$C:$BA,35,FALSE),"")</f>
        <v>2.67214903655253</v>
      </c>
      <c r="N164" s="16">
        <f>IF(ISNUMBER(VLOOKUP($C164,'Justice Spend Total'!$C:$BA,36,FALSE)),VLOOKUP($C164,'Justice Spend Total'!$C:$BA,36,FALSE),"")</f>
        <v>0.79878531779582118</v>
      </c>
      <c r="O164" s="16">
        <f>IF(ISNUMBER(VLOOKUP($C164,'Justice Spend Total'!$C:$BA,37,FALSE)),VLOOKUP($C164,'Justice Spend Total'!$C:$BA,37,FALSE),"")</f>
        <v>0.41784035676848474</v>
      </c>
      <c r="P164" s="16">
        <f>IF(ISNUMBER(VLOOKUP($C164,'Justice Spend Total'!$C:$BA,38,FALSE)),VLOOKUP($C164,'Justice Spend Total'!$C:$BA,38,FALSE),"")</f>
        <v>4.9882575042029957</v>
      </c>
      <c r="Q164" s="15">
        <f>IF(ISNUMBER(VLOOKUP($C164,'Justice Spend Total'!$C:$BA,39,FALSE)),VLOOKUP($C164,'Justice Spend Total'!$C:$BA,39,FALSE),"")</f>
        <v>2.0153146022362201</v>
      </c>
      <c r="R164" s="22">
        <f>VLOOKUP($C164,'Justice Spend Total'!$C:$BA,40,FALSE)</f>
        <v>2020</v>
      </c>
      <c r="S164" s="15" t="str">
        <f>VLOOKUP($C164,'Justice Spend Total'!$C:$BA,41,FALSE)</f>
        <v>IMF COFOG</v>
      </c>
    </row>
    <row r="165" spans="1:19">
      <c r="A165">
        <v>163</v>
      </c>
      <c r="B165" t="s">
        <v>249</v>
      </c>
      <c r="C165" t="s">
        <v>499</v>
      </c>
      <c r="D165" t="s">
        <v>497</v>
      </c>
      <c r="E165" t="s">
        <v>494</v>
      </c>
      <c r="F165" s="17">
        <f>VLOOKUP(B165,'Justice Spend Total'!$B$4:$AQ$221,10,FALSE)</f>
        <v>1.891</v>
      </c>
      <c r="G165" s="15">
        <f>VLOOKUP(C165,'Justice Spend Total'!$C$4:$AQ$221,10,FALSE)</f>
        <v>16.996225058421714</v>
      </c>
      <c r="H165">
        <f>VLOOKUP(C165,'Justice Spend Total'!$C$4:$AQ$221,7,FALSE)</f>
        <v>27220</v>
      </c>
      <c r="I165" s="17">
        <f t="shared" si="9"/>
        <v>452.42423421766955</v>
      </c>
      <c r="J165" s="17">
        <f t="shared" si="10"/>
        <v>84.887517818667817</v>
      </c>
      <c r="K165" s="17">
        <f t="shared" si="11"/>
        <v>63.541870372396843</v>
      </c>
      <c r="L165" s="17">
        <f t="shared" si="12"/>
        <v>600.85362240873314</v>
      </c>
      <c r="M165" s="16">
        <f>IF(ISNUMBER(VLOOKUP($C165,'Justice Spend Total'!$C:$BA,35,FALSE)),VLOOKUP($C165,'Justice Spend Total'!$C:$BA,35,FALSE),"")</f>
        <v>9.7792436307521715</v>
      </c>
      <c r="N165" s="16">
        <f>IF(ISNUMBER(VLOOKUP($C165,'Justice Spend Total'!$C:$BA,36,FALSE)),VLOOKUP($C165,'Justice Spend Total'!$C:$BA,36,FALSE),"")</f>
        <v>1.8348612986968671</v>
      </c>
      <c r="O165" s="16">
        <f>IF(ISNUMBER(VLOOKUP($C165,'Justice Spend Total'!$C:$BA,37,FALSE)),VLOOKUP($C165,'Justice Spend Total'!$C:$BA,37,FALSE),"")</f>
        <v>1.3734707032213909</v>
      </c>
      <c r="P165" s="16">
        <f>IF(ISNUMBER(VLOOKUP($C165,'Justice Spend Total'!$C:$BA,38,FALSE)),VLOOKUP($C165,'Justice Spend Total'!$C:$BA,38,FALSE),"")</f>
        <v>12.987575632670406</v>
      </c>
      <c r="Q165" s="15">
        <f>IF(ISNUMBER(VLOOKUP($C165,'Justice Spend Total'!$C:$BA,39,FALSE)),VLOOKUP($C165,'Justice Spend Total'!$C:$BA,39,FALSE),"")</f>
        <v>2.2073975841614</v>
      </c>
      <c r="R165" s="22">
        <f>VLOOKUP($C165,'Justice Spend Total'!$C:$BA,40,FALSE)</f>
        <v>2020</v>
      </c>
      <c r="S165" s="15" t="str">
        <f>VLOOKUP($C165,'Justice Spend Total'!$C:$BA,41,FALSE)</f>
        <v>IMF COFOG</v>
      </c>
    </row>
    <row r="166" spans="1:19">
      <c r="A166">
        <v>164</v>
      </c>
      <c r="B166" t="s">
        <v>250</v>
      </c>
      <c r="C166" t="s">
        <v>570</v>
      </c>
      <c r="D166" t="s">
        <v>497</v>
      </c>
      <c r="E166" t="s">
        <v>494</v>
      </c>
      <c r="F166" s="17" t="str">
        <f>VLOOKUP(B166,'Justice Spend Total'!$B$4:$AQ$221,10,FALSE)</f>
        <v xml:space="preserve"> </v>
      </c>
      <c r="G166" s="15" t="str">
        <f>VLOOKUP(C166,'Justice Spend Total'!$C$4:$AQ$221,10,FALSE)</f>
        <v xml:space="preserve"> </v>
      </c>
      <c r="H166">
        <f>VLOOKUP(C166,'Justice Spend Total'!$C$4:$AQ$221,7,FALSE)</f>
        <v>27510</v>
      </c>
      <c r="I166" s="17" t="str">
        <f t="shared" si="9"/>
        <v/>
      </c>
      <c r="J166" s="17" t="str">
        <f t="shared" si="10"/>
        <v/>
      </c>
      <c r="K166" s="17" t="str">
        <f t="shared" si="11"/>
        <v/>
      </c>
      <c r="L166" s="17" t="str">
        <f t="shared" si="12"/>
        <v/>
      </c>
      <c r="M166" s="16" t="str">
        <f>IF(ISNUMBER(VLOOKUP($C166,'Justice Spend Total'!$C:$BA,35,FALSE)),VLOOKUP($C166,'Justice Spend Total'!$C:$BA,35,FALSE),"")</f>
        <v/>
      </c>
      <c r="N166" s="16" t="str">
        <f>IF(ISNUMBER(VLOOKUP($C166,'Justice Spend Total'!$C:$BA,36,FALSE)),VLOOKUP($C166,'Justice Spend Total'!$C:$BA,36,FALSE),"")</f>
        <v/>
      </c>
      <c r="O166" s="16" t="str">
        <f>IF(ISNUMBER(VLOOKUP($C166,'Justice Spend Total'!$C:$BA,37,FALSE)),VLOOKUP($C166,'Justice Spend Total'!$C:$BA,37,FALSE),"")</f>
        <v/>
      </c>
      <c r="P166" s="16" t="str">
        <f>IF(ISNUMBER(VLOOKUP($C166,'Justice Spend Total'!$C:$BA,38,FALSE)),VLOOKUP($C166,'Justice Spend Total'!$C:$BA,38,FALSE),"")</f>
        <v/>
      </c>
      <c r="Q166" s="15" t="str">
        <f>IF(ISNUMBER(VLOOKUP($C166,'Justice Spend Total'!$C:$BA,39,FALSE)),VLOOKUP($C166,'Justice Spend Total'!$C:$BA,39,FALSE),"")</f>
        <v/>
      </c>
      <c r="R166" s="22" t="str">
        <f>VLOOKUP($C166,'Justice Spend Total'!$C:$BA,40,FALSE)</f>
        <v xml:space="preserve"> </v>
      </c>
      <c r="S166" s="15" t="str">
        <f>VLOOKUP($C166,'Justice Spend Total'!$C:$BA,41,FALSE)</f>
        <v xml:space="preserve"> </v>
      </c>
    </row>
    <row r="167" spans="1:19">
      <c r="A167">
        <v>165</v>
      </c>
      <c r="B167" t="s">
        <v>251</v>
      </c>
      <c r="C167" t="s">
        <v>511</v>
      </c>
      <c r="D167" t="s">
        <v>485</v>
      </c>
      <c r="E167" t="s">
        <v>494</v>
      </c>
      <c r="F167" s="17">
        <f>VLOOKUP(B167,'Justice Spend Total'!$B$4:$AQ$221,10,FALSE)</f>
        <v>8.4920000000000009</v>
      </c>
      <c r="G167" s="15">
        <f>VLOOKUP(C167,'Justice Spend Total'!$C$4:$AQ$221,10,FALSE)</f>
        <v>39.282079748357859</v>
      </c>
      <c r="H167">
        <f>VLOOKUP(C167,'Justice Spend Total'!$C$4:$AQ$221,7,FALSE)</f>
        <v>28130</v>
      </c>
      <c r="I167" s="17">
        <f t="shared" si="9"/>
        <v>418.8313732264258</v>
      </c>
      <c r="J167" s="17">
        <f t="shared" si="10"/>
        <v>45.217051250677692</v>
      </c>
      <c r="K167" s="17">
        <f t="shared" si="11"/>
        <v>25.375539209335589</v>
      </c>
      <c r="L167" s="17">
        <f t="shared" si="12"/>
        <v>540.71494719467069</v>
      </c>
      <c r="M167" s="16">
        <f>IF(ISNUMBER(VLOOKUP($C167,'Justice Spend Total'!$C:$BA,35,FALSE)),VLOOKUP($C167,'Justice Spend Total'!$C:$BA,35,FALSE),"")</f>
        <v>3.7903123503574228</v>
      </c>
      <c r="N167" s="16">
        <f>IF(ISNUMBER(VLOOKUP($C167,'Justice Spend Total'!$C:$BA,36,FALSE)),VLOOKUP($C167,'Justice Spend Total'!$C:$BA,36,FALSE),"")</f>
        <v>0.40920226792450487</v>
      </c>
      <c r="O167" s="16">
        <f>IF(ISNUMBER(VLOOKUP($C167,'Justice Spend Total'!$C:$BA,37,FALSE)),VLOOKUP($C167,'Justice Spend Total'!$C:$BA,37,FALSE),"")</f>
        <v>0.22964186976061812</v>
      </c>
      <c r="P167" s="16">
        <f>IF(ISNUMBER(VLOOKUP($C167,'Justice Spend Total'!$C:$BA,38,FALSE)),VLOOKUP($C167,'Justice Spend Total'!$C:$BA,38,FALSE),"")</f>
        <v>4.893326224792732</v>
      </c>
      <c r="Q167" s="15">
        <f>IF(ISNUMBER(VLOOKUP($C167,'Justice Spend Total'!$C:$BA,39,FALSE)),VLOOKUP($C167,'Justice Spend Total'!$C:$BA,39,FALSE),"")</f>
        <v>1.9222003099703899</v>
      </c>
      <c r="R167" s="22">
        <f>VLOOKUP($C167,'Justice Spend Total'!$C:$BA,40,FALSE)</f>
        <v>2020</v>
      </c>
      <c r="S167" s="15" t="str">
        <f>VLOOKUP($C167,'Justice Spend Total'!$C:$BA,41,FALSE)</f>
        <v>IMF COFOG</v>
      </c>
    </row>
    <row r="168" spans="1:19">
      <c r="A168">
        <v>166</v>
      </c>
      <c r="B168" t="s">
        <v>60</v>
      </c>
      <c r="C168" t="s">
        <v>447</v>
      </c>
      <c r="D168" t="s">
        <v>485</v>
      </c>
      <c r="E168" t="s">
        <v>494</v>
      </c>
      <c r="F168" s="17">
        <f>VLOOKUP(B168,'Justice Spend Total'!$B$4:$AQ$221,10,FALSE)</f>
        <v>22.843</v>
      </c>
      <c r="G168" s="15">
        <f>VLOOKUP(C168,'Justice Spend Total'!$C$4:$AQ$221,10,FALSE)</f>
        <v>43.9119569396386</v>
      </c>
      <c r="H168">
        <f>VLOOKUP(C168,'Justice Spend Total'!$C$4:$AQ$221,7,FALSE)</f>
        <v>28240</v>
      </c>
      <c r="I168" s="17">
        <f t="shared" si="9"/>
        <v>252.7365036872842</v>
      </c>
      <c r="J168" s="17">
        <f t="shared" si="10"/>
        <v>136.77602625857892</v>
      </c>
      <c r="K168" s="17">
        <f t="shared" si="11"/>
        <v>28.741383690694501</v>
      </c>
      <c r="L168" s="17">
        <f t="shared" si="12"/>
        <v>495.12271452321147</v>
      </c>
      <c r="M168" s="16">
        <f>IF(ISNUMBER(VLOOKUP($C168,'Justice Spend Total'!$C:$BA,35,FALSE)),VLOOKUP($C168,'Justice Spend Total'!$C:$BA,35,FALSE),"")</f>
        <v>2.0380765355266757</v>
      </c>
      <c r="N168" s="16">
        <f>IF(ISNUMBER(VLOOKUP($C168,'Justice Spend Total'!$C:$BA,36,FALSE)),VLOOKUP($C168,'Justice Spend Total'!$C:$BA,36,FALSE),"")</f>
        <v>1.1029669464965985</v>
      </c>
      <c r="O168" s="16">
        <f>IF(ISNUMBER(VLOOKUP($C168,'Justice Spend Total'!$C:$BA,37,FALSE)),VLOOKUP($C168,'Justice Spend Total'!$C:$BA,37,FALSE),"")</f>
        <v>0.23177158362154199</v>
      </c>
      <c r="P168" s="16">
        <f>IF(ISNUMBER(VLOOKUP($C168,'Justice Spend Total'!$C:$BA,38,FALSE)),VLOOKUP($C168,'Justice Spend Total'!$C:$BA,38,FALSE),"")</f>
        <v>3.9926879257798338</v>
      </c>
      <c r="Q168" s="15">
        <f>IF(ISNUMBER(VLOOKUP($C168,'Justice Spend Total'!$C:$BA,39,FALSE)),VLOOKUP($C168,'Justice Spend Total'!$C:$BA,39,FALSE),"")</f>
        <v>1.7532674027025901</v>
      </c>
      <c r="R168" s="22">
        <f>VLOOKUP($C168,'Justice Spend Total'!$C:$BA,40,FALSE)</f>
        <v>2020</v>
      </c>
      <c r="S168" s="15" t="str">
        <f>VLOOKUP($C168,'Justice Spend Total'!$C:$BA,41,FALSE)</f>
        <v>IMF COFOG</v>
      </c>
    </row>
    <row r="169" spans="1:19">
      <c r="A169">
        <v>167</v>
      </c>
      <c r="B169" t="s">
        <v>69</v>
      </c>
      <c r="C169" t="s">
        <v>448</v>
      </c>
      <c r="D169" t="s">
        <v>485</v>
      </c>
      <c r="E169" t="s">
        <v>494</v>
      </c>
      <c r="F169" s="17">
        <f>VLOOKUP(B169,'Justice Spend Total'!$B$4:$AQ$221,10,FALSE)</f>
        <v>465.37900000000002</v>
      </c>
      <c r="G169" s="15">
        <f>VLOOKUP(C169,'Justice Spend Total'!$C$4:$AQ$221,10,FALSE)</f>
        <v>41.479477695084448</v>
      </c>
      <c r="H169">
        <f>VLOOKUP(C169,'Justice Spend Total'!$C$4:$AQ$221,7,FALSE)</f>
        <v>29740</v>
      </c>
      <c r="I169" s="17">
        <f t="shared" si="9"/>
        <v>390.50800928385382</v>
      </c>
      <c r="J169" s="17">
        <f t="shared" si="10"/>
        <v>116.87142363104171</v>
      </c>
      <c r="K169" s="17">
        <f t="shared" si="11"/>
        <v>49.728008784720899</v>
      </c>
      <c r="L169" s="17">
        <f t="shared" si="12"/>
        <v>619.93013936474927</v>
      </c>
      <c r="M169" s="16">
        <f>IF(ISNUMBER(VLOOKUP($C169,'Justice Spend Total'!$C:$BA,35,FALSE)),VLOOKUP($C169,'Justice Spend Total'!$C:$BA,35,FALSE),"")</f>
        <v>3.1655975584344604</v>
      </c>
      <c r="N169" s="16">
        <f>IF(ISNUMBER(VLOOKUP($C169,'Justice Spend Total'!$C:$BA,36,FALSE)),VLOOKUP($C169,'Justice Spend Total'!$C:$BA,36,FALSE),"")</f>
        <v>0.94740155003648474</v>
      </c>
      <c r="O169" s="16">
        <f>IF(ISNUMBER(VLOOKUP($C169,'Justice Spend Total'!$C:$BA,37,FALSE)),VLOOKUP($C169,'Justice Spend Total'!$C:$BA,37,FALSE),"")</f>
        <v>0.40311302060976345</v>
      </c>
      <c r="P169" s="16">
        <f>IF(ISNUMBER(VLOOKUP($C169,'Justice Spend Total'!$C:$BA,38,FALSE)),VLOOKUP($C169,'Justice Spend Total'!$C:$BA,38,FALSE),"")</f>
        <v>5.0253753800642604</v>
      </c>
      <c r="Q169" s="15">
        <f>IF(ISNUMBER(VLOOKUP($C169,'Justice Spend Total'!$C:$BA,39,FALSE)),VLOOKUP($C169,'Justice Spend Total'!$C:$BA,39,FALSE),"")</f>
        <v>2.0844994598680202</v>
      </c>
      <c r="R169" s="22">
        <f>VLOOKUP($C169,'Justice Spend Total'!$C:$BA,40,FALSE)</f>
        <v>2020</v>
      </c>
      <c r="S169" s="15" t="str">
        <f>VLOOKUP($C169,'Justice Spend Total'!$C:$BA,41,FALSE)</f>
        <v>IMF COFOG</v>
      </c>
    </row>
    <row r="170" spans="1:19">
      <c r="A170">
        <v>168</v>
      </c>
      <c r="B170" t="s">
        <v>252</v>
      </c>
      <c r="C170" t="s">
        <v>540</v>
      </c>
      <c r="D170" t="s">
        <v>487</v>
      </c>
      <c r="E170" t="s">
        <v>494</v>
      </c>
      <c r="F170" s="17">
        <f>VLOOKUP(B170,'Justice Spend Total'!$B$4:$AQ$221,10,FALSE)</f>
        <v>4.6749999999999998</v>
      </c>
      <c r="G170" s="15">
        <f>VLOOKUP(C170,'Justice Spend Total'!$C$4:$AQ$221,10,FALSE)</f>
        <v>35.796324655436443</v>
      </c>
      <c r="H170">
        <f>VLOOKUP(C170,'Justice Spend Total'!$C$4:$AQ$221,7,FALSE)</f>
        <v>30560</v>
      </c>
      <c r="I170" s="17">
        <f t="shared" si="9"/>
        <v>245.80396351507756</v>
      </c>
      <c r="J170" s="17">
        <f t="shared" si="10"/>
        <v>106.91963271797685</v>
      </c>
      <c r="K170" s="17">
        <f t="shared" si="11"/>
        <v>59.727518966593976</v>
      </c>
      <c r="L170" s="17">
        <f t="shared" si="12"/>
        <v>451.44079013233818</v>
      </c>
      <c r="M170" s="16">
        <f>IF(ISNUMBER(VLOOKUP($C170,'Justice Spend Total'!$C:$BA,35,FALSE)),VLOOKUP($C170,'Justice Spend Total'!$C:$BA,35,FALSE),"")</f>
        <v>2.246969064805914</v>
      </c>
      <c r="N170" s="16">
        <f>IF(ISNUMBER(VLOOKUP($C170,'Justice Spend Total'!$C:$BA,36,FALSE)),VLOOKUP($C170,'Justice Spend Total'!$C:$BA,36,FALSE),"")</f>
        <v>0.97738500104766479</v>
      </c>
      <c r="O170" s="16">
        <f>IF(ISNUMBER(VLOOKUP($C170,'Justice Spend Total'!$C:$BA,37,FALSE)),VLOOKUP($C170,'Justice Spend Total'!$C:$BA,37,FALSE),"")</f>
        <v>0.54598748334386804</v>
      </c>
      <c r="P170" s="16">
        <f>IF(ISNUMBER(VLOOKUP($C170,'Justice Spend Total'!$C:$BA,38,FALSE)),VLOOKUP($C170,'Justice Spend Total'!$C:$BA,38,FALSE),"")</f>
        <v>4.1267580697765327</v>
      </c>
      <c r="Q170" s="15">
        <f>IF(ISNUMBER(VLOOKUP($C170,'Justice Spend Total'!$C:$BA,39,FALSE)),VLOOKUP($C170,'Justice Spend Total'!$C:$BA,39,FALSE),"")</f>
        <v>1.4772277164016301</v>
      </c>
      <c r="R170" s="22">
        <f>VLOOKUP($C170,'Justice Spend Total'!$C:$BA,40,FALSE)</f>
        <v>2020</v>
      </c>
      <c r="S170" s="15" t="str">
        <f>VLOOKUP($C170,'Justice Spend Total'!$C:$BA,41,FALSE)</f>
        <v>IMF COFOG</v>
      </c>
    </row>
    <row r="171" spans="1:19">
      <c r="A171">
        <v>169</v>
      </c>
      <c r="B171" t="s">
        <v>253</v>
      </c>
      <c r="C171" t="s">
        <v>567</v>
      </c>
      <c r="D171" t="s">
        <v>493</v>
      </c>
      <c r="E171" t="s">
        <v>494</v>
      </c>
      <c r="F171" s="17">
        <f>VLOOKUP(B171,'Justice Spend Total'!$B$4:$AQ$221,10,FALSE)</f>
        <v>2.8919999999999999</v>
      </c>
      <c r="G171" s="15">
        <f>VLOOKUP(C171,'Justice Spend Total'!$C$4:$AQ$221,10,FALSE)</f>
        <v>17.462713604250951</v>
      </c>
      <c r="H171">
        <f>VLOOKUP(C171,'Justice Spend Total'!$C$4:$AQ$221,7,FALSE)</f>
        <v>31510</v>
      </c>
      <c r="I171" s="17" t="str">
        <f t="shared" si="9"/>
        <v/>
      </c>
      <c r="J171" s="17" t="str">
        <f t="shared" si="10"/>
        <v/>
      </c>
      <c r="K171" s="17" t="str">
        <f t="shared" si="11"/>
        <v/>
      </c>
      <c r="L171" s="17" t="str">
        <f t="shared" si="12"/>
        <v/>
      </c>
      <c r="M171" s="16" t="str">
        <f>IF(ISNUMBER(VLOOKUP($C171,'Justice Spend Total'!$C:$BA,35,FALSE)),VLOOKUP($C171,'Justice Spend Total'!$C:$BA,35,FALSE),"")</f>
        <v/>
      </c>
      <c r="N171" s="16" t="str">
        <f>IF(ISNUMBER(VLOOKUP($C171,'Justice Spend Total'!$C:$BA,36,FALSE)),VLOOKUP($C171,'Justice Spend Total'!$C:$BA,36,FALSE),"")</f>
        <v/>
      </c>
      <c r="O171" s="16" t="str">
        <f>IF(ISNUMBER(VLOOKUP($C171,'Justice Spend Total'!$C:$BA,37,FALSE)),VLOOKUP($C171,'Justice Spend Total'!$C:$BA,37,FALSE),"")</f>
        <v/>
      </c>
      <c r="P171" s="16" t="str">
        <f>IF(ISNUMBER(VLOOKUP($C171,'Justice Spend Total'!$C:$BA,38,FALSE)),VLOOKUP($C171,'Justice Spend Total'!$C:$BA,38,FALSE),"")</f>
        <v/>
      </c>
      <c r="Q171" s="15" t="str">
        <f>IF(ISNUMBER(VLOOKUP($C171,'Justice Spend Total'!$C:$BA,39,FALSE)),VLOOKUP($C171,'Justice Spend Total'!$C:$BA,39,FALSE),"")</f>
        <v/>
      </c>
      <c r="R171" s="22" t="str">
        <f>VLOOKUP($C171,'Justice Spend Total'!$C:$BA,40,FALSE)</f>
        <v xml:space="preserve"> </v>
      </c>
      <c r="S171" s="15" t="str">
        <f>VLOOKUP($C171,'Justice Spend Total'!$C:$BA,41,FALSE)</f>
        <v xml:space="preserve"> </v>
      </c>
    </row>
    <row r="172" spans="1:19">
      <c r="A172">
        <v>170</v>
      </c>
      <c r="B172" t="s">
        <v>73</v>
      </c>
      <c r="C172" t="s">
        <v>449</v>
      </c>
      <c r="D172" t="s">
        <v>493</v>
      </c>
      <c r="E172" t="s">
        <v>494</v>
      </c>
      <c r="F172" s="17">
        <f>VLOOKUP(B172,'Justice Spend Total'!$B$4:$AQ$221,10,FALSE)</f>
        <v>441148</v>
      </c>
      <c r="G172" s="15">
        <f>VLOOKUP(C172,'Justice Spend Total'!$C$4:$AQ$221,10,FALSE)</f>
        <v>22.92275699948766</v>
      </c>
      <c r="H172">
        <f>VLOOKUP(C172,'Justice Spend Total'!$C$4:$AQ$221,7,FALSE)</f>
        <v>34980</v>
      </c>
      <c r="I172" s="17" t="str">
        <f t="shared" si="9"/>
        <v/>
      </c>
      <c r="J172" s="17" t="str">
        <f t="shared" si="10"/>
        <v/>
      </c>
      <c r="K172" s="17" t="str">
        <f t="shared" si="11"/>
        <v/>
      </c>
      <c r="L172" s="17">
        <f t="shared" si="12"/>
        <v>447.63904353239127</v>
      </c>
      <c r="M172" s="16" t="str">
        <f>IF(ISNUMBER(VLOOKUP($C172,'Justice Spend Total'!$C:$BA,35,FALSE)),VLOOKUP($C172,'Justice Spend Total'!$C:$BA,35,FALSE),"")</f>
        <v/>
      </c>
      <c r="N172" s="16" t="str">
        <f>IF(ISNUMBER(VLOOKUP($C172,'Justice Spend Total'!$C:$BA,36,FALSE)),VLOOKUP($C172,'Justice Spend Total'!$C:$BA,36,FALSE),"")</f>
        <v/>
      </c>
      <c r="O172" s="16" t="str">
        <f>IF(ISNUMBER(VLOOKUP($C172,'Justice Spend Total'!$C:$BA,37,FALSE)),VLOOKUP($C172,'Justice Spend Total'!$C:$BA,37,FALSE),"")</f>
        <v/>
      </c>
      <c r="P172" s="16">
        <f>IF(ISNUMBER(VLOOKUP($C172,'Justice Spend Total'!$C:$BA,38,FALSE)),VLOOKUP($C172,'Justice Spend Total'!$C:$BA,38,FALSE),"")</f>
        <v>5.5826616010953236</v>
      </c>
      <c r="Q172" s="15">
        <f>IF(ISNUMBER(VLOOKUP($C172,'Justice Spend Total'!$C:$BA,39,FALSE)),VLOOKUP($C172,'Justice Spend Total'!$C:$BA,39,FALSE),"")</f>
        <v>1.2796999529227882</v>
      </c>
      <c r="R172" s="22" t="str">
        <f>VLOOKUP($C172,'Justice Spend Total'!$C:$BA,40,FALSE)</f>
        <v xml:space="preserve"> </v>
      </c>
      <c r="S172" s="15" t="str">
        <f>VLOOKUP($C172,'Justice Spend Total'!$C:$BA,41,FALSE)</f>
        <v>IMF COFOG</v>
      </c>
    </row>
    <row r="173" spans="1:19">
      <c r="A173">
        <v>171</v>
      </c>
      <c r="B173" t="s">
        <v>63</v>
      </c>
      <c r="C173" t="s">
        <v>450</v>
      </c>
      <c r="D173" t="s">
        <v>485</v>
      </c>
      <c r="E173" t="s">
        <v>494</v>
      </c>
      <c r="F173" s="17">
        <f>VLOOKUP(B173,'Justice Spend Total'!$B$4:$AQ$221,10,FALSE)</f>
        <v>785.39800000000002</v>
      </c>
      <c r="G173" s="15">
        <f>VLOOKUP(C173,'Justice Spend Total'!$C$4:$AQ$221,10,FALSE)</f>
        <v>47.399937234453461</v>
      </c>
      <c r="H173">
        <f>VLOOKUP(C173,'Justice Spend Total'!$C$4:$AQ$221,7,FALSE)</f>
        <v>35710</v>
      </c>
      <c r="I173" s="17">
        <f t="shared" si="9"/>
        <v>442.87366454851161</v>
      </c>
      <c r="J173" s="17">
        <f t="shared" si="10"/>
        <v>123.04808987675536</v>
      </c>
      <c r="K173" s="17">
        <f t="shared" si="11"/>
        <v>76.56181448841896</v>
      </c>
      <c r="L173" s="17">
        <f t="shared" si="12"/>
        <v>721.87780297227687</v>
      </c>
      <c r="M173" s="16">
        <f>IF(ISNUMBER(VLOOKUP($C173,'Justice Spend Total'!$C:$BA,35,FALSE)),VLOOKUP($C173,'Justice Spend Total'!$C:$BA,35,FALSE),"")</f>
        <v>2.6164487898192252</v>
      </c>
      <c r="N173" s="16">
        <f>IF(ISNUMBER(VLOOKUP($C173,'Justice Spend Total'!$C:$BA,36,FALSE)),VLOOKUP($C173,'Justice Spend Total'!$C:$BA,36,FALSE),"")</f>
        <v>0.72695455074262627</v>
      </c>
      <c r="O173" s="16">
        <f>IF(ISNUMBER(VLOOKUP($C173,'Justice Spend Total'!$C:$BA,37,FALSE)),VLOOKUP($C173,'Justice Spend Total'!$C:$BA,37,FALSE),"")</f>
        <v>0.45231876017916867</v>
      </c>
      <c r="P173" s="16">
        <f>IF(ISNUMBER(VLOOKUP($C173,'Justice Spend Total'!$C:$BA,38,FALSE)),VLOOKUP($C173,'Justice Spend Total'!$C:$BA,38,FALSE),"")</f>
        <v>4.2647744835080026</v>
      </c>
      <c r="Q173" s="15">
        <f>IF(ISNUMBER(VLOOKUP($C173,'Justice Spend Total'!$C:$BA,39,FALSE)),VLOOKUP($C173,'Justice Spend Total'!$C:$BA,39,FALSE),"")</f>
        <v>2.0215004283737801</v>
      </c>
      <c r="R173" s="22">
        <f>VLOOKUP($C173,'Justice Spend Total'!$C:$BA,40,FALSE)</f>
        <v>2020</v>
      </c>
      <c r="S173" s="15" t="str">
        <f>VLOOKUP($C173,'Justice Spend Total'!$C:$BA,41,FALSE)</f>
        <v>IMF COFOG</v>
      </c>
    </row>
    <row r="174" spans="1:19">
      <c r="A174">
        <v>172</v>
      </c>
      <c r="B174" t="s">
        <v>254</v>
      </c>
      <c r="C174" t="s">
        <v>571</v>
      </c>
      <c r="D174" t="s">
        <v>487</v>
      </c>
      <c r="E174" t="s">
        <v>494</v>
      </c>
      <c r="F174" s="17">
        <f>VLOOKUP(B174,'Justice Spend Total'!$B$4:$AQ$221,10,FALSE)</f>
        <v>17.123000000000001</v>
      </c>
      <c r="G174" s="15">
        <f>VLOOKUP(C174,'Justice Spend Total'!$C$4:$AQ$221,10,FALSE)</f>
        <v>52.775466173524435</v>
      </c>
      <c r="H174">
        <f>VLOOKUP(C174,'Justice Spend Total'!$C$4:$AQ$221,7,FALSE)</f>
        <v>36200</v>
      </c>
      <c r="I174" s="17" t="str">
        <f t="shared" si="9"/>
        <v/>
      </c>
      <c r="J174" s="17" t="str">
        <f t="shared" si="10"/>
        <v/>
      </c>
      <c r="K174" s="17" t="str">
        <f t="shared" si="11"/>
        <v/>
      </c>
      <c r="L174" s="17" t="str">
        <f t="shared" si="12"/>
        <v/>
      </c>
      <c r="M174" s="16" t="str">
        <f>IF(ISNUMBER(VLOOKUP($C174,'Justice Spend Total'!$C:$BA,35,FALSE)),VLOOKUP($C174,'Justice Spend Total'!$C:$BA,35,FALSE),"")</f>
        <v/>
      </c>
      <c r="N174" s="16" t="str">
        <f>IF(ISNUMBER(VLOOKUP($C174,'Justice Spend Total'!$C:$BA,36,FALSE)),VLOOKUP($C174,'Justice Spend Total'!$C:$BA,36,FALSE),"")</f>
        <v/>
      </c>
      <c r="O174" s="16" t="str">
        <f>IF(ISNUMBER(VLOOKUP($C174,'Justice Spend Total'!$C:$BA,37,FALSE)),VLOOKUP($C174,'Justice Spend Total'!$C:$BA,37,FALSE),"")</f>
        <v/>
      </c>
      <c r="P174" s="16" t="str">
        <f>IF(ISNUMBER(VLOOKUP($C174,'Justice Spend Total'!$C:$BA,38,FALSE)),VLOOKUP($C174,'Justice Spend Total'!$C:$BA,38,FALSE),"")</f>
        <v/>
      </c>
      <c r="Q174" s="15" t="str">
        <f>IF(ISNUMBER(VLOOKUP($C174,'Justice Spend Total'!$C:$BA,39,FALSE)),VLOOKUP($C174,'Justice Spend Total'!$C:$BA,39,FALSE),"")</f>
        <v/>
      </c>
      <c r="R174" s="22" t="str">
        <f>VLOOKUP($C174,'Justice Spend Total'!$C:$BA,40,FALSE)</f>
        <v xml:space="preserve"> </v>
      </c>
      <c r="S174" s="15" t="str">
        <f>VLOOKUP($C174,'Justice Spend Total'!$C:$BA,41,FALSE)</f>
        <v xml:space="preserve"> </v>
      </c>
    </row>
    <row r="175" spans="1:19">
      <c r="A175">
        <v>173</v>
      </c>
      <c r="B175" t="s">
        <v>255</v>
      </c>
      <c r="C175" t="s">
        <v>561</v>
      </c>
      <c r="D175" t="s">
        <v>487</v>
      </c>
      <c r="E175" t="s">
        <v>494</v>
      </c>
      <c r="F175" s="17">
        <f>VLOOKUP(B175,'Justice Spend Total'!$B$4:$AQ$221,10,FALSE)</f>
        <v>367.86500000000001</v>
      </c>
      <c r="G175" s="15">
        <f>VLOOKUP(C175,'Justice Spend Total'!$C$4:$AQ$221,10,FALSE)</f>
        <v>27.911908646003265</v>
      </c>
      <c r="H175">
        <f>VLOOKUP(C175,'Justice Spend Total'!$C$4:$AQ$221,7,FALSE)</f>
        <v>39410</v>
      </c>
      <c r="I175" s="17">
        <f t="shared" si="9"/>
        <v>354.01595102824973</v>
      </c>
      <c r="J175" s="17">
        <f t="shared" si="10"/>
        <v>26.066375267541623</v>
      </c>
      <c r="K175" s="17">
        <f t="shared" si="11"/>
        <v>0</v>
      </c>
      <c r="L175" s="17">
        <f t="shared" si="12"/>
        <v>1262.4758861525274</v>
      </c>
      <c r="M175" s="16">
        <f>IF(ISNUMBER(VLOOKUP($C175,'Justice Spend Total'!$C:$BA,35,FALSE)),VLOOKUP($C175,'Justice Spend Total'!$C:$BA,35,FALSE),"")</f>
        <v>3.2183024862234779</v>
      </c>
      <c r="N175" s="16">
        <f>IF(ISNUMBER(VLOOKUP($C175,'Justice Spend Total'!$C:$BA,36,FALSE)),VLOOKUP($C175,'Justice Spend Total'!$C:$BA,36,FALSE),"")</f>
        <v>0.23696525562394555</v>
      </c>
      <c r="O175" s="16">
        <f>IF(ISNUMBER(VLOOKUP($C175,'Justice Spend Total'!$C:$BA,37,FALSE)),VLOOKUP($C175,'Justice Spend Total'!$C:$BA,37,FALSE),"")</f>
        <v>0</v>
      </c>
      <c r="P175" s="16">
        <f>IF(ISNUMBER(VLOOKUP($C175,'Justice Spend Total'!$C:$BA,38,FALSE)),VLOOKUP($C175,'Justice Spend Total'!$C:$BA,38,FALSE),"")</f>
        <v>11.476966705598093</v>
      </c>
      <c r="Q175" s="15">
        <f>IF(ISNUMBER(VLOOKUP($C175,'Justice Spend Total'!$C:$BA,39,FALSE)),VLOOKUP($C175,'Justice Spend Total'!$C:$BA,39,FALSE),"")</f>
        <v>3.20344046219875</v>
      </c>
      <c r="R175" s="22">
        <f>VLOOKUP($C175,'Justice Spend Total'!$C:$BA,40,FALSE)</f>
        <v>2020</v>
      </c>
      <c r="S175" s="15" t="str">
        <f>VLOOKUP($C175,'Justice Spend Total'!$C:$BA,41,FALSE)</f>
        <v>IMF COFOG</v>
      </c>
    </row>
    <row r="176" spans="1:19">
      <c r="A176">
        <v>174</v>
      </c>
      <c r="B176" t="s">
        <v>57</v>
      </c>
      <c r="C176" t="s">
        <v>451</v>
      </c>
      <c r="D176" t="s">
        <v>493</v>
      </c>
      <c r="E176" t="s">
        <v>494</v>
      </c>
      <c r="F176" s="17">
        <f>VLOOKUP(B176,'Justice Spend Total'!$B$4:$AQ$221,10,FALSE)</f>
        <v>191417.7</v>
      </c>
      <c r="G176" s="15">
        <f>VLOOKUP(C176,'Justice Spend Total'!$C$4:$AQ$221,10,FALSE)</f>
        <v>35.569224056843062</v>
      </c>
      <c r="H176">
        <f>VLOOKUP(C176,'Justice Spend Total'!$C$4:$AQ$221,7,FALSE)</f>
        <v>42620</v>
      </c>
      <c r="I176" s="17">
        <f t="shared" si="9"/>
        <v>284.85673631421514</v>
      </c>
      <c r="J176" s="17">
        <f t="shared" si="10"/>
        <v>44.693803561798788</v>
      </c>
      <c r="K176" s="17">
        <f t="shared" si="11"/>
        <v>20.048521548167447</v>
      </c>
      <c r="L176" s="17">
        <f t="shared" si="12"/>
        <v>549.01618282180004</v>
      </c>
      <c r="M176" s="16">
        <f>IF(ISNUMBER(VLOOKUP($C176,'Justice Spend Total'!$C:$BA,35,FALSE)),VLOOKUP($C176,'Justice Spend Total'!$C:$BA,35,FALSE),"")</f>
        <v>1.8790513894598453</v>
      </c>
      <c r="N176" s="16">
        <f>IF(ISNUMBER(VLOOKUP($C176,'Justice Spend Total'!$C:$BA,36,FALSE)),VLOOKUP($C176,'Justice Spend Total'!$C:$BA,36,FALSE),"")</f>
        <v>0.29482172256023442</v>
      </c>
      <c r="O176" s="16">
        <f>IF(ISNUMBER(VLOOKUP($C176,'Justice Spend Total'!$C:$BA,37,FALSE)),VLOOKUP($C176,'Justice Spend Total'!$C:$BA,37,FALSE),"")</f>
        <v>0.13224964506419412</v>
      </c>
      <c r="P176" s="16">
        <f>IF(ISNUMBER(VLOOKUP($C176,'Justice Spend Total'!$C:$BA,38,FALSE)),VLOOKUP($C176,'Justice Spend Total'!$C:$BA,38,FALSE),"")</f>
        <v>3.6215735478668494</v>
      </c>
      <c r="Q176" s="15">
        <f>IF(ISNUMBER(VLOOKUP($C176,'Justice Spend Total'!$C:$BA,39,FALSE)),VLOOKUP($C176,'Justice Spend Total'!$C:$BA,39,FALSE),"")</f>
        <v>1.2881656096241201</v>
      </c>
      <c r="R176" s="22">
        <f>VLOOKUP($C176,'Justice Spend Total'!$C:$BA,40,FALSE)</f>
        <v>2020</v>
      </c>
      <c r="S176" s="15" t="str">
        <f>VLOOKUP($C176,'Justice Spend Total'!$C:$BA,41,FALSE)</f>
        <v>IMF COFOG</v>
      </c>
    </row>
    <row r="177" spans="1:19">
      <c r="A177">
        <v>175</v>
      </c>
      <c r="B177" t="s">
        <v>55</v>
      </c>
      <c r="C177" t="s">
        <v>452</v>
      </c>
      <c r="D177" t="s">
        <v>485</v>
      </c>
      <c r="E177" t="s">
        <v>494</v>
      </c>
      <c r="F177" s="17">
        <f>VLOOKUP(B177,'Justice Spend Total'!$B$4:$AQ$221,10,FALSE)</f>
        <v>1310.6199999999999</v>
      </c>
      <c r="G177" s="15">
        <f>VLOOKUP(C177,'Justice Spend Total'!$C$4:$AQ$221,10,FALSE)</f>
        <v>52.81372023581654</v>
      </c>
      <c r="H177">
        <f>VLOOKUP(C177,'Justice Spend Total'!$C$4:$AQ$221,7,FALSE)</f>
        <v>43880</v>
      </c>
      <c r="I177" s="17">
        <f t="shared" si="9"/>
        <v>438.65518529133351</v>
      </c>
      <c r="J177" s="17">
        <f t="shared" si="10"/>
        <v>108.24899472829459</v>
      </c>
      <c r="K177" s="17">
        <f t="shared" si="11"/>
        <v>75.722848979095474</v>
      </c>
      <c r="L177" s="17">
        <f t="shared" si="12"/>
        <v>778.36000451612529</v>
      </c>
      <c r="M177" s="16">
        <f>IF(ISNUMBER(VLOOKUP($C177,'Justice Spend Total'!$C:$BA,35,FALSE)),VLOOKUP($C177,'Justice Spend Total'!$C:$BA,35,FALSE),"")</f>
        <v>1.8928224922084176</v>
      </c>
      <c r="N177" s="16">
        <f>IF(ISNUMBER(VLOOKUP($C177,'Justice Spend Total'!$C:$BA,36,FALSE)),VLOOKUP($C177,'Justice Spend Total'!$C:$BA,36,FALSE),"")</f>
        <v>0.46710067235289687</v>
      </c>
      <c r="O177" s="16">
        <f>IF(ISNUMBER(VLOOKUP($C177,'Justice Spend Total'!$C:$BA,37,FALSE)),VLOOKUP($C177,'Justice Spend Total'!$C:$BA,37,FALSE),"")</f>
        <v>0.32674847243978283</v>
      </c>
      <c r="P177" s="16">
        <f>IF(ISNUMBER(VLOOKUP($C177,'Justice Spend Total'!$C:$BA,38,FALSE)),VLOOKUP($C177,'Justice Spend Total'!$C:$BA,38,FALSE),"")</f>
        <v>3.3586684324843326</v>
      </c>
      <c r="Q177" s="15">
        <f>IF(ISNUMBER(VLOOKUP($C177,'Justice Spend Total'!$C:$BA,39,FALSE)),VLOOKUP($C177,'Justice Spend Total'!$C:$BA,39,FALSE),"")</f>
        <v>1.7738377495809601</v>
      </c>
      <c r="R177" s="22">
        <f>VLOOKUP($C177,'Justice Spend Total'!$C:$BA,40,FALSE)</f>
        <v>2020</v>
      </c>
      <c r="S177" s="15" t="str">
        <f>VLOOKUP($C177,'Justice Spend Total'!$C:$BA,41,FALSE)</f>
        <v>IMF COFOG</v>
      </c>
    </row>
    <row r="178" spans="1:19">
      <c r="A178">
        <v>176</v>
      </c>
      <c r="B178" t="s">
        <v>71</v>
      </c>
      <c r="C178" t="s">
        <v>453</v>
      </c>
      <c r="D178" t="s">
        <v>493</v>
      </c>
      <c r="E178" t="s">
        <v>494</v>
      </c>
      <c r="F178" s="17">
        <f>VLOOKUP(B178,'Justice Spend Total'!$B$4:$AQ$221,10,FALSE)</f>
        <v>122.033</v>
      </c>
      <c r="G178" s="15">
        <f>VLOOKUP(C178,'Justice Spend Total'!$C$4:$AQ$221,10,FALSE)</f>
        <v>37.648238415499478</v>
      </c>
      <c r="H178">
        <f>VLOOKUP(C178,'Justice Spend Total'!$C$4:$AQ$221,7,FALSE)</f>
        <v>45340</v>
      </c>
      <c r="I178" s="17" t="str">
        <f t="shared" si="9"/>
        <v/>
      </c>
      <c r="J178" s="17" t="str">
        <f t="shared" si="10"/>
        <v/>
      </c>
      <c r="K178" s="17" t="str">
        <f t="shared" si="11"/>
        <v/>
      </c>
      <c r="L178" s="17">
        <f t="shared" si="12"/>
        <v>884.59278523385558</v>
      </c>
      <c r="M178" s="16" t="str">
        <f>IF(ISNUMBER(VLOOKUP($C178,'Justice Spend Total'!$C:$BA,35,FALSE)),VLOOKUP($C178,'Justice Spend Total'!$C:$BA,35,FALSE),"")</f>
        <v/>
      </c>
      <c r="N178" s="16" t="str">
        <f>IF(ISNUMBER(VLOOKUP($C178,'Justice Spend Total'!$C:$BA,36,FALSE)),VLOOKUP($C178,'Justice Spend Total'!$C:$BA,36,FALSE),"")</f>
        <v/>
      </c>
      <c r="O178" s="16" t="str">
        <f>IF(ISNUMBER(VLOOKUP($C178,'Justice Spend Total'!$C:$BA,37,FALSE)),VLOOKUP($C178,'Justice Spend Total'!$C:$BA,37,FALSE),"")</f>
        <v/>
      </c>
      <c r="P178" s="16">
        <f>IF(ISNUMBER(VLOOKUP($C178,'Justice Spend Total'!$C:$BA,38,FALSE)),VLOOKUP($C178,'Justice Spend Total'!$C:$BA,38,FALSE),"")</f>
        <v>5.1822363589645422</v>
      </c>
      <c r="Q178" s="15">
        <f>IF(ISNUMBER(VLOOKUP($C178,'Justice Spend Total'!$C:$BA,39,FALSE)),VLOOKUP($C178,'Justice Spend Total'!$C:$BA,39,FALSE),"")</f>
        <v>1.95102069967767</v>
      </c>
      <c r="R178" s="22">
        <f>VLOOKUP($C178,'Justice Spend Total'!$C:$BA,40,FALSE)</f>
        <v>2020</v>
      </c>
      <c r="S178" s="15" t="str">
        <f>VLOOKUP($C178,'Justice Spend Total'!$C:$BA,41,FALSE)</f>
        <v>IMF COFOG</v>
      </c>
    </row>
    <row r="179" spans="1:19">
      <c r="A179">
        <v>177</v>
      </c>
      <c r="B179" t="s">
        <v>72</v>
      </c>
      <c r="C179" t="s">
        <v>454</v>
      </c>
      <c r="D179" t="s">
        <v>485</v>
      </c>
      <c r="E179" t="s">
        <v>494</v>
      </c>
      <c r="F179" s="17">
        <f>VLOOKUP(B179,'Justice Spend Total'!$B$4:$AQ$221,10,FALSE)</f>
        <v>854.72199999999998</v>
      </c>
      <c r="G179" s="15">
        <f>VLOOKUP(C179,'Justice Spend Total'!$C$4:$AQ$221,10,FALSE)</f>
        <v>36.888370988973044</v>
      </c>
      <c r="H179">
        <f>VLOOKUP(C179,'Justice Spend Total'!$C$4:$AQ$221,7,FALSE)</f>
        <v>45380</v>
      </c>
      <c r="I179" s="17">
        <f t="shared" si="9"/>
        <v>497.99418800668178</v>
      </c>
      <c r="J179" s="17">
        <f t="shared" si="10"/>
        <v>186.21496376688589</v>
      </c>
      <c r="K179" s="17">
        <f t="shared" si="11"/>
        <v>101.7809123127484</v>
      </c>
      <c r="L179" s="17">
        <f t="shared" si="12"/>
        <v>915.18408133256605</v>
      </c>
      <c r="M179" s="16">
        <f>IF(ISNUMBER(VLOOKUP($C179,'Justice Spend Total'!$C:$BA,35,FALSE)),VLOOKUP($C179,'Justice Spend Total'!$C:$BA,35,FALSE),"")</f>
        <v>2.9748858481849183</v>
      </c>
      <c r="N179" s="16">
        <f>IF(ISNUMBER(VLOOKUP($C179,'Justice Spend Total'!$C:$BA,36,FALSE)),VLOOKUP($C179,'Justice Spend Total'!$C:$BA,36,FALSE),"")</f>
        <v>1.1123990475626662</v>
      </c>
      <c r="O179" s="16">
        <f>IF(ISNUMBER(VLOOKUP($C179,'Justice Spend Total'!$C:$BA,37,FALSE)),VLOOKUP($C179,'Justice Spend Total'!$C:$BA,37,FALSE),"")</f>
        <v>0.60801230806830764</v>
      </c>
      <c r="P179" s="16">
        <f>IF(ISNUMBER(VLOOKUP($C179,'Justice Spend Total'!$C:$BA,38,FALSE)),VLOOKUP($C179,'Justice Spend Total'!$C:$BA,38,FALSE),"")</f>
        <v>5.4670681658715186</v>
      </c>
      <c r="Q179" s="15">
        <f>IF(ISNUMBER(VLOOKUP($C179,'Justice Spend Total'!$C:$BA,39,FALSE)),VLOOKUP($C179,'Justice Spend Total'!$C:$BA,39,FALSE),"")</f>
        <v>2.0167123872467299</v>
      </c>
      <c r="R179" s="22">
        <f>VLOOKUP($C179,'Justice Spend Total'!$C:$BA,40,FALSE)</f>
        <v>2020</v>
      </c>
      <c r="S179" s="15" t="str">
        <f>VLOOKUP($C179,'Justice Spend Total'!$C:$BA,41,FALSE)</f>
        <v>IMF COFOG</v>
      </c>
    </row>
    <row r="180" spans="1:19">
      <c r="A180">
        <v>178</v>
      </c>
      <c r="B180" t="s">
        <v>256</v>
      </c>
      <c r="C180" t="s">
        <v>495</v>
      </c>
      <c r="D180" t="s">
        <v>485</v>
      </c>
      <c r="E180" t="s">
        <v>494</v>
      </c>
      <c r="F180" s="17">
        <f>VLOOKUP(B180,'Justice Spend Total'!$B$4:$AQ$221,10,FALSE)</f>
        <v>1.022</v>
      </c>
      <c r="G180" s="15">
        <f>VLOOKUP(C180,'Justice Spend Total'!$C$4:$AQ$221,10,FALSE)</f>
        <v>40.379296720663767</v>
      </c>
      <c r="H180">
        <f>VLOOKUP(C180,'Justice Spend Total'!$C$4:$AQ$221,7,FALSE)</f>
        <v>46040</v>
      </c>
      <c r="I180" s="17" t="str">
        <f t="shared" si="9"/>
        <v/>
      </c>
      <c r="J180" s="17" t="str">
        <f t="shared" si="10"/>
        <v/>
      </c>
      <c r="K180" s="17" t="str">
        <f t="shared" si="11"/>
        <v/>
      </c>
      <c r="L180" s="17" t="str">
        <f t="shared" si="12"/>
        <v/>
      </c>
      <c r="M180" s="16" t="str">
        <f>IF(ISNUMBER(VLOOKUP($C180,'Justice Spend Total'!$C:$BA,35,FALSE)),VLOOKUP($C180,'Justice Spend Total'!$C:$BA,35,FALSE),"")</f>
        <v/>
      </c>
      <c r="N180" s="16" t="str">
        <f>IF(ISNUMBER(VLOOKUP($C180,'Justice Spend Total'!$C:$BA,36,FALSE)),VLOOKUP($C180,'Justice Spend Total'!$C:$BA,36,FALSE),"")</f>
        <v/>
      </c>
      <c r="O180" s="16" t="str">
        <f>IF(ISNUMBER(VLOOKUP($C180,'Justice Spend Total'!$C:$BA,37,FALSE)),VLOOKUP($C180,'Justice Spend Total'!$C:$BA,37,FALSE),"")</f>
        <v/>
      </c>
      <c r="P180" s="16" t="str">
        <f>IF(ISNUMBER(VLOOKUP($C180,'Justice Spend Total'!$C:$BA,38,FALSE)),VLOOKUP($C180,'Justice Spend Total'!$C:$BA,38,FALSE),"")</f>
        <v/>
      </c>
      <c r="Q180" s="15" t="str">
        <f>IF(ISNUMBER(VLOOKUP($C180,'Justice Spend Total'!$C:$BA,39,FALSE)),VLOOKUP($C180,'Justice Spend Total'!$C:$BA,39,FALSE),"")</f>
        <v/>
      </c>
      <c r="R180" s="22" t="str">
        <f>VLOOKUP($C180,'Justice Spend Total'!$C:$BA,40,FALSE)</f>
        <v xml:space="preserve"> </v>
      </c>
      <c r="S180" s="15" t="str">
        <f>VLOOKUP($C180,'Justice Spend Total'!$C:$BA,41,FALSE)</f>
        <v xml:space="preserve"> </v>
      </c>
    </row>
    <row r="181" spans="1:19">
      <c r="A181">
        <v>179</v>
      </c>
      <c r="B181" t="s">
        <v>257</v>
      </c>
      <c r="C181" t="s">
        <v>537</v>
      </c>
      <c r="D181" t="s">
        <v>493</v>
      </c>
      <c r="E181" t="s">
        <v>494</v>
      </c>
      <c r="F181" s="17">
        <f>VLOOKUP(B181,'Justice Spend Total'!$B$4:$AQ$221,10,FALSE)</f>
        <v>56.511000000000003</v>
      </c>
      <c r="G181" s="15">
        <f>VLOOKUP(C181,'Justice Spend Total'!$C$4:$AQ$221,10,FALSE)</f>
        <v>27.646042982451853</v>
      </c>
      <c r="H181">
        <f>VLOOKUP(C181,'Justice Spend Total'!$C$4:$AQ$221,7,FALSE)</f>
        <v>46730</v>
      </c>
      <c r="I181" s="17" t="str">
        <f t="shared" si="9"/>
        <v/>
      </c>
      <c r="J181" s="17" t="str">
        <f t="shared" si="10"/>
        <v/>
      </c>
      <c r="K181" s="17" t="str">
        <f t="shared" si="11"/>
        <v/>
      </c>
      <c r="L181" s="17">
        <f t="shared" si="12"/>
        <v>2978.8412194303805</v>
      </c>
      <c r="M181" s="16" t="str">
        <f>IF(ISNUMBER(VLOOKUP($C181,'Justice Spend Total'!$C:$BA,35,FALSE)),VLOOKUP($C181,'Justice Spend Total'!$C:$BA,35,FALSE),"")</f>
        <v/>
      </c>
      <c r="N181" s="16" t="str">
        <f>IF(ISNUMBER(VLOOKUP($C181,'Justice Spend Total'!$C:$BA,36,FALSE)),VLOOKUP($C181,'Justice Spend Total'!$C:$BA,36,FALSE),"")</f>
        <v/>
      </c>
      <c r="O181" s="16" t="str">
        <f>IF(ISNUMBER(VLOOKUP($C181,'Justice Spend Total'!$C:$BA,37,FALSE)),VLOOKUP($C181,'Justice Spend Total'!$C:$BA,37,FALSE),"")</f>
        <v/>
      </c>
      <c r="P181" s="16">
        <f>IF(ISNUMBER(VLOOKUP($C181,'Justice Spend Total'!$C:$BA,38,FALSE)),VLOOKUP($C181,'Justice Spend Total'!$C:$BA,38,FALSE),"")</f>
        <v>23.057838595085464</v>
      </c>
      <c r="Q181" s="15">
        <f>IF(ISNUMBER(VLOOKUP($C181,'Justice Spend Total'!$C:$BA,39,FALSE)),VLOOKUP($C181,'Justice Spend Total'!$C:$BA,39,FALSE),"")</f>
        <v>6.3745799688217</v>
      </c>
      <c r="R181" s="22">
        <f>VLOOKUP($C181,'Justice Spend Total'!$C:$BA,40,FALSE)</f>
        <v>2020</v>
      </c>
      <c r="S181" s="15" t="str">
        <f>VLOOKUP($C181,'Justice Spend Total'!$C:$BA,41,FALSE)</f>
        <v>IMF COFOG</v>
      </c>
    </row>
    <row r="182" spans="1:19">
      <c r="A182">
        <v>180</v>
      </c>
      <c r="B182" t="s">
        <v>64</v>
      </c>
      <c r="C182" t="s">
        <v>455</v>
      </c>
      <c r="D182" t="s">
        <v>502</v>
      </c>
      <c r="E182" t="s">
        <v>494</v>
      </c>
      <c r="F182" s="17">
        <f>VLOOKUP(B182,'Justice Spend Total'!$B$4:$AQ$221,10,FALSE)</f>
        <v>1023.74</v>
      </c>
      <c r="G182" s="15">
        <f>VLOOKUP(C182,'Justice Spend Total'!$C$4:$AQ$221,10,FALSE)</f>
        <v>41.012431044359957</v>
      </c>
      <c r="H182">
        <f>VLOOKUP(C182,'Justice Spend Total'!$C$4:$AQ$221,7,FALSE)</f>
        <v>48310</v>
      </c>
      <c r="I182" s="17">
        <f t="shared" si="9"/>
        <v>411.63120750565088</v>
      </c>
      <c r="J182" s="17">
        <f t="shared" si="10"/>
        <v>124.27965564056686</v>
      </c>
      <c r="K182" s="17">
        <f t="shared" si="11"/>
        <v>121.38994020203324</v>
      </c>
      <c r="L182" s="17">
        <f t="shared" si="12"/>
        <v>895.37395027288869</v>
      </c>
      <c r="M182" s="16">
        <f>IF(ISNUMBER(VLOOKUP($C182,'Justice Spend Total'!$C:$BA,35,FALSE)),VLOOKUP($C182,'Justice Spend Total'!$C:$BA,35,FALSE),"")</f>
        <v>2.0775703677724975</v>
      </c>
      <c r="N182" s="16">
        <f>IF(ISNUMBER(VLOOKUP($C182,'Justice Spend Total'!$C:$BA,36,FALSE)),VLOOKUP($C182,'Justice Spend Total'!$C:$BA,36,FALSE),"")</f>
        <v>0.62725985097295445</v>
      </c>
      <c r="O182" s="16">
        <f>IF(ISNUMBER(VLOOKUP($C182,'Justice Spend Total'!$C:$BA,37,FALSE)),VLOOKUP($C182,'Justice Spend Total'!$C:$BA,37,FALSE),"")</f>
        <v>0.61267498214638538</v>
      </c>
      <c r="P182" s="16">
        <f>IF(ISNUMBER(VLOOKUP($C182,'Justice Spend Total'!$C:$BA,38,FALSE)),VLOOKUP($C182,'Justice Spend Total'!$C:$BA,38,FALSE),"")</f>
        <v>4.5190995076261862</v>
      </c>
      <c r="Q182" s="15">
        <f>IF(ISNUMBER(VLOOKUP($C182,'Justice Spend Total'!$C:$BA,39,FALSE)),VLOOKUP($C182,'Justice Spend Total'!$C:$BA,39,FALSE),"")</f>
        <v>1.8533925693911999</v>
      </c>
      <c r="R182" s="22">
        <f>VLOOKUP($C182,'Justice Spend Total'!$C:$BA,40,FALSE)</f>
        <v>2020</v>
      </c>
      <c r="S182" s="15" t="str">
        <f>VLOOKUP($C182,'Justice Spend Total'!$C:$BA,41,FALSE)</f>
        <v>IMF COFOG</v>
      </c>
    </row>
    <row r="183" spans="1:19">
      <c r="A183">
        <v>181</v>
      </c>
      <c r="B183" t="s">
        <v>258</v>
      </c>
      <c r="C183" t="s">
        <v>524</v>
      </c>
      <c r="D183" t="s">
        <v>487</v>
      </c>
      <c r="E183" t="s">
        <v>494</v>
      </c>
      <c r="F183" s="17">
        <f>VLOOKUP(B183,'Justice Spend Total'!$B$4:$AQ$221,10,FALSE)</f>
        <v>483.86200000000002</v>
      </c>
      <c r="G183" s="15">
        <f>VLOOKUP(C183,'Justice Spend Total'!$C$4:$AQ$221,10,FALSE)</f>
        <v>34.526798010575064</v>
      </c>
      <c r="H183">
        <f>VLOOKUP(C183,'Justice Spend Total'!$C$4:$AQ$221,7,FALSE)</f>
        <v>49560</v>
      </c>
      <c r="I183" s="17">
        <f t="shared" si="9"/>
        <v>501.33760235854919</v>
      </c>
      <c r="J183" s="17">
        <f t="shared" si="10"/>
        <v>176.46439077043112</v>
      </c>
      <c r="K183" s="17">
        <f t="shared" si="11"/>
        <v>113.33121946513414</v>
      </c>
      <c r="L183" s="17">
        <f t="shared" si="12"/>
        <v>853.62174525373348</v>
      </c>
      <c r="M183" s="16">
        <f>IF(ISNUMBER(VLOOKUP($C183,'Justice Spend Total'!$C:$BA,35,FALSE)),VLOOKUP($C183,'Justice Spend Total'!$C:$BA,35,FALSE),"")</f>
        <v>2.9298317287866906</v>
      </c>
      <c r="N183" s="16">
        <f>IF(ISNUMBER(VLOOKUP($C183,'Justice Spend Total'!$C:$BA,36,FALSE)),VLOOKUP($C183,'Justice Spend Total'!$C:$BA,36,FALSE),"")</f>
        <v>1.03126310224475</v>
      </c>
      <c r="O183" s="16">
        <f>IF(ISNUMBER(VLOOKUP($C183,'Justice Spend Total'!$C:$BA,37,FALSE)),VLOOKUP($C183,'Justice Spend Total'!$C:$BA,37,FALSE),"")</f>
        <v>0.6623109878232647</v>
      </c>
      <c r="P183" s="16">
        <f>IF(ISNUMBER(VLOOKUP($C183,'Justice Spend Total'!$C:$BA,38,FALSE)),VLOOKUP($C183,'Justice Spend Total'!$C:$BA,38,FALSE),"")</f>
        <v>4.9885906460253953</v>
      </c>
      <c r="Q183" s="15">
        <f>IF(ISNUMBER(VLOOKUP($C183,'Justice Spend Total'!$C:$BA,39,FALSE)),VLOOKUP($C183,'Justice Spend Total'!$C:$BA,39,FALSE),"")</f>
        <v>1.7224006159276299</v>
      </c>
      <c r="R183" s="22">
        <f>VLOOKUP($C183,'Justice Spend Total'!$C:$BA,40,FALSE)</f>
        <v>2020</v>
      </c>
      <c r="S183" s="15" t="str">
        <f>VLOOKUP($C183,'Justice Spend Total'!$C:$BA,41,FALSE)</f>
        <v>IMF COFOG</v>
      </c>
    </row>
    <row r="184" spans="1:19">
      <c r="A184">
        <v>182</v>
      </c>
      <c r="B184" t="s">
        <v>58</v>
      </c>
      <c r="C184" t="s">
        <v>456</v>
      </c>
      <c r="D184" t="s">
        <v>485</v>
      </c>
      <c r="E184" t="s">
        <v>494</v>
      </c>
      <c r="F184" s="17">
        <f>VLOOKUP(B184,'Justice Spend Total'!$B$4:$AQ$221,10,FALSE)</f>
        <v>228.97800000000001</v>
      </c>
      <c r="G184" s="15">
        <f>VLOOKUP(C184,'Justice Spend Total'!$C$4:$AQ$221,10,FALSE)</f>
        <v>50.116219516999571</v>
      </c>
      <c r="H184">
        <f>VLOOKUP(C184,'Justice Spend Total'!$C$4:$AQ$221,7,FALSE)</f>
        <v>50510</v>
      </c>
      <c r="I184" s="17">
        <f t="shared" si="9"/>
        <v>552.19021359687883</v>
      </c>
      <c r="J184" s="17">
        <f t="shared" si="10"/>
        <v>134.37553997655047</v>
      </c>
      <c r="K184" s="17">
        <f t="shared" si="11"/>
        <v>71.022113272618142</v>
      </c>
      <c r="L184" s="17">
        <f t="shared" si="12"/>
        <v>919.30199456089122</v>
      </c>
      <c r="M184" s="16">
        <f>IF(ISNUMBER(VLOOKUP($C184,'Justice Spend Total'!$C:$BA,35,FALSE)),VLOOKUP($C184,'Justice Spend Total'!$C:$BA,35,FALSE),"")</f>
        <v>2.1813885743343491</v>
      </c>
      <c r="N184" s="16">
        <f>IF(ISNUMBER(VLOOKUP($C184,'Justice Spend Total'!$C:$BA,36,FALSE)),VLOOKUP($C184,'Justice Spend Total'!$C:$BA,36,FALSE),"")</f>
        <v>0.5308411130025007</v>
      </c>
      <c r="O184" s="16">
        <f>IF(ISNUMBER(VLOOKUP($C184,'Justice Spend Total'!$C:$BA,37,FALSE)),VLOOKUP($C184,'Justice Spend Total'!$C:$BA,37,FALSE),"")</f>
        <v>0.28056785977571125</v>
      </c>
      <c r="P184" s="16">
        <f>IF(ISNUMBER(VLOOKUP($C184,'Justice Spend Total'!$C:$BA,38,FALSE)),VLOOKUP($C184,'Justice Spend Total'!$C:$BA,38,FALSE),"")</f>
        <v>3.6316378268193934</v>
      </c>
      <c r="Q184" s="15">
        <f>IF(ISNUMBER(VLOOKUP($C184,'Justice Spend Total'!$C:$BA,39,FALSE)),VLOOKUP($C184,'Justice Spend Total'!$C:$BA,39,FALSE),"")</f>
        <v>1.8200395853511999</v>
      </c>
      <c r="R184" s="22">
        <f>VLOOKUP($C184,'Justice Spend Total'!$C:$BA,40,FALSE)</f>
        <v>2020</v>
      </c>
      <c r="S184" s="15" t="str">
        <f>VLOOKUP($C184,'Justice Spend Total'!$C:$BA,41,FALSE)</f>
        <v>IMF COFOG</v>
      </c>
    </row>
    <row r="185" spans="1:19">
      <c r="A185">
        <v>183</v>
      </c>
      <c r="B185" t="s">
        <v>56</v>
      </c>
      <c r="C185" t="s">
        <v>457</v>
      </c>
      <c r="D185" t="s">
        <v>485</v>
      </c>
      <c r="E185" t="s">
        <v>494</v>
      </c>
      <c r="F185" s="17">
        <f>VLOOKUP(B185,'Justice Spend Total'!$B$4:$AQ$221,10,FALSE)</f>
        <v>1705.77</v>
      </c>
      <c r="G185" s="15">
        <f>VLOOKUP(C185,'Justice Spend Total'!$C$4:$AQ$221,10,FALSE)</f>
        <v>47.772375665850745</v>
      </c>
      <c r="H185">
        <f>VLOOKUP(C185,'Justice Spend Total'!$C$4:$AQ$221,7,FALSE)</f>
        <v>51040</v>
      </c>
      <c r="I185" s="17">
        <f t="shared" si="9"/>
        <v>414.02667806958164</v>
      </c>
      <c r="J185" s="17">
        <f t="shared" si="10"/>
        <v>202.06478281010581</v>
      </c>
      <c r="K185" s="17">
        <f t="shared" si="11"/>
        <v>50.425257456437286</v>
      </c>
      <c r="L185" s="17">
        <f t="shared" si="12"/>
        <v>875.65952796683723</v>
      </c>
      <c r="M185" s="16">
        <f>IF(ISNUMBER(VLOOKUP($C185,'Justice Spend Total'!$C:$BA,35,FALSE)),VLOOKUP($C185,'Justice Spend Total'!$C:$BA,35,FALSE),"")</f>
        <v>1.69801225977282</v>
      </c>
      <c r="N185" s="16">
        <f>IF(ISNUMBER(VLOOKUP($C185,'Justice Spend Total'!$C:$BA,36,FALSE)),VLOOKUP($C185,'Justice Spend Total'!$C:$BA,36,FALSE),"")</f>
        <v>0.8287110388143365</v>
      </c>
      <c r="O185" s="16">
        <f>IF(ISNUMBER(VLOOKUP($C185,'Justice Spend Total'!$C:$BA,37,FALSE)),VLOOKUP($C185,'Justice Spend Total'!$C:$BA,37,FALSE),"")</f>
        <v>0.20680480244039132</v>
      </c>
      <c r="P185" s="16">
        <f>IF(ISNUMBER(VLOOKUP($C185,'Justice Spend Total'!$C:$BA,38,FALSE)),VLOOKUP($C185,'Justice Spend Total'!$C:$BA,38,FALSE),"")</f>
        <v>3.5912676468270579</v>
      </c>
      <c r="Q185" s="15">
        <f>IF(ISNUMBER(VLOOKUP($C185,'Justice Spend Total'!$C:$BA,39,FALSE)),VLOOKUP($C185,'Justice Spend Total'!$C:$BA,39,FALSE),"")</f>
        <v>1.7156338714083801</v>
      </c>
      <c r="R185" s="22">
        <f>VLOOKUP($C185,'Justice Spend Total'!$C:$BA,40,FALSE)</f>
        <v>2020</v>
      </c>
      <c r="S185" s="15" t="str">
        <f>VLOOKUP($C185,'Justice Spend Total'!$C:$BA,41,FALSE)</f>
        <v>IMF COFOG</v>
      </c>
    </row>
    <row r="186" spans="1:19">
      <c r="A186">
        <v>184</v>
      </c>
      <c r="B186" t="s">
        <v>53</v>
      </c>
      <c r="C186" t="s">
        <v>458</v>
      </c>
      <c r="D186" t="s">
        <v>485</v>
      </c>
      <c r="E186" t="s">
        <v>494</v>
      </c>
      <c r="F186" s="17">
        <f>VLOOKUP(B186,'Justice Spend Total'!$B$4:$AQ$221,10,FALSE)</f>
        <v>184.91499999999999</v>
      </c>
      <c r="G186" s="15">
        <f>VLOOKUP(C186,'Justice Spend Total'!$C$4:$AQ$221,10,FALSE)</f>
        <v>48.748948779529734</v>
      </c>
      <c r="H186">
        <f>VLOOKUP(C186,'Justice Spend Total'!$C$4:$AQ$221,7,FALSE)</f>
        <v>52210</v>
      </c>
      <c r="I186" s="17">
        <f t="shared" si="9"/>
        <v>379.12048664232407</v>
      </c>
      <c r="J186" s="17">
        <f t="shared" si="10"/>
        <v>148.96179065630292</v>
      </c>
      <c r="K186" s="17">
        <f t="shared" si="11"/>
        <v>80.01902049867445</v>
      </c>
      <c r="L186" s="17">
        <f t="shared" si="12"/>
        <v>746.69494665426316</v>
      </c>
      <c r="M186" s="16">
        <f>IF(ISNUMBER(VLOOKUP($C186,'Justice Spend Total'!$C:$BA,35,FALSE)),VLOOKUP($C186,'Justice Spend Total'!$C:$BA,35,FALSE),"")</f>
        <v>1.4895610408931321</v>
      </c>
      <c r="N186" s="16">
        <f>IF(ISNUMBER(VLOOKUP($C186,'Justice Spend Total'!$C:$BA,36,FALSE)),VLOOKUP($C186,'Justice Spend Total'!$C:$BA,36,FALSE),"")</f>
        <v>0.58526955878447229</v>
      </c>
      <c r="O186" s="16">
        <f>IF(ISNUMBER(VLOOKUP($C186,'Justice Spend Total'!$C:$BA,37,FALSE)),VLOOKUP($C186,'Justice Spend Total'!$C:$BA,37,FALSE),"")</f>
        <v>0.31439402423458473</v>
      </c>
      <c r="P186" s="16">
        <f>IF(ISNUMBER(VLOOKUP($C186,'Justice Spend Total'!$C:$BA,38,FALSE)),VLOOKUP($C186,'Justice Spend Total'!$C:$BA,38,FALSE),"")</f>
        <v>2.9337578452132038</v>
      </c>
      <c r="Q186" s="15">
        <f>IF(ISNUMBER(VLOOKUP($C186,'Justice Spend Total'!$C:$BA,39,FALSE)),VLOOKUP($C186,'Justice Spend Total'!$C:$BA,39,FALSE),"")</f>
        <v>1.43017610927842</v>
      </c>
      <c r="R186" s="22">
        <f>VLOOKUP($C186,'Justice Spend Total'!$C:$BA,40,FALSE)</f>
        <v>2020</v>
      </c>
      <c r="S186" s="15" t="str">
        <f>VLOOKUP($C186,'Justice Spend Total'!$C:$BA,41,FALSE)</f>
        <v>IMF COFOG</v>
      </c>
    </row>
    <row r="187" spans="1:19">
      <c r="A187">
        <v>185</v>
      </c>
      <c r="B187" t="s">
        <v>50</v>
      </c>
      <c r="C187" t="s">
        <v>459</v>
      </c>
      <c r="D187" t="s">
        <v>485</v>
      </c>
      <c r="E187" t="s">
        <v>494</v>
      </c>
      <c r="F187" s="17">
        <f>VLOOKUP(B187,'Justice Spend Total'!$B$4:$AQ$221,10,FALSE)</f>
        <v>122.492</v>
      </c>
      <c r="G187" s="15">
        <f>VLOOKUP(C187,'Justice Spend Total'!$C$4:$AQ$221,10,FALSE)</f>
        <v>51.468308157734413</v>
      </c>
      <c r="H187">
        <f>VLOOKUP(C187,'Justice Spend Total'!$C$4:$AQ$221,7,FALSE)</f>
        <v>53660</v>
      </c>
      <c r="I187" s="17">
        <f t="shared" si="9"/>
        <v>286.71617525022418</v>
      </c>
      <c r="J187" s="17">
        <f t="shared" si="10"/>
        <v>128.59061425643958</v>
      </c>
      <c r="K187" s="17">
        <f t="shared" si="11"/>
        <v>51.345368943384095</v>
      </c>
      <c r="L187" s="17">
        <f t="shared" si="12"/>
        <v>626.59525462766976</v>
      </c>
      <c r="M187" s="16">
        <f>IF(ISNUMBER(VLOOKUP($C187,'Justice Spend Total'!$C:$BA,35,FALSE)),VLOOKUP($C187,'Justice Spend Total'!$C:$BA,35,FALSE),"")</f>
        <v>1.0381536463850289</v>
      </c>
      <c r="N187" s="16">
        <f>IF(ISNUMBER(VLOOKUP($C187,'Justice Spend Total'!$C:$BA,36,FALSE)),VLOOKUP($C187,'Justice Spend Total'!$C:$BA,36,FALSE),"")</f>
        <v>0.46560615202371308</v>
      </c>
      <c r="O187" s="16">
        <f>IF(ISNUMBER(VLOOKUP($C187,'Justice Spend Total'!$C:$BA,37,FALSE)),VLOOKUP($C187,'Justice Spend Total'!$C:$BA,37,FALSE),"")</f>
        <v>0.18591341052536986</v>
      </c>
      <c r="P187" s="16">
        <f>IF(ISNUMBER(VLOOKUP($C187,'Justice Spend Total'!$C:$BA,38,FALSE)),VLOOKUP($C187,'Justice Spend Total'!$C:$BA,38,FALSE),"")</f>
        <v>2.2688017089777439</v>
      </c>
      <c r="Q187" s="15">
        <f>IF(ISNUMBER(VLOOKUP($C187,'Justice Spend Total'!$C:$BA,39,FALSE)),VLOOKUP($C187,'Justice Spend Total'!$C:$BA,39,FALSE),"")</f>
        <v>1.16771385506461</v>
      </c>
      <c r="R187" s="22">
        <f>VLOOKUP($C187,'Justice Spend Total'!$C:$BA,40,FALSE)</f>
        <v>2020</v>
      </c>
      <c r="S187" s="15" t="str">
        <f>VLOOKUP($C187,'Justice Spend Total'!$C:$BA,41,FALSE)</f>
        <v>IMF COFOG</v>
      </c>
    </row>
    <row r="188" spans="1:19">
      <c r="A188">
        <v>186</v>
      </c>
      <c r="B188" t="s">
        <v>259</v>
      </c>
      <c r="C188" t="s">
        <v>520</v>
      </c>
      <c r="D188" t="s">
        <v>493</v>
      </c>
      <c r="E188" t="s">
        <v>494</v>
      </c>
      <c r="F188" s="17">
        <f>VLOOKUP(B188,'Justice Spend Total'!$B$4:$AQ$221,10,FALSE)</f>
        <v>694.548</v>
      </c>
      <c r="G188" s="15">
        <f>VLOOKUP(C188,'Justice Spend Total'!$C$4:$AQ$221,10,FALSE)</f>
        <v>24.271147112474754</v>
      </c>
      <c r="H188">
        <f>VLOOKUP(C188,'Justice Spend Total'!$C$4:$AQ$221,7,FALSE)</f>
        <v>54450</v>
      </c>
      <c r="I188" s="17">
        <f t="shared" si="9"/>
        <v>846.67444643881186</v>
      </c>
      <c r="J188" s="17">
        <f t="shared" si="10"/>
        <v>146.53980803748661</v>
      </c>
      <c r="K188" s="17">
        <f t="shared" si="11"/>
        <v>128.22233203280086</v>
      </c>
      <c r="L188" s="17">
        <f t="shared" si="12"/>
        <v>1736.0896702218899</v>
      </c>
      <c r="M188" s="16">
        <f>IF(ISNUMBER(VLOOKUP($C188,'Justice Spend Total'!$C:$BA,35,FALSE)),VLOOKUP($C188,'Justice Spend Total'!$C:$BA,35,FALSE),"")</f>
        <v>6.4066096828420651</v>
      </c>
      <c r="N188" s="16">
        <f>IF(ISNUMBER(VLOOKUP($C188,'Justice Spend Total'!$C:$BA,36,FALSE)),VLOOKUP($C188,'Justice Spend Total'!$C:$BA,36,FALSE),"")</f>
        <v>1.1088362912611263</v>
      </c>
      <c r="O188" s="16">
        <f>IF(ISNUMBER(VLOOKUP($C188,'Justice Spend Total'!$C:$BA,37,FALSE)),VLOOKUP($C188,'Justice Spend Total'!$C:$BA,37,FALSE),"")</f>
        <v>0.97023175485348601</v>
      </c>
      <c r="P188" s="16">
        <f>IF(ISNUMBER(VLOOKUP($C188,'Justice Spend Total'!$C:$BA,38,FALSE)),VLOOKUP($C188,'Justice Spend Total'!$C:$BA,38,FALSE),"")</f>
        <v>13.136629950635287</v>
      </c>
      <c r="Q188" s="15">
        <f>IF(ISNUMBER(VLOOKUP($C188,'Justice Spend Total'!$C:$BA,39,FALSE)),VLOOKUP($C188,'Justice Spend Total'!$C:$BA,39,FALSE),"")</f>
        <v>3.1884107809401101</v>
      </c>
      <c r="R188" s="22">
        <f>VLOOKUP($C188,'Justice Spend Total'!$C:$BA,40,FALSE)</f>
        <v>2020</v>
      </c>
      <c r="S188" s="15" t="str">
        <f>VLOOKUP($C188,'Justice Spend Total'!$C:$BA,41,FALSE)</f>
        <v>IMF COFOG</v>
      </c>
    </row>
    <row r="189" spans="1:19">
      <c r="A189">
        <v>187</v>
      </c>
      <c r="B189" t="s">
        <v>66</v>
      </c>
      <c r="C189" t="s">
        <v>460</v>
      </c>
      <c r="D189" t="s">
        <v>485</v>
      </c>
      <c r="E189" t="s">
        <v>494</v>
      </c>
      <c r="F189" s="17">
        <f>VLOOKUP(B189,'Justice Spend Total'!$B$4:$AQ$221,10,FALSE)</f>
        <v>328.59800000000001</v>
      </c>
      <c r="G189" s="15">
        <f>VLOOKUP(C189,'Justice Spend Total'!$C$4:$AQ$221,10,FALSE)</f>
        <v>41.069872952586884</v>
      </c>
      <c r="H189">
        <f>VLOOKUP(C189,'Justice Spend Total'!$C$4:$AQ$221,7,FALSE)</f>
        <v>56370</v>
      </c>
      <c r="I189" s="17">
        <f t="shared" si="9"/>
        <v>508.25611958579907</v>
      </c>
      <c r="J189" s="17">
        <f t="shared" si="10"/>
        <v>163.87631468763058</v>
      </c>
      <c r="K189" s="17">
        <f t="shared" si="11"/>
        <v>202.97835881989002</v>
      </c>
      <c r="L189" s="17">
        <f t="shared" si="12"/>
        <v>1116.9093795111826</v>
      </c>
      <c r="M189" s="16">
        <f>IF(ISNUMBER(VLOOKUP($C189,'Justice Spend Total'!$C:$BA,35,FALSE)),VLOOKUP($C189,'Justice Spend Total'!$C:$BA,35,FALSE),"")</f>
        <v>2.1953876773443532</v>
      </c>
      <c r="N189" s="16">
        <f>IF(ISNUMBER(VLOOKUP($C189,'Justice Spend Total'!$C:$BA,36,FALSE)),VLOOKUP($C189,'Justice Spend Total'!$C:$BA,36,FALSE),"")</f>
        <v>0.70785579948751853</v>
      </c>
      <c r="O189" s="16">
        <f>IF(ISNUMBER(VLOOKUP($C189,'Justice Spend Total'!$C:$BA,37,FALSE)),VLOOKUP($C189,'Justice Spend Total'!$C:$BA,37,FALSE),"")</f>
        <v>0.8767551841459772</v>
      </c>
      <c r="P189" s="16">
        <f>IF(ISNUMBER(VLOOKUP($C189,'Justice Spend Total'!$C:$BA,38,FALSE)),VLOOKUP($C189,'Justice Spend Total'!$C:$BA,38,FALSE),"")</f>
        <v>4.8244359369198815</v>
      </c>
      <c r="Q189" s="15">
        <f>IF(ISNUMBER(VLOOKUP($C189,'Justice Spend Total'!$C:$BA,39,FALSE)),VLOOKUP($C189,'Justice Spend Total'!$C:$BA,39,FALSE),"")</f>
        <v>1.98138970997194</v>
      </c>
      <c r="R189" s="22">
        <f>VLOOKUP($C189,'Justice Spend Total'!$C:$BA,40,FALSE)</f>
        <v>2020</v>
      </c>
      <c r="S189" s="15" t="str">
        <f>VLOOKUP($C189,'Justice Spend Total'!$C:$BA,41,FALSE)</f>
        <v>IMF COFOG</v>
      </c>
    </row>
    <row r="190" spans="1:19">
      <c r="A190">
        <v>188</v>
      </c>
      <c r="B190" t="s">
        <v>74</v>
      </c>
      <c r="C190" t="s">
        <v>461</v>
      </c>
      <c r="D190" t="s">
        <v>493</v>
      </c>
      <c r="E190" t="s">
        <v>494</v>
      </c>
      <c r="F190" s="17">
        <f>VLOOKUP(B190,'Justice Spend Total'!$B$4:$AQ$221,10,FALSE)</f>
        <v>709.49699999999996</v>
      </c>
      <c r="G190" s="15">
        <f>VLOOKUP(C190,'Justice Spend Total'!$C$4:$AQ$221,10,FALSE)</f>
        <v>36.089820542036293</v>
      </c>
      <c r="H190">
        <f>VLOOKUP(C190,'Justice Spend Total'!$C$4:$AQ$221,7,FALSE)</f>
        <v>56760</v>
      </c>
      <c r="I190" s="17">
        <f t="shared" si="9"/>
        <v>382.59311988370757</v>
      </c>
      <c r="J190" s="17">
        <f t="shared" si="10"/>
        <v>230.51876924045871</v>
      </c>
      <c r="K190" s="17">
        <f t="shared" si="11"/>
        <v>197.04799746855136</v>
      </c>
      <c r="L190" s="17">
        <f t="shared" si="12"/>
        <v>1145.5018480490724</v>
      </c>
      <c r="M190" s="16">
        <f>IF(ISNUMBER(VLOOKUP($C190,'Justice Spend Total'!$C:$BA,35,FALSE)),VLOOKUP($C190,'Justice Spend Total'!$C:$BA,35,FALSE),"")</f>
        <v>1.8677125912320978</v>
      </c>
      <c r="N190" s="16">
        <f>IF(ISNUMBER(VLOOKUP($C190,'Justice Spend Total'!$C:$BA,36,FALSE)),VLOOKUP($C190,'Justice Spend Total'!$C:$BA,36,FALSE),"")</f>
        <v>1.1253281500634362</v>
      </c>
      <c r="O190" s="16">
        <f>IF(ISNUMBER(VLOOKUP($C190,'Justice Spend Total'!$C:$BA,37,FALSE)),VLOOKUP($C190,'Justice Spend Total'!$C:$BA,37,FALSE),"")</f>
        <v>0.9619332048128556</v>
      </c>
      <c r="P190" s="16">
        <f>IF(ISNUMBER(VLOOKUP($C190,'Justice Spend Total'!$C:$BA,38,FALSE)),VLOOKUP($C190,'Justice Spend Total'!$C:$BA,38,FALSE),"")</f>
        <v>5.5920195991271333</v>
      </c>
      <c r="Q190" s="15">
        <f>IF(ISNUMBER(VLOOKUP($C190,'Justice Spend Total'!$C:$BA,39,FALSE)),VLOOKUP($C190,'Justice Spend Total'!$C:$BA,39,FALSE),"")</f>
        <v>2.0181498380004799</v>
      </c>
      <c r="R190" s="22">
        <f>VLOOKUP($C190,'Justice Spend Total'!$C:$BA,40,FALSE)</f>
        <v>2020</v>
      </c>
      <c r="S190" s="15" t="str">
        <f>VLOOKUP($C190,'Justice Spend Total'!$C:$BA,41,FALSE)</f>
        <v>IMF COFOG</v>
      </c>
    </row>
    <row r="191" spans="1:19">
      <c r="A191">
        <v>189</v>
      </c>
      <c r="B191" t="s">
        <v>260</v>
      </c>
      <c r="C191" t="s">
        <v>580</v>
      </c>
      <c r="D191" t="s">
        <v>487</v>
      </c>
      <c r="E191" t="s">
        <v>494</v>
      </c>
      <c r="F191" s="17">
        <f>VLOOKUP(B191,'Justice Spend Total'!$B$4:$AQ$221,10,FALSE)</f>
        <v>187.81800000000001</v>
      </c>
      <c r="G191" s="15">
        <f>VLOOKUP(C191,'Justice Spend Total'!$C$4:$AQ$221,10,FALSE)</f>
        <v>35.730143420519461</v>
      </c>
      <c r="H191">
        <f>VLOOKUP(C191,'Justice Spend Total'!$C$4:$AQ$221,7,FALSE)</f>
        <v>57120</v>
      </c>
      <c r="I191" s="17" t="str">
        <f t="shared" si="9"/>
        <v/>
      </c>
      <c r="J191" s="17" t="str">
        <f t="shared" si="10"/>
        <v/>
      </c>
      <c r="K191" s="17" t="str">
        <f t="shared" si="11"/>
        <v/>
      </c>
      <c r="L191" s="17" t="str">
        <f t="shared" si="12"/>
        <v/>
      </c>
      <c r="M191" s="16" t="str">
        <f>IF(ISNUMBER(VLOOKUP($C191,'Justice Spend Total'!$C:$BA,35,FALSE)),VLOOKUP($C191,'Justice Spend Total'!$C:$BA,35,FALSE),"")</f>
        <v/>
      </c>
      <c r="N191" s="16" t="str">
        <f>IF(ISNUMBER(VLOOKUP($C191,'Justice Spend Total'!$C:$BA,36,FALSE)),VLOOKUP($C191,'Justice Spend Total'!$C:$BA,36,FALSE),"")</f>
        <v/>
      </c>
      <c r="O191" s="16" t="str">
        <f>IF(ISNUMBER(VLOOKUP($C191,'Justice Spend Total'!$C:$BA,37,FALSE)),VLOOKUP($C191,'Justice Spend Total'!$C:$BA,37,FALSE),"")</f>
        <v/>
      </c>
      <c r="P191" s="16" t="str">
        <f>IF(ISNUMBER(VLOOKUP($C191,'Justice Spend Total'!$C:$BA,38,FALSE)),VLOOKUP($C191,'Justice Spend Total'!$C:$BA,38,FALSE),"")</f>
        <v/>
      </c>
      <c r="Q191" s="15" t="str">
        <f>IF(ISNUMBER(VLOOKUP($C191,'Justice Spend Total'!$C:$BA,39,FALSE)),VLOOKUP($C191,'Justice Spend Total'!$C:$BA,39,FALSE),"")</f>
        <v/>
      </c>
      <c r="R191" s="22" t="str">
        <f>VLOOKUP($C191,'Justice Spend Total'!$C:$BA,40,FALSE)</f>
        <v xml:space="preserve"> </v>
      </c>
      <c r="S191" s="15" t="str">
        <f>VLOOKUP($C191,'Justice Spend Total'!$C:$BA,41,FALSE)</f>
        <v xml:space="preserve"> </v>
      </c>
    </row>
    <row r="192" spans="1:19">
      <c r="A192">
        <v>190</v>
      </c>
      <c r="B192" t="s">
        <v>52</v>
      </c>
      <c r="C192" t="s">
        <v>462</v>
      </c>
      <c r="D192" t="s">
        <v>485</v>
      </c>
      <c r="E192" t="s">
        <v>494</v>
      </c>
      <c r="F192" s="17">
        <f>VLOOKUP(B192,'Justice Spend Total'!$B$4:$AQ$221,10,FALSE)</f>
        <v>2424.83</v>
      </c>
      <c r="G192" s="15">
        <f>VLOOKUP(C192,'Justice Spend Total'!$C$4:$AQ$221,10,FALSE)</f>
        <v>48.620484995769218</v>
      </c>
      <c r="H192">
        <f>VLOOKUP(C192,'Justice Spend Total'!$C$4:$AQ$221,7,FALSE)</f>
        <v>58890</v>
      </c>
      <c r="I192" s="17">
        <f t="shared" si="9"/>
        <v>418.68768139106049</v>
      </c>
      <c r="J192" s="17">
        <f t="shared" si="10"/>
        <v>158.55299523634957</v>
      </c>
      <c r="K192" s="17">
        <f t="shared" si="11"/>
        <v>127.04801757367491</v>
      </c>
      <c r="L192" s="17">
        <f t="shared" si="12"/>
        <v>823.47819334052292</v>
      </c>
      <c r="M192" s="16">
        <f>IF(ISNUMBER(VLOOKUP($C192,'Justice Spend Total'!$C:$BA,35,FALSE)),VLOOKUP($C192,'Justice Spend Total'!$C:$BA,35,FALSE),"")</f>
        <v>1.4622759670595156</v>
      </c>
      <c r="N192" s="16">
        <f>IF(ISNUMBER(VLOOKUP($C192,'Justice Spend Total'!$C:$BA,36,FALSE)),VLOOKUP($C192,'Justice Spend Total'!$C:$BA,36,FALSE),"")</f>
        <v>0.55374983488674978</v>
      </c>
      <c r="O192" s="16">
        <f>IF(ISNUMBER(VLOOKUP($C192,'Justice Spend Total'!$C:$BA,37,FALSE)),VLOOKUP($C192,'Justice Spend Total'!$C:$BA,37,FALSE),"")</f>
        <v>0.44371800513285037</v>
      </c>
      <c r="P192" s="16">
        <f>IF(ISNUMBER(VLOOKUP($C192,'Justice Spend Total'!$C:$BA,38,FALSE)),VLOOKUP($C192,'Justice Spend Total'!$C:$BA,38,FALSE),"")</f>
        <v>2.8760157631548267</v>
      </c>
      <c r="Q192" s="15">
        <f>IF(ISNUMBER(VLOOKUP($C192,'Justice Spend Total'!$C:$BA,39,FALSE)),VLOOKUP($C192,'Justice Spend Total'!$C:$BA,39,FALSE),"")</f>
        <v>1.39833281260065</v>
      </c>
      <c r="R192" s="22">
        <f>VLOOKUP($C192,'Justice Spend Total'!$C:$BA,40,FALSE)</f>
        <v>2020</v>
      </c>
      <c r="S192" s="15" t="str">
        <f>VLOOKUP($C192,'Justice Spend Total'!$C:$BA,41,FALSE)</f>
        <v>IMF COFOG</v>
      </c>
    </row>
    <row r="193" spans="1:19">
      <c r="A193">
        <v>191</v>
      </c>
      <c r="B193" t="s">
        <v>261</v>
      </c>
      <c r="C193" t="s">
        <v>510</v>
      </c>
      <c r="D193" t="s">
        <v>497</v>
      </c>
      <c r="E193" t="s">
        <v>494</v>
      </c>
      <c r="F193" s="17" t="str">
        <f>VLOOKUP(B193,'Justice Spend Total'!$B$4:$AQ$221,10,FALSE)</f>
        <v xml:space="preserve"> </v>
      </c>
      <c r="G193" s="15" t="str">
        <f>VLOOKUP(C193,'Justice Spend Total'!$C$4:$AQ$221,10,FALSE)</f>
        <v xml:space="preserve"> </v>
      </c>
      <c r="H193">
        <f>VLOOKUP(C193,'Justice Spend Total'!$C$4:$AQ$221,7,FALSE)</f>
        <v>63370</v>
      </c>
      <c r="I193" s="17" t="str">
        <f t="shared" si="9"/>
        <v/>
      </c>
      <c r="J193" s="17" t="str">
        <f t="shared" si="10"/>
        <v/>
      </c>
      <c r="K193" s="17" t="str">
        <f t="shared" si="11"/>
        <v/>
      </c>
      <c r="L193" s="17" t="str">
        <f t="shared" si="12"/>
        <v/>
      </c>
      <c r="M193" s="16" t="str">
        <f>IF(ISNUMBER(VLOOKUP($C193,'Justice Spend Total'!$C:$BA,35,FALSE)),VLOOKUP($C193,'Justice Spend Total'!$C:$BA,35,FALSE),"")</f>
        <v/>
      </c>
      <c r="N193" s="16" t="str">
        <f>IF(ISNUMBER(VLOOKUP($C193,'Justice Spend Total'!$C:$BA,36,FALSE)),VLOOKUP($C193,'Justice Spend Total'!$C:$BA,36,FALSE),"")</f>
        <v/>
      </c>
      <c r="O193" s="16" t="str">
        <f>IF(ISNUMBER(VLOOKUP($C193,'Justice Spend Total'!$C:$BA,37,FALSE)),VLOOKUP($C193,'Justice Spend Total'!$C:$BA,37,FALSE),"")</f>
        <v/>
      </c>
      <c r="P193" s="16" t="str">
        <f>IF(ISNUMBER(VLOOKUP($C193,'Justice Spend Total'!$C:$BA,38,FALSE)),VLOOKUP($C193,'Justice Spend Total'!$C:$BA,38,FALSE),"")</f>
        <v/>
      </c>
      <c r="Q193" s="15" t="str">
        <f>IF(ISNUMBER(VLOOKUP($C193,'Justice Spend Total'!$C:$BA,39,FALSE)),VLOOKUP($C193,'Justice Spend Total'!$C:$BA,39,FALSE),"")</f>
        <v/>
      </c>
      <c r="R193" s="22" t="str">
        <f>VLOOKUP($C193,'Justice Spend Total'!$C:$BA,40,FALSE)</f>
        <v xml:space="preserve"> </v>
      </c>
      <c r="S193" s="15" t="str">
        <f>VLOOKUP($C193,'Justice Spend Total'!$C:$BA,41,FALSE)</f>
        <v xml:space="preserve"> </v>
      </c>
    </row>
    <row r="194" spans="1:19">
      <c r="A194">
        <v>192</v>
      </c>
      <c r="B194" t="s">
        <v>262</v>
      </c>
      <c r="C194" t="s">
        <v>554</v>
      </c>
      <c r="D194" t="s">
        <v>493</v>
      </c>
      <c r="E194" t="s">
        <v>494</v>
      </c>
      <c r="F194" s="17">
        <f>VLOOKUP(B194,'Justice Spend Total'!$B$4:$AQ$221,10,FALSE)</f>
        <v>103.31399999999999</v>
      </c>
      <c r="G194" s="15">
        <f>VLOOKUP(C194,'Justice Spend Total'!$C$4:$AQ$221,10,FALSE)</f>
        <v>18.00538519854652</v>
      </c>
      <c r="H194">
        <f>VLOOKUP(C194,'Justice Spend Total'!$C$4:$AQ$221,7,FALSE)</f>
        <v>64010</v>
      </c>
      <c r="I194" s="17">
        <f t="shared" si="9"/>
        <v>488.88426476348656</v>
      </c>
      <c r="J194" s="17">
        <f t="shared" si="10"/>
        <v>23.715593264662928</v>
      </c>
      <c r="K194" s="17">
        <f t="shared" si="11"/>
        <v>85.071320788557131</v>
      </c>
      <c r="L194" s="17">
        <f t="shared" si="12"/>
        <v>785.01857674280234</v>
      </c>
      <c r="M194" s="16">
        <f>IF(ISNUMBER(VLOOKUP($C194,'Justice Spend Total'!$C:$BA,35,FALSE)),VLOOKUP($C194,'Justice Spend Total'!$C:$BA,35,FALSE),"")</f>
        <v>4.24185496398706</v>
      </c>
      <c r="N194" s="16">
        <f>IF(ISNUMBER(VLOOKUP($C194,'Justice Spend Total'!$C:$BA,36,FALSE)),VLOOKUP($C194,'Justice Spend Total'!$C:$BA,36,FALSE),"")</f>
        <v>0.20577080152554325</v>
      </c>
      <c r="O194" s="16">
        <f>IF(ISNUMBER(VLOOKUP($C194,'Justice Spend Total'!$C:$BA,37,FALSE)),VLOOKUP($C194,'Justice Spend Total'!$C:$BA,37,FALSE),"")</f>
        <v>0.73813012688075441</v>
      </c>
      <c r="P194" s="16">
        <f>IF(ISNUMBER(VLOOKUP($C194,'Justice Spend Total'!$C:$BA,38,FALSE)),VLOOKUP($C194,'Justice Spend Total'!$C:$BA,38,FALSE),"")</f>
        <v>6.8112949967605845</v>
      </c>
      <c r="Q194" s="15">
        <f>IF(ISNUMBER(VLOOKUP($C194,'Justice Spend Total'!$C:$BA,39,FALSE)),VLOOKUP($C194,'Justice Spend Total'!$C:$BA,39,FALSE),"")</f>
        <v>1.22639990117607</v>
      </c>
      <c r="R194" s="22">
        <f>VLOOKUP($C194,'Justice Spend Total'!$C:$BA,40,FALSE)</f>
        <v>2020</v>
      </c>
      <c r="S194" s="15" t="str">
        <f>VLOOKUP($C194,'Justice Spend Total'!$C:$BA,41,FALSE)</f>
        <v>IMF COFOG</v>
      </c>
    </row>
    <row r="195" spans="1:19">
      <c r="A195">
        <v>193</v>
      </c>
      <c r="B195" t="s">
        <v>59</v>
      </c>
      <c r="C195" t="s">
        <v>463</v>
      </c>
      <c r="D195" t="s">
        <v>485</v>
      </c>
      <c r="E195" t="s">
        <v>494</v>
      </c>
      <c r="F195" s="17">
        <f>VLOOKUP(B195,'Justice Spend Total'!$B$4:$AQ$221,10,FALSE)</f>
        <v>1231.6099999999999</v>
      </c>
      <c r="G195" s="15">
        <f>VLOOKUP(C195,'Justice Spend Total'!$C$4:$AQ$221,10,FALSE)</f>
        <v>42.056432198383455</v>
      </c>
      <c r="H195">
        <f>VLOOKUP(C195,'Justice Spend Total'!$C$4:$AQ$221,7,FALSE)</f>
        <v>64410</v>
      </c>
      <c r="I195" s="17">
        <f t="shared" si="9"/>
        <v>573.07803619711615</v>
      </c>
      <c r="J195" s="17">
        <f t="shared" si="10"/>
        <v>160.26538021292038</v>
      </c>
      <c r="K195" s="17">
        <f t="shared" si="11"/>
        <v>49.435415937555163</v>
      </c>
      <c r="L195" s="17">
        <f t="shared" si="12"/>
        <v>1024.4099999965451</v>
      </c>
      <c r="M195" s="16">
        <f>IF(ISNUMBER(VLOOKUP($C195,'Justice Spend Total'!$C:$BA,35,FALSE)),VLOOKUP($C195,'Justice Spend Total'!$C:$BA,35,FALSE),"")</f>
        <v>2.1155731072844337</v>
      </c>
      <c r="N195" s="16">
        <f>IF(ISNUMBER(VLOOKUP($C195,'Justice Spend Total'!$C:$BA,36,FALSE)),VLOOKUP($C195,'Justice Spend Total'!$C:$BA,36,FALSE),"")</f>
        <v>0.59163518228178669</v>
      </c>
      <c r="O195" s="16">
        <f>IF(ISNUMBER(VLOOKUP($C195,'Justice Spend Total'!$C:$BA,37,FALSE)),VLOOKUP($C195,'Justice Spend Total'!$C:$BA,37,FALSE),"")</f>
        <v>0.18249562869120178</v>
      </c>
      <c r="P195" s="16">
        <f>IF(ISNUMBER(VLOOKUP($C195,'Justice Spend Total'!$C:$BA,38,FALSE)),VLOOKUP($C195,'Justice Spend Total'!$C:$BA,38,FALSE),"")</f>
        <v>3.7817087899709736</v>
      </c>
      <c r="Q195" s="15">
        <f>IF(ISNUMBER(VLOOKUP($C195,'Justice Spend Total'!$C:$BA,39,FALSE)),VLOOKUP($C195,'Justice Spend Total'!$C:$BA,39,FALSE),"")</f>
        <v>1.59045179319445</v>
      </c>
      <c r="R195" s="22">
        <f>VLOOKUP($C195,'Justice Spend Total'!$C:$BA,40,FALSE)</f>
        <v>2020</v>
      </c>
      <c r="S195" s="15" t="str">
        <f>VLOOKUP($C195,'Justice Spend Total'!$C:$BA,41,FALSE)</f>
        <v>IMF COFOG</v>
      </c>
    </row>
    <row r="196" spans="1:19">
      <c r="A196">
        <v>194</v>
      </c>
      <c r="B196" t="s">
        <v>49</v>
      </c>
      <c r="C196" t="s">
        <v>464</v>
      </c>
      <c r="D196" t="s">
        <v>485</v>
      </c>
      <c r="E196" t="s">
        <v>494</v>
      </c>
      <c r="F196" s="17">
        <f>VLOOKUP(B196,'Justice Spend Total'!$B$4:$AQ$221,10,FALSE)</f>
        <v>1240.52</v>
      </c>
      <c r="G196" s="15">
        <f>VLOOKUP(C196,'Justice Spend Total'!$C$4:$AQ$221,10,FALSE)</f>
        <v>53.251257748244306</v>
      </c>
      <c r="H196">
        <f>VLOOKUP(C196,'Justice Spend Total'!$C$4:$AQ$221,7,FALSE)</f>
        <v>68110</v>
      </c>
      <c r="I196" s="17">
        <f t="shared" ref="I196:I220" si="13">IF(ISNUMBER(M196),$G196/100*$H196*(M196/100),"")</f>
        <v>396.31117193325264</v>
      </c>
      <c r="J196" s="17">
        <f t="shared" ref="J196:J220" si="14">IF(ISNUMBER(N196),$G196/100*$H196*(N196/100),"")</f>
        <v>112.50500845438231</v>
      </c>
      <c r="K196" s="17">
        <f t="shared" ref="K196:K220" si="15">IF(ISNUMBER(O196),$G196/100*$H196*(O196/100),"")</f>
        <v>114.49314269941831</v>
      </c>
      <c r="L196" s="17">
        <f t="shared" ref="L196:L220" si="16">IF(ISNUMBER(P196),$G196/100*$H196*(P196/100),"")</f>
        <v>678.88937014313012</v>
      </c>
      <c r="M196" s="16">
        <f>IF(ISNUMBER(VLOOKUP($C196,'Justice Spend Total'!$C:$BA,35,FALSE)),VLOOKUP($C196,'Justice Spend Total'!$C:$BA,35,FALSE),"")</f>
        <v>1.0926864686830617</v>
      </c>
      <c r="N196" s="16">
        <f>IF(ISNUMBER(VLOOKUP($C196,'Justice Spend Total'!$C:$BA,36,FALSE)),VLOOKUP($C196,'Justice Spend Total'!$C:$BA,36,FALSE),"")</f>
        <v>0.31019236676447148</v>
      </c>
      <c r="O196" s="16">
        <f>IF(ISNUMBER(VLOOKUP($C196,'Justice Spend Total'!$C:$BA,37,FALSE)),VLOOKUP($C196,'Justice Spend Total'!$C:$BA,37,FALSE),"")</f>
        <v>0.31567393665532012</v>
      </c>
      <c r="P196" s="16">
        <f>IF(ISNUMBER(VLOOKUP($C196,'Justice Spend Total'!$C:$BA,38,FALSE)),VLOOKUP($C196,'Justice Spend Total'!$C:$BA,38,FALSE),"")</f>
        <v>1.8717948950808341</v>
      </c>
      <c r="Q196" s="15">
        <f>IF(ISNUMBER(VLOOKUP($C196,'Justice Spend Total'!$C:$BA,39,FALSE)),VLOOKUP($C196,'Justice Spend Total'!$C:$BA,39,FALSE),"")</f>
        <v>0.99675432409797404</v>
      </c>
      <c r="R196" s="22">
        <f>VLOOKUP($C196,'Justice Spend Total'!$C:$BA,40,FALSE)</f>
        <v>2020</v>
      </c>
      <c r="S196" s="15" t="str">
        <f>VLOOKUP($C196,'Justice Spend Total'!$C:$BA,41,FALSE)</f>
        <v>IMF COFOG</v>
      </c>
    </row>
    <row r="197" spans="1:19">
      <c r="A197">
        <v>195</v>
      </c>
      <c r="B197" t="s">
        <v>77</v>
      </c>
      <c r="C197" t="s">
        <v>465</v>
      </c>
      <c r="D197" t="s">
        <v>502</v>
      </c>
      <c r="E197" t="s">
        <v>494</v>
      </c>
      <c r="F197" s="17">
        <f>VLOOKUP(B197,'Justice Spend Total'!$B$4:$AQ$221,10,FALSE)</f>
        <v>6436.15</v>
      </c>
      <c r="G197" s="15">
        <f>VLOOKUP(C197,'Justice Spend Total'!$C$4:$AQ$221,10,FALSE)</f>
        <v>30.804187855219862</v>
      </c>
      <c r="H197">
        <f>VLOOKUP(C197,'Justice Spend Total'!$C$4:$AQ$221,7,FALSE)</f>
        <v>70430</v>
      </c>
      <c r="I197" s="17">
        <f t="shared" si="13"/>
        <v>643.16094525874951</v>
      </c>
      <c r="J197" s="17">
        <f t="shared" si="14"/>
        <v>212.70154950643135</v>
      </c>
      <c r="K197" s="17">
        <f t="shared" si="15"/>
        <v>308.77118755608734</v>
      </c>
      <c r="L197" s="17">
        <f t="shared" si="16"/>
        <v>1380.3690098713728</v>
      </c>
      <c r="M197" s="16">
        <f>IF(ISNUMBER(VLOOKUP($C197,'Justice Spend Total'!$C:$BA,35,FALSE)),VLOOKUP($C197,'Justice Spend Total'!$C:$BA,35,FALSE),"")</f>
        <v>2.9645051777848557</v>
      </c>
      <c r="N197" s="16">
        <f>IF(ISNUMBER(VLOOKUP($C197,'Justice Spend Total'!$C:$BA,36,FALSE)),VLOOKUP($C197,'Justice Spend Total'!$C:$BA,36,FALSE),"")</f>
        <v>0.98039977315631244</v>
      </c>
      <c r="O197" s="16">
        <f>IF(ISNUMBER(VLOOKUP($C197,'Justice Spend Total'!$C:$BA,37,FALSE)),VLOOKUP($C197,'Justice Spend Total'!$C:$BA,37,FALSE),"")</f>
        <v>1.4232110811587673</v>
      </c>
      <c r="P197" s="16">
        <f>IF(ISNUMBER(VLOOKUP($C197,'Justice Spend Total'!$C:$BA,38,FALSE)),VLOOKUP($C197,'Justice Spend Total'!$C:$BA,38,FALSE),"")</f>
        <v>6.3624993202457985</v>
      </c>
      <c r="Q197" s="15">
        <f>IF(ISNUMBER(VLOOKUP($C197,'Justice Spend Total'!$C:$BA,39,FALSE)),VLOOKUP($C197,'Justice Spend Total'!$C:$BA,39,FALSE),"")</f>
        <v>1.9599162428956027</v>
      </c>
      <c r="R197" s="22">
        <f>VLOOKUP($C197,'Justice Spend Total'!$C:$BA,40,FALSE)</f>
        <v>2020</v>
      </c>
      <c r="S197" s="15" t="str">
        <f>VLOOKUP($C197,'Justice Spend Total'!$C:$BA,41,FALSE)</f>
        <v>IMF COFOG</v>
      </c>
    </row>
    <row r="198" spans="1:19">
      <c r="A198">
        <v>196</v>
      </c>
      <c r="B198" t="s">
        <v>61</v>
      </c>
      <c r="C198" t="s">
        <v>466</v>
      </c>
      <c r="D198" t="s">
        <v>485</v>
      </c>
      <c r="E198" t="s">
        <v>494</v>
      </c>
      <c r="F198" s="17">
        <f>VLOOKUP(B198,'Justice Spend Total'!$B$4:$AQ$221,10,FALSE)</f>
        <v>83.616</v>
      </c>
      <c r="G198" s="15">
        <f>VLOOKUP(C198,'Justice Spend Total'!$C$4:$AQ$221,10,FALSE)</f>
        <v>22.425033993171866</v>
      </c>
      <c r="H198">
        <f>VLOOKUP(C198,'Justice Spend Total'!$C$4:$AQ$221,7,FALSE)</f>
        <v>74520</v>
      </c>
      <c r="I198" s="17">
        <f t="shared" si="13"/>
        <v>392.74085922938116</v>
      </c>
      <c r="J198" s="17">
        <f t="shared" si="14"/>
        <v>147.79529861694044</v>
      </c>
      <c r="K198" s="17">
        <f t="shared" si="15"/>
        <v>41.564792138794019</v>
      </c>
      <c r="L198" s="17">
        <f t="shared" si="16"/>
        <v>697.17846932836983</v>
      </c>
      <c r="M198" s="16">
        <f>IF(ISNUMBER(VLOOKUP($C198,'Justice Spend Total'!$C:$BA,35,FALSE)),VLOOKUP($C198,'Justice Spend Total'!$C:$BA,35,FALSE),"")</f>
        <v>2.3501746077305796</v>
      </c>
      <c r="N198" s="16">
        <f>IF(ISNUMBER(VLOOKUP($C198,'Justice Spend Total'!$C:$BA,36,FALSE)),VLOOKUP($C198,'Justice Spend Total'!$C:$BA,36,FALSE),"")</f>
        <v>0.88441207424416324</v>
      </c>
      <c r="O198" s="16">
        <f>IF(ISNUMBER(VLOOKUP($C198,'Justice Spend Total'!$C:$BA,37,FALSE)),VLOOKUP($C198,'Justice Spend Total'!$C:$BA,37,FALSE),"")</f>
        <v>0.24872512437810923</v>
      </c>
      <c r="P198" s="16">
        <f>IF(ISNUMBER(VLOOKUP($C198,'Justice Spend Total'!$C:$BA,38,FALSE)),VLOOKUP($C198,'Justice Spend Total'!$C:$BA,38,FALSE),"")</f>
        <v>4.1719395809414452</v>
      </c>
      <c r="Q198" s="15">
        <f>IF(ISNUMBER(VLOOKUP($C198,'Justice Spend Total'!$C:$BA,39,FALSE)),VLOOKUP($C198,'Justice Spend Total'!$C:$BA,39,FALSE),"")</f>
        <v>0.93555886920071096</v>
      </c>
      <c r="R198" s="22">
        <f>VLOOKUP($C198,'Justice Spend Total'!$C:$BA,40,FALSE)</f>
        <v>2020</v>
      </c>
      <c r="S198" s="15" t="str">
        <f>VLOOKUP($C198,'Justice Spend Total'!$C:$BA,41,FALSE)</f>
        <v>IMF COFOG</v>
      </c>
    </row>
    <row r="199" spans="1:19">
      <c r="A199">
        <v>197</v>
      </c>
      <c r="B199" t="s">
        <v>54</v>
      </c>
      <c r="C199" t="s">
        <v>467</v>
      </c>
      <c r="D199" t="s">
        <v>485</v>
      </c>
      <c r="E199" t="s">
        <v>494</v>
      </c>
      <c r="F199" s="17">
        <f>VLOOKUP(B199,'Justice Spend Total'!$B$4:$AQ$221,10,FALSE)</f>
        <v>28.202999999999999</v>
      </c>
      <c r="G199" s="15">
        <f>VLOOKUP(C199,'Justice Spend Total'!$C$4:$AQ$221,10,FALSE)</f>
        <v>43.915541645256226</v>
      </c>
      <c r="H199">
        <f>VLOOKUP(C199,'Justice Spend Total'!$C$4:$AQ$221,7,FALSE)</f>
        <v>81110</v>
      </c>
      <c r="I199" s="17">
        <f t="shared" si="13"/>
        <v>433.25053879612733</v>
      </c>
      <c r="J199" s="17">
        <f t="shared" si="14"/>
        <v>191.40508332943543</v>
      </c>
      <c r="K199" s="17">
        <f t="shared" si="15"/>
        <v>145.52582885116075</v>
      </c>
      <c r="L199" s="17">
        <f t="shared" si="16"/>
        <v>1050.6984063732627</v>
      </c>
      <c r="M199" s="16">
        <f>IF(ISNUMBER(VLOOKUP($C199,'Justice Spend Total'!$C:$BA,35,FALSE)),VLOOKUP($C199,'Justice Spend Total'!$C:$BA,35,FALSE),"")</f>
        <v>1.2163161309693518</v>
      </c>
      <c r="N199" s="16">
        <f>IF(ISNUMBER(VLOOKUP($C199,'Justice Spend Total'!$C:$BA,36,FALSE)),VLOOKUP($C199,'Justice Spend Total'!$C:$BA,36,FALSE),"")</f>
        <v>0.53735441633848069</v>
      </c>
      <c r="O199" s="16">
        <f>IF(ISNUMBER(VLOOKUP($C199,'Justice Spend Total'!$C:$BA,37,FALSE)),VLOOKUP($C199,'Justice Spend Total'!$C:$BA,37,FALSE),"")</f>
        <v>0.40855208996668901</v>
      </c>
      <c r="P199" s="16">
        <f>IF(ISNUMBER(VLOOKUP($C199,'Justice Spend Total'!$C:$BA,38,FALSE)),VLOOKUP($C199,'Justice Spend Total'!$C:$BA,38,FALSE),"")</f>
        <v>2.9497514856108795</v>
      </c>
      <c r="Q199" s="15">
        <f>IF(ISNUMBER(VLOOKUP($C199,'Justice Spend Total'!$C:$BA,39,FALSE)),VLOOKUP($C199,'Justice Spend Total'!$C:$BA,39,FALSE),"")</f>
        <v>1.2953993420950101</v>
      </c>
      <c r="R199" s="22">
        <f>VLOOKUP($C199,'Justice Spend Total'!$C:$BA,40,FALSE)</f>
        <v>2020</v>
      </c>
      <c r="S199" s="15" t="str">
        <f>VLOOKUP($C199,'Justice Spend Total'!$C:$BA,41,FALSE)</f>
        <v>IMF COFOG</v>
      </c>
    </row>
    <row r="200" spans="1:19">
      <c r="A200">
        <v>198</v>
      </c>
      <c r="B200" t="s">
        <v>263</v>
      </c>
      <c r="C200" t="s">
        <v>541</v>
      </c>
      <c r="D200" t="s">
        <v>485</v>
      </c>
      <c r="E200" t="s">
        <v>494</v>
      </c>
      <c r="F200" s="17" t="str">
        <f>VLOOKUP(B200,'Justice Spend Total'!$B$4:$AQ$221,10,FALSE)</f>
        <v xml:space="preserve"> </v>
      </c>
      <c r="G200" s="15" t="str">
        <f>VLOOKUP(C200,'Justice Spend Total'!$C$4:$AQ$221,10,FALSE)</f>
        <v xml:space="preserve"> </v>
      </c>
      <c r="H200">
        <f>VLOOKUP(C200,'Justice Spend Total'!$C$4:$AQ$221,7,FALSE)</f>
        <v>83920</v>
      </c>
      <c r="I200" s="17" t="str">
        <f t="shared" si="13"/>
        <v/>
      </c>
      <c r="J200" s="17" t="str">
        <f t="shared" si="14"/>
        <v/>
      </c>
      <c r="K200" s="17" t="str">
        <f t="shared" si="15"/>
        <v/>
      </c>
      <c r="L200" s="17" t="str">
        <f t="shared" si="16"/>
        <v/>
      </c>
      <c r="M200" s="16" t="str">
        <f>IF(ISNUMBER(VLOOKUP($C200,'Justice Spend Total'!$C:$BA,35,FALSE)),VLOOKUP($C200,'Justice Spend Total'!$C:$BA,35,FALSE),"")</f>
        <v/>
      </c>
      <c r="N200" s="16" t="str">
        <f>IF(ISNUMBER(VLOOKUP($C200,'Justice Spend Total'!$C:$BA,36,FALSE)),VLOOKUP($C200,'Justice Spend Total'!$C:$BA,36,FALSE),"")</f>
        <v/>
      </c>
      <c r="O200" s="16" t="str">
        <f>IF(ISNUMBER(VLOOKUP($C200,'Justice Spend Total'!$C:$BA,37,FALSE)),VLOOKUP($C200,'Justice Spend Total'!$C:$BA,37,FALSE),"")</f>
        <v/>
      </c>
      <c r="P200" s="16" t="str">
        <f>IF(ISNUMBER(VLOOKUP($C200,'Justice Spend Total'!$C:$BA,38,FALSE)),VLOOKUP($C200,'Justice Spend Total'!$C:$BA,38,FALSE),"")</f>
        <v/>
      </c>
      <c r="Q200" s="15" t="str">
        <f>IF(ISNUMBER(VLOOKUP($C200,'Justice Spend Total'!$C:$BA,39,FALSE)),VLOOKUP($C200,'Justice Spend Total'!$C:$BA,39,FALSE),"")</f>
        <v/>
      </c>
      <c r="R200" s="22" t="str">
        <f>VLOOKUP($C200,'Justice Spend Total'!$C:$BA,40,FALSE)</f>
        <v xml:space="preserve"> </v>
      </c>
      <c r="S200" s="15" t="str">
        <f>VLOOKUP($C200,'Justice Spend Total'!$C:$BA,41,FALSE)</f>
        <v xml:space="preserve"> </v>
      </c>
    </row>
    <row r="201" spans="1:19">
      <c r="A201">
        <v>199</v>
      </c>
      <c r="B201" t="s">
        <v>51</v>
      </c>
      <c r="C201" t="s">
        <v>468</v>
      </c>
      <c r="D201" t="s">
        <v>485</v>
      </c>
      <c r="E201" t="s">
        <v>494</v>
      </c>
      <c r="F201" s="17">
        <f>VLOOKUP(B201,'Justice Spend Total'!$B$4:$AQ$221,10,FALSE)</f>
        <v>2071.4299999999998</v>
      </c>
      <c r="G201" s="15">
        <f>VLOOKUP(C201,'Justice Spend Total'!$C$4:$AQ$221,10,FALSE)</f>
        <v>49.984677121615391</v>
      </c>
      <c r="H201">
        <f>VLOOKUP(C201,'Justice Spend Total'!$C$4:$AQ$221,7,FALSE)</f>
        <v>84090</v>
      </c>
      <c r="I201" s="17">
        <f t="shared" si="13"/>
        <v>533.8875565776558</v>
      </c>
      <c r="J201" s="17">
        <f t="shared" si="14"/>
        <v>140.19721689200102</v>
      </c>
      <c r="K201" s="17">
        <f t="shared" si="15"/>
        <v>124.57869018148831</v>
      </c>
      <c r="L201" s="17">
        <f t="shared" si="16"/>
        <v>1090.7102052175933</v>
      </c>
      <c r="M201" s="16">
        <f>IF(ISNUMBER(VLOOKUP($C201,'Justice Spend Total'!$C:$BA,35,FALSE)),VLOOKUP($C201,'Justice Spend Total'!$C:$BA,35,FALSE),"")</f>
        <v>1.2701896078386221</v>
      </c>
      <c r="N201" s="16">
        <f>IF(ISNUMBER(VLOOKUP($C201,'Justice Spend Total'!$C:$BA,36,FALSE)),VLOOKUP($C201,'Justice Spend Total'!$C:$BA,36,FALSE),"")</f>
        <v>0.33354785244599555</v>
      </c>
      <c r="O201" s="16">
        <f>IF(ISNUMBER(VLOOKUP($C201,'Justice Spend Total'!$C:$BA,37,FALSE)),VLOOKUP($C201,'Justice Spend Total'!$C:$BA,37,FALSE),"")</f>
        <v>0.29638929710409445</v>
      </c>
      <c r="P201" s="16">
        <f>IF(ISNUMBER(VLOOKUP($C201,'Justice Spend Total'!$C:$BA,38,FALSE)),VLOOKUP($C201,'Justice Spend Total'!$C:$BA,38,FALSE),"")</f>
        <v>2.59494485451527</v>
      </c>
      <c r="Q201" s="15">
        <f>IF(ISNUMBER(VLOOKUP($C201,'Justice Spend Total'!$C:$BA,39,FALSE)),VLOOKUP($C201,'Justice Spend Total'!$C:$BA,39,FALSE),"")</f>
        <v>1.2970748070134299</v>
      </c>
      <c r="R201" s="22">
        <f>VLOOKUP($C201,'Justice Spend Total'!$C:$BA,40,FALSE)</f>
        <v>2020</v>
      </c>
      <c r="S201" s="15" t="str">
        <f>VLOOKUP($C201,'Justice Spend Total'!$C:$BA,41,FALSE)</f>
        <v>IMF COFOG</v>
      </c>
    </row>
    <row r="202" spans="1:19">
      <c r="A202">
        <v>200</v>
      </c>
      <c r="B202" t="s">
        <v>67</v>
      </c>
      <c r="C202" t="s">
        <v>469</v>
      </c>
      <c r="D202" t="s">
        <v>485</v>
      </c>
      <c r="E202" t="s">
        <v>494</v>
      </c>
      <c r="F202" s="17">
        <f>VLOOKUP(B202,'Justice Spend Total'!$B$4:$AQ$221,10,FALSE)</f>
        <v>238.78700000000001</v>
      </c>
      <c r="G202" s="15">
        <f>VLOOKUP(C202,'Justice Spend Total'!$C$4:$AQ$221,10,FALSE)</f>
        <v>32.806540782343951</v>
      </c>
      <c r="H202">
        <f>VLOOKUP(C202,'Justice Spend Total'!$C$4:$AQ$221,7,FALSE)</f>
        <v>90360</v>
      </c>
      <c r="I202" s="17">
        <f t="shared" si="13"/>
        <v>607.37236109947332</v>
      </c>
      <c r="J202" s="17">
        <f t="shared" si="14"/>
        <v>266.92323444295556</v>
      </c>
      <c r="K202" s="17">
        <f t="shared" si="15"/>
        <v>177.37006195550819</v>
      </c>
      <c r="L202" s="17">
        <f t="shared" si="16"/>
        <v>1457.6736244494107</v>
      </c>
      <c r="M202" s="16">
        <f>IF(ISNUMBER(VLOOKUP($C202,'Justice Spend Total'!$C:$BA,35,FALSE)),VLOOKUP($C202,'Justice Spend Total'!$C:$BA,35,FALSE),"")</f>
        <v>2.0488886818484255</v>
      </c>
      <c r="N202" s="16">
        <f>IF(ISNUMBER(VLOOKUP($C202,'Justice Spend Total'!$C:$BA,36,FALSE)),VLOOKUP($C202,'Justice Spend Total'!$C:$BA,36,FALSE),"")</f>
        <v>0.90042950420487888</v>
      </c>
      <c r="O202" s="16">
        <f>IF(ISNUMBER(VLOOKUP($C202,'Justice Spend Total'!$C:$BA,37,FALSE)),VLOOKUP($C202,'Justice Spend Total'!$C:$BA,37,FALSE),"")</f>
        <v>0.59833396399787186</v>
      </c>
      <c r="P202" s="16">
        <f>IF(ISNUMBER(VLOOKUP($C202,'Justice Spend Total'!$C:$BA,38,FALSE)),VLOOKUP($C202,'Justice Spend Total'!$C:$BA,38,FALSE),"")</f>
        <v>4.917265226815668</v>
      </c>
      <c r="Q202" s="15">
        <f>IF(ISNUMBER(VLOOKUP($C202,'Justice Spend Total'!$C:$BA,39,FALSE)),VLOOKUP($C202,'Justice Spend Total'!$C:$BA,39,FALSE),"")</f>
        <v>1.6131846220113</v>
      </c>
      <c r="R202" s="22">
        <f>VLOOKUP($C202,'Justice Spend Total'!$C:$BA,40,FALSE)</f>
        <v>2020</v>
      </c>
      <c r="S202" s="15" t="str">
        <f>VLOOKUP($C202,'Justice Spend Total'!$C:$BA,41,FALSE)</f>
        <v>IMF COFOG</v>
      </c>
    </row>
    <row r="203" spans="1:19">
      <c r="A203">
        <v>201</v>
      </c>
      <c r="B203" t="s">
        <v>264</v>
      </c>
      <c r="C203" t="s">
        <v>501</v>
      </c>
      <c r="D203" t="s">
        <v>502</v>
      </c>
      <c r="E203" t="s">
        <v>494</v>
      </c>
      <c r="F203" s="17" t="str">
        <f>VLOOKUP(B203,'Justice Spend Total'!$B$4:$AQ$221,10,FALSE)</f>
        <v xml:space="preserve"> </v>
      </c>
      <c r="G203" s="15" t="str">
        <f>VLOOKUP(C203,'Justice Spend Total'!$C$4:$AQ$221,10,FALSE)</f>
        <v xml:space="preserve"> </v>
      </c>
      <c r="H203">
        <f>VLOOKUP(C203,'Justice Spend Total'!$C$4:$AQ$221,7,FALSE)</f>
        <v>116540</v>
      </c>
      <c r="I203" s="35" t="str">
        <f t="shared" si="13"/>
        <v/>
      </c>
      <c r="J203" s="35" t="str">
        <f t="shared" si="14"/>
        <v/>
      </c>
      <c r="K203" s="35" t="str">
        <f t="shared" si="15"/>
        <v/>
      </c>
      <c r="L203" s="35" t="str">
        <f t="shared" si="16"/>
        <v/>
      </c>
      <c r="M203" s="16" t="str">
        <f>IF(ISNUMBER(VLOOKUP($C203,'Justice Spend Total'!$C:$BA,35,FALSE)),VLOOKUP($C203,'Justice Spend Total'!$C:$BA,35,FALSE),"")</f>
        <v/>
      </c>
      <c r="N203" s="16" t="str">
        <f>IF(ISNUMBER(VLOOKUP($C203,'Justice Spend Total'!$C:$BA,36,FALSE)),VLOOKUP($C203,'Justice Spend Total'!$C:$BA,36,FALSE),"")</f>
        <v/>
      </c>
      <c r="O203" s="16" t="str">
        <f>IF(ISNUMBER(VLOOKUP($C203,'Justice Spend Total'!$C:$BA,37,FALSE)),VLOOKUP($C203,'Justice Spend Total'!$C:$BA,37,FALSE),"")</f>
        <v/>
      </c>
      <c r="P203" s="16" t="str">
        <f>IF(ISNUMBER(VLOOKUP($C203,'Justice Spend Total'!$C:$BA,38,FALSE)),VLOOKUP($C203,'Justice Spend Total'!$C:$BA,38,FALSE),"")</f>
        <v/>
      </c>
      <c r="Q203" s="15" t="str">
        <f>IF(ISNUMBER(VLOOKUP($C203,'Justice Spend Total'!$C:$BA,39,FALSE)),VLOOKUP($C203,'Justice Spend Total'!$C:$BA,39,FALSE),"")</f>
        <v/>
      </c>
      <c r="R203" s="22" t="str">
        <f>VLOOKUP($C203,'Justice Spend Total'!$C:$BA,40,FALSE)</f>
        <v xml:space="preserve"> </v>
      </c>
      <c r="S203" s="15" t="str">
        <f>VLOOKUP($C203,'Justice Spend Total'!$C:$BA,41,FALSE)</f>
        <v xml:space="preserve"> </v>
      </c>
    </row>
    <row r="204" spans="1:19">
      <c r="A204">
        <v>202</v>
      </c>
      <c r="B204" t="s">
        <v>491</v>
      </c>
      <c r="C204" t="s">
        <v>492</v>
      </c>
      <c r="D204" t="s">
        <v>493</v>
      </c>
      <c r="E204" t="s">
        <v>494</v>
      </c>
      <c r="F204" s="17" t="str">
        <f>VLOOKUP(B204,'Justice Spend Total'!$B$4:$AQ$221,10,FALSE)</f>
        <v xml:space="preserve"> </v>
      </c>
      <c r="G204" s="15" t="str">
        <f>VLOOKUP(C204,'Justice Spend Total'!$C$4:$AQ$221,10,FALSE)</f>
        <v xml:space="preserve"> </v>
      </c>
      <c r="H204" t="str">
        <f>VLOOKUP(C204,'Justice Spend Total'!$C$4:$AQ$221,7,FALSE)</f>
        <v/>
      </c>
      <c r="I204" s="35" t="str">
        <f t="shared" si="13"/>
        <v/>
      </c>
      <c r="J204" s="35" t="str">
        <f t="shared" si="14"/>
        <v/>
      </c>
      <c r="K204" s="35" t="str">
        <f t="shared" si="15"/>
        <v/>
      </c>
      <c r="L204" s="35" t="str">
        <f t="shared" si="16"/>
        <v/>
      </c>
      <c r="M204" s="16" t="str">
        <f>IF(ISNUMBER(VLOOKUP($C204,'Justice Spend Total'!$C:$BA,35,FALSE)),VLOOKUP($C204,'Justice Spend Total'!$C:$BA,35,FALSE),"")</f>
        <v/>
      </c>
      <c r="N204" s="16" t="str">
        <f>IF(ISNUMBER(VLOOKUP($C204,'Justice Spend Total'!$C:$BA,36,FALSE)),VLOOKUP($C204,'Justice Spend Total'!$C:$BA,36,FALSE),"")</f>
        <v/>
      </c>
      <c r="O204" s="16" t="str">
        <f>IF(ISNUMBER(VLOOKUP($C204,'Justice Spend Total'!$C:$BA,37,FALSE)),VLOOKUP($C204,'Justice Spend Total'!$C:$BA,37,FALSE),"")</f>
        <v/>
      </c>
      <c r="P204" s="16" t="str">
        <f>IF(ISNUMBER(VLOOKUP($C204,'Justice Spend Total'!$C:$BA,38,FALSE)),VLOOKUP($C204,'Justice Spend Total'!$C:$BA,38,FALSE),"")</f>
        <v/>
      </c>
      <c r="Q204" s="15" t="str">
        <f>IF(ISNUMBER(VLOOKUP($C204,'Justice Spend Total'!$C:$BA,39,FALSE)),VLOOKUP($C204,'Justice Spend Total'!$C:$BA,39,FALSE),"")</f>
        <v/>
      </c>
      <c r="R204" s="22" t="str">
        <f>VLOOKUP($C204,'Justice Spend Total'!$C:$BA,40,FALSE)</f>
        <v xml:space="preserve"> </v>
      </c>
      <c r="S204" s="15" t="str">
        <f>VLOOKUP($C204,'Justice Spend Total'!$C:$BA,41,FALSE)</f>
        <v xml:space="preserve"> </v>
      </c>
    </row>
    <row r="205" spans="1:19">
      <c r="A205">
        <v>203</v>
      </c>
      <c r="B205" t="s">
        <v>512</v>
      </c>
      <c r="C205" t="s">
        <v>513</v>
      </c>
      <c r="D205" t="s">
        <v>485</v>
      </c>
      <c r="E205" t="s">
        <v>494</v>
      </c>
      <c r="F205" s="17" t="str">
        <f>VLOOKUP(B205,'Justice Spend Total'!$B$4:$AQ$221,10,FALSE)</f>
        <v xml:space="preserve"> </v>
      </c>
      <c r="G205" s="15" t="str">
        <f>VLOOKUP(C205,'Justice Spend Total'!$C$4:$AQ$221,10,FALSE)</f>
        <v xml:space="preserve"> </v>
      </c>
      <c r="H205" t="str">
        <f>VLOOKUP(C205,'Justice Spend Total'!$C$4:$AQ$221,7,FALSE)</f>
        <v/>
      </c>
      <c r="I205" s="35" t="str">
        <f t="shared" si="13"/>
        <v/>
      </c>
      <c r="J205" s="35" t="str">
        <f t="shared" si="14"/>
        <v/>
      </c>
      <c r="K205" s="35" t="str">
        <f t="shared" si="15"/>
        <v/>
      </c>
      <c r="L205" s="35" t="str">
        <f t="shared" si="16"/>
        <v/>
      </c>
      <c r="M205" s="16" t="str">
        <f>IF(ISNUMBER(VLOOKUP($C205,'Justice Spend Total'!$C:$BA,35,FALSE)),VLOOKUP($C205,'Justice Spend Total'!$C:$BA,35,FALSE),"")</f>
        <v/>
      </c>
      <c r="N205" s="16" t="str">
        <f>IF(ISNUMBER(VLOOKUP($C205,'Justice Spend Total'!$C:$BA,36,FALSE)),VLOOKUP($C205,'Justice Spend Total'!$C:$BA,36,FALSE),"")</f>
        <v/>
      </c>
      <c r="O205" s="16" t="str">
        <f>IF(ISNUMBER(VLOOKUP($C205,'Justice Spend Total'!$C:$BA,37,FALSE)),VLOOKUP($C205,'Justice Spend Total'!$C:$BA,37,FALSE),"")</f>
        <v/>
      </c>
      <c r="P205" s="16" t="str">
        <f>IF(ISNUMBER(VLOOKUP($C205,'Justice Spend Total'!$C:$BA,38,FALSE)),VLOOKUP($C205,'Justice Spend Total'!$C:$BA,38,FALSE),"")</f>
        <v/>
      </c>
      <c r="Q205" s="15" t="str">
        <f>IF(ISNUMBER(VLOOKUP($C205,'Justice Spend Total'!$C:$BA,39,FALSE)),VLOOKUP($C205,'Justice Spend Total'!$C:$BA,39,FALSE),"")</f>
        <v/>
      </c>
      <c r="R205" s="22" t="str">
        <f>VLOOKUP($C205,'Justice Spend Total'!$C:$BA,40,FALSE)</f>
        <v xml:space="preserve"> </v>
      </c>
      <c r="S205" s="15" t="str">
        <f>VLOOKUP($C205,'Justice Spend Total'!$C:$BA,41,FALSE)</f>
        <v xml:space="preserve"> </v>
      </c>
    </row>
    <row r="206" spans="1:19">
      <c r="A206">
        <v>204</v>
      </c>
      <c r="B206" t="s">
        <v>522</v>
      </c>
      <c r="C206" t="s">
        <v>523</v>
      </c>
      <c r="D206" t="s">
        <v>485</v>
      </c>
      <c r="E206" t="s">
        <v>494</v>
      </c>
      <c r="F206" s="17" t="str">
        <f>VLOOKUP(B206,'Justice Spend Total'!$B$4:$AQ$221,10,FALSE)</f>
        <v xml:space="preserve"> </v>
      </c>
      <c r="G206" s="15" t="str">
        <f>VLOOKUP(C206,'Justice Spend Total'!$C$4:$AQ$221,10,FALSE)</f>
        <v xml:space="preserve"> </v>
      </c>
      <c r="H206" t="str">
        <f>VLOOKUP(C206,'Justice Spend Total'!$C$4:$AQ$221,7,FALSE)</f>
        <v/>
      </c>
      <c r="I206" s="35" t="str">
        <f t="shared" si="13"/>
        <v/>
      </c>
      <c r="J206" s="35" t="str">
        <f t="shared" si="14"/>
        <v/>
      </c>
      <c r="K206" s="35" t="str">
        <f t="shared" si="15"/>
        <v/>
      </c>
      <c r="L206" s="35" t="str">
        <f t="shared" si="16"/>
        <v/>
      </c>
      <c r="M206" s="16" t="str">
        <f>IF(ISNUMBER(VLOOKUP($C206,'Justice Spend Total'!$C:$BA,35,FALSE)),VLOOKUP($C206,'Justice Spend Total'!$C:$BA,35,FALSE),"")</f>
        <v/>
      </c>
      <c r="N206" s="16" t="str">
        <f>IF(ISNUMBER(VLOOKUP($C206,'Justice Spend Total'!$C:$BA,36,FALSE)),VLOOKUP($C206,'Justice Spend Total'!$C:$BA,36,FALSE),"")</f>
        <v/>
      </c>
      <c r="O206" s="16" t="str">
        <f>IF(ISNUMBER(VLOOKUP($C206,'Justice Spend Total'!$C:$BA,37,FALSE)),VLOOKUP($C206,'Justice Spend Total'!$C:$BA,37,FALSE),"")</f>
        <v/>
      </c>
      <c r="P206" s="16" t="str">
        <f>IF(ISNUMBER(VLOOKUP($C206,'Justice Spend Total'!$C:$BA,38,FALSE)),VLOOKUP($C206,'Justice Spend Total'!$C:$BA,38,FALSE),"")</f>
        <v/>
      </c>
      <c r="Q206" s="15" t="str">
        <f>IF(ISNUMBER(VLOOKUP($C206,'Justice Spend Total'!$C:$BA,39,FALSE)),VLOOKUP($C206,'Justice Spend Total'!$C:$BA,39,FALSE),"")</f>
        <v/>
      </c>
      <c r="R206" s="22" t="str">
        <f>VLOOKUP($C206,'Justice Spend Total'!$C:$BA,40,FALSE)</f>
        <v xml:space="preserve"> </v>
      </c>
      <c r="S206" s="15" t="str">
        <f>VLOOKUP($C206,'Justice Spend Total'!$C:$BA,41,FALSE)</f>
        <v xml:space="preserve"> </v>
      </c>
    </row>
    <row r="207" spans="1:19">
      <c r="A207">
        <v>205</v>
      </c>
      <c r="B207" t="s">
        <v>527</v>
      </c>
      <c r="C207" t="s">
        <v>528</v>
      </c>
      <c r="D207" t="s">
        <v>485</v>
      </c>
      <c r="E207" t="s">
        <v>494</v>
      </c>
      <c r="F207" s="17" t="str">
        <f>VLOOKUP(B207,'Justice Spend Total'!$B$4:$AQ$221,10,FALSE)</f>
        <v xml:space="preserve"> </v>
      </c>
      <c r="G207" s="15" t="str">
        <f>VLOOKUP(C207,'Justice Spend Total'!$C$4:$AQ$221,10,FALSE)</f>
        <v xml:space="preserve"> </v>
      </c>
      <c r="H207" t="str">
        <f>VLOOKUP(C207,'Justice Spend Total'!$C$4:$AQ$221,7,FALSE)</f>
        <v/>
      </c>
      <c r="I207" s="35" t="str">
        <f t="shared" si="13"/>
        <v/>
      </c>
      <c r="J207" s="35" t="str">
        <f t="shared" si="14"/>
        <v/>
      </c>
      <c r="K207" s="35" t="str">
        <f t="shared" si="15"/>
        <v/>
      </c>
      <c r="L207" s="35" t="str">
        <f t="shared" si="16"/>
        <v/>
      </c>
      <c r="M207" s="16" t="str">
        <f>IF(ISNUMBER(VLOOKUP($C207,'Justice Spend Total'!$C:$BA,35,FALSE)),VLOOKUP($C207,'Justice Spend Total'!$C:$BA,35,FALSE),"")</f>
        <v/>
      </c>
      <c r="N207" s="16" t="str">
        <f>IF(ISNUMBER(VLOOKUP($C207,'Justice Spend Total'!$C:$BA,36,FALSE)),VLOOKUP($C207,'Justice Spend Total'!$C:$BA,36,FALSE),"")</f>
        <v/>
      </c>
      <c r="O207" s="16" t="str">
        <f>IF(ISNUMBER(VLOOKUP($C207,'Justice Spend Total'!$C:$BA,37,FALSE)),VLOOKUP($C207,'Justice Spend Total'!$C:$BA,37,FALSE),"")</f>
        <v/>
      </c>
      <c r="P207" s="16" t="str">
        <f>IF(ISNUMBER(VLOOKUP($C207,'Justice Spend Total'!$C:$BA,38,FALSE)),VLOOKUP($C207,'Justice Spend Total'!$C:$BA,38,FALSE),"")</f>
        <v/>
      </c>
      <c r="Q207" s="15" t="str">
        <f>IF(ISNUMBER(VLOOKUP($C207,'Justice Spend Total'!$C:$BA,39,FALSE)),VLOOKUP($C207,'Justice Spend Total'!$C:$BA,39,FALSE),"")</f>
        <v/>
      </c>
      <c r="R207" s="22" t="str">
        <f>VLOOKUP($C207,'Justice Spend Total'!$C:$BA,40,FALSE)</f>
        <v xml:space="preserve"> </v>
      </c>
      <c r="S207" s="15" t="str">
        <f>VLOOKUP($C207,'Justice Spend Total'!$C:$BA,41,FALSE)</f>
        <v xml:space="preserve"> </v>
      </c>
    </row>
    <row r="208" spans="1:19">
      <c r="A208">
        <v>206</v>
      </c>
      <c r="B208" t="s">
        <v>529</v>
      </c>
      <c r="C208" t="s">
        <v>530</v>
      </c>
      <c r="D208" t="s">
        <v>485</v>
      </c>
      <c r="E208" t="s">
        <v>494</v>
      </c>
      <c r="F208" s="17" t="str">
        <f>VLOOKUP(B208,'Justice Spend Total'!$B$4:$AQ$221,10,FALSE)</f>
        <v xml:space="preserve"> </v>
      </c>
      <c r="G208" s="15" t="str">
        <f>VLOOKUP(C208,'Justice Spend Total'!$C$4:$AQ$221,10,FALSE)</f>
        <v xml:space="preserve"> </v>
      </c>
      <c r="H208" t="str">
        <f>VLOOKUP(C208,'Justice Spend Total'!$C$4:$AQ$221,7,FALSE)</f>
        <v/>
      </c>
      <c r="I208" s="35" t="str">
        <f t="shared" si="13"/>
        <v/>
      </c>
      <c r="J208" s="35" t="str">
        <f t="shared" si="14"/>
        <v/>
      </c>
      <c r="K208" s="35" t="str">
        <f t="shared" si="15"/>
        <v/>
      </c>
      <c r="L208" s="35" t="str">
        <f t="shared" si="16"/>
        <v/>
      </c>
      <c r="M208" s="16" t="str">
        <f>IF(ISNUMBER(VLOOKUP($C208,'Justice Spend Total'!$C:$BA,35,FALSE)),VLOOKUP($C208,'Justice Spend Total'!$C:$BA,35,FALSE),"")</f>
        <v/>
      </c>
      <c r="N208" s="16" t="str">
        <f>IF(ISNUMBER(VLOOKUP($C208,'Justice Spend Total'!$C:$BA,36,FALSE)),VLOOKUP($C208,'Justice Spend Total'!$C:$BA,36,FALSE),"")</f>
        <v/>
      </c>
      <c r="O208" s="16" t="str">
        <f>IF(ISNUMBER(VLOOKUP($C208,'Justice Spend Total'!$C:$BA,37,FALSE)),VLOOKUP($C208,'Justice Spend Total'!$C:$BA,37,FALSE),"")</f>
        <v/>
      </c>
      <c r="P208" s="16" t="str">
        <f>IF(ISNUMBER(VLOOKUP($C208,'Justice Spend Total'!$C:$BA,38,FALSE)),VLOOKUP($C208,'Justice Spend Total'!$C:$BA,38,FALSE),"")</f>
        <v/>
      </c>
      <c r="Q208" s="15" t="str">
        <f>IF(ISNUMBER(VLOOKUP($C208,'Justice Spend Total'!$C:$BA,39,FALSE)),VLOOKUP($C208,'Justice Spend Total'!$C:$BA,39,FALSE),"")</f>
        <v/>
      </c>
      <c r="R208" s="22" t="str">
        <f>VLOOKUP($C208,'Justice Spend Total'!$C:$BA,40,FALSE)</f>
        <v xml:space="preserve"> </v>
      </c>
      <c r="S208" s="15" t="str">
        <f>VLOOKUP($C208,'Justice Spend Total'!$C:$BA,41,FALSE)</f>
        <v xml:space="preserve"> </v>
      </c>
    </row>
    <row r="209" spans="1:19">
      <c r="A209">
        <v>207</v>
      </c>
      <c r="B209" t="s">
        <v>531</v>
      </c>
      <c r="C209" t="s">
        <v>532</v>
      </c>
      <c r="D209" t="s">
        <v>493</v>
      </c>
      <c r="E209" t="s">
        <v>494</v>
      </c>
      <c r="F209" s="17" t="str">
        <f>VLOOKUP(B209,'Justice Spend Total'!$B$4:$AQ$221,10,FALSE)</f>
        <v xml:space="preserve"> </v>
      </c>
      <c r="G209" s="15" t="str">
        <f>VLOOKUP(C209,'Justice Spend Total'!$C$4:$AQ$221,10,FALSE)</f>
        <v xml:space="preserve"> </v>
      </c>
      <c r="H209" t="str">
        <f>VLOOKUP(C209,'Justice Spend Total'!$C$4:$AQ$221,7,FALSE)</f>
        <v/>
      </c>
      <c r="I209" s="35" t="str">
        <f t="shared" si="13"/>
        <v/>
      </c>
      <c r="J209" s="35" t="str">
        <f t="shared" si="14"/>
        <v/>
      </c>
      <c r="K209" s="35" t="str">
        <f t="shared" si="15"/>
        <v/>
      </c>
      <c r="L209" s="35" t="str">
        <f t="shared" si="16"/>
        <v/>
      </c>
      <c r="M209" s="16" t="str">
        <f>IF(ISNUMBER(VLOOKUP($C209,'Justice Spend Total'!$C:$BA,35,FALSE)),VLOOKUP($C209,'Justice Spend Total'!$C:$BA,35,FALSE),"")</f>
        <v/>
      </c>
      <c r="N209" s="16" t="str">
        <f>IF(ISNUMBER(VLOOKUP($C209,'Justice Spend Total'!$C:$BA,36,FALSE)),VLOOKUP($C209,'Justice Spend Total'!$C:$BA,36,FALSE),"")</f>
        <v/>
      </c>
      <c r="O209" s="16" t="str">
        <f>IF(ISNUMBER(VLOOKUP($C209,'Justice Spend Total'!$C:$BA,37,FALSE)),VLOOKUP($C209,'Justice Spend Total'!$C:$BA,37,FALSE),"")</f>
        <v/>
      </c>
      <c r="P209" s="16" t="str">
        <f>IF(ISNUMBER(VLOOKUP($C209,'Justice Spend Total'!$C:$BA,38,FALSE)),VLOOKUP($C209,'Justice Spend Total'!$C:$BA,38,FALSE),"")</f>
        <v/>
      </c>
      <c r="Q209" s="15" t="str">
        <f>IF(ISNUMBER(VLOOKUP($C209,'Justice Spend Total'!$C:$BA,39,FALSE)),VLOOKUP($C209,'Justice Spend Total'!$C:$BA,39,FALSE),"")</f>
        <v/>
      </c>
      <c r="R209" s="22" t="str">
        <f>VLOOKUP($C209,'Justice Spend Total'!$C:$BA,40,FALSE)</f>
        <v xml:space="preserve"> </v>
      </c>
      <c r="S209" s="15" t="str">
        <f>VLOOKUP($C209,'Justice Spend Total'!$C:$BA,41,FALSE)</f>
        <v xml:space="preserve"> </v>
      </c>
    </row>
    <row r="210" spans="1:19">
      <c r="A210">
        <v>208</v>
      </c>
      <c r="B210" t="s">
        <v>574</v>
      </c>
      <c r="C210" t="s">
        <v>575</v>
      </c>
      <c r="D210" t="s">
        <v>485</v>
      </c>
      <c r="E210" t="s">
        <v>494</v>
      </c>
      <c r="F210" s="17" t="str">
        <f>VLOOKUP(B210,'Justice Spend Total'!$B$4:$AQ$221,10,FALSE)</f>
        <v xml:space="preserve"> </v>
      </c>
      <c r="G210" s="15" t="str">
        <f>VLOOKUP(C210,'Justice Spend Total'!$C$4:$AQ$221,10,FALSE)</f>
        <v xml:space="preserve"> </v>
      </c>
      <c r="H210" t="str">
        <f>VLOOKUP(C210,'Justice Spend Total'!$C$4:$AQ$221,7,FALSE)</f>
        <v/>
      </c>
      <c r="I210" s="35" t="str">
        <f t="shared" si="13"/>
        <v/>
      </c>
      <c r="J210" s="35" t="str">
        <f t="shared" si="14"/>
        <v/>
      </c>
      <c r="K210" s="35" t="str">
        <f t="shared" si="15"/>
        <v/>
      </c>
      <c r="L210" s="35" t="str">
        <f t="shared" si="16"/>
        <v/>
      </c>
      <c r="M210" s="16" t="str">
        <f>IF(ISNUMBER(VLOOKUP($C210,'Justice Spend Total'!$C:$BA,35,FALSE)),VLOOKUP($C210,'Justice Spend Total'!$C:$BA,35,FALSE),"")</f>
        <v/>
      </c>
      <c r="N210" s="16" t="str">
        <f>IF(ISNUMBER(VLOOKUP($C210,'Justice Spend Total'!$C:$BA,36,FALSE)),VLOOKUP($C210,'Justice Spend Total'!$C:$BA,36,FALSE),"")</f>
        <v/>
      </c>
      <c r="O210" s="16" t="str">
        <f>IF(ISNUMBER(VLOOKUP($C210,'Justice Spend Total'!$C:$BA,37,FALSE)),VLOOKUP($C210,'Justice Spend Total'!$C:$BA,37,FALSE),"")</f>
        <v/>
      </c>
      <c r="P210" s="16" t="str">
        <f>IF(ISNUMBER(VLOOKUP($C210,'Justice Spend Total'!$C:$BA,38,FALSE)),VLOOKUP($C210,'Justice Spend Total'!$C:$BA,38,FALSE),"")</f>
        <v/>
      </c>
      <c r="Q210" s="15" t="str">
        <f>IF(ISNUMBER(VLOOKUP($C210,'Justice Spend Total'!$C:$BA,39,FALSE)),VLOOKUP($C210,'Justice Spend Total'!$C:$BA,39,FALSE),"")</f>
        <v/>
      </c>
      <c r="R210" s="22" t="str">
        <f>VLOOKUP($C210,'Justice Spend Total'!$C:$BA,40,FALSE)</f>
        <v xml:space="preserve"> </v>
      </c>
      <c r="S210" s="15" t="str">
        <f>VLOOKUP($C210,'Justice Spend Total'!$C:$BA,41,FALSE)</f>
        <v xml:space="preserve"> </v>
      </c>
    </row>
    <row r="211" spans="1:19">
      <c r="A211">
        <v>209</v>
      </c>
      <c r="B211" t="s">
        <v>572</v>
      </c>
      <c r="C211" t="s">
        <v>573</v>
      </c>
      <c r="D211" t="s">
        <v>497</v>
      </c>
      <c r="E211" t="s">
        <v>494</v>
      </c>
      <c r="F211" s="17" t="str">
        <f>VLOOKUP(B211,'Justice Spend Total'!$B$4:$AQ$221,10,FALSE)</f>
        <v xml:space="preserve"> </v>
      </c>
      <c r="G211" s="15" t="str">
        <f>VLOOKUP(C211,'Justice Spend Total'!$C$4:$AQ$221,10,FALSE)</f>
        <v xml:space="preserve"> </v>
      </c>
      <c r="H211" t="str">
        <f>VLOOKUP(C211,'Justice Spend Total'!$C$4:$AQ$221,7,FALSE)</f>
        <v/>
      </c>
      <c r="I211" s="35" t="str">
        <f t="shared" si="13"/>
        <v/>
      </c>
      <c r="J211" s="35" t="str">
        <f t="shared" si="14"/>
        <v/>
      </c>
      <c r="K211" s="35" t="str">
        <f t="shared" si="15"/>
        <v/>
      </c>
      <c r="L211" s="35" t="str">
        <f t="shared" si="16"/>
        <v/>
      </c>
      <c r="M211" s="16" t="str">
        <f>IF(ISNUMBER(VLOOKUP($C211,'Justice Spend Total'!$C:$BA,35,FALSE)),VLOOKUP($C211,'Justice Spend Total'!$C:$BA,35,FALSE),"")</f>
        <v/>
      </c>
      <c r="N211" s="16" t="str">
        <f>IF(ISNUMBER(VLOOKUP($C211,'Justice Spend Total'!$C:$BA,36,FALSE)),VLOOKUP($C211,'Justice Spend Total'!$C:$BA,36,FALSE),"")</f>
        <v/>
      </c>
      <c r="O211" s="16" t="str">
        <f>IF(ISNUMBER(VLOOKUP($C211,'Justice Spend Total'!$C:$BA,37,FALSE)),VLOOKUP($C211,'Justice Spend Total'!$C:$BA,37,FALSE),"")</f>
        <v/>
      </c>
      <c r="P211" s="16" t="str">
        <f>IF(ISNUMBER(VLOOKUP($C211,'Justice Spend Total'!$C:$BA,38,FALSE)),VLOOKUP($C211,'Justice Spend Total'!$C:$BA,38,FALSE),"")</f>
        <v/>
      </c>
      <c r="Q211" s="15" t="str">
        <f>IF(ISNUMBER(VLOOKUP($C211,'Justice Spend Total'!$C:$BA,39,FALSE)),VLOOKUP($C211,'Justice Spend Total'!$C:$BA,39,FALSE),"")</f>
        <v/>
      </c>
      <c r="R211" s="22" t="str">
        <f>VLOOKUP($C211,'Justice Spend Total'!$C:$BA,40,FALSE)</f>
        <v xml:space="preserve"> </v>
      </c>
      <c r="S211" s="15" t="str">
        <f>VLOOKUP($C211,'Justice Spend Total'!$C:$BA,41,FALSE)</f>
        <v xml:space="preserve"> </v>
      </c>
    </row>
    <row r="212" spans="1:19">
      <c r="A212">
        <v>210</v>
      </c>
      <c r="B212" t="s">
        <v>576</v>
      </c>
      <c r="C212" t="s">
        <v>577</v>
      </c>
      <c r="D212" t="s">
        <v>485</v>
      </c>
      <c r="E212" t="s">
        <v>494</v>
      </c>
      <c r="F212" s="17" t="str">
        <f>VLOOKUP(B212,'Justice Spend Total'!$B$4:$AQ$221,10,FALSE)</f>
        <v xml:space="preserve"> </v>
      </c>
      <c r="G212" s="15" t="str">
        <f>VLOOKUP(C212,'Justice Spend Total'!$C$4:$AQ$221,10,FALSE)</f>
        <v xml:space="preserve"> </v>
      </c>
      <c r="H212" t="str">
        <f>VLOOKUP(C212,'Justice Spend Total'!$C$4:$AQ$221,7,FALSE)</f>
        <v/>
      </c>
      <c r="I212" s="35" t="str">
        <f t="shared" si="13"/>
        <v/>
      </c>
      <c r="J212" s="35" t="str">
        <f t="shared" si="14"/>
        <v/>
      </c>
      <c r="K212" s="35" t="str">
        <f t="shared" si="15"/>
        <v/>
      </c>
      <c r="L212" s="35" t="str">
        <f t="shared" si="16"/>
        <v/>
      </c>
      <c r="M212" s="16" t="str">
        <f>IF(ISNUMBER(VLOOKUP($C212,'Justice Spend Total'!$C:$BA,35,FALSE)),VLOOKUP($C212,'Justice Spend Total'!$C:$BA,35,FALSE),"")</f>
        <v/>
      </c>
      <c r="N212" s="16" t="str">
        <f>IF(ISNUMBER(VLOOKUP($C212,'Justice Spend Total'!$C:$BA,36,FALSE)),VLOOKUP($C212,'Justice Spend Total'!$C:$BA,36,FALSE),"")</f>
        <v/>
      </c>
      <c r="O212" s="16" t="str">
        <f>IF(ISNUMBER(VLOOKUP($C212,'Justice Spend Total'!$C:$BA,37,FALSE)),VLOOKUP($C212,'Justice Spend Total'!$C:$BA,37,FALSE),"")</f>
        <v/>
      </c>
      <c r="P212" s="16" t="str">
        <f>IF(ISNUMBER(VLOOKUP($C212,'Justice Spend Total'!$C:$BA,38,FALSE)),VLOOKUP($C212,'Justice Spend Total'!$C:$BA,38,FALSE),"")</f>
        <v/>
      </c>
      <c r="Q212" s="15" t="str">
        <f>IF(ISNUMBER(VLOOKUP($C212,'Justice Spend Total'!$C:$BA,39,FALSE)),VLOOKUP($C212,'Justice Spend Total'!$C:$BA,39,FALSE),"")</f>
        <v/>
      </c>
      <c r="R212" s="22" t="str">
        <f>VLOOKUP($C212,'Justice Spend Total'!$C:$BA,40,FALSE)</f>
        <v xml:space="preserve"> </v>
      </c>
      <c r="S212" s="15" t="str">
        <f>VLOOKUP($C212,'Justice Spend Total'!$C:$BA,41,FALSE)</f>
        <v xml:space="preserve"> </v>
      </c>
    </row>
    <row r="213" spans="1:19">
      <c r="A213">
        <v>211</v>
      </c>
      <c r="B213" t="s">
        <v>559</v>
      </c>
      <c r="C213" t="s">
        <v>560</v>
      </c>
      <c r="D213" t="s">
        <v>493</v>
      </c>
      <c r="E213" t="s">
        <v>494</v>
      </c>
      <c r="F213" s="17" t="str">
        <f>VLOOKUP(B213,'Justice Spend Total'!$B$4:$AQ$221,10,FALSE)</f>
        <v xml:space="preserve"> </v>
      </c>
      <c r="G213" s="15" t="str">
        <f>VLOOKUP(C213,'Justice Spend Total'!$C$4:$AQ$221,10,FALSE)</f>
        <v xml:space="preserve"> </v>
      </c>
      <c r="H213" t="str">
        <f>VLOOKUP(C213,'Justice Spend Total'!$C$4:$AQ$221,7,FALSE)</f>
        <v/>
      </c>
      <c r="I213" s="35" t="str">
        <f t="shared" si="13"/>
        <v/>
      </c>
      <c r="J213" s="35" t="str">
        <f t="shared" si="14"/>
        <v/>
      </c>
      <c r="K213" s="35" t="str">
        <f t="shared" si="15"/>
        <v/>
      </c>
      <c r="L213" s="35" t="str">
        <f t="shared" si="16"/>
        <v/>
      </c>
      <c r="M213" s="16" t="str">
        <f>IF(ISNUMBER(VLOOKUP($C213,'Justice Spend Total'!$C:$BA,35,FALSE)),VLOOKUP($C213,'Justice Spend Total'!$C:$BA,35,FALSE),"")</f>
        <v/>
      </c>
      <c r="N213" s="16" t="str">
        <f>IF(ISNUMBER(VLOOKUP($C213,'Justice Spend Total'!$C:$BA,36,FALSE)),VLOOKUP($C213,'Justice Spend Total'!$C:$BA,36,FALSE),"")</f>
        <v/>
      </c>
      <c r="O213" s="16" t="str">
        <f>IF(ISNUMBER(VLOOKUP($C213,'Justice Spend Total'!$C:$BA,37,FALSE)),VLOOKUP($C213,'Justice Spend Total'!$C:$BA,37,FALSE),"")</f>
        <v/>
      </c>
      <c r="P213" s="16" t="str">
        <f>IF(ISNUMBER(VLOOKUP($C213,'Justice Spend Total'!$C:$BA,38,FALSE)),VLOOKUP($C213,'Justice Spend Total'!$C:$BA,38,FALSE),"")</f>
        <v/>
      </c>
      <c r="Q213" s="15" t="str">
        <f>IF(ISNUMBER(VLOOKUP($C213,'Justice Spend Total'!$C:$BA,39,FALSE)),VLOOKUP($C213,'Justice Spend Total'!$C:$BA,39,FALSE),"")</f>
        <v/>
      </c>
      <c r="R213" s="22" t="str">
        <f>VLOOKUP($C213,'Justice Spend Total'!$C:$BA,40,FALSE)</f>
        <v xml:space="preserve"> </v>
      </c>
      <c r="S213" s="15" t="str">
        <f>VLOOKUP($C213,'Justice Spend Total'!$C:$BA,41,FALSE)</f>
        <v xml:space="preserve"> </v>
      </c>
    </row>
    <row r="214" spans="1:19">
      <c r="A214">
        <v>212</v>
      </c>
      <c r="B214" t="s">
        <v>557</v>
      </c>
      <c r="C214" t="s">
        <v>558</v>
      </c>
      <c r="D214" t="s">
        <v>493</v>
      </c>
      <c r="E214" t="s">
        <v>494</v>
      </c>
      <c r="F214" s="17" t="str">
        <f>VLOOKUP(B214,'Justice Spend Total'!$B$4:$AQ$221,10,FALSE)</f>
        <v xml:space="preserve"> </v>
      </c>
      <c r="G214" s="15" t="str">
        <f>VLOOKUP(C214,'Justice Spend Total'!$C$4:$AQ$221,10,FALSE)</f>
        <v xml:space="preserve"> </v>
      </c>
      <c r="H214" t="str">
        <f>VLOOKUP(C214,'Justice Spend Total'!$C$4:$AQ$221,7,FALSE)</f>
        <v/>
      </c>
      <c r="I214" s="35" t="str">
        <f t="shared" si="13"/>
        <v/>
      </c>
      <c r="J214" s="35" t="str">
        <f t="shared" si="14"/>
        <v/>
      </c>
      <c r="K214" s="35" t="str">
        <f t="shared" si="15"/>
        <v/>
      </c>
      <c r="L214" s="35" t="str">
        <f t="shared" si="16"/>
        <v/>
      </c>
      <c r="M214" s="16" t="str">
        <f>IF(ISNUMBER(VLOOKUP($C214,'Justice Spend Total'!$C:$BA,35,FALSE)),VLOOKUP($C214,'Justice Spend Total'!$C:$BA,35,FALSE),"")</f>
        <v/>
      </c>
      <c r="N214" s="16" t="str">
        <f>IF(ISNUMBER(VLOOKUP($C214,'Justice Spend Total'!$C:$BA,36,FALSE)),VLOOKUP($C214,'Justice Spend Total'!$C:$BA,36,FALSE),"")</f>
        <v/>
      </c>
      <c r="O214" s="16" t="str">
        <f>IF(ISNUMBER(VLOOKUP($C214,'Justice Spend Total'!$C:$BA,37,FALSE)),VLOOKUP($C214,'Justice Spend Total'!$C:$BA,37,FALSE),"")</f>
        <v/>
      </c>
      <c r="P214" s="16" t="str">
        <f>IF(ISNUMBER(VLOOKUP($C214,'Justice Spend Total'!$C:$BA,38,FALSE)),VLOOKUP($C214,'Justice Spend Total'!$C:$BA,38,FALSE),"")</f>
        <v/>
      </c>
      <c r="Q214" s="15" t="str">
        <f>IF(ISNUMBER(VLOOKUP($C214,'Justice Spend Total'!$C:$BA,39,FALSE)),VLOOKUP($C214,'Justice Spend Total'!$C:$BA,39,FALSE),"")</f>
        <v/>
      </c>
      <c r="R214" s="22" t="str">
        <f>VLOOKUP($C214,'Justice Spend Total'!$C:$BA,40,FALSE)</f>
        <v xml:space="preserve"> </v>
      </c>
      <c r="S214" s="15" t="str">
        <f>VLOOKUP($C214,'Justice Spend Total'!$C:$BA,41,FALSE)</f>
        <v xml:space="preserve"> </v>
      </c>
    </row>
    <row r="215" spans="1:19">
      <c r="A215">
        <v>213</v>
      </c>
      <c r="B215" t="s">
        <v>543</v>
      </c>
      <c r="C215" t="s">
        <v>544</v>
      </c>
      <c r="D215" t="s">
        <v>493</v>
      </c>
      <c r="E215" t="s">
        <v>494</v>
      </c>
      <c r="F215" s="17" t="str">
        <f>VLOOKUP(B215,'Justice Spend Total'!$B$4:$AQ$221,10,FALSE)</f>
        <v xml:space="preserve"> </v>
      </c>
      <c r="G215" s="15" t="str">
        <f>VLOOKUP(C215,'Justice Spend Total'!$C$4:$AQ$221,10,FALSE)</f>
        <v xml:space="preserve"> </v>
      </c>
      <c r="H215" t="str">
        <f>VLOOKUP(C215,'Justice Spend Total'!$C$4:$AQ$221,7,FALSE)</f>
        <v/>
      </c>
      <c r="I215" s="35" t="str">
        <f t="shared" si="13"/>
        <v/>
      </c>
      <c r="J215" s="35" t="str">
        <f t="shared" si="14"/>
        <v/>
      </c>
      <c r="K215" s="35" t="str">
        <f t="shared" si="15"/>
        <v/>
      </c>
      <c r="L215" s="35" t="str">
        <f t="shared" si="16"/>
        <v/>
      </c>
      <c r="M215" s="16" t="str">
        <f>IF(ISNUMBER(VLOOKUP($C215,'Justice Spend Total'!$C:$BA,35,FALSE)),VLOOKUP($C215,'Justice Spend Total'!$C:$BA,35,FALSE),"")</f>
        <v/>
      </c>
      <c r="N215" s="16" t="str">
        <f>IF(ISNUMBER(VLOOKUP($C215,'Justice Spend Total'!$C:$BA,36,FALSE)),VLOOKUP($C215,'Justice Spend Total'!$C:$BA,36,FALSE),"")</f>
        <v/>
      </c>
      <c r="O215" s="16" t="str">
        <f>IF(ISNUMBER(VLOOKUP($C215,'Justice Spend Total'!$C:$BA,37,FALSE)),VLOOKUP($C215,'Justice Spend Total'!$C:$BA,37,FALSE),"")</f>
        <v/>
      </c>
      <c r="P215" s="16" t="str">
        <f>IF(ISNUMBER(VLOOKUP($C215,'Justice Spend Total'!$C:$BA,38,FALSE)),VLOOKUP($C215,'Justice Spend Total'!$C:$BA,38,FALSE),"")</f>
        <v/>
      </c>
      <c r="Q215" s="15" t="str">
        <f>IF(ISNUMBER(VLOOKUP($C215,'Justice Spend Total'!$C:$BA,39,FALSE)),VLOOKUP($C215,'Justice Spend Total'!$C:$BA,39,FALSE),"")</f>
        <v/>
      </c>
      <c r="R215" s="22" t="str">
        <f>VLOOKUP($C215,'Justice Spend Total'!$C:$BA,40,FALSE)</f>
        <v xml:space="preserve"> </v>
      </c>
      <c r="S215" s="15" t="str">
        <f>VLOOKUP($C215,'Justice Spend Total'!$C:$BA,41,FALSE)</f>
        <v xml:space="preserve"> </v>
      </c>
    </row>
    <row r="216" spans="1:19">
      <c r="A216">
        <v>214</v>
      </c>
      <c r="B216" t="s">
        <v>525</v>
      </c>
      <c r="C216" t="s">
        <v>526</v>
      </c>
      <c r="D216" t="s">
        <v>493</v>
      </c>
      <c r="E216" t="s">
        <v>494</v>
      </c>
      <c r="F216" s="17" t="str">
        <f>VLOOKUP(B216,'Justice Spend Total'!$B$4:$AQ$221,10,FALSE)</f>
        <v xml:space="preserve"> </v>
      </c>
      <c r="G216" s="15" t="str">
        <f>VLOOKUP(C216,'Justice Spend Total'!$C$4:$AQ$221,10,FALSE)</f>
        <v xml:space="preserve"> </v>
      </c>
      <c r="H216" t="str">
        <f>VLOOKUP(C216,'Justice Spend Total'!$C$4:$AQ$221,7,FALSE)</f>
        <v/>
      </c>
      <c r="I216" s="35" t="str">
        <f t="shared" si="13"/>
        <v/>
      </c>
      <c r="J216" s="35" t="str">
        <f t="shared" si="14"/>
        <v/>
      </c>
      <c r="K216" s="35" t="str">
        <f t="shared" si="15"/>
        <v/>
      </c>
      <c r="L216" s="35" t="str">
        <f t="shared" si="16"/>
        <v/>
      </c>
      <c r="M216" s="16" t="str">
        <f>IF(ISNUMBER(VLOOKUP($C216,'Justice Spend Total'!$C:$BA,35,FALSE)),VLOOKUP($C216,'Justice Spend Total'!$C:$BA,35,FALSE),"")</f>
        <v/>
      </c>
      <c r="N216" s="16" t="str">
        <f>IF(ISNUMBER(VLOOKUP($C216,'Justice Spend Total'!$C:$BA,36,FALSE)),VLOOKUP($C216,'Justice Spend Total'!$C:$BA,36,FALSE),"")</f>
        <v/>
      </c>
      <c r="O216" s="16" t="str">
        <f>IF(ISNUMBER(VLOOKUP($C216,'Justice Spend Total'!$C:$BA,37,FALSE)),VLOOKUP($C216,'Justice Spend Total'!$C:$BA,37,FALSE),"")</f>
        <v/>
      </c>
      <c r="P216" s="16" t="str">
        <f>IF(ISNUMBER(VLOOKUP($C216,'Justice Spend Total'!$C:$BA,38,FALSE)),VLOOKUP($C216,'Justice Spend Total'!$C:$BA,38,FALSE),"")</f>
        <v/>
      </c>
      <c r="Q216" s="15" t="str">
        <f>IF(ISNUMBER(VLOOKUP($C216,'Justice Spend Total'!$C:$BA,39,FALSE)),VLOOKUP($C216,'Justice Spend Total'!$C:$BA,39,FALSE),"")</f>
        <v/>
      </c>
      <c r="R216" s="22" t="str">
        <f>VLOOKUP($C216,'Justice Spend Total'!$C:$BA,40,FALSE)</f>
        <v xml:space="preserve"> </v>
      </c>
      <c r="S216" s="15" t="str">
        <f>VLOOKUP($C216,'Justice Spend Total'!$C:$BA,41,FALSE)</f>
        <v xml:space="preserve"> </v>
      </c>
    </row>
    <row r="217" spans="1:19">
      <c r="A217">
        <v>215</v>
      </c>
      <c r="B217" t="s">
        <v>265</v>
      </c>
      <c r="C217" t="s">
        <v>551</v>
      </c>
      <c r="D217" t="s">
        <v>485</v>
      </c>
      <c r="E217" t="s">
        <v>494</v>
      </c>
      <c r="F217" s="17">
        <f>VLOOKUP(B217,'Justice Spend Total'!$B$4:$AQ$221,10,FALSE)</f>
        <v>0.29199999999999998</v>
      </c>
      <c r="G217" s="15">
        <f>VLOOKUP(C217,'Justice Spend Total'!$C$4:$AQ$221,10,FALSE)</f>
        <v>21.597633136094672</v>
      </c>
      <c r="H217" t="str">
        <f>VLOOKUP(C217,'Justice Spend Total'!$C$4:$AQ$221,7,FALSE)</f>
        <v/>
      </c>
      <c r="I217" s="35" t="e">
        <f t="shared" si="13"/>
        <v>#VALUE!</v>
      </c>
      <c r="J217" s="35" t="e">
        <f t="shared" si="14"/>
        <v>#VALUE!</v>
      </c>
      <c r="K217" s="35" t="e">
        <f t="shared" si="15"/>
        <v>#VALUE!</v>
      </c>
      <c r="L217" s="35" t="e">
        <f t="shared" si="16"/>
        <v>#VALUE!</v>
      </c>
      <c r="M217" s="16">
        <f>IF(ISNUMBER(VLOOKUP($C217,'Justice Spend Total'!$C:$BA,35,FALSE)),VLOOKUP($C217,'Justice Spend Total'!$C:$BA,35,FALSE),"")</f>
        <v>3.4682912158677177</v>
      </c>
      <c r="N217" s="16">
        <f>IF(ISNUMBER(VLOOKUP($C217,'Justice Spend Total'!$C:$BA,36,FALSE)),VLOOKUP($C217,'Justice Spend Total'!$C:$BA,36,FALSE),"")</f>
        <v>1.2920853741557681</v>
      </c>
      <c r="O217" s="16">
        <f>IF(ISNUMBER(VLOOKUP($C217,'Justice Spend Total'!$C:$BA,37,FALSE)),VLOOKUP($C217,'Justice Spend Total'!$C:$BA,37,FALSE),"")</f>
        <v>1.2467613056237149E-2</v>
      </c>
      <c r="P217" s="16">
        <f>IF(ISNUMBER(VLOOKUP($C217,'Justice Spend Total'!$C:$BA,38,FALSE)),VLOOKUP($C217,'Justice Spend Total'!$C:$BA,38,FALSE),"")</f>
        <v>5.2077561845409228</v>
      </c>
      <c r="Q217" s="15">
        <f>IF(ISNUMBER(VLOOKUP($C217,'Justice Spend Total'!$C:$BA,39,FALSE)),VLOOKUP($C217,'Justice Spend Total'!$C:$BA,39,FALSE),"")</f>
        <v>1.12475207535943</v>
      </c>
      <c r="R217" s="22">
        <f>VLOOKUP($C217,'Justice Spend Total'!$C:$BA,40,FALSE)</f>
        <v>2020</v>
      </c>
      <c r="S217" s="15" t="str">
        <f>VLOOKUP($C217,'Justice Spend Total'!$C:$BA,41,FALSE)</f>
        <v>IMF COFOG</v>
      </c>
    </row>
    <row r="218" spans="1:19">
      <c r="A218">
        <v>216</v>
      </c>
      <c r="B218" t="s">
        <v>266</v>
      </c>
      <c r="C218" t="s">
        <v>584</v>
      </c>
      <c r="D218" t="s">
        <v>493</v>
      </c>
      <c r="E218" t="s">
        <v>494</v>
      </c>
      <c r="F218" s="17">
        <f>VLOOKUP(B218,'Justice Spend Total'!$B$4:$AQ$221,10,FALSE)</f>
        <v>3036.13</v>
      </c>
      <c r="G218" s="15">
        <f>VLOOKUP(C218,'Justice Spend Total'!$C$4:$AQ$221,10,FALSE)</f>
        <v>15.335074197165458</v>
      </c>
      <c r="H218" t="str">
        <f>VLOOKUP(C218,'Justice Spend Total'!$C$4:$AQ$221,7,FALSE)</f>
        <v/>
      </c>
      <c r="I218" s="35" t="str">
        <f t="shared" si="13"/>
        <v/>
      </c>
      <c r="J218" s="35" t="str">
        <f t="shared" si="14"/>
        <v/>
      </c>
      <c r="K218" s="35" t="str">
        <f t="shared" si="15"/>
        <v/>
      </c>
      <c r="L218" s="35" t="str">
        <f t="shared" si="16"/>
        <v/>
      </c>
      <c r="M218" s="16" t="str">
        <f>IF(ISNUMBER(VLOOKUP($C218,'Justice Spend Total'!$C:$BA,35,FALSE)),VLOOKUP($C218,'Justice Spend Total'!$C:$BA,35,FALSE),"")</f>
        <v/>
      </c>
      <c r="N218" s="16" t="str">
        <f>IF(ISNUMBER(VLOOKUP($C218,'Justice Spend Total'!$C:$BA,36,FALSE)),VLOOKUP($C218,'Justice Spend Total'!$C:$BA,36,FALSE),"")</f>
        <v/>
      </c>
      <c r="O218" s="16" t="str">
        <f>IF(ISNUMBER(VLOOKUP($C218,'Justice Spend Total'!$C:$BA,37,FALSE)),VLOOKUP($C218,'Justice Spend Total'!$C:$BA,37,FALSE),"")</f>
        <v/>
      </c>
      <c r="P218" s="16" t="str">
        <f>IF(ISNUMBER(VLOOKUP($C218,'Justice Spend Total'!$C:$BA,38,FALSE)),VLOOKUP($C218,'Justice Spend Total'!$C:$BA,38,FALSE),"")</f>
        <v/>
      </c>
      <c r="Q218" s="15" t="str">
        <f>IF(ISNUMBER(VLOOKUP($C218,'Justice Spend Total'!$C:$BA,39,FALSE)),VLOOKUP($C218,'Justice Spend Total'!$C:$BA,39,FALSE),"")</f>
        <v/>
      </c>
      <c r="R218" s="22" t="str">
        <f>VLOOKUP($C218,'Justice Spend Total'!$C:$BA,40,FALSE)</f>
        <v xml:space="preserve"> </v>
      </c>
      <c r="S218" s="15" t="str">
        <f>VLOOKUP($C218,'Justice Spend Total'!$C:$BA,41,FALSE)</f>
        <v xml:space="preserve"> </v>
      </c>
    </row>
    <row r="219" spans="1:19">
      <c r="A219">
        <v>217</v>
      </c>
      <c r="B219" t="s">
        <v>504</v>
      </c>
      <c r="C219" t="s">
        <v>505</v>
      </c>
      <c r="D219" t="s">
        <v>497</v>
      </c>
      <c r="E219" t="s">
        <v>494</v>
      </c>
      <c r="F219" s="17" t="str">
        <f>VLOOKUP(B219,'Justice Spend Total'!$B$4:$AQ$221,10,FALSE)</f>
        <v xml:space="preserve"> </v>
      </c>
      <c r="G219" s="15" t="str">
        <f>VLOOKUP(C219,'Justice Spend Total'!$C$4:$AQ$221,10,FALSE)</f>
        <v xml:space="preserve"> </v>
      </c>
      <c r="H219" t="str">
        <f>VLOOKUP(C219,'Justice Spend Total'!$C$4:$AQ$221,7,FALSE)</f>
        <v/>
      </c>
      <c r="I219" s="35" t="str">
        <f t="shared" si="13"/>
        <v/>
      </c>
      <c r="J219" s="35" t="str">
        <f t="shared" si="14"/>
        <v/>
      </c>
      <c r="K219" s="35" t="str">
        <f t="shared" si="15"/>
        <v/>
      </c>
      <c r="L219" s="35" t="str">
        <f t="shared" si="16"/>
        <v/>
      </c>
      <c r="M219" s="16" t="str">
        <f>IF(ISNUMBER(VLOOKUP($C219,'Justice Spend Total'!$C:$BA,35,FALSE)),VLOOKUP($C219,'Justice Spend Total'!$C:$BA,35,FALSE),"")</f>
        <v/>
      </c>
      <c r="N219" s="16" t="str">
        <f>IF(ISNUMBER(VLOOKUP($C219,'Justice Spend Total'!$C:$BA,36,FALSE)),VLOOKUP($C219,'Justice Spend Total'!$C:$BA,36,FALSE),"")</f>
        <v/>
      </c>
      <c r="O219" s="16" t="str">
        <f>IF(ISNUMBER(VLOOKUP($C219,'Justice Spend Total'!$C:$BA,37,FALSE)),VLOOKUP($C219,'Justice Spend Total'!$C:$BA,37,FALSE),"")</f>
        <v/>
      </c>
      <c r="P219" s="16" t="str">
        <f>IF(ISNUMBER(VLOOKUP($C219,'Justice Spend Total'!$C:$BA,38,FALSE)),VLOOKUP($C219,'Justice Spend Total'!$C:$BA,38,FALSE),"")</f>
        <v/>
      </c>
      <c r="Q219" s="15" t="str">
        <f>IF(ISNUMBER(VLOOKUP($C219,'Justice Spend Total'!$C:$BA,39,FALSE)),VLOOKUP($C219,'Justice Spend Total'!$C:$BA,39,FALSE),"")</f>
        <v/>
      </c>
      <c r="R219" t="str">
        <f>VLOOKUP($C219,'Justice Spend Total'!$C:$BA,40,FALSE)</f>
        <v xml:space="preserve"> </v>
      </c>
      <c r="S219" s="15" t="str">
        <f>VLOOKUP($C219,'Justice Spend Total'!$C:$BA,41,FALSE)</f>
        <v xml:space="preserve"> </v>
      </c>
    </row>
    <row r="220" spans="1:19">
      <c r="A220">
        <v>218</v>
      </c>
      <c r="B220" t="s">
        <v>587</v>
      </c>
      <c r="C220" t="s">
        <v>588</v>
      </c>
      <c r="D220" t="s">
        <v>497</v>
      </c>
      <c r="E220" t="s">
        <v>494</v>
      </c>
      <c r="F220" s="17" t="str">
        <f>VLOOKUP(B220,'Justice Spend Total'!$B$4:$AQ$221,10,FALSE)</f>
        <v xml:space="preserve"> </v>
      </c>
      <c r="G220" s="15" t="str">
        <f>VLOOKUP(C220,'Justice Spend Total'!$C$4:$AQ$221,10,FALSE)</f>
        <v xml:space="preserve"> </v>
      </c>
      <c r="H220" t="str">
        <f>VLOOKUP(C220,'Justice Spend Total'!$C$4:$AQ$221,7,FALSE)</f>
        <v/>
      </c>
      <c r="I220" s="35" t="str">
        <f t="shared" si="13"/>
        <v/>
      </c>
      <c r="J220" s="35" t="str">
        <f t="shared" si="14"/>
        <v/>
      </c>
      <c r="K220" s="35" t="str">
        <f t="shared" si="15"/>
        <v/>
      </c>
      <c r="L220" s="35" t="str">
        <f t="shared" si="16"/>
        <v/>
      </c>
      <c r="M220" s="16" t="str">
        <f>IF(ISNUMBER(VLOOKUP($C220,'Justice Spend Total'!$C:$BA,35,FALSE)),VLOOKUP($C220,'Justice Spend Total'!$C:$BA,35,FALSE),"")</f>
        <v/>
      </c>
      <c r="N220" s="16" t="str">
        <f>IF(ISNUMBER(VLOOKUP($C220,'Justice Spend Total'!$C:$BA,36,FALSE)),VLOOKUP($C220,'Justice Spend Total'!$C:$BA,36,FALSE),"")</f>
        <v/>
      </c>
      <c r="O220" s="16" t="str">
        <f>IF(ISNUMBER(VLOOKUP($C220,'Justice Spend Total'!$C:$BA,37,FALSE)),VLOOKUP($C220,'Justice Spend Total'!$C:$BA,37,FALSE),"")</f>
        <v/>
      </c>
      <c r="P220" s="16" t="str">
        <f>IF(ISNUMBER(VLOOKUP($C220,'Justice Spend Total'!$C:$BA,38,FALSE)),VLOOKUP($C220,'Justice Spend Total'!$C:$BA,38,FALSE),"")</f>
        <v/>
      </c>
      <c r="Q220" s="15" t="str">
        <f>IF(ISNUMBER(VLOOKUP($C220,'Justice Spend Total'!$C:$BA,39,FALSE)),VLOOKUP($C220,'Justice Spend Total'!$C:$BA,39,FALSE),"")</f>
        <v/>
      </c>
      <c r="R220" t="str">
        <f>VLOOKUP($C220,'Justice Spend Total'!$C:$BA,40,FALSE)</f>
        <v xml:space="preserve"> </v>
      </c>
      <c r="S220" s="15" t="str">
        <f>VLOOKUP($C220,'Justice Spend Total'!$C:$BA,41,FALSE)</f>
        <v xml:space="preserve"> </v>
      </c>
    </row>
    <row r="221" spans="1:19">
      <c r="M221" s="16" t="str">
        <f>IF(ISNUMBER(#REF!),(#REF!/(VLOOKUP(C221,'Justice Spend Total'!$C$4:$AQ$221,9,FALSE))*100),"")</f>
        <v/>
      </c>
      <c r="N221" s="16" t="str">
        <f>IF(ISNUMBER(#REF!),(#REF!/(VLOOKUP(C221,'Justice Spend Total'!$C$4:$AQ$221,9,FALSE))*100),"")</f>
        <v/>
      </c>
      <c r="O221" s="16" t="str">
        <f>IF(ISNUMBER(#REF!),(#REF!/(VLOOKUP(C221,'Justice Spend Total'!$C$4:$AQ$221,9,FALSE))*100),"")</f>
        <v/>
      </c>
      <c r="P221" s="16"/>
    </row>
    <row r="222" spans="1:19">
      <c r="M222" s="16"/>
      <c r="N222" s="16" t="str">
        <f>IF(ISNUMBER(#REF!),(#REF!/(VLOOKUP(C222,'Justice Spend Total'!$C$4:$AQ$221,9,FALSE))*100),"")</f>
        <v/>
      </c>
      <c r="O222" s="16" t="str">
        <f>IF(ISNUMBER(#REF!),(#REF!/(VLOOKUP(C222,'Justice Spend Total'!$C$4:$AQ$221,9,FALSE))*100),"")</f>
        <v/>
      </c>
      <c r="P222" s="16"/>
    </row>
    <row r="223" spans="1:19">
      <c r="M223" s="16"/>
      <c r="N223" s="16" t="str">
        <f>IF(ISNUMBER(#REF!),(#REF!/(VLOOKUP(C223,'Justice Spend Total'!$C$4:$AQ$221,9,FALSE))*100),"")</f>
        <v/>
      </c>
      <c r="O223" s="16" t="str">
        <f>IF(ISNUMBER(#REF!),(#REF!/(VLOOKUP(C223,'Justice Spend Total'!$C$4:$AQ$221,9,FALSE))*100),"")</f>
        <v/>
      </c>
      <c r="P223" s="16"/>
    </row>
    <row r="224" spans="1:19" ht="15" thickBot="1">
      <c r="M224" s="16"/>
      <c r="N224" s="16" t="str">
        <f>IF(ISNUMBER(#REF!),(#REF!/(VLOOKUP(C224,'Justice Spend Total'!$C$4:$AQ$221,9,FALSE))*100),"")</f>
        <v/>
      </c>
      <c r="O224" s="16" t="str">
        <f>IF(ISNUMBER(#REF!),(#REF!/(VLOOKUP(C224,'Justice Spend Total'!$C$4:$AQ$221,9,FALSE))*100),"")</f>
        <v/>
      </c>
      <c r="P224" s="16"/>
    </row>
    <row r="225" spans="5:16" ht="46.35" customHeight="1">
      <c r="E225" s="77"/>
      <c r="F225" s="68"/>
      <c r="G225" s="107" t="s">
        <v>591</v>
      </c>
      <c r="H225" s="69" t="s">
        <v>273</v>
      </c>
      <c r="M225" s="16"/>
      <c r="N225" s="16" t="str">
        <f>IF(ISNUMBER(#REF!),(#REF!/(VLOOKUP(C225,'Justice Spend Total'!$C$4:$AQ$221,9,FALSE))*100),"")</f>
        <v/>
      </c>
      <c r="O225" s="16" t="str">
        <f>IF(ISNUMBER(#REF!),(#REF!/(VLOOKUP(C225,'Justice Spend Total'!$C$4:$AQ$221,9,FALSE))*100),"")</f>
        <v/>
      </c>
      <c r="P225" s="16"/>
    </row>
    <row r="226" spans="5:16">
      <c r="E226" s="78" t="s">
        <v>282</v>
      </c>
      <c r="G226" s="15">
        <f>'Justice Spend Total'!C239</f>
        <v>21</v>
      </c>
      <c r="H226" s="111">
        <f>'Justice Spend Total'!D239</f>
        <v>3</v>
      </c>
      <c r="M226" s="16"/>
      <c r="N226" s="16"/>
      <c r="O226" s="16"/>
      <c r="P226" s="16"/>
    </row>
    <row r="227" spans="5:16">
      <c r="E227" s="78" t="s">
        <v>283</v>
      </c>
      <c r="G227" s="15">
        <f>'Justice Spend Total'!C240</f>
        <v>41</v>
      </c>
      <c r="H227" s="111">
        <f>'Justice Spend Total'!D240</f>
        <v>19</v>
      </c>
      <c r="M227" s="16"/>
      <c r="N227" s="16"/>
      <c r="O227" s="16"/>
      <c r="P227" s="16"/>
    </row>
    <row r="228" spans="5:16">
      <c r="E228" s="78" t="s">
        <v>284</v>
      </c>
      <c r="G228" s="15">
        <f>'Justice Spend Total'!C241</f>
        <v>26</v>
      </c>
      <c r="H228" s="111">
        <f>'Justice Spend Total'!D241</f>
        <v>26</v>
      </c>
      <c r="M228" s="16"/>
      <c r="N228" s="16"/>
      <c r="O228" s="16"/>
      <c r="P228" s="16"/>
    </row>
    <row r="229" spans="5:16">
      <c r="E229" s="78" t="s">
        <v>592</v>
      </c>
      <c r="G229" s="15">
        <f>'Justice Spend Total'!C242</f>
        <v>48</v>
      </c>
      <c r="H229" s="111">
        <f>'Justice Spend Total'!D242</f>
        <v>47</v>
      </c>
      <c r="M229" s="16"/>
      <c r="N229" s="16"/>
      <c r="O229" s="16"/>
      <c r="P229" s="16"/>
    </row>
    <row r="230" spans="5:16" ht="15" thickBot="1">
      <c r="E230" s="100" t="s">
        <v>285</v>
      </c>
      <c r="F230" s="101"/>
      <c r="G230" s="108">
        <f>'Justice Spend Total'!C243</f>
        <v>29</v>
      </c>
      <c r="H230" s="112">
        <f>'Justice Spend Total'!D243</f>
        <v>28</v>
      </c>
      <c r="M230" s="16"/>
      <c r="N230" s="16"/>
      <c r="O230" s="16"/>
      <c r="P230" s="16"/>
    </row>
    <row r="231" spans="5:16">
      <c r="M231" s="16"/>
      <c r="N231" s="16"/>
      <c r="O231" s="16"/>
      <c r="P231" s="16"/>
    </row>
    <row r="232" spans="5:16">
      <c r="M232" s="16"/>
      <c r="N232" s="16"/>
      <c r="O232" s="16"/>
      <c r="P232" s="16"/>
    </row>
    <row r="233" spans="5:16">
      <c r="M233" s="16"/>
      <c r="N233" s="16"/>
      <c r="O233" s="16"/>
      <c r="P233" s="16"/>
    </row>
    <row r="234" spans="5:16">
      <c r="M234" s="16"/>
      <c r="N234" s="16"/>
      <c r="O234" s="16"/>
      <c r="P234" s="16"/>
    </row>
    <row r="235" spans="5:16">
      <c r="M235" s="16"/>
      <c r="N235" s="16"/>
      <c r="O235" s="16"/>
      <c r="P235" s="16"/>
    </row>
    <row r="236" spans="5:16">
      <c r="M236" s="16"/>
      <c r="N236" s="16"/>
      <c r="O236" s="16"/>
      <c r="P236" s="16"/>
    </row>
    <row r="237" spans="5:16">
      <c r="M237" s="16"/>
      <c r="N237" s="16"/>
      <c r="O237" s="16"/>
      <c r="P237" s="16"/>
    </row>
    <row r="238" spans="5:16">
      <c r="M238" s="16"/>
      <c r="N238" s="16"/>
      <c r="O238" s="16"/>
      <c r="P238" s="16"/>
    </row>
    <row r="239" spans="5:16">
      <c r="M239" s="16"/>
      <c r="N239" s="16"/>
      <c r="O239" s="16"/>
      <c r="P239" s="16"/>
    </row>
    <row r="240" spans="5:16">
      <c r="M240" s="16"/>
      <c r="N240" s="16"/>
      <c r="O240" s="16"/>
      <c r="P240" s="16"/>
    </row>
    <row r="241" spans="13:16">
      <c r="M241" s="16"/>
      <c r="N241" s="16"/>
      <c r="O241" s="16"/>
      <c r="P241" s="16"/>
    </row>
    <row r="242" spans="13:16">
      <c r="M242" s="16"/>
      <c r="N242" s="16"/>
      <c r="O242" s="16"/>
      <c r="P242" s="16"/>
    </row>
    <row r="243" spans="13:16">
      <c r="M243" s="16"/>
      <c r="N243" s="16"/>
      <c r="O243" s="16"/>
      <c r="P243" s="16"/>
    </row>
    <row r="244" spans="13:16">
      <c r="M244" s="16"/>
      <c r="N244" s="16"/>
      <c r="O244" s="16"/>
      <c r="P244" s="16"/>
    </row>
    <row r="245" spans="13:16">
      <c r="M245" s="16"/>
      <c r="N245" s="16"/>
      <c r="O245" s="16"/>
      <c r="P245" s="16"/>
    </row>
    <row r="246" spans="13:16">
      <c r="M246" s="16"/>
      <c r="N246" s="16"/>
      <c r="O246" s="16"/>
      <c r="P246" s="16"/>
    </row>
    <row r="247" spans="13:16">
      <c r="M247" s="16"/>
      <c r="N247" s="16"/>
      <c r="O247" s="16"/>
      <c r="P247" s="16"/>
    </row>
    <row r="248" spans="13:16">
      <c r="M248" s="16"/>
      <c r="N248" s="16"/>
      <c r="O248" s="16"/>
      <c r="P248" s="16"/>
    </row>
    <row r="249" spans="13:16">
      <c r="M249" s="16"/>
      <c r="N249" s="16"/>
      <c r="O249" s="16"/>
      <c r="P249" s="16"/>
    </row>
    <row r="250" spans="13:16">
      <c r="M250" s="16"/>
      <c r="N250" s="16"/>
      <c r="O250" s="16"/>
      <c r="P250" s="16"/>
    </row>
    <row r="251" spans="13:16">
      <c r="M251" s="16"/>
      <c r="N251" s="16"/>
      <c r="O251" s="16"/>
      <c r="P251" s="16"/>
    </row>
    <row r="252" spans="13:16">
      <c r="M252" s="16"/>
      <c r="N252" s="16"/>
      <c r="O252" s="16"/>
      <c r="P252" s="16"/>
    </row>
    <row r="253" spans="13:16">
      <c r="M253" s="16"/>
      <c r="N253" s="16"/>
      <c r="O253" s="16"/>
      <c r="P253" s="16"/>
    </row>
    <row r="254" spans="13:16">
      <c r="M254" s="16"/>
      <c r="N254" s="16"/>
      <c r="O254" s="16"/>
      <c r="P254" s="16"/>
    </row>
    <row r="255" spans="13:16">
      <c r="M255" s="16"/>
      <c r="N255" s="16"/>
      <c r="O255" s="16"/>
      <c r="P255" s="16"/>
    </row>
    <row r="256" spans="13:16">
      <c r="M256" s="16"/>
      <c r="N256" s="16"/>
      <c r="O256" s="16"/>
      <c r="P256" s="16"/>
    </row>
    <row r="257" spans="13:16">
      <c r="M257" s="16"/>
      <c r="N257" s="16"/>
      <c r="O257" s="16"/>
      <c r="P257" s="16"/>
    </row>
    <row r="258" spans="13:16">
      <c r="M258" s="16"/>
      <c r="N258" s="16"/>
      <c r="O258" s="16"/>
      <c r="P258" s="16"/>
    </row>
    <row r="259" spans="13:16">
      <c r="M259" s="16"/>
      <c r="N259" s="16"/>
      <c r="O259" s="16"/>
      <c r="P259" s="16"/>
    </row>
    <row r="260" spans="13:16">
      <c r="M260" s="16"/>
      <c r="N260" s="16"/>
      <c r="O260" s="16"/>
      <c r="P260" s="16"/>
    </row>
    <row r="261" spans="13:16">
      <c r="M261" s="16"/>
      <c r="N261" s="16"/>
      <c r="O261" s="16"/>
      <c r="P261" s="16"/>
    </row>
    <row r="262" spans="13:16">
      <c r="M262" s="16"/>
      <c r="N262" s="16"/>
      <c r="O262" s="16"/>
      <c r="P262" s="16"/>
    </row>
    <row r="263" spans="13:16">
      <c r="M263" s="16"/>
      <c r="N263" s="16"/>
      <c r="O263" s="16"/>
      <c r="P263" s="16"/>
    </row>
    <row r="264" spans="13:16">
      <c r="M264" s="16"/>
      <c r="N264" s="16"/>
      <c r="O264" s="16"/>
      <c r="P264" s="16"/>
    </row>
    <row r="265" spans="13:16">
      <c r="M265" s="16"/>
      <c r="N265" s="16"/>
      <c r="O265" s="16"/>
      <c r="P265" s="16"/>
    </row>
    <row r="266" spans="13:16">
      <c r="M266" s="16"/>
      <c r="N266" s="16"/>
      <c r="O266" s="16"/>
      <c r="P266" s="16"/>
    </row>
    <row r="267" spans="13:16">
      <c r="M267" s="16"/>
      <c r="N267" s="16"/>
      <c r="O267" s="16"/>
      <c r="P267" s="16"/>
    </row>
    <row r="268" spans="13:16">
      <c r="M268" s="16"/>
      <c r="N268" s="16"/>
      <c r="O268" s="16"/>
      <c r="P268" s="16"/>
    </row>
    <row r="269" spans="13:16">
      <c r="M269" s="16"/>
      <c r="N269" s="16"/>
      <c r="O269" s="16"/>
      <c r="P269" s="16"/>
    </row>
    <row r="270" spans="13:16">
      <c r="M270" s="16"/>
      <c r="N270" s="16"/>
      <c r="O270" s="16"/>
      <c r="P270" s="16"/>
    </row>
    <row r="271" spans="13:16">
      <c r="M271" s="16"/>
      <c r="N271" s="16"/>
      <c r="O271" s="16"/>
      <c r="P271" s="16"/>
    </row>
    <row r="272" spans="13:16">
      <c r="M272" s="16"/>
      <c r="N272" s="16"/>
      <c r="O272" s="16"/>
      <c r="P272" s="16"/>
    </row>
    <row r="273" spans="13:16">
      <c r="M273" s="16"/>
      <c r="N273" s="16"/>
      <c r="O273" s="16"/>
      <c r="P273" s="16"/>
    </row>
    <row r="274" spans="13:16">
      <c r="M274" s="16"/>
      <c r="N274" s="16"/>
      <c r="O274" s="16"/>
      <c r="P274" s="16"/>
    </row>
    <row r="275" spans="13:16">
      <c r="M275" s="16"/>
      <c r="N275" s="16"/>
      <c r="O275" s="16"/>
      <c r="P275" s="16"/>
    </row>
    <row r="276" spans="13:16">
      <c r="M276" s="16"/>
      <c r="N276" s="16"/>
      <c r="O276" s="16"/>
      <c r="P276" s="16"/>
    </row>
    <row r="277" spans="13:16">
      <c r="M277" s="16"/>
      <c r="N277" s="16"/>
      <c r="O277" s="16"/>
      <c r="P277" s="16"/>
    </row>
    <row r="278" spans="13:16">
      <c r="M278" s="16"/>
      <c r="N278" s="16"/>
      <c r="O278" s="16"/>
      <c r="P278" s="16"/>
    </row>
    <row r="279" spans="13:16">
      <c r="M279" s="16"/>
      <c r="N279" s="16"/>
      <c r="O279" s="16"/>
      <c r="P279" s="16"/>
    </row>
    <row r="280" spans="13:16">
      <c r="M280" s="16"/>
      <c r="N280" s="16"/>
      <c r="O280" s="16"/>
      <c r="P280" s="16"/>
    </row>
    <row r="281" spans="13:16">
      <c r="M281" s="16"/>
      <c r="N281" s="16"/>
      <c r="O281" s="16"/>
      <c r="P281" s="16"/>
    </row>
    <row r="282" spans="13:16">
      <c r="M282" s="16"/>
      <c r="N282" s="16"/>
      <c r="O282" s="16"/>
      <c r="P282" s="16"/>
    </row>
    <row r="283" spans="13:16">
      <c r="M283" s="16"/>
      <c r="N283" s="16"/>
      <c r="O283" s="16"/>
      <c r="P283" s="16"/>
    </row>
    <row r="284" spans="13:16">
      <c r="M284" s="16"/>
      <c r="N284" s="16"/>
      <c r="O284" s="16"/>
      <c r="P284" s="16"/>
    </row>
    <row r="285" spans="13:16">
      <c r="M285" s="16"/>
      <c r="N285" s="16"/>
      <c r="O285" s="16"/>
      <c r="P285" s="16"/>
    </row>
    <row r="286" spans="13:16">
      <c r="M286" s="16"/>
      <c r="N286" s="16"/>
      <c r="O286" s="16"/>
      <c r="P286" s="16"/>
    </row>
    <row r="287" spans="13:16">
      <c r="M287" s="16"/>
      <c r="N287" s="16"/>
      <c r="O287" s="16"/>
      <c r="P287" s="16"/>
    </row>
    <row r="288" spans="13:16">
      <c r="M288" s="16"/>
      <c r="N288" s="16"/>
      <c r="O288" s="16"/>
      <c r="P288" s="16"/>
    </row>
    <row r="289" spans="13:16">
      <c r="M289" s="16"/>
      <c r="N289" s="16"/>
      <c r="O289" s="16"/>
      <c r="P289" s="16"/>
    </row>
    <row r="290" spans="13:16">
      <c r="M290" s="16"/>
      <c r="N290" s="16"/>
      <c r="O290" s="16"/>
      <c r="P290" s="16"/>
    </row>
    <row r="291" spans="13:16">
      <c r="M291" s="16"/>
      <c r="N291" s="16"/>
      <c r="O291" s="16"/>
      <c r="P291" s="16"/>
    </row>
    <row r="292" spans="13:16">
      <c r="M292" s="16"/>
      <c r="N292" s="16"/>
      <c r="O292" s="16"/>
      <c r="P292" s="16"/>
    </row>
    <row r="293" spans="13:16">
      <c r="M293" s="16"/>
      <c r="N293" s="16"/>
      <c r="O293" s="16"/>
      <c r="P293" s="16"/>
    </row>
    <row r="294" spans="13:16">
      <c r="M294" s="16"/>
      <c r="N294" s="16"/>
      <c r="O294" s="16"/>
      <c r="P294" s="16"/>
    </row>
    <row r="295" spans="13:16">
      <c r="M295" s="16"/>
      <c r="N295" s="16"/>
      <c r="O295" s="16"/>
      <c r="P295" s="16"/>
    </row>
    <row r="296" spans="13:16">
      <c r="M296" s="16"/>
      <c r="N296" s="16"/>
      <c r="O296" s="16"/>
      <c r="P296" s="16"/>
    </row>
    <row r="297" spans="13:16">
      <c r="M297" s="16"/>
      <c r="N297" s="16"/>
      <c r="O297" s="16"/>
      <c r="P297" s="16"/>
    </row>
    <row r="298" spans="13:16">
      <c r="M298" s="16"/>
      <c r="N298" s="16"/>
      <c r="O298" s="16"/>
      <c r="P298" s="16"/>
    </row>
    <row r="299" spans="13:16">
      <c r="M299" s="16"/>
      <c r="N299" s="16"/>
      <c r="O299" s="16"/>
      <c r="P299" s="16"/>
    </row>
    <row r="300" spans="13:16">
      <c r="M300" s="16"/>
      <c r="N300" s="16"/>
      <c r="O300" s="16"/>
      <c r="P300" s="16"/>
    </row>
    <row r="301" spans="13:16">
      <c r="M301" s="16"/>
      <c r="N301" s="16"/>
      <c r="O301" s="16"/>
      <c r="P301" s="16"/>
    </row>
    <row r="302" spans="13:16">
      <c r="M302" s="16"/>
      <c r="N302" s="16"/>
      <c r="O302" s="16"/>
      <c r="P302" s="16"/>
    </row>
    <row r="303" spans="13:16">
      <c r="M303" s="16"/>
      <c r="N303" s="16"/>
      <c r="O303" s="16"/>
      <c r="P303" s="16"/>
    </row>
    <row r="304" spans="13:16">
      <c r="M304" s="16"/>
      <c r="N304" s="16"/>
      <c r="O304" s="16"/>
      <c r="P304" s="16"/>
    </row>
    <row r="305" spans="13:16">
      <c r="M305" s="16"/>
      <c r="N305" s="16"/>
      <c r="O305" s="16"/>
      <c r="P305" s="16"/>
    </row>
    <row r="306" spans="13:16">
      <c r="M306" s="16"/>
      <c r="N306" s="16"/>
      <c r="O306" s="16"/>
      <c r="P306" s="16"/>
    </row>
    <row r="307" spans="13:16">
      <c r="M307" s="16"/>
      <c r="N307" s="16"/>
      <c r="O307" s="16"/>
      <c r="P307" s="16"/>
    </row>
    <row r="308" spans="13:16">
      <c r="M308" s="16"/>
      <c r="N308" s="16"/>
      <c r="O308" s="16"/>
      <c r="P308" s="16"/>
    </row>
    <row r="309" spans="13:16">
      <c r="M309" s="16"/>
      <c r="N309" s="16"/>
      <c r="O309" s="16"/>
      <c r="P309" s="16"/>
    </row>
    <row r="310" spans="13:16">
      <c r="M310" s="16"/>
      <c r="N310" s="16"/>
      <c r="O310" s="16"/>
      <c r="P310" s="16"/>
    </row>
    <row r="311" spans="13:16">
      <c r="M311" s="16"/>
      <c r="N311" s="16"/>
      <c r="O311" s="16"/>
      <c r="P311" s="16"/>
    </row>
    <row r="312" spans="13:16">
      <c r="M312" s="16"/>
      <c r="N312" s="16"/>
      <c r="O312" s="16"/>
      <c r="P312" s="16"/>
    </row>
    <row r="313" spans="13:16">
      <c r="M313" s="16"/>
      <c r="N313" s="16"/>
      <c r="O313" s="16"/>
      <c r="P313" s="16"/>
    </row>
    <row r="314" spans="13:16">
      <c r="M314" s="16"/>
      <c r="N314" s="16"/>
      <c r="O314" s="16"/>
      <c r="P314" s="16"/>
    </row>
    <row r="315" spans="13:16">
      <c r="M315" s="16"/>
      <c r="N315" s="16"/>
      <c r="O315" s="16"/>
      <c r="P315" s="16"/>
    </row>
    <row r="316" spans="13:16">
      <c r="M316" s="16"/>
      <c r="N316" s="16"/>
      <c r="O316" s="16"/>
      <c r="P316" s="16"/>
    </row>
    <row r="317" spans="13:16">
      <c r="M317" s="16"/>
      <c r="N317" s="16"/>
      <c r="O317" s="16"/>
      <c r="P317" s="16"/>
    </row>
    <row r="318" spans="13:16">
      <c r="M318" s="16"/>
      <c r="N318" s="16"/>
      <c r="O318" s="16"/>
      <c r="P318" s="16"/>
    </row>
    <row r="319" spans="13:16">
      <c r="M319" s="16"/>
      <c r="N319" s="16"/>
      <c r="O319" s="16"/>
      <c r="P319" s="16"/>
    </row>
    <row r="320" spans="13:16">
      <c r="M320" s="16"/>
      <c r="N320" s="16"/>
      <c r="O320" s="16"/>
      <c r="P320" s="16"/>
    </row>
    <row r="321" spans="13:16">
      <c r="M321" s="16"/>
      <c r="N321" s="16"/>
      <c r="O321" s="16"/>
      <c r="P321" s="16"/>
    </row>
    <row r="322" spans="13:16">
      <c r="M322" s="16"/>
      <c r="N322" s="16"/>
      <c r="O322" s="16"/>
      <c r="P322" s="16"/>
    </row>
    <row r="323" spans="13:16">
      <c r="M323" s="16"/>
      <c r="N323" s="16"/>
      <c r="O323" s="16"/>
      <c r="P323" s="16"/>
    </row>
    <row r="324" spans="13:16">
      <c r="M324" s="16"/>
      <c r="N324" s="16"/>
      <c r="O324" s="16"/>
      <c r="P324" s="16"/>
    </row>
    <row r="325" spans="13:16">
      <c r="M325" s="16"/>
      <c r="N325" s="16"/>
      <c r="O325" s="16"/>
      <c r="P325" s="16"/>
    </row>
    <row r="326" spans="13:16">
      <c r="M326" s="16"/>
      <c r="N326" s="16"/>
      <c r="O326" s="16"/>
      <c r="P326" s="16"/>
    </row>
    <row r="327" spans="13:16">
      <c r="M327" s="16"/>
      <c r="N327" s="16"/>
      <c r="O327" s="16"/>
      <c r="P327" s="16"/>
    </row>
    <row r="328" spans="13:16">
      <c r="M328" s="16"/>
      <c r="N328" s="16"/>
      <c r="O328" s="16"/>
      <c r="P328" s="16"/>
    </row>
    <row r="329" spans="13:16">
      <c r="M329" s="16"/>
      <c r="N329" s="16"/>
      <c r="O329" s="16"/>
      <c r="P329" s="16"/>
    </row>
    <row r="330" spans="13:16">
      <c r="M330" s="16"/>
      <c r="N330" s="16"/>
      <c r="O330" s="16"/>
      <c r="P330" s="16"/>
    </row>
    <row r="331" spans="13:16">
      <c r="M331" s="16"/>
      <c r="N331" s="16"/>
      <c r="O331" s="16"/>
      <c r="P331" s="16"/>
    </row>
    <row r="332" spans="13:16">
      <c r="M332" s="16"/>
      <c r="N332" s="16"/>
      <c r="O332" s="16"/>
      <c r="P332" s="16"/>
    </row>
    <row r="333" spans="13:16">
      <c r="M333" s="16"/>
      <c r="N333" s="16"/>
      <c r="O333" s="16"/>
      <c r="P333" s="16"/>
    </row>
    <row r="334" spans="13:16">
      <c r="M334" s="16"/>
      <c r="N334" s="16"/>
      <c r="O334" s="16"/>
      <c r="P334" s="16"/>
    </row>
    <row r="335" spans="13:16">
      <c r="M335" s="16"/>
      <c r="N335" s="16"/>
      <c r="O335" s="16"/>
      <c r="P335" s="16"/>
    </row>
    <row r="336" spans="13:16">
      <c r="M336" s="16"/>
      <c r="N336" s="16"/>
      <c r="O336" s="16"/>
      <c r="P336" s="16"/>
    </row>
    <row r="337" spans="13:16">
      <c r="M337" s="16"/>
      <c r="N337" s="16"/>
      <c r="O337" s="16"/>
      <c r="P337" s="16"/>
    </row>
    <row r="338" spans="13:16">
      <c r="M338" s="16"/>
      <c r="N338" s="16"/>
      <c r="O338" s="16"/>
      <c r="P338" s="16"/>
    </row>
    <row r="339" spans="13:16">
      <c r="M339" s="16"/>
      <c r="N339" s="16"/>
      <c r="O339" s="16"/>
      <c r="P339" s="16"/>
    </row>
    <row r="340" spans="13:16">
      <c r="M340" s="16"/>
      <c r="N340" s="16"/>
      <c r="O340" s="16"/>
      <c r="P340" s="16"/>
    </row>
    <row r="341" spans="13:16">
      <c r="M341" s="16"/>
      <c r="N341" s="16"/>
      <c r="O341" s="16"/>
      <c r="P341" s="16"/>
    </row>
    <row r="342" spans="13:16">
      <c r="M342" s="16"/>
      <c r="N342" s="16"/>
      <c r="O342" s="16"/>
      <c r="P342" s="16"/>
    </row>
    <row r="343" spans="13:16">
      <c r="M343" s="16"/>
      <c r="N343" s="16"/>
      <c r="O343" s="16"/>
      <c r="P343" s="16"/>
    </row>
    <row r="344" spans="13:16">
      <c r="M344" s="16"/>
      <c r="N344" s="16"/>
      <c r="O344" s="16"/>
      <c r="P344" s="16"/>
    </row>
    <row r="345" spans="13:16">
      <c r="M345" s="16"/>
      <c r="N345" s="16"/>
      <c r="O345" s="16"/>
      <c r="P345" s="16"/>
    </row>
    <row r="346" spans="13:16">
      <c r="M346" s="16"/>
      <c r="N346" s="16"/>
      <c r="O346" s="16"/>
      <c r="P346" s="16"/>
    </row>
    <row r="347" spans="13:16">
      <c r="M347" s="16"/>
      <c r="N347" s="16"/>
      <c r="O347" s="16"/>
      <c r="P347" s="16"/>
    </row>
    <row r="348" spans="13:16">
      <c r="M348" s="16"/>
      <c r="N348" s="16"/>
      <c r="O348" s="16"/>
      <c r="P348" s="16"/>
    </row>
    <row r="349" spans="13:16">
      <c r="M349" s="16"/>
      <c r="N349" s="16"/>
      <c r="O349" s="16"/>
      <c r="P349" s="16"/>
    </row>
    <row r="350" spans="13:16">
      <c r="M350" s="16"/>
      <c r="N350" s="16"/>
      <c r="O350" s="16"/>
      <c r="P350" s="16"/>
    </row>
    <row r="351" spans="13:16">
      <c r="M351" s="16"/>
      <c r="N351" s="16"/>
      <c r="O351" s="16"/>
      <c r="P351" s="16"/>
    </row>
    <row r="352" spans="13:16">
      <c r="M352" s="16"/>
      <c r="N352" s="16"/>
      <c r="O352" s="16"/>
      <c r="P352" s="16"/>
    </row>
    <row r="353" spans="13:16">
      <c r="M353" s="16"/>
      <c r="N353" s="16"/>
      <c r="O353" s="16"/>
      <c r="P353" s="16"/>
    </row>
    <row r="354" spans="13:16">
      <c r="M354" s="16"/>
      <c r="N354" s="16"/>
      <c r="O354" s="16"/>
      <c r="P354" s="16"/>
    </row>
    <row r="355" spans="13:16">
      <c r="M355" s="16"/>
      <c r="N355" s="16"/>
      <c r="O355" s="16"/>
      <c r="P355" s="16"/>
    </row>
    <row r="356" spans="13:16">
      <c r="M356" s="16"/>
      <c r="N356" s="16"/>
      <c r="O356" s="16"/>
      <c r="P356" s="16"/>
    </row>
    <row r="357" spans="13:16">
      <c r="M357" s="16"/>
      <c r="N357" s="16"/>
      <c r="O357" s="16"/>
      <c r="P357" s="16"/>
    </row>
    <row r="358" spans="13:16">
      <c r="M358" s="16"/>
      <c r="N358" s="16"/>
      <c r="O358" s="16"/>
      <c r="P358" s="16"/>
    </row>
    <row r="359" spans="13:16">
      <c r="M359" s="16"/>
      <c r="N359" s="16"/>
      <c r="O359" s="16"/>
      <c r="P359" s="16"/>
    </row>
    <row r="360" spans="13:16">
      <c r="M360" s="16"/>
      <c r="N360" s="16"/>
      <c r="O360" s="16"/>
      <c r="P360" s="16"/>
    </row>
    <row r="361" spans="13:16">
      <c r="M361" s="16"/>
      <c r="N361" s="16"/>
      <c r="O361" s="16"/>
      <c r="P361" s="16"/>
    </row>
    <row r="362" spans="13:16">
      <c r="M362" s="16"/>
      <c r="N362" s="16"/>
      <c r="O362" s="16"/>
      <c r="P362" s="16"/>
    </row>
    <row r="363" spans="13:16">
      <c r="M363" s="16"/>
      <c r="N363" s="16"/>
      <c r="O363" s="16"/>
      <c r="P363" s="16"/>
    </row>
    <row r="364" spans="13:16">
      <c r="M364" s="16"/>
      <c r="N364" s="16"/>
      <c r="O364" s="16"/>
      <c r="P364" s="16"/>
    </row>
    <row r="365" spans="13:16">
      <c r="M365" s="16"/>
      <c r="N365" s="16"/>
      <c r="O365" s="16"/>
      <c r="P365" s="16"/>
    </row>
    <row r="366" spans="13:16">
      <c r="M366" s="16"/>
      <c r="N366" s="16"/>
      <c r="O366" s="16"/>
      <c r="P366" s="16"/>
    </row>
    <row r="367" spans="13:16">
      <c r="M367" s="16"/>
      <c r="N367" s="16"/>
      <c r="O367" s="16"/>
      <c r="P367" s="16"/>
    </row>
    <row r="368" spans="13:16">
      <c r="M368" s="16"/>
      <c r="N368" s="16"/>
      <c r="O368" s="16"/>
      <c r="P368" s="16"/>
    </row>
    <row r="369" spans="13:16">
      <c r="M369" s="16"/>
      <c r="N369" s="16"/>
      <c r="O369" s="16"/>
      <c r="P369" s="16"/>
    </row>
    <row r="370" spans="13:16">
      <c r="M370" s="16"/>
      <c r="N370" s="16"/>
      <c r="O370" s="16"/>
      <c r="P370" s="16"/>
    </row>
    <row r="371" spans="13:16">
      <c r="M371" s="16"/>
      <c r="N371" s="16"/>
      <c r="O371" s="16"/>
      <c r="P371" s="16"/>
    </row>
    <row r="372" spans="13:16">
      <c r="M372" s="16"/>
      <c r="N372" s="16"/>
      <c r="O372" s="16"/>
      <c r="P372" s="16"/>
    </row>
    <row r="373" spans="13:16">
      <c r="M373" s="16"/>
      <c r="N373" s="16"/>
      <c r="O373" s="16"/>
      <c r="P373" s="16"/>
    </row>
    <row r="374" spans="13:16">
      <c r="M374" s="16"/>
      <c r="N374" s="16"/>
      <c r="O374" s="16"/>
      <c r="P374" s="16"/>
    </row>
    <row r="375" spans="13:16">
      <c r="M375" s="16"/>
      <c r="N375" s="16"/>
      <c r="O375" s="16"/>
      <c r="P375" s="16"/>
    </row>
    <row r="376" spans="13:16">
      <c r="M376" s="16"/>
      <c r="N376" s="16"/>
      <c r="O376" s="16"/>
      <c r="P376" s="16"/>
    </row>
    <row r="377" spans="13:16">
      <c r="M377" s="16"/>
      <c r="N377" s="16"/>
      <c r="O377" s="16"/>
      <c r="P377" s="16"/>
    </row>
    <row r="378" spans="13:16">
      <c r="M378" s="16"/>
      <c r="N378" s="16"/>
      <c r="O378" s="16"/>
      <c r="P378" s="16"/>
    </row>
    <row r="379" spans="13:16">
      <c r="M379" s="16"/>
      <c r="N379" s="16"/>
      <c r="O379" s="16"/>
      <c r="P379" s="16"/>
    </row>
    <row r="380" spans="13:16">
      <c r="M380" s="16"/>
      <c r="N380" s="16"/>
      <c r="O380" s="16"/>
      <c r="P380" s="16"/>
    </row>
    <row r="381" spans="13:16">
      <c r="M381" s="16"/>
      <c r="N381" s="16"/>
      <c r="O381" s="16"/>
      <c r="P381" s="16"/>
    </row>
    <row r="382" spans="13:16">
      <c r="M382" s="16"/>
      <c r="N382" s="16"/>
      <c r="O382" s="16"/>
      <c r="P382" s="16"/>
    </row>
    <row r="383" spans="13:16">
      <c r="M383" s="16"/>
      <c r="N383" s="16"/>
      <c r="O383" s="16"/>
      <c r="P383" s="16"/>
    </row>
    <row r="384" spans="13:16">
      <c r="M384" s="16"/>
      <c r="N384" s="16"/>
      <c r="O384" s="16"/>
      <c r="P384" s="16"/>
    </row>
    <row r="385" spans="13:16">
      <c r="M385" s="16"/>
      <c r="N385" s="16"/>
      <c r="O385" s="16"/>
      <c r="P385" s="16"/>
    </row>
    <row r="386" spans="13:16">
      <c r="M386" s="16"/>
      <c r="N386" s="16"/>
      <c r="O386" s="16"/>
      <c r="P386" s="16"/>
    </row>
    <row r="387" spans="13:16">
      <c r="M387" s="16"/>
      <c r="N387" s="16"/>
      <c r="O387" s="16"/>
      <c r="P387" s="16"/>
    </row>
    <row r="388" spans="13:16">
      <c r="M388" s="16"/>
      <c r="N388" s="16"/>
      <c r="O388" s="16"/>
      <c r="P388" s="16"/>
    </row>
    <row r="389" spans="13:16">
      <c r="M389" s="16"/>
      <c r="N389" s="16"/>
      <c r="O389" s="16"/>
      <c r="P389" s="16"/>
    </row>
    <row r="390" spans="13:16">
      <c r="M390" s="16"/>
      <c r="N390" s="16"/>
      <c r="O390" s="16"/>
      <c r="P390" s="16"/>
    </row>
    <row r="391" spans="13:16">
      <c r="M391" s="16"/>
      <c r="N391" s="16"/>
      <c r="O391" s="16"/>
      <c r="P391" s="16"/>
    </row>
    <row r="392" spans="13:16">
      <c r="M392" s="16"/>
      <c r="N392" s="16"/>
      <c r="O392" s="16"/>
      <c r="P392" s="16"/>
    </row>
    <row r="393" spans="13:16">
      <c r="M393" s="16"/>
      <c r="N393" s="16"/>
      <c r="O393" s="16"/>
      <c r="P393" s="16"/>
    </row>
    <row r="394" spans="13:16">
      <c r="M394" s="16"/>
      <c r="N394" s="16"/>
      <c r="O394" s="16"/>
      <c r="P394" s="16"/>
    </row>
    <row r="395" spans="13:16">
      <c r="M395" s="16"/>
      <c r="N395" s="16"/>
      <c r="O395" s="16"/>
      <c r="P395" s="16"/>
    </row>
    <row r="396" spans="13:16">
      <c r="M396" s="16"/>
      <c r="N396" s="16"/>
      <c r="O396" s="16"/>
      <c r="P396" s="16"/>
    </row>
    <row r="397" spans="13:16">
      <c r="M397" s="16"/>
      <c r="N397" s="16"/>
      <c r="O397" s="16"/>
      <c r="P397" s="16"/>
    </row>
    <row r="398" spans="13:16">
      <c r="M398" s="16"/>
      <c r="N398" s="16"/>
      <c r="O398" s="16"/>
      <c r="P398" s="16"/>
    </row>
    <row r="399" spans="13:16">
      <c r="M399" s="16"/>
      <c r="N399" s="16"/>
      <c r="O399" s="16"/>
      <c r="P399" s="16"/>
    </row>
    <row r="400" spans="13:16">
      <c r="M400" s="16"/>
      <c r="N400" s="16"/>
      <c r="O400" s="16"/>
      <c r="P400" s="16"/>
    </row>
    <row r="401" spans="13:16">
      <c r="M401" s="16"/>
      <c r="N401" s="16"/>
      <c r="O401" s="16"/>
      <c r="P401" s="16"/>
    </row>
    <row r="402" spans="13:16">
      <c r="M402" s="16"/>
      <c r="N402" s="16"/>
      <c r="O402" s="16"/>
      <c r="P402" s="16"/>
    </row>
    <row r="403" spans="13:16">
      <c r="M403" s="16"/>
      <c r="N403" s="16"/>
      <c r="O403" s="16"/>
      <c r="P403" s="16"/>
    </row>
    <row r="404" spans="13:16">
      <c r="M404" s="16"/>
      <c r="N404" s="16"/>
      <c r="O404" s="16"/>
      <c r="P404" s="16"/>
    </row>
    <row r="405" spans="13:16">
      <c r="M405" s="16"/>
      <c r="N405" s="16"/>
      <c r="O405" s="16"/>
      <c r="P405" s="16"/>
    </row>
    <row r="406" spans="13:16">
      <c r="M406" s="16"/>
      <c r="N406" s="16"/>
      <c r="O406" s="16"/>
      <c r="P406" s="16"/>
    </row>
    <row r="407" spans="13:16">
      <c r="M407" s="16"/>
      <c r="N407" s="16"/>
      <c r="O407" s="16"/>
      <c r="P407" s="16"/>
    </row>
    <row r="408" spans="13:16">
      <c r="M408" s="16"/>
      <c r="N408" s="16"/>
      <c r="O408" s="16"/>
      <c r="P408" s="16"/>
    </row>
    <row r="409" spans="13:16">
      <c r="M409" s="16"/>
      <c r="N409" s="16"/>
      <c r="O409" s="16"/>
      <c r="P409" s="16"/>
    </row>
    <row r="410" spans="13:16">
      <c r="M410" s="16"/>
      <c r="N410" s="16"/>
      <c r="O410" s="16"/>
      <c r="P410" s="16"/>
    </row>
    <row r="411" spans="13:16">
      <c r="M411" s="16"/>
      <c r="N411" s="16"/>
      <c r="O411" s="16"/>
      <c r="P411" s="16"/>
    </row>
    <row r="412" spans="13:16">
      <c r="M412" s="16"/>
      <c r="N412" s="16"/>
      <c r="O412" s="16"/>
      <c r="P412" s="16"/>
    </row>
    <row r="413" spans="13:16">
      <c r="M413" s="16"/>
      <c r="N413" s="16"/>
      <c r="O413" s="16"/>
      <c r="P413" s="16"/>
    </row>
    <row r="414" spans="13:16">
      <c r="M414" s="16"/>
      <c r="N414" s="16"/>
      <c r="O414" s="16"/>
      <c r="P414" s="16"/>
    </row>
    <row r="415" spans="13:16">
      <c r="M415" s="16"/>
      <c r="N415" s="16"/>
      <c r="O415" s="16"/>
      <c r="P415" s="16"/>
    </row>
    <row r="416" spans="13:16">
      <c r="M416" s="16"/>
      <c r="N416" s="16"/>
      <c r="O416" s="16"/>
      <c r="P416" s="16"/>
    </row>
    <row r="417" spans="13:16">
      <c r="M417" s="16"/>
      <c r="N417" s="16"/>
      <c r="O417" s="16"/>
      <c r="P417" s="16"/>
    </row>
    <row r="418" spans="13:16">
      <c r="M418" s="16"/>
      <c r="N418" s="16"/>
      <c r="O418" s="16"/>
      <c r="P418" s="16"/>
    </row>
    <row r="419" spans="13:16">
      <c r="M419" s="16"/>
      <c r="N419" s="16"/>
      <c r="O419" s="16"/>
      <c r="P419" s="16"/>
    </row>
    <row r="420" spans="13:16">
      <c r="M420" s="16"/>
      <c r="N420" s="16"/>
      <c r="O420" s="16"/>
      <c r="P420" s="16"/>
    </row>
    <row r="421" spans="13:16">
      <c r="M421" s="16"/>
      <c r="N421" s="16"/>
      <c r="O421" s="16"/>
      <c r="P421" s="16"/>
    </row>
    <row r="422" spans="13:16">
      <c r="M422" s="16"/>
      <c r="N422" s="16"/>
      <c r="O422" s="16"/>
      <c r="P422" s="16"/>
    </row>
    <row r="423" spans="13:16">
      <c r="M423" s="16"/>
      <c r="N423" s="16"/>
      <c r="O423" s="16"/>
      <c r="P423" s="16"/>
    </row>
    <row r="424" spans="13:16">
      <c r="M424" s="16"/>
      <c r="N424" s="16"/>
      <c r="O424" s="16"/>
      <c r="P424" s="16"/>
    </row>
    <row r="425" spans="13:16">
      <c r="M425" s="16"/>
      <c r="N425" s="16"/>
      <c r="O425" s="16"/>
      <c r="P425" s="16"/>
    </row>
    <row r="426" spans="13:16">
      <c r="M426" s="16"/>
      <c r="N426" s="16"/>
      <c r="O426" s="16"/>
      <c r="P426" s="16"/>
    </row>
    <row r="427" spans="13:16">
      <c r="M427" s="16"/>
      <c r="N427" s="16"/>
      <c r="O427" s="16"/>
      <c r="P427" s="16"/>
    </row>
    <row r="428" spans="13:16">
      <c r="M428" s="16"/>
      <c r="N428" s="16"/>
      <c r="O428" s="16"/>
      <c r="P428" s="16"/>
    </row>
    <row r="429" spans="13:16">
      <c r="M429" s="16"/>
      <c r="N429" s="16"/>
      <c r="O429" s="16"/>
      <c r="P429" s="16"/>
    </row>
    <row r="430" spans="13:16">
      <c r="M430" s="16"/>
      <c r="N430" s="16"/>
      <c r="O430" s="16"/>
      <c r="P430" s="16"/>
    </row>
    <row r="431" spans="13:16">
      <c r="M431" s="16"/>
      <c r="N431" s="16"/>
      <c r="O431" s="16"/>
      <c r="P431" s="16"/>
    </row>
    <row r="432" spans="13:16">
      <c r="M432" s="16"/>
      <c r="N432" s="16"/>
      <c r="O432" s="16"/>
      <c r="P432" s="16"/>
    </row>
    <row r="433" spans="13:16">
      <c r="M433" s="16"/>
      <c r="N433" s="16"/>
      <c r="O433" s="16"/>
      <c r="P433" s="16"/>
    </row>
    <row r="434" spans="13:16">
      <c r="M434" s="16"/>
      <c r="N434" s="16"/>
      <c r="O434" s="16"/>
      <c r="P434" s="16"/>
    </row>
    <row r="435" spans="13:16">
      <c r="M435" s="16"/>
      <c r="N435" s="16"/>
      <c r="O435" s="16"/>
      <c r="P435" s="16"/>
    </row>
    <row r="436" spans="13:16">
      <c r="M436" s="16"/>
      <c r="N436" s="16"/>
      <c r="O436" s="16"/>
      <c r="P436" s="16"/>
    </row>
    <row r="437" spans="13:16">
      <c r="M437" s="16"/>
      <c r="N437" s="16"/>
      <c r="O437" s="16"/>
      <c r="P437" s="16"/>
    </row>
    <row r="438" spans="13:16">
      <c r="M438" s="16"/>
      <c r="N438" s="16"/>
      <c r="O438" s="16"/>
      <c r="P438" s="16"/>
    </row>
    <row r="439" spans="13:16">
      <c r="M439" s="16"/>
      <c r="N439" s="16"/>
      <c r="O439" s="16"/>
      <c r="P439" s="16"/>
    </row>
    <row r="440" spans="13:16">
      <c r="M440" s="16"/>
      <c r="N440" s="16"/>
      <c r="O440" s="16"/>
      <c r="P440" s="16"/>
    </row>
    <row r="441" spans="13:16">
      <c r="M441" s="16"/>
      <c r="N441" s="16"/>
      <c r="O441" s="16"/>
      <c r="P441" s="16"/>
    </row>
    <row r="442" spans="13:16">
      <c r="M442" s="16"/>
      <c r="N442" s="16"/>
      <c r="O442" s="16"/>
      <c r="P442" s="16"/>
    </row>
    <row r="443" spans="13:16">
      <c r="M443" s="16"/>
      <c r="N443" s="16"/>
      <c r="O443" s="16"/>
      <c r="P443" s="16"/>
    </row>
  </sheetData>
  <mergeCells count="2">
    <mergeCell ref="M1:P1"/>
    <mergeCell ref="I1:L1"/>
  </mergeCells>
  <pageMargins left="0.7" right="0.7" top="0.75" bottom="0.75" header="0.3" footer="0.3"/>
  <pageSetup scale="3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0FDC4-55A2-4A68-9906-69FCCB20CCAE}">
  <dimension ref="A1:BC244"/>
  <sheetViews>
    <sheetView topLeftCell="B1" zoomScale="88" zoomScaleNormal="85" workbookViewId="0">
      <pane xSplit="4" ySplit="3" topLeftCell="F15" activePane="bottomRight" state="frozen"/>
      <selection pane="bottomRight" activeCell="K15" sqref="K15"/>
      <selection pane="bottomLeft" activeCell="B4" sqref="B4"/>
      <selection pane="topRight" activeCell="F1" sqref="F1"/>
    </sheetView>
  </sheetViews>
  <sheetFormatPr defaultColWidth="8.85546875" defaultRowHeight="14.45"/>
  <cols>
    <col min="1" max="1" width="0" hidden="1" customWidth="1"/>
    <col min="2" max="2" width="18.5703125" customWidth="1"/>
    <col min="3" max="4" width="8.85546875" customWidth="1"/>
    <col min="5" max="5" width="12.5703125" customWidth="1"/>
    <col min="11" max="11" width="10.5703125" style="15" bestFit="1" customWidth="1"/>
    <col min="14" max="23" width="9.140625" style="15"/>
    <col min="24" max="32" width="8.85546875" style="15" customWidth="1"/>
    <col min="33" max="33" width="13" style="15" customWidth="1"/>
    <col min="34" max="34" width="8.85546875" customWidth="1"/>
    <col min="35" max="35" width="12.42578125" style="15" customWidth="1"/>
    <col min="36" max="41" width="8.85546875" style="15" customWidth="1"/>
    <col min="43" max="43" width="10.85546875" bestFit="1" customWidth="1"/>
    <col min="44" max="47" width="10.85546875" customWidth="1"/>
  </cols>
  <sheetData>
    <row r="1" spans="1:55">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W1">
        <v>43</v>
      </c>
      <c r="AX1">
        <v>44</v>
      </c>
      <c r="AY1">
        <v>45</v>
      </c>
      <c r="AZ1">
        <v>46</v>
      </c>
      <c r="BA1">
        <v>47</v>
      </c>
      <c r="BB1">
        <v>48</v>
      </c>
      <c r="BC1">
        <v>49</v>
      </c>
    </row>
    <row r="2" spans="1:55">
      <c r="N2" s="162" t="s">
        <v>598</v>
      </c>
      <c r="O2" s="162"/>
      <c r="P2" s="162"/>
      <c r="Q2" s="162"/>
      <c r="R2" s="162"/>
      <c r="S2" s="162"/>
      <c r="T2" s="162"/>
      <c r="U2" s="162"/>
      <c r="V2" s="162"/>
      <c r="W2" s="163" t="s">
        <v>599</v>
      </c>
      <c r="X2" s="163"/>
      <c r="Y2" s="163"/>
      <c r="Z2" s="163"/>
      <c r="AA2" s="163"/>
      <c r="AB2" s="163"/>
      <c r="AC2" s="163"/>
      <c r="AD2" s="163" t="s">
        <v>600</v>
      </c>
      <c r="AE2" s="163"/>
      <c r="AF2" s="163"/>
      <c r="AG2" s="163"/>
      <c r="AH2" s="163"/>
      <c r="AI2" s="163"/>
      <c r="AJ2" s="163"/>
      <c r="AK2" s="163" t="s">
        <v>601</v>
      </c>
      <c r="AL2" s="163"/>
      <c r="AM2" s="163"/>
      <c r="AN2" s="154" t="s">
        <v>602</v>
      </c>
      <c r="AO2" s="154"/>
      <c r="AP2" s="154"/>
      <c r="AQ2" s="154"/>
      <c r="AR2" s="160" t="s">
        <v>603</v>
      </c>
      <c r="AS2" s="160"/>
      <c r="AT2" s="160"/>
      <c r="AU2" s="160"/>
    </row>
    <row r="3" spans="1:55" s="23" customFormat="1" ht="87">
      <c r="A3" s="23" t="s">
        <v>302</v>
      </c>
      <c r="B3" s="23" t="s">
        <v>47</v>
      </c>
      <c r="C3" s="23" t="s">
        <v>303</v>
      </c>
      <c r="D3" s="23" t="s">
        <v>475</v>
      </c>
      <c r="E3" s="23" t="s">
        <v>304</v>
      </c>
      <c r="F3" s="23" t="s">
        <v>604</v>
      </c>
      <c r="G3" s="23" t="s">
        <v>605</v>
      </c>
      <c r="H3" s="23" t="s">
        <v>285</v>
      </c>
      <c r="I3" s="23" t="s">
        <v>88</v>
      </c>
      <c r="J3" s="23" t="s">
        <v>606</v>
      </c>
      <c r="K3" s="103" t="s">
        <v>20</v>
      </c>
      <c r="L3" s="23" t="s">
        <v>79</v>
      </c>
      <c r="M3" s="23" t="s">
        <v>80</v>
      </c>
      <c r="N3" s="103" t="s">
        <v>48</v>
      </c>
      <c r="O3" s="103" t="s">
        <v>81</v>
      </c>
      <c r="P3" s="103" t="s">
        <v>82</v>
      </c>
      <c r="Q3" s="103" t="s">
        <v>83</v>
      </c>
      <c r="R3" s="103" t="s">
        <v>84</v>
      </c>
      <c r="S3" s="103" t="s">
        <v>85</v>
      </c>
      <c r="T3" s="103" t="s">
        <v>86</v>
      </c>
      <c r="U3" s="103" t="s">
        <v>91</v>
      </c>
      <c r="V3" s="103" t="s">
        <v>607</v>
      </c>
      <c r="W3" s="103" t="s">
        <v>48</v>
      </c>
      <c r="X3" s="103" t="s">
        <v>81</v>
      </c>
      <c r="Y3" s="103" t="s">
        <v>82</v>
      </c>
      <c r="Z3" s="103" t="s">
        <v>83</v>
      </c>
      <c r="AA3" s="103" t="s">
        <v>84</v>
      </c>
      <c r="AB3" s="103" t="s">
        <v>85</v>
      </c>
      <c r="AC3" s="103" t="s">
        <v>86</v>
      </c>
      <c r="AD3" s="103" t="s">
        <v>476</v>
      </c>
      <c r="AE3" s="103" t="s">
        <v>470</v>
      </c>
      <c r="AF3" s="103" t="s">
        <v>477</v>
      </c>
      <c r="AG3" s="103" t="s">
        <v>608</v>
      </c>
      <c r="AH3" s="23" t="s">
        <v>91</v>
      </c>
      <c r="AI3" s="103" t="s">
        <v>609</v>
      </c>
      <c r="AJ3" s="103" t="s">
        <v>610</v>
      </c>
      <c r="AK3" s="103" t="s">
        <v>476</v>
      </c>
      <c r="AL3" s="103" t="s">
        <v>470</v>
      </c>
      <c r="AM3" s="103" t="s">
        <v>477</v>
      </c>
      <c r="AN3" s="103" t="s">
        <v>89</v>
      </c>
      <c r="AO3" s="103" t="s">
        <v>90</v>
      </c>
      <c r="AP3" s="23" t="s">
        <v>91</v>
      </c>
      <c r="AQ3" s="23" t="s">
        <v>92</v>
      </c>
      <c r="AR3" s="23" t="s">
        <v>611</v>
      </c>
      <c r="AS3" s="23" t="s">
        <v>612</v>
      </c>
      <c r="AT3" s="23" t="s">
        <v>613</v>
      </c>
      <c r="AU3" s="23" t="s">
        <v>614</v>
      </c>
    </row>
    <row r="4" spans="1:55" hidden="1">
      <c r="A4">
        <v>1</v>
      </c>
      <c r="B4" t="s">
        <v>93</v>
      </c>
      <c r="C4" t="s">
        <v>305</v>
      </c>
      <c r="D4" t="s">
        <v>496</v>
      </c>
      <c r="E4" t="s">
        <v>306</v>
      </c>
      <c r="F4" t="s">
        <v>615</v>
      </c>
      <c r="G4" t="s">
        <v>616</v>
      </c>
      <c r="H4" t="str">
        <f>IF(ISNUMBER(VLOOKUP(C4,'OECD DAC'!B:C,2,FALSE)), "YES", " ")</f>
        <v xml:space="preserve"> </v>
      </c>
      <c r="I4">
        <v>240</v>
      </c>
      <c r="J4">
        <v>2021</v>
      </c>
      <c r="K4" s="15">
        <f>IF(ISNUMBER(VLOOKUP(C4,'WEO GOV REV'!C:BL,58,FALSE)),(VLOOKUP(C4,'WEO GOV REV'!C:BL,58,FALSE)), " ")</f>
        <v>1320.17</v>
      </c>
      <c r="L4" s="15">
        <f>IF(ISNUMBER(VLOOKUP(C4,'WEO GOV REV'!C:BL,62,FALSE)),(VLOOKUP(C4,'WEO GOV REV'!C:BL,62,FALSE)), " ")</f>
        <v>22.335747652087704</v>
      </c>
      <c r="M4">
        <f>IF(ISNUMBER(VLOOKUP(C4,'WEO GOV REV'!C:BL,62,FALSE)),(VLOOKUP(C4,'WEO GOV REV'!C:BL,57,FALSE)), " ")</f>
        <v>2020</v>
      </c>
      <c r="N4" s="15" t="str">
        <f>IF(ISNUMBER(VLOOKUP($C4,'IMF COFOG FULL'!$B:$CM,79,FALSE)),(VLOOKUP($C4,'IMF COFOG FULL'!$B:$CM,79,FALSE)), " ")</f>
        <v xml:space="preserve"> </v>
      </c>
      <c r="O4" s="15" t="str">
        <f>IF(ISNUMBER(VLOOKUP($C4,'IMF COFOG FULL'!$B:$CM,80,FALSE)),(VLOOKUP($C4,'IMF COFOG FULL'!$B:$CM,80,FALSE)), " ")</f>
        <v xml:space="preserve"> </v>
      </c>
      <c r="P4" s="15" t="str">
        <f>IF(ISNUMBER(VLOOKUP($C4,'IMF COFOG FULL'!$B:$CM,81,FALSE)),(VLOOKUP($C4,'IMF COFOG FULL'!$B:$CM,81,FALSE)), " ")</f>
        <v xml:space="preserve"> </v>
      </c>
      <c r="Q4" s="15" t="str">
        <f>IF(ISNUMBER(VLOOKUP($C4,'IMF COFOG FULL'!$B:$CM,82,FALSE)),(VLOOKUP($C4,'IMF COFOG FULL'!$B:$CM,82,FALSE)), " ")</f>
        <v xml:space="preserve"> </v>
      </c>
      <c r="R4" s="15" t="str">
        <f>IF(ISNUMBER(VLOOKUP($C4,'IMF COFOG FULL'!$B:$CM,83,FALSE)),(VLOOKUP($C4,'IMF COFOG FULL'!$B:$CM,83,FALSE)), " ")</f>
        <v xml:space="preserve"> </v>
      </c>
      <c r="S4" s="15" t="str">
        <f>IF(ISNUMBER(VLOOKUP($C4,'IMF COFOG FULL'!$B:$CM,84,FALSE)),(VLOOKUP($C4,'IMF COFOG FULL'!$B:$CM,84,FALSE)), " ")</f>
        <v xml:space="preserve"> </v>
      </c>
      <c r="T4" s="15" t="str">
        <f>IF(ISNUMBER(VLOOKUP($C4,'IMF COFOG FULL'!$B:$CM,85,FALSE)),(VLOOKUP($C4,'IMF COFOG FULL'!$B:$CM,85,FALSE)), " ")</f>
        <v xml:space="preserve"> </v>
      </c>
      <c r="U4" s="7" t="str">
        <f>IF(ISNUMBER(VLOOKUP($C4,'IMF COFOG FULL'!$B:$CM,79,FALSE)),(VLOOKUP($C4,'IMF COFOG FULL'!$B:$CM,86,FALSE)), " ")</f>
        <v xml:space="preserve"> </v>
      </c>
      <c r="V4" s="15" t="str">
        <f>IF(ISNUMBER(VLOOKUP($C4,'IMF COFOG FULL'!$B:$CM,79,FALSE)),(VLOOKUP($C4,'IMF COFOG FULL'!$B:$CM,87,FALSE)), " ")</f>
        <v xml:space="preserve"> </v>
      </c>
      <c r="W4" s="15" t="str">
        <f>IF(ISNUMBER(N4),(N4/$L4*100), " ")</f>
        <v xml:space="preserve"> </v>
      </c>
      <c r="X4" s="15" t="str">
        <f t="shared" ref="X4:AC8" si="0">IF(ISNUMBER(O4),(O4/$L4*100), " ")</f>
        <v xml:space="preserve"> </v>
      </c>
      <c r="Y4" s="15" t="str">
        <f t="shared" si="0"/>
        <v xml:space="preserve"> </v>
      </c>
      <c r="Z4" s="15" t="str">
        <f t="shared" si="0"/>
        <v xml:space="preserve"> </v>
      </c>
      <c r="AA4" s="15" t="str">
        <f t="shared" si="0"/>
        <v xml:space="preserve"> </v>
      </c>
      <c r="AB4" s="15" t="str">
        <f t="shared" si="0"/>
        <v xml:space="preserve"> </v>
      </c>
      <c r="AC4" s="15" t="str">
        <f t="shared" si="0"/>
        <v xml:space="preserve"> </v>
      </c>
      <c r="AE4" s="104"/>
      <c r="AG4" s="15">
        <f>IF(ISNUMBER(VLOOKUP(C4,'National budgets summary'!A:F,5, FALSE)),(VLOOKUP(C4,'National budgets summary'!A:F,5, FALSE)), " ")</f>
        <v>206.241190515</v>
      </c>
      <c r="AH4" t="str">
        <f>IF(ISNUMBER(VLOOKUP(C4,'National budgets summary'!A:F,5, FALSE)),(VLOOKUP(C4,'National budgets summary'!A:F,4, FALSE)), " ")</f>
        <v>FY 20/21</v>
      </c>
      <c r="AI4" s="15">
        <f t="shared" ref="AI4:AI67" si="1">IF(ISNUMBER(AG4),(AG4/K4*100), " ")</f>
        <v>15.622320649234567</v>
      </c>
      <c r="AJ4" s="15">
        <f>IF(ISNUMBER(AI4),(AI4*L4/100), " ")</f>
        <v>3.4893621176130223</v>
      </c>
      <c r="AK4" s="15" t="str">
        <f>IF(ISNUMBER(X4),X4, IF(ISNUMBER(AD4),((AD4/K4)*100), ""))</f>
        <v/>
      </c>
      <c r="AL4" s="15" t="str">
        <f>IF(ISNUMBER(Z4),Z4, IF(ISNUMBER(AE4),((AE4/K4)*100), ""))</f>
        <v/>
      </c>
      <c r="AM4" s="15" t="str">
        <f>IF(ISNUMBER(AA4),AA4, IF(ISNUMBER(AF4),((AF4/K4)*100), ""))</f>
        <v/>
      </c>
      <c r="AN4" s="15">
        <f t="shared" ref="AN4:AN67" si="2">IF(ISNUMBER(W4),W4,IF(ISNUMBER(AI4),AI4, " "))</f>
        <v>15.622320649234567</v>
      </c>
      <c r="AO4" s="15">
        <f t="shared" ref="AO4:AO67" si="3">IF(ISNUMBER(N4),N4,IF(ISNUMBER(AJ4),AJ4, " "))</f>
        <v>3.4893621176130223</v>
      </c>
      <c r="AP4" t="str">
        <f t="shared" ref="AP4:AP67" si="4">IF(ISNUMBER(N4),U4,IF(ISNUMBER(AJ4),AH4, " "))</f>
        <v>FY 20/21</v>
      </c>
      <c r="AQ4" t="str">
        <f t="shared" ref="AQ4:AQ67" si="5">IF(ISNUMBER(N4),"IMF COFOG",IF(ISNUMBER(AJ4),"National", " "))</f>
        <v>National</v>
      </c>
      <c r="AR4" s="7" t="str">
        <f>IF(ISNUMBER(AK4),$L4/100*$I4/100*AK4, " ")</f>
        <v xml:space="preserve"> </v>
      </c>
      <c r="AS4" s="7" t="str">
        <f t="shared" ref="AS4:AU4" si="6">IF(ISNUMBER(AL4),$L4/100*$I4/100*AL4, " ")</f>
        <v xml:space="preserve"> </v>
      </c>
      <c r="AT4" s="7" t="str">
        <f t="shared" si="6"/>
        <v xml:space="preserve"> </v>
      </c>
      <c r="AU4" s="7">
        <f t="shared" si="6"/>
        <v>8.3744690822712524</v>
      </c>
      <c r="AZ4" s="15" t="str">
        <f>IF(ISNUMBER(AE4),AE4,IF(ISNUMBER(AQ4),AQ4, " "))</f>
        <v xml:space="preserve"> </v>
      </c>
    </row>
    <row r="5" spans="1:55" hidden="1">
      <c r="A5">
        <v>2</v>
      </c>
      <c r="B5" t="s">
        <v>94</v>
      </c>
      <c r="C5" t="s">
        <v>307</v>
      </c>
      <c r="D5" t="s">
        <v>496</v>
      </c>
      <c r="E5" t="s">
        <v>306</v>
      </c>
      <c r="F5" t="s">
        <v>615</v>
      </c>
      <c r="G5" t="s">
        <v>616</v>
      </c>
      <c r="H5" t="str">
        <f>IF(ISNUMBER(VLOOKUP(C5,'OECD DAC'!B:C,2,FALSE)), "YES", " ")</f>
        <v xml:space="preserve"> </v>
      </c>
      <c r="I5">
        <v>450</v>
      </c>
      <c r="J5">
        <v>2021</v>
      </c>
      <c r="K5" s="15">
        <f>IF(ISNUMBER(VLOOKUP(C5,'WEO GOV REV'!C:BL,58,FALSE)),(VLOOKUP(C5,'WEO GOV REV'!C:BL,58,FALSE)), " ")</f>
        <v>0.497</v>
      </c>
      <c r="L5" s="15">
        <f>IF(ISNUMBER(VLOOKUP(C5,'WEO GOV REV'!C:BL,62,FALSE)),(VLOOKUP(C5,'WEO GOV REV'!C:BL,62,FALSE)), " ")</f>
        <v>7.1356783919597984</v>
      </c>
      <c r="M5">
        <f>IF(ISNUMBER(VLOOKUP(C5,'WEO GOV REV'!C:BL,62,FALSE)),(VLOOKUP(C5,'WEO GOV REV'!C:BL,57,FALSE)), " ")</f>
        <v>2020</v>
      </c>
      <c r="N5" s="15">
        <f>IF(ISNUMBER(VLOOKUP($C5,'IMF COFOG FULL'!$B:$CM,79,FALSE)),(VLOOKUP($C5,'IMF COFOG FULL'!$B:$CM,79,FALSE)), " ")</f>
        <v>1.5004886798589301</v>
      </c>
      <c r="O5" s="15">
        <f>IF(ISNUMBER(VLOOKUP($C5,'IMF COFOG FULL'!$B:$CM,80,FALSE)),(VLOOKUP($C5,'IMF COFOG FULL'!$B:$CM,80,FALSE)), " ")</f>
        <v>1.20749233013832</v>
      </c>
      <c r="P5" s="15">
        <f>IF(ISNUMBER(VLOOKUP($C5,'IMF COFOG FULL'!$B:$CM,81,FALSE)),(VLOOKUP($C5,'IMF COFOG FULL'!$B:$CM,81,FALSE)), " ")</f>
        <v>0</v>
      </c>
      <c r="Q5" s="15">
        <f>IF(ISNUMBER(VLOOKUP($C5,'IMF COFOG FULL'!$B:$CM,82,FALSE)),(VLOOKUP($C5,'IMF COFOG FULL'!$B:$CM,82,FALSE)), " ")</f>
        <v>0.202856394851328</v>
      </c>
      <c r="R5" s="15">
        <f>IF(ISNUMBER(VLOOKUP($C5,'IMF COFOG FULL'!$B:$CM,83,FALSE)),(VLOOKUP($C5,'IMF COFOG FULL'!$B:$CM,83,FALSE)), " ")</f>
        <v>0</v>
      </c>
      <c r="S5" s="15">
        <f>IF(ISNUMBER(VLOOKUP($C5,'IMF COFOG FULL'!$B:$CM,84,FALSE)),(VLOOKUP($C5,'IMF COFOG FULL'!$B:$CM,84,FALSE)), " ")</f>
        <v>0</v>
      </c>
      <c r="T5" s="15">
        <f>IF(ISNUMBER(VLOOKUP($C5,'IMF COFOG FULL'!$B:$CM,85,FALSE)),(VLOOKUP($C5,'IMF COFOG FULL'!$B:$CM,85,FALSE)), " ")</f>
        <v>9.0139954869281599E-2</v>
      </c>
      <c r="U5" s="7">
        <f>IF(ISNUMBER(VLOOKUP($C5,'IMF COFOG FULL'!$B:$CM,79,FALSE)),(VLOOKUP($C5,'IMF COFOG FULL'!$B:$CM,86,FALSE)), " ")</f>
        <v>2019</v>
      </c>
      <c r="V5" s="15" t="str">
        <f>IF(ISNUMBER(VLOOKUP($C5,'IMF COFOG FULL'!$B:$CM,79,FALSE)),(VLOOKUP($C5,'IMF COFOG FULL'!$B:$CM,87,FALSE)), " ")</f>
        <v>General government</v>
      </c>
      <c r="W5" s="15">
        <f t="shared" ref="W5:W8" si="7">IF(ISNUMBER(N5),(N5/$L5*100), " ")</f>
        <v>21.027975161403319</v>
      </c>
      <c r="X5" s="15">
        <f t="shared" si="0"/>
        <v>16.921899556163783</v>
      </c>
      <c r="Y5" s="15">
        <f t="shared" si="0"/>
        <v>0</v>
      </c>
      <c r="Z5" s="15">
        <f t="shared" si="0"/>
        <v>2.8428466602404421</v>
      </c>
      <c r="AA5" s="15">
        <f t="shared" si="0"/>
        <v>0</v>
      </c>
      <c r="AB5" s="15">
        <f t="shared" si="0"/>
        <v>0</v>
      </c>
      <c r="AC5" s="15">
        <f t="shared" si="0"/>
        <v>1.2632289449990872</v>
      </c>
      <c r="AG5" s="15" t="str">
        <f>IF(ISNUMBER(VLOOKUP(C5,'National budgets summary'!A:F,5, FALSE)),(VLOOKUP(C5,'National budgets summary'!A:F,5, FALSE)), " ")</f>
        <v xml:space="preserve"> </v>
      </c>
      <c r="AH5" t="str">
        <f>IF(ISNUMBER(VLOOKUP(C5,'National budgets summary'!A:F,5, FALSE)),(VLOOKUP(C5,'National budgets summary'!A:F,4, FALSE)), " ")</f>
        <v xml:space="preserve"> </v>
      </c>
      <c r="AI5" s="15" t="str">
        <f t="shared" si="1"/>
        <v xml:space="preserve"> </v>
      </c>
      <c r="AJ5" s="15" t="str">
        <f t="shared" ref="AJ5:AJ68" si="8">IF(ISNUMBER(AI5),(AI5*L5/100), " ")</f>
        <v xml:space="preserve"> </v>
      </c>
      <c r="AK5" s="15">
        <f t="shared" ref="AK5:AK68" si="9">IF(ISNUMBER(X5),X5, IF(ISNUMBER(AD5),((AD5/K5)*100), ""))</f>
        <v>16.921899556163783</v>
      </c>
      <c r="AL5" s="15">
        <f t="shared" ref="AL5:AL68" si="10">IF(ISNUMBER(Z5),Z5, IF(ISNUMBER(AE5),((AE5/K5)*100), ""))</f>
        <v>2.8428466602404421</v>
      </c>
      <c r="AM5" s="15">
        <f t="shared" ref="AM5:AM68" si="11">IF(ISNUMBER(AA5),AA5, IF(ISNUMBER(AF5),((AF5/K5)*100), ""))</f>
        <v>0</v>
      </c>
      <c r="AN5" s="15">
        <f t="shared" si="2"/>
        <v>21.027975161403319</v>
      </c>
      <c r="AO5" s="15">
        <f t="shared" si="3"/>
        <v>1.5004886798589301</v>
      </c>
      <c r="AP5">
        <f t="shared" si="4"/>
        <v>2019</v>
      </c>
      <c r="AQ5" t="str">
        <f t="shared" si="5"/>
        <v>IMF COFOG</v>
      </c>
      <c r="AR5" s="7">
        <f t="shared" ref="AR5:AR68" si="12">IF(ISNUMBER(AK5),$L5/100*$I5/100*AK5, " ")</f>
        <v>5.4337154856224412</v>
      </c>
      <c r="AS5" s="7">
        <f t="shared" ref="AS5:AS68" si="13">IF(ISNUMBER(AL5),$L5/100*$I5/100*AL5, " ")</f>
        <v>0.91285377683097613</v>
      </c>
      <c r="AT5" s="7">
        <f t="shared" ref="AT5:AT68" si="14">IF(ISNUMBER(AM5),$L5/100*$I5/100*AM5, " ")</f>
        <v>0</v>
      </c>
      <c r="AU5" s="7">
        <f t="shared" ref="AU5:AU68" si="15">IF(ISNUMBER(AN5),$L5/100*$I5/100*AN5, " ")</f>
        <v>6.7521990593651857</v>
      </c>
    </row>
    <row r="6" spans="1:55" hidden="1">
      <c r="A6">
        <v>3</v>
      </c>
      <c r="B6" t="s">
        <v>95</v>
      </c>
      <c r="C6" t="s">
        <v>308</v>
      </c>
      <c r="D6" t="s">
        <v>496</v>
      </c>
      <c r="E6" t="s">
        <v>306</v>
      </c>
      <c r="F6" t="s">
        <v>615</v>
      </c>
      <c r="G6" t="s">
        <v>616</v>
      </c>
      <c r="H6" t="str">
        <f>IF(ISNUMBER(VLOOKUP(C6,'OECD DAC'!B:C,2,FALSE)), "YES", " ")</f>
        <v xml:space="preserve"> </v>
      </c>
      <c r="I6">
        <v>480</v>
      </c>
      <c r="J6">
        <v>2021</v>
      </c>
      <c r="K6" s="15">
        <f>IF(ISNUMBER(VLOOKUP(C6,'WEO GOV REV'!C:BL,58,FALSE)),(VLOOKUP(C6,'WEO GOV REV'!C:BL,58,FALSE)), " ")</f>
        <v>273.46699999999998</v>
      </c>
      <c r="L6" s="15">
        <f>IF(ISNUMBER(VLOOKUP(C6,'WEO GOV REV'!C:BL,62,FALSE)),(VLOOKUP(C6,'WEO GOV REV'!C:BL,62,FALSE)), " ")</f>
        <v>28.061971593958408</v>
      </c>
      <c r="M6">
        <f>IF(ISNUMBER(VLOOKUP(C6,'WEO GOV REV'!C:BL,62,FALSE)),(VLOOKUP(C6,'WEO GOV REV'!C:BL,57,FALSE)), " ")</f>
        <v>2020</v>
      </c>
      <c r="N6" s="15">
        <f>IF(ISNUMBER(VLOOKUP($C6,'IMF COFOG FULL'!$B:$CM,79,FALSE)),(VLOOKUP($C6,'IMF COFOG FULL'!$B:$CM,79,FALSE)), " ")</f>
        <v>4.1741520619059198</v>
      </c>
      <c r="O6" s="15">
        <f>IF(ISNUMBER(VLOOKUP($C6,'IMF COFOG FULL'!$B:$CM,80,FALSE)),(VLOOKUP($C6,'IMF COFOG FULL'!$B:$CM,80,FALSE)), " ")</f>
        <v>4.3661898121211597E-3</v>
      </c>
      <c r="P6" s="15">
        <f>IF(ISNUMBER(VLOOKUP($C6,'IMF COFOG FULL'!$B:$CM,81,FALSE)),(VLOOKUP($C6,'IMF COFOG FULL'!$B:$CM,81,FALSE)), " ")</f>
        <v>0</v>
      </c>
      <c r="Q6" s="15">
        <f>IF(ISNUMBER(VLOOKUP($C6,'IMF COFOG FULL'!$B:$CM,82,FALSE)),(VLOOKUP($C6,'IMF COFOG FULL'!$B:$CM,82,FALSE)), " ")</f>
        <v>0.71644465788482603</v>
      </c>
      <c r="R6" s="15">
        <f>IF(ISNUMBER(VLOOKUP($C6,'IMF COFOG FULL'!$B:$CM,83,FALSE)),(VLOOKUP($C6,'IMF COFOG FULL'!$B:$CM,83,FALSE)), " ")</f>
        <v>0.243679137536672</v>
      </c>
      <c r="S6" s="15">
        <f>IF(ISNUMBER(VLOOKUP($C6,'IMF COFOG FULL'!$B:$CM,84,FALSE)),(VLOOKUP($C6,'IMF COFOG FULL'!$B:$CM,84,FALSE)), " ")</f>
        <v>0</v>
      </c>
      <c r="T6" s="15">
        <f>IF(ISNUMBER(VLOOKUP($C6,'IMF COFOG FULL'!$B:$CM,85,FALSE)),(VLOOKUP($C6,'IMF COFOG FULL'!$B:$CM,85,FALSE)), " ")</f>
        <v>3.2096620766722999</v>
      </c>
      <c r="U6" s="7">
        <f>IF(ISNUMBER(VLOOKUP($C6,'IMF COFOG FULL'!$B:$CM,79,FALSE)),(VLOOKUP($C6,'IMF COFOG FULL'!$B:$CM,86,FALSE)), " ")</f>
        <v>2020</v>
      </c>
      <c r="V6" s="15" t="str">
        <f>IF(ISNUMBER(VLOOKUP($C6,'IMF COFOG FULL'!$B:$CM,79,FALSE)),(VLOOKUP($C6,'IMF COFOG FULL'!$B:$CM,87,FALSE)), " ")</f>
        <v>Budgetary central government</v>
      </c>
      <c r="W6" s="15">
        <f t="shared" si="7"/>
        <v>14.874764048312958</v>
      </c>
      <c r="X6" s="15">
        <f t="shared" si="0"/>
        <v>1.5559098538397698E-2</v>
      </c>
      <c r="Y6" s="15">
        <f t="shared" si="0"/>
        <v>0</v>
      </c>
      <c r="Z6" s="15">
        <f t="shared" si="0"/>
        <v>2.5530802619694501</v>
      </c>
      <c r="AA6" s="15">
        <f t="shared" si="0"/>
        <v>0.86836071628386513</v>
      </c>
      <c r="AB6" s="15">
        <f t="shared" si="0"/>
        <v>0</v>
      </c>
      <c r="AC6" s="15">
        <f t="shared" si="0"/>
        <v>11.437763971521242</v>
      </c>
      <c r="AG6" s="15">
        <f>IF(ISNUMBER(VLOOKUP(C6,'National budgets summary'!A:F,5, FALSE)),(VLOOKUP(C6,'National budgets summary'!A:F,5, FALSE)), " ")</f>
        <v>40.491</v>
      </c>
      <c r="AH6">
        <f>IF(ISNUMBER(VLOOKUP(C6,'National budgets summary'!A:F,5, FALSE)),(VLOOKUP(C6,'National budgets summary'!A:F,4, FALSE)), " ")</f>
        <v>2021</v>
      </c>
      <c r="AI6" s="15">
        <f t="shared" si="1"/>
        <v>14.806539728742408</v>
      </c>
      <c r="AJ6" s="15">
        <f t="shared" si="8"/>
        <v>4.1550069727278602</v>
      </c>
      <c r="AK6" s="15">
        <f t="shared" si="9"/>
        <v>1.5559098538397698E-2</v>
      </c>
      <c r="AL6" s="15">
        <f t="shared" si="10"/>
        <v>2.5530802619694501</v>
      </c>
      <c r="AM6" s="15">
        <f t="shared" si="11"/>
        <v>0.86836071628386513</v>
      </c>
      <c r="AN6" s="15">
        <f>IF(ISNUMBER(AI6),AI6,IF(ISNUMBER(W6),W6, " "))</f>
        <v>14.806539728742408</v>
      </c>
      <c r="AO6" s="15">
        <f>IF(ISNUMBER(AJ6),AJ6,IF(ISNUMBER(N6),N6, " "))</f>
        <v>4.1550069727278602</v>
      </c>
      <c r="AP6">
        <f>IF(ISNUMBER(AJ6),AH6,IF(ISNUMBER(N6),U6, " "))</f>
        <v>2021</v>
      </c>
      <c r="AQ6" t="str">
        <f>IF(ISNUMBER(AJ6),"National",IF(ISNUMBER(N6),"IMF COFOG", " "))</f>
        <v>National</v>
      </c>
      <c r="AR6" s="7">
        <f t="shared" si="12"/>
        <v>2.0957711098181571E-2</v>
      </c>
      <c r="AS6" s="7">
        <f t="shared" si="13"/>
        <v>3.4389343578471649</v>
      </c>
      <c r="AT6" s="7">
        <f t="shared" si="14"/>
        <v>1.1696598601760257</v>
      </c>
      <c r="AU6" s="7">
        <f t="shared" si="15"/>
        <v>19.944033469093732</v>
      </c>
    </row>
    <row r="7" spans="1:55" hidden="1">
      <c r="A7">
        <v>4</v>
      </c>
      <c r="B7" t="s">
        <v>96</v>
      </c>
      <c r="C7" t="s">
        <v>309</v>
      </c>
      <c r="D7" t="s">
        <v>483</v>
      </c>
      <c r="E7" t="s">
        <v>306</v>
      </c>
      <c r="F7" t="s">
        <v>615</v>
      </c>
      <c r="G7" t="s">
        <v>616</v>
      </c>
      <c r="H7" t="str">
        <f>IF(ISNUMBER(VLOOKUP(C7,'OECD DAC'!B:C,2,FALSE)), "YES", " ")</f>
        <v xml:space="preserve"> </v>
      </c>
      <c r="I7">
        <v>500</v>
      </c>
      <c r="J7">
        <v>2020</v>
      </c>
      <c r="K7" s="15">
        <f>IF(ISNUMBER(VLOOKUP(C7,'WEO GOV REV'!C:BL,58,FALSE)),(VLOOKUP(C7,'WEO GOV REV'!C:BL,58,FALSE)), " ")</f>
        <v>397.56400000000002</v>
      </c>
      <c r="L7" s="15">
        <f>IF(ISNUMBER(VLOOKUP(C7,'WEO GOV REV'!C:BL,62,FALSE)),(VLOOKUP(C7,'WEO GOV REV'!C:BL,62,FALSE)), " ")</f>
        <v>25.694213754370548</v>
      </c>
      <c r="M7">
        <f>IF(ISNUMBER(VLOOKUP(C7,'WEO GOV REV'!C:BL,62,FALSE)),(VLOOKUP(C7,'WEO GOV REV'!C:BL,57,FALSE)), " ")</f>
        <v>2020</v>
      </c>
      <c r="N7" s="15">
        <f>IF(ISNUMBER(VLOOKUP($C7,'IMF COFOG FULL'!$B:$CM,79,FALSE)),(VLOOKUP($C7,'IMF COFOG FULL'!$B:$CM,79,FALSE)), " ")</f>
        <v>8.7954391717026592</v>
      </c>
      <c r="O7" s="15">
        <f>IF(ISNUMBER(VLOOKUP($C7,'IMF COFOG FULL'!$B:$CM,80,FALSE)),(VLOOKUP($C7,'IMF COFOG FULL'!$B:$CM,80,FALSE)), " ")</f>
        <v>7.9054081458038103</v>
      </c>
      <c r="P7" s="15">
        <f>IF(ISNUMBER(VLOOKUP($C7,'IMF COFOG FULL'!$B:$CM,81,FALSE)),(VLOOKUP($C7,'IMF COFOG FULL'!$B:$CM,81,FALSE)), " ")</f>
        <v>5.5776101530658602E-2</v>
      </c>
      <c r="Q7" s="15">
        <f>IF(ISNUMBER(VLOOKUP($C7,'IMF COFOG FULL'!$B:$CM,82,FALSE)),(VLOOKUP($C7,'IMF COFOG FULL'!$B:$CM,82,FALSE)), " ")</f>
        <v>0.607013763147078</v>
      </c>
      <c r="R7" s="15">
        <f>IF(ISNUMBER(VLOOKUP($C7,'IMF COFOG FULL'!$B:$CM,83,FALSE)),(VLOOKUP($C7,'IMF COFOG FULL'!$B:$CM,83,FALSE)), " ")</f>
        <v>0.209106812733276</v>
      </c>
      <c r="S7" s="15">
        <f>IF(ISNUMBER(VLOOKUP($C7,'IMF COFOG FULL'!$B:$CM,84,FALSE)),(VLOOKUP($C7,'IMF COFOG FULL'!$B:$CM,84,FALSE)), " ")</f>
        <v>1.6734680872687699E-3</v>
      </c>
      <c r="T7" s="15">
        <f>IF(ISNUMBER(VLOOKUP($C7,'IMF COFOG FULL'!$B:$CM,85,FALSE)),(VLOOKUP($C7,'IMF COFOG FULL'!$B:$CM,85,FALSE)), " ")</f>
        <v>1.6460880400538301E-2</v>
      </c>
      <c r="U7" s="7">
        <f>IF(ISNUMBER(VLOOKUP($C7,'IMF COFOG FULL'!$B:$CM,79,FALSE)),(VLOOKUP($C7,'IMF COFOG FULL'!$B:$CM,86,FALSE)), " ")</f>
        <v>2017</v>
      </c>
      <c r="V7" s="15" t="str">
        <f>IF(ISNUMBER(VLOOKUP($C7,'IMF COFOG FULL'!$B:$CM,79,FALSE)),(VLOOKUP($C7,'IMF COFOG FULL'!$B:$CM,87,FALSE)), " ")</f>
        <v>General government</v>
      </c>
      <c r="W7" s="15">
        <f t="shared" si="7"/>
        <v>34.231205732872709</v>
      </c>
      <c r="X7" s="15">
        <f t="shared" si="0"/>
        <v>30.767270099709172</v>
      </c>
      <c r="Y7" s="15">
        <f t="shared" si="0"/>
        <v>0.21707650626659544</v>
      </c>
      <c r="Z7" s="15">
        <f t="shared" si="0"/>
        <v>2.3624531536553666</v>
      </c>
      <c r="AA7" s="15">
        <f t="shared" si="0"/>
        <v>0.81382841573701492</v>
      </c>
      <c r="AB7" s="15">
        <f t="shared" si="0"/>
        <v>6.5130153553895585E-3</v>
      </c>
      <c r="AC7" s="15">
        <f t="shared" si="0"/>
        <v>6.406454214906003E-2</v>
      </c>
      <c r="AG7" s="15" t="str">
        <f>IF(ISNUMBER(VLOOKUP(C7,'National budgets summary'!A:F,5, FALSE)),(VLOOKUP(C7,'National budgets summary'!A:F,5, FALSE)), " ")</f>
        <v xml:space="preserve"> </v>
      </c>
      <c r="AH7" t="str">
        <f>IF(ISNUMBER(VLOOKUP(C7,'National budgets summary'!A:F,5, FALSE)),(VLOOKUP(C7,'National budgets summary'!A:F,4, FALSE)), " ")</f>
        <v xml:space="preserve"> </v>
      </c>
      <c r="AI7" s="15" t="str">
        <f t="shared" si="1"/>
        <v xml:space="preserve"> </v>
      </c>
      <c r="AJ7" s="15" t="str">
        <f t="shared" si="8"/>
        <v xml:space="preserve"> </v>
      </c>
      <c r="AK7" s="15">
        <f t="shared" si="9"/>
        <v>30.767270099709172</v>
      </c>
      <c r="AL7" s="15">
        <f t="shared" si="10"/>
        <v>2.3624531536553666</v>
      </c>
      <c r="AM7" s="15">
        <f t="shared" si="11"/>
        <v>0.81382841573701492</v>
      </c>
      <c r="AN7" s="15">
        <f t="shared" si="2"/>
        <v>34.231205732872709</v>
      </c>
      <c r="AO7" s="15">
        <f t="shared" si="3"/>
        <v>8.7954391717026592</v>
      </c>
      <c r="AP7">
        <f t="shared" si="4"/>
        <v>2017</v>
      </c>
      <c r="AQ7" t="str">
        <f t="shared" si="5"/>
        <v>IMF COFOG</v>
      </c>
      <c r="AR7" s="7">
        <f t="shared" si="12"/>
        <v>39.527040729019056</v>
      </c>
      <c r="AS7" s="7">
        <f t="shared" si="13"/>
        <v>3.0350688157353902</v>
      </c>
      <c r="AT7" s="7">
        <f t="shared" si="14"/>
        <v>1.0455340636663801</v>
      </c>
      <c r="AU7" s="7">
        <f t="shared" si="15"/>
        <v>43.977195858513298</v>
      </c>
    </row>
    <row r="8" spans="1:55" hidden="1">
      <c r="A8">
        <v>5</v>
      </c>
      <c r="B8" t="s">
        <v>97</v>
      </c>
      <c r="C8" t="s">
        <v>310</v>
      </c>
      <c r="D8" t="s">
        <v>496</v>
      </c>
      <c r="E8" t="s">
        <v>306</v>
      </c>
      <c r="F8" t="s">
        <v>615</v>
      </c>
      <c r="G8" t="s">
        <v>616</v>
      </c>
      <c r="H8" t="str">
        <f>IF(ISNUMBER(VLOOKUP(C8,'OECD DAC'!B:C,2,FALSE)), "YES", " ")</f>
        <v xml:space="preserve"> </v>
      </c>
      <c r="I8">
        <v>500</v>
      </c>
      <c r="J8">
        <v>2021</v>
      </c>
      <c r="K8" s="15">
        <f>IF(ISNUMBER(VLOOKUP(C8,'WEO GOV REV'!C:BL,58,FALSE)),(VLOOKUP(C8,'WEO GOV REV'!C:BL,58,FALSE)), " ")</f>
        <v>6129.15</v>
      </c>
      <c r="L8" s="15">
        <f>IF(ISNUMBER(VLOOKUP(C8,'WEO GOV REV'!C:BL,62,FALSE)),(VLOOKUP(C8,'WEO GOV REV'!C:BL,62,FALSE)), " ")</f>
        <v>12.39383401121302</v>
      </c>
      <c r="M8">
        <f>IF(ISNUMBER(VLOOKUP(C8,'WEO GOV REV'!C:BL,62,FALSE)),(VLOOKUP(C8,'WEO GOV REV'!C:BL,57,FALSE)), " ")</f>
        <v>2020</v>
      </c>
      <c r="N8" s="15">
        <f>IF(ISNUMBER(VLOOKUP($C8,'IMF COFOG FULL'!$B:$CM,79,FALSE)),(VLOOKUP($C8,'IMF COFOG FULL'!$B:$CM,79,FALSE)), " ")</f>
        <v>0.65139453686778004</v>
      </c>
      <c r="O8" s="15">
        <f>IF(ISNUMBER(VLOOKUP($C8,'IMF COFOG FULL'!$B:$CM,80,FALSE)),(VLOOKUP($C8,'IMF COFOG FULL'!$B:$CM,80,FALSE)), " ")</f>
        <v>0.30479815678309402</v>
      </c>
      <c r="P8" s="15">
        <f>IF(ISNUMBER(VLOOKUP($C8,'IMF COFOG FULL'!$B:$CM,81,FALSE)),(VLOOKUP($C8,'IMF COFOG FULL'!$B:$CM,81,FALSE)), " ")</f>
        <v>5.14239300494609E-2</v>
      </c>
      <c r="Q8" s="15">
        <f>IF(ISNUMBER(VLOOKUP($C8,'IMF COFOG FULL'!$B:$CM,82,FALSE)),(VLOOKUP($C8,'IMF COFOG FULL'!$B:$CM,82,FALSE)), " ")</f>
        <v>0.24842783503198701</v>
      </c>
      <c r="R8" s="15">
        <f>IF(ISNUMBER(VLOOKUP($C8,'IMF COFOG FULL'!$B:$CM,83,FALSE)),(VLOOKUP($C8,'IMF COFOG FULL'!$B:$CM,83,FALSE)), " ")</f>
        <v>4.6744615003238801E-2</v>
      </c>
      <c r="S8" s="15">
        <f>IF(ISNUMBER(VLOOKUP($C8,'IMF COFOG FULL'!$B:$CM,84,FALSE)),(VLOOKUP($C8,'IMF COFOG FULL'!$B:$CM,84,FALSE)), " ")</f>
        <v>0</v>
      </c>
      <c r="T8" s="15">
        <f>IF(ISNUMBER(VLOOKUP($C8,'IMF COFOG FULL'!$B:$CM,85,FALSE)),(VLOOKUP($C8,'IMF COFOG FULL'!$B:$CM,85,FALSE)), " ")</f>
        <v>0</v>
      </c>
      <c r="U8" s="7">
        <f>IF(ISNUMBER(VLOOKUP($C8,'IMF COFOG FULL'!$B:$CM,79,FALSE)),(VLOOKUP($C8,'IMF COFOG FULL'!$B:$CM,86,FALSE)), " ")</f>
        <v>2020</v>
      </c>
      <c r="V8" s="15" t="str">
        <f>IF(ISNUMBER(VLOOKUP($C8,'IMF COFOG FULL'!$B:$CM,79,FALSE)),(VLOOKUP($C8,'IMF COFOG FULL'!$B:$CM,87,FALSE)), " ")</f>
        <v>Budgetary central government</v>
      </c>
      <c r="W8" s="15">
        <f t="shared" si="7"/>
        <v>5.2557952307449547</v>
      </c>
      <c r="X8" s="15">
        <f t="shared" si="0"/>
        <v>2.4592725423572341</v>
      </c>
      <c r="Y8" s="15">
        <f t="shared" si="0"/>
        <v>0.41491543297204364</v>
      </c>
      <c r="Z8" s="15">
        <f t="shared" si="0"/>
        <v>2.0044470081431456</v>
      </c>
      <c r="AA8" s="15">
        <f t="shared" si="0"/>
        <v>0.37716024727253689</v>
      </c>
      <c r="AB8" s="15">
        <f t="shared" si="0"/>
        <v>0</v>
      </c>
      <c r="AC8" s="15">
        <f t="shared" si="0"/>
        <v>0</v>
      </c>
      <c r="AG8" s="15">
        <f>IF(ISNUMBER(VLOOKUP(C8,'National budgets summary'!A:F,5, FALSE)),(VLOOKUP(C8,'National budgets summary'!A:F,5, FALSE)), " ")</f>
        <v>721.63612499999999</v>
      </c>
      <c r="AH8">
        <f>IF(ISNUMBER(VLOOKUP(C8,'National budgets summary'!A:F,5, FALSE)),(VLOOKUP(C8,'National budgets summary'!A:F,4, FALSE)), " ")</f>
        <v>2021</v>
      </c>
      <c r="AI8" s="15">
        <f t="shared" si="1"/>
        <v>11.773836910501457</v>
      </c>
      <c r="AJ8" s="15">
        <f t="shared" si="8"/>
        <v>1.4592298034384816</v>
      </c>
      <c r="AK8" s="15">
        <f t="shared" si="9"/>
        <v>2.4592725423572341</v>
      </c>
      <c r="AL8" s="15">
        <f t="shared" si="10"/>
        <v>2.0044470081431456</v>
      </c>
      <c r="AM8" s="15">
        <f t="shared" si="11"/>
        <v>0.37716024727253689</v>
      </c>
      <c r="AN8" s="15">
        <f>IF(ISNUMBER(AI8),AI8,IF(ISNUMBER(W8),W8, " "))</f>
        <v>11.773836910501457</v>
      </c>
      <c r="AO8" s="15">
        <f>IF(ISNUMBER(AJ8),AJ8,IF(ISNUMBER(N8),N8, " "))</f>
        <v>1.4592298034384816</v>
      </c>
      <c r="AP8">
        <f>IF(ISNUMBER(AJ8),AH8,IF(ISNUMBER(N8),U8, " "))</f>
        <v>2021</v>
      </c>
      <c r="AQ8" t="str">
        <f>IF(ISNUMBER(AJ8),"National",IF(ISNUMBER(N8),"IMF COFOG", " "))</f>
        <v>National</v>
      </c>
      <c r="AR8" s="7">
        <f t="shared" si="12"/>
        <v>1.52399078391547</v>
      </c>
      <c r="AS8" s="7">
        <f t="shared" si="13"/>
        <v>1.2421391751599351</v>
      </c>
      <c r="AT8" s="7">
        <f t="shared" si="14"/>
        <v>0.23372307501619402</v>
      </c>
      <c r="AU8" s="7">
        <f t="shared" si="15"/>
        <v>7.296149017192409</v>
      </c>
    </row>
    <row r="9" spans="1:55" hidden="1">
      <c r="A9">
        <v>6</v>
      </c>
      <c r="B9" t="s">
        <v>98</v>
      </c>
      <c r="C9" t="s">
        <v>311</v>
      </c>
      <c r="D9" t="s">
        <v>496</v>
      </c>
      <c r="E9" t="s">
        <v>306</v>
      </c>
      <c r="F9" t="s">
        <v>615</v>
      </c>
      <c r="G9" t="s">
        <v>616</v>
      </c>
      <c r="H9" t="str">
        <f>IF(ISNUMBER(VLOOKUP(C9,'OECD DAC'!B:C,2,FALSE)), "YES", " ")</f>
        <v xml:space="preserve"> </v>
      </c>
      <c r="I9">
        <v>510</v>
      </c>
      <c r="J9">
        <v>2021</v>
      </c>
      <c r="K9" s="15">
        <f>IF(ISNUMBER(VLOOKUP(C9,'WEO GOV REV'!C:BL,58,FALSE)),(VLOOKUP(C9,'WEO GOV REV'!C:BL,58,FALSE)), " ")</f>
        <v>7974.25</v>
      </c>
      <c r="L9" s="15">
        <f>IF(ISNUMBER(VLOOKUP(C9,'WEO GOV REV'!C:BL,62,FALSE)),(VLOOKUP(C9,'WEO GOV REV'!C:BL,62,FALSE)), " ")</f>
        <v>19.966538192756936</v>
      </c>
      <c r="M9">
        <f>IF(ISNUMBER(VLOOKUP(C9,'WEO GOV REV'!C:BL,62,FALSE)),(VLOOKUP(C9,'WEO GOV REV'!C:BL,57,FALSE)), " ")</f>
        <v>2020</v>
      </c>
      <c r="N9" s="15" t="str">
        <f>IF(ISNUMBER(VLOOKUP($C9,'IMF COFOG FULL'!$B:$CM,79,FALSE)),(VLOOKUP($C9,'IMF COFOG FULL'!$B:$CM,79,FALSE)), " ")</f>
        <v xml:space="preserve"> </v>
      </c>
      <c r="O9" s="15" t="str">
        <f>IF(ISNUMBER(VLOOKUP($C9,'IMF COFOG FULL'!$B:$CM,80,FALSE)),(VLOOKUP($C9,'IMF COFOG FULL'!$B:$CM,80,FALSE)), " ")</f>
        <v xml:space="preserve"> </v>
      </c>
      <c r="P9" s="15" t="str">
        <f>IF(ISNUMBER(VLOOKUP($C9,'IMF COFOG FULL'!$B:$CM,81,FALSE)),(VLOOKUP($C9,'IMF COFOG FULL'!$B:$CM,81,FALSE)), " ")</f>
        <v xml:space="preserve"> </v>
      </c>
      <c r="Q9" s="15" t="str">
        <f>IF(ISNUMBER(VLOOKUP($C9,'IMF COFOG FULL'!$B:$CM,82,FALSE)),(VLOOKUP($C9,'IMF COFOG FULL'!$B:$CM,82,FALSE)), " ")</f>
        <v xml:space="preserve"> </v>
      </c>
      <c r="R9" s="15" t="str">
        <f>IF(ISNUMBER(VLOOKUP($C9,'IMF COFOG FULL'!$B:$CM,83,FALSE)),(VLOOKUP($C9,'IMF COFOG FULL'!$B:$CM,83,FALSE)), " ")</f>
        <v xml:space="preserve"> </v>
      </c>
      <c r="S9" s="15" t="str">
        <f>IF(ISNUMBER(VLOOKUP($C9,'IMF COFOG FULL'!$B:$CM,84,FALSE)),(VLOOKUP($C9,'IMF COFOG FULL'!$B:$CM,84,FALSE)), " ")</f>
        <v xml:space="preserve"> </v>
      </c>
      <c r="T9" s="15" t="str">
        <f>IF(ISNUMBER(VLOOKUP($C9,'IMF COFOG FULL'!$B:$CM,85,FALSE)),(VLOOKUP($C9,'IMF COFOG FULL'!$B:$CM,85,FALSE)), " ")</f>
        <v xml:space="preserve"> </v>
      </c>
      <c r="U9" s="7" t="str">
        <f>IF(ISNUMBER(VLOOKUP($C9,'IMF COFOG FULL'!$B:$CM,79,FALSE)),(VLOOKUP($C9,'IMF COFOG FULL'!$B:$CM,86,FALSE)), " ")</f>
        <v xml:space="preserve"> </v>
      </c>
      <c r="V9" s="15" t="str">
        <f>IF(ISNUMBER(VLOOKUP($C9,'IMF COFOG FULL'!$B:$CM,79,FALSE)),(VLOOKUP($C9,'IMF COFOG FULL'!$B:$CM,87,FALSE)), " ")</f>
        <v xml:space="preserve"> </v>
      </c>
      <c r="W9" s="15" t="str">
        <f t="shared" ref="W9:W72" si="16">IF(ISNUMBER(N9),(N9/$L9*100), " ")</f>
        <v xml:space="preserve"> </v>
      </c>
      <c r="X9" s="15" t="str">
        <f t="shared" ref="X9:X72" si="17">IF(ISNUMBER(O9),(O9/$L9*100), " ")</f>
        <v xml:space="preserve"> </v>
      </c>
      <c r="Y9" s="15" t="str">
        <f t="shared" ref="Y9:Y72" si="18">IF(ISNUMBER(P9),(P9/$L9*100), " ")</f>
        <v xml:space="preserve"> </v>
      </c>
      <c r="Z9" s="15" t="str">
        <f t="shared" ref="Z9:Z72" si="19">IF(ISNUMBER(Q9),(Q9/$L9*100), " ")</f>
        <v xml:space="preserve"> </v>
      </c>
      <c r="AA9" s="15" t="str">
        <f t="shared" ref="AA9:AA72" si="20">IF(ISNUMBER(R9),(R9/$L9*100), " ")</f>
        <v xml:space="preserve"> </v>
      </c>
      <c r="AB9" s="15" t="str">
        <f t="shared" ref="AB9:AB72" si="21">IF(ISNUMBER(S9),(S9/$L9*100), " ")</f>
        <v xml:space="preserve"> </v>
      </c>
      <c r="AC9" s="15" t="str">
        <f t="shared" ref="AC9:AC72" si="22">IF(ISNUMBER(T9),(T9/$L9*100), " ")</f>
        <v xml:space="preserve"> </v>
      </c>
      <c r="AD9" s="15">
        <f>'Sierra Leone 2018-2020'!E16</f>
        <v>410.33199999999999</v>
      </c>
      <c r="AE9" s="15">
        <f>'Sierra Leone 2018-2020'!E7+'Sierra Leone 2018-2020'!E8+'Sierra Leone 2018-2020'!E9+'Sierra Leone 2018-2020'!E10+'Sierra Leone 2018-2020'!E13</f>
        <v>109.87700000000001</v>
      </c>
      <c r="AF9" s="15">
        <f>'Sierra Leone 2018-2020'!E17</f>
        <v>105.702</v>
      </c>
      <c r="AG9" s="15">
        <f>IF(ISNUMBER(VLOOKUP(C9,'National budgets summary'!A:F,5, FALSE)),(VLOOKUP(C9,'National budgets summary'!A:F,5, FALSE)), " ")</f>
        <v>681.37</v>
      </c>
      <c r="AH9" t="str">
        <f>IF(ISNUMBER(VLOOKUP(C9,'National budgets summary'!A:F,5, FALSE)),(VLOOKUP(C9,'National budgets summary'!A:F,4, FALSE)), " ")</f>
        <v>FY 2020</v>
      </c>
      <c r="AI9" s="15">
        <f t="shared" si="1"/>
        <v>8.5446280214440229</v>
      </c>
      <c r="AJ9" s="15">
        <f t="shared" si="8"/>
        <v>1.7060664173306321</v>
      </c>
      <c r="AK9" s="15">
        <f t="shared" si="9"/>
        <v>5.145712762955764</v>
      </c>
      <c r="AL9" s="15">
        <f t="shared" si="10"/>
        <v>1.3778976079255105</v>
      </c>
      <c r="AM9" s="15">
        <f t="shared" si="11"/>
        <v>1.3255415869831018</v>
      </c>
      <c r="AN9" s="15">
        <f t="shared" si="2"/>
        <v>8.5446280214440229</v>
      </c>
      <c r="AO9" s="15">
        <f t="shared" si="3"/>
        <v>1.7060664173306321</v>
      </c>
      <c r="AP9" t="str">
        <f t="shared" si="4"/>
        <v>FY 2020</v>
      </c>
      <c r="AQ9" t="str">
        <f t="shared" si="5"/>
        <v>National</v>
      </c>
      <c r="AR9" s="7">
        <f t="shared" si="12"/>
        <v>5.2398455909361674</v>
      </c>
      <c r="AS9" s="7">
        <f t="shared" si="13"/>
        <v>1.4031041059320097</v>
      </c>
      <c r="AT9" s="7">
        <f t="shared" si="14"/>
        <v>1.3497903128518729</v>
      </c>
      <c r="AU9" s="7">
        <f t="shared" si="15"/>
        <v>8.700938728386225</v>
      </c>
    </row>
    <row r="10" spans="1:55" hidden="1">
      <c r="A10">
        <v>7</v>
      </c>
      <c r="B10" t="s">
        <v>99</v>
      </c>
      <c r="C10" t="s">
        <v>312</v>
      </c>
      <c r="D10" t="s">
        <v>496</v>
      </c>
      <c r="E10" t="s">
        <v>306</v>
      </c>
      <c r="F10" t="s">
        <v>615</v>
      </c>
      <c r="G10" t="s">
        <v>616</v>
      </c>
      <c r="H10" t="str">
        <f>IF(ISNUMBER(VLOOKUP(C10,'OECD DAC'!B:C,2,FALSE)), "YES", " ")</f>
        <v xml:space="preserve"> </v>
      </c>
      <c r="I10">
        <v>530</v>
      </c>
      <c r="J10">
        <v>2021</v>
      </c>
      <c r="K10" s="15">
        <f>IF(ISNUMBER(VLOOKUP(C10,'WEO GOV REV'!C:BL,58,FALSE)),(VLOOKUP(C10,'WEO GOV REV'!C:BL,58,FALSE)), " ")</f>
        <v>298.58699999999999</v>
      </c>
      <c r="L10" s="15">
        <f>IF(ISNUMBER(VLOOKUP(C10,'WEO GOV REV'!C:BL,62,FALSE)),(VLOOKUP(C10,'WEO GOV REV'!C:BL,62,FALSE)), " ")</f>
        <v>21.754814172574331</v>
      </c>
      <c r="M10">
        <f>IF(ISNUMBER(VLOOKUP(C10,'WEO GOV REV'!C:BL,62,FALSE)),(VLOOKUP(C10,'WEO GOV REV'!C:BL,57,FALSE)), " ")</f>
        <v>2020</v>
      </c>
      <c r="N10" s="15" t="str">
        <f>IF(ISNUMBER(VLOOKUP($C10,'IMF COFOG FULL'!$B:$CM,79,FALSE)),(VLOOKUP($C10,'IMF COFOG FULL'!$B:$CM,79,FALSE)), " ")</f>
        <v xml:space="preserve"> </v>
      </c>
      <c r="O10" s="15" t="str">
        <f>IF(ISNUMBER(VLOOKUP($C10,'IMF COFOG FULL'!$B:$CM,80,FALSE)),(VLOOKUP($C10,'IMF COFOG FULL'!$B:$CM,80,FALSE)), " ")</f>
        <v xml:space="preserve"> </v>
      </c>
      <c r="P10" s="15" t="str">
        <f>IF(ISNUMBER(VLOOKUP($C10,'IMF COFOG FULL'!$B:$CM,81,FALSE)),(VLOOKUP($C10,'IMF COFOG FULL'!$B:$CM,81,FALSE)), " ")</f>
        <v xml:space="preserve"> </v>
      </c>
      <c r="Q10" s="15" t="str">
        <f>IF(ISNUMBER(VLOOKUP($C10,'IMF COFOG FULL'!$B:$CM,82,FALSE)),(VLOOKUP($C10,'IMF COFOG FULL'!$B:$CM,82,FALSE)), " ")</f>
        <v xml:space="preserve"> </v>
      </c>
      <c r="R10" s="15" t="str">
        <f>IF(ISNUMBER(VLOOKUP($C10,'IMF COFOG FULL'!$B:$CM,83,FALSE)),(VLOOKUP($C10,'IMF COFOG FULL'!$B:$CM,83,FALSE)), " ")</f>
        <v xml:space="preserve"> </v>
      </c>
      <c r="S10" s="15" t="str">
        <f>IF(ISNUMBER(VLOOKUP($C10,'IMF COFOG FULL'!$B:$CM,84,FALSE)),(VLOOKUP($C10,'IMF COFOG FULL'!$B:$CM,84,FALSE)), " ")</f>
        <v xml:space="preserve"> </v>
      </c>
      <c r="T10" s="15" t="str">
        <f>IF(ISNUMBER(VLOOKUP($C10,'IMF COFOG FULL'!$B:$CM,85,FALSE)),(VLOOKUP($C10,'IMF COFOG FULL'!$B:$CM,85,FALSE)), " ")</f>
        <v xml:space="preserve"> </v>
      </c>
      <c r="U10" s="7" t="str">
        <f>IF(ISNUMBER(VLOOKUP($C10,'IMF COFOG FULL'!$B:$CM,79,FALSE)),(VLOOKUP($C10,'IMF COFOG FULL'!$B:$CM,86,FALSE)), " ")</f>
        <v xml:space="preserve"> </v>
      </c>
      <c r="V10" s="15" t="str">
        <f>IF(ISNUMBER(VLOOKUP($C10,'IMF COFOG FULL'!$B:$CM,79,FALSE)),(VLOOKUP($C10,'IMF COFOG FULL'!$B:$CM,87,FALSE)), " ")</f>
        <v xml:space="preserve"> </v>
      </c>
      <c r="W10" s="15" t="str">
        <f t="shared" si="16"/>
        <v xml:space="preserve"> </v>
      </c>
      <c r="X10" s="15" t="str">
        <f t="shared" si="17"/>
        <v xml:space="preserve"> </v>
      </c>
      <c r="Y10" s="15" t="str">
        <f t="shared" si="18"/>
        <v xml:space="preserve"> </v>
      </c>
      <c r="Z10" s="15" t="str">
        <f t="shared" si="19"/>
        <v xml:space="preserve"> </v>
      </c>
      <c r="AA10" s="15" t="str">
        <f t="shared" si="20"/>
        <v xml:space="preserve"> </v>
      </c>
      <c r="AB10" s="15" t="str">
        <f t="shared" si="21"/>
        <v xml:space="preserve"> </v>
      </c>
      <c r="AC10" s="15" t="str">
        <f t="shared" si="22"/>
        <v xml:space="preserve"> </v>
      </c>
      <c r="AG10" s="15">
        <f>IF(ISNUMBER(VLOOKUP(C10,'National budgets summary'!A:F,5, FALSE)),(VLOOKUP(C10,'National budgets summary'!A:F,5, FALSE)), " ")</f>
        <v>19.720614000000001</v>
      </c>
      <c r="AH10">
        <f>IF(ISNUMBER(VLOOKUP(C10,'National budgets summary'!A:F,5, FALSE)),(VLOOKUP(C10,'National budgets summary'!A:F,4, FALSE)), " ")</f>
        <v>2021</v>
      </c>
      <c r="AI10" s="15">
        <f t="shared" si="1"/>
        <v>6.6046458821047134</v>
      </c>
      <c r="AJ10" s="15">
        <f t="shared" si="8"/>
        <v>1.4368284384084631</v>
      </c>
      <c r="AK10" s="15" t="str">
        <f t="shared" si="9"/>
        <v/>
      </c>
      <c r="AL10" s="15" t="str">
        <f t="shared" si="10"/>
        <v/>
      </c>
      <c r="AM10" s="15" t="str">
        <f t="shared" si="11"/>
        <v/>
      </c>
      <c r="AN10" s="15">
        <f t="shared" si="2"/>
        <v>6.6046458821047134</v>
      </c>
      <c r="AO10" s="15">
        <f t="shared" si="3"/>
        <v>1.4368284384084631</v>
      </c>
      <c r="AP10">
        <f t="shared" si="4"/>
        <v>2021</v>
      </c>
      <c r="AQ10" t="str">
        <f t="shared" si="5"/>
        <v>National</v>
      </c>
      <c r="AR10" s="7" t="str">
        <f t="shared" si="12"/>
        <v xml:space="preserve"> </v>
      </c>
      <c r="AS10" s="7" t="str">
        <f t="shared" si="13"/>
        <v xml:space="preserve"> </v>
      </c>
      <c r="AT10" s="7" t="str">
        <f t="shared" si="14"/>
        <v xml:space="preserve"> </v>
      </c>
      <c r="AU10" s="7">
        <f t="shared" si="15"/>
        <v>7.6151907235648553</v>
      </c>
    </row>
    <row r="11" spans="1:55" hidden="1">
      <c r="A11">
        <v>8</v>
      </c>
      <c r="B11" t="s">
        <v>100</v>
      </c>
      <c r="C11" t="s">
        <v>313</v>
      </c>
      <c r="D11" t="s">
        <v>496</v>
      </c>
      <c r="E11" t="s">
        <v>306</v>
      </c>
      <c r="F11" t="s">
        <v>615</v>
      </c>
      <c r="G11" t="s">
        <v>616</v>
      </c>
      <c r="H11" t="str">
        <f>IF(ISNUMBER(VLOOKUP(C11,'OECD DAC'!B:C,2,FALSE)), "YES", " ")</f>
        <v xml:space="preserve"> </v>
      </c>
      <c r="I11">
        <v>580</v>
      </c>
      <c r="J11">
        <v>2021</v>
      </c>
      <c r="K11" s="15">
        <f>IF(ISNUMBER(VLOOKUP(C11,'WEO GOV REV'!C:BL,58,FALSE)),(VLOOKUP(C11,'WEO GOV REV'!C:BL,58,FALSE)), " ")</f>
        <v>8072.74</v>
      </c>
      <c r="L11" s="15">
        <f>IF(ISNUMBER(VLOOKUP(C11,'WEO GOV REV'!C:BL,62,FALSE)),(VLOOKUP(C11,'WEO GOV REV'!C:BL,62,FALSE)), " ")</f>
        <v>8.9517032680369084</v>
      </c>
      <c r="M11">
        <f>IF(ISNUMBER(VLOOKUP(C11,'WEO GOV REV'!C:BL,62,FALSE)),(VLOOKUP(C11,'WEO GOV REV'!C:BL,57,FALSE)), " ")</f>
        <v>2020</v>
      </c>
      <c r="N11" s="15" t="str">
        <f>IF(ISNUMBER(VLOOKUP($C11,'IMF COFOG FULL'!$B:$CM,79,FALSE)),(VLOOKUP($C11,'IMF COFOG FULL'!$B:$CM,79,FALSE)), " ")</f>
        <v xml:space="preserve"> </v>
      </c>
      <c r="O11" s="15" t="str">
        <f>IF(ISNUMBER(VLOOKUP($C11,'IMF COFOG FULL'!$B:$CM,80,FALSE)),(VLOOKUP($C11,'IMF COFOG FULL'!$B:$CM,80,FALSE)), " ")</f>
        <v xml:space="preserve"> </v>
      </c>
      <c r="P11" s="15" t="str">
        <f>IF(ISNUMBER(VLOOKUP($C11,'IMF COFOG FULL'!$B:$CM,81,FALSE)),(VLOOKUP($C11,'IMF COFOG FULL'!$B:$CM,81,FALSE)), " ")</f>
        <v xml:space="preserve"> </v>
      </c>
      <c r="Q11" s="15" t="str">
        <f>IF(ISNUMBER(VLOOKUP($C11,'IMF COFOG FULL'!$B:$CM,82,FALSE)),(VLOOKUP($C11,'IMF COFOG FULL'!$B:$CM,82,FALSE)), " ")</f>
        <v xml:space="preserve"> </v>
      </c>
      <c r="R11" s="15" t="str">
        <f>IF(ISNUMBER(VLOOKUP($C11,'IMF COFOG FULL'!$B:$CM,83,FALSE)),(VLOOKUP($C11,'IMF COFOG FULL'!$B:$CM,83,FALSE)), " ")</f>
        <v xml:space="preserve"> </v>
      </c>
      <c r="S11" s="15" t="str">
        <f>IF(ISNUMBER(VLOOKUP($C11,'IMF COFOG FULL'!$B:$CM,84,FALSE)),(VLOOKUP($C11,'IMF COFOG FULL'!$B:$CM,84,FALSE)), " ")</f>
        <v xml:space="preserve"> </v>
      </c>
      <c r="T11" s="15" t="str">
        <f>IF(ISNUMBER(VLOOKUP($C11,'IMF COFOG FULL'!$B:$CM,85,FALSE)),(VLOOKUP($C11,'IMF COFOG FULL'!$B:$CM,85,FALSE)), " ")</f>
        <v xml:space="preserve"> </v>
      </c>
      <c r="U11" s="7" t="str">
        <f>IF(ISNUMBER(VLOOKUP($C11,'IMF COFOG FULL'!$B:$CM,79,FALSE)),(VLOOKUP($C11,'IMF COFOG FULL'!$B:$CM,86,FALSE)), " ")</f>
        <v xml:space="preserve"> </v>
      </c>
      <c r="V11" s="15" t="str">
        <f>IF(ISNUMBER(VLOOKUP($C11,'IMF COFOG FULL'!$B:$CM,79,FALSE)),(VLOOKUP($C11,'IMF COFOG FULL'!$B:$CM,87,FALSE)), " ")</f>
        <v xml:space="preserve"> </v>
      </c>
      <c r="W11" s="15" t="str">
        <f t="shared" si="16"/>
        <v xml:space="preserve"> </v>
      </c>
      <c r="X11" s="15" t="str">
        <f t="shared" si="17"/>
        <v xml:space="preserve"> </v>
      </c>
      <c r="Y11" s="15" t="str">
        <f t="shared" si="18"/>
        <v xml:space="preserve"> </v>
      </c>
      <c r="Z11" s="15" t="str">
        <f t="shared" si="19"/>
        <v xml:space="preserve"> </v>
      </c>
      <c r="AA11" s="15" t="str">
        <f t="shared" si="20"/>
        <v xml:space="preserve"> </v>
      </c>
      <c r="AB11" s="15" t="str">
        <f t="shared" si="21"/>
        <v xml:space="preserve"> </v>
      </c>
      <c r="AC11" s="15" t="str">
        <f t="shared" si="22"/>
        <v xml:space="preserve"> </v>
      </c>
      <c r="AD11" s="15">
        <f>DRC!D9</f>
        <v>387.89612292200002</v>
      </c>
      <c r="AE11" s="15">
        <f>DRC!D12+DRC!D11</f>
        <v>222.88102904600001</v>
      </c>
      <c r="AF11" s="15">
        <f>DRC!D10+DRC!D11</f>
        <v>62.321517053000001</v>
      </c>
      <c r="AG11" s="15">
        <f>IF(ISNUMBER(VLOOKUP(C11,'National budgets summary'!A:F,5, FALSE)),(VLOOKUP(C11,'National budgets summary'!A:F,5, FALSE)), " ")</f>
        <v>800.19087349400002</v>
      </c>
      <c r="AH11">
        <f>IF(ISNUMBER(VLOOKUP(C11,'National budgets summary'!A:F,5, FALSE)),(VLOOKUP(C11,'National budgets summary'!A:F,4, FALSE)), " ")</f>
        <v>2020</v>
      </c>
      <c r="AI11" s="15">
        <f t="shared" si="1"/>
        <v>9.9122587063871759</v>
      </c>
      <c r="AJ11" s="15">
        <f t="shared" si="8"/>
        <v>0.88731598655593391</v>
      </c>
      <c r="AK11" s="15">
        <f t="shared" si="9"/>
        <v>4.8050119652311363</v>
      </c>
      <c r="AL11" s="15">
        <f t="shared" si="10"/>
        <v>2.7609092953074175</v>
      </c>
      <c r="AM11" s="15">
        <f t="shared" si="11"/>
        <v>0.77199955718876123</v>
      </c>
      <c r="AN11" s="15">
        <f t="shared" si="2"/>
        <v>9.9122587063871759</v>
      </c>
      <c r="AO11" s="15">
        <f t="shared" si="3"/>
        <v>0.88731598655593391</v>
      </c>
      <c r="AP11">
        <f t="shared" si="4"/>
        <v>2020</v>
      </c>
      <c r="AQ11" t="str">
        <f t="shared" si="5"/>
        <v>National</v>
      </c>
      <c r="AR11" s="7">
        <f t="shared" si="12"/>
        <v>2.494756396102729</v>
      </c>
      <c r="AS11" s="7">
        <f t="shared" si="13"/>
        <v>1.4334607641702997</v>
      </c>
      <c r="AT11" s="7">
        <f t="shared" si="14"/>
        <v>0.4008212356225615</v>
      </c>
      <c r="AU11" s="7">
        <f t="shared" si="15"/>
        <v>5.1464327220244162</v>
      </c>
    </row>
    <row r="12" spans="1:55" hidden="1">
      <c r="A12">
        <v>9</v>
      </c>
      <c r="B12" t="s">
        <v>101</v>
      </c>
      <c r="C12" t="s">
        <v>314</v>
      </c>
      <c r="D12" t="s">
        <v>496</v>
      </c>
      <c r="E12" t="s">
        <v>306</v>
      </c>
      <c r="F12" t="s">
        <v>615</v>
      </c>
      <c r="G12" t="s">
        <v>616</v>
      </c>
      <c r="H12" t="str">
        <f>IF(ISNUMBER(VLOOKUP(C12,'OECD DAC'!B:C,2,FALSE)), "YES", " ")</f>
        <v xml:space="preserve"> </v>
      </c>
      <c r="I12">
        <v>590</v>
      </c>
      <c r="J12">
        <v>2021</v>
      </c>
      <c r="K12" s="15">
        <f>IF(ISNUMBER(VLOOKUP(C12,'WEO GOV REV'!C:BL,58,FALSE)),(VLOOKUP(C12,'WEO GOV REV'!C:BL,58,FALSE)), " ")</f>
        <v>1388.37</v>
      </c>
      <c r="L12" s="15">
        <f>IF(ISNUMBER(VLOOKUP(C12,'WEO GOV REV'!C:BL,62,FALSE)),(VLOOKUP(C12,'WEO GOV REV'!C:BL,62,FALSE)), " ")</f>
        <v>17.557879401420696</v>
      </c>
      <c r="M12">
        <f>IF(ISNUMBER(VLOOKUP(C12,'WEO GOV REV'!C:BL,62,FALSE)),(VLOOKUP(C12,'WEO GOV REV'!C:BL,57,FALSE)), " ")</f>
        <v>2020</v>
      </c>
      <c r="N12" s="15" t="str">
        <f>IF(ISNUMBER(VLOOKUP($C12,'IMF COFOG FULL'!$B:$CM,79,FALSE)),(VLOOKUP($C12,'IMF COFOG FULL'!$B:$CM,79,FALSE)), " ")</f>
        <v xml:space="preserve"> </v>
      </c>
      <c r="O12" s="15" t="str">
        <f>IF(ISNUMBER(VLOOKUP($C12,'IMF COFOG FULL'!$B:$CM,80,FALSE)),(VLOOKUP($C12,'IMF COFOG FULL'!$B:$CM,80,FALSE)), " ")</f>
        <v xml:space="preserve"> </v>
      </c>
      <c r="P12" s="15" t="str">
        <f>IF(ISNUMBER(VLOOKUP($C12,'IMF COFOG FULL'!$B:$CM,81,FALSE)),(VLOOKUP($C12,'IMF COFOG FULL'!$B:$CM,81,FALSE)), " ")</f>
        <v xml:space="preserve"> </v>
      </c>
      <c r="Q12" s="15" t="str">
        <f>IF(ISNUMBER(VLOOKUP($C12,'IMF COFOG FULL'!$B:$CM,82,FALSE)),(VLOOKUP($C12,'IMF COFOG FULL'!$B:$CM,82,FALSE)), " ")</f>
        <v xml:space="preserve"> </v>
      </c>
      <c r="R12" s="15" t="str">
        <f>IF(ISNUMBER(VLOOKUP($C12,'IMF COFOG FULL'!$B:$CM,83,FALSE)),(VLOOKUP($C12,'IMF COFOG FULL'!$B:$CM,83,FALSE)), " ")</f>
        <v xml:space="preserve"> </v>
      </c>
      <c r="S12" s="15" t="str">
        <f>IF(ISNUMBER(VLOOKUP($C12,'IMF COFOG FULL'!$B:$CM,84,FALSE)),(VLOOKUP($C12,'IMF COFOG FULL'!$B:$CM,84,FALSE)), " ")</f>
        <v xml:space="preserve"> </v>
      </c>
      <c r="T12" s="15" t="str">
        <f>IF(ISNUMBER(VLOOKUP($C12,'IMF COFOG FULL'!$B:$CM,85,FALSE)),(VLOOKUP($C12,'IMF COFOG FULL'!$B:$CM,85,FALSE)), " ")</f>
        <v xml:space="preserve"> </v>
      </c>
      <c r="U12" s="7" t="str">
        <f>IF(ISNUMBER(VLOOKUP($C12,'IMF COFOG FULL'!$B:$CM,79,FALSE)),(VLOOKUP($C12,'IMF COFOG FULL'!$B:$CM,86,FALSE)), " ")</f>
        <v xml:space="preserve"> </v>
      </c>
      <c r="V12" s="15" t="str">
        <f>IF(ISNUMBER(VLOOKUP($C12,'IMF COFOG FULL'!$B:$CM,79,FALSE)),(VLOOKUP($C12,'IMF COFOG FULL'!$B:$CM,87,FALSE)), " ")</f>
        <v xml:space="preserve"> </v>
      </c>
      <c r="W12" s="15" t="str">
        <f t="shared" si="16"/>
        <v xml:space="preserve"> </v>
      </c>
      <c r="X12" s="15" t="str">
        <f t="shared" si="17"/>
        <v xml:space="preserve"> </v>
      </c>
      <c r="Y12" s="15" t="str">
        <f t="shared" si="18"/>
        <v xml:space="preserve"> </v>
      </c>
      <c r="Z12" s="15" t="str">
        <f t="shared" si="19"/>
        <v xml:space="preserve"> </v>
      </c>
      <c r="AA12" s="15" t="str">
        <f t="shared" si="20"/>
        <v xml:space="preserve"> </v>
      </c>
      <c r="AB12" s="15" t="str">
        <f t="shared" si="21"/>
        <v xml:space="preserve"> </v>
      </c>
      <c r="AC12" s="15" t="str">
        <f t="shared" si="22"/>
        <v xml:space="preserve"> </v>
      </c>
      <c r="AG12" s="15" t="str">
        <f>IF(ISNUMBER(VLOOKUP(C12,'National budgets summary'!A:F,5, FALSE)),(VLOOKUP(C12,'National budgets summary'!A:F,5, FALSE)), " ")</f>
        <v xml:space="preserve"> </v>
      </c>
      <c r="AH12" t="str">
        <f>IF(ISNUMBER(VLOOKUP(C12,'National budgets summary'!A:F,5, FALSE)),(VLOOKUP(C12,'National budgets summary'!A:F,4, FALSE)), " ")</f>
        <v xml:space="preserve"> </v>
      </c>
      <c r="AI12" s="15" t="str">
        <f t="shared" si="1"/>
        <v xml:space="preserve"> </v>
      </c>
      <c r="AJ12" s="15" t="str">
        <f t="shared" si="8"/>
        <v xml:space="preserve"> </v>
      </c>
      <c r="AK12" s="15" t="str">
        <f t="shared" si="9"/>
        <v/>
      </c>
      <c r="AL12" s="15" t="str">
        <f t="shared" si="10"/>
        <v/>
      </c>
      <c r="AM12" s="15" t="str">
        <f t="shared" si="11"/>
        <v/>
      </c>
      <c r="AN12" s="15" t="str">
        <f t="shared" si="2"/>
        <v xml:space="preserve"> </v>
      </c>
      <c r="AO12" s="15" t="str">
        <f t="shared" si="3"/>
        <v xml:space="preserve"> </v>
      </c>
      <c r="AP12" t="str">
        <f t="shared" si="4"/>
        <v xml:space="preserve"> </v>
      </c>
      <c r="AQ12" t="str">
        <f t="shared" si="5"/>
        <v xml:space="preserve"> </v>
      </c>
      <c r="AR12" s="7" t="str">
        <f t="shared" si="12"/>
        <v xml:space="preserve"> </v>
      </c>
      <c r="AS12" s="7" t="str">
        <f t="shared" si="13"/>
        <v xml:space="preserve"> </v>
      </c>
      <c r="AT12" s="7" t="str">
        <f t="shared" si="14"/>
        <v xml:space="preserve"> </v>
      </c>
      <c r="AU12" s="7" t="str">
        <f t="shared" si="15"/>
        <v xml:space="preserve"> </v>
      </c>
    </row>
    <row r="13" spans="1:55" hidden="1">
      <c r="A13">
        <v>10</v>
      </c>
      <c r="B13" t="s">
        <v>102</v>
      </c>
      <c r="C13" t="s">
        <v>315</v>
      </c>
      <c r="D13" t="s">
        <v>496</v>
      </c>
      <c r="E13" t="s">
        <v>306</v>
      </c>
      <c r="F13" t="s">
        <v>615</v>
      </c>
      <c r="G13" t="s">
        <v>616</v>
      </c>
      <c r="H13" t="str">
        <f>IF(ISNUMBER(VLOOKUP(C13,'OECD DAC'!B:C,2,FALSE)), "YES", " ")</f>
        <v xml:space="preserve"> </v>
      </c>
      <c r="I13">
        <v>600</v>
      </c>
      <c r="J13">
        <v>2011</v>
      </c>
      <c r="K13" s="15">
        <f>IF(ISNUMBER(VLOOKUP(C13,'WEO GOV REV'!C:BL,58,FALSE)),(VLOOKUP(C13,'WEO GOV REV'!C:BL,58,FALSE)), " ")</f>
        <v>9.5489999999999995</v>
      </c>
      <c r="L13" s="15">
        <f>IF(ISNUMBER(VLOOKUP(C13,'WEO GOV REV'!C:BL,62,FALSE)),(VLOOKUP(C13,'WEO GOV REV'!C:BL,62,FALSE)), " ")</f>
        <v>31.5826029436084</v>
      </c>
      <c r="M13">
        <f>IF(ISNUMBER(VLOOKUP(C13,'WEO GOV REV'!C:BL,62,FALSE)),(VLOOKUP(C13,'WEO GOV REV'!C:BL,57,FALSE)), " ")</f>
        <v>2018</v>
      </c>
      <c r="N13" s="15" t="str">
        <f>IF(ISNUMBER(VLOOKUP($C13,'IMF COFOG FULL'!$B:$CM,79,FALSE)),(VLOOKUP($C13,'IMF COFOG FULL'!$B:$CM,79,FALSE)), " ")</f>
        <v xml:space="preserve"> </v>
      </c>
      <c r="O13" s="15" t="str">
        <f>IF(ISNUMBER(VLOOKUP($C13,'IMF COFOG FULL'!$B:$CM,80,FALSE)),(VLOOKUP($C13,'IMF COFOG FULL'!$B:$CM,80,FALSE)), " ")</f>
        <v xml:space="preserve"> </v>
      </c>
      <c r="P13" s="15" t="str">
        <f>IF(ISNUMBER(VLOOKUP($C13,'IMF COFOG FULL'!$B:$CM,81,FALSE)),(VLOOKUP($C13,'IMF COFOG FULL'!$B:$CM,81,FALSE)), " ")</f>
        <v xml:space="preserve"> </v>
      </c>
      <c r="Q13" s="15" t="str">
        <f>IF(ISNUMBER(VLOOKUP($C13,'IMF COFOG FULL'!$B:$CM,82,FALSE)),(VLOOKUP($C13,'IMF COFOG FULL'!$B:$CM,82,FALSE)), " ")</f>
        <v xml:space="preserve"> </v>
      </c>
      <c r="R13" s="15" t="str">
        <f>IF(ISNUMBER(VLOOKUP($C13,'IMF COFOG FULL'!$B:$CM,83,FALSE)),(VLOOKUP($C13,'IMF COFOG FULL'!$B:$CM,83,FALSE)), " ")</f>
        <v xml:space="preserve"> </v>
      </c>
      <c r="S13" s="15" t="str">
        <f>IF(ISNUMBER(VLOOKUP($C13,'IMF COFOG FULL'!$B:$CM,84,FALSE)),(VLOOKUP($C13,'IMF COFOG FULL'!$B:$CM,84,FALSE)), " ")</f>
        <v xml:space="preserve"> </v>
      </c>
      <c r="T13" s="15" t="str">
        <f>IF(ISNUMBER(VLOOKUP($C13,'IMF COFOG FULL'!$B:$CM,85,FALSE)),(VLOOKUP($C13,'IMF COFOG FULL'!$B:$CM,85,FALSE)), " ")</f>
        <v xml:space="preserve"> </v>
      </c>
      <c r="U13" s="7" t="str">
        <f>IF(ISNUMBER(VLOOKUP($C13,'IMF COFOG FULL'!$B:$CM,79,FALSE)),(VLOOKUP($C13,'IMF COFOG FULL'!$B:$CM,86,FALSE)), " ")</f>
        <v xml:space="preserve"> </v>
      </c>
      <c r="V13" s="15" t="str">
        <f>IF(ISNUMBER(VLOOKUP($C13,'IMF COFOG FULL'!$B:$CM,79,FALSE)),(VLOOKUP($C13,'IMF COFOG FULL'!$B:$CM,87,FALSE)), " ")</f>
        <v xml:space="preserve"> </v>
      </c>
      <c r="W13" s="15" t="str">
        <f t="shared" si="16"/>
        <v xml:space="preserve"> </v>
      </c>
      <c r="X13" s="15" t="str">
        <f t="shared" si="17"/>
        <v xml:space="preserve"> </v>
      </c>
      <c r="Y13" s="15" t="str">
        <f t="shared" si="18"/>
        <v xml:space="preserve"> </v>
      </c>
      <c r="Z13" s="15" t="str">
        <f t="shared" si="19"/>
        <v xml:space="preserve"> </v>
      </c>
      <c r="AA13" s="15" t="str">
        <f t="shared" si="20"/>
        <v xml:space="preserve"> </v>
      </c>
      <c r="AB13" s="15" t="str">
        <f t="shared" si="21"/>
        <v xml:space="preserve"> </v>
      </c>
      <c r="AC13" s="15" t="str">
        <f t="shared" si="22"/>
        <v xml:space="preserve"> </v>
      </c>
      <c r="AG13" s="15" t="str">
        <f>IF(ISNUMBER(VLOOKUP(C13,'National budgets summary'!A:F,5, FALSE)),(VLOOKUP(C13,'National budgets summary'!A:F,5, FALSE)), " ")</f>
        <v xml:space="preserve"> </v>
      </c>
      <c r="AH13" t="str">
        <f>IF(ISNUMBER(VLOOKUP(C13,'National budgets summary'!A:F,5, FALSE)),(VLOOKUP(C13,'National budgets summary'!A:F,4, FALSE)), " ")</f>
        <v xml:space="preserve"> </v>
      </c>
      <c r="AI13" s="15" t="str">
        <f t="shared" si="1"/>
        <v xml:space="preserve"> </v>
      </c>
      <c r="AJ13" s="15" t="str">
        <f t="shared" si="8"/>
        <v xml:space="preserve"> </v>
      </c>
      <c r="AK13" s="15" t="str">
        <f t="shared" si="9"/>
        <v/>
      </c>
      <c r="AL13" s="15" t="str">
        <f t="shared" si="10"/>
        <v/>
      </c>
      <c r="AM13" s="15" t="str">
        <f t="shared" si="11"/>
        <v/>
      </c>
      <c r="AN13" s="15" t="str">
        <f t="shared" si="2"/>
        <v xml:space="preserve"> </v>
      </c>
      <c r="AO13" s="15" t="str">
        <f t="shared" si="3"/>
        <v xml:space="preserve"> </v>
      </c>
      <c r="AP13" t="str">
        <f t="shared" si="4"/>
        <v xml:space="preserve"> </v>
      </c>
      <c r="AQ13" t="str">
        <f t="shared" si="5"/>
        <v xml:space="preserve"> </v>
      </c>
      <c r="AR13" s="7" t="str">
        <f t="shared" si="12"/>
        <v xml:space="preserve"> </v>
      </c>
      <c r="AS13" s="7" t="str">
        <f t="shared" si="13"/>
        <v xml:space="preserve"> </v>
      </c>
      <c r="AT13" s="7" t="str">
        <f t="shared" si="14"/>
        <v xml:space="preserve"> </v>
      </c>
      <c r="AU13" s="7" t="str">
        <f t="shared" si="15"/>
        <v xml:space="preserve"> </v>
      </c>
    </row>
    <row r="14" spans="1:55" hidden="1">
      <c r="A14">
        <v>11</v>
      </c>
      <c r="B14" t="s">
        <v>103</v>
      </c>
      <c r="C14" t="s">
        <v>316</v>
      </c>
      <c r="D14" t="s">
        <v>496</v>
      </c>
      <c r="E14" t="s">
        <v>306</v>
      </c>
      <c r="F14" t="s">
        <v>615</v>
      </c>
      <c r="G14" t="s">
        <v>616</v>
      </c>
      <c r="H14" t="str">
        <f>IF(ISNUMBER(VLOOKUP(C14,'OECD DAC'!B:C,2,FALSE)), "YES", " ")</f>
        <v xml:space="preserve"> </v>
      </c>
      <c r="I14">
        <v>620</v>
      </c>
      <c r="J14">
        <v>2021</v>
      </c>
      <c r="K14" s="15">
        <f>IF(ISNUMBER(VLOOKUP(C14,'WEO GOV REV'!C:BL,58,FALSE)),(VLOOKUP(C14,'WEO GOV REV'!C:BL,58,FALSE)), " ")</f>
        <v>0.95</v>
      </c>
      <c r="L14" s="15">
        <f>IF(ISNUMBER(VLOOKUP(C14,'WEO GOV REV'!C:BL,62,FALSE)),(VLOOKUP(C14,'WEO GOV REV'!C:BL,62,FALSE)), " ")</f>
        <v>31.280869278893647</v>
      </c>
      <c r="M14">
        <f>IF(ISNUMBER(VLOOKUP(C14,'WEO GOV REV'!C:BL,62,FALSE)),(VLOOKUP(C14,'WEO GOV REV'!C:BL,57,FALSE)), " ")</f>
        <v>2020</v>
      </c>
      <c r="N14" s="15" t="str">
        <f>IF(ISNUMBER(VLOOKUP($C14,'IMF COFOG FULL'!$B:$CM,79,FALSE)),(VLOOKUP($C14,'IMF COFOG FULL'!$B:$CM,79,FALSE)), " ")</f>
        <v xml:space="preserve"> </v>
      </c>
      <c r="O14" s="15" t="str">
        <f>IF(ISNUMBER(VLOOKUP($C14,'IMF COFOG FULL'!$B:$CM,80,FALSE)),(VLOOKUP($C14,'IMF COFOG FULL'!$B:$CM,80,FALSE)), " ")</f>
        <v xml:space="preserve"> </v>
      </c>
      <c r="P14" s="15" t="str">
        <f>IF(ISNUMBER(VLOOKUP($C14,'IMF COFOG FULL'!$B:$CM,81,FALSE)),(VLOOKUP($C14,'IMF COFOG FULL'!$B:$CM,81,FALSE)), " ")</f>
        <v xml:space="preserve"> </v>
      </c>
      <c r="Q14" s="15" t="str">
        <f>IF(ISNUMBER(VLOOKUP($C14,'IMF COFOG FULL'!$B:$CM,82,FALSE)),(VLOOKUP($C14,'IMF COFOG FULL'!$B:$CM,82,FALSE)), " ")</f>
        <v xml:space="preserve"> </v>
      </c>
      <c r="R14" s="15" t="str">
        <f>IF(ISNUMBER(VLOOKUP($C14,'IMF COFOG FULL'!$B:$CM,83,FALSE)),(VLOOKUP($C14,'IMF COFOG FULL'!$B:$CM,83,FALSE)), " ")</f>
        <v xml:space="preserve"> </v>
      </c>
      <c r="S14" s="15" t="str">
        <f>IF(ISNUMBER(VLOOKUP($C14,'IMF COFOG FULL'!$B:$CM,84,FALSE)),(VLOOKUP($C14,'IMF COFOG FULL'!$B:$CM,84,FALSE)), " ")</f>
        <v xml:space="preserve"> </v>
      </c>
      <c r="T14" s="15" t="str">
        <f>IF(ISNUMBER(VLOOKUP($C14,'IMF COFOG FULL'!$B:$CM,85,FALSE)),(VLOOKUP($C14,'IMF COFOG FULL'!$B:$CM,85,FALSE)), " ")</f>
        <v xml:space="preserve"> </v>
      </c>
      <c r="U14" s="7" t="str">
        <f>IF(ISNUMBER(VLOOKUP($C14,'IMF COFOG FULL'!$B:$CM,79,FALSE)),(VLOOKUP($C14,'IMF COFOG FULL'!$B:$CM,86,FALSE)), " ")</f>
        <v xml:space="preserve"> </v>
      </c>
      <c r="V14" s="15" t="str">
        <f>IF(ISNUMBER(VLOOKUP($C14,'IMF COFOG FULL'!$B:$CM,79,FALSE)),(VLOOKUP($C14,'IMF COFOG FULL'!$B:$CM,87,FALSE)), " ")</f>
        <v xml:space="preserve"> </v>
      </c>
      <c r="W14" s="15" t="str">
        <f t="shared" si="16"/>
        <v xml:space="preserve"> </v>
      </c>
      <c r="X14" s="15" t="str">
        <f t="shared" si="17"/>
        <v xml:space="preserve"> </v>
      </c>
      <c r="Y14" s="15" t="str">
        <f t="shared" si="18"/>
        <v xml:space="preserve"> </v>
      </c>
      <c r="Z14" s="15" t="str">
        <f t="shared" si="19"/>
        <v xml:space="preserve"> </v>
      </c>
      <c r="AA14" s="15" t="str">
        <f t="shared" si="20"/>
        <v xml:space="preserve"> </v>
      </c>
      <c r="AB14" s="15" t="str">
        <f t="shared" si="21"/>
        <v xml:space="preserve"> </v>
      </c>
      <c r="AC14" s="15" t="str">
        <f t="shared" si="22"/>
        <v xml:space="preserve"> </v>
      </c>
      <c r="AG14" s="15">
        <f>IF(ISNUMBER(VLOOKUP(C14,'National budgets summary'!A:F,5, FALSE)),(VLOOKUP(C14,'National budgets summary'!A:F,5, FALSE)), " ")</f>
        <v>8.9696361000000002E-2</v>
      </c>
      <c r="AH14" t="str">
        <f>IF(ISNUMBER(VLOOKUP(C14,'National budgets summary'!A:F,5, FALSE)),(VLOOKUP(C14,'National budgets summary'!A:F,4, FALSE)), " ")</f>
        <v>FY 20/21</v>
      </c>
      <c r="AI14" s="15">
        <f t="shared" si="1"/>
        <v>9.4417222105263168</v>
      </c>
      <c r="AJ14" s="15">
        <f t="shared" si="8"/>
        <v>2.9534527823510048</v>
      </c>
      <c r="AK14" s="15" t="str">
        <f t="shared" si="9"/>
        <v/>
      </c>
      <c r="AL14" s="15" t="str">
        <f t="shared" si="10"/>
        <v/>
      </c>
      <c r="AM14" s="15" t="str">
        <f t="shared" si="11"/>
        <v/>
      </c>
      <c r="AN14" s="15">
        <f t="shared" si="2"/>
        <v>9.4417222105263168</v>
      </c>
      <c r="AO14" s="15">
        <f t="shared" si="3"/>
        <v>2.9534527823510048</v>
      </c>
      <c r="AP14" t="str">
        <f t="shared" si="4"/>
        <v>FY 20/21</v>
      </c>
      <c r="AQ14" t="str">
        <f t="shared" si="5"/>
        <v>National</v>
      </c>
      <c r="AR14" s="7" t="str">
        <f t="shared" si="12"/>
        <v xml:space="preserve"> </v>
      </c>
      <c r="AS14" s="7" t="str">
        <f t="shared" si="13"/>
        <v xml:space="preserve"> </v>
      </c>
      <c r="AT14" s="7" t="str">
        <f t="shared" si="14"/>
        <v xml:space="preserve"> </v>
      </c>
      <c r="AU14" s="7">
        <f t="shared" si="15"/>
        <v>18.311407250576231</v>
      </c>
    </row>
    <row r="15" spans="1:55">
      <c r="A15">
        <v>12</v>
      </c>
      <c r="B15" t="s">
        <v>104</v>
      </c>
      <c r="C15" t="s">
        <v>317</v>
      </c>
      <c r="D15" t="s">
        <v>496</v>
      </c>
      <c r="E15" t="s">
        <v>306</v>
      </c>
      <c r="F15" t="s">
        <v>615</v>
      </c>
      <c r="G15" t="s">
        <v>616</v>
      </c>
      <c r="H15" t="str">
        <f>IF(ISNUMBER(VLOOKUP(C15,'OECD DAC'!B:C,2,FALSE)), "YES", " ")</f>
        <v xml:space="preserve"> </v>
      </c>
      <c r="I15">
        <v>630</v>
      </c>
      <c r="J15">
        <v>2021</v>
      </c>
      <c r="K15" s="15">
        <f>IF(ISNUMBER(VLOOKUP(C15,'WEO GOV REV'!C:BL,58,FALSE)),(VLOOKUP(C15,'WEO GOV REV'!C:BL,58,FALSE)), " ")</f>
        <v>1438.91</v>
      </c>
      <c r="L15" s="15">
        <f>IF(ISNUMBER(VLOOKUP(C15,'WEO GOV REV'!C:BL,62,FALSE)),(VLOOKUP(C15,'WEO GOV REV'!C:BL,62,FALSE)), " ")</f>
        <v>14.778604911035245</v>
      </c>
      <c r="M15">
        <f>IF(ISNUMBER(VLOOKUP(C15,'WEO GOV REV'!C:BL,62,FALSE)),(VLOOKUP(C15,'WEO GOV REV'!C:BL,57,FALSE)), " ")</f>
        <v>2021</v>
      </c>
      <c r="N15" s="15" t="str">
        <f>IF(ISNUMBER(VLOOKUP($C15,'IMF COFOG FULL'!$B:$CM,79,FALSE)),(VLOOKUP($C15,'IMF COFOG FULL'!$B:$CM,79,FALSE)), " ")</f>
        <v xml:space="preserve"> </v>
      </c>
      <c r="O15" s="15" t="str">
        <f>IF(ISNUMBER(VLOOKUP($C15,'IMF COFOG FULL'!$B:$CM,80,FALSE)),(VLOOKUP($C15,'IMF COFOG FULL'!$B:$CM,80,FALSE)), " ")</f>
        <v xml:space="preserve"> </v>
      </c>
      <c r="P15" s="15" t="str">
        <f>IF(ISNUMBER(VLOOKUP($C15,'IMF COFOG FULL'!$B:$CM,81,FALSE)),(VLOOKUP($C15,'IMF COFOG FULL'!$B:$CM,81,FALSE)), " ")</f>
        <v xml:space="preserve"> </v>
      </c>
      <c r="Q15" s="15" t="str">
        <f>IF(ISNUMBER(VLOOKUP($C15,'IMF COFOG FULL'!$B:$CM,82,FALSE)),(VLOOKUP($C15,'IMF COFOG FULL'!$B:$CM,82,FALSE)), " ")</f>
        <v xml:space="preserve"> </v>
      </c>
      <c r="R15" s="15" t="str">
        <f>IF(ISNUMBER(VLOOKUP($C15,'IMF COFOG FULL'!$B:$CM,83,FALSE)),(VLOOKUP($C15,'IMF COFOG FULL'!$B:$CM,83,FALSE)), " ")</f>
        <v xml:space="preserve"> </v>
      </c>
      <c r="S15" s="15" t="str">
        <f>IF(ISNUMBER(VLOOKUP($C15,'IMF COFOG FULL'!$B:$CM,84,FALSE)),(VLOOKUP($C15,'IMF COFOG FULL'!$B:$CM,84,FALSE)), " ")</f>
        <v xml:space="preserve"> </v>
      </c>
      <c r="T15" s="15" t="str">
        <f>IF(ISNUMBER(VLOOKUP($C15,'IMF COFOG FULL'!$B:$CM,85,FALSE)),(VLOOKUP($C15,'IMF COFOG FULL'!$B:$CM,85,FALSE)), " ")</f>
        <v xml:space="preserve"> </v>
      </c>
      <c r="U15" s="7" t="str">
        <f>IF(ISNUMBER(VLOOKUP($C15,'IMF COFOG FULL'!$B:$CM,79,FALSE)),(VLOOKUP($C15,'IMF COFOG FULL'!$B:$CM,86,FALSE)), " ")</f>
        <v xml:space="preserve"> </v>
      </c>
      <c r="V15" s="15" t="str">
        <f>IF(ISNUMBER(VLOOKUP($C15,'IMF COFOG FULL'!$B:$CM,79,FALSE)),(VLOOKUP($C15,'IMF COFOG FULL'!$B:$CM,87,FALSE)), " ")</f>
        <v xml:space="preserve"> </v>
      </c>
      <c r="W15" s="15" t="str">
        <f t="shared" si="16"/>
        <v xml:space="preserve"> </v>
      </c>
      <c r="X15" s="15" t="str">
        <f t="shared" si="17"/>
        <v xml:space="preserve"> </v>
      </c>
      <c r="Y15" s="15" t="str">
        <f t="shared" si="18"/>
        <v xml:space="preserve"> </v>
      </c>
      <c r="Z15" s="15" t="str">
        <f t="shared" si="19"/>
        <v xml:space="preserve"> </v>
      </c>
      <c r="AA15" s="15" t="str">
        <f t="shared" si="20"/>
        <v xml:space="preserve"> </v>
      </c>
      <c r="AB15" s="15" t="str">
        <f t="shared" si="21"/>
        <v xml:space="preserve"> </v>
      </c>
      <c r="AC15" s="15" t="str">
        <f t="shared" si="22"/>
        <v xml:space="preserve"> </v>
      </c>
      <c r="AD15" s="15">
        <f>Malawi!D23</f>
        <v>58.250265624000001</v>
      </c>
      <c r="AE15" s="15">
        <f>Malawi!D25+Malawi!D22</f>
        <v>12.179449736999999</v>
      </c>
      <c r="AF15" s="15">
        <f>Malawi!D24</f>
        <v>9.9254257940000006</v>
      </c>
      <c r="AG15" s="15">
        <f>IF(ISNUMBER(VLOOKUP(C15,'National budgets summary'!A:F,5, FALSE)),(VLOOKUP(C15,'National budgets summary'!A:F,5, FALSE)), " ")</f>
        <v>85.181432142000006</v>
      </c>
      <c r="AH15" t="str">
        <f>IF(ISNUMBER(VLOOKUP(C15,'National budgets summary'!A:F,5, FALSE)),(VLOOKUP(C15,'National budgets summary'!A:F,4, FALSE)), " ")</f>
        <v>18/19</v>
      </c>
      <c r="AI15" s="15">
        <f t="shared" si="1"/>
        <v>5.9198582358868865</v>
      </c>
      <c r="AJ15" s="15">
        <f t="shared" si="8"/>
        <v>0.87487245997510388</v>
      </c>
      <c r="AK15" s="15">
        <f t="shared" si="9"/>
        <v>4.0482216138604912</v>
      </c>
      <c r="AL15" s="15">
        <f t="shared" si="10"/>
        <v>0.84643582552070651</v>
      </c>
      <c r="AM15" s="15">
        <f t="shared" si="11"/>
        <v>0.68978781119041499</v>
      </c>
      <c r="AN15" s="15">
        <f t="shared" si="2"/>
        <v>5.9198582358868865</v>
      </c>
      <c r="AO15" s="15">
        <f t="shared" si="3"/>
        <v>0.87487245997510388</v>
      </c>
      <c r="AP15" t="str">
        <f t="shared" si="4"/>
        <v>18/19</v>
      </c>
      <c r="AQ15" t="str">
        <f t="shared" si="5"/>
        <v>National</v>
      </c>
      <c r="AR15" s="7">
        <f t="shared" si="12"/>
        <v>3.7691052728841337</v>
      </c>
      <c r="AS15" s="7">
        <f t="shared" si="13"/>
        <v>0.78807586081873859</v>
      </c>
      <c r="AT15" s="7">
        <f t="shared" si="14"/>
        <v>0.64222839664394793</v>
      </c>
      <c r="AU15" s="7">
        <f t="shared" si="15"/>
        <v>5.511696497843154</v>
      </c>
    </row>
    <row r="16" spans="1:55">
      <c r="A16">
        <v>13</v>
      </c>
      <c r="B16" t="s">
        <v>105</v>
      </c>
      <c r="C16" t="s">
        <v>318</v>
      </c>
      <c r="D16" t="s">
        <v>496</v>
      </c>
      <c r="E16" t="s">
        <v>306</v>
      </c>
      <c r="F16" t="s">
        <v>615</v>
      </c>
      <c r="G16" t="s">
        <v>616</v>
      </c>
      <c r="H16" t="str">
        <f>IF(ISNUMBER(VLOOKUP(C16,'OECD DAC'!B:C,2,FALSE)), "YES", " ")</f>
        <v xml:space="preserve"> </v>
      </c>
      <c r="I16">
        <v>650</v>
      </c>
      <c r="J16">
        <v>2021</v>
      </c>
      <c r="K16" s="15">
        <f>IF(ISNUMBER(VLOOKUP(C16,'WEO GOV REV'!C:BL,58,FALSE)),(VLOOKUP(C16,'WEO GOV REV'!C:BL,58,FALSE)), " ")</f>
        <v>1304.19</v>
      </c>
      <c r="L16" s="15">
        <f>IF(ISNUMBER(VLOOKUP(C16,'WEO GOV REV'!C:BL,62,FALSE)),(VLOOKUP(C16,'WEO GOV REV'!C:BL,62,FALSE)), " ")</f>
        <v>21.152171268702105</v>
      </c>
      <c r="M16">
        <f>IF(ISNUMBER(VLOOKUP(C16,'WEO GOV REV'!C:BL,62,FALSE)),(VLOOKUP(C16,'WEO GOV REV'!C:BL,57,FALSE)), " ")</f>
        <v>2020</v>
      </c>
      <c r="N16" s="15" t="str">
        <f>IF(ISNUMBER(VLOOKUP($C16,'IMF COFOG FULL'!$B:$CM,79,FALSE)),(VLOOKUP($C16,'IMF COFOG FULL'!$B:$CM,79,FALSE)), " ")</f>
        <v xml:space="preserve"> </v>
      </c>
      <c r="O16" s="15" t="str">
        <f>IF(ISNUMBER(VLOOKUP($C16,'IMF COFOG FULL'!$B:$CM,80,FALSE)),(VLOOKUP($C16,'IMF COFOG FULL'!$B:$CM,80,FALSE)), " ")</f>
        <v xml:space="preserve"> </v>
      </c>
      <c r="P16" s="15" t="str">
        <f>IF(ISNUMBER(VLOOKUP($C16,'IMF COFOG FULL'!$B:$CM,81,FALSE)),(VLOOKUP($C16,'IMF COFOG FULL'!$B:$CM,81,FALSE)), " ")</f>
        <v xml:space="preserve"> </v>
      </c>
      <c r="Q16" s="15" t="str">
        <f>IF(ISNUMBER(VLOOKUP($C16,'IMF COFOG FULL'!$B:$CM,82,FALSE)),(VLOOKUP($C16,'IMF COFOG FULL'!$B:$CM,82,FALSE)), " ")</f>
        <v xml:space="preserve"> </v>
      </c>
      <c r="R16" s="15" t="str">
        <f>IF(ISNUMBER(VLOOKUP($C16,'IMF COFOG FULL'!$B:$CM,83,FALSE)),(VLOOKUP($C16,'IMF COFOG FULL'!$B:$CM,83,FALSE)), " ")</f>
        <v xml:space="preserve"> </v>
      </c>
      <c r="S16" s="15" t="str">
        <f>IF(ISNUMBER(VLOOKUP($C16,'IMF COFOG FULL'!$B:$CM,84,FALSE)),(VLOOKUP($C16,'IMF COFOG FULL'!$B:$CM,84,FALSE)), " ")</f>
        <v xml:space="preserve"> </v>
      </c>
      <c r="T16" s="15" t="str">
        <f>IF(ISNUMBER(VLOOKUP($C16,'IMF COFOG FULL'!$B:$CM,85,FALSE)),(VLOOKUP($C16,'IMF COFOG FULL'!$B:$CM,85,FALSE)), " ")</f>
        <v xml:space="preserve"> </v>
      </c>
      <c r="U16" s="7" t="str">
        <f>IF(ISNUMBER(VLOOKUP($C16,'IMF COFOG FULL'!$B:$CM,79,FALSE)),(VLOOKUP($C16,'IMF COFOG FULL'!$B:$CM,86,FALSE)), " ")</f>
        <v xml:space="preserve"> </v>
      </c>
      <c r="V16" s="15" t="str">
        <f>IF(ISNUMBER(VLOOKUP($C16,'IMF COFOG FULL'!$B:$CM,79,FALSE)),(VLOOKUP($C16,'IMF COFOG FULL'!$B:$CM,87,FALSE)), " ")</f>
        <v xml:space="preserve"> </v>
      </c>
      <c r="W16" s="15" t="str">
        <f t="shared" si="16"/>
        <v xml:space="preserve"> </v>
      </c>
      <c r="X16" s="15" t="str">
        <f t="shared" si="17"/>
        <v xml:space="preserve"> </v>
      </c>
      <c r="Y16" s="15" t="str">
        <f t="shared" si="18"/>
        <v xml:space="preserve"> </v>
      </c>
      <c r="Z16" s="15" t="str">
        <f t="shared" si="19"/>
        <v xml:space="preserve"> </v>
      </c>
      <c r="AA16" s="15" t="str">
        <f t="shared" si="20"/>
        <v xml:space="preserve"> </v>
      </c>
      <c r="AB16" s="15" t="str">
        <f t="shared" si="21"/>
        <v xml:space="preserve"> </v>
      </c>
      <c r="AC16" s="15" t="str">
        <f t="shared" si="22"/>
        <v xml:space="preserve"> </v>
      </c>
      <c r="AG16" s="15" t="str">
        <f>IF(ISNUMBER(VLOOKUP(C16,'National budgets summary'!A:F,5, FALSE)),(VLOOKUP(C16,'National budgets summary'!A:F,5, FALSE)), " ")</f>
        <v xml:space="preserve"> </v>
      </c>
      <c r="AH16" t="str">
        <f>IF(ISNUMBER(VLOOKUP(C16,'National budgets summary'!A:F,5, FALSE)),(VLOOKUP(C16,'National budgets summary'!A:F,4, FALSE)), " ")</f>
        <v xml:space="preserve"> </v>
      </c>
      <c r="AI16" s="15" t="str">
        <f t="shared" si="1"/>
        <v xml:space="preserve"> </v>
      </c>
      <c r="AJ16" s="15" t="str">
        <f t="shared" si="8"/>
        <v xml:space="preserve"> </v>
      </c>
      <c r="AK16" s="15" t="str">
        <f t="shared" si="9"/>
        <v/>
      </c>
      <c r="AL16" s="15" t="str">
        <f t="shared" si="10"/>
        <v/>
      </c>
      <c r="AM16" s="15" t="str">
        <f t="shared" si="11"/>
        <v/>
      </c>
      <c r="AN16" s="15" t="str">
        <f t="shared" si="2"/>
        <v xml:space="preserve"> </v>
      </c>
      <c r="AO16" s="15" t="str">
        <f t="shared" si="3"/>
        <v xml:space="preserve"> </v>
      </c>
      <c r="AP16" t="str">
        <f t="shared" si="4"/>
        <v xml:space="preserve"> </v>
      </c>
      <c r="AQ16" t="str">
        <f t="shared" si="5"/>
        <v xml:space="preserve"> </v>
      </c>
      <c r="AR16" s="7" t="str">
        <f t="shared" si="12"/>
        <v xml:space="preserve"> </v>
      </c>
      <c r="AS16" s="7" t="str">
        <f t="shared" si="13"/>
        <v xml:space="preserve"> </v>
      </c>
      <c r="AT16" s="7" t="str">
        <f t="shared" si="14"/>
        <v xml:space="preserve"> </v>
      </c>
      <c r="AU16" s="7" t="str">
        <f t="shared" si="15"/>
        <v xml:space="preserve"> </v>
      </c>
    </row>
    <row r="17" spans="1:47">
      <c r="A17">
        <v>14</v>
      </c>
      <c r="B17" t="s">
        <v>106</v>
      </c>
      <c r="C17" t="s">
        <v>319</v>
      </c>
      <c r="D17" t="s">
        <v>496</v>
      </c>
      <c r="E17" t="s">
        <v>306</v>
      </c>
      <c r="F17" t="s">
        <v>615</v>
      </c>
      <c r="G17" t="s">
        <v>616</v>
      </c>
      <c r="H17" t="str">
        <f>IF(ISNUMBER(VLOOKUP(C17,'OECD DAC'!B:C,2,FALSE)), "YES", " ")</f>
        <v xml:space="preserve"> </v>
      </c>
      <c r="I17">
        <v>670</v>
      </c>
      <c r="J17">
        <v>2021</v>
      </c>
      <c r="K17" s="15">
        <f>IF(ISNUMBER(VLOOKUP(C17,'WEO GOV REV'!C:BL,58,FALSE)),(VLOOKUP(C17,'WEO GOV REV'!C:BL,58,FALSE)), " ")</f>
        <v>159.24</v>
      </c>
      <c r="L17" s="15">
        <f>IF(ISNUMBER(VLOOKUP(C17,'WEO GOV REV'!C:BL,62,FALSE)),(VLOOKUP(C17,'WEO GOV REV'!C:BL,62,FALSE)), " ")</f>
        <v>7.8453011454612644</v>
      </c>
      <c r="M17">
        <f>IF(ISNUMBER(VLOOKUP(C17,'WEO GOV REV'!C:BL,62,FALSE)),(VLOOKUP(C17,'WEO GOV REV'!C:BL,57,FALSE)), " ")</f>
        <v>2019</v>
      </c>
      <c r="N17" s="15" t="str">
        <f>IF(ISNUMBER(VLOOKUP($C17,'IMF COFOG FULL'!$B:$CM,79,FALSE)),(VLOOKUP($C17,'IMF COFOG FULL'!$B:$CM,79,FALSE)), " ")</f>
        <v xml:space="preserve"> </v>
      </c>
      <c r="O17" s="15" t="str">
        <f>IF(ISNUMBER(VLOOKUP($C17,'IMF COFOG FULL'!$B:$CM,80,FALSE)),(VLOOKUP($C17,'IMF COFOG FULL'!$B:$CM,80,FALSE)), " ")</f>
        <v xml:space="preserve"> </v>
      </c>
      <c r="P17" s="15" t="str">
        <f>IF(ISNUMBER(VLOOKUP($C17,'IMF COFOG FULL'!$B:$CM,81,FALSE)),(VLOOKUP($C17,'IMF COFOG FULL'!$B:$CM,81,FALSE)), " ")</f>
        <v xml:space="preserve"> </v>
      </c>
      <c r="Q17" s="15" t="str">
        <f>IF(ISNUMBER(VLOOKUP($C17,'IMF COFOG FULL'!$B:$CM,82,FALSE)),(VLOOKUP($C17,'IMF COFOG FULL'!$B:$CM,82,FALSE)), " ")</f>
        <v xml:space="preserve"> </v>
      </c>
      <c r="R17" s="15" t="str">
        <f>IF(ISNUMBER(VLOOKUP($C17,'IMF COFOG FULL'!$B:$CM,83,FALSE)),(VLOOKUP($C17,'IMF COFOG FULL'!$B:$CM,83,FALSE)), " ")</f>
        <v xml:space="preserve"> </v>
      </c>
      <c r="S17" s="15" t="str">
        <f>IF(ISNUMBER(VLOOKUP($C17,'IMF COFOG FULL'!$B:$CM,84,FALSE)),(VLOOKUP($C17,'IMF COFOG FULL'!$B:$CM,84,FALSE)), " ")</f>
        <v xml:space="preserve"> </v>
      </c>
      <c r="T17" s="15" t="str">
        <f>IF(ISNUMBER(VLOOKUP($C17,'IMF COFOG FULL'!$B:$CM,85,FALSE)),(VLOOKUP($C17,'IMF COFOG FULL'!$B:$CM,85,FALSE)), " ")</f>
        <v xml:space="preserve"> </v>
      </c>
      <c r="U17" s="7" t="str">
        <f>IF(ISNUMBER(VLOOKUP($C17,'IMF COFOG FULL'!$B:$CM,79,FALSE)),(VLOOKUP($C17,'IMF COFOG FULL'!$B:$CM,86,FALSE)), " ")</f>
        <v xml:space="preserve"> </v>
      </c>
      <c r="V17" s="15" t="str">
        <f>IF(ISNUMBER(VLOOKUP($C17,'IMF COFOG FULL'!$B:$CM,79,FALSE)),(VLOOKUP($C17,'IMF COFOG FULL'!$B:$CM,87,FALSE)), " ")</f>
        <v xml:space="preserve"> </v>
      </c>
      <c r="W17" s="15" t="str">
        <f t="shared" si="16"/>
        <v xml:space="preserve"> </v>
      </c>
      <c r="X17" s="15" t="str">
        <f t="shared" si="17"/>
        <v xml:space="preserve"> </v>
      </c>
      <c r="Y17" s="15" t="str">
        <f t="shared" si="18"/>
        <v xml:space="preserve"> </v>
      </c>
      <c r="Z17" s="15" t="str">
        <f t="shared" si="19"/>
        <v xml:space="preserve"> </v>
      </c>
      <c r="AA17" s="15" t="str">
        <f t="shared" si="20"/>
        <v xml:space="preserve"> </v>
      </c>
      <c r="AB17" s="15" t="str">
        <f t="shared" si="21"/>
        <v xml:space="preserve"> </v>
      </c>
      <c r="AC17" s="15" t="str">
        <f t="shared" si="22"/>
        <v xml:space="preserve"> </v>
      </c>
      <c r="AG17" s="15">
        <f>IF(ISNUMBER(VLOOKUP(C17,'National budgets summary'!A:F,5, FALSE)),(VLOOKUP(C17,'National budgets summary'!A:F,5, FALSE)), " ")</f>
        <v>11.712399999999999</v>
      </c>
      <c r="AH17" t="str">
        <f>IF(ISNUMBER(VLOOKUP(C17,'National budgets summary'!A:F,5, FALSE)),(VLOOKUP(C17,'National budgets summary'!A:F,4, FALSE)), " ")</f>
        <v>FY 2021</v>
      </c>
      <c r="AI17" s="15">
        <f t="shared" si="1"/>
        <v>7.3551871389098205</v>
      </c>
      <c r="AJ17" s="15">
        <f t="shared" si="8"/>
        <v>0.57703658085971177</v>
      </c>
      <c r="AK17" s="15" t="str">
        <f t="shared" si="9"/>
        <v/>
      </c>
      <c r="AL17" s="15" t="str">
        <f t="shared" si="10"/>
        <v/>
      </c>
      <c r="AM17" s="15" t="str">
        <f t="shared" si="11"/>
        <v/>
      </c>
      <c r="AN17" s="15">
        <f t="shared" si="2"/>
        <v>7.3551871389098205</v>
      </c>
      <c r="AO17" s="15">
        <f t="shared" si="3"/>
        <v>0.57703658085971177</v>
      </c>
      <c r="AP17" t="str">
        <f t="shared" si="4"/>
        <v>FY 2021</v>
      </c>
      <c r="AQ17" t="str">
        <f t="shared" si="5"/>
        <v>National</v>
      </c>
      <c r="AR17" s="7" t="str">
        <f t="shared" si="12"/>
        <v xml:space="preserve"> </v>
      </c>
      <c r="AS17" s="7" t="str">
        <f t="shared" si="13"/>
        <v xml:space="preserve"> </v>
      </c>
      <c r="AT17" s="7" t="str">
        <f t="shared" si="14"/>
        <v xml:space="preserve"> </v>
      </c>
      <c r="AU17" s="7">
        <f t="shared" si="15"/>
        <v>3.8661450917600693</v>
      </c>
    </row>
    <row r="18" spans="1:47">
      <c r="A18">
        <v>15</v>
      </c>
      <c r="B18" t="s">
        <v>107</v>
      </c>
      <c r="C18" t="s">
        <v>320</v>
      </c>
      <c r="D18" t="s">
        <v>487</v>
      </c>
      <c r="E18" t="s">
        <v>306</v>
      </c>
      <c r="F18" t="s">
        <v>615</v>
      </c>
      <c r="H18" t="str">
        <f>IF(ISNUMBER(VLOOKUP(C18,'OECD DAC'!B:C,2,FALSE)), "YES", " ")</f>
        <v xml:space="preserve"> </v>
      </c>
      <c r="I18">
        <v>670</v>
      </c>
      <c r="J18">
        <v>2020</v>
      </c>
      <c r="K18" s="15">
        <f>IF(ISNUMBER(VLOOKUP(C18,'WEO GOV REV'!C:BL,58,FALSE)),(VLOOKUP(C18,'WEO GOV REV'!C:BL,58,FALSE)), " ")</f>
        <v>915</v>
      </c>
      <c r="L18" s="15">
        <f>IF(ISNUMBER(VLOOKUP(C18,'WEO GOV REV'!C:BL,62,FALSE)),(VLOOKUP(C18,'WEO GOV REV'!C:BL,62,FALSE)), " ")</f>
        <v>6.5366340835103216</v>
      </c>
      <c r="M18">
        <f>IF(ISNUMBER(VLOOKUP(C18,'WEO GOV REV'!C:BL,62,FALSE)),(VLOOKUP(C18,'WEO GOV REV'!C:BL,57,FALSE)), " ")</f>
        <v>2020</v>
      </c>
      <c r="N18" s="15" t="str">
        <f>IF(ISNUMBER(VLOOKUP($C18,'IMF COFOG FULL'!$B:$CM,79,FALSE)),(VLOOKUP($C18,'IMF COFOG FULL'!$B:$CM,79,FALSE)), " ")</f>
        <v xml:space="preserve"> </v>
      </c>
      <c r="O18" s="15" t="str">
        <f>IF(ISNUMBER(VLOOKUP($C18,'IMF COFOG FULL'!$B:$CM,80,FALSE)),(VLOOKUP($C18,'IMF COFOG FULL'!$B:$CM,80,FALSE)), " ")</f>
        <v xml:space="preserve"> </v>
      </c>
      <c r="P18" s="15" t="str">
        <f>IF(ISNUMBER(VLOOKUP($C18,'IMF COFOG FULL'!$B:$CM,81,FALSE)),(VLOOKUP($C18,'IMF COFOG FULL'!$B:$CM,81,FALSE)), " ")</f>
        <v xml:space="preserve"> </v>
      </c>
      <c r="Q18" s="15" t="str">
        <f>IF(ISNUMBER(VLOOKUP($C18,'IMF COFOG FULL'!$B:$CM,82,FALSE)),(VLOOKUP($C18,'IMF COFOG FULL'!$B:$CM,82,FALSE)), " ")</f>
        <v xml:space="preserve"> </v>
      </c>
      <c r="R18" s="15" t="str">
        <f>IF(ISNUMBER(VLOOKUP($C18,'IMF COFOG FULL'!$B:$CM,83,FALSE)),(VLOOKUP($C18,'IMF COFOG FULL'!$B:$CM,83,FALSE)), " ")</f>
        <v xml:space="preserve"> </v>
      </c>
      <c r="S18" s="15" t="str">
        <f>IF(ISNUMBER(VLOOKUP($C18,'IMF COFOG FULL'!$B:$CM,84,FALSE)),(VLOOKUP($C18,'IMF COFOG FULL'!$B:$CM,84,FALSE)), " ")</f>
        <v xml:space="preserve"> </v>
      </c>
      <c r="T18" s="15" t="str">
        <f>IF(ISNUMBER(VLOOKUP($C18,'IMF COFOG FULL'!$B:$CM,85,FALSE)),(VLOOKUP($C18,'IMF COFOG FULL'!$B:$CM,85,FALSE)), " ")</f>
        <v xml:space="preserve"> </v>
      </c>
      <c r="U18" s="7" t="str">
        <f>IF(ISNUMBER(VLOOKUP($C18,'IMF COFOG FULL'!$B:$CM,79,FALSE)),(VLOOKUP($C18,'IMF COFOG FULL'!$B:$CM,86,FALSE)), " ")</f>
        <v xml:space="preserve"> </v>
      </c>
      <c r="V18" s="15" t="str">
        <f>IF(ISNUMBER(VLOOKUP($C18,'IMF COFOG FULL'!$B:$CM,79,FALSE)),(VLOOKUP($C18,'IMF COFOG FULL'!$B:$CM,87,FALSE)), " ")</f>
        <v xml:space="preserve"> </v>
      </c>
      <c r="W18" s="15" t="str">
        <f t="shared" si="16"/>
        <v xml:space="preserve"> </v>
      </c>
      <c r="X18" s="15" t="str">
        <f t="shared" si="17"/>
        <v xml:space="preserve"> </v>
      </c>
      <c r="Y18" s="15" t="str">
        <f t="shared" si="18"/>
        <v xml:space="preserve"> </v>
      </c>
      <c r="Z18" s="15" t="str">
        <f t="shared" si="19"/>
        <v xml:space="preserve"> </v>
      </c>
      <c r="AA18" s="15" t="str">
        <f t="shared" si="20"/>
        <v xml:space="preserve"> </v>
      </c>
      <c r="AB18" s="15" t="str">
        <f t="shared" si="21"/>
        <v xml:space="preserve"> </v>
      </c>
      <c r="AC18" s="15" t="str">
        <f t="shared" si="22"/>
        <v xml:space="preserve"> </v>
      </c>
      <c r="AG18" s="15" t="str">
        <f>IF(ISNUMBER(VLOOKUP(C18,'National budgets summary'!A:F,5, FALSE)),(VLOOKUP(C18,'National budgets summary'!A:F,5, FALSE)), " ")</f>
        <v xml:space="preserve"> </v>
      </c>
      <c r="AH18" t="str">
        <f>IF(ISNUMBER(VLOOKUP(C18,'National budgets summary'!A:F,5, FALSE)),(VLOOKUP(C18,'National budgets summary'!A:F,4, FALSE)), " ")</f>
        <v xml:space="preserve"> </v>
      </c>
      <c r="AI18" s="15" t="str">
        <f t="shared" si="1"/>
        <v xml:space="preserve"> </v>
      </c>
      <c r="AJ18" s="15" t="str">
        <f t="shared" si="8"/>
        <v xml:space="preserve"> </v>
      </c>
      <c r="AK18" s="15" t="str">
        <f t="shared" si="9"/>
        <v/>
      </c>
      <c r="AL18" s="15" t="str">
        <f t="shared" si="10"/>
        <v/>
      </c>
      <c r="AM18" s="15" t="str">
        <f t="shared" si="11"/>
        <v/>
      </c>
      <c r="AN18" s="15" t="str">
        <f t="shared" si="2"/>
        <v xml:space="preserve"> </v>
      </c>
      <c r="AO18" s="15" t="str">
        <f t="shared" si="3"/>
        <v xml:space="preserve"> </v>
      </c>
      <c r="AP18" t="str">
        <f t="shared" si="4"/>
        <v xml:space="preserve"> </v>
      </c>
      <c r="AQ18" t="str">
        <f t="shared" si="5"/>
        <v xml:space="preserve"> </v>
      </c>
      <c r="AR18" s="7" t="str">
        <f t="shared" si="12"/>
        <v xml:space="preserve"> </v>
      </c>
      <c r="AS18" s="7" t="str">
        <f t="shared" si="13"/>
        <v xml:space="preserve"> </v>
      </c>
      <c r="AT18" s="7" t="str">
        <f t="shared" si="14"/>
        <v xml:space="preserve"> </v>
      </c>
      <c r="AU18" s="7" t="str">
        <f t="shared" si="15"/>
        <v xml:space="preserve"> </v>
      </c>
    </row>
    <row r="19" spans="1:47">
      <c r="A19">
        <v>16</v>
      </c>
      <c r="B19" t="s">
        <v>108</v>
      </c>
      <c r="C19" t="s">
        <v>321</v>
      </c>
      <c r="D19" t="s">
        <v>496</v>
      </c>
      <c r="E19" t="s">
        <v>306</v>
      </c>
      <c r="F19" t="s">
        <v>615</v>
      </c>
      <c r="G19" t="s">
        <v>616</v>
      </c>
      <c r="H19" t="str">
        <f>IF(ISNUMBER(VLOOKUP(C19,'OECD DAC'!B:C,2,FALSE)), "YES", " ")</f>
        <v xml:space="preserve"> </v>
      </c>
      <c r="I19">
        <v>780</v>
      </c>
      <c r="J19">
        <v>2021</v>
      </c>
      <c r="K19" s="15">
        <f>IF(ISNUMBER(VLOOKUP(C19,'WEO GOV REV'!C:BL,58,FALSE)),(VLOOKUP(C19,'WEO GOV REV'!C:BL,58,FALSE)), " ")</f>
        <v>134.74799999999999</v>
      </c>
      <c r="L19" s="15">
        <f>IF(ISNUMBER(VLOOKUP(C19,'WEO GOV REV'!C:BL,62,FALSE)),(VLOOKUP(C19,'WEO GOV REV'!C:BL,62,FALSE)), " ")</f>
        <v>15.898249691764052</v>
      </c>
      <c r="M19">
        <f>IF(ISNUMBER(VLOOKUP(C19,'WEO GOV REV'!C:BL,62,FALSE)),(VLOOKUP(C19,'WEO GOV REV'!C:BL,57,FALSE)), " ")</f>
        <v>2020</v>
      </c>
      <c r="N19" s="15" t="str">
        <f>IF(ISNUMBER(VLOOKUP($C19,'IMF COFOG FULL'!$B:$CM,79,FALSE)),(VLOOKUP($C19,'IMF COFOG FULL'!$B:$CM,79,FALSE)), " ")</f>
        <v xml:space="preserve"> </v>
      </c>
      <c r="O19" s="15" t="str">
        <f>IF(ISNUMBER(VLOOKUP($C19,'IMF COFOG FULL'!$B:$CM,80,FALSE)),(VLOOKUP($C19,'IMF COFOG FULL'!$B:$CM,80,FALSE)), " ")</f>
        <v xml:space="preserve"> </v>
      </c>
      <c r="P19" s="15" t="str">
        <f>IF(ISNUMBER(VLOOKUP($C19,'IMF COFOG FULL'!$B:$CM,81,FALSE)),(VLOOKUP($C19,'IMF COFOG FULL'!$B:$CM,81,FALSE)), " ")</f>
        <v xml:space="preserve"> </v>
      </c>
      <c r="Q19" s="15" t="str">
        <f>IF(ISNUMBER(VLOOKUP($C19,'IMF COFOG FULL'!$B:$CM,82,FALSE)),(VLOOKUP($C19,'IMF COFOG FULL'!$B:$CM,82,FALSE)), " ")</f>
        <v xml:space="preserve"> </v>
      </c>
      <c r="R19" s="15" t="str">
        <f>IF(ISNUMBER(VLOOKUP($C19,'IMF COFOG FULL'!$B:$CM,83,FALSE)),(VLOOKUP($C19,'IMF COFOG FULL'!$B:$CM,83,FALSE)), " ")</f>
        <v xml:space="preserve"> </v>
      </c>
      <c r="S19" s="15" t="str">
        <f>IF(ISNUMBER(VLOOKUP($C19,'IMF COFOG FULL'!$B:$CM,84,FALSE)),(VLOOKUP($C19,'IMF COFOG FULL'!$B:$CM,84,FALSE)), " ")</f>
        <v xml:space="preserve"> </v>
      </c>
      <c r="T19" s="15" t="str">
        <f>IF(ISNUMBER(VLOOKUP($C19,'IMF COFOG FULL'!$B:$CM,85,FALSE)),(VLOOKUP($C19,'IMF COFOG FULL'!$B:$CM,85,FALSE)), " ")</f>
        <v xml:space="preserve"> </v>
      </c>
      <c r="U19" s="7" t="str">
        <f>IF(ISNUMBER(VLOOKUP($C19,'IMF COFOG FULL'!$B:$CM,79,FALSE)),(VLOOKUP($C19,'IMF COFOG FULL'!$B:$CM,86,FALSE)), " ")</f>
        <v xml:space="preserve"> </v>
      </c>
      <c r="V19" s="15" t="str">
        <f>IF(ISNUMBER(VLOOKUP($C19,'IMF COFOG FULL'!$B:$CM,79,FALSE)),(VLOOKUP($C19,'IMF COFOG FULL'!$B:$CM,87,FALSE)), " ")</f>
        <v xml:space="preserve"> </v>
      </c>
      <c r="W19" s="15" t="str">
        <f t="shared" si="16"/>
        <v xml:space="preserve"> </v>
      </c>
      <c r="X19" s="15" t="str">
        <f t="shared" si="17"/>
        <v xml:space="preserve"> </v>
      </c>
      <c r="Y19" s="15" t="str">
        <f t="shared" si="18"/>
        <v xml:space="preserve"> </v>
      </c>
      <c r="Z19" s="15" t="str">
        <f t="shared" si="19"/>
        <v xml:space="preserve"> </v>
      </c>
      <c r="AA19" s="15" t="str">
        <f t="shared" si="20"/>
        <v xml:space="preserve"> </v>
      </c>
      <c r="AB19" s="15" t="str">
        <f t="shared" si="21"/>
        <v xml:space="preserve"> </v>
      </c>
      <c r="AC19" s="15" t="str">
        <f t="shared" si="22"/>
        <v xml:space="preserve"> </v>
      </c>
      <c r="AG19" s="15" t="str">
        <f>IF(ISNUMBER(VLOOKUP(C19,'National budgets summary'!A:F,5, FALSE)),(VLOOKUP(C19,'National budgets summary'!A:F,5, FALSE)), " ")</f>
        <v xml:space="preserve"> </v>
      </c>
      <c r="AH19" t="str">
        <f>IF(ISNUMBER(VLOOKUP(C19,'National budgets summary'!A:F,5, FALSE)),(VLOOKUP(C19,'National budgets summary'!A:F,4, FALSE)), " ")</f>
        <v xml:space="preserve"> </v>
      </c>
      <c r="AI19" s="15" t="str">
        <f t="shared" si="1"/>
        <v xml:space="preserve"> </v>
      </c>
      <c r="AJ19" s="15" t="str">
        <f t="shared" si="8"/>
        <v xml:space="preserve"> </v>
      </c>
      <c r="AK19" s="15" t="str">
        <f t="shared" si="9"/>
        <v/>
      </c>
      <c r="AL19" s="15" t="str">
        <f t="shared" si="10"/>
        <v/>
      </c>
      <c r="AM19" s="15" t="str">
        <f t="shared" si="11"/>
        <v/>
      </c>
      <c r="AN19" s="15" t="str">
        <f t="shared" si="2"/>
        <v xml:space="preserve"> </v>
      </c>
      <c r="AO19" s="15" t="str">
        <f t="shared" si="3"/>
        <v xml:space="preserve"> </v>
      </c>
      <c r="AP19" t="str">
        <f t="shared" si="4"/>
        <v xml:space="preserve"> </v>
      </c>
      <c r="AQ19" t="str">
        <f t="shared" si="5"/>
        <v xml:space="preserve"> </v>
      </c>
      <c r="AR19" s="7" t="str">
        <f t="shared" si="12"/>
        <v xml:space="preserve"> </v>
      </c>
      <c r="AS19" s="7" t="str">
        <f t="shared" si="13"/>
        <v xml:space="preserve"> </v>
      </c>
      <c r="AT19" s="7" t="str">
        <f t="shared" si="14"/>
        <v xml:space="preserve"> </v>
      </c>
      <c r="AU19" s="7" t="str">
        <f t="shared" si="15"/>
        <v xml:space="preserve"> </v>
      </c>
    </row>
    <row r="20" spans="1:47">
      <c r="A20">
        <v>17</v>
      </c>
      <c r="B20" t="s">
        <v>109</v>
      </c>
      <c r="C20" t="s">
        <v>322</v>
      </c>
      <c r="D20" t="s">
        <v>496</v>
      </c>
      <c r="E20" t="s">
        <v>306</v>
      </c>
      <c r="F20" t="s">
        <v>615</v>
      </c>
      <c r="G20" t="s">
        <v>616</v>
      </c>
      <c r="H20" t="str">
        <f>IF(ISNUMBER(VLOOKUP(C20,'OECD DAC'!B:C,2,FALSE)), "YES", " ")</f>
        <v xml:space="preserve"> </v>
      </c>
      <c r="I20">
        <v>800</v>
      </c>
      <c r="J20">
        <v>2021</v>
      </c>
      <c r="K20" s="15">
        <f>IF(ISNUMBER(VLOOKUP(C20,'WEO GOV REV'!C:BL,58,FALSE)),(VLOOKUP(C20,'WEO GOV REV'!C:BL,58,FALSE)), " ")</f>
        <v>21.446000000000002</v>
      </c>
      <c r="L20" s="15">
        <f>IF(ISNUMBER(VLOOKUP(C20,'WEO GOV REV'!C:BL,62,FALSE)),(VLOOKUP(C20,'WEO GOV REV'!C:BL,62,FALSE)), " ")</f>
        <v>22.749790493163182</v>
      </c>
      <c r="M20">
        <f>IF(ISNUMBER(VLOOKUP(C20,'WEO GOV REV'!C:BL,62,FALSE)),(VLOOKUP(C20,'WEO GOV REV'!C:BL,57,FALSE)), " ")</f>
        <v>2020</v>
      </c>
      <c r="N20" s="15" t="str">
        <f>IF(ISNUMBER(VLOOKUP($C20,'IMF COFOG FULL'!$B:$CM,79,FALSE)),(VLOOKUP($C20,'IMF COFOG FULL'!$B:$CM,79,FALSE)), " ")</f>
        <v xml:space="preserve"> </v>
      </c>
      <c r="O20" s="15" t="str">
        <f>IF(ISNUMBER(VLOOKUP($C20,'IMF COFOG FULL'!$B:$CM,80,FALSE)),(VLOOKUP($C20,'IMF COFOG FULL'!$B:$CM,80,FALSE)), " ")</f>
        <v xml:space="preserve"> </v>
      </c>
      <c r="P20" s="15" t="str">
        <f>IF(ISNUMBER(VLOOKUP($C20,'IMF COFOG FULL'!$B:$CM,81,FALSE)),(VLOOKUP($C20,'IMF COFOG FULL'!$B:$CM,81,FALSE)), " ")</f>
        <v xml:space="preserve"> </v>
      </c>
      <c r="Q20" s="15" t="str">
        <f>IF(ISNUMBER(VLOOKUP($C20,'IMF COFOG FULL'!$B:$CM,82,FALSE)),(VLOOKUP($C20,'IMF COFOG FULL'!$B:$CM,82,FALSE)), " ")</f>
        <v xml:space="preserve"> </v>
      </c>
      <c r="R20" s="15" t="str">
        <f>IF(ISNUMBER(VLOOKUP($C20,'IMF COFOG FULL'!$B:$CM,83,FALSE)),(VLOOKUP($C20,'IMF COFOG FULL'!$B:$CM,83,FALSE)), " ")</f>
        <v xml:space="preserve"> </v>
      </c>
      <c r="S20" s="15" t="str">
        <f>IF(ISNUMBER(VLOOKUP($C20,'IMF COFOG FULL'!$B:$CM,84,FALSE)),(VLOOKUP($C20,'IMF COFOG FULL'!$B:$CM,84,FALSE)), " ")</f>
        <v xml:space="preserve"> </v>
      </c>
      <c r="T20" s="15" t="str">
        <f>IF(ISNUMBER(VLOOKUP($C20,'IMF COFOG FULL'!$B:$CM,85,FALSE)),(VLOOKUP($C20,'IMF COFOG FULL'!$B:$CM,85,FALSE)), " ")</f>
        <v xml:space="preserve"> </v>
      </c>
      <c r="U20" s="7" t="str">
        <f>IF(ISNUMBER(VLOOKUP($C20,'IMF COFOG FULL'!$B:$CM,79,FALSE)),(VLOOKUP($C20,'IMF COFOG FULL'!$B:$CM,86,FALSE)), " ")</f>
        <v xml:space="preserve"> </v>
      </c>
      <c r="V20" s="15" t="str">
        <f>IF(ISNUMBER(VLOOKUP($C20,'IMF COFOG FULL'!$B:$CM,79,FALSE)),(VLOOKUP($C20,'IMF COFOG FULL'!$B:$CM,87,FALSE)), " ")</f>
        <v xml:space="preserve"> </v>
      </c>
      <c r="W20" s="15" t="str">
        <f t="shared" si="16"/>
        <v xml:space="preserve"> </v>
      </c>
      <c r="X20" s="15" t="str">
        <f t="shared" si="17"/>
        <v xml:space="preserve"> </v>
      </c>
      <c r="Y20" s="15" t="str">
        <f t="shared" si="18"/>
        <v xml:space="preserve"> </v>
      </c>
      <c r="Z20" s="15" t="str">
        <f t="shared" si="19"/>
        <v xml:space="preserve"> </v>
      </c>
      <c r="AA20" s="15" t="str">
        <f t="shared" si="20"/>
        <v xml:space="preserve"> </v>
      </c>
      <c r="AB20" s="15" t="str">
        <f t="shared" si="21"/>
        <v xml:space="preserve"> </v>
      </c>
      <c r="AC20" s="15" t="str">
        <f t="shared" si="22"/>
        <v xml:space="preserve"> </v>
      </c>
      <c r="AD20" s="15">
        <f>Gambia!C27</f>
        <v>0.12726299999999999</v>
      </c>
      <c r="AE20" s="15">
        <f>Gambia!C28</f>
        <v>0.25328699999999998</v>
      </c>
      <c r="AF20" s="15">
        <f>Gambia!C30</f>
        <v>8.6198999999999998E-2</v>
      </c>
      <c r="AG20" s="15">
        <f>IF(ISNUMBER(VLOOKUP(C20,'National budgets summary'!A:F,5, FALSE)),(VLOOKUP(C20,'National budgets summary'!A:F,5, FALSE)), " ")</f>
        <v>1.1928799999999999</v>
      </c>
      <c r="AH20">
        <f>IF(ISNUMBER(VLOOKUP(C20,'National budgets summary'!A:F,5, FALSE)),(VLOOKUP(C20,'National budgets summary'!A:F,4, FALSE)), " ")</f>
        <v>2020</v>
      </c>
      <c r="AI20" s="15">
        <f t="shared" si="1"/>
        <v>5.5622493705119833</v>
      </c>
      <c r="AJ20" s="15">
        <f t="shared" si="8"/>
        <v>1.2654000784987642</v>
      </c>
      <c r="AK20" s="15">
        <f t="shared" si="9"/>
        <v>0.59341135876154061</v>
      </c>
      <c r="AL20" s="15">
        <f t="shared" si="10"/>
        <v>1.1810454163946655</v>
      </c>
      <c r="AM20" s="15">
        <f t="shared" si="11"/>
        <v>0.40193509279119649</v>
      </c>
      <c r="AN20" s="15">
        <f t="shared" si="2"/>
        <v>5.5622493705119833</v>
      </c>
      <c r="AO20" s="15">
        <f t="shared" si="3"/>
        <v>1.2654000784987642</v>
      </c>
      <c r="AP20">
        <f t="shared" si="4"/>
        <v>2020</v>
      </c>
      <c r="AQ20" t="str">
        <f t="shared" si="5"/>
        <v>National</v>
      </c>
      <c r="AR20" s="7">
        <f t="shared" si="12"/>
        <v>1.0799987270470675</v>
      </c>
      <c r="AS20" s="7">
        <f t="shared" si="13"/>
        <v>2.1494828628711451</v>
      </c>
      <c r="AT20" s="7">
        <f t="shared" si="14"/>
        <v>0.73151513222798592</v>
      </c>
      <c r="AU20" s="7">
        <f t="shared" si="15"/>
        <v>10.123200627990114</v>
      </c>
    </row>
    <row r="21" spans="1:47">
      <c r="A21">
        <v>18</v>
      </c>
      <c r="B21" t="s">
        <v>110</v>
      </c>
      <c r="C21" t="s">
        <v>323</v>
      </c>
      <c r="D21" t="s">
        <v>496</v>
      </c>
      <c r="E21" t="s">
        <v>306</v>
      </c>
      <c r="F21" t="s">
        <v>615</v>
      </c>
      <c r="G21" t="s">
        <v>616</v>
      </c>
      <c r="H21" t="str">
        <f>IF(ISNUMBER(VLOOKUP(C21,'OECD DAC'!B:C,2,FALSE)), "YES", " ")</f>
        <v xml:space="preserve"> </v>
      </c>
      <c r="I21">
        <v>840</v>
      </c>
      <c r="J21">
        <v>2021</v>
      </c>
      <c r="K21" s="15">
        <f>IF(ISNUMBER(VLOOKUP(C21,'WEO GOV REV'!C:BL,58,FALSE)),(VLOOKUP(C21,'WEO GOV REV'!C:BL,58,FALSE)), " ")</f>
        <v>19699</v>
      </c>
      <c r="L21" s="15">
        <f>IF(ISNUMBER(VLOOKUP(C21,'WEO GOV REV'!C:BL,62,FALSE)),(VLOOKUP(C21,'WEO GOV REV'!C:BL,62,FALSE)), " ")</f>
        <v>13.94382547390178</v>
      </c>
      <c r="M21">
        <f>IF(ISNUMBER(VLOOKUP(C21,'WEO GOV REV'!C:BL,62,FALSE)),(VLOOKUP(C21,'WEO GOV REV'!C:BL,57,FALSE)), " ")</f>
        <v>2020</v>
      </c>
      <c r="N21" s="15">
        <f>IF(ISNUMBER(VLOOKUP($C21,'IMF COFOG FULL'!$B:$CM,79,FALSE)),(VLOOKUP($C21,'IMF COFOG FULL'!$B:$CM,79,FALSE)), " ")</f>
        <v>1.01011587088385</v>
      </c>
      <c r="O21" s="15">
        <f>IF(ISNUMBER(VLOOKUP($C21,'IMF COFOG FULL'!$B:$CM,80,FALSE)),(VLOOKUP($C21,'IMF COFOG FULL'!$B:$CM,80,FALSE)), " ")</f>
        <v>0</v>
      </c>
      <c r="P21" s="15">
        <f>IF(ISNUMBER(VLOOKUP($C21,'IMF COFOG FULL'!$B:$CM,81,FALSE)),(VLOOKUP($C21,'IMF COFOG FULL'!$B:$CM,81,FALSE)), " ")</f>
        <v>0</v>
      </c>
      <c r="Q21" s="15">
        <f>IF(ISNUMBER(VLOOKUP($C21,'IMF COFOG FULL'!$B:$CM,82,FALSE)),(VLOOKUP($C21,'IMF COFOG FULL'!$B:$CM,82,FALSE)), " ")</f>
        <v>0</v>
      </c>
      <c r="R21" s="15">
        <f>IF(ISNUMBER(VLOOKUP($C21,'IMF COFOG FULL'!$B:$CM,83,FALSE)),(VLOOKUP($C21,'IMF COFOG FULL'!$B:$CM,83,FALSE)), " ")</f>
        <v>0</v>
      </c>
      <c r="S21" s="15">
        <f>IF(ISNUMBER(VLOOKUP($C21,'IMF COFOG FULL'!$B:$CM,84,FALSE)),(VLOOKUP($C21,'IMF COFOG FULL'!$B:$CM,84,FALSE)), " ")</f>
        <v>0</v>
      </c>
      <c r="T21" s="15">
        <f>IF(ISNUMBER(VLOOKUP($C21,'IMF COFOG FULL'!$B:$CM,85,FALSE)),(VLOOKUP($C21,'IMF COFOG FULL'!$B:$CM,85,FALSE)), " ")</f>
        <v>1.01011587088385</v>
      </c>
      <c r="U21" s="7">
        <f>IF(ISNUMBER(VLOOKUP($C21,'IMF COFOG FULL'!$B:$CM,79,FALSE)),(VLOOKUP($C21,'IMF COFOG FULL'!$B:$CM,86,FALSE)), " ")</f>
        <v>2020</v>
      </c>
      <c r="V21" s="15" t="str">
        <f>IF(ISNUMBER(VLOOKUP($C21,'IMF COFOG FULL'!$B:$CM,79,FALSE)),(VLOOKUP($C21,'IMF COFOG FULL'!$B:$CM,87,FALSE)), " ")</f>
        <v>Budgetary central government</v>
      </c>
      <c r="W21" s="15">
        <f t="shared" si="16"/>
        <v>7.2441803920627965</v>
      </c>
      <c r="X21" s="15">
        <f t="shared" si="17"/>
        <v>0</v>
      </c>
      <c r="Y21" s="15">
        <f t="shared" si="18"/>
        <v>0</v>
      </c>
      <c r="Z21" s="15">
        <f t="shared" si="19"/>
        <v>0</v>
      </c>
      <c r="AA21" s="15">
        <f t="shared" si="20"/>
        <v>0</v>
      </c>
      <c r="AB21" s="15">
        <f t="shared" si="21"/>
        <v>0</v>
      </c>
      <c r="AC21" s="15">
        <f t="shared" si="22"/>
        <v>7.2441803920627965</v>
      </c>
      <c r="AD21" s="15">
        <f>Uganda!J23</f>
        <v>924.32899999999995</v>
      </c>
      <c r="AE21" s="15">
        <f>Uganda!J16+Uganda!J14+Uganda!J17+Uganda!J19+Uganda!J25</f>
        <v>335.22200000000004</v>
      </c>
      <c r="AF21" s="15">
        <f>Uganda!J24</f>
        <v>263.53399999999999</v>
      </c>
      <c r="AG21" s="15">
        <f>IF(ISNUMBER(VLOOKUP(C21,'National budgets summary'!A:F,5, FALSE)),(VLOOKUP(C21,'National budgets summary'!A:F,5, FALSE)), " ")</f>
        <v>1829.2479999999996</v>
      </c>
      <c r="AH21" t="str">
        <f>IF(ISNUMBER(VLOOKUP(C21,'National budgets summary'!A:F,5, FALSE)),(VLOOKUP(C21,'National budgets summary'!A:F,4, FALSE)), " ")</f>
        <v>FY 20/21</v>
      </c>
      <c r="AI21" s="15">
        <f t="shared" si="1"/>
        <v>9.2859942129042068</v>
      </c>
      <c r="AJ21" s="15">
        <f t="shared" si="8"/>
        <v>1.2948228265639818</v>
      </c>
      <c r="AK21" s="15">
        <f t="shared" si="9"/>
        <v>0</v>
      </c>
      <c r="AL21" s="15">
        <f t="shared" si="10"/>
        <v>0</v>
      </c>
      <c r="AM21" s="15">
        <f t="shared" si="11"/>
        <v>0</v>
      </c>
      <c r="AN21" s="15">
        <f>IF(ISNUMBER(AI21),AI21,IF(ISNUMBER(W21),W21, " "))</f>
        <v>9.2859942129042068</v>
      </c>
      <c r="AO21" s="15">
        <f>IF(ISNUMBER(AJ21),AJ21,IF(ISNUMBER(N21),N21, " "))</f>
        <v>1.2948228265639818</v>
      </c>
      <c r="AP21" t="str">
        <f>IF(ISNUMBER(AJ21),AH21,IF(ISNUMBER(N21),U21, " "))</f>
        <v>FY 20/21</v>
      </c>
      <c r="AQ21" t="str">
        <f>IF(ISNUMBER(AJ21),"National",IF(ISNUMBER(N21),"IMF COFOG", " "))</f>
        <v>National</v>
      </c>
      <c r="AR21" s="7">
        <f t="shared" si="12"/>
        <v>0</v>
      </c>
      <c r="AS21" s="7">
        <f t="shared" si="13"/>
        <v>0</v>
      </c>
      <c r="AT21" s="7">
        <f t="shared" si="14"/>
        <v>0</v>
      </c>
      <c r="AU21" s="7">
        <f t="shared" si="15"/>
        <v>10.876511743137447</v>
      </c>
    </row>
    <row r="22" spans="1:47">
      <c r="A22">
        <v>19</v>
      </c>
      <c r="B22" t="s">
        <v>111</v>
      </c>
      <c r="C22" t="s">
        <v>324</v>
      </c>
      <c r="D22" t="s">
        <v>496</v>
      </c>
      <c r="E22" t="s">
        <v>306</v>
      </c>
      <c r="F22" t="s">
        <v>615</v>
      </c>
      <c r="G22" t="s">
        <v>616</v>
      </c>
      <c r="H22" t="str">
        <f>IF(ISNUMBER(VLOOKUP(C22,'OECD DAC'!B:C,2,FALSE)), "YES", " ")</f>
        <v xml:space="preserve"> </v>
      </c>
      <c r="I22">
        <v>850</v>
      </c>
      <c r="J22">
        <v>2021</v>
      </c>
      <c r="K22" s="15">
        <f>IF(ISNUMBER(VLOOKUP(C22,'WEO GOV REV'!C:BL,58,FALSE)),(VLOOKUP(C22,'WEO GOV REV'!C:BL,58,FALSE)), " ")</f>
        <v>2152.3000000000002</v>
      </c>
      <c r="L22" s="15">
        <f>IF(ISNUMBER(VLOOKUP(C22,'WEO GOV REV'!C:BL,62,FALSE)),(VLOOKUP(C22,'WEO GOV REV'!C:BL,62,FALSE)), " ")</f>
        <v>23.105743424584006</v>
      </c>
      <c r="M22">
        <f>IF(ISNUMBER(VLOOKUP(C22,'WEO GOV REV'!C:BL,62,FALSE)),(VLOOKUP(C22,'WEO GOV REV'!C:BL,57,FALSE)), " ")</f>
        <v>2019</v>
      </c>
      <c r="N22" s="15" t="str">
        <f>IF(ISNUMBER(VLOOKUP($C22,'IMF COFOG FULL'!$B:$CM,79,FALSE)),(VLOOKUP($C22,'IMF COFOG FULL'!$B:$CM,79,FALSE)), " ")</f>
        <v xml:space="preserve"> </v>
      </c>
      <c r="O22" s="15" t="str">
        <f>IF(ISNUMBER(VLOOKUP($C22,'IMF COFOG FULL'!$B:$CM,80,FALSE)),(VLOOKUP($C22,'IMF COFOG FULL'!$B:$CM,80,FALSE)), " ")</f>
        <v xml:space="preserve"> </v>
      </c>
      <c r="P22" s="15" t="str">
        <f>IF(ISNUMBER(VLOOKUP($C22,'IMF COFOG FULL'!$B:$CM,81,FALSE)),(VLOOKUP($C22,'IMF COFOG FULL'!$B:$CM,81,FALSE)), " ")</f>
        <v xml:space="preserve"> </v>
      </c>
      <c r="Q22" s="15" t="str">
        <f>IF(ISNUMBER(VLOOKUP($C22,'IMF COFOG FULL'!$B:$CM,82,FALSE)),(VLOOKUP($C22,'IMF COFOG FULL'!$B:$CM,82,FALSE)), " ")</f>
        <v xml:space="preserve"> </v>
      </c>
      <c r="R22" s="15" t="str">
        <f>IF(ISNUMBER(VLOOKUP($C22,'IMF COFOG FULL'!$B:$CM,83,FALSE)),(VLOOKUP($C22,'IMF COFOG FULL'!$B:$CM,83,FALSE)), " ")</f>
        <v xml:space="preserve"> </v>
      </c>
      <c r="S22" s="15" t="str">
        <f>IF(ISNUMBER(VLOOKUP($C22,'IMF COFOG FULL'!$B:$CM,84,FALSE)),(VLOOKUP($C22,'IMF COFOG FULL'!$B:$CM,84,FALSE)), " ")</f>
        <v xml:space="preserve"> </v>
      </c>
      <c r="T22" s="15" t="str">
        <f>IF(ISNUMBER(VLOOKUP($C22,'IMF COFOG FULL'!$B:$CM,85,FALSE)),(VLOOKUP($C22,'IMF COFOG FULL'!$B:$CM,85,FALSE)), " ")</f>
        <v xml:space="preserve"> </v>
      </c>
      <c r="U22" s="7" t="str">
        <f>IF(ISNUMBER(VLOOKUP($C22,'IMF COFOG FULL'!$B:$CM,79,FALSE)),(VLOOKUP($C22,'IMF COFOG FULL'!$B:$CM,86,FALSE)), " ")</f>
        <v xml:space="preserve"> </v>
      </c>
      <c r="V22" s="15" t="str">
        <f>IF(ISNUMBER(VLOOKUP($C22,'IMF COFOG FULL'!$B:$CM,79,FALSE)),(VLOOKUP($C22,'IMF COFOG FULL'!$B:$CM,87,FALSE)), " ")</f>
        <v xml:space="preserve"> </v>
      </c>
      <c r="W22" s="15" t="str">
        <f t="shared" si="16"/>
        <v xml:space="preserve"> </v>
      </c>
      <c r="X22" s="15" t="str">
        <f t="shared" si="17"/>
        <v xml:space="preserve"> </v>
      </c>
      <c r="Y22" s="15" t="str">
        <f t="shared" si="18"/>
        <v xml:space="preserve"> </v>
      </c>
      <c r="Z22" s="15" t="str">
        <f t="shared" si="19"/>
        <v xml:space="preserve"> </v>
      </c>
      <c r="AA22" s="15" t="str">
        <f t="shared" si="20"/>
        <v xml:space="preserve"> </v>
      </c>
      <c r="AB22" s="15" t="str">
        <f t="shared" si="21"/>
        <v xml:space="preserve"> </v>
      </c>
      <c r="AC22" s="15" t="str">
        <f t="shared" si="22"/>
        <v xml:space="preserve"> </v>
      </c>
      <c r="AD22" s="15">
        <f>Rwanda!C11</f>
        <v>70.726133332000003</v>
      </c>
      <c r="AE22" s="15">
        <f>Rwanda!C13+Rwanda!C15+Rwanda!C20+Rwanda!C22</f>
        <v>29.072984888000001</v>
      </c>
      <c r="AF22" s="15">
        <f>Rwanda!C12</f>
        <v>21.367403525</v>
      </c>
      <c r="AG22" s="15">
        <f>IF(ISNUMBER(VLOOKUP(C22,'National budgets summary'!A:F,5, FALSE)),(VLOOKUP(C22,'National budgets summary'!A:F,5, FALSE)), " ")</f>
        <v>145.24332746300001</v>
      </c>
      <c r="AH22" t="str">
        <f>IF(ISNUMBER(VLOOKUP(C22,'National budgets summary'!A:F,5, FALSE)),(VLOOKUP(C22,'National budgets summary'!A:F,4, FALSE)), " ")</f>
        <v>FY 21/22</v>
      </c>
      <c r="AI22" s="15">
        <f t="shared" si="1"/>
        <v>6.7482845078752964</v>
      </c>
      <c r="AJ22" s="15">
        <f t="shared" si="8"/>
        <v>1.5592413039506174</v>
      </c>
      <c r="AK22" s="15">
        <f t="shared" si="9"/>
        <v>3.2860722637178834</v>
      </c>
      <c r="AL22" s="15">
        <f t="shared" si="10"/>
        <v>1.3507868274868744</v>
      </c>
      <c r="AM22" s="15">
        <f t="shared" si="11"/>
        <v>0.99277068833341064</v>
      </c>
      <c r="AN22" s="15">
        <f t="shared" si="2"/>
        <v>6.7482845078752964</v>
      </c>
      <c r="AO22" s="15">
        <f t="shared" si="3"/>
        <v>1.5592413039506174</v>
      </c>
      <c r="AP22" t="str">
        <f t="shared" si="4"/>
        <v>FY 21/22</v>
      </c>
      <c r="AQ22" t="str">
        <f t="shared" si="5"/>
        <v>National</v>
      </c>
      <c r="AR22" s="7">
        <f t="shared" si="12"/>
        <v>6.4538071210091257</v>
      </c>
      <c r="AS22" s="7">
        <f t="shared" si="13"/>
        <v>2.6529293778636607</v>
      </c>
      <c r="AT22" s="7">
        <f t="shared" si="14"/>
        <v>1.9497899083467523</v>
      </c>
      <c r="AU22" s="7">
        <f t="shared" si="15"/>
        <v>13.253551083580248</v>
      </c>
    </row>
    <row r="23" spans="1:47">
      <c r="A23">
        <v>20</v>
      </c>
      <c r="B23" t="s">
        <v>112</v>
      </c>
      <c r="C23" t="s">
        <v>325</v>
      </c>
      <c r="D23" t="s">
        <v>496</v>
      </c>
      <c r="E23" t="s">
        <v>306</v>
      </c>
      <c r="F23" t="s">
        <v>615</v>
      </c>
      <c r="G23" t="s">
        <v>616</v>
      </c>
      <c r="H23" t="str">
        <f>IF(ISNUMBER(VLOOKUP(C23,'OECD DAC'!B:C,2,FALSE)), "YES", " ")</f>
        <v xml:space="preserve"> </v>
      </c>
      <c r="I23">
        <v>860</v>
      </c>
      <c r="J23">
        <v>2021</v>
      </c>
      <c r="K23" s="15">
        <f>IF(ISNUMBER(VLOOKUP(C23,'WEO GOV REV'!C:BL,58,FALSE)),(VLOOKUP(C23,'WEO GOV REV'!C:BL,58,FALSE)), " ")</f>
        <v>1975.34</v>
      </c>
      <c r="L23" s="15">
        <f>IF(ISNUMBER(VLOOKUP(C23,'WEO GOV REV'!C:BL,62,FALSE)),(VLOOKUP(C23,'WEO GOV REV'!C:BL,62,FALSE)), " ")</f>
        <v>19.776399953145507</v>
      </c>
      <c r="M23">
        <f>IF(ISNUMBER(VLOOKUP(C23,'WEO GOV REV'!C:BL,62,FALSE)),(VLOOKUP(C23,'WEO GOV REV'!C:BL,57,FALSE)), " ")</f>
        <v>2020</v>
      </c>
      <c r="N23" s="15">
        <f>IF(ISNUMBER(VLOOKUP($C23,'IMF COFOG FULL'!$B:$CM,79,FALSE)),(VLOOKUP($C23,'IMF COFOG FULL'!$B:$CM,79,FALSE)), " ")</f>
        <v>0.336404264550351</v>
      </c>
      <c r="O23" s="15">
        <f>IF(ISNUMBER(VLOOKUP($C23,'IMF COFOG FULL'!$B:$CM,80,FALSE)),(VLOOKUP($C23,'IMF COFOG FULL'!$B:$CM,80,FALSE)), " ")</f>
        <v>0.23082780757974</v>
      </c>
      <c r="P23" s="15">
        <f>IF(ISNUMBER(VLOOKUP($C23,'IMF COFOG FULL'!$B:$CM,81,FALSE)),(VLOOKUP($C23,'IMF COFOG FULL'!$B:$CM,81,FALSE)), " ")</f>
        <v>5.2113646787481101E-2</v>
      </c>
      <c r="Q23" s="15">
        <f>IF(ISNUMBER(VLOOKUP($C23,'IMF COFOG FULL'!$B:$CM,82,FALSE)),(VLOOKUP($C23,'IMF COFOG FULL'!$B:$CM,82,FALSE)), " ")</f>
        <v>3.9689874556752297E-2</v>
      </c>
      <c r="R23" s="15">
        <f>IF(ISNUMBER(VLOOKUP($C23,'IMF COFOG FULL'!$B:$CM,83,FALSE)),(VLOOKUP($C23,'IMF COFOG FULL'!$B:$CM,83,FALSE)), " ")</f>
        <v>4.6546272362186E-3</v>
      </c>
      <c r="S23" s="15">
        <f>IF(ISNUMBER(VLOOKUP($C23,'IMF COFOG FULL'!$B:$CM,84,FALSE)),(VLOOKUP($C23,'IMF COFOG FULL'!$B:$CM,84,FALSE)), " ")</f>
        <v>0</v>
      </c>
      <c r="T23" s="15">
        <f>IF(ISNUMBER(VLOOKUP($C23,'IMF COFOG FULL'!$B:$CM,85,FALSE)),(VLOOKUP($C23,'IMF COFOG FULL'!$B:$CM,85,FALSE)), " ")</f>
        <v>9.1183083901589593E-3</v>
      </c>
      <c r="U23" s="7">
        <f>IF(ISNUMBER(VLOOKUP($C23,'IMF COFOG FULL'!$B:$CM,79,FALSE)),(VLOOKUP($C23,'IMF COFOG FULL'!$B:$CM,86,FALSE)), " ")</f>
        <v>2020</v>
      </c>
      <c r="V23" s="15" t="str">
        <f>IF(ISNUMBER(VLOOKUP($C23,'IMF COFOG FULL'!$B:$CM,79,FALSE)),(VLOOKUP($C23,'IMF COFOG FULL'!$B:$CM,87,FALSE)), " ")</f>
        <v>Budgetary central government</v>
      </c>
      <c r="W23" s="15">
        <f t="shared" si="16"/>
        <v>1.7010389421096062</v>
      </c>
      <c r="X23" s="15">
        <f t="shared" si="17"/>
        <v>1.1671882047623436</v>
      </c>
      <c r="Y23" s="15">
        <f t="shared" si="18"/>
        <v>0.26351432470494834</v>
      </c>
      <c r="Z23" s="15">
        <f t="shared" si="19"/>
        <v>0.20069312236193665</v>
      </c>
      <c r="AA23" s="15">
        <f t="shared" si="20"/>
        <v>2.3536271754446718E-2</v>
      </c>
      <c r="AB23" s="15">
        <f t="shared" si="21"/>
        <v>0</v>
      </c>
      <c r="AC23" s="15">
        <f t="shared" si="22"/>
        <v>4.610701852593075E-2</v>
      </c>
      <c r="AG23" s="15" t="str">
        <f>IF(ISNUMBER(VLOOKUP(C23,'National budgets summary'!A:F,5, FALSE)),(VLOOKUP(C23,'National budgets summary'!A:F,5, FALSE)), " ")</f>
        <v xml:space="preserve"> </v>
      </c>
      <c r="AH23" t="str">
        <f>IF(ISNUMBER(VLOOKUP(C23,'National budgets summary'!A:F,5, FALSE)),(VLOOKUP(C23,'National budgets summary'!A:F,4, FALSE)), " ")</f>
        <v xml:space="preserve"> </v>
      </c>
      <c r="AI23" s="15" t="str">
        <f t="shared" si="1"/>
        <v xml:space="preserve"> </v>
      </c>
      <c r="AJ23" s="15" t="str">
        <f t="shared" si="8"/>
        <v xml:space="preserve"> </v>
      </c>
      <c r="AK23" s="15">
        <f t="shared" si="9"/>
        <v>1.1671882047623436</v>
      </c>
      <c r="AL23" s="15">
        <f t="shared" si="10"/>
        <v>0.20069312236193665</v>
      </c>
      <c r="AM23" s="15">
        <f t="shared" si="11"/>
        <v>2.3536271754446718E-2</v>
      </c>
      <c r="AN23" s="15">
        <f t="shared" si="2"/>
        <v>1.7010389421096062</v>
      </c>
      <c r="AO23" s="15">
        <f t="shared" si="3"/>
        <v>0.336404264550351</v>
      </c>
      <c r="AP23">
        <f t="shared" si="4"/>
        <v>2020</v>
      </c>
      <c r="AQ23" t="str">
        <f t="shared" si="5"/>
        <v>IMF COFOG</v>
      </c>
      <c r="AR23" s="7">
        <f t="shared" si="12"/>
        <v>1.9851191451857642</v>
      </c>
      <c r="AS23" s="7">
        <f t="shared" si="13"/>
        <v>0.34133292118806974</v>
      </c>
      <c r="AT23" s="7">
        <f t="shared" si="14"/>
        <v>4.0029794231479961E-2</v>
      </c>
      <c r="AU23" s="7">
        <f t="shared" si="15"/>
        <v>2.8930766751330186</v>
      </c>
    </row>
    <row r="24" spans="1:47">
      <c r="A24">
        <v>21</v>
      </c>
      <c r="B24" t="s">
        <v>113</v>
      </c>
      <c r="C24" t="s">
        <v>326</v>
      </c>
      <c r="D24" t="s">
        <v>496</v>
      </c>
      <c r="E24" t="s">
        <v>306</v>
      </c>
      <c r="F24" t="s">
        <v>615</v>
      </c>
      <c r="G24" t="s">
        <v>616</v>
      </c>
      <c r="H24" t="str">
        <f>IF(ISNUMBER(VLOOKUP(C24,'OECD DAC'!B:C,2,FALSE)), "YES", " ")</f>
        <v xml:space="preserve"> </v>
      </c>
      <c r="I24">
        <v>870</v>
      </c>
      <c r="J24">
        <v>2021</v>
      </c>
      <c r="K24" s="15">
        <f>IF(ISNUMBER(VLOOKUP(C24,'WEO GOV REV'!C:BL,58,FALSE)),(VLOOKUP(C24,'WEO GOV REV'!C:BL,58,FALSE)), " ")</f>
        <v>2173.3000000000002</v>
      </c>
      <c r="L24" s="15">
        <f>IF(ISNUMBER(VLOOKUP(C24,'WEO GOV REV'!C:BL,62,FALSE)),(VLOOKUP(C24,'WEO GOV REV'!C:BL,62,FALSE)), " ")</f>
        <v>21.465284965905234</v>
      </c>
      <c r="M24">
        <f>IF(ISNUMBER(VLOOKUP(C24,'WEO GOV REV'!C:BL,62,FALSE)),(VLOOKUP(C24,'WEO GOV REV'!C:BL,57,FALSE)), " ")</f>
        <v>2019</v>
      </c>
      <c r="N24" s="15" t="str">
        <f>IF(ISNUMBER(VLOOKUP($C24,'IMF COFOG FULL'!$B:$CM,79,FALSE)),(VLOOKUP($C24,'IMF COFOG FULL'!$B:$CM,79,FALSE)), " ")</f>
        <v xml:space="preserve"> </v>
      </c>
      <c r="O24" s="15" t="str">
        <f>IF(ISNUMBER(VLOOKUP($C24,'IMF COFOG FULL'!$B:$CM,80,FALSE)),(VLOOKUP($C24,'IMF COFOG FULL'!$B:$CM,80,FALSE)), " ")</f>
        <v xml:space="preserve"> </v>
      </c>
      <c r="P24" s="15" t="str">
        <f>IF(ISNUMBER(VLOOKUP($C24,'IMF COFOG FULL'!$B:$CM,81,FALSE)),(VLOOKUP($C24,'IMF COFOG FULL'!$B:$CM,81,FALSE)), " ")</f>
        <v xml:space="preserve"> </v>
      </c>
      <c r="Q24" s="15" t="str">
        <f>IF(ISNUMBER(VLOOKUP($C24,'IMF COFOG FULL'!$B:$CM,82,FALSE)),(VLOOKUP($C24,'IMF COFOG FULL'!$B:$CM,82,FALSE)), " ")</f>
        <v xml:space="preserve"> </v>
      </c>
      <c r="R24" s="15" t="str">
        <f>IF(ISNUMBER(VLOOKUP($C24,'IMF COFOG FULL'!$B:$CM,83,FALSE)),(VLOOKUP($C24,'IMF COFOG FULL'!$B:$CM,83,FALSE)), " ")</f>
        <v xml:space="preserve"> </v>
      </c>
      <c r="S24" s="15" t="str">
        <f>IF(ISNUMBER(VLOOKUP($C24,'IMF COFOG FULL'!$B:$CM,84,FALSE)),(VLOOKUP($C24,'IMF COFOG FULL'!$B:$CM,84,FALSE)), " ")</f>
        <v xml:space="preserve"> </v>
      </c>
      <c r="T24" s="15" t="str">
        <f>IF(ISNUMBER(VLOOKUP($C24,'IMF COFOG FULL'!$B:$CM,85,FALSE)),(VLOOKUP($C24,'IMF COFOG FULL'!$B:$CM,85,FALSE)), " ")</f>
        <v xml:space="preserve"> </v>
      </c>
      <c r="U24" s="7" t="str">
        <f>IF(ISNUMBER(VLOOKUP($C24,'IMF COFOG FULL'!$B:$CM,79,FALSE)),(VLOOKUP($C24,'IMF COFOG FULL'!$B:$CM,86,FALSE)), " ")</f>
        <v xml:space="preserve"> </v>
      </c>
      <c r="V24" s="15" t="str">
        <f>IF(ISNUMBER(VLOOKUP($C24,'IMF COFOG FULL'!$B:$CM,79,FALSE)),(VLOOKUP($C24,'IMF COFOG FULL'!$B:$CM,87,FALSE)), " ")</f>
        <v xml:space="preserve"> </v>
      </c>
      <c r="W24" s="15" t="str">
        <f t="shared" si="16"/>
        <v xml:space="preserve"> </v>
      </c>
      <c r="X24" s="15" t="str">
        <f t="shared" si="17"/>
        <v xml:space="preserve"> </v>
      </c>
      <c r="Y24" s="15" t="str">
        <f t="shared" si="18"/>
        <v xml:space="preserve"> </v>
      </c>
      <c r="Z24" s="15" t="str">
        <f t="shared" si="19"/>
        <v xml:space="preserve"> </v>
      </c>
      <c r="AA24" s="15" t="str">
        <f t="shared" si="20"/>
        <v xml:space="preserve"> </v>
      </c>
      <c r="AB24" s="15" t="str">
        <f t="shared" si="21"/>
        <v xml:space="preserve"> </v>
      </c>
      <c r="AC24" s="15" t="str">
        <f t="shared" si="22"/>
        <v xml:space="preserve"> </v>
      </c>
      <c r="AD24" s="15">
        <f>Mali!C11</f>
        <v>59</v>
      </c>
      <c r="AE24" s="15">
        <f>Mali!C9</f>
        <v>22.6</v>
      </c>
      <c r="AF24" s="15">
        <f>Mali!C10</f>
        <v>7.6</v>
      </c>
      <c r="AG24" s="15">
        <f>IF(ISNUMBER(VLOOKUP(C24,'National budgets summary'!A:F,5, FALSE)),(VLOOKUP(C24,'National budgets summary'!A:F,5, FALSE)), " ")</f>
        <v>168.2</v>
      </c>
      <c r="AH24">
        <f>IF(ISNUMBER(VLOOKUP(C24,'National budgets summary'!A:F,5, FALSE)),(VLOOKUP(C24,'National budgets summary'!A:F,4, FALSE)), " ")</f>
        <v>2020</v>
      </c>
      <c r="AI24" s="15">
        <f t="shared" si="1"/>
        <v>7.7393825058666526</v>
      </c>
      <c r="AJ24" s="15">
        <f t="shared" si="8"/>
        <v>1.6612805094856944</v>
      </c>
      <c r="AK24" s="15">
        <f t="shared" si="9"/>
        <v>2.7147655638890167</v>
      </c>
      <c r="AL24" s="15">
        <f t="shared" si="10"/>
        <v>1.0398932498964708</v>
      </c>
      <c r="AM24" s="15">
        <f t="shared" si="11"/>
        <v>0.34969861500943261</v>
      </c>
      <c r="AN24" s="15">
        <f t="shared" si="2"/>
        <v>7.7393825058666526</v>
      </c>
      <c r="AO24" s="15">
        <f t="shared" si="3"/>
        <v>1.6612805094856944</v>
      </c>
      <c r="AP24">
        <f t="shared" si="4"/>
        <v>2020</v>
      </c>
      <c r="AQ24" t="str">
        <f t="shared" si="5"/>
        <v>National</v>
      </c>
      <c r="AR24" s="7">
        <f t="shared" si="12"/>
        <v>5.069769830671861</v>
      </c>
      <c r="AS24" s="7">
        <f t="shared" si="13"/>
        <v>1.9419796300539673</v>
      </c>
      <c r="AT24" s="7">
        <f t="shared" si="14"/>
        <v>0.65305509683230745</v>
      </c>
      <c r="AU24" s="7">
        <f t="shared" si="15"/>
        <v>14.45314043252554</v>
      </c>
    </row>
    <row r="25" spans="1:47">
      <c r="A25">
        <v>22</v>
      </c>
      <c r="B25" t="s">
        <v>114</v>
      </c>
      <c r="C25" t="s">
        <v>327</v>
      </c>
      <c r="D25" t="s">
        <v>487</v>
      </c>
      <c r="E25" t="s">
        <v>306</v>
      </c>
      <c r="F25" t="s">
        <v>615</v>
      </c>
      <c r="H25" t="str">
        <f>IF(ISNUMBER(VLOOKUP(C25,'OECD DAC'!B:C,2,FALSE)), "YES", " ")</f>
        <v xml:space="preserve"> </v>
      </c>
      <c r="I25">
        <v>930</v>
      </c>
      <c r="J25">
        <v>2018</v>
      </c>
      <c r="K25" s="15">
        <f>IF(ISNUMBER(VLOOKUP(C25,'WEO GOV REV'!C:BL,58,FALSE)),(VLOOKUP(C25,'WEO GOV REV'!C:BL,58,FALSE)), " ")</f>
        <v>582.024</v>
      </c>
      <c r="L25" s="15">
        <f>IF(ISNUMBER(VLOOKUP(C25,'WEO GOV REV'!C:BL,62,FALSE)),(VLOOKUP(C25,'WEO GOV REV'!C:BL,62,FALSE)), " ")</f>
        <v>23.089685049053639</v>
      </c>
      <c r="M25">
        <f>IF(ISNUMBER(VLOOKUP(C25,'WEO GOV REV'!C:BL,62,FALSE)),(VLOOKUP(C25,'WEO GOV REV'!C:BL,57,FALSE)), " ")</f>
        <v>2009</v>
      </c>
      <c r="N25" s="15" t="str">
        <f>IF(ISNUMBER(VLOOKUP($C25,'IMF COFOG FULL'!$B:$CM,79,FALSE)),(VLOOKUP($C25,'IMF COFOG FULL'!$B:$CM,79,FALSE)), " ")</f>
        <v xml:space="preserve"> </v>
      </c>
      <c r="O25" s="15" t="str">
        <f>IF(ISNUMBER(VLOOKUP($C25,'IMF COFOG FULL'!$B:$CM,80,FALSE)),(VLOOKUP($C25,'IMF COFOG FULL'!$B:$CM,80,FALSE)), " ")</f>
        <v xml:space="preserve"> </v>
      </c>
      <c r="P25" s="15" t="str">
        <f>IF(ISNUMBER(VLOOKUP($C25,'IMF COFOG FULL'!$B:$CM,81,FALSE)),(VLOOKUP($C25,'IMF COFOG FULL'!$B:$CM,81,FALSE)), " ")</f>
        <v xml:space="preserve"> </v>
      </c>
      <c r="Q25" s="15" t="str">
        <f>IF(ISNUMBER(VLOOKUP($C25,'IMF COFOG FULL'!$B:$CM,82,FALSE)),(VLOOKUP($C25,'IMF COFOG FULL'!$B:$CM,82,FALSE)), " ")</f>
        <v xml:space="preserve"> </v>
      </c>
      <c r="R25" s="15" t="str">
        <f>IF(ISNUMBER(VLOOKUP($C25,'IMF COFOG FULL'!$B:$CM,83,FALSE)),(VLOOKUP($C25,'IMF COFOG FULL'!$B:$CM,83,FALSE)), " ")</f>
        <v xml:space="preserve"> </v>
      </c>
      <c r="S25" s="15" t="str">
        <f>IF(ISNUMBER(VLOOKUP($C25,'IMF COFOG FULL'!$B:$CM,84,FALSE)),(VLOOKUP($C25,'IMF COFOG FULL'!$B:$CM,84,FALSE)), " ")</f>
        <v xml:space="preserve"> </v>
      </c>
      <c r="T25" s="15" t="str">
        <f>IF(ISNUMBER(VLOOKUP($C25,'IMF COFOG FULL'!$B:$CM,85,FALSE)),(VLOOKUP($C25,'IMF COFOG FULL'!$B:$CM,85,FALSE)), " ")</f>
        <v xml:space="preserve"> </v>
      </c>
      <c r="U25" s="7" t="str">
        <f>IF(ISNUMBER(VLOOKUP($C25,'IMF COFOG FULL'!$B:$CM,79,FALSE)),(VLOOKUP($C25,'IMF COFOG FULL'!$B:$CM,86,FALSE)), " ")</f>
        <v xml:space="preserve"> </v>
      </c>
      <c r="V25" s="15" t="str">
        <f>IF(ISNUMBER(VLOOKUP($C25,'IMF COFOG FULL'!$B:$CM,79,FALSE)),(VLOOKUP($C25,'IMF COFOG FULL'!$B:$CM,87,FALSE)), " ")</f>
        <v xml:space="preserve"> </v>
      </c>
      <c r="W25" s="15" t="str">
        <f t="shared" si="16"/>
        <v xml:space="preserve"> </v>
      </c>
      <c r="X25" s="15" t="str">
        <f t="shared" si="17"/>
        <v xml:space="preserve"> </v>
      </c>
      <c r="Y25" s="15" t="str">
        <f t="shared" si="18"/>
        <v xml:space="preserve"> </v>
      </c>
      <c r="Z25" s="15" t="str">
        <f t="shared" si="19"/>
        <v xml:space="preserve"> </v>
      </c>
      <c r="AA25" s="15" t="str">
        <f t="shared" si="20"/>
        <v xml:space="preserve"> </v>
      </c>
      <c r="AB25" s="15" t="str">
        <f t="shared" si="21"/>
        <v xml:space="preserve"> </v>
      </c>
      <c r="AC25" s="15" t="str">
        <f t="shared" si="22"/>
        <v xml:space="preserve"> </v>
      </c>
      <c r="AG25" s="15" t="str">
        <f>IF(ISNUMBER(VLOOKUP(C25,'National budgets summary'!A:F,5, FALSE)),(VLOOKUP(C25,'National budgets summary'!A:F,5, FALSE)), " ")</f>
        <v xml:space="preserve"> </v>
      </c>
      <c r="AH25" t="str">
        <f>IF(ISNUMBER(VLOOKUP(C25,'National budgets summary'!A:F,5, FALSE)),(VLOOKUP(C25,'National budgets summary'!A:F,4, FALSE)), " ")</f>
        <v xml:space="preserve"> </v>
      </c>
      <c r="AI25" s="15" t="str">
        <f t="shared" si="1"/>
        <v xml:space="preserve"> </v>
      </c>
      <c r="AJ25" s="15" t="str">
        <f t="shared" si="8"/>
        <v xml:space="preserve"> </v>
      </c>
      <c r="AK25" s="15" t="str">
        <f t="shared" si="9"/>
        <v/>
      </c>
      <c r="AL25" s="15" t="str">
        <f t="shared" si="10"/>
        <v/>
      </c>
      <c r="AM25" s="15" t="str">
        <f t="shared" si="11"/>
        <v/>
      </c>
      <c r="AN25" s="15" t="str">
        <f t="shared" si="2"/>
        <v xml:space="preserve"> </v>
      </c>
      <c r="AO25" s="15" t="str">
        <f t="shared" si="3"/>
        <v xml:space="preserve"> </v>
      </c>
      <c r="AP25" t="str">
        <f t="shared" si="4"/>
        <v xml:space="preserve"> </v>
      </c>
      <c r="AQ25" t="str">
        <f t="shared" si="5"/>
        <v xml:space="preserve"> </v>
      </c>
      <c r="AR25" s="7" t="str">
        <f t="shared" si="12"/>
        <v xml:space="preserve"> </v>
      </c>
      <c r="AS25" s="7" t="str">
        <f t="shared" si="13"/>
        <v xml:space="preserve"> </v>
      </c>
      <c r="AT25" s="7" t="str">
        <f t="shared" si="14"/>
        <v xml:space="preserve"> </v>
      </c>
      <c r="AU25" s="7" t="str">
        <f t="shared" si="15"/>
        <v xml:space="preserve"> </v>
      </c>
    </row>
    <row r="26" spans="1:47">
      <c r="A26">
        <v>23</v>
      </c>
      <c r="B26" t="s">
        <v>115</v>
      </c>
      <c r="C26" t="s">
        <v>328</v>
      </c>
      <c r="D26" t="s">
        <v>496</v>
      </c>
      <c r="E26" t="s">
        <v>306</v>
      </c>
      <c r="F26" t="s">
        <v>615</v>
      </c>
      <c r="G26" t="s">
        <v>616</v>
      </c>
      <c r="H26" t="str">
        <f>IF(ISNUMBER(VLOOKUP(C26,'OECD DAC'!B:C,2,FALSE)), "YES", " ")</f>
        <v xml:space="preserve"> </v>
      </c>
      <c r="I26">
        <v>960</v>
      </c>
      <c r="J26">
        <v>2021</v>
      </c>
      <c r="K26" s="15">
        <f>IF(ISNUMBER(VLOOKUP(C26,'WEO GOV REV'!C:BL,58,FALSE)),(VLOOKUP(C26,'WEO GOV REV'!C:BL,58,FALSE)), " ")</f>
        <v>478.88799999999998</v>
      </c>
      <c r="L26" s="15">
        <f>IF(ISNUMBER(VLOOKUP(C26,'WEO GOV REV'!C:BL,62,FALSE)),(VLOOKUP(C26,'WEO GOV REV'!C:BL,62,FALSE)), " ")</f>
        <v>11.030752823404484</v>
      </c>
      <c r="M26">
        <f>IF(ISNUMBER(VLOOKUP(C26,'WEO GOV REV'!C:BL,62,FALSE)),(VLOOKUP(C26,'WEO GOV REV'!C:BL,57,FALSE)), " ")</f>
        <v>2021</v>
      </c>
      <c r="N26" s="15">
        <f>IF(ISNUMBER(VLOOKUP($C26,'IMF COFOG FULL'!$B:$CM,79,FALSE)),(VLOOKUP($C26,'IMF COFOG FULL'!$B:$CM,79,FALSE)), " ")</f>
        <v>0.240721848001581</v>
      </c>
      <c r="O26" s="15">
        <f>IF(ISNUMBER(VLOOKUP($C26,'IMF COFOG FULL'!$B:$CM,80,FALSE)),(VLOOKUP($C26,'IMF COFOG FULL'!$B:$CM,80,FALSE)), " ")</f>
        <v>0.111848961526409</v>
      </c>
      <c r="P26" s="15">
        <f>IF(ISNUMBER(VLOOKUP($C26,'IMF COFOG FULL'!$B:$CM,81,FALSE)),(VLOOKUP($C26,'IMF COFOG FULL'!$B:$CM,81,FALSE)), " ")</f>
        <v>0</v>
      </c>
      <c r="Q26" s="15">
        <f>IF(ISNUMBER(VLOOKUP($C26,'IMF COFOG FULL'!$B:$CM,82,FALSE)),(VLOOKUP($C26,'IMF COFOG FULL'!$B:$CM,82,FALSE)), " ")</f>
        <v>2.3715738666724901E-2</v>
      </c>
      <c r="R26" s="15">
        <f>IF(ISNUMBER(VLOOKUP($C26,'IMF COFOG FULL'!$B:$CM,83,FALSE)),(VLOOKUP($C26,'IMF COFOG FULL'!$B:$CM,83,FALSE)), " ")</f>
        <v>3.4722045826395598E-2</v>
      </c>
      <c r="S26" s="15">
        <f>IF(ISNUMBER(VLOOKUP($C26,'IMF COFOG FULL'!$B:$CM,84,FALSE)),(VLOOKUP($C26,'IMF COFOG FULL'!$B:$CM,84,FALSE)), " ")</f>
        <v>8.0859989382782195E-3</v>
      </c>
      <c r="T26" s="15">
        <f>IF(ISNUMBER(VLOOKUP($C26,'IMF COFOG FULL'!$B:$CM,85,FALSE)),(VLOOKUP($C26,'IMF COFOG FULL'!$B:$CM,85,FALSE)), " ")</f>
        <v>6.2349103043773002E-2</v>
      </c>
      <c r="U26" s="7">
        <f>IF(ISNUMBER(VLOOKUP($C26,'IMF COFOG FULL'!$B:$CM,79,FALSE)),(VLOOKUP($C26,'IMF COFOG FULL'!$B:$CM,86,FALSE)), " ")</f>
        <v>2020</v>
      </c>
      <c r="V26" s="15" t="str">
        <f>IF(ISNUMBER(VLOOKUP($C26,'IMF COFOG FULL'!$B:$CM,79,FALSE)),(VLOOKUP($C26,'IMF COFOG FULL'!$B:$CM,87,FALSE)), " ")</f>
        <v>Budgetary central government</v>
      </c>
      <c r="W26" s="15">
        <f t="shared" si="16"/>
        <v>2.1822794133400376</v>
      </c>
      <c r="X26" s="15">
        <f t="shared" si="17"/>
        <v>1.01397396276611</v>
      </c>
      <c r="Y26" s="15">
        <f t="shared" si="18"/>
        <v>0</v>
      </c>
      <c r="Z26" s="15">
        <f t="shared" si="19"/>
        <v>0.2149965559594996</v>
      </c>
      <c r="AA26" s="15">
        <f t="shared" si="20"/>
        <v>0.31477494222084412</v>
      </c>
      <c r="AB26" s="15">
        <f t="shared" si="21"/>
        <v>7.3304144039215188E-2</v>
      </c>
      <c r="AC26" s="15">
        <f t="shared" si="22"/>
        <v>0.5652298083543662</v>
      </c>
      <c r="AG26" s="15" t="str">
        <f>IF(ISNUMBER(VLOOKUP(C26,'National budgets summary'!A:F,5, FALSE)),(VLOOKUP(C26,'National budgets summary'!A:F,5, FALSE)), " ")</f>
        <v xml:space="preserve"> </v>
      </c>
      <c r="AH26" t="str">
        <f>IF(ISNUMBER(VLOOKUP(C26,'National budgets summary'!A:F,5, FALSE)),(VLOOKUP(C26,'National budgets summary'!A:F,4, FALSE)), " ")</f>
        <v xml:space="preserve"> </v>
      </c>
      <c r="AI26" s="15" t="str">
        <f t="shared" si="1"/>
        <v xml:space="preserve"> </v>
      </c>
      <c r="AJ26" s="15" t="str">
        <f t="shared" si="8"/>
        <v xml:space="preserve"> </v>
      </c>
      <c r="AK26" s="15">
        <f t="shared" si="9"/>
        <v>1.01397396276611</v>
      </c>
      <c r="AL26" s="15">
        <f t="shared" si="10"/>
        <v>0.2149965559594996</v>
      </c>
      <c r="AM26" s="15">
        <f t="shared" si="11"/>
        <v>0.31477494222084412</v>
      </c>
      <c r="AN26" s="15">
        <f t="shared" si="2"/>
        <v>2.1822794133400376</v>
      </c>
      <c r="AO26" s="15">
        <f t="shared" si="3"/>
        <v>0.240721848001581</v>
      </c>
      <c r="AP26">
        <f t="shared" si="4"/>
        <v>2020</v>
      </c>
      <c r="AQ26" t="str">
        <f t="shared" si="5"/>
        <v>IMF COFOG</v>
      </c>
      <c r="AR26" s="7">
        <f t="shared" si="12"/>
        <v>1.0737500306535264</v>
      </c>
      <c r="AS26" s="7">
        <f t="shared" si="13"/>
        <v>0.22767109120055906</v>
      </c>
      <c r="AT26" s="7">
        <f t="shared" si="14"/>
        <v>0.33333163993339771</v>
      </c>
      <c r="AU26" s="7">
        <f t="shared" si="15"/>
        <v>2.3109297408151774</v>
      </c>
    </row>
    <row r="27" spans="1:47">
      <c r="A27">
        <v>24</v>
      </c>
      <c r="B27" t="s">
        <v>116</v>
      </c>
      <c r="C27" t="s">
        <v>329</v>
      </c>
      <c r="D27" t="s">
        <v>496</v>
      </c>
      <c r="E27" t="s">
        <v>306</v>
      </c>
      <c r="F27" t="s">
        <v>615</v>
      </c>
      <c r="G27" t="s">
        <v>616</v>
      </c>
      <c r="H27" t="str">
        <f>IF(ISNUMBER(VLOOKUP(C27,'OECD DAC'!B:C,2,FALSE)), "YES", " ")</f>
        <v xml:space="preserve"> </v>
      </c>
      <c r="I27">
        <v>980</v>
      </c>
      <c r="J27">
        <v>2021</v>
      </c>
      <c r="K27" s="15">
        <f>IF(ISNUMBER(VLOOKUP(C27,'WEO GOV REV'!C:BL,58,FALSE)),(VLOOKUP(C27,'WEO GOV REV'!C:BL,58,FALSE)), " ")</f>
        <v>707.96299999999997</v>
      </c>
      <c r="L27" s="15">
        <f>IF(ISNUMBER(VLOOKUP(C27,'WEO GOV REV'!C:BL,62,FALSE)),(VLOOKUP(C27,'WEO GOV REV'!C:BL,62,FALSE)), " ")</f>
        <v>16.238242141358072</v>
      </c>
      <c r="M27">
        <f>IF(ISNUMBER(VLOOKUP(C27,'WEO GOV REV'!C:BL,62,FALSE)),(VLOOKUP(C27,'WEO GOV REV'!C:BL,57,FALSE)), " ")</f>
        <v>2020</v>
      </c>
      <c r="N27" s="15" t="str">
        <f>IF(ISNUMBER(VLOOKUP($C27,'IMF COFOG FULL'!$B:$CM,79,FALSE)),(VLOOKUP($C27,'IMF COFOG FULL'!$B:$CM,79,FALSE)), " ")</f>
        <v xml:space="preserve"> </v>
      </c>
      <c r="O27" s="15" t="str">
        <f>IF(ISNUMBER(VLOOKUP($C27,'IMF COFOG FULL'!$B:$CM,80,FALSE)),(VLOOKUP($C27,'IMF COFOG FULL'!$B:$CM,80,FALSE)), " ")</f>
        <v xml:space="preserve"> </v>
      </c>
      <c r="P27" s="15" t="str">
        <f>IF(ISNUMBER(VLOOKUP($C27,'IMF COFOG FULL'!$B:$CM,81,FALSE)),(VLOOKUP($C27,'IMF COFOG FULL'!$B:$CM,81,FALSE)), " ")</f>
        <v xml:space="preserve"> </v>
      </c>
      <c r="Q27" s="15" t="str">
        <f>IF(ISNUMBER(VLOOKUP($C27,'IMF COFOG FULL'!$B:$CM,82,FALSE)),(VLOOKUP($C27,'IMF COFOG FULL'!$B:$CM,82,FALSE)), " ")</f>
        <v xml:space="preserve"> </v>
      </c>
      <c r="R27" s="15" t="str">
        <f>IF(ISNUMBER(VLOOKUP($C27,'IMF COFOG FULL'!$B:$CM,83,FALSE)),(VLOOKUP($C27,'IMF COFOG FULL'!$B:$CM,83,FALSE)), " ")</f>
        <v xml:space="preserve"> </v>
      </c>
      <c r="S27" s="15" t="str">
        <f>IF(ISNUMBER(VLOOKUP($C27,'IMF COFOG FULL'!$B:$CM,84,FALSE)),(VLOOKUP($C27,'IMF COFOG FULL'!$B:$CM,84,FALSE)), " ")</f>
        <v xml:space="preserve"> </v>
      </c>
      <c r="T27" s="15" t="str">
        <f>IF(ISNUMBER(VLOOKUP($C27,'IMF COFOG FULL'!$B:$CM,85,FALSE)),(VLOOKUP($C27,'IMF COFOG FULL'!$B:$CM,85,FALSE)), " ")</f>
        <v xml:space="preserve"> </v>
      </c>
      <c r="U27" s="7" t="str">
        <f>IF(ISNUMBER(VLOOKUP($C27,'IMF COFOG FULL'!$B:$CM,79,FALSE)),(VLOOKUP($C27,'IMF COFOG FULL'!$B:$CM,86,FALSE)), " ")</f>
        <v xml:space="preserve"> </v>
      </c>
      <c r="V27" s="15" t="str">
        <f>IF(ISNUMBER(VLOOKUP($C27,'IMF COFOG FULL'!$B:$CM,79,FALSE)),(VLOOKUP($C27,'IMF COFOG FULL'!$B:$CM,87,FALSE)), " ")</f>
        <v xml:space="preserve"> </v>
      </c>
      <c r="W27" s="15" t="str">
        <f t="shared" si="16"/>
        <v xml:space="preserve"> </v>
      </c>
      <c r="X27" s="15" t="str">
        <f t="shared" si="17"/>
        <v xml:space="preserve"> </v>
      </c>
      <c r="Y27" s="15" t="str">
        <f t="shared" si="18"/>
        <v xml:space="preserve"> </v>
      </c>
      <c r="Z27" s="15" t="str">
        <f t="shared" si="19"/>
        <v xml:space="preserve"> </v>
      </c>
      <c r="AA27" s="15" t="str">
        <f t="shared" si="20"/>
        <v xml:space="preserve"> </v>
      </c>
      <c r="AB27" s="15" t="str">
        <f t="shared" si="21"/>
        <v xml:space="preserve"> </v>
      </c>
      <c r="AC27" s="15" t="str">
        <f t="shared" si="22"/>
        <v xml:space="preserve"> </v>
      </c>
      <c r="AG27" s="15">
        <f>IF(ISNUMBER(VLOOKUP(C27,'National budgets summary'!A:F,5, FALSE)),(VLOOKUP(C27,'National budgets summary'!A:F,5, FALSE)), " ")</f>
        <v>26.646512000000001</v>
      </c>
      <c r="AH27">
        <f>IF(ISNUMBER(VLOOKUP(C27,'National budgets summary'!A:F,5, FALSE)),(VLOOKUP(C27,'National budgets summary'!A:F,4, FALSE)), " ")</f>
        <v>2021</v>
      </c>
      <c r="AI27" s="15">
        <f t="shared" si="1"/>
        <v>3.7638283356616098</v>
      </c>
      <c r="AJ27" s="15">
        <f t="shared" si="8"/>
        <v>0.61117955892977971</v>
      </c>
      <c r="AK27" s="15" t="str">
        <f t="shared" si="9"/>
        <v/>
      </c>
      <c r="AL27" s="15" t="str">
        <f t="shared" si="10"/>
        <v/>
      </c>
      <c r="AM27" s="15" t="str">
        <f t="shared" si="11"/>
        <v/>
      </c>
      <c r="AN27" s="15">
        <f t="shared" si="2"/>
        <v>3.7638283356616098</v>
      </c>
      <c r="AO27" s="15">
        <f t="shared" si="3"/>
        <v>0.61117955892977971</v>
      </c>
      <c r="AP27">
        <f t="shared" si="4"/>
        <v>2021</v>
      </c>
      <c r="AQ27" t="str">
        <f t="shared" si="5"/>
        <v>National</v>
      </c>
      <c r="AR27" s="7" t="str">
        <f t="shared" si="12"/>
        <v xml:space="preserve"> </v>
      </c>
      <c r="AS27" s="7" t="str">
        <f t="shared" si="13"/>
        <v xml:space="preserve"> </v>
      </c>
      <c r="AT27" s="7" t="str">
        <f t="shared" si="14"/>
        <v xml:space="preserve"> </v>
      </c>
      <c r="AU27" s="7">
        <f t="shared" si="15"/>
        <v>5.9895596775118403</v>
      </c>
    </row>
    <row r="28" spans="1:47">
      <c r="A28">
        <v>25</v>
      </c>
      <c r="B28" t="s">
        <v>117</v>
      </c>
      <c r="C28" t="s">
        <v>330</v>
      </c>
      <c r="D28" t="s">
        <v>496</v>
      </c>
      <c r="E28" t="s">
        <v>306</v>
      </c>
      <c r="F28" t="s">
        <v>615</v>
      </c>
      <c r="G28" t="s">
        <v>616</v>
      </c>
      <c r="H28" t="str">
        <f>IF(ISNUMBER(VLOOKUP(C28,'OECD DAC'!B:C,2,FALSE)), "YES", " ")</f>
        <v xml:space="preserve"> </v>
      </c>
      <c r="I28">
        <v>1010</v>
      </c>
      <c r="J28">
        <v>2021</v>
      </c>
      <c r="K28" s="15">
        <f>IF(ISNUMBER(VLOOKUP(C28,'WEO GOV REV'!C:BL,58,FALSE)),(VLOOKUP(C28,'WEO GOV REV'!C:BL,58,FALSE)), " ")</f>
        <v>21605.15</v>
      </c>
      <c r="L28" s="15">
        <f>IF(ISNUMBER(VLOOKUP(C28,'WEO GOV REV'!C:BL,62,FALSE)),(VLOOKUP(C28,'WEO GOV REV'!C:BL,62,FALSE)), " ")</f>
        <v>12.584858373998658</v>
      </c>
      <c r="M28">
        <f>IF(ISNUMBER(VLOOKUP(C28,'WEO GOV REV'!C:BL,62,FALSE)),(VLOOKUP(C28,'WEO GOV REV'!C:BL,57,FALSE)), " ")</f>
        <v>2021</v>
      </c>
      <c r="N28" s="15" t="str">
        <f>IF(ISNUMBER(VLOOKUP($C28,'IMF COFOG FULL'!$B:$CM,79,FALSE)),(VLOOKUP($C28,'IMF COFOG FULL'!$B:$CM,79,FALSE)), " ")</f>
        <v xml:space="preserve"> </v>
      </c>
      <c r="O28" s="15" t="str">
        <f>IF(ISNUMBER(VLOOKUP($C28,'IMF COFOG FULL'!$B:$CM,80,FALSE)),(VLOOKUP($C28,'IMF COFOG FULL'!$B:$CM,80,FALSE)), " ")</f>
        <v xml:space="preserve"> </v>
      </c>
      <c r="P28" s="15" t="str">
        <f>IF(ISNUMBER(VLOOKUP($C28,'IMF COFOG FULL'!$B:$CM,81,FALSE)),(VLOOKUP($C28,'IMF COFOG FULL'!$B:$CM,81,FALSE)), " ")</f>
        <v xml:space="preserve"> </v>
      </c>
      <c r="Q28" s="15" t="str">
        <f>IF(ISNUMBER(VLOOKUP($C28,'IMF COFOG FULL'!$B:$CM,82,FALSE)),(VLOOKUP($C28,'IMF COFOG FULL'!$B:$CM,82,FALSE)), " ")</f>
        <v xml:space="preserve"> </v>
      </c>
      <c r="R28" s="15" t="str">
        <f>IF(ISNUMBER(VLOOKUP($C28,'IMF COFOG FULL'!$B:$CM,83,FALSE)),(VLOOKUP($C28,'IMF COFOG FULL'!$B:$CM,83,FALSE)), " ")</f>
        <v xml:space="preserve"> </v>
      </c>
      <c r="S28" s="15" t="str">
        <f>IF(ISNUMBER(VLOOKUP($C28,'IMF COFOG FULL'!$B:$CM,84,FALSE)),(VLOOKUP($C28,'IMF COFOG FULL'!$B:$CM,84,FALSE)), " ")</f>
        <v xml:space="preserve"> </v>
      </c>
      <c r="T28" s="15" t="str">
        <f>IF(ISNUMBER(VLOOKUP($C28,'IMF COFOG FULL'!$B:$CM,85,FALSE)),(VLOOKUP($C28,'IMF COFOG FULL'!$B:$CM,85,FALSE)), " ")</f>
        <v xml:space="preserve"> </v>
      </c>
      <c r="U28" s="7" t="str">
        <f>IF(ISNUMBER(VLOOKUP($C28,'IMF COFOG FULL'!$B:$CM,79,FALSE)),(VLOOKUP($C28,'IMF COFOG FULL'!$B:$CM,86,FALSE)), " ")</f>
        <v xml:space="preserve"> </v>
      </c>
      <c r="V28" s="15" t="str">
        <f>IF(ISNUMBER(VLOOKUP($C28,'IMF COFOG FULL'!$B:$CM,79,FALSE)),(VLOOKUP($C28,'IMF COFOG FULL'!$B:$CM,87,FALSE)), " ")</f>
        <v xml:space="preserve"> </v>
      </c>
      <c r="W28" s="15" t="str">
        <f t="shared" si="16"/>
        <v xml:space="preserve"> </v>
      </c>
      <c r="X28" s="15" t="str">
        <f t="shared" si="17"/>
        <v xml:space="preserve"> </v>
      </c>
      <c r="Y28" s="15" t="str">
        <f t="shared" si="18"/>
        <v xml:space="preserve"> </v>
      </c>
      <c r="Z28" s="15" t="str">
        <f t="shared" si="19"/>
        <v xml:space="preserve"> </v>
      </c>
      <c r="AA28" s="15" t="str">
        <f t="shared" si="20"/>
        <v xml:space="preserve"> </v>
      </c>
      <c r="AB28" s="15" t="str">
        <f t="shared" si="21"/>
        <v xml:space="preserve"> </v>
      </c>
      <c r="AC28" s="15" t="str">
        <f t="shared" si="22"/>
        <v xml:space="preserve"> </v>
      </c>
      <c r="AG28" s="15">
        <f>IF(ISNUMBER(VLOOKUP(C28,'National budgets summary'!A:F,5, FALSE)),(VLOOKUP(C28,'National budgets summary'!A:F,5, FALSE)), " ")</f>
        <v>683.44</v>
      </c>
      <c r="AH28">
        <f>IF(ISNUMBER(VLOOKUP(C28,'National budgets summary'!A:F,5, FALSE)),(VLOOKUP(C28,'National budgets summary'!A:F,4, FALSE)), " ")</f>
        <v>2021</v>
      </c>
      <c r="AI28" s="15">
        <f t="shared" si="1"/>
        <v>3.1633198566082625</v>
      </c>
      <c r="AJ28" s="15">
        <f t="shared" si="8"/>
        <v>0.39809932387072727</v>
      </c>
      <c r="AK28" s="15" t="str">
        <f t="shared" si="9"/>
        <v/>
      </c>
      <c r="AL28" s="15" t="str">
        <f t="shared" si="10"/>
        <v/>
      </c>
      <c r="AM28" s="15" t="str">
        <f t="shared" si="11"/>
        <v/>
      </c>
      <c r="AN28" s="15">
        <f t="shared" si="2"/>
        <v>3.1633198566082625</v>
      </c>
      <c r="AO28" s="15">
        <f t="shared" si="3"/>
        <v>0.39809932387072727</v>
      </c>
      <c r="AP28">
        <f t="shared" si="4"/>
        <v>2021</v>
      </c>
      <c r="AQ28" t="str">
        <f t="shared" si="5"/>
        <v>National</v>
      </c>
      <c r="AR28" s="7" t="str">
        <f t="shared" si="12"/>
        <v xml:space="preserve"> </v>
      </c>
      <c r="AS28" s="7" t="str">
        <f t="shared" si="13"/>
        <v xml:space="preserve"> </v>
      </c>
      <c r="AT28" s="7" t="str">
        <f t="shared" si="14"/>
        <v xml:space="preserve"> </v>
      </c>
      <c r="AU28" s="7">
        <f t="shared" si="15"/>
        <v>4.0208031710943457</v>
      </c>
    </row>
    <row r="29" spans="1:47">
      <c r="A29">
        <v>26</v>
      </c>
      <c r="B29" t="s">
        <v>118</v>
      </c>
      <c r="C29" t="s">
        <v>331</v>
      </c>
      <c r="D29" t="s">
        <v>496</v>
      </c>
      <c r="E29" t="s">
        <v>306</v>
      </c>
      <c r="F29" t="s">
        <v>615</v>
      </c>
      <c r="G29" t="s">
        <v>616</v>
      </c>
      <c r="H29" t="str">
        <f>IF(ISNUMBER(VLOOKUP(C29,'OECD DAC'!B:C,2,FALSE)), "YES", " ")</f>
        <v xml:space="preserve"> </v>
      </c>
      <c r="I29">
        <v>1040</v>
      </c>
      <c r="J29">
        <v>2021</v>
      </c>
      <c r="K29" s="15">
        <f>IF(ISNUMBER(VLOOKUP(C29,'WEO GOV REV'!C:BL,58,FALSE)),(VLOOKUP(C29,'WEO GOV REV'!C:BL,58,FALSE)), " ")</f>
        <v>98.944999999999993</v>
      </c>
      <c r="L29" s="15">
        <f>IF(ISNUMBER(VLOOKUP(C29,'WEO GOV REV'!C:BL,62,FALSE)),(VLOOKUP(C29,'WEO GOV REV'!C:BL,62,FALSE)), " ")</f>
        <v>23.816515704771003</v>
      </c>
      <c r="M29">
        <f>IF(ISNUMBER(VLOOKUP(C29,'WEO GOV REV'!C:BL,62,FALSE)),(VLOOKUP(C29,'WEO GOV REV'!C:BL,57,FALSE)), " ")</f>
        <v>2021</v>
      </c>
      <c r="N29" s="15">
        <f>IF(ISNUMBER(VLOOKUP($C29,'IMF COFOG FULL'!$B:$CM,79,FALSE)),(VLOOKUP($C29,'IMF COFOG FULL'!$B:$CM,79,FALSE)), " ")</f>
        <v>0.84180908199176596</v>
      </c>
      <c r="O29" s="15">
        <f>IF(ISNUMBER(VLOOKUP($C29,'IMF COFOG FULL'!$B:$CM,80,FALSE)),(VLOOKUP($C29,'IMF COFOG FULL'!$B:$CM,80,FALSE)), " ")</f>
        <v>0.41249119247390398</v>
      </c>
      <c r="P29" s="15">
        <f>IF(ISNUMBER(VLOOKUP($C29,'IMF COFOG FULL'!$B:$CM,81,FALSE)),(VLOOKUP($C29,'IMF COFOG FULL'!$B:$CM,81,FALSE)), " ")</f>
        <v>0</v>
      </c>
      <c r="Q29" s="15">
        <f>IF(ISNUMBER(VLOOKUP($C29,'IMF COFOG FULL'!$B:$CM,82,FALSE)),(VLOOKUP($C29,'IMF COFOG FULL'!$B:$CM,82,FALSE)), " ")</f>
        <v>0.296129051796722</v>
      </c>
      <c r="R29" s="15">
        <f>IF(ISNUMBER(VLOOKUP($C29,'IMF COFOG FULL'!$B:$CM,83,FALSE)),(VLOOKUP($C29,'IMF COFOG FULL'!$B:$CM,83,FALSE)), " ")</f>
        <v>8.8245837923419099E-2</v>
      </c>
      <c r="S29" s="15">
        <f>IF(ISNUMBER(VLOOKUP($C29,'IMF COFOG FULL'!$B:$CM,84,FALSE)),(VLOOKUP($C29,'IMF COFOG FULL'!$B:$CM,84,FALSE)), " ")</f>
        <v>1.3917016116045599E-3</v>
      </c>
      <c r="T29" s="15">
        <f>IF(ISNUMBER(VLOOKUP($C29,'IMF COFOG FULL'!$B:$CM,85,FALSE)),(VLOOKUP($C29,'IMF COFOG FULL'!$B:$CM,85,FALSE)), " ")</f>
        <v>4.3551298186116097E-2</v>
      </c>
      <c r="U29" s="7">
        <f>IF(ISNUMBER(VLOOKUP($C29,'IMF COFOG FULL'!$B:$CM,79,FALSE)),(VLOOKUP($C29,'IMF COFOG FULL'!$B:$CM,86,FALSE)), " ")</f>
        <v>2020</v>
      </c>
      <c r="V29" s="15" t="str">
        <f>IF(ISNUMBER(VLOOKUP($C29,'IMF COFOG FULL'!$B:$CM,79,FALSE)),(VLOOKUP($C29,'IMF COFOG FULL'!$B:$CM,87,FALSE)), " ")</f>
        <v>Budgetary central government</v>
      </c>
      <c r="W29" s="15">
        <f t="shared" si="16"/>
        <v>3.5345601868334251</v>
      </c>
      <c r="X29" s="15">
        <f t="shared" si="17"/>
        <v>1.7319544033524283</v>
      </c>
      <c r="Y29" s="15">
        <f t="shared" si="18"/>
        <v>0</v>
      </c>
      <c r="Z29" s="15">
        <f t="shared" si="19"/>
        <v>1.243376887986182</v>
      </c>
      <c r="AA29" s="15">
        <f t="shared" si="20"/>
        <v>0.37052371143332863</v>
      </c>
      <c r="AB29" s="15">
        <f t="shared" si="21"/>
        <v>5.8434307891887379E-3</v>
      </c>
      <c r="AC29" s="15">
        <f t="shared" si="22"/>
        <v>0.18286175327229651</v>
      </c>
      <c r="AD29" s="15">
        <f>(Zambia!C6+Zambia!C7)/(10^9)</f>
        <v>1.593647204</v>
      </c>
      <c r="AE29" s="15">
        <f>(Zambia!C10+Zambia!C12)/(10^9)</f>
        <v>0.84035864599999999</v>
      </c>
      <c r="AF29" s="15">
        <f>Zambia!C11/(10^9)</f>
        <v>0.38036566500000002</v>
      </c>
      <c r="AG29" s="15">
        <f>IF(ISNUMBER(VLOOKUP(C29,'National budgets summary'!A:F,5, FALSE)),(VLOOKUP(C29,'National budgets summary'!A:F,5, FALSE)), " ")</f>
        <v>2.8441229520000002</v>
      </c>
      <c r="AH29">
        <f>IF(ISNUMBER(VLOOKUP(C29,'National budgets summary'!A:F,5, FALSE)),(VLOOKUP(C29,'National budgets summary'!A:F,4, FALSE)), " ")</f>
        <v>2021</v>
      </c>
      <c r="AI29" s="15">
        <f t="shared" si="1"/>
        <v>2.8744483824346863</v>
      </c>
      <c r="AJ29" s="15">
        <f t="shared" si="8"/>
        <v>0.68459345042809316</v>
      </c>
      <c r="AK29" s="15">
        <f t="shared" si="9"/>
        <v>1.7319544033524283</v>
      </c>
      <c r="AL29" s="15">
        <f t="shared" si="10"/>
        <v>1.243376887986182</v>
      </c>
      <c r="AM29" s="15">
        <f t="shared" si="11"/>
        <v>0.37052371143332863</v>
      </c>
      <c r="AN29" s="15">
        <f>IF(ISNUMBER(AI29),AI29,IF(ISNUMBER(W29),W29, " "))</f>
        <v>2.8744483824346863</v>
      </c>
      <c r="AO29" s="15">
        <f>IF(ISNUMBER(AJ29),AJ29,IF(ISNUMBER(N29),N29, " "))</f>
        <v>0.68459345042809316</v>
      </c>
      <c r="AP29">
        <f>IF(ISNUMBER(AJ29),AH29,IF(ISNUMBER(N29),U29, " "))</f>
        <v>2021</v>
      </c>
      <c r="AQ29" t="str">
        <f>IF(ISNUMBER(AJ29),"National",IF(ISNUMBER(N29),"IMF COFOG", " "))</f>
        <v>National</v>
      </c>
      <c r="AR29" s="7">
        <f t="shared" si="12"/>
        <v>4.289908401728602</v>
      </c>
      <c r="AS29" s="7">
        <f t="shared" si="13"/>
        <v>3.0797421386859085</v>
      </c>
      <c r="AT29" s="7">
        <f t="shared" si="14"/>
        <v>0.91775671440355866</v>
      </c>
      <c r="AU29" s="7">
        <f t="shared" si="15"/>
        <v>7.1197718844521685</v>
      </c>
    </row>
    <row r="30" spans="1:47">
      <c r="A30">
        <v>27</v>
      </c>
      <c r="B30" t="s">
        <v>119</v>
      </c>
      <c r="C30" t="s">
        <v>332</v>
      </c>
      <c r="D30" t="s">
        <v>496</v>
      </c>
      <c r="E30" t="s">
        <v>306</v>
      </c>
      <c r="F30" t="s">
        <v>615</v>
      </c>
      <c r="H30" t="str">
        <f>IF(ISNUMBER(VLOOKUP(C30,'OECD DAC'!B:C,2,FALSE)), "YES", " ")</f>
        <v xml:space="preserve"> </v>
      </c>
      <c r="I30">
        <v>1090</v>
      </c>
      <c r="J30">
        <v>2015</v>
      </c>
      <c r="K30" s="15">
        <f>IF(ISNUMBER(VLOOKUP(C30,'WEO GOV REV'!C:BL,58,FALSE)),(VLOOKUP(C30,'WEO GOV REV'!C:BL,58,FALSE)), " ")</f>
        <v>306.55900000000003</v>
      </c>
      <c r="L30" s="15">
        <f>IF(ISNUMBER(VLOOKUP(C30,'WEO GOV REV'!C:BL,62,FALSE)),(VLOOKUP(C30,'WEO GOV REV'!C:BL,62,FALSE)), " ")</f>
        <v>36.468766022647927</v>
      </c>
      <c r="M30">
        <f>IF(ISNUMBER(VLOOKUP(C30,'WEO GOV REV'!C:BL,62,FALSE)),(VLOOKUP(C30,'WEO GOV REV'!C:BL,57,FALSE)), " ")</f>
        <v>2019</v>
      </c>
      <c r="N30" s="15" t="str">
        <f>IF(ISNUMBER(VLOOKUP($C30,'IMF COFOG FULL'!$B:$CM,79,FALSE)),(VLOOKUP($C30,'IMF COFOG FULL'!$B:$CM,79,FALSE)), " ")</f>
        <v xml:space="preserve"> </v>
      </c>
      <c r="O30" s="15" t="str">
        <f>IF(ISNUMBER(VLOOKUP($C30,'IMF COFOG FULL'!$B:$CM,80,FALSE)),(VLOOKUP($C30,'IMF COFOG FULL'!$B:$CM,80,FALSE)), " ")</f>
        <v xml:space="preserve"> </v>
      </c>
      <c r="P30" s="15" t="str">
        <f>IF(ISNUMBER(VLOOKUP($C30,'IMF COFOG FULL'!$B:$CM,81,FALSE)),(VLOOKUP($C30,'IMF COFOG FULL'!$B:$CM,81,FALSE)), " ")</f>
        <v xml:space="preserve"> </v>
      </c>
      <c r="Q30" s="15" t="str">
        <f>IF(ISNUMBER(VLOOKUP($C30,'IMF COFOG FULL'!$B:$CM,82,FALSE)),(VLOOKUP($C30,'IMF COFOG FULL'!$B:$CM,82,FALSE)), " ")</f>
        <v xml:space="preserve"> </v>
      </c>
      <c r="R30" s="15" t="str">
        <f>IF(ISNUMBER(VLOOKUP($C30,'IMF COFOG FULL'!$B:$CM,83,FALSE)),(VLOOKUP($C30,'IMF COFOG FULL'!$B:$CM,83,FALSE)), " ")</f>
        <v xml:space="preserve"> </v>
      </c>
      <c r="S30" s="15" t="str">
        <f>IF(ISNUMBER(VLOOKUP($C30,'IMF COFOG FULL'!$B:$CM,84,FALSE)),(VLOOKUP($C30,'IMF COFOG FULL'!$B:$CM,84,FALSE)), " ")</f>
        <v xml:space="preserve"> </v>
      </c>
      <c r="T30" s="15" t="str">
        <f>IF(ISNUMBER(VLOOKUP($C30,'IMF COFOG FULL'!$B:$CM,85,FALSE)),(VLOOKUP($C30,'IMF COFOG FULL'!$B:$CM,85,FALSE)), " ")</f>
        <v xml:space="preserve"> </v>
      </c>
      <c r="U30" s="7" t="str">
        <f>IF(ISNUMBER(VLOOKUP($C30,'IMF COFOG FULL'!$B:$CM,79,FALSE)),(VLOOKUP($C30,'IMF COFOG FULL'!$B:$CM,86,FALSE)), " ")</f>
        <v xml:space="preserve"> </v>
      </c>
      <c r="V30" s="15" t="str">
        <f>IF(ISNUMBER(VLOOKUP($C30,'IMF COFOG FULL'!$B:$CM,79,FALSE)),(VLOOKUP($C30,'IMF COFOG FULL'!$B:$CM,87,FALSE)), " ")</f>
        <v xml:space="preserve"> </v>
      </c>
      <c r="W30" s="15" t="str">
        <f t="shared" si="16"/>
        <v xml:space="preserve"> </v>
      </c>
      <c r="X30" s="15" t="str">
        <f t="shared" si="17"/>
        <v xml:space="preserve"> </v>
      </c>
      <c r="Y30" s="15" t="str">
        <f t="shared" si="18"/>
        <v xml:space="preserve"> </v>
      </c>
      <c r="Z30" s="15" t="str">
        <f t="shared" si="19"/>
        <v xml:space="preserve"> </v>
      </c>
      <c r="AA30" s="15" t="str">
        <f t="shared" si="20"/>
        <v xml:space="preserve"> </v>
      </c>
      <c r="AB30" s="15" t="str">
        <f t="shared" si="21"/>
        <v xml:space="preserve"> </v>
      </c>
      <c r="AC30" s="15" t="str">
        <f t="shared" si="22"/>
        <v xml:space="preserve"> </v>
      </c>
      <c r="AD30" s="15">
        <f>'South Sudan'!D33</f>
        <v>6.7932992600000004</v>
      </c>
      <c r="AE30" s="15">
        <f>'South Sudan'!D31+'South Sudan'!D28</f>
        <v>0.31317666700000002</v>
      </c>
      <c r="AF30" s="15">
        <f>'South Sudan'!D34</f>
        <v>2.7911395489999999</v>
      </c>
      <c r="AG30" s="15">
        <f>IF(ISNUMBER(VLOOKUP(C30,'National budgets summary'!A:F,5, FALSE)),(VLOOKUP(C30,'National budgets summary'!A:F,5, FALSE)), " ")</f>
        <v>12.758386176</v>
      </c>
      <c r="AH30" t="str">
        <f>IF(ISNUMBER(VLOOKUP(C30,'National budgets summary'!A:F,5, FALSE)),(VLOOKUP(C30,'National budgets summary'!A:F,4, FALSE)), " ")</f>
        <v>FY 20/21</v>
      </c>
      <c r="AI30" s="15">
        <f t="shared" si="1"/>
        <v>4.161804473527118</v>
      </c>
      <c r="AJ30" s="15">
        <f t="shared" si="8"/>
        <v>1.5177587357706992</v>
      </c>
      <c r="AK30" s="15">
        <f t="shared" si="9"/>
        <v>2.2159842836126162</v>
      </c>
      <c r="AL30" s="15">
        <f t="shared" si="10"/>
        <v>0.10215869278018261</v>
      </c>
      <c r="AM30" s="15">
        <f t="shared" si="11"/>
        <v>0.91047385625605493</v>
      </c>
      <c r="AN30" s="15">
        <f t="shared" si="2"/>
        <v>4.161804473527118</v>
      </c>
      <c r="AO30" s="15">
        <f t="shared" si="3"/>
        <v>1.5177587357706992</v>
      </c>
      <c r="AP30" t="str">
        <f t="shared" si="4"/>
        <v>FY 20/21</v>
      </c>
      <c r="AQ30" t="str">
        <f t="shared" si="5"/>
        <v>National</v>
      </c>
      <c r="AR30" s="7">
        <f t="shared" si="12"/>
        <v>8.8087491460337599</v>
      </c>
      <c r="AS30" s="7">
        <f t="shared" si="13"/>
        <v>0.40609055959562557</v>
      </c>
      <c r="AT30" s="7">
        <f t="shared" si="14"/>
        <v>3.6192205256558649</v>
      </c>
      <c r="AU30" s="7">
        <f t="shared" si="15"/>
        <v>16.543570219900619</v>
      </c>
    </row>
    <row r="31" spans="1:47">
      <c r="A31">
        <v>28</v>
      </c>
      <c r="B31" t="s">
        <v>120</v>
      </c>
      <c r="C31" t="s">
        <v>333</v>
      </c>
      <c r="D31" t="s">
        <v>493</v>
      </c>
      <c r="E31" t="s">
        <v>334</v>
      </c>
      <c r="F31" t="s">
        <v>615</v>
      </c>
      <c r="H31" t="str">
        <f>IF(ISNUMBER(VLOOKUP(C31,'OECD DAC'!B:C,2,FALSE)), "YES", " ")</f>
        <v xml:space="preserve"> </v>
      </c>
      <c r="I31">
        <v>1140</v>
      </c>
      <c r="J31">
        <v>2021</v>
      </c>
      <c r="K31" s="15">
        <f>IF(ISNUMBER(VLOOKUP(C31,'WEO GOV REV'!C:BL,58,FALSE)),(VLOOKUP(C31,'WEO GOV REV'!C:BL,58,FALSE)), " ")</f>
        <v>18460.259999999998</v>
      </c>
      <c r="L31" s="15">
        <f>IF(ISNUMBER(VLOOKUP(C31,'WEO GOV REV'!C:BL,62,FALSE)),(VLOOKUP(C31,'WEO GOV REV'!C:BL,62,FALSE)), " ")</f>
        <v>16.037650939449076</v>
      </c>
      <c r="M31">
        <f>IF(ISNUMBER(VLOOKUP(C31,'WEO GOV REV'!C:BL,62,FALSE)),(VLOOKUP(C31,'WEO GOV REV'!C:BL,57,FALSE)), " ")</f>
        <v>2020</v>
      </c>
      <c r="N31" s="15">
        <f>IF(ISNUMBER(VLOOKUP($C31,'IMF COFOG FULL'!$B:$CM,79,FALSE)),(VLOOKUP($C31,'IMF COFOG FULL'!$B:$CM,79,FALSE)), " ")</f>
        <v>0.56382341290068605</v>
      </c>
      <c r="O31" s="15">
        <f>IF(ISNUMBER(VLOOKUP($C31,'IMF COFOG FULL'!$B:$CM,80,FALSE)),(VLOOKUP($C31,'IMF COFOG FULL'!$B:$CM,80,FALSE)), " ")</f>
        <v>0.35486354269005499</v>
      </c>
      <c r="P31" s="15">
        <f>IF(ISNUMBER(VLOOKUP($C31,'IMF COFOG FULL'!$B:$CM,81,FALSE)),(VLOOKUP($C31,'IMF COFOG FULL'!$B:$CM,81,FALSE)), " ")</f>
        <v>8.96386920991213E-2</v>
      </c>
      <c r="Q31" s="15">
        <f>IF(ISNUMBER(VLOOKUP($C31,'IMF COFOG FULL'!$B:$CM,82,FALSE)),(VLOOKUP($C31,'IMF COFOG FULL'!$B:$CM,82,FALSE)), " ")</f>
        <v>4.50541849990743E-2</v>
      </c>
      <c r="R31" s="15">
        <f>IF(ISNUMBER(VLOOKUP($C31,'IMF COFOG FULL'!$B:$CM,83,FALSE)),(VLOOKUP($C31,'IMF COFOG FULL'!$B:$CM,83,FALSE)), " ")</f>
        <v>7.4266993112435398E-2</v>
      </c>
      <c r="S31" s="15">
        <f>IF(ISNUMBER(VLOOKUP($C31,'IMF COFOG FULL'!$B:$CM,84,FALSE)),(VLOOKUP($C31,'IMF COFOG FULL'!$B:$CM,84,FALSE)), " ")</f>
        <v>0</v>
      </c>
      <c r="T31" s="15">
        <f>IF(ISNUMBER(VLOOKUP($C31,'IMF COFOG FULL'!$B:$CM,85,FALSE)),(VLOOKUP($C31,'IMF COFOG FULL'!$B:$CM,85,FALSE)), " ")</f>
        <v>0</v>
      </c>
      <c r="U31" s="7">
        <f>IF(ISNUMBER(VLOOKUP($C31,'IMF COFOG FULL'!$B:$CM,79,FALSE)),(VLOOKUP($C31,'IMF COFOG FULL'!$B:$CM,86,FALSE)), " ")</f>
        <v>2019</v>
      </c>
      <c r="V31" s="15" t="str">
        <f>IF(ISNUMBER(VLOOKUP($C31,'IMF COFOG FULL'!$B:$CM,79,FALSE)),(VLOOKUP($C31,'IMF COFOG FULL'!$B:$CM,87,FALSE)), " ")</f>
        <v>General government</v>
      </c>
      <c r="W31" s="15">
        <f t="shared" si="16"/>
        <v>3.5156234228405929</v>
      </c>
      <c r="X31" s="15">
        <f t="shared" si="17"/>
        <v>2.212690275089908</v>
      </c>
      <c r="Y31" s="15">
        <f t="shared" si="18"/>
        <v>0.55892656871979884</v>
      </c>
      <c r="Z31" s="15">
        <f t="shared" si="19"/>
        <v>0.28092758203292084</v>
      </c>
      <c r="AA31" s="15">
        <f t="shared" si="20"/>
        <v>0.4630789969979644</v>
      </c>
      <c r="AB31" s="15">
        <f t="shared" si="21"/>
        <v>0</v>
      </c>
      <c r="AC31" s="15">
        <f t="shared" si="22"/>
        <v>0</v>
      </c>
      <c r="AG31" s="15" t="str">
        <f>IF(ISNUMBER(VLOOKUP(C31,'National budgets summary'!A:F,5, FALSE)),(VLOOKUP(C31,'National budgets summary'!A:F,5, FALSE)), " ")</f>
        <v xml:space="preserve"> </v>
      </c>
      <c r="AH31" t="str">
        <f>IF(ISNUMBER(VLOOKUP(C31,'National budgets summary'!A:F,5, FALSE)),(VLOOKUP(C31,'National budgets summary'!A:F,4, FALSE)), " ")</f>
        <v xml:space="preserve"> </v>
      </c>
      <c r="AI31" s="15" t="str">
        <f t="shared" si="1"/>
        <v xml:space="preserve"> </v>
      </c>
      <c r="AJ31" s="15" t="str">
        <f t="shared" si="8"/>
        <v xml:space="preserve"> </v>
      </c>
      <c r="AK31" s="15">
        <f t="shared" si="9"/>
        <v>2.212690275089908</v>
      </c>
      <c r="AL31" s="15">
        <f t="shared" si="10"/>
        <v>0.28092758203292084</v>
      </c>
      <c r="AM31" s="15">
        <f t="shared" si="11"/>
        <v>0.4630789969979644</v>
      </c>
      <c r="AN31" s="15">
        <f t="shared" si="2"/>
        <v>3.5156234228405929</v>
      </c>
      <c r="AO31" s="15">
        <f t="shared" si="3"/>
        <v>0.56382341290068605</v>
      </c>
      <c r="AP31">
        <f t="shared" si="4"/>
        <v>2019</v>
      </c>
      <c r="AQ31" t="str">
        <f t="shared" si="5"/>
        <v>IMF COFOG</v>
      </c>
      <c r="AR31" s="7">
        <f t="shared" si="12"/>
        <v>4.0454443866666274</v>
      </c>
      <c r="AS31" s="7">
        <f t="shared" si="13"/>
        <v>0.51361770898944714</v>
      </c>
      <c r="AT31" s="7">
        <f t="shared" si="14"/>
        <v>0.8466437214817637</v>
      </c>
      <c r="AU31" s="7">
        <f t="shared" si="15"/>
        <v>6.4275869070678224</v>
      </c>
    </row>
    <row r="32" spans="1:47">
      <c r="A32">
        <v>29</v>
      </c>
      <c r="B32" t="s">
        <v>121</v>
      </c>
      <c r="C32" t="s">
        <v>335</v>
      </c>
      <c r="D32" t="s">
        <v>496</v>
      </c>
      <c r="E32" t="s">
        <v>334</v>
      </c>
      <c r="F32" t="s">
        <v>615</v>
      </c>
      <c r="G32" t="s">
        <v>616</v>
      </c>
      <c r="H32" t="str">
        <f>IF(ISNUMBER(VLOOKUP(C32,'OECD DAC'!B:C,2,FALSE)), "YES", " ")</f>
        <v xml:space="preserve"> </v>
      </c>
      <c r="I32">
        <v>1140</v>
      </c>
      <c r="J32">
        <v>2021</v>
      </c>
      <c r="K32" s="15">
        <f>IF(ISNUMBER(VLOOKUP(C32,'WEO GOV REV'!C:BL,58,FALSE)),(VLOOKUP(C32,'WEO GOV REV'!C:BL,58,FALSE)), " ")</f>
        <v>23732.240000000002</v>
      </c>
      <c r="L32" s="15">
        <f>IF(ISNUMBER(VLOOKUP(C32,'WEO GOV REV'!C:BL,62,FALSE)),(VLOOKUP(C32,'WEO GOV REV'!C:BL,62,FALSE)), " ")</f>
        <v>14.620880256558982</v>
      </c>
      <c r="M32">
        <f>IF(ISNUMBER(VLOOKUP(C32,'WEO GOV REV'!C:BL,62,FALSE)),(VLOOKUP(C32,'WEO GOV REV'!C:BL,57,FALSE)), " ")</f>
        <v>2021</v>
      </c>
      <c r="N32" s="15">
        <f>IF(ISNUMBER(VLOOKUP($C32,'IMF COFOG FULL'!$B:$CM,79,FALSE)),(VLOOKUP($C32,'IMF COFOG FULL'!$B:$CM,79,FALSE)), " ")</f>
        <v>0.85297758531096701</v>
      </c>
      <c r="O32" s="15" t="str">
        <f>IF(ISNUMBER(VLOOKUP($C32,'IMF COFOG FULL'!$B:$CM,80,FALSE)),(VLOOKUP($C32,'IMF COFOG FULL'!$B:$CM,80,FALSE)), " ")</f>
        <v xml:space="preserve"> </v>
      </c>
      <c r="P32" s="15" t="str">
        <f>IF(ISNUMBER(VLOOKUP($C32,'IMF COFOG FULL'!$B:$CM,81,FALSE)),(VLOOKUP($C32,'IMF COFOG FULL'!$B:$CM,81,FALSE)), " ")</f>
        <v xml:space="preserve"> </v>
      </c>
      <c r="Q32" s="15" t="str">
        <f>IF(ISNUMBER(VLOOKUP($C32,'IMF COFOG FULL'!$B:$CM,82,FALSE)),(VLOOKUP($C32,'IMF COFOG FULL'!$B:$CM,82,FALSE)), " ")</f>
        <v xml:space="preserve"> </v>
      </c>
      <c r="R32" s="15" t="str">
        <f>IF(ISNUMBER(VLOOKUP($C32,'IMF COFOG FULL'!$B:$CM,83,FALSE)),(VLOOKUP($C32,'IMF COFOG FULL'!$B:$CM,83,FALSE)), " ")</f>
        <v xml:space="preserve"> </v>
      </c>
      <c r="S32" s="15" t="str">
        <f>IF(ISNUMBER(VLOOKUP($C32,'IMF COFOG FULL'!$B:$CM,84,FALSE)),(VLOOKUP($C32,'IMF COFOG FULL'!$B:$CM,84,FALSE)), " ")</f>
        <v xml:space="preserve"> </v>
      </c>
      <c r="T32" s="15" t="str">
        <f>IF(ISNUMBER(VLOOKUP($C32,'IMF COFOG FULL'!$B:$CM,85,FALSE)),(VLOOKUP($C32,'IMF COFOG FULL'!$B:$CM,85,FALSE)), " ")</f>
        <v xml:space="preserve"> </v>
      </c>
      <c r="U32" s="7">
        <f>IF(ISNUMBER(VLOOKUP($C32,'IMF COFOG FULL'!$B:$CM,79,FALSE)),(VLOOKUP($C32,'IMF COFOG FULL'!$B:$CM,86,FALSE)), " ")</f>
        <v>2018</v>
      </c>
      <c r="V32" s="15" t="str">
        <f>IF(ISNUMBER(VLOOKUP($C32,'IMF COFOG FULL'!$B:$CM,79,FALSE)),(VLOOKUP($C32,'IMF COFOG FULL'!$B:$CM,87,FALSE)), " ")</f>
        <v>Budgetary central government</v>
      </c>
      <c r="W32" s="15">
        <f t="shared" si="16"/>
        <v>5.833968751151752</v>
      </c>
      <c r="X32" s="15" t="str">
        <f t="shared" si="17"/>
        <v xml:space="preserve"> </v>
      </c>
      <c r="Y32" s="15" t="str">
        <f t="shared" si="18"/>
        <v xml:space="preserve"> </v>
      </c>
      <c r="Z32" s="15" t="str">
        <f t="shared" si="19"/>
        <v xml:space="preserve"> </v>
      </c>
      <c r="AA32" s="15" t="str">
        <f t="shared" si="20"/>
        <v xml:space="preserve"> </v>
      </c>
      <c r="AB32" s="15" t="str">
        <f t="shared" si="21"/>
        <v xml:space="preserve"> </v>
      </c>
      <c r="AC32" s="15" t="str">
        <f t="shared" si="22"/>
        <v xml:space="preserve"> </v>
      </c>
      <c r="AG32" s="15">
        <f>IF(ISNUMBER(VLOOKUP(C32,'National budgets summary'!A:F,5, FALSE)),(VLOOKUP(C32,'National budgets summary'!A:F,5, FALSE)), " ")</f>
        <v>1199.49218</v>
      </c>
      <c r="AH32" t="str">
        <f>IF(ISNUMBER(VLOOKUP(C32,'National budgets summary'!A:F,5, FALSE)),(VLOOKUP(C32,'National budgets summary'!A:F,4, FALSE)), " ")</f>
        <v>FY 21/22</v>
      </c>
      <c r="AI32" s="15">
        <f t="shared" si="1"/>
        <v>5.0542729215615552</v>
      </c>
      <c r="AJ32" s="15">
        <f t="shared" si="8"/>
        <v>0.73897919170120019</v>
      </c>
      <c r="AK32" s="15" t="str">
        <f t="shared" si="9"/>
        <v/>
      </c>
      <c r="AL32" s="15" t="str">
        <f t="shared" si="10"/>
        <v/>
      </c>
      <c r="AM32" s="15" t="str">
        <f t="shared" si="11"/>
        <v/>
      </c>
      <c r="AN32" s="15">
        <f>IF(ISNUMBER(AI32),AI32,IF(ISNUMBER(WM32),WM32, " "))</f>
        <v>5.0542729215615552</v>
      </c>
      <c r="AO32" s="15">
        <f>IF(ISNUMBER(AJ32),AJ32,IF(ISNUMBER(N32),NN32, " "))</f>
        <v>0.73897919170120019</v>
      </c>
      <c r="AP32" t="str">
        <f>IF(ISNUMBER(AJ32),AH32,IF(ISNUMBER(N32),U32, " "))</f>
        <v>FY 21/22</v>
      </c>
      <c r="AQ32" t="str">
        <f>IF(ISNUMBER(AJ32),"National",IF(ISNUMBER(N32),"IMF COFOG", " "))</f>
        <v>National</v>
      </c>
      <c r="AR32" s="7" t="str">
        <f t="shared" si="12"/>
        <v xml:space="preserve"> </v>
      </c>
      <c r="AS32" s="7" t="str">
        <f t="shared" si="13"/>
        <v xml:space="preserve"> </v>
      </c>
      <c r="AT32" s="7" t="str">
        <f t="shared" si="14"/>
        <v xml:space="preserve"> </v>
      </c>
      <c r="AU32" s="7">
        <f t="shared" si="15"/>
        <v>8.4243627853936829</v>
      </c>
    </row>
    <row r="33" spans="1:48">
      <c r="A33">
        <v>30</v>
      </c>
      <c r="B33" t="s">
        <v>122</v>
      </c>
      <c r="C33" t="s">
        <v>336</v>
      </c>
      <c r="D33" t="s">
        <v>485</v>
      </c>
      <c r="E33" t="s">
        <v>334</v>
      </c>
      <c r="F33" t="s">
        <v>615</v>
      </c>
      <c r="H33" t="str">
        <f>IF(ISNUMBER(VLOOKUP(C33,'OECD DAC'!B:C,2,FALSE)), "YES", " ")</f>
        <v xml:space="preserve"> </v>
      </c>
      <c r="I33">
        <v>1150</v>
      </c>
      <c r="J33">
        <v>2021</v>
      </c>
      <c r="K33" s="15">
        <f>IF(ISNUMBER(VLOOKUP(C33,'WEO GOV REV'!C:BL,58,FALSE)),(VLOOKUP(C33,'WEO GOV REV'!C:BL,58,FALSE)), " ")</f>
        <v>20.841999999999999</v>
      </c>
      <c r="L33" s="15">
        <f>IF(ISNUMBER(VLOOKUP(C33,'WEO GOV REV'!C:BL,62,FALSE)),(VLOOKUP(C33,'WEO GOV REV'!C:BL,62,FALSE)), " ")</f>
        <v>24.824316920364943</v>
      </c>
      <c r="M33">
        <f>IF(ISNUMBER(VLOOKUP(C33,'WEO GOV REV'!C:BL,62,FALSE)),(VLOOKUP(C33,'WEO GOV REV'!C:BL,57,FALSE)), " ")</f>
        <v>2020</v>
      </c>
      <c r="N33" s="15" t="str">
        <f>IF(ISNUMBER(VLOOKUP($C33,'IMF COFOG FULL'!$B:$CM,79,FALSE)),(VLOOKUP($C33,'IMF COFOG FULL'!$B:$CM,79,FALSE)), " ")</f>
        <v xml:space="preserve"> </v>
      </c>
      <c r="O33" s="15" t="str">
        <f>IF(ISNUMBER(VLOOKUP($C33,'IMF COFOG FULL'!$B:$CM,80,FALSE)),(VLOOKUP($C33,'IMF COFOG FULL'!$B:$CM,80,FALSE)), " ")</f>
        <v xml:space="preserve"> </v>
      </c>
      <c r="P33" s="15" t="str">
        <f>IF(ISNUMBER(VLOOKUP($C33,'IMF COFOG FULL'!$B:$CM,81,FALSE)),(VLOOKUP($C33,'IMF COFOG FULL'!$B:$CM,81,FALSE)), " ")</f>
        <v xml:space="preserve"> </v>
      </c>
      <c r="Q33" s="15" t="str">
        <f>IF(ISNUMBER(VLOOKUP($C33,'IMF COFOG FULL'!$B:$CM,82,FALSE)),(VLOOKUP($C33,'IMF COFOG FULL'!$B:$CM,82,FALSE)), " ")</f>
        <v xml:space="preserve"> </v>
      </c>
      <c r="R33" s="15" t="str">
        <f>IF(ISNUMBER(VLOOKUP($C33,'IMF COFOG FULL'!$B:$CM,83,FALSE)),(VLOOKUP($C33,'IMF COFOG FULL'!$B:$CM,83,FALSE)), " ")</f>
        <v xml:space="preserve"> </v>
      </c>
      <c r="S33" s="15" t="str">
        <f>IF(ISNUMBER(VLOOKUP($C33,'IMF COFOG FULL'!$B:$CM,84,FALSE)),(VLOOKUP($C33,'IMF COFOG FULL'!$B:$CM,84,FALSE)), " ")</f>
        <v xml:space="preserve"> </v>
      </c>
      <c r="T33" s="15" t="str">
        <f>IF(ISNUMBER(VLOOKUP($C33,'IMF COFOG FULL'!$B:$CM,85,FALSE)),(VLOOKUP($C33,'IMF COFOG FULL'!$B:$CM,85,FALSE)), " ")</f>
        <v xml:space="preserve"> </v>
      </c>
      <c r="U33" s="7" t="str">
        <f>IF(ISNUMBER(VLOOKUP($C33,'IMF COFOG FULL'!$B:$CM,79,FALSE)),(VLOOKUP($C33,'IMF COFOG FULL'!$B:$CM,86,FALSE)), " ")</f>
        <v xml:space="preserve"> </v>
      </c>
      <c r="V33" s="15" t="str">
        <f>IF(ISNUMBER(VLOOKUP($C33,'IMF COFOG FULL'!$B:$CM,79,FALSE)),(VLOOKUP($C33,'IMF COFOG FULL'!$B:$CM,87,FALSE)), " ")</f>
        <v xml:space="preserve"> </v>
      </c>
      <c r="W33" s="15" t="str">
        <f t="shared" si="16"/>
        <v xml:space="preserve"> </v>
      </c>
      <c r="X33" s="15" t="str">
        <f t="shared" si="17"/>
        <v xml:space="preserve"> </v>
      </c>
      <c r="Y33" s="15" t="str">
        <f t="shared" si="18"/>
        <v xml:space="preserve"> </v>
      </c>
      <c r="Z33" s="15" t="str">
        <f t="shared" si="19"/>
        <v xml:space="preserve"> </v>
      </c>
      <c r="AA33" s="15" t="str">
        <f t="shared" si="20"/>
        <v xml:space="preserve"> </v>
      </c>
      <c r="AB33" s="15" t="str">
        <f t="shared" si="21"/>
        <v xml:space="preserve"> </v>
      </c>
      <c r="AC33" s="15" t="str">
        <f t="shared" si="22"/>
        <v xml:space="preserve"> </v>
      </c>
      <c r="AG33" s="15" t="str">
        <f>IF(ISNUMBER(VLOOKUP(C33,'National budgets summary'!A:F,5, FALSE)),(VLOOKUP(C33,'National budgets summary'!A:F,5, FALSE)), " ")</f>
        <v xml:space="preserve"> </v>
      </c>
      <c r="AH33" t="str">
        <f>IF(ISNUMBER(VLOOKUP(C33,'National budgets summary'!A:F,5, FALSE)),(VLOOKUP(C33,'National budgets summary'!A:F,4, FALSE)), " ")</f>
        <v xml:space="preserve"> </v>
      </c>
      <c r="AI33" s="15" t="str">
        <f t="shared" si="1"/>
        <v xml:space="preserve"> </v>
      </c>
      <c r="AJ33" s="15" t="str">
        <f t="shared" si="8"/>
        <v xml:space="preserve"> </v>
      </c>
      <c r="AK33" s="15" t="str">
        <f t="shared" si="9"/>
        <v/>
      </c>
      <c r="AL33" s="15" t="str">
        <f t="shared" si="10"/>
        <v/>
      </c>
      <c r="AM33" s="15" t="str">
        <f t="shared" si="11"/>
        <v/>
      </c>
      <c r="AN33" s="15" t="str">
        <f t="shared" si="2"/>
        <v xml:space="preserve"> </v>
      </c>
      <c r="AO33" s="15" t="str">
        <f t="shared" si="3"/>
        <v xml:space="preserve"> </v>
      </c>
      <c r="AP33" t="str">
        <f t="shared" si="4"/>
        <v xml:space="preserve"> </v>
      </c>
      <c r="AQ33" t="str">
        <f t="shared" si="5"/>
        <v xml:space="preserve"> </v>
      </c>
      <c r="AR33" s="7" t="str">
        <f t="shared" si="12"/>
        <v xml:space="preserve"> </v>
      </c>
      <c r="AS33" s="7" t="str">
        <f t="shared" si="13"/>
        <v xml:space="preserve"> </v>
      </c>
      <c r="AT33" s="7" t="str">
        <f t="shared" si="14"/>
        <v xml:space="preserve"> </v>
      </c>
      <c r="AU33" s="7" t="str">
        <f t="shared" si="15"/>
        <v xml:space="preserve"> </v>
      </c>
    </row>
    <row r="34" spans="1:48">
      <c r="A34">
        <v>31</v>
      </c>
      <c r="B34" t="s">
        <v>123</v>
      </c>
      <c r="C34" t="s">
        <v>337</v>
      </c>
      <c r="D34" t="s">
        <v>485</v>
      </c>
      <c r="E34" t="s">
        <v>334</v>
      </c>
      <c r="F34" t="s">
        <v>615</v>
      </c>
      <c r="H34" t="str">
        <f>IF(ISNUMBER(VLOOKUP(C34,'OECD DAC'!B:C,2,FALSE)), "YES", " ")</f>
        <v xml:space="preserve"> </v>
      </c>
      <c r="I34">
        <v>1180</v>
      </c>
      <c r="J34">
        <v>2021</v>
      </c>
      <c r="K34" s="15">
        <f>IF(ISNUMBER(VLOOKUP(C34,'WEO GOV REV'!C:BL,58,FALSE)),(VLOOKUP(C34,'WEO GOV REV'!C:BL,58,FALSE)), " ")</f>
        <v>245.58500000000001</v>
      </c>
      <c r="L34" s="15">
        <f>IF(ISNUMBER(VLOOKUP(C34,'WEO GOV REV'!C:BL,62,FALSE)),(VLOOKUP(C34,'WEO GOV REV'!C:BL,62,FALSE)), " ")</f>
        <v>33.96176578779238</v>
      </c>
      <c r="M34">
        <f>IF(ISNUMBER(VLOOKUP(C34,'WEO GOV REV'!C:BL,62,FALSE)),(VLOOKUP(C34,'WEO GOV REV'!C:BL,57,FALSE)), " ")</f>
        <v>2021</v>
      </c>
      <c r="N34" s="15" t="str">
        <f>IF(ISNUMBER(VLOOKUP($C34,'IMF COFOG FULL'!$B:$CM,79,FALSE)),(VLOOKUP($C34,'IMF COFOG FULL'!$B:$CM,79,FALSE)), " ")</f>
        <v xml:space="preserve"> </v>
      </c>
      <c r="O34" s="15" t="str">
        <f>IF(ISNUMBER(VLOOKUP($C34,'IMF COFOG FULL'!$B:$CM,80,FALSE)),(VLOOKUP($C34,'IMF COFOG FULL'!$B:$CM,80,FALSE)), " ")</f>
        <v xml:space="preserve"> </v>
      </c>
      <c r="P34" s="15" t="str">
        <f>IF(ISNUMBER(VLOOKUP($C34,'IMF COFOG FULL'!$B:$CM,81,FALSE)),(VLOOKUP($C34,'IMF COFOG FULL'!$B:$CM,81,FALSE)), " ")</f>
        <v xml:space="preserve"> </v>
      </c>
      <c r="Q34" s="15" t="str">
        <f>IF(ISNUMBER(VLOOKUP($C34,'IMF COFOG FULL'!$B:$CM,82,FALSE)),(VLOOKUP($C34,'IMF COFOG FULL'!$B:$CM,82,FALSE)), " ")</f>
        <v xml:space="preserve"> </v>
      </c>
      <c r="R34" s="15" t="str">
        <f>IF(ISNUMBER(VLOOKUP($C34,'IMF COFOG FULL'!$B:$CM,83,FALSE)),(VLOOKUP($C34,'IMF COFOG FULL'!$B:$CM,83,FALSE)), " ")</f>
        <v xml:space="preserve"> </v>
      </c>
      <c r="S34" s="15" t="str">
        <f>IF(ISNUMBER(VLOOKUP($C34,'IMF COFOG FULL'!$B:$CM,84,FALSE)),(VLOOKUP($C34,'IMF COFOG FULL'!$B:$CM,84,FALSE)), " ")</f>
        <v xml:space="preserve"> </v>
      </c>
      <c r="T34" s="15" t="str">
        <f>IF(ISNUMBER(VLOOKUP($C34,'IMF COFOG FULL'!$B:$CM,85,FALSE)),(VLOOKUP($C34,'IMF COFOG FULL'!$B:$CM,85,FALSE)), " ")</f>
        <v xml:space="preserve"> </v>
      </c>
      <c r="U34" s="7" t="str">
        <f>IF(ISNUMBER(VLOOKUP($C34,'IMF COFOG FULL'!$B:$CM,79,FALSE)),(VLOOKUP($C34,'IMF COFOG FULL'!$B:$CM,86,FALSE)), " ")</f>
        <v xml:space="preserve"> </v>
      </c>
      <c r="V34" s="15" t="str">
        <f>IF(ISNUMBER(VLOOKUP($C34,'IMF COFOG FULL'!$B:$CM,79,FALSE)),(VLOOKUP($C34,'IMF COFOG FULL'!$B:$CM,87,FALSE)), " ")</f>
        <v xml:space="preserve"> </v>
      </c>
      <c r="W34" s="15" t="str">
        <f t="shared" si="16"/>
        <v xml:space="preserve"> </v>
      </c>
      <c r="X34" s="15" t="str">
        <f t="shared" si="17"/>
        <v xml:space="preserve"> </v>
      </c>
      <c r="Y34" s="15" t="str">
        <f t="shared" si="18"/>
        <v xml:space="preserve"> </v>
      </c>
      <c r="Z34" s="15" t="str">
        <f t="shared" si="19"/>
        <v xml:space="preserve"> </v>
      </c>
      <c r="AA34" s="15" t="str">
        <f t="shared" si="20"/>
        <v xml:space="preserve"> </v>
      </c>
      <c r="AB34" s="15" t="str">
        <f t="shared" si="21"/>
        <v xml:space="preserve"> </v>
      </c>
      <c r="AC34" s="15" t="str">
        <f t="shared" si="22"/>
        <v xml:space="preserve"> </v>
      </c>
      <c r="AG34" s="15">
        <f>IF(ISNUMBER(VLOOKUP(C34,'National budgets summary'!A:F,5, FALSE)),(VLOOKUP(C34,'National budgets summary'!A:F,5, FALSE)), " ")</f>
        <v>12.394888000000002</v>
      </c>
      <c r="AH34">
        <f>IF(ISNUMBER(VLOOKUP(C34,'National budgets summary'!A:F,5, FALSE)),(VLOOKUP(C34,'National budgets summary'!A:F,4, FALSE)), " ")</f>
        <v>2019</v>
      </c>
      <c r="AI34" s="15">
        <f t="shared" si="1"/>
        <v>5.0470867520410456</v>
      </c>
      <c r="AJ34" s="15">
        <f t="shared" si="8"/>
        <v>1.7140797818348776</v>
      </c>
      <c r="AK34" s="15" t="str">
        <f t="shared" si="9"/>
        <v/>
      </c>
      <c r="AL34" s="15" t="str">
        <f t="shared" si="10"/>
        <v/>
      </c>
      <c r="AM34" s="15" t="str">
        <f t="shared" si="11"/>
        <v/>
      </c>
      <c r="AN34" s="15">
        <f t="shared" si="2"/>
        <v>5.0470867520410456</v>
      </c>
      <c r="AO34" s="15">
        <f t="shared" si="3"/>
        <v>1.7140797818348776</v>
      </c>
      <c r="AP34">
        <f t="shared" si="4"/>
        <v>2019</v>
      </c>
      <c r="AQ34" t="str">
        <f t="shared" si="5"/>
        <v>National</v>
      </c>
      <c r="AR34" s="7" t="str">
        <f t="shared" si="12"/>
        <v xml:space="preserve"> </v>
      </c>
      <c r="AS34" s="7" t="str">
        <f t="shared" si="13"/>
        <v xml:space="preserve"> </v>
      </c>
      <c r="AT34" s="7" t="str">
        <f t="shared" si="14"/>
        <v xml:space="preserve"> </v>
      </c>
      <c r="AU34" s="7">
        <f t="shared" si="15"/>
        <v>20.226141425651555</v>
      </c>
    </row>
    <row r="35" spans="1:48">
      <c r="A35">
        <v>32</v>
      </c>
      <c r="B35" t="s">
        <v>124</v>
      </c>
      <c r="C35" t="s">
        <v>338</v>
      </c>
      <c r="D35" t="s">
        <v>483</v>
      </c>
      <c r="E35" t="s">
        <v>334</v>
      </c>
      <c r="F35" t="s">
        <v>615</v>
      </c>
      <c r="H35" t="str">
        <f>IF(ISNUMBER(VLOOKUP(C35,'OECD DAC'!B:C,2,FALSE)), "YES", " ")</f>
        <v xml:space="preserve"> </v>
      </c>
      <c r="I35">
        <v>1230</v>
      </c>
      <c r="J35">
        <v>2021</v>
      </c>
      <c r="K35" s="15">
        <f>IF(ISNUMBER(VLOOKUP(C35,'WEO GOV REV'!C:BL,58,FALSE)),(VLOOKUP(C35,'WEO GOV REV'!C:BL,58,FALSE)), " ")</f>
        <v>865.03099999999995</v>
      </c>
      <c r="L35" s="15">
        <f>IF(ISNUMBER(VLOOKUP(C35,'WEO GOV REV'!C:BL,62,FALSE)),(VLOOKUP(C35,'WEO GOV REV'!C:BL,62,FALSE)), " ")</f>
        <v>22.096993383911922</v>
      </c>
      <c r="M35">
        <f>IF(ISNUMBER(VLOOKUP(C35,'WEO GOV REV'!C:BL,62,FALSE)),(VLOOKUP(C35,'WEO GOV REV'!C:BL,57,FALSE)), " ")</f>
        <v>2020</v>
      </c>
      <c r="N35" s="15">
        <f>IF(ISNUMBER(VLOOKUP($C35,'IMF COFOG FULL'!$B:$CM,79,FALSE)),(VLOOKUP($C35,'IMF COFOG FULL'!$B:$CM,79,FALSE)), " ")</f>
        <v>1.45627625206816</v>
      </c>
      <c r="O35" s="15">
        <f>IF(ISNUMBER(VLOOKUP($C35,'IMF COFOG FULL'!$B:$CM,80,FALSE)),(VLOOKUP($C35,'IMF COFOG FULL'!$B:$CM,80,FALSE)), " ")</f>
        <v>1.0079410741606301</v>
      </c>
      <c r="P35" s="15">
        <f>IF(ISNUMBER(VLOOKUP($C35,'IMF COFOG FULL'!$B:$CM,81,FALSE)),(VLOOKUP($C35,'IMF COFOG FULL'!$B:$CM,81,FALSE)), " ")</f>
        <v>2.6678920860759999E-3</v>
      </c>
      <c r="Q35" s="15">
        <f>IF(ISNUMBER(VLOOKUP($C35,'IMF COFOG FULL'!$B:$CM,82,FALSE)),(VLOOKUP($C35,'IMF COFOG FULL'!$B:$CM,82,FALSE)), " ")</f>
        <v>0.158191440205561</v>
      </c>
      <c r="R35" s="15">
        <f>IF(ISNUMBER(VLOOKUP($C35,'IMF COFOG FULL'!$B:$CM,83,FALSE)),(VLOOKUP($C35,'IMF COFOG FULL'!$B:$CM,83,FALSE)), " ")</f>
        <v>4.9540692023872297E-2</v>
      </c>
      <c r="S35" s="15">
        <f>IF(ISNUMBER(VLOOKUP($C35,'IMF COFOG FULL'!$B:$CM,84,FALSE)),(VLOOKUP($C35,'IMF COFOG FULL'!$B:$CM,84,FALSE)), " ")</f>
        <v>7.8095362749440497E-2</v>
      </c>
      <c r="T35" s="15">
        <f>IF(ISNUMBER(VLOOKUP($C35,'IMF COFOG FULL'!$B:$CM,85,FALSE)),(VLOOKUP($C35,'IMF COFOG FULL'!$B:$CM,85,FALSE)), " ")</f>
        <v>0.15983979084257999</v>
      </c>
      <c r="U35" s="7">
        <f>IF(ISNUMBER(VLOOKUP($C35,'IMF COFOG FULL'!$B:$CM,79,FALSE)),(VLOOKUP($C35,'IMF COFOG FULL'!$B:$CM,86,FALSE)), " ")</f>
        <v>2020</v>
      </c>
      <c r="V35" s="15" t="str">
        <f>IF(ISNUMBER(VLOOKUP($C35,'IMF COFOG FULL'!$B:$CM,79,FALSE)),(VLOOKUP($C35,'IMF COFOG FULL'!$B:$CM,87,FALSE)), " ")</f>
        <v>General government</v>
      </c>
      <c r="W35" s="15">
        <f t="shared" si="16"/>
        <v>6.5903818984189302</v>
      </c>
      <c r="X35" s="15">
        <f t="shared" si="17"/>
        <v>4.561439905641091</v>
      </c>
      <c r="Y35" s="15">
        <f t="shared" si="18"/>
        <v>1.2073552449983545E-2</v>
      </c>
      <c r="Z35" s="15">
        <f t="shared" si="19"/>
        <v>0.71589576670975907</v>
      </c>
      <c r="AA35" s="15">
        <f t="shared" si="20"/>
        <v>0.2241965282930356</v>
      </c>
      <c r="AB35" s="15">
        <f t="shared" si="21"/>
        <v>0.35342076359718289</v>
      </c>
      <c r="AC35" s="15">
        <f t="shared" si="22"/>
        <v>0.72335538172787783</v>
      </c>
      <c r="AG35" s="15" t="str">
        <f>IF(ISNUMBER(VLOOKUP(C35,'National budgets summary'!A:F,5, FALSE)),(VLOOKUP(C35,'National budgets summary'!A:F,5, FALSE)), " ")</f>
        <v xml:space="preserve"> </v>
      </c>
      <c r="AH35" t="str">
        <f>IF(ISNUMBER(VLOOKUP(C35,'National budgets summary'!A:F,5, FALSE)),(VLOOKUP(C35,'National budgets summary'!A:F,4, FALSE)), " ")</f>
        <v xml:space="preserve"> </v>
      </c>
      <c r="AI35" s="15" t="str">
        <f t="shared" si="1"/>
        <v xml:space="preserve"> </v>
      </c>
      <c r="AJ35" s="15" t="str">
        <f t="shared" si="8"/>
        <v xml:space="preserve"> </v>
      </c>
      <c r="AK35" s="15">
        <f t="shared" si="9"/>
        <v>4.561439905641091</v>
      </c>
      <c r="AL35" s="15">
        <f t="shared" si="10"/>
        <v>0.71589576670975907</v>
      </c>
      <c r="AM35" s="15">
        <f t="shared" si="11"/>
        <v>0.2241965282930356</v>
      </c>
      <c r="AN35" s="15">
        <f t="shared" si="2"/>
        <v>6.5903818984189302</v>
      </c>
      <c r="AO35" s="15">
        <f t="shared" si="3"/>
        <v>1.45627625206816</v>
      </c>
      <c r="AP35">
        <f t="shared" si="4"/>
        <v>2020</v>
      </c>
      <c r="AQ35" t="str">
        <f t="shared" si="5"/>
        <v>IMF COFOG</v>
      </c>
      <c r="AR35" s="7">
        <f t="shared" si="12"/>
        <v>12.397675212175749</v>
      </c>
      <c r="AS35" s="7">
        <f t="shared" si="13"/>
        <v>1.9457547145284</v>
      </c>
      <c r="AT35" s="7">
        <f t="shared" si="14"/>
        <v>0.60935051189362921</v>
      </c>
      <c r="AU35" s="7">
        <f t="shared" si="15"/>
        <v>17.912197900438365</v>
      </c>
    </row>
    <row r="36" spans="1:48">
      <c r="A36">
        <v>33</v>
      </c>
      <c r="B36" t="s">
        <v>125</v>
      </c>
      <c r="C36" t="s">
        <v>339</v>
      </c>
      <c r="D36" t="s">
        <v>496</v>
      </c>
      <c r="E36" t="s">
        <v>334</v>
      </c>
      <c r="F36" t="s">
        <v>615</v>
      </c>
      <c r="H36" t="str">
        <f>IF(ISNUMBER(VLOOKUP(C36,'OECD DAC'!B:C,2,FALSE)), "YES", " ")</f>
        <v xml:space="preserve"> </v>
      </c>
      <c r="I36">
        <v>1270</v>
      </c>
      <c r="J36">
        <v>2021</v>
      </c>
      <c r="K36" s="15">
        <f>IF(ISNUMBER(VLOOKUP(C36,'WEO GOV REV'!C:BL,58,FALSE)),(VLOOKUP(C36,'WEO GOV REV'!C:BL,58,FALSE)), " ")</f>
        <v>16.957000000000001</v>
      </c>
      <c r="L36" s="15">
        <f>IF(ISNUMBER(VLOOKUP(C36,'WEO GOV REV'!C:BL,62,FALSE)),(VLOOKUP(C36,'WEO GOV REV'!C:BL,62,FALSE)), " ")</f>
        <v>46.273707190612633</v>
      </c>
      <c r="M36">
        <f>IF(ISNUMBER(VLOOKUP(C36,'WEO GOV REV'!C:BL,62,FALSE)),(VLOOKUP(C36,'WEO GOV REV'!C:BL,57,FALSE)), " ")</f>
        <v>2021</v>
      </c>
      <c r="N36" s="15" t="str">
        <f>IF(ISNUMBER(VLOOKUP($C36,'IMF COFOG FULL'!$B:$CM,79,FALSE)),(VLOOKUP($C36,'IMF COFOG FULL'!$B:$CM,79,FALSE)), " ")</f>
        <v xml:space="preserve"> </v>
      </c>
      <c r="O36" s="15" t="str">
        <f>IF(ISNUMBER(VLOOKUP($C36,'IMF COFOG FULL'!$B:$CM,80,FALSE)),(VLOOKUP($C36,'IMF COFOG FULL'!$B:$CM,80,FALSE)), " ")</f>
        <v xml:space="preserve"> </v>
      </c>
      <c r="P36" s="15" t="str">
        <f>IF(ISNUMBER(VLOOKUP($C36,'IMF COFOG FULL'!$B:$CM,81,FALSE)),(VLOOKUP($C36,'IMF COFOG FULL'!$B:$CM,81,FALSE)), " ")</f>
        <v xml:space="preserve"> </v>
      </c>
      <c r="Q36" s="15" t="str">
        <f>IF(ISNUMBER(VLOOKUP($C36,'IMF COFOG FULL'!$B:$CM,82,FALSE)),(VLOOKUP($C36,'IMF COFOG FULL'!$B:$CM,82,FALSE)), " ")</f>
        <v xml:space="preserve"> </v>
      </c>
      <c r="R36" s="15" t="str">
        <f>IF(ISNUMBER(VLOOKUP($C36,'IMF COFOG FULL'!$B:$CM,83,FALSE)),(VLOOKUP($C36,'IMF COFOG FULL'!$B:$CM,83,FALSE)), " ")</f>
        <v xml:space="preserve"> </v>
      </c>
      <c r="S36" s="15" t="str">
        <f>IF(ISNUMBER(VLOOKUP($C36,'IMF COFOG FULL'!$B:$CM,84,FALSE)),(VLOOKUP($C36,'IMF COFOG FULL'!$B:$CM,84,FALSE)), " ")</f>
        <v xml:space="preserve"> </v>
      </c>
      <c r="T36" s="15" t="str">
        <f>IF(ISNUMBER(VLOOKUP($C36,'IMF COFOG FULL'!$B:$CM,85,FALSE)),(VLOOKUP($C36,'IMF COFOG FULL'!$B:$CM,85,FALSE)), " ")</f>
        <v xml:space="preserve"> </v>
      </c>
      <c r="U36" s="7" t="str">
        <f>IF(ISNUMBER(VLOOKUP($C36,'IMF COFOG FULL'!$B:$CM,79,FALSE)),(VLOOKUP($C36,'IMF COFOG FULL'!$B:$CM,86,FALSE)), " ")</f>
        <v xml:space="preserve"> </v>
      </c>
      <c r="V36" s="15" t="str">
        <f>IF(ISNUMBER(VLOOKUP($C36,'IMF COFOG FULL'!$B:$CM,79,FALSE)),(VLOOKUP($C36,'IMF COFOG FULL'!$B:$CM,87,FALSE)), " ")</f>
        <v xml:space="preserve"> </v>
      </c>
      <c r="W36" s="15" t="str">
        <f t="shared" si="16"/>
        <v xml:space="preserve"> </v>
      </c>
      <c r="X36" s="15" t="str">
        <f t="shared" si="17"/>
        <v xml:space="preserve"> </v>
      </c>
      <c r="Y36" s="15" t="str">
        <f t="shared" si="18"/>
        <v xml:space="preserve"> </v>
      </c>
      <c r="Z36" s="15" t="str">
        <f t="shared" si="19"/>
        <v xml:space="preserve"> </v>
      </c>
      <c r="AA36" s="15" t="str">
        <f t="shared" si="20"/>
        <v xml:space="preserve"> </v>
      </c>
      <c r="AB36" s="15" t="str">
        <f t="shared" si="21"/>
        <v xml:space="preserve"> </v>
      </c>
      <c r="AC36" s="15" t="str">
        <f t="shared" si="22"/>
        <v xml:space="preserve"> </v>
      </c>
      <c r="AG36" s="15">
        <f>IF(ISNUMBER(VLOOKUP(C36,'National budgets summary'!A:F,5, FALSE)),(VLOOKUP(C36,'National budgets summary'!A:F,5, FALSE)), " ")</f>
        <v>1.2321105889999999</v>
      </c>
      <c r="AH36" t="str">
        <f>IF(ISNUMBER(VLOOKUP(C36,'National budgets summary'!A:F,5, FALSE)),(VLOOKUP(C36,'National budgets summary'!A:F,4, FALSE)), " ")</f>
        <v>22/23</v>
      </c>
      <c r="AI36" s="15">
        <f t="shared" si="1"/>
        <v>7.2660882762281052</v>
      </c>
      <c r="AJ36" s="15">
        <f t="shared" si="8"/>
        <v>3.3622884131532258</v>
      </c>
      <c r="AK36" s="15" t="str">
        <f t="shared" si="9"/>
        <v/>
      </c>
      <c r="AL36" s="15" t="str">
        <f t="shared" si="10"/>
        <v/>
      </c>
      <c r="AM36" s="15" t="str">
        <f t="shared" si="11"/>
        <v/>
      </c>
      <c r="AN36" s="15">
        <f t="shared" si="2"/>
        <v>7.2660882762281052</v>
      </c>
      <c r="AO36" s="15">
        <f t="shared" si="3"/>
        <v>3.3622884131532258</v>
      </c>
      <c r="AP36" t="str">
        <f t="shared" si="4"/>
        <v>22/23</v>
      </c>
      <c r="AQ36" t="str">
        <f t="shared" si="5"/>
        <v>National</v>
      </c>
      <c r="AR36" s="7" t="str">
        <f t="shared" si="12"/>
        <v xml:space="preserve"> </v>
      </c>
      <c r="AS36" s="7" t="str">
        <f t="shared" si="13"/>
        <v xml:space="preserve"> </v>
      </c>
      <c r="AT36" s="7" t="str">
        <f t="shared" si="14"/>
        <v xml:space="preserve"> </v>
      </c>
      <c r="AU36" s="7">
        <f t="shared" si="15"/>
        <v>42.701062847045968</v>
      </c>
    </row>
    <row r="37" spans="1:48">
      <c r="A37">
        <v>34</v>
      </c>
      <c r="B37" t="s">
        <v>126</v>
      </c>
      <c r="C37" t="s">
        <v>340</v>
      </c>
      <c r="D37" t="s">
        <v>496</v>
      </c>
      <c r="E37" t="s">
        <v>334</v>
      </c>
      <c r="F37" t="s">
        <v>615</v>
      </c>
      <c r="G37" t="s">
        <v>616</v>
      </c>
      <c r="H37" t="str">
        <f>IF(ISNUMBER(VLOOKUP(C37,'OECD DAC'!B:C,2,FALSE)), "YES", " ")</f>
        <v xml:space="preserve"> </v>
      </c>
      <c r="I37">
        <v>1370</v>
      </c>
      <c r="J37">
        <v>2021</v>
      </c>
      <c r="K37" s="15">
        <f>IF(ISNUMBER(VLOOKUP(C37,'WEO GOV REV'!C:BL,58,FALSE)),(VLOOKUP(C37,'WEO GOV REV'!C:BL,58,FALSE)), " ")</f>
        <v>1386.3</v>
      </c>
      <c r="L37" s="15">
        <f>IF(ISNUMBER(VLOOKUP(C37,'WEO GOV REV'!C:BL,62,FALSE)),(VLOOKUP(C37,'WEO GOV REV'!C:BL,62,FALSE)), " ")</f>
        <v>14.330030007990416</v>
      </c>
      <c r="M37">
        <f>IF(ISNUMBER(VLOOKUP(C37,'WEO GOV REV'!C:BL,62,FALSE)),(VLOOKUP(C37,'WEO GOV REV'!C:BL,57,FALSE)), " ")</f>
        <v>2021</v>
      </c>
      <c r="N37" s="15" t="str">
        <f>IF(ISNUMBER(VLOOKUP($C37,'IMF COFOG FULL'!$B:$CM,79,FALSE)),(VLOOKUP($C37,'IMF COFOG FULL'!$B:$CM,79,FALSE)), " ")</f>
        <v xml:space="preserve"> </v>
      </c>
      <c r="O37" s="15" t="str">
        <f>IF(ISNUMBER(VLOOKUP($C37,'IMF COFOG FULL'!$B:$CM,80,FALSE)),(VLOOKUP($C37,'IMF COFOG FULL'!$B:$CM,80,FALSE)), " ")</f>
        <v xml:space="preserve"> </v>
      </c>
      <c r="P37" s="15" t="str">
        <f>IF(ISNUMBER(VLOOKUP($C37,'IMF COFOG FULL'!$B:$CM,81,FALSE)),(VLOOKUP($C37,'IMF COFOG FULL'!$B:$CM,81,FALSE)), " ")</f>
        <v xml:space="preserve"> </v>
      </c>
      <c r="Q37" s="15" t="str">
        <f>IF(ISNUMBER(VLOOKUP($C37,'IMF COFOG FULL'!$B:$CM,82,FALSE)),(VLOOKUP($C37,'IMF COFOG FULL'!$B:$CM,82,FALSE)), " ")</f>
        <v xml:space="preserve"> </v>
      </c>
      <c r="R37" s="15" t="str">
        <f>IF(ISNUMBER(VLOOKUP($C37,'IMF COFOG FULL'!$B:$CM,83,FALSE)),(VLOOKUP($C37,'IMF COFOG FULL'!$B:$CM,83,FALSE)), " ")</f>
        <v xml:space="preserve"> </v>
      </c>
      <c r="S37" s="15" t="str">
        <f>IF(ISNUMBER(VLOOKUP($C37,'IMF COFOG FULL'!$B:$CM,84,FALSE)),(VLOOKUP($C37,'IMF COFOG FULL'!$B:$CM,84,FALSE)), " ")</f>
        <v xml:space="preserve"> </v>
      </c>
      <c r="T37" s="15" t="str">
        <f>IF(ISNUMBER(VLOOKUP($C37,'IMF COFOG FULL'!$B:$CM,85,FALSE)),(VLOOKUP($C37,'IMF COFOG FULL'!$B:$CM,85,FALSE)), " ")</f>
        <v xml:space="preserve"> </v>
      </c>
      <c r="U37" s="7" t="str">
        <f>IF(ISNUMBER(VLOOKUP($C37,'IMF COFOG FULL'!$B:$CM,79,FALSE)),(VLOOKUP($C37,'IMF COFOG FULL'!$B:$CM,86,FALSE)), " ")</f>
        <v xml:space="preserve"> </v>
      </c>
      <c r="V37" s="15" t="str">
        <f>IF(ISNUMBER(VLOOKUP($C37,'IMF COFOG FULL'!$B:$CM,79,FALSE)),(VLOOKUP($C37,'IMF COFOG FULL'!$B:$CM,87,FALSE)), " ")</f>
        <v xml:space="preserve"> </v>
      </c>
      <c r="W37" s="15" t="str">
        <f t="shared" si="16"/>
        <v xml:space="preserve"> </v>
      </c>
      <c r="X37" s="15" t="str">
        <f t="shared" si="17"/>
        <v xml:space="preserve"> </v>
      </c>
      <c r="Y37" s="15" t="str">
        <f t="shared" si="18"/>
        <v xml:space="preserve"> </v>
      </c>
      <c r="Z37" s="15" t="str">
        <f t="shared" si="19"/>
        <v xml:space="preserve"> </v>
      </c>
      <c r="AA37" s="15" t="str">
        <f t="shared" si="20"/>
        <v xml:space="preserve"> </v>
      </c>
      <c r="AB37" s="15" t="str">
        <f t="shared" si="21"/>
        <v xml:space="preserve"> </v>
      </c>
      <c r="AC37" s="15" t="str">
        <f t="shared" si="22"/>
        <v xml:space="preserve"> </v>
      </c>
      <c r="AG37" s="15">
        <f>IF(ISNUMBER(VLOOKUP(C37,'National budgets summary'!A:F,5, FALSE)),(VLOOKUP(C37,'National budgets summary'!A:F,5, FALSE)), " ")</f>
        <v>108.84108000000001</v>
      </c>
      <c r="AH37">
        <f>IF(ISNUMBER(VLOOKUP(C37,'National budgets summary'!A:F,5, FALSE)),(VLOOKUP(C37,'National budgets summary'!A:F,4, FALSE)), " ")</f>
        <v>2020</v>
      </c>
      <c r="AI37" s="15">
        <f t="shared" si="1"/>
        <v>7.8511923826011687</v>
      </c>
      <c r="AJ37" s="15">
        <f t="shared" si="8"/>
        <v>1.1250782244118052</v>
      </c>
      <c r="AK37" s="15" t="str">
        <f t="shared" si="9"/>
        <v/>
      </c>
      <c r="AM37" s="15" t="str">
        <f t="shared" si="11"/>
        <v/>
      </c>
      <c r="AN37" s="15">
        <f t="shared" si="2"/>
        <v>7.8511923826011687</v>
      </c>
      <c r="AO37" s="15">
        <f t="shared" si="3"/>
        <v>1.1250782244118052</v>
      </c>
      <c r="AP37">
        <f t="shared" si="4"/>
        <v>2020</v>
      </c>
      <c r="AQ37" t="str">
        <f t="shared" si="5"/>
        <v>National</v>
      </c>
      <c r="AR37" s="7" t="str">
        <f t="shared" ref="AR37" si="23">IF(ISNUMBER(AK37),$L37/100*$I37/100*AK37, " ")</f>
        <v xml:space="preserve"> </v>
      </c>
      <c r="AS37" s="7" t="str">
        <f t="shared" ref="AS37" si="24">IF(ISNUMBER(AL37),$L37/100*$I37/100*AL37, " ")</f>
        <v xml:space="preserve"> </v>
      </c>
      <c r="AT37" s="7" t="str">
        <f t="shared" ref="AT37" si="25">IF(ISNUMBER(AM37),$L37/100*$I37/100*AM37, " ")</f>
        <v xml:space="preserve"> </v>
      </c>
      <c r="AU37" s="7">
        <f t="shared" si="15"/>
        <v>15.413571674441732</v>
      </c>
    </row>
    <row r="38" spans="1:48">
      <c r="A38">
        <v>35</v>
      </c>
      <c r="B38" t="s">
        <v>127</v>
      </c>
      <c r="C38" t="s">
        <v>341</v>
      </c>
      <c r="D38" t="s">
        <v>496</v>
      </c>
      <c r="E38" t="s">
        <v>334</v>
      </c>
      <c r="F38" t="s">
        <v>617</v>
      </c>
      <c r="H38" t="str">
        <f>IF(ISNUMBER(VLOOKUP(C38,'OECD DAC'!B:C,2,FALSE)), "YES", " ")</f>
        <v xml:space="preserve"> </v>
      </c>
      <c r="I38">
        <v>1400</v>
      </c>
      <c r="J38">
        <v>2021</v>
      </c>
      <c r="K38" s="15">
        <f>IF(ISNUMBER(VLOOKUP(C38,'WEO GOV REV'!C:BL,58,FALSE)),(VLOOKUP(C38,'WEO GOV REV'!C:BL,58,FALSE)), " ")</f>
        <v>22.971</v>
      </c>
      <c r="L38" s="15">
        <f>IF(ISNUMBER(VLOOKUP(C38,'WEO GOV REV'!C:BL,62,FALSE)),(VLOOKUP(C38,'WEO GOV REV'!C:BL,62,FALSE)), " ")</f>
        <v>12.256952596418586</v>
      </c>
      <c r="M38">
        <f>IF(ISNUMBER(VLOOKUP(C38,'WEO GOV REV'!C:BL,62,FALSE)),(VLOOKUP(C38,'WEO GOV REV'!C:BL,57,FALSE)), " ")</f>
        <v>2019</v>
      </c>
      <c r="N38" s="15" t="str">
        <f>IF(ISNUMBER(VLOOKUP($C38,'IMF COFOG FULL'!$B:$CM,79,FALSE)),(VLOOKUP($C38,'IMF COFOG FULL'!$B:$CM,79,FALSE)), " ")</f>
        <v xml:space="preserve"> </v>
      </c>
      <c r="O38" s="15" t="str">
        <f>IF(ISNUMBER(VLOOKUP($C38,'IMF COFOG FULL'!$B:$CM,80,FALSE)),(VLOOKUP($C38,'IMF COFOG FULL'!$B:$CM,80,FALSE)), " ")</f>
        <v xml:space="preserve"> </v>
      </c>
      <c r="P38" s="15" t="str">
        <f>IF(ISNUMBER(VLOOKUP($C38,'IMF COFOG FULL'!$B:$CM,81,FALSE)),(VLOOKUP($C38,'IMF COFOG FULL'!$B:$CM,81,FALSE)), " ")</f>
        <v xml:space="preserve"> </v>
      </c>
      <c r="Q38" s="15" t="str">
        <f>IF(ISNUMBER(VLOOKUP($C38,'IMF COFOG FULL'!$B:$CM,82,FALSE)),(VLOOKUP($C38,'IMF COFOG FULL'!$B:$CM,82,FALSE)), " ")</f>
        <v xml:space="preserve"> </v>
      </c>
      <c r="R38" s="15" t="str">
        <f>IF(ISNUMBER(VLOOKUP($C38,'IMF COFOG FULL'!$B:$CM,83,FALSE)),(VLOOKUP($C38,'IMF COFOG FULL'!$B:$CM,83,FALSE)), " ")</f>
        <v xml:space="preserve"> </v>
      </c>
      <c r="S38" s="15" t="str">
        <f>IF(ISNUMBER(VLOOKUP($C38,'IMF COFOG FULL'!$B:$CM,84,FALSE)),(VLOOKUP($C38,'IMF COFOG FULL'!$B:$CM,84,FALSE)), " ")</f>
        <v xml:space="preserve"> </v>
      </c>
      <c r="T38" s="15" t="str">
        <f>IF(ISNUMBER(VLOOKUP($C38,'IMF COFOG FULL'!$B:$CM,85,FALSE)),(VLOOKUP($C38,'IMF COFOG FULL'!$B:$CM,85,FALSE)), " ")</f>
        <v xml:space="preserve"> </v>
      </c>
      <c r="U38" s="7" t="str">
        <f>IF(ISNUMBER(VLOOKUP($C38,'IMF COFOG FULL'!$B:$CM,79,FALSE)),(VLOOKUP($C38,'IMF COFOG FULL'!$B:$CM,86,FALSE)), " ")</f>
        <v xml:space="preserve"> </v>
      </c>
      <c r="V38" s="15" t="str">
        <f>IF(ISNUMBER(VLOOKUP($C38,'IMF COFOG FULL'!$B:$CM,79,FALSE)),(VLOOKUP($C38,'IMF COFOG FULL'!$B:$CM,87,FALSE)), " ")</f>
        <v xml:space="preserve"> </v>
      </c>
      <c r="W38" s="15" t="str">
        <f t="shared" si="16"/>
        <v xml:space="preserve"> </v>
      </c>
      <c r="X38" s="15" t="str">
        <f t="shared" si="17"/>
        <v xml:space="preserve"> </v>
      </c>
      <c r="Y38" s="15" t="str">
        <f t="shared" si="18"/>
        <v xml:space="preserve"> </v>
      </c>
      <c r="Z38" s="15" t="str">
        <f t="shared" si="19"/>
        <v xml:space="preserve"> </v>
      </c>
      <c r="AA38" s="15" t="str">
        <f t="shared" si="20"/>
        <v xml:space="preserve"> </v>
      </c>
      <c r="AB38" s="15" t="str">
        <f t="shared" si="21"/>
        <v xml:space="preserve"> </v>
      </c>
      <c r="AC38" s="15" t="str">
        <f t="shared" si="22"/>
        <v xml:space="preserve"> </v>
      </c>
      <c r="AH38">
        <f>IF(ISNUMBER(VLOOKUP(C38,'National budgets summary'!A:F,5, FALSE)),(VLOOKUP(C38,'National budgets summary'!A:F,4, FALSE)), " ")</f>
        <v>2022</v>
      </c>
      <c r="AI38" s="15">
        <f>Zimbabwe!B24</f>
        <v>9.8152941176470581</v>
      </c>
      <c r="AJ38" s="15">
        <f t="shared" si="8"/>
        <v>1.2030559471990618</v>
      </c>
      <c r="AK38" s="15" t="str">
        <f t="shared" si="9"/>
        <v/>
      </c>
      <c r="AL38" s="15" t="str">
        <f t="shared" si="10"/>
        <v/>
      </c>
      <c r="AM38" s="15" t="str">
        <f t="shared" si="11"/>
        <v/>
      </c>
      <c r="AN38" s="15">
        <f t="shared" si="2"/>
        <v>9.8152941176470581</v>
      </c>
      <c r="AO38" s="15">
        <f t="shared" si="3"/>
        <v>1.2030559471990618</v>
      </c>
      <c r="AP38">
        <f t="shared" si="4"/>
        <v>2022</v>
      </c>
      <c r="AQ38" t="str">
        <f t="shared" si="5"/>
        <v>National</v>
      </c>
      <c r="AR38" s="7" t="str">
        <f t="shared" si="12"/>
        <v xml:space="preserve"> </v>
      </c>
      <c r="AS38" s="7" t="str">
        <f t="shared" si="13"/>
        <v xml:space="preserve"> </v>
      </c>
      <c r="AT38" s="7" t="str">
        <f t="shared" si="14"/>
        <v xml:space="preserve"> </v>
      </c>
      <c r="AU38" s="7">
        <f t="shared" si="15"/>
        <v>16.842783260786867</v>
      </c>
      <c r="AV38" t="s">
        <v>596</v>
      </c>
    </row>
    <row r="39" spans="1:48">
      <c r="A39">
        <v>36</v>
      </c>
      <c r="B39" t="s">
        <v>128</v>
      </c>
      <c r="C39" t="s">
        <v>342</v>
      </c>
      <c r="D39" t="s">
        <v>497</v>
      </c>
      <c r="E39" t="s">
        <v>334</v>
      </c>
      <c r="F39" t="s">
        <v>615</v>
      </c>
      <c r="G39" t="s">
        <v>616</v>
      </c>
      <c r="H39" t="str">
        <f>IF(ISNUMBER(VLOOKUP(C39,'OECD DAC'!B:C,2,FALSE)), "YES", " ")</f>
        <v xml:space="preserve"> </v>
      </c>
      <c r="I39">
        <v>1420</v>
      </c>
      <c r="J39">
        <v>2021</v>
      </c>
      <c r="K39" s="15">
        <f>IF(ISNUMBER(VLOOKUP(C39,'WEO GOV REV'!C:BL,58,FALSE)),(VLOOKUP(C39,'WEO GOV REV'!C:BL,58,FALSE)), " ")</f>
        <v>141.178</v>
      </c>
      <c r="L39" s="15">
        <f>IF(ISNUMBER(VLOOKUP(C39,'WEO GOV REV'!C:BL,62,FALSE)),(VLOOKUP(C39,'WEO GOV REV'!C:BL,62,FALSE)), " ")</f>
        <v>8.3084492205201244</v>
      </c>
      <c r="M39">
        <f>IF(ISNUMBER(VLOOKUP(C39,'WEO GOV REV'!C:BL,62,FALSE)),(VLOOKUP(C39,'WEO GOV REV'!C:BL,57,FALSE)), " ")</f>
        <v>2021</v>
      </c>
      <c r="N39" s="15" t="str">
        <f>IF(ISNUMBER(VLOOKUP($C39,'IMF COFOG FULL'!$B:$CM,79,FALSE)),(VLOOKUP($C39,'IMF COFOG FULL'!$B:$CM,79,FALSE)), " ")</f>
        <v xml:space="preserve"> </v>
      </c>
      <c r="O39" s="15" t="str">
        <f>IF(ISNUMBER(VLOOKUP($C39,'IMF COFOG FULL'!$B:$CM,80,FALSE)),(VLOOKUP($C39,'IMF COFOG FULL'!$B:$CM,80,FALSE)), " ")</f>
        <v xml:space="preserve"> </v>
      </c>
      <c r="P39" s="15" t="str">
        <f>IF(ISNUMBER(VLOOKUP($C39,'IMF COFOG FULL'!$B:$CM,81,FALSE)),(VLOOKUP($C39,'IMF COFOG FULL'!$B:$CM,81,FALSE)), " ")</f>
        <v xml:space="preserve"> </v>
      </c>
      <c r="Q39" s="15" t="str">
        <f>IF(ISNUMBER(VLOOKUP($C39,'IMF COFOG FULL'!$B:$CM,82,FALSE)),(VLOOKUP($C39,'IMF COFOG FULL'!$B:$CM,82,FALSE)), " ")</f>
        <v xml:space="preserve"> </v>
      </c>
      <c r="R39" s="15" t="str">
        <f>IF(ISNUMBER(VLOOKUP($C39,'IMF COFOG FULL'!$B:$CM,83,FALSE)),(VLOOKUP($C39,'IMF COFOG FULL'!$B:$CM,83,FALSE)), " ")</f>
        <v xml:space="preserve"> </v>
      </c>
      <c r="S39" s="15" t="str">
        <f>IF(ISNUMBER(VLOOKUP($C39,'IMF COFOG FULL'!$B:$CM,84,FALSE)),(VLOOKUP($C39,'IMF COFOG FULL'!$B:$CM,84,FALSE)), " ")</f>
        <v xml:space="preserve"> </v>
      </c>
      <c r="T39" s="15" t="str">
        <f>IF(ISNUMBER(VLOOKUP($C39,'IMF COFOG FULL'!$B:$CM,85,FALSE)),(VLOOKUP($C39,'IMF COFOG FULL'!$B:$CM,85,FALSE)), " ")</f>
        <v xml:space="preserve"> </v>
      </c>
      <c r="U39" s="7" t="str">
        <f>IF(ISNUMBER(VLOOKUP($C39,'IMF COFOG FULL'!$B:$CM,79,FALSE)),(VLOOKUP($C39,'IMF COFOG FULL'!$B:$CM,86,FALSE)), " ")</f>
        <v xml:space="preserve"> </v>
      </c>
      <c r="V39" s="15" t="str">
        <f>IF(ISNUMBER(VLOOKUP($C39,'IMF COFOG FULL'!$B:$CM,79,FALSE)),(VLOOKUP($C39,'IMF COFOG FULL'!$B:$CM,87,FALSE)), " ")</f>
        <v xml:space="preserve"> </v>
      </c>
      <c r="W39" s="15" t="str">
        <f t="shared" si="16"/>
        <v xml:space="preserve"> </v>
      </c>
      <c r="X39" s="15" t="str">
        <f t="shared" si="17"/>
        <v xml:space="preserve"> </v>
      </c>
      <c r="Y39" s="15" t="str">
        <f t="shared" si="18"/>
        <v xml:space="preserve"> </v>
      </c>
      <c r="Z39" s="15" t="str">
        <f t="shared" si="19"/>
        <v xml:space="preserve"> </v>
      </c>
      <c r="AA39" s="15" t="str">
        <f t="shared" si="20"/>
        <v xml:space="preserve"> </v>
      </c>
      <c r="AB39" s="15" t="str">
        <f t="shared" si="21"/>
        <v xml:space="preserve"> </v>
      </c>
      <c r="AC39" s="15" t="str">
        <f t="shared" si="22"/>
        <v xml:space="preserve"> </v>
      </c>
      <c r="AG39" s="15">
        <f>IF(ISNUMBER(VLOOKUP(C39,'National budgets summary'!A:F,5, FALSE)),(VLOOKUP(C39,'National budgets summary'!A:F,5, FALSE)), " ")</f>
        <v>25.153121714000001</v>
      </c>
      <c r="AH39" t="str">
        <f>IF(ISNUMBER(VLOOKUP(C39,'National budgets summary'!A:F,5, FALSE)),(VLOOKUP(C39,'National budgets summary'!A:F,4, FALSE)), " ")</f>
        <v>20/21</v>
      </c>
      <c r="AI39" s="15">
        <f t="shared" si="1"/>
        <v>17.816601534233381</v>
      </c>
      <c r="AJ39" s="15">
        <f t="shared" si="8"/>
        <v>1.4802832912941897</v>
      </c>
      <c r="AK39" s="15" t="str">
        <f t="shared" si="9"/>
        <v/>
      </c>
      <c r="AL39" s="15" t="str">
        <f t="shared" si="10"/>
        <v/>
      </c>
      <c r="AM39" s="15" t="str">
        <f t="shared" si="11"/>
        <v/>
      </c>
      <c r="AN39" s="15">
        <f t="shared" si="2"/>
        <v>17.816601534233381</v>
      </c>
      <c r="AO39" s="15">
        <f t="shared" si="3"/>
        <v>1.4802832912941897</v>
      </c>
      <c r="AP39" t="str">
        <f t="shared" si="4"/>
        <v>20/21</v>
      </c>
      <c r="AQ39" t="str">
        <f t="shared" si="5"/>
        <v>National</v>
      </c>
      <c r="AR39" s="7" t="str">
        <f t="shared" si="12"/>
        <v xml:space="preserve"> </v>
      </c>
      <c r="AS39" s="7" t="str">
        <f t="shared" si="13"/>
        <v xml:space="preserve"> </v>
      </c>
      <c r="AT39" s="7" t="str">
        <f t="shared" si="14"/>
        <v xml:space="preserve"> </v>
      </c>
      <c r="AU39" s="7">
        <f t="shared" si="15"/>
        <v>21.020022736377495</v>
      </c>
    </row>
    <row r="40" spans="1:48">
      <c r="A40">
        <v>37</v>
      </c>
      <c r="B40" t="s">
        <v>129</v>
      </c>
      <c r="C40" t="s">
        <v>343</v>
      </c>
      <c r="D40" t="s">
        <v>496</v>
      </c>
      <c r="E40" t="s">
        <v>334</v>
      </c>
      <c r="F40" t="s">
        <v>615</v>
      </c>
      <c r="G40" t="s">
        <v>616</v>
      </c>
      <c r="H40" t="str">
        <f>IF(ISNUMBER(VLOOKUP(C40,'OECD DAC'!B:C,2,FALSE)), "YES", " ")</f>
        <v xml:space="preserve"> </v>
      </c>
      <c r="I40">
        <v>1460</v>
      </c>
      <c r="J40">
        <v>2021</v>
      </c>
      <c r="K40" s="15">
        <f>IF(ISNUMBER(VLOOKUP(C40,'WEO GOV REV'!C:BL,58,FALSE)),(VLOOKUP(C40,'WEO GOV REV'!C:BL,58,FALSE)), " ")</f>
        <v>95.807000000000002</v>
      </c>
      <c r="L40" s="15">
        <f>IF(ISNUMBER(VLOOKUP(C40,'WEO GOV REV'!C:BL,62,FALSE)),(VLOOKUP(C40,'WEO GOV REV'!C:BL,62,FALSE)), " ")</f>
        <v>18.250794842145972</v>
      </c>
      <c r="M40">
        <f>IF(ISNUMBER(VLOOKUP(C40,'WEO GOV REV'!C:BL,62,FALSE)),(VLOOKUP(C40,'WEO GOV REV'!C:BL,57,FALSE)), " ")</f>
        <v>2020</v>
      </c>
      <c r="N40" s="15" t="str">
        <f>IF(ISNUMBER(VLOOKUP($C40,'IMF COFOG FULL'!$B:$CM,79,FALSE)),(VLOOKUP($C40,'IMF COFOG FULL'!$B:$CM,79,FALSE)), " ")</f>
        <v xml:space="preserve"> </v>
      </c>
      <c r="O40" s="15" t="str">
        <f>IF(ISNUMBER(VLOOKUP($C40,'IMF COFOG FULL'!$B:$CM,80,FALSE)),(VLOOKUP($C40,'IMF COFOG FULL'!$B:$CM,80,FALSE)), " ")</f>
        <v xml:space="preserve"> </v>
      </c>
      <c r="P40" s="15" t="str">
        <f>IF(ISNUMBER(VLOOKUP($C40,'IMF COFOG FULL'!$B:$CM,81,FALSE)),(VLOOKUP($C40,'IMF COFOG FULL'!$B:$CM,81,FALSE)), " ")</f>
        <v xml:space="preserve"> </v>
      </c>
      <c r="Q40" s="15" t="str">
        <f>IF(ISNUMBER(VLOOKUP($C40,'IMF COFOG FULL'!$B:$CM,82,FALSE)),(VLOOKUP($C40,'IMF COFOG FULL'!$B:$CM,82,FALSE)), " ")</f>
        <v xml:space="preserve"> </v>
      </c>
      <c r="R40" s="15" t="str">
        <f>IF(ISNUMBER(VLOOKUP($C40,'IMF COFOG FULL'!$B:$CM,83,FALSE)),(VLOOKUP($C40,'IMF COFOG FULL'!$B:$CM,83,FALSE)), " ")</f>
        <v xml:space="preserve"> </v>
      </c>
      <c r="S40" s="15" t="str">
        <f>IF(ISNUMBER(VLOOKUP($C40,'IMF COFOG FULL'!$B:$CM,84,FALSE)),(VLOOKUP($C40,'IMF COFOG FULL'!$B:$CM,84,FALSE)), " ")</f>
        <v xml:space="preserve"> </v>
      </c>
      <c r="T40" s="15" t="str">
        <f>IF(ISNUMBER(VLOOKUP($C40,'IMF COFOG FULL'!$B:$CM,85,FALSE)),(VLOOKUP($C40,'IMF COFOG FULL'!$B:$CM,85,FALSE)), " ")</f>
        <v xml:space="preserve"> </v>
      </c>
      <c r="U40" s="7" t="str">
        <f>IF(ISNUMBER(VLOOKUP($C40,'IMF COFOG FULL'!$B:$CM,79,FALSE)),(VLOOKUP($C40,'IMF COFOG FULL'!$B:$CM,86,FALSE)), " ")</f>
        <v xml:space="preserve"> </v>
      </c>
      <c r="V40" s="15" t="str">
        <f>IF(ISNUMBER(VLOOKUP($C40,'IMF COFOG FULL'!$B:$CM,79,FALSE)),(VLOOKUP($C40,'IMF COFOG FULL'!$B:$CM,87,FALSE)), " ")</f>
        <v xml:space="preserve"> </v>
      </c>
      <c r="W40" s="15" t="str">
        <f t="shared" si="16"/>
        <v xml:space="preserve"> </v>
      </c>
      <c r="X40" s="15" t="str">
        <f t="shared" si="17"/>
        <v xml:space="preserve"> </v>
      </c>
      <c r="Y40" s="15" t="str">
        <f t="shared" si="18"/>
        <v xml:space="preserve"> </v>
      </c>
      <c r="Z40" s="15" t="str">
        <f t="shared" si="19"/>
        <v xml:space="preserve"> </v>
      </c>
      <c r="AA40" s="15" t="str">
        <f t="shared" si="20"/>
        <v xml:space="preserve"> </v>
      </c>
      <c r="AB40" s="15" t="str">
        <f t="shared" si="21"/>
        <v xml:space="preserve"> </v>
      </c>
      <c r="AC40" s="15" t="str">
        <f t="shared" si="22"/>
        <v xml:space="preserve"> </v>
      </c>
      <c r="AG40" s="15" t="str">
        <f>IF(ISNUMBER(VLOOKUP(C40,'National budgets summary'!A:F,5, FALSE)),(VLOOKUP(C40,'National budgets summary'!A:F,5, FALSE)), " ")</f>
        <v xml:space="preserve"> </v>
      </c>
      <c r="AH40" t="str">
        <f>IF(ISNUMBER(VLOOKUP(C40,'National budgets summary'!A:F,5, FALSE)),(VLOOKUP(C40,'National budgets summary'!A:F,4, FALSE)), " ")</f>
        <v xml:space="preserve"> </v>
      </c>
      <c r="AI40" s="15" t="str">
        <f t="shared" si="1"/>
        <v xml:space="preserve"> </v>
      </c>
      <c r="AJ40" s="15" t="str">
        <f t="shared" si="8"/>
        <v xml:space="preserve"> </v>
      </c>
      <c r="AK40" s="15" t="str">
        <f t="shared" si="9"/>
        <v/>
      </c>
      <c r="AL40" s="15" t="str">
        <f t="shared" si="10"/>
        <v/>
      </c>
      <c r="AM40" s="15" t="str">
        <f t="shared" si="11"/>
        <v/>
      </c>
      <c r="AN40" s="15" t="str">
        <f t="shared" si="2"/>
        <v xml:space="preserve"> </v>
      </c>
      <c r="AO40" s="15" t="str">
        <f t="shared" si="3"/>
        <v xml:space="preserve"> </v>
      </c>
      <c r="AP40" t="str">
        <f t="shared" si="4"/>
        <v xml:space="preserve"> </v>
      </c>
      <c r="AQ40" t="str">
        <f t="shared" si="5"/>
        <v xml:space="preserve"> </v>
      </c>
      <c r="AR40" s="7" t="str">
        <f t="shared" si="12"/>
        <v xml:space="preserve"> </v>
      </c>
      <c r="AS40" s="7" t="str">
        <f t="shared" si="13"/>
        <v xml:space="preserve"> </v>
      </c>
      <c r="AT40" s="7" t="str">
        <f t="shared" si="14"/>
        <v xml:space="preserve"> </v>
      </c>
      <c r="AU40" s="7" t="str">
        <f t="shared" si="15"/>
        <v xml:space="preserve"> </v>
      </c>
    </row>
    <row r="41" spans="1:48">
      <c r="A41">
        <v>38</v>
      </c>
      <c r="B41" t="s">
        <v>130</v>
      </c>
      <c r="C41" t="s">
        <v>344</v>
      </c>
      <c r="D41" t="s">
        <v>483</v>
      </c>
      <c r="E41" t="s">
        <v>334</v>
      </c>
      <c r="F41" t="s">
        <v>617</v>
      </c>
      <c r="H41" t="str">
        <f>IF(ISNUMBER(VLOOKUP(C41,'OECD DAC'!B:C,2,FALSE)), "YES", " ")</f>
        <v xml:space="preserve"> </v>
      </c>
      <c r="I41">
        <v>1500</v>
      </c>
      <c r="J41">
        <v>2021</v>
      </c>
      <c r="K41" s="15">
        <f>IF(ISNUMBER(VLOOKUP(C41,'WEO GOV REV'!C:BL,58,FALSE)),(VLOOKUP(C41,'WEO GOV REV'!C:BL,58,FALSE)), " ")</f>
        <v>6933.23</v>
      </c>
      <c r="L41" s="15">
        <f>IF(ISNUMBER(VLOOKUP(C41,'WEO GOV REV'!C:BL,62,FALSE)),(VLOOKUP(C41,'WEO GOV REV'!C:BL,62,FALSE)), " ")</f>
        <v>12.495005677803185</v>
      </c>
      <c r="M41">
        <f>IF(ISNUMBER(VLOOKUP(C41,'WEO GOV REV'!C:BL,62,FALSE)),(VLOOKUP(C41,'WEO GOV REV'!C:BL,57,FALSE)), " ")</f>
        <v>2021</v>
      </c>
      <c r="N41" s="15" t="str">
        <f>IF(ISNUMBER(VLOOKUP($C41,'IMF COFOG FULL'!$B:$CM,79,FALSE)),(VLOOKUP($C41,'IMF COFOG FULL'!$B:$CM,79,FALSE)), " ")</f>
        <v xml:space="preserve"> </v>
      </c>
      <c r="O41" s="15" t="str">
        <f>IF(ISNUMBER(VLOOKUP($C41,'IMF COFOG FULL'!$B:$CM,80,FALSE)),(VLOOKUP($C41,'IMF COFOG FULL'!$B:$CM,80,FALSE)), " ")</f>
        <v xml:space="preserve"> </v>
      </c>
      <c r="P41" s="15" t="str">
        <f>IF(ISNUMBER(VLOOKUP($C41,'IMF COFOG FULL'!$B:$CM,81,FALSE)),(VLOOKUP($C41,'IMF COFOG FULL'!$B:$CM,81,FALSE)), " ")</f>
        <v xml:space="preserve"> </v>
      </c>
      <c r="Q41" s="15" t="str">
        <f>IF(ISNUMBER(VLOOKUP($C41,'IMF COFOG FULL'!$B:$CM,82,FALSE)),(VLOOKUP($C41,'IMF COFOG FULL'!$B:$CM,82,FALSE)), " ")</f>
        <v xml:space="preserve"> </v>
      </c>
      <c r="R41" s="15" t="str">
        <f>IF(ISNUMBER(VLOOKUP($C41,'IMF COFOG FULL'!$B:$CM,83,FALSE)),(VLOOKUP($C41,'IMF COFOG FULL'!$B:$CM,83,FALSE)), " ")</f>
        <v xml:space="preserve"> </v>
      </c>
      <c r="S41" s="15" t="str">
        <f>IF(ISNUMBER(VLOOKUP($C41,'IMF COFOG FULL'!$B:$CM,84,FALSE)),(VLOOKUP($C41,'IMF COFOG FULL'!$B:$CM,84,FALSE)), " ")</f>
        <v xml:space="preserve"> </v>
      </c>
      <c r="T41" s="15" t="str">
        <f>IF(ISNUMBER(VLOOKUP($C41,'IMF COFOG FULL'!$B:$CM,85,FALSE)),(VLOOKUP($C41,'IMF COFOG FULL'!$B:$CM,85,FALSE)), " ")</f>
        <v xml:space="preserve"> </v>
      </c>
      <c r="U41" s="7" t="str">
        <f>IF(ISNUMBER(VLOOKUP($C41,'IMF COFOG FULL'!$B:$CM,79,FALSE)),(VLOOKUP($C41,'IMF COFOG FULL'!$B:$CM,86,FALSE)), " ")</f>
        <v xml:space="preserve"> </v>
      </c>
      <c r="V41" s="15" t="str">
        <f>IF(ISNUMBER(VLOOKUP($C41,'IMF COFOG FULL'!$B:$CM,79,FALSE)),(VLOOKUP($C41,'IMF COFOG FULL'!$B:$CM,87,FALSE)), " ")</f>
        <v xml:space="preserve"> </v>
      </c>
      <c r="W41" s="15" t="str">
        <f t="shared" si="16"/>
        <v xml:space="preserve"> </v>
      </c>
      <c r="X41" s="15" t="str">
        <f t="shared" si="17"/>
        <v xml:space="preserve"> </v>
      </c>
      <c r="Y41" s="15" t="str">
        <f t="shared" si="18"/>
        <v xml:space="preserve"> </v>
      </c>
      <c r="Z41" s="15" t="str">
        <f t="shared" si="19"/>
        <v xml:space="preserve"> </v>
      </c>
      <c r="AA41" s="15" t="str">
        <f t="shared" si="20"/>
        <v xml:space="preserve"> </v>
      </c>
      <c r="AB41" s="15" t="str">
        <f t="shared" si="21"/>
        <v xml:space="preserve"> </v>
      </c>
      <c r="AC41" s="15" t="str">
        <f t="shared" si="22"/>
        <v xml:space="preserve"> </v>
      </c>
      <c r="AD41" s="15">
        <f>Pakistan!C17/(10^3)</f>
        <v>180.17599999999999</v>
      </c>
      <c r="AE41" s="15">
        <f>Pakistan!C16/(10^3)</f>
        <v>10.788</v>
      </c>
      <c r="AF41" s="15">
        <f>Pakistan!C19/(10^3)</f>
        <v>4.3999999999999997E-2</v>
      </c>
      <c r="AG41" s="15">
        <f>IF(ISNUMBER(VLOOKUP(C41,'National budgets summary'!A:F,5, FALSE)),(VLOOKUP(C41,'National budgets summary'!A:F,5, FALSE)), " ")</f>
        <v>196.601</v>
      </c>
      <c r="AH41" t="str">
        <f>IF(ISNUMBER(VLOOKUP(C41,'National budgets summary'!A:F,5, FALSE)),(VLOOKUP(C41,'National budgets summary'!A:F,4, FALSE)), " ")</f>
        <v>21/22</v>
      </c>
      <c r="AI41" s="15">
        <f t="shared" si="1"/>
        <v>2.8356336080008888</v>
      </c>
      <c r="AJ41" s="15">
        <f t="shared" si="8"/>
        <v>0.35431258032140639</v>
      </c>
      <c r="AK41" s="15">
        <f t="shared" si="9"/>
        <v>2.598731038779905</v>
      </c>
      <c r="AL41" s="15">
        <f t="shared" si="10"/>
        <v>0.15559847286185516</v>
      </c>
      <c r="AM41" s="15">
        <f t="shared" si="11"/>
        <v>6.3462484296640954E-4</v>
      </c>
      <c r="AN41" s="15">
        <f t="shared" si="2"/>
        <v>2.8356336080008888</v>
      </c>
      <c r="AO41" s="15">
        <f t="shared" si="3"/>
        <v>0.35431258032140639</v>
      </c>
      <c r="AP41" t="str">
        <f t="shared" si="4"/>
        <v>21/22</v>
      </c>
      <c r="AQ41" t="str">
        <f t="shared" si="5"/>
        <v>National</v>
      </c>
      <c r="AR41" s="7">
        <f t="shared" si="12"/>
        <v>4.8706738626957424</v>
      </c>
      <c r="AS41" s="7">
        <f t="shared" si="13"/>
        <v>0.29163057027995776</v>
      </c>
      <c r="AT41" s="7">
        <f t="shared" si="14"/>
        <v>1.1894461524210363E-3</v>
      </c>
      <c r="AU41" s="7">
        <f t="shared" si="15"/>
        <v>5.3146887048210951</v>
      </c>
    </row>
    <row r="42" spans="1:48">
      <c r="A42">
        <v>39</v>
      </c>
      <c r="B42" t="s">
        <v>131</v>
      </c>
      <c r="C42" t="s">
        <v>345</v>
      </c>
      <c r="D42" t="s">
        <v>496</v>
      </c>
      <c r="E42" t="s">
        <v>334</v>
      </c>
      <c r="F42" t="s">
        <v>615</v>
      </c>
      <c r="G42" t="s">
        <v>616</v>
      </c>
      <c r="H42" t="str">
        <f>IF(ISNUMBER(VLOOKUP(C42,'OECD DAC'!B:C,2,FALSE)), "YES", " ")</f>
        <v xml:space="preserve"> </v>
      </c>
      <c r="I42">
        <v>1540</v>
      </c>
      <c r="J42">
        <v>2021</v>
      </c>
      <c r="K42" s="15">
        <f>IF(ISNUMBER(VLOOKUP(C42,'WEO GOV REV'!C:BL,58,FALSE)),(VLOOKUP(C42,'WEO GOV REV'!C:BL,58,FALSE)), " ")</f>
        <v>2842.64</v>
      </c>
      <c r="L42" s="15">
        <f>IF(ISNUMBER(VLOOKUP(C42,'WEO GOV REV'!C:BL,62,FALSE)),(VLOOKUP(C42,'WEO GOV REV'!C:BL,62,FALSE)), " ")</f>
        <v>20.15913764981207</v>
      </c>
      <c r="M42">
        <f>IF(ISNUMBER(VLOOKUP(C42,'WEO GOV REV'!C:BL,62,FALSE)),(VLOOKUP(C42,'WEO GOV REV'!C:BL,57,FALSE)), " ")</f>
        <v>2020</v>
      </c>
      <c r="N42" s="15" t="str">
        <f>IF(ISNUMBER(VLOOKUP($C42,'IMF COFOG FULL'!$B:$CM,79,FALSE)),(VLOOKUP($C42,'IMF COFOG FULL'!$B:$CM,79,FALSE)), " ")</f>
        <v xml:space="preserve"> </v>
      </c>
      <c r="O42" s="15" t="str">
        <f>IF(ISNUMBER(VLOOKUP($C42,'IMF COFOG FULL'!$B:$CM,80,FALSE)),(VLOOKUP($C42,'IMF COFOG FULL'!$B:$CM,80,FALSE)), " ")</f>
        <v xml:space="preserve"> </v>
      </c>
      <c r="P42" s="15" t="str">
        <f>IF(ISNUMBER(VLOOKUP($C42,'IMF COFOG FULL'!$B:$CM,81,FALSE)),(VLOOKUP($C42,'IMF COFOG FULL'!$B:$CM,81,FALSE)), " ")</f>
        <v xml:space="preserve"> </v>
      </c>
      <c r="Q42" s="15" t="str">
        <f>IF(ISNUMBER(VLOOKUP($C42,'IMF COFOG FULL'!$B:$CM,82,FALSE)),(VLOOKUP($C42,'IMF COFOG FULL'!$B:$CM,82,FALSE)), " ")</f>
        <v xml:space="preserve"> </v>
      </c>
      <c r="R42" s="15" t="str">
        <f>IF(ISNUMBER(VLOOKUP($C42,'IMF COFOG FULL'!$B:$CM,83,FALSE)),(VLOOKUP($C42,'IMF COFOG FULL'!$B:$CM,83,FALSE)), " ")</f>
        <v xml:space="preserve"> </v>
      </c>
      <c r="S42" s="15" t="str">
        <f>IF(ISNUMBER(VLOOKUP($C42,'IMF COFOG FULL'!$B:$CM,84,FALSE)),(VLOOKUP($C42,'IMF COFOG FULL'!$B:$CM,84,FALSE)), " ")</f>
        <v xml:space="preserve"> </v>
      </c>
      <c r="T42" s="15" t="str">
        <f>IF(ISNUMBER(VLOOKUP($C42,'IMF COFOG FULL'!$B:$CM,85,FALSE)),(VLOOKUP($C42,'IMF COFOG FULL'!$B:$CM,85,FALSE)), " ")</f>
        <v xml:space="preserve"> </v>
      </c>
      <c r="U42" s="7" t="str">
        <f>IF(ISNUMBER(VLOOKUP($C42,'IMF COFOG FULL'!$B:$CM,79,FALSE)),(VLOOKUP($C42,'IMF COFOG FULL'!$B:$CM,86,FALSE)), " ")</f>
        <v xml:space="preserve"> </v>
      </c>
      <c r="V42" s="15" t="str">
        <f>IF(ISNUMBER(VLOOKUP($C42,'IMF COFOG FULL'!$B:$CM,79,FALSE)),(VLOOKUP($C42,'IMF COFOG FULL'!$B:$CM,87,FALSE)), " ")</f>
        <v xml:space="preserve"> </v>
      </c>
      <c r="W42" s="15" t="str">
        <f t="shared" si="16"/>
        <v xml:space="preserve"> </v>
      </c>
      <c r="X42" s="15" t="str">
        <f t="shared" si="17"/>
        <v xml:space="preserve"> </v>
      </c>
      <c r="Y42" s="15" t="str">
        <f t="shared" si="18"/>
        <v xml:space="preserve"> </v>
      </c>
      <c r="Z42" s="15" t="str">
        <f t="shared" si="19"/>
        <v xml:space="preserve"> </v>
      </c>
      <c r="AA42" s="15" t="str">
        <f t="shared" si="20"/>
        <v xml:space="preserve"> </v>
      </c>
      <c r="AB42" s="15" t="str">
        <f t="shared" si="21"/>
        <v xml:space="preserve"> </v>
      </c>
      <c r="AC42" s="15" t="str">
        <f t="shared" si="22"/>
        <v xml:space="preserve"> </v>
      </c>
      <c r="AG42" s="15">
        <f>IF(ISNUMBER(VLOOKUP(C42,'National budgets summary'!A:F,5, FALSE)),(VLOOKUP(C42,'National budgets summary'!A:F,5, FALSE)), " ")</f>
        <v>169.600807248</v>
      </c>
      <c r="AH42">
        <f>IF(ISNUMBER(VLOOKUP(C42,'National budgets summary'!A:F,5, FALSE)),(VLOOKUP(C42,'National budgets summary'!A:F,4, FALSE)), " ")</f>
        <v>2021</v>
      </c>
      <c r="AI42" s="15">
        <f t="shared" si="1"/>
        <v>5.966313259786677</v>
      </c>
      <c r="AJ42" s="15">
        <f t="shared" si="8"/>
        <v>1.2027573026593859</v>
      </c>
      <c r="AK42" s="15" t="str">
        <f t="shared" si="9"/>
        <v/>
      </c>
      <c r="AL42" s="15" t="str">
        <f t="shared" si="10"/>
        <v/>
      </c>
      <c r="AM42" s="15" t="str">
        <f t="shared" si="11"/>
        <v/>
      </c>
      <c r="AN42" s="15">
        <f t="shared" si="2"/>
        <v>5.966313259786677</v>
      </c>
      <c r="AO42" s="15">
        <f t="shared" si="3"/>
        <v>1.2027573026593859</v>
      </c>
      <c r="AP42">
        <f t="shared" si="4"/>
        <v>2021</v>
      </c>
      <c r="AQ42" t="str">
        <f t="shared" si="5"/>
        <v>National</v>
      </c>
      <c r="AR42" s="7" t="str">
        <f t="shared" si="12"/>
        <v xml:space="preserve"> </v>
      </c>
      <c r="AS42" s="7" t="str">
        <f t="shared" si="13"/>
        <v xml:space="preserve"> </v>
      </c>
      <c r="AT42" s="7" t="str">
        <f t="shared" si="14"/>
        <v xml:space="preserve"> </v>
      </c>
      <c r="AU42" s="7">
        <f t="shared" si="15"/>
        <v>18.522462460954543</v>
      </c>
    </row>
    <row r="43" spans="1:48">
      <c r="A43">
        <v>40</v>
      </c>
      <c r="B43" t="s">
        <v>132</v>
      </c>
      <c r="C43" t="s">
        <v>346</v>
      </c>
      <c r="D43" t="s">
        <v>493</v>
      </c>
      <c r="E43" t="s">
        <v>334</v>
      </c>
      <c r="F43" t="s">
        <v>615</v>
      </c>
      <c r="H43" t="str">
        <f>IF(ISNUMBER(VLOOKUP(C43,'OECD DAC'!B:C,2,FALSE)), "YES", " ")</f>
        <v xml:space="preserve"> </v>
      </c>
      <c r="I43">
        <v>1550</v>
      </c>
      <c r="J43">
        <v>2021</v>
      </c>
      <c r="K43" s="15">
        <f>IF(ISNUMBER(VLOOKUP(C43,'WEO GOV REV'!C:BL,58,FALSE)),(VLOOKUP(C43,'WEO GOV REV'!C:BL,58,FALSE)), " ")</f>
        <v>29461.49</v>
      </c>
      <c r="L43" s="15">
        <f>IF(ISNUMBER(VLOOKUP(C43,'WEO GOV REV'!C:BL,62,FALSE)),(VLOOKUP(C43,'WEO GOV REV'!C:BL,62,FALSE)), " ")</f>
        <v>26.779752222557029</v>
      </c>
      <c r="M43">
        <f>IF(ISNUMBER(VLOOKUP(C43,'WEO GOV REV'!C:BL,62,FALSE)),(VLOOKUP(C43,'WEO GOV REV'!C:BL,57,FALSE)), " ")</f>
        <v>2019</v>
      </c>
      <c r="N43" s="15" t="str">
        <f>IF(ISNUMBER(VLOOKUP($C43,'IMF COFOG FULL'!$B:$CM,79,FALSE)),(VLOOKUP($C43,'IMF COFOG FULL'!$B:$CM,79,FALSE)), " ")</f>
        <v xml:space="preserve"> </v>
      </c>
      <c r="O43" s="15" t="str">
        <f>IF(ISNUMBER(VLOOKUP($C43,'IMF COFOG FULL'!$B:$CM,80,FALSE)),(VLOOKUP($C43,'IMF COFOG FULL'!$B:$CM,80,FALSE)), " ")</f>
        <v xml:space="preserve"> </v>
      </c>
      <c r="P43" s="15" t="str">
        <f>IF(ISNUMBER(VLOOKUP($C43,'IMF COFOG FULL'!$B:$CM,81,FALSE)),(VLOOKUP($C43,'IMF COFOG FULL'!$B:$CM,81,FALSE)), " ")</f>
        <v xml:space="preserve"> </v>
      </c>
      <c r="Q43" s="15" t="str">
        <f>IF(ISNUMBER(VLOOKUP($C43,'IMF COFOG FULL'!$B:$CM,82,FALSE)),(VLOOKUP($C43,'IMF COFOG FULL'!$B:$CM,82,FALSE)), " ")</f>
        <v xml:space="preserve"> </v>
      </c>
      <c r="R43" s="15" t="str">
        <f>IF(ISNUMBER(VLOOKUP($C43,'IMF COFOG FULL'!$B:$CM,83,FALSE)),(VLOOKUP($C43,'IMF COFOG FULL'!$B:$CM,83,FALSE)), " ")</f>
        <v xml:space="preserve"> </v>
      </c>
      <c r="S43" s="15" t="str">
        <f>IF(ISNUMBER(VLOOKUP($C43,'IMF COFOG FULL'!$B:$CM,84,FALSE)),(VLOOKUP($C43,'IMF COFOG FULL'!$B:$CM,84,FALSE)), " ")</f>
        <v xml:space="preserve"> </v>
      </c>
      <c r="T43" s="15" t="str">
        <f>IF(ISNUMBER(VLOOKUP($C43,'IMF COFOG FULL'!$B:$CM,85,FALSE)),(VLOOKUP($C43,'IMF COFOG FULL'!$B:$CM,85,FALSE)), " ")</f>
        <v xml:space="preserve"> </v>
      </c>
      <c r="U43" s="7" t="str">
        <f>IF(ISNUMBER(VLOOKUP($C43,'IMF COFOG FULL'!$B:$CM,79,FALSE)),(VLOOKUP($C43,'IMF COFOG FULL'!$B:$CM,86,FALSE)), " ")</f>
        <v xml:space="preserve"> </v>
      </c>
      <c r="V43" s="15" t="str">
        <f>IF(ISNUMBER(VLOOKUP($C43,'IMF COFOG FULL'!$B:$CM,79,FALSE)),(VLOOKUP($C43,'IMF COFOG FULL'!$B:$CM,87,FALSE)), " ")</f>
        <v xml:space="preserve"> </v>
      </c>
      <c r="W43" s="15" t="str">
        <f t="shared" si="16"/>
        <v xml:space="preserve"> </v>
      </c>
      <c r="X43" s="15" t="str">
        <f t="shared" si="17"/>
        <v xml:space="preserve"> </v>
      </c>
      <c r="Y43" s="15" t="str">
        <f t="shared" si="18"/>
        <v xml:space="preserve"> </v>
      </c>
      <c r="Z43" s="15" t="str">
        <f t="shared" si="19"/>
        <v xml:space="preserve"> </v>
      </c>
      <c r="AA43" s="15" t="str">
        <f t="shared" si="20"/>
        <v xml:space="preserve"> </v>
      </c>
      <c r="AB43" s="15" t="str">
        <f t="shared" si="21"/>
        <v xml:space="preserve"> </v>
      </c>
      <c r="AC43" s="15" t="str">
        <f t="shared" si="22"/>
        <v xml:space="preserve"> </v>
      </c>
      <c r="AG43" s="15">
        <f>IF(ISNUMBER(VLOOKUP(C43,'National budgets summary'!A:F,5, FALSE)),(VLOOKUP(C43,'National budgets summary'!A:F,5, FALSE)), " ")</f>
        <v>1760.8887999999999</v>
      </c>
      <c r="AH43">
        <f>IF(ISNUMBER(VLOOKUP(C43,'National budgets summary'!A:F,5, FALSE)),(VLOOKUP(C43,'National budgets summary'!A:F,4, FALSE)), " ")</f>
        <v>2022</v>
      </c>
      <c r="AI43" s="15">
        <f t="shared" si="1"/>
        <v>5.9769169855292441</v>
      </c>
      <c r="AJ43" s="15">
        <f t="shared" si="8"/>
        <v>1.6006035592726564</v>
      </c>
      <c r="AK43" s="15" t="str">
        <f t="shared" si="9"/>
        <v/>
      </c>
      <c r="AL43" s="15" t="str">
        <f t="shared" si="10"/>
        <v/>
      </c>
      <c r="AM43" s="15" t="str">
        <f t="shared" si="11"/>
        <v/>
      </c>
      <c r="AN43" s="15">
        <f t="shared" si="2"/>
        <v>5.9769169855292441</v>
      </c>
      <c r="AO43" s="15">
        <f t="shared" si="3"/>
        <v>1.6006035592726564</v>
      </c>
      <c r="AP43">
        <f t="shared" si="4"/>
        <v>2022</v>
      </c>
      <c r="AQ43" t="str">
        <f t="shared" si="5"/>
        <v>National</v>
      </c>
      <c r="AR43" s="7" t="str">
        <f t="shared" si="12"/>
        <v xml:space="preserve"> </v>
      </c>
      <c r="AS43" s="7" t="str">
        <f t="shared" si="13"/>
        <v xml:space="preserve"> </v>
      </c>
      <c r="AT43" s="7" t="str">
        <f t="shared" si="14"/>
        <v xml:space="preserve"> </v>
      </c>
      <c r="AU43" s="7">
        <f t="shared" si="15"/>
        <v>24.809355168726171</v>
      </c>
    </row>
    <row r="44" spans="1:48">
      <c r="A44">
        <v>41</v>
      </c>
      <c r="B44" t="s">
        <v>133</v>
      </c>
      <c r="C44" t="s">
        <v>347</v>
      </c>
      <c r="D44" t="s">
        <v>496</v>
      </c>
      <c r="E44" t="s">
        <v>334</v>
      </c>
      <c r="F44" t="s">
        <v>617</v>
      </c>
      <c r="G44" t="s">
        <v>616</v>
      </c>
      <c r="H44" t="str">
        <f>IF(ISNUMBER(VLOOKUP(C44,'OECD DAC'!B:C,2,FALSE)), "YES", " ")</f>
        <v xml:space="preserve"> </v>
      </c>
      <c r="I44">
        <v>1590</v>
      </c>
      <c r="J44">
        <v>2021</v>
      </c>
      <c r="K44" s="15">
        <f>IF(ISNUMBER(VLOOKUP(C44,'WEO GOV REV'!C:BL,58,FALSE)),(VLOOKUP(C44,'WEO GOV REV'!C:BL,58,FALSE)), " ")</f>
        <v>3145.32</v>
      </c>
      <c r="L44" s="15">
        <f>IF(ISNUMBER(VLOOKUP(C44,'WEO GOV REV'!C:BL,62,FALSE)),(VLOOKUP(C44,'WEO GOV REV'!C:BL,62,FALSE)), " ")</f>
        <v>13.392050827561572</v>
      </c>
      <c r="M44">
        <f>IF(ISNUMBER(VLOOKUP(C44,'WEO GOV REV'!C:BL,62,FALSE)),(VLOOKUP(C44,'WEO GOV REV'!C:BL,57,FALSE)), " ")</f>
        <v>2020</v>
      </c>
      <c r="N44" s="15" t="str">
        <f>IF(ISNUMBER(VLOOKUP($C44,'IMF COFOG FULL'!$B:$CM,79,FALSE)),(VLOOKUP($C44,'IMF COFOG FULL'!$B:$CM,79,FALSE)), " ")</f>
        <v xml:space="preserve"> </v>
      </c>
      <c r="O44" s="15" t="str">
        <f>IF(ISNUMBER(VLOOKUP($C44,'IMF COFOG FULL'!$B:$CM,80,FALSE)),(VLOOKUP($C44,'IMF COFOG FULL'!$B:$CM,80,FALSE)), " ")</f>
        <v xml:space="preserve"> </v>
      </c>
      <c r="P44" s="15" t="str">
        <f>IF(ISNUMBER(VLOOKUP($C44,'IMF COFOG FULL'!$B:$CM,81,FALSE)),(VLOOKUP($C44,'IMF COFOG FULL'!$B:$CM,81,FALSE)), " ")</f>
        <v xml:space="preserve"> </v>
      </c>
      <c r="Q44" s="15" t="str">
        <f>IF(ISNUMBER(VLOOKUP($C44,'IMF COFOG FULL'!$B:$CM,82,FALSE)),(VLOOKUP($C44,'IMF COFOG FULL'!$B:$CM,82,FALSE)), " ")</f>
        <v xml:space="preserve"> </v>
      </c>
      <c r="R44" s="15" t="str">
        <f>IF(ISNUMBER(VLOOKUP($C44,'IMF COFOG FULL'!$B:$CM,83,FALSE)),(VLOOKUP($C44,'IMF COFOG FULL'!$B:$CM,83,FALSE)), " ")</f>
        <v xml:space="preserve"> </v>
      </c>
      <c r="S44" s="15" t="str">
        <f>IF(ISNUMBER(VLOOKUP($C44,'IMF COFOG FULL'!$B:$CM,84,FALSE)),(VLOOKUP($C44,'IMF COFOG FULL'!$B:$CM,84,FALSE)), " ")</f>
        <v xml:space="preserve"> </v>
      </c>
      <c r="T44" s="15" t="str">
        <f>IF(ISNUMBER(VLOOKUP($C44,'IMF COFOG FULL'!$B:$CM,85,FALSE)),(VLOOKUP($C44,'IMF COFOG FULL'!$B:$CM,85,FALSE)), " ")</f>
        <v xml:space="preserve"> </v>
      </c>
      <c r="U44" s="7" t="str">
        <f>IF(ISNUMBER(VLOOKUP($C44,'IMF COFOG FULL'!$B:$CM,79,FALSE)),(VLOOKUP($C44,'IMF COFOG FULL'!$B:$CM,86,FALSE)), " ")</f>
        <v xml:space="preserve"> </v>
      </c>
      <c r="V44" s="15" t="str">
        <f>IF(ISNUMBER(VLOOKUP($C44,'IMF COFOG FULL'!$B:$CM,79,FALSE)),(VLOOKUP($C44,'IMF COFOG FULL'!$B:$CM,87,FALSE)), " ")</f>
        <v xml:space="preserve"> </v>
      </c>
      <c r="W44" s="15" t="str">
        <f t="shared" si="16"/>
        <v xml:space="preserve"> </v>
      </c>
      <c r="X44" s="15" t="str">
        <f t="shared" si="17"/>
        <v xml:space="preserve"> </v>
      </c>
      <c r="Y44" s="15" t="str">
        <f t="shared" si="18"/>
        <v xml:space="preserve"> </v>
      </c>
      <c r="Z44" s="15" t="str">
        <f t="shared" si="19"/>
        <v xml:space="preserve"> </v>
      </c>
      <c r="AA44" s="15" t="str">
        <f t="shared" si="20"/>
        <v xml:space="preserve"> </v>
      </c>
      <c r="AB44" s="15" t="str">
        <f t="shared" si="21"/>
        <v xml:space="preserve"> </v>
      </c>
      <c r="AC44" s="15" t="str">
        <f t="shared" si="22"/>
        <v xml:space="preserve"> </v>
      </c>
      <c r="AG44" s="15" t="str">
        <f>IF(ISNUMBER(VLOOKUP(C44,'National budgets summary'!A:F,5, FALSE)),(VLOOKUP(C44,'National budgets summary'!A:F,5, FALSE)), " ")</f>
        <v xml:space="preserve"> </v>
      </c>
      <c r="AH44" t="str">
        <f>IF(ISNUMBER(VLOOKUP(C44,'National budgets summary'!A:F,5, FALSE)),(VLOOKUP(C44,'National budgets summary'!A:F,4, FALSE)), " ")</f>
        <v xml:space="preserve"> </v>
      </c>
      <c r="AI44" s="15" t="str">
        <f t="shared" si="1"/>
        <v xml:space="preserve"> </v>
      </c>
      <c r="AJ44" s="15" t="str">
        <f t="shared" si="8"/>
        <v xml:space="preserve"> </v>
      </c>
      <c r="AK44" s="15" t="str">
        <f t="shared" si="9"/>
        <v/>
      </c>
      <c r="AL44" s="15" t="str">
        <f t="shared" si="10"/>
        <v/>
      </c>
      <c r="AM44" s="15" t="str">
        <f t="shared" si="11"/>
        <v/>
      </c>
      <c r="AN44" s="15" t="str">
        <f t="shared" si="2"/>
        <v xml:space="preserve"> </v>
      </c>
      <c r="AO44" s="15" t="str">
        <f t="shared" si="3"/>
        <v xml:space="preserve"> </v>
      </c>
      <c r="AP44" t="str">
        <f t="shared" si="4"/>
        <v xml:space="preserve"> </v>
      </c>
      <c r="AQ44" t="str">
        <f t="shared" si="5"/>
        <v xml:space="preserve"> </v>
      </c>
      <c r="AR44" s="7" t="str">
        <f t="shared" si="12"/>
        <v xml:space="preserve"> </v>
      </c>
      <c r="AS44" s="7" t="str">
        <f t="shared" si="13"/>
        <v xml:space="preserve"> </v>
      </c>
      <c r="AT44" s="7" t="str">
        <f t="shared" si="14"/>
        <v xml:space="preserve"> </v>
      </c>
      <c r="AU44" s="7" t="str">
        <f t="shared" si="15"/>
        <v xml:space="preserve"> </v>
      </c>
    </row>
    <row r="45" spans="1:48">
      <c r="A45">
        <v>42</v>
      </c>
      <c r="B45" t="s">
        <v>134</v>
      </c>
      <c r="C45" t="s">
        <v>348</v>
      </c>
      <c r="D45" t="s">
        <v>496</v>
      </c>
      <c r="E45" t="s">
        <v>334</v>
      </c>
      <c r="F45" t="s">
        <v>617</v>
      </c>
      <c r="G45" t="s">
        <v>616</v>
      </c>
      <c r="H45" t="str">
        <f>IF(ISNUMBER(VLOOKUP(C45,'OECD DAC'!B:C,2,FALSE)), "YES", " ")</f>
        <v xml:space="preserve"> </v>
      </c>
      <c r="I45">
        <v>1630</v>
      </c>
      <c r="J45">
        <v>2021</v>
      </c>
      <c r="K45" s="15">
        <f>IF(ISNUMBER(VLOOKUP(C45,'WEO GOV REV'!C:BL,58,FALSE)),(VLOOKUP(C45,'WEO GOV REV'!C:BL,58,FALSE)), " ")</f>
        <v>1320.48</v>
      </c>
      <c r="L45" s="15">
        <f>IF(ISNUMBER(VLOOKUP(C45,'WEO GOV REV'!C:BL,62,FALSE)),(VLOOKUP(C45,'WEO GOV REV'!C:BL,62,FALSE)), " ")</f>
        <v>22.243409416322748</v>
      </c>
      <c r="M45">
        <f>IF(ISNUMBER(VLOOKUP(C45,'WEO GOV REV'!C:BL,62,FALSE)),(VLOOKUP(C45,'WEO GOV REV'!C:BL,57,FALSE)), " ")</f>
        <v>2020</v>
      </c>
      <c r="N45" s="15" t="str">
        <f>IF(ISNUMBER(VLOOKUP($C45,'IMF COFOG FULL'!$B:$CM,79,FALSE)),(VLOOKUP($C45,'IMF COFOG FULL'!$B:$CM,79,FALSE)), " ")</f>
        <v xml:space="preserve"> </v>
      </c>
      <c r="O45" s="15" t="str">
        <f>IF(ISNUMBER(VLOOKUP($C45,'IMF COFOG FULL'!$B:$CM,80,FALSE)),(VLOOKUP($C45,'IMF COFOG FULL'!$B:$CM,80,FALSE)), " ")</f>
        <v xml:space="preserve"> </v>
      </c>
      <c r="P45" s="15" t="str">
        <f>IF(ISNUMBER(VLOOKUP($C45,'IMF COFOG FULL'!$B:$CM,81,FALSE)),(VLOOKUP($C45,'IMF COFOG FULL'!$B:$CM,81,FALSE)), " ")</f>
        <v xml:space="preserve"> </v>
      </c>
      <c r="Q45" s="15" t="str">
        <f>IF(ISNUMBER(VLOOKUP($C45,'IMF COFOG FULL'!$B:$CM,82,FALSE)),(VLOOKUP($C45,'IMF COFOG FULL'!$B:$CM,82,FALSE)), " ")</f>
        <v xml:space="preserve"> </v>
      </c>
      <c r="R45" s="15" t="str">
        <f>IF(ISNUMBER(VLOOKUP($C45,'IMF COFOG FULL'!$B:$CM,83,FALSE)),(VLOOKUP($C45,'IMF COFOG FULL'!$B:$CM,83,FALSE)), " ")</f>
        <v xml:space="preserve"> </v>
      </c>
      <c r="S45" s="15" t="str">
        <f>IF(ISNUMBER(VLOOKUP($C45,'IMF COFOG FULL'!$B:$CM,84,FALSE)),(VLOOKUP($C45,'IMF COFOG FULL'!$B:$CM,84,FALSE)), " ")</f>
        <v xml:space="preserve"> </v>
      </c>
      <c r="T45" s="15" t="str">
        <f>IF(ISNUMBER(VLOOKUP($C45,'IMF COFOG FULL'!$B:$CM,85,FALSE)),(VLOOKUP($C45,'IMF COFOG FULL'!$B:$CM,85,FALSE)), " ")</f>
        <v xml:space="preserve"> </v>
      </c>
      <c r="U45" s="7" t="str">
        <f>IF(ISNUMBER(VLOOKUP($C45,'IMF COFOG FULL'!$B:$CM,79,FALSE)),(VLOOKUP($C45,'IMF COFOG FULL'!$B:$CM,86,FALSE)), " ")</f>
        <v xml:space="preserve"> </v>
      </c>
      <c r="V45" s="15" t="str">
        <f>IF(ISNUMBER(VLOOKUP($C45,'IMF COFOG FULL'!$B:$CM,79,FALSE)),(VLOOKUP($C45,'IMF COFOG FULL'!$B:$CM,87,FALSE)), " ")</f>
        <v xml:space="preserve"> </v>
      </c>
      <c r="W45" s="15" t="str">
        <f t="shared" si="16"/>
        <v xml:space="preserve"> </v>
      </c>
      <c r="X45" s="15" t="str">
        <f t="shared" si="17"/>
        <v xml:space="preserve"> </v>
      </c>
      <c r="Y45" s="15" t="str">
        <f t="shared" si="18"/>
        <v xml:space="preserve"> </v>
      </c>
      <c r="Z45" s="15" t="str">
        <f t="shared" si="19"/>
        <v xml:space="preserve"> </v>
      </c>
      <c r="AA45" s="15" t="str">
        <f t="shared" si="20"/>
        <v xml:space="preserve"> </v>
      </c>
      <c r="AB45" s="15" t="str">
        <f t="shared" si="21"/>
        <v xml:space="preserve"> </v>
      </c>
      <c r="AC45" s="15" t="str">
        <f t="shared" si="22"/>
        <v xml:space="preserve"> </v>
      </c>
      <c r="AG45" s="15">
        <f>IF(ISNUMBER(VLOOKUP(C45,'National budgets summary'!A:F,5, FALSE)),(VLOOKUP(C45,'National budgets summary'!A:F,5, FALSE)), " ")</f>
        <v>29.930814057999999</v>
      </c>
      <c r="AH45">
        <f>IF(ISNUMBER(VLOOKUP(C45,'National budgets summary'!A:F,5, FALSE)),(VLOOKUP(C45,'National budgets summary'!A:F,4, FALSE)), " ")</f>
        <v>2020</v>
      </c>
      <c r="AI45" s="15">
        <f t="shared" si="1"/>
        <v>2.2666616728765296</v>
      </c>
      <c r="AJ45" s="15">
        <f t="shared" si="8"/>
        <v>0.50418283598079672</v>
      </c>
      <c r="AK45" s="15" t="str">
        <f t="shared" si="9"/>
        <v/>
      </c>
      <c r="AL45" s="15">
        <f>IF(ISNUMBER(W45),W45,IF(ISNUMBER(AI45),AI45, " "))</f>
        <v>2.2666616728765296</v>
      </c>
      <c r="AM45" s="15" t="str">
        <f t="shared" si="11"/>
        <v/>
      </c>
      <c r="AP45">
        <f t="shared" si="4"/>
        <v>2020</v>
      </c>
      <c r="AQ45" t="str">
        <f t="shared" si="5"/>
        <v>National</v>
      </c>
      <c r="AR45" s="7" t="str">
        <f t="shared" si="12"/>
        <v xml:space="preserve"> </v>
      </c>
      <c r="AS45" s="7">
        <f t="shared" si="13"/>
        <v>8.2181802264869859</v>
      </c>
      <c r="AT45" s="7" t="str">
        <f t="shared" si="14"/>
        <v xml:space="preserve"> </v>
      </c>
      <c r="AU45" s="7" t="str">
        <f t="shared" si="15"/>
        <v xml:space="preserve"> </v>
      </c>
      <c r="AV45" t="s">
        <v>618</v>
      </c>
    </row>
    <row r="46" spans="1:48">
      <c r="A46">
        <v>43</v>
      </c>
      <c r="B46" t="s">
        <v>135</v>
      </c>
      <c r="C46" t="s">
        <v>349</v>
      </c>
      <c r="D46" t="s">
        <v>496</v>
      </c>
      <c r="E46" t="s">
        <v>334</v>
      </c>
      <c r="F46" t="s">
        <v>615</v>
      </c>
      <c r="G46" t="s">
        <v>616</v>
      </c>
      <c r="H46" t="str">
        <f>IF(ISNUMBER(VLOOKUP(C46,'OECD DAC'!B:C,2,FALSE)), "YES", " ")</f>
        <v xml:space="preserve"> </v>
      </c>
      <c r="I46">
        <v>1730</v>
      </c>
      <c r="J46">
        <v>2021</v>
      </c>
      <c r="K46" s="15">
        <f>IF(ISNUMBER(VLOOKUP(C46,'WEO GOV REV'!C:BL,58,FALSE)),(VLOOKUP(C46,'WEO GOV REV'!C:BL,58,FALSE)), " ")</f>
        <v>65.481999999999999</v>
      </c>
      <c r="L46" s="15">
        <f>IF(ISNUMBER(VLOOKUP(C46,'WEO GOV REV'!C:BL,62,FALSE)),(VLOOKUP(C46,'WEO GOV REV'!C:BL,62,FALSE)), " ")</f>
        <v>22.243358277653037</v>
      </c>
      <c r="M46">
        <f>IF(ISNUMBER(VLOOKUP(C46,'WEO GOV REV'!C:BL,62,FALSE)),(VLOOKUP(C46,'WEO GOV REV'!C:BL,57,FALSE)), " ")</f>
        <v>2020</v>
      </c>
      <c r="N46" s="15" t="str">
        <f>IF(ISNUMBER(VLOOKUP($C46,'IMF COFOG FULL'!$B:$CM,79,FALSE)),(VLOOKUP($C46,'IMF COFOG FULL'!$B:$CM,79,FALSE)), " ")</f>
        <v xml:space="preserve"> </v>
      </c>
      <c r="O46" s="15" t="str">
        <f>IF(ISNUMBER(VLOOKUP($C46,'IMF COFOG FULL'!$B:$CM,80,FALSE)),(VLOOKUP($C46,'IMF COFOG FULL'!$B:$CM,80,FALSE)), " ")</f>
        <v xml:space="preserve"> </v>
      </c>
      <c r="P46" s="15" t="str">
        <f>IF(ISNUMBER(VLOOKUP($C46,'IMF COFOG FULL'!$B:$CM,81,FALSE)),(VLOOKUP($C46,'IMF COFOG FULL'!$B:$CM,81,FALSE)), " ")</f>
        <v xml:space="preserve"> </v>
      </c>
      <c r="Q46" s="15" t="str">
        <f>IF(ISNUMBER(VLOOKUP($C46,'IMF COFOG FULL'!$B:$CM,82,FALSE)),(VLOOKUP($C46,'IMF COFOG FULL'!$B:$CM,82,FALSE)), " ")</f>
        <v xml:space="preserve"> </v>
      </c>
      <c r="R46" s="15" t="str">
        <f>IF(ISNUMBER(VLOOKUP($C46,'IMF COFOG FULL'!$B:$CM,83,FALSE)),(VLOOKUP($C46,'IMF COFOG FULL'!$B:$CM,83,FALSE)), " ")</f>
        <v xml:space="preserve"> </v>
      </c>
      <c r="S46" s="15" t="str">
        <f>IF(ISNUMBER(VLOOKUP($C46,'IMF COFOG FULL'!$B:$CM,84,FALSE)),(VLOOKUP($C46,'IMF COFOG FULL'!$B:$CM,84,FALSE)), " ")</f>
        <v xml:space="preserve"> </v>
      </c>
      <c r="T46" s="15" t="str">
        <f>IF(ISNUMBER(VLOOKUP($C46,'IMF COFOG FULL'!$B:$CM,85,FALSE)),(VLOOKUP($C46,'IMF COFOG FULL'!$B:$CM,85,FALSE)), " ")</f>
        <v xml:space="preserve"> </v>
      </c>
      <c r="U46" s="7" t="str">
        <f>IF(ISNUMBER(VLOOKUP($C46,'IMF COFOG FULL'!$B:$CM,79,FALSE)),(VLOOKUP($C46,'IMF COFOG FULL'!$B:$CM,86,FALSE)), " ")</f>
        <v xml:space="preserve"> </v>
      </c>
      <c r="V46" s="15" t="str">
        <f>IF(ISNUMBER(VLOOKUP($C46,'IMF COFOG FULL'!$B:$CM,79,FALSE)),(VLOOKUP($C46,'IMF COFOG FULL'!$B:$CM,87,FALSE)), " ")</f>
        <v xml:space="preserve"> </v>
      </c>
      <c r="W46" s="15" t="str">
        <f t="shared" si="16"/>
        <v xml:space="preserve"> </v>
      </c>
      <c r="X46" s="15" t="str">
        <f t="shared" si="17"/>
        <v xml:space="preserve"> </v>
      </c>
      <c r="Y46" s="15" t="str">
        <f t="shared" si="18"/>
        <v xml:space="preserve"> </v>
      </c>
      <c r="Z46" s="15" t="str">
        <f t="shared" si="19"/>
        <v xml:space="preserve"> </v>
      </c>
      <c r="AA46" s="15" t="str">
        <f t="shared" si="20"/>
        <v xml:space="preserve"> </v>
      </c>
      <c r="AB46" s="15" t="str">
        <f t="shared" si="21"/>
        <v xml:space="preserve"> </v>
      </c>
      <c r="AC46" s="15" t="str">
        <f t="shared" si="22"/>
        <v xml:space="preserve"> </v>
      </c>
      <c r="AD46" s="15">
        <f>Mauritania!D10</f>
        <v>1.8092165360000001</v>
      </c>
      <c r="AE46" s="15">
        <f>Mauritania!D12</f>
        <v>0.42386022899999998</v>
      </c>
      <c r="AF46" s="15">
        <f>Mauritania!D16</f>
        <v>9.0766299999999994E-2</v>
      </c>
      <c r="AG46" s="15">
        <f>IF(ISNUMBER(VLOOKUP(C46,'National budgets summary'!A:F,5, FALSE)),(VLOOKUP(C46,'National budgets summary'!A:F,5, FALSE)), " ")</f>
        <v>3.515788986</v>
      </c>
      <c r="AH46">
        <f>IF(ISNUMBER(VLOOKUP(C46,'National budgets summary'!A:F,5, FALSE)),(VLOOKUP(C46,'National budgets summary'!A:F,4, FALSE)), " ")</f>
        <v>2021</v>
      </c>
      <c r="AI46" s="15">
        <f t="shared" si="1"/>
        <v>5.3690922482514285</v>
      </c>
      <c r="AJ46" s="15">
        <f t="shared" si="8"/>
        <v>1.1942664250362618</v>
      </c>
      <c r="AK46" s="15">
        <f t="shared" si="9"/>
        <v>2.7629219266363281</v>
      </c>
      <c r="AL46" s="15">
        <f t="shared" si="10"/>
        <v>0.64729273540820376</v>
      </c>
      <c r="AM46" s="15">
        <f t="shared" si="11"/>
        <v>0.13861259582786106</v>
      </c>
      <c r="AN46" s="15">
        <f t="shared" si="2"/>
        <v>5.3690922482514285</v>
      </c>
      <c r="AO46" s="15">
        <f t="shared" si="3"/>
        <v>1.1942664250362618</v>
      </c>
      <c r="AP46">
        <f t="shared" si="4"/>
        <v>2021</v>
      </c>
      <c r="AQ46" t="str">
        <f t="shared" si="5"/>
        <v>National</v>
      </c>
      <c r="AR46" s="7">
        <f t="shared" si="12"/>
        <v>10.632002579172456</v>
      </c>
      <c r="AS46" s="7">
        <f t="shared" si="13"/>
        <v>2.4908478107877667</v>
      </c>
      <c r="AT46" s="7">
        <f t="shared" si="14"/>
        <v>0.53339526612747068</v>
      </c>
      <c r="AU46" s="7">
        <f t="shared" si="15"/>
        <v>20.660809153127325</v>
      </c>
    </row>
    <row r="47" spans="1:48">
      <c r="A47">
        <v>44</v>
      </c>
      <c r="B47" t="s">
        <v>136</v>
      </c>
      <c r="C47" t="s">
        <v>350</v>
      </c>
      <c r="D47" t="s">
        <v>496</v>
      </c>
      <c r="E47" t="s">
        <v>334</v>
      </c>
      <c r="F47" t="s">
        <v>619</v>
      </c>
      <c r="H47" t="str">
        <f>IF(ISNUMBER(VLOOKUP(C47,'OECD DAC'!B:C,2,FALSE)), "YES", " ")</f>
        <v xml:space="preserve"> </v>
      </c>
      <c r="I47">
        <v>1770</v>
      </c>
      <c r="J47">
        <v>2021</v>
      </c>
      <c r="K47" s="15">
        <f>IF(ISNUMBER(VLOOKUP(C47,'WEO GOV REV'!C:BL,58,FALSE)),(VLOOKUP(C47,'WEO GOV REV'!C:BL,58,FALSE)), " ")</f>
        <v>7052.76</v>
      </c>
      <c r="L47" s="15">
        <f>IF(ISNUMBER(VLOOKUP(C47,'WEO GOV REV'!C:BL,62,FALSE)),(VLOOKUP(C47,'WEO GOV REV'!C:BL,62,FALSE)), " ")</f>
        <v>20.936974090169503</v>
      </c>
      <c r="M47">
        <f>IF(ISNUMBER(VLOOKUP(C47,'WEO GOV REV'!C:BL,62,FALSE)),(VLOOKUP(C47,'WEO GOV REV'!C:BL,57,FALSE)), " ")</f>
        <v>2020</v>
      </c>
      <c r="N47" s="15">
        <f>IF(ISNUMBER(VLOOKUP($C47,'IMF COFOG FULL'!$B:$CM,79,FALSE)),(VLOOKUP($C47,'IMF COFOG FULL'!$B:$CM,79,FALSE)), " ")</f>
        <v>1.98529231681903</v>
      </c>
      <c r="O47" s="15">
        <f>IF(ISNUMBER(VLOOKUP($C47,'IMF COFOG FULL'!$B:$CM,80,FALSE)),(VLOOKUP($C47,'IMF COFOG FULL'!$B:$CM,80,FALSE)), " ")</f>
        <v>1.7023528645068</v>
      </c>
      <c r="P47" s="15">
        <f>IF(ISNUMBER(VLOOKUP($C47,'IMF COFOG FULL'!$B:$CM,81,FALSE)),(VLOOKUP($C47,'IMF COFOG FULL'!$B:$CM,81,FALSE)), " ")</f>
        <v>2.29129953496718E-3</v>
      </c>
      <c r="Q47" s="15">
        <f>IF(ISNUMBER(VLOOKUP($C47,'IMF COFOG FULL'!$B:$CM,82,FALSE)),(VLOOKUP($C47,'IMF COFOG FULL'!$B:$CM,82,FALSE)), " ")</f>
        <v>0</v>
      </c>
      <c r="R47" s="15">
        <f>IF(ISNUMBER(VLOOKUP($C47,'IMF COFOG FULL'!$B:$CM,83,FALSE)),(VLOOKUP($C47,'IMF COFOG FULL'!$B:$CM,83,FALSE)), " ")</f>
        <v>7.4675530262403996E-4</v>
      </c>
      <c r="S47" s="15">
        <f>IF(ISNUMBER(VLOOKUP($C47,'IMF COFOG FULL'!$B:$CM,84,FALSE)),(VLOOKUP($C47,'IMF COFOG FULL'!$B:$CM,84,FALSE)), " ")</f>
        <v>0.27990139747464199</v>
      </c>
      <c r="T47" s="15">
        <f>IF(ISNUMBER(VLOOKUP($C47,'IMF COFOG FULL'!$B:$CM,85,FALSE)),(VLOOKUP($C47,'IMF COFOG FULL'!$B:$CM,85,FALSE)), " ")</f>
        <v>0</v>
      </c>
      <c r="U47" s="7">
        <f>IF(ISNUMBER(VLOOKUP($C47,'IMF COFOG FULL'!$B:$CM,79,FALSE)),(VLOOKUP($C47,'IMF COFOG FULL'!$B:$CM,86,FALSE)), " ")</f>
        <v>2019</v>
      </c>
      <c r="V47" s="15" t="str">
        <f>IF(ISNUMBER(VLOOKUP($C47,'IMF COFOG FULL'!$B:$CM,79,FALSE)),(VLOOKUP($C47,'IMF COFOG FULL'!$B:$CM,87,FALSE)), " ")</f>
        <v>Budgetary central government</v>
      </c>
      <c r="W47" s="15">
        <f t="shared" si="16"/>
        <v>9.4822313304155088</v>
      </c>
      <c r="X47" s="15">
        <f t="shared" si="17"/>
        <v>8.1308447781195969</v>
      </c>
      <c r="Y47" s="15">
        <f t="shared" si="18"/>
        <v>1.0943795054143042E-2</v>
      </c>
      <c r="Z47" s="15">
        <f t="shared" si="19"/>
        <v>0</v>
      </c>
      <c r="AA47" s="15">
        <f t="shared" si="20"/>
        <v>3.5666820783556426E-3</v>
      </c>
      <c r="AB47" s="15">
        <f t="shared" si="21"/>
        <v>1.3368760751634285</v>
      </c>
      <c r="AC47" s="15">
        <f t="shared" si="22"/>
        <v>0</v>
      </c>
      <c r="AG47" s="15" t="str">
        <f>IF(ISNUMBER(VLOOKUP(C47,'National budgets summary'!A:F,5, FALSE)),(VLOOKUP(C47,'National budgets summary'!A:F,5, FALSE)), " ")</f>
        <v xml:space="preserve"> </v>
      </c>
      <c r="AH47" t="str">
        <f>IF(ISNUMBER(VLOOKUP(C47,'National budgets summary'!A:F,5, FALSE)),(VLOOKUP(C47,'National budgets summary'!A:F,4, FALSE)), " ")</f>
        <v xml:space="preserve"> </v>
      </c>
      <c r="AI47" s="15" t="str">
        <f t="shared" si="1"/>
        <v xml:space="preserve"> </v>
      </c>
      <c r="AJ47" s="15" t="str">
        <f t="shared" si="8"/>
        <v xml:space="preserve"> </v>
      </c>
      <c r="AK47" s="15">
        <f t="shared" si="9"/>
        <v>8.1308447781195969</v>
      </c>
      <c r="AL47" s="15">
        <f t="shared" si="10"/>
        <v>0</v>
      </c>
      <c r="AM47" s="15">
        <f t="shared" si="11"/>
        <v>3.5666820783556426E-3</v>
      </c>
      <c r="AN47" s="15">
        <f t="shared" si="2"/>
        <v>9.4822313304155088</v>
      </c>
      <c r="AO47" s="15">
        <f t="shared" si="3"/>
        <v>1.98529231681903</v>
      </c>
      <c r="AP47">
        <f t="shared" si="4"/>
        <v>2019</v>
      </c>
      <c r="AQ47" t="str">
        <f t="shared" si="5"/>
        <v>IMF COFOG</v>
      </c>
      <c r="AR47" s="7">
        <f t="shared" si="12"/>
        <v>30.131645701770363</v>
      </c>
      <c r="AS47" s="7">
        <f t="shared" si="13"/>
        <v>0</v>
      </c>
      <c r="AT47" s="7">
        <f t="shared" si="14"/>
        <v>1.3217568856445509E-2</v>
      </c>
      <c r="AU47" s="7">
        <f t="shared" si="15"/>
        <v>35.139674007696833</v>
      </c>
    </row>
    <row r="48" spans="1:48">
      <c r="A48">
        <v>45</v>
      </c>
      <c r="B48" t="s">
        <v>137</v>
      </c>
      <c r="C48" t="s">
        <v>351</v>
      </c>
      <c r="D48" t="s">
        <v>493</v>
      </c>
      <c r="E48" t="s">
        <v>334</v>
      </c>
      <c r="F48" t="s">
        <v>617</v>
      </c>
      <c r="H48" t="str">
        <f>IF(ISNUMBER(VLOOKUP(C48,'OECD DAC'!B:C,2,FALSE)), "YES", " ")</f>
        <v xml:space="preserve"> </v>
      </c>
      <c r="I48">
        <v>1940</v>
      </c>
      <c r="J48">
        <v>2021</v>
      </c>
      <c r="K48" s="15">
        <f>IF(ISNUMBER(VLOOKUP(C48,'WEO GOV REV'!C:BL,58,FALSE)),(VLOOKUP(C48,'WEO GOV REV'!C:BL,58,FALSE)), " ")</f>
        <v>0.879</v>
      </c>
      <c r="L48" s="15">
        <f>IF(ISNUMBER(VLOOKUP(C48,'WEO GOV REV'!C:BL,62,FALSE)),(VLOOKUP(C48,'WEO GOV REV'!C:BL,62,FALSE)), " ")</f>
        <v>51.584507042253527</v>
      </c>
      <c r="M48">
        <f>IF(ISNUMBER(VLOOKUP(C48,'WEO GOV REV'!C:BL,62,FALSE)),(VLOOKUP(C48,'WEO GOV REV'!C:BL,57,FALSE)), " ")</f>
        <v>2019</v>
      </c>
      <c r="N48" s="15" t="str">
        <f>IF(ISNUMBER(VLOOKUP($C48,'IMF COFOG FULL'!$B:$CM,79,FALSE)),(VLOOKUP($C48,'IMF COFOG FULL'!$B:$CM,79,FALSE)), " ")</f>
        <v xml:space="preserve"> </v>
      </c>
      <c r="O48" s="15" t="str">
        <f>IF(ISNUMBER(VLOOKUP($C48,'IMF COFOG FULL'!$B:$CM,80,FALSE)),(VLOOKUP($C48,'IMF COFOG FULL'!$B:$CM,80,FALSE)), " ")</f>
        <v xml:space="preserve"> </v>
      </c>
      <c r="P48" s="15" t="str">
        <f>IF(ISNUMBER(VLOOKUP($C48,'IMF COFOG FULL'!$B:$CM,81,FALSE)),(VLOOKUP($C48,'IMF COFOG FULL'!$B:$CM,81,FALSE)), " ")</f>
        <v xml:space="preserve"> </v>
      </c>
      <c r="Q48" s="15" t="str">
        <f>IF(ISNUMBER(VLOOKUP($C48,'IMF COFOG FULL'!$B:$CM,82,FALSE)),(VLOOKUP($C48,'IMF COFOG FULL'!$B:$CM,82,FALSE)), " ")</f>
        <v xml:space="preserve"> </v>
      </c>
      <c r="R48" s="15" t="str">
        <f>IF(ISNUMBER(VLOOKUP($C48,'IMF COFOG FULL'!$B:$CM,83,FALSE)),(VLOOKUP($C48,'IMF COFOG FULL'!$B:$CM,83,FALSE)), " ")</f>
        <v xml:space="preserve"> </v>
      </c>
      <c r="S48" s="15" t="str">
        <f>IF(ISNUMBER(VLOOKUP($C48,'IMF COFOG FULL'!$B:$CM,84,FALSE)),(VLOOKUP($C48,'IMF COFOG FULL'!$B:$CM,84,FALSE)), " ")</f>
        <v xml:space="preserve"> </v>
      </c>
      <c r="T48" s="15" t="str">
        <f>IF(ISNUMBER(VLOOKUP($C48,'IMF COFOG FULL'!$B:$CM,85,FALSE)),(VLOOKUP($C48,'IMF COFOG FULL'!$B:$CM,85,FALSE)), " ")</f>
        <v xml:space="preserve"> </v>
      </c>
      <c r="U48" s="7" t="str">
        <f>IF(ISNUMBER(VLOOKUP($C48,'IMF COFOG FULL'!$B:$CM,79,FALSE)),(VLOOKUP($C48,'IMF COFOG FULL'!$B:$CM,86,FALSE)), " ")</f>
        <v xml:space="preserve"> </v>
      </c>
      <c r="V48" s="15" t="str">
        <f>IF(ISNUMBER(VLOOKUP($C48,'IMF COFOG FULL'!$B:$CM,79,FALSE)),(VLOOKUP($C48,'IMF COFOG FULL'!$B:$CM,87,FALSE)), " ")</f>
        <v xml:space="preserve"> </v>
      </c>
      <c r="W48" s="15" t="str">
        <f t="shared" si="16"/>
        <v xml:space="preserve"> </v>
      </c>
      <c r="X48" s="15" t="str">
        <f t="shared" si="17"/>
        <v xml:space="preserve"> </v>
      </c>
      <c r="Y48" s="15" t="str">
        <f t="shared" si="18"/>
        <v xml:space="preserve"> </v>
      </c>
      <c r="Z48" s="15" t="str">
        <f t="shared" si="19"/>
        <v xml:space="preserve"> </v>
      </c>
      <c r="AA48" s="15" t="str">
        <f t="shared" si="20"/>
        <v xml:space="preserve"> </v>
      </c>
      <c r="AB48" s="15" t="str">
        <f t="shared" si="21"/>
        <v xml:space="preserve"> </v>
      </c>
      <c r="AC48" s="15" t="str">
        <f t="shared" si="22"/>
        <v xml:space="preserve"> </v>
      </c>
      <c r="AG48" s="15">
        <f>IF(ISNUMBER(VLOOKUP(C48,'National budgets summary'!A:F,5, FALSE)),(VLOOKUP(C48,'National budgets summary'!A:F,5, FALSE)), " ")</f>
        <v>0.117926</v>
      </c>
      <c r="AH48">
        <f>IF(ISNUMBER(VLOOKUP(C48,'National budgets summary'!A:F,5, FALSE)),(VLOOKUP(C48,'National budgets summary'!A:F,4, FALSE)), " ")</f>
        <v>2021</v>
      </c>
      <c r="AI48" s="15">
        <f t="shared" si="1"/>
        <v>13.415927189988624</v>
      </c>
      <c r="AJ48" s="15">
        <f t="shared" si="8"/>
        <v>6.9205399061032873</v>
      </c>
      <c r="AK48" s="15" t="str">
        <f t="shared" si="9"/>
        <v/>
      </c>
      <c r="AL48" s="15" t="str">
        <f t="shared" si="10"/>
        <v/>
      </c>
      <c r="AM48" s="15" t="str">
        <f t="shared" si="11"/>
        <v/>
      </c>
      <c r="AN48" s="15">
        <f t="shared" si="2"/>
        <v>13.415927189988624</v>
      </c>
      <c r="AO48" s="15">
        <f t="shared" si="3"/>
        <v>6.9205399061032873</v>
      </c>
      <c r="AP48">
        <f t="shared" si="4"/>
        <v>2021</v>
      </c>
      <c r="AQ48" t="str">
        <f t="shared" si="5"/>
        <v>National</v>
      </c>
      <c r="AR48" s="7" t="str">
        <f t="shared" si="12"/>
        <v xml:space="preserve"> </v>
      </c>
      <c r="AS48" s="7" t="str">
        <f t="shared" si="13"/>
        <v xml:space="preserve"> </v>
      </c>
      <c r="AT48" s="7" t="str">
        <f t="shared" si="14"/>
        <v xml:space="preserve"> </v>
      </c>
      <c r="AU48" s="7">
        <f t="shared" si="15"/>
        <v>134.25847417840379</v>
      </c>
    </row>
    <row r="49" spans="1:48">
      <c r="A49">
        <v>46</v>
      </c>
      <c r="B49" t="s">
        <v>138</v>
      </c>
      <c r="C49" t="s">
        <v>352</v>
      </c>
      <c r="D49" t="s">
        <v>485</v>
      </c>
      <c r="E49" t="s">
        <v>334</v>
      </c>
      <c r="F49" t="s">
        <v>617</v>
      </c>
      <c r="H49" t="str">
        <f>IF(ISNUMBER(VLOOKUP(C49,'OECD DAC'!B:C,2,FALSE)), "YES", " ")</f>
        <v xml:space="preserve"> </v>
      </c>
      <c r="I49">
        <v>1960</v>
      </c>
      <c r="J49">
        <v>2021</v>
      </c>
      <c r="K49" s="15">
        <f>IF(ISNUMBER(VLOOKUP(C49,'WEO GOV REV'!C:BL,58,FALSE)),(VLOOKUP(C49,'WEO GOV REV'!C:BL,58,FALSE)), " ")</f>
        <v>190871.59</v>
      </c>
      <c r="L49" s="15">
        <f>IF(ISNUMBER(VLOOKUP(C49,'WEO GOV REV'!C:BL,62,FALSE)),(VLOOKUP(C49,'WEO GOV REV'!C:BL,62,FALSE)), " ")</f>
        <v>25.983499315330221</v>
      </c>
      <c r="M49">
        <f>IF(ISNUMBER(VLOOKUP(C49,'WEO GOV REV'!C:BL,62,FALSE)),(VLOOKUP(C49,'WEO GOV REV'!C:BL,57,FALSE)), " ")</f>
        <v>2021</v>
      </c>
      <c r="N49" s="15" t="str">
        <f>IF(ISNUMBER(VLOOKUP($C49,'IMF COFOG FULL'!$B:$CM,79,FALSE)),(VLOOKUP($C49,'IMF COFOG FULL'!$B:$CM,79,FALSE)), " ")</f>
        <v xml:space="preserve"> </v>
      </c>
      <c r="O49" s="15" t="str">
        <f>IF(ISNUMBER(VLOOKUP($C49,'IMF COFOG FULL'!$B:$CM,80,FALSE)),(VLOOKUP($C49,'IMF COFOG FULL'!$B:$CM,80,FALSE)), " ")</f>
        <v xml:space="preserve"> </v>
      </c>
      <c r="P49" s="15" t="str">
        <f>IF(ISNUMBER(VLOOKUP($C49,'IMF COFOG FULL'!$B:$CM,81,FALSE)),(VLOOKUP($C49,'IMF COFOG FULL'!$B:$CM,81,FALSE)), " ")</f>
        <v xml:space="preserve"> </v>
      </c>
      <c r="Q49" s="15" t="str">
        <f>IF(ISNUMBER(VLOOKUP($C49,'IMF COFOG FULL'!$B:$CM,82,FALSE)),(VLOOKUP($C49,'IMF COFOG FULL'!$B:$CM,82,FALSE)), " ")</f>
        <v xml:space="preserve"> </v>
      </c>
      <c r="R49" s="15" t="str">
        <f>IF(ISNUMBER(VLOOKUP($C49,'IMF COFOG FULL'!$B:$CM,83,FALSE)),(VLOOKUP($C49,'IMF COFOG FULL'!$B:$CM,83,FALSE)), " ")</f>
        <v xml:space="preserve"> </v>
      </c>
      <c r="S49" s="15" t="str">
        <f>IF(ISNUMBER(VLOOKUP($C49,'IMF COFOG FULL'!$B:$CM,84,FALSE)),(VLOOKUP($C49,'IMF COFOG FULL'!$B:$CM,84,FALSE)), " ")</f>
        <v xml:space="preserve"> </v>
      </c>
      <c r="T49" s="15" t="str">
        <f>IF(ISNUMBER(VLOOKUP($C49,'IMF COFOG FULL'!$B:$CM,85,FALSE)),(VLOOKUP($C49,'IMF COFOG FULL'!$B:$CM,85,FALSE)), " ")</f>
        <v xml:space="preserve"> </v>
      </c>
      <c r="U49" s="7" t="str">
        <f>IF(ISNUMBER(VLOOKUP($C49,'IMF COFOG FULL'!$B:$CM,79,FALSE)),(VLOOKUP($C49,'IMF COFOG FULL'!$B:$CM,86,FALSE)), " ")</f>
        <v xml:space="preserve"> </v>
      </c>
      <c r="V49" s="15" t="str">
        <f>IF(ISNUMBER(VLOOKUP($C49,'IMF COFOG FULL'!$B:$CM,79,FALSE)),(VLOOKUP($C49,'IMF COFOG FULL'!$B:$CM,87,FALSE)), " ")</f>
        <v xml:space="preserve"> </v>
      </c>
      <c r="W49" s="15" t="str">
        <f t="shared" si="16"/>
        <v xml:space="preserve"> </v>
      </c>
      <c r="X49" s="15" t="str">
        <f t="shared" si="17"/>
        <v xml:space="preserve"> </v>
      </c>
      <c r="Y49" s="15" t="str">
        <f t="shared" si="18"/>
        <v xml:space="preserve"> </v>
      </c>
      <c r="Z49" s="15" t="str">
        <f t="shared" si="19"/>
        <v xml:space="preserve"> </v>
      </c>
      <c r="AA49" s="15" t="str">
        <f t="shared" si="20"/>
        <v xml:space="preserve"> </v>
      </c>
      <c r="AB49" s="15" t="str">
        <f t="shared" si="21"/>
        <v xml:space="preserve"> </v>
      </c>
      <c r="AC49" s="15" t="str">
        <f t="shared" si="22"/>
        <v xml:space="preserve"> </v>
      </c>
      <c r="AG49" s="15">
        <f>IF(ISNUMBER(VLOOKUP(C49,'National budgets summary'!A:F,5, FALSE)),(VLOOKUP(C49,'National budgets summary'!A:F,5, FALSE)), " ")</f>
        <v>581.80000000000007</v>
      </c>
      <c r="AH49">
        <f>IF(ISNUMBER(VLOOKUP(C49,'National budgets summary'!A:F,5, FALSE)),(VLOOKUP(C49,'National budgets summary'!A:F,4, FALSE)), " ")</f>
        <v>2020</v>
      </c>
      <c r="AI49" s="15">
        <f t="shared" si="1"/>
        <v>0.30481225623991504</v>
      </c>
      <c r="AJ49" s="15">
        <f t="shared" si="8"/>
        <v>7.9200890513140929E-2</v>
      </c>
      <c r="AK49" s="15" t="str">
        <f t="shared" si="9"/>
        <v/>
      </c>
      <c r="AL49" s="15">
        <f>IF(ISNUMBER(W49),W49,IF(ISNUMBER(AI49),AI49, " "))</f>
        <v>0.30481225623991504</v>
      </c>
      <c r="AM49" s="15" t="str">
        <f t="shared" si="11"/>
        <v/>
      </c>
      <c r="AN49"/>
      <c r="AP49">
        <f t="shared" si="4"/>
        <v>2020</v>
      </c>
      <c r="AQ49" t="str">
        <f t="shared" si="5"/>
        <v>National</v>
      </c>
      <c r="AR49" s="7" t="str">
        <f t="shared" si="12"/>
        <v xml:space="preserve"> </v>
      </c>
      <c r="AS49" s="7">
        <f t="shared" si="13"/>
        <v>1.5523374540575621</v>
      </c>
      <c r="AT49" s="7" t="str">
        <f t="shared" si="14"/>
        <v xml:space="preserve"> </v>
      </c>
      <c r="AU49" s="7" t="str">
        <f t="shared" si="15"/>
        <v xml:space="preserve"> </v>
      </c>
      <c r="AV49" t="s">
        <v>618</v>
      </c>
    </row>
    <row r="50" spans="1:48">
      <c r="A50">
        <v>47</v>
      </c>
      <c r="B50" t="s">
        <v>139</v>
      </c>
      <c r="C50" t="s">
        <v>353</v>
      </c>
      <c r="D50" t="s">
        <v>496</v>
      </c>
      <c r="E50" t="s">
        <v>334</v>
      </c>
      <c r="F50" t="s">
        <v>617</v>
      </c>
      <c r="H50" t="str">
        <f>IF(ISNUMBER(VLOOKUP(C50,'OECD DAC'!B:C,2,FALSE)), "YES", " ")</f>
        <v xml:space="preserve"> </v>
      </c>
      <c r="I50">
        <v>2010</v>
      </c>
      <c r="J50">
        <v>2021</v>
      </c>
      <c r="K50" s="15">
        <f>IF(ISNUMBER(VLOOKUP(C50,'WEO GOV REV'!C:BL,58,FALSE)),(VLOOKUP(C50,'WEO GOV REV'!C:BL,58,FALSE)), " ")</f>
        <v>1785.93</v>
      </c>
      <c r="L50" s="15">
        <f>IF(ISNUMBER(VLOOKUP(C50,'WEO GOV REV'!C:BL,62,FALSE)),(VLOOKUP(C50,'WEO GOV REV'!C:BL,62,FALSE)), " ")</f>
        <v>16.608682794273967</v>
      </c>
      <c r="M50">
        <f>IF(ISNUMBER(VLOOKUP(C50,'WEO GOV REV'!C:BL,62,FALSE)),(VLOOKUP(C50,'WEO GOV REV'!C:BL,57,FALSE)), " ")</f>
        <v>2020</v>
      </c>
      <c r="N50" s="15">
        <f>IF(ISNUMBER(VLOOKUP($C50,'IMF COFOG FULL'!$B:$CM,79,FALSE)),(VLOOKUP($C50,'IMF COFOG FULL'!$B:$CM,79,FALSE)), " ")</f>
        <v>1.6414189500922001</v>
      </c>
      <c r="O50" s="15">
        <f>IF(ISNUMBER(VLOOKUP($C50,'IMF COFOG FULL'!$B:$CM,80,FALSE)),(VLOOKUP($C50,'IMF COFOG FULL'!$B:$CM,80,FALSE)), " ")</f>
        <v>1.0680024008746001</v>
      </c>
      <c r="P50" s="15">
        <f>IF(ISNUMBER(VLOOKUP($C50,'IMF COFOG FULL'!$B:$CM,81,FALSE)),(VLOOKUP($C50,'IMF COFOG FULL'!$B:$CM,81,FALSE)), " ")</f>
        <v>2.3875363330031099E-3</v>
      </c>
      <c r="Q50" s="15">
        <f>IF(ISNUMBER(VLOOKUP($C50,'IMF COFOG FULL'!$B:$CM,82,FALSE)),(VLOOKUP($C50,'IMF COFOG FULL'!$B:$CM,82,FALSE)), " ")</f>
        <v>0.276506480702916</v>
      </c>
      <c r="R50" s="15">
        <f>IF(ISNUMBER(VLOOKUP($C50,'IMF COFOG FULL'!$B:$CM,83,FALSE)),(VLOOKUP($C50,'IMF COFOG FULL'!$B:$CM,83,FALSE)), " ")</f>
        <v>0.28576770317443601</v>
      </c>
      <c r="S50" s="15">
        <f>IF(ISNUMBER(VLOOKUP($C50,'IMF COFOG FULL'!$B:$CM,84,FALSE)),(VLOOKUP($C50,'IMF COFOG FULL'!$B:$CM,84,FALSE)), " ")</f>
        <v>0</v>
      </c>
      <c r="T50" s="15">
        <f>IF(ISNUMBER(VLOOKUP($C50,'IMF COFOG FULL'!$B:$CM,85,FALSE)),(VLOOKUP($C50,'IMF COFOG FULL'!$B:$CM,85,FALSE)), " ")</f>
        <v>8.7548290072448302E-3</v>
      </c>
      <c r="U50" s="7">
        <f>IF(ISNUMBER(VLOOKUP($C50,'IMF COFOG FULL'!$B:$CM,79,FALSE)),(VLOOKUP($C50,'IMF COFOG FULL'!$B:$CM,86,FALSE)), " ")</f>
        <v>2020</v>
      </c>
      <c r="V50" s="15" t="str">
        <f>IF(ISNUMBER(VLOOKUP($C50,'IMF COFOG FULL'!$B:$CM,79,FALSE)),(VLOOKUP($C50,'IMF COFOG FULL'!$B:$CM,87,FALSE)), " ")</f>
        <v>General government</v>
      </c>
      <c r="W50" s="15">
        <f t="shared" si="16"/>
        <v>9.8828966175336799</v>
      </c>
      <c r="X50" s="15">
        <f t="shared" si="17"/>
        <v>6.4303859258652718</v>
      </c>
      <c r="Y50" s="15">
        <f t="shared" si="18"/>
        <v>1.437522988774426E-2</v>
      </c>
      <c r="Z50" s="15">
        <f t="shared" si="19"/>
        <v>1.6648308847119697</v>
      </c>
      <c r="AA50" s="15">
        <f t="shared" si="20"/>
        <v>1.7205922150127264</v>
      </c>
      <c r="AB50" s="15">
        <f t="shared" si="21"/>
        <v>0</v>
      </c>
      <c r="AC50" s="15">
        <f t="shared" si="22"/>
        <v>5.2712362055967243E-2</v>
      </c>
      <c r="AD50" s="15">
        <f>Kenya!D45</f>
        <v>135.19999999999999</v>
      </c>
      <c r="AE50" s="15">
        <f>Kenya!D34+Kenya!D23</f>
        <v>20.65</v>
      </c>
      <c r="AF50" s="15">
        <f>Kenya!D12</f>
        <v>31.6</v>
      </c>
      <c r="AG50" s="15">
        <f>IF(ISNUMBER(VLOOKUP(C50,'National budgets summary'!A:F,5, FALSE)),(VLOOKUP(C50,'National budgets summary'!A:F,5, FALSE)), " ")</f>
        <v>188.07419999999999</v>
      </c>
      <c r="AH50" t="str">
        <f>IF(ISNUMBER(VLOOKUP(C50,'National budgets summary'!A:F,5, FALSE)),(VLOOKUP(C50,'National budgets summary'!A:F,4, FALSE)), " ")</f>
        <v>FY 19/20</v>
      </c>
      <c r="AI50" s="15">
        <f t="shared" si="1"/>
        <v>10.530883069325224</v>
      </c>
      <c r="AJ50" s="15">
        <f t="shared" si="8"/>
        <v>1.7490409644201288</v>
      </c>
      <c r="AK50" s="15">
        <f t="shared" si="9"/>
        <v>6.4303859258652718</v>
      </c>
      <c r="AL50" s="15">
        <f t="shared" si="10"/>
        <v>1.6648308847119697</v>
      </c>
      <c r="AM50" s="15">
        <f t="shared" si="11"/>
        <v>1.7205922150127264</v>
      </c>
      <c r="AN50" s="15">
        <f t="shared" si="2"/>
        <v>9.8828966175336799</v>
      </c>
      <c r="AO50" s="15">
        <f t="shared" si="3"/>
        <v>1.6414189500922001</v>
      </c>
      <c r="AP50">
        <f t="shared" si="4"/>
        <v>2020</v>
      </c>
      <c r="AQ50" t="str">
        <f t="shared" si="5"/>
        <v>IMF COFOG</v>
      </c>
      <c r="AR50" s="7">
        <f t="shared" si="12"/>
        <v>21.466848257579464</v>
      </c>
      <c r="AS50" s="7">
        <f t="shared" si="13"/>
        <v>5.5577802621286114</v>
      </c>
      <c r="AT50" s="7">
        <f t="shared" si="14"/>
        <v>5.7439308338061652</v>
      </c>
      <c r="AU50" s="7">
        <f t="shared" si="15"/>
        <v>32.992520896853229</v>
      </c>
    </row>
    <row r="51" spans="1:48">
      <c r="A51">
        <v>48</v>
      </c>
      <c r="B51" t="s">
        <v>140</v>
      </c>
      <c r="C51" t="s">
        <v>354</v>
      </c>
      <c r="D51" t="s">
        <v>497</v>
      </c>
      <c r="E51" t="s">
        <v>334</v>
      </c>
      <c r="F51" t="s">
        <v>615</v>
      </c>
      <c r="G51" t="s">
        <v>616</v>
      </c>
      <c r="H51" t="str">
        <f>IF(ISNUMBER(VLOOKUP(C51,'OECD DAC'!B:C,2,FALSE)), "YES", " ")</f>
        <v xml:space="preserve"> </v>
      </c>
      <c r="I51">
        <v>2010</v>
      </c>
      <c r="J51">
        <v>2021</v>
      </c>
      <c r="K51" s="15">
        <f>IF(ISNUMBER(VLOOKUP(C51,'WEO GOV REV'!C:BL,58,FALSE)),(VLOOKUP(C51,'WEO GOV REV'!C:BL,58,FALSE)), " ")</f>
        <v>116.38800000000001</v>
      </c>
      <c r="L51" s="15">
        <f>IF(ISNUMBER(VLOOKUP(C51,'WEO GOV REV'!C:BL,62,FALSE)),(VLOOKUP(C51,'WEO GOV REV'!C:BL,62,FALSE)), " ")</f>
        <v>26.851663867407392</v>
      </c>
      <c r="M51">
        <f>IF(ISNUMBER(VLOOKUP(C51,'WEO GOV REV'!C:BL,62,FALSE)),(VLOOKUP(C51,'WEO GOV REV'!C:BL,57,FALSE)), " ")</f>
        <v>2020</v>
      </c>
      <c r="N51" s="15">
        <f>IF(ISNUMBER(VLOOKUP($C51,'IMF COFOG FULL'!$B:$CM,79,FALSE)),(VLOOKUP($C51,'IMF COFOG FULL'!$B:$CM,79,FALSE)), " ")</f>
        <v>2.0106699061190101</v>
      </c>
      <c r="O51" s="15" t="str">
        <f>IF(ISNUMBER(VLOOKUP($C51,'IMF COFOG FULL'!$B:$CM,80,FALSE)),(VLOOKUP($C51,'IMF COFOG FULL'!$B:$CM,80,FALSE)), " ")</f>
        <v xml:space="preserve"> </v>
      </c>
      <c r="P51" s="15" t="str">
        <f>IF(ISNUMBER(VLOOKUP($C51,'IMF COFOG FULL'!$B:$CM,81,FALSE)),(VLOOKUP($C51,'IMF COFOG FULL'!$B:$CM,81,FALSE)), " ")</f>
        <v xml:space="preserve"> </v>
      </c>
      <c r="Q51" s="15" t="str">
        <f>IF(ISNUMBER(VLOOKUP($C51,'IMF COFOG FULL'!$B:$CM,82,FALSE)),(VLOOKUP($C51,'IMF COFOG FULL'!$B:$CM,82,FALSE)), " ")</f>
        <v xml:space="preserve"> </v>
      </c>
      <c r="R51" s="15" t="str">
        <f>IF(ISNUMBER(VLOOKUP($C51,'IMF COFOG FULL'!$B:$CM,83,FALSE)),(VLOOKUP($C51,'IMF COFOG FULL'!$B:$CM,83,FALSE)), " ")</f>
        <v xml:space="preserve"> </v>
      </c>
      <c r="S51" s="15" t="str">
        <f>IF(ISNUMBER(VLOOKUP($C51,'IMF COFOG FULL'!$B:$CM,84,FALSE)),(VLOOKUP($C51,'IMF COFOG FULL'!$B:$CM,84,FALSE)), " ")</f>
        <v xml:space="preserve"> </v>
      </c>
      <c r="T51" s="15" t="str">
        <f>IF(ISNUMBER(VLOOKUP($C51,'IMF COFOG FULL'!$B:$CM,85,FALSE)),(VLOOKUP($C51,'IMF COFOG FULL'!$B:$CM,85,FALSE)), " ")</f>
        <v xml:space="preserve"> </v>
      </c>
      <c r="U51" s="7">
        <f>IF(ISNUMBER(VLOOKUP($C51,'IMF COFOG FULL'!$B:$CM,79,FALSE)),(VLOOKUP($C51,'IMF COFOG FULL'!$B:$CM,86,FALSE)), " ")</f>
        <v>2020</v>
      </c>
      <c r="V51" s="15" t="str">
        <f>IF(ISNUMBER(VLOOKUP($C51,'IMF COFOG FULL'!$B:$CM,79,FALSE)),(VLOOKUP($C51,'IMF COFOG FULL'!$B:$CM,87,FALSE)), " ")</f>
        <v>Budgetary central government</v>
      </c>
      <c r="W51" s="15">
        <f t="shared" si="16"/>
        <v>7.4880644866092094</v>
      </c>
      <c r="X51" s="15" t="str">
        <f t="shared" si="17"/>
        <v xml:space="preserve"> </v>
      </c>
      <c r="Y51" s="15" t="str">
        <f t="shared" si="18"/>
        <v xml:space="preserve"> </v>
      </c>
      <c r="Z51" s="15" t="str">
        <f t="shared" si="19"/>
        <v xml:space="preserve"> </v>
      </c>
      <c r="AA51" s="15" t="str">
        <f t="shared" si="20"/>
        <v xml:space="preserve"> </v>
      </c>
      <c r="AB51" s="15" t="str">
        <f t="shared" si="21"/>
        <v xml:space="preserve"> </v>
      </c>
      <c r="AC51" s="15" t="str">
        <f t="shared" si="22"/>
        <v xml:space="preserve"> </v>
      </c>
      <c r="AG51" s="15" t="str">
        <f>IF(ISNUMBER(VLOOKUP(C51,'National budgets summary'!A:F,5, FALSE)),(VLOOKUP(C51,'National budgets summary'!A:F,5, FALSE)), " ")</f>
        <v xml:space="preserve"> </v>
      </c>
      <c r="AH51" t="str">
        <f>IF(ISNUMBER(VLOOKUP(C51,'National budgets summary'!A:F,5, FALSE)),(VLOOKUP(C51,'National budgets summary'!A:F,4, FALSE)), " ")</f>
        <v xml:space="preserve"> </v>
      </c>
      <c r="AI51" s="15" t="str">
        <f t="shared" si="1"/>
        <v xml:space="preserve"> </v>
      </c>
      <c r="AJ51" s="15" t="str">
        <f t="shared" si="8"/>
        <v xml:space="preserve"> </v>
      </c>
      <c r="AK51" s="15" t="str">
        <f t="shared" si="9"/>
        <v/>
      </c>
      <c r="AL51" s="15" t="str">
        <f t="shared" si="10"/>
        <v/>
      </c>
      <c r="AM51" s="15" t="str">
        <f t="shared" si="11"/>
        <v/>
      </c>
      <c r="AN51" s="15">
        <f t="shared" si="2"/>
        <v>7.4880644866092094</v>
      </c>
      <c r="AO51" s="15">
        <f t="shared" si="3"/>
        <v>2.0106699061190101</v>
      </c>
      <c r="AP51">
        <f t="shared" si="4"/>
        <v>2020</v>
      </c>
      <c r="AQ51" t="str">
        <f t="shared" si="5"/>
        <v>IMF COFOG</v>
      </c>
      <c r="AR51" s="7" t="str">
        <f t="shared" si="12"/>
        <v xml:space="preserve"> </v>
      </c>
      <c r="AS51" s="7" t="str">
        <f t="shared" si="13"/>
        <v xml:space="preserve"> </v>
      </c>
      <c r="AT51" s="7" t="str">
        <f t="shared" si="14"/>
        <v xml:space="preserve"> </v>
      </c>
      <c r="AU51" s="7">
        <f t="shared" si="15"/>
        <v>40.414465112992104</v>
      </c>
    </row>
    <row r="52" spans="1:48">
      <c r="A52">
        <v>49</v>
      </c>
      <c r="B52" t="s">
        <v>141</v>
      </c>
      <c r="C52" t="s">
        <v>355</v>
      </c>
      <c r="D52" t="s">
        <v>496</v>
      </c>
      <c r="E52" t="s">
        <v>334</v>
      </c>
      <c r="F52" t="s">
        <v>617</v>
      </c>
      <c r="H52" t="str">
        <f>IF(ISNUMBER(VLOOKUP(C52,'OECD DAC'!B:C,2,FALSE)), "YES", " ")</f>
        <v xml:space="preserve"> </v>
      </c>
      <c r="I52">
        <v>2100</v>
      </c>
      <c r="J52">
        <v>2021</v>
      </c>
      <c r="K52" s="15">
        <f>IF(ISNUMBER(VLOOKUP(C52,'WEO GOV REV'!C:BL,58,FALSE)),(VLOOKUP(C52,'WEO GOV REV'!C:BL,58,FALSE)), " ")</f>
        <v>9750.7999999999993</v>
      </c>
      <c r="L52" s="15">
        <f>IF(ISNUMBER(VLOOKUP(C52,'WEO GOV REV'!C:BL,62,FALSE)),(VLOOKUP(C52,'WEO GOV REV'!C:BL,62,FALSE)), " ")</f>
        <v>6.3213311799783618</v>
      </c>
      <c r="M52">
        <f>IF(ISNUMBER(VLOOKUP(C52,'WEO GOV REV'!C:BL,62,FALSE)),(VLOOKUP(C52,'WEO GOV REV'!C:BL,57,FALSE)), " ")</f>
        <v>2020</v>
      </c>
      <c r="N52" s="15" t="str">
        <f>IF(ISNUMBER(VLOOKUP($C52,'IMF COFOG FULL'!$B:$CM,79,FALSE)),(VLOOKUP($C52,'IMF COFOG FULL'!$B:$CM,79,FALSE)), " ")</f>
        <v xml:space="preserve"> </v>
      </c>
      <c r="O52" s="15" t="str">
        <f>IF(ISNUMBER(VLOOKUP($C52,'IMF COFOG FULL'!$B:$CM,80,FALSE)),(VLOOKUP($C52,'IMF COFOG FULL'!$B:$CM,80,FALSE)), " ")</f>
        <v xml:space="preserve"> </v>
      </c>
      <c r="P52" s="15" t="str">
        <f>IF(ISNUMBER(VLOOKUP($C52,'IMF COFOG FULL'!$B:$CM,81,FALSE)),(VLOOKUP($C52,'IMF COFOG FULL'!$B:$CM,81,FALSE)), " ")</f>
        <v xml:space="preserve"> </v>
      </c>
      <c r="Q52" s="15" t="str">
        <f>IF(ISNUMBER(VLOOKUP($C52,'IMF COFOG FULL'!$B:$CM,82,FALSE)),(VLOOKUP($C52,'IMF COFOG FULL'!$B:$CM,82,FALSE)), " ")</f>
        <v xml:space="preserve"> </v>
      </c>
      <c r="R52" s="15" t="str">
        <f>IF(ISNUMBER(VLOOKUP($C52,'IMF COFOG FULL'!$B:$CM,83,FALSE)),(VLOOKUP($C52,'IMF COFOG FULL'!$B:$CM,83,FALSE)), " ")</f>
        <v xml:space="preserve"> </v>
      </c>
      <c r="S52" s="15" t="str">
        <f>IF(ISNUMBER(VLOOKUP($C52,'IMF COFOG FULL'!$B:$CM,84,FALSE)),(VLOOKUP($C52,'IMF COFOG FULL'!$B:$CM,84,FALSE)), " ")</f>
        <v xml:space="preserve"> </v>
      </c>
      <c r="T52" s="15" t="str">
        <f>IF(ISNUMBER(VLOOKUP($C52,'IMF COFOG FULL'!$B:$CM,85,FALSE)),(VLOOKUP($C52,'IMF COFOG FULL'!$B:$CM,85,FALSE)), " ")</f>
        <v xml:space="preserve"> </v>
      </c>
      <c r="U52" s="7" t="str">
        <f>IF(ISNUMBER(VLOOKUP($C52,'IMF COFOG FULL'!$B:$CM,79,FALSE)),(VLOOKUP($C52,'IMF COFOG FULL'!$B:$CM,86,FALSE)), " ")</f>
        <v xml:space="preserve"> </v>
      </c>
      <c r="V52" s="15" t="str">
        <f>IF(ISNUMBER(VLOOKUP($C52,'IMF COFOG FULL'!$B:$CM,79,FALSE)),(VLOOKUP($C52,'IMF COFOG FULL'!$B:$CM,87,FALSE)), " ")</f>
        <v xml:space="preserve"> </v>
      </c>
      <c r="W52" s="15" t="str">
        <f t="shared" si="16"/>
        <v xml:space="preserve"> </v>
      </c>
      <c r="X52" s="15" t="str">
        <f t="shared" si="17"/>
        <v xml:space="preserve"> </v>
      </c>
      <c r="Y52" s="15" t="str">
        <f t="shared" si="18"/>
        <v xml:space="preserve"> </v>
      </c>
      <c r="Z52" s="15" t="str">
        <f t="shared" si="19"/>
        <v xml:space="preserve"> </v>
      </c>
      <c r="AA52" s="15" t="str">
        <f t="shared" si="20"/>
        <v xml:space="preserve"> </v>
      </c>
      <c r="AB52" s="15" t="str">
        <f t="shared" si="21"/>
        <v xml:space="preserve"> </v>
      </c>
      <c r="AC52" s="15" t="str">
        <f t="shared" si="22"/>
        <v xml:space="preserve"> </v>
      </c>
      <c r="AD52" s="15">
        <f>Nigeria!C5/(10^9)</f>
        <v>555.47337779199995</v>
      </c>
      <c r="AE52" s="15">
        <f>(Nigeria!C10+Nigeria!C11)/(10^9)</f>
        <v>181.029472666</v>
      </c>
      <c r="AF52" s="15">
        <f>Nigeria!C7/(10^9)</f>
        <v>93.472724467999996</v>
      </c>
      <c r="AG52" s="15">
        <f>IF(ISNUMBER(VLOOKUP(C52,'National budgets summary'!A:F,5, FALSE)),(VLOOKUP(C52,'National budgets summary'!A:F,5, FALSE)), " ")</f>
        <v>832.10323935700001</v>
      </c>
      <c r="AH52">
        <f>IF(ISNUMBER(VLOOKUP(C52,'National budgets summary'!A:F,5, FALSE)),(VLOOKUP(C52,'National budgets summary'!A:F,4, FALSE)), " ")</f>
        <v>2022</v>
      </c>
      <c r="AI52" s="15">
        <f t="shared" si="1"/>
        <v>8.5336919981642545</v>
      </c>
      <c r="AJ52" s="15">
        <f t="shared" si="8"/>
        <v>0.53944293308327551</v>
      </c>
      <c r="AK52" s="15">
        <f t="shared" si="9"/>
        <v>5.6966954279853956</v>
      </c>
      <c r="AL52" s="15">
        <f t="shared" si="10"/>
        <v>1.8565602070189116</v>
      </c>
      <c r="AM52" s="15">
        <f t="shared" si="11"/>
        <v>0.95861595426016322</v>
      </c>
      <c r="AN52" s="15">
        <f t="shared" si="2"/>
        <v>8.5336919981642545</v>
      </c>
      <c r="AO52" s="15">
        <f t="shared" si="3"/>
        <v>0.53944293308327551</v>
      </c>
      <c r="AP52">
        <f t="shared" si="4"/>
        <v>2022</v>
      </c>
      <c r="AQ52" t="str">
        <f t="shared" si="5"/>
        <v>National</v>
      </c>
      <c r="AR52" s="7">
        <f t="shared" si="12"/>
        <v>7.5622466706704961</v>
      </c>
      <c r="AS52" s="7">
        <f t="shared" si="13"/>
        <v>2.4645457040685033</v>
      </c>
      <c r="AT52" s="7">
        <f t="shared" si="14"/>
        <v>1.2725430734707912</v>
      </c>
      <c r="AU52" s="7">
        <f t="shared" si="15"/>
        <v>11.328301594748787</v>
      </c>
    </row>
    <row r="53" spans="1:48">
      <c r="A53">
        <v>50</v>
      </c>
      <c r="B53" t="s">
        <v>142</v>
      </c>
      <c r="C53" t="s">
        <v>356</v>
      </c>
      <c r="D53" t="s">
        <v>483</v>
      </c>
      <c r="E53" t="s">
        <v>334</v>
      </c>
      <c r="F53" t="s">
        <v>619</v>
      </c>
      <c r="H53" t="str">
        <f>IF(ISNUMBER(VLOOKUP(C53,'OECD DAC'!B:C,2,FALSE)), "YES", " ")</f>
        <v xml:space="preserve"> </v>
      </c>
      <c r="I53">
        <v>2170</v>
      </c>
      <c r="J53">
        <v>2021</v>
      </c>
      <c r="K53" s="15">
        <f>IF(ISNUMBER(VLOOKUP(C53,'WEO GOV REV'!C:BL,58,FALSE)),(VLOOKUP(C53,'WEO GOV REV'!C:BL,58,FALSE)), " ")</f>
        <v>36226.58</v>
      </c>
      <c r="L53" s="15">
        <f>IF(ISNUMBER(VLOOKUP(C53,'WEO GOV REV'!C:BL,62,FALSE)),(VLOOKUP(C53,'WEO GOV REV'!C:BL,62,FALSE)), " ")</f>
        <v>18.295411675524004</v>
      </c>
      <c r="M53">
        <f>IF(ISNUMBER(VLOOKUP(C53,'WEO GOV REV'!C:BL,62,FALSE)),(VLOOKUP(C53,'WEO GOV REV'!C:BL,57,FALSE)), " ")</f>
        <v>2020</v>
      </c>
      <c r="N53" s="15" t="str">
        <f>IF(ISNUMBER(VLOOKUP($C53,'IMF COFOG FULL'!$B:$CM,79,FALSE)),(VLOOKUP($C53,'IMF COFOG FULL'!$B:$CM,79,FALSE)), " ")</f>
        <v xml:space="preserve"> </v>
      </c>
      <c r="O53" s="15" t="str">
        <f>IF(ISNUMBER(VLOOKUP($C53,'IMF COFOG FULL'!$B:$CM,80,FALSE)),(VLOOKUP($C53,'IMF COFOG FULL'!$B:$CM,80,FALSE)), " ")</f>
        <v xml:space="preserve"> </v>
      </c>
      <c r="P53" s="15" t="str">
        <f>IF(ISNUMBER(VLOOKUP($C53,'IMF COFOG FULL'!$B:$CM,81,FALSE)),(VLOOKUP($C53,'IMF COFOG FULL'!$B:$CM,81,FALSE)), " ")</f>
        <v xml:space="preserve"> </v>
      </c>
      <c r="Q53" s="15" t="str">
        <f>IF(ISNUMBER(VLOOKUP($C53,'IMF COFOG FULL'!$B:$CM,82,FALSE)),(VLOOKUP($C53,'IMF COFOG FULL'!$B:$CM,82,FALSE)), " ")</f>
        <v xml:space="preserve"> </v>
      </c>
      <c r="R53" s="15" t="str">
        <f>IF(ISNUMBER(VLOOKUP($C53,'IMF COFOG FULL'!$B:$CM,83,FALSE)),(VLOOKUP($C53,'IMF COFOG FULL'!$B:$CM,83,FALSE)), " ")</f>
        <v xml:space="preserve"> </v>
      </c>
      <c r="S53" s="15" t="str">
        <f>IF(ISNUMBER(VLOOKUP($C53,'IMF COFOG FULL'!$B:$CM,84,FALSE)),(VLOOKUP($C53,'IMF COFOG FULL'!$B:$CM,84,FALSE)), " ")</f>
        <v xml:space="preserve"> </v>
      </c>
      <c r="T53" s="15" t="str">
        <f>IF(ISNUMBER(VLOOKUP($C53,'IMF COFOG FULL'!$B:$CM,85,FALSE)),(VLOOKUP($C53,'IMF COFOG FULL'!$B:$CM,85,FALSE)), " ")</f>
        <v xml:space="preserve"> </v>
      </c>
      <c r="U53" s="7" t="str">
        <f>IF(ISNUMBER(VLOOKUP($C53,'IMF COFOG FULL'!$B:$CM,79,FALSE)),(VLOOKUP($C53,'IMF COFOG FULL'!$B:$CM,86,FALSE)), " ")</f>
        <v xml:space="preserve"> </v>
      </c>
      <c r="V53" s="15" t="str">
        <f>IF(ISNUMBER(VLOOKUP($C53,'IMF COFOG FULL'!$B:$CM,79,FALSE)),(VLOOKUP($C53,'IMF COFOG FULL'!$B:$CM,87,FALSE)), " ")</f>
        <v xml:space="preserve"> </v>
      </c>
      <c r="W53" s="15" t="str">
        <f t="shared" si="16"/>
        <v xml:space="preserve"> </v>
      </c>
      <c r="X53" s="15" t="str">
        <f t="shared" si="17"/>
        <v xml:space="preserve"> </v>
      </c>
      <c r="Y53" s="15" t="str">
        <f t="shared" si="18"/>
        <v xml:space="preserve"> </v>
      </c>
      <c r="Z53" s="15" t="str">
        <f t="shared" si="19"/>
        <v xml:space="preserve"> </v>
      </c>
      <c r="AA53" s="15" t="str">
        <f t="shared" si="20"/>
        <v xml:space="preserve"> </v>
      </c>
      <c r="AB53" s="15" t="str">
        <f t="shared" si="21"/>
        <v xml:space="preserve"> </v>
      </c>
      <c r="AC53" s="15" t="str">
        <f t="shared" si="22"/>
        <v xml:space="preserve"> </v>
      </c>
      <c r="AD53" s="15">
        <f>India!H10</f>
        <v>2108.4829567850002</v>
      </c>
      <c r="AE53" s="15">
        <f>India!H11</f>
        <v>168.03587219799999</v>
      </c>
      <c r="AF53" s="15">
        <f>India!H8</f>
        <v>0.01</v>
      </c>
      <c r="AG53" s="15">
        <f>IF(ISNUMBER(VLOOKUP(C53,'National budgets summary'!A:F,5, FALSE)),(VLOOKUP(C53,'National budgets summary'!A:F,5, FALSE)), " ")</f>
        <v>2277.0024289830003</v>
      </c>
      <c r="AH53" t="str">
        <f>IF(ISNUMBER(VLOOKUP(C53,'National budgets summary'!A:F,5, FALSE)),(VLOOKUP(C53,'National budgets summary'!A:F,4, FALSE)), " ")</f>
        <v>20/21</v>
      </c>
      <c r="AI53" s="15">
        <f t="shared" si="1"/>
        <v>6.2854468431273407</v>
      </c>
      <c r="AJ53" s="15">
        <f t="shared" si="8"/>
        <v>1.1499483755963744</v>
      </c>
      <c r="AK53" s="15">
        <f t="shared" si="9"/>
        <v>5.8202650009606209</v>
      </c>
      <c r="AL53" s="15">
        <f t="shared" si="10"/>
        <v>0.46384691074343748</v>
      </c>
      <c r="AM53" s="15">
        <f t="shared" si="11"/>
        <v>2.7604041010771648E-5</v>
      </c>
      <c r="AN53" s="15">
        <f t="shared" si="2"/>
        <v>6.2854468431273407</v>
      </c>
      <c r="AO53" s="15">
        <f t="shared" si="3"/>
        <v>1.1499483755963744</v>
      </c>
      <c r="AP53" t="str">
        <f t="shared" si="4"/>
        <v>20/21</v>
      </c>
      <c r="AQ53" t="str">
        <f t="shared" si="5"/>
        <v>National</v>
      </c>
      <c r="AR53" s="7">
        <f t="shared" si="12"/>
        <v>23.107059302948453</v>
      </c>
      <c r="AS53" s="7">
        <f t="shared" si="13"/>
        <v>1.8415206304642564</v>
      </c>
      <c r="AT53" s="7">
        <f t="shared" si="14"/>
        <v>1.0959092284142497E-4</v>
      </c>
      <c r="AU53" s="7">
        <f t="shared" si="15"/>
        <v>24.953879750441327</v>
      </c>
    </row>
    <row r="54" spans="1:48">
      <c r="A54">
        <v>51</v>
      </c>
      <c r="B54" t="s">
        <v>143</v>
      </c>
      <c r="C54" t="s">
        <v>357</v>
      </c>
      <c r="D54" t="s">
        <v>496</v>
      </c>
      <c r="E54" t="s">
        <v>334</v>
      </c>
      <c r="F54" t="s">
        <v>615</v>
      </c>
      <c r="G54" t="s">
        <v>616</v>
      </c>
      <c r="H54" t="str">
        <f>IF(ISNUMBER(VLOOKUP(C54,'OECD DAC'!B:C,2,FALSE)), "YES", " ")</f>
        <v xml:space="preserve"> </v>
      </c>
      <c r="I54">
        <v>2280</v>
      </c>
      <c r="J54">
        <v>2021</v>
      </c>
      <c r="K54" s="15">
        <f>IF(ISNUMBER(VLOOKUP(C54,'WEO GOV REV'!C:BL,58,FALSE)),(VLOOKUP(C54,'WEO GOV REV'!C:BL,58,FALSE)), " ")</f>
        <v>2.9729999999999999</v>
      </c>
      <c r="L54" s="15">
        <f>IF(ISNUMBER(VLOOKUP(C54,'WEO GOV REV'!C:BL,62,FALSE)),(VLOOKUP(C54,'WEO GOV REV'!C:BL,62,FALSE)), " ")</f>
        <v>29.013369766761006</v>
      </c>
      <c r="M54">
        <f>IF(ISNUMBER(VLOOKUP(C54,'WEO GOV REV'!C:BL,62,FALSE)),(VLOOKUP(C54,'WEO GOV REV'!C:BL,57,FALSE)), " ")</f>
        <v>2020</v>
      </c>
      <c r="N54" s="15" t="str">
        <f>IF(ISNUMBER(VLOOKUP($C54,'IMF COFOG FULL'!$B:$CM,79,FALSE)),(VLOOKUP($C54,'IMF COFOG FULL'!$B:$CM,79,FALSE)), " ")</f>
        <v xml:space="preserve"> </v>
      </c>
      <c r="O54" s="15" t="str">
        <f>IF(ISNUMBER(VLOOKUP($C54,'IMF COFOG FULL'!$B:$CM,80,FALSE)),(VLOOKUP($C54,'IMF COFOG FULL'!$B:$CM,80,FALSE)), " ")</f>
        <v xml:space="preserve"> </v>
      </c>
      <c r="P54" s="15" t="str">
        <f>IF(ISNUMBER(VLOOKUP($C54,'IMF COFOG FULL'!$B:$CM,81,FALSE)),(VLOOKUP($C54,'IMF COFOG FULL'!$B:$CM,81,FALSE)), " ")</f>
        <v xml:space="preserve"> </v>
      </c>
      <c r="Q54" s="15" t="str">
        <f>IF(ISNUMBER(VLOOKUP($C54,'IMF COFOG FULL'!$B:$CM,82,FALSE)),(VLOOKUP($C54,'IMF COFOG FULL'!$B:$CM,82,FALSE)), " ")</f>
        <v xml:space="preserve"> </v>
      </c>
      <c r="R54" s="15" t="str">
        <f>IF(ISNUMBER(VLOOKUP($C54,'IMF COFOG FULL'!$B:$CM,83,FALSE)),(VLOOKUP($C54,'IMF COFOG FULL'!$B:$CM,83,FALSE)), " ")</f>
        <v xml:space="preserve"> </v>
      </c>
      <c r="S54" s="15" t="str">
        <f>IF(ISNUMBER(VLOOKUP($C54,'IMF COFOG FULL'!$B:$CM,84,FALSE)),(VLOOKUP($C54,'IMF COFOG FULL'!$B:$CM,84,FALSE)), " ")</f>
        <v xml:space="preserve"> </v>
      </c>
      <c r="T54" s="15" t="str">
        <f>IF(ISNUMBER(VLOOKUP($C54,'IMF COFOG FULL'!$B:$CM,85,FALSE)),(VLOOKUP($C54,'IMF COFOG FULL'!$B:$CM,85,FALSE)), " ")</f>
        <v xml:space="preserve"> </v>
      </c>
      <c r="U54" s="7" t="str">
        <f>IF(ISNUMBER(VLOOKUP($C54,'IMF COFOG FULL'!$B:$CM,79,FALSE)),(VLOOKUP($C54,'IMF COFOG FULL'!$B:$CM,86,FALSE)), " ")</f>
        <v xml:space="preserve"> </v>
      </c>
      <c r="V54" s="15" t="str">
        <f>IF(ISNUMBER(VLOOKUP($C54,'IMF COFOG FULL'!$B:$CM,79,FALSE)),(VLOOKUP($C54,'IMF COFOG FULL'!$B:$CM,87,FALSE)), " ")</f>
        <v xml:space="preserve"> </v>
      </c>
      <c r="W54" s="15" t="str">
        <f t="shared" si="16"/>
        <v xml:space="preserve"> </v>
      </c>
      <c r="X54" s="15" t="str">
        <f t="shared" si="17"/>
        <v xml:space="preserve"> </v>
      </c>
      <c r="Y54" s="15" t="str">
        <f t="shared" si="18"/>
        <v xml:space="preserve"> </v>
      </c>
      <c r="Z54" s="15" t="str">
        <f t="shared" si="19"/>
        <v xml:space="preserve"> </v>
      </c>
      <c r="AA54" s="15" t="str">
        <f t="shared" si="20"/>
        <v xml:space="preserve"> </v>
      </c>
      <c r="AB54" s="15" t="str">
        <f t="shared" si="21"/>
        <v xml:space="preserve"> </v>
      </c>
      <c r="AC54" s="15" t="str">
        <f t="shared" si="22"/>
        <v xml:space="preserve"> </v>
      </c>
      <c r="AG54" s="15" t="str">
        <f>IF(ISNUMBER(VLOOKUP(C54,'National budgets summary'!A:F,5, FALSE)),(VLOOKUP(C54,'National budgets summary'!A:F,5, FALSE)), " ")</f>
        <v xml:space="preserve"> </v>
      </c>
      <c r="AH54" t="str">
        <f>IF(ISNUMBER(VLOOKUP(C54,'National budgets summary'!A:F,5, FALSE)),(VLOOKUP(C54,'National budgets summary'!A:F,4, FALSE)), " ")</f>
        <v xml:space="preserve"> </v>
      </c>
      <c r="AI54" s="15" t="str">
        <f t="shared" si="1"/>
        <v xml:space="preserve"> </v>
      </c>
      <c r="AJ54" s="15" t="str">
        <f t="shared" si="8"/>
        <v xml:space="preserve"> </v>
      </c>
      <c r="AK54" s="15" t="str">
        <f t="shared" si="9"/>
        <v/>
      </c>
      <c r="AL54" s="15" t="str">
        <f t="shared" si="10"/>
        <v/>
      </c>
      <c r="AM54" s="15" t="str">
        <f t="shared" si="11"/>
        <v/>
      </c>
      <c r="AN54" s="15" t="str">
        <f t="shared" si="2"/>
        <v xml:space="preserve"> </v>
      </c>
      <c r="AO54" s="15" t="str">
        <f t="shared" si="3"/>
        <v xml:space="preserve"> </v>
      </c>
      <c r="AP54" t="str">
        <f t="shared" si="4"/>
        <v xml:space="preserve"> </v>
      </c>
      <c r="AQ54" t="str">
        <f t="shared" si="5"/>
        <v xml:space="preserve"> </v>
      </c>
      <c r="AR54" s="7" t="str">
        <f t="shared" si="12"/>
        <v xml:space="preserve"> </v>
      </c>
      <c r="AS54" s="7" t="str">
        <f t="shared" si="13"/>
        <v xml:space="preserve"> </v>
      </c>
      <c r="AT54" s="7" t="str">
        <f t="shared" si="14"/>
        <v xml:space="preserve"> </v>
      </c>
      <c r="AU54" s="7" t="str">
        <f t="shared" si="15"/>
        <v xml:space="preserve"> </v>
      </c>
      <c r="AV54" t="s">
        <v>620</v>
      </c>
    </row>
    <row r="55" spans="1:48">
      <c r="A55">
        <v>52</v>
      </c>
      <c r="B55" t="s">
        <v>144</v>
      </c>
      <c r="C55" t="s">
        <v>358</v>
      </c>
      <c r="D55" t="s">
        <v>493</v>
      </c>
      <c r="E55" t="s">
        <v>334</v>
      </c>
      <c r="F55" t="s">
        <v>615</v>
      </c>
      <c r="H55" t="str">
        <f>IF(ISNUMBER(VLOOKUP(C55,'OECD DAC'!B:C,2,FALSE)), "YES", " ")</f>
        <v xml:space="preserve"> </v>
      </c>
      <c r="I55">
        <v>2300</v>
      </c>
      <c r="J55">
        <v>2021</v>
      </c>
      <c r="K55" s="15">
        <f>IF(ISNUMBER(VLOOKUP(C55,'WEO GOV REV'!C:BL,58,FALSE)),(VLOOKUP(C55,'WEO GOV REV'!C:BL,58,FALSE)), " ")</f>
        <v>4.218</v>
      </c>
      <c r="L55" s="15">
        <f>IF(ISNUMBER(VLOOKUP(C55,'WEO GOV REV'!C:BL,62,FALSE)),(VLOOKUP(C55,'WEO GOV REV'!C:BL,62,FALSE)), " ")</f>
        <v>33.220445774592427</v>
      </c>
      <c r="M55">
        <f>IF(ISNUMBER(VLOOKUP(C55,'WEO GOV REV'!C:BL,62,FALSE)),(VLOOKUP(C55,'WEO GOV REV'!C:BL,57,FALSE)), " ")</f>
        <v>2020</v>
      </c>
      <c r="N55" s="15">
        <f>IF(ISNUMBER(VLOOKUP($C55,'IMF COFOG FULL'!$B:$CM,79,FALSE)),(VLOOKUP($C55,'IMF COFOG FULL'!$B:$CM,79,FALSE)), " ")</f>
        <v>3.5274333886834599</v>
      </c>
      <c r="O55" s="15">
        <f>IF(ISNUMBER(VLOOKUP($C55,'IMF COFOG FULL'!$B:$CM,80,FALSE)),(VLOOKUP($C55,'IMF COFOG FULL'!$B:$CM,80,FALSE)), " ")</f>
        <v>1.5518946244343801</v>
      </c>
      <c r="P55" s="15">
        <f>IF(ISNUMBER(VLOOKUP($C55,'IMF COFOG FULL'!$B:$CM,81,FALSE)),(VLOOKUP($C55,'IMF COFOG FULL'!$B:$CM,81,FALSE)), " ")</f>
        <v>0</v>
      </c>
      <c r="Q55" s="15">
        <f>IF(ISNUMBER(VLOOKUP($C55,'IMF COFOG FULL'!$B:$CM,82,FALSE)),(VLOOKUP($C55,'IMF COFOG FULL'!$B:$CM,82,FALSE)), " ")</f>
        <v>0.58330382899160205</v>
      </c>
      <c r="R55" s="15">
        <f>IF(ISNUMBER(VLOOKUP($C55,'IMF COFOG FULL'!$B:$CM,83,FALSE)),(VLOOKUP($C55,'IMF COFOG FULL'!$B:$CM,83,FALSE)), " ")</f>
        <v>1.13838176514955</v>
      </c>
      <c r="S55" s="15">
        <f>IF(ISNUMBER(VLOOKUP($C55,'IMF COFOG FULL'!$B:$CM,84,FALSE)),(VLOOKUP($C55,'IMF COFOG FULL'!$B:$CM,84,FALSE)), " ")</f>
        <v>0</v>
      </c>
      <c r="T55" s="15">
        <f>IF(ISNUMBER(VLOOKUP($C55,'IMF COFOG FULL'!$B:$CM,85,FALSE)),(VLOOKUP($C55,'IMF COFOG FULL'!$B:$CM,85,FALSE)), " ")</f>
        <v>0.25385317010793201</v>
      </c>
      <c r="U55" s="7">
        <f>IF(ISNUMBER(VLOOKUP($C55,'IMF COFOG FULL'!$B:$CM,79,FALSE)),(VLOOKUP($C55,'IMF COFOG FULL'!$B:$CM,86,FALSE)), " ")</f>
        <v>2020</v>
      </c>
      <c r="V55" s="15" t="str">
        <f>IF(ISNUMBER(VLOOKUP($C55,'IMF COFOG FULL'!$B:$CM,79,FALSE)),(VLOOKUP($C55,'IMF COFOG FULL'!$B:$CM,87,FALSE)), " ")</f>
        <v>Budgetary central government</v>
      </c>
      <c r="W55" s="15">
        <f t="shared" si="16"/>
        <v>10.618260250382619</v>
      </c>
      <c r="X55" s="15">
        <f t="shared" si="17"/>
        <v>4.6715045155152488</v>
      </c>
      <c r="Y55" s="15">
        <f t="shared" si="18"/>
        <v>0</v>
      </c>
      <c r="Z55" s="15">
        <f t="shared" si="19"/>
        <v>1.7558579224054931</v>
      </c>
      <c r="AA55" s="15">
        <f t="shared" si="20"/>
        <v>3.4267504201289323</v>
      </c>
      <c r="AB55" s="15">
        <f t="shared" si="21"/>
        <v>0</v>
      </c>
      <c r="AC55" s="15">
        <f t="shared" si="22"/>
        <v>0.76414739233295692</v>
      </c>
      <c r="AD55" s="15">
        <f>'Solomon Islands'!C17/(10^3)</f>
        <v>0.19690000000000002</v>
      </c>
      <c r="AE55" s="15">
        <f>('Solomon Islands'!C25+'Solomon Islands'!C19+'Solomon Islands'!C37+'Solomon Islands'!C38)/(10^3)</f>
        <v>6.2508391999999996E-2</v>
      </c>
      <c r="AF55" s="15">
        <f>'Solomon Islands'!C18/(10^3)</f>
        <v>8.0577547999999999E-2</v>
      </c>
      <c r="AG55" s="15">
        <f>IF(ISNUMBER(VLOOKUP(C55,'National budgets summary'!A:F,5, FALSE)),(VLOOKUP(C55,'National budgets summary'!A:F,5, FALSE)), " ")</f>
        <v>0.35609910300000003</v>
      </c>
      <c r="AH55">
        <f>IF(ISNUMBER(VLOOKUP(C55,'National budgets summary'!A:F,5, FALSE)),(VLOOKUP(C55,'National budgets summary'!A:F,4, FALSE)), " ")</f>
        <v>2020</v>
      </c>
      <c r="AI55" s="15">
        <f t="shared" si="1"/>
        <v>8.4423684921763869</v>
      </c>
      <c r="AJ55" s="15">
        <f t="shared" si="8"/>
        <v>2.8045924470347332</v>
      </c>
      <c r="AK55" s="15">
        <f t="shared" si="9"/>
        <v>4.6715045155152488</v>
      </c>
      <c r="AL55" s="15">
        <f t="shared" si="10"/>
        <v>1.7558579224054931</v>
      </c>
      <c r="AM55" s="15">
        <f t="shared" si="11"/>
        <v>3.4267504201289323</v>
      </c>
      <c r="AN55" s="15">
        <f t="shared" si="2"/>
        <v>10.618260250382619</v>
      </c>
      <c r="AO55" s="15">
        <f t="shared" si="3"/>
        <v>3.5274333886834599</v>
      </c>
      <c r="AP55">
        <f t="shared" si="4"/>
        <v>2020</v>
      </c>
      <c r="AQ55" t="str">
        <f t="shared" si="5"/>
        <v>IMF COFOG</v>
      </c>
      <c r="AR55" s="7">
        <f t="shared" si="12"/>
        <v>35.693576361990736</v>
      </c>
      <c r="AS55" s="7">
        <f t="shared" si="13"/>
        <v>13.415988066806847</v>
      </c>
      <c r="AT55" s="7">
        <f t="shared" si="14"/>
        <v>26.182780598439653</v>
      </c>
      <c r="AU55" s="7">
        <f t="shared" si="15"/>
        <v>81.130967939719582</v>
      </c>
    </row>
    <row r="56" spans="1:48">
      <c r="A56">
        <v>53</v>
      </c>
      <c r="B56" t="s">
        <v>145</v>
      </c>
      <c r="C56" t="s">
        <v>359</v>
      </c>
      <c r="D56" t="s">
        <v>496</v>
      </c>
      <c r="E56" t="s">
        <v>334</v>
      </c>
      <c r="F56" t="s">
        <v>615</v>
      </c>
      <c r="G56" t="s">
        <v>616</v>
      </c>
      <c r="H56" t="str">
        <f>IF(ISNUMBER(VLOOKUP(C56,'OECD DAC'!B:C,2,FALSE)), "YES", " ")</f>
        <v xml:space="preserve"> </v>
      </c>
      <c r="I56">
        <v>2360</v>
      </c>
      <c r="J56">
        <v>2021</v>
      </c>
      <c r="K56" s="15">
        <f>IF(ISNUMBER(VLOOKUP(C56,'WEO GOV REV'!C:BL,58,FALSE)),(VLOOKUP(C56,'WEO GOV REV'!C:BL,58,FALSE)), " ")</f>
        <v>43.523000000000003</v>
      </c>
      <c r="L56" s="15">
        <f>IF(ISNUMBER(VLOOKUP(C56,'WEO GOV REV'!C:BL,62,FALSE)),(VLOOKUP(C56,'WEO GOV REV'!C:BL,62,FALSE)), " ")</f>
        <v>14.103964198102966</v>
      </c>
      <c r="M56">
        <f>IF(ISNUMBER(VLOOKUP(C56,'WEO GOV REV'!C:BL,62,FALSE)),(VLOOKUP(C56,'WEO GOV REV'!C:BL,57,FALSE)), " ")</f>
        <v>2018</v>
      </c>
      <c r="N56" s="15" t="str">
        <f>IF(ISNUMBER(VLOOKUP($C56,'IMF COFOG FULL'!$B:$CM,79,FALSE)),(VLOOKUP($C56,'IMF COFOG FULL'!$B:$CM,79,FALSE)), " ")</f>
        <v xml:space="preserve"> </v>
      </c>
      <c r="O56" s="15" t="str">
        <f>IF(ISNUMBER(VLOOKUP($C56,'IMF COFOG FULL'!$B:$CM,80,FALSE)),(VLOOKUP($C56,'IMF COFOG FULL'!$B:$CM,80,FALSE)), " ")</f>
        <v xml:space="preserve"> </v>
      </c>
      <c r="P56" s="15" t="str">
        <f>IF(ISNUMBER(VLOOKUP($C56,'IMF COFOG FULL'!$B:$CM,81,FALSE)),(VLOOKUP($C56,'IMF COFOG FULL'!$B:$CM,81,FALSE)), " ")</f>
        <v xml:space="preserve"> </v>
      </c>
      <c r="Q56" s="15" t="str">
        <f>IF(ISNUMBER(VLOOKUP($C56,'IMF COFOG FULL'!$B:$CM,82,FALSE)),(VLOOKUP($C56,'IMF COFOG FULL'!$B:$CM,82,FALSE)), " ")</f>
        <v xml:space="preserve"> </v>
      </c>
      <c r="R56" s="15" t="str">
        <f>IF(ISNUMBER(VLOOKUP($C56,'IMF COFOG FULL'!$B:$CM,83,FALSE)),(VLOOKUP($C56,'IMF COFOG FULL'!$B:$CM,83,FALSE)), " ")</f>
        <v xml:space="preserve"> </v>
      </c>
      <c r="S56" s="15" t="str">
        <f>IF(ISNUMBER(VLOOKUP($C56,'IMF COFOG FULL'!$B:$CM,84,FALSE)),(VLOOKUP($C56,'IMF COFOG FULL'!$B:$CM,84,FALSE)), " ")</f>
        <v xml:space="preserve"> </v>
      </c>
      <c r="T56" s="15" t="str">
        <f>IF(ISNUMBER(VLOOKUP($C56,'IMF COFOG FULL'!$B:$CM,85,FALSE)),(VLOOKUP($C56,'IMF COFOG FULL'!$B:$CM,85,FALSE)), " ")</f>
        <v xml:space="preserve"> </v>
      </c>
      <c r="U56" s="7" t="str">
        <f>IF(ISNUMBER(VLOOKUP($C56,'IMF COFOG FULL'!$B:$CM,79,FALSE)),(VLOOKUP($C56,'IMF COFOG FULL'!$B:$CM,86,FALSE)), " ")</f>
        <v xml:space="preserve"> </v>
      </c>
      <c r="V56" s="15" t="str">
        <f>IF(ISNUMBER(VLOOKUP($C56,'IMF COFOG FULL'!$B:$CM,79,FALSE)),(VLOOKUP($C56,'IMF COFOG FULL'!$B:$CM,87,FALSE)), " ")</f>
        <v xml:space="preserve"> </v>
      </c>
      <c r="W56" s="15" t="str">
        <f t="shared" si="16"/>
        <v xml:space="preserve"> </v>
      </c>
      <c r="X56" s="15" t="str">
        <f t="shared" si="17"/>
        <v xml:space="preserve"> </v>
      </c>
      <c r="Y56" s="15" t="str">
        <f t="shared" si="18"/>
        <v xml:space="preserve"> </v>
      </c>
      <c r="Z56" s="15" t="str">
        <f t="shared" si="19"/>
        <v xml:space="preserve"> </v>
      </c>
      <c r="AA56" s="15" t="str">
        <f t="shared" si="20"/>
        <v xml:space="preserve"> </v>
      </c>
      <c r="AB56" s="15" t="str">
        <f t="shared" si="21"/>
        <v xml:space="preserve"> </v>
      </c>
      <c r="AC56" s="15" t="str">
        <f t="shared" si="22"/>
        <v xml:space="preserve"> </v>
      </c>
      <c r="AD56" s="15">
        <f>Ghana!D13</f>
        <v>3.1179526989999999</v>
      </c>
      <c r="AE56" s="15">
        <f>Ghana!D9+Ghana!D11</f>
        <v>0.77195100000000005</v>
      </c>
      <c r="AF56" s="15">
        <f>Ghana!D14</f>
        <v>0.51759249900000004</v>
      </c>
      <c r="AG56" s="15">
        <f>IF(ISNUMBER(VLOOKUP(C56,'National budgets summary'!A:F,5, FALSE)),(VLOOKUP(C56,'National budgets summary'!A:F,5, FALSE)), " ")</f>
        <v>4.7778251980000004</v>
      </c>
      <c r="AH56">
        <f>IF(ISNUMBER(VLOOKUP(C56,'National budgets summary'!A:F,5, FALSE)),(VLOOKUP(C56,'National budgets summary'!A:F,4, FALSE)), " ")</f>
        <v>2022</v>
      </c>
      <c r="AI56" s="15">
        <f t="shared" si="1"/>
        <v>10.977701900144751</v>
      </c>
      <c r="AJ56" s="15">
        <f t="shared" si="8"/>
        <v>1.548291145770885</v>
      </c>
      <c r="AK56" s="15">
        <f t="shared" si="9"/>
        <v>7.1639195344989997</v>
      </c>
      <c r="AL56" s="15">
        <f t="shared" si="10"/>
        <v>1.7736622015945593</v>
      </c>
      <c r="AM56" s="15">
        <f t="shared" si="11"/>
        <v>1.1892390207476506</v>
      </c>
      <c r="AN56" s="15">
        <f t="shared" si="2"/>
        <v>10.977701900144751</v>
      </c>
      <c r="AO56" s="15">
        <f t="shared" si="3"/>
        <v>1.548291145770885</v>
      </c>
      <c r="AP56">
        <f t="shared" si="4"/>
        <v>2022</v>
      </c>
      <c r="AQ56" t="str">
        <f t="shared" si="5"/>
        <v>National</v>
      </c>
      <c r="AR56" s="7">
        <f t="shared" si="12"/>
        <v>23.84536085330879</v>
      </c>
      <c r="AS56" s="7">
        <f t="shared" si="13"/>
        <v>5.9036976930330836</v>
      </c>
      <c r="AT56" s="7">
        <f t="shared" si="14"/>
        <v>3.9584243589004076</v>
      </c>
      <c r="AU56" s="7">
        <f t="shared" si="15"/>
        <v>36.539671040192886</v>
      </c>
    </row>
    <row r="57" spans="1:48">
      <c r="A57">
        <v>54</v>
      </c>
      <c r="B57" t="s">
        <v>146</v>
      </c>
      <c r="C57" t="s">
        <v>360</v>
      </c>
      <c r="D57" t="s">
        <v>496</v>
      </c>
      <c r="E57" t="s">
        <v>334</v>
      </c>
      <c r="F57" t="s">
        <v>615</v>
      </c>
      <c r="G57" t="s">
        <v>616</v>
      </c>
      <c r="H57" t="str">
        <f>IF(ISNUMBER(VLOOKUP(C57,'OECD DAC'!B:C,2,FALSE)), "YES", " ")</f>
        <v xml:space="preserve"> </v>
      </c>
      <c r="I57">
        <v>2450</v>
      </c>
      <c r="J57">
        <v>2021</v>
      </c>
      <c r="K57" s="15">
        <f>IF(ISNUMBER(VLOOKUP(C57,'WEO GOV REV'!C:BL,58,FALSE)),(VLOOKUP(C57,'WEO GOV REV'!C:BL,58,FALSE)), " ")</f>
        <v>5289.19</v>
      </c>
      <c r="L57" s="15">
        <f>IF(ISNUMBER(VLOOKUP(C57,'WEO GOV REV'!C:BL,62,FALSE)),(VLOOKUP(C57,'WEO GOV REV'!C:BL,62,FALSE)), " ")</f>
        <v>14.978712245174219</v>
      </c>
      <c r="M57">
        <f>IF(ISNUMBER(VLOOKUP(C57,'WEO GOV REV'!C:BL,62,FALSE)),(VLOOKUP(C57,'WEO GOV REV'!C:BL,57,FALSE)), " ")</f>
        <v>2020</v>
      </c>
      <c r="N57" s="15" t="str">
        <f>IF(ISNUMBER(VLOOKUP($C57,'IMF COFOG FULL'!$B:$CM,79,FALSE)),(VLOOKUP($C57,'IMF COFOG FULL'!$B:$CM,79,FALSE)), " ")</f>
        <v xml:space="preserve"> </v>
      </c>
      <c r="O57" s="15" t="str">
        <f>IF(ISNUMBER(VLOOKUP($C57,'IMF COFOG FULL'!$B:$CM,80,FALSE)),(VLOOKUP($C57,'IMF COFOG FULL'!$B:$CM,80,FALSE)), " ")</f>
        <v xml:space="preserve"> </v>
      </c>
      <c r="P57" s="15" t="str">
        <f>IF(ISNUMBER(VLOOKUP($C57,'IMF COFOG FULL'!$B:$CM,81,FALSE)),(VLOOKUP($C57,'IMF COFOG FULL'!$B:$CM,81,FALSE)), " ")</f>
        <v xml:space="preserve"> </v>
      </c>
      <c r="Q57" s="15" t="str">
        <f>IF(ISNUMBER(VLOOKUP($C57,'IMF COFOG FULL'!$B:$CM,82,FALSE)),(VLOOKUP($C57,'IMF COFOG FULL'!$B:$CM,82,FALSE)), " ")</f>
        <v xml:space="preserve"> </v>
      </c>
      <c r="R57" s="15" t="str">
        <f>IF(ISNUMBER(VLOOKUP($C57,'IMF COFOG FULL'!$B:$CM,83,FALSE)),(VLOOKUP($C57,'IMF COFOG FULL'!$B:$CM,83,FALSE)), " ")</f>
        <v xml:space="preserve"> </v>
      </c>
      <c r="S57" s="15" t="str">
        <f>IF(ISNUMBER(VLOOKUP($C57,'IMF COFOG FULL'!$B:$CM,84,FALSE)),(VLOOKUP($C57,'IMF COFOG FULL'!$B:$CM,84,FALSE)), " ")</f>
        <v xml:space="preserve"> </v>
      </c>
      <c r="T57" s="15" t="str">
        <f>IF(ISNUMBER(VLOOKUP($C57,'IMF COFOG FULL'!$B:$CM,85,FALSE)),(VLOOKUP($C57,'IMF COFOG FULL'!$B:$CM,85,FALSE)), " ")</f>
        <v xml:space="preserve"> </v>
      </c>
      <c r="U57" s="7" t="str">
        <f>IF(ISNUMBER(VLOOKUP($C57,'IMF COFOG FULL'!$B:$CM,79,FALSE)),(VLOOKUP($C57,'IMF COFOG FULL'!$B:$CM,86,FALSE)), " ")</f>
        <v xml:space="preserve"> </v>
      </c>
      <c r="V57" s="15" t="str">
        <f>IF(ISNUMBER(VLOOKUP($C57,'IMF COFOG FULL'!$B:$CM,79,FALSE)),(VLOOKUP($C57,'IMF COFOG FULL'!$B:$CM,87,FALSE)), " ")</f>
        <v xml:space="preserve"> </v>
      </c>
      <c r="W57" s="15" t="str">
        <f t="shared" si="16"/>
        <v xml:space="preserve"> </v>
      </c>
      <c r="X57" s="15" t="str">
        <f t="shared" si="17"/>
        <v xml:space="preserve"> </v>
      </c>
      <c r="Y57" s="15" t="str">
        <f t="shared" si="18"/>
        <v xml:space="preserve"> </v>
      </c>
      <c r="Z57" s="15" t="str">
        <f t="shared" si="19"/>
        <v xml:space="preserve"> </v>
      </c>
      <c r="AA57" s="15" t="str">
        <f t="shared" si="20"/>
        <v xml:space="preserve"> </v>
      </c>
      <c r="AB57" s="15" t="str">
        <f t="shared" si="21"/>
        <v xml:space="preserve"> </v>
      </c>
      <c r="AC57" s="15" t="str">
        <f t="shared" si="22"/>
        <v xml:space="preserve"> </v>
      </c>
      <c r="AD57" s="15">
        <f>'Côte d''Ivoire'!C10</f>
        <v>165.4</v>
      </c>
      <c r="AE57" s="15">
        <f>'Côte d''Ivoire'!C11</f>
        <v>71</v>
      </c>
      <c r="AG57" s="15" t="str">
        <f>IF(ISNUMBER(VLOOKUP(C57,'National budgets summary'!A:F,5, FALSE)),(VLOOKUP(C57,'National budgets summary'!A:F,5, FALSE)), " ")</f>
        <v xml:space="preserve"> </v>
      </c>
      <c r="AH57" t="str">
        <f>IF(ISNUMBER(VLOOKUP(C57,'National budgets summary'!A:F,5, FALSE)),(VLOOKUP(C57,'National budgets summary'!A:F,4, FALSE)), " ")</f>
        <v xml:space="preserve"> </v>
      </c>
      <c r="AI57" s="15" t="str">
        <f t="shared" si="1"/>
        <v xml:space="preserve"> </v>
      </c>
      <c r="AJ57" s="15" t="str">
        <f t="shared" si="8"/>
        <v xml:space="preserve"> </v>
      </c>
      <c r="AK57" s="15">
        <f t="shared" si="9"/>
        <v>3.127132888022552</v>
      </c>
      <c r="AL57" s="15">
        <f t="shared" si="10"/>
        <v>1.3423605504812646</v>
      </c>
      <c r="AM57" s="15" t="str">
        <f t="shared" si="11"/>
        <v/>
      </c>
      <c r="AN57" s="15" t="str">
        <f t="shared" si="2"/>
        <v xml:space="preserve"> </v>
      </c>
      <c r="AO57" s="15" t="str">
        <f t="shared" si="3"/>
        <v xml:space="preserve"> </v>
      </c>
      <c r="AP57" t="str">
        <f t="shared" si="4"/>
        <v xml:space="preserve"> </v>
      </c>
      <c r="AQ57" t="str">
        <f t="shared" si="5"/>
        <v xml:space="preserve"> </v>
      </c>
      <c r="AR57" s="7">
        <f t="shared" si="12"/>
        <v>11.475903802117053</v>
      </c>
      <c r="AS57" s="7">
        <f t="shared" si="13"/>
        <v>4.926173941658468</v>
      </c>
      <c r="AT57" s="7" t="str">
        <f t="shared" si="14"/>
        <v xml:space="preserve"> </v>
      </c>
      <c r="AU57" s="7" t="str">
        <f t="shared" si="15"/>
        <v xml:space="preserve"> </v>
      </c>
    </row>
    <row r="58" spans="1:48">
      <c r="A58">
        <v>55</v>
      </c>
      <c r="B58" t="s">
        <v>147</v>
      </c>
      <c r="C58" t="s">
        <v>361</v>
      </c>
      <c r="D58" t="s">
        <v>493</v>
      </c>
      <c r="E58" t="s">
        <v>334</v>
      </c>
      <c r="F58" t="s">
        <v>615</v>
      </c>
      <c r="H58" t="str">
        <f>IF(ISNUMBER(VLOOKUP(C58,'OECD DAC'!B:C,2,FALSE)), "YES", " ")</f>
        <v xml:space="preserve"> </v>
      </c>
      <c r="I58">
        <v>2520</v>
      </c>
      <c r="J58">
        <v>2021</v>
      </c>
      <c r="K58" s="15">
        <f>IF(ISNUMBER(VLOOKUP(C58,'WEO GOV REV'!C:BL,58,FALSE)),(VLOOKUP(C58,'WEO GOV REV'!C:BL,58,FALSE)), " ")</f>
        <v>21780.87</v>
      </c>
      <c r="L58" s="15">
        <f>IF(ISNUMBER(VLOOKUP(C58,'WEO GOV REV'!C:BL,62,FALSE)),(VLOOKUP(C58,'WEO GOV REV'!C:BL,62,FALSE)), " ")</f>
        <v>12.980879772890164</v>
      </c>
      <c r="M58">
        <f>IF(ISNUMBER(VLOOKUP(C58,'WEO GOV REV'!C:BL,62,FALSE)),(VLOOKUP(C58,'WEO GOV REV'!C:BL,57,FALSE)), " ")</f>
        <v>2020</v>
      </c>
      <c r="N58" s="15" t="str">
        <f>IF(ISNUMBER(VLOOKUP($C58,'IMF COFOG FULL'!$B:$CM,79,FALSE)),(VLOOKUP($C58,'IMF COFOG FULL'!$B:$CM,79,FALSE)), " ")</f>
        <v xml:space="preserve"> </v>
      </c>
      <c r="O58" s="15" t="str">
        <f>IF(ISNUMBER(VLOOKUP($C58,'IMF COFOG FULL'!$B:$CM,80,FALSE)),(VLOOKUP($C58,'IMF COFOG FULL'!$B:$CM,80,FALSE)), " ")</f>
        <v xml:space="preserve"> </v>
      </c>
      <c r="P58" s="15" t="str">
        <f>IF(ISNUMBER(VLOOKUP($C58,'IMF COFOG FULL'!$B:$CM,81,FALSE)),(VLOOKUP($C58,'IMF COFOG FULL'!$B:$CM,81,FALSE)), " ")</f>
        <v xml:space="preserve"> </v>
      </c>
      <c r="Q58" s="15" t="str">
        <f>IF(ISNUMBER(VLOOKUP($C58,'IMF COFOG FULL'!$B:$CM,82,FALSE)),(VLOOKUP($C58,'IMF COFOG FULL'!$B:$CM,82,FALSE)), " ")</f>
        <v xml:space="preserve"> </v>
      </c>
      <c r="R58" s="15" t="str">
        <f>IF(ISNUMBER(VLOOKUP($C58,'IMF COFOG FULL'!$B:$CM,83,FALSE)),(VLOOKUP($C58,'IMF COFOG FULL'!$B:$CM,83,FALSE)), " ")</f>
        <v xml:space="preserve"> </v>
      </c>
      <c r="S58" s="15" t="str">
        <f>IF(ISNUMBER(VLOOKUP($C58,'IMF COFOG FULL'!$B:$CM,84,FALSE)),(VLOOKUP($C58,'IMF COFOG FULL'!$B:$CM,84,FALSE)), " ")</f>
        <v xml:space="preserve"> </v>
      </c>
      <c r="T58" s="15" t="str">
        <f>IF(ISNUMBER(VLOOKUP($C58,'IMF COFOG FULL'!$B:$CM,85,FALSE)),(VLOOKUP($C58,'IMF COFOG FULL'!$B:$CM,85,FALSE)), " ")</f>
        <v xml:space="preserve"> </v>
      </c>
      <c r="U58" s="7" t="str">
        <f>IF(ISNUMBER(VLOOKUP($C58,'IMF COFOG FULL'!$B:$CM,79,FALSE)),(VLOOKUP($C58,'IMF COFOG FULL'!$B:$CM,86,FALSE)), " ")</f>
        <v xml:space="preserve"> </v>
      </c>
      <c r="V58" s="15" t="str">
        <f>IF(ISNUMBER(VLOOKUP($C58,'IMF COFOG FULL'!$B:$CM,79,FALSE)),(VLOOKUP($C58,'IMF COFOG FULL'!$B:$CM,87,FALSE)), " ")</f>
        <v xml:space="preserve"> </v>
      </c>
      <c r="W58" s="15" t="str">
        <f t="shared" si="16"/>
        <v xml:space="preserve"> </v>
      </c>
      <c r="X58" s="15" t="str">
        <f t="shared" si="17"/>
        <v xml:space="preserve"> </v>
      </c>
      <c r="Y58" s="15" t="str">
        <f t="shared" si="18"/>
        <v xml:space="preserve"> </v>
      </c>
      <c r="Z58" s="15" t="str">
        <f t="shared" si="19"/>
        <v xml:space="preserve"> </v>
      </c>
      <c r="AA58" s="15" t="str">
        <f t="shared" si="20"/>
        <v xml:space="preserve"> </v>
      </c>
      <c r="AB58" s="15" t="str">
        <f t="shared" si="21"/>
        <v xml:space="preserve"> </v>
      </c>
      <c r="AC58" s="15" t="str">
        <f t="shared" si="22"/>
        <v xml:space="preserve"> </v>
      </c>
      <c r="AG58" s="15">
        <f>IF(ISNUMBER(VLOOKUP(C58,'National budgets summary'!A:F,5, FALSE)),(VLOOKUP(C58,'National budgets summary'!A:F,5, FALSE)), " ")</f>
        <v>427.90052000000003</v>
      </c>
      <c r="AH58">
        <f>IF(ISNUMBER(VLOOKUP(C58,'National budgets summary'!A:F,5, FALSE)),(VLOOKUP(C58,'National budgets summary'!A:F,4, FALSE)), " ")</f>
        <v>2022</v>
      </c>
      <c r="AI58" s="15">
        <f t="shared" si="1"/>
        <v>1.9645703775836318</v>
      </c>
      <c r="AJ58" s="15">
        <f t="shared" si="8"/>
        <v>0.25501851876794557</v>
      </c>
      <c r="AK58" s="15" t="str">
        <f t="shared" si="9"/>
        <v/>
      </c>
      <c r="AL58" s="15" t="str">
        <f t="shared" si="10"/>
        <v/>
      </c>
      <c r="AM58" s="15" t="str">
        <f t="shared" si="11"/>
        <v/>
      </c>
      <c r="AN58" s="15">
        <f t="shared" si="2"/>
        <v>1.9645703775836318</v>
      </c>
      <c r="AO58" s="15">
        <f t="shared" si="3"/>
        <v>0.25501851876794557</v>
      </c>
      <c r="AP58">
        <f t="shared" si="4"/>
        <v>2022</v>
      </c>
      <c r="AQ58" t="str">
        <f t="shared" si="5"/>
        <v>National</v>
      </c>
      <c r="AR58" s="7" t="str">
        <f t="shared" si="12"/>
        <v xml:space="preserve"> </v>
      </c>
      <c r="AS58" s="7" t="str">
        <f t="shared" si="13"/>
        <v xml:space="preserve"> </v>
      </c>
      <c r="AT58" s="7" t="str">
        <f t="shared" si="14"/>
        <v xml:space="preserve"> </v>
      </c>
      <c r="AU58" s="7">
        <f t="shared" si="15"/>
        <v>6.4264666729522286</v>
      </c>
      <c r="AV58" t="s">
        <v>533</v>
      </c>
    </row>
    <row r="59" spans="1:48">
      <c r="A59">
        <v>56</v>
      </c>
      <c r="B59" t="s">
        <v>148</v>
      </c>
      <c r="C59" t="s">
        <v>362</v>
      </c>
      <c r="D59" t="s">
        <v>497</v>
      </c>
      <c r="E59" t="s">
        <v>334</v>
      </c>
      <c r="F59" t="s">
        <v>615</v>
      </c>
      <c r="G59" t="s">
        <v>616</v>
      </c>
      <c r="H59" t="str">
        <f>IF(ISNUMBER(VLOOKUP(C59,'OECD DAC'!B:C,2,FALSE)), "YES", " ")</f>
        <v xml:space="preserve"> </v>
      </c>
      <c r="I59">
        <v>2540</v>
      </c>
      <c r="J59">
        <v>2021</v>
      </c>
      <c r="K59" s="15">
        <f>IF(ISNUMBER(VLOOKUP(C59,'WEO GOV REV'!C:BL,58,FALSE)),(VLOOKUP(C59,'WEO GOV REV'!C:BL,58,FALSE)), " ")</f>
        <v>172.268</v>
      </c>
      <c r="L59" s="15">
        <f>IF(ISNUMBER(VLOOKUP(C59,'WEO GOV REV'!C:BL,62,FALSE)),(VLOOKUP(C59,'WEO GOV REV'!C:BL,62,FALSE)), " ")</f>
        <v>25.021605660029312</v>
      </c>
      <c r="M59">
        <f>IF(ISNUMBER(VLOOKUP(C59,'WEO GOV REV'!C:BL,62,FALSE)),(VLOOKUP(C59,'WEO GOV REV'!C:BL,57,FALSE)), " ")</f>
        <v>2021</v>
      </c>
      <c r="N59" s="15">
        <f>IF(ISNUMBER(VLOOKUP($C59,'IMF COFOG FULL'!$B:$CM,79,FALSE)),(VLOOKUP($C59,'IMF COFOG FULL'!$B:$CM,79,FALSE)), " ")</f>
        <v>2.6552909277681001</v>
      </c>
      <c r="O59" s="15">
        <f>IF(ISNUMBER(VLOOKUP($C59,'IMF COFOG FULL'!$B:$CM,80,FALSE)),(VLOOKUP($C59,'IMF COFOG FULL'!$B:$CM,80,FALSE)), " ")</f>
        <v>1.24498861739616</v>
      </c>
      <c r="P59" s="15">
        <f>IF(ISNUMBER(VLOOKUP($C59,'IMF COFOG FULL'!$B:$CM,81,FALSE)),(VLOOKUP($C59,'IMF COFOG FULL'!$B:$CM,81,FALSE)), " ")</f>
        <v>4.5854803423444702E-2</v>
      </c>
      <c r="Q59" s="15">
        <f>IF(ISNUMBER(VLOOKUP($C59,'IMF COFOG FULL'!$B:$CM,82,FALSE)),(VLOOKUP($C59,'IMF COFOG FULL'!$B:$CM,82,FALSE)), " ")</f>
        <v>0.95177496274245998</v>
      </c>
      <c r="R59" s="15">
        <f>IF(ISNUMBER(VLOOKUP($C59,'IMF COFOG FULL'!$B:$CM,83,FALSE)),(VLOOKUP($C59,'IMF COFOG FULL'!$B:$CM,83,FALSE)), " ")</f>
        <v>0.199065408692151</v>
      </c>
      <c r="S59" s="15">
        <f>IF(ISNUMBER(VLOOKUP($C59,'IMF COFOG FULL'!$B:$CM,84,FALSE)),(VLOOKUP($C59,'IMF COFOG FULL'!$B:$CM,84,FALSE)), " ")</f>
        <v>0</v>
      </c>
      <c r="T59" s="15">
        <f>IF(ISNUMBER(VLOOKUP($C59,'IMF COFOG FULL'!$B:$CM,85,FALSE)),(VLOOKUP($C59,'IMF COFOG FULL'!$B:$CM,85,FALSE)), " ")</f>
        <v>0.21360713551388499</v>
      </c>
      <c r="U59" s="7">
        <f>IF(ISNUMBER(VLOOKUP($C59,'IMF COFOG FULL'!$B:$CM,79,FALSE)),(VLOOKUP($C59,'IMF COFOG FULL'!$B:$CM,86,FALSE)), " ")</f>
        <v>2020</v>
      </c>
      <c r="V59" s="15" t="str">
        <f>IF(ISNUMBER(VLOOKUP($C59,'IMF COFOG FULL'!$B:$CM,79,FALSE)),(VLOOKUP($C59,'IMF COFOG FULL'!$B:$CM,87,FALSE)), " ")</f>
        <v>Budgetary central government</v>
      </c>
      <c r="W59" s="15">
        <f t="shared" si="16"/>
        <v>10.611992546944284</v>
      </c>
      <c r="X59" s="15">
        <f t="shared" si="17"/>
        <v>4.9756543777083149</v>
      </c>
      <c r="Y59" s="15">
        <f t="shared" si="18"/>
        <v>0.18326083484200745</v>
      </c>
      <c r="Z59" s="15">
        <f t="shared" si="19"/>
        <v>3.8038124957858721</v>
      </c>
      <c r="AA59" s="15">
        <f t="shared" si="20"/>
        <v>0.79557407864574992</v>
      </c>
      <c r="AB59" s="15">
        <f t="shared" si="21"/>
        <v>0</v>
      </c>
      <c r="AC59" s="15">
        <f t="shared" si="22"/>
        <v>0.85369075996234356</v>
      </c>
      <c r="AD59" s="105">
        <f>Honduras!D9</f>
        <v>6.3334563409999998</v>
      </c>
      <c r="AE59" s="105">
        <f>Honduras!D12</f>
        <v>5.1703689730000004</v>
      </c>
      <c r="AF59" s="105">
        <f>Honduras!D11</f>
        <v>1.033411281</v>
      </c>
      <c r="AG59" s="15">
        <f>IF(ISNUMBER(VLOOKUP(C59,'National budgets summary'!A:F,5, FALSE)),(VLOOKUP(C59,'National budgets summary'!A:F,5, FALSE)), " ")</f>
        <v>12.930658151999999</v>
      </c>
      <c r="AH59">
        <f>IF(ISNUMBER(VLOOKUP(C59,'National budgets summary'!A:F,5, FALSE)),(VLOOKUP(C59,'National budgets summary'!A:F,4, FALSE)), " ")</f>
        <v>2021</v>
      </c>
      <c r="AI59" s="15">
        <f t="shared" si="1"/>
        <v>7.5061289107669449</v>
      </c>
      <c r="AJ59" s="15">
        <f t="shared" si="8"/>
        <v>1.8781539763855586</v>
      </c>
      <c r="AK59" s="15">
        <f t="shared" si="9"/>
        <v>4.9756543777083149</v>
      </c>
      <c r="AL59" s="15">
        <f t="shared" si="10"/>
        <v>3.8038124957858721</v>
      </c>
      <c r="AM59" s="15">
        <f t="shared" si="11"/>
        <v>0.79557407864574992</v>
      </c>
      <c r="AN59" s="15">
        <f t="shared" si="2"/>
        <v>10.611992546944284</v>
      </c>
      <c r="AO59" s="15">
        <f t="shared" si="3"/>
        <v>2.6552909277681001</v>
      </c>
      <c r="AP59">
        <f t="shared" si="4"/>
        <v>2020</v>
      </c>
      <c r="AQ59" t="str">
        <f t="shared" si="5"/>
        <v>IMF COFOG</v>
      </c>
      <c r="AR59" s="7">
        <f t="shared" si="12"/>
        <v>31.62271088186246</v>
      </c>
      <c r="AS59" s="7">
        <f t="shared" si="13"/>
        <v>24.175084053658484</v>
      </c>
      <c r="AT59" s="7">
        <f t="shared" si="14"/>
        <v>5.0562613807806356</v>
      </c>
      <c r="AU59" s="7">
        <f t="shared" si="15"/>
        <v>67.444389565309734</v>
      </c>
    </row>
    <row r="60" spans="1:48">
      <c r="A60">
        <v>57</v>
      </c>
      <c r="B60" t="s">
        <v>149</v>
      </c>
      <c r="C60" t="s">
        <v>363</v>
      </c>
      <c r="D60" t="s">
        <v>483</v>
      </c>
      <c r="E60" t="s">
        <v>334</v>
      </c>
      <c r="F60" t="s">
        <v>615</v>
      </c>
      <c r="H60" t="str">
        <f>IF(ISNUMBER(VLOOKUP(C60,'OECD DAC'!B:C,2,FALSE)), "YES", " ")</f>
        <v xml:space="preserve"> </v>
      </c>
      <c r="I60">
        <v>2620</v>
      </c>
      <c r="J60">
        <v>2021</v>
      </c>
      <c r="K60" s="15">
        <f>IF(ISNUMBER(VLOOKUP(C60,'WEO GOV REV'!C:BL,58,FALSE)),(VLOOKUP(C60,'WEO GOV REV'!C:BL,58,FALSE)), " ")</f>
        <v>2403.63</v>
      </c>
      <c r="L60" s="15">
        <f>IF(ISNUMBER(VLOOKUP(C60,'WEO GOV REV'!C:BL,62,FALSE)),(VLOOKUP(C60,'WEO GOV REV'!C:BL,62,FALSE)), " ")</f>
        <v>9.4538648030823396</v>
      </c>
      <c r="M60">
        <f>IF(ISNUMBER(VLOOKUP(C60,'WEO GOV REV'!C:BL,62,FALSE)),(VLOOKUP(C60,'WEO GOV REV'!C:BL,57,FALSE)), " ")</f>
        <v>2019</v>
      </c>
      <c r="N60" s="15">
        <f>IF(ISNUMBER(VLOOKUP($C60,'IMF COFOG FULL'!$B:$CM,79,FALSE)),(VLOOKUP($C60,'IMF COFOG FULL'!$B:$CM,79,FALSE)), " ")</f>
        <v>1.1045300331468699</v>
      </c>
      <c r="O60" s="15">
        <f>IF(ISNUMBER(VLOOKUP($C60,'IMF COFOG FULL'!$B:$CM,80,FALSE)),(VLOOKUP($C60,'IMF COFOG FULL'!$B:$CM,80,FALSE)), " ")</f>
        <v>0.91755629712827402</v>
      </c>
      <c r="P60" s="15">
        <f>IF(ISNUMBER(VLOOKUP($C60,'IMF COFOG FULL'!$B:$CM,81,FALSE)),(VLOOKUP($C60,'IMF COFOG FULL'!$B:$CM,81,FALSE)), " ")</f>
        <v>6.34787375371762E-2</v>
      </c>
      <c r="Q60" s="15">
        <f>IF(ISNUMBER(VLOOKUP($C60,'IMF COFOG FULL'!$B:$CM,82,FALSE)),(VLOOKUP($C60,'IMF COFOG FULL'!$B:$CM,82,FALSE)), " ")</f>
        <v>0.123494998481415</v>
      </c>
      <c r="R60" s="15">
        <f>IF(ISNUMBER(VLOOKUP($C60,'IMF COFOG FULL'!$B:$CM,83,FALSE)),(VLOOKUP($C60,'IMF COFOG FULL'!$B:$CM,83,FALSE)), " ")</f>
        <v>5.30913077583655E-2</v>
      </c>
      <c r="S60" s="15" t="str">
        <f>IF(ISNUMBER(VLOOKUP($C60,'IMF COFOG FULL'!$B:$CM,84,FALSE)),(VLOOKUP($C60,'IMF COFOG FULL'!$B:$CM,84,FALSE)), " ")</f>
        <v xml:space="preserve"> </v>
      </c>
      <c r="T60" s="15" t="str">
        <f>IF(ISNUMBER(VLOOKUP($C60,'IMF COFOG FULL'!$B:$CM,85,FALSE)),(VLOOKUP($C60,'IMF COFOG FULL'!$B:$CM,85,FALSE)), " ")</f>
        <v xml:space="preserve"> </v>
      </c>
      <c r="U60" s="7">
        <f>IF(ISNUMBER(VLOOKUP($C60,'IMF COFOG FULL'!$B:$CM,79,FALSE)),(VLOOKUP($C60,'IMF COFOG FULL'!$B:$CM,86,FALSE)), " ")</f>
        <v>2016</v>
      </c>
      <c r="V60" s="15" t="str">
        <f>IF(ISNUMBER(VLOOKUP($C60,'IMF COFOG FULL'!$B:$CM,79,FALSE)),(VLOOKUP($C60,'IMF COFOG FULL'!$B:$CM,87,FALSE)), " ")</f>
        <v>Budgetary central government</v>
      </c>
      <c r="W60" s="15">
        <f t="shared" si="16"/>
        <v>11.683370305726699</v>
      </c>
      <c r="X60" s="15">
        <f t="shared" si="17"/>
        <v>9.7056211003685373</v>
      </c>
      <c r="Y60" s="15">
        <f t="shared" si="18"/>
        <v>0.67145806354750892</v>
      </c>
      <c r="Z60" s="15">
        <f t="shared" si="19"/>
        <v>1.3062911418106029</v>
      </c>
      <c r="AA60" s="15">
        <f t="shared" si="20"/>
        <v>0.56158310769427966</v>
      </c>
      <c r="AB60" s="15" t="str">
        <f t="shared" si="21"/>
        <v xml:space="preserve"> </v>
      </c>
      <c r="AC60" s="15" t="str">
        <f t="shared" si="22"/>
        <v xml:space="preserve"> </v>
      </c>
      <c r="AG60" s="15">
        <f>IF(ISNUMBER(VLOOKUP(C60,'National budgets summary'!A:F,5, FALSE)),(VLOOKUP(C60,'National budgets summary'!A:F,5, FALSE)), " ")</f>
        <v>221.43</v>
      </c>
      <c r="AH60" t="str">
        <f>IF(ISNUMBER(VLOOKUP(C60,'National budgets summary'!A:F,5, FALSE)),(VLOOKUP(C60,'National budgets summary'!A:F,4, FALSE)), " ")</f>
        <v>FY 20/21</v>
      </c>
      <c r="AI60" s="15">
        <f t="shared" si="1"/>
        <v>9.2123163714881251</v>
      </c>
      <c r="AJ60" s="15">
        <f t="shared" si="8"/>
        <v>0.87091993499270803</v>
      </c>
      <c r="AK60" s="15">
        <f t="shared" si="9"/>
        <v>9.7056211003685373</v>
      </c>
      <c r="AL60" s="15">
        <f t="shared" si="10"/>
        <v>1.3062911418106029</v>
      </c>
      <c r="AM60" s="15">
        <f t="shared" si="11"/>
        <v>0.56158310769427966</v>
      </c>
      <c r="AN60" s="15">
        <f>IF(ISNUMBER(AI60),AI60,IF(ISNUMBER(W60),W60, " "))</f>
        <v>9.2123163714881251</v>
      </c>
      <c r="AO60" s="15">
        <f>IF(ISNUMBER(AJ60),AJ60,IF(ISNUMBER(N60),N60, " "))</f>
        <v>0.87091993499270803</v>
      </c>
      <c r="AP60" t="str">
        <f>IF(ISNUMBER(AJ60),AH60,IF(ISNUMBER(N60),U60, " "))</f>
        <v>FY 20/21</v>
      </c>
      <c r="AQ60" t="str">
        <f>IF(ISNUMBER(AJ60),"National",IF(ISNUMBER(N60),"IMF COFOG", " "))</f>
        <v>National</v>
      </c>
      <c r="AR60" s="7">
        <f t="shared" si="12"/>
        <v>24.039974984760779</v>
      </c>
      <c r="AS60" s="7">
        <f t="shared" si="13"/>
        <v>3.2355689602130728</v>
      </c>
      <c r="AT60" s="7">
        <f t="shared" si="14"/>
        <v>1.390992263269176</v>
      </c>
      <c r="AU60" s="7">
        <f t="shared" si="15"/>
        <v>22.818102296808949</v>
      </c>
    </row>
    <row r="61" spans="1:48">
      <c r="A61">
        <v>58</v>
      </c>
      <c r="B61" t="s">
        <v>150</v>
      </c>
      <c r="C61" t="s">
        <v>364</v>
      </c>
      <c r="D61" t="s">
        <v>493</v>
      </c>
      <c r="E61" t="s">
        <v>334</v>
      </c>
      <c r="F61" t="s">
        <v>617</v>
      </c>
      <c r="H61" t="str">
        <f>IF(ISNUMBER(VLOOKUP(C61,'OECD DAC'!B:C,2,FALSE)), "YES", " ")</f>
        <v xml:space="preserve"> </v>
      </c>
      <c r="I61">
        <v>2790</v>
      </c>
      <c r="J61">
        <v>2021</v>
      </c>
      <c r="K61" s="15">
        <f>IF(ISNUMBER(VLOOKUP(C61,'WEO GOV REV'!C:BL,58,FALSE)),(VLOOKUP(C61,'WEO GOV REV'!C:BL,58,FALSE)), " ")</f>
        <v>12.093</v>
      </c>
      <c r="L61" s="15">
        <f>IF(ISNUMBER(VLOOKUP(C61,'WEO GOV REV'!C:BL,62,FALSE)),(VLOOKUP(C61,'WEO GOV REV'!C:BL,62,FALSE)), " ")</f>
        <v>14.170543362354843</v>
      </c>
      <c r="M61">
        <f>IF(ISNUMBER(VLOOKUP(C61,'WEO GOV REV'!C:BL,62,FALSE)),(VLOOKUP(C61,'WEO GOV REV'!C:BL,57,FALSE)), " ")</f>
        <v>2020</v>
      </c>
      <c r="N61" s="15">
        <f>IF(ISNUMBER(VLOOKUP($C61,'IMF COFOG FULL'!$B:$CM,79,FALSE)),(VLOOKUP($C61,'IMF COFOG FULL'!$B:$CM,79,FALSE)), " ")</f>
        <v>1.5022987952248701</v>
      </c>
      <c r="O61" s="15">
        <f>IF(ISNUMBER(VLOOKUP($C61,'IMF COFOG FULL'!$B:$CM,80,FALSE)),(VLOOKUP($C61,'IMF COFOG FULL'!$B:$CM,80,FALSE)), " ")</f>
        <v>0.62262398597712598</v>
      </c>
      <c r="P61" s="15">
        <f>IF(ISNUMBER(VLOOKUP($C61,'IMF COFOG FULL'!$B:$CM,81,FALSE)),(VLOOKUP($C61,'IMF COFOG FULL'!$B:$CM,81,FALSE)), " ")</f>
        <v>3.79280212471182E-2</v>
      </c>
      <c r="Q61" s="15">
        <f>IF(ISNUMBER(VLOOKUP($C61,'IMF COFOG FULL'!$B:$CM,82,FALSE)),(VLOOKUP($C61,'IMF COFOG FULL'!$B:$CM,82,FALSE)), " ")</f>
        <v>0.62597429022262996</v>
      </c>
      <c r="R61" s="15">
        <f>IF(ISNUMBER(VLOOKUP($C61,'IMF COFOG FULL'!$B:$CM,83,FALSE)),(VLOOKUP($C61,'IMF COFOG FULL'!$B:$CM,83,FALSE)), " ")</f>
        <v>0.198585608936901</v>
      </c>
      <c r="S61" s="15">
        <f>IF(ISNUMBER(VLOOKUP($C61,'IMF COFOG FULL'!$B:$CM,84,FALSE)),(VLOOKUP($C61,'IMF COFOG FULL'!$B:$CM,84,FALSE)), " ")</f>
        <v>0</v>
      </c>
      <c r="T61" s="15">
        <f>IF(ISNUMBER(VLOOKUP($C61,'IMF COFOG FULL'!$B:$CM,85,FALSE)),(VLOOKUP($C61,'IMF COFOG FULL'!$B:$CM,85,FALSE)), " ")</f>
        <v>1.7186888841097401E-2</v>
      </c>
      <c r="U61" s="7">
        <f>IF(ISNUMBER(VLOOKUP($C61,'IMF COFOG FULL'!$B:$CM,79,FALSE)),(VLOOKUP($C61,'IMF COFOG FULL'!$B:$CM,86,FALSE)), " ")</f>
        <v>2020</v>
      </c>
      <c r="V61" s="15" t="str">
        <f>IF(ISNUMBER(VLOOKUP($C61,'IMF COFOG FULL'!$B:$CM,79,FALSE)),(VLOOKUP($C61,'IMF COFOG FULL'!$B:$CM,87,FALSE)), " ")</f>
        <v>Budgetary central government</v>
      </c>
      <c r="W61" s="15">
        <f t="shared" si="16"/>
        <v>10.601560976242057</v>
      </c>
      <c r="X61" s="15">
        <f t="shared" si="17"/>
        <v>4.3937904853470569</v>
      </c>
      <c r="Y61" s="15">
        <f t="shared" si="18"/>
        <v>0.26765396553442655</v>
      </c>
      <c r="Z61" s="15">
        <f t="shared" si="19"/>
        <v>4.4174332219721339</v>
      </c>
      <c r="AA61" s="15">
        <f t="shared" si="20"/>
        <v>1.4013972778521619</v>
      </c>
      <c r="AB61" s="15">
        <f t="shared" si="21"/>
        <v>0</v>
      </c>
      <c r="AC61" s="15">
        <f t="shared" si="22"/>
        <v>0.12128602553629464</v>
      </c>
      <c r="AD61" s="15">
        <f>'Papua New Guinea'!E14/(10^3)</f>
        <v>0.36019999999999996</v>
      </c>
      <c r="AG61" s="15">
        <f>IF(ISNUMBER(VLOOKUP(C61,'National budgets summary'!A:F,5, FALSE)),(VLOOKUP(C61,'National budgets summary'!A:F,5, FALSE)), " ")</f>
        <v>1.3857000000000002</v>
      </c>
      <c r="AH61">
        <f>IF(ISNUMBER(VLOOKUP(C61,'National budgets summary'!A:F,5, FALSE)),(VLOOKUP(C61,'National budgets summary'!A:F,4, FALSE)), " ")</f>
        <v>2022</v>
      </c>
      <c r="AI61" s="15">
        <f t="shared" si="1"/>
        <v>11.458695112875219</v>
      </c>
      <c r="AJ61" s="15">
        <f t="shared" si="8"/>
        <v>1.6237593597300182</v>
      </c>
      <c r="AK61" s="15">
        <f t="shared" si="9"/>
        <v>4.3937904853470569</v>
      </c>
      <c r="AL61" s="15">
        <f t="shared" si="10"/>
        <v>4.4174332219721339</v>
      </c>
      <c r="AM61" s="15">
        <f t="shared" si="11"/>
        <v>1.4013972778521619</v>
      </c>
      <c r="AN61" s="15">
        <f>AI61</f>
        <v>11.458695112875219</v>
      </c>
      <c r="AO61" s="15">
        <f>AJ61</f>
        <v>1.6237593597300182</v>
      </c>
      <c r="AP61">
        <v>2022</v>
      </c>
      <c r="AQ61" t="s">
        <v>621</v>
      </c>
      <c r="AR61" s="7">
        <f t="shared" si="12"/>
        <v>17.371209208761815</v>
      </c>
      <c r="AS61" s="7">
        <f t="shared" si="13"/>
        <v>17.464682697211373</v>
      </c>
      <c r="AT61" s="7">
        <f t="shared" si="14"/>
        <v>5.5405384893395375</v>
      </c>
      <c r="AU61" s="7">
        <f t="shared" si="15"/>
        <v>45.302886136467507</v>
      </c>
      <c r="AV61" t="s">
        <v>597</v>
      </c>
    </row>
    <row r="62" spans="1:48">
      <c r="A62">
        <v>59</v>
      </c>
      <c r="B62" t="s">
        <v>151</v>
      </c>
      <c r="C62" t="s">
        <v>365</v>
      </c>
      <c r="D62" t="s">
        <v>483</v>
      </c>
      <c r="E62" t="s">
        <v>334</v>
      </c>
      <c r="F62" t="s">
        <v>615</v>
      </c>
      <c r="H62" t="str">
        <f>IF(ISNUMBER(VLOOKUP(C62,'OECD DAC'!B:C,2,FALSE)), "YES", " ")</f>
        <v xml:space="preserve"> </v>
      </c>
      <c r="I62">
        <v>2840</v>
      </c>
      <c r="J62">
        <v>2020</v>
      </c>
      <c r="K62" s="15">
        <f>IF(ISNUMBER(VLOOKUP(C62,'WEO GOV REV'!C:BL,58,FALSE)),(VLOOKUP(C62,'WEO GOV REV'!C:BL,58,FALSE)), " ")</f>
        <v>59.695999999999998</v>
      </c>
      <c r="L62" s="15">
        <f>IF(ISNUMBER(VLOOKUP(C62,'WEO GOV REV'!C:BL,62,FALSE)),(VLOOKUP(C62,'WEO GOV REV'!C:BL,62,FALSE)), " ")</f>
        <v>33.789359883625494</v>
      </c>
      <c r="M62">
        <f>IF(ISNUMBER(VLOOKUP(C62,'WEO GOV REV'!C:BL,62,FALSE)),(VLOOKUP(C62,'WEO GOV REV'!C:BL,57,FALSE)), " ")</f>
        <v>2021</v>
      </c>
      <c r="N62" s="15">
        <f>IF(ISNUMBER(VLOOKUP($C62,'IMF COFOG FULL'!$B:$CM,79,FALSE)),(VLOOKUP($C62,'IMF COFOG FULL'!$B:$CM,79,FALSE)), " ")</f>
        <v>1.8460267982284</v>
      </c>
      <c r="O62" s="15" t="str">
        <f>IF(ISNUMBER(VLOOKUP($C62,'IMF COFOG FULL'!$B:$CM,80,FALSE)),(VLOOKUP($C62,'IMF COFOG FULL'!$B:$CM,80,FALSE)), " ")</f>
        <v xml:space="preserve"> </v>
      </c>
      <c r="P62" s="15" t="str">
        <f>IF(ISNUMBER(VLOOKUP($C62,'IMF COFOG FULL'!$B:$CM,81,FALSE)),(VLOOKUP($C62,'IMF COFOG FULL'!$B:$CM,81,FALSE)), " ")</f>
        <v xml:space="preserve"> </v>
      </c>
      <c r="Q62" s="15" t="str">
        <f>IF(ISNUMBER(VLOOKUP($C62,'IMF COFOG FULL'!$B:$CM,82,FALSE)),(VLOOKUP($C62,'IMF COFOG FULL'!$B:$CM,82,FALSE)), " ")</f>
        <v xml:space="preserve"> </v>
      </c>
      <c r="R62" s="15" t="str">
        <f>IF(ISNUMBER(VLOOKUP($C62,'IMF COFOG FULL'!$B:$CM,83,FALSE)),(VLOOKUP($C62,'IMF COFOG FULL'!$B:$CM,83,FALSE)), " ")</f>
        <v xml:space="preserve"> </v>
      </c>
      <c r="S62" s="15" t="str">
        <f>IF(ISNUMBER(VLOOKUP($C62,'IMF COFOG FULL'!$B:$CM,84,FALSE)),(VLOOKUP($C62,'IMF COFOG FULL'!$B:$CM,84,FALSE)), " ")</f>
        <v xml:space="preserve"> </v>
      </c>
      <c r="T62" s="15" t="str">
        <f>IF(ISNUMBER(VLOOKUP($C62,'IMF COFOG FULL'!$B:$CM,85,FALSE)),(VLOOKUP($C62,'IMF COFOG FULL'!$B:$CM,85,FALSE)), " ")</f>
        <v xml:space="preserve"> </v>
      </c>
      <c r="U62" s="7">
        <f>IF(ISNUMBER(VLOOKUP($C62,'IMF COFOG FULL'!$B:$CM,79,FALSE)),(VLOOKUP($C62,'IMF COFOG FULL'!$B:$CM,86,FALSE)), " ")</f>
        <v>2020</v>
      </c>
      <c r="V62" s="15" t="str">
        <f>IF(ISNUMBER(VLOOKUP($C62,'IMF COFOG FULL'!$B:$CM,79,FALSE)),(VLOOKUP($C62,'IMF COFOG FULL'!$B:$CM,87,FALSE)), " ")</f>
        <v>Budgetary central government</v>
      </c>
      <c r="W62" s="15">
        <f t="shared" si="16"/>
        <v>5.4633375849271255</v>
      </c>
      <c r="X62" s="15" t="str">
        <f t="shared" si="17"/>
        <v xml:space="preserve"> </v>
      </c>
      <c r="Y62" s="15" t="str">
        <f t="shared" si="18"/>
        <v xml:space="preserve"> </v>
      </c>
      <c r="Z62" s="15" t="str">
        <f t="shared" si="19"/>
        <v xml:space="preserve"> </v>
      </c>
      <c r="AA62" s="15" t="str">
        <f t="shared" si="20"/>
        <v xml:space="preserve"> </v>
      </c>
      <c r="AB62" s="15" t="str">
        <f t="shared" si="21"/>
        <v xml:space="preserve"> </v>
      </c>
      <c r="AC62" s="15" t="str">
        <f t="shared" si="22"/>
        <v xml:space="preserve"> </v>
      </c>
      <c r="AG62" s="15">
        <f>IF(ISNUMBER(VLOOKUP(C62,'National budgets summary'!A:F,5, FALSE)),(VLOOKUP(C62,'National budgets summary'!A:F,5, FALSE)), " ")</f>
        <v>3.8013869999999996</v>
      </c>
      <c r="AH62" t="str">
        <f>IF(ISNUMBER(VLOOKUP(C62,'National budgets summary'!A:F,5, FALSE)),(VLOOKUP(C62,'National budgets summary'!A:F,4, FALSE)), " ")</f>
        <v>FY 22/23</v>
      </c>
      <c r="AI62" s="15">
        <f t="shared" si="1"/>
        <v>6.3679090726346823</v>
      </c>
      <c r="AJ62" s="15">
        <f t="shared" si="8"/>
        <v>2.1516757136145714</v>
      </c>
      <c r="AK62" s="15" t="str">
        <f t="shared" si="9"/>
        <v/>
      </c>
      <c r="AL62" s="15" t="str">
        <f t="shared" si="10"/>
        <v/>
      </c>
      <c r="AM62" s="15" t="str">
        <f t="shared" si="11"/>
        <v/>
      </c>
      <c r="AN62" s="15">
        <f>IF(ISNUMBER(AI62),AI62,IF(ISNUMBER(W62),W62, " "))</f>
        <v>6.3679090726346823</v>
      </c>
      <c r="AO62" s="15">
        <f>IF(ISNUMBER(AJ62),AJ62,IF(ISNUMBER(N62),N62, " "))</f>
        <v>2.1516757136145714</v>
      </c>
      <c r="AP62" t="str">
        <f>IF(ISNUMBER(AJ62),AH62,IF(ISNUMBER(N62),U62, " "))</f>
        <v>FY 22/23</v>
      </c>
      <c r="AQ62" t="str">
        <f>IF(ISNUMBER(AJ62),"National",IF(ISNUMBER(N62),"IMF COFOG", " "))</f>
        <v>National</v>
      </c>
      <c r="AR62" s="7" t="str">
        <f t="shared" si="12"/>
        <v xml:space="preserve"> </v>
      </c>
      <c r="AS62" s="7" t="str">
        <f t="shared" si="13"/>
        <v xml:space="preserve"> </v>
      </c>
      <c r="AT62" s="7" t="str">
        <f t="shared" si="14"/>
        <v xml:space="preserve"> </v>
      </c>
      <c r="AU62" s="7">
        <f t="shared" si="15"/>
        <v>61.10759026665383</v>
      </c>
    </row>
    <row r="63" spans="1:48">
      <c r="A63">
        <v>60</v>
      </c>
      <c r="B63" t="s">
        <v>152</v>
      </c>
      <c r="C63" t="s">
        <v>366</v>
      </c>
      <c r="D63" t="s">
        <v>493</v>
      </c>
      <c r="E63" t="s">
        <v>334</v>
      </c>
      <c r="F63" t="s">
        <v>615</v>
      </c>
      <c r="H63" t="str">
        <f>IF(ISNUMBER(VLOOKUP(C63,'OECD DAC'!B:C,2,FALSE)), "YES", " ")</f>
        <v xml:space="preserve"> </v>
      </c>
      <c r="I63">
        <v>2910</v>
      </c>
      <c r="J63">
        <v>2020</v>
      </c>
      <c r="K63" s="15">
        <f>IF(ISNUMBER(VLOOKUP(C63,'WEO GOV REV'!C:BL,58,FALSE)),(VLOOKUP(C63,'WEO GOV REV'!C:BL,58,FALSE)), " ")</f>
        <v>0.3</v>
      </c>
      <c r="L63" s="15">
        <f>IF(ISNUMBER(VLOOKUP(C63,'WEO GOV REV'!C:BL,62,FALSE)),(VLOOKUP(C63,'WEO GOV REV'!C:BL,62,FALSE)), " ")</f>
        <v>114.06844106463878</v>
      </c>
      <c r="M63">
        <f>IF(ISNUMBER(VLOOKUP(C63,'WEO GOV REV'!C:BL,62,FALSE)),(VLOOKUP(C63,'WEO GOV REV'!C:BL,57,FALSE)), " ")</f>
        <v>2020</v>
      </c>
      <c r="N63" s="15">
        <f>IF(ISNUMBER(VLOOKUP($C63,'IMF COFOG FULL'!$B:$CM,79,FALSE)),(VLOOKUP($C63,'IMF COFOG FULL'!$B:$CM,79,FALSE)), " ")</f>
        <v>4.6586870476835296</v>
      </c>
      <c r="O63" s="15" t="str">
        <f>IF(ISNUMBER(VLOOKUP($C63,'IMF COFOG FULL'!$B:$CM,80,FALSE)),(VLOOKUP($C63,'IMF COFOG FULL'!$B:$CM,80,FALSE)), " ")</f>
        <v xml:space="preserve"> </v>
      </c>
      <c r="P63" s="15" t="str">
        <f>IF(ISNUMBER(VLOOKUP($C63,'IMF COFOG FULL'!$B:$CM,81,FALSE)),(VLOOKUP($C63,'IMF COFOG FULL'!$B:$CM,81,FALSE)), " ")</f>
        <v xml:space="preserve"> </v>
      </c>
      <c r="Q63" s="15" t="str">
        <f>IF(ISNUMBER(VLOOKUP($C63,'IMF COFOG FULL'!$B:$CM,82,FALSE)),(VLOOKUP($C63,'IMF COFOG FULL'!$B:$CM,82,FALSE)), " ")</f>
        <v xml:space="preserve"> </v>
      </c>
      <c r="R63" s="15" t="str">
        <f>IF(ISNUMBER(VLOOKUP($C63,'IMF COFOG FULL'!$B:$CM,83,FALSE)),(VLOOKUP($C63,'IMF COFOG FULL'!$B:$CM,83,FALSE)), " ")</f>
        <v xml:space="preserve"> </v>
      </c>
      <c r="S63" s="15" t="str">
        <f>IF(ISNUMBER(VLOOKUP($C63,'IMF COFOG FULL'!$B:$CM,84,FALSE)),(VLOOKUP($C63,'IMF COFOG FULL'!$B:$CM,84,FALSE)), " ")</f>
        <v xml:space="preserve"> </v>
      </c>
      <c r="T63" s="15" t="str">
        <f>IF(ISNUMBER(VLOOKUP($C63,'IMF COFOG FULL'!$B:$CM,85,FALSE)),(VLOOKUP($C63,'IMF COFOG FULL'!$B:$CM,85,FALSE)), " ")</f>
        <v xml:space="preserve"> </v>
      </c>
      <c r="U63" s="7">
        <f>IF(ISNUMBER(VLOOKUP($C63,'IMF COFOG FULL'!$B:$CM,79,FALSE)),(VLOOKUP($C63,'IMF COFOG FULL'!$B:$CM,86,FALSE)), " ")</f>
        <v>2020</v>
      </c>
      <c r="V63" s="15" t="str">
        <f>IF(ISNUMBER(VLOOKUP($C63,'IMF COFOG FULL'!$B:$CM,79,FALSE)),(VLOOKUP($C63,'IMF COFOG FULL'!$B:$CM,87,FALSE)), " ")</f>
        <v>General government</v>
      </c>
      <c r="W63" s="15">
        <f t="shared" si="16"/>
        <v>4.0841156451358946</v>
      </c>
      <c r="X63" s="15" t="str">
        <f t="shared" si="17"/>
        <v xml:space="preserve"> </v>
      </c>
      <c r="Y63" s="15" t="str">
        <f t="shared" si="18"/>
        <v xml:space="preserve"> </v>
      </c>
      <c r="Z63" s="15" t="str">
        <f t="shared" si="19"/>
        <v xml:space="preserve"> </v>
      </c>
      <c r="AA63" s="15" t="str">
        <f t="shared" si="20"/>
        <v xml:space="preserve"> </v>
      </c>
      <c r="AB63" s="15" t="str">
        <f t="shared" si="21"/>
        <v xml:space="preserve"> </v>
      </c>
      <c r="AC63" s="15" t="str">
        <f t="shared" si="22"/>
        <v xml:space="preserve"> </v>
      </c>
      <c r="AG63" s="15" t="str">
        <f>IF(ISNUMBER(VLOOKUP(C63,'National budgets summary'!A:F,5, FALSE)),(VLOOKUP(C63,'National budgets summary'!A:F,5, FALSE)), " ")</f>
        <v xml:space="preserve"> </v>
      </c>
      <c r="AH63" t="str">
        <f>IF(ISNUMBER(VLOOKUP(C63,'National budgets summary'!A:F,5, FALSE)),(VLOOKUP(C63,'National budgets summary'!A:F,4, FALSE)), " ")</f>
        <v xml:space="preserve"> </v>
      </c>
      <c r="AI63" s="15" t="str">
        <f t="shared" si="1"/>
        <v xml:space="preserve"> </v>
      </c>
      <c r="AJ63" s="15" t="str">
        <f t="shared" si="8"/>
        <v xml:space="preserve"> </v>
      </c>
      <c r="AK63" s="15" t="str">
        <f t="shared" si="9"/>
        <v/>
      </c>
      <c r="AL63" s="15" t="str">
        <f t="shared" si="10"/>
        <v/>
      </c>
      <c r="AM63" s="15" t="str">
        <f t="shared" si="11"/>
        <v/>
      </c>
      <c r="AN63" s="15">
        <f t="shared" si="2"/>
        <v>4.0841156451358946</v>
      </c>
      <c r="AO63" s="15">
        <f t="shared" si="3"/>
        <v>4.6586870476835296</v>
      </c>
      <c r="AP63">
        <f t="shared" si="4"/>
        <v>2020</v>
      </c>
      <c r="AQ63" t="str">
        <f t="shared" si="5"/>
        <v>IMF COFOG</v>
      </c>
      <c r="AR63" s="7" t="str">
        <f t="shared" si="12"/>
        <v xml:space="preserve"> </v>
      </c>
      <c r="AS63" s="7" t="str">
        <f t="shared" si="13"/>
        <v xml:space="preserve"> </v>
      </c>
      <c r="AT63" s="7" t="str">
        <f t="shared" si="14"/>
        <v xml:space="preserve"> </v>
      </c>
      <c r="AU63" s="7">
        <f t="shared" si="15"/>
        <v>135.5677930875907</v>
      </c>
    </row>
    <row r="64" spans="1:48">
      <c r="A64">
        <v>61</v>
      </c>
      <c r="B64" t="s">
        <v>153</v>
      </c>
      <c r="C64" t="s">
        <v>367</v>
      </c>
      <c r="D64" t="s">
        <v>493</v>
      </c>
      <c r="E64" t="s">
        <v>334</v>
      </c>
      <c r="F64" t="s">
        <v>615</v>
      </c>
      <c r="H64" t="str">
        <f>IF(ISNUMBER(VLOOKUP(C64,'OECD DAC'!B:C,2,FALSE)), "YES", " ")</f>
        <v xml:space="preserve"> </v>
      </c>
      <c r="I64">
        <v>3140</v>
      </c>
      <c r="J64">
        <v>2021</v>
      </c>
      <c r="K64" s="15">
        <f>IF(ISNUMBER(VLOOKUP(C64,'WEO GOV REV'!C:BL,58,FALSE)),(VLOOKUP(C64,'WEO GOV REV'!C:BL,58,FALSE)), " ")</f>
        <v>43.470999999999997</v>
      </c>
      <c r="L64" s="15">
        <f>IF(ISNUMBER(VLOOKUP(C64,'WEO GOV REV'!C:BL,62,FALSE)),(VLOOKUP(C64,'WEO GOV REV'!C:BL,62,FALSE)), " ")</f>
        <v>42.010707796977073</v>
      </c>
      <c r="M64">
        <f>IF(ISNUMBER(VLOOKUP(C64,'WEO GOV REV'!C:BL,62,FALSE)),(VLOOKUP(C64,'WEO GOV REV'!C:BL,57,FALSE)), " ")</f>
        <v>2020</v>
      </c>
      <c r="N64" s="15" t="str">
        <f>IF(ISNUMBER(VLOOKUP($C64,'IMF COFOG FULL'!$B:$CM,79,FALSE)),(VLOOKUP($C64,'IMF COFOG FULL'!$B:$CM,79,FALSE)), " ")</f>
        <v xml:space="preserve"> </v>
      </c>
      <c r="O64" s="15" t="str">
        <f>IF(ISNUMBER(VLOOKUP($C64,'IMF COFOG FULL'!$B:$CM,80,FALSE)),(VLOOKUP($C64,'IMF COFOG FULL'!$B:$CM,80,FALSE)), " ")</f>
        <v xml:space="preserve"> </v>
      </c>
      <c r="P64" s="15" t="str">
        <f>IF(ISNUMBER(VLOOKUP($C64,'IMF COFOG FULL'!$B:$CM,81,FALSE)),(VLOOKUP($C64,'IMF COFOG FULL'!$B:$CM,81,FALSE)), " ")</f>
        <v xml:space="preserve"> </v>
      </c>
      <c r="Q64" s="15" t="str">
        <f>IF(ISNUMBER(VLOOKUP($C64,'IMF COFOG FULL'!$B:$CM,82,FALSE)),(VLOOKUP($C64,'IMF COFOG FULL'!$B:$CM,82,FALSE)), " ")</f>
        <v xml:space="preserve"> </v>
      </c>
      <c r="R64" s="15" t="str">
        <f>IF(ISNUMBER(VLOOKUP($C64,'IMF COFOG FULL'!$B:$CM,83,FALSE)),(VLOOKUP($C64,'IMF COFOG FULL'!$B:$CM,83,FALSE)), " ")</f>
        <v xml:space="preserve"> </v>
      </c>
      <c r="S64" s="15" t="str">
        <f>IF(ISNUMBER(VLOOKUP($C64,'IMF COFOG FULL'!$B:$CM,84,FALSE)),(VLOOKUP($C64,'IMF COFOG FULL'!$B:$CM,84,FALSE)), " ")</f>
        <v xml:space="preserve"> </v>
      </c>
      <c r="T64" s="15" t="str">
        <f>IF(ISNUMBER(VLOOKUP($C64,'IMF COFOG FULL'!$B:$CM,85,FALSE)),(VLOOKUP($C64,'IMF COFOG FULL'!$B:$CM,85,FALSE)), " ")</f>
        <v xml:space="preserve"> </v>
      </c>
      <c r="U64" s="7" t="str">
        <f>IF(ISNUMBER(VLOOKUP($C64,'IMF COFOG FULL'!$B:$CM,79,FALSE)),(VLOOKUP($C64,'IMF COFOG FULL'!$B:$CM,86,FALSE)), " ")</f>
        <v xml:space="preserve"> </v>
      </c>
      <c r="V64" s="15" t="str">
        <f>IF(ISNUMBER(VLOOKUP($C64,'IMF COFOG FULL'!$B:$CM,79,FALSE)),(VLOOKUP($C64,'IMF COFOG FULL'!$B:$CM,87,FALSE)), " ")</f>
        <v xml:space="preserve"> </v>
      </c>
      <c r="W64" s="15" t="str">
        <f t="shared" si="16"/>
        <v xml:space="preserve"> </v>
      </c>
      <c r="X64" s="15" t="str">
        <f t="shared" si="17"/>
        <v xml:space="preserve"> </v>
      </c>
      <c r="Y64" s="15" t="str">
        <f t="shared" si="18"/>
        <v xml:space="preserve"> </v>
      </c>
      <c r="Z64" s="15" t="str">
        <f t="shared" si="19"/>
        <v xml:space="preserve"> </v>
      </c>
      <c r="AA64" s="15" t="str">
        <f t="shared" si="20"/>
        <v xml:space="preserve"> </v>
      </c>
      <c r="AB64" s="15" t="str">
        <f t="shared" si="21"/>
        <v xml:space="preserve"> </v>
      </c>
      <c r="AC64" s="15" t="str">
        <f t="shared" si="22"/>
        <v xml:space="preserve"> </v>
      </c>
      <c r="AG64" s="15">
        <f>IF(ISNUMBER(VLOOKUP(C64,'National budgets summary'!A:F,5, FALSE)),(VLOOKUP(C64,'National budgets summary'!A:F,5, FALSE)), " ")</f>
        <v>1.5502</v>
      </c>
      <c r="AH64">
        <f>IF(ISNUMBER(VLOOKUP(C64,'National budgets summary'!A:F,5, FALSE)),(VLOOKUP(C64,'National budgets summary'!A:F,4, FALSE)), " ")</f>
        <v>2021</v>
      </c>
      <c r="AI64" s="15">
        <f t="shared" si="1"/>
        <v>3.5660555312737228</v>
      </c>
      <c r="AJ64" s="15">
        <f t="shared" si="8"/>
        <v>1.4981251691213422</v>
      </c>
      <c r="AK64" s="15" t="str">
        <f t="shared" si="9"/>
        <v/>
      </c>
      <c r="AL64" s="15" t="str">
        <f t="shared" si="10"/>
        <v/>
      </c>
      <c r="AM64" s="15" t="str">
        <f t="shared" si="11"/>
        <v/>
      </c>
      <c r="AN64" s="15">
        <f t="shared" si="2"/>
        <v>3.5660555312737228</v>
      </c>
      <c r="AO64" s="15">
        <f t="shared" si="3"/>
        <v>1.4981251691213422</v>
      </c>
      <c r="AP64">
        <f t="shared" si="4"/>
        <v>2021</v>
      </c>
      <c r="AQ64" t="str">
        <f t="shared" si="5"/>
        <v>National</v>
      </c>
      <c r="AR64" s="7" t="str">
        <f t="shared" si="12"/>
        <v xml:space="preserve"> </v>
      </c>
      <c r="AS64" s="7" t="str">
        <f t="shared" si="13"/>
        <v xml:space="preserve"> </v>
      </c>
      <c r="AT64" s="7" t="str">
        <f t="shared" si="14"/>
        <v xml:space="preserve"> </v>
      </c>
      <c r="AU64" s="7">
        <f t="shared" si="15"/>
        <v>47.041130310410139</v>
      </c>
      <c r="AV64" t="s">
        <v>563</v>
      </c>
    </row>
    <row r="65" spans="1:47">
      <c r="A65">
        <v>62</v>
      </c>
      <c r="B65" t="s">
        <v>154</v>
      </c>
      <c r="C65" t="s">
        <v>368</v>
      </c>
      <c r="D65" t="s">
        <v>487</v>
      </c>
      <c r="E65" t="s">
        <v>334</v>
      </c>
      <c r="F65" t="s">
        <v>615</v>
      </c>
      <c r="H65" t="str">
        <f>IF(ISNUMBER(VLOOKUP(C65,'OECD DAC'!B:C,2,FALSE)), "YES", " ")</f>
        <v xml:space="preserve"> </v>
      </c>
      <c r="I65">
        <v>3300</v>
      </c>
      <c r="J65">
        <v>2021</v>
      </c>
      <c r="K65" s="15">
        <f>IF(ISNUMBER(VLOOKUP(C65,'WEO GOV REV'!C:BL,58,FALSE)),(VLOOKUP(C65,'WEO GOV REV'!C:BL,58,FALSE)), " ")</f>
        <v>132.58000000000001</v>
      </c>
      <c r="L65" s="15">
        <f>IF(ISNUMBER(VLOOKUP(C65,'WEO GOV REV'!C:BL,62,FALSE)),(VLOOKUP(C65,'WEO GOV REV'!C:BL,62,FALSE)), " ")</f>
        <v>21.875613591326317</v>
      </c>
      <c r="M65">
        <f>IF(ISNUMBER(VLOOKUP(C65,'WEO GOV REV'!C:BL,62,FALSE)),(VLOOKUP(C65,'WEO GOV REV'!C:BL,57,FALSE)), " ")</f>
        <v>2020</v>
      </c>
      <c r="N65" s="15" t="str">
        <f>IF(ISNUMBER(VLOOKUP($C65,'IMF COFOG FULL'!$B:$CM,79,FALSE)),(VLOOKUP($C65,'IMF COFOG FULL'!$B:$CM,79,FALSE)), " ")</f>
        <v xml:space="preserve"> </v>
      </c>
      <c r="O65" s="15" t="str">
        <f>IF(ISNUMBER(VLOOKUP($C65,'IMF COFOG FULL'!$B:$CM,80,FALSE)),(VLOOKUP($C65,'IMF COFOG FULL'!$B:$CM,80,FALSE)), " ")</f>
        <v xml:space="preserve"> </v>
      </c>
      <c r="P65" s="15" t="str">
        <f>IF(ISNUMBER(VLOOKUP($C65,'IMF COFOG FULL'!$B:$CM,81,FALSE)),(VLOOKUP($C65,'IMF COFOG FULL'!$B:$CM,81,FALSE)), " ")</f>
        <v xml:space="preserve"> </v>
      </c>
      <c r="Q65" s="15" t="str">
        <f>IF(ISNUMBER(VLOOKUP($C65,'IMF COFOG FULL'!$B:$CM,82,FALSE)),(VLOOKUP($C65,'IMF COFOG FULL'!$B:$CM,82,FALSE)), " ")</f>
        <v xml:space="preserve"> </v>
      </c>
      <c r="R65" s="15" t="str">
        <f>IF(ISNUMBER(VLOOKUP($C65,'IMF COFOG FULL'!$B:$CM,83,FALSE)),(VLOOKUP($C65,'IMF COFOG FULL'!$B:$CM,83,FALSE)), " ")</f>
        <v xml:space="preserve"> </v>
      </c>
      <c r="S65" s="15" t="str">
        <f>IF(ISNUMBER(VLOOKUP($C65,'IMF COFOG FULL'!$B:$CM,84,FALSE)),(VLOOKUP($C65,'IMF COFOG FULL'!$B:$CM,84,FALSE)), " ")</f>
        <v xml:space="preserve"> </v>
      </c>
      <c r="T65" s="15" t="str">
        <f>IF(ISNUMBER(VLOOKUP($C65,'IMF COFOG FULL'!$B:$CM,85,FALSE)),(VLOOKUP($C65,'IMF COFOG FULL'!$B:$CM,85,FALSE)), " ")</f>
        <v xml:space="preserve"> </v>
      </c>
      <c r="U65" s="7" t="str">
        <f>IF(ISNUMBER(VLOOKUP($C65,'IMF COFOG FULL'!$B:$CM,79,FALSE)),(VLOOKUP($C65,'IMF COFOG FULL'!$B:$CM,86,FALSE)), " ")</f>
        <v xml:space="preserve"> </v>
      </c>
      <c r="V65" s="15" t="str">
        <f>IF(ISNUMBER(VLOOKUP($C65,'IMF COFOG FULL'!$B:$CM,79,FALSE)),(VLOOKUP($C65,'IMF COFOG FULL'!$B:$CM,87,FALSE)), " ")</f>
        <v xml:space="preserve"> </v>
      </c>
      <c r="W65" s="15" t="str">
        <f t="shared" si="16"/>
        <v xml:space="preserve"> </v>
      </c>
      <c r="X65" s="15" t="str">
        <f t="shared" si="17"/>
        <v xml:space="preserve"> </v>
      </c>
      <c r="Y65" s="15" t="str">
        <f t="shared" si="18"/>
        <v xml:space="preserve"> </v>
      </c>
      <c r="Z65" s="15" t="str">
        <f t="shared" si="19"/>
        <v xml:space="preserve"> </v>
      </c>
      <c r="AA65" s="15" t="str">
        <f t="shared" si="20"/>
        <v xml:space="preserve"> </v>
      </c>
      <c r="AB65" s="15" t="str">
        <f t="shared" si="21"/>
        <v xml:space="preserve"> </v>
      </c>
      <c r="AC65" s="15" t="str">
        <f t="shared" si="22"/>
        <v xml:space="preserve"> </v>
      </c>
      <c r="AG65" s="15" t="str">
        <f>IF(ISNUMBER(VLOOKUP(C65,'National budgets summary'!A:F,5, FALSE)),(VLOOKUP(C65,'National budgets summary'!A:F,5, FALSE)), " ")</f>
        <v xml:space="preserve"> </v>
      </c>
      <c r="AH65" t="str">
        <f>IF(ISNUMBER(VLOOKUP(C65,'National budgets summary'!A:F,5, FALSE)),(VLOOKUP(C65,'National budgets summary'!A:F,4, FALSE)), " ")</f>
        <v xml:space="preserve"> </v>
      </c>
      <c r="AI65" s="15" t="str">
        <f t="shared" si="1"/>
        <v xml:space="preserve"> </v>
      </c>
      <c r="AJ65" s="15" t="str">
        <f t="shared" si="8"/>
        <v xml:space="preserve"> </v>
      </c>
      <c r="AK65" s="15" t="str">
        <f t="shared" si="9"/>
        <v/>
      </c>
      <c r="AL65" s="15" t="str">
        <f t="shared" si="10"/>
        <v/>
      </c>
      <c r="AM65" s="15" t="str">
        <f t="shared" si="11"/>
        <v/>
      </c>
      <c r="AN65" s="15" t="str">
        <f t="shared" si="2"/>
        <v xml:space="preserve"> </v>
      </c>
      <c r="AO65" s="15" t="str">
        <f t="shared" si="3"/>
        <v xml:space="preserve"> </v>
      </c>
      <c r="AP65" t="str">
        <f t="shared" si="4"/>
        <v xml:space="preserve"> </v>
      </c>
      <c r="AQ65" t="str">
        <f t="shared" si="5"/>
        <v xml:space="preserve"> </v>
      </c>
      <c r="AR65" s="7" t="str">
        <f t="shared" si="12"/>
        <v xml:space="preserve"> </v>
      </c>
      <c r="AS65" s="7" t="str">
        <f t="shared" si="13"/>
        <v xml:space="preserve"> </v>
      </c>
      <c r="AT65" s="7" t="str">
        <f t="shared" si="14"/>
        <v xml:space="preserve"> </v>
      </c>
      <c r="AU65" s="7" t="str">
        <f t="shared" si="15"/>
        <v xml:space="preserve"> </v>
      </c>
    </row>
    <row r="66" spans="1:47">
      <c r="A66">
        <v>63</v>
      </c>
      <c r="B66" t="s">
        <v>155</v>
      </c>
      <c r="C66" t="s">
        <v>369</v>
      </c>
      <c r="D66" t="s">
        <v>496</v>
      </c>
      <c r="E66" t="s">
        <v>334</v>
      </c>
      <c r="F66" t="s">
        <v>617</v>
      </c>
      <c r="H66" t="str">
        <f>IF(ISNUMBER(VLOOKUP(C66,'OECD DAC'!B:C,2,FALSE)), "YES", " ")</f>
        <v xml:space="preserve"> </v>
      </c>
      <c r="I66">
        <v>3330</v>
      </c>
      <c r="J66">
        <v>2021</v>
      </c>
      <c r="K66" s="15">
        <f>IF(ISNUMBER(VLOOKUP(C66,'WEO GOV REV'!C:BL,58,FALSE)),(VLOOKUP(C66,'WEO GOV REV'!C:BL,58,FALSE)), " ")</f>
        <v>43.750999999999998</v>
      </c>
      <c r="L66" s="15">
        <f>IF(ISNUMBER(VLOOKUP(C66,'WEO GOV REV'!C:BL,62,FALSE)),(VLOOKUP(C66,'WEO GOV REV'!C:BL,62,FALSE)), " ")</f>
        <v>26.530067733504737</v>
      </c>
      <c r="M66">
        <f>IF(ISNUMBER(VLOOKUP(C66,'WEO GOV REV'!C:BL,62,FALSE)),(VLOOKUP(C66,'WEO GOV REV'!C:BL,57,FALSE)), " ")</f>
        <v>2020</v>
      </c>
      <c r="N66" s="15">
        <f>IF(ISNUMBER(VLOOKUP($C66,'IMF COFOG FULL'!$B:$CM,79,FALSE)),(VLOOKUP($C66,'IMF COFOG FULL'!$B:$CM,79,FALSE)), " ")</f>
        <v>3.5744573101547901</v>
      </c>
      <c r="O66" s="15">
        <f>IF(ISNUMBER(VLOOKUP($C66,'IMF COFOG FULL'!$B:$CM,80,FALSE)),(VLOOKUP($C66,'IMF COFOG FULL'!$B:$CM,80,FALSE)), " ")</f>
        <v>2.80122998216004E-2</v>
      </c>
      <c r="P66" s="15">
        <f>IF(ISNUMBER(VLOOKUP($C66,'IMF COFOG FULL'!$B:$CM,81,FALSE)),(VLOOKUP($C66,'IMF COFOG FULL'!$B:$CM,81,FALSE)), " ")</f>
        <v>0</v>
      </c>
      <c r="Q66" s="15">
        <f>IF(ISNUMBER(VLOOKUP($C66,'IMF COFOG FULL'!$B:$CM,82,FALSE)),(VLOOKUP($C66,'IMF COFOG FULL'!$B:$CM,82,FALSE)), " ")</f>
        <v>0.48763575032303902</v>
      </c>
      <c r="R66" s="15">
        <f>IF(ISNUMBER(VLOOKUP($C66,'IMF COFOG FULL'!$B:$CM,83,FALSE)),(VLOOKUP($C66,'IMF COFOG FULL'!$B:$CM,83,FALSE)), " ")</f>
        <v>0.20819076979652401</v>
      </c>
      <c r="S66" s="15">
        <f>IF(ISNUMBER(VLOOKUP($C66,'IMF COFOG FULL'!$B:$CM,84,FALSE)),(VLOOKUP($C66,'IMF COFOG FULL'!$B:$CM,84,FALSE)), " ")</f>
        <v>6.0830929457292897E-2</v>
      </c>
      <c r="T66" s="15">
        <f>IF(ISNUMBER(VLOOKUP($C66,'IMF COFOG FULL'!$B:$CM,85,FALSE)),(VLOOKUP($C66,'IMF COFOG FULL'!$B:$CM,85,FALSE)), " ")</f>
        <v>0.172661071728725</v>
      </c>
      <c r="U66" s="7">
        <f>IF(ISNUMBER(VLOOKUP($C66,'IMF COFOG FULL'!$B:$CM,79,FALSE)),(VLOOKUP($C66,'IMF COFOG FULL'!$B:$CM,86,FALSE)), " ")</f>
        <v>2020</v>
      </c>
      <c r="V66" s="15" t="str">
        <f>IF(ISNUMBER(VLOOKUP($C66,'IMF COFOG FULL'!$B:$CM,79,FALSE)),(VLOOKUP($C66,'IMF COFOG FULL'!$B:$CM,87,FALSE)), " ")</f>
        <v>Budgetary central government</v>
      </c>
      <c r="W66" s="15">
        <f t="shared" si="16"/>
        <v>13.473230999861412</v>
      </c>
      <c r="X66" s="15">
        <f t="shared" si="17"/>
        <v>0.10558698946035391</v>
      </c>
      <c r="Y66" s="15">
        <f t="shared" si="18"/>
        <v>0</v>
      </c>
      <c r="Z66" s="15">
        <f t="shared" si="19"/>
        <v>1.8380493982199879</v>
      </c>
      <c r="AA66" s="15">
        <f t="shared" si="20"/>
        <v>0.78473516120579123</v>
      </c>
      <c r="AB66" s="15">
        <f t="shared" si="21"/>
        <v>0.2292905169649066</v>
      </c>
      <c r="AC66" s="15">
        <f t="shared" si="22"/>
        <v>0.65081278141884236</v>
      </c>
      <c r="AG66" s="15" t="str">
        <f>IF(ISNUMBER(VLOOKUP(C66,'National budgets summary'!A:F,5, FALSE)),(VLOOKUP(C66,'National budgets summary'!A:F,5, FALSE)), " ")</f>
        <v xml:space="preserve"> </v>
      </c>
      <c r="AH66" t="str">
        <f>IF(ISNUMBER(VLOOKUP(C66,'National budgets summary'!A:F,5, FALSE)),(VLOOKUP(C66,'National budgets summary'!A:F,4, FALSE)), " ")</f>
        <v xml:space="preserve"> </v>
      </c>
      <c r="AI66" s="15" t="str">
        <f t="shared" si="1"/>
        <v xml:space="preserve"> </v>
      </c>
      <c r="AJ66" s="15" t="str">
        <f t="shared" si="8"/>
        <v xml:space="preserve"> </v>
      </c>
      <c r="AK66" s="15">
        <f t="shared" si="9"/>
        <v>0.10558698946035391</v>
      </c>
      <c r="AL66" s="15">
        <f t="shared" si="10"/>
        <v>1.8380493982199879</v>
      </c>
      <c r="AM66" s="15">
        <f t="shared" si="11"/>
        <v>0.78473516120579123</v>
      </c>
      <c r="AN66" s="15">
        <f t="shared" si="2"/>
        <v>13.473230999861412</v>
      </c>
      <c r="AO66" s="15">
        <f t="shared" si="3"/>
        <v>3.5744573101547901</v>
      </c>
      <c r="AP66">
        <f t="shared" si="4"/>
        <v>2020</v>
      </c>
      <c r="AQ66" t="str">
        <f t="shared" si="5"/>
        <v>IMF COFOG</v>
      </c>
      <c r="AR66" s="7">
        <f t="shared" si="12"/>
        <v>0.93280958405929326</v>
      </c>
      <c r="AS66" s="7">
        <f t="shared" si="13"/>
        <v>16.238270485757198</v>
      </c>
      <c r="AT66" s="7">
        <f t="shared" si="14"/>
        <v>6.932752634224248</v>
      </c>
      <c r="AU66" s="7">
        <f t="shared" si="15"/>
        <v>119.02942842815449</v>
      </c>
    </row>
    <row r="67" spans="1:47">
      <c r="A67">
        <v>64</v>
      </c>
      <c r="B67" t="s">
        <v>156</v>
      </c>
      <c r="C67" t="s">
        <v>370</v>
      </c>
      <c r="D67" t="s">
        <v>487</v>
      </c>
      <c r="E67" t="s">
        <v>334</v>
      </c>
      <c r="F67" t="s">
        <v>619</v>
      </c>
      <c r="H67" t="str">
        <f>IF(ISNUMBER(VLOOKUP(C67,'OECD DAC'!B:C,2,FALSE)), "YES", " ")</f>
        <v xml:space="preserve"> </v>
      </c>
      <c r="I67">
        <v>3350</v>
      </c>
      <c r="J67">
        <v>2021</v>
      </c>
      <c r="K67" s="15">
        <f>IF(ISNUMBER(VLOOKUP(C67,'WEO GOV REV'!C:BL,58,FALSE)),(VLOOKUP(C67,'WEO GOV REV'!C:BL,58,FALSE)), " ")</f>
        <v>311.14699999999999</v>
      </c>
      <c r="L67" s="15">
        <f>IF(ISNUMBER(VLOOKUP(C67,'WEO GOV REV'!C:BL,62,FALSE)),(VLOOKUP(C67,'WEO GOV REV'!C:BL,62,FALSE)), " ")</f>
        <v>28.558172406197222</v>
      </c>
      <c r="M67">
        <f>IF(ISNUMBER(VLOOKUP(C67,'WEO GOV REV'!C:BL,62,FALSE)),(VLOOKUP(C67,'WEO GOV REV'!C:BL,57,FALSE)), " ")</f>
        <v>2020</v>
      </c>
      <c r="N67" s="15" t="str">
        <f>IF(ISNUMBER(VLOOKUP($C67,'IMF COFOG FULL'!$B:$CM,79,FALSE)),(VLOOKUP($C67,'IMF COFOG FULL'!$B:$CM,79,FALSE)), " ")</f>
        <v xml:space="preserve"> </v>
      </c>
      <c r="O67" s="15" t="str">
        <f>IF(ISNUMBER(VLOOKUP($C67,'IMF COFOG FULL'!$B:$CM,80,FALSE)),(VLOOKUP($C67,'IMF COFOG FULL'!$B:$CM,80,FALSE)), " ")</f>
        <v xml:space="preserve"> </v>
      </c>
      <c r="P67" s="15" t="str">
        <f>IF(ISNUMBER(VLOOKUP($C67,'IMF COFOG FULL'!$B:$CM,81,FALSE)),(VLOOKUP($C67,'IMF COFOG FULL'!$B:$CM,81,FALSE)), " ")</f>
        <v xml:space="preserve"> </v>
      </c>
      <c r="Q67" s="15" t="str">
        <f>IF(ISNUMBER(VLOOKUP($C67,'IMF COFOG FULL'!$B:$CM,82,FALSE)),(VLOOKUP($C67,'IMF COFOG FULL'!$B:$CM,82,FALSE)), " ")</f>
        <v xml:space="preserve"> </v>
      </c>
      <c r="R67" s="15" t="str">
        <f>IF(ISNUMBER(VLOOKUP($C67,'IMF COFOG FULL'!$B:$CM,83,FALSE)),(VLOOKUP($C67,'IMF COFOG FULL'!$B:$CM,83,FALSE)), " ")</f>
        <v xml:space="preserve"> </v>
      </c>
      <c r="S67" s="15" t="str">
        <f>IF(ISNUMBER(VLOOKUP($C67,'IMF COFOG FULL'!$B:$CM,84,FALSE)),(VLOOKUP($C67,'IMF COFOG FULL'!$B:$CM,84,FALSE)), " ")</f>
        <v xml:space="preserve"> </v>
      </c>
      <c r="T67" s="15" t="str">
        <f>IF(ISNUMBER(VLOOKUP($C67,'IMF COFOG FULL'!$B:$CM,85,FALSE)),(VLOOKUP($C67,'IMF COFOG FULL'!$B:$CM,85,FALSE)), " ")</f>
        <v xml:space="preserve"> </v>
      </c>
      <c r="U67" s="7" t="str">
        <f>IF(ISNUMBER(VLOOKUP($C67,'IMF COFOG FULL'!$B:$CM,79,FALSE)),(VLOOKUP($C67,'IMF COFOG FULL'!$B:$CM,86,FALSE)), " ")</f>
        <v xml:space="preserve"> </v>
      </c>
      <c r="V67" s="15" t="str">
        <f>IF(ISNUMBER(VLOOKUP($C67,'IMF COFOG FULL'!$B:$CM,79,FALSE)),(VLOOKUP($C67,'IMF COFOG FULL'!$B:$CM,87,FALSE)), " ")</f>
        <v xml:space="preserve"> </v>
      </c>
      <c r="W67" s="15" t="str">
        <f t="shared" si="16"/>
        <v xml:space="preserve"> </v>
      </c>
      <c r="X67" s="15" t="str">
        <f t="shared" si="17"/>
        <v xml:space="preserve"> </v>
      </c>
      <c r="Y67" s="15" t="str">
        <f t="shared" si="18"/>
        <v xml:space="preserve"> </v>
      </c>
      <c r="Z67" s="15" t="str">
        <f t="shared" si="19"/>
        <v xml:space="preserve"> </v>
      </c>
      <c r="AA67" s="15" t="str">
        <f t="shared" si="20"/>
        <v xml:space="preserve"> </v>
      </c>
      <c r="AB67" s="15" t="str">
        <f t="shared" si="21"/>
        <v xml:space="preserve"> </v>
      </c>
      <c r="AC67" s="15" t="str">
        <f t="shared" si="22"/>
        <v xml:space="preserve"> </v>
      </c>
      <c r="AG67" s="15">
        <f>IF(ISNUMBER(VLOOKUP(C67,'National budgets summary'!A:F,5, FALSE)),(VLOOKUP(C67,'National budgets summary'!A:F,5, FALSE)), " ")</f>
        <v>44.598770000000002</v>
      </c>
      <c r="AH67">
        <f>IF(ISNUMBER(VLOOKUP(C67,'National budgets summary'!A:F,5, FALSE)),(VLOOKUP(C67,'National budgets summary'!A:F,4, FALSE)), " ")</f>
        <v>2022</v>
      </c>
      <c r="AI67" s="15">
        <f t="shared" si="1"/>
        <v>14.333665437879844</v>
      </c>
      <c r="AJ67" s="15">
        <f t="shared" si="8"/>
        <v>4.0934328878772304</v>
      </c>
      <c r="AK67" s="15" t="str">
        <f t="shared" si="9"/>
        <v/>
      </c>
      <c r="AL67" s="15" t="str">
        <f t="shared" si="10"/>
        <v/>
      </c>
      <c r="AM67" s="15" t="str">
        <f t="shared" si="11"/>
        <v/>
      </c>
      <c r="AN67" s="15">
        <f t="shared" si="2"/>
        <v>14.333665437879844</v>
      </c>
      <c r="AO67" s="15">
        <f t="shared" si="3"/>
        <v>4.0934328878772304</v>
      </c>
      <c r="AP67">
        <f t="shared" si="4"/>
        <v>2022</v>
      </c>
      <c r="AQ67" t="str">
        <f t="shared" si="5"/>
        <v>National</v>
      </c>
      <c r="AR67" s="7" t="str">
        <f t="shared" si="12"/>
        <v xml:space="preserve"> </v>
      </c>
      <c r="AS67" s="7" t="str">
        <f t="shared" si="13"/>
        <v xml:space="preserve"> </v>
      </c>
      <c r="AT67" s="7" t="str">
        <f t="shared" si="14"/>
        <v xml:space="preserve"> </v>
      </c>
      <c r="AU67" s="7">
        <f t="shared" si="15"/>
        <v>137.13000174388722</v>
      </c>
    </row>
    <row r="68" spans="1:47">
      <c r="A68">
        <v>65</v>
      </c>
      <c r="B68" t="s">
        <v>157</v>
      </c>
      <c r="C68" t="s">
        <v>371</v>
      </c>
      <c r="D68" t="s">
        <v>497</v>
      </c>
      <c r="E68" t="s">
        <v>334</v>
      </c>
      <c r="F68" t="s">
        <v>619</v>
      </c>
      <c r="G68" t="s">
        <v>616</v>
      </c>
      <c r="H68" t="str">
        <f>IF(ISNUMBER(VLOOKUP(C68,'OECD DAC'!B:C,2,FALSE)), "YES", " ")</f>
        <v xml:space="preserve"> </v>
      </c>
      <c r="I68">
        <v>3360</v>
      </c>
      <c r="J68">
        <v>2021</v>
      </c>
      <c r="K68" s="15">
        <f>IF(ISNUMBER(VLOOKUP(C68,'WEO GOV REV'!C:BL,58,FALSE)),(VLOOKUP(C68,'WEO GOV REV'!C:BL,58,FALSE)), " ")</f>
        <v>63.935000000000002</v>
      </c>
      <c r="L68" s="15">
        <f>IF(ISNUMBER(VLOOKUP(C68,'WEO GOV REV'!C:BL,62,FALSE)),(VLOOKUP(C68,'WEO GOV REV'!C:BL,62,FALSE)), " ")</f>
        <v>25.259568886500837</v>
      </c>
      <c r="M68">
        <f>IF(ISNUMBER(VLOOKUP(C68,'WEO GOV REV'!C:BL,62,FALSE)),(VLOOKUP(C68,'WEO GOV REV'!C:BL,57,FALSE)), " ")</f>
        <v>2020</v>
      </c>
      <c r="N68" s="15" t="str">
        <f>IF(ISNUMBER(VLOOKUP($C68,'IMF COFOG FULL'!$B:$CM,79,FALSE)),(VLOOKUP($C68,'IMF COFOG FULL'!$B:$CM,79,FALSE)), " ")</f>
        <v xml:space="preserve"> </v>
      </c>
      <c r="O68" s="15" t="str">
        <f>IF(ISNUMBER(VLOOKUP($C68,'IMF COFOG FULL'!$B:$CM,80,FALSE)),(VLOOKUP($C68,'IMF COFOG FULL'!$B:$CM,80,FALSE)), " ")</f>
        <v xml:space="preserve"> </v>
      </c>
      <c r="P68" s="15" t="str">
        <f>IF(ISNUMBER(VLOOKUP($C68,'IMF COFOG FULL'!$B:$CM,81,FALSE)),(VLOOKUP($C68,'IMF COFOG FULL'!$B:$CM,81,FALSE)), " ")</f>
        <v xml:space="preserve"> </v>
      </c>
      <c r="Q68" s="15" t="str">
        <f>IF(ISNUMBER(VLOOKUP($C68,'IMF COFOG FULL'!$B:$CM,82,FALSE)),(VLOOKUP($C68,'IMF COFOG FULL'!$B:$CM,82,FALSE)), " ")</f>
        <v xml:space="preserve"> </v>
      </c>
      <c r="R68" s="15" t="str">
        <f>IF(ISNUMBER(VLOOKUP($C68,'IMF COFOG FULL'!$B:$CM,83,FALSE)),(VLOOKUP($C68,'IMF COFOG FULL'!$B:$CM,83,FALSE)), " ")</f>
        <v xml:space="preserve"> </v>
      </c>
      <c r="S68" s="15" t="str">
        <f>IF(ISNUMBER(VLOOKUP($C68,'IMF COFOG FULL'!$B:$CM,84,FALSE)),(VLOOKUP($C68,'IMF COFOG FULL'!$B:$CM,84,FALSE)), " ")</f>
        <v xml:space="preserve"> </v>
      </c>
      <c r="T68" s="15" t="str">
        <f>IF(ISNUMBER(VLOOKUP($C68,'IMF COFOG FULL'!$B:$CM,85,FALSE)),(VLOOKUP($C68,'IMF COFOG FULL'!$B:$CM,85,FALSE)), " ")</f>
        <v xml:space="preserve"> </v>
      </c>
      <c r="U68" s="7" t="str">
        <f>IF(ISNUMBER(VLOOKUP($C68,'IMF COFOG FULL'!$B:$CM,79,FALSE)),(VLOOKUP($C68,'IMF COFOG FULL'!$B:$CM,86,FALSE)), " ")</f>
        <v xml:space="preserve"> </v>
      </c>
      <c r="V68" s="15" t="str">
        <f>IF(ISNUMBER(VLOOKUP($C68,'IMF COFOG FULL'!$B:$CM,79,FALSE)),(VLOOKUP($C68,'IMF COFOG FULL'!$B:$CM,87,FALSE)), " ")</f>
        <v xml:space="preserve"> </v>
      </c>
      <c r="W68" s="15" t="str">
        <f t="shared" si="16"/>
        <v xml:space="preserve"> </v>
      </c>
      <c r="X68" s="15" t="str">
        <f t="shared" si="17"/>
        <v xml:space="preserve"> </v>
      </c>
      <c r="Y68" s="15" t="str">
        <f t="shared" si="18"/>
        <v xml:space="preserve"> </v>
      </c>
      <c r="Z68" s="15" t="str">
        <f t="shared" si="19"/>
        <v xml:space="preserve"> </v>
      </c>
      <c r="AA68" s="15" t="str">
        <f t="shared" si="20"/>
        <v xml:space="preserve"> </v>
      </c>
      <c r="AB68" s="15" t="str">
        <f t="shared" si="21"/>
        <v xml:space="preserve"> </v>
      </c>
      <c r="AC68" s="15" t="str">
        <f t="shared" si="22"/>
        <v xml:space="preserve"> </v>
      </c>
      <c r="AG68" s="15" t="str">
        <f>IF(ISNUMBER(VLOOKUP(C68,'National budgets summary'!A:F,5, FALSE)),(VLOOKUP(C68,'National budgets summary'!A:F,5, FALSE)), " ")</f>
        <v xml:space="preserve"> </v>
      </c>
      <c r="AH68" t="str">
        <f>IF(ISNUMBER(VLOOKUP(C68,'National budgets summary'!A:F,5, FALSE)),(VLOOKUP(C68,'National budgets summary'!A:F,4, FALSE)), " ")</f>
        <v xml:space="preserve"> </v>
      </c>
      <c r="AI68" s="15" t="str">
        <f t="shared" ref="AI68:AI131" si="26">IF(ISNUMBER(AG68),(AG68/K68*100), " ")</f>
        <v xml:space="preserve"> </v>
      </c>
      <c r="AJ68" s="15" t="str">
        <f t="shared" si="8"/>
        <v xml:space="preserve"> </v>
      </c>
      <c r="AK68" s="15" t="str">
        <f t="shared" si="9"/>
        <v/>
      </c>
      <c r="AL68" s="15" t="str">
        <f t="shared" si="10"/>
        <v/>
      </c>
      <c r="AM68" s="15" t="str">
        <f t="shared" si="11"/>
        <v/>
      </c>
      <c r="AN68" s="15" t="str">
        <f t="shared" ref="AN68:AN131" si="27">IF(ISNUMBER(W68),W68,IF(ISNUMBER(AI68),AI68, " "))</f>
        <v xml:space="preserve"> </v>
      </c>
      <c r="AO68" s="15" t="str">
        <f t="shared" ref="AO68:AO131" si="28">IF(ISNUMBER(N68),N68,IF(ISNUMBER(AJ68),AJ68, " "))</f>
        <v xml:space="preserve"> </v>
      </c>
      <c r="AP68" t="str">
        <f t="shared" ref="AP68:AP131" si="29">IF(ISNUMBER(N68),U68,IF(ISNUMBER(AJ68),AH68, " "))</f>
        <v xml:space="preserve"> </v>
      </c>
      <c r="AQ68" t="str">
        <f t="shared" ref="AQ68:AQ131" si="30">IF(ISNUMBER(N68),"IMF COFOG",IF(ISNUMBER(AJ68),"National", " "))</f>
        <v xml:space="preserve"> </v>
      </c>
      <c r="AR68" s="7" t="str">
        <f t="shared" si="12"/>
        <v xml:space="preserve"> </v>
      </c>
      <c r="AS68" s="7" t="str">
        <f t="shared" si="13"/>
        <v xml:space="preserve"> </v>
      </c>
      <c r="AT68" s="7" t="str">
        <f t="shared" si="14"/>
        <v xml:space="preserve"> </v>
      </c>
      <c r="AU68" s="7" t="str">
        <f t="shared" si="15"/>
        <v xml:space="preserve"> </v>
      </c>
    </row>
    <row r="69" spans="1:47">
      <c r="A69">
        <v>66</v>
      </c>
      <c r="B69" t="s">
        <v>158</v>
      </c>
      <c r="C69" t="s">
        <v>372</v>
      </c>
      <c r="D69" t="s">
        <v>487</v>
      </c>
      <c r="E69" t="s">
        <v>334</v>
      </c>
      <c r="F69" t="s">
        <v>619</v>
      </c>
      <c r="H69" t="str">
        <f>IF(ISNUMBER(VLOOKUP(C69,'OECD DAC'!B:C,2,FALSE)), "YES", " ")</f>
        <v xml:space="preserve"> </v>
      </c>
      <c r="I69">
        <v>3370</v>
      </c>
      <c r="J69">
        <v>2020</v>
      </c>
      <c r="K69" s="15">
        <f>IF(ISNUMBER(VLOOKUP(C69,'WEO GOV REV'!C:BL,58,FALSE)),(VLOOKUP(C69,'WEO GOV REV'!C:BL,58,FALSE)), " ")</f>
        <v>2550000</v>
      </c>
      <c r="L69" s="15">
        <f>IF(ISNUMBER(VLOOKUP(C69,'WEO GOV REV'!C:BL,62,FALSE)),(VLOOKUP(C69,'WEO GOV REV'!C:BL,62,FALSE)), " ")</f>
        <v>9.2581704325267289</v>
      </c>
      <c r="M69">
        <f>IF(ISNUMBER(VLOOKUP(C69,'WEO GOV REV'!C:BL,62,FALSE)),(VLOOKUP(C69,'WEO GOV REV'!C:BL,57,FALSE)), " ")</f>
        <v>2019</v>
      </c>
      <c r="N69" s="15" t="str">
        <f>IF(ISNUMBER(VLOOKUP($C69,'IMF COFOG FULL'!$B:$CM,79,FALSE)),(VLOOKUP($C69,'IMF COFOG FULL'!$B:$CM,79,FALSE)), " ")</f>
        <v xml:space="preserve"> </v>
      </c>
      <c r="O69" s="15" t="str">
        <f>IF(ISNUMBER(VLOOKUP($C69,'IMF COFOG FULL'!$B:$CM,80,FALSE)),(VLOOKUP($C69,'IMF COFOG FULL'!$B:$CM,80,FALSE)), " ")</f>
        <v xml:space="preserve"> </v>
      </c>
      <c r="P69" s="15" t="str">
        <f>IF(ISNUMBER(VLOOKUP($C69,'IMF COFOG FULL'!$B:$CM,81,FALSE)),(VLOOKUP($C69,'IMF COFOG FULL'!$B:$CM,81,FALSE)), " ")</f>
        <v xml:space="preserve"> </v>
      </c>
      <c r="Q69" s="15" t="str">
        <f>IF(ISNUMBER(VLOOKUP($C69,'IMF COFOG FULL'!$B:$CM,82,FALSE)),(VLOOKUP($C69,'IMF COFOG FULL'!$B:$CM,82,FALSE)), " ")</f>
        <v xml:space="preserve"> </v>
      </c>
      <c r="R69" s="15" t="str">
        <f>IF(ISNUMBER(VLOOKUP($C69,'IMF COFOG FULL'!$B:$CM,83,FALSE)),(VLOOKUP($C69,'IMF COFOG FULL'!$B:$CM,83,FALSE)), " ")</f>
        <v xml:space="preserve"> </v>
      </c>
      <c r="S69" s="15" t="str">
        <f>IF(ISNUMBER(VLOOKUP($C69,'IMF COFOG FULL'!$B:$CM,84,FALSE)),(VLOOKUP($C69,'IMF COFOG FULL'!$B:$CM,84,FALSE)), " ")</f>
        <v xml:space="preserve"> </v>
      </c>
      <c r="T69" s="15" t="str">
        <f>IF(ISNUMBER(VLOOKUP($C69,'IMF COFOG FULL'!$B:$CM,85,FALSE)),(VLOOKUP($C69,'IMF COFOG FULL'!$B:$CM,85,FALSE)), " ")</f>
        <v xml:space="preserve"> </v>
      </c>
      <c r="U69" s="7" t="str">
        <f>IF(ISNUMBER(VLOOKUP($C69,'IMF COFOG FULL'!$B:$CM,79,FALSE)),(VLOOKUP($C69,'IMF COFOG FULL'!$B:$CM,86,FALSE)), " ")</f>
        <v xml:space="preserve"> </v>
      </c>
      <c r="V69" s="15" t="str">
        <f>IF(ISNUMBER(VLOOKUP($C69,'IMF COFOG FULL'!$B:$CM,79,FALSE)),(VLOOKUP($C69,'IMF COFOG FULL'!$B:$CM,87,FALSE)), " ")</f>
        <v xml:space="preserve"> </v>
      </c>
      <c r="W69" s="15" t="str">
        <f t="shared" si="16"/>
        <v xml:space="preserve"> </v>
      </c>
      <c r="X69" s="15" t="str">
        <f t="shared" si="17"/>
        <v xml:space="preserve"> </v>
      </c>
      <c r="Y69" s="15" t="str">
        <f t="shared" si="18"/>
        <v xml:space="preserve"> </v>
      </c>
      <c r="Z69" s="15" t="str">
        <f t="shared" si="19"/>
        <v xml:space="preserve"> </v>
      </c>
      <c r="AA69" s="15" t="str">
        <f t="shared" si="20"/>
        <v xml:space="preserve"> </v>
      </c>
      <c r="AB69" s="15" t="str">
        <f t="shared" si="21"/>
        <v xml:space="preserve"> </v>
      </c>
      <c r="AC69" s="15" t="str">
        <f t="shared" si="22"/>
        <v xml:space="preserve"> </v>
      </c>
      <c r="AG69" s="15" t="str">
        <f>IF(ISNUMBER(VLOOKUP(C69,'National budgets summary'!A:F,5, FALSE)),(VLOOKUP(C69,'National budgets summary'!A:F,5, FALSE)), " ")</f>
        <v xml:space="preserve"> </v>
      </c>
      <c r="AH69" t="str">
        <f>IF(ISNUMBER(VLOOKUP(C69,'National budgets summary'!A:F,5, FALSE)),(VLOOKUP(C69,'National budgets summary'!A:F,4, FALSE)), " ")</f>
        <v xml:space="preserve"> </v>
      </c>
      <c r="AI69" s="15" t="str">
        <f t="shared" si="26"/>
        <v xml:space="preserve"> </v>
      </c>
      <c r="AJ69" s="15" t="str">
        <f t="shared" ref="AJ69:AJ132" si="31">IF(ISNUMBER(AI69),(AI69*L69/100), " ")</f>
        <v xml:space="preserve"> </v>
      </c>
      <c r="AK69" s="15" t="str">
        <f t="shared" ref="AK69:AK132" si="32">IF(ISNUMBER(X69),X69, IF(ISNUMBER(AD69),((AD69/K69)*100), ""))</f>
        <v/>
      </c>
      <c r="AL69" s="15" t="str">
        <f t="shared" ref="AL69:AL132" si="33">IF(ISNUMBER(Z69),Z69, IF(ISNUMBER(AE69),((AE69/K69)*100), ""))</f>
        <v/>
      </c>
      <c r="AM69" s="15" t="str">
        <f t="shared" ref="AM69:AM132" si="34">IF(ISNUMBER(AA69),AA69, IF(ISNUMBER(AF69),((AF69/K69)*100), ""))</f>
        <v/>
      </c>
      <c r="AN69" s="15" t="str">
        <f t="shared" si="27"/>
        <v xml:space="preserve"> </v>
      </c>
      <c r="AO69" s="15" t="str">
        <f t="shared" si="28"/>
        <v xml:space="preserve"> </v>
      </c>
      <c r="AP69" t="str">
        <f t="shared" si="29"/>
        <v xml:space="preserve"> </v>
      </c>
      <c r="AQ69" t="str">
        <f t="shared" si="30"/>
        <v xml:space="preserve"> </v>
      </c>
      <c r="AR69" s="7" t="str">
        <f t="shared" ref="AR69:AR132" si="35">IF(ISNUMBER(AK69),$L69/100*$I69/100*AK69, " ")</f>
        <v xml:space="preserve"> </v>
      </c>
      <c r="AS69" s="7" t="str">
        <f t="shared" ref="AS69:AS132" si="36">IF(ISNUMBER(AL69),$L69/100*$I69/100*AL69, " ")</f>
        <v xml:space="preserve"> </v>
      </c>
      <c r="AT69" s="7" t="str">
        <f t="shared" ref="AT69:AT132" si="37">IF(ISNUMBER(AM69),$L69/100*$I69/100*AM69, " ")</f>
        <v xml:space="preserve"> </v>
      </c>
      <c r="AU69" s="7" t="str">
        <f t="shared" ref="AU69:AU132" si="38">IF(ISNUMBER(AN69),$L69/100*$I69/100*AN69, " ")</f>
        <v xml:space="preserve"> </v>
      </c>
    </row>
    <row r="70" spans="1:47">
      <c r="A70">
        <v>67</v>
      </c>
      <c r="B70" t="s">
        <v>159</v>
      </c>
      <c r="C70" t="s">
        <v>373</v>
      </c>
      <c r="D70" t="s">
        <v>487</v>
      </c>
      <c r="E70" t="s">
        <v>334</v>
      </c>
      <c r="F70" t="s">
        <v>619</v>
      </c>
      <c r="H70" t="str">
        <f>IF(ISNUMBER(VLOOKUP(C70,'OECD DAC'!B:C,2,FALSE)), "YES", " ")</f>
        <v xml:space="preserve"> </v>
      </c>
      <c r="I70">
        <v>3450</v>
      </c>
      <c r="J70">
        <v>2021</v>
      </c>
      <c r="K70" s="15">
        <f>IF(ISNUMBER(VLOOKUP(C70,'WEO GOV REV'!C:BL,58,FALSE)),(VLOOKUP(C70,'WEO GOV REV'!C:BL,58,FALSE)), " ")</f>
        <v>14694.56</v>
      </c>
      <c r="L70" s="15">
        <f>IF(ISNUMBER(VLOOKUP(C70,'WEO GOV REV'!C:BL,62,FALSE)),(VLOOKUP(C70,'WEO GOV REV'!C:BL,62,FALSE)), " ")</f>
        <v>13.766547402981812</v>
      </c>
      <c r="M70">
        <f>IF(ISNUMBER(VLOOKUP(C70,'WEO GOV REV'!C:BL,62,FALSE)),(VLOOKUP(C70,'WEO GOV REV'!C:BL,57,FALSE)), " ")</f>
        <v>2020</v>
      </c>
      <c r="N70" s="15">
        <f>IF(ISNUMBER(VLOOKUP($C70,'IMF COFOG FULL'!$B:$CM,79,FALSE)),(VLOOKUP($C70,'IMF COFOG FULL'!$B:$CM,79,FALSE)), " ")</f>
        <v>1.4468807882683099</v>
      </c>
      <c r="O70" s="15">
        <f>IF(ISNUMBER(VLOOKUP($C70,'IMF COFOG FULL'!$B:$CM,80,FALSE)),(VLOOKUP($C70,'IMF COFOG FULL'!$B:$CM,80,FALSE)), " ")</f>
        <v>0.92942665968582205</v>
      </c>
      <c r="P70" s="15">
        <f>IF(ISNUMBER(VLOOKUP($C70,'IMF COFOG FULL'!$B:$CM,81,FALSE)),(VLOOKUP($C70,'IMF COFOG FULL'!$B:$CM,81,FALSE)), " ")</f>
        <v>4.2589441799748898E-2</v>
      </c>
      <c r="Q70" s="15">
        <f>IF(ISNUMBER(VLOOKUP($C70,'IMF COFOG FULL'!$B:$CM,82,FALSE)),(VLOOKUP($C70,'IMF COFOG FULL'!$B:$CM,82,FALSE)), " ")</f>
        <v>0.112763347962164</v>
      </c>
      <c r="R70" s="15">
        <f>IF(ISNUMBER(VLOOKUP($C70,'IMF COFOG FULL'!$B:$CM,83,FALSE)),(VLOOKUP($C70,'IMF COFOG FULL'!$B:$CM,83,FALSE)), " ")</f>
        <v>1.9789646432020701E-2</v>
      </c>
      <c r="S70" s="15">
        <f>IF(ISNUMBER(VLOOKUP($C70,'IMF COFOG FULL'!$B:$CM,84,FALSE)),(VLOOKUP($C70,'IMF COFOG FULL'!$B:$CM,84,FALSE)), " ")</f>
        <v>0</v>
      </c>
      <c r="T70" s="15">
        <f>IF(ISNUMBER(VLOOKUP($C70,'IMF COFOG FULL'!$B:$CM,85,FALSE)),(VLOOKUP($C70,'IMF COFOG FULL'!$B:$CM,85,FALSE)), " ")</f>
        <v>0.34231169238855003</v>
      </c>
      <c r="U70" s="7">
        <f>IF(ISNUMBER(VLOOKUP($C70,'IMF COFOG FULL'!$B:$CM,79,FALSE)),(VLOOKUP($C70,'IMF COFOG FULL'!$B:$CM,86,FALSE)), " ")</f>
        <v>2020</v>
      </c>
      <c r="V70" s="15" t="str">
        <f>IF(ISNUMBER(VLOOKUP($C70,'IMF COFOG FULL'!$B:$CM,79,FALSE)),(VLOOKUP($C70,'IMF COFOG FULL'!$B:$CM,87,FALSE)), " ")</f>
        <v>Budgetary central government</v>
      </c>
      <c r="W70" s="15">
        <f t="shared" si="16"/>
        <v>10.510120990502802</v>
      </c>
      <c r="X70" s="15">
        <f t="shared" si="17"/>
        <v>6.7513417306398091</v>
      </c>
      <c r="Y70" s="15">
        <f t="shared" si="18"/>
        <v>0.30936908545801461</v>
      </c>
      <c r="Z70" s="15">
        <f t="shared" si="19"/>
        <v>0.81911131862837039</v>
      </c>
      <c r="AA70" s="15">
        <f t="shared" si="20"/>
        <v>0.14375170369684917</v>
      </c>
      <c r="AB70" s="15">
        <f t="shared" si="21"/>
        <v>0</v>
      </c>
      <c r="AC70" s="15">
        <f t="shared" si="22"/>
        <v>2.4865471520797282</v>
      </c>
      <c r="AG70" s="15" t="str">
        <f>IF(ISNUMBER(VLOOKUP(C70,'National budgets summary'!A:F,5, FALSE)),(VLOOKUP(C70,'National budgets summary'!A:F,5, FALSE)), " ")</f>
        <v xml:space="preserve"> </v>
      </c>
      <c r="AH70" t="str">
        <f>IF(ISNUMBER(VLOOKUP(C70,'National budgets summary'!A:F,5, FALSE)),(VLOOKUP(C70,'National budgets summary'!A:F,4, FALSE)), " ")</f>
        <v xml:space="preserve"> </v>
      </c>
      <c r="AI70" s="15" t="str">
        <f t="shared" si="26"/>
        <v xml:space="preserve"> </v>
      </c>
      <c r="AJ70" s="15" t="str">
        <f t="shared" si="31"/>
        <v xml:space="preserve"> </v>
      </c>
      <c r="AK70" s="15">
        <f t="shared" si="32"/>
        <v>6.7513417306398091</v>
      </c>
      <c r="AL70" s="15">
        <f t="shared" si="33"/>
        <v>0.81911131862837039</v>
      </c>
      <c r="AM70" s="15">
        <f t="shared" si="34"/>
        <v>0.14375170369684917</v>
      </c>
      <c r="AN70" s="15">
        <f t="shared" si="27"/>
        <v>10.510120990502802</v>
      </c>
      <c r="AO70" s="15">
        <f t="shared" si="28"/>
        <v>1.4468807882683099</v>
      </c>
      <c r="AP70">
        <f t="shared" si="29"/>
        <v>2020</v>
      </c>
      <c r="AQ70" t="str">
        <f t="shared" si="30"/>
        <v>IMF COFOG</v>
      </c>
      <c r="AR70" s="7">
        <f t="shared" si="35"/>
        <v>32.065219759160861</v>
      </c>
      <c r="AS70" s="7">
        <f t="shared" si="36"/>
        <v>3.8903355046946584</v>
      </c>
      <c r="AT70" s="7">
        <f t="shared" si="37"/>
        <v>0.68274280190471415</v>
      </c>
      <c r="AU70" s="7">
        <f t="shared" si="38"/>
        <v>49.917387195256694</v>
      </c>
    </row>
    <row r="71" spans="1:47">
      <c r="A71">
        <v>68</v>
      </c>
      <c r="B71" t="s">
        <v>160</v>
      </c>
      <c r="C71" t="s">
        <v>374</v>
      </c>
      <c r="D71" t="s">
        <v>487</v>
      </c>
      <c r="E71" t="s">
        <v>334</v>
      </c>
      <c r="F71" t="s">
        <v>619</v>
      </c>
      <c r="H71" t="str">
        <f>IF(ISNUMBER(VLOOKUP(C71,'OECD DAC'!B:C,2,FALSE)), "YES", " ")</f>
        <v xml:space="preserve"> </v>
      </c>
      <c r="I71">
        <v>3510</v>
      </c>
      <c r="J71">
        <v>2021</v>
      </c>
      <c r="K71" s="15">
        <f>IF(ISNUMBER(VLOOKUP(C71,'WEO GOV REV'!C:BL,58,FALSE)),(VLOOKUP(C71,'WEO GOV REV'!C:BL,58,FALSE)), " ")</f>
        <v>1266.02</v>
      </c>
      <c r="L71" s="15">
        <f>IF(ISNUMBER(VLOOKUP(C71,'WEO GOV REV'!C:BL,62,FALSE)),(VLOOKUP(C71,'WEO GOV REV'!C:BL,62,FALSE)), " ")</f>
        <v>19.965620564579719</v>
      </c>
      <c r="M71">
        <f>IF(ISNUMBER(VLOOKUP(C71,'WEO GOV REV'!C:BL,62,FALSE)),(VLOOKUP(C71,'WEO GOV REV'!C:BL,57,FALSE)), " ")</f>
        <v>2021</v>
      </c>
      <c r="N71" s="15" t="str">
        <f>IF(ISNUMBER(VLOOKUP($C71,'IMF COFOG FULL'!$B:$CM,79,FALSE)),(VLOOKUP($C71,'IMF COFOG FULL'!$B:$CM,79,FALSE)), " ")</f>
        <v xml:space="preserve"> </v>
      </c>
      <c r="O71" s="15" t="str">
        <f>IF(ISNUMBER(VLOOKUP($C71,'IMF COFOG FULL'!$B:$CM,80,FALSE)),(VLOOKUP($C71,'IMF COFOG FULL'!$B:$CM,80,FALSE)), " ")</f>
        <v xml:space="preserve"> </v>
      </c>
      <c r="P71" s="15" t="str">
        <f>IF(ISNUMBER(VLOOKUP($C71,'IMF COFOG FULL'!$B:$CM,81,FALSE)),(VLOOKUP($C71,'IMF COFOG FULL'!$B:$CM,81,FALSE)), " ")</f>
        <v xml:space="preserve"> </v>
      </c>
      <c r="Q71" s="15" t="str">
        <f>IF(ISNUMBER(VLOOKUP($C71,'IMF COFOG FULL'!$B:$CM,82,FALSE)),(VLOOKUP($C71,'IMF COFOG FULL'!$B:$CM,82,FALSE)), " ")</f>
        <v xml:space="preserve"> </v>
      </c>
      <c r="R71" s="15" t="str">
        <f>IF(ISNUMBER(VLOOKUP($C71,'IMF COFOG FULL'!$B:$CM,83,FALSE)),(VLOOKUP($C71,'IMF COFOG FULL'!$B:$CM,83,FALSE)), " ")</f>
        <v xml:space="preserve"> </v>
      </c>
      <c r="S71" s="15" t="str">
        <f>IF(ISNUMBER(VLOOKUP($C71,'IMF COFOG FULL'!$B:$CM,84,FALSE)),(VLOOKUP($C71,'IMF COFOG FULL'!$B:$CM,84,FALSE)), " ")</f>
        <v xml:space="preserve"> </v>
      </c>
      <c r="T71" s="15" t="str">
        <f>IF(ISNUMBER(VLOOKUP($C71,'IMF COFOG FULL'!$B:$CM,85,FALSE)),(VLOOKUP($C71,'IMF COFOG FULL'!$B:$CM,85,FALSE)), " ")</f>
        <v xml:space="preserve"> </v>
      </c>
      <c r="U71" s="7" t="str">
        <f>IF(ISNUMBER(VLOOKUP($C71,'IMF COFOG FULL'!$B:$CM,79,FALSE)),(VLOOKUP($C71,'IMF COFOG FULL'!$B:$CM,86,FALSE)), " ")</f>
        <v xml:space="preserve"> </v>
      </c>
      <c r="V71" s="15" t="str">
        <f>IF(ISNUMBER(VLOOKUP($C71,'IMF COFOG FULL'!$B:$CM,79,FALSE)),(VLOOKUP($C71,'IMF COFOG FULL'!$B:$CM,87,FALSE)), " ")</f>
        <v xml:space="preserve"> </v>
      </c>
      <c r="W71" s="15" t="str">
        <f t="shared" si="16"/>
        <v xml:space="preserve"> </v>
      </c>
      <c r="X71" s="15" t="str">
        <f t="shared" si="17"/>
        <v xml:space="preserve"> </v>
      </c>
      <c r="Y71" s="15" t="str">
        <f t="shared" si="18"/>
        <v xml:space="preserve"> </v>
      </c>
      <c r="Z71" s="15" t="str">
        <f t="shared" si="19"/>
        <v xml:space="preserve"> </v>
      </c>
      <c r="AA71" s="15" t="str">
        <f t="shared" si="20"/>
        <v xml:space="preserve"> </v>
      </c>
      <c r="AB71" s="15" t="str">
        <f t="shared" si="21"/>
        <v xml:space="preserve"> </v>
      </c>
      <c r="AC71" s="15" t="str">
        <f t="shared" si="22"/>
        <v xml:space="preserve"> </v>
      </c>
      <c r="AG71" s="15">
        <f>IF(ISNUMBER(VLOOKUP(C71,'National budgets summary'!A:F,5, FALSE)),(VLOOKUP(C71,'National budgets summary'!A:F,5, FALSE)), " ")</f>
        <v>70</v>
      </c>
      <c r="AH71" t="str">
        <f>IF(ISNUMBER(VLOOKUP(C71,'National budgets summary'!A:F,5, FALSE)),(VLOOKUP(C71,'National budgets summary'!A:F,4, FALSE)), " ")</f>
        <v>2019/20</v>
      </c>
      <c r="AI71" s="15">
        <f t="shared" si="26"/>
        <v>5.5291385602123189</v>
      </c>
      <c r="AJ71" s="15">
        <f t="shared" si="31"/>
        <v>1.1039268254218577</v>
      </c>
      <c r="AK71" s="15" t="str">
        <f t="shared" si="32"/>
        <v/>
      </c>
      <c r="AL71" s="15" t="str">
        <f t="shared" si="33"/>
        <v/>
      </c>
      <c r="AM71" s="15" t="str">
        <f t="shared" si="34"/>
        <v/>
      </c>
      <c r="AN71" s="15">
        <f t="shared" si="27"/>
        <v>5.5291385602123189</v>
      </c>
      <c r="AO71" s="15">
        <f t="shared" si="28"/>
        <v>1.1039268254218577</v>
      </c>
      <c r="AP71" t="str">
        <f t="shared" si="29"/>
        <v>2019/20</v>
      </c>
      <c r="AQ71" t="str">
        <f t="shared" si="30"/>
        <v>National</v>
      </c>
      <c r="AR71" s="7" t="str">
        <f t="shared" si="35"/>
        <v xml:space="preserve"> </v>
      </c>
      <c r="AS71" s="7" t="str">
        <f t="shared" si="36"/>
        <v xml:space="preserve"> </v>
      </c>
      <c r="AT71" s="7" t="str">
        <f t="shared" si="37"/>
        <v xml:space="preserve"> </v>
      </c>
      <c r="AU71" s="7">
        <f t="shared" si="38"/>
        <v>38.747831572307206</v>
      </c>
    </row>
    <row r="72" spans="1:47">
      <c r="A72">
        <v>69</v>
      </c>
      <c r="B72" t="s">
        <v>161</v>
      </c>
      <c r="C72" t="s">
        <v>375</v>
      </c>
      <c r="D72" t="s">
        <v>493</v>
      </c>
      <c r="E72" t="s">
        <v>334</v>
      </c>
      <c r="F72" t="s">
        <v>619</v>
      </c>
      <c r="H72" t="str">
        <f>IF(ISNUMBER(VLOOKUP(C72,'OECD DAC'!B:C,2,FALSE)), "YES", " ")</f>
        <v xml:space="preserve"> </v>
      </c>
      <c r="I72">
        <v>3560</v>
      </c>
      <c r="J72">
        <v>2021</v>
      </c>
      <c r="K72" s="15">
        <f>IF(ISNUMBER(VLOOKUP(C72,'WEO GOV REV'!C:BL,58,FALSE)),(VLOOKUP(C72,'WEO GOV REV'!C:BL,58,FALSE)), " ")</f>
        <v>1476551</v>
      </c>
      <c r="L72" s="15">
        <f>IF(ISNUMBER(VLOOKUP(C72,'WEO GOV REV'!C:BL,62,FALSE)),(VLOOKUP(C72,'WEO GOV REV'!C:BL,62,FALSE)), " ")</f>
        <v>18.535381248356675</v>
      </c>
      <c r="M72">
        <f>IF(ISNUMBER(VLOOKUP(C72,'WEO GOV REV'!C:BL,62,FALSE)),(VLOOKUP(C72,'WEO GOV REV'!C:BL,57,FALSE)), " ")</f>
        <v>2020</v>
      </c>
      <c r="N72" s="15" t="str">
        <f>IF(ISNUMBER(VLOOKUP($C72,'IMF COFOG FULL'!$B:$CM,79,FALSE)),(VLOOKUP($C72,'IMF COFOG FULL'!$B:$CM,79,FALSE)), " ")</f>
        <v xml:space="preserve"> </v>
      </c>
      <c r="O72" s="15" t="str">
        <f>IF(ISNUMBER(VLOOKUP($C72,'IMF COFOG FULL'!$B:$CM,80,FALSE)),(VLOOKUP($C72,'IMF COFOG FULL'!$B:$CM,80,FALSE)), " ")</f>
        <v xml:space="preserve"> </v>
      </c>
      <c r="P72" s="15" t="str">
        <f>IF(ISNUMBER(VLOOKUP($C72,'IMF COFOG FULL'!$B:$CM,81,FALSE)),(VLOOKUP($C72,'IMF COFOG FULL'!$B:$CM,81,FALSE)), " ")</f>
        <v xml:space="preserve"> </v>
      </c>
      <c r="Q72" s="15" t="str">
        <f>IF(ISNUMBER(VLOOKUP($C72,'IMF COFOG FULL'!$B:$CM,82,FALSE)),(VLOOKUP($C72,'IMF COFOG FULL'!$B:$CM,82,FALSE)), " ")</f>
        <v xml:space="preserve"> </v>
      </c>
      <c r="R72" s="15" t="str">
        <f>IF(ISNUMBER(VLOOKUP($C72,'IMF COFOG FULL'!$B:$CM,83,FALSE)),(VLOOKUP($C72,'IMF COFOG FULL'!$B:$CM,83,FALSE)), " ")</f>
        <v xml:space="preserve"> </v>
      </c>
      <c r="S72" s="15" t="str">
        <f>IF(ISNUMBER(VLOOKUP($C72,'IMF COFOG FULL'!$B:$CM,84,FALSE)),(VLOOKUP($C72,'IMF COFOG FULL'!$B:$CM,84,FALSE)), " ")</f>
        <v xml:space="preserve"> </v>
      </c>
      <c r="T72" s="15" t="str">
        <f>IF(ISNUMBER(VLOOKUP($C72,'IMF COFOG FULL'!$B:$CM,85,FALSE)),(VLOOKUP($C72,'IMF COFOG FULL'!$B:$CM,85,FALSE)), " ")</f>
        <v xml:space="preserve"> </v>
      </c>
      <c r="U72" s="7" t="str">
        <f>IF(ISNUMBER(VLOOKUP($C72,'IMF COFOG FULL'!$B:$CM,79,FALSE)),(VLOOKUP($C72,'IMF COFOG FULL'!$B:$CM,86,FALSE)), " ")</f>
        <v xml:space="preserve"> </v>
      </c>
      <c r="V72" s="15" t="str">
        <f>IF(ISNUMBER(VLOOKUP($C72,'IMF COFOG FULL'!$B:$CM,79,FALSE)),(VLOOKUP($C72,'IMF COFOG FULL'!$B:$CM,87,FALSE)), " ")</f>
        <v xml:space="preserve"> </v>
      </c>
      <c r="W72" s="15" t="str">
        <f t="shared" si="16"/>
        <v xml:space="preserve"> </v>
      </c>
      <c r="X72" s="15" t="str">
        <f t="shared" si="17"/>
        <v xml:space="preserve"> </v>
      </c>
      <c r="Y72" s="15" t="str">
        <f t="shared" si="18"/>
        <v xml:space="preserve"> </v>
      </c>
      <c r="Z72" s="15" t="str">
        <f t="shared" si="19"/>
        <v xml:space="preserve"> </v>
      </c>
      <c r="AA72" s="15" t="str">
        <f t="shared" si="20"/>
        <v xml:space="preserve"> </v>
      </c>
      <c r="AB72" s="15" t="str">
        <f t="shared" si="21"/>
        <v xml:space="preserve"> </v>
      </c>
      <c r="AC72" s="15" t="str">
        <f t="shared" si="22"/>
        <v xml:space="preserve"> </v>
      </c>
      <c r="AG72" s="15" t="str">
        <f>IF(ISNUMBER(VLOOKUP(C72,'National budgets summary'!A:F,5, FALSE)),(VLOOKUP(C72,'National budgets summary'!A:F,5, FALSE)), " ")</f>
        <v xml:space="preserve"> </v>
      </c>
      <c r="AH72" t="str">
        <f>IF(ISNUMBER(VLOOKUP(C72,'National budgets summary'!A:F,5, FALSE)),(VLOOKUP(C72,'National budgets summary'!A:F,4, FALSE)), " ")</f>
        <v xml:space="preserve"> </v>
      </c>
      <c r="AI72" s="15" t="str">
        <f t="shared" si="26"/>
        <v xml:space="preserve"> </v>
      </c>
      <c r="AJ72" s="15" t="str">
        <f t="shared" si="31"/>
        <v xml:space="preserve"> </v>
      </c>
      <c r="AK72" s="15" t="str">
        <f t="shared" si="32"/>
        <v/>
      </c>
      <c r="AL72" s="15" t="str">
        <f t="shared" si="33"/>
        <v/>
      </c>
      <c r="AM72" s="15" t="str">
        <f t="shared" si="34"/>
        <v/>
      </c>
      <c r="AN72" s="15" t="str">
        <f t="shared" si="27"/>
        <v xml:space="preserve"> </v>
      </c>
      <c r="AO72" s="15" t="str">
        <f t="shared" si="28"/>
        <v xml:space="preserve"> </v>
      </c>
      <c r="AP72" t="str">
        <f t="shared" si="29"/>
        <v xml:space="preserve"> </v>
      </c>
      <c r="AQ72" t="str">
        <f t="shared" si="30"/>
        <v xml:space="preserve"> </v>
      </c>
      <c r="AR72" s="7" t="str">
        <f t="shared" si="35"/>
        <v xml:space="preserve"> </v>
      </c>
      <c r="AS72" s="7" t="str">
        <f t="shared" si="36"/>
        <v xml:space="preserve"> </v>
      </c>
      <c r="AT72" s="7" t="str">
        <f t="shared" si="37"/>
        <v xml:space="preserve"> </v>
      </c>
      <c r="AU72" s="7" t="str">
        <f t="shared" si="38"/>
        <v xml:space="preserve"> </v>
      </c>
    </row>
    <row r="73" spans="1:47">
      <c r="A73">
        <v>70</v>
      </c>
      <c r="B73" t="s">
        <v>162</v>
      </c>
      <c r="C73" t="s">
        <v>376</v>
      </c>
      <c r="D73" t="s">
        <v>487</v>
      </c>
      <c r="E73" t="s">
        <v>334</v>
      </c>
      <c r="F73" t="s">
        <v>619</v>
      </c>
      <c r="H73" t="str">
        <f>IF(ISNUMBER(VLOOKUP(C73,'OECD DAC'!B:C,2,FALSE)), "YES", " ")</f>
        <v xml:space="preserve"> </v>
      </c>
      <c r="I73">
        <v>3630</v>
      </c>
      <c r="J73">
        <v>2021</v>
      </c>
      <c r="K73" s="15">
        <f>IF(ISNUMBER(VLOOKUP(C73,'WEO GOV REV'!C:BL,58,FALSE)),(VLOOKUP(C73,'WEO GOV REV'!C:BL,58,FALSE)), " ")</f>
        <v>33.497</v>
      </c>
      <c r="L73" s="15">
        <f>IF(ISNUMBER(VLOOKUP(C73,'WEO GOV REV'!C:BL,62,FALSE)),(VLOOKUP(C73,'WEO GOV REV'!C:BL,62,FALSE)), " ")</f>
        <v>25.790531332527465</v>
      </c>
      <c r="M73">
        <f>IF(ISNUMBER(VLOOKUP(C73,'WEO GOV REV'!C:BL,62,FALSE)),(VLOOKUP(C73,'WEO GOV REV'!C:BL,57,FALSE)), " ")</f>
        <v>2021</v>
      </c>
      <c r="N73" s="15" t="str">
        <f>IF(ISNUMBER(VLOOKUP($C73,'IMF COFOG FULL'!$B:$CM,79,FALSE)),(VLOOKUP($C73,'IMF COFOG FULL'!$B:$CM,79,FALSE)), " ")</f>
        <v xml:space="preserve"> </v>
      </c>
      <c r="O73" s="15" t="str">
        <f>IF(ISNUMBER(VLOOKUP($C73,'IMF COFOG FULL'!$B:$CM,80,FALSE)),(VLOOKUP($C73,'IMF COFOG FULL'!$B:$CM,80,FALSE)), " ")</f>
        <v xml:space="preserve"> </v>
      </c>
      <c r="P73" s="15" t="str">
        <f>IF(ISNUMBER(VLOOKUP($C73,'IMF COFOG FULL'!$B:$CM,81,FALSE)),(VLOOKUP($C73,'IMF COFOG FULL'!$B:$CM,81,FALSE)), " ")</f>
        <v xml:space="preserve"> </v>
      </c>
      <c r="Q73" s="15" t="str">
        <f>IF(ISNUMBER(VLOOKUP($C73,'IMF COFOG FULL'!$B:$CM,82,FALSE)),(VLOOKUP($C73,'IMF COFOG FULL'!$B:$CM,82,FALSE)), " ")</f>
        <v xml:space="preserve"> </v>
      </c>
      <c r="R73" s="15" t="str">
        <f>IF(ISNUMBER(VLOOKUP($C73,'IMF COFOG FULL'!$B:$CM,83,FALSE)),(VLOOKUP($C73,'IMF COFOG FULL'!$B:$CM,83,FALSE)), " ")</f>
        <v xml:space="preserve"> </v>
      </c>
      <c r="S73" s="15" t="str">
        <f>IF(ISNUMBER(VLOOKUP($C73,'IMF COFOG FULL'!$B:$CM,84,FALSE)),(VLOOKUP($C73,'IMF COFOG FULL'!$B:$CM,84,FALSE)), " ")</f>
        <v xml:space="preserve"> </v>
      </c>
      <c r="T73" s="15" t="str">
        <f>IF(ISNUMBER(VLOOKUP($C73,'IMF COFOG FULL'!$B:$CM,85,FALSE)),(VLOOKUP($C73,'IMF COFOG FULL'!$B:$CM,85,FALSE)), " ")</f>
        <v xml:space="preserve"> </v>
      </c>
      <c r="U73" s="7" t="str">
        <f>IF(ISNUMBER(VLOOKUP($C73,'IMF COFOG FULL'!$B:$CM,79,FALSE)),(VLOOKUP($C73,'IMF COFOG FULL'!$B:$CM,86,FALSE)), " ")</f>
        <v xml:space="preserve"> </v>
      </c>
      <c r="V73" s="15" t="str">
        <f>IF(ISNUMBER(VLOOKUP($C73,'IMF COFOG FULL'!$B:$CM,79,FALSE)),(VLOOKUP($C73,'IMF COFOG FULL'!$B:$CM,87,FALSE)), " ")</f>
        <v xml:space="preserve"> </v>
      </c>
      <c r="W73" s="15" t="str">
        <f t="shared" ref="W73:W136" si="39">IF(ISNUMBER(N73),(N73/$L73*100), " ")</f>
        <v xml:space="preserve"> </v>
      </c>
      <c r="X73" s="15" t="str">
        <f t="shared" ref="X73:X136" si="40">IF(ISNUMBER(O73),(O73/$L73*100), " ")</f>
        <v xml:space="preserve"> </v>
      </c>
      <c r="Y73" s="15" t="str">
        <f t="shared" ref="Y73:Y136" si="41">IF(ISNUMBER(P73),(P73/$L73*100), " ")</f>
        <v xml:space="preserve"> </v>
      </c>
      <c r="Z73" s="15" t="str">
        <f t="shared" ref="Z73:Z136" si="42">IF(ISNUMBER(Q73),(Q73/$L73*100), " ")</f>
        <v xml:space="preserve"> </v>
      </c>
      <c r="AA73" s="15" t="str">
        <f t="shared" ref="AA73:AA136" si="43">IF(ISNUMBER(R73),(R73/$L73*100), " ")</f>
        <v xml:space="preserve"> </v>
      </c>
      <c r="AB73" s="15" t="str">
        <f t="shared" ref="AB73:AB136" si="44">IF(ISNUMBER(S73),(S73/$L73*100), " ")</f>
        <v xml:space="preserve"> </v>
      </c>
      <c r="AC73" s="15" t="str">
        <f t="shared" ref="AC73:AC136" si="45">IF(ISNUMBER(T73),(T73/$L73*100), " ")</f>
        <v xml:space="preserve"> </v>
      </c>
      <c r="AG73" s="15" t="str">
        <f>IF(ISNUMBER(VLOOKUP(C73,'National budgets summary'!A:F,5, FALSE)),(VLOOKUP(C73,'National budgets summary'!A:F,5, FALSE)), " ")</f>
        <v xml:space="preserve"> </v>
      </c>
      <c r="AH73" t="str">
        <f>IF(ISNUMBER(VLOOKUP(C73,'National budgets summary'!A:F,5, FALSE)),(VLOOKUP(C73,'National budgets summary'!A:F,4, FALSE)), " ")</f>
        <v xml:space="preserve"> </v>
      </c>
      <c r="AI73" s="15" t="str">
        <f t="shared" si="26"/>
        <v xml:space="preserve"> </v>
      </c>
      <c r="AJ73" s="15" t="str">
        <f t="shared" si="31"/>
        <v xml:space="preserve"> </v>
      </c>
      <c r="AK73" s="15" t="str">
        <f t="shared" si="32"/>
        <v/>
      </c>
      <c r="AL73" s="15" t="str">
        <f t="shared" si="33"/>
        <v/>
      </c>
      <c r="AM73" s="15" t="str">
        <f t="shared" si="34"/>
        <v/>
      </c>
      <c r="AN73" s="15" t="str">
        <f t="shared" si="27"/>
        <v xml:space="preserve"> </v>
      </c>
      <c r="AO73" s="15" t="str">
        <f t="shared" si="28"/>
        <v xml:space="preserve"> </v>
      </c>
      <c r="AP73" t="str">
        <f t="shared" si="29"/>
        <v xml:space="preserve"> </v>
      </c>
      <c r="AQ73" t="str">
        <f t="shared" si="30"/>
        <v xml:space="preserve"> </v>
      </c>
      <c r="AR73" s="7" t="str">
        <f t="shared" si="35"/>
        <v xml:space="preserve"> </v>
      </c>
      <c r="AS73" s="7" t="str">
        <f t="shared" si="36"/>
        <v xml:space="preserve"> </v>
      </c>
      <c r="AT73" s="7" t="str">
        <f t="shared" si="37"/>
        <v xml:space="preserve"> </v>
      </c>
      <c r="AU73" s="7" t="str">
        <f t="shared" si="38"/>
        <v xml:space="preserve"> </v>
      </c>
    </row>
    <row r="74" spans="1:47">
      <c r="A74">
        <v>71</v>
      </c>
      <c r="B74" t="s">
        <v>163</v>
      </c>
      <c r="C74" t="s">
        <v>377</v>
      </c>
      <c r="D74" t="s">
        <v>493</v>
      </c>
      <c r="E74" t="s">
        <v>334</v>
      </c>
      <c r="F74" t="s">
        <v>619</v>
      </c>
      <c r="H74" t="str">
        <f>IF(ISNUMBER(VLOOKUP(C74,'OECD DAC'!B:C,2,FALSE)), "YES", " ")</f>
        <v xml:space="preserve"> </v>
      </c>
      <c r="I74">
        <v>3640</v>
      </c>
      <c r="J74">
        <v>2021</v>
      </c>
      <c r="K74" s="15">
        <f>IF(ISNUMBER(VLOOKUP(C74,'WEO GOV REV'!C:BL,58,FALSE)),(VLOOKUP(C74,'WEO GOV REV'!C:BL,58,FALSE)), " ")</f>
        <v>3950.3</v>
      </c>
      <c r="L74" s="15">
        <f>IF(ISNUMBER(VLOOKUP(C74,'WEO GOV REV'!C:BL,62,FALSE)),(VLOOKUP(C74,'WEO GOV REV'!C:BL,62,FALSE)), " ")</f>
        <v>20.375804460775946</v>
      </c>
      <c r="M74">
        <f>IF(ISNUMBER(VLOOKUP(C74,'WEO GOV REV'!C:BL,62,FALSE)),(VLOOKUP(C74,'WEO GOV REV'!C:BL,57,FALSE)), " ")</f>
        <v>2021</v>
      </c>
      <c r="N74" s="15">
        <f>IF(ISNUMBER(VLOOKUP($C74,'IMF COFOG FULL'!$B:$CM,79,FALSE)),(VLOOKUP($C74,'IMF COFOG FULL'!$B:$CM,79,FALSE)), " ")</f>
        <v>1.36948669415602</v>
      </c>
      <c r="O74" s="15">
        <f>IF(ISNUMBER(VLOOKUP($C74,'IMF COFOG FULL'!$B:$CM,80,FALSE)),(VLOOKUP($C74,'IMF COFOG FULL'!$B:$CM,80,FALSE)), " ")</f>
        <v>0.91638402451386303</v>
      </c>
      <c r="P74" s="15">
        <f>IF(ISNUMBER(VLOOKUP($C74,'IMF COFOG FULL'!$B:$CM,81,FALSE)),(VLOOKUP($C74,'IMF COFOG FULL'!$B:$CM,81,FALSE)), " ")</f>
        <v>0.108975240186182</v>
      </c>
      <c r="Q74" s="15">
        <f>IF(ISNUMBER(VLOOKUP($C74,'IMF COFOG FULL'!$B:$CM,82,FALSE)),(VLOOKUP($C74,'IMF COFOG FULL'!$B:$CM,82,FALSE)), " ")</f>
        <v>0.16632700217586899</v>
      </c>
      <c r="R74" s="15">
        <f>IF(ISNUMBER(VLOOKUP($C74,'IMF COFOG FULL'!$B:$CM,83,FALSE)),(VLOOKUP($C74,'IMF COFOG FULL'!$B:$CM,83,FALSE)), " ")</f>
        <v>0.113689280045738</v>
      </c>
      <c r="S74" s="15">
        <f>IF(ISNUMBER(VLOOKUP($C74,'IMF COFOG FULL'!$B:$CM,84,FALSE)),(VLOOKUP($C74,'IMF COFOG FULL'!$B:$CM,84,FALSE)), " ")</f>
        <v>4.7701089450538598E-4</v>
      </c>
      <c r="T74" s="15">
        <f>IF(ISNUMBER(VLOOKUP($C74,'IMF COFOG FULL'!$B:$CM,85,FALSE)),(VLOOKUP($C74,'IMF COFOG FULL'!$B:$CM,85,FALSE)), " ")</f>
        <v>6.3634136339858302E-2</v>
      </c>
      <c r="U74" s="7">
        <f>IF(ISNUMBER(VLOOKUP($C74,'IMF COFOG FULL'!$B:$CM,79,FALSE)),(VLOOKUP($C74,'IMF COFOG FULL'!$B:$CM,86,FALSE)), " ")</f>
        <v>2020</v>
      </c>
      <c r="V74" s="15" t="str">
        <f>IF(ISNUMBER(VLOOKUP($C74,'IMF COFOG FULL'!$B:$CM,79,FALSE)),(VLOOKUP($C74,'IMF COFOG FULL'!$B:$CM,87,FALSE)), " ")</f>
        <v>Budgetary central government</v>
      </c>
      <c r="W74" s="15">
        <f t="shared" si="39"/>
        <v>6.7211417188083269</v>
      </c>
      <c r="X74" s="15">
        <f t="shared" si="40"/>
        <v>4.4974127341962404</v>
      </c>
      <c r="Y74" s="15">
        <f t="shared" si="41"/>
        <v>0.53482668817303736</v>
      </c>
      <c r="Z74" s="15">
        <f t="shared" si="42"/>
        <v>0.81629661540997611</v>
      </c>
      <c r="AA74" s="15">
        <f t="shared" si="43"/>
        <v>0.55796216666975473</v>
      </c>
      <c r="AB74" s="15">
        <f t="shared" si="44"/>
        <v>2.3410653327756788E-3</v>
      </c>
      <c r="AC74" s="15">
        <f t="shared" si="45"/>
        <v>0.31230244902652055</v>
      </c>
      <c r="AG74" s="15" t="str">
        <f>IF(ISNUMBER(VLOOKUP(C74,'National budgets summary'!A:F,5, FALSE)),(VLOOKUP(C74,'National budgets summary'!A:F,5, FALSE)), " ")</f>
        <v xml:space="preserve"> </v>
      </c>
      <c r="AH74" t="str">
        <f>IF(ISNUMBER(VLOOKUP(C74,'National budgets summary'!A:F,5, FALSE)),(VLOOKUP(C74,'National budgets summary'!A:F,4, FALSE)), " ")</f>
        <v xml:space="preserve"> </v>
      </c>
      <c r="AI74" s="15" t="str">
        <f t="shared" si="26"/>
        <v xml:space="preserve"> </v>
      </c>
      <c r="AJ74" s="15" t="str">
        <f t="shared" si="31"/>
        <v xml:space="preserve"> </v>
      </c>
      <c r="AK74" s="15">
        <f t="shared" si="32"/>
        <v>4.4974127341962404</v>
      </c>
      <c r="AL74" s="15">
        <f t="shared" si="33"/>
        <v>0.81629661540997611</v>
      </c>
      <c r="AM74" s="15">
        <f t="shared" si="34"/>
        <v>0.55796216666975473</v>
      </c>
      <c r="AN74" s="15">
        <f t="shared" si="27"/>
        <v>6.7211417188083269</v>
      </c>
      <c r="AO74" s="15">
        <f t="shared" si="28"/>
        <v>1.36948669415602</v>
      </c>
      <c r="AP74">
        <f t="shared" si="29"/>
        <v>2020</v>
      </c>
      <c r="AQ74" t="str">
        <f t="shared" si="30"/>
        <v>IMF COFOG</v>
      </c>
      <c r="AR74" s="7">
        <f t="shared" si="35"/>
        <v>33.356378492304614</v>
      </c>
      <c r="AS74" s="7">
        <f t="shared" si="36"/>
        <v>6.0543028792016305</v>
      </c>
      <c r="AT74" s="7">
        <f t="shared" si="37"/>
        <v>4.138289793664863</v>
      </c>
      <c r="AU74" s="7">
        <f t="shared" si="38"/>
        <v>49.849315667279129</v>
      </c>
    </row>
    <row r="75" spans="1:47">
      <c r="A75">
        <v>72</v>
      </c>
      <c r="B75" t="s">
        <v>164</v>
      </c>
      <c r="C75" t="s">
        <v>378</v>
      </c>
      <c r="D75" t="s">
        <v>487</v>
      </c>
      <c r="E75" t="s">
        <v>334</v>
      </c>
      <c r="F75" t="s">
        <v>619</v>
      </c>
      <c r="H75" t="str">
        <f>IF(ISNUMBER(VLOOKUP(C75,'OECD DAC'!B:C,2,FALSE)), "YES", " ")</f>
        <v xml:space="preserve"> </v>
      </c>
      <c r="I75">
        <v>3660</v>
      </c>
      <c r="J75">
        <v>2021</v>
      </c>
      <c r="K75" s="15">
        <f>IF(ISNUMBER(VLOOKUP(C75,'WEO GOV REV'!C:BL,58,FALSE)),(VLOOKUP(C75,'WEO GOV REV'!C:BL,58,FALSE)), " ")</f>
        <v>5640.94</v>
      </c>
      <c r="L75" s="15">
        <f>IF(ISNUMBER(VLOOKUP(C75,'WEO GOV REV'!C:BL,62,FALSE)),(VLOOKUP(C75,'WEO GOV REV'!C:BL,62,FALSE)), " ")</f>
        <v>30.127593665714208</v>
      </c>
      <c r="M75">
        <f>IF(ISNUMBER(VLOOKUP(C75,'WEO GOV REV'!C:BL,62,FALSE)),(VLOOKUP(C75,'WEO GOV REV'!C:BL,57,FALSE)), " ")</f>
        <v>2020</v>
      </c>
      <c r="N75" s="15" t="str">
        <f>IF(ISNUMBER(VLOOKUP($C75,'IMF COFOG FULL'!$B:$CM,79,FALSE)),(VLOOKUP($C75,'IMF COFOG FULL'!$B:$CM,79,FALSE)), " ")</f>
        <v xml:space="preserve"> </v>
      </c>
      <c r="O75" s="15" t="str">
        <f>IF(ISNUMBER(VLOOKUP($C75,'IMF COFOG FULL'!$B:$CM,80,FALSE)),(VLOOKUP($C75,'IMF COFOG FULL'!$B:$CM,80,FALSE)), " ")</f>
        <v xml:space="preserve"> </v>
      </c>
      <c r="P75" s="15" t="str">
        <f>IF(ISNUMBER(VLOOKUP($C75,'IMF COFOG FULL'!$B:$CM,81,FALSE)),(VLOOKUP($C75,'IMF COFOG FULL'!$B:$CM,81,FALSE)), " ")</f>
        <v xml:space="preserve"> </v>
      </c>
      <c r="Q75" s="15" t="str">
        <f>IF(ISNUMBER(VLOOKUP($C75,'IMF COFOG FULL'!$B:$CM,82,FALSE)),(VLOOKUP($C75,'IMF COFOG FULL'!$B:$CM,82,FALSE)), " ")</f>
        <v xml:space="preserve"> </v>
      </c>
      <c r="R75" s="15" t="str">
        <f>IF(ISNUMBER(VLOOKUP($C75,'IMF COFOG FULL'!$B:$CM,83,FALSE)),(VLOOKUP($C75,'IMF COFOG FULL'!$B:$CM,83,FALSE)), " ")</f>
        <v xml:space="preserve"> </v>
      </c>
      <c r="S75" s="15" t="str">
        <f>IF(ISNUMBER(VLOOKUP($C75,'IMF COFOG FULL'!$B:$CM,84,FALSE)),(VLOOKUP($C75,'IMF COFOG FULL'!$B:$CM,84,FALSE)), " ")</f>
        <v xml:space="preserve"> </v>
      </c>
      <c r="T75" s="15" t="str">
        <f>IF(ISNUMBER(VLOOKUP($C75,'IMF COFOG FULL'!$B:$CM,85,FALSE)),(VLOOKUP($C75,'IMF COFOG FULL'!$B:$CM,85,FALSE)), " ")</f>
        <v xml:space="preserve"> </v>
      </c>
      <c r="U75" s="7" t="str">
        <f>IF(ISNUMBER(VLOOKUP($C75,'IMF COFOG FULL'!$B:$CM,79,FALSE)),(VLOOKUP($C75,'IMF COFOG FULL'!$B:$CM,86,FALSE)), " ")</f>
        <v xml:space="preserve"> </v>
      </c>
      <c r="V75" s="15" t="str">
        <f>IF(ISNUMBER(VLOOKUP($C75,'IMF COFOG FULL'!$B:$CM,79,FALSE)),(VLOOKUP($C75,'IMF COFOG FULL'!$B:$CM,87,FALSE)), " ")</f>
        <v xml:space="preserve"> </v>
      </c>
      <c r="W75" s="15" t="str">
        <f t="shared" si="39"/>
        <v xml:space="preserve"> </v>
      </c>
      <c r="X75" s="15" t="str">
        <f t="shared" si="40"/>
        <v xml:space="preserve"> </v>
      </c>
      <c r="Y75" s="15" t="str">
        <f t="shared" si="41"/>
        <v xml:space="preserve"> </v>
      </c>
      <c r="Z75" s="15" t="str">
        <f t="shared" si="42"/>
        <v xml:space="preserve"> </v>
      </c>
      <c r="AA75" s="15" t="str">
        <f t="shared" si="43"/>
        <v xml:space="preserve"> </v>
      </c>
      <c r="AB75" s="15" t="str">
        <f t="shared" si="44"/>
        <v xml:space="preserve"> </v>
      </c>
      <c r="AC75" s="15" t="str">
        <f t="shared" si="45"/>
        <v xml:space="preserve"> </v>
      </c>
      <c r="AG75" s="15">
        <f>IF(ISNUMBER(VLOOKUP(C75,'National budgets summary'!A:F,5, FALSE)),(VLOOKUP(C75,'National budgets summary'!A:F,5, FALSE)), " ")</f>
        <v>92.275048999999996</v>
      </c>
      <c r="AH75">
        <f>IF(ISNUMBER(VLOOKUP(C75,'National budgets summary'!A:F,5, FALSE)),(VLOOKUP(C75,'National budgets summary'!A:F,4, FALSE)), " ")</f>
        <v>2021</v>
      </c>
      <c r="AI75" s="15">
        <f t="shared" si="26"/>
        <v>1.6358097941123289</v>
      </c>
      <c r="AJ75" s="15">
        <f t="shared" si="31"/>
        <v>0.49283012791411862</v>
      </c>
      <c r="AK75" s="15" t="str">
        <f t="shared" si="32"/>
        <v/>
      </c>
      <c r="AL75" s="15">
        <f>IF(ISNUMBER(W75),W75,IF(ISNUMBER(AI75),AI75, " "))</f>
        <v>1.6358097941123289</v>
      </c>
      <c r="AM75" s="15" t="str">
        <f t="shared" si="34"/>
        <v/>
      </c>
      <c r="AP75">
        <f t="shared" si="29"/>
        <v>2021</v>
      </c>
      <c r="AQ75" t="str">
        <f t="shared" si="30"/>
        <v>National</v>
      </c>
      <c r="AR75" s="7" t="str">
        <f t="shared" si="35"/>
        <v xml:space="preserve"> </v>
      </c>
      <c r="AS75" s="7">
        <f t="shared" si="36"/>
        <v>18.03758268165674</v>
      </c>
      <c r="AT75" s="7" t="str">
        <f t="shared" si="37"/>
        <v xml:space="preserve"> </v>
      </c>
      <c r="AU75" s="7" t="str">
        <f t="shared" si="38"/>
        <v xml:space="preserve"> </v>
      </c>
    </row>
    <row r="76" spans="1:47">
      <c r="A76">
        <v>73</v>
      </c>
      <c r="B76" t="s">
        <v>165</v>
      </c>
      <c r="C76" t="s">
        <v>379</v>
      </c>
      <c r="D76" t="s">
        <v>496</v>
      </c>
      <c r="E76" t="s">
        <v>334</v>
      </c>
      <c r="F76" t="s">
        <v>619</v>
      </c>
      <c r="H76" t="str">
        <f>IF(ISNUMBER(VLOOKUP(C76,'OECD DAC'!B:C,2,FALSE)), "YES", " ")</f>
        <v xml:space="preserve"> </v>
      </c>
      <c r="I76">
        <v>3680</v>
      </c>
      <c r="J76">
        <v>2021</v>
      </c>
      <c r="K76" s="15">
        <f>IF(ISNUMBER(VLOOKUP(C76,'WEO GOV REV'!C:BL,58,FALSE)),(VLOOKUP(C76,'WEO GOV REV'!C:BL,58,FALSE)), " ")</f>
        <v>19.036999999999999</v>
      </c>
      <c r="L76" s="15">
        <f>IF(ISNUMBER(VLOOKUP(C76,'WEO GOV REV'!C:BL,62,FALSE)),(VLOOKUP(C76,'WEO GOV REV'!C:BL,62,FALSE)), " ")</f>
        <v>29.094326934833109</v>
      </c>
      <c r="M76">
        <f>IF(ISNUMBER(VLOOKUP(C76,'WEO GOV REV'!C:BL,62,FALSE)),(VLOOKUP(C76,'WEO GOV REV'!C:BL,57,FALSE)), " ")</f>
        <v>2020</v>
      </c>
      <c r="N76" s="15" t="str">
        <f>IF(ISNUMBER(VLOOKUP($C76,'IMF COFOG FULL'!$B:$CM,79,FALSE)),(VLOOKUP($C76,'IMF COFOG FULL'!$B:$CM,79,FALSE)), " ")</f>
        <v xml:space="preserve"> </v>
      </c>
      <c r="O76" s="15" t="str">
        <f>IF(ISNUMBER(VLOOKUP($C76,'IMF COFOG FULL'!$B:$CM,80,FALSE)),(VLOOKUP($C76,'IMF COFOG FULL'!$B:$CM,80,FALSE)), " ")</f>
        <v xml:space="preserve"> </v>
      </c>
      <c r="P76" s="15" t="str">
        <f>IF(ISNUMBER(VLOOKUP($C76,'IMF COFOG FULL'!$B:$CM,81,FALSE)),(VLOOKUP($C76,'IMF COFOG FULL'!$B:$CM,81,FALSE)), " ")</f>
        <v xml:space="preserve"> </v>
      </c>
      <c r="Q76" s="15" t="str">
        <f>IF(ISNUMBER(VLOOKUP($C76,'IMF COFOG FULL'!$B:$CM,82,FALSE)),(VLOOKUP($C76,'IMF COFOG FULL'!$B:$CM,82,FALSE)), " ")</f>
        <v xml:space="preserve"> </v>
      </c>
      <c r="R76" s="15" t="str">
        <f>IF(ISNUMBER(VLOOKUP($C76,'IMF COFOG FULL'!$B:$CM,83,FALSE)),(VLOOKUP($C76,'IMF COFOG FULL'!$B:$CM,83,FALSE)), " ")</f>
        <v xml:space="preserve"> </v>
      </c>
      <c r="S76" s="15" t="str">
        <f>IF(ISNUMBER(VLOOKUP($C76,'IMF COFOG FULL'!$B:$CM,84,FALSE)),(VLOOKUP($C76,'IMF COFOG FULL'!$B:$CM,84,FALSE)), " ")</f>
        <v xml:space="preserve"> </v>
      </c>
      <c r="T76" s="15" t="str">
        <f>IF(ISNUMBER(VLOOKUP($C76,'IMF COFOG FULL'!$B:$CM,85,FALSE)),(VLOOKUP($C76,'IMF COFOG FULL'!$B:$CM,85,FALSE)), " ")</f>
        <v xml:space="preserve"> </v>
      </c>
      <c r="U76" s="7" t="str">
        <f>IF(ISNUMBER(VLOOKUP($C76,'IMF COFOG FULL'!$B:$CM,79,FALSE)),(VLOOKUP($C76,'IMF COFOG FULL'!$B:$CM,86,FALSE)), " ")</f>
        <v xml:space="preserve"> </v>
      </c>
      <c r="V76" s="15" t="str">
        <f>IF(ISNUMBER(VLOOKUP($C76,'IMF COFOG FULL'!$B:$CM,79,FALSE)),(VLOOKUP($C76,'IMF COFOG FULL'!$B:$CM,87,FALSE)), " ")</f>
        <v xml:space="preserve"> </v>
      </c>
      <c r="W76" s="15" t="str">
        <f t="shared" si="39"/>
        <v xml:space="preserve"> </v>
      </c>
      <c r="X76" s="15" t="str">
        <f t="shared" si="40"/>
        <v xml:space="preserve"> </v>
      </c>
      <c r="Y76" s="15" t="str">
        <f t="shared" si="41"/>
        <v xml:space="preserve"> </v>
      </c>
      <c r="Z76" s="15" t="str">
        <f t="shared" si="42"/>
        <v xml:space="preserve"> </v>
      </c>
      <c r="AA76" s="15" t="str">
        <f t="shared" si="43"/>
        <v xml:space="preserve"> </v>
      </c>
      <c r="AB76" s="15" t="str">
        <f t="shared" si="44"/>
        <v xml:space="preserve"> </v>
      </c>
      <c r="AC76" s="15" t="str">
        <f t="shared" si="45"/>
        <v xml:space="preserve"> </v>
      </c>
      <c r="AG76" s="15">
        <f>IF(ISNUMBER(VLOOKUP(C76,'National budgets summary'!A:F,5, FALSE)),(VLOOKUP(C76,'National budgets summary'!A:F,5, FALSE)), " ")</f>
        <v>1.867737</v>
      </c>
      <c r="AH76" t="str">
        <f>IF(ISNUMBER(VLOOKUP(C76,'National budgets summary'!A:F,5, FALSE)),(VLOOKUP(C76,'National budgets summary'!A:F,4, FALSE)), " ")</f>
        <v>2021/22</v>
      </c>
      <c r="AI76" s="15">
        <f t="shared" si="26"/>
        <v>9.8110889320796346</v>
      </c>
      <c r="AJ76" s="15">
        <f t="shared" si="31"/>
        <v>2.8544702897664753</v>
      </c>
      <c r="AK76" s="15" t="str">
        <f t="shared" si="32"/>
        <v/>
      </c>
      <c r="AL76" s="15" t="str">
        <f t="shared" si="33"/>
        <v/>
      </c>
      <c r="AM76" s="15" t="str">
        <f t="shared" si="34"/>
        <v/>
      </c>
      <c r="AN76" s="15">
        <f t="shared" si="27"/>
        <v>9.8110889320796346</v>
      </c>
      <c r="AO76" s="15">
        <f t="shared" si="28"/>
        <v>2.8544702897664753</v>
      </c>
      <c r="AP76" t="str">
        <f t="shared" si="29"/>
        <v>2021/22</v>
      </c>
      <c r="AQ76" t="str">
        <f t="shared" si="30"/>
        <v>National</v>
      </c>
      <c r="AR76" s="7" t="str">
        <f t="shared" si="35"/>
        <v xml:space="preserve"> </v>
      </c>
      <c r="AS76" s="7" t="str">
        <f t="shared" si="36"/>
        <v xml:space="preserve"> </v>
      </c>
      <c r="AT76" s="7" t="str">
        <f t="shared" si="37"/>
        <v xml:space="preserve"> </v>
      </c>
      <c r="AU76" s="7">
        <f t="shared" si="38"/>
        <v>105.0445066634063</v>
      </c>
    </row>
    <row r="77" spans="1:47">
      <c r="A77">
        <v>74</v>
      </c>
      <c r="B77" t="s">
        <v>166</v>
      </c>
      <c r="C77" t="s">
        <v>380</v>
      </c>
      <c r="D77" t="s">
        <v>493</v>
      </c>
      <c r="E77" t="s">
        <v>334</v>
      </c>
      <c r="F77" t="s">
        <v>619</v>
      </c>
      <c r="H77" t="str">
        <f>IF(ISNUMBER(VLOOKUP(C77,'OECD DAC'!B:C,2,FALSE)), "YES", " ")</f>
        <v xml:space="preserve"> </v>
      </c>
      <c r="I77">
        <v>3760</v>
      </c>
      <c r="J77">
        <v>2021</v>
      </c>
      <c r="K77" s="15">
        <f>IF(ISNUMBER(VLOOKUP(C77,'WEO GOV REV'!C:BL,58,FALSE)),(VLOOKUP(C77,'WEO GOV REV'!C:BL,58,FALSE)), " ")</f>
        <v>14248.83</v>
      </c>
      <c r="L77" s="15">
        <f>IF(ISNUMBER(VLOOKUP(C77,'WEO GOV REV'!C:BL,62,FALSE)),(VLOOKUP(C77,'WEO GOV REV'!C:BL,62,FALSE)), " ")</f>
        <v>33.122471153189018</v>
      </c>
      <c r="M77">
        <f>IF(ISNUMBER(VLOOKUP(C77,'WEO GOV REV'!C:BL,62,FALSE)),(VLOOKUP(C77,'WEO GOV REV'!C:BL,57,FALSE)), " ")</f>
        <v>2021</v>
      </c>
      <c r="N77" s="15">
        <f>IF(ISNUMBER(VLOOKUP($C77,'IMF COFOG FULL'!$B:$CM,79,FALSE)),(VLOOKUP($C77,'IMF COFOG FULL'!$B:$CM,79,FALSE)), " ")</f>
        <v>1.9017025371427101</v>
      </c>
      <c r="O77" s="15">
        <f>IF(ISNUMBER(VLOOKUP($C77,'IMF COFOG FULL'!$B:$CM,80,FALSE)),(VLOOKUP($C77,'IMF COFOG FULL'!$B:$CM,80,FALSE)), " ")</f>
        <v>0.67167212658623698</v>
      </c>
      <c r="P77" s="15">
        <f>IF(ISNUMBER(VLOOKUP($C77,'IMF COFOG FULL'!$B:$CM,81,FALSE)),(VLOOKUP($C77,'IMF COFOG FULL'!$B:$CM,81,FALSE)), " ")</f>
        <v>0.31827183229663503</v>
      </c>
      <c r="Q77" s="15">
        <f>IF(ISNUMBER(VLOOKUP($C77,'IMF COFOG FULL'!$B:$CM,82,FALSE)),(VLOOKUP($C77,'IMF COFOG FULL'!$B:$CM,82,FALSE)), " ")</f>
        <v>0.32652902887892199</v>
      </c>
      <c r="R77" s="15">
        <f>IF(ISNUMBER(VLOOKUP($C77,'IMF COFOG FULL'!$B:$CM,83,FALSE)),(VLOOKUP($C77,'IMF COFOG FULL'!$B:$CM,83,FALSE)), " ")</f>
        <v>0.20734705835800599</v>
      </c>
      <c r="S77" s="15">
        <f>IF(ISNUMBER(VLOOKUP($C77,'IMF COFOG FULL'!$B:$CM,84,FALSE)),(VLOOKUP($C77,'IMF COFOG FULL'!$B:$CM,84,FALSE)), " ")</f>
        <v>0</v>
      </c>
      <c r="T77" s="15">
        <f>IF(ISNUMBER(VLOOKUP($C77,'IMF COFOG FULL'!$B:$CM,85,FALSE)),(VLOOKUP($C77,'IMF COFOG FULL'!$B:$CM,85,FALSE)), " ")</f>
        <v>0.377882491022909</v>
      </c>
      <c r="U77" s="7">
        <f>IF(ISNUMBER(VLOOKUP($C77,'IMF COFOG FULL'!$B:$CM,79,FALSE)),(VLOOKUP($C77,'IMF COFOG FULL'!$B:$CM,86,FALSE)), " ")</f>
        <v>2020</v>
      </c>
      <c r="V77" s="15" t="str">
        <f>IF(ISNUMBER(VLOOKUP($C77,'IMF COFOG FULL'!$B:$CM,79,FALSE)),(VLOOKUP($C77,'IMF COFOG FULL'!$B:$CM,87,FALSE)), " ")</f>
        <v>General government</v>
      </c>
      <c r="W77" s="15">
        <f t="shared" si="39"/>
        <v>5.741427106532826</v>
      </c>
      <c r="X77" s="15">
        <f t="shared" si="40"/>
        <v>2.0278442495422588</v>
      </c>
      <c r="Y77" s="15">
        <f t="shared" si="41"/>
        <v>0.96089398289351946</v>
      </c>
      <c r="Z77" s="15">
        <f t="shared" si="42"/>
        <v>0.98582327196768926</v>
      </c>
      <c r="AA77" s="15">
        <f t="shared" si="43"/>
        <v>0.6260011742452456</v>
      </c>
      <c r="AB77" s="15">
        <f t="shared" si="44"/>
        <v>0</v>
      </c>
      <c r="AC77" s="15">
        <f t="shared" si="45"/>
        <v>1.1408644278841091</v>
      </c>
      <c r="AG77" s="15" t="str">
        <f>IF(ISNUMBER(VLOOKUP(C77,'National budgets summary'!A:F,5, FALSE)),(VLOOKUP(C77,'National budgets summary'!A:F,5, FALSE)), " ")</f>
        <v xml:space="preserve"> </v>
      </c>
      <c r="AH77" t="str">
        <f>IF(ISNUMBER(VLOOKUP(C77,'National budgets summary'!A:F,5, FALSE)),(VLOOKUP(C77,'National budgets summary'!A:F,4, FALSE)), " ")</f>
        <v xml:space="preserve"> </v>
      </c>
      <c r="AI77" s="15" t="str">
        <f t="shared" si="26"/>
        <v xml:space="preserve"> </v>
      </c>
      <c r="AJ77" s="15" t="str">
        <f t="shared" si="31"/>
        <v xml:space="preserve"> </v>
      </c>
      <c r="AK77" s="15">
        <f t="shared" si="32"/>
        <v>2.0278442495422588</v>
      </c>
      <c r="AL77" s="15">
        <f t="shared" si="33"/>
        <v>0.98582327196768926</v>
      </c>
      <c r="AM77" s="15">
        <f t="shared" si="34"/>
        <v>0.6260011742452456</v>
      </c>
      <c r="AN77" s="15">
        <f t="shared" si="27"/>
        <v>5.741427106532826</v>
      </c>
      <c r="AO77" s="15">
        <f t="shared" si="28"/>
        <v>1.9017025371427101</v>
      </c>
      <c r="AP77">
        <f t="shared" si="29"/>
        <v>2020</v>
      </c>
      <c r="AQ77" t="str">
        <f t="shared" si="30"/>
        <v>IMF COFOG</v>
      </c>
      <c r="AR77" s="7">
        <f t="shared" si="35"/>
        <v>25.254871959642511</v>
      </c>
      <c r="AS77" s="7">
        <f t="shared" si="36"/>
        <v>12.277491485847467</v>
      </c>
      <c r="AT77" s="7">
        <f t="shared" si="37"/>
        <v>7.7962493942610251</v>
      </c>
      <c r="AU77" s="7">
        <f t="shared" si="38"/>
        <v>71.504015396565904</v>
      </c>
    </row>
    <row r="78" spans="1:47">
      <c r="A78">
        <v>75</v>
      </c>
      <c r="B78" t="s">
        <v>167</v>
      </c>
      <c r="C78" t="s">
        <v>381</v>
      </c>
      <c r="D78" t="s">
        <v>483</v>
      </c>
      <c r="E78" t="s">
        <v>334</v>
      </c>
      <c r="F78" t="s">
        <v>619</v>
      </c>
      <c r="H78" t="str">
        <f>IF(ISNUMBER(VLOOKUP(C78,'OECD DAC'!B:C,2,FALSE)), "YES", " ")</f>
        <v xml:space="preserve"> </v>
      </c>
      <c r="I78">
        <v>3820</v>
      </c>
      <c r="J78">
        <v>2021</v>
      </c>
      <c r="K78" s="15">
        <f>IF(ISNUMBER(VLOOKUP(C78,'WEO GOV REV'!C:BL,58,FALSE)),(VLOOKUP(C78,'WEO GOV REV'!C:BL,58,FALSE)), " ")</f>
        <v>1373.31</v>
      </c>
      <c r="L78" s="15">
        <f>IF(ISNUMBER(VLOOKUP(C78,'WEO GOV REV'!C:BL,62,FALSE)),(VLOOKUP(C78,'WEO GOV REV'!C:BL,62,FALSE)), " ")</f>
        <v>9.1719155626230968</v>
      </c>
      <c r="M78">
        <f>IF(ISNUMBER(VLOOKUP(C78,'WEO GOV REV'!C:BL,62,FALSE)),(VLOOKUP(C78,'WEO GOV REV'!C:BL,57,FALSE)), " ")</f>
        <v>2020</v>
      </c>
      <c r="N78" s="15">
        <f>IF(ISNUMBER(VLOOKUP($C78,'IMF COFOG FULL'!$B:$CM,79,FALSE)),(VLOOKUP($C78,'IMF COFOG FULL'!$B:$CM,79,FALSE)), " ")</f>
        <v>0.60484267612367804</v>
      </c>
      <c r="O78" s="15">
        <f>IF(ISNUMBER(VLOOKUP($C78,'IMF COFOG FULL'!$B:$CM,80,FALSE)),(VLOOKUP($C78,'IMF COFOG FULL'!$B:$CM,80,FALSE)), " ")</f>
        <v>0.60484267612367804</v>
      </c>
      <c r="P78" s="15">
        <f>IF(ISNUMBER(VLOOKUP($C78,'IMF COFOG FULL'!$B:$CM,81,FALSE)),(VLOOKUP($C78,'IMF COFOG FULL'!$B:$CM,81,FALSE)), " ")</f>
        <v>0</v>
      </c>
      <c r="Q78" s="15">
        <f>IF(ISNUMBER(VLOOKUP($C78,'IMF COFOG FULL'!$B:$CM,82,FALSE)),(VLOOKUP($C78,'IMF COFOG FULL'!$B:$CM,82,FALSE)), " ")</f>
        <v>0</v>
      </c>
      <c r="R78" s="15">
        <f>IF(ISNUMBER(VLOOKUP($C78,'IMF COFOG FULL'!$B:$CM,83,FALSE)),(VLOOKUP($C78,'IMF COFOG FULL'!$B:$CM,83,FALSE)), " ")</f>
        <v>0</v>
      </c>
      <c r="S78" s="15">
        <f>IF(ISNUMBER(VLOOKUP($C78,'IMF COFOG FULL'!$B:$CM,84,FALSE)),(VLOOKUP($C78,'IMF COFOG FULL'!$B:$CM,84,FALSE)), " ")</f>
        <v>0</v>
      </c>
      <c r="T78" s="15">
        <f>IF(ISNUMBER(VLOOKUP($C78,'IMF COFOG FULL'!$B:$CM,85,FALSE)),(VLOOKUP($C78,'IMF COFOG FULL'!$B:$CM,85,FALSE)), " ")</f>
        <v>0</v>
      </c>
      <c r="U78" s="7">
        <f>IF(ISNUMBER(VLOOKUP($C78,'IMF COFOG FULL'!$B:$CM,79,FALSE)),(VLOOKUP($C78,'IMF COFOG FULL'!$B:$CM,86,FALSE)), " ")</f>
        <v>2019</v>
      </c>
      <c r="V78" s="15" t="str">
        <f>IF(ISNUMBER(VLOOKUP($C78,'IMF COFOG FULL'!$B:$CM,79,FALSE)),(VLOOKUP($C78,'IMF COFOG FULL'!$B:$CM,87,FALSE)), " ")</f>
        <v>Budgetary central government</v>
      </c>
      <c r="W78" s="15">
        <f t="shared" si="39"/>
        <v>6.5945076793827102</v>
      </c>
      <c r="X78" s="15">
        <f t="shared" si="40"/>
        <v>6.5945076793827102</v>
      </c>
      <c r="Y78" s="15">
        <f t="shared" si="41"/>
        <v>0</v>
      </c>
      <c r="Z78" s="15">
        <f t="shared" si="42"/>
        <v>0</v>
      </c>
      <c r="AA78" s="15">
        <f t="shared" si="43"/>
        <v>0</v>
      </c>
      <c r="AB78" s="15">
        <f t="shared" si="44"/>
        <v>0</v>
      </c>
      <c r="AC78" s="15">
        <f t="shared" si="45"/>
        <v>0</v>
      </c>
      <c r="AG78" s="15" t="str">
        <f>IF(ISNUMBER(VLOOKUP(C78,'National budgets summary'!A:F,5, FALSE)),(VLOOKUP(C78,'National budgets summary'!A:F,5, FALSE)), " ")</f>
        <v xml:space="preserve"> </v>
      </c>
      <c r="AH78" t="str">
        <f>IF(ISNUMBER(VLOOKUP(C78,'National budgets summary'!A:F,5, FALSE)),(VLOOKUP(C78,'National budgets summary'!A:F,4, FALSE)), " ")</f>
        <v xml:space="preserve"> </v>
      </c>
      <c r="AI78" s="15" t="str">
        <f t="shared" si="26"/>
        <v xml:space="preserve"> </v>
      </c>
      <c r="AJ78" s="15" t="str">
        <f t="shared" si="31"/>
        <v xml:space="preserve"> </v>
      </c>
      <c r="AK78" s="15">
        <f t="shared" si="32"/>
        <v>6.5945076793827102</v>
      </c>
      <c r="AL78" s="15">
        <f t="shared" si="33"/>
        <v>0</v>
      </c>
      <c r="AM78" s="15">
        <f t="shared" si="34"/>
        <v>0</v>
      </c>
      <c r="AN78" s="15">
        <f t="shared" si="27"/>
        <v>6.5945076793827102</v>
      </c>
      <c r="AO78" s="15">
        <f t="shared" si="28"/>
        <v>0.60484267612367804</v>
      </c>
      <c r="AP78">
        <f t="shared" si="29"/>
        <v>2019</v>
      </c>
      <c r="AQ78" t="str">
        <f t="shared" si="30"/>
        <v>IMF COFOG</v>
      </c>
      <c r="AR78" s="7">
        <f t="shared" si="35"/>
        <v>23.1049902279245</v>
      </c>
      <c r="AS78" s="7">
        <f t="shared" si="36"/>
        <v>0</v>
      </c>
      <c r="AT78" s="7">
        <f t="shared" si="37"/>
        <v>0</v>
      </c>
      <c r="AU78" s="7">
        <f t="shared" si="38"/>
        <v>23.1049902279245</v>
      </c>
    </row>
    <row r="79" spans="1:47">
      <c r="A79">
        <v>76</v>
      </c>
      <c r="B79" t="s">
        <v>168</v>
      </c>
      <c r="C79" t="s">
        <v>382</v>
      </c>
      <c r="D79" t="s">
        <v>493</v>
      </c>
      <c r="E79" t="s">
        <v>334</v>
      </c>
      <c r="F79" t="s">
        <v>615</v>
      </c>
      <c r="H79" t="str">
        <f>IF(ISNUMBER(VLOOKUP(C79,'OECD DAC'!B:C,2,FALSE)), "YES", " ")</f>
        <v xml:space="preserve"> </v>
      </c>
      <c r="I79">
        <v>3860</v>
      </c>
      <c r="J79">
        <v>2021</v>
      </c>
      <c r="K79" s="15">
        <f>IF(ISNUMBER(VLOOKUP(C79,'WEO GOV REV'!C:BL,58,FALSE)),(VLOOKUP(C79,'WEO GOV REV'!C:BL,58,FALSE)), " ")</f>
        <v>0.79200000000000004</v>
      </c>
      <c r="L79" s="15">
        <f>IF(ISNUMBER(VLOOKUP(C79,'WEO GOV REV'!C:BL,62,FALSE)),(VLOOKUP(C79,'WEO GOV REV'!C:BL,62,FALSE)), " ")</f>
        <v>39.072520966946222</v>
      </c>
      <c r="M79">
        <f>IF(ISNUMBER(VLOOKUP(C79,'WEO GOV REV'!C:BL,62,FALSE)),(VLOOKUP(C79,'WEO GOV REV'!C:BL,57,FALSE)), " ")</f>
        <v>2021</v>
      </c>
      <c r="N79" s="15">
        <f>IF(ISNUMBER(VLOOKUP($C79,'IMF COFOG FULL'!$B:$CM,79,FALSE)),(VLOOKUP($C79,'IMF COFOG FULL'!$B:$CM,79,FALSE)), " ")</f>
        <v>2.53635501332076</v>
      </c>
      <c r="O79" s="15">
        <f>IF(ISNUMBER(VLOOKUP($C79,'IMF COFOG FULL'!$B:$CM,80,FALSE)),(VLOOKUP($C79,'IMF COFOG FULL'!$B:$CM,80,FALSE)), " ")</f>
        <v>0.74327149795071001</v>
      </c>
      <c r="P79" s="15">
        <f>IF(ISNUMBER(VLOOKUP($C79,'IMF COFOG FULL'!$B:$CM,81,FALSE)),(VLOOKUP($C79,'IMF COFOG FULL'!$B:$CM,81,FALSE)), " ")</f>
        <v>0.32474564472464801</v>
      </c>
      <c r="Q79" s="15">
        <f>IF(ISNUMBER(VLOOKUP($C79,'IMF COFOG FULL'!$B:$CM,82,FALSE)),(VLOOKUP($C79,'IMF COFOG FULL'!$B:$CM,82,FALSE)), " ")</f>
        <v>0.69621974096257799</v>
      </c>
      <c r="R79" s="15">
        <f>IF(ISNUMBER(VLOOKUP($C79,'IMF COFOG FULL'!$B:$CM,83,FALSE)),(VLOOKUP($C79,'IMF COFOG FULL'!$B:$CM,83,FALSE)), " ")</f>
        <v>0.32055246550160998</v>
      </c>
      <c r="S79" s="15">
        <f>IF(ISNUMBER(VLOOKUP($C79,'IMF COFOG FULL'!$B:$CM,84,FALSE)),(VLOOKUP($C79,'IMF COFOG FULL'!$B:$CM,84,FALSE)), " ")</f>
        <v>0</v>
      </c>
      <c r="T79" s="15">
        <f>IF(ISNUMBER(VLOOKUP($C79,'IMF COFOG FULL'!$B:$CM,85,FALSE)),(VLOOKUP($C79,'IMF COFOG FULL'!$B:$CM,85,FALSE)), " ")</f>
        <v>0.45156566418120903</v>
      </c>
      <c r="U79" s="7">
        <f>IF(ISNUMBER(VLOOKUP($C79,'IMF COFOG FULL'!$B:$CM,79,FALSE)),(VLOOKUP($C79,'IMF COFOG FULL'!$B:$CM,86,FALSE)), " ")</f>
        <v>2020</v>
      </c>
      <c r="V79" s="15" t="str">
        <f>IF(ISNUMBER(VLOOKUP($C79,'IMF COFOG FULL'!$B:$CM,79,FALSE)),(VLOOKUP($C79,'IMF COFOG FULL'!$B:$CM,87,FALSE)), " ")</f>
        <v>Budgetary central government</v>
      </c>
      <c r="W79" s="15">
        <f t="shared" si="39"/>
        <v>6.4914035505065417</v>
      </c>
      <c r="X79" s="15">
        <f t="shared" si="40"/>
        <v>1.9022870282147595</v>
      </c>
      <c r="Y79" s="15">
        <f t="shared" si="41"/>
        <v>0.83113563365765342</v>
      </c>
      <c r="Z79" s="15">
        <f t="shared" si="42"/>
        <v>1.7818654228928608</v>
      </c>
      <c r="AA79" s="15">
        <f t="shared" si="43"/>
        <v>0.82040384794414589</v>
      </c>
      <c r="AB79" s="15">
        <f t="shared" si="44"/>
        <v>0</v>
      </c>
      <c r="AC79" s="15">
        <f t="shared" si="45"/>
        <v>1.1557116177971096</v>
      </c>
      <c r="AG79" s="15" t="str">
        <f>IF(ISNUMBER(VLOOKUP(C79,'National budgets summary'!A:F,5, FALSE)),(VLOOKUP(C79,'National budgets summary'!A:F,5, FALSE)), " ")</f>
        <v xml:space="preserve"> </v>
      </c>
      <c r="AH79" t="str">
        <f>IF(ISNUMBER(VLOOKUP(C79,'National budgets summary'!A:F,5, FALSE)),(VLOOKUP(C79,'National budgets summary'!A:F,4, FALSE)), " ")</f>
        <v xml:space="preserve"> </v>
      </c>
      <c r="AI79" s="15" t="str">
        <f t="shared" si="26"/>
        <v xml:space="preserve"> </v>
      </c>
      <c r="AJ79" s="15" t="str">
        <f t="shared" si="31"/>
        <v xml:space="preserve"> </v>
      </c>
      <c r="AK79" s="15">
        <f t="shared" si="32"/>
        <v>1.9022870282147595</v>
      </c>
      <c r="AL79" s="15">
        <f t="shared" si="33"/>
        <v>1.7818654228928608</v>
      </c>
      <c r="AM79" s="15">
        <f t="shared" si="34"/>
        <v>0.82040384794414589</v>
      </c>
      <c r="AN79" s="15">
        <f t="shared" si="27"/>
        <v>6.4914035505065417</v>
      </c>
      <c r="AO79" s="15">
        <f t="shared" si="28"/>
        <v>2.53635501332076</v>
      </c>
      <c r="AP79">
        <f t="shared" si="29"/>
        <v>2020</v>
      </c>
      <c r="AQ79" t="str">
        <f t="shared" si="30"/>
        <v>IMF COFOG</v>
      </c>
      <c r="AR79" s="7">
        <f t="shared" si="35"/>
        <v>28.690279820897413</v>
      </c>
      <c r="AS79" s="7">
        <f t="shared" si="36"/>
        <v>26.874082001155511</v>
      </c>
      <c r="AT79" s="7">
        <f t="shared" si="37"/>
        <v>12.373325168362147</v>
      </c>
      <c r="AU79" s="7">
        <f t="shared" si="38"/>
        <v>97.903303514181346</v>
      </c>
    </row>
    <row r="80" spans="1:47">
      <c r="A80">
        <v>77</v>
      </c>
      <c r="B80" t="s">
        <v>169</v>
      </c>
      <c r="C80" t="s">
        <v>383</v>
      </c>
      <c r="D80" t="s">
        <v>493</v>
      </c>
      <c r="E80" t="s">
        <v>334</v>
      </c>
      <c r="F80" t="s">
        <v>615</v>
      </c>
      <c r="H80" t="str">
        <f>IF(ISNUMBER(VLOOKUP(C80,'OECD DAC'!B:C,2,FALSE)), "YES", " ")</f>
        <v xml:space="preserve"> </v>
      </c>
      <c r="I80">
        <v>3880</v>
      </c>
      <c r="J80">
        <v>2021</v>
      </c>
      <c r="K80" s="15">
        <f>IF(ISNUMBER(VLOOKUP(C80,'WEO GOV REV'!C:BL,58,FALSE)),(VLOOKUP(C80,'WEO GOV REV'!C:BL,58,FALSE)), " ")</f>
        <v>0.32</v>
      </c>
      <c r="L80" s="15">
        <f>IF(ISNUMBER(VLOOKUP(C80,'WEO GOV REV'!C:BL,62,FALSE)),(VLOOKUP(C80,'WEO GOV REV'!C:BL,62,FALSE)), " ")</f>
        <v>79.601990049751237</v>
      </c>
      <c r="M80">
        <f>IF(ISNUMBER(VLOOKUP(C80,'WEO GOV REV'!C:BL,62,FALSE)),(VLOOKUP(C80,'WEO GOV REV'!C:BL,57,FALSE)), " ")</f>
        <v>2018</v>
      </c>
      <c r="N80" s="15">
        <f>IF(ISNUMBER(VLOOKUP($C80,'IMF COFOG FULL'!$B:$CM,79,FALSE)),(VLOOKUP($C80,'IMF COFOG FULL'!$B:$CM,79,FALSE)), " ")</f>
        <v>1.63868600451502</v>
      </c>
      <c r="O80" s="15">
        <f>IF(ISNUMBER(VLOOKUP($C80,'IMF COFOG FULL'!$B:$CM,80,FALSE)),(VLOOKUP($C80,'IMF COFOG FULL'!$B:$CM,80,FALSE)), " ")</f>
        <v>0</v>
      </c>
      <c r="P80" s="15">
        <f>IF(ISNUMBER(VLOOKUP($C80,'IMF COFOG FULL'!$B:$CM,81,FALSE)),(VLOOKUP($C80,'IMF COFOG FULL'!$B:$CM,81,FALSE)), " ")</f>
        <v>0</v>
      </c>
      <c r="Q80" s="15">
        <f>IF(ISNUMBER(VLOOKUP($C80,'IMF COFOG FULL'!$B:$CM,82,FALSE)),(VLOOKUP($C80,'IMF COFOG FULL'!$B:$CM,82,FALSE)), " ")</f>
        <v>0</v>
      </c>
      <c r="R80" s="15">
        <f>IF(ISNUMBER(VLOOKUP($C80,'IMF COFOG FULL'!$B:$CM,83,FALSE)),(VLOOKUP($C80,'IMF COFOG FULL'!$B:$CM,83,FALSE)), " ")</f>
        <v>0</v>
      </c>
      <c r="S80" s="15">
        <f>IF(ISNUMBER(VLOOKUP($C80,'IMF COFOG FULL'!$B:$CM,84,FALSE)),(VLOOKUP($C80,'IMF COFOG FULL'!$B:$CM,84,FALSE)), " ")</f>
        <v>0</v>
      </c>
      <c r="T80" s="15">
        <f>IF(ISNUMBER(VLOOKUP($C80,'IMF COFOG FULL'!$B:$CM,85,FALSE)),(VLOOKUP($C80,'IMF COFOG FULL'!$B:$CM,85,FALSE)), " ")</f>
        <v>1.63868600451502</v>
      </c>
      <c r="U80" s="7">
        <f>IF(ISNUMBER(VLOOKUP($C80,'IMF COFOG FULL'!$B:$CM,79,FALSE)),(VLOOKUP($C80,'IMF COFOG FULL'!$B:$CM,86,FALSE)), " ")</f>
        <v>2020</v>
      </c>
      <c r="V80" s="15" t="str">
        <f>IF(ISNUMBER(VLOOKUP($C80,'IMF COFOG FULL'!$B:$CM,79,FALSE)),(VLOOKUP($C80,'IMF COFOG FULL'!$B:$CM,87,FALSE)), " ")</f>
        <v>Budgetary central government</v>
      </c>
      <c r="W80" s="15">
        <f t="shared" si="39"/>
        <v>2.0585992931719943</v>
      </c>
      <c r="X80" s="15">
        <f t="shared" si="40"/>
        <v>0</v>
      </c>
      <c r="Y80" s="15">
        <f t="shared" si="41"/>
        <v>0</v>
      </c>
      <c r="Z80" s="15">
        <f t="shared" si="42"/>
        <v>0</v>
      </c>
      <c r="AA80" s="15">
        <f t="shared" si="43"/>
        <v>0</v>
      </c>
      <c r="AB80" s="15">
        <f t="shared" si="44"/>
        <v>0</v>
      </c>
      <c r="AC80" s="15">
        <f t="shared" si="45"/>
        <v>2.0585992931719943</v>
      </c>
      <c r="AG80" s="15" t="str">
        <f>IF(ISNUMBER(VLOOKUP(C80,'National budgets summary'!A:F,5, FALSE)),(VLOOKUP(C80,'National budgets summary'!A:F,5, FALSE)), " ")</f>
        <v xml:space="preserve"> </v>
      </c>
      <c r="AH80" t="str">
        <f>IF(ISNUMBER(VLOOKUP(C80,'National budgets summary'!A:F,5, FALSE)),(VLOOKUP(C80,'National budgets summary'!A:F,4, FALSE)), " ")</f>
        <v xml:space="preserve"> </v>
      </c>
      <c r="AI80" s="15" t="str">
        <f t="shared" si="26"/>
        <v xml:space="preserve"> </v>
      </c>
      <c r="AJ80" s="15" t="str">
        <f t="shared" si="31"/>
        <v xml:space="preserve"> </v>
      </c>
      <c r="AK80" s="15">
        <f t="shared" si="32"/>
        <v>0</v>
      </c>
      <c r="AL80" s="15">
        <f t="shared" si="33"/>
        <v>0</v>
      </c>
      <c r="AM80" s="15">
        <f t="shared" si="34"/>
        <v>0</v>
      </c>
      <c r="AN80" s="15">
        <f t="shared" si="27"/>
        <v>2.0585992931719943</v>
      </c>
      <c r="AO80" s="15">
        <f t="shared" si="28"/>
        <v>1.63868600451502</v>
      </c>
      <c r="AP80">
        <f t="shared" si="29"/>
        <v>2020</v>
      </c>
      <c r="AQ80" t="str">
        <f t="shared" si="30"/>
        <v>IMF COFOG</v>
      </c>
      <c r="AR80" s="7">
        <f t="shared" si="35"/>
        <v>0</v>
      </c>
      <c r="AS80" s="7">
        <f t="shared" si="36"/>
        <v>0</v>
      </c>
      <c r="AT80" s="7">
        <f t="shared" si="37"/>
        <v>0</v>
      </c>
      <c r="AU80" s="7">
        <f t="shared" si="38"/>
        <v>63.581016975182784</v>
      </c>
    </row>
    <row r="81" spans="1:47">
      <c r="A81">
        <v>78</v>
      </c>
      <c r="B81" t="s">
        <v>170</v>
      </c>
      <c r="C81" t="s">
        <v>384</v>
      </c>
      <c r="D81" t="s">
        <v>485</v>
      </c>
      <c r="E81" t="s">
        <v>334</v>
      </c>
      <c r="F81" t="s">
        <v>619</v>
      </c>
      <c r="H81" t="str">
        <f>IF(ISNUMBER(VLOOKUP(C81,'OECD DAC'!B:C,2,FALSE)), "YES", " ")</f>
        <v xml:space="preserve"> </v>
      </c>
      <c r="I81">
        <v>4120</v>
      </c>
      <c r="J81">
        <v>2021</v>
      </c>
      <c r="K81" s="15">
        <f>IF(ISNUMBER(VLOOKUP(C81,'WEO GOV REV'!C:BL,58,FALSE)),(VLOOKUP(C81,'WEO GOV REV'!C:BL,58,FALSE)), " ")</f>
        <v>1982.68</v>
      </c>
      <c r="L81" s="15">
        <f>IF(ISNUMBER(VLOOKUP(C81,'WEO GOV REV'!C:BL,62,FALSE)),(VLOOKUP(C81,'WEO GOV REV'!C:BL,62,FALSE)), " ")</f>
        <v>36.572647065876438</v>
      </c>
      <c r="M81">
        <f>IF(ISNUMBER(VLOOKUP(C81,'WEO GOV REV'!C:BL,62,FALSE)),(VLOOKUP(C81,'WEO GOV REV'!C:BL,57,FALSE)), " ")</f>
        <v>2021</v>
      </c>
      <c r="N81" s="15">
        <f>IF(ISNUMBER(VLOOKUP($C81,'IMF COFOG FULL'!$B:$CM,79,FALSE)),(VLOOKUP($C81,'IMF COFOG FULL'!$B:$CM,79,FALSE)), " ")</f>
        <v>3.8052188716046098</v>
      </c>
      <c r="O81" s="15">
        <f>IF(ISNUMBER(VLOOKUP($C81,'IMF COFOG FULL'!$B:$CM,80,FALSE)),(VLOOKUP($C81,'IMF COFOG FULL'!$B:$CM,80,FALSE)), " ")</f>
        <v>1.8172369141747</v>
      </c>
      <c r="P81" s="15">
        <f>IF(ISNUMBER(VLOOKUP($C81,'IMF COFOG FULL'!$B:$CM,81,FALSE)),(VLOOKUP($C81,'IMF COFOG FULL'!$B:$CM,81,FALSE)), " ")</f>
        <v>0.46769169992156201</v>
      </c>
      <c r="Q81" s="15">
        <f>IF(ISNUMBER(VLOOKUP($C81,'IMF COFOG FULL'!$B:$CM,82,FALSE)),(VLOOKUP($C81,'IMF COFOG FULL'!$B:$CM,82,FALSE)), " ")</f>
        <v>0.44488084537093803</v>
      </c>
      <c r="R81" s="15">
        <f>IF(ISNUMBER(VLOOKUP($C81,'IMF COFOG FULL'!$B:$CM,83,FALSE)),(VLOOKUP($C81,'IMF COFOG FULL'!$B:$CM,83,FALSE)), " ")</f>
        <v>0.18455751427050099</v>
      </c>
      <c r="S81" s="15">
        <f>IF(ISNUMBER(VLOOKUP($C81,'IMF COFOG FULL'!$B:$CM,84,FALSE)),(VLOOKUP($C81,'IMF COFOG FULL'!$B:$CM,84,FALSE)), " ")</f>
        <v>3.3875144804316202E-3</v>
      </c>
      <c r="T81" s="15">
        <f>IF(ISNUMBER(VLOOKUP($C81,'IMF COFOG FULL'!$B:$CM,85,FALSE)),(VLOOKUP($C81,'IMF COFOG FULL'!$B:$CM,85,FALSE)), " ")</f>
        <v>0.88746438338648403</v>
      </c>
      <c r="U81" s="7">
        <f>IF(ISNUMBER(VLOOKUP($C81,'IMF COFOG FULL'!$B:$CM,79,FALSE)),(VLOOKUP($C81,'IMF COFOG FULL'!$B:$CM,86,FALSE)), " ")</f>
        <v>2020</v>
      </c>
      <c r="V81" s="15" t="str">
        <f>IF(ISNUMBER(VLOOKUP($C81,'IMF COFOG FULL'!$B:$CM,79,FALSE)),(VLOOKUP($C81,'IMF COFOG FULL'!$B:$CM,87,FALSE)), " ")</f>
        <v>General government</v>
      </c>
      <c r="W81" s="15">
        <f t="shared" si="39"/>
        <v>10.404548691131007</v>
      </c>
      <c r="X81" s="15">
        <f t="shared" si="40"/>
        <v>4.9688416342995465</v>
      </c>
      <c r="Y81" s="15">
        <f t="shared" si="41"/>
        <v>1.2788018845864038</v>
      </c>
      <c r="Z81" s="15">
        <f t="shared" si="42"/>
        <v>1.2164305322762035</v>
      </c>
      <c r="AA81" s="15">
        <f t="shared" si="43"/>
        <v>0.50463263962837301</v>
      </c>
      <c r="AB81" s="15">
        <f t="shared" si="44"/>
        <v>9.2624262999882485E-3</v>
      </c>
      <c r="AC81" s="15">
        <f t="shared" si="45"/>
        <v>2.4265795740405114</v>
      </c>
      <c r="AG81" s="15" t="str">
        <f>IF(ISNUMBER(VLOOKUP(C81,'National budgets summary'!A:F,5, FALSE)),(VLOOKUP(C81,'National budgets summary'!A:F,5, FALSE)), " ")</f>
        <v xml:space="preserve"> </v>
      </c>
      <c r="AH81" t="str">
        <f>IF(ISNUMBER(VLOOKUP(C81,'National budgets summary'!A:F,5, FALSE)),(VLOOKUP(C81,'National budgets summary'!A:F,4, FALSE)), " ")</f>
        <v xml:space="preserve"> </v>
      </c>
      <c r="AI81" s="15" t="str">
        <f t="shared" si="26"/>
        <v xml:space="preserve"> </v>
      </c>
      <c r="AJ81" s="15" t="str">
        <f t="shared" si="31"/>
        <v xml:space="preserve"> </v>
      </c>
      <c r="AK81" s="15">
        <f t="shared" si="32"/>
        <v>4.9688416342995465</v>
      </c>
      <c r="AL81" s="15">
        <f t="shared" si="33"/>
        <v>1.2164305322762035</v>
      </c>
      <c r="AM81" s="15">
        <f t="shared" si="34"/>
        <v>0.50463263962837301</v>
      </c>
      <c r="AN81" s="15">
        <f t="shared" si="27"/>
        <v>10.404548691131007</v>
      </c>
      <c r="AO81" s="15">
        <f t="shared" si="28"/>
        <v>3.8052188716046098</v>
      </c>
      <c r="AP81">
        <f t="shared" si="29"/>
        <v>2020</v>
      </c>
      <c r="AQ81" t="str">
        <f t="shared" si="30"/>
        <v>IMF COFOG</v>
      </c>
      <c r="AR81" s="7">
        <f t="shared" si="35"/>
        <v>74.87016086399764</v>
      </c>
      <c r="AS81" s="7">
        <f t="shared" si="36"/>
        <v>18.329090829282649</v>
      </c>
      <c r="AT81" s="7">
        <f t="shared" si="37"/>
        <v>7.6037695879446412</v>
      </c>
      <c r="AU81" s="7">
        <f t="shared" si="38"/>
        <v>156.77501751010993</v>
      </c>
    </row>
    <row r="82" spans="1:47">
      <c r="A82">
        <v>79</v>
      </c>
      <c r="B82" t="s">
        <v>171</v>
      </c>
      <c r="C82" t="s">
        <v>385</v>
      </c>
      <c r="D82" t="s">
        <v>493</v>
      </c>
      <c r="E82" t="s">
        <v>334</v>
      </c>
      <c r="F82" t="s">
        <v>619</v>
      </c>
      <c r="H82" t="str">
        <f>IF(ISNUMBER(VLOOKUP(C82,'OECD DAC'!B:C,2,FALSE)), "YES", " ")</f>
        <v xml:space="preserve"> </v>
      </c>
      <c r="I82">
        <v>4140</v>
      </c>
      <c r="J82">
        <v>2021</v>
      </c>
      <c r="K82" s="15">
        <f>IF(ISNUMBER(VLOOKUP(C82,'WEO GOV REV'!C:BL,58,FALSE)),(VLOOKUP(C82,'WEO GOV REV'!C:BL,58,FALSE)), " ")</f>
        <v>2307072.59</v>
      </c>
      <c r="L82" s="15">
        <f>IF(ISNUMBER(VLOOKUP(C82,'WEO GOV REV'!C:BL,62,FALSE)),(VLOOKUP(C82,'WEO GOV REV'!C:BL,62,FALSE)), " ")</f>
        <v>13.594374208596028</v>
      </c>
      <c r="M82">
        <f>IF(ISNUMBER(VLOOKUP(C82,'WEO GOV REV'!C:BL,62,FALSE)),(VLOOKUP(C82,'WEO GOV REV'!C:BL,57,FALSE)), " ")</f>
        <v>2021</v>
      </c>
      <c r="N82" s="15">
        <f>IF(ISNUMBER(VLOOKUP($C82,'IMF COFOG FULL'!$B:$CM,79,FALSE)),(VLOOKUP($C82,'IMF COFOG FULL'!$B:$CM,79,FALSE)), " ")</f>
        <v>1.1240391713459399</v>
      </c>
      <c r="O82" s="15" t="str">
        <f>IF(ISNUMBER(VLOOKUP($C82,'IMF COFOG FULL'!$B:$CM,80,FALSE)),(VLOOKUP($C82,'IMF COFOG FULL'!$B:$CM,80,FALSE)), " ")</f>
        <v xml:space="preserve"> </v>
      </c>
      <c r="P82" s="15" t="str">
        <f>IF(ISNUMBER(VLOOKUP($C82,'IMF COFOG FULL'!$B:$CM,81,FALSE)),(VLOOKUP($C82,'IMF COFOG FULL'!$B:$CM,81,FALSE)), " ")</f>
        <v xml:space="preserve"> </v>
      </c>
      <c r="Q82" s="15" t="str">
        <f>IF(ISNUMBER(VLOOKUP($C82,'IMF COFOG FULL'!$B:$CM,82,FALSE)),(VLOOKUP($C82,'IMF COFOG FULL'!$B:$CM,82,FALSE)), " ")</f>
        <v xml:space="preserve"> </v>
      </c>
      <c r="R82" s="15" t="str">
        <f>IF(ISNUMBER(VLOOKUP($C82,'IMF COFOG FULL'!$B:$CM,83,FALSE)),(VLOOKUP($C82,'IMF COFOG FULL'!$B:$CM,83,FALSE)), " ")</f>
        <v xml:space="preserve"> </v>
      </c>
      <c r="S82" s="15" t="str">
        <f>IF(ISNUMBER(VLOOKUP($C82,'IMF COFOG FULL'!$B:$CM,84,FALSE)),(VLOOKUP($C82,'IMF COFOG FULL'!$B:$CM,84,FALSE)), " ")</f>
        <v xml:space="preserve"> </v>
      </c>
      <c r="T82" s="15" t="str">
        <f>IF(ISNUMBER(VLOOKUP($C82,'IMF COFOG FULL'!$B:$CM,85,FALSE)),(VLOOKUP($C82,'IMF COFOG FULL'!$B:$CM,85,FALSE)), " ")</f>
        <v xml:space="preserve"> </v>
      </c>
      <c r="U82" s="7">
        <f>IF(ISNUMBER(VLOOKUP($C82,'IMF COFOG FULL'!$B:$CM,79,FALSE)),(VLOOKUP($C82,'IMF COFOG FULL'!$B:$CM,86,FALSE)), " ")</f>
        <v>2020</v>
      </c>
      <c r="V82" s="15" t="str">
        <f>IF(ISNUMBER(VLOOKUP($C82,'IMF COFOG FULL'!$B:$CM,79,FALSE)),(VLOOKUP($C82,'IMF COFOG FULL'!$B:$CM,87,FALSE)), " ")</f>
        <v>General government</v>
      </c>
      <c r="W82" s="15">
        <f t="shared" si="39"/>
        <v>8.2684142285504016</v>
      </c>
      <c r="X82" s="15" t="str">
        <f t="shared" si="40"/>
        <v xml:space="preserve"> </v>
      </c>
      <c r="Y82" s="15" t="str">
        <f t="shared" si="41"/>
        <v xml:space="preserve"> </v>
      </c>
      <c r="Z82" s="15" t="str">
        <f t="shared" si="42"/>
        <v xml:space="preserve"> </v>
      </c>
      <c r="AA82" s="15" t="str">
        <f t="shared" si="43"/>
        <v xml:space="preserve"> </v>
      </c>
      <c r="AB82" s="15" t="str">
        <f t="shared" si="44"/>
        <v xml:space="preserve"> </v>
      </c>
      <c r="AC82" s="15" t="str">
        <f t="shared" si="45"/>
        <v xml:space="preserve"> </v>
      </c>
      <c r="AG82" s="15" t="str">
        <f>IF(ISNUMBER(VLOOKUP(C82,'National budgets summary'!A:F,5, FALSE)),(VLOOKUP(C82,'National budgets summary'!A:F,5, FALSE)), " ")</f>
        <v xml:space="preserve"> </v>
      </c>
      <c r="AH82" t="str">
        <f>IF(ISNUMBER(VLOOKUP(C82,'National budgets summary'!A:F,5, FALSE)),(VLOOKUP(C82,'National budgets summary'!A:F,4, FALSE)), " ")</f>
        <v xml:space="preserve"> </v>
      </c>
      <c r="AI82" s="15" t="str">
        <f t="shared" si="26"/>
        <v xml:space="preserve"> </v>
      </c>
      <c r="AJ82" s="15" t="str">
        <f t="shared" si="31"/>
        <v xml:space="preserve"> </v>
      </c>
      <c r="AK82" s="15" t="str">
        <f t="shared" si="32"/>
        <v/>
      </c>
      <c r="AL82" s="15" t="str">
        <f t="shared" si="33"/>
        <v/>
      </c>
      <c r="AM82" s="15" t="str">
        <f t="shared" si="34"/>
        <v/>
      </c>
      <c r="AN82" s="15">
        <f t="shared" si="27"/>
        <v>8.2684142285504016</v>
      </c>
      <c r="AO82" s="15">
        <f t="shared" si="28"/>
        <v>1.1240391713459399</v>
      </c>
      <c r="AP82">
        <f t="shared" si="29"/>
        <v>2020</v>
      </c>
      <c r="AQ82" t="str">
        <f t="shared" si="30"/>
        <v>IMF COFOG</v>
      </c>
      <c r="AR82" s="7" t="str">
        <f t="shared" si="35"/>
        <v xml:space="preserve"> </v>
      </c>
      <c r="AS82" s="7" t="str">
        <f t="shared" si="36"/>
        <v xml:space="preserve"> </v>
      </c>
      <c r="AT82" s="7" t="str">
        <f t="shared" si="37"/>
        <v xml:space="preserve"> </v>
      </c>
      <c r="AU82" s="7">
        <f t="shared" si="38"/>
        <v>46.535221693721915</v>
      </c>
    </row>
    <row r="83" spans="1:47">
      <c r="A83">
        <v>80</v>
      </c>
      <c r="B83" t="s">
        <v>172</v>
      </c>
      <c r="C83" t="s">
        <v>386</v>
      </c>
      <c r="D83" t="s">
        <v>497</v>
      </c>
      <c r="E83" t="s">
        <v>334</v>
      </c>
      <c r="F83" t="s">
        <v>619</v>
      </c>
      <c r="H83" t="str">
        <f>IF(ISNUMBER(VLOOKUP(C83,'OECD DAC'!B:C,2,FALSE)), "YES", " ")</f>
        <v xml:space="preserve"> </v>
      </c>
      <c r="I83">
        <v>4140</v>
      </c>
      <c r="J83">
        <v>2021</v>
      </c>
      <c r="K83" s="15">
        <f>IF(ISNUMBER(VLOOKUP(C83,'WEO GOV REV'!C:BL,58,FALSE)),(VLOOKUP(C83,'WEO GOV REV'!C:BL,58,FALSE)), " ")</f>
        <v>6.0430000000000001</v>
      </c>
      <c r="L83" s="15">
        <f>IF(ISNUMBER(VLOOKUP(C83,'WEO GOV REV'!C:BL,62,FALSE)),(VLOOKUP(C83,'WEO GOV REV'!C:BL,62,FALSE)), " ")</f>
        <v>24.526157717439833</v>
      </c>
      <c r="M83">
        <f>IF(ISNUMBER(VLOOKUP(C83,'WEO GOV REV'!C:BL,62,FALSE)),(VLOOKUP(C83,'WEO GOV REV'!C:BL,57,FALSE)), " ")</f>
        <v>2020</v>
      </c>
      <c r="N83" s="15">
        <f>IF(ISNUMBER(VLOOKUP($C83,'IMF COFOG FULL'!$B:$CM,79,FALSE)),(VLOOKUP($C83,'IMF COFOG FULL'!$B:$CM,79,FALSE)), " ")</f>
        <v>3.3240363135747302</v>
      </c>
      <c r="O83" s="15">
        <f>IF(ISNUMBER(VLOOKUP($C83,'IMF COFOG FULL'!$B:$CM,80,FALSE)),(VLOOKUP($C83,'IMF COFOG FULL'!$B:$CM,80,FALSE)), " ")</f>
        <v>1.5857154917138601</v>
      </c>
      <c r="P83" s="15">
        <f>IF(ISNUMBER(VLOOKUP($C83,'IMF COFOG FULL'!$B:$CM,81,FALSE)),(VLOOKUP($C83,'IMF COFOG FULL'!$B:$CM,81,FALSE)), " ")</f>
        <v>2.5569510104421E-2</v>
      </c>
      <c r="Q83" s="15">
        <f>IF(ISNUMBER(VLOOKUP($C83,'IMF COFOG FULL'!$B:$CM,82,FALSE)),(VLOOKUP($C83,'IMF COFOG FULL'!$B:$CM,82,FALSE)), " ")</f>
        <v>1.3791300846797201</v>
      </c>
      <c r="R83" s="15">
        <f>IF(ISNUMBER(VLOOKUP($C83,'IMF COFOG FULL'!$B:$CM,83,FALSE)),(VLOOKUP($C83,'IMF COFOG FULL'!$B:$CM,83,FALSE)), " ")</f>
        <v>0.32144526988415001</v>
      </c>
      <c r="S83" s="15">
        <f>IF(ISNUMBER(VLOOKUP($C83,'IMF COFOG FULL'!$B:$CM,84,FALSE)),(VLOOKUP($C83,'IMF COFOG FULL'!$B:$CM,84,FALSE)), " ")</f>
        <v>1.21759571925814E-2</v>
      </c>
      <c r="T83" s="15">
        <f>IF(ISNUMBER(VLOOKUP($C83,'IMF COFOG FULL'!$B:$CM,85,FALSE)),(VLOOKUP($C83,'IMF COFOG FULL'!$B:$CM,85,FALSE)), " ")</f>
        <v>0</v>
      </c>
      <c r="U83" s="7">
        <f>IF(ISNUMBER(VLOOKUP($C83,'IMF COFOG FULL'!$B:$CM,79,FALSE)),(VLOOKUP($C83,'IMF COFOG FULL'!$B:$CM,86,FALSE)), " ")</f>
        <v>2020</v>
      </c>
      <c r="V83" s="15" t="str">
        <f>IF(ISNUMBER(VLOOKUP($C83,'IMF COFOG FULL'!$B:$CM,79,FALSE)),(VLOOKUP($C83,'IMF COFOG FULL'!$B:$CM,87,FALSE)), " ")</f>
        <v>General government</v>
      </c>
      <c r="W83" s="15">
        <f t="shared" si="39"/>
        <v>13.553025108417636</v>
      </c>
      <c r="X83" s="15">
        <f t="shared" si="40"/>
        <v>6.4654052623428422</v>
      </c>
      <c r="Y83" s="15">
        <f t="shared" si="41"/>
        <v>0.10425403929552027</v>
      </c>
      <c r="Z83" s="15">
        <f t="shared" si="42"/>
        <v>5.6230988178758263</v>
      </c>
      <c r="AA83" s="15">
        <f t="shared" si="43"/>
        <v>1.3106222082865417</v>
      </c>
      <c r="AB83" s="15">
        <f t="shared" si="44"/>
        <v>4.9644780616914297E-2</v>
      </c>
      <c r="AC83" s="15">
        <f t="shared" si="45"/>
        <v>0</v>
      </c>
      <c r="AG83" s="15" t="str">
        <f>IF(ISNUMBER(VLOOKUP(C83,'National budgets summary'!A:F,5, FALSE)),(VLOOKUP(C83,'National budgets summary'!A:F,5, FALSE)), " ")</f>
        <v xml:space="preserve"> </v>
      </c>
      <c r="AH83" t="str">
        <f>IF(ISNUMBER(VLOOKUP(C83,'National budgets summary'!A:F,5, FALSE)),(VLOOKUP(C83,'National budgets summary'!A:F,4, FALSE)), " ")</f>
        <v xml:space="preserve"> </v>
      </c>
      <c r="AI83" s="15" t="str">
        <f t="shared" si="26"/>
        <v xml:space="preserve"> </v>
      </c>
      <c r="AJ83" s="15" t="str">
        <f t="shared" si="31"/>
        <v xml:space="preserve"> </v>
      </c>
      <c r="AK83" s="15">
        <f t="shared" si="32"/>
        <v>6.4654052623428422</v>
      </c>
      <c r="AL83" s="15">
        <f t="shared" si="33"/>
        <v>5.6230988178758263</v>
      </c>
      <c r="AM83" s="15">
        <f t="shared" si="34"/>
        <v>1.3106222082865417</v>
      </c>
      <c r="AN83" s="15">
        <f t="shared" si="27"/>
        <v>13.553025108417636</v>
      </c>
      <c r="AO83" s="15">
        <f t="shared" si="28"/>
        <v>3.3240363135747302</v>
      </c>
      <c r="AP83">
        <f t="shared" si="29"/>
        <v>2020</v>
      </c>
      <c r="AQ83" t="str">
        <f t="shared" si="30"/>
        <v>IMF COFOG</v>
      </c>
      <c r="AR83" s="7">
        <f t="shared" si="35"/>
        <v>65.648621356953811</v>
      </c>
      <c r="AS83" s="7">
        <f t="shared" si="36"/>
        <v>57.095985505740416</v>
      </c>
      <c r="AT83" s="7">
        <f t="shared" si="37"/>
        <v>13.307834173203812</v>
      </c>
      <c r="AU83" s="7">
        <f t="shared" si="38"/>
        <v>137.61510338199383</v>
      </c>
    </row>
    <row r="84" spans="1:47">
      <c r="A84">
        <v>81</v>
      </c>
      <c r="B84" t="s">
        <v>173</v>
      </c>
      <c r="C84" t="s">
        <v>387</v>
      </c>
      <c r="D84" t="s">
        <v>487</v>
      </c>
      <c r="E84" t="s">
        <v>334</v>
      </c>
      <c r="H84" t="str">
        <f>IF(ISNUMBER(VLOOKUP(C84,'OECD DAC'!B:C,2,FALSE)), "YES", " ")</f>
        <v xml:space="preserve"> </v>
      </c>
      <c r="I84">
        <v>4220</v>
      </c>
      <c r="J84">
        <v>2021</v>
      </c>
      <c r="K84" s="15">
        <f>IF(ISNUMBER(VLOOKUP(C84,'WEO GOV REV'!C:BL,58,FALSE)),(VLOOKUP(C84,'WEO GOV REV'!C:BL,58,FALSE)), " ")</f>
        <v>14.282</v>
      </c>
      <c r="L84" s="15">
        <f>IF(ISNUMBER(VLOOKUP(C84,'WEO GOV REV'!C:BL,62,FALSE)),(VLOOKUP(C84,'WEO GOV REV'!C:BL,62,FALSE)), " ")</f>
        <v>24.87416618771444</v>
      </c>
      <c r="M84">
        <f>IF(ISNUMBER(VLOOKUP(C84,'WEO GOV REV'!C:BL,62,FALSE)),(VLOOKUP(C84,'WEO GOV REV'!C:BL,57,FALSE)), " ")</f>
        <v>2021</v>
      </c>
      <c r="N84" s="15">
        <f>IF(ISNUMBER(VLOOKUP($C84,'IMF COFOG FULL'!$B:$CM,79,FALSE)),(VLOOKUP($C84,'IMF COFOG FULL'!$B:$CM,79,FALSE)), " ")</f>
        <v>1.82696565518388</v>
      </c>
      <c r="O84" s="15">
        <f>IF(ISNUMBER(VLOOKUP($C84,'IMF COFOG FULL'!$B:$CM,80,FALSE)),(VLOOKUP($C84,'IMF COFOG FULL'!$B:$CM,80,FALSE)), " ")</f>
        <v>0</v>
      </c>
      <c r="P84" s="15">
        <f>IF(ISNUMBER(VLOOKUP($C84,'IMF COFOG FULL'!$B:$CM,81,FALSE)),(VLOOKUP($C84,'IMF COFOG FULL'!$B:$CM,81,FALSE)), " ")</f>
        <v>0</v>
      </c>
      <c r="Q84" s="15">
        <f>IF(ISNUMBER(VLOOKUP($C84,'IMF COFOG FULL'!$B:$CM,82,FALSE)),(VLOOKUP($C84,'IMF COFOG FULL'!$B:$CM,82,FALSE)), " ")</f>
        <v>0.10974064611883</v>
      </c>
      <c r="R84" s="15">
        <f>IF(ISNUMBER(VLOOKUP($C84,'IMF COFOG FULL'!$B:$CM,83,FALSE)),(VLOOKUP($C84,'IMF COFOG FULL'!$B:$CM,83,FALSE)), " ")</f>
        <v>0</v>
      </c>
      <c r="S84" s="15">
        <f>IF(ISNUMBER(VLOOKUP($C84,'IMF COFOG FULL'!$B:$CM,84,FALSE)),(VLOOKUP($C84,'IMF COFOG FULL'!$B:$CM,84,FALSE)), " ")</f>
        <v>0</v>
      </c>
      <c r="T84" s="15">
        <f>IF(ISNUMBER(VLOOKUP($C84,'IMF COFOG FULL'!$B:$CM,85,FALSE)),(VLOOKUP($C84,'IMF COFOG FULL'!$B:$CM,85,FALSE)), " ")</f>
        <v>1.71722500906505</v>
      </c>
      <c r="U84" s="7">
        <f>IF(ISNUMBER(VLOOKUP($C84,'IMF COFOG FULL'!$B:$CM,79,FALSE)),(VLOOKUP($C84,'IMF COFOG FULL'!$B:$CM,86,FALSE)), " ")</f>
        <v>2018</v>
      </c>
      <c r="V84" s="15" t="str">
        <f>IF(ISNUMBER(VLOOKUP($C84,'IMF COFOG FULL'!$B:$CM,79,FALSE)),(VLOOKUP($C84,'IMF COFOG FULL'!$B:$CM,87,FALSE)), " ")</f>
        <v>Budgetary central government</v>
      </c>
      <c r="W84" s="15">
        <f t="shared" si="39"/>
        <v>7.3448317479129557</v>
      </c>
      <c r="X84" s="15">
        <f t="shared" si="40"/>
        <v>0</v>
      </c>
      <c r="Y84" s="15">
        <f t="shared" si="41"/>
        <v>0</v>
      </c>
      <c r="Z84" s="15">
        <f t="shared" si="42"/>
        <v>0.44118321511026903</v>
      </c>
      <c r="AA84" s="15">
        <f t="shared" si="43"/>
        <v>0</v>
      </c>
      <c r="AB84" s="15">
        <f t="shared" si="44"/>
        <v>0</v>
      </c>
      <c r="AC84" s="15">
        <f t="shared" si="45"/>
        <v>6.9036485328026878</v>
      </c>
      <c r="AG84" s="15" t="str">
        <f>IF(ISNUMBER(VLOOKUP(C84,'National budgets summary'!A:F,5, FALSE)),(VLOOKUP(C84,'National budgets summary'!A:F,5, FALSE)), " ")</f>
        <v xml:space="preserve"> </v>
      </c>
      <c r="AH84" t="str">
        <f>IF(ISNUMBER(VLOOKUP(C84,'National budgets summary'!A:F,5, FALSE)),(VLOOKUP(C84,'National budgets summary'!A:F,4, FALSE)), " ")</f>
        <v xml:space="preserve"> </v>
      </c>
      <c r="AI84" s="15" t="str">
        <f t="shared" si="26"/>
        <v xml:space="preserve"> </v>
      </c>
      <c r="AJ84" s="15" t="str">
        <f t="shared" si="31"/>
        <v xml:space="preserve"> </v>
      </c>
      <c r="AK84" s="15">
        <f t="shared" si="32"/>
        <v>0</v>
      </c>
      <c r="AL84" s="15">
        <f t="shared" si="33"/>
        <v>0.44118321511026903</v>
      </c>
      <c r="AM84" s="15">
        <f t="shared" si="34"/>
        <v>0</v>
      </c>
      <c r="AN84" s="15">
        <f t="shared" si="27"/>
        <v>7.3448317479129557</v>
      </c>
      <c r="AO84" s="15">
        <f t="shared" si="28"/>
        <v>1.82696565518388</v>
      </c>
      <c r="AP84">
        <f t="shared" si="29"/>
        <v>2018</v>
      </c>
      <c r="AQ84" t="str">
        <f t="shared" si="30"/>
        <v>IMF COFOG</v>
      </c>
      <c r="AR84" s="7">
        <f t="shared" si="35"/>
        <v>0</v>
      </c>
      <c r="AS84" s="7">
        <f t="shared" si="36"/>
        <v>4.6310552662146263</v>
      </c>
      <c r="AT84" s="7">
        <f t="shared" si="37"/>
        <v>0</v>
      </c>
      <c r="AU84" s="7">
        <f t="shared" si="38"/>
        <v>77.097950648759735</v>
      </c>
    </row>
    <row r="85" spans="1:47">
      <c r="A85">
        <v>82</v>
      </c>
      <c r="B85" t="s">
        <v>174</v>
      </c>
      <c r="C85" t="s">
        <v>388</v>
      </c>
      <c r="D85" t="s">
        <v>497</v>
      </c>
      <c r="E85" t="s">
        <v>389</v>
      </c>
      <c r="F85" t="s">
        <v>619</v>
      </c>
      <c r="H85" t="str">
        <f>IF(ISNUMBER(VLOOKUP(C85,'OECD DAC'!B:C,2,FALSE)), "YES", " ")</f>
        <v xml:space="preserve"> </v>
      </c>
      <c r="I85">
        <v>4290</v>
      </c>
      <c r="J85">
        <v>2021</v>
      </c>
      <c r="K85" s="15">
        <f>IF(ISNUMBER(VLOOKUP(C85,'WEO GOV REV'!C:BL,58,FALSE)),(VLOOKUP(C85,'WEO GOV REV'!C:BL,58,FALSE)), " ")</f>
        <v>0.96699999999999997</v>
      </c>
      <c r="L85" s="15">
        <f>IF(ISNUMBER(VLOOKUP(C85,'WEO GOV REV'!C:BL,62,FALSE)),(VLOOKUP(C85,'WEO GOV REV'!C:BL,62,FALSE)), " ")</f>
        <v>30.495111952065596</v>
      </c>
      <c r="M85">
        <f>IF(ISNUMBER(VLOOKUP(C85,'WEO GOV REV'!C:BL,62,FALSE)),(VLOOKUP(C85,'WEO GOV REV'!C:BL,57,FALSE)), " ")</f>
        <v>2020</v>
      </c>
      <c r="N85" s="15" t="str">
        <f>IF(ISNUMBER(VLOOKUP($C85,'IMF COFOG FULL'!$B:$CM,79,FALSE)),(VLOOKUP($C85,'IMF COFOG FULL'!$B:$CM,79,FALSE)), " ")</f>
        <v xml:space="preserve"> </v>
      </c>
      <c r="O85" s="15" t="str">
        <f>IF(ISNUMBER(VLOOKUP($C85,'IMF COFOG FULL'!$B:$CM,80,FALSE)),(VLOOKUP($C85,'IMF COFOG FULL'!$B:$CM,80,FALSE)), " ")</f>
        <v xml:space="preserve"> </v>
      </c>
      <c r="P85" s="15" t="str">
        <f>IF(ISNUMBER(VLOOKUP($C85,'IMF COFOG FULL'!$B:$CM,81,FALSE)),(VLOOKUP($C85,'IMF COFOG FULL'!$B:$CM,81,FALSE)), " ")</f>
        <v xml:space="preserve"> </v>
      </c>
      <c r="Q85" s="15" t="str">
        <f>IF(ISNUMBER(VLOOKUP($C85,'IMF COFOG FULL'!$B:$CM,82,FALSE)),(VLOOKUP($C85,'IMF COFOG FULL'!$B:$CM,82,FALSE)), " ")</f>
        <v xml:space="preserve"> </v>
      </c>
      <c r="R85" s="15" t="str">
        <f>IF(ISNUMBER(VLOOKUP($C85,'IMF COFOG FULL'!$B:$CM,83,FALSE)),(VLOOKUP($C85,'IMF COFOG FULL'!$B:$CM,83,FALSE)), " ")</f>
        <v xml:space="preserve"> </v>
      </c>
      <c r="S85" s="15" t="str">
        <f>IF(ISNUMBER(VLOOKUP($C85,'IMF COFOG FULL'!$B:$CM,84,FALSE)),(VLOOKUP($C85,'IMF COFOG FULL'!$B:$CM,84,FALSE)), " ")</f>
        <v xml:space="preserve"> </v>
      </c>
      <c r="T85" s="15" t="str">
        <f>IF(ISNUMBER(VLOOKUP($C85,'IMF COFOG FULL'!$B:$CM,85,FALSE)),(VLOOKUP($C85,'IMF COFOG FULL'!$B:$CM,85,FALSE)), " ")</f>
        <v xml:space="preserve"> </v>
      </c>
      <c r="U85" s="7" t="str">
        <f>IF(ISNUMBER(VLOOKUP($C85,'IMF COFOG FULL'!$B:$CM,79,FALSE)),(VLOOKUP($C85,'IMF COFOG FULL'!$B:$CM,86,FALSE)), " ")</f>
        <v xml:space="preserve"> </v>
      </c>
      <c r="V85" s="15" t="str">
        <f>IF(ISNUMBER(VLOOKUP($C85,'IMF COFOG FULL'!$B:$CM,79,FALSE)),(VLOOKUP($C85,'IMF COFOG FULL'!$B:$CM,87,FALSE)), " ")</f>
        <v xml:space="preserve"> </v>
      </c>
      <c r="W85" s="15" t="str">
        <f t="shared" si="39"/>
        <v xml:space="preserve"> </v>
      </c>
      <c r="X85" s="15" t="str">
        <f t="shared" si="40"/>
        <v xml:space="preserve"> </v>
      </c>
      <c r="Y85" s="15" t="str">
        <f t="shared" si="41"/>
        <v xml:space="preserve"> </v>
      </c>
      <c r="Z85" s="15" t="str">
        <f t="shared" si="42"/>
        <v xml:space="preserve"> </v>
      </c>
      <c r="AA85" s="15" t="str">
        <f t="shared" si="43"/>
        <v xml:space="preserve"> </v>
      </c>
      <c r="AB85" s="15" t="str">
        <f t="shared" si="44"/>
        <v xml:space="preserve"> </v>
      </c>
      <c r="AC85" s="15" t="str">
        <f t="shared" si="45"/>
        <v xml:space="preserve"> </v>
      </c>
      <c r="AG85" s="15" t="str">
        <f>IF(ISNUMBER(VLOOKUP(C85,'National budgets summary'!A:F,5, FALSE)),(VLOOKUP(C85,'National budgets summary'!A:F,5, FALSE)), " ")</f>
        <v xml:space="preserve"> </v>
      </c>
      <c r="AH85" t="str">
        <f>IF(ISNUMBER(VLOOKUP(C85,'National budgets summary'!A:F,5, FALSE)),(VLOOKUP(C85,'National budgets summary'!A:F,4, FALSE)), " ")</f>
        <v xml:space="preserve"> </v>
      </c>
      <c r="AI85" s="15" t="str">
        <f t="shared" si="26"/>
        <v xml:space="preserve"> </v>
      </c>
      <c r="AJ85" s="15" t="str">
        <f t="shared" si="31"/>
        <v xml:space="preserve"> </v>
      </c>
      <c r="AK85" s="15" t="str">
        <f t="shared" si="32"/>
        <v/>
      </c>
      <c r="AL85" s="15" t="str">
        <f t="shared" si="33"/>
        <v/>
      </c>
      <c r="AM85" s="15" t="str">
        <f t="shared" si="34"/>
        <v/>
      </c>
      <c r="AN85" s="15" t="str">
        <f t="shared" si="27"/>
        <v xml:space="preserve"> </v>
      </c>
      <c r="AO85" s="15" t="str">
        <f t="shared" si="28"/>
        <v xml:space="preserve"> </v>
      </c>
      <c r="AP85" t="str">
        <f t="shared" si="29"/>
        <v xml:space="preserve"> </v>
      </c>
      <c r="AQ85" t="str">
        <f t="shared" si="30"/>
        <v xml:space="preserve"> </v>
      </c>
      <c r="AR85" s="7" t="str">
        <f t="shared" si="35"/>
        <v xml:space="preserve"> </v>
      </c>
      <c r="AS85" s="7" t="str">
        <f t="shared" si="36"/>
        <v xml:space="preserve"> </v>
      </c>
      <c r="AT85" s="7" t="str">
        <f t="shared" si="37"/>
        <v xml:space="preserve"> </v>
      </c>
      <c r="AU85" s="7" t="str">
        <f t="shared" si="38"/>
        <v xml:space="preserve"> </v>
      </c>
    </row>
    <row r="86" spans="1:47">
      <c r="A86">
        <v>83</v>
      </c>
      <c r="B86" t="s">
        <v>175</v>
      </c>
      <c r="C86" t="s">
        <v>390</v>
      </c>
      <c r="D86" t="s">
        <v>497</v>
      </c>
      <c r="E86" t="s">
        <v>389</v>
      </c>
      <c r="F86" t="s">
        <v>619</v>
      </c>
      <c r="H86" t="str">
        <f>IF(ISNUMBER(VLOOKUP(C86,'OECD DAC'!B:C,2,FALSE)), "YES", " ")</f>
        <v xml:space="preserve"> </v>
      </c>
      <c r="I86">
        <v>4440</v>
      </c>
      <c r="J86">
        <v>2021</v>
      </c>
      <c r="K86" s="15">
        <f>IF(ISNUMBER(VLOOKUP(C86,'WEO GOV REV'!C:BL,58,FALSE)),(VLOOKUP(C86,'WEO GOV REV'!C:BL,58,FALSE)), " ")</f>
        <v>15.269</v>
      </c>
      <c r="L86" s="15">
        <f>IF(ISNUMBER(VLOOKUP(C86,'WEO GOV REV'!C:BL,62,FALSE)),(VLOOKUP(C86,'WEO GOV REV'!C:BL,62,FALSE)), " ")</f>
        <v>27.149715504978662</v>
      </c>
      <c r="M86">
        <f>IF(ISNUMBER(VLOOKUP(C86,'WEO GOV REV'!C:BL,62,FALSE)),(VLOOKUP(C86,'WEO GOV REV'!C:BL,57,FALSE)), " ")</f>
        <v>2021</v>
      </c>
      <c r="N86" s="15" t="str">
        <f>IF(ISNUMBER(VLOOKUP($C86,'IMF COFOG FULL'!$B:$CM,79,FALSE)),(VLOOKUP($C86,'IMF COFOG FULL'!$B:$CM,79,FALSE)), " ")</f>
        <v xml:space="preserve"> </v>
      </c>
      <c r="O86" s="15" t="str">
        <f>IF(ISNUMBER(VLOOKUP($C86,'IMF COFOG FULL'!$B:$CM,80,FALSE)),(VLOOKUP($C86,'IMF COFOG FULL'!$B:$CM,80,FALSE)), " ")</f>
        <v xml:space="preserve"> </v>
      </c>
      <c r="P86" s="15" t="str">
        <f>IF(ISNUMBER(VLOOKUP($C86,'IMF COFOG FULL'!$B:$CM,81,FALSE)),(VLOOKUP($C86,'IMF COFOG FULL'!$B:$CM,81,FALSE)), " ")</f>
        <v xml:space="preserve"> </v>
      </c>
      <c r="Q86" s="15" t="str">
        <f>IF(ISNUMBER(VLOOKUP($C86,'IMF COFOG FULL'!$B:$CM,82,FALSE)),(VLOOKUP($C86,'IMF COFOG FULL'!$B:$CM,82,FALSE)), " ")</f>
        <v xml:space="preserve"> </v>
      </c>
      <c r="R86" s="15" t="str">
        <f>IF(ISNUMBER(VLOOKUP($C86,'IMF COFOG FULL'!$B:$CM,83,FALSE)),(VLOOKUP($C86,'IMF COFOG FULL'!$B:$CM,83,FALSE)), " ")</f>
        <v xml:space="preserve"> </v>
      </c>
      <c r="S86" s="15" t="str">
        <f>IF(ISNUMBER(VLOOKUP($C86,'IMF COFOG FULL'!$B:$CM,84,FALSE)),(VLOOKUP($C86,'IMF COFOG FULL'!$B:$CM,84,FALSE)), " ")</f>
        <v xml:space="preserve"> </v>
      </c>
      <c r="T86" s="15" t="str">
        <f>IF(ISNUMBER(VLOOKUP($C86,'IMF COFOG FULL'!$B:$CM,85,FALSE)),(VLOOKUP($C86,'IMF COFOG FULL'!$B:$CM,85,FALSE)), " ")</f>
        <v xml:space="preserve"> </v>
      </c>
      <c r="U86" s="7" t="str">
        <f>IF(ISNUMBER(VLOOKUP($C86,'IMF COFOG FULL'!$B:$CM,79,FALSE)),(VLOOKUP($C86,'IMF COFOG FULL'!$B:$CM,86,FALSE)), " ")</f>
        <v xml:space="preserve"> </v>
      </c>
      <c r="V86" s="15" t="str">
        <f>IF(ISNUMBER(VLOOKUP($C86,'IMF COFOG FULL'!$B:$CM,79,FALSE)),(VLOOKUP($C86,'IMF COFOG FULL'!$B:$CM,87,FALSE)), " ")</f>
        <v xml:space="preserve"> </v>
      </c>
      <c r="W86" s="15" t="str">
        <f t="shared" si="39"/>
        <v xml:space="preserve"> </v>
      </c>
      <c r="X86" s="15" t="str">
        <f t="shared" si="40"/>
        <v xml:space="preserve"> </v>
      </c>
      <c r="Y86" s="15" t="str">
        <f t="shared" si="41"/>
        <v xml:space="preserve"> </v>
      </c>
      <c r="Z86" s="15" t="str">
        <f t="shared" si="42"/>
        <v xml:space="preserve"> </v>
      </c>
      <c r="AA86" s="15" t="str">
        <f t="shared" si="43"/>
        <v xml:space="preserve"> </v>
      </c>
      <c r="AB86" s="15" t="str">
        <f t="shared" si="44"/>
        <v xml:space="preserve"> </v>
      </c>
      <c r="AC86" s="15" t="str">
        <f t="shared" si="45"/>
        <v xml:space="preserve"> </v>
      </c>
      <c r="AG86" s="15" t="str">
        <f>IF(ISNUMBER(VLOOKUP(C86,'National budgets summary'!A:F,5, FALSE)),(VLOOKUP(C86,'National budgets summary'!A:F,5, FALSE)), " ")</f>
        <v xml:space="preserve"> </v>
      </c>
      <c r="AH86" t="str">
        <f>IF(ISNUMBER(VLOOKUP(C86,'National budgets summary'!A:F,5, FALSE)),(VLOOKUP(C86,'National budgets summary'!A:F,4, FALSE)), " ")</f>
        <v xml:space="preserve"> </v>
      </c>
      <c r="AI86" s="15" t="str">
        <f t="shared" si="26"/>
        <v xml:space="preserve"> </v>
      </c>
      <c r="AJ86" s="15" t="str">
        <f t="shared" si="31"/>
        <v xml:space="preserve"> </v>
      </c>
      <c r="AK86" s="15" t="str">
        <f t="shared" si="32"/>
        <v/>
      </c>
      <c r="AL86" s="15" t="str">
        <f t="shared" si="33"/>
        <v/>
      </c>
      <c r="AM86" s="15" t="str">
        <f t="shared" si="34"/>
        <v/>
      </c>
      <c r="AN86" s="15" t="str">
        <f t="shared" si="27"/>
        <v xml:space="preserve"> </v>
      </c>
      <c r="AO86" s="15" t="str">
        <f t="shared" si="28"/>
        <v xml:space="preserve"> </v>
      </c>
      <c r="AP86" t="str">
        <f t="shared" si="29"/>
        <v xml:space="preserve"> </v>
      </c>
      <c r="AQ86" t="str">
        <f t="shared" si="30"/>
        <v xml:space="preserve"> </v>
      </c>
      <c r="AR86" s="7" t="str">
        <f t="shared" si="35"/>
        <v xml:space="preserve"> </v>
      </c>
      <c r="AS86" s="7" t="str">
        <f t="shared" si="36"/>
        <v xml:space="preserve"> </v>
      </c>
      <c r="AT86" s="7" t="str">
        <f t="shared" si="37"/>
        <v xml:space="preserve"> </v>
      </c>
      <c r="AU86" s="7" t="str">
        <f t="shared" si="38"/>
        <v xml:space="preserve"> </v>
      </c>
    </row>
    <row r="87" spans="1:47">
      <c r="A87">
        <v>84</v>
      </c>
      <c r="B87" t="s">
        <v>176</v>
      </c>
      <c r="C87" t="s">
        <v>391</v>
      </c>
      <c r="D87" t="s">
        <v>487</v>
      </c>
      <c r="E87" t="s">
        <v>389</v>
      </c>
      <c r="F87" t="s">
        <v>619</v>
      </c>
      <c r="H87" t="str">
        <f>IF(ISNUMBER(VLOOKUP(C87,'OECD DAC'!B:C,2,FALSE)), "YES", " ")</f>
        <v xml:space="preserve"> </v>
      </c>
      <c r="I87">
        <v>4480</v>
      </c>
      <c r="J87">
        <v>2021</v>
      </c>
      <c r="K87" s="15">
        <f>IF(ISNUMBER(VLOOKUP(C87,'WEO GOV REV'!C:BL,58,FALSE)),(VLOOKUP(C87,'WEO GOV REV'!C:BL,58,FALSE)), " ")</f>
        <v>7.0289999999999999</v>
      </c>
      <c r="L87" s="15">
        <f>IF(ISNUMBER(VLOOKUP(C87,'WEO GOV REV'!C:BL,62,FALSE)),(VLOOKUP(C87,'WEO GOV REV'!C:BL,62,FALSE)), " ")</f>
        <v>22.655922643029815</v>
      </c>
      <c r="M87">
        <f>IF(ISNUMBER(VLOOKUP(C87,'WEO GOV REV'!C:BL,62,FALSE)),(VLOOKUP(C87,'WEO GOV REV'!C:BL,57,FALSE)), " ")</f>
        <v>2020</v>
      </c>
      <c r="N87" s="15">
        <f>IF(ISNUMBER(VLOOKUP($C87,'IMF COFOG FULL'!$B:$CM,79,FALSE)),(VLOOKUP($C87,'IMF COFOG FULL'!$B:$CM,79,FALSE)), " ")</f>
        <v>4.6110802787416398</v>
      </c>
      <c r="O87" s="15">
        <f>IF(ISNUMBER(VLOOKUP($C87,'IMF COFOG FULL'!$B:$CM,80,FALSE)),(VLOOKUP($C87,'IMF COFOG FULL'!$B:$CM,80,FALSE)), " ")</f>
        <v>3.4349421592723099</v>
      </c>
      <c r="P87" s="15">
        <f>IF(ISNUMBER(VLOOKUP($C87,'IMF COFOG FULL'!$B:$CM,81,FALSE)),(VLOOKUP($C87,'IMF COFOG FULL'!$B:$CM,81,FALSE)), " ")</f>
        <v>0.80643945599130396</v>
      </c>
      <c r="Q87" s="15">
        <f>IF(ISNUMBER(VLOOKUP($C87,'IMF COFOG FULL'!$B:$CM,82,FALSE)),(VLOOKUP($C87,'IMF COFOG FULL'!$B:$CM,82,FALSE)), " ")</f>
        <v>0.30652434957942798</v>
      </c>
      <c r="R87" s="15">
        <f>IF(ISNUMBER(VLOOKUP($C87,'IMF COFOG FULL'!$B:$CM,83,FALSE)),(VLOOKUP($C87,'IMF COFOG FULL'!$B:$CM,83,FALSE)), " ")</f>
        <v>0</v>
      </c>
      <c r="S87" s="15">
        <f>IF(ISNUMBER(VLOOKUP($C87,'IMF COFOG FULL'!$B:$CM,84,FALSE)),(VLOOKUP($C87,'IMF COFOG FULL'!$B:$CM,84,FALSE)), " ")</f>
        <v>0</v>
      </c>
      <c r="T87" s="15">
        <f>IF(ISNUMBER(VLOOKUP($C87,'IMF COFOG FULL'!$B:$CM,85,FALSE)),(VLOOKUP($C87,'IMF COFOG FULL'!$B:$CM,85,FALSE)), " ")</f>
        <v>6.3174313898599302E-2</v>
      </c>
      <c r="U87" s="7">
        <f>IF(ISNUMBER(VLOOKUP($C87,'IMF COFOG FULL'!$B:$CM,79,FALSE)),(VLOOKUP($C87,'IMF COFOG FULL'!$B:$CM,86,FALSE)), " ")</f>
        <v>2020</v>
      </c>
      <c r="V87" s="15" t="str">
        <f>IF(ISNUMBER(VLOOKUP($C87,'IMF COFOG FULL'!$B:$CM,79,FALSE)),(VLOOKUP($C87,'IMF COFOG FULL'!$B:$CM,87,FALSE)), " ")</f>
        <v>Budgetary central government</v>
      </c>
      <c r="W87" s="15">
        <f t="shared" si="39"/>
        <v>20.352648406310909</v>
      </c>
      <c r="X87" s="15">
        <f t="shared" si="40"/>
        <v>15.161343077453893</v>
      </c>
      <c r="Y87" s="15">
        <f t="shared" si="41"/>
        <v>3.5595083400384411</v>
      </c>
      <c r="Z87" s="15">
        <f t="shared" si="42"/>
        <v>1.35295460886353</v>
      </c>
      <c r="AA87" s="15">
        <f t="shared" si="43"/>
        <v>0</v>
      </c>
      <c r="AB87" s="15">
        <f t="shared" si="44"/>
        <v>0</v>
      </c>
      <c r="AC87" s="15">
        <f t="shared" si="45"/>
        <v>0.27884237995504957</v>
      </c>
      <c r="AG87" s="15" t="str">
        <f>IF(ISNUMBER(VLOOKUP(C87,'National budgets summary'!A:F,5, FALSE)),(VLOOKUP(C87,'National budgets summary'!A:F,5, FALSE)), " ")</f>
        <v xml:space="preserve"> </v>
      </c>
      <c r="AH87" t="str">
        <f>IF(ISNUMBER(VLOOKUP(C87,'National budgets summary'!A:F,5, FALSE)),(VLOOKUP(C87,'National budgets summary'!A:F,4, FALSE)), " ")</f>
        <v xml:space="preserve"> </v>
      </c>
      <c r="AI87" s="15" t="str">
        <f t="shared" si="26"/>
        <v xml:space="preserve"> </v>
      </c>
      <c r="AJ87" s="15" t="str">
        <f t="shared" si="31"/>
        <v xml:space="preserve"> </v>
      </c>
      <c r="AK87" s="15">
        <f t="shared" si="32"/>
        <v>15.161343077453893</v>
      </c>
      <c r="AL87" s="15">
        <f t="shared" si="33"/>
        <v>1.35295460886353</v>
      </c>
      <c r="AM87" s="15">
        <f t="shared" si="34"/>
        <v>0</v>
      </c>
      <c r="AN87" s="15">
        <f t="shared" si="27"/>
        <v>20.352648406310909</v>
      </c>
      <c r="AO87" s="15">
        <f t="shared" si="28"/>
        <v>4.6110802787416398</v>
      </c>
      <c r="AP87">
        <f t="shared" si="29"/>
        <v>2020</v>
      </c>
      <c r="AQ87" t="str">
        <f t="shared" si="30"/>
        <v>IMF COFOG</v>
      </c>
      <c r="AR87" s="7">
        <f t="shared" si="35"/>
        <v>153.88540873539949</v>
      </c>
      <c r="AS87" s="7">
        <f t="shared" si="36"/>
        <v>13.732290861158372</v>
      </c>
      <c r="AT87" s="7">
        <f t="shared" si="37"/>
        <v>0</v>
      </c>
      <c r="AU87" s="7">
        <f t="shared" si="38"/>
        <v>206.57639648762546</v>
      </c>
    </row>
    <row r="88" spans="1:47">
      <c r="A88">
        <v>85</v>
      </c>
      <c r="B88" t="s">
        <v>177</v>
      </c>
      <c r="C88" t="s">
        <v>392</v>
      </c>
      <c r="D88" t="s">
        <v>496</v>
      </c>
      <c r="E88" t="s">
        <v>389</v>
      </c>
      <c r="F88" t="s">
        <v>619</v>
      </c>
      <c r="H88" t="str">
        <f>IF(ISNUMBER(VLOOKUP(C88,'OECD DAC'!B:C,2,FALSE)), "YES", " ")</f>
        <v xml:space="preserve"> </v>
      </c>
      <c r="I88">
        <v>4550</v>
      </c>
      <c r="J88">
        <v>2021</v>
      </c>
      <c r="K88" s="15">
        <f>IF(ISNUMBER(VLOOKUP(C88,'WEO GOV REV'!C:BL,58,FALSE)),(VLOOKUP(C88,'WEO GOV REV'!C:BL,58,FALSE)), " ")</f>
        <v>58.01</v>
      </c>
      <c r="L88" s="15">
        <f>IF(ISNUMBER(VLOOKUP(C88,'WEO GOV REV'!C:BL,62,FALSE)),(VLOOKUP(C88,'WEO GOV REV'!C:BL,62,FALSE)), " ")</f>
        <v>33.181373586459756</v>
      </c>
      <c r="M88">
        <f>IF(ISNUMBER(VLOOKUP(C88,'WEO GOV REV'!C:BL,62,FALSE)),(VLOOKUP(C88,'WEO GOV REV'!C:BL,57,FALSE)), " ")</f>
        <v>2020</v>
      </c>
      <c r="N88" s="15">
        <f>IF(ISNUMBER(VLOOKUP($C88,'IMF COFOG FULL'!$B:$CM,79,FALSE)),(VLOOKUP($C88,'IMF COFOG FULL'!$B:$CM,79,FALSE)), " ")</f>
        <v>7.0783142089488003</v>
      </c>
      <c r="O88" s="15">
        <f>IF(ISNUMBER(VLOOKUP($C88,'IMF COFOG FULL'!$B:$CM,80,FALSE)),(VLOOKUP($C88,'IMF COFOG FULL'!$B:$CM,80,FALSE)), " ")</f>
        <v>3.3657137832556998</v>
      </c>
      <c r="P88" s="15">
        <f>IF(ISNUMBER(VLOOKUP($C88,'IMF COFOG FULL'!$B:$CM,81,FALSE)),(VLOOKUP($C88,'IMF COFOG FULL'!$B:$CM,81,FALSE)), " ")</f>
        <v>0</v>
      </c>
      <c r="Q88" s="15">
        <f>IF(ISNUMBER(VLOOKUP($C88,'IMF COFOG FULL'!$B:$CM,82,FALSE)),(VLOOKUP($C88,'IMF COFOG FULL'!$B:$CM,82,FALSE)), " ")</f>
        <v>0</v>
      </c>
      <c r="R88" s="15">
        <f>IF(ISNUMBER(VLOOKUP($C88,'IMF COFOG FULL'!$B:$CM,83,FALSE)),(VLOOKUP($C88,'IMF COFOG FULL'!$B:$CM,83,FALSE)), " ")</f>
        <v>0.209434142761278</v>
      </c>
      <c r="S88" s="15">
        <f>IF(ISNUMBER(VLOOKUP($C88,'IMF COFOG FULL'!$B:$CM,84,FALSE)),(VLOOKUP($C88,'IMF COFOG FULL'!$B:$CM,84,FALSE)), " ")</f>
        <v>0</v>
      </c>
      <c r="T88" s="15">
        <f>IF(ISNUMBER(VLOOKUP($C88,'IMF COFOG FULL'!$B:$CM,85,FALSE)),(VLOOKUP($C88,'IMF COFOG FULL'!$B:$CM,85,FALSE)), " ")</f>
        <v>3.50316628293182</v>
      </c>
      <c r="U88" s="7">
        <f>IF(ISNUMBER(VLOOKUP($C88,'IMF COFOG FULL'!$B:$CM,79,FALSE)),(VLOOKUP($C88,'IMF COFOG FULL'!$B:$CM,86,FALSE)), " ")</f>
        <v>2020</v>
      </c>
      <c r="V88" s="15" t="str">
        <f>IF(ISNUMBER(VLOOKUP($C88,'IMF COFOG FULL'!$B:$CM,79,FALSE)),(VLOOKUP($C88,'IMF COFOG FULL'!$B:$CM,87,FALSE)), " ")</f>
        <v>Budgetary central government</v>
      </c>
      <c r="W88" s="15">
        <f t="shared" si="39"/>
        <v>21.332191660194656</v>
      </c>
      <c r="X88" s="15">
        <f t="shared" si="40"/>
        <v>10.143382926827172</v>
      </c>
      <c r="Y88" s="15">
        <f t="shared" si="41"/>
        <v>0</v>
      </c>
      <c r="Z88" s="15">
        <f t="shared" si="42"/>
        <v>0</v>
      </c>
      <c r="AA88" s="15">
        <f t="shared" si="43"/>
        <v>0.63117984617352096</v>
      </c>
      <c r="AB88" s="15">
        <f t="shared" si="44"/>
        <v>0</v>
      </c>
      <c r="AC88" s="15">
        <f t="shared" si="45"/>
        <v>10.557628887193955</v>
      </c>
      <c r="AG88" s="15" t="str">
        <f>IF(ISNUMBER(VLOOKUP(C88,'National budgets summary'!A:F,5, FALSE)),(VLOOKUP(C88,'National budgets summary'!A:F,5, FALSE)), " ")</f>
        <v xml:space="preserve"> </v>
      </c>
      <c r="AH88" t="str">
        <f>IF(ISNUMBER(VLOOKUP(C88,'National budgets summary'!A:F,5, FALSE)),(VLOOKUP(C88,'National budgets summary'!A:F,4, FALSE)), " ")</f>
        <v xml:space="preserve"> </v>
      </c>
      <c r="AI88" s="15" t="str">
        <f t="shared" si="26"/>
        <v xml:space="preserve"> </v>
      </c>
      <c r="AJ88" s="15" t="str">
        <f t="shared" si="31"/>
        <v xml:space="preserve"> </v>
      </c>
      <c r="AK88" s="15">
        <f t="shared" si="32"/>
        <v>10.143382926827172</v>
      </c>
      <c r="AL88" s="15">
        <f t="shared" si="33"/>
        <v>0</v>
      </c>
      <c r="AM88" s="15">
        <f t="shared" si="34"/>
        <v>0.63117984617352096</v>
      </c>
      <c r="AN88" s="15">
        <f t="shared" si="27"/>
        <v>21.332191660194656</v>
      </c>
      <c r="AO88" s="15">
        <f t="shared" si="28"/>
        <v>7.0783142089488003</v>
      </c>
      <c r="AP88">
        <f t="shared" si="29"/>
        <v>2020</v>
      </c>
      <c r="AQ88" t="str">
        <f t="shared" si="30"/>
        <v>IMF COFOG</v>
      </c>
      <c r="AR88" s="7">
        <f t="shared" si="35"/>
        <v>153.13997713813436</v>
      </c>
      <c r="AS88" s="7">
        <f t="shared" si="36"/>
        <v>0</v>
      </c>
      <c r="AT88" s="7">
        <f t="shared" si="37"/>
        <v>9.5292534956381498</v>
      </c>
      <c r="AU88" s="7">
        <f t="shared" si="38"/>
        <v>322.06329650717043</v>
      </c>
    </row>
    <row r="89" spans="1:47">
      <c r="A89">
        <v>86</v>
      </c>
      <c r="B89" t="s">
        <v>178</v>
      </c>
      <c r="C89" t="s">
        <v>393</v>
      </c>
      <c r="D89" t="s">
        <v>485</v>
      </c>
      <c r="E89" t="s">
        <v>389</v>
      </c>
      <c r="F89" t="s">
        <v>619</v>
      </c>
      <c r="H89" t="str">
        <f>IF(ISNUMBER(VLOOKUP(C89,'OECD DAC'!B:C,2,FALSE)), "YES", " ")</f>
        <v xml:space="preserve"> </v>
      </c>
      <c r="I89">
        <v>4560</v>
      </c>
      <c r="J89">
        <v>2021</v>
      </c>
      <c r="K89" s="15">
        <f>IF(ISNUMBER(VLOOKUP(C89,'WEO GOV REV'!C:BL,58,FALSE)),(VLOOKUP(C89,'WEO GOV REV'!C:BL,58,FALSE)), " ")</f>
        <v>1560.66</v>
      </c>
      <c r="L89" s="15">
        <f>IF(ISNUMBER(VLOOKUP(C89,'WEO GOV REV'!C:BL,62,FALSE)),(VLOOKUP(C89,'WEO GOV REV'!C:BL,62,FALSE)), " ")</f>
        <v>25.246616604601357</v>
      </c>
      <c r="M89">
        <f>IF(ISNUMBER(VLOOKUP(C89,'WEO GOV REV'!C:BL,62,FALSE)),(VLOOKUP(C89,'WEO GOV REV'!C:BL,57,FALSE)), " ")</f>
        <v>2020</v>
      </c>
      <c r="N89" s="15">
        <f>IF(ISNUMBER(VLOOKUP($C89,'IMF COFOG FULL'!$B:$CM,79,FALSE)),(VLOOKUP($C89,'IMF COFOG FULL'!$B:$CM,79,FALSE)), " ")</f>
        <v>2.4493562405392</v>
      </c>
      <c r="O89" s="15">
        <f>IF(ISNUMBER(VLOOKUP($C89,'IMF COFOG FULL'!$B:$CM,80,FALSE)),(VLOOKUP($C89,'IMF COFOG FULL'!$B:$CM,80,FALSE)), " ")</f>
        <v>1.00693695003872</v>
      </c>
      <c r="P89" s="15">
        <f>IF(ISNUMBER(VLOOKUP($C89,'IMF COFOG FULL'!$B:$CM,81,FALSE)),(VLOOKUP($C89,'IMF COFOG FULL'!$B:$CM,81,FALSE)), " ")</f>
        <v>0.19884158324131901</v>
      </c>
      <c r="Q89" s="15">
        <f>IF(ISNUMBER(VLOOKUP($C89,'IMF COFOG FULL'!$B:$CM,82,FALSE)),(VLOOKUP($C89,'IMF COFOG FULL'!$B:$CM,82,FALSE)), " ")</f>
        <v>0.23779817256609101</v>
      </c>
      <c r="R89" s="15">
        <f>IF(ISNUMBER(VLOOKUP($C89,'IMF COFOG FULL'!$B:$CM,83,FALSE)),(VLOOKUP($C89,'IMF COFOG FULL'!$B:$CM,83,FALSE)), " ")</f>
        <v>0.19049469964150001</v>
      </c>
      <c r="S89" s="15">
        <f>IF(ISNUMBER(VLOOKUP($C89,'IMF COFOG FULL'!$B:$CM,84,FALSE)),(VLOOKUP($C89,'IMF COFOG FULL'!$B:$CM,84,FALSE)), " ")</f>
        <v>0</v>
      </c>
      <c r="T89" s="15">
        <f>IF(ISNUMBER(VLOOKUP($C89,'IMF COFOG FULL'!$B:$CM,85,FALSE)),(VLOOKUP($C89,'IMF COFOG FULL'!$B:$CM,85,FALSE)), " ")</f>
        <v>0.81528483505157801</v>
      </c>
      <c r="U89" s="7">
        <f>IF(ISNUMBER(VLOOKUP($C89,'IMF COFOG FULL'!$B:$CM,79,FALSE)),(VLOOKUP($C89,'IMF COFOG FULL'!$B:$CM,86,FALSE)), " ")</f>
        <v>2020</v>
      </c>
      <c r="V89" s="15" t="str">
        <f>IF(ISNUMBER(VLOOKUP($C89,'IMF COFOG FULL'!$B:$CM,79,FALSE)),(VLOOKUP($C89,'IMF COFOG FULL'!$B:$CM,87,FALSE)), " ")</f>
        <v>General government</v>
      </c>
      <c r="W89" s="15">
        <f t="shared" si="39"/>
        <v>9.7017207449999034</v>
      </c>
      <c r="X89" s="15">
        <f t="shared" si="40"/>
        <v>3.9884035386159402</v>
      </c>
      <c r="Y89" s="15">
        <f t="shared" si="41"/>
        <v>0.78759695350654968</v>
      </c>
      <c r="Z89" s="15">
        <f t="shared" si="42"/>
        <v>0.94190115170818878</v>
      </c>
      <c r="AA89" s="15">
        <f t="shared" si="43"/>
        <v>0.75453555866484356</v>
      </c>
      <c r="AB89" s="15">
        <f t="shared" si="44"/>
        <v>0</v>
      </c>
      <c r="AC89" s="15">
        <f t="shared" si="45"/>
        <v>3.2292835425044131</v>
      </c>
      <c r="AG89" s="15" t="str">
        <f>IF(ISNUMBER(VLOOKUP(C89,'National budgets summary'!A:F,5, FALSE)),(VLOOKUP(C89,'National budgets summary'!A:F,5, FALSE)), " ")</f>
        <v xml:space="preserve"> </v>
      </c>
      <c r="AH89" t="str">
        <f>IF(ISNUMBER(VLOOKUP(C89,'National budgets summary'!A:F,5, FALSE)),(VLOOKUP(C89,'National budgets summary'!A:F,4, FALSE)), " ")</f>
        <v xml:space="preserve"> </v>
      </c>
      <c r="AI89" s="15" t="str">
        <f t="shared" si="26"/>
        <v xml:space="preserve"> </v>
      </c>
      <c r="AJ89" s="15" t="str">
        <f t="shared" si="31"/>
        <v xml:space="preserve"> </v>
      </c>
      <c r="AK89" s="15">
        <f t="shared" si="32"/>
        <v>3.9884035386159402</v>
      </c>
      <c r="AL89" s="15">
        <f t="shared" si="33"/>
        <v>0.94190115170818878</v>
      </c>
      <c r="AM89" s="15">
        <f t="shared" si="34"/>
        <v>0.75453555866484356</v>
      </c>
      <c r="AN89" s="15">
        <f t="shared" si="27"/>
        <v>9.7017207449999034</v>
      </c>
      <c r="AO89" s="15">
        <f t="shared" si="28"/>
        <v>2.4493562405392</v>
      </c>
      <c r="AP89">
        <f t="shared" si="29"/>
        <v>2020</v>
      </c>
      <c r="AQ89" t="str">
        <f t="shared" si="30"/>
        <v>IMF COFOG</v>
      </c>
      <c r="AR89" s="7">
        <f t="shared" si="35"/>
        <v>45.916324921765636</v>
      </c>
      <c r="AS89" s="7">
        <f t="shared" si="36"/>
        <v>10.843596669013751</v>
      </c>
      <c r="AT89" s="7">
        <f t="shared" si="37"/>
        <v>8.6865583036524008</v>
      </c>
      <c r="AU89" s="7">
        <f t="shared" si="38"/>
        <v>111.69064456858753</v>
      </c>
    </row>
    <row r="90" spans="1:47">
      <c r="A90">
        <v>87</v>
      </c>
      <c r="B90" t="s">
        <v>179</v>
      </c>
      <c r="C90" t="s">
        <v>394</v>
      </c>
      <c r="D90" t="s">
        <v>485</v>
      </c>
      <c r="E90" t="s">
        <v>389</v>
      </c>
      <c r="F90" t="s">
        <v>619</v>
      </c>
      <c r="H90" t="str">
        <f>IF(ISNUMBER(VLOOKUP(C90,'OECD DAC'!B:C,2,FALSE)), "YES", " ")</f>
        <v xml:space="preserve"> </v>
      </c>
      <c r="I90">
        <v>4740</v>
      </c>
      <c r="J90">
        <v>2021</v>
      </c>
      <c r="K90" s="15">
        <f>IF(ISNUMBER(VLOOKUP(C90,'WEO GOV REV'!C:BL,58,FALSE)),(VLOOKUP(C90,'WEO GOV REV'!C:BL,58,FALSE)), " ")</f>
        <v>15.313000000000001</v>
      </c>
      <c r="L90" s="15">
        <f>IF(ISNUMBER(VLOOKUP(C90,'WEO GOV REV'!C:BL,62,FALSE)),(VLOOKUP(C90,'WEO GOV REV'!C:BL,62,FALSE)), " ")</f>
        <v>25.423362996413868</v>
      </c>
      <c r="M90">
        <f>IF(ISNUMBER(VLOOKUP(C90,'WEO GOV REV'!C:BL,62,FALSE)),(VLOOKUP(C90,'WEO GOV REV'!C:BL,57,FALSE)), " ")</f>
        <v>2021</v>
      </c>
      <c r="N90" s="15">
        <f>IF(ISNUMBER(VLOOKUP($C90,'IMF COFOG FULL'!$B:$CM,79,FALSE)),(VLOOKUP($C90,'IMF COFOG FULL'!$B:$CM,79,FALSE)), " ")</f>
        <v>3.0188152964759798</v>
      </c>
      <c r="O90" s="15">
        <f>IF(ISNUMBER(VLOOKUP($C90,'IMF COFOG FULL'!$B:$CM,80,FALSE)),(VLOOKUP($C90,'IMF COFOG FULL'!$B:$CM,80,FALSE)), " ")</f>
        <v>1.62031083089785</v>
      </c>
      <c r="P90" s="15">
        <f>IF(ISNUMBER(VLOOKUP($C90,'IMF COFOG FULL'!$B:$CM,81,FALSE)),(VLOOKUP($C90,'IMF COFOG FULL'!$B:$CM,81,FALSE)), " ")</f>
        <v>0.16701917093660701</v>
      </c>
      <c r="Q90" s="15">
        <f>IF(ISNUMBER(VLOOKUP($C90,'IMF COFOG FULL'!$B:$CM,82,FALSE)),(VLOOKUP($C90,'IMF COFOG FULL'!$B:$CM,82,FALSE)), " ")</f>
        <v>0.28579290204329999</v>
      </c>
      <c r="R90" s="15">
        <f>IF(ISNUMBER(VLOOKUP($C90,'IMF COFOG FULL'!$B:$CM,83,FALSE)),(VLOOKUP($C90,'IMF COFOG FULL'!$B:$CM,83,FALSE)), " ")</f>
        <v>0.28558847221351202</v>
      </c>
      <c r="S90" s="15">
        <f>IF(ISNUMBER(VLOOKUP($C90,'IMF COFOG FULL'!$B:$CM,84,FALSE)),(VLOOKUP($C90,'IMF COFOG FULL'!$B:$CM,84,FALSE)), " ")</f>
        <v>0</v>
      </c>
      <c r="T90" s="15">
        <f>IF(ISNUMBER(VLOOKUP($C90,'IMF COFOG FULL'!$B:$CM,85,FALSE)),(VLOOKUP($C90,'IMF COFOG FULL'!$B:$CM,85,FALSE)), " ")</f>
        <v>0.660103920384704</v>
      </c>
      <c r="U90" s="7">
        <f>IF(ISNUMBER(VLOOKUP($C90,'IMF COFOG FULL'!$B:$CM,79,FALSE)),(VLOOKUP($C90,'IMF COFOG FULL'!$B:$CM,86,FALSE)), " ")</f>
        <v>2020</v>
      </c>
      <c r="V90" s="15" t="str">
        <f>IF(ISNUMBER(VLOOKUP($C90,'IMF COFOG FULL'!$B:$CM,79,FALSE)),(VLOOKUP($C90,'IMF COFOG FULL'!$B:$CM,87,FALSE)), " ")</f>
        <v>General government</v>
      </c>
      <c r="W90" s="15">
        <f t="shared" si="39"/>
        <v>11.874177688065121</v>
      </c>
      <c r="X90" s="15">
        <f t="shared" si="40"/>
        <v>6.3733143059256383</v>
      </c>
      <c r="Y90" s="15">
        <f t="shared" si="41"/>
        <v>0.65695152509983101</v>
      </c>
      <c r="Z90" s="15">
        <f t="shared" si="42"/>
        <v>1.1241349229982398</v>
      </c>
      <c r="AA90" s="15">
        <f t="shared" si="43"/>
        <v>1.1233308207643347</v>
      </c>
      <c r="AB90" s="15">
        <f t="shared" si="44"/>
        <v>0</v>
      </c>
      <c r="AC90" s="15">
        <f t="shared" si="45"/>
        <v>2.5964461132770515</v>
      </c>
      <c r="AG90" s="15" t="str">
        <f>IF(ISNUMBER(VLOOKUP(C90,'National budgets summary'!A:F,5, FALSE)),(VLOOKUP(C90,'National budgets summary'!A:F,5, FALSE)), " ")</f>
        <v xml:space="preserve"> </v>
      </c>
      <c r="AH90" t="str">
        <f>IF(ISNUMBER(VLOOKUP(C90,'National budgets summary'!A:F,5, FALSE)),(VLOOKUP(C90,'National budgets summary'!A:F,4, FALSE)), " ")</f>
        <v xml:space="preserve"> </v>
      </c>
      <c r="AI90" s="15" t="str">
        <f t="shared" si="26"/>
        <v xml:space="preserve"> </v>
      </c>
      <c r="AJ90" s="15" t="str">
        <f t="shared" si="31"/>
        <v xml:space="preserve"> </v>
      </c>
      <c r="AK90" s="15">
        <f t="shared" si="32"/>
        <v>6.3733143059256383</v>
      </c>
      <c r="AL90" s="15">
        <f t="shared" si="33"/>
        <v>1.1241349229982398</v>
      </c>
      <c r="AM90" s="15">
        <f t="shared" si="34"/>
        <v>1.1233308207643347</v>
      </c>
      <c r="AN90" s="15">
        <f t="shared" si="27"/>
        <v>11.874177688065121</v>
      </c>
      <c r="AO90" s="15">
        <f t="shared" si="28"/>
        <v>3.0188152964759798</v>
      </c>
      <c r="AP90">
        <f t="shared" si="29"/>
        <v>2020</v>
      </c>
      <c r="AQ90" t="str">
        <f t="shared" si="30"/>
        <v>IMF COFOG</v>
      </c>
      <c r="AR90" s="7">
        <f t="shared" si="35"/>
        <v>76.802733384558096</v>
      </c>
      <c r="AS90" s="7">
        <f t="shared" si="36"/>
        <v>13.54658355685242</v>
      </c>
      <c r="AT90" s="7">
        <f t="shared" si="37"/>
        <v>13.53689358292047</v>
      </c>
      <c r="AU90" s="7">
        <f t="shared" si="38"/>
        <v>143.09184505296142</v>
      </c>
    </row>
    <row r="91" spans="1:47">
      <c r="A91">
        <v>88</v>
      </c>
      <c r="B91" t="s">
        <v>180</v>
      </c>
      <c r="C91" t="s">
        <v>395</v>
      </c>
      <c r="D91" t="s">
        <v>497</v>
      </c>
      <c r="E91" t="s">
        <v>389</v>
      </c>
      <c r="F91" t="s">
        <v>619</v>
      </c>
      <c r="H91" t="str">
        <f>IF(ISNUMBER(VLOOKUP(C91,'OECD DAC'!B:C,2,FALSE)), "YES", " ")</f>
        <v xml:space="preserve"> </v>
      </c>
      <c r="I91">
        <v>4800</v>
      </c>
      <c r="J91">
        <v>2021</v>
      </c>
      <c r="K91" s="15">
        <f>IF(ISNUMBER(VLOOKUP(C91,'WEO GOV REV'!C:BL,58,FALSE)),(VLOOKUP(C91,'WEO GOV REV'!C:BL,58,FALSE)), " ")</f>
        <v>706.197</v>
      </c>
      <c r="L91" s="15">
        <f>IF(ISNUMBER(VLOOKUP(C91,'WEO GOV REV'!C:BL,62,FALSE)),(VLOOKUP(C91,'WEO GOV REV'!C:BL,62,FALSE)), " ")</f>
        <v>31.330139082983958</v>
      </c>
      <c r="M91">
        <f>IF(ISNUMBER(VLOOKUP(C91,'WEO GOV REV'!C:BL,62,FALSE)),(VLOOKUP(C91,'WEO GOV REV'!C:BL,57,FALSE)), " ")</f>
        <v>2021</v>
      </c>
      <c r="N91" s="15" t="str">
        <f>IF(ISNUMBER(VLOOKUP($C91,'IMF COFOG FULL'!$B:$CM,79,FALSE)),(VLOOKUP($C91,'IMF COFOG FULL'!$B:$CM,79,FALSE)), " ")</f>
        <v xml:space="preserve"> </v>
      </c>
      <c r="O91" s="15" t="str">
        <f>IF(ISNUMBER(VLOOKUP($C91,'IMF COFOG FULL'!$B:$CM,80,FALSE)),(VLOOKUP($C91,'IMF COFOG FULL'!$B:$CM,80,FALSE)), " ")</f>
        <v xml:space="preserve"> </v>
      </c>
      <c r="P91" s="15" t="str">
        <f>IF(ISNUMBER(VLOOKUP($C91,'IMF COFOG FULL'!$B:$CM,81,FALSE)),(VLOOKUP($C91,'IMF COFOG FULL'!$B:$CM,81,FALSE)), " ")</f>
        <v xml:space="preserve"> </v>
      </c>
      <c r="Q91" s="15" t="str">
        <f>IF(ISNUMBER(VLOOKUP($C91,'IMF COFOG FULL'!$B:$CM,82,FALSE)),(VLOOKUP($C91,'IMF COFOG FULL'!$B:$CM,82,FALSE)), " ")</f>
        <v xml:space="preserve"> </v>
      </c>
      <c r="R91" s="15" t="str">
        <f>IF(ISNUMBER(VLOOKUP($C91,'IMF COFOG FULL'!$B:$CM,83,FALSE)),(VLOOKUP($C91,'IMF COFOG FULL'!$B:$CM,83,FALSE)), " ")</f>
        <v xml:space="preserve"> </v>
      </c>
      <c r="S91" s="15" t="str">
        <f>IF(ISNUMBER(VLOOKUP($C91,'IMF COFOG FULL'!$B:$CM,84,FALSE)),(VLOOKUP($C91,'IMF COFOG FULL'!$B:$CM,84,FALSE)), " ")</f>
        <v xml:space="preserve"> </v>
      </c>
      <c r="T91" s="15" t="str">
        <f>IF(ISNUMBER(VLOOKUP($C91,'IMF COFOG FULL'!$B:$CM,85,FALSE)),(VLOOKUP($C91,'IMF COFOG FULL'!$B:$CM,85,FALSE)), " ")</f>
        <v xml:space="preserve"> </v>
      </c>
      <c r="U91" s="7" t="str">
        <f>IF(ISNUMBER(VLOOKUP($C91,'IMF COFOG FULL'!$B:$CM,79,FALSE)),(VLOOKUP($C91,'IMF COFOG FULL'!$B:$CM,86,FALSE)), " ")</f>
        <v xml:space="preserve"> </v>
      </c>
      <c r="V91" s="15" t="str">
        <f>IF(ISNUMBER(VLOOKUP($C91,'IMF COFOG FULL'!$B:$CM,79,FALSE)),(VLOOKUP($C91,'IMF COFOG FULL'!$B:$CM,87,FALSE)), " ")</f>
        <v xml:space="preserve"> </v>
      </c>
      <c r="W91" s="15" t="str">
        <f t="shared" si="39"/>
        <v xml:space="preserve"> </v>
      </c>
      <c r="X91" s="15" t="str">
        <f t="shared" si="40"/>
        <v xml:space="preserve"> </v>
      </c>
      <c r="Y91" s="15" t="str">
        <f t="shared" si="41"/>
        <v xml:space="preserve"> </v>
      </c>
      <c r="Z91" s="15" t="str">
        <f t="shared" si="42"/>
        <v xml:space="preserve"> </v>
      </c>
      <c r="AA91" s="15" t="str">
        <f t="shared" si="43"/>
        <v xml:space="preserve"> </v>
      </c>
      <c r="AB91" s="15" t="str">
        <f t="shared" si="44"/>
        <v xml:space="preserve"> </v>
      </c>
      <c r="AC91" s="15" t="str">
        <f t="shared" si="45"/>
        <v xml:space="preserve"> </v>
      </c>
      <c r="AG91" s="15" t="str">
        <f>IF(ISNUMBER(VLOOKUP(C91,'National budgets summary'!A:F,5, FALSE)),(VLOOKUP(C91,'National budgets summary'!A:F,5, FALSE)), " ")</f>
        <v xml:space="preserve"> </v>
      </c>
      <c r="AH91" t="str">
        <f>IF(ISNUMBER(VLOOKUP(C91,'National budgets summary'!A:F,5, FALSE)),(VLOOKUP(C91,'National budgets summary'!A:F,4, FALSE)), " ")</f>
        <v xml:space="preserve"> </v>
      </c>
      <c r="AI91" s="15" t="str">
        <f t="shared" si="26"/>
        <v xml:space="preserve"> </v>
      </c>
      <c r="AJ91" s="15" t="str">
        <f t="shared" si="31"/>
        <v xml:space="preserve"> </v>
      </c>
      <c r="AK91" s="15" t="str">
        <f t="shared" si="32"/>
        <v/>
      </c>
      <c r="AL91" s="15" t="str">
        <f t="shared" si="33"/>
        <v/>
      </c>
      <c r="AM91" s="15" t="str">
        <f t="shared" si="34"/>
        <v/>
      </c>
      <c r="AN91" s="15" t="str">
        <f t="shared" si="27"/>
        <v xml:space="preserve"> </v>
      </c>
      <c r="AO91" s="15" t="str">
        <f t="shared" si="28"/>
        <v xml:space="preserve"> </v>
      </c>
      <c r="AP91" t="str">
        <f t="shared" si="29"/>
        <v xml:space="preserve"> </v>
      </c>
      <c r="AQ91" t="str">
        <f t="shared" si="30"/>
        <v xml:space="preserve"> </v>
      </c>
      <c r="AR91" s="7" t="str">
        <f t="shared" si="35"/>
        <v xml:space="preserve"> </v>
      </c>
      <c r="AS91" s="7" t="str">
        <f t="shared" si="36"/>
        <v xml:space="preserve"> </v>
      </c>
      <c r="AT91" s="7" t="str">
        <f t="shared" si="37"/>
        <v xml:space="preserve"> </v>
      </c>
      <c r="AU91" s="7" t="str">
        <f t="shared" si="38"/>
        <v xml:space="preserve"> </v>
      </c>
    </row>
    <row r="92" spans="1:47">
      <c r="A92">
        <v>89</v>
      </c>
      <c r="B92" t="s">
        <v>181</v>
      </c>
      <c r="C92" t="s">
        <v>396</v>
      </c>
      <c r="D92" t="s">
        <v>493</v>
      </c>
      <c r="E92" t="s">
        <v>389</v>
      </c>
      <c r="F92" t="s">
        <v>617</v>
      </c>
      <c r="H92" t="str">
        <f>IF(ISNUMBER(VLOOKUP(C92,'OECD DAC'!B:C,2,FALSE)), "YES", " ")</f>
        <v xml:space="preserve"> </v>
      </c>
      <c r="I92">
        <v>4860</v>
      </c>
      <c r="J92">
        <v>2021</v>
      </c>
      <c r="K92" s="15">
        <f>IF(ISNUMBER(VLOOKUP(C92,'WEO GOV REV'!C:BL,58,FALSE)),(VLOOKUP(C92,'WEO GOV REV'!C:BL,58,FALSE)), " ")</f>
        <v>1.905</v>
      </c>
      <c r="L92" s="15">
        <f>IF(ISNUMBER(VLOOKUP(C92,'WEO GOV REV'!C:BL,62,FALSE)),(VLOOKUP(C92,'WEO GOV REV'!C:BL,62,FALSE)), " ")</f>
        <v>19.761410788381742</v>
      </c>
      <c r="M92">
        <f>IF(ISNUMBER(VLOOKUP(C92,'WEO GOV REV'!C:BL,62,FALSE)),(VLOOKUP(C92,'WEO GOV REV'!C:BL,57,FALSE)), " ")</f>
        <v>2021</v>
      </c>
      <c r="N92" s="15" t="str">
        <f>IF(ISNUMBER(VLOOKUP($C92,'IMF COFOG FULL'!$B:$CM,79,FALSE)),(VLOOKUP($C92,'IMF COFOG FULL'!$B:$CM,79,FALSE)), " ")</f>
        <v xml:space="preserve"> </v>
      </c>
      <c r="O92" s="15" t="str">
        <f>IF(ISNUMBER(VLOOKUP($C92,'IMF COFOG FULL'!$B:$CM,80,FALSE)),(VLOOKUP($C92,'IMF COFOG FULL'!$B:$CM,80,FALSE)), " ")</f>
        <v xml:space="preserve"> </v>
      </c>
      <c r="P92" s="15" t="str">
        <f>IF(ISNUMBER(VLOOKUP($C92,'IMF COFOG FULL'!$B:$CM,81,FALSE)),(VLOOKUP($C92,'IMF COFOG FULL'!$B:$CM,81,FALSE)), " ")</f>
        <v xml:space="preserve"> </v>
      </c>
      <c r="Q92" s="15" t="str">
        <f>IF(ISNUMBER(VLOOKUP($C92,'IMF COFOG FULL'!$B:$CM,82,FALSE)),(VLOOKUP($C92,'IMF COFOG FULL'!$B:$CM,82,FALSE)), " ")</f>
        <v xml:space="preserve"> </v>
      </c>
      <c r="R92" s="15" t="str">
        <f>IF(ISNUMBER(VLOOKUP($C92,'IMF COFOG FULL'!$B:$CM,83,FALSE)),(VLOOKUP($C92,'IMF COFOG FULL'!$B:$CM,83,FALSE)), " ")</f>
        <v xml:space="preserve"> </v>
      </c>
      <c r="S92" s="15" t="str">
        <f>IF(ISNUMBER(VLOOKUP($C92,'IMF COFOG FULL'!$B:$CM,84,FALSE)),(VLOOKUP($C92,'IMF COFOG FULL'!$B:$CM,84,FALSE)), " ")</f>
        <v xml:space="preserve"> </v>
      </c>
      <c r="T92" s="15" t="str">
        <f>IF(ISNUMBER(VLOOKUP($C92,'IMF COFOG FULL'!$B:$CM,85,FALSE)),(VLOOKUP($C92,'IMF COFOG FULL'!$B:$CM,85,FALSE)), " ")</f>
        <v xml:space="preserve"> </v>
      </c>
      <c r="U92" s="7" t="str">
        <f>IF(ISNUMBER(VLOOKUP($C92,'IMF COFOG FULL'!$B:$CM,79,FALSE)),(VLOOKUP($C92,'IMF COFOG FULL'!$B:$CM,86,FALSE)), " ")</f>
        <v xml:space="preserve"> </v>
      </c>
      <c r="V92" s="15" t="str">
        <f>IF(ISNUMBER(VLOOKUP($C92,'IMF COFOG FULL'!$B:$CM,79,FALSE)),(VLOOKUP($C92,'IMF COFOG FULL'!$B:$CM,87,FALSE)), " ")</f>
        <v xml:space="preserve"> </v>
      </c>
      <c r="W92" s="15" t="str">
        <f t="shared" si="39"/>
        <v xml:space="preserve"> </v>
      </c>
      <c r="X92" s="15" t="str">
        <f t="shared" si="40"/>
        <v xml:space="preserve"> </v>
      </c>
      <c r="Y92" s="15" t="str">
        <f t="shared" si="41"/>
        <v xml:space="preserve"> </v>
      </c>
      <c r="Z92" s="15" t="str">
        <f t="shared" si="42"/>
        <v xml:space="preserve"> </v>
      </c>
      <c r="AA92" s="15" t="str">
        <f t="shared" si="43"/>
        <v xml:space="preserve"> </v>
      </c>
      <c r="AB92" s="15" t="str">
        <f t="shared" si="44"/>
        <v xml:space="preserve"> </v>
      </c>
      <c r="AC92" s="15" t="str">
        <f t="shared" si="45"/>
        <v xml:space="preserve"> </v>
      </c>
      <c r="AG92" s="15" t="str">
        <f>IF(ISNUMBER(VLOOKUP(C92,'National budgets summary'!A:F,5, FALSE)),(VLOOKUP(C92,'National budgets summary'!A:F,5, FALSE)), " ")</f>
        <v xml:space="preserve"> </v>
      </c>
      <c r="AH92" t="str">
        <f>IF(ISNUMBER(VLOOKUP(C92,'National budgets summary'!A:F,5, FALSE)),(VLOOKUP(C92,'National budgets summary'!A:F,4, FALSE)), " ")</f>
        <v xml:space="preserve"> </v>
      </c>
      <c r="AI92" s="15" t="str">
        <f t="shared" si="26"/>
        <v xml:space="preserve"> </v>
      </c>
      <c r="AJ92" s="15" t="str">
        <f t="shared" si="31"/>
        <v xml:space="preserve"> </v>
      </c>
      <c r="AK92" s="15" t="str">
        <f t="shared" si="32"/>
        <v/>
      </c>
      <c r="AL92" s="15" t="str">
        <f t="shared" si="33"/>
        <v/>
      </c>
      <c r="AM92" s="15" t="str">
        <f t="shared" si="34"/>
        <v/>
      </c>
      <c r="AN92" s="15" t="str">
        <f t="shared" si="27"/>
        <v xml:space="preserve"> </v>
      </c>
      <c r="AO92" s="15" t="str">
        <f t="shared" si="28"/>
        <v xml:space="preserve"> </v>
      </c>
      <c r="AP92" t="str">
        <f t="shared" si="29"/>
        <v xml:space="preserve"> </v>
      </c>
      <c r="AQ92" t="str">
        <f t="shared" si="30"/>
        <v xml:space="preserve"> </v>
      </c>
      <c r="AR92" s="7" t="str">
        <f t="shared" si="35"/>
        <v xml:space="preserve"> </v>
      </c>
      <c r="AS92" s="7" t="str">
        <f t="shared" si="36"/>
        <v xml:space="preserve"> </v>
      </c>
      <c r="AT92" s="7" t="str">
        <f t="shared" si="37"/>
        <v xml:space="preserve"> </v>
      </c>
      <c r="AU92" s="7" t="str">
        <f t="shared" si="38"/>
        <v xml:space="preserve"> </v>
      </c>
    </row>
    <row r="93" spans="1:47">
      <c r="A93">
        <v>90</v>
      </c>
      <c r="B93" t="s">
        <v>182</v>
      </c>
      <c r="C93" t="s">
        <v>397</v>
      </c>
      <c r="D93" t="s">
        <v>485</v>
      </c>
      <c r="E93" t="s">
        <v>389</v>
      </c>
      <c r="F93" t="s">
        <v>619</v>
      </c>
      <c r="H93" t="str">
        <f>IF(ISNUMBER(VLOOKUP(C93,'OECD DAC'!B:C,2,FALSE)), "YES", " ")</f>
        <v xml:space="preserve"> </v>
      </c>
      <c r="I93">
        <v>4880</v>
      </c>
      <c r="J93">
        <v>2021</v>
      </c>
      <c r="K93" s="15">
        <f>IF(ISNUMBER(VLOOKUP(C93,'WEO GOV REV'!C:BL,58,FALSE)),(VLOOKUP(C93,'WEO GOV REV'!C:BL,58,FALSE)), " ")</f>
        <v>33.896999999999998</v>
      </c>
      <c r="L93" s="15">
        <f>IF(ISNUMBER(VLOOKUP(C93,'WEO GOV REV'!C:BL,62,FALSE)),(VLOOKUP(C93,'WEO GOV REV'!C:BL,62,FALSE)), " ")</f>
        <v>36.504124577311593</v>
      </c>
      <c r="M93">
        <f>IF(ISNUMBER(VLOOKUP(C93,'WEO GOV REV'!C:BL,62,FALSE)),(VLOOKUP(C93,'WEO GOV REV'!C:BL,57,FALSE)), " ")</f>
        <v>2021</v>
      </c>
      <c r="N93" s="15">
        <f>IF(ISNUMBER(VLOOKUP($C93,'IMF COFOG FULL'!$B:$CM,79,FALSE)),(VLOOKUP($C93,'IMF COFOG FULL'!$B:$CM,79,FALSE)), " ")</f>
        <v>2.09277109316427</v>
      </c>
      <c r="O93" s="15">
        <f>IF(ISNUMBER(VLOOKUP($C93,'IMF COFOG FULL'!$B:$CM,80,FALSE)),(VLOOKUP($C93,'IMF COFOG FULL'!$B:$CM,80,FALSE)), " ")</f>
        <v>1.4517157084211501</v>
      </c>
      <c r="P93" s="15">
        <f>IF(ISNUMBER(VLOOKUP($C93,'IMF COFOG FULL'!$B:$CM,81,FALSE)),(VLOOKUP($C93,'IMF COFOG FULL'!$B:$CM,81,FALSE)), " ")</f>
        <v>0</v>
      </c>
      <c r="Q93" s="15">
        <f>IF(ISNUMBER(VLOOKUP($C93,'IMF COFOG FULL'!$B:$CM,82,FALSE)),(VLOOKUP($C93,'IMF COFOG FULL'!$B:$CM,82,FALSE)), " ")</f>
        <v>0.163255437981249</v>
      </c>
      <c r="R93" s="15">
        <f>IF(ISNUMBER(VLOOKUP($C93,'IMF COFOG FULL'!$B:$CM,83,FALSE)),(VLOOKUP($C93,'IMF COFOG FULL'!$B:$CM,83,FALSE)), " ")</f>
        <v>0</v>
      </c>
      <c r="S93" s="15">
        <f>IF(ISNUMBER(VLOOKUP($C93,'IMF COFOG FULL'!$B:$CM,84,FALSE)),(VLOOKUP($C93,'IMF COFOG FULL'!$B:$CM,84,FALSE)), " ")</f>
        <v>0</v>
      </c>
      <c r="T93" s="15">
        <f>IF(ISNUMBER(VLOOKUP($C93,'IMF COFOG FULL'!$B:$CM,85,FALSE)),(VLOOKUP($C93,'IMF COFOG FULL'!$B:$CM,85,FALSE)), " ")</f>
        <v>0.47779994676187698</v>
      </c>
      <c r="U93" s="7">
        <f>IF(ISNUMBER(VLOOKUP($C93,'IMF COFOG FULL'!$B:$CM,79,FALSE)),(VLOOKUP($C93,'IMF COFOG FULL'!$B:$CM,86,FALSE)), " ")</f>
        <v>2019</v>
      </c>
      <c r="V93" s="15" t="str">
        <f>IF(ISNUMBER(VLOOKUP($C93,'IMF COFOG FULL'!$B:$CM,79,FALSE)),(VLOOKUP($C93,'IMF COFOG FULL'!$B:$CM,87,FALSE)), " ")</f>
        <v>General government</v>
      </c>
      <c r="W93" s="15">
        <f t="shared" si="39"/>
        <v>5.732971595393332</v>
      </c>
      <c r="X93" s="15">
        <f t="shared" si="40"/>
        <v>3.9768539178266851</v>
      </c>
      <c r="Y93" s="15">
        <f t="shared" si="41"/>
        <v>0</v>
      </c>
      <c r="Z93" s="15">
        <f t="shared" si="42"/>
        <v>0.44722463522030914</v>
      </c>
      <c r="AA93" s="15">
        <f t="shared" si="43"/>
        <v>0</v>
      </c>
      <c r="AB93" s="15">
        <f t="shared" si="44"/>
        <v>0</v>
      </c>
      <c r="AC93" s="15">
        <f t="shared" si="45"/>
        <v>1.3088930423463545</v>
      </c>
      <c r="AG93" s="15" t="str">
        <f>IF(ISNUMBER(VLOOKUP(C93,'National budgets summary'!A:F,5, FALSE)),(VLOOKUP(C93,'National budgets summary'!A:F,5, FALSE)), " ")</f>
        <v xml:space="preserve"> </v>
      </c>
      <c r="AH93" t="str">
        <f>IF(ISNUMBER(VLOOKUP(C93,'National budgets summary'!A:F,5, FALSE)),(VLOOKUP(C93,'National budgets summary'!A:F,4, FALSE)), " ")</f>
        <v xml:space="preserve"> </v>
      </c>
      <c r="AI93" s="15" t="str">
        <f t="shared" si="26"/>
        <v xml:space="preserve"> </v>
      </c>
      <c r="AJ93" s="15" t="str">
        <f t="shared" si="31"/>
        <v xml:space="preserve"> </v>
      </c>
      <c r="AK93" s="15">
        <f t="shared" si="32"/>
        <v>3.9768539178266851</v>
      </c>
      <c r="AL93" s="15">
        <f t="shared" si="33"/>
        <v>0.44722463522030914</v>
      </c>
      <c r="AM93" s="15">
        <f t="shared" si="34"/>
        <v>0</v>
      </c>
      <c r="AN93" s="15">
        <f t="shared" si="27"/>
        <v>5.732971595393332</v>
      </c>
      <c r="AO93" s="15">
        <f t="shared" si="28"/>
        <v>2.09277109316427</v>
      </c>
      <c r="AP93">
        <f t="shared" si="29"/>
        <v>2019</v>
      </c>
      <c r="AQ93" t="str">
        <f t="shared" si="30"/>
        <v>IMF COFOG</v>
      </c>
      <c r="AR93" s="7">
        <f t="shared" si="35"/>
        <v>70.843726570952114</v>
      </c>
      <c r="AS93" s="7">
        <f t="shared" si="36"/>
        <v>7.9668653734849508</v>
      </c>
      <c r="AT93" s="7">
        <f t="shared" si="37"/>
        <v>0</v>
      </c>
      <c r="AU93" s="7">
        <f t="shared" si="38"/>
        <v>102.12722934641637</v>
      </c>
    </row>
    <row r="94" spans="1:47">
      <c r="A94">
        <v>91</v>
      </c>
      <c r="B94" t="s">
        <v>183</v>
      </c>
      <c r="C94" t="s">
        <v>398</v>
      </c>
      <c r="D94" t="s">
        <v>497</v>
      </c>
      <c r="E94" t="s">
        <v>389</v>
      </c>
      <c r="F94" t="s">
        <v>619</v>
      </c>
      <c r="H94" t="str">
        <f>IF(ISNUMBER(VLOOKUP(C94,'OECD DAC'!B:C,2,FALSE)), "YES", " ")</f>
        <v xml:space="preserve"> </v>
      </c>
      <c r="I94">
        <v>4940</v>
      </c>
      <c r="J94">
        <v>2021</v>
      </c>
      <c r="K94" s="15">
        <f>IF(ISNUMBER(VLOOKUP(C94,'WEO GOV REV'!C:BL,58,FALSE)),(VLOOKUP(C94,'WEO GOV REV'!C:BL,58,FALSE)), " ")</f>
        <v>82.186000000000007</v>
      </c>
      <c r="L94" s="15">
        <f>IF(ISNUMBER(VLOOKUP(C94,'WEO GOV REV'!C:BL,62,FALSE)),(VLOOKUP(C94,'WEO GOV REV'!C:BL,62,FALSE)), " ")</f>
        <v>12.395274514624241</v>
      </c>
      <c r="M94">
        <f>IF(ISNUMBER(VLOOKUP(C94,'WEO GOV REV'!C:BL,62,FALSE)),(VLOOKUP(C94,'WEO GOV REV'!C:BL,57,FALSE)), " ")</f>
        <v>2021</v>
      </c>
      <c r="N94" s="15">
        <f>IF(ISNUMBER(VLOOKUP($C94,'IMF COFOG FULL'!$B:$CM,79,FALSE)),(VLOOKUP($C94,'IMF COFOG FULL'!$B:$CM,79,FALSE)), " ")</f>
        <v>1.8505146832955699</v>
      </c>
      <c r="O94" s="15">
        <f>IF(ISNUMBER(VLOOKUP($C94,'IMF COFOG FULL'!$B:$CM,80,FALSE)),(VLOOKUP($C94,'IMF COFOG FULL'!$B:$CM,80,FALSE)), " ")</f>
        <v>0.76450137404755802</v>
      </c>
      <c r="P94" s="15">
        <f>IF(ISNUMBER(VLOOKUP($C94,'IMF COFOG FULL'!$B:$CM,81,FALSE)),(VLOOKUP($C94,'IMF COFOG FULL'!$B:$CM,81,FALSE)), " ")</f>
        <v>2.6989925872403901E-2</v>
      </c>
      <c r="Q94" s="15">
        <f>IF(ISNUMBER(VLOOKUP($C94,'IMF COFOG FULL'!$B:$CM,82,FALSE)),(VLOOKUP($C94,'IMF COFOG FULL'!$B:$CM,82,FALSE)), " ")</f>
        <v>0.56193165544951595</v>
      </c>
      <c r="R94" s="15">
        <f>IF(ISNUMBER(VLOOKUP($C94,'IMF COFOG FULL'!$B:$CM,83,FALSE)),(VLOOKUP($C94,'IMF COFOG FULL'!$B:$CM,83,FALSE)), " ")</f>
        <v>8.5945566247026497E-2</v>
      </c>
      <c r="S94" s="15">
        <f>IF(ISNUMBER(VLOOKUP($C94,'IMF COFOG FULL'!$B:$CM,84,FALSE)),(VLOOKUP($C94,'IMF COFOG FULL'!$B:$CM,84,FALSE)), " ")</f>
        <v>1.1632723721288801E-2</v>
      </c>
      <c r="T94" s="15">
        <f>IF(ISNUMBER(VLOOKUP($C94,'IMF COFOG FULL'!$B:$CM,85,FALSE)),(VLOOKUP($C94,'IMF COFOG FULL'!$B:$CM,85,FALSE)), " ")</f>
        <v>0.399513437957777</v>
      </c>
      <c r="U94" s="7">
        <f>IF(ISNUMBER(VLOOKUP($C94,'IMF COFOG FULL'!$B:$CM,79,FALSE)),(VLOOKUP($C94,'IMF COFOG FULL'!$B:$CM,86,FALSE)), " ")</f>
        <v>2020</v>
      </c>
      <c r="V94" s="15" t="str">
        <f>IF(ISNUMBER(VLOOKUP($C94,'IMF COFOG FULL'!$B:$CM,79,FALSE)),(VLOOKUP($C94,'IMF COFOG FULL'!$B:$CM,87,FALSE)), " ")</f>
        <v>General government</v>
      </c>
      <c r="W94" s="15">
        <f t="shared" si="39"/>
        <v>14.929194840439303</v>
      </c>
      <c r="X94" s="15">
        <f t="shared" si="40"/>
        <v>6.1676840891710878</v>
      </c>
      <c r="Y94" s="15">
        <f t="shared" si="41"/>
        <v>0.2177436719175565</v>
      </c>
      <c r="Z94" s="15">
        <f t="shared" si="42"/>
        <v>4.5334345341568323</v>
      </c>
      <c r="AA94" s="15">
        <f t="shared" si="43"/>
        <v>0.69337364126648326</v>
      </c>
      <c r="AB94" s="15">
        <f t="shared" si="44"/>
        <v>9.3848052397421583E-2</v>
      </c>
      <c r="AC94" s="15">
        <f t="shared" si="45"/>
        <v>3.2231108515299236</v>
      </c>
      <c r="AG94" s="15" t="str">
        <f>IF(ISNUMBER(VLOOKUP(C94,'National budgets summary'!A:F,5, FALSE)),(VLOOKUP(C94,'National budgets summary'!A:F,5, FALSE)), " ")</f>
        <v xml:space="preserve"> </v>
      </c>
      <c r="AH94" t="str">
        <f>IF(ISNUMBER(VLOOKUP(C94,'National budgets summary'!A:F,5, FALSE)),(VLOOKUP(C94,'National budgets summary'!A:F,4, FALSE)), " ")</f>
        <v xml:space="preserve"> </v>
      </c>
      <c r="AI94" s="15" t="str">
        <f t="shared" si="26"/>
        <v xml:space="preserve"> </v>
      </c>
      <c r="AJ94" s="15" t="str">
        <f t="shared" si="31"/>
        <v xml:space="preserve"> </v>
      </c>
      <c r="AK94" s="15">
        <f t="shared" si="32"/>
        <v>6.1676840891710878</v>
      </c>
      <c r="AL94" s="15">
        <f t="shared" si="33"/>
        <v>4.5334345341568323</v>
      </c>
      <c r="AM94" s="15">
        <f t="shared" si="34"/>
        <v>0.69337364126648326</v>
      </c>
      <c r="AN94" s="15">
        <f t="shared" si="27"/>
        <v>14.929194840439303</v>
      </c>
      <c r="AO94" s="15">
        <f t="shared" si="28"/>
        <v>1.8505146832955699</v>
      </c>
      <c r="AP94">
        <f t="shared" si="29"/>
        <v>2020</v>
      </c>
      <c r="AQ94" t="str">
        <f t="shared" si="30"/>
        <v>IMF COFOG</v>
      </c>
      <c r="AR94" s="7">
        <f t="shared" si="35"/>
        <v>37.766367877949378</v>
      </c>
      <c r="AS94" s="7">
        <f t="shared" si="36"/>
        <v>27.759423779206095</v>
      </c>
      <c r="AT94" s="7">
        <f t="shared" si="37"/>
        <v>4.2457109726031099</v>
      </c>
      <c r="AU94" s="7">
        <f t="shared" si="38"/>
        <v>91.415425354801172</v>
      </c>
    </row>
    <row r="95" spans="1:47">
      <c r="A95">
        <v>92</v>
      </c>
      <c r="B95" t="s">
        <v>184</v>
      </c>
      <c r="C95" t="s">
        <v>399</v>
      </c>
      <c r="D95" t="s">
        <v>485</v>
      </c>
      <c r="E95" t="s">
        <v>389</v>
      </c>
      <c r="F95" t="s">
        <v>615</v>
      </c>
      <c r="H95" t="str">
        <f>IF(ISNUMBER(VLOOKUP(C95,'OECD DAC'!B:C,2,FALSE)), "YES", " ")</f>
        <v xml:space="preserve"> </v>
      </c>
      <c r="I95">
        <v>4970</v>
      </c>
      <c r="J95">
        <v>2021</v>
      </c>
      <c r="K95" s="15">
        <f>IF(ISNUMBER(VLOOKUP(C95,'WEO GOV REV'!C:BL,58,FALSE)),(VLOOKUP(C95,'WEO GOV REV'!C:BL,58,FALSE)), " ")</f>
        <v>2.194</v>
      </c>
      <c r="L95" s="15">
        <f>IF(ISNUMBER(VLOOKUP(C95,'WEO GOV REV'!C:BL,62,FALSE)),(VLOOKUP(C95,'WEO GOV REV'!C:BL,62,FALSE)), " ")</f>
        <v>28.728558334424513</v>
      </c>
      <c r="M95">
        <f>IF(ISNUMBER(VLOOKUP(C95,'WEO GOV REV'!C:BL,62,FALSE)),(VLOOKUP(C95,'WEO GOV REV'!C:BL,57,FALSE)), " ")</f>
        <v>2021</v>
      </c>
      <c r="N95" s="15">
        <f>IF(ISNUMBER(VLOOKUP($C95,'IMF COFOG FULL'!$B:$CM,79,FALSE)),(VLOOKUP($C95,'IMF COFOG FULL'!$B:$CM,79,FALSE)), " ")</f>
        <v>2.7035281623476699</v>
      </c>
      <c r="O95" s="15">
        <f>IF(ISNUMBER(VLOOKUP($C95,'IMF COFOG FULL'!$B:$CM,80,FALSE)),(VLOOKUP($C95,'IMF COFOG FULL'!$B:$CM,80,FALSE)), " ")</f>
        <v>1.4277720039504</v>
      </c>
      <c r="P95" s="15">
        <f>IF(ISNUMBER(VLOOKUP($C95,'IMF COFOG FULL'!$B:$CM,81,FALSE)),(VLOOKUP($C95,'IMF COFOG FULL'!$B:$CM,81,FALSE)), " ")</f>
        <v>9.1624884870220802E-2</v>
      </c>
      <c r="Q95" s="15">
        <f>IF(ISNUMBER(VLOOKUP($C95,'IMF COFOG FULL'!$B:$CM,82,FALSE)),(VLOOKUP($C95,'IMF COFOG FULL'!$B:$CM,82,FALSE)), " ")</f>
        <v>0.74424881417362498</v>
      </c>
      <c r="R95" s="15">
        <f>IF(ISNUMBER(VLOOKUP($C95,'IMF COFOG FULL'!$B:$CM,83,FALSE)),(VLOOKUP($C95,'IMF COFOG FULL'!$B:$CM,83,FALSE)), " ")</f>
        <v>0.21258586958301501</v>
      </c>
      <c r="S95" s="15">
        <f>IF(ISNUMBER(VLOOKUP($C95,'IMF COFOG FULL'!$B:$CM,84,FALSE)),(VLOOKUP($C95,'IMF COFOG FULL'!$B:$CM,84,FALSE)), " ")</f>
        <v>0</v>
      </c>
      <c r="T95" s="15">
        <f>IF(ISNUMBER(VLOOKUP($C95,'IMF COFOG FULL'!$B:$CM,85,FALSE)),(VLOOKUP($C95,'IMF COFOG FULL'!$B:$CM,85,FALSE)), " ")</f>
        <v>0.22729658977040801</v>
      </c>
      <c r="U95" s="7">
        <f>IF(ISNUMBER(VLOOKUP($C95,'IMF COFOG FULL'!$B:$CM,79,FALSE)),(VLOOKUP($C95,'IMF COFOG FULL'!$B:$CM,86,FALSE)), " ")</f>
        <v>2021</v>
      </c>
      <c r="V95" s="15" t="str">
        <f>IF(ISNUMBER(VLOOKUP($C95,'IMF COFOG FULL'!$B:$CM,79,FALSE)),(VLOOKUP($C95,'IMF COFOG FULL'!$B:$CM,87,FALSE)), " ")</f>
        <v>General government</v>
      </c>
      <c r="W95" s="15">
        <f t="shared" si="39"/>
        <v>9.4105946106878555</v>
      </c>
      <c r="X95" s="15">
        <f t="shared" si="40"/>
        <v>4.9698700064581613</v>
      </c>
      <c r="Y95" s="15">
        <f t="shared" si="41"/>
        <v>0.31893311110021705</v>
      </c>
      <c r="Z95" s="15">
        <f t="shared" si="42"/>
        <v>2.5906236070391859</v>
      </c>
      <c r="AA95" s="15">
        <f t="shared" si="43"/>
        <v>0.73998098724042183</v>
      </c>
      <c r="AB95" s="15">
        <f t="shared" si="44"/>
        <v>0</v>
      </c>
      <c r="AC95" s="15">
        <f t="shared" si="45"/>
        <v>0.79118689884986604</v>
      </c>
      <c r="AG95" s="15" t="str">
        <f>IF(ISNUMBER(VLOOKUP(C95,'National budgets summary'!A:F,5, FALSE)),(VLOOKUP(C95,'National budgets summary'!A:F,5, FALSE)), " ")</f>
        <v xml:space="preserve"> </v>
      </c>
      <c r="AH95" t="str">
        <f>IF(ISNUMBER(VLOOKUP(C95,'National budgets summary'!A:F,5, FALSE)),(VLOOKUP(C95,'National budgets summary'!A:F,4, FALSE)), " ")</f>
        <v xml:space="preserve"> </v>
      </c>
      <c r="AI95" s="15" t="str">
        <f t="shared" si="26"/>
        <v xml:space="preserve"> </v>
      </c>
      <c r="AJ95" s="15" t="str">
        <f t="shared" si="31"/>
        <v xml:space="preserve"> </v>
      </c>
      <c r="AK95" s="15">
        <f t="shared" si="32"/>
        <v>4.9698700064581613</v>
      </c>
      <c r="AL95" s="15">
        <f t="shared" si="33"/>
        <v>2.5906236070391859</v>
      </c>
      <c r="AM95" s="15">
        <f t="shared" si="34"/>
        <v>0.73998098724042183</v>
      </c>
      <c r="AN95" s="15">
        <f t="shared" si="27"/>
        <v>9.4105946106878555</v>
      </c>
      <c r="AO95" s="15">
        <f t="shared" si="28"/>
        <v>2.7035281623476699</v>
      </c>
      <c r="AP95">
        <f t="shared" si="29"/>
        <v>2021</v>
      </c>
      <c r="AQ95" t="str">
        <f t="shared" si="30"/>
        <v>IMF COFOG</v>
      </c>
      <c r="AR95" s="7">
        <f t="shared" si="35"/>
        <v>70.960268596334899</v>
      </c>
      <c r="AS95" s="7">
        <f t="shared" si="36"/>
        <v>36.98916606442917</v>
      </c>
      <c r="AT95" s="7">
        <f t="shared" si="37"/>
        <v>10.565517718275848</v>
      </c>
      <c r="AU95" s="7">
        <f t="shared" si="38"/>
        <v>134.36534966867922</v>
      </c>
    </row>
    <row r="96" spans="1:47">
      <c r="A96">
        <v>93</v>
      </c>
      <c r="B96" t="s">
        <v>185</v>
      </c>
      <c r="C96" t="s">
        <v>400</v>
      </c>
      <c r="D96" t="s">
        <v>487</v>
      </c>
      <c r="E96" t="s">
        <v>389</v>
      </c>
      <c r="F96" t="s">
        <v>619</v>
      </c>
      <c r="H96" t="str">
        <f>IF(ISNUMBER(VLOOKUP(C96,'OECD DAC'!B:C,2,FALSE)), "YES", " ")</f>
        <v xml:space="preserve"> </v>
      </c>
      <c r="I96">
        <v>5040</v>
      </c>
      <c r="J96">
        <v>2021</v>
      </c>
      <c r="K96" s="15">
        <f>IF(ISNUMBER(VLOOKUP(C96,'WEO GOV REV'!C:BL,58,FALSE)),(VLOOKUP(C96,'WEO GOV REV'!C:BL,58,FALSE)), " ")</f>
        <v>63166.239999999998</v>
      </c>
      <c r="L96" s="15">
        <f>IF(ISNUMBER(VLOOKUP(C96,'WEO GOV REV'!C:BL,62,FALSE)),(VLOOKUP(C96,'WEO GOV REV'!C:BL,62,FALSE)), " ")</f>
        <v>31.297055523399468</v>
      </c>
      <c r="M96">
        <f>IF(ISNUMBER(VLOOKUP(C96,'WEO GOV REV'!C:BL,62,FALSE)),(VLOOKUP(C96,'WEO GOV REV'!C:BL,57,FALSE)), " ")</f>
        <v>2020</v>
      </c>
      <c r="N96" s="15" t="str">
        <f>IF(ISNUMBER(VLOOKUP($C96,'IMF COFOG FULL'!$B:$CM,79,FALSE)),(VLOOKUP($C96,'IMF COFOG FULL'!$B:$CM,79,FALSE)), " ")</f>
        <v xml:space="preserve"> </v>
      </c>
      <c r="O96" s="15" t="str">
        <f>IF(ISNUMBER(VLOOKUP($C96,'IMF COFOG FULL'!$B:$CM,80,FALSE)),(VLOOKUP($C96,'IMF COFOG FULL'!$B:$CM,80,FALSE)), " ")</f>
        <v xml:space="preserve"> </v>
      </c>
      <c r="P96" s="15" t="str">
        <f>IF(ISNUMBER(VLOOKUP($C96,'IMF COFOG FULL'!$B:$CM,81,FALSE)),(VLOOKUP($C96,'IMF COFOG FULL'!$B:$CM,81,FALSE)), " ")</f>
        <v xml:space="preserve"> </v>
      </c>
      <c r="Q96" s="15" t="str">
        <f>IF(ISNUMBER(VLOOKUP($C96,'IMF COFOG FULL'!$B:$CM,82,FALSE)),(VLOOKUP($C96,'IMF COFOG FULL'!$B:$CM,82,FALSE)), " ")</f>
        <v xml:space="preserve"> </v>
      </c>
      <c r="R96" s="15" t="str">
        <f>IF(ISNUMBER(VLOOKUP($C96,'IMF COFOG FULL'!$B:$CM,83,FALSE)),(VLOOKUP($C96,'IMF COFOG FULL'!$B:$CM,83,FALSE)), " ")</f>
        <v xml:space="preserve"> </v>
      </c>
      <c r="S96" s="15" t="str">
        <f>IF(ISNUMBER(VLOOKUP($C96,'IMF COFOG FULL'!$B:$CM,84,FALSE)),(VLOOKUP($C96,'IMF COFOG FULL'!$B:$CM,84,FALSE)), " ")</f>
        <v xml:space="preserve"> </v>
      </c>
      <c r="T96" s="15" t="str">
        <f>IF(ISNUMBER(VLOOKUP($C96,'IMF COFOG FULL'!$B:$CM,85,FALSE)),(VLOOKUP($C96,'IMF COFOG FULL'!$B:$CM,85,FALSE)), " ")</f>
        <v xml:space="preserve"> </v>
      </c>
      <c r="U96" s="7" t="str">
        <f>IF(ISNUMBER(VLOOKUP($C96,'IMF COFOG FULL'!$B:$CM,79,FALSE)),(VLOOKUP($C96,'IMF COFOG FULL'!$B:$CM,86,FALSE)), " ")</f>
        <v xml:space="preserve"> </v>
      </c>
      <c r="V96" s="15" t="str">
        <f>IF(ISNUMBER(VLOOKUP($C96,'IMF COFOG FULL'!$B:$CM,79,FALSE)),(VLOOKUP($C96,'IMF COFOG FULL'!$B:$CM,87,FALSE)), " ")</f>
        <v xml:space="preserve"> </v>
      </c>
      <c r="W96" s="15" t="str">
        <f t="shared" si="39"/>
        <v xml:space="preserve"> </v>
      </c>
      <c r="X96" s="15" t="str">
        <f t="shared" si="40"/>
        <v xml:space="preserve"> </v>
      </c>
      <c r="Y96" s="15" t="str">
        <f t="shared" si="41"/>
        <v xml:space="preserve"> </v>
      </c>
      <c r="Z96" s="15" t="str">
        <f t="shared" si="42"/>
        <v xml:space="preserve"> </v>
      </c>
      <c r="AA96" s="15" t="str">
        <f t="shared" si="43"/>
        <v xml:space="preserve"> </v>
      </c>
      <c r="AB96" s="15" t="str">
        <f t="shared" si="44"/>
        <v xml:space="preserve"> </v>
      </c>
      <c r="AC96" s="15" t="str">
        <f t="shared" si="45"/>
        <v xml:space="preserve"> </v>
      </c>
      <c r="AG96" s="15" t="str">
        <f>IF(ISNUMBER(VLOOKUP(C96,'National budgets summary'!A:F,5, FALSE)),(VLOOKUP(C96,'National budgets summary'!A:F,5, FALSE)), " ")</f>
        <v xml:space="preserve"> </v>
      </c>
      <c r="AH96" t="str">
        <f>IF(ISNUMBER(VLOOKUP(C96,'National budgets summary'!A:F,5, FALSE)),(VLOOKUP(C96,'National budgets summary'!A:F,4, FALSE)), " ")</f>
        <v xml:space="preserve"> </v>
      </c>
      <c r="AI96" s="15" t="str">
        <f t="shared" si="26"/>
        <v xml:space="preserve"> </v>
      </c>
      <c r="AJ96" s="15" t="str">
        <f t="shared" si="31"/>
        <v xml:space="preserve"> </v>
      </c>
      <c r="AK96" s="15" t="str">
        <f t="shared" si="32"/>
        <v/>
      </c>
      <c r="AL96" s="15" t="str">
        <f t="shared" si="33"/>
        <v/>
      </c>
      <c r="AM96" s="15" t="str">
        <f t="shared" si="34"/>
        <v/>
      </c>
      <c r="AN96" s="15" t="str">
        <f t="shared" si="27"/>
        <v xml:space="preserve"> </v>
      </c>
      <c r="AO96" s="15" t="str">
        <f t="shared" si="28"/>
        <v xml:space="preserve"> </v>
      </c>
      <c r="AP96" t="str">
        <f t="shared" si="29"/>
        <v xml:space="preserve"> </v>
      </c>
      <c r="AQ96" t="str">
        <f t="shared" si="30"/>
        <v xml:space="preserve"> </v>
      </c>
      <c r="AR96" s="7" t="str">
        <f t="shared" si="35"/>
        <v xml:space="preserve"> </v>
      </c>
      <c r="AS96" s="7" t="str">
        <f t="shared" si="36"/>
        <v xml:space="preserve"> </v>
      </c>
      <c r="AT96" s="7" t="str">
        <f t="shared" si="37"/>
        <v xml:space="preserve"> </v>
      </c>
      <c r="AU96" s="7" t="str">
        <f t="shared" si="38"/>
        <v xml:space="preserve"> </v>
      </c>
    </row>
    <row r="97" spans="1:47">
      <c r="A97">
        <v>94</v>
      </c>
      <c r="B97" t="s">
        <v>186</v>
      </c>
      <c r="C97" t="s">
        <v>401</v>
      </c>
      <c r="D97" t="s">
        <v>493</v>
      </c>
      <c r="E97" t="s">
        <v>389</v>
      </c>
      <c r="F97" t="s">
        <v>615</v>
      </c>
      <c r="H97" t="str">
        <f>IF(ISNUMBER(VLOOKUP(C97,'OECD DAC'!B:C,2,FALSE)), "YES", " ")</f>
        <v xml:space="preserve"> </v>
      </c>
      <c r="I97">
        <v>5050</v>
      </c>
      <c r="J97">
        <v>2021</v>
      </c>
      <c r="K97" s="15">
        <f>IF(ISNUMBER(VLOOKUP(C97,'WEO GOV REV'!C:BL,58,FALSE)),(VLOOKUP(C97,'WEO GOV REV'!C:BL,58,FALSE)), " ")</f>
        <v>0.17100000000000001</v>
      </c>
      <c r="L97" s="15">
        <f>IF(ISNUMBER(VLOOKUP(C97,'WEO GOV REV'!C:BL,62,FALSE)),(VLOOKUP(C97,'WEO GOV REV'!C:BL,62,FALSE)), " ")</f>
        <v>70.081967213114766</v>
      </c>
      <c r="M97">
        <f>IF(ISNUMBER(VLOOKUP(C97,'WEO GOV REV'!C:BL,62,FALSE)),(VLOOKUP(C97,'WEO GOV REV'!C:BL,57,FALSE)), " ")</f>
        <v>2020</v>
      </c>
      <c r="N97" s="15">
        <f>IF(ISNUMBER(VLOOKUP($C97,'IMF COFOG FULL'!$B:$CM,79,FALSE)),(VLOOKUP($C97,'IMF COFOG FULL'!$B:$CM,79,FALSE)), " ")</f>
        <v>3.4964757668718902</v>
      </c>
      <c r="O97" s="15">
        <f>IF(ISNUMBER(VLOOKUP($C97,'IMF COFOG FULL'!$B:$CM,80,FALSE)),(VLOOKUP($C97,'IMF COFOG FULL'!$B:$CM,80,FALSE)), " ")</f>
        <v>0</v>
      </c>
      <c r="P97" s="15">
        <f>IF(ISNUMBER(VLOOKUP($C97,'IMF COFOG FULL'!$B:$CM,81,FALSE)),(VLOOKUP($C97,'IMF COFOG FULL'!$B:$CM,81,FALSE)), " ")</f>
        <v>0</v>
      </c>
      <c r="Q97" s="15">
        <f>IF(ISNUMBER(VLOOKUP($C97,'IMF COFOG FULL'!$B:$CM,82,FALSE)),(VLOOKUP($C97,'IMF COFOG FULL'!$B:$CM,82,FALSE)), " ")</f>
        <v>2.79243489648545</v>
      </c>
      <c r="R97" s="15">
        <f>IF(ISNUMBER(VLOOKUP($C97,'IMF COFOG FULL'!$B:$CM,83,FALSE)),(VLOOKUP($C97,'IMF COFOG FULL'!$B:$CM,83,FALSE)), " ")</f>
        <v>0</v>
      </c>
      <c r="S97" s="15">
        <f>IF(ISNUMBER(VLOOKUP($C97,'IMF COFOG FULL'!$B:$CM,84,FALSE)),(VLOOKUP($C97,'IMF COFOG FULL'!$B:$CM,84,FALSE)), " ")</f>
        <v>0</v>
      </c>
      <c r="T97" s="15">
        <f>IF(ISNUMBER(VLOOKUP($C97,'IMF COFOG FULL'!$B:$CM,85,FALSE)),(VLOOKUP($C97,'IMF COFOG FULL'!$B:$CM,85,FALSE)), " ")</f>
        <v>0.70404087038644403</v>
      </c>
      <c r="U97" s="7">
        <f>IF(ISNUMBER(VLOOKUP($C97,'IMF COFOG FULL'!$B:$CM,79,FALSE)),(VLOOKUP($C97,'IMF COFOG FULL'!$B:$CM,86,FALSE)), " ")</f>
        <v>2019</v>
      </c>
      <c r="V97" s="15" t="str">
        <f>IF(ISNUMBER(VLOOKUP($C97,'IMF COFOG FULL'!$B:$CM,79,FALSE)),(VLOOKUP($C97,'IMF COFOG FULL'!$B:$CM,87,FALSE)), " ")</f>
        <v>Budgetary central government</v>
      </c>
      <c r="W97" s="15">
        <f t="shared" si="39"/>
        <v>4.9891233164721704</v>
      </c>
      <c r="X97" s="15">
        <f t="shared" si="40"/>
        <v>0</v>
      </c>
      <c r="Y97" s="15">
        <f t="shared" si="41"/>
        <v>0</v>
      </c>
      <c r="Z97" s="15">
        <f t="shared" si="42"/>
        <v>3.9845269867979511</v>
      </c>
      <c r="AA97" s="15">
        <f t="shared" si="43"/>
        <v>0</v>
      </c>
      <c r="AB97" s="15">
        <f t="shared" si="44"/>
        <v>0</v>
      </c>
      <c r="AC97" s="15">
        <f t="shared" si="45"/>
        <v>1.004596329674224</v>
      </c>
      <c r="AG97" s="15" t="str">
        <f>IF(ISNUMBER(VLOOKUP(C97,'National budgets summary'!A:F,5, FALSE)),(VLOOKUP(C97,'National budgets summary'!A:F,5, FALSE)), " ")</f>
        <v xml:space="preserve"> </v>
      </c>
      <c r="AH97" t="str">
        <f>IF(ISNUMBER(VLOOKUP(C97,'National budgets summary'!A:F,5, FALSE)),(VLOOKUP(C97,'National budgets summary'!A:F,4, FALSE)), " ")</f>
        <v xml:space="preserve"> </v>
      </c>
      <c r="AI97" s="15" t="str">
        <f t="shared" si="26"/>
        <v xml:space="preserve"> </v>
      </c>
      <c r="AJ97" s="15" t="str">
        <f t="shared" si="31"/>
        <v xml:space="preserve"> </v>
      </c>
      <c r="AK97" s="15">
        <f t="shared" si="32"/>
        <v>0</v>
      </c>
      <c r="AL97" s="15">
        <f t="shared" si="33"/>
        <v>3.9845269867979511</v>
      </c>
      <c r="AM97" s="15">
        <f t="shared" si="34"/>
        <v>0</v>
      </c>
      <c r="AN97" s="15">
        <f t="shared" si="27"/>
        <v>4.9891233164721704</v>
      </c>
      <c r="AO97" s="15">
        <f t="shared" si="28"/>
        <v>3.4964757668718902</v>
      </c>
      <c r="AP97">
        <f t="shared" si="29"/>
        <v>2019</v>
      </c>
      <c r="AQ97" t="str">
        <f t="shared" si="30"/>
        <v>IMF COFOG</v>
      </c>
      <c r="AR97" s="7">
        <f t="shared" si="35"/>
        <v>0</v>
      </c>
      <c r="AS97" s="7">
        <f t="shared" si="36"/>
        <v>141.01796227251521</v>
      </c>
      <c r="AT97" s="7">
        <f t="shared" si="37"/>
        <v>0</v>
      </c>
      <c r="AU97" s="7">
        <f t="shared" si="38"/>
        <v>176.57202622703048</v>
      </c>
    </row>
    <row r="98" spans="1:47">
      <c r="A98">
        <v>95</v>
      </c>
      <c r="B98" t="s">
        <v>187</v>
      </c>
      <c r="C98" t="s">
        <v>402</v>
      </c>
      <c r="D98" t="s">
        <v>493</v>
      </c>
      <c r="E98" t="s">
        <v>389</v>
      </c>
      <c r="F98" t="s">
        <v>615</v>
      </c>
      <c r="H98" t="str">
        <f>IF(ISNUMBER(VLOOKUP(C98,'OECD DAC'!B:C,2,FALSE)), "YES", " ")</f>
        <v xml:space="preserve"> </v>
      </c>
      <c r="I98">
        <v>5190</v>
      </c>
      <c r="J98">
        <v>2020</v>
      </c>
      <c r="K98" s="15">
        <f>IF(ISNUMBER(VLOOKUP(C98,'WEO GOV REV'!C:BL,58,FALSE)),(VLOOKUP(C98,'WEO GOV REV'!C:BL,58,FALSE)), " ")</f>
        <v>0.495</v>
      </c>
      <c r="L98" s="15">
        <f>IF(ISNUMBER(VLOOKUP(C98,'WEO GOV REV'!C:BL,62,FALSE)),(VLOOKUP(C98,'WEO GOV REV'!C:BL,62,FALSE)), " ")</f>
        <v>43.844109831709474</v>
      </c>
      <c r="M98">
        <f>IF(ISNUMBER(VLOOKUP(C98,'WEO GOV REV'!C:BL,62,FALSE)),(VLOOKUP(C98,'WEO GOV REV'!C:BL,57,FALSE)), " ")</f>
        <v>2020</v>
      </c>
      <c r="N98" s="15" t="str">
        <f>IF(ISNUMBER(VLOOKUP($C98,'IMF COFOG FULL'!$B:$CM,79,FALSE)),(VLOOKUP($C98,'IMF COFOG FULL'!$B:$CM,79,FALSE)), " ")</f>
        <v xml:space="preserve"> </v>
      </c>
      <c r="O98" s="15" t="str">
        <f>IF(ISNUMBER(VLOOKUP($C98,'IMF COFOG FULL'!$B:$CM,80,FALSE)),(VLOOKUP($C98,'IMF COFOG FULL'!$B:$CM,80,FALSE)), " ")</f>
        <v xml:space="preserve"> </v>
      </c>
      <c r="P98" s="15" t="str">
        <f>IF(ISNUMBER(VLOOKUP($C98,'IMF COFOG FULL'!$B:$CM,81,FALSE)),(VLOOKUP($C98,'IMF COFOG FULL'!$B:$CM,81,FALSE)), " ")</f>
        <v xml:space="preserve"> </v>
      </c>
      <c r="Q98" s="15" t="str">
        <f>IF(ISNUMBER(VLOOKUP($C98,'IMF COFOG FULL'!$B:$CM,82,FALSE)),(VLOOKUP($C98,'IMF COFOG FULL'!$B:$CM,82,FALSE)), " ")</f>
        <v xml:space="preserve"> </v>
      </c>
      <c r="R98" s="15" t="str">
        <f>IF(ISNUMBER(VLOOKUP($C98,'IMF COFOG FULL'!$B:$CM,83,FALSE)),(VLOOKUP($C98,'IMF COFOG FULL'!$B:$CM,83,FALSE)), " ")</f>
        <v xml:space="preserve"> </v>
      </c>
      <c r="S98" s="15" t="str">
        <f>IF(ISNUMBER(VLOOKUP($C98,'IMF COFOG FULL'!$B:$CM,84,FALSE)),(VLOOKUP($C98,'IMF COFOG FULL'!$B:$CM,84,FALSE)), " ")</f>
        <v xml:space="preserve"> </v>
      </c>
      <c r="T98" s="15" t="str">
        <f>IF(ISNUMBER(VLOOKUP($C98,'IMF COFOG FULL'!$B:$CM,85,FALSE)),(VLOOKUP($C98,'IMF COFOG FULL'!$B:$CM,85,FALSE)), " ")</f>
        <v xml:space="preserve"> </v>
      </c>
      <c r="U98" s="7" t="str">
        <f>IF(ISNUMBER(VLOOKUP($C98,'IMF COFOG FULL'!$B:$CM,79,FALSE)),(VLOOKUP($C98,'IMF COFOG FULL'!$B:$CM,86,FALSE)), " ")</f>
        <v xml:space="preserve"> </v>
      </c>
      <c r="V98" s="15" t="str">
        <f>IF(ISNUMBER(VLOOKUP($C98,'IMF COFOG FULL'!$B:$CM,79,FALSE)),(VLOOKUP($C98,'IMF COFOG FULL'!$B:$CM,87,FALSE)), " ")</f>
        <v xml:space="preserve"> </v>
      </c>
      <c r="W98" s="15" t="str">
        <f t="shared" si="39"/>
        <v xml:space="preserve"> </v>
      </c>
      <c r="X98" s="15" t="str">
        <f t="shared" si="40"/>
        <v xml:space="preserve"> </v>
      </c>
      <c r="Y98" s="15" t="str">
        <f t="shared" si="41"/>
        <v xml:space="preserve"> </v>
      </c>
      <c r="Z98" s="15" t="str">
        <f t="shared" si="42"/>
        <v xml:space="preserve"> </v>
      </c>
      <c r="AA98" s="15" t="str">
        <f t="shared" si="43"/>
        <v xml:space="preserve"> </v>
      </c>
      <c r="AB98" s="15" t="str">
        <f t="shared" si="44"/>
        <v xml:space="preserve"> </v>
      </c>
      <c r="AC98" s="15" t="str">
        <f t="shared" si="45"/>
        <v xml:space="preserve"> </v>
      </c>
      <c r="AG98" s="15" t="str">
        <f>IF(ISNUMBER(VLOOKUP(C98,'National budgets summary'!A:F,5, FALSE)),(VLOOKUP(C98,'National budgets summary'!A:F,5, FALSE)), " ")</f>
        <v xml:space="preserve"> </v>
      </c>
      <c r="AH98" t="str">
        <f>IF(ISNUMBER(VLOOKUP(C98,'National budgets summary'!A:F,5, FALSE)),(VLOOKUP(C98,'National budgets summary'!A:F,4, FALSE)), " ")</f>
        <v xml:space="preserve"> </v>
      </c>
      <c r="AI98" s="15" t="str">
        <f t="shared" si="26"/>
        <v xml:space="preserve"> </v>
      </c>
      <c r="AJ98" s="15" t="str">
        <f t="shared" si="31"/>
        <v xml:space="preserve"> </v>
      </c>
      <c r="AK98" s="15" t="str">
        <f t="shared" si="32"/>
        <v/>
      </c>
      <c r="AL98" s="15" t="str">
        <f t="shared" si="33"/>
        <v/>
      </c>
      <c r="AM98" s="15" t="str">
        <f t="shared" si="34"/>
        <v/>
      </c>
      <c r="AN98" s="15" t="str">
        <f t="shared" si="27"/>
        <v xml:space="preserve"> </v>
      </c>
      <c r="AO98" s="15" t="str">
        <f t="shared" si="28"/>
        <v xml:space="preserve"> </v>
      </c>
      <c r="AP98" t="str">
        <f t="shared" si="29"/>
        <v xml:space="preserve"> </v>
      </c>
      <c r="AQ98" t="str">
        <f t="shared" si="30"/>
        <v xml:space="preserve"> </v>
      </c>
      <c r="AR98" s="7" t="str">
        <f t="shared" si="35"/>
        <v xml:space="preserve"> </v>
      </c>
      <c r="AS98" s="7" t="str">
        <f t="shared" si="36"/>
        <v xml:space="preserve"> </v>
      </c>
      <c r="AT98" s="7" t="str">
        <f t="shared" si="37"/>
        <v xml:space="preserve"> </v>
      </c>
      <c r="AU98" s="7" t="str">
        <f t="shared" si="38"/>
        <v xml:space="preserve"> </v>
      </c>
    </row>
    <row r="99" spans="1:47">
      <c r="A99">
        <v>96</v>
      </c>
      <c r="B99" t="s">
        <v>188</v>
      </c>
      <c r="C99" t="s">
        <v>403</v>
      </c>
      <c r="D99" t="s">
        <v>497</v>
      </c>
      <c r="E99" t="s">
        <v>389</v>
      </c>
      <c r="F99" t="s">
        <v>619</v>
      </c>
      <c r="H99" t="str">
        <f>IF(ISNUMBER(VLOOKUP(C99,'OECD DAC'!B:C,2,FALSE)), "YES", " ")</f>
        <v xml:space="preserve"> </v>
      </c>
      <c r="I99">
        <v>5340</v>
      </c>
      <c r="J99">
        <v>2021</v>
      </c>
      <c r="K99" s="15">
        <f>IF(ISNUMBER(VLOOKUP(C99,'WEO GOV REV'!C:BL,58,FALSE)),(VLOOKUP(C99,'WEO GOV REV'!C:BL,58,FALSE)), " ")</f>
        <v>50580.11</v>
      </c>
      <c r="L99" s="15">
        <f>IF(ISNUMBER(VLOOKUP(C99,'WEO GOV REV'!C:BL,62,FALSE)),(VLOOKUP(C99,'WEO GOV REV'!C:BL,62,FALSE)), " ")</f>
        <v>19.151660526385538</v>
      </c>
      <c r="M99">
        <f>IF(ISNUMBER(VLOOKUP(C99,'WEO GOV REV'!C:BL,62,FALSE)),(VLOOKUP(C99,'WEO GOV REV'!C:BL,57,FALSE)), " ")</f>
        <v>2021</v>
      </c>
      <c r="N99" s="15" t="str">
        <f>IF(ISNUMBER(VLOOKUP($C99,'IMF COFOG FULL'!$B:$CM,79,FALSE)),(VLOOKUP($C99,'IMF COFOG FULL'!$B:$CM,79,FALSE)), " ")</f>
        <v xml:space="preserve"> </v>
      </c>
      <c r="O99" s="15" t="str">
        <f>IF(ISNUMBER(VLOOKUP($C99,'IMF COFOG FULL'!$B:$CM,80,FALSE)),(VLOOKUP($C99,'IMF COFOG FULL'!$B:$CM,80,FALSE)), " ")</f>
        <v xml:space="preserve"> </v>
      </c>
      <c r="P99" s="15" t="str">
        <f>IF(ISNUMBER(VLOOKUP($C99,'IMF COFOG FULL'!$B:$CM,81,FALSE)),(VLOOKUP($C99,'IMF COFOG FULL'!$B:$CM,81,FALSE)), " ")</f>
        <v xml:space="preserve"> </v>
      </c>
      <c r="Q99" s="15" t="str">
        <f>IF(ISNUMBER(VLOOKUP($C99,'IMF COFOG FULL'!$B:$CM,82,FALSE)),(VLOOKUP($C99,'IMF COFOG FULL'!$B:$CM,82,FALSE)), " ")</f>
        <v xml:space="preserve"> </v>
      </c>
      <c r="R99" s="15" t="str">
        <f>IF(ISNUMBER(VLOOKUP($C99,'IMF COFOG FULL'!$B:$CM,83,FALSE)),(VLOOKUP($C99,'IMF COFOG FULL'!$B:$CM,83,FALSE)), " ")</f>
        <v xml:space="preserve"> </v>
      </c>
      <c r="S99" s="15" t="str">
        <f>IF(ISNUMBER(VLOOKUP($C99,'IMF COFOG FULL'!$B:$CM,84,FALSE)),(VLOOKUP($C99,'IMF COFOG FULL'!$B:$CM,84,FALSE)), " ")</f>
        <v xml:space="preserve"> </v>
      </c>
      <c r="T99" s="15" t="str">
        <f>IF(ISNUMBER(VLOOKUP($C99,'IMF COFOG FULL'!$B:$CM,85,FALSE)),(VLOOKUP($C99,'IMF COFOG FULL'!$B:$CM,85,FALSE)), " ")</f>
        <v xml:space="preserve"> </v>
      </c>
      <c r="U99" s="7" t="str">
        <f>IF(ISNUMBER(VLOOKUP($C99,'IMF COFOG FULL'!$B:$CM,79,FALSE)),(VLOOKUP($C99,'IMF COFOG FULL'!$B:$CM,86,FALSE)), " ")</f>
        <v xml:space="preserve"> </v>
      </c>
      <c r="V99" s="15" t="str">
        <f>IF(ISNUMBER(VLOOKUP($C99,'IMF COFOG FULL'!$B:$CM,79,FALSE)),(VLOOKUP($C99,'IMF COFOG FULL'!$B:$CM,87,FALSE)), " ")</f>
        <v xml:space="preserve"> </v>
      </c>
      <c r="W99" s="15" t="str">
        <f t="shared" si="39"/>
        <v xml:space="preserve"> </v>
      </c>
      <c r="X99" s="15" t="str">
        <f t="shared" si="40"/>
        <v xml:space="preserve"> </v>
      </c>
      <c r="Y99" s="15" t="str">
        <f t="shared" si="41"/>
        <v xml:space="preserve"> </v>
      </c>
      <c r="Z99" s="15" t="str">
        <f t="shared" si="42"/>
        <v xml:space="preserve"> </v>
      </c>
      <c r="AA99" s="15" t="str">
        <f t="shared" si="43"/>
        <v xml:space="preserve"> </v>
      </c>
      <c r="AB99" s="15" t="str">
        <f t="shared" si="44"/>
        <v xml:space="preserve"> </v>
      </c>
      <c r="AC99" s="15" t="str">
        <f t="shared" si="45"/>
        <v xml:space="preserve"> </v>
      </c>
      <c r="AG99" s="15" t="str">
        <f>IF(ISNUMBER(VLOOKUP(C99,'National budgets summary'!A:F,5, FALSE)),(VLOOKUP(C99,'National budgets summary'!A:F,5, FALSE)), " ")</f>
        <v xml:space="preserve"> </v>
      </c>
      <c r="AH99" t="str">
        <f>IF(ISNUMBER(VLOOKUP(C99,'National budgets summary'!A:F,5, FALSE)),(VLOOKUP(C99,'National budgets summary'!A:F,4, FALSE)), " ")</f>
        <v xml:space="preserve"> </v>
      </c>
      <c r="AI99" s="15" t="str">
        <f t="shared" si="26"/>
        <v xml:space="preserve"> </v>
      </c>
      <c r="AJ99" s="15" t="str">
        <f t="shared" si="31"/>
        <v xml:space="preserve"> </v>
      </c>
      <c r="AK99" s="15" t="str">
        <f t="shared" si="32"/>
        <v/>
      </c>
      <c r="AL99" s="15" t="str">
        <f t="shared" si="33"/>
        <v/>
      </c>
      <c r="AM99" s="15" t="str">
        <f t="shared" si="34"/>
        <v/>
      </c>
      <c r="AN99" s="15" t="str">
        <f t="shared" si="27"/>
        <v xml:space="preserve"> </v>
      </c>
      <c r="AO99" s="15" t="str">
        <f t="shared" si="28"/>
        <v xml:space="preserve"> </v>
      </c>
      <c r="AP99" t="str">
        <f t="shared" si="29"/>
        <v xml:space="preserve"> </v>
      </c>
      <c r="AQ99" t="str">
        <f t="shared" si="30"/>
        <v xml:space="preserve"> </v>
      </c>
      <c r="AR99" s="7" t="str">
        <f t="shared" si="35"/>
        <v xml:space="preserve"> </v>
      </c>
      <c r="AS99" s="7" t="str">
        <f t="shared" si="36"/>
        <v xml:space="preserve"> </v>
      </c>
      <c r="AT99" s="7" t="str">
        <f t="shared" si="37"/>
        <v xml:space="preserve"> </v>
      </c>
      <c r="AU99" s="7" t="str">
        <f t="shared" si="38"/>
        <v xml:space="preserve"> </v>
      </c>
    </row>
    <row r="100" spans="1:47">
      <c r="A100">
        <v>97</v>
      </c>
      <c r="B100" t="s">
        <v>189</v>
      </c>
      <c r="C100" t="s">
        <v>404</v>
      </c>
      <c r="D100" t="s">
        <v>485</v>
      </c>
      <c r="E100" t="s">
        <v>389</v>
      </c>
      <c r="F100" t="s">
        <v>619</v>
      </c>
      <c r="H100" t="str">
        <f>IF(ISNUMBER(VLOOKUP(C100,'OECD DAC'!B:C,2,FALSE)), "YES", " ")</f>
        <v xml:space="preserve"> </v>
      </c>
      <c r="I100">
        <v>5460</v>
      </c>
      <c r="J100">
        <v>2021</v>
      </c>
      <c r="K100" s="15">
        <f>IF(ISNUMBER(VLOOKUP(C100,'WEO GOV REV'!C:BL,58,FALSE)),(VLOOKUP(C100,'WEO GOV REV'!C:BL,58,FALSE)), " ")</f>
        <v>77.373000000000005</v>
      </c>
      <c r="L100" s="15">
        <f>IF(ISNUMBER(VLOOKUP(C100,'WEO GOV REV'!C:BL,62,FALSE)),(VLOOKUP(C100,'WEO GOV REV'!C:BL,62,FALSE)), " ")</f>
        <v>31.989366232413147</v>
      </c>
      <c r="M100">
        <f>IF(ISNUMBER(VLOOKUP(C100,'WEO GOV REV'!C:BL,62,FALSE)),(VLOOKUP(C100,'WEO GOV REV'!C:BL,57,FALSE)), " ")</f>
        <v>2021</v>
      </c>
      <c r="N100" s="15">
        <f>IF(ISNUMBER(VLOOKUP($C100,'IMF COFOG FULL'!$B:$CM,79,FALSE)),(VLOOKUP($C100,'IMF COFOG FULL'!$B:$CM,79,FALSE)), " ")</f>
        <v>2.3947795055924201</v>
      </c>
      <c r="O100" s="15">
        <f>IF(ISNUMBER(VLOOKUP($C100,'IMF COFOG FULL'!$B:$CM,80,FALSE)),(VLOOKUP($C100,'IMF COFOG FULL'!$B:$CM,80,FALSE)), " ")</f>
        <v>1.3836849637901201</v>
      </c>
      <c r="P100" s="15">
        <f>IF(ISNUMBER(VLOOKUP($C100,'IMF COFOG FULL'!$B:$CM,81,FALSE)),(VLOOKUP($C100,'IMF COFOG FULL'!$B:$CM,81,FALSE)), " ")</f>
        <v>0.18619480937117</v>
      </c>
      <c r="Q100" s="15">
        <f>IF(ISNUMBER(VLOOKUP($C100,'IMF COFOG FULL'!$B:$CM,82,FALSE)),(VLOOKUP($C100,'IMF COFOG FULL'!$B:$CM,82,FALSE)), " ")</f>
        <v>0.474146663389242</v>
      </c>
      <c r="R100" s="15">
        <f>IF(ISNUMBER(VLOOKUP($C100,'IMF COFOG FULL'!$B:$CM,83,FALSE)),(VLOOKUP($C100,'IMF COFOG FULL'!$B:$CM,83,FALSE)), " ")</f>
        <v>0.27264060655023498</v>
      </c>
      <c r="S100" s="15">
        <f>IF(ISNUMBER(VLOOKUP($C100,'IMF COFOG FULL'!$B:$CM,84,FALSE)),(VLOOKUP($C100,'IMF COFOG FULL'!$B:$CM,84,FALSE)), " ")</f>
        <v>8.5341379328926601E-4</v>
      </c>
      <c r="T100" s="15">
        <f>IF(ISNUMBER(VLOOKUP($C100,'IMF COFOG FULL'!$B:$CM,85,FALSE)),(VLOOKUP($C100,'IMF COFOG FULL'!$B:$CM,85,FALSE)), " ")</f>
        <v>7.7259048698363503E-2</v>
      </c>
      <c r="U100" s="7">
        <f>IF(ISNUMBER(VLOOKUP($C100,'IMF COFOG FULL'!$B:$CM,79,FALSE)),(VLOOKUP($C100,'IMF COFOG FULL'!$B:$CM,86,FALSE)), " ")</f>
        <v>2020</v>
      </c>
      <c r="V100" s="15" t="str">
        <f>IF(ISNUMBER(VLOOKUP($C100,'IMF COFOG FULL'!$B:$CM,79,FALSE)),(VLOOKUP($C100,'IMF COFOG FULL'!$B:$CM,87,FALSE)), " ")</f>
        <v>General government</v>
      </c>
      <c r="W100" s="15">
        <f t="shared" si="39"/>
        <v>7.4861736496858624</v>
      </c>
      <c r="X100" s="15">
        <f t="shared" si="40"/>
        <v>4.3254528824897589</v>
      </c>
      <c r="Y100" s="15">
        <f t="shared" si="41"/>
        <v>0.58205219827865351</v>
      </c>
      <c r="Z100" s="15">
        <f t="shared" si="42"/>
        <v>1.4822008662016382</v>
      </c>
      <c r="AA100" s="15">
        <f t="shared" si="43"/>
        <v>0.85228511427645148</v>
      </c>
      <c r="AB100" s="15">
        <f t="shared" si="44"/>
        <v>2.6678046294788629E-3</v>
      </c>
      <c r="AC100" s="15">
        <f t="shared" si="45"/>
        <v>0.24151478380988042</v>
      </c>
      <c r="AG100" s="15" t="str">
        <f>IF(ISNUMBER(VLOOKUP(C100,'National budgets summary'!A:F,5, FALSE)),(VLOOKUP(C100,'National budgets summary'!A:F,5, FALSE)), " ")</f>
        <v xml:space="preserve"> </v>
      </c>
      <c r="AH100" t="str">
        <f>IF(ISNUMBER(VLOOKUP(C100,'National budgets summary'!A:F,5, FALSE)),(VLOOKUP(C100,'National budgets summary'!A:F,4, FALSE)), " ")</f>
        <v xml:space="preserve"> </v>
      </c>
      <c r="AI100" s="15" t="str">
        <f t="shared" si="26"/>
        <v xml:space="preserve"> </v>
      </c>
      <c r="AJ100" s="15" t="str">
        <f t="shared" si="31"/>
        <v xml:space="preserve"> </v>
      </c>
      <c r="AK100" s="15">
        <f t="shared" si="32"/>
        <v>4.3254528824897589</v>
      </c>
      <c r="AL100" s="15">
        <f t="shared" si="33"/>
        <v>1.4822008662016382</v>
      </c>
      <c r="AM100" s="15">
        <f t="shared" si="34"/>
        <v>0.85228511427645148</v>
      </c>
      <c r="AN100" s="15">
        <f t="shared" si="27"/>
        <v>7.4861736496858624</v>
      </c>
      <c r="AO100" s="15">
        <f t="shared" si="28"/>
        <v>2.3947795055924201</v>
      </c>
      <c r="AP100">
        <f t="shared" si="29"/>
        <v>2020</v>
      </c>
      <c r="AQ100" t="str">
        <f t="shared" si="30"/>
        <v>IMF COFOG</v>
      </c>
      <c r="AR100" s="7">
        <f t="shared" si="35"/>
        <v>75.549199022940556</v>
      </c>
      <c r="AS100" s="7">
        <f t="shared" si="36"/>
        <v>25.888407821052613</v>
      </c>
      <c r="AT100" s="7">
        <f t="shared" si="37"/>
        <v>14.886177117642829</v>
      </c>
      <c r="AU100" s="7">
        <f t="shared" si="38"/>
        <v>130.75496100534613</v>
      </c>
    </row>
    <row r="101" spans="1:47">
      <c r="A101">
        <v>98</v>
      </c>
      <c r="B101" t="s">
        <v>190</v>
      </c>
      <c r="C101" t="s">
        <v>405</v>
      </c>
      <c r="D101" t="s">
        <v>496</v>
      </c>
      <c r="E101" t="s">
        <v>389</v>
      </c>
      <c r="F101" t="s">
        <v>619</v>
      </c>
      <c r="H101" t="str">
        <f>IF(ISNUMBER(VLOOKUP(C101,'OECD DAC'!B:C,2,FALSE)), "YES", " ")</f>
        <v xml:space="preserve"> </v>
      </c>
      <c r="I101">
        <v>5810</v>
      </c>
      <c r="J101">
        <v>2021</v>
      </c>
      <c r="K101" s="15">
        <f>IF(ISNUMBER(VLOOKUP(C101,'WEO GOV REV'!C:BL,58,FALSE)),(VLOOKUP(C101,'WEO GOV REV'!C:BL,58,FALSE)), " ")</f>
        <v>819.73299999999995</v>
      </c>
      <c r="L101" s="15">
        <f>IF(ISNUMBER(VLOOKUP(C101,'WEO GOV REV'!C:BL,62,FALSE)),(VLOOKUP(C101,'WEO GOV REV'!C:BL,62,FALSE)), " ")</f>
        <v>14.210653140190416</v>
      </c>
      <c r="M101">
        <f>IF(ISNUMBER(VLOOKUP(C101,'WEO GOV REV'!C:BL,62,FALSE)),(VLOOKUP(C101,'WEO GOV REV'!C:BL,57,FALSE)), " ")</f>
        <v>2020</v>
      </c>
      <c r="N101" s="15" t="str">
        <f>IF(ISNUMBER(VLOOKUP($C101,'IMF COFOG FULL'!$B:$CM,79,FALSE)),(VLOOKUP($C101,'IMF COFOG FULL'!$B:$CM,79,FALSE)), " ")</f>
        <v xml:space="preserve"> </v>
      </c>
      <c r="O101" s="15" t="str">
        <f>IF(ISNUMBER(VLOOKUP($C101,'IMF COFOG FULL'!$B:$CM,80,FALSE)),(VLOOKUP($C101,'IMF COFOG FULL'!$B:$CM,80,FALSE)), " ")</f>
        <v xml:space="preserve"> </v>
      </c>
      <c r="P101" s="15" t="str">
        <f>IF(ISNUMBER(VLOOKUP($C101,'IMF COFOG FULL'!$B:$CM,81,FALSE)),(VLOOKUP($C101,'IMF COFOG FULL'!$B:$CM,81,FALSE)), " ")</f>
        <v xml:space="preserve"> </v>
      </c>
      <c r="Q101" s="15" t="str">
        <f>IF(ISNUMBER(VLOOKUP($C101,'IMF COFOG FULL'!$B:$CM,82,FALSE)),(VLOOKUP($C101,'IMF COFOG FULL'!$B:$CM,82,FALSE)), " ")</f>
        <v xml:space="preserve"> </v>
      </c>
      <c r="R101" s="15" t="str">
        <f>IF(ISNUMBER(VLOOKUP($C101,'IMF COFOG FULL'!$B:$CM,83,FALSE)),(VLOOKUP($C101,'IMF COFOG FULL'!$B:$CM,83,FALSE)), " ")</f>
        <v xml:space="preserve"> </v>
      </c>
      <c r="S101" s="15" t="str">
        <f>IF(ISNUMBER(VLOOKUP($C101,'IMF COFOG FULL'!$B:$CM,84,FALSE)),(VLOOKUP($C101,'IMF COFOG FULL'!$B:$CM,84,FALSE)), " ")</f>
        <v xml:space="preserve"> </v>
      </c>
      <c r="T101" s="15" t="str">
        <f>IF(ISNUMBER(VLOOKUP($C101,'IMF COFOG FULL'!$B:$CM,85,FALSE)),(VLOOKUP($C101,'IMF COFOG FULL'!$B:$CM,85,FALSE)), " ")</f>
        <v xml:space="preserve"> </v>
      </c>
      <c r="U101" s="7" t="str">
        <f>IF(ISNUMBER(VLOOKUP($C101,'IMF COFOG FULL'!$B:$CM,79,FALSE)),(VLOOKUP($C101,'IMF COFOG FULL'!$B:$CM,86,FALSE)), " ")</f>
        <v xml:space="preserve"> </v>
      </c>
      <c r="V101" s="15" t="str">
        <f>IF(ISNUMBER(VLOOKUP($C101,'IMF COFOG FULL'!$B:$CM,79,FALSE)),(VLOOKUP($C101,'IMF COFOG FULL'!$B:$CM,87,FALSE)), " ")</f>
        <v xml:space="preserve"> </v>
      </c>
      <c r="W101" s="15" t="str">
        <f t="shared" si="39"/>
        <v xml:space="preserve"> </v>
      </c>
      <c r="X101" s="15" t="str">
        <f t="shared" si="40"/>
        <v xml:space="preserve"> </v>
      </c>
      <c r="Y101" s="15" t="str">
        <f t="shared" si="41"/>
        <v xml:space="preserve"> </v>
      </c>
      <c r="Z101" s="15" t="str">
        <f t="shared" si="42"/>
        <v xml:space="preserve"> </v>
      </c>
      <c r="AA101" s="15" t="str">
        <f t="shared" si="43"/>
        <v xml:space="preserve"> </v>
      </c>
      <c r="AB101" s="15" t="str">
        <f t="shared" si="44"/>
        <v xml:space="preserve"> </v>
      </c>
      <c r="AC101" s="15" t="str">
        <f t="shared" si="45"/>
        <v xml:space="preserve"> </v>
      </c>
      <c r="AG101" s="15" t="str">
        <f>IF(ISNUMBER(VLOOKUP(C101,'National budgets summary'!A:F,5, FALSE)),(VLOOKUP(C101,'National budgets summary'!A:F,5, FALSE)), " ")</f>
        <v xml:space="preserve"> </v>
      </c>
      <c r="AH101" t="str">
        <f>IF(ISNUMBER(VLOOKUP(C101,'National budgets summary'!A:F,5, FALSE)),(VLOOKUP(C101,'National budgets summary'!A:F,4, FALSE)), " ")</f>
        <v xml:space="preserve"> </v>
      </c>
      <c r="AI101" s="15" t="str">
        <f t="shared" si="26"/>
        <v xml:space="preserve"> </v>
      </c>
      <c r="AJ101" s="15" t="str">
        <f t="shared" si="31"/>
        <v xml:space="preserve"> </v>
      </c>
      <c r="AK101" s="15" t="str">
        <f t="shared" si="32"/>
        <v/>
      </c>
      <c r="AL101" s="15" t="str">
        <f t="shared" si="33"/>
        <v/>
      </c>
      <c r="AM101" s="15" t="str">
        <f t="shared" si="34"/>
        <v/>
      </c>
      <c r="AN101" s="15" t="str">
        <f t="shared" si="27"/>
        <v xml:space="preserve"> </v>
      </c>
      <c r="AO101" s="15" t="str">
        <f t="shared" si="28"/>
        <v xml:space="preserve"> </v>
      </c>
      <c r="AP101" t="str">
        <f t="shared" si="29"/>
        <v xml:space="preserve"> </v>
      </c>
      <c r="AQ101" t="str">
        <f t="shared" si="30"/>
        <v xml:space="preserve"> </v>
      </c>
      <c r="AR101" s="7" t="str">
        <f t="shared" si="35"/>
        <v xml:space="preserve"> </v>
      </c>
      <c r="AS101" s="7" t="str">
        <f t="shared" si="36"/>
        <v xml:space="preserve"> </v>
      </c>
      <c r="AT101" s="7" t="str">
        <f t="shared" si="37"/>
        <v xml:space="preserve"> </v>
      </c>
      <c r="AU101" s="7" t="str">
        <f t="shared" si="38"/>
        <v xml:space="preserve"> </v>
      </c>
    </row>
    <row r="102" spans="1:47">
      <c r="A102">
        <v>99</v>
      </c>
      <c r="B102" t="s">
        <v>191</v>
      </c>
      <c r="C102" t="s">
        <v>406</v>
      </c>
      <c r="D102" t="s">
        <v>497</v>
      </c>
      <c r="E102" t="s">
        <v>389</v>
      </c>
      <c r="F102" t="s">
        <v>619</v>
      </c>
      <c r="H102" t="str">
        <f>IF(ISNUMBER(VLOOKUP(C102,'OECD DAC'!B:C,2,FALSE)), "YES", " ")</f>
        <v xml:space="preserve"> </v>
      </c>
      <c r="I102">
        <v>5930</v>
      </c>
      <c r="J102">
        <v>2021</v>
      </c>
      <c r="K102" s="15">
        <f>IF(ISNUMBER(VLOOKUP(C102,'WEO GOV REV'!C:BL,58,FALSE)),(VLOOKUP(C102,'WEO GOV REV'!C:BL,58,FALSE)), " ")</f>
        <v>29.408000000000001</v>
      </c>
      <c r="L102" s="15">
        <f>IF(ISNUMBER(VLOOKUP(C102,'WEO GOV REV'!C:BL,62,FALSE)),(VLOOKUP(C102,'WEO GOV REV'!C:BL,62,FALSE)), " ")</f>
        <v>29.617991560161549</v>
      </c>
      <c r="M102">
        <f>IF(ISNUMBER(VLOOKUP(C102,'WEO GOV REV'!C:BL,62,FALSE)),(VLOOKUP(C102,'WEO GOV REV'!C:BL,57,FALSE)), " ")</f>
        <v>2020</v>
      </c>
      <c r="N102" s="15" t="str">
        <f>IF(ISNUMBER(VLOOKUP($C102,'IMF COFOG FULL'!$B:$CM,79,FALSE)),(VLOOKUP($C102,'IMF COFOG FULL'!$B:$CM,79,FALSE)), " ")</f>
        <v xml:space="preserve"> </v>
      </c>
      <c r="O102" s="15" t="str">
        <f>IF(ISNUMBER(VLOOKUP($C102,'IMF COFOG FULL'!$B:$CM,80,FALSE)),(VLOOKUP($C102,'IMF COFOG FULL'!$B:$CM,80,FALSE)), " ")</f>
        <v xml:space="preserve"> </v>
      </c>
      <c r="P102" s="15" t="str">
        <f>IF(ISNUMBER(VLOOKUP($C102,'IMF COFOG FULL'!$B:$CM,81,FALSE)),(VLOOKUP($C102,'IMF COFOG FULL'!$B:$CM,81,FALSE)), " ")</f>
        <v xml:space="preserve"> </v>
      </c>
      <c r="Q102" s="15" t="str">
        <f>IF(ISNUMBER(VLOOKUP($C102,'IMF COFOG FULL'!$B:$CM,82,FALSE)),(VLOOKUP($C102,'IMF COFOG FULL'!$B:$CM,82,FALSE)), " ")</f>
        <v xml:space="preserve"> </v>
      </c>
      <c r="R102" s="15" t="str">
        <f>IF(ISNUMBER(VLOOKUP($C102,'IMF COFOG FULL'!$B:$CM,83,FALSE)),(VLOOKUP($C102,'IMF COFOG FULL'!$B:$CM,83,FALSE)), " ")</f>
        <v xml:space="preserve"> </v>
      </c>
      <c r="S102" s="15" t="str">
        <f>IF(ISNUMBER(VLOOKUP($C102,'IMF COFOG FULL'!$B:$CM,84,FALSE)),(VLOOKUP($C102,'IMF COFOG FULL'!$B:$CM,84,FALSE)), " ")</f>
        <v xml:space="preserve"> </v>
      </c>
      <c r="T102" s="15" t="str">
        <f>IF(ISNUMBER(VLOOKUP($C102,'IMF COFOG FULL'!$B:$CM,85,FALSE)),(VLOOKUP($C102,'IMF COFOG FULL'!$B:$CM,85,FALSE)), " ")</f>
        <v xml:space="preserve"> </v>
      </c>
      <c r="U102" s="7" t="str">
        <f>IF(ISNUMBER(VLOOKUP($C102,'IMF COFOG FULL'!$B:$CM,79,FALSE)),(VLOOKUP($C102,'IMF COFOG FULL'!$B:$CM,86,FALSE)), " ")</f>
        <v xml:space="preserve"> </v>
      </c>
      <c r="V102" s="15" t="str">
        <f>IF(ISNUMBER(VLOOKUP($C102,'IMF COFOG FULL'!$B:$CM,79,FALSE)),(VLOOKUP($C102,'IMF COFOG FULL'!$B:$CM,87,FALSE)), " ")</f>
        <v xml:space="preserve"> </v>
      </c>
      <c r="W102" s="15" t="str">
        <f t="shared" si="39"/>
        <v xml:space="preserve"> </v>
      </c>
      <c r="X102" s="15" t="str">
        <f t="shared" si="40"/>
        <v xml:space="preserve"> </v>
      </c>
      <c r="Y102" s="15" t="str">
        <f t="shared" si="41"/>
        <v xml:space="preserve"> </v>
      </c>
      <c r="Z102" s="15" t="str">
        <f t="shared" si="42"/>
        <v xml:space="preserve"> </v>
      </c>
      <c r="AA102" s="15" t="str">
        <f t="shared" si="43"/>
        <v xml:space="preserve"> </v>
      </c>
      <c r="AB102" s="15" t="str">
        <f t="shared" si="44"/>
        <v xml:space="preserve"> </v>
      </c>
      <c r="AC102" s="15" t="str">
        <f t="shared" si="45"/>
        <v xml:space="preserve"> </v>
      </c>
      <c r="AG102" s="15" t="str">
        <f>IF(ISNUMBER(VLOOKUP(C102,'National budgets summary'!A:F,5, FALSE)),(VLOOKUP(C102,'National budgets summary'!A:F,5, FALSE)), " ")</f>
        <v xml:space="preserve"> </v>
      </c>
      <c r="AH102" t="str">
        <f>IF(ISNUMBER(VLOOKUP(C102,'National budgets summary'!A:F,5, FALSE)),(VLOOKUP(C102,'National budgets summary'!A:F,4, FALSE)), " ")</f>
        <v xml:space="preserve"> </v>
      </c>
      <c r="AI102" s="15" t="str">
        <f t="shared" si="26"/>
        <v xml:space="preserve"> </v>
      </c>
      <c r="AJ102" s="15" t="str">
        <f t="shared" si="31"/>
        <v xml:space="preserve"> </v>
      </c>
      <c r="AK102" s="15" t="str">
        <f t="shared" si="32"/>
        <v/>
      </c>
      <c r="AL102" s="15" t="str">
        <f t="shared" si="33"/>
        <v/>
      </c>
      <c r="AM102" s="15" t="str">
        <f t="shared" si="34"/>
        <v/>
      </c>
      <c r="AN102" s="15" t="str">
        <f t="shared" si="27"/>
        <v xml:space="preserve"> </v>
      </c>
      <c r="AO102" s="15" t="str">
        <f t="shared" si="28"/>
        <v xml:space="preserve"> </v>
      </c>
      <c r="AP102" t="str">
        <f t="shared" si="29"/>
        <v xml:space="preserve"> </v>
      </c>
      <c r="AQ102" t="str">
        <f t="shared" si="30"/>
        <v xml:space="preserve"> </v>
      </c>
      <c r="AR102" s="7" t="str">
        <f t="shared" si="35"/>
        <v xml:space="preserve"> </v>
      </c>
      <c r="AS102" s="7" t="str">
        <f t="shared" si="36"/>
        <v xml:space="preserve"> </v>
      </c>
      <c r="AT102" s="7" t="str">
        <f t="shared" si="37"/>
        <v xml:space="preserve"> </v>
      </c>
      <c r="AU102" s="7" t="str">
        <f t="shared" si="38"/>
        <v xml:space="preserve"> </v>
      </c>
    </row>
    <row r="103" spans="1:47">
      <c r="A103">
        <v>100</v>
      </c>
      <c r="B103" t="s">
        <v>192</v>
      </c>
      <c r="C103" t="s">
        <v>407</v>
      </c>
      <c r="D103" t="s">
        <v>485</v>
      </c>
      <c r="E103" t="s">
        <v>389</v>
      </c>
      <c r="F103" t="s">
        <v>619</v>
      </c>
      <c r="H103" t="str">
        <f>IF(ISNUMBER(VLOOKUP(C103,'OECD DAC'!B:C,2,FALSE)), "YES", " ")</f>
        <v xml:space="preserve"> </v>
      </c>
      <c r="I103">
        <v>6110</v>
      </c>
      <c r="J103">
        <v>2021</v>
      </c>
      <c r="K103" s="15">
        <f>IF(ISNUMBER(VLOOKUP(C103,'WEO GOV REV'!C:BL,58,FALSE)),(VLOOKUP(C103,'WEO GOV REV'!C:BL,58,FALSE)), " ")</f>
        <v>425.90600000000001</v>
      </c>
      <c r="L103" s="15">
        <f>IF(ISNUMBER(VLOOKUP(C103,'WEO GOV REV'!C:BL,62,FALSE)),(VLOOKUP(C103,'WEO GOV REV'!C:BL,62,FALSE)), " ")</f>
        <v>25.905430392681623</v>
      </c>
      <c r="M103">
        <f>IF(ISNUMBER(VLOOKUP(C103,'WEO GOV REV'!C:BL,62,FALSE)),(VLOOKUP(C103,'WEO GOV REV'!C:BL,57,FALSE)), " ")</f>
        <v>2020</v>
      </c>
      <c r="N103" s="15">
        <f>IF(ISNUMBER(VLOOKUP($C103,'IMF COFOG FULL'!$B:$CM,79,FALSE)),(VLOOKUP($C103,'IMF COFOG FULL'!$B:$CM,79,FALSE)), " ")</f>
        <v>2.0110020161967399</v>
      </c>
      <c r="O103" s="15">
        <f>IF(ISNUMBER(VLOOKUP($C103,'IMF COFOG FULL'!$B:$CM,80,FALSE)),(VLOOKUP($C103,'IMF COFOG FULL'!$B:$CM,80,FALSE)), " ")</f>
        <v>1.1533130428401399</v>
      </c>
      <c r="P103" s="15">
        <f>IF(ISNUMBER(VLOOKUP($C103,'IMF COFOG FULL'!$B:$CM,81,FALSE)),(VLOOKUP($C103,'IMF COFOG FULL'!$B:$CM,81,FALSE)), " ")</f>
        <v>0.177894224920988</v>
      </c>
      <c r="Q103" s="15">
        <f>IF(ISNUMBER(VLOOKUP($C103,'IMF COFOG FULL'!$B:$CM,82,FALSE)),(VLOOKUP($C103,'IMF COFOG FULL'!$B:$CM,82,FALSE)), " ")</f>
        <v>0.226757455636831</v>
      </c>
      <c r="R103" s="15">
        <f>IF(ISNUMBER(VLOOKUP($C103,'IMF COFOG FULL'!$B:$CM,83,FALSE)),(VLOOKUP($C103,'IMF COFOG FULL'!$B:$CM,83,FALSE)), " ")</f>
        <v>0.34746308718154101</v>
      </c>
      <c r="S103" s="15">
        <f>IF(ISNUMBER(VLOOKUP($C103,'IMF COFOG FULL'!$B:$CM,84,FALSE)),(VLOOKUP($C103,'IMF COFOG FULL'!$B:$CM,84,FALSE)), " ")</f>
        <v>0.104847827520028</v>
      </c>
      <c r="T103" s="15">
        <f>IF(ISNUMBER(VLOOKUP($C103,'IMF COFOG FULL'!$B:$CM,85,FALSE)),(VLOOKUP($C103,'IMF COFOG FULL'!$B:$CM,85,FALSE)), " ")</f>
        <v>7.2637809721277295E-4</v>
      </c>
      <c r="U103" s="7">
        <f>IF(ISNUMBER(VLOOKUP($C103,'IMF COFOG FULL'!$B:$CM,79,FALSE)),(VLOOKUP($C103,'IMF COFOG FULL'!$B:$CM,86,FALSE)), " ")</f>
        <v>2020</v>
      </c>
      <c r="V103" s="15" t="str">
        <f>IF(ISNUMBER(VLOOKUP($C103,'IMF COFOG FULL'!$B:$CM,79,FALSE)),(VLOOKUP($C103,'IMF COFOG FULL'!$B:$CM,87,FALSE)), " ")</f>
        <v>General government</v>
      </c>
      <c r="W103" s="15">
        <f t="shared" si="39"/>
        <v>7.7628589284695115</v>
      </c>
      <c r="X103" s="15">
        <f t="shared" si="40"/>
        <v>4.4520126682240146</v>
      </c>
      <c r="Y103" s="15">
        <f t="shared" si="41"/>
        <v>0.68670630915764963</v>
      </c>
      <c r="Z103" s="15">
        <f t="shared" si="42"/>
        <v>0.87532788376637349</v>
      </c>
      <c r="AA103" s="15">
        <f t="shared" si="43"/>
        <v>1.3412750991379034</v>
      </c>
      <c r="AB103" s="15">
        <f t="shared" si="44"/>
        <v>0.40473300744560448</v>
      </c>
      <c r="AC103" s="15">
        <f t="shared" si="45"/>
        <v>2.8039607379693539E-3</v>
      </c>
      <c r="AG103" s="15" t="str">
        <f>IF(ISNUMBER(VLOOKUP(C103,'National budgets summary'!A:F,5, FALSE)),(VLOOKUP(C103,'National budgets summary'!A:F,5, FALSE)), " ")</f>
        <v xml:space="preserve"> </v>
      </c>
      <c r="AH103" t="str">
        <f>IF(ISNUMBER(VLOOKUP(C103,'National budgets summary'!A:F,5, FALSE)),(VLOOKUP(C103,'National budgets summary'!A:F,4, FALSE)), " ")</f>
        <v xml:space="preserve"> </v>
      </c>
      <c r="AI103" s="15" t="str">
        <f t="shared" si="26"/>
        <v xml:space="preserve"> </v>
      </c>
      <c r="AJ103" s="15" t="str">
        <f t="shared" si="31"/>
        <v xml:space="preserve"> </v>
      </c>
      <c r="AK103" s="15">
        <f t="shared" si="32"/>
        <v>4.4520126682240146</v>
      </c>
      <c r="AL103" s="15">
        <f t="shared" si="33"/>
        <v>0.87532788376637349</v>
      </c>
      <c r="AM103" s="15">
        <f t="shared" si="34"/>
        <v>1.3412750991379034</v>
      </c>
      <c r="AN103" s="15">
        <f t="shared" si="27"/>
        <v>7.7628589284695115</v>
      </c>
      <c r="AO103" s="15">
        <f t="shared" si="28"/>
        <v>2.0110020161967399</v>
      </c>
      <c r="AP103">
        <f t="shared" si="29"/>
        <v>2020</v>
      </c>
      <c r="AQ103" t="str">
        <f t="shared" si="30"/>
        <v>IMF COFOG</v>
      </c>
      <c r="AR103" s="7">
        <f t="shared" si="35"/>
        <v>70.467426917532549</v>
      </c>
      <c r="AS103" s="7">
        <f t="shared" si="36"/>
        <v>13.854880539410372</v>
      </c>
      <c r="AT103" s="7">
        <f t="shared" si="37"/>
        <v>21.229994626792156</v>
      </c>
      <c r="AU103" s="7">
        <f t="shared" si="38"/>
        <v>122.8722231896208</v>
      </c>
    </row>
    <row r="104" spans="1:47">
      <c r="A104">
        <v>101</v>
      </c>
      <c r="B104" t="s">
        <v>193</v>
      </c>
      <c r="C104" t="s">
        <v>408</v>
      </c>
      <c r="D104" t="s">
        <v>485</v>
      </c>
      <c r="E104" t="s">
        <v>389</v>
      </c>
      <c r="F104" t="s">
        <v>619</v>
      </c>
      <c r="H104" t="str">
        <f>IF(ISNUMBER(VLOOKUP(C104,'OECD DAC'!B:C,2,FALSE)), "YES", " ")</f>
        <v xml:space="preserve"> </v>
      </c>
      <c r="I104">
        <v>6130</v>
      </c>
      <c r="J104">
        <v>2021</v>
      </c>
      <c r="K104" s="15">
        <f>IF(ISNUMBER(VLOOKUP(C104,'WEO GOV REV'!C:BL,58,FALSE)),(VLOOKUP(C104,'WEO GOV REV'!C:BL,58,FALSE)), " ")</f>
        <v>218.505</v>
      </c>
      <c r="L104" s="15">
        <f>IF(ISNUMBER(VLOOKUP(C104,'WEO GOV REV'!C:BL,62,FALSE)),(VLOOKUP(C104,'WEO GOV REV'!C:BL,62,FALSE)), " ")</f>
        <v>30.21204638030634</v>
      </c>
      <c r="M104">
        <f>IF(ISNUMBER(VLOOKUP(C104,'WEO GOV REV'!C:BL,62,FALSE)),(VLOOKUP(C104,'WEO GOV REV'!C:BL,57,FALSE)), " ")</f>
        <v>2021</v>
      </c>
      <c r="N104" s="15" t="str">
        <f>IF(ISNUMBER(VLOOKUP($C104,'IMF COFOG FULL'!$B:$CM,79,FALSE)),(VLOOKUP($C104,'IMF COFOG FULL'!$B:$CM,79,FALSE)), " ")</f>
        <v xml:space="preserve"> </v>
      </c>
      <c r="O104" s="15" t="str">
        <f>IF(ISNUMBER(VLOOKUP($C104,'IMF COFOG FULL'!$B:$CM,80,FALSE)),(VLOOKUP($C104,'IMF COFOG FULL'!$B:$CM,80,FALSE)), " ")</f>
        <v xml:space="preserve"> </v>
      </c>
      <c r="P104" s="15" t="str">
        <f>IF(ISNUMBER(VLOOKUP($C104,'IMF COFOG FULL'!$B:$CM,81,FALSE)),(VLOOKUP($C104,'IMF COFOG FULL'!$B:$CM,81,FALSE)), " ")</f>
        <v xml:space="preserve"> </v>
      </c>
      <c r="Q104" s="15" t="str">
        <f>IF(ISNUMBER(VLOOKUP($C104,'IMF COFOG FULL'!$B:$CM,82,FALSE)),(VLOOKUP($C104,'IMF COFOG FULL'!$B:$CM,82,FALSE)), " ")</f>
        <v xml:space="preserve"> </v>
      </c>
      <c r="R104" s="15" t="str">
        <f>IF(ISNUMBER(VLOOKUP($C104,'IMF COFOG FULL'!$B:$CM,83,FALSE)),(VLOOKUP($C104,'IMF COFOG FULL'!$B:$CM,83,FALSE)), " ")</f>
        <v xml:space="preserve"> </v>
      </c>
      <c r="S104" s="15" t="str">
        <f>IF(ISNUMBER(VLOOKUP($C104,'IMF COFOG FULL'!$B:$CM,84,FALSE)),(VLOOKUP($C104,'IMF COFOG FULL'!$B:$CM,84,FALSE)), " ")</f>
        <v xml:space="preserve"> </v>
      </c>
      <c r="T104" s="15" t="str">
        <f>IF(ISNUMBER(VLOOKUP($C104,'IMF COFOG FULL'!$B:$CM,85,FALSE)),(VLOOKUP($C104,'IMF COFOG FULL'!$B:$CM,85,FALSE)), " ")</f>
        <v xml:space="preserve"> </v>
      </c>
      <c r="U104" s="7" t="str">
        <f>IF(ISNUMBER(VLOOKUP($C104,'IMF COFOG FULL'!$B:$CM,79,FALSE)),(VLOOKUP($C104,'IMF COFOG FULL'!$B:$CM,86,FALSE)), " ")</f>
        <v xml:space="preserve"> </v>
      </c>
      <c r="V104" s="15" t="str">
        <f>IF(ISNUMBER(VLOOKUP($C104,'IMF COFOG FULL'!$B:$CM,79,FALSE)),(VLOOKUP($C104,'IMF COFOG FULL'!$B:$CM,87,FALSE)), " ")</f>
        <v xml:space="preserve"> </v>
      </c>
      <c r="W104" s="15" t="str">
        <f t="shared" si="39"/>
        <v xml:space="preserve"> </v>
      </c>
      <c r="X104" s="15" t="str">
        <f t="shared" si="40"/>
        <v xml:space="preserve"> </v>
      </c>
      <c r="Y104" s="15" t="str">
        <f t="shared" si="41"/>
        <v xml:space="preserve"> </v>
      </c>
      <c r="Z104" s="15" t="str">
        <f t="shared" si="42"/>
        <v xml:space="preserve"> </v>
      </c>
      <c r="AA104" s="15" t="str">
        <f t="shared" si="43"/>
        <v xml:space="preserve"> </v>
      </c>
      <c r="AB104" s="15" t="str">
        <f t="shared" si="44"/>
        <v xml:space="preserve"> </v>
      </c>
      <c r="AC104" s="15" t="str">
        <f t="shared" si="45"/>
        <v xml:space="preserve"> </v>
      </c>
      <c r="AG104" s="15" t="str">
        <f>IF(ISNUMBER(VLOOKUP(C104,'National budgets summary'!A:F,5, FALSE)),(VLOOKUP(C104,'National budgets summary'!A:F,5, FALSE)), " ")</f>
        <v xml:space="preserve"> </v>
      </c>
      <c r="AH104" t="str">
        <f>IF(ISNUMBER(VLOOKUP(C104,'National budgets summary'!A:F,5, FALSE)),(VLOOKUP(C104,'National budgets summary'!A:F,4, FALSE)), " ")</f>
        <v xml:space="preserve"> </v>
      </c>
      <c r="AI104" s="15" t="str">
        <f t="shared" si="26"/>
        <v xml:space="preserve"> </v>
      </c>
      <c r="AJ104" s="15" t="str">
        <f t="shared" si="31"/>
        <v xml:space="preserve"> </v>
      </c>
      <c r="AK104" s="15" t="str">
        <f t="shared" si="32"/>
        <v/>
      </c>
      <c r="AL104" s="15" t="str">
        <f t="shared" si="33"/>
        <v/>
      </c>
      <c r="AM104" s="15" t="str">
        <f t="shared" si="34"/>
        <v/>
      </c>
      <c r="AN104" s="15" t="str">
        <f t="shared" si="27"/>
        <v xml:space="preserve"> </v>
      </c>
      <c r="AO104" s="15" t="str">
        <f t="shared" si="28"/>
        <v xml:space="preserve"> </v>
      </c>
      <c r="AP104" t="str">
        <f t="shared" si="29"/>
        <v xml:space="preserve"> </v>
      </c>
      <c r="AQ104" t="str">
        <f t="shared" si="30"/>
        <v xml:space="preserve"> </v>
      </c>
      <c r="AR104" s="7" t="str">
        <f t="shared" si="35"/>
        <v xml:space="preserve"> </v>
      </c>
      <c r="AS104" s="7" t="str">
        <f t="shared" si="36"/>
        <v xml:space="preserve"> </v>
      </c>
      <c r="AT104" s="7" t="str">
        <f t="shared" si="37"/>
        <v xml:space="preserve"> </v>
      </c>
      <c r="AU104" s="7" t="str">
        <f t="shared" si="38"/>
        <v xml:space="preserve"> </v>
      </c>
    </row>
    <row r="105" spans="1:47">
      <c r="A105">
        <v>102</v>
      </c>
      <c r="B105" t="s">
        <v>194</v>
      </c>
      <c r="C105" t="s">
        <v>409</v>
      </c>
      <c r="D105" t="s">
        <v>497</v>
      </c>
      <c r="E105" t="s">
        <v>389</v>
      </c>
      <c r="F105" t="s">
        <v>619</v>
      </c>
      <c r="H105" t="str">
        <f>IF(ISNUMBER(VLOOKUP(C105,'OECD DAC'!B:C,2,FALSE)), "YES", " ")</f>
        <v xml:space="preserve"> </v>
      </c>
      <c r="I105">
        <v>6160</v>
      </c>
      <c r="J105">
        <v>2021</v>
      </c>
      <c r="K105" s="15">
        <f>IF(ISNUMBER(VLOOKUP(C105,'WEO GOV REV'!C:BL,58,FALSE)),(VLOOKUP(C105,'WEO GOV REV'!C:BL,58,FALSE)), " ")</f>
        <v>265500.87</v>
      </c>
      <c r="L105" s="15">
        <f>IF(ISNUMBER(VLOOKUP(C105,'WEO GOV REV'!C:BL,62,FALSE)),(VLOOKUP(C105,'WEO GOV REV'!C:BL,62,FALSE)), " ")</f>
        <v>26.58416790325197</v>
      </c>
      <c r="M105">
        <f>IF(ISNUMBER(VLOOKUP(C105,'WEO GOV REV'!C:BL,62,FALSE)),(VLOOKUP(C105,'WEO GOV REV'!C:BL,57,FALSE)), " ")</f>
        <v>2020</v>
      </c>
      <c r="N105" s="15" t="str">
        <f>IF(ISNUMBER(VLOOKUP($C105,'IMF COFOG FULL'!$B:$CM,79,FALSE)),(VLOOKUP($C105,'IMF COFOG FULL'!$B:$CM,79,FALSE)), " ")</f>
        <v xml:space="preserve"> </v>
      </c>
      <c r="O105" s="15" t="str">
        <f>IF(ISNUMBER(VLOOKUP($C105,'IMF COFOG FULL'!$B:$CM,80,FALSE)),(VLOOKUP($C105,'IMF COFOG FULL'!$B:$CM,80,FALSE)), " ")</f>
        <v xml:space="preserve"> </v>
      </c>
      <c r="P105" s="15" t="str">
        <f>IF(ISNUMBER(VLOOKUP($C105,'IMF COFOG FULL'!$B:$CM,81,FALSE)),(VLOOKUP($C105,'IMF COFOG FULL'!$B:$CM,81,FALSE)), " ")</f>
        <v xml:space="preserve"> </v>
      </c>
      <c r="Q105" s="15" t="str">
        <f>IF(ISNUMBER(VLOOKUP($C105,'IMF COFOG FULL'!$B:$CM,82,FALSE)),(VLOOKUP($C105,'IMF COFOG FULL'!$B:$CM,82,FALSE)), " ")</f>
        <v xml:space="preserve"> </v>
      </c>
      <c r="R105" s="15" t="str">
        <f>IF(ISNUMBER(VLOOKUP($C105,'IMF COFOG FULL'!$B:$CM,83,FALSE)),(VLOOKUP($C105,'IMF COFOG FULL'!$B:$CM,83,FALSE)), " ")</f>
        <v xml:space="preserve"> </v>
      </c>
      <c r="S105" s="15" t="str">
        <f>IF(ISNUMBER(VLOOKUP($C105,'IMF COFOG FULL'!$B:$CM,84,FALSE)),(VLOOKUP($C105,'IMF COFOG FULL'!$B:$CM,84,FALSE)), " ")</f>
        <v xml:space="preserve"> </v>
      </c>
      <c r="T105" s="15" t="str">
        <f>IF(ISNUMBER(VLOOKUP($C105,'IMF COFOG FULL'!$B:$CM,85,FALSE)),(VLOOKUP($C105,'IMF COFOG FULL'!$B:$CM,85,FALSE)), " ")</f>
        <v xml:space="preserve"> </v>
      </c>
      <c r="U105" s="7" t="str">
        <f>IF(ISNUMBER(VLOOKUP($C105,'IMF COFOG FULL'!$B:$CM,79,FALSE)),(VLOOKUP($C105,'IMF COFOG FULL'!$B:$CM,86,FALSE)), " ")</f>
        <v xml:space="preserve"> </v>
      </c>
      <c r="V105" s="15" t="str">
        <f>IF(ISNUMBER(VLOOKUP($C105,'IMF COFOG FULL'!$B:$CM,79,FALSE)),(VLOOKUP($C105,'IMF COFOG FULL'!$B:$CM,87,FALSE)), " ")</f>
        <v xml:space="preserve"> </v>
      </c>
      <c r="W105" s="15" t="str">
        <f t="shared" si="39"/>
        <v xml:space="preserve"> </v>
      </c>
      <c r="X105" s="15" t="str">
        <f t="shared" si="40"/>
        <v xml:space="preserve"> </v>
      </c>
      <c r="Y105" s="15" t="str">
        <f t="shared" si="41"/>
        <v xml:space="preserve"> </v>
      </c>
      <c r="Z105" s="15" t="str">
        <f t="shared" si="42"/>
        <v xml:space="preserve"> </v>
      </c>
      <c r="AA105" s="15" t="str">
        <f t="shared" si="43"/>
        <v xml:space="preserve"> </v>
      </c>
      <c r="AB105" s="15" t="str">
        <f t="shared" si="44"/>
        <v xml:space="preserve"> </v>
      </c>
      <c r="AC105" s="15" t="str">
        <f t="shared" si="45"/>
        <v xml:space="preserve"> </v>
      </c>
      <c r="AG105" s="15" t="str">
        <f>IF(ISNUMBER(VLOOKUP(C105,'National budgets summary'!A:F,5, FALSE)),(VLOOKUP(C105,'National budgets summary'!A:F,5, FALSE)), " ")</f>
        <v xml:space="preserve"> </v>
      </c>
      <c r="AH105" t="str">
        <f>IF(ISNUMBER(VLOOKUP(C105,'National budgets summary'!A:F,5, FALSE)),(VLOOKUP(C105,'National budgets summary'!A:F,4, FALSE)), " ")</f>
        <v xml:space="preserve"> </v>
      </c>
      <c r="AI105" s="15" t="str">
        <f t="shared" si="26"/>
        <v xml:space="preserve"> </v>
      </c>
      <c r="AJ105" s="15" t="str">
        <f t="shared" si="31"/>
        <v xml:space="preserve"> </v>
      </c>
      <c r="AK105" s="15" t="str">
        <f t="shared" si="32"/>
        <v/>
      </c>
      <c r="AL105" s="15" t="str">
        <f t="shared" si="33"/>
        <v/>
      </c>
      <c r="AM105" s="15" t="str">
        <f t="shared" si="34"/>
        <v/>
      </c>
      <c r="AN105" s="15" t="str">
        <f t="shared" si="27"/>
        <v xml:space="preserve"> </v>
      </c>
      <c r="AO105" s="15" t="str">
        <f t="shared" si="28"/>
        <v xml:space="preserve"> </v>
      </c>
      <c r="AP105" t="str">
        <f t="shared" si="29"/>
        <v xml:space="preserve"> </v>
      </c>
      <c r="AQ105" t="str">
        <f t="shared" si="30"/>
        <v xml:space="preserve"> </v>
      </c>
      <c r="AR105" s="7" t="str">
        <f t="shared" si="35"/>
        <v xml:space="preserve"> </v>
      </c>
      <c r="AS105" s="7" t="str">
        <f t="shared" si="36"/>
        <v xml:space="preserve"> </v>
      </c>
      <c r="AT105" s="7" t="str">
        <f t="shared" si="37"/>
        <v xml:space="preserve"> </v>
      </c>
      <c r="AU105" s="7" t="str">
        <f t="shared" si="38"/>
        <v xml:space="preserve"> </v>
      </c>
    </row>
    <row r="106" spans="1:47">
      <c r="A106">
        <v>103</v>
      </c>
      <c r="B106" t="s">
        <v>195</v>
      </c>
      <c r="C106" t="s">
        <v>410</v>
      </c>
      <c r="D106" t="s">
        <v>496</v>
      </c>
      <c r="E106" t="s">
        <v>389</v>
      </c>
      <c r="F106" t="s">
        <v>619</v>
      </c>
      <c r="H106" t="str">
        <f>IF(ISNUMBER(VLOOKUP(C106,'OECD DAC'!B:C,2,FALSE)), "YES", " ")</f>
        <v xml:space="preserve"> </v>
      </c>
      <c r="I106">
        <v>6440</v>
      </c>
      <c r="J106">
        <v>2021</v>
      </c>
      <c r="K106" s="15">
        <f>IF(ISNUMBER(VLOOKUP(C106,'WEO GOV REV'!C:BL,58,FALSE)),(VLOOKUP(C106,'WEO GOV REV'!C:BL,58,FALSE)), " ")</f>
        <v>1652.73</v>
      </c>
      <c r="L106" s="15">
        <f>IF(ISNUMBER(VLOOKUP(C106,'WEO GOV REV'!C:BL,62,FALSE)),(VLOOKUP(C106,'WEO GOV REV'!C:BL,62,FALSE)), " ")</f>
        <v>26.745887127834834</v>
      </c>
      <c r="M106">
        <f>IF(ISNUMBER(VLOOKUP(C106,'WEO GOV REV'!C:BL,62,FALSE)),(VLOOKUP(C106,'WEO GOV REV'!C:BL,57,FALSE)), " ")</f>
        <v>2021</v>
      </c>
      <c r="N106" s="15">
        <f>IF(ISNUMBER(VLOOKUP($C106,'IMF COFOG FULL'!$B:$CM,79,FALSE)),(VLOOKUP($C106,'IMF COFOG FULL'!$B:$CM,79,FALSE)), " ")</f>
        <v>3.5709641361228801</v>
      </c>
      <c r="O106" s="15">
        <f>IF(ISNUMBER(VLOOKUP($C106,'IMF COFOG FULL'!$B:$CM,80,FALSE)),(VLOOKUP($C106,'IMF COFOG FULL'!$B:$CM,80,FALSE)), " ")</f>
        <v>2.3462580407182099</v>
      </c>
      <c r="P106" s="15">
        <f>IF(ISNUMBER(VLOOKUP($C106,'IMF COFOG FULL'!$B:$CM,81,FALSE)),(VLOOKUP($C106,'IMF COFOG FULL'!$B:$CM,81,FALSE)), " ")</f>
        <v>0.15224261933545699</v>
      </c>
      <c r="Q106" s="15">
        <f>IF(ISNUMBER(VLOOKUP($C106,'IMF COFOG FULL'!$B:$CM,82,FALSE)),(VLOOKUP($C106,'IMF COFOG FULL'!$B:$CM,82,FALSE)), " ")</f>
        <v>0.50303005166785597</v>
      </c>
      <c r="R106" s="15">
        <f>IF(ISNUMBER(VLOOKUP($C106,'IMF COFOG FULL'!$B:$CM,83,FALSE)),(VLOOKUP($C106,'IMF COFOG FULL'!$B:$CM,83,FALSE)), " ")</f>
        <v>0.47498627373934099</v>
      </c>
      <c r="S106" s="15">
        <f>IF(ISNUMBER(VLOOKUP($C106,'IMF COFOG FULL'!$B:$CM,84,FALSE)),(VLOOKUP($C106,'IMF COFOG FULL'!$B:$CM,84,FALSE)), " ")</f>
        <v>6.5450134803533896E-3</v>
      </c>
      <c r="T106" s="15">
        <f>IF(ISNUMBER(VLOOKUP($C106,'IMF COFOG FULL'!$B:$CM,85,FALSE)),(VLOOKUP($C106,'IMF COFOG FULL'!$B:$CM,85,FALSE)), " ")</f>
        <v>8.7902137181674694E-2</v>
      </c>
      <c r="U106" s="7">
        <f>IF(ISNUMBER(VLOOKUP($C106,'IMF COFOG FULL'!$B:$CM,79,FALSE)),(VLOOKUP($C106,'IMF COFOG FULL'!$B:$CM,86,FALSE)), " ")</f>
        <v>2020</v>
      </c>
      <c r="V106" s="15" t="str">
        <f>IF(ISNUMBER(VLOOKUP($C106,'IMF COFOG FULL'!$B:$CM,79,FALSE)),(VLOOKUP($C106,'IMF COFOG FULL'!$B:$CM,87,FALSE)), " ")</f>
        <v>General government</v>
      </c>
      <c r="W106" s="15">
        <f t="shared" si="39"/>
        <v>13.35145145515299</v>
      </c>
      <c r="X106" s="15">
        <f t="shared" si="40"/>
        <v>8.7724068732662275</v>
      </c>
      <c r="Y106" s="15">
        <f t="shared" si="41"/>
        <v>0.56921880589638729</v>
      </c>
      <c r="Z106" s="15">
        <f t="shared" si="42"/>
        <v>1.8807753478640283</v>
      </c>
      <c r="AA106" s="15">
        <f t="shared" si="43"/>
        <v>1.7759226735276836</v>
      </c>
      <c r="AB106" s="15">
        <f t="shared" si="44"/>
        <v>2.447110260007752E-2</v>
      </c>
      <c r="AC106" s="15">
        <f t="shared" si="45"/>
        <v>0.3286566519986307</v>
      </c>
      <c r="AG106" s="15" t="str">
        <f>IF(ISNUMBER(VLOOKUP(C106,'National budgets summary'!A:F,5, FALSE)),(VLOOKUP(C106,'National budgets summary'!A:F,5, FALSE)), " ")</f>
        <v xml:space="preserve"> </v>
      </c>
      <c r="AH106" t="str">
        <f>IF(ISNUMBER(VLOOKUP(C106,'National budgets summary'!A:F,5, FALSE)),(VLOOKUP(C106,'National budgets summary'!A:F,4, FALSE)), " ")</f>
        <v xml:space="preserve"> </v>
      </c>
      <c r="AI106" s="15" t="str">
        <f t="shared" si="26"/>
        <v xml:space="preserve"> </v>
      </c>
      <c r="AJ106" s="15" t="str">
        <f t="shared" si="31"/>
        <v xml:space="preserve"> </v>
      </c>
      <c r="AK106" s="15">
        <f t="shared" si="32"/>
        <v>8.7724068732662275</v>
      </c>
      <c r="AL106" s="15">
        <f t="shared" si="33"/>
        <v>1.8807753478640283</v>
      </c>
      <c r="AM106" s="15">
        <f t="shared" si="34"/>
        <v>1.7759226735276836</v>
      </c>
      <c r="AN106" s="15">
        <f t="shared" si="27"/>
        <v>13.35145145515299</v>
      </c>
      <c r="AO106" s="15">
        <f t="shared" si="28"/>
        <v>3.5709641361228801</v>
      </c>
      <c r="AP106">
        <f t="shared" si="29"/>
        <v>2020</v>
      </c>
      <c r="AQ106" t="str">
        <f t="shared" si="30"/>
        <v>IMF COFOG</v>
      </c>
      <c r="AR106" s="7">
        <f t="shared" si="35"/>
        <v>151.09901782225273</v>
      </c>
      <c r="AS106" s="7">
        <f t="shared" si="36"/>
        <v>32.395135327409925</v>
      </c>
      <c r="AT106" s="7">
        <f t="shared" si="37"/>
        <v>30.58911602881356</v>
      </c>
      <c r="AU106" s="7">
        <f t="shared" si="38"/>
        <v>229.97009036631349</v>
      </c>
    </row>
    <row r="107" spans="1:47">
      <c r="A107">
        <v>104</v>
      </c>
      <c r="B107" t="s">
        <v>196</v>
      </c>
      <c r="C107" t="s">
        <v>411</v>
      </c>
      <c r="D107" t="s">
        <v>497</v>
      </c>
      <c r="E107" t="s">
        <v>389</v>
      </c>
      <c r="F107" t="s">
        <v>619</v>
      </c>
      <c r="H107" t="str">
        <f>IF(ISNUMBER(VLOOKUP(C107,'OECD DAC'!B:C,2,FALSE)), "YES", " ")</f>
        <v xml:space="preserve"> </v>
      </c>
      <c r="I107">
        <v>6520</v>
      </c>
      <c r="J107">
        <v>2021</v>
      </c>
      <c r="K107" s="15">
        <f>IF(ISNUMBER(VLOOKUP(C107,'WEO GOV REV'!C:BL,58,FALSE)),(VLOOKUP(C107,'WEO GOV REV'!C:BL,58,FALSE)), " ")</f>
        <v>183.64400000000001</v>
      </c>
      <c r="L107" s="15">
        <f>IF(ISNUMBER(VLOOKUP(C107,'WEO GOV REV'!C:BL,62,FALSE)),(VLOOKUP(C107,'WEO GOV REV'!C:BL,62,FALSE)), " ")</f>
        <v>21.060623089114635</v>
      </c>
      <c r="M107">
        <f>IF(ISNUMBER(VLOOKUP(C107,'WEO GOV REV'!C:BL,62,FALSE)),(VLOOKUP(C107,'WEO GOV REV'!C:BL,57,FALSE)), " ")</f>
        <v>2021</v>
      </c>
      <c r="N107" s="15" t="str">
        <f>IF(ISNUMBER(VLOOKUP($C107,'IMF COFOG FULL'!$B:$CM,79,FALSE)),(VLOOKUP($C107,'IMF COFOG FULL'!$B:$CM,79,FALSE)), " ")</f>
        <v xml:space="preserve"> </v>
      </c>
      <c r="O107" s="15" t="str">
        <f>IF(ISNUMBER(VLOOKUP($C107,'IMF COFOG FULL'!$B:$CM,80,FALSE)),(VLOOKUP($C107,'IMF COFOG FULL'!$B:$CM,80,FALSE)), " ")</f>
        <v xml:space="preserve"> </v>
      </c>
      <c r="P107" s="15" t="str">
        <f>IF(ISNUMBER(VLOOKUP($C107,'IMF COFOG FULL'!$B:$CM,81,FALSE)),(VLOOKUP($C107,'IMF COFOG FULL'!$B:$CM,81,FALSE)), " ")</f>
        <v xml:space="preserve"> </v>
      </c>
      <c r="Q107" s="15" t="str">
        <f>IF(ISNUMBER(VLOOKUP($C107,'IMF COFOG FULL'!$B:$CM,82,FALSE)),(VLOOKUP($C107,'IMF COFOG FULL'!$B:$CM,82,FALSE)), " ")</f>
        <v xml:space="preserve"> </v>
      </c>
      <c r="R107" s="15" t="str">
        <f>IF(ISNUMBER(VLOOKUP($C107,'IMF COFOG FULL'!$B:$CM,83,FALSE)),(VLOOKUP($C107,'IMF COFOG FULL'!$B:$CM,83,FALSE)), " ")</f>
        <v xml:space="preserve"> </v>
      </c>
      <c r="S107" s="15" t="str">
        <f>IF(ISNUMBER(VLOOKUP($C107,'IMF COFOG FULL'!$B:$CM,84,FALSE)),(VLOOKUP($C107,'IMF COFOG FULL'!$B:$CM,84,FALSE)), " ")</f>
        <v xml:space="preserve"> </v>
      </c>
      <c r="T107" s="15" t="str">
        <f>IF(ISNUMBER(VLOOKUP($C107,'IMF COFOG FULL'!$B:$CM,85,FALSE)),(VLOOKUP($C107,'IMF COFOG FULL'!$B:$CM,85,FALSE)), " ")</f>
        <v xml:space="preserve"> </v>
      </c>
      <c r="U107" s="7" t="str">
        <f>IF(ISNUMBER(VLOOKUP($C107,'IMF COFOG FULL'!$B:$CM,79,FALSE)),(VLOOKUP($C107,'IMF COFOG FULL'!$B:$CM,86,FALSE)), " ")</f>
        <v xml:space="preserve"> </v>
      </c>
      <c r="V107" s="15" t="str">
        <f>IF(ISNUMBER(VLOOKUP($C107,'IMF COFOG FULL'!$B:$CM,79,FALSE)),(VLOOKUP($C107,'IMF COFOG FULL'!$B:$CM,87,FALSE)), " ")</f>
        <v xml:space="preserve"> </v>
      </c>
      <c r="W107" s="15" t="str">
        <f t="shared" si="39"/>
        <v xml:space="preserve"> </v>
      </c>
      <c r="X107" s="15" t="str">
        <f t="shared" si="40"/>
        <v xml:space="preserve"> </v>
      </c>
      <c r="Y107" s="15" t="str">
        <f t="shared" si="41"/>
        <v xml:space="preserve"> </v>
      </c>
      <c r="Z107" s="15" t="str">
        <f t="shared" si="42"/>
        <v xml:space="preserve"> </v>
      </c>
      <c r="AA107" s="15" t="str">
        <f t="shared" si="43"/>
        <v xml:space="preserve"> </v>
      </c>
      <c r="AB107" s="15" t="str">
        <f t="shared" si="44"/>
        <v xml:space="preserve"> </v>
      </c>
      <c r="AC107" s="15" t="str">
        <f t="shared" si="45"/>
        <v xml:space="preserve"> </v>
      </c>
      <c r="AG107" s="15" t="str">
        <f>IF(ISNUMBER(VLOOKUP(C107,'National budgets summary'!A:F,5, FALSE)),(VLOOKUP(C107,'National budgets summary'!A:F,5, FALSE)), " ")</f>
        <v xml:space="preserve"> </v>
      </c>
      <c r="AH107" t="str">
        <f>IF(ISNUMBER(VLOOKUP(C107,'National budgets summary'!A:F,5, FALSE)),(VLOOKUP(C107,'National budgets summary'!A:F,4, FALSE)), " ")</f>
        <v xml:space="preserve"> </v>
      </c>
      <c r="AI107" s="15" t="str">
        <f t="shared" si="26"/>
        <v xml:space="preserve"> </v>
      </c>
      <c r="AJ107" s="15" t="str">
        <f t="shared" si="31"/>
        <v xml:space="preserve"> </v>
      </c>
      <c r="AK107" s="15" t="str">
        <f t="shared" si="32"/>
        <v/>
      </c>
      <c r="AL107" s="15" t="str">
        <f t="shared" si="33"/>
        <v/>
      </c>
      <c r="AM107" s="15" t="str">
        <f t="shared" si="34"/>
        <v/>
      </c>
      <c r="AN107" s="15" t="str">
        <f t="shared" si="27"/>
        <v xml:space="preserve"> </v>
      </c>
      <c r="AO107" s="15" t="str">
        <f t="shared" si="28"/>
        <v xml:space="preserve"> </v>
      </c>
      <c r="AP107" t="str">
        <f t="shared" si="29"/>
        <v xml:space="preserve"> </v>
      </c>
      <c r="AQ107" t="str">
        <f t="shared" si="30"/>
        <v xml:space="preserve"> </v>
      </c>
      <c r="AR107" s="7" t="str">
        <f t="shared" si="35"/>
        <v xml:space="preserve"> </v>
      </c>
      <c r="AS107" s="7" t="str">
        <f t="shared" si="36"/>
        <v xml:space="preserve"> </v>
      </c>
      <c r="AT107" s="7" t="str">
        <f t="shared" si="37"/>
        <v xml:space="preserve"> </v>
      </c>
      <c r="AU107" s="7" t="str">
        <f t="shared" si="38"/>
        <v xml:space="preserve"> </v>
      </c>
    </row>
    <row r="108" spans="1:47">
      <c r="A108">
        <v>105</v>
      </c>
      <c r="B108" t="s">
        <v>197</v>
      </c>
      <c r="C108" t="s">
        <v>412</v>
      </c>
      <c r="D108" t="s">
        <v>493</v>
      </c>
      <c r="E108" t="s">
        <v>389</v>
      </c>
      <c r="F108" t="s">
        <v>615</v>
      </c>
      <c r="H108" t="str">
        <f>IF(ISNUMBER(VLOOKUP(C108,'OECD DAC'!B:C,2,FALSE)), "YES", " ")</f>
        <v xml:space="preserve"> </v>
      </c>
      <c r="I108">
        <v>6760</v>
      </c>
      <c r="J108">
        <v>2021</v>
      </c>
      <c r="K108" s="15">
        <f>IF(ISNUMBER(VLOOKUP(C108,'WEO GOV REV'!C:BL,58,FALSE)),(VLOOKUP(C108,'WEO GOV REV'!C:BL,58,FALSE)), " ")</f>
        <v>8.6999999999999994E-2</v>
      </c>
      <c r="L108" s="15">
        <f>IF(ISNUMBER(VLOOKUP(C108,'WEO GOV REV'!C:BL,62,FALSE)),(VLOOKUP(C108,'WEO GOV REV'!C:BL,62,FALSE)), " ")</f>
        <v>111.53846153846155</v>
      </c>
      <c r="M108">
        <f>IF(ISNUMBER(VLOOKUP(C108,'WEO GOV REV'!C:BL,62,FALSE)),(VLOOKUP(C108,'WEO GOV REV'!C:BL,57,FALSE)), " ")</f>
        <v>2019</v>
      </c>
      <c r="N108" s="15" t="str">
        <f>IF(ISNUMBER(VLOOKUP($C108,'IMF COFOG FULL'!$B:$CM,79,FALSE)),(VLOOKUP($C108,'IMF COFOG FULL'!$B:$CM,79,FALSE)), " ")</f>
        <v xml:space="preserve"> </v>
      </c>
      <c r="O108" s="15" t="str">
        <f>IF(ISNUMBER(VLOOKUP($C108,'IMF COFOG FULL'!$B:$CM,80,FALSE)),(VLOOKUP($C108,'IMF COFOG FULL'!$B:$CM,80,FALSE)), " ")</f>
        <v xml:space="preserve"> </v>
      </c>
      <c r="P108" s="15" t="str">
        <f>IF(ISNUMBER(VLOOKUP($C108,'IMF COFOG FULL'!$B:$CM,81,FALSE)),(VLOOKUP($C108,'IMF COFOG FULL'!$B:$CM,81,FALSE)), " ")</f>
        <v xml:space="preserve"> </v>
      </c>
      <c r="Q108" s="15" t="str">
        <f>IF(ISNUMBER(VLOOKUP($C108,'IMF COFOG FULL'!$B:$CM,82,FALSE)),(VLOOKUP($C108,'IMF COFOG FULL'!$B:$CM,82,FALSE)), " ")</f>
        <v xml:space="preserve"> </v>
      </c>
      <c r="R108" s="15" t="str">
        <f>IF(ISNUMBER(VLOOKUP($C108,'IMF COFOG FULL'!$B:$CM,83,FALSE)),(VLOOKUP($C108,'IMF COFOG FULL'!$B:$CM,83,FALSE)), " ")</f>
        <v xml:space="preserve"> </v>
      </c>
      <c r="S108" s="15" t="str">
        <f>IF(ISNUMBER(VLOOKUP($C108,'IMF COFOG FULL'!$B:$CM,84,FALSE)),(VLOOKUP($C108,'IMF COFOG FULL'!$B:$CM,84,FALSE)), " ")</f>
        <v xml:space="preserve"> </v>
      </c>
      <c r="T108" s="15" t="str">
        <f>IF(ISNUMBER(VLOOKUP($C108,'IMF COFOG FULL'!$B:$CM,85,FALSE)),(VLOOKUP($C108,'IMF COFOG FULL'!$B:$CM,85,FALSE)), " ")</f>
        <v xml:space="preserve"> </v>
      </c>
      <c r="U108" s="7" t="str">
        <f>IF(ISNUMBER(VLOOKUP($C108,'IMF COFOG FULL'!$B:$CM,79,FALSE)),(VLOOKUP($C108,'IMF COFOG FULL'!$B:$CM,86,FALSE)), " ")</f>
        <v xml:space="preserve"> </v>
      </c>
      <c r="V108" s="15" t="str">
        <f>IF(ISNUMBER(VLOOKUP($C108,'IMF COFOG FULL'!$B:$CM,79,FALSE)),(VLOOKUP($C108,'IMF COFOG FULL'!$B:$CM,87,FALSE)), " ")</f>
        <v xml:space="preserve"> </v>
      </c>
      <c r="W108" s="15" t="str">
        <f t="shared" si="39"/>
        <v xml:space="preserve"> </v>
      </c>
      <c r="X108" s="15" t="str">
        <f t="shared" si="40"/>
        <v xml:space="preserve"> </v>
      </c>
      <c r="Y108" s="15" t="str">
        <f t="shared" si="41"/>
        <v xml:space="preserve"> </v>
      </c>
      <c r="Z108" s="15" t="str">
        <f t="shared" si="42"/>
        <v xml:space="preserve"> </v>
      </c>
      <c r="AA108" s="15" t="str">
        <f t="shared" si="43"/>
        <v xml:space="preserve"> </v>
      </c>
      <c r="AB108" s="15" t="str">
        <f t="shared" si="44"/>
        <v xml:space="preserve"> </v>
      </c>
      <c r="AC108" s="15" t="str">
        <f t="shared" si="45"/>
        <v xml:space="preserve"> </v>
      </c>
      <c r="AG108" s="15" t="str">
        <f>IF(ISNUMBER(VLOOKUP(C108,'National budgets summary'!A:F,5, FALSE)),(VLOOKUP(C108,'National budgets summary'!A:F,5, FALSE)), " ")</f>
        <v xml:space="preserve"> </v>
      </c>
      <c r="AH108" t="str">
        <f>IF(ISNUMBER(VLOOKUP(C108,'National budgets summary'!A:F,5, FALSE)),(VLOOKUP(C108,'National budgets summary'!A:F,4, FALSE)), " ")</f>
        <v xml:space="preserve"> </v>
      </c>
      <c r="AI108" s="15" t="str">
        <f t="shared" si="26"/>
        <v xml:space="preserve"> </v>
      </c>
      <c r="AJ108" s="15" t="str">
        <f t="shared" si="31"/>
        <v xml:space="preserve"> </v>
      </c>
      <c r="AK108" s="15" t="str">
        <f t="shared" si="32"/>
        <v/>
      </c>
      <c r="AL108" s="15" t="str">
        <f t="shared" si="33"/>
        <v/>
      </c>
      <c r="AM108" s="15" t="str">
        <f t="shared" si="34"/>
        <v/>
      </c>
      <c r="AN108" s="15" t="str">
        <f t="shared" si="27"/>
        <v xml:space="preserve"> </v>
      </c>
      <c r="AO108" s="15" t="str">
        <f t="shared" si="28"/>
        <v xml:space="preserve"> </v>
      </c>
      <c r="AP108" t="str">
        <f t="shared" si="29"/>
        <v xml:space="preserve"> </v>
      </c>
      <c r="AQ108" t="str">
        <f t="shared" si="30"/>
        <v xml:space="preserve"> </v>
      </c>
      <c r="AR108" s="7" t="str">
        <f t="shared" si="35"/>
        <v xml:space="preserve"> </v>
      </c>
      <c r="AS108" s="7" t="str">
        <f t="shared" si="36"/>
        <v xml:space="preserve"> </v>
      </c>
      <c r="AT108" s="7" t="str">
        <f t="shared" si="37"/>
        <v xml:space="preserve"> </v>
      </c>
      <c r="AU108" s="7" t="str">
        <f t="shared" si="38"/>
        <v xml:space="preserve"> </v>
      </c>
    </row>
    <row r="109" spans="1:47">
      <c r="A109">
        <v>106</v>
      </c>
      <c r="B109" t="s">
        <v>198</v>
      </c>
      <c r="C109" t="s">
        <v>413</v>
      </c>
      <c r="D109" t="s">
        <v>485</v>
      </c>
      <c r="E109" t="s">
        <v>389</v>
      </c>
      <c r="F109" t="s">
        <v>619</v>
      </c>
      <c r="H109" t="str">
        <f>IF(ISNUMBER(VLOOKUP(C109,'OECD DAC'!B:C,2,FALSE)), "YES", " ")</f>
        <v xml:space="preserve"> </v>
      </c>
      <c r="I109">
        <v>6770</v>
      </c>
      <c r="J109">
        <v>2021</v>
      </c>
      <c r="K109" s="15">
        <f>IF(ISNUMBER(VLOOKUP(C109,'WEO GOV REV'!C:BL,58,FALSE)),(VLOOKUP(C109,'WEO GOV REV'!C:BL,58,FALSE)), " ")</f>
        <v>14.138999999999999</v>
      </c>
      <c r="L109" s="15">
        <f>IF(ISNUMBER(VLOOKUP(C109,'WEO GOV REV'!C:BL,62,FALSE)),(VLOOKUP(C109,'WEO GOV REV'!C:BL,62,FALSE)), " ")</f>
        <v>41.275726171361839</v>
      </c>
      <c r="M109">
        <f>IF(ISNUMBER(VLOOKUP(C109,'WEO GOV REV'!C:BL,62,FALSE)),(VLOOKUP(C109,'WEO GOV REV'!C:BL,57,FALSE)), " ")</f>
        <v>2020</v>
      </c>
      <c r="N109" s="15" t="str">
        <f>IF(ISNUMBER(VLOOKUP($C109,'IMF COFOG FULL'!$B:$CM,79,FALSE)),(VLOOKUP($C109,'IMF COFOG FULL'!$B:$CM,79,FALSE)), " ")</f>
        <v xml:space="preserve"> </v>
      </c>
      <c r="O109" s="15" t="str">
        <f>IF(ISNUMBER(VLOOKUP($C109,'IMF COFOG FULL'!$B:$CM,80,FALSE)),(VLOOKUP($C109,'IMF COFOG FULL'!$B:$CM,80,FALSE)), " ")</f>
        <v xml:space="preserve"> </v>
      </c>
      <c r="P109" s="15" t="str">
        <f>IF(ISNUMBER(VLOOKUP($C109,'IMF COFOG FULL'!$B:$CM,81,FALSE)),(VLOOKUP($C109,'IMF COFOG FULL'!$B:$CM,81,FALSE)), " ")</f>
        <v xml:space="preserve"> </v>
      </c>
      <c r="Q109" s="15" t="str">
        <f>IF(ISNUMBER(VLOOKUP($C109,'IMF COFOG FULL'!$B:$CM,82,FALSE)),(VLOOKUP($C109,'IMF COFOG FULL'!$B:$CM,82,FALSE)), " ")</f>
        <v xml:space="preserve"> </v>
      </c>
      <c r="R109" s="15" t="str">
        <f>IF(ISNUMBER(VLOOKUP($C109,'IMF COFOG FULL'!$B:$CM,83,FALSE)),(VLOOKUP($C109,'IMF COFOG FULL'!$B:$CM,83,FALSE)), " ")</f>
        <v xml:space="preserve"> </v>
      </c>
      <c r="S109" s="15" t="str">
        <f>IF(ISNUMBER(VLOOKUP($C109,'IMF COFOG FULL'!$B:$CM,84,FALSE)),(VLOOKUP($C109,'IMF COFOG FULL'!$B:$CM,84,FALSE)), " ")</f>
        <v xml:space="preserve"> </v>
      </c>
      <c r="T109" s="15" t="str">
        <f>IF(ISNUMBER(VLOOKUP($C109,'IMF COFOG FULL'!$B:$CM,85,FALSE)),(VLOOKUP($C109,'IMF COFOG FULL'!$B:$CM,85,FALSE)), " ")</f>
        <v xml:space="preserve"> </v>
      </c>
      <c r="U109" s="7" t="str">
        <f>IF(ISNUMBER(VLOOKUP($C109,'IMF COFOG FULL'!$B:$CM,79,FALSE)),(VLOOKUP($C109,'IMF COFOG FULL'!$B:$CM,86,FALSE)), " ")</f>
        <v xml:space="preserve"> </v>
      </c>
      <c r="V109" s="15" t="str">
        <f>IF(ISNUMBER(VLOOKUP($C109,'IMF COFOG FULL'!$B:$CM,79,FALSE)),(VLOOKUP($C109,'IMF COFOG FULL'!$B:$CM,87,FALSE)), " ")</f>
        <v xml:space="preserve"> </v>
      </c>
      <c r="W109" s="15" t="str">
        <f t="shared" si="39"/>
        <v xml:space="preserve"> </v>
      </c>
      <c r="X109" s="15" t="str">
        <f t="shared" si="40"/>
        <v xml:space="preserve"> </v>
      </c>
      <c r="Y109" s="15" t="str">
        <f t="shared" si="41"/>
        <v xml:space="preserve"> </v>
      </c>
      <c r="Z109" s="15" t="str">
        <f t="shared" si="42"/>
        <v xml:space="preserve"> </v>
      </c>
      <c r="AA109" s="15" t="str">
        <f t="shared" si="43"/>
        <v xml:space="preserve"> </v>
      </c>
      <c r="AB109" s="15" t="str">
        <f t="shared" si="44"/>
        <v xml:space="preserve"> </v>
      </c>
      <c r="AC109" s="15" t="str">
        <f t="shared" si="45"/>
        <v xml:space="preserve"> </v>
      </c>
      <c r="AG109" s="15" t="str">
        <f>IF(ISNUMBER(VLOOKUP(C109,'National budgets summary'!A:F,5, FALSE)),(VLOOKUP(C109,'National budgets summary'!A:F,5, FALSE)), " ")</f>
        <v xml:space="preserve"> </v>
      </c>
      <c r="AH109" t="str">
        <f>IF(ISNUMBER(VLOOKUP(C109,'National budgets summary'!A:F,5, FALSE)),(VLOOKUP(C109,'National budgets summary'!A:F,4, FALSE)), " ")</f>
        <v xml:space="preserve"> </v>
      </c>
      <c r="AI109" s="15" t="str">
        <f t="shared" si="26"/>
        <v xml:space="preserve"> </v>
      </c>
      <c r="AJ109" s="15" t="str">
        <f t="shared" si="31"/>
        <v xml:space="preserve"> </v>
      </c>
      <c r="AK109" s="15" t="str">
        <f t="shared" si="32"/>
        <v/>
      </c>
      <c r="AL109" s="15" t="str">
        <f t="shared" si="33"/>
        <v/>
      </c>
      <c r="AM109" s="15" t="str">
        <f t="shared" si="34"/>
        <v/>
      </c>
      <c r="AN109" s="15" t="str">
        <f t="shared" si="27"/>
        <v xml:space="preserve"> </v>
      </c>
      <c r="AO109" s="15" t="str">
        <f t="shared" si="28"/>
        <v xml:space="preserve"> </v>
      </c>
      <c r="AP109" t="str">
        <f t="shared" si="29"/>
        <v xml:space="preserve"> </v>
      </c>
      <c r="AQ109" t="str">
        <f t="shared" si="30"/>
        <v xml:space="preserve"> </v>
      </c>
      <c r="AR109" s="7" t="str">
        <f t="shared" si="35"/>
        <v xml:space="preserve"> </v>
      </c>
      <c r="AS109" s="7" t="str">
        <f t="shared" si="36"/>
        <v xml:space="preserve"> </v>
      </c>
      <c r="AT109" s="7" t="str">
        <f t="shared" si="37"/>
        <v xml:space="preserve"> </v>
      </c>
      <c r="AU109" s="7" t="str">
        <f t="shared" si="38"/>
        <v xml:space="preserve"> </v>
      </c>
    </row>
    <row r="110" spans="1:47">
      <c r="A110">
        <v>107</v>
      </c>
      <c r="B110" t="s">
        <v>199</v>
      </c>
      <c r="C110" t="s">
        <v>414</v>
      </c>
      <c r="D110" t="s">
        <v>496</v>
      </c>
      <c r="E110" t="s">
        <v>389</v>
      </c>
      <c r="F110" t="s">
        <v>619</v>
      </c>
      <c r="H110" t="str">
        <f>IF(ISNUMBER(VLOOKUP(C110,'OECD DAC'!B:C,2,FALSE)), "YES", " ")</f>
        <v xml:space="preserve"> </v>
      </c>
      <c r="I110">
        <v>6940</v>
      </c>
      <c r="J110">
        <v>2021</v>
      </c>
      <c r="K110" s="15">
        <f>IF(ISNUMBER(VLOOKUP(C110,'WEO GOV REV'!C:BL,58,FALSE)),(VLOOKUP(C110,'WEO GOV REV'!C:BL,58,FALSE)), " ")</f>
        <v>62.475999999999999</v>
      </c>
      <c r="L110" s="15">
        <f>IF(ISNUMBER(VLOOKUP(C110,'WEO GOV REV'!C:BL,62,FALSE)),(VLOOKUP(C110,'WEO GOV REV'!C:BL,62,FALSE)), " ")</f>
        <v>31.649763422121808</v>
      </c>
      <c r="M110">
        <f>IF(ISNUMBER(VLOOKUP(C110,'WEO GOV REV'!C:BL,62,FALSE)),(VLOOKUP(C110,'WEO GOV REV'!C:BL,57,FALSE)), " ")</f>
        <v>2021</v>
      </c>
      <c r="N110" s="15">
        <f>IF(ISNUMBER(VLOOKUP($C110,'IMF COFOG FULL'!$B:$CM,79,FALSE)),(VLOOKUP($C110,'IMF COFOG FULL'!$B:$CM,79,FALSE)), " ")</f>
        <v>2.9385686895816501</v>
      </c>
      <c r="O110" s="15">
        <f>IF(ISNUMBER(VLOOKUP($C110,'IMF COFOG FULL'!$B:$CM,80,FALSE)),(VLOOKUP($C110,'IMF COFOG FULL'!$B:$CM,80,FALSE)), " ")</f>
        <v>1.7212802999689101</v>
      </c>
      <c r="P110" s="15">
        <f>IF(ISNUMBER(VLOOKUP($C110,'IMF COFOG FULL'!$B:$CM,81,FALSE)),(VLOOKUP($C110,'IMF COFOG FULL'!$B:$CM,81,FALSE)), " ")</f>
        <v>0</v>
      </c>
      <c r="Q110" s="15">
        <f>IF(ISNUMBER(VLOOKUP($C110,'IMF COFOG FULL'!$B:$CM,82,FALSE)),(VLOOKUP($C110,'IMF COFOG FULL'!$B:$CM,82,FALSE)), " ")</f>
        <v>0.84056798323324899</v>
      </c>
      <c r="R110" s="15">
        <f>IF(ISNUMBER(VLOOKUP($C110,'IMF COFOG FULL'!$B:$CM,83,FALSE)),(VLOOKUP($C110,'IMF COFOG FULL'!$B:$CM,83,FALSE)), " ")</f>
        <v>0.376720406379491</v>
      </c>
      <c r="S110" s="15">
        <f>IF(ISNUMBER(VLOOKUP($C110,'IMF COFOG FULL'!$B:$CM,84,FALSE)),(VLOOKUP($C110,'IMF COFOG FULL'!$B:$CM,84,FALSE)), " ")</f>
        <v>0</v>
      </c>
      <c r="T110" s="15">
        <f>IF(ISNUMBER(VLOOKUP($C110,'IMF COFOG FULL'!$B:$CM,85,FALSE)),(VLOOKUP($C110,'IMF COFOG FULL'!$B:$CM,85,FALSE)), " ")</f>
        <v>0</v>
      </c>
      <c r="U110" s="7">
        <f>IF(ISNUMBER(VLOOKUP($C110,'IMF COFOG FULL'!$B:$CM,79,FALSE)),(VLOOKUP($C110,'IMF COFOG FULL'!$B:$CM,86,FALSE)), " ")</f>
        <v>2020</v>
      </c>
      <c r="V110" s="15" t="str">
        <f>IF(ISNUMBER(VLOOKUP($C110,'IMF COFOG FULL'!$B:$CM,79,FALSE)),(VLOOKUP($C110,'IMF COFOG FULL'!$B:$CM,87,FALSE)), " ")</f>
        <v>Budgetary central government</v>
      </c>
      <c r="W110" s="15">
        <f t="shared" si="39"/>
        <v>9.2846466192784192</v>
      </c>
      <c r="X110" s="15">
        <f t="shared" si="40"/>
        <v>5.4385250120568358</v>
      </c>
      <c r="Y110" s="15">
        <f t="shared" si="41"/>
        <v>0</v>
      </c>
      <c r="Z110" s="15">
        <f t="shared" si="42"/>
        <v>2.6558428637281013</v>
      </c>
      <c r="AA110" s="15">
        <f t="shared" si="43"/>
        <v>1.1902787434934816</v>
      </c>
      <c r="AB110" s="15">
        <f t="shared" si="44"/>
        <v>0</v>
      </c>
      <c r="AC110" s="15">
        <f t="shared" si="45"/>
        <v>0</v>
      </c>
      <c r="AG110" s="15" t="str">
        <f>IF(ISNUMBER(VLOOKUP(C110,'National budgets summary'!A:F,5, FALSE)),(VLOOKUP(C110,'National budgets summary'!A:F,5, FALSE)), " ")</f>
        <v xml:space="preserve"> </v>
      </c>
      <c r="AH110" t="str">
        <f>IF(ISNUMBER(VLOOKUP(C110,'National budgets summary'!A:F,5, FALSE)),(VLOOKUP(C110,'National budgets summary'!A:F,4, FALSE)), " ")</f>
        <v xml:space="preserve"> </v>
      </c>
      <c r="AI110" s="15" t="str">
        <f t="shared" si="26"/>
        <v xml:space="preserve"> </v>
      </c>
      <c r="AJ110" s="15" t="str">
        <f t="shared" si="31"/>
        <v xml:space="preserve"> </v>
      </c>
      <c r="AK110" s="15">
        <f t="shared" si="32"/>
        <v>5.4385250120568358</v>
      </c>
      <c r="AL110" s="15">
        <f t="shared" si="33"/>
        <v>2.6558428637281013</v>
      </c>
      <c r="AM110" s="15">
        <f t="shared" si="34"/>
        <v>1.1902787434934816</v>
      </c>
      <c r="AN110" s="15">
        <f t="shared" si="27"/>
        <v>9.2846466192784192</v>
      </c>
      <c r="AO110" s="15">
        <f t="shared" si="28"/>
        <v>2.9385686895816501</v>
      </c>
      <c r="AP110">
        <f t="shared" si="29"/>
        <v>2020</v>
      </c>
      <c r="AQ110" t="str">
        <f t="shared" si="30"/>
        <v>IMF COFOG</v>
      </c>
      <c r="AR110" s="7">
        <f t="shared" si="35"/>
        <v>119.45685281784235</v>
      </c>
      <c r="AS110" s="7">
        <f t="shared" si="36"/>
        <v>58.335418036387473</v>
      </c>
      <c r="AT110" s="7">
        <f t="shared" si="37"/>
        <v>26.144396202736672</v>
      </c>
      <c r="AU110" s="7">
        <f t="shared" si="38"/>
        <v>203.93666705696651</v>
      </c>
    </row>
    <row r="111" spans="1:47">
      <c r="A111">
        <v>108</v>
      </c>
      <c r="B111" t="s">
        <v>200</v>
      </c>
      <c r="C111" t="s">
        <v>415</v>
      </c>
      <c r="D111" t="s">
        <v>485</v>
      </c>
      <c r="E111" t="s">
        <v>389</v>
      </c>
      <c r="F111" t="s">
        <v>619</v>
      </c>
      <c r="H111" t="str">
        <f>IF(ISNUMBER(VLOOKUP(C111,'OECD DAC'!B:C,2,FALSE)), "YES", " ")</f>
        <v xml:space="preserve"> </v>
      </c>
      <c r="I111">
        <v>6950</v>
      </c>
      <c r="J111">
        <v>2021</v>
      </c>
      <c r="K111" s="15">
        <f>IF(ISNUMBER(VLOOKUP(C111,'WEO GOV REV'!C:BL,58,FALSE)),(VLOOKUP(C111,'WEO GOV REV'!C:BL,58,FALSE)), " ")</f>
        <v>52.664000000000001</v>
      </c>
      <c r="L111" s="15">
        <f>IF(ISNUMBER(VLOOKUP(C111,'WEO GOV REV'!C:BL,62,FALSE)),(VLOOKUP(C111,'WEO GOV REV'!C:BL,62,FALSE)), " ")</f>
        <v>35.17475838392744</v>
      </c>
      <c r="M111">
        <f>IF(ISNUMBER(VLOOKUP(C111,'WEO GOV REV'!C:BL,62,FALSE)),(VLOOKUP(C111,'WEO GOV REV'!C:BL,57,FALSE)), " ")</f>
        <v>2020</v>
      </c>
      <c r="N111" s="15">
        <f>IF(ISNUMBER(VLOOKUP($C111,'IMF COFOG FULL'!$B:$CM,79,FALSE)),(VLOOKUP($C111,'IMF COFOG FULL'!$B:$CM,79,FALSE)), " ")</f>
        <v>2.3738905174958802</v>
      </c>
      <c r="O111" s="15">
        <f>IF(ISNUMBER(VLOOKUP($C111,'IMF COFOG FULL'!$B:$CM,80,FALSE)),(VLOOKUP($C111,'IMF COFOG FULL'!$B:$CM,80,FALSE)), " ")</f>
        <v>1.00820871836524</v>
      </c>
      <c r="P111" s="15">
        <f>IF(ISNUMBER(VLOOKUP($C111,'IMF COFOG FULL'!$B:$CM,81,FALSE)),(VLOOKUP($C111,'IMF COFOG FULL'!$B:$CM,81,FALSE)), " ")</f>
        <v>0.33561050454403202</v>
      </c>
      <c r="Q111" s="15">
        <f>IF(ISNUMBER(VLOOKUP($C111,'IMF COFOG FULL'!$B:$CM,82,FALSE)),(VLOOKUP($C111,'IMF COFOG FULL'!$B:$CM,82,FALSE)), " ")</f>
        <v>0.18392103655633099</v>
      </c>
      <c r="R111" s="15">
        <f>IF(ISNUMBER(VLOOKUP($C111,'IMF COFOG FULL'!$B:$CM,83,FALSE)),(VLOOKUP($C111,'IMF COFOG FULL'!$B:$CM,83,FALSE)), " ")</f>
        <v>0.189590060460117</v>
      </c>
      <c r="S111" s="15">
        <f>IF(ISNUMBER(VLOOKUP($C111,'IMF COFOG FULL'!$B:$CM,84,FALSE)),(VLOOKUP($C111,'IMF COFOG FULL'!$B:$CM,84,FALSE)), " ")</f>
        <v>1.28394159422064E-3</v>
      </c>
      <c r="T111" s="15">
        <f>IF(ISNUMBER(VLOOKUP($C111,'IMF COFOG FULL'!$B:$CM,85,FALSE)),(VLOOKUP($C111,'IMF COFOG FULL'!$B:$CM,85,FALSE)), " ")</f>
        <v>0.65527625597594696</v>
      </c>
      <c r="U111" s="7">
        <f>IF(ISNUMBER(VLOOKUP($C111,'IMF COFOG FULL'!$B:$CM,79,FALSE)),(VLOOKUP($C111,'IMF COFOG FULL'!$B:$CM,86,FALSE)), " ")</f>
        <v>2020</v>
      </c>
      <c r="V111" s="15" t="str">
        <f>IF(ISNUMBER(VLOOKUP($C111,'IMF COFOG FULL'!$B:$CM,79,FALSE)),(VLOOKUP($C111,'IMF COFOG FULL'!$B:$CM,87,FALSE)), " ")</f>
        <v>General government</v>
      </c>
      <c r="W111" s="15">
        <f t="shared" si="39"/>
        <v>6.7488466916679455</v>
      </c>
      <c r="X111" s="15">
        <f t="shared" si="40"/>
        <v>2.8662847015487256</v>
      </c>
      <c r="Y111" s="15">
        <f t="shared" si="41"/>
        <v>0.95412312681978229</v>
      </c>
      <c r="Z111" s="15">
        <f t="shared" si="42"/>
        <v>0.52287789598683032</v>
      </c>
      <c r="AA111" s="15">
        <f t="shared" si="43"/>
        <v>0.53899463470585551</v>
      </c>
      <c r="AB111" s="15">
        <f t="shared" si="44"/>
        <v>3.6501788589607402E-3</v>
      </c>
      <c r="AC111" s="15">
        <f t="shared" si="45"/>
        <v>1.8629161537478116</v>
      </c>
      <c r="AG111" s="15" t="str">
        <f>IF(ISNUMBER(VLOOKUP(C111,'National budgets summary'!A:F,5, FALSE)),(VLOOKUP(C111,'National budgets summary'!A:F,5, FALSE)), " ")</f>
        <v xml:space="preserve"> </v>
      </c>
      <c r="AH111" t="str">
        <f>IF(ISNUMBER(VLOOKUP(C111,'National budgets summary'!A:F,5, FALSE)),(VLOOKUP(C111,'National budgets summary'!A:F,4, FALSE)), " ")</f>
        <v xml:space="preserve"> </v>
      </c>
      <c r="AI111" s="15" t="str">
        <f t="shared" si="26"/>
        <v xml:space="preserve"> </v>
      </c>
      <c r="AJ111" s="15" t="str">
        <f t="shared" si="31"/>
        <v xml:space="preserve"> </v>
      </c>
      <c r="AK111" s="15">
        <f t="shared" si="32"/>
        <v>2.8662847015487256</v>
      </c>
      <c r="AL111" s="15">
        <f t="shared" si="33"/>
        <v>0.52287789598683032</v>
      </c>
      <c r="AM111" s="15">
        <f t="shared" si="34"/>
        <v>0.53899463470585551</v>
      </c>
      <c r="AN111" s="15">
        <f t="shared" si="27"/>
        <v>6.7488466916679455</v>
      </c>
      <c r="AO111" s="15">
        <f t="shared" si="28"/>
        <v>2.3738905174958802</v>
      </c>
      <c r="AP111">
        <f t="shared" si="29"/>
        <v>2020</v>
      </c>
      <c r="AQ111" t="str">
        <f t="shared" si="30"/>
        <v>IMF COFOG</v>
      </c>
      <c r="AR111" s="7">
        <f t="shared" si="35"/>
        <v>70.070505926384172</v>
      </c>
      <c r="AS111" s="7">
        <f t="shared" si="36"/>
        <v>12.782512040665004</v>
      </c>
      <c r="AT111" s="7">
        <f t="shared" si="37"/>
        <v>13.176509201978131</v>
      </c>
      <c r="AU111" s="7">
        <f t="shared" si="38"/>
        <v>164.98539096596369</v>
      </c>
    </row>
    <row r="112" spans="1:47">
      <c r="A112">
        <v>109</v>
      </c>
      <c r="B112" t="s">
        <v>201</v>
      </c>
      <c r="C112" t="s">
        <v>416</v>
      </c>
      <c r="D112" t="s">
        <v>496</v>
      </c>
      <c r="E112" t="s">
        <v>389</v>
      </c>
      <c r="F112" t="s">
        <v>619</v>
      </c>
      <c r="H112" t="str">
        <f>IF(ISNUMBER(VLOOKUP(C112,'OECD DAC'!B:C,2,FALSE)), "YES", " ")</f>
        <v xml:space="preserve"> </v>
      </c>
      <c r="I112">
        <v>7100</v>
      </c>
      <c r="J112">
        <v>2021</v>
      </c>
      <c r="K112" s="15">
        <f>IF(ISNUMBER(VLOOKUP(C112,'WEO GOV REV'!C:BL,58,FALSE)),(VLOOKUP(C112,'WEO GOV REV'!C:BL,58,FALSE)), " ")</f>
        <v>1552.95</v>
      </c>
      <c r="L112" s="15">
        <f>IF(ISNUMBER(VLOOKUP(C112,'WEO GOV REV'!C:BL,62,FALSE)),(VLOOKUP(C112,'WEO GOV REV'!C:BL,62,FALSE)), " ")</f>
        <v>17.614851851263708</v>
      </c>
      <c r="M112">
        <f>IF(ISNUMBER(VLOOKUP(C112,'WEO GOV REV'!C:BL,62,FALSE)),(VLOOKUP(C112,'WEO GOV REV'!C:BL,57,FALSE)), " ")</f>
        <v>2020</v>
      </c>
      <c r="N112" s="15" t="str">
        <f>IF(ISNUMBER(VLOOKUP($C112,'IMF COFOG FULL'!$B:$CM,79,FALSE)),(VLOOKUP($C112,'IMF COFOG FULL'!$B:$CM,79,FALSE)), " ")</f>
        <v xml:space="preserve"> </v>
      </c>
      <c r="O112" s="15" t="str">
        <f>IF(ISNUMBER(VLOOKUP($C112,'IMF COFOG FULL'!$B:$CM,80,FALSE)),(VLOOKUP($C112,'IMF COFOG FULL'!$B:$CM,80,FALSE)), " ")</f>
        <v xml:space="preserve"> </v>
      </c>
      <c r="P112" s="15" t="str">
        <f>IF(ISNUMBER(VLOOKUP($C112,'IMF COFOG FULL'!$B:$CM,81,FALSE)),(VLOOKUP($C112,'IMF COFOG FULL'!$B:$CM,81,FALSE)), " ")</f>
        <v xml:space="preserve"> </v>
      </c>
      <c r="Q112" s="15" t="str">
        <f>IF(ISNUMBER(VLOOKUP($C112,'IMF COFOG FULL'!$B:$CM,82,FALSE)),(VLOOKUP($C112,'IMF COFOG FULL'!$B:$CM,82,FALSE)), " ")</f>
        <v xml:space="preserve"> </v>
      </c>
      <c r="R112" s="15" t="str">
        <f>IF(ISNUMBER(VLOOKUP($C112,'IMF COFOG FULL'!$B:$CM,83,FALSE)),(VLOOKUP($C112,'IMF COFOG FULL'!$B:$CM,83,FALSE)), " ")</f>
        <v xml:space="preserve"> </v>
      </c>
      <c r="S112" s="15" t="str">
        <f>IF(ISNUMBER(VLOOKUP($C112,'IMF COFOG FULL'!$B:$CM,84,FALSE)),(VLOOKUP($C112,'IMF COFOG FULL'!$B:$CM,84,FALSE)), " ")</f>
        <v xml:space="preserve"> </v>
      </c>
      <c r="T112" s="15" t="str">
        <f>IF(ISNUMBER(VLOOKUP($C112,'IMF COFOG FULL'!$B:$CM,85,FALSE)),(VLOOKUP($C112,'IMF COFOG FULL'!$B:$CM,85,FALSE)), " ")</f>
        <v xml:space="preserve"> </v>
      </c>
      <c r="U112" s="7" t="str">
        <f>IF(ISNUMBER(VLOOKUP($C112,'IMF COFOG FULL'!$B:$CM,79,FALSE)),(VLOOKUP($C112,'IMF COFOG FULL'!$B:$CM,86,FALSE)), " ")</f>
        <v xml:space="preserve"> </v>
      </c>
      <c r="V112" s="15" t="str">
        <f>IF(ISNUMBER(VLOOKUP($C112,'IMF COFOG FULL'!$B:$CM,79,FALSE)),(VLOOKUP($C112,'IMF COFOG FULL'!$B:$CM,87,FALSE)), " ")</f>
        <v xml:space="preserve"> </v>
      </c>
      <c r="W112" s="15" t="str">
        <f t="shared" si="39"/>
        <v xml:space="preserve"> </v>
      </c>
      <c r="X112" s="15" t="str">
        <f t="shared" si="40"/>
        <v xml:space="preserve"> </v>
      </c>
      <c r="Y112" s="15" t="str">
        <f t="shared" si="41"/>
        <v xml:space="preserve"> </v>
      </c>
      <c r="Z112" s="15" t="str">
        <f t="shared" si="42"/>
        <v xml:space="preserve"> </v>
      </c>
      <c r="AA112" s="15" t="str">
        <f t="shared" si="43"/>
        <v xml:space="preserve"> </v>
      </c>
      <c r="AB112" s="15" t="str">
        <f t="shared" si="44"/>
        <v xml:space="preserve"> </v>
      </c>
      <c r="AC112" s="15" t="str">
        <f t="shared" si="45"/>
        <v xml:space="preserve"> </v>
      </c>
      <c r="AG112" s="15" t="str">
        <f>IF(ISNUMBER(VLOOKUP(C112,'National budgets summary'!A:F,5, FALSE)),(VLOOKUP(C112,'National budgets summary'!A:F,5, FALSE)), " ")</f>
        <v xml:space="preserve"> </v>
      </c>
      <c r="AH112" t="str">
        <f>IF(ISNUMBER(VLOOKUP(C112,'National budgets summary'!A:F,5, FALSE)),(VLOOKUP(C112,'National budgets summary'!A:F,4, FALSE)), " ")</f>
        <v xml:space="preserve"> </v>
      </c>
      <c r="AI112" s="15" t="str">
        <f t="shared" si="26"/>
        <v xml:space="preserve"> </v>
      </c>
      <c r="AJ112" s="15" t="str">
        <f t="shared" si="31"/>
        <v xml:space="preserve"> </v>
      </c>
      <c r="AK112" s="15" t="str">
        <f t="shared" si="32"/>
        <v/>
      </c>
      <c r="AL112" s="15" t="str">
        <f t="shared" si="33"/>
        <v/>
      </c>
      <c r="AM112" s="15" t="str">
        <f t="shared" si="34"/>
        <v/>
      </c>
      <c r="AN112" s="15" t="str">
        <f t="shared" si="27"/>
        <v xml:space="preserve"> </v>
      </c>
      <c r="AO112" s="15" t="str">
        <f t="shared" si="28"/>
        <v xml:space="preserve"> </v>
      </c>
      <c r="AP112" t="str">
        <f t="shared" si="29"/>
        <v xml:space="preserve"> </v>
      </c>
      <c r="AQ112" t="str">
        <f t="shared" si="30"/>
        <v xml:space="preserve"> </v>
      </c>
      <c r="AR112" s="7" t="str">
        <f t="shared" si="35"/>
        <v xml:space="preserve"> </v>
      </c>
      <c r="AS112" s="7" t="str">
        <f t="shared" si="36"/>
        <v xml:space="preserve"> </v>
      </c>
      <c r="AT112" s="7" t="str">
        <f t="shared" si="37"/>
        <v xml:space="preserve"> </v>
      </c>
      <c r="AU112" s="7" t="str">
        <f t="shared" si="38"/>
        <v xml:space="preserve"> </v>
      </c>
    </row>
    <row r="113" spans="1:47">
      <c r="A113">
        <v>110</v>
      </c>
      <c r="B113" t="s">
        <v>202</v>
      </c>
      <c r="C113" t="s">
        <v>417</v>
      </c>
      <c r="D113" t="s">
        <v>485</v>
      </c>
      <c r="E113" t="s">
        <v>389</v>
      </c>
      <c r="F113" t="s">
        <v>619</v>
      </c>
      <c r="H113" t="str">
        <f>IF(ISNUMBER(VLOOKUP(C113,'OECD DAC'!B:C,2,FALSE)), "YES", " ")</f>
        <v xml:space="preserve"> </v>
      </c>
      <c r="I113">
        <v>7220</v>
      </c>
      <c r="J113">
        <v>2019</v>
      </c>
      <c r="K113" s="15">
        <f>IF(ISNUMBER(VLOOKUP(C113,'WEO GOV REV'!C:BL,58,FALSE)),(VLOOKUP(C113,'WEO GOV REV'!C:BL,58,FALSE)), " ")</f>
        <v>21.3</v>
      </c>
      <c r="L113" s="15">
        <f>IF(ISNUMBER(VLOOKUP(C113,'WEO GOV REV'!C:BL,62,FALSE)),(VLOOKUP(C113,'WEO GOV REV'!C:BL,62,FALSE)), " ")</f>
        <v>11.442200770334081</v>
      </c>
      <c r="M113">
        <f>IF(ISNUMBER(VLOOKUP(C113,'WEO GOV REV'!C:BL,62,FALSE)),(VLOOKUP(C113,'WEO GOV REV'!C:BL,57,FALSE)), " ")</f>
        <v>2020</v>
      </c>
      <c r="N113" s="15" t="str">
        <f>IF(ISNUMBER(VLOOKUP($C113,'IMF COFOG FULL'!$B:$CM,79,FALSE)),(VLOOKUP($C113,'IMF COFOG FULL'!$B:$CM,79,FALSE)), " ")</f>
        <v xml:space="preserve"> </v>
      </c>
      <c r="O113" s="15" t="str">
        <f>IF(ISNUMBER(VLOOKUP($C113,'IMF COFOG FULL'!$B:$CM,80,FALSE)),(VLOOKUP($C113,'IMF COFOG FULL'!$B:$CM,80,FALSE)), " ")</f>
        <v xml:space="preserve"> </v>
      </c>
      <c r="P113" s="15" t="str">
        <f>IF(ISNUMBER(VLOOKUP($C113,'IMF COFOG FULL'!$B:$CM,81,FALSE)),(VLOOKUP($C113,'IMF COFOG FULL'!$B:$CM,81,FALSE)), " ")</f>
        <v xml:space="preserve"> </v>
      </c>
      <c r="Q113" s="15" t="str">
        <f>IF(ISNUMBER(VLOOKUP($C113,'IMF COFOG FULL'!$B:$CM,82,FALSE)),(VLOOKUP($C113,'IMF COFOG FULL'!$B:$CM,82,FALSE)), " ")</f>
        <v xml:space="preserve"> </v>
      </c>
      <c r="R113" s="15" t="str">
        <f>IF(ISNUMBER(VLOOKUP($C113,'IMF COFOG FULL'!$B:$CM,83,FALSE)),(VLOOKUP($C113,'IMF COFOG FULL'!$B:$CM,83,FALSE)), " ")</f>
        <v xml:space="preserve"> </v>
      </c>
      <c r="S113" s="15" t="str">
        <f>IF(ISNUMBER(VLOOKUP($C113,'IMF COFOG FULL'!$B:$CM,84,FALSE)),(VLOOKUP($C113,'IMF COFOG FULL'!$B:$CM,84,FALSE)), " ")</f>
        <v xml:space="preserve"> </v>
      </c>
      <c r="T113" s="15" t="str">
        <f>IF(ISNUMBER(VLOOKUP($C113,'IMF COFOG FULL'!$B:$CM,85,FALSE)),(VLOOKUP($C113,'IMF COFOG FULL'!$B:$CM,85,FALSE)), " ")</f>
        <v xml:space="preserve"> </v>
      </c>
      <c r="U113" s="7" t="str">
        <f>IF(ISNUMBER(VLOOKUP($C113,'IMF COFOG FULL'!$B:$CM,79,FALSE)),(VLOOKUP($C113,'IMF COFOG FULL'!$B:$CM,86,FALSE)), " ")</f>
        <v xml:space="preserve"> </v>
      </c>
      <c r="V113" s="15" t="str">
        <f>IF(ISNUMBER(VLOOKUP($C113,'IMF COFOG FULL'!$B:$CM,79,FALSE)),(VLOOKUP($C113,'IMF COFOG FULL'!$B:$CM,87,FALSE)), " ")</f>
        <v xml:space="preserve"> </v>
      </c>
      <c r="W113" s="15" t="str">
        <f t="shared" si="39"/>
        <v xml:space="preserve"> </v>
      </c>
      <c r="X113" s="15" t="str">
        <f t="shared" si="40"/>
        <v xml:space="preserve"> </v>
      </c>
      <c r="Y113" s="15" t="str">
        <f t="shared" si="41"/>
        <v xml:space="preserve"> </v>
      </c>
      <c r="Z113" s="15" t="str">
        <f t="shared" si="42"/>
        <v xml:space="preserve"> </v>
      </c>
      <c r="AA113" s="15" t="str">
        <f t="shared" si="43"/>
        <v xml:space="preserve"> </v>
      </c>
      <c r="AB113" s="15" t="str">
        <f t="shared" si="44"/>
        <v xml:space="preserve"> </v>
      </c>
      <c r="AC113" s="15" t="str">
        <f t="shared" si="45"/>
        <v xml:space="preserve"> </v>
      </c>
      <c r="AG113" s="15" t="str">
        <f>IF(ISNUMBER(VLOOKUP(C113,'National budgets summary'!A:F,5, FALSE)),(VLOOKUP(C113,'National budgets summary'!A:F,5, FALSE)), " ")</f>
        <v xml:space="preserve"> </v>
      </c>
      <c r="AH113" t="str">
        <f>IF(ISNUMBER(VLOOKUP(C113,'National budgets summary'!A:F,5, FALSE)),(VLOOKUP(C113,'National budgets summary'!A:F,4, FALSE)), " ")</f>
        <v xml:space="preserve"> </v>
      </c>
      <c r="AI113" s="15" t="str">
        <f t="shared" si="26"/>
        <v xml:space="preserve"> </v>
      </c>
      <c r="AJ113" s="15" t="str">
        <f t="shared" si="31"/>
        <v xml:space="preserve"> </v>
      </c>
      <c r="AK113" s="15" t="str">
        <f t="shared" si="32"/>
        <v/>
      </c>
      <c r="AL113" s="15" t="str">
        <f t="shared" si="33"/>
        <v/>
      </c>
      <c r="AM113" s="15" t="str">
        <f t="shared" si="34"/>
        <v/>
      </c>
      <c r="AN113" s="15" t="str">
        <f t="shared" si="27"/>
        <v xml:space="preserve"> </v>
      </c>
      <c r="AO113" s="15" t="str">
        <f t="shared" si="28"/>
        <v xml:space="preserve"> </v>
      </c>
      <c r="AP113" t="str">
        <f t="shared" si="29"/>
        <v xml:space="preserve"> </v>
      </c>
      <c r="AQ113" t="str">
        <f t="shared" si="30"/>
        <v xml:space="preserve"> </v>
      </c>
      <c r="AR113" s="7" t="str">
        <f t="shared" si="35"/>
        <v xml:space="preserve"> </v>
      </c>
      <c r="AS113" s="7" t="str">
        <f t="shared" si="36"/>
        <v xml:space="preserve"> </v>
      </c>
      <c r="AT113" s="7" t="str">
        <f t="shared" si="37"/>
        <v xml:space="preserve"> </v>
      </c>
      <c r="AU113" s="7" t="str">
        <f t="shared" si="38"/>
        <v xml:space="preserve"> </v>
      </c>
    </row>
    <row r="114" spans="1:47">
      <c r="A114">
        <v>111</v>
      </c>
      <c r="B114" t="s">
        <v>203</v>
      </c>
      <c r="C114" t="s">
        <v>418</v>
      </c>
      <c r="D114" t="s">
        <v>493</v>
      </c>
      <c r="E114" t="s">
        <v>389</v>
      </c>
      <c r="F114" t="s">
        <v>619</v>
      </c>
      <c r="H114" t="str">
        <f>IF(ISNUMBER(VLOOKUP(C114,'OECD DAC'!B:C,2,FALSE)), "YES", " ")</f>
        <v xml:space="preserve"> </v>
      </c>
      <c r="I114">
        <v>7260</v>
      </c>
      <c r="J114">
        <v>2021</v>
      </c>
      <c r="K114" s="15">
        <f>IF(ISNUMBER(VLOOKUP(C114,'WEO GOV REV'!C:BL,58,FALSE)),(VLOOKUP(C114,'WEO GOV REV'!C:BL,58,FALSE)), " ")</f>
        <v>3276.1</v>
      </c>
      <c r="L114" s="15">
        <f>IF(ISNUMBER(VLOOKUP(C114,'WEO GOV REV'!C:BL,62,FALSE)),(VLOOKUP(C114,'WEO GOV REV'!C:BL,62,FALSE)), " ")</f>
        <v>20.92835769789982</v>
      </c>
      <c r="M114">
        <f>IF(ISNUMBER(VLOOKUP(C114,'WEO GOV REV'!C:BL,62,FALSE)),(VLOOKUP(C114,'WEO GOV REV'!C:BL,57,FALSE)), " ")</f>
        <v>2020</v>
      </c>
      <c r="N114" s="15">
        <f>IF(ISNUMBER(VLOOKUP($C114,'IMF COFOG FULL'!$B:$CM,79,FALSE)),(VLOOKUP($C114,'IMF COFOG FULL'!$B:$CM,79,FALSE)), " ")</f>
        <v>1.33310666552716</v>
      </c>
      <c r="O114" s="15">
        <f>IF(ISNUMBER(VLOOKUP($C114,'IMF COFOG FULL'!$B:$CM,80,FALSE)),(VLOOKUP($C114,'IMF COFOG FULL'!$B:$CM,80,FALSE)), " ")</f>
        <v>0.82991303171453401</v>
      </c>
      <c r="P114" s="15">
        <f>IF(ISNUMBER(VLOOKUP($C114,'IMF COFOG FULL'!$B:$CM,81,FALSE)),(VLOOKUP($C114,'IMF COFOG FULL'!$B:$CM,81,FALSE)), " ")</f>
        <v>4.3834644563106699E-2</v>
      </c>
      <c r="Q114" s="15">
        <f>IF(ISNUMBER(VLOOKUP($C114,'IMF COFOG FULL'!$B:$CM,82,FALSE)),(VLOOKUP($C114,'IMF COFOG FULL'!$B:$CM,82,FALSE)), " ")</f>
        <v>0.27636900727936398</v>
      </c>
      <c r="R114" s="15">
        <f>IF(ISNUMBER(VLOOKUP($C114,'IMF COFOG FULL'!$B:$CM,83,FALSE)),(VLOOKUP($C114,'IMF COFOG FULL'!$B:$CM,83,FALSE)), " ")</f>
        <v>9.0173579270447404E-2</v>
      </c>
      <c r="S114" s="15">
        <f>IF(ISNUMBER(VLOOKUP($C114,'IMF COFOG FULL'!$B:$CM,84,FALSE)),(VLOOKUP($C114,'IMF COFOG FULL'!$B:$CM,84,FALSE)), " ")</f>
        <v>4.71865592741677E-4</v>
      </c>
      <c r="T114" s="15">
        <f>IF(ISNUMBER(VLOOKUP($C114,'IMF COFOG FULL'!$B:$CM,85,FALSE)),(VLOOKUP($C114,'IMF COFOG FULL'!$B:$CM,85,FALSE)), " ")</f>
        <v>9.2344537106968105E-2</v>
      </c>
      <c r="U114" s="7">
        <f>IF(ISNUMBER(VLOOKUP($C114,'IMF COFOG FULL'!$B:$CM,79,FALSE)),(VLOOKUP($C114,'IMF COFOG FULL'!$B:$CM,86,FALSE)), " ")</f>
        <v>2020</v>
      </c>
      <c r="V114" s="15" t="str">
        <f>IF(ISNUMBER(VLOOKUP($C114,'IMF COFOG FULL'!$B:$CM,79,FALSE)),(VLOOKUP($C114,'IMF COFOG FULL'!$B:$CM,87,FALSE)), " ")</f>
        <v>General government</v>
      </c>
      <c r="W114" s="15">
        <f t="shared" si="39"/>
        <v>6.369857992540612</v>
      </c>
      <c r="X114" s="15">
        <f t="shared" si="40"/>
        <v>3.9654952562179142</v>
      </c>
      <c r="Y114" s="15">
        <f t="shared" si="41"/>
        <v>0.20945095260630769</v>
      </c>
      <c r="Z114" s="15">
        <f t="shared" si="42"/>
        <v>1.3205479917189005</v>
      </c>
      <c r="AA114" s="15">
        <f t="shared" si="43"/>
        <v>0.43086791888833403</v>
      </c>
      <c r="AB114" s="15">
        <f t="shared" si="44"/>
        <v>2.2546709089792992E-3</v>
      </c>
      <c r="AC114" s="15">
        <f t="shared" si="45"/>
        <v>0.44124120220018492</v>
      </c>
      <c r="AG114" s="15" t="str">
        <f>IF(ISNUMBER(VLOOKUP(C114,'National budgets summary'!A:F,5, FALSE)),(VLOOKUP(C114,'National budgets summary'!A:F,5, FALSE)), " ")</f>
        <v xml:space="preserve"> </v>
      </c>
      <c r="AH114" t="str">
        <f>IF(ISNUMBER(VLOOKUP(C114,'National budgets summary'!A:F,5, FALSE)),(VLOOKUP(C114,'National budgets summary'!A:F,4, FALSE)), " ")</f>
        <v xml:space="preserve"> </v>
      </c>
      <c r="AI114" s="15" t="str">
        <f t="shared" si="26"/>
        <v xml:space="preserve"> </v>
      </c>
      <c r="AJ114" s="15" t="str">
        <f t="shared" si="31"/>
        <v xml:space="preserve"> </v>
      </c>
      <c r="AK114" s="15">
        <f t="shared" si="32"/>
        <v>3.9654952562179142</v>
      </c>
      <c r="AL114" s="15">
        <f t="shared" si="33"/>
        <v>1.3205479917189005</v>
      </c>
      <c r="AM114" s="15">
        <f t="shared" si="34"/>
        <v>0.43086791888833403</v>
      </c>
      <c r="AN114" s="15">
        <f t="shared" si="27"/>
        <v>6.369857992540612</v>
      </c>
      <c r="AO114" s="15">
        <f t="shared" si="28"/>
        <v>1.33310666552716</v>
      </c>
      <c r="AP114">
        <f t="shared" si="29"/>
        <v>2020</v>
      </c>
      <c r="AQ114" t="str">
        <f t="shared" si="30"/>
        <v>IMF COFOG</v>
      </c>
      <c r="AR114" s="7">
        <f t="shared" si="35"/>
        <v>60.251686102475162</v>
      </c>
      <c r="AS114" s="7">
        <f t="shared" si="36"/>
        <v>20.064389928481823</v>
      </c>
      <c r="AT114" s="7">
        <f t="shared" si="37"/>
        <v>6.5466018550344813</v>
      </c>
      <c r="AU114" s="7">
        <f t="shared" si="38"/>
        <v>96.783543917271814</v>
      </c>
    </row>
    <row r="115" spans="1:47">
      <c r="A115">
        <v>112</v>
      </c>
      <c r="B115" t="s">
        <v>204</v>
      </c>
      <c r="C115" t="s">
        <v>419</v>
      </c>
      <c r="D115" t="s">
        <v>497</v>
      </c>
      <c r="E115" t="s">
        <v>389</v>
      </c>
      <c r="F115" t="s">
        <v>619</v>
      </c>
      <c r="H115" t="str">
        <f>IF(ISNUMBER(VLOOKUP(C115,'OECD DAC'!B:C,2,FALSE)), "YES", " ")</f>
        <v xml:space="preserve"> </v>
      </c>
      <c r="I115">
        <v>7720</v>
      </c>
      <c r="J115">
        <v>2021</v>
      </c>
      <c r="K115" s="15">
        <f>IF(ISNUMBER(VLOOKUP(C115,'WEO GOV REV'!C:BL,58,FALSE)),(VLOOKUP(C115,'WEO GOV REV'!C:BL,58,FALSE)), " ")</f>
        <v>2205.5500000000002</v>
      </c>
      <c r="L115" s="15">
        <f>IF(ISNUMBER(VLOOKUP(C115,'WEO GOV REV'!C:BL,62,FALSE)),(VLOOKUP(C115,'WEO GOV REV'!C:BL,62,FALSE)), " ")</f>
        <v>29.534845104598258</v>
      </c>
      <c r="M115">
        <f>IF(ISNUMBER(VLOOKUP(C115,'WEO GOV REV'!C:BL,62,FALSE)),(VLOOKUP(C115,'WEO GOV REV'!C:BL,57,FALSE)), " ")</f>
        <v>2020</v>
      </c>
      <c r="N115" s="15">
        <f>IF(ISNUMBER(VLOOKUP($C115,'IMF COFOG FULL'!$B:$CM,79,FALSE)),(VLOOKUP($C115,'IMF COFOG FULL'!$B:$CM,79,FALSE)), " ")</f>
        <v>1.08453753557885</v>
      </c>
      <c r="O115" s="15">
        <f>IF(ISNUMBER(VLOOKUP($C115,'IMF COFOG FULL'!$B:$CM,80,FALSE)),(VLOOKUP($C115,'IMF COFOG FULL'!$B:$CM,80,FALSE)), " ")</f>
        <v>0.24756552675877</v>
      </c>
      <c r="P115" s="15">
        <f>IF(ISNUMBER(VLOOKUP($C115,'IMF COFOG FULL'!$B:$CM,81,FALSE)),(VLOOKUP($C115,'IMF COFOG FULL'!$B:$CM,81,FALSE)), " ")</f>
        <v>1.4517668115907699E-2</v>
      </c>
      <c r="Q115" s="15">
        <f>IF(ISNUMBER(VLOOKUP($C115,'IMF COFOG FULL'!$B:$CM,82,FALSE)),(VLOOKUP($C115,'IMF COFOG FULL'!$B:$CM,82,FALSE)), " ")</f>
        <v>0.80633218865937595</v>
      </c>
      <c r="R115" s="15">
        <f>IF(ISNUMBER(VLOOKUP($C115,'IMF COFOG FULL'!$B:$CM,83,FALSE)),(VLOOKUP($C115,'IMF COFOG FULL'!$B:$CM,83,FALSE)), " ")</f>
        <v>4.9541645177142097E-3</v>
      </c>
      <c r="S115" s="15">
        <f>IF(ISNUMBER(VLOOKUP($C115,'IMF COFOG FULL'!$B:$CM,84,FALSE)),(VLOOKUP($C115,'IMF COFOG FULL'!$B:$CM,84,FALSE)), " ")</f>
        <v>5.7807309573730905E-4</v>
      </c>
      <c r="T115" s="15">
        <f>IF(ISNUMBER(VLOOKUP($C115,'IMF COFOG FULL'!$B:$CM,85,FALSE)),(VLOOKUP($C115,'IMF COFOG FULL'!$B:$CM,85,FALSE)), " ")</f>
        <v>1.05899144313421E-2</v>
      </c>
      <c r="U115" s="7">
        <f>IF(ISNUMBER(VLOOKUP($C115,'IMF COFOG FULL'!$B:$CM,79,FALSE)),(VLOOKUP($C115,'IMF COFOG FULL'!$B:$CM,86,FALSE)), " ")</f>
        <v>2020</v>
      </c>
      <c r="V115" s="15" t="str">
        <f>IF(ISNUMBER(VLOOKUP($C115,'IMF COFOG FULL'!$B:$CM,79,FALSE)),(VLOOKUP($C115,'IMF COFOG FULL'!$B:$CM,87,FALSE)), " ")</f>
        <v>Budgetary central government</v>
      </c>
      <c r="W115" s="15">
        <f t="shared" si="39"/>
        <v>3.6720610239801097</v>
      </c>
      <c r="X115" s="15">
        <f t="shared" si="40"/>
        <v>0.83821508418957891</v>
      </c>
      <c r="Y115" s="15">
        <f t="shared" si="41"/>
        <v>4.9154373637285323E-2</v>
      </c>
      <c r="Z115" s="15">
        <f t="shared" si="42"/>
        <v>2.7301046807719289</v>
      </c>
      <c r="AA115" s="15">
        <f t="shared" si="43"/>
        <v>1.6773964786911646E-2</v>
      </c>
      <c r="AB115" s="15">
        <f t="shared" si="44"/>
        <v>1.9572579225997336E-3</v>
      </c>
      <c r="AC115" s="15">
        <f t="shared" si="45"/>
        <v>3.5855662671795636E-2</v>
      </c>
      <c r="AG115" s="15" t="str">
        <f>IF(ISNUMBER(VLOOKUP(C115,'National budgets summary'!A:F,5, FALSE)),(VLOOKUP(C115,'National budgets summary'!A:F,5, FALSE)), " ")</f>
        <v xml:space="preserve"> </v>
      </c>
      <c r="AH115" t="str">
        <f>IF(ISNUMBER(VLOOKUP(C115,'National budgets summary'!A:F,5, FALSE)),(VLOOKUP(C115,'National budgets summary'!A:F,4, FALSE)), " ")</f>
        <v xml:space="preserve"> </v>
      </c>
      <c r="AI115" s="15" t="str">
        <f t="shared" si="26"/>
        <v xml:space="preserve"> </v>
      </c>
      <c r="AJ115" s="15" t="str">
        <f t="shared" si="31"/>
        <v xml:space="preserve"> </v>
      </c>
      <c r="AK115" s="15">
        <f t="shared" si="32"/>
        <v>0.83821508418957891</v>
      </c>
      <c r="AL115" s="15">
        <f t="shared" si="33"/>
        <v>2.7301046807719289</v>
      </c>
      <c r="AM115" s="15">
        <f t="shared" si="34"/>
        <v>1.6773964786911646E-2</v>
      </c>
      <c r="AN115" s="15">
        <f t="shared" si="27"/>
        <v>3.6720610239801097</v>
      </c>
      <c r="AO115" s="15">
        <f t="shared" si="28"/>
        <v>1.08453753557885</v>
      </c>
      <c r="AP115">
        <f t="shared" si="29"/>
        <v>2020</v>
      </c>
      <c r="AQ115" t="str">
        <f t="shared" si="30"/>
        <v>IMF COFOG</v>
      </c>
      <c r="AR115" s="7">
        <f t="shared" si="35"/>
        <v>19.112058665777045</v>
      </c>
      <c r="AS115" s="7">
        <f t="shared" si="36"/>
        <v>62.248844964503824</v>
      </c>
      <c r="AT115" s="7">
        <f t="shared" si="37"/>
        <v>0.38246150076753699</v>
      </c>
      <c r="AU115" s="7">
        <f t="shared" si="38"/>
        <v>83.726297746687223</v>
      </c>
    </row>
    <row r="116" spans="1:47">
      <c r="A116">
        <v>113</v>
      </c>
      <c r="B116" t="s">
        <v>205</v>
      </c>
      <c r="C116" t="s">
        <v>420</v>
      </c>
      <c r="D116" t="s">
        <v>497</v>
      </c>
      <c r="E116" t="s">
        <v>389</v>
      </c>
      <c r="F116" t="s">
        <v>617</v>
      </c>
      <c r="H116" t="str">
        <f>IF(ISNUMBER(VLOOKUP(C116,'OECD DAC'!B:C,2,FALSE)), "YES", " ")</f>
        <v xml:space="preserve"> </v>
      </c>
      <c r="I116">
        <v>7760</v>
      </c>
      <c r="J116">
        <v>2021</v>
      </c>
      <c r="K116" s="15">
        <f>IF(ISNUMBER(VLOOKUP(C116,'WEO GOV REV'!C:BL,58,FALSE)),(VLOOKUP(C116,'WEO GOV REV'!C:BL,58,FALSE)), " ")</f>
        <v>0.82799999999999996</v>
      </c>
      <c r="L116" s="15">
        <f>IF(ISNUMBER(VLOOKUP(C116,'WEO GOV REV'!C:BL,62,FALSE)),(VLOOKUP(C116,'WEO GOV REV'!C:BL,62,FALSE)), " ")</f>
        <v>54.082299150881774</v>
      </c>
      <c r="M116">
        <f>IF(ISNUMBER(VLOOKUP(C116,'WEO GOV REV'!C:BL,62,FALSE)),(VLOOKUP(C116,'WEO GOV REV'!C:BL,57,FALSE)), " ")</f>
        <v>2021</v>
      </c>
      <c r="N116" s="15" t="str">
        <f>IF(ISNUMBER(VLOOKUP($C116,'IMF COFOG FULL'!$B:$CM,79,FALSE)),(VLOOKUP($C116,'IMF COFOG FULL'!$B:$CM,79,FALSE)), " ")</f>
        <v xml:space="preserve"> </v>
      </c>
      <c r="O116" s="15" t="str">
        <f>IF(ISNUMBER(VLOOKUP($C116,'IMF COFOG FULL'!$B:$CM,80,FALSE)),(VLOOKUP($C116,'IMF COFOG FULL'!$B:$CM,80,FALSE)), " ")</f>
        <v xml:space="preserve"> </v>
      </c>
      <c r="P116" s="15" t="str">
        <f>IF(ISNUMBER(VLOOKUP($C116,'IMF COFOG FULL'!$B:$CM,81,FALSE)),(VLOOKUP($C116,'IMF COFOG FULL'!$B:$CM,81,FALSE)), " ")</f>
        <v xml:space="preserve"> </v>
      </c>
      <c r="Q116" s="15" t="str">
        <f>IF(ISNUMBER(VLOOKUP($C116,'IMF COFOG FULL'!$B:$CM,82,FALSE)),(VLOOKUP($C116,'IMF COFOG FULL'!$B:$CM,82,FALSE)), " ")</f>
        <v xml:space="preserve"> </v>
      </c>
      <c r="R116" s="15" t="str">
        <f>IF(ISNUMBER(VLOOKUP($C116,'IMF COFOG FULL'!$B:$CM,83,FALSE)),(VLOOKUP($C116,'IMF COFOG FULL'!$B:$CM,83,FALSE)), " ")</f>
        <v xml:space="preserve"> </v>
      </c>
      <c r="S116" s="15" t="str">
        <f>IF(ISNUMBER(VLOOKUP($C116,'IMF COFOG FULL'!$B:$CM,84,FALSE)),(VLOOKUP($C116,'IMF COFOG FULL'!$B:$CM,84,FALSE)), " ")</f>
        <v xml:space="preserve"> </v>
      </c>
      <c r="T116" s="15" t="str">
        <f>IF(ISNUMBER(VLOOKUP($C116,'IMF COFOG FULL'!$B:$CM,85,FALSE)),(VLOOKUP($C116,'IMF COFOG FULL'!$B:$CM,85,FALSE)), " ")</f>
        <v xml:space="preserve"> </v>
      </c>
      <c r="U116" s="7" t="str">
        <f>IF(ISNUMBER(VLOOKUP($C116,'IMF COFOG FULL'!$B:$CM,79,FALSE)),(VLOOKUP($C116,'IMF COFOG FULL'!$B:$CM,86,FALSE)), " ")</f>
        <v xml:space="preserve"> </v>
      </c>
      <c r="V116" s="15" t="str">
        <f>IF(ISNUMBER(VLOOKUP($C116,'IMF COFOG FULL'!$B:$CM,79,FALSE)),(VLOOKUP($C116,'IMF COFOG FULL'!$B:$CM,87,FALSE)), " ")</f>
        <v xml:space="preserve"> </v>
      </c>
      <c r="W116" s="15" t="str">
        <f t="shared" si="39"/>
        <v xml:space="preserve"> </v>
      </c>
      <c r="X116" s="15" t="str">
        <f t="shared" si="40"/>
        <v xml:space="preserve"> </v>
      </c>
      <c r="Y116" s="15" t="str">
        <f t="shared" si="41"/>
        <v xml:space="preserve"> </v>
      </c>
      <c r="Z116" s="15" t="str">
        <f t="shared" si="42"/>
        <v xml:space="preserve"> </v>
      </c>
      <c r="AA116" s="15" t="str">
        <f t="shared" si="43"/>
        <v xml:space="preserve"> </v>
      </c>
      <c r="AB116" s="15" t="str">
        <f t="shared" si="44"/>
        <v xml:space="preserve"> </v>
      </c>
      <c r="AC116" s="15" t="str">
        <f t="shared" si="45"/>
        <v xml:space="preserve"> </v>
      </c>
      <c r="AG116" s="15" t="str">
        <f>IF(ISNUMBER(VLOOKUP(C116,'National budgets summary'!A:F,5, FALSE)),(VLOOKUP(C116,'National budgets summary'!A:F,5, FALSE)), " ")</f>
        <v xml:space="preserve"> </v>
      </c>
      <c r="AH116" t="str">
        <f>IF(ISNUMBER(VLOOKUP(C116,'National budgets summary'!A:F,5, FALSE)),(VLOOKUP(C116,'National budgets summary'!A:F,4, FALSE)), " ")</f>
        <v xml:space="preserve"> </v>
      </c>
      <c r="AI116" s="15" t="str">
        <f t="shared" si="26"/>
        <v xml:space="preserve"> </v>
      </c>
      <c r="AJ116" s="15" t="str">
        <f t="shared" si="31"/>
        <v xml:space="preserve"> </v>
      </c>
      <c r="AK116" s="15" t="str">
        <f t="shared" si="32"/>
        <v/>
      </c>
      <c r="AL116" s="15" t="str">
        <f t="shared" si="33"/>
        <v/>
      </c>
      <c r="AM116" s="15" t="str">
        <f t="shared" si="34"/>
        <v/>
      </c>
      <c r="AN116" s="15" t="str">
        <f t="shared" si="27"/>
        <v xml:space="preserve"> </v>
      </c>
      <c r="AO116" s="15" t="str">
        <f t="shared" si="28"/>
        <v xml:space="preserve"> </v>
      </c>
      <c r="AP116" t="str">
        <f t="shared" si="29"/>
        <v xml:space="preserve"> </v>
      </c>
      <c r="AQ116" t="str">
        <f t="shared" si="30"/>
        <v xml:space="preserve"> </v>
      </c>
      <c r="AR116" s="7" t="str">
        <f t="shared" si="35"/>
        <v xml:space="preserve"> </v>
      </c>
      <c r="AS116" s="7" t="str">
        <f t="shared" si="36"/>
        <v xml:space="preserve"> </v>
      </c>
      <c r="AT116" s="7" t="str">
        <f t="shared" si="37"/>
        <v xml:space="preserve"> </v>
      </c>
      <c r="AU116" s="7" t="str">
        <f t="shared" si="38"/>
        <v xml:space="preserve"> </v>
      </c>
    </row>
    <row r="117" spans="1:47">
      <c r="A117">
        <v>114</v>
      </c>
      <c r="B117" t="s">
        <v>206</v>
      </c>
      <c r="C117" t="s">
        <v>421</v>
      </c>
      <c r="D117" t="s">
        <v>497</v>
      </c>
      <c r="E117" t="s">
        <v>389</v>
      </c>
      <c r="F117" t="s">
        <v>617</v>
      </c>
      <c r="H117" t="str">
        <f>IF(ISNUMBER(VLOOKUP(C117,'OECD DAC'!B:C,2,FALSE)), "YES", " ")</f>
        <v xml:space="preserve"> </v>
      </c>
      <c r="I117">
        <v>8100</v>
      </c>
      <c r="J117">
        <v>2021</v>
      </c>
      <c r="K117" s="15">
        <f>IF(ISNUMBER(VLOOKUP(C117,'WEO GOV REV'!C:BL,58,FALSE)),(VLOOKUP(C117,'WEO GOV REV'!C:BL,58,FALSE)), " ")</f>
        <v>0.74099999999999999</v>
      </c>
      <c r="L117" s="15">
        <f>IF(ISNUMBER(VLOOKUP(C117,'WEO GOV REV'!C:BL,62,FALSE)),(VLOOKUP(C117,'WEO GOV REV'!C:BL,62,FALSE)), " ")</f>
        <v>31.451612903225808</v>
      </c>
      <c r="M117">
        <f>IF(ISNUMBER(VLOOKUP(C117,'WEO GOV REV'!C:BL,62,FALSE)),(VLOOKUP(C117,'WEO GOV REV'!C:BL,57,FALSE)), " ")</f>
        <v>2021</v>
      </c>
      <c r="N117" s="15" t="str">
        <f>IF(ISNUMBER(VLOOKUP($C117,'IMF COFOG FULL'!$B:$CM,79,FALSE)),(VLOOKUP($C117,'IMF COFOG FULL'!$B:$CM,79,FALSE)), " ")</f>
        <v xml:space="preserve"> </v>
      </c>
      <c r="O117" s="15" t="str">
        <f>IF(ISNUMBER(VLOOKUP($C117,'IMF COFOG FULL'!$B:$CM,80,FALSE)),(VLOOKUP($C117,'IMF COFOG FULL'!$B:$CM,80,FALSE)), " ")</f>
        <v xml:space="preserve"> </v>
      </c>
      <c r="P117" s="15" t="str">
        <f>IF(ISNUMBER(VLOOKUP($C117,'IMF COFOG FULL'!$B:$CM,81,FALSE)),(VLOOKUP($C117,'IMF COFOG FULL'!$B:$CM,81,FALSE)), " ")</f>
        <v xml:space="preserve"> </v>
      </c>
      <c r="Q117" s="15" t="str">
        <f>IF(ISNUMBER(VLOOKUP($C117,'IMF COFOG FULL'!$B:$CM,82,FALSE)),(VLOOKUP($C117,'IMF COFOG FULL'!$B:$CM,82,FALSE)), " ")</f>
        <v xml:space="preserve"> </v>
      </c>
      <c r="R117" s="15" t="str">
        <f>IF(ISNUMBER(VLOOKUP($C117,'IMF COFOG FULL'!$B:$CM,83,FALSE)),(VLOOKUP($C117,'IMF COFOG FULL'!$B:$CM,83,FALSE)), " ")</f>
        <v xml:space="preserve"> </v>
      </c>
      <c r="S117" s="15" t="str">
        <f>IF(ISNUMBER(VLOOKUP($C117,'IMF COFOG FULL'!$B:$CM,84,FALSE)),(VLOOKUP($C117,'IMF COFOG FULL'!$B:$CM,84,FALSE)), " ")</f>
        <v xml:space="preserve"> </v>
      </c>
      <c r="T117" s="15" t="str">
        <f>IF(ISNUMBER(VLOOKUP($C117,'IMF COFOG FULL'!$B:$CM,85,FALSE)),(VLOOKUP($C117,'IMF COFOG FULL'!$B:$CM,85,FALSE)), " ")</f>
        <v xml:space="preserve"> </v>
      </c>
      <c r="U117" s="7" t="str">
        <f>IF(ISNUMBER(VLOOKUP($C117,'IMF COFOG FULL'!$B:$CM,79,FALSE)),(VLOOKUP($C117,'IMF COFOG FULL'!$B:$CM,86,FALSE)), " ")</f>
        <v xml:space="preserve"> </v>
      </c>
      <c r="V117" s="15" t="str">
        <f>IF(ISNUMBER(VLOOKUP($C117,'IMF COFOG FULL'!$B:$CM,79,FALSE)),(VLOOKUP($C117,'IMF COFOG FULL'!$B:$CM,87,FALSE)), " ")</f>
        <v xml:space="preserve"> </v>
      </c>
      <c r="W117" s="15" t="str">
        <f t="shared" si="39"/>
        <v xml:space="preserve"> </v>
      </c>
      <c r="X117" s="15" t="str">
        <f t="shared" si="40"/>
        <v xml:space="preserve"> </v>
      </c>
      <c r="Y117" s="15" t="str">
        <f t="shared" si="41"/>
        <v xml:space="preserve"> </v>
      </c>
      <c r="Z117" s="15" t="str">
        <f t="shared" si="42"/>
        <v xml:space="preserve"> </v>
      </c>
      <c r="AA117" s="15" t="str">
        <f t="shared" si="43"/>
        <v xml:space="preserve"> </v>
      </c>
      <c r="AB117" s="15" t="str">
        <f t="shared" si="44"/>
        <v xml:space="preserve"> </v>
      </c>
      <c r="AC117" s="15" t="str">
        <f t="shared" si="45"/>
        <v xml:space="preserve"> </v>
      </c>
      <c r="AG117" s="15" t="str">
        <f>IF(ISNUMBER(VLOOKUP(C117,'National budgets summary'!A:F,5, FALSE)),(VLOOKUP(C117,'National budgets summary'!A:F,5, FALSE)), " ")</f>
        <v xml:space="preserve"> </v>
      </c>
      <c r="AH117" t="str">
        <f>IF(ISNUMBER(VLOOKUP(C117,'National budgets summary'!A:F,5, FALSE)),(VLOOKUP(C117,'National budgets summary'!A:F,4, FALSE)), " ")</f>
        <v xml:space="preserve"> </v>
      </c>
      <c r="AI117" s="15" t="str">
        <f t="shared" si="26"/>
        <v xml:space="preserve"> </v>
      </c>
      <c r="AJ117" s="15" t="str">
        <f t="shared" si="31"/>
        <v xml:space="preserve"> </v>
      </c>
      <c r="AK117" s="15" t="str">
        <f t="shared" si="32"/>
        <v/>
      </c>
      <c r="AL117" s="15" t="str">
        <f t="shared" si="33"/>
        <v/>
      </c>
      <c r="AM117" s="15" t="str">
        <f t="shared" si="34"/>
        <v/>
      </c>
      <c r="AN117" s="15" t="str">
        <f t="shared" si="27"/>
        <v xml:space="preserve"> </v>
      </c>
      <c r="AO117" s="15" t="str">
        <f t="shared" si="28"/>
        <v xml:space="preserve"> </v>
      </c>
      <c r="AP117" t="str">
        <f t="shared" si="29"/>
        <v xml:space="preserve"> </v>
      </c>
      <c r="AQ117" t="str">
        <f t="shared" si="30"/>
        <v xml:space="preserve"> </v>
      </c>
      <c r="AR117" s="7" t="str">
        <f t="shared" si="35"/>
        <v xml:space="preserve"> </v>
      </c>
      <c r="AS117" s="7" t="str">
        <f t="shared" si="36"/>
        <v xml:space="preserve"> </v>
      </c>
      <c r="AT117" s="7" t="str">
        <f t="shared" si="37"/>
        <v xml:space="preserve"> </v>
      </c>
      <c r="AU117" s="7" t="str">
        <f t="shared" si="38"/>
        <v xml:space="preserve"> </v>
      </c>
    </row>
    <row r="118" spans="1:47">
      <c r="A118">
        <v>115</v>
      </c>
      <c r="B118" t="s">
        <v>207</v>
      </c>
      <c r="C118" t="s">
        <v>422</v>
      </c>
      <c r="D118" t="s">
        <v>497</v>
      </c>
      <c r="E118" t="s">
        <v>389</v>
      </c>
      <c r="F118" t="s">
        <v>619</v>
      </c>
      <c r="H118" t="str">
        <f>IF(ISNUMBER(VLOOKUP(C118,'OECD DAC'!B:C,2,FALSE)), "YES", " ")</f>
        <v xml:space="preserve"> </v>
      </c>
      <c r="I118">
        <v>8220</v>
      </c>
      <c r="J118">
        <v>2021</v>
      </c>
      <c r="K118" s="15">
        <f>IF(ISNUMBER(VLOOKUP(C118,'WEO GOV REV'!C:BL,58,FALSE)),(VLOOKUP(C118,'WEO GOV REV'!C:BL,58,FALSE)), " ")</f>
        <v>632.25199999999995</v>
      </c>
      <c r="L118" s="15">
        <f>IF(ISNUMBER(VLOOKUP(C118,'WEO GOV REV'!C:BL,62,FALSE)),(VLOOKUP(C118,'WEO GOV REV'!C:BL,62,FALSE)), " ")</f>
        <v>14.186677915748563</v>
      </c>
      <c r="M118">
        <f>IF(ISNUMBER(VLOOKUP(C118,'WEO GOV REV'!C:BL,62,FALSE)),(VLOOKUP(C118,'WEO GOV REV'!C:BL,57,FALSE)), " ")</f>
        <v>2020</v>
      </c>
      <c r="N118" s="15">
        <f>IF(ISNUMBER(VLOOKUP($C118,'IMF COFOG FULL'!$B:$CM,79,FALSE)),(VLOOKUP($C118,'IMF COFOG FULL'!$B:$CM,79,FALSE)), " ")</f>
        <v>0.95356170214343705</v>
      </c>
      <c r="O118" s="15">
        <f>IF(ISNUMBER(VLOOKUP($C118,'IMF COFOG FULL'!$B:$CM,80,FALSE)),(VLOOKUP($C118,'IMF COFOG FULL'!$B:$CM,80,FALSE)), " ")</f>
        <v>0.34802994373830598</v>
      </c>
      <c r="P118" s="15">
        <f>IF(ISNUMBER(VLOOKUP($C118,'IMF COFOG FULL'!$B:$CM,81,FALSE)),(VLOOKUP($C118,'IMF COFOG FULL'!$B:$CM,81,FALSE)), " ")</f>
        <v>1.48595404936109E-2</v>
      </c>
      <c r="Q118" s="15">
        <f>IF(ISNUMBER(VLOOKUP($C118,'IMF COFOG FULL'!$B:$CM,82,FALSE)),(VLOOKUP($C118,'IMF COFOG FULL'!$B:$CM,82,FALSE)), " ")</f>
        <v>0.33642202519472297</v>
      </c>
      <c r="R118" s="15">
        <f>IF(ISNUMBER(VLOOKUP($C118,'IMF COFOG FULL'!$B:$CM,83,FALSE)),(VLOOKUP($C118,'IMF COFOG FULL'!$B:$CM,83,FALSE)), " ")</f>
        <v>0.13208249891535701</v>
      </c>
      <c r="S118" s="15">
        <f>IF(ISNUMBER(VLOOKUP($C118,'IMF COFOG FULL'!$B:$CM,84,FALSE)),(VLOOKUP($C118,'IMF COFOG FULL'!$B:$CM,84,FALSE)), " ")</f>
        <v>9.3628449872240296E-2</v>
      </c>
      <c r="T118" s="15">
        <f>IF(ISNUMBER(VLOOKUP($C118,'IMF COFOG FULL'!$B:$CM,85,FALSE)),(VLOOKUP($C118,'IMF COFOG FULL'!$B:$CM,85,FALSE)), " ")</f>
        <v>2.8539243929199602E-2</v>
      </c>
      <c r="U118" s="7">
        <f>IF(ISNUMBER(VLOOKUP($C118,'IMF COFOG FULL'!$B:$CM,79,FALSE)),(VLOOKUP($C118,'IMF COFOG FULL'!$B:$CM,86,FALSE)), " ")</f>
        <v>2020</v>
      </c>
      <c r="V118" s="15" t="str">
        <f>IF(ISNUMBER(VLOOKUP($C118,'IMF COFOG FULL'!$B:$CM,79,FALSE)),(VLOOKUP($C118,'IMF COFOG FULL'!$B:$CM,87,FALSE)), " ")</f>
        <v>Budgetary central government</v>
      </c>
      <c r="W118" s="15">
        <f t="shared" si="39"/>
        <v>6.7215292248574476</v>
      </c>
      <c r="X118" s="15">
        <f t="shared" si="40"/>
        <v>2.4532166431434916</v>
      </c>
      <c r="Y118" s="15">
        <f t="shared" si="41"/>
        <v>0.10474291854554191</v>
      </c>
      <c r="Z118" s="15">
        <f t="shared" si="42"/>
        <v>2.3713939739286145</v>
      </c>
      <c r="AA118" s="15">
        <f t="shared" si="43"/>
        <v>0.93103191388262119</v>
      </c>
      <c r="AB118" s="15">
        <f t="shared" si="44"/>
        <v>0.65997445228740836</v>
      </c>
      <c r="AC118" s="15">
        <f t="shared" si="45"/>
        <v>0.20116932306976765</v>
      </c>
      <c r="AG118" s="15" t="str">
        <f>IF(ISNUMBER(VLOOKUP(C118,'National budgets summary'!A:F,5, FALSE)),(VLOOKUP(C118,'National budgets summary'!A:F,5, FALSE)), " ")</f>
        <v xml:space="preserve"> </v>
      </c>
      <c r="AH118" t="str">
        <f>IF(ISNUMBER(VLOOKUP(C118,'National budgets summary'!A:F,5, FALSE)),(VLOOKUP(C118,'National budgets summary'!A:F,4, FALSE)), " ")</f>
        <v xml:space="preserve"> </v>
      </c>
      <c r="AI118" s="15" t="str">
        <f t="shared" si="26"/>
        <v xml:space="preserve"> </v>
      </c>
      <c r="AJ118" s="15" t="str">
        <f t="shared" si="31"/>
        <v xml:space="preserve"> </v>
      </c>
      <c r="AK118" s="15">
        <f t="shared" si="32"/>
        <v>2.4532166431434916</v>
      </c>
      <c r="AL118" s="15">
        <f t="shared" si="33"/>
        <v>2.3713939739286145</v>
      </c>
      <c r="AM118" s="15">
        <f t="shared" si="34"/>
        <v>0.93103191388262119</v>
      </c>
      <c r="AN118" s="15">
        <f t="shared" si="27"/>
        <v>6.7215292248574476</v>
      </c>
      <c r="AO118" s="15">
        <f t="shared" si="28"/>
        <v>0.95356170214343705</v>
      </c>
      <c r="AP118">
        <f t="shared" si="29"/>
        <v>2020</v>
      </c>
      <c r="AQ118" t="str">
        <f t="shared" si="30"/>
        <v>IMF COFOG</v>
      </c>
      <c r="AR118" s="7">
        <f t="shared" si="35"/>
        <v>28.608061375288749</v>
      </c>
      <c r="AS118" s="7">
        <f t="shared" si="36"/>
        <v>27.653890471006228</v>
      </c>
      <c r="AT118" s="7">
        <f t="shared" si="37"/>
        <v>10.857181410842346</v>
      </c>
      <c r="AU118" s="7">
        <f t="shared" si="38"/>
        <v>78.382771916190521</v>
      </c>
    </row>
    <row r="119" spans="1:47">
      <c r="A119">
        <v>116</v>
      </c>
      <c r="B119" t="s">
        <v>208</v>
      </c>
      <c r="C119" t="s">
        <v>423</v>
      </c>
      <c r="D119" t="s">
        <v>483</v>
      </c>
      <c r="E119" t="s">
        <v>389</v>
      </c>
      <c r="F119" t="s">
        <v>615</v>
      </c>
      <c r="H119" t="str">
        <f>IF(ISNUMBER(VLOOKUP(C119,'OECD DAC'!B:C,2,FALSE)), "YES", " ")</f>
        <v xml:space="preserve"> </v>
      </c>
      <c r="I119">
        <v>8400</v>
      </c>
      <c r="J119">
        <v>2021</v>
      </c>
      <c r="K119" s="15">
        <f>IF(ISNUMBER(VLOOKUP(C119,'WEO GOV REV'!C:BL,58,FALSE)),(VLOOKUP(C119,'WEO GOV REV'!C:BL,58,FALSE)), " ")</f>
        <v>15.222</v>
      </c>
      <c r="L119" s="15">
        <f>IF(ISNUMBER(VLOOKUP(C119,'WEO GOV REV'!C:BL,62,FALSE)),(VLOOKUP(C119,'WEO GOV REV'!C:BL,62,FALSE)), " ")</f>
        <v>26.441313901578972</v>
      </c>
      <c r="M119">
        <f>IF(ISNUMBER(VLOOKUP(C119,'WEO GOV REV'!C:BL,62,FALSE)),(VLOOKUP(C119,'WEO GOV REV'!C:BL,57,FALSE)), " ")</f>
        <v>2020</v>
      </c>
      <c r="N119" s="15" t="str">
        <f>IF(ISNUMBER(VLOOKUP($C119,'IMF COFOG FULL'!$B:$CM,79,FALSE)),(VLOOKUP($C119,'IMF COFOG FULL'!$B:$CM,79,FALSE)), " ")</f>
        <v xml:space="preserve"> </v>
      </c>
      <c r="O119" s="15" t="str">
        <f>IF(ISNUMBER(VLOOKUP($C119,'IMF COFOG FULL'!$B:$CM,80,FALSE)),(VLOOKUP($C119,'IMF COFOG FULL'!$B:$CM,80,FALSE)), " ")</f>
        <v xml:space="preserve"> </v>
      </c>
      <c r="P119" s="15" t="str">
        <f>IF(ISNUMBER(VLOOKUP($C119,'IMF COFOG FULL'!$B:$CM,81,FALSE)),(VLOOKUP($C119,'IMF COFOG FULL'!$B:$CM,81,FALSE)), " ")</f>
        <v xml:space="preserve"> </v>
      </c>
      <c r="Q119" s="15" t="str">
        <f>IF(ISNUMBER(VLOOKUP($C119,'IMF COFOG FULL'!$B:$CM,82,FALSE)),(VLOOKUP($C119,'IMF COFOG FULL'!$B:$CM,82,FALSE)), " ")</f>
        <v xml:space="preserve"> </v>
      </c>
      <c r="R119" s="15" t="str">
        <f>IF(ISNUMBER(VLOOKUP($C119,'IMF COFOG FULL'!$B:$CM,83,FALSE)),(VLOOKUP($C119,'IMF COFOG FULL'!$B:$CM,83,FALSE)), " ")</f>
        <v xml:space="preserve"> </v>
      </c>
      <c r="S119" s="15" t="str">
        <f>IF(ISNUMBER(VLOOKUP($C119,'IMF COFOG FULL'!$B:$CM,84,FALSE)),(VLOOKUP($C119,'IMF COFOG FULL'!$B:$CM,84,FALSE)), " ")</f>
        <v xml:space="preserve"> </v>
      </c>
      <c r="T119" s="15" t="str">
        <f>IF(ISNUMBER(VLOOKUP($C119,'IMF COFOG FULL'!$B:$CM,85,FALSE)),(VLOOKUP($C119,'IMF COFOG FULL'!$B:$CM,85,FALSE)), " ")</f>
        <v xml:space="preserve"> </v>
      </c>
      <c r="U119" s="7" t="str">
        <f>IF(ISNUMBER(VLOOKUP($C119,'IMF COFOG FULL'!$B:$CM,79,FALSE)),(VLOOKUP($C119,'IMF COFOG FULL'!$B:$CM,86,FALSE)), " ")</f>
        <v xml:space="preserve"> </v>
      </c>
      <c r="V119" s="15" t="str">
        <f>IF(ISNUMBER(VLOOKUP($C119,'IMF COFOG FULL'!$B:$CM,79,FALSE)),(VLOOKUP($C119,'IMF COFOG FULL'!$B:$CM,87,FALSE)), " ")</f>
        <v xml:space="preserve"> </v>
      </c>
      <c r="W119" s="15" t="str">
        <f t="shared" si="39"/>
        <v xml:space="preserve"> </v>
      </c>
      <c r="X119" s="15" t="str">
        <f t="shared" si="40"/>
        <v xml:space="preserve"> </v>
      </c>
      <c r="Y119" s="15" t="str">
        <f t="shared" si="41"/>
        <v xml:space="preserve"> </v>
      </c>
      <c r="Z119" s="15" t="str">
        <f t="shared" si="42"/>
        <v xml:space="preserve"> </v>
      </c>
      <c r="AA119" s="15" t="str">
        <f t="shared" si="43"/>
        <v xml:space="preserve"> </v>
      </c>
      <c r="AB119" s="15" t="str">
        <f t="shared" si="44"/>
        <v xml:space="preserve"> </v>
      </c>
      <c r="AC119" s="15" t="str">
        <f t="shared" si="45"/>
        <v xml:space="preserve"> </v>
      </c>
      <c r="AG119" s="15" t="str">
        <f>IF(ISNUMBER(VLOOKUP(C119,'National budgets summary'!A:F,5, FALSE)),(VLOOKUP(C119,'National budgets summary'!A:F,5, FALSE)), " ")</f>
        <v xml:space="preserve"> </v>
      </c>
      <c r="AH119" t="str">
        <f>IF(ISNUMBER(VLOOKUP(C119,'National budgets summary'!A:F,5, FALSE)),(VLOOKUP(C119,'National budgets summary'!A:F,4, FALSE)), " ")</f>
        <v xml:space="preserve"> </v>
      </c>
      <c r="AI119" s="15" t="str">
        <f t="shared" si="26"/>
        <v xml:space="preserve"> </v>
      </c>
      <c r="AJ119" s="15" t="str">
        <f t="shared" si="31"/>
        <v xml:space="preserve"> </v>
      </c>
      <c r="AK119" s="15" t="str">
        <f t="shared" si="32"/>
        <v/>
      </c>
      <c r="AL119" s="15" t="str">
        <f t="shared" si="33"/>
        <v/>
      </c>
      <c r="AM119" s="15" t="str">
        <f t="shared" si="34"/>
        <v/>
      </c>
      <c r="AN119" s="15" t="str">
        <f t="shared" si="27"/>
        <v xml:space="preserve"> </v>
      </c>
      <c r="AO119" s="15" t="str">
        <f t="shared" si="28"/>
        <v xml:space="preserve"> </v>
      </c>
      <c r="AP119" t="str">
        <f t="shared" si="29"/>
        <v xml:space="preserve"> </v>
      </c>
      <c r="AQ119" t="str">
        <f t="shared" si="30"/>
        <v xml:space="preserve"> </v>
      </c>
      <c r="AR119" s="7" t="str">
        <f t="shared" si="35"/>
        <v xml:space="preserve"> </v>
      </c>
      <c r="AS119" s="7" t="str">
        <f t="shared" si="36"/>
        <v xml:space="preserve"> </v>
      </c>
      <c r="AT119" s="7" t="str">
        <f t="shared" si="37"/>
        <v xml:space="preserve"> </v>
      </c>
      <c r="AU119" s="7" t="str">
        <f t="shared" si="38"/>
        <v xml:space="preserve"> </v>
      </c>
    </row>
    <row r="120" spans="1:47">
      <c r="A120">
        <v>117</v>
      </c>
      <c r="B120" t="s">
        <v>209</v>
      </c>
      <c r="C120" t="s">
        <v>424</v>
      </c>
      <c r="D120" t="s">
        <v>487</v>
      </c>
      <c r="E120" t="s">
        <v>389</v>
      </c>
      <c r="F120" t="s">
        <v>619</v>
      </c>
      <c r="H120" t="str">
        <f>IF(ISNUMBER(VLOOKUP(C120,'OECD DAC'!B:C,2,FALSE)), "YES", " ")</f>
        <v xml:space="preserve"> </v>
      </c>
      <c r="I120">
        <v>8430</v>
      </c>
      <c r="J120">
        <v>2021</v>
      </c>
      <c r="K120" s="15">
        <f>IF(ISNUMBER(VLOOKUP(C120,'WEO GOV REV'!C:BL,58,FALSE)),(VLOOKUP(C120,'WEO GOV REV'!C:BL,58,FALSE)), " ")</f>
        <v>105.62</v>
      </c>
      <c r="L120" s="15">
        <f>IF(ISNUMBER(VLOOKUP(C120,'WEO GOV REV'!C:BL,62,FALSE)),(VLOOKUP(C120,'WEO GOV REV'!C:BL,62,FALSE)), " ")</f>
        <v>73.55204423429133</v>
      </c>
      <c r="M120">
        <f>IF(ISNUMBER(VLOOKUP(C120,'WEO GOV REV'!C:BL,62,FALSE)),(VLOOKUP(C120,'WEO GOV REV'!C:BL,57,FALSE)), " ")</f>
        <v>2021</v>
      </c>
      <c r="N120" s="15" t="str">
        <f>IF(ISNUMBER(VLOOKUP($C120,'IMF COFOG FULL'!$B:$CM,79,FALSE)),(VLOOKUP($C120,'IMF COFOG FULL'!$B:$CM,79,FALSE)), " ")</f>
        <v xml:space="preserve"> </v>
      </c>
      <c r="O120" s="15" t="str">
        <f>IF(ISNUMBER(VLOOKUP($C120,'IMF COFOG FULL'!$B:$CM,80,FALSE)),(VLOOKUP($C120,'IMF COFOG FULL'!$B:$CM,80,FALSE)), " ")</f>
        <v xml:space="preserve"> </v>
      </c>
      <c r="P120" s="15" t="str">
        <f>IF(ISNUMBER(VLOOKUP($C120,'IMF COFOG FULL'!$B:$CM,81,FALSE)),(VLOOKUP($C120,'IMF COFOG FULL'!$B:$CM,81,FALSE)), " ")</f>
        <v xml:space="preserve"> </v>
      </c>
      <c r="Q120" s="15" t="str">
        <f>IF(ISNUMBER(VLOOKUP($C120,'IMF COFOG FULL'!$B:$CM,82,FALSE)),(VLOOKUP($C120,'IMF COFOG FULL'!$B:$CM,82,FALSE)), " ")</f>
        <v xml:space="preserve"> </v>
      </c>
      <c r="R120" s="15" t="str">
        <f>IF(ISNUMBER(VLOOKUP($C120,'IMF COFOG FULL'!$B:$CM,83,FALSE)),(VLOOKUP($C120,'IMF COFOG FULL'!$B:$CM,83,FALSE)), " ")</f>
        <v xml:space="preserve"> </v>
      </c>
      <c r="S120" s="15" t="str">
        <f>IF(ISNUMBER(VLOOKUP($C120,'IMF COFOG FULL'!$B:$CM,84,FALSE)),(VLOOKUP($C120,'IMF COFOG FULL'!$B:$CM,84,FALSE)), " ")</f>
        <v xml:space="preserve"> </v>
      </c>
      <c r="T120" s="15" t="str">
        <f>IF(ISNUMBER(VLOOKUP($C120,'IMF COFOG FULL'!$B:$CM,85,FALSE)),(VLOOKUP($C120,'IMF COFOG FULL'!$B:$CM,85,FALSE)), " ")</f>
        <v xml:space="preserve"> </v>
      </c>
      <c r="U120" s="7" t="str">
        <f>IF(ISNUMBER(VLOOKUP($C120,'IMF COFOG FULL'!$B:$CM,79,FALSE)),(VLOOKUP($C120,'IMF COFOG FULL'!$B:$CM,86,FALSE)), " ")</f>
        <v xml:space="preserve"> </v>
      </c>
      <c r="V120" s="15" t="str">
        <f>IF(ISNUMBER(VLOOKUP($C120,'IMF COFOG FULL'!$B:$CM,79,FALSE)),(VLOOKUP($C120,'IMF COFOG FULL'!$B:$CM,87,FALSE)), " ")</f>
        <v xml:space="preserve"> </v>
      </c>
      <c r="W120" s="15" t="str">
        <f t="shared" si="39"/>
        <v xml:space="preserve"> </v>
      </c>
      <c r="X120" s="15" t="str">
        <f t="shared" si="40"/>
        <v xml:space="preserve"> </v>
      </c>
      <c r="Y120" s="15" t="str">
        <f t="shared" si="41"/>
        <v xml:space="preserve"> </v>
      </c>
      <c r="Z120" s="15" t="str">
        <f t="shared" si="42"/>
        <v xml:space="preserve"> </v>
      </c>
      <c r="AA120" s="15" t="str">
        <f t="shared" si="43"/>
        <v xml:space="preserve"> </v>
      </c>
      <c r="AB120" s="15" t="str">
        <f t="shared" si="44"/>
        <v xml:space="preserve"> </v>
      </c>
      <c r="AC120" s="15" t="str">
        <f t="shared" si="45"/>
        <v xml:space="preserve"> </v>
      </c>
      <c r="AG120" s="15" t="str">
        <f>IF(ISNUMBER(VLOOKUP(C120,'National budgets summary'!A:F,5, FALSE)),(VLOOKUP(C120,'National budgets summary'!A:F,5, FALSE)), " ")</f>
        <v xml:space="preserve"> </v>
      </c>
      <c r="AH120" t="str">
        <f>IF(ISNUMBER(VLOOKUP(C120,'National budgets summary'!A:F,5, FALSE)),(VLOOKUP(C120,'National budgets summary'!A:F,4, FALSE)), " ")</f>
        <v xml:space="preserve"> </v>
      </c>
      <c r="AI120" s="15" t="str">
        <f t="shared" si="26"/>
        <v xml:space="preserve"> </v>
      </c>
      <c r="AJ120" s="15" t="str">
        <f t="shared" si="31"/>
        <v xml:space="preserve"> </v>
      </c>
      <c r="AK120" s="15" t="str">
        <f t="shared" si="32"/>
        <v/>
      </c>
      <c r="AL120" s="15" t="str">
        <f t="shared" si="33"/>
        <v/>
      </c>
      <c r="AM120" s="15" t="str">
        <f t="shared" si="34"/>
        <v/>
      </c>
      <c r="AN120" s="15" t="str">
        <f t="shared" si="27"/>
        <v xml:space="preserve"> </v>
      </c>
      <c r="AO120" s="15" t="str">
        <f t="shared" si="28"/>
        <v xml:space="preserve"> </v>
      </c>
      <c r="AP120" t="str">
        <f t="shared" si="29"/>
        <v xml:space="preserve"> </v>
      </c>
      <c r="AQ120" t="str">
        <f t="shared" si="30"/>
        <v xml:space="preserve"> </v>
      </c>
      <c r="AR120" s="7" t="str">
        <f t="shared" si="35"/>
        <v xml:space="preserve"> </v>
      </c>
      <c r="AS120" s="7" t="str">
        <f t="shared" si="36"/>
        <v xml:space="preserve"> </v>
      </c>
      <c r="AT120" s="7" t="str">
        <f t="shared" si="37"/>
        <v xml:space="preserve"> </v>
      </c>
      <c r="AU120" s="7" t="str">
        <f t="shared" si="38"/>
        <v xml:space="preserve"> </v>
      </c>
    </row>
    <row r="121" spans="1:47">
      <c r="A121">
        <v>118</v>
      </c>
      <c r="B121" t="s">
        <v>210</v>
      </c>
      <c r="C121" t="s">
        <v>425</v>
      </c>
      <c r="D121" t="s">
        <v>485</v>
      </c>
      <c r="E121" t="s">
        <v>389</v>
      </c>
      <c r="F121" t="s">
        <v>619</v>
      </c>
      <c r="H121" t="str">
        <f>IF(ISNUMBER(VLOOKUP(C121,'OECD DAC'!B:C,2,FALSE)), "YES", " ")</f>
        <v xml:space="preserve"> </v>
      </c>
      <c r="I121">
        <v>8440</v>
      </c>
      <c r="J121">
        <v>2021</v>
      </c>
      <c r="K121" s="15">
        <f>IF(ISNUMBER(VLOOKUP(C121,'WEO GOV REV'!C:BL,58,FALSE)),(VLOOKUP(C121,'WEO GOV REV'!C:BL,58,FALSE)), " ")</f>
        <v>2254.96</v>
      </c>
      <c r="L121" s="15">
        <f>IF(ISNUMBER(VLOOKUP(C121,'WEO GOV REV'!C:BL,62,FALSE)),(VLOOKUP(C121,'WEO GOV REV'!C:BL,62,FALSE)), " ")</f>
        <v>40.982730606918658</v>
      </c>
      <c r="M121">
        <f>IF(ISNUMBER(VLOOKUP(C121,'WEO GOV REV'!C:BL,62,FALSE)),(VLOOKUP(C121,'WEO GOV REV'!C:BL,57,FALSE)), " ")</f>
        <v>2020</v>
      </c>
      <c r="N121" s="15" t="str">
        <f>IF(ISNUMBER(VLOOKUP($C121,'IMF COFOG FULL'!$B:$CM,79,FALSE)),(VLOOKUP($C121,'IMF COFOG FULL'!$B:$CM,79,FALSE)), " ")</f>
        <v xml:space="preserve"> </v>
      </c>
      <c r="O121" s="15" t="str">
        <f>IF(ISNUMBER(VLOOKUP($C121,'IMF COFOG FULL'!$B:$CM,80,FALSE)),(VLOOKUP($C121,'IMF COFOG FULL'!$B:$CM,80,FALSE)), " ")</f>
        <v xml:space="preserve"> </v>
      </c>
      <c r="P121" s="15" t="str">
        <f>IF(ISNUMBER(VLOOKUP($C121,'IMF COFOG FULL'!$B:$CM,81,FALSE)),(VLOOKUP($C121,'IMF COFOG FULL'!$B:$CM,81,FALSE)), " ")</f>
        <v xml:space="preserve"> </v>
      </c>
      <c r="Q121" s="15" t="str">
        <f>IF(ISNUMBER(VLOOKUP($C121,'IMF COFOG FULL'!$B:$CM,82,FALSE)),(VLOOKUP($C121,'IMF COFOG FULL'!$B:$CM,82,FALSE)), " ")</f>
        <v xml:space="preserve"> </v>
      </c>
      <c r="R121" s="15" t="str">
        <f>IF(ISNUMBER(VLOOKUP($C121,'IMF COFOG FULL'!$B:$CM,83,FALSE)),(VLOOKUP($C121,'IMF COFOG FULL'!$B:$CM,83,FALSE)), " ")</f>
        <v xml:space="preserve"> </v>
      </c>
      <c r="S121" s="15" t="str">
        <f>IF(ISNUMBER(VLOOKUP($C121,'IMF COFOG FULL'!$B:$CM,84,FALSE)),(VLOOKUP($C121,'IMF COFOG FULL'!$B:$CM,84,FALSE)), " ")</f>
        <v xml:space="preserve"> </v>
      </c>
      <c r="T121" s="15" t="str">
        <f>IF(ISNUMBER(VLOOKUP($C121,'IMF COFOG FULL'!$B:$CM,85,FALSE)),(VLOOKUP($C121,'IMF COFOG FULL'!$B:$CM,85,FALSE)), " ")</f>
        <v xml:space="preserve"> </v>
      </c>
      <c r="U121" s="7" t="str">
        <f>IF(ISNUMBER(VLOOKUP($C121,'IMF COFOG FULL'!$B:$CM,79,FALSE)),(VLOOKUP($C121,'IMF COFOG FULL'!$B:$CM,86,FALSE)), " ")</f>
        <v xml:space="preserve"> </v>
      </c>
      <c r="V121" s="15" t="str">
        <f>IF(ISNUMBER(VLOOKUP($C121,'IMF COFOG FULL'!$B:$CM,79,FALSE)),(VLOOKUP($C121,'IMF COFOG FULL'!$B:$CM,87,FALSE)), " ")</f>
        <v xml:space="preserve"> </v>
      </c>
      <c r="W121" s="15" t="str">
        <f t="shared" si="39"/>
        <v xml:space="preserve"> </v>
      </c>
      <c r="X121" s="15" t="str">
        <f t="shared" si="40"/>
        <v xml:space="preserve"> </v>
      </c>
      <c r="Y121" s="15" t="str">
        <f t="shared" si="41"/>
        <v xml:space="preserve"> </v>
      </c>
      <c r="Z121" s="15" t="str">
        <f t="shared" si="42"/>
        <v xml:space="preserve"> </v>
      </c>
      <c r="AA121" s="15" t="str">
        <f t="shared" si="43"/>
        <v xml:space="preserve"> </v>
      </c>
      <c r="AB121" s="15" t="str">
        <f t="shared" si="44"/>
        <v xml:space="preserve"> </v>
      </c>
      <c r="AC121" s="15" t="str">
        <f t="shared" si="45"/>
        <v xml:space="preserve"> </v>
      </c>
      <c r="AG121" s="15" t="str">
        <f>IF(ISNUMBER(VLOOKUP(C121,'National budgets summary'!A:F,5, FALSE)),(VLOOKUP(C121,'National budgets summary'!A:F,5, FALSE)), " ")</f>
        <v xml:space="preserve"> </v>
      </c>
      <c r="AH121" t="str">
        <f>IF(ISNUMBER(VLOOKUP(C121,'National budgets summary'!A:F,5, FALSE)),(VLOOKUP(C121,'National budgets summary'!A:F,4, FALSE)), " ")</f>
        <v xml:space="preserve"> </v>
      </c>
      <c r="AI121" s="15" t="str">
        <f t="shared" si="26"/>
        <v xml:space="preserve"> </v>
      </c>
      <c r="AJ121" s="15" t="str">
        <f t="shared" si="31"/>
        <v xml:space="preserve"> </v>
      </c>
      <c r="AK121" s="15" t="str">
        <f t="shared" si="32"/>
        <v/>
      </c>
      <c r="AL121" s="15" t="str">
        <f t="shared" si="33"/>
        <v/>
      </c>
      <c r="AM121" s="15" t="str">
        <f t="shared" si="34"/>
        <v/>
      </c>
      <c r="AN121" s="15" t="str">
        <f t="shared" si="27"/>
        <v xml:space="preserve"> </v>
      </c>
      <c r="AO121" s="15" t="str">
        <f t="shared" si="28"/>
        <v xml:space="preserve"> </v>
      </c>
      <c r="AP121" t="str">
        <f t="shared" si="29"/>
        <v xml:space="preserve"> </v>
      </c>
      <c r="AQ121" t="str">
        <f t="shared" si="30"/>
        <v xml:space="preserve"> </v>
      </c>
      <c r="AR121" s="7" t="str">
        <f t="shared" si="35"/>
        <v xml:space="preserve"> </v>
      </c>
      <c r="AS121" s="7" t="str">
        <f t="shared" si="36"/>
        <v xml:space="preserve"> </v>
      </c>
      <c r="AT121" s="7" t="str">
        <f t="shared" si="37"/>
        <v xml:space="preserve"> </v>
      </c>
      <c r="AU121" s="7" t="str">
        <f t="shared" si="38"/>
        <v xml:space="preserve"> </v>
      </c>
    </row>
    <row r="122" spans="1:47">
      <c r="A122">
        <v>119</v>
      </c>
      <c r="B122" t="s">
        <v>211</v>
      </c>
      <c r="C122" t="s">
        <v>426</v>
      </c>
      <c r="D122" t="s">
        <v>497</v>
      </c>
      <c r="E122" t="s">
        <v>389</v>
      </c>
      <c r="H122" t="str">
        <f>IF(ISNUMBER(VLOOKUP(C122,'OECD DAC'!B:C,2,FALSE)), "YES", " ")</f>
        <v xml:space="preserve"> </v>
      </c>
      <c r="I122">
        <v>8630</v>
      </c>
      <c r="J122">
        <v>2018</v>
      </c>
      <c r="K122" s="15" t="str">
        <f>IF(ISNUMBER(VLOOKUP(C122,'WEO GOV REV'!C:BL,58,FALSE)),(VLOOKUP(C122,'WEO GOV REV'!C:BL,58,FALSE)), " ")</f>
        <v xml:space="preserve"> </v>
      </c>
      <c r="L122" s="15" t="str">
        <f>IF(ISNUMBER(VLOOKUP(C122,'WEO GOV REV'!C:BL,62,FALSE)),(VLOOKUP(C122,'WEO GOV REV'!C:BL,62,FALSE)), " ")</f>
        <v xml:space="preserve"> </v>
      </c>
      <c r="M122" t="str">
        <f>IF(ISNUMBER(VLOOKUP(C122,'WEO GOV REV'!C:BL,62,FALSE)),(VLOOKUP(C122,'WEO GOV REV'!C:BL,57,FALSE)), " ")</f>
        <v xml:space="preserve"> </v>
      </c>
      <c r="N122" s="15" t="str">
        <f>IF(ISNUMBER(VLOOKUP($C122,'IMF COFOG FULL'!$B:$CM,79,FALSE)),(VLOOKUP($C122,'IMF COFOG FULL'!$B:$CM,79,FALSE)), " ")</f>
        <v xml:space="preserve"> </v>
      </c>
      <c r="O122" s="15" t="str">
        <f>IF(ISNUMBER(VLOOKUP($C122,'IMF COFOG FULL'!$B:$CM,80,FALSE)),(VLOOKUP($C122,'IMF COFOG FULL'!$B:$CM,80,FALSE)), " ")</f>
        <v xml:space="preserve"> </v>
      </c>
      <c r="P122" s="15" t="str">
        <f>IF(ISNUMBER(VLOOKUP($C122,'IMF COFOG FULL'!$B:$CM,81,FALSE)),(VLOOKUP($C122,'IMF COFOG FULL'!$B:$CM,81,FALSE)), " ")</f>
        <v xml:space="preserve"> </v>
      </c>
      <c r="Q122" s="15" t="str">
        <f>IF(ISNUMBER(VLOOKUP($C122,'IMF COFOG FULL'!$B:$CM,82,FALSE)),(VLOOKUP($C122,'IMF COFOG FULL'!$B:$CM,82,FALSE)), " ")</f>
        <v xml:space="preserve"> </v>
      </c>
      <c r="R122" s="15" t="str">
        <f>IF(ISNUMBER(VLOOKUP($C122,'IMF COFOG FULL'!$B:$CM,83,FALSE)),(VLOOKUP($C122,'IMF COFOG FULL'!$B:$CM,83,FALSE)), " ")</f>
        <v xml:space="preserve"> </v>
      </c>
      <c r="S122" s="15" t="str">
        <f>IF(ISNUMBER(VLOOKUP($C122,'IMF COFOG FULL'!$B:$CM,84,FALSE)),(VLOOKUP($C122,'IMF COFOG FULL'!$B:$CM,84,FALSE)), " ")</f>
        <v xml:space="preserve"> </v>
      </c>
      <c r="T122" s="15" t="str">
        <f>IF(ISNUMBER(VLOOKUP($C122,'IMF COFOG FULL'!$B:$CM,85,FALSE)),(VLOOKUP($C122,'IMF COFOG FULL'!$B:$CM,85,FALSE)), " ")</f>
        <v xml:space="preserve"> </v>
      </c>
      <c r="U122" s="7" t="str">
        <f>IF(ISNUMBER(VLOOKUP($C122,'IMF COFOG FULL'!$B:$CM,79,FALSE)),(VLOOKUP($C122,'IMF COFOG FULL'!$B:$CM,86,FALSE)), " ")</f>
        <v xml:space="preserve"> </v>
      </c>
      <c r="V122" s="15" t="str">
        <f>IF(ISNUMBER(VLOOKUP($C122,'IMF COFOG FULL'!$B:$CM,79,FALSE)),(VLOOKUP($C122,'IMF COFOG FULL'!$B:$CM,87,FALSE)), " ")</f>
        <v xml:space="preserve"> </v>
      </c>
      <c r="W122" s="15" t="str">
        <f t="shared" si="39"/>
        <v xml:space="preserve"> </v>
      </c>
      <c r="X122" s="15" t="str">
        <f t="shared" si="40"/>
        <v xml:space="preserve"> </v>
      </c>
      <c r="Y122" s="15" t="str">
        <f t="shared" si="41"/>
        <v xml:space="preserve"> </v>
      </c>
      <c r="Z122" s="15" t="str">
        <f t="shared" si="42"/>
        <v xml:space="preserve"> </v>
      </c>
      <c r="AA122" s="15" t="str">
        <f t="shared" si="43"/>
        <v xml:space="preserve"> </v>
      </c>
      <c r="AB122" s="15" t="str">
        <f t="shared" si="44"/>
        <v xml:space="preserve"> </v>
      </c>
      <c r="AC122" s="15" t="str">
        <f t="shared" si="45"/>
        <v xml:space="preserve"> </v>
      </c>
      <c r="AG122" s="15" t="str">
        <f>IF(ISNUMBER(VLOOKUP(C122,'National budgets summary'!A:F,5, FALSE)),(VLOOKUP(C122,'National budgets summary'!A:F,5, FALSE)), " ")</f>
        <v xml:space="preserve"> </v>
      </c>
      <c r="AH122" t="str">
        <f>IF(ISNUMBER(VLOOKUP(C122,'National budgets summary'!A:F,5, FALSE)),(VLOOKUP(C122,'National budgets summary'!A:F,4, FALSE)), " ")</f>
        <v xml:space="preserve"> </v>
      </c>
      <c r="AI122" s="15" t="str">
        <f t="shared" si="26"/>
        <v xml:space="preserve"> </v>
      </c>
      <c r="AJ122" s="15" t="str">
        <f t="shared" si="31"/>
        <v xml:space="preserve"> </v>
      </c>
      <c r="AK122" s="15" t="str">
        <f t="shared" si="32"/>
        <v/>
      </c>
      <c r="AL122" s="15" t="str">
        <f t="shared" si="33"/>
        <v/>
      </c>
      <c r="AM122" s="15" t="str">
        <f t="shared" si="34"/>
        <v/>
      </c>
      <c r="AN122" s="15" t="str">
        <f t="shared" si="27"/>
        <v xml:space="preserve"> </v>
      </c>
      <c r="AO122" s="15" t="str">
        <f t="shared" si="28"/>
        <v xml:space="preserve"> </v>
      </c>
      <c r="AP122" t="str">
        <f t="shared" si="29"/>
        <v xml:space="preserve"> </v>
      </c>
      <c r="AQ122" t="str">
        <f t="shared" si="30"/>
        <v xml:space="preserve"> </v>
      </c>
      <c r="AR122" s="7" t="str">
        <f t="shared" si="35"/>
        <v xml:space="preserve"> </v>
      </c>
      <c r="AS122" s="7" t="str">
        <f t="shared" si="36"/>
        <v xml:space="preserve"> </v>
      </c>
      <c r="AT122" s="7" t="str">
        <f t="shared" si="37"/>
        <v xml:space="preserve"> </v>
      </c>
      <c r="AU122" s="7" t="str">
        <f t="shared" si="38"/>
        <v xml:space="preserve"> </v>
      </c>
    </row>
    <row r="123" spans="1:47">
      <c r="A123">
        <v>120</v>
      </c>
      <c r="B123" t="s">
        <v>212</v>
      </c>
      <c r="C123" t="s">
        <v>427</v>
      </c>
      <c r="D123" t="s">
        <v>485</v>
      </c>
      <c r="E123" t="s">
        <v>389</v>
      </c>
      <c r="F123" t="s">
        <v>619</v>
      </c>
      <c r="H123" t="str">
        <f>IF(ISNUMBER(VLOOKUP(C123,'OECD DAC'!B:C,2,FALSE)), "YES", " ")</f>
        <v xml:space="preserve"> </v>
      </c>
      <c r="I123">
        <v>8720</v>
      </c>
      <c r="J123">
        <v>2021</v>
      </c>
      <c r="K123" s="15">
        <f>IF(ISNUMBER(VLOOKUP(C123,'WEO GOV REV'!C:BL,58,FALSE)),(VLOOKUP(C123,'WEO GOV REV'!C:BL,58,FALSE)), " ")</f>
        <v>15199.1</v>
      </c>
      <c r="L123" s="15">
        <f>IF(ISNUMBER(VLOOKUP(C123,'WEO GOV REV'!C:BL,62,FALSE)),(VLOOKUP(C123,'WEO GOV REV'!C:BL,62,FALSE)), " ")</f>
        <v>18.702158246116028</v>
      </c>
      <c r="M123">
        <f>IF(ISNUMBER(VLOOKUP(C123,'WEO GOV REV'!C:BL,62,FALSE)),(VLOOKUP(C123,'WEO GOV REV'!C:BL,57,FALSE)), " ")</f>
        <v>2021</v>
      </c>
      <c r="N123" s="15">
        <f>IF(ISNUMBER(VLOOKUP($C123,'IMF COFOG FULL'!$B:$CM,79,FALSE)),(VLOOKUP($C123,'IMF COFOG FULL'!$B:$CM,79,FALSE)), " ")</f>
        <v>0.93362043219370205</v>
      </c>
      <c r="O123" s="15">
        <f>IF(ISNUMBER(VLOOKUP($C123,'IMF COFOG FULL'!$B:$CM,80,FALSE)),(VLOOKUP($C123,'IMF COFOG FULL'!$B:$CM,80,FALSE)), " ")</f>
        <v>0.65576849890658295</v>
      </c>
      <c r="P123" s="15">
        <f>IF(ISNUMBER(VLOOKUP($C123,'IMF COFOG FULL'!$B:$CM,81,FALSE)),(VLOOKUP($C123,'IMF COFOG FULL'!$B:$CM,81,FALSE)), " ")</f>
        <v>2.1407937896384999E-2</v>
      </c>
      <c r="Q123" s="15">
        <f>IF(ISNUMBER(VLOOKUP($C123,'IMF COFOG FULL'!$B:$CM,82,FALSE)),(VLOOKUP($C123,'IMF COFOG FULL'!$B:$CM,82,FALSE)), " ")</f>
        <v>0.12128801277836</v>
      </c>
      <c r="R123" s="15">
        <f>IF(ISNUMBER(VLOOKUP($C123,'IMF COFOG FULL'!$B:$CM,83,FALSE)),(VLOOKUP($C123,'IMF COFOG FULL'!$B:$CM,83,FALSE)), " ")</f>
        <v>5.8114243922143899E-2</v>
      </c>
      <c r="S123" s="15">
        <f>IF(ISNUMBER(VLOOKUP($C123,'IMF COFOG FULL'!$B:$CM,84,FALSE)),(VLOOKUP($C123,'IMF COFOG FULL'!$B:$CM,84,FALSE)), " ")</f>
        <v>0</v>
      </c>
      <c r="T123" s="15">
        <f>IF(ISNUMBER(VLOOKUP($C123,'IMF COFOG FULL'!$B:$CM,85,FALSE)),(VLOOKUP($C123,'IMF COFOG FULL'!$B:$CM,85,FALSE)), " ")</f>
        <v>7.7041738690229705E-2</v>
      </c>
      <c r="U123" s="7">
        <f>IF(ISNUMBER(VLOOKUP($C123,'IMF COFOG FULL'!$B:$CM,79,FALSE)),(VLOOKUP($C123,'IMF COFOG FULL'!$B:$CM,86,FALSE)), " ")</f>
        <v>2020</v>
      </c>
      <c r="V123" s="15" t="str">
        <f>IF(ISNUMBER(VLOOKUP($C123,'IMF COFOG FULL'!$B:$CM,79,FALSE)),(VLOOKUP($C123,'IMF COFOG FULL'!$B:$CM,87,FALSE)), " ")</f>
        <v>General government</v>
      </c>
      <c r="W123" s="15">
        <f t="shared" si="39"/>
        <v>4.9920464788473904</v>
      </c>
      <c r="X123" s="15">
        <f t="shared" si="40"/>
        <v>3.506378730608644</v>
      </c>
      <c r="Y123" s="15">
        <f t="shared" si="41"/>
        <v>0.11446774011139005</v>
      </c>
      <c r="Z123" s="15">
        <f t="shared" si="42"/>
        <v>0.64852414989884122</v>
      </c>
      <c r="AA123" s="15">
        <f t="shared" si="43"/>
        <v>0.31073549457433758</v>
      </c>
      <c r="AB123" s="15">
        <f t="shared" si="44"/>
        <v>0</v>
      </c>
      <c r="AC123" s="15">
        <f t="shared" si="45"/>
        <v>0.4119403636541753</v>
      </c>
      <c r="AG123" s="15" t="str">
        <f>IF(ISNUMBER(VLOOKUP(C123,'National budgets summary'!A:F,5, FALSE)),(VLOOKUP(C123,'National budgets summary'!A:F,5, FALSE)), " ")</f>
        <v xml:space="preserve"> </v>
      </c>
      <c r="AH123" t="str">
        <f>IF(ISNUMBER(VLOOKUP(C123,'National budgets summary'!A:F,5, FALSE)),(VLOOKUP(C123,'National budgets summary'!A:F,4, FALSE)), " ")</f>
        <v xml:space="preserve"> </v>
      </c>
      <c r="AI123" s="15" t="str">
        <f t="shared" si="26"/>
        <v xml:space="preserve"> </v>
      </c>
      <c r="AJ123" s="15" t="str">
        <f t="shared" si="31"/>
        <v xml:space="preserve"> </v>
      </c>
      <c r="AK123" s="15">
        <f t="shared" si="32"/>
        <v>3.506378730608644</v>
      </c>
      <c r="AL123" s="15">
        <f t="shared" si="33"/>
        <v>0.64852414989884122</v>
      </c>
      <c r="AM123" s="15">
        <f t="shared" si="34"/>
        <v>0.31073549457433758</v>
      </c>
      <c r="AN123" s="15">
        <f t="shared" si="27"/>
        <v>4.9920464788473904</v>
      </c>
      <c r="AO123" s="15">
        <f t="shared" si="28"/>
        <v>0.93362043219370205</v>
      </c>
      <c r="AP123">
        <f t="shared" si="29"/>
        <v>2020</v>
      </c>
      <c r="AQ123" t="str">
        <f t="shared" si="30"/>
        <v>IMF COFOG</v>
      </c>
      <c r="AR123" s="7">
        <f t="shared" si="35"/>
        <v>57.18301310465403</v>
      </c>
      <c r="AS123" s="7">
        <f t="shared" si="36"/>
        <v>10.576314714272991</v>
      </c>
      <c r="AT123" s="7">
        <f t="shared" si="37"/>
        <v>5.0675620700109469</v>
      </c>
      <c r="AU123" s="7">
        <f t="shared" si="38"/>
        <v>81.411701687290815</v>
      </c>
    </row>
    <row r="124" spans="1:47">
      <c r="A124">
        <v>121</v>
      </c>
      <c r="B124" t="s">
        <v>213</v>
      </c>
      <c r="C124" t="s">
        <v>428</v>
      </c>
      <c r="D124" t="s">
        <v>485</v>
      </c>
      <c r="E124" t="s">
        <v>389</v>
      </c>
      <c r="F124" t="s">
        <v>619</v>
      </c>
      <c r="H124" t="str">
        <f>IF(ISNUMBER(VLOOKUP(C124,'OECD DAC'!B:C,2,FALSE)), "YES", " ")</f>
        <v xml:space="preserve"> </v>
      </c>
      <c r="I124">
        <v>9300</v>
      </c>
      <c r="J124">
        <v>2021</v>
      </c>
      <c r="K124" s="15">
        <f>IF(ISNUMBER(VLOOKUP(C124,'WEO GOV REV'!C:BL,58,FALSE)),(VLOOKUP(C124,'WEO GOV REV'!C:BL,58,FALSE)), " ")</f>
        <v>1.8169999999999999</v>
      </c>
      <c r="L124" s="15">
        <f>IF(ISNUMBER(VLOOKUP(C124,'WEO GOV REV'!C:BL,62,FALSE)),(VLOOKUP(C124,'WEO GOV REV'!C:BL,62,FALSE)), " ")</f>
        <v>43.406593406593409</v>
      </c>
      <c r="M124">
        <f>IF(ISNUMBER(VLOOKUP(C124,'WEO GOV REV'!C:BL,62,FALSE)),(VLOOKUP(C124,'WEO GOV REV'!C:BL,57,FALSE)), " ")</f>
        <v>2020</v>
      </c>
      <c r="N124" s="15" t="str">
        <f>IF(ISNUMBER(VLOOKUP($C124,'IMF COFOG FULL'!$B:$CM,79,FALSE)),(VLOOKUP($C124,'IMF COFOG FULL'!$B:$CM,79,FALSE)), " ")</f>
        <v xml:space="preserve"> </v>
      </c>
      <c r="O124" s="15" t="str">
        <f>IF(ISNUMBER(VLOOKUP($C124,'IMF COFOG FULL'!$B:$CM,80,FALSE)),(VLOOKUP($C124,'IMF COFOG FULL'!$B:$CM,80,FALSE)), " ")</f>
        <v xml:space="preserve"> </v>
      </c>
      <c r="P124" s="15" t="str">
        <f>IF(ISNUMBER(VLOOKUP($C124,'IMF COFOG FULL'!$B:$CM,81,FALSE)),(VLOOKUP($C124,'IMF COFOG FULL'!$B:$CM,81,FALSE)), " ")</f>
        <v xml:space="preserve"> </v>
      </c>
      <c r="Q124" s="15" t="str">
        <f>IF(ISNUMBER(VLOOKUP($C124,'IMF COFOG FULL'!$B:$CM,82,FALSE)),(VLOOKUP($C124,'IMF COFOG FULL'!$B:$CM,82,FALSE)), " ")</f>
        <v xml:space="preserve"> </v>
      </c>
      <c r="R124" s="15" t="str">
        <f>IF(ISNUMBER(VLOOKUP($C124,'IMF COFOG FULL'!$B:$CM,83,FALSE)),(VLOOKUP($C124,'IMF COFOG FULL'!$B:$CM,83,FALSE)), " ")</f>
        <v xml:space="preserve"> </v>
      </c>
      <c r="S124" s="15" t="str">
        <f>IF(ISNUMBER(VLOOKUP($C124,'IMF COFOG FULL'!$B:$CM,84,FALSE)),(VLOOKUP($C124,'IMF COFOG FULL'!$B:$CM,84,FALSE)), " ")</f>
        <v xml:space="preserve"> </v>
      </c>
      <c r="T124" s="15" t="str">
        <f>IF(ISNUMBER(VLOOKUP($C124,'IMF COFOG FULL'!$B:$CM,85,FALSE)),(VLOOKUP($C124,'IMF COFOG FULL'!$B:$CM,85,FALSE)), " ")</f>
        <v xml:space="preserve"> </v>
      </c>
      <c r="U124" s="7" t="str">
        <f>IF(ISNUMBER(VLOOKUP($C124,'IMF COFOG FULL'!$B:$CM,79,FALSE)),(VLOOKUP($C124,'IMF COFOG FULL'!$B:$CM,86,FALSE)), " ")</f>
        <v xml:space="preserve"> </v>
      </c>
      <c r="V124" s="15" t="str">
        <f>IF(ISNUMBER(VLOOKUP($C124,'IMF COFOG FULL'!$B:$CM,79,FALSE)),(VLOOKUP($C124,'IMF COFOG FULL'!$B:$CM,87,FALSE)), " ")</f>
        <v xml:space="preserve"> </v>
      </c>
      <c r="W124" s="15" t="str">
        <f t="shared" si="39"/>
        <v xml:space="preserve"> </v>
      </c>
      <c r="X124" s="15" t="str">
        <f t="shared" si="40"/>
        <v xml:space="preserve"> </v>
      </c>
      <c r="Y124" s="15" t="str">
        <f t="shared" si="41"/>
        <v xml:space="preserve"> </v>
      </c>
      <c r="Z124" s="15" t="str">
        <f t="shared" si="42"/>
        <v xml:space="preserve"> </v>
      </c>
      <c r="AA124" s="15" t="str">
        <f t="shared" si="43"/>
        <v xml:space="preserve"> </v>
      </c>
      <c r="AB124" s="15" t="str">
        <f t="shared" si="44"/>
        <v xml:space="preserve"> </v>
      </c>
      <c r="AC124" s="15" t="str">
        <f t="shared" si="45"/>
        <v xml:space="preserve"> </v>
      </c>
      <c r="AG124" s="15" t="str">
        <f>IF(ISNUMBER(VLOOKUP(C124,'National budgets summary'!A:F,5, FALSE)),(VLOOKUP(C124,'National budgets summary'!A:F,5, FALSE)), " ")</f>
        <v xml:space="preserve"> </v>
      </c>
      <c r="AH124" t="str">
        <f>IF(ISNUMBER(VLOOKUP(C124,'National budgets summary'!A:F,5, FALSE)),(VLOOKUP(C124,'National budgets summary'!A:F,4, FALSE)), " ")</f>
        <v xml:space="preserve"> </v>
      </c>
      <c r="AI124" s="15" t="str">
        <f t="shared" si="26"/>
        <v xml:space="preserve"> </v>
      </c>
      <c r="AJ124" s="15" t="str">
        <f t="shared" si="31"/>
        <v xml:space="preserve"> </v>
      </c>
      <c r="AK124" s="15" t="str">
        <f t="shared" si="32"/>
        <v/>
      </c>
      <c r="AL124" s="15" t="str">
        <f t="shared" si="33"/>
        <v/>
      </c>
      <c r="AM124" s="15" t="str">
        <f t="shared" si="34"/>
        <v/>
      </c>
      <c r="AN124" s="15" t="str">
        <f t="shared" si="27"/>
        <v xml:space="preserve"> </v>
      </c>
      <c r="AO124" s="15" t="str">
        <f t="shared" si="28"/>
        <v xml:space="preserve"> </v>
      </c>
      <c r="AP124" t="str">
        <f t="shared" si="29"/>
        <v xml:space="preserve"> </v>
      </c>
      <c r="AQ124" t="str">
        <f t="shared" si="30"/>
        <v xml:space="preserve"> </v>
      </c>
      <c r="AR124" s="7" t="str">
        <f t="shared" si="35"/>
        <v xml:space="preserve"> </v>
      </c>
      <c r="AS124" s="7" t="str">
        <f t="shared" si="36"/>
        <v xml:space="preserve"> </v>
      </c>
      <c r="AT124" s="7" t="str">
        <f t="shared" si="37"/>
        <v xml:space="preserve"> </v>
      </c>
      <c r="AU124" s="7" t="str">
        <f t="shared" si="38"/>
        <v xml:space="preserve"> </v>
      </c>
    </row>
    <row r="125" spans="1:47">
      <c r="A125">
        <v>122</v>
      </c>
      <c r="B125" t="s">
        <v>214</v>
      </c>
      <c r="C125" t="s">
        <v>429</v>
      </c>
      <c r="D125" t="s">
        <v>497</v>
      </c>
      <c r="E125" t="s">
        <v>389</v>
      </c>
      <c r="F125" t="s">
        <v>615</v>
      </c>
      <c r="G125" t="s">
        <v>616</v>
      </c>
      <c r="H125" t="str">
        <f>IF(ISNUMBER(VLOOKUP(C125,'OECD DAC'!B:C,2,FALSE)), "YES", " ")</f>
        <v xml:space="preserve"> </v>
      </c>
      <c r="I125">
        <v>9380</v>
      </c>
      <c r="J125">
        <v>2021</v>
      </c>
      <c r="K125" s="15">
        <f>IF(ISNUMBER(VLOOKUP(C125,'WEO GOV REV'!C:BL,58,FALSE)),(VLOOKUP(C125,'WEO GOV REV'!C:BL,58,FALSE)), " ")</f>
        <v>298.25099999999998</v>
      </c>
      <c r="L125" s="15">
        <f>IF(ISNUMBER(VLOOKUP(C125,'WEO GOV REV'!C:BL,62,FALSE)),(VLOOKUP(C125,'WEO GOV REV'!C:BL,62,FALSE)), " ")</f>
        <v>18.793265322839805</v>
      </c>
      <c r="M125">
        <f>IF(ISNUMBER(VLOOKUP(C125,'WEO GOV REV'!C:BL,62,FALSE)),(VLOOKUP(C125,'WEO GOV REV'!C:BL,57,FALSE)), " ")</f>
        <v>2021</v>
      </c>
      <c r="N125" s="15" t="str">
        <f>IF(ISNUMBER(VLOOKUP($C125,'IMF COFOG FULL'!$B:$CM,79,FALSE)),(VLOOKUP($C125,'IMF COFOG FULL'!$B:$CM,79,FALSE)), " ")</f>
        <v xml:space="preserve"> </v>
      </c>
      <c r="O125" s="15" t="str">
        <f>IF(ISNUMBER(VLOOKUP($C125,'IMF COFOG FULL'!$B:$CM,80,FALSE)),(VLOOKUP($C125,'IMF COFOG FULL'!$B:$CM,80,FALSE)), " ")</f>
        <v xml:space="preserve"> </v>
      </c>
      <c r="P125" s="15" t="str">
        <f>IF(ISNUMBER(VLOOKUP($C125,'IMF COFOG FULL'!$B:$CM,81,FALSE)),(VLOOKUP($C125,'IMF COFOG FULL'!$B:$CM,81,FALSE)), " ")</f>
        <v xml:space="preserve"> </v>
      </c>
      <c r="Q125" s="15" t="str">
        <f>IF(ISNUMBER(VLOOKUP($C125,'IMF COFOG FULL'!$B:$CM,82,FALSE)),(VLOOKUP($C125,'IMF COFOG FULL'!$B:$CM,82,FALSE)), " ")</f>
        <v xml:space="preserve"> </v>
      </c>
      <c r="R125" s="15" t="str">
        <f>IF(ISNUMBER(VLOOKUP($C125,'IMF COFOG FULL'!$B:$CM,83,FALSE)),(VLOOKUP($C125,'IMF COFOG FULL'!$B:$CM,83,FALSE)), " ")</f>
        <v xml:space="preserve"> </v>
      </c>
      <c r="S125" s="15" t="str">
        <f>IF(ISNUMBER(VLOOKUP($C125,'IMF COFOG FULL'!$B:$CM,84,FALSE)),(VLOOKUP($C125,'IMF COFOG FULL'!$B:$CM,84,FALSE)), " ")</f>
        <v xml:space="preserve"> </v>
      </c>
      <c r="T125" s="15" t="str">
        <f>IF(ISNUMBER(VLOOKUP($C125,'IMF COFOG FULL'!$B:$CM,85,FALSE)),(VLOOKUP($C125,'IMF COFOG FULL'!$B:$CM,85,FALSE)), " ")</f>
        <v xml:space="preserve"> </v>
      </c>
      <c r="U125" s="7" t="str">
        <f>IF(ISNUMBER(VLOOKUP($C125,'IMF COFOG FULL'!$B:$CM,79,FALSE)),(VLOOKUP($C125,'IMF COFOG FULL'!$B:$CM,86,FALSE)), " ")</f>
        <v xml:space="preserve"> </v>
      </c>
      <c r="V125" s="15" t="str">
        <f>IF(ISNUMBER(VLOOKUP($C125,'IMF COFOG FULL'!$B:$CM,79,FALSE)),(VLOOKUP($C125,'IMF COFOG FULL'!$B:$CM,87,FALSE)), " ")</f>
        <v xml:space="preserve"> </v>
      </c>
      <c r="W125" s="15" t="str">
        <f t="shared" si="39"/>
        <v xml:space="preserve"> </v>
      </c>
      <c r="X125" s="15" t="str">
        <f t="shared" si="40"/>
        <v xml:space="preserve"> </v>
      </c>
      <c r="Y125" s="15" t="str">
        <f t="shared" si="41"/>
        <v xml:space="preserve"> </v>
      </c>
      <c r="Z125" s="15" t="str">
        <f t="shared" si="42"/>
        <v xml:space="preserve"> </v>
      </c>
      <c r="AA125" s="15" t="str">
        <f t="shared" si="43"/>
        <v xml:space="preserve"> </v>
      </c>
      <c r="AB125" s="15" t="str">
        <f t="shared" si="44"/>
        <v xml:space="preserve"> </v>
      </c>
      <c r="AC125" s="15" t="str">
        <f t="shared" si="45"/>
        <v xml:space="preserve"> </v>
      </c>
      <c r="AG125" s="15" t="str">
        <f>IF(ISNUMBER(VLOOKUP(C125,'National budgets summary'!A:F,5, FALSE)),(VLOOKUP(C125,'National budgets summary'!A:F,5, FALSE)), " ")</f>
        <v xml:space="preserve"> </v>
      </c>
      <c r="AH125" t="str">
        <f>IF(ISNUMBER(VLOOKUP(C125,'National budgets summary'!A:F,5, FALSE)),(VLOOKUP(C125,'National budgets summary'!A:F,4, FALSE)), " ")</f>
        <v xml:space="preserve"> </v>
      </c>
      <c r="AI125" s="15" t="str">
        <f t="shared" si="26"/>
        <v xml:space="preserve"> </v>
      </c>
      <c r="AJ125" s="15" t="str">
        <f t="shared" si="31"/>
        <v xml:space="preserve"> </v>
      </c>
      <c r="AK125" s="15" t="str">
        <f t="shared" si="32"/>
        <v/>
      </c>
      <c r="AL125" s="15" t="str">
        <f t="shared" si="33"/>
        <v/>
      </c>
      <c r="AM125" s="15" t="str">
        <f t="shared" si="34"/>
        <v/>
      </c>
      <c r="AN125" s="15" t="str">
        <f t="shared" si="27"/>
        <v xml:space="preserve"> </v>
      </c>
      <c r="AO125" s="15" t="str">
        <f t="shared" si="28"/>
        <v xml:space="preserve"> </v>
      </c>
      <c r="AP125" t="str">
        <f t="shared" si="29"/>
        <v xml:space="preserve"> </v>
      </c>
      <c r="AQ125" t="str">
        <f t="shared" si="30"/>
        <v xml:space="preserve"> </v>
      </c>
      <c r="AR125" s="7" t="str">
        <f t="shared" si="35"/>
        <v xml:space="preserve"> </v>
      </c>
      <c r="AS125" s="7" t="str">
        <f t="shared" si="36"/>
        <v xml:space="preserve"> </v>
      </c>
      <c r="AT125" s="7" t="str">
        <f t="shared" si="37"/>
        <v xml:space="preserve"> </v>
      </c>
      <c r="AU125" s="7" t="str">
        <f t="shared" si="38"/>
        <v xml:space="preserve"> </v>
      </c>
    </row>
    <row r="126" spans="1:47">
      <c r="A126">
        <v>123</v>
      </c>
      <c r="B126" t="s">
        <v>215</v>
      </c>
      <c r="C126" t="s">
        <v>430</v>
      </c>
      <c r="D126" t="s">
        <v>497</v>
      </c>
      <c r="E126" t="s">
        <v>389</v>
      </c>
      <c r="F126" t="s">
        <v>619</v>
      </c>
      <c r="H126" t="str">
        <f>IF(ISNUMBER(VLOOKUP(C126,'OECD DAC'!B:C,2,FALSE)), "YES", " ")</f>
        <v xml:space="preserve"> </v>
      </c>
      <c r="I126">
        <v>9380</v>
      </c>
      <c r="J126">
        <v>2021</v>
      </c>
      <c r="K126" s="15">
        <f>IF(ISNUMBER(VLOOKUP(C126,'WEO GOV REV'!C:BL,58,FALSE)),(VLOOKUP(C126,'WEO GOV REV'!C:BL,58,FALSE)), " ")</f>
        <v>6122.6</v>
      </c>
      <c r="L126" s="15">
        <f>IF(ISNUMBER(VLOOKUP(C126,'WEO GOV REV'!C:BL,62,FALSE)),(VLOOKUP(C126,'WEO GOV REV'!C:BL,62,FALSE)), " ")</f>
        <v>23.324821357072896</v>
      </c>
      <c r="M126">
        <f>IF(ISNUMBER(VLOOKUP(C126,'WEO GOV REV'!C:BL,62,FALSE)),(VLOOKUP(C126,'WEO GOV REV'!C:BL,57,FALSE)), " ")</f>
        <v>2021</v>
      </c>
      <c r="N126" s="15" t="str">
        <f>IF(ISNUMBER(VLOOKUP($C126,'IMF COFOG FULL'!$B:$CM,79,FALSE)),(VLOOKUP($C126,'IMF COFOG FULL'!$B:$CM,79,FALSE)), " ")</f>
        <v xml:space="preserve"> </v>
      </c>
      <c r="O126" s="15" t="str">
        <f>IF(ISNUMBER(VLOOKUP($C126,'IMF COFOG FULL'!$B:$CM,80,FALSE)),(VLOOKUP($C126,'IMF COFOG FULL'!$B:$CM,80,FALSE)), " ")</f>
        <v xml:space="preserve"> </v>
      </c>
      <c r="P126" s="15" t="str">
        <f>IF(ISNUMBER(VLOOKUP($C126,'IMF COFOG FULL'!$B:$CM,81,FALSE)),(VLOOKUP($C126,'IMF COFOG FULL'!$B:$CM,81,FALSE)), " ")</f>
        <v xml:space="preserve"> </v>
      </c>
      <c r="Q126" s="15" t="str">
        <f>IF(ISNUMBER(VLOOKUP($C126,'IMF COFOG FULL'!$B:$CM,82,FALSE)),(VLOOKUP($C126,'IMF COFOG FULL'!$B:$CM,82,FALSE)), " ")</f>
        <v xml:space="preserve"> </v>
      </c>
      <c r="R126" s="15" t="str">
        <f>IF(ISNUMBER(VLOOKUP($C126,'IMF COFOG FULL'!$B:$CM,83,FALSE)),(VLOOKUP($C126,'IMF COFOG FULL'!$B:$CM,83,FALSE)), " ")</f>
        <v xml:space="preserve"> </v>
      </c>
      <c r="S126" s="15" t="str">
        <f>IF(ISNUMBER(VLOOKUP($C126,'IMF COFOG FULL'!$B:$CM,84,FALSE)),(VLOOKUP($C126,'IMF COFOG FULL'!$B:$CM,84,FALSE)), " ")</f>
        <v xml:space="preserve"> </v>
      </c>
      <c r="T126" s="15" t="str">
        <f>IF(ISNUMBER(VLOOKUP($C126,'IMF COFOG FULL'!$B:$CM,85,FALSE)),(VLOOKUP($C126,'IMF COFOG FULL'!$B:$CM,85,FALSE)), " ")</f>
        <v xml:space="preserve"> </v>
      </c>
      <c r="U126" s="7" t="str">
        <f>IF(ISNUMBER(VLOOKUP($C126,'IMF COFOG FULL'!$B:$CM,79,FALSE)),(VLOOKUP($C126,'IMF COFOG FULL'!$B:$CM,86,FALSE)), " ")</f>
        <v xml:space="preserve"> </v>
      </c>
      <c r="V126" s="15" t="str">
        <f>IF(ISNUMBER(VLOOKUP($C126,'IMF COFOG FULL'!$B:$CM,79,FALSE)),(VLOOKUP($C126,'IMF COFOG FULL'!$B:$CM,87,FALSE)), " ")</f>
        <v xml:space="preserve"> </v>
      </c>
      <c r="W126" s="15" t="str">
        <f t="shared" si="39"/>
        <v xml:space="preserve"> </v>
      </c>
      <c r="X126" s="15" t="str">
        <f t="shared" si="40"/>
        <v xml:space="preserve"> </v>
      </c>
      <c r="Y126" s="15" t="str">
        <f t="shared" si="41"/>
        <v xml:space="preserve"> </v>
      </c>
      <c r="Z126" s="15" t="str">
        <f t="shared" si="42"/>
        <v xml:space="preserve"> </v>
      </c>
      <c r="AA126" s="15" t="str">
        <f t="shared" si="43"/>
        <v xml:space="preserve"> </v>
      </c>
      <c r="AB126" s="15" t="str">
        <f t="shared" si="44"/>
        <v xml:space="preserve"> </v>
      </c>
      <c r="AC126" s="15" t="str">
        <f t="shared" si="45"/>
        <v xml:space="preserve"> </v>
      </c>
      <c r="AG126" s="15" t="str">
        <f>IF(ISNUMBER(VLOOKUP(C126,'National budgets summary'!A:F,5, FALSE)),(VLOOKUP(C126,'National budgets summary'!A:F,5, FALSE)), " ")</f>
        <v xml:space="preserve"> </v>
      </c>
      <c r="AH126" t="str">
        <f>IF(ISNUMBER(VLOOKUP(C126,'National budgets summary'!A:F,5, FALSE)),(VLOOKUP(C126,'National budgets summary'!A:F,4, FALSE)), " ")</f>
        <v xml:space="preserve"> </v>
      </c>
      <c r="AI126" s="15" t="str">
        <f t="shared" si="26"/>
        <v xml:space="preserve"> </v>
      </c>
      <c r="AJ126" s="15" t="str">
        <f t="shared" si="31"/>
        <v xml:space="preserve"> </v>
      </c>
      <c r="AK126" s="15" t="str">
        <f t="shared" si="32"/>
        <v/>
      </c>
      <c r="AL126" s="15" t="str">
        <f t="shared" si="33"/>
        <v/>
      </c>
      <c r="AM126" s="15" t="str">
        <f t="shared" si="34"/>
        <v/>
      </c>
      <c r="AN126" s="15" t="str">
        <f t="shared" si="27"/>
        <v xml:space="preserve"> </v>
      </c>
      <c r="AO126" s="15" t="str">
        <f t="shared" si="28"/>
        <v xml:space="preserve"> </v>
      </c>
      <c r="AP126" t="str">
        <f t="shared" si="29"/>
        <v xml:space="preserve"> </v>
      </c>
      <c r="AQ126" t="str">
        <f t="shared" si="30"/>
        <v xml:space="preserve"> </v>
      </c>
      <c r="AR126" s="7" t="str">
        <f t="shared" si="35"/>
        <v xml:space="preserve"> </v>
      </c>
      <c r="AS126" s="7" t="str">
        <f t="shared" si="36"/>
        <v xml:space="preserve"> </v>
      </c>
      <c r="AT126" s="7" t="str">
        <f t="shared" si="37"/>
        <v xml:space="preserve"> </v>
      </c>
      <c r="AU126" s="7" t="str">
        <f t="shared" si="38"/>
        <v xml:space="preserve"> </v>
      </c>
    </row>
    <row r="127" spans="1:47">
      <c r="A127">
        <v>124</v>
      </c>
      <c r="B127" t="s">
        <v>216</v>
      </c>
      <c r="C127" t="s">
        <v>431</v>
      </c>
      <c r="D127" t="s">
        <v>497</v>
      </c>
      <c r="E127" t="s">
        <v>389</v>
      </c>
      <c r="F127" t="s">
        <v>617</v>
      </c>
      <c r="H127" t="str">
        <f>IF(ISNUMBER(VLOOKUP(C127,'OECD DAC'!B:C,2,FALSE)), "YES", " ")</f>
        <v xml:space="preserve"> </v>
      </c>
      <c r="I127">
        <v>9630</v>
      </c>
      <c r="J127">
        <v>2021</v>
      </c>
      <c r="K127" s="15">
        <f>IF(ISNUMBER(VLOOKUP(C127,'WEO GOV REV'!C:BL,58,FALSE)),(VLOOKUP(C127,'WEO GOV REV'!C:BL,58,FALSE)), " ")</f>
        <v>0.79300000000000004</v>
      </c>
      <c r="L127" s="15">
        <f>IF(ISNUMBER(VLOOKUP(C127,'WEO GOV REV'!C:BL,62,FALSE)),(VLOOKUP(C127,'WEO GOV REV'!C:BL,62,FALSE)), " ")</f>
        <v>28.150514731984384</v>
      </c>
      <c r="M127">
        <f>IF(ISNUMBER(VLOOKUP(C127,'WEO GOV REV'!C:BL,62,FALSE)),(VLOOKUP(C127,'WEO GOV REV'!C:BL,57,FALSE)), " ")</f>
        <v>2020</v>
      </c>
      <c r="N127" s="15" t="str">
        <f>IF(ISNUMBER(VLOOKUP($C127,'IMF COFOG FULL'!$B:$CM,79,FALSE)),(VLOOKUP($C127,'IMF COFOG FULL'!$B:$CM,79,FALSE)), " ")</f>
        <v xml:space="preserve"> </v>
      </c>
      <c r="O127" s="15" t="str">
        <f>IF(ISNUMBER(VLOOKUP($C127,'IMF COFOG FULL'!$B:$CM,80,FALSE)),(VLOOKUP($C127,'IMF COFOG FULL'!$B:$CM,80,FALSE)), " ")</f>
        <v xml:space="preserve"> </v>
      </c>
      <c r="P127" s="15" t="str">
        <f>IF(ISNUMBER(VLOOKUP($C127,'IMF COFOG FULL'!$B:$CM,81,FALSE)),(VLOOKUP($C127,'IMF COFOG FULL'!$B:$CM,81,FALSE)), " ")</f>
        <v xml:space="preserve"> </v>
      </c>
      <c r="Q127" s="15" t="str">
        <f>IF(ISNUMBER(VLOOKUP($C127,'IMF COFOG FULL'!$B:$CM,82,FALSE)),(VLOOKUP($C127,'IMF COFOG FULL'!$B:$CM,82,FALSE)), " ")</f>
        <v xml:space="preserve"> </v>
      </c>
      <c r="R127" s="15" t="str">
        <f>IF(ISNUMBER(VLOOKUP($C127,'IMF COFOG FULL'!$B:$CM,83,FALSE)),(VLOOKUP($C127,'IMF COFOG FULL'!$B:$CM,83,FALSE)), " ")</f>
        <v xml:space="preserve"> </v>
      </c>
      <c r="S127" s="15" t="str">
        <f>IF(ISNUMBER(VLOOKUP($C127,'IMF COFOG FULL'!$B:$CM,84,FALSE)),(VLOOKUP($C127,'IMF COFOG FULL'!$B:$CM,84,FALSE)), " ")</f>
        <v xml:space="preserve"> </v>
      </c>
      <c r="T127" s="15" t="str">
        <f>IF(ISNUMBER(VLOOKUP($C127,'IMF COFOG FULL'!$B:$CM,85,FALSE)),(VLOOKUP($C127,'IMF COFOG FULL'!$B:$CM,85,FALSE)), " ")</f>
        <v xml:space="preserve"> </v>
      </c>
      <c r="U127" s="7" t="str">
        <f>IF(ISNUMBER(VLOOKUP($C127,'IMF COFOG FULL'!$B:$CM,79,FALSE)),(VLOOKUP($C127,'IMF COFOG FULL'!$B:$CM,86,FALSE)), " ")</f>
        <v xml:space="preserve"> </v>
      </c>
      <c r="V127" s="15" t="str">
        <f>IF(ISNUMBER(VLOOKUP($C127,'IMF COFOG FULL'!$B:$CM,79,FALSE)),(VLOOKUP($C127,'IMF COFOG FULL'!$B:$CM,87,FALSE)), " ")</f>
        <v xml:space="preserve"> </v>
      </c>
      <c r="W127" s="15" t="str">
        <f t="shared" si="39"/>
        <v xml:space="preserve"> </v>
      </c>
      <c r="X127" s="15" t="str">
        <f t="shared" si="40"/>
        <v xml:space="preserve"> </v>
      </c>
      <c r="Y127" s="15" t="str">
        <f t="shared" si="41"/>
        <v xml:space="preserve"> </v>
      </c>
      <c r="Z127" s="15" t="str">
        <f t="shared" si="42"/>
        <v xml:space="preserve"> </v>
      </c>
      <c r="AA127" s="15" t="str">
        <f t="shared" si="43"/>
        <v xml:space="preserve"> </v>
      </c>
      <c r="AB127" s="15" t="str">
        <f t="shared" si="44"/>
        <v xml:space="preserve"> </v>
      </c>
      <c r="AC127" s="15" t="str">
        <f t="shared" si="45"/>
        <v xml:space="preserve"> </v>
      </c>
      <c r="AG127" s="15" t="str">
        <f>IF(ISNUMBER(VLOOKUP(C127,'National budgets summary'!A:F,5, FALSE)),(VLOOKUP(C127,'National budgets summary'!A:F,5, FALSE)), " ")</f>
        <v xml:space="preserve"> </v>
      </c>
      <c r="AH127" t="str">
        <f>IF(ISNUMBER(VLOOKUP(C127,'National budgets summary'!A:F,5, FALSE)),(VLOOKUP(C127,'National budgets summary'!A:F,4, FALSE)), " ")</f>
        <v xml:space="preserve"> </v>
      </c>
      <c r="AI127" s="15" t="str">
        <f t="shared" si="26"/>
        <v xml:space="preserve"> </v>
      </c>
      <c r="AJ127" s="15" t="str">
        <f t="shared" si="31"/>
        <v xml:space="preserve"> </v>
      </c>
      <c r="AK127" s="15" t="str">
        <f t="shared" si="32"/>
        <v/>
      </c>
      <c r="AL127" s="15" t="str">
        <f t="shared" si="33"/>
        <v/>
      </c>
      <c r="AM127" s="15" t="str">
        <f t="shared" si="34"/>
        <v/>
      </c>
      <c r="AN127" s="15" t="str">
        <f t="shared" si="27"/>
        <v xml:space="preserve"> </v>
      </c>
      <c r="AO127" s="15" t="str">
        <f t="shared" si="28"/>
        <v xml:space="preserve"> </v>
      </c>
      <c r="AP127" t="str">
        <f t="shared" si="29"/>
        <v xml:space="preserve"> </v>
      </c>
      <c r="AQ127" t="str">
        <f t="shared" si="30"/>
        <v xml:space="preserve"> </v>
      </c>
      <c r="AR127" s="7" t="str">
        <f t="shared" si="35"/>
        <v xml:space="preserve"> </v>
      </c>
      <c r="AS127" s="7" t="str">
        <f t="shared" si="36"/>
        <v xml:space="preserve"> </v>
      </c>
      <c r="AT127" s="7" t="str">
        <f t="shared" si="37"/>
        <v xml:space="preserve"> </v>
      </c>
      <c r="AU127" s="7" t="str">
        <f t="shared" si="38"/>
        <v xml:space="preserve"> </v>
      </c>
    </row>
    <row r="128" spans="1:47">
      <c r="A128">
        <v>125</v>
      </c>
      <c r="B128" t="s">
        <v>217</v>
      </c>
      <c r="C128" t="s">
        <v>432</v>
      </c>
      <c r="D128" t="s">
        <v>497</v>
      </c>
      <c r="E128" t="s">
        <v>389</v>
      </c>
      <c r="F128" t="s">
        <v>617</v>
      </c>
      <c r="H128" t="str">
        <f>IF(ISNUMBER(VLOOKUP(C128,'OECD DAC'!B:C,2,FALSE)), "YES", " ")</f>
        <v xml:space="preserve"> </v>
      </c>
      <c r="I128">
        <v>9680</v>
      </c>
      <c r="J128">
        <v>2021</v>
      </c>
      <c r="K128" s="15">
        <f>IF(ISNUMBER(VLOOKUP(C128,'WEO GOV REV'!C:BL,58,FALSE)),(VLOOKUP(C128,'WEO GOV REV'!C:BL,58,FALSE)), " ")</f>
        <v>0.94399999999999995</v>
      </c>
      <c r="L128" s="15">
        <f>IF(ISNUMBER(VLOOKUP(C128,'WEO GOV REV'!C:BL,62,FALSE)),(VLOOKUP(C128,'WEO GOV REV'!C:BL,62,FALSE)), " ")</f>
        <v>21.626575028636882</v>
      </c>
      <c r="M128">
        <f>IF(ISNUMBER(VLOOKUP(C128,'WEO GOV REV'!C:BL,62,FALSE)),(VLOOKUP(C128,'WEO GOV REV'!C:BL,57,FALSE)), " ")</f>
        <v>2020</v>
      </c>
      <c r="N128" s="15" t="str">
        <f>IF(ISNUMBER(VLOOKUP($C128,'IMF COFOG FULL'!$B:$CM,79,FALSE)),(VLOOKUP($C128,'IMF COFOG FULL'!$B:$CM,79,FALSE)), " ")</f>
        <v xml:space="preserve"> </v>
      </c>
      <c r="O128" s="15" t="str">
        <f>IF(ISNUMBER(VLOOKUP($C128,'IMF COFOG FULL'!$B:$CM,80,FALSE)),(VLOOKUP($C128,'IMF COFOG FULL'!$B:$CM,80,FALSE)), " ")</f>
        <v xml:space="preserve"> </v>
      </c>
      <c r="P128" s="15" t="str">
        <f>IF(ISNUMBER(VLOOKUP($C128,'IMF COFOG FULL'!$B:$CM,81,FALSE)),(VLOOKUP($C128,'IMF COFOG FULL'!$B:$CM,81,FALSE)), " ")</f>
        <v xml:space="preserve"> </v>
      </c>
      <c r="Q128" s="15" t="str">
        <f>IF(ISNUMBER(VLOOKUP($C128,'IMF COFOG FULL'!$B:$CM,82,FALSE)),(VLOOKUP($C128,'IMF COFOG FULL'!$B:$CM,82,FALSE)), " ")</f>
        <v xml:space="preserve"> </v>
      </c>
      <c r="R128" s="15" t="str">
        <f>IF(ISNUMBER(VLOOKUP($C128,'IMF COFOG FULL'!$B:$CM,83,FALSE)),(VLOOKUP($C128,'IMF COFOG FULL'!$B:$CM,83,FALSE)), " ")</f>
        <v xml:space="preserve"> </v>
      </c>
      <c r="S128" s="15" t="str">
        <f>IF(ISNUMBER(VLOOKUP($C128,'IMF COFOG FULL'!$B:$CM,84,FALSE)),(VLOOKUP($C128,'IMF COFOG FULL'!$B:$CM,84,FALSE)), " ")</f>
        <v xml:space="preserve"> </v>
      </c>
      <c r="T128" s="15" t="str">
        <f>IF(ISNUMBER(VLOOKUP($C128,'IMF COFOG FULL'!$B:$CM,85,FALSE)),(VLOOKUP($C128,'IMF COFOG FULL'!$B:$CM,85,FALSE)), " ")</f>
        <v xml:space="preserve"> </v>
      </c>
      <c r="U128" s="7" t="str">
        <f>IF(ISNUMBER(VLOOKUP($C128,'IMF COFOG FULL'!$B:$CM,79,FALSE)),(VLOOKUP($C128,'IMF COFOG FULL'!$B:$CM,86,FALSE)), " ")</f>
        <v xml:space="preserve"> </v>
      </c>
      <c r="V128" s="15" t="str">
        <f>IF(ISNUMBER(VLOOKUP($C128,'IMF COFOG FULL'!$B:$CM,79,FALSE)),(VLOOKUP($C128,'IMF COFOG FULL'!$B:$CM,87,FALSE)), " ")</f>
        <v xml:space="preserve"> </v>
      </c>
      <c r="W128" s="15" t="str">
        <f t="shared" si="39"/>
        <v xml:space="preserve"> </v>
      </c>
      <c r="X128" s="15" t="str">
        <f t="shared" si="40"/>
        <v xml:space="preserve"> </v>
      </c>
      <c r="Y128" s="15" t="str">
        <f t="shared" si="41"/>
        <v xml:space="preserve"> </v>
      </c>
      <c r="Z128" s="15" t="str">
        <f t="shared" si="42"/>
        <v xml:space="preserve"> </v>
      </c>
      <c r="AA128" s="15" t="str">
        <f t="shared" si="43"/>
        <v xml:space="preserve"> </v>
      </c>
      <c r="AB128" s="15" t="str">
        <f t="shared" si="44"/>
        <v xml:space="preserve"> </v>
      </c>
      <c r="AC128" s="15" t="str">
        <f t="shared" si="45"/>
        <v xml:space="preserve"> </v>
      </c>
      <c r="AG128" s="15" t="str">
        <f>IF(ISNUMBER(VLOOKUP(C128,'National budgets summary'!A:F,5, FALSE)),(VLOOKUP(C128,'National budgets summary'!A:F,5, FALSE)), " ")</f>
        <v xml:space="preserve"> </v>
      </c>
      <c r="AH128" t="str">
        <f>IF(ISNUMBER(VLOOKUP(C128,'National budgets summary'!A:F,5, FALSE)),(VLOOKUP(C128,'National budgets summary'!A:F,4, FALSE)), " ")</f>
        <v xml:space="preserve"> </v>
      </c>
      <c r="AI128" s="15" t="str">
        <f t="shared" si="26"/>
        <v xml:space="preserve"> </v>
      </c>
      <c r="AJ128" s="15" t="str">
        <f t="shared" si="31"/>
        <v xml:space="preserve"> </v>
      </c>
      <c r="AK128" s="15" t="str">
        <f t="shared" si="32"/>
        <v/>
      </c>
      <c r="AL128" s="15" t="str">
        <f t="shared" si="33"/>
        <v/>
      </c>
      <c r="AM128" s="15" t="str">
        <f t="shared" si="34"/>
        <v/>
      </c>
      <c r="AN128" s="15" t="str">
        <f t="shared" si="27"/>
        <v xml:space="preserve"> </v>
      </c>
      <c r="AO128" s="15" t="str">
        <f t="shared" si="28"/>
        <v xml:space="preserve"> </v>
      </c>
      <c r="AP128" t="str">
        <f t="shared" si="29"/>
        <v xml:space="preserve"> </v>
      </c>
      <c r="AQ128" t="str">
        <f t="shared" si="30"/>
        <v xml:space="preserve"> </v>
      </c>
      <c r="AR128" s="7" t="str">
        <f t="shared" si="35"/>
        <v xml:space="preserve"> </v>
      </c>
      <c r="AS128" s="7" t="str">
        <f t="shared" si="36"/>
        <v xml:space="preserve"> </v>
      </c>
      <c r="AT128" s="7" t="str">
        <f t="shared" si="37"/>
        <v xml:space="preserve"> </v>
      </c>
      <c r="AU128" s="7" t="str">
        <f t="shared" si="38"/>
        <v xml:space="preserve"> </v>
      </c>
    </row>
    <row r="129" spans="1:47">
      <c r="A129">
        <v>126</v>
      </c>
      <c r="B129" t="s">
        <v>218</v>
      </c>
      <c r="C129" t="s">
        <v>433</v>
      </c>
      <c r="D129" t="s">
        <v>485</v>
      </c>
      <c r="E129" t="s">
        <v>389</v>
      </c>
      <c r="F129" t="s">
        <v>619</v>
      </c>
      <c r="H129" t="str">
        <f>IF(ISNUMBER(VLOOKUP(C129,'OECD DAC'!B:C,2,FALSE)), "YES", " ")</f>
        <v xml:space="preserve"> </v>
      </c>
      <c r="I129">
        <v>9830</v>
      </c>
      <c r="J129">
        <v>2021</v>
      </c>
      <c r="K129" s="15">
        <f>IF(ISNUMBER(VLOOKUP(C129,'WEO GOV REV'!C:BL,58,FALSE)),(VLOOKUP(C129,'WEO GOV REV'!C:BL,58,FALSE)), " ")</f>
        <v>2005.97</v>
      </c>
      <c r="L129" s="15">
        <f>IF(ISNUMBER(VLOOKUP(C129,'WEO GOV REV'!C:BL,62,FALSE)),(VLOOKUP(C129,'WEO GOV REV'!C:BL,62,FALSE)), " ")</f>
        <v>28.040308196391329</v>
      </c>
      <c r="M129">
        <f>IF(ISNUMBER(VLOOKUP(C129,'WEO GOV REV'!C:BL,62,FALSE)),(VLOOKUP(C129,'WEO GOV REV'!C:BL,57,FALSE)), " ")</f>
        <v>2021</v>
      </c>
      <c r="N129" s="15">
        <f>IF(ISNUMBER(VLOOKUP($C129,'IMF COFOG FULL'!$B:$CM,79,FALSE)),(VLOOKUP($C129,'IMF COFOG FULL'!$B:$CM,79,FALSE)), " ")</f>
        <v>2.2417793496787302</v>
      </c>
      <c r="O129" s="15">
        <f>IF(ISNUMBER(VLOOKUP($C129,'IMF COFOG FULL'!$B:$CM,80,FALSE)),(VLOOKUP($C129,'IMF COFOG FULL'!$B:$CM,80,FALSE)), " ")</f>
        <v>1.4669880424204</v>
      </c>
      <c r="P129" s="15">
        <f>IF(ISNUMBER(VLOOKUP($C129,'IMF COFOG FULL'!$B:$CM,81,FALSE)),(VLOOKUP($C129,'IMF COFOG FULL'!$B:$CM,81,FALSE)), " ")</f>
        <v>3.8843294513619397E-2</v>
      </c>
      <c r="Q129" s="15">
        <f>IF(ISNUMBER(VLOOKUP($C129,'IMF COFOG FULL'!$B:$CM,82,FALSE)),(VLOOKUP($C129,'IMF COFOG FULL'!$B:$CM,82,FALSE)), " ")</f>
        <v>0.30295487308979002</v>
      </c>
      <c r="R129" s="15">
        <f>IF(ISNUMBER(VLOOKUP($C129,'IMF COFOG FULL'!$B:$CM,83,FALSE)),(VLOOKUP($C129,'IMF COFOG FULL'!$B:$CM,83,FALSE)), " ")</f>
        <v>0.285792161286196</v>
      </c>
      <c r="S129" s="15">
        <f>IF(ISNUMBER(VLOOKUP($C129,'IMF COFOG FULL'!$B:$CM,84,FALSE)),(VLOOKUP($C129,'IMF COFOG FULL'!$B:$CM,84,FALSE)), " ")</f>
        <v>2.5935066212984497E-4</v>
      </c>
      <c r="T129" s="15">
        <f>IF(ISNUMBER(VLOOKUP($C129,'IMF COFOG FULL'!$B:$CM,85,FALSE)),(VLOOKUP($C129,'IMF COFOG FULL'!$B:$CM,85,FALSE)), " ")</f>
        <v>0.146941627706591</v>
      </c>
      <c r="U129" s="7">
        <f>IF(ISNUMBER(VLOOKUP($C129,'IMF COFOG FULL'!$B:$CM,79,FALSE)),(VLOOKUP($C129,'IMF COFOG FULL'!$B:$CM,86,FALSE)), " ")</f>
        <v>2020</v>
      </c>
      <c r="V129" s="15" t="str">
        <f>IF(ISNUMBER(VLOOKUP($C129,'IMF COFOG FULL'!$B:$CM,79,FALSE)),(VLOOKUP($C129,'IMF COFOG FULL'!$B:$CM,87,FALSE)), " ")</f>
        <v>General government</v>
      </c>
      <c r="W129" s="15">
        <f t="shared" si="39"/>
        <v>7.9948456128853733</v>
      </c>
      <c r="X129" s="15">
        <f t="shared" si="40"/>
        <v>5.2317115494800275</v>
      </c>
      <c r="Y129" s="15">
        <f t="shared" si="41"/>
        <v>0.13852663188137984</v>
      </c>
      <c r="Z129" s="15">
        <f t="shared" si="42"/>
        <v>1.0804263311513069</v>
      </c>
      <c r="AA129" s="15">
        <f t="shared" si="43"/>
        <v>1.0192190445430849</v>
      </c>
      <c r="AB129" s="15">
        <f t="shared" si="44"/>
        <v>9.2492086860593889E-4</v>
      </c>
      <c r="AC129" s="15">
        <f t="shared" si="45"/>
        <v>0.52403713496095516</v>
      </c>
      <c r="AG129" s="15" t="str">
        <f>IF(ISNUMBER(VLOOKUP(C129,'National budgets summary'!A:F,5, FALSE)),(VLOOKUP(C129,'National budgets summary'!A:F,5, FALSE)), " ")</f>
        <v xml:space="preserve"> </v>
      </c>
      <c r="AH129" t="str">
        <f>IF(ISNUMBER(VLOOKUP(C129,'National budgets summary'!A:F,5, FALSE)),(VLOOKUP(C129,'National budgets summary'!A:F,4, FALSE)), " ")</f>
        <v xml:space="preserve"> </v>
      </c>
      <c r="AI129" s="15" t="str">
        <f t="shared" si="26"/>
        <v xml:space="preserve"> </v>
      </c>
      <c r="AJ129" s="15" t="str">
        <f t="shared" si="31"/>
        <v xml:space="preserve"> </v>
      </c>
      <c r="AK129" s="15">
        <f t="shared" si="32"/>
        <v>5.2317115494800275</v>
      </c>
      <c r="AL129" s="15">
        <f t="shared" si="33"/>
        <v>1.0804263311513069</v>
      </c>
      <c r="AM129" s="15">
        <f t="shared" si="34"/>
        <v>1.0192190445430849</v>
      </c>
      <c r="AN129" s="15">
        <f t="shared" si="27"/>
        <v>7.9948456128853733</v>
      </c>
      <c r="AO129" s="15">
        <f t="shared" si="28"/>
        <v>2.2417793496787302</v>
      </c>
      <c r="AP129">
        <f t="shared" si="29"/>
        <v>2020</v>
      </c>
      <c r="AQ129" t="str">
        <f t="shared" si="30"/>
        <v>IMF COFOG</v>
      </c>
      <c r="AR129" s="7">
        <f t="shared" si="35"/>
        <v>144.20492456992531</v>
      </c>
      <c r="AS129" s="7">
        <f t="shared" si="36"/>
        <v>29.78046402472636</v>
      </c>
      <c r="AT129" s="7">
        <f t="shared" si="37"/>
        <v>28.093369454433066</v>
      </c>
      <c r="AU129" s="7">
        <f t="shared" si="38"/>
        <v>220.36691007341915</v>
      </c>
    </row>
    <row r="130" spans="1:47">
      <c r="A130">
        <v>127</v>
      </c>
      <c r="B130" t="s">
        <v>219</v>
      </c>
      <c r="C130" t="s">
        <v>434</v>
      </c>
      <c r="D130" t="s">
        <v>497</v>
      </c>
      <c r="E130" t="s">
        <v>389</v>
      </c>
      <c r="F130" t="s">
        <v>619</v>
      </c>
      <c r="H130" t="str">
        <f>IF(ISNUMBER(VLOOKUP(C130,'OECD DAC'!B:C,2,FALSE)), "YES", " ")</f>
        <v xml:space="preserve"> </v>
      </c>
      <c r="I130">
        <v>10050</v>
      </c>
      <c r="J130">
        <v>2021</v>
      </c>
      <c r="K130" s="15">
        <f>IF(ISNUMBER(VLOOKUP(C130,'WEO GOV REV'!C:BL,58,FALSE)),(VLOOKUP(C130,'WEO GOV REV'!C:BL,58,FALSE)), " ")</f>
        <v>15569.46</v>
      </c>
      <c r="L130" s="15">
        <f>IF(ISNUMBER(VLOOKUP(C130,'WEO GOV REV'!C:BL,62,FALSE)),(VLOOKUP(C130,'WEO GOV REV'!C:BL,62,FALSE)), " ")</f>
        <v>33.50935862541867</v>
      </c>
      <c r="M130">
        <f>IF(ISNUMBER(VLOOKUP(C130,'WEO GOV REV'!C:BL,62,FALSE)),(VLOOKUP(C130,'WEO GOV REV'!C:BL,57,FALSE)), " ")</f>
        <v>2021</v>
      </c>
      <c r="N130" s="15">
        <f>IF(ISNUMBER(VLOOKUP($C130,'IMF COFOG FULL'!$B:$CM,79,FALSE)),(VLOOKUP($C130,'IMF COFOG FULL'!$B:$CM,79,FALSE)), " ")</f>
        <v>0.96359496051669302</v>
      </c>
      <c r="O130" s="15">
        <f>IF(ISNUMBER(VLOOKUP($C130,'IMF COFOG FULL'!$B:$CM,80,FALSE)),(VLOOKUP($C130,'IMF COFOG FULL'!$B:$CM,80,FALSE)), " ")</f>
        <v>0.45192927001642702</v>
      </c>
      <c r="P130" s="15">
        <f>IF(ISNUMBER(VLOOKUP($C130,'IMF COFOG FULL'!$B:$CM,81,FALSE)),(VLOOKUP($C130,'IMF COFOG FULL'!$B:$CM,81,FALSE)), " ")</f>
        <v>0</v>
      </c>
      <c r="Q130" s="15">
        <f>IF(ISNUMBER(VLOOKUP($C130,'IMF COFOG FULL'!$B:$CM,82,FALSE)),(VLOOKUP($C130,'IMF COFOG FULL'!$B:$CM,82,FALSE)), " ")</f>
        <v>0.391518552682173</v>
      </c>
      <c r="R130" s="15">
        <f>IF(ISNUMBER(VLOOKUP($C130,'IMF COFOG FULL'!$B:$CM,83,FALSE)),(VLOOKUP($C130,'IMF COFOG FULL'!$B:$CM,83,FALSE)), " ")</f>
        <v>8.6929039525411603E-2</v>
      </c>
      <c r="S130" s="15">
        <f>IF(ISNUMBER(VLOOKUP($C130,'IMF COFOG FULL'!$B:$CM,84,FALSE)),(VLOOKUP($C130,'IMF COFOG FULL'!$B:$CM,84,FALSE)), " ")</f>
        <v>0</v>
      </c>
      <c r="T130" s="15">
        <f>IF(ISNUMBER(VLOOKUP($C130,'IMF COFOG FULL'!$B:$CM,85,FALSE)),(VLOOKUP($C130,'IMF COFOG FULL'!$B:$CM,85,FALSE)), " ")</f>
        <v>3.3218098292682401E-2</v>
      </c>
      <c r="U130" s="7">
        <f>IF(ISNUMBER(VLOOKUP($C130,'IMF COFOG FULL'!$B:$CM,79,FALSE)),(VLOOKUP($C130,'IMF COFOG FULL'!$B:$CM,86,FALSE)), " ")</f>
        <v>2020</v>
      </c>
      <c r="V130" s="15" t="str">
        <f>IF(ISNUMBER(VLOOKUP($C130,'IMF COFOG FULL'!$B:$CM,79,FALSE)),(VLOOKUP($C130,'IMF COFOG FULL'!$B:$CM,87,FALSE)), " ")</f>
        <v>Budgetary central government</v>
      </c>
      <c r="W130" s="15">
        <f t="shared" si="39"/>
        <v>2.8755995341126996</v>
      </c>
      <c r="X130" s="15">
        <f t="shared" si="40"/>
        <v>1.3486658311437034</v>
      </c>
      <c r="Y130" s="15">
        <f t="shared" si="41"/>
        <v>0</v>
      </c>
      <c r="Z130" s="15">
        <f t="shared" si="42"/>
        <v>1.1683856950493372</v>
      </c>
      <c r="AA130" s="15">
        <f t="shared" si="43"/>
        <v>0.25941719892982734</v>
      </c>
      <c r="AB130" s="15">
        <f t="shared" si="44"/>
        <v>0</v>
      </c>
      <c r="AC130" s="15">
        <f t="shared" si="45"/>
        <v>9.9130808989834465E-2</v>
      </c>
      <c r="AG130" s="15" t="str">
        <f>IF(ISNUMBER(VLOOKUP(C130,'National budgets summary'!A:F,5, FALSE)),(VLOOKUP(C130,'National budgets summary'!A:F,5, FALSE)), " ")</f>
        <v xml:space="preserve"> </v>
      </c>
      <c r="AH130" t="str">
        <f>IF(ISNUMBER(VLOOKUP(C130,'National budgets summary'!A:F,5, FALSE)),(VLOOKUP(C130,'National budgets summary'!A:F,4, FALSE)), " ")</f>
        <v xml:space="preserve"> </v>
      </c>
      <c r="AI130" s="15" t="str">
        <f t="shared" si="26"/>
        <v xml:space="preserve"> </v>
      </c>
      <c r="AJ130" s="15" t="str">
        <f t="shared" si="31"/>
        <v xml:space="preserve"> </v>
      </c>
      <c r="AK130" s="15">
        <f t="shared" si="32"/>
        <v>1.3486658311437034</v>
      </c>
      <c r="AL130" s="15">
        <f t="shared" si="33"/>
        <v>1.1683856950493372</v>
      </c>
      <c r="AM130" s="15">
        <f t="shared" si="34"/>
        <v>0.25941719892982734</v>
      </c>
      <c r="AN130" s="15">
        <f t="shared" si="27"/>
        <v>2.8755995341126996</v>
      </c>
      <c r="AO130" s="15">
        <f t="shared" si="28"/>
        <v>0.96359496051669302</v>
      </c>
      <c r="AP130">
        <f t="shared" si="29"/>
        <v>2020</v>
      </c>
      <c r="AQ130" t="str">
        <f t="shared" si="30"/>
        <v>IMF COFOG</v>
      </c>
      <c r="AR130" s="7">
        <f t="shared" si="35"/>
        <v>45.418891636650912</v>
      </c>
      <c r="AS130" s="7">
        <f t="shared" si="36"/>
        <v>39.347614544558382</v>
      </c>
      <c r="AT130" s="7">
        <f t="shared" si="37"/>
        <v>8.7363684723038677</v>
      </c>
      <c r="AU130" s="7">
        <f t="shared" si="38"/>
        <v>96.841293531927647</v>
      </c>
    </row>
    <row r="131" spans="1:47">
      <c r="A131">
        <v>128</v>
      </c>
      <c r="B131" t="s">
        <v>220</v>
      </c>
      <c r="C131" t="s">
        <v>435</v>
      </c>
      <c r="D131" t="s">
        <v>485</v>
      </c>
      <c r="E131" t="s">
        <v>389</v>
      </c>
      <c r="F131" t="s">
        <v>619</v>
      </c>
      <c r="H131" t="str">
        <f>IF(ISNUMBER(VLOOKUP(C131,'OECD DAC'!B:C,2,FALSE)), "YES", " ")</f>
        <v xml:space="preserve"> </v>
      </c>
      <c r="I131">
        <v>10720</v>
      </c>
      <c r="J131">
        <v>2021</v>
      </c>
      <c r="K131" s="15">
        <f>IF(ISNUMBER(VLOOKUP(C131,'WEO GOV REV'!C:BL,58,FALSE)),(VLOOKUP(C131,'WEO GOV REV'!C:BL,58,FALSE)), " ")</f>
        <v>49.744999999999997</v>
      </c>
      <c r="L131" s="15">
        <f>IF(ISNUMBER(VLOOKUP(C131,'WEO GOV REV'!C:BL,62,FALSE)),(VLOOKUP(C131,'WEO GOV REV'!C:BL,62,FALSE)), " ")</f>
        <v>37.474386789610072</v>
      </c>
      <c r="M131">
        <f>IF(ISNUMBER(VLOOKUP(C131,'WEO GOV REV'!C:BL,62,FALSE)),(VLOOKUP(C131,'WEO GOV REV'!C:BL,57,FALSE)), " ")</f>
        <v>2021</v>
      </c>
      <c r="N131" s="15">
        <f>IF(ISNUMBER(VLOOKUP($C131,'IMF COFOG FULL'!$B:$CM,79,FALSE)),(VLOOKUP($C131,'IMF COFOG FULL'!$B:$CM,79,FALSE)), " ")</f>
        <v>2.76591513761826</v>
      </c>
      <c r="O131" s="15">
        <f>IF(ISNUMBER(VLOOKUP($C131,'IMF COFOG FULL'!$B:$CM,80,FALSE)),(VLOOKUP($C131,'IMF COFOG FULL'!$B:$CM,80,FALSE)), " ")</f>
        <v>1.37295715440868</v>
      </c>
      <c r="P131" s="15">
        <f>IF(ISNUMBER(VLOOKUP($C131,'IMF COFOG FULL'!$B:$CM,81,FALSE)),(VLOOKUP($C131,'IMF COFOG FULL'!$B:$CM,81,FALSE)), " ")</f>
        <v>0.24760827075837399</v>
      </c>
      <c r="Q131" s="15">
        <f>IF(ISNUMBER(VLOOKUP($C131,'IMF COFOG FULL'!$B:$CM,82,FALSE)),(VLOOKUP($C131,'IMF COFOG FULL'!$B:$CM,82,FALSE)), " ")</f>
        <v>0.72954544908424501</v>
      </c>
      <c r="R131" s="15">
        <f>IF(ISNUMBER(VLOOKUP($C131,'IMF COFOG FULL'!$B:$CM,83,FALSE)),(VLOOKUP($C131,'IMF COFOG FULL'!$B:$CM,83,FALSE)), " ")</f>
        <v>0.17397483421558199</v>
      </c>
      <c r="S131" s="15">
        <f>IF(ISNUMBER(VLOOKUP($C131,'IMF COFOG FULL'!$B:$CM,84,FALSE)),(VLOOKUP($C131,'IMF COFOG FULL'!$B:$CM,84,FALSE)), " ")</f>
        <v>7.1362876220694904E-3</v>
      </c>
      <c r="T131" s="15">
        <f>IF(ISNUMBER(VLOOKUP($C131,'IMF COFOG FULL'!$B:$CM,85,FALSE)),(VLOOKUP($C131,'IMF COFOG FULL'!$B:$CM,85,FALSE)), " ")</f>
        <v>0.234692298395132</v>
      </c>
      <c r="U131" s="7">
        <f>IF(ISNUMBER(VLOOKUP($C131,'IMF COFOG FULL'!$B:$CM,79,FALSE)),(VLOOKUP($C131,'IMF COFOG FULL'!$B:$CM,86,FALSE)), " ")</f>
        <v>2020</v>
      </c>
      <c r="V131" s="15" t="str">
        <f>IF(ISNUMBER(VLOOKUP($C131,'IMF COFOG FULL'!$B:$CM,79,FALSE)),(VLOOKUP($C131,'IMF COFOG FULL'!$B:$CM,87,FALSE)), " ")</f>
        <v>General government</v>
      </c>
      <c r="W131" s="15">
        <f t="shared" si="39"/>
        <v>7.3808149367373277</v>
      </c>
      <c r="X131" s="15">
        <f t="shared" si="40"/>
        <v>3.6637214695914335</v>
      </c>
      <c r="Y131" s="15">
        <f t="shared" si="41"/>
        <v>0.66074001997285359</v>
      </c>
      <c r="Z131" s="15">
        <f t="shared" si="42"/>
        <v>1.9467842213938893</v>
      </c>
      <c r="AA131" s="15">
        <f t="shared" si="43"/>
        <v>0.46424998277441387</v>
      </c>
      <c r="AB131" s="15">
        <f t="shared" si="44"/>
        <v>1.904310712843487E-2</v>
      </c>
      <c r="AC131" s="15">
        <f t="shared" si="45"/>
        <v>0.62627388598177525</v>
      </c>
      <c r="AG131" s="15" t="str">
        <f>IF(ISNUMBER(VLOOKUP(C131,'National budgets summary'!A:F,5, FALSE)),(VLOOKUP(C131,'National budgets summary'!A:F,5, FALSE)), " ")</f>
        <v xml:space="preserve"> </v>
      </c>
      <c r="AH131" t="str">
        <f>IF(ISNUMBER(VLOOKUP(C131,'National budgets summary'!A:F,5, FALSE)),(VLOOKUP(C131,'National budgets summary'!A:F,4, FALSE)), " ")</f>
        <v xml:space="preserve"> </v>
      </c>
      <c r="AI131" s="15" t="str">
        <f t="shared" si="26"/>
        <v xml:space="preserve"> </v>
      </c>
      <c r="AJ131" s="15" t="str">
        <f t="shared" si="31"/>
        <v xml:space="preserve"> </v>
      </c>
      <c r="AK131" s="15">
        <f t="shared" si="32"/>
        <v>3.6637214695914335</v>
      </c>
      <c r="AL131" s="15">
        <f t="shared" si="33"/>
        <v>1.9467842213938893</v>
      </c>
      <c r="AM131" s="15">
        <f t="shared" si="34"/>
        <v>0.46424998277441387</v>
      </c>
      <c r="AN131" s="15">
        <f t="shared" si="27"/>
        <v>7.3808149367373277</v>
      </c>
      <c r="AO131" s="15">
        <f t="shared" si="28"/>
        <v>2.76591513761826</v>
      </c>
      <c r="AP131">
        <f t="shared" si="29"/>
        <v>2020</v>
      </c>
      <c r="AQ131" t="str">
        <f t="shared" si="30"/>
        <v>IMF COFOG</v>
      </c>
      <c r="AR131" s="7">
        <f t="shared" si="35"/>
        <v>147.18100695261052</v>
      </c>
      <c r="AS131" s="7">
        <f t="shared" si="36"/>
        <v>78.207272141831055</v>
      </c>
      <c r="AT131" s="7">
        <f t="shared" si="37"/>
        <v>18.650102227910388</v>
      </c>
      <c r="AU131" s="7">
        <f t="shared" si="38"/>
        <v>296.50610275267746</v>
      </c>
    </row>
    <row r="132" spans="1:47">
      <c r="A132">
        <v>129</v>
      </c>
      <c r="B132" t="s">
        <v>221</v>
      </c>
      <c r="C132" t="s">
        <v>436</v>
      </c>
      <c r="D132" t="s">
        <v>496</v>
      </c>
      <c r="E132" t="s">
        <v>389</v>
      </c>
      <c r="F132" t="s">
        <v>619</v>
      </c>
      <c r="H132" t="str">
        <f>IF(ISNUMBER(VLOOKUP(C132,'OECD DAC'!B:C,2,FALSE)), "YES", " ")</f>
        <v xml:space="preserve"> </v>
      </c>
      <c r="I132">
        <v>10860</v>
      </c>
      <c r="J132">
        <v>2021</v>
      </c>
      <c r="K132" s="15">
        <f>IF(ISNUMBER(VLOOKUP(C132,'WEO GOV REV'!C:BL,58,FALSE)),(VLOOKUP(C132,'WEO GOV REV'!C:BL,58,FALSE)), " ")</f>
        <v>114.059</v>
      </c>
      <c r="L132" s="15">
        <f>IF(ISNUMBER(VLOOKUP(C132,'WEO GOV REV'!C:BL,62,FALSE)),(VLOOKUP(C132,'WEO GOV REV'!C:BL,62,FALSE)), " ")</f>
        <v>24.69557874680639</v>
      </c>
      <c r="M132">
        <f>IF(ISNUMBER(VLOOKUP(C132,'WEO GOV REV'!C:BL,62,FALSE)),(VLOOKUP(C132,'WEO GOV REV'!C:BL,57,FALSE)), " ")</f>
        <v>2021</v>
      </c>
      <c r="N132" s="15">
        <f>IF(ISNUMBER(VLOOKUP($C132,'IMF COFOG FULL'!$B:$CM,79,FALSE)),(VLOOKUP($C132,'IMF COFOG FULL'!$B:$CM,79,FALSE)), " ")</f>
        <v>2.60646178277704</v>
      </c>
      <c r="O132" s="15">
        <f>IF(ISNUMBER(VLOOKUP($C132,'IMF COFOG FULL'!$B:$CM,80,FALSE)),(VLOOKUP($C132,'IMF COFOG FULL'!$B:$CM,80,FALSE)), " ")</f>
        <v>1.9096757580594901</v>
      </c>
      <c r="P132" s="15">
        <f>IF(ISNUMBER(VLOOKUP($C132,'IMF COFOG FULL'!$B:$CM,81,FALSE)),(VLOOKUP($C132,'IMF COFOG FULL'!$B:$CM,81,FALSE)), " ")</f>
        <v>0.15636282430308199</v>
      </c>
      <c r="Q132" s="15">
        <f>IF(ISNUMBER(VLOOKUP($C132,'IMF COFOG FULL'!$B:$CM,82,FALSE)),(VLOOKUP($C132,'IMF COFOG FULL'!$B:$CM,82,FALSE)), " ")</f>
        <v>0.21229556044543699</v>
      </c>
      <c r="R132" s="15">
        <f>IF(ISNUMBER(VLOOKUP($C132,'IMF COFOG FULL'!$B:$CM,83,FALSE)),(VLOOKUP($C132,'IMF COFOG FULL'!$B:$CM,83,FALSE)), " ")</f>
        <v>0.20380881411218599</v>
      </c>
      <c r="S132" s="15">
        <f>IF(ISNUMBER(VLOOKUP($C132,'IMF COFOG FULL'!$B:$CM,84,FALSE)),(VLOOKUP($C132,'IMF COFOG FULL'!$B:$CM,84,FALSE)), " ")</f>
        <v>0</v>
      </c>
      <c r="T132" s="15">
        <f>IF(ISNUMBER(VLOOKUP($C132,'IMF COFOG FULL'!$B:$CM,85,FALSE)),(VLOOKUP($C132,'IMF COFOG FULL'!$B:$CM,85,FALSE)), " ")</f>
        <v>0.124318825856846</v>
      </c>
      <c r="U132" s="7">
        <f>IF(ISNUMBER(VLOOKUP($C132,'IMF COFOG FULL'!$B:$CM,79,FALSE)),(VLOOKUP($C132,'IMF COFOG FULL'!$B:$CM,86,FALSE)), " ")</f>
        <v>2020</v>
      </c>
      <c r="V132" s="15" t="str">
        <f>IF(ISNUMBER(VLOOKUP($C132,'IMF COFOG FULL'!$B:$CM,79,FALSE)),(VLOOKUP($C132,'IMF COFOG FULL'!$B:$CM,87,FALSE)), " ")</f>
        <v>General government</v>
      </c>
      <c r="W132" s="15">
        <f t="shared" si="39"/>
        <v>10.554366064873475</v>
      </c>
      <c r="X132" s="15">
        <f t="shared" si="40"/>
        <v>7.7328649700361751</v>
      </c>
      <c r="Y132" s="15">
        <f t="shared" si="41"/>
        <v>0.63316120632849182</v>
      </c>
      <c r="Z132" s="15">
        <f t="shared" si="42"/>
        <v>0.85965007186920395</v>
      </c>
      <c r="AA132" s="15">
        <f t="shared" si="43"/>
        <v>0.82528462362333721</v>
      </c>
      <c r="AB132" s="15">
        <f t="shared" si="44"/>
        <v>0</v>
      </c>
      <c r="AC132" s="15">
        <f t="shared" si="45"/>
        <v>0.5034051930162714</v>
      </c>
      <c r="AG132" s="15" t="str">
        <f>IF(ISNUMBER(VLOOKUP(C132,'National budgets summary'!A:F,5, FALSE)),(VLOOKUP(C132,'National budgets summary'!A:F,5, FALSE)), " ")</f>
        <v xml:space="preserve"> </v>
      </c>
      <c r="AH132" t="str">
        <f>IF(ISNUMBER(VLOOKUP(C132,'National budgets summary'!A:F,5, FALSE)),(VLOOKUP(C132,'National budgets summary'!A:F,4, FALSE)), " ")</f>
        <v xml:space="preserve"> </v>
      </c>
      <c r="AI132" s="15" t="str">
        <f t="shared" ref="AI132:AI195" si="46">IF(ISNUMBER(AG132),(AG132/K132*100), " ")</f>
        <v xml:space="preserve"> </v>
      </c>
      <c r="AJ132" s="15" t="str">
        <f t="shared" si="31"/>
        <v xml:space="preserve"> </v>
      </c>
      <c r="AK132" s="15">
        <f t="shared" si="32"/>
        <v>7.7328649700361751</v>
      </c>
      <c r="AL132" s="15">
        <f t="shared" si="33"/>
        <v>0.85965007186920395</v>
      </c>
      <c r="AM132" s="15">
        <f t="shared" si="34"/>
        <v>0.82528462362333721</v>
      </c>
      <c r="AN132" s="15">
        <f t="shared" ref="AN132:AN195" si="47">IF(ISNUMBER(W132),W132,IF(ISNUMBER(AI132),AI132, " "))</f>
        <v>10.554366064873475</v>
      </c>
      <c r="AO132" s="15">
        <f t="shared" ref="AO132:AO195" si="48">IF(ISNUMBER(N132),N132,IF(ISNUMBER(AJ132),AJ132, " "))</f>
        <v>2.60646178277704</v>
      </c>
      <c r="AP132">
        <f t="shared" ref="AP132:AP195" si="49">IF(ISNUMBER(N132),U132,IF(ISNUMBER(AJ132),AH132, " "))</f>
        <v>2020</v>
      </c>
      <c r="AQ132" t="str">
        <f t="shared" ref="AQ132:AQ195" si="50">IF(ISNUMBER(N132),"IMF COFOG",IF(ISNUMBER(AJ132),"National", " "))</f>
        <v>IMF COFOG</v>
      </c>
      <c r="AR132" s="7">
        <f t="shared" si="35"/>
        <v>207.39078732526059</v>
      </c>
      <c r="AS132" s="7">
        <f t="shared" si="36"/>
        <v>23.055297864374452</v>
      </c>
      <c r="AT132" s="7">
        <f t="shared" si="37"/>
        <v>22.133637212583395</v>
      </c>
      <c r="AU132" s="7">
        <f t="shared" si="38"/>
        <v>283.06174960958651</v>
      </c>
    </row>
    <row r="133" spans="1:47">
      <c r="A133">
        <v>130</v>
      </c>
      <c r="B133" t="s">
        <v>222</v>
      </c>
      <c r="C133" t="s">
        <v>437</v>
      </c>
      <c r="D133" t="s">
        <v>493</v>
      </c>
      <c r="E133" t="s">
        <v>389</v>
      </c>
      <c r="F133" t="s">
        <v>619</v>
      </c>
      <c r="H133" t="str">
        <f>IF(ISNUMBER(VLOOKUP(C133,'OECD DAC'!B:C,2,FALSE)), "YES", " ")</f>
        <v xml:space="preserve"> </v>
      </c>
      <c r="I133">
        <v>10930</v>
      </c>
      <c r="J133">
        <v>2021</v>
      </c>
      <c r="K133" s="15">
        <f>IF(ISNUMBER(VLOOKUP(C133,'WEO GOV REV'!C:BL,58,FALSE)),(VLOOKUP(C133,'WEO GOV REV'!C:BL,58,FALSE)), " ")</f>
        <v>292.428</v>
      </c>
      <c r="L133" s="15">
        <f>IF(ISNUMBER(VLOOKUP(C133,'WEO GOV REV'!C:BL,62,FALSE)),(VLOOKUP(C133,'WEO GOV REV'!C:BL,62,FALSE)), " ")</f>
        <v>20.642802182675542</v>
      </c>
      <c r="M133">
        <f>IF(ISNUMBER(VLOOKUP(C133,'WEO GOV REV'!C:BL,62,FALSE)),(VLOOKUP(C133,'WEO GOV REV'!C:BL,57,FALSE)), " ")</f>
        <v>2020</v>
      </c>
      <c r="N133" s="15">
        <f>IF(ISNUMBER(VLOOKUP($C133,'IMF COFOG FULL'!$B:$CM,79,FALSE)),(VLOOKUP($C133,'IMF COFOG FULL'!$B:$CM,79,FALSE)), " ")</f>
        <v>1.1537811398209099</v>
      </c>
      <c r="O133" s="15" t="str">
        <f>IF(ISNUMBER(VLOOKUP($C133,'IMF COFOG FULL'!$B:$CM,80,FALSE)),(VLOOKUP($C133,'IMF COFOG FULL'!$B:$CM,80,FALSE)), " ")</f>
        <v xml:space="preserve"> </v>
      </c>
      <c r="P133" s="15" t="str">
        <f>IF(ISNUMBER(VLOOKUP($C133,'IMF COFOG FULL'!$B:$CM,81,FALSE)),(VLOOKUP($C133,'IMF COFOG FULL'!$B:$CM,81,FALSE)), " ")</f>
        <v xml:space="preserve"> </v>
      </c>
      <c r="Q133" s="15" t="str">
        <f>IF(ISNUMBER(VLOOKUP($C133,'IMF COFOG FULL'!$B:$CM,82,FALSE)),(VLOOKUP($C133,'IMF COFOG FULL'!$B:$CM,82,FALSE)), " ")</f>
        <v xml:space="preserve"> </v>
      </c>
      <c r="R133" s="15" t="str">
        <f>IF(ISNUMBER(VLOOKUP($C133,'IMF COFOG FULL'!$B:$CM,83,FALSE)),(VLOOKUP($C133,'IMF COFOG FULL'!$B:$CM,83,FALSE)), " ")</f>
        <v xml:space="preserve"> </v>
      </c>
      <c r="S133" s="15" t="str">
        <f>IF(ISNUMBER(VLOOKUP($C133,'IMF COFOG FULL'!$B:$CM,84,FALSE)),(VLOOKUP($C133,'IMF COFOG FULL'!$B:$CM,84,FALSE)), " ")</f>
        <v xml:space="preserve"> </v>
      </c>
      <c r="T133" s="15" t="str">
        <f>IF(ISNUMBER(VLOOKUP($C133,'IMF COFOG FULL'!$B:$CM,85,FALSE)),(VLOOKUP($C133,'IMF COFOG FULL'!$B:$CM,85,FALSE)), " ")</f>
        <v xml:space="preserve"> </v>
      </c>
      <c r="U133" s="7">
        <f>IF(ISNUMBER(VLOOKUP($C133,'IMF COFOG FULL'!$B:$CM,79,FALSE)),(VLOOKUP($C133,'IMF COFOG FULL'!$B:$CM,86,FALSE)), " ")</f>
        <v>2020</v>
      </c>
      <c r="V133" s="15" t="str">
        <f>IF(ISNUMBER(VLOOKUP($C133,'IMF COFOG FULL'!$B:$CM,79,FALSE)),(VLOOKUP($C133,'IMF COFOG FULL'!$B:$CM,87,FALSE)), " ")</f>
        <v>Budgetary central government</v>
      </c>
      <c r="W133" s="15">
        <f t="shared" si="39"/>
        <v>5.5892660773992198</v>
      </c>
      <c r="X133" s="15" t="str">
        <f t="shared" si="40"/>
        <v xml:space="preserve"> </v>
      </c>
      <c r="Y133" s="15" t="str">
        <f t="shared" si="41"/>
        <v xml:space="preserve"> </v>
      </c>
      <c r="Z133" s="15" t="str">
        <f t="shared" si="42"/>
        <v xml:space="preserve"> </v>
      </c>
      <c r="AA133" s="15" t="str">
        <f t="shared" si="43"/>
        <v xml:space="preserve"> </v>
      </c>
      <c r="AB133" s="15" t="str">
        <f t="shared" si="44"/>
        <v xml:space="preserve"> </v>
      </c>
      <c r="AC133" s="15" t="str">
        <f t="shared" si="45"/>
        <v xml:space="preserve"> </v>
      </c>
      <c r="AG133" s="15" t="str">
        <f>IF(ISNUMBER(VLOOKUP(C133,'National budgets summary'!A:F,5, FALSE)),(VLOOKUP(C133,'National budgets summary'!A:F,5, FALSE)), " ")</f>
        <v xml:space="preserve"> </v>
      </c>
      <c r="AH133" t="str">
        <f>IF(ISNUMBER(VLOOKUP(C133,'National budgets summary'!A:F,5, FALSE)),(VLOOKUP(C133,'National budgets summary'!A:F,4, FALSE)), " ")</f>
        <v xml:space="preserve"> </v>
      </c>
      <c r="AI133" s="15" t="str">
        <f t="shared" si="46"/>
        <v xml:space="preserve"> </v>
      </c>
      <c r="AJ133" s="15" t="str">
        <f t="shared" ref="AJ133:AJ196" si="51">IF(ISNUMBER(AI133),(AI133*L133/100), " ")</f>
        <v xml:space="preserve"> </v>
      </c>
      <c r="AK133" s="15" t="str">
        <f t="shared" ref="AK133:AK196" si="52">IF(ISNUMBER(X133),X133, IF(ISNUMBER(AD133),((AD133/K133)*100), ""))</f>
        <v/>
      </c>
      <c r="AL133" s="15" t="str">
        <f t="shared" ref="AL133:AL196" si="53">IF(ISNUMBER(Z133),Z133, IF(ISNUMBER(AE133),((AE133/K133)*100), ""))</f>
        <v/>
      </c>
      <c r="AM133" s="15" t="str">
        <f t="shared" ref="AM133:AM196" si="54">IF(ISNUMBER(AA133),AA133, IF(ISNUMBER(AF133),((AF133/K133)*100), ""))</f>
        <v/>
      </c>
      <c r="AN133" s="15">
        <f t="shared" si="47"/>
        <v>5.5892660773992198</v>
      </c>
      <c r="AO133" s="15">
        <f t="shared" si="48"/>
        <v>1.1537811398209099</v>
      </c>
      <c r="AP133">
        <f t="shared" si="49"/>
        <v>2020</v>
      </c>
      <c r="AQ133" t="str">
        <f t="shared" si="50"/>
        <v>IMF COFOG</v>
      </c>
      <c r="AR133" s="7" t="str">
        <f t="shared" ref="AR133:AR196" si="55">IF(ISNUMBER(AK133),$L133/100*$I133/100*AK133, " ")</f>
        <v xml:space="preserve"> </v>
      </c>
      <c r="AS133" s="7" t="str">
        <f t="shared" ref="AS133:AS196" si="56">IF(ISNUMBER(AL133),$L133/100*$I133/100*AL133, " ")</f>
        <v xml:space="preserve"> </v>
      </c>
      <c r="AT133" s="7" t="str">
        <f t="shared" ref="AT133:AT196" si="57">IF(ISNUMBER(AM133),$L133/100*$I133/100*AM133, " ")</f>
        <v xml:space="preserve"> </v>
      </c>
      <c r="AU133" s="7">
        <f t="shared" ref="AU133:AU196" si="58">IF(ISNUMBER(AN133),$L133/100*$I133/100*AN133, " ")</f>
        <v>126.10827858242544</v>
      </c>
    </row>
    <row r="134" spans="1:47">
      <c r="A134">
        <v>131</v>
      </c>
      <c r="B134" t="s">
        <v>223</v>
      </c>
      <c r="C134" t="s">
        <v>438</v>
      </c>
      <c r="D134" t="s">
        <v>485</v>
      </c>
      <c r="E134" t="s">
        <v>389</v>
      </c>
      <c r="F134" t="s">
        <v>619</v>
      </c>
      <c r="H134" t="str">
        <f>IF(ISNUMBER(VLOOKUP(C134,'OECD DAC'!B:C,2,FALSE)), "YES", " ")</f>
        <v xml:space="preserve"> </v>
      </c>
      <c r="I134">
        <v>11600</v>
      </c>
      <c r="J134">
        <v>2021</v>
      </c>
      <c r="K134" s="15">
        <f>IF(ISNUMBER(VLOOKUP(C134,'WEO GOV REV'!C:BL,58,FALSE)),(VLOOKUP(C134,'WEO GOV REV'!C:BL,58,FALSE)), " ")</f>
        <v>48451.33</v>
      </c>
      <c r="L134" s="15">
        <f>IF(ISNUMBER(VLOOKUP(C134,'WEO GOV REV'!C:BL,62,FALSE)),(VLOOKUP(C134,'WEO GOV REV'!C:BL,62,FALSE)), " ")</f>
        <v>37.043632301772313</v>
      </c>
      <c r="M134">
        <f>IF(ISNUMBER(VLOOKUP(C134,'WEO GOV REV'!C:BL,62,FALSE)),(VLOOKUP(C134,'WEO GOV REV'!C:BL,57,FALSE)), " ")</f>
        <v>2021</v>
      </c>
      <c r="N134" s="15">
        <f>IF(ISNUMBER(VLOOKUP($C134,'IMF COFOG FULL'!$B:$CM,79,FALSE)),(VLOOKUP($C134,'IMF COFOG FULL'!$B:$CM,79,FALSE)), " ")</f>
        <v>2.3410539309948901</v>
      </c>
      <c r="O134" s="15">
        <f>IF(ISNUMBER(VLOOKUP($C134,'IMF COFOG FULL'!$B:$CM,80,FALSE)),(VLOOKUP($C134,'IMF COFOG FULL'!$B:$CM,80,FALSE)), " ")</f>
        <v>1.0201169533593599</v>
      </c>
      <c r="P134" s="15">
        <f>IF(ISNUMBER(VLOOKUP($C134,'IMF COFOG FULL'!$B:$CM,81,FALSE)),(VLOOKUP($C134,'IMF COFOG FULL'!$B:$CM,81,FALSE)), " ")</f>
        <v>0.20197998998185901</v>
      </c>
      <c r="Q134" s="15">
        <f>IF(ISNUMBER(VLOOKUP($C134,'IMF COFOG FULL'!$B:$CM,82,FALSE)),(VLOOKUP($C134,'IMF COFOG FULL'!$B:$CM,82,FALSE)), " ")</f>
        <v>0.298182288901438</v>
      </c>
      <c r="R134" s="15">
        <f>IF(ISNUMBER(VLOOKUP($C134,'IMF COFOG FULL'!$B:$CM,83,FALSE)),(VLOOKUP($C134,'IMF COFOG FULL'!$B:$CM,83,FALSE)), " ")</f>
        <v>0.19837233342025701</v>
      </c>
      <c r="S134" s="15">
        <f>IF(ISNUMBER(VLOOKUP($C134,'IMF COFOG FULL'!$B:$CM,84,FALSE)),(VLOOKUP($C134,'IMF COFOG FULL'!$B:$CM,84,FALSE)), " ")</f>
        <v>2.0233268859526501E-2</v>
      </c>
      <c r="T134" s="15">
        <f>IF(ISNUMBER(VLOOKUP($C134,'IMF COFOG FULL'!$B:$CM,85,FALSE)),(VLOOKUP($C134,'IMF COFOG FULL'!$B:$CM,85,FALSE)), " ")</f>
        <v>0.60216909647245098</v>
      </c>
      <c r="U134" s="7">
        <f>IF(ISNUMBER(VLOOKUP($C134,'IMF COFOG FULL'!$B:$CM,79,FALSE)),(VLOOKUP($C134,'IMF COFOG FULL'!$B:$CM,86,FALSE)), " ")</f>
        <v>2020</v>
      </c>
      <c r="V134" s="15" t="str">
        <f>IF(ISNUMBER(VLOOKUP($C134,'IMF COFOG FULL'!$B:$CM,79,FALSE)),(VLOOKUP($C134,'IMF COFOG FULL'!$B:$CM,87,FALSE)), " ")</f>
        <v>General government</v>
      </c>
      <c r="W134" s="15">
        <f t="shared" si="39"/>
        <v>6.3197202475278988</v>
      </c>
      <c r="X134" s="15">
        <f t="shared" si="40"/>
        <v>2.7538253944674684</v>
      </c>
      <c r="Y134" s="15">
        <f t="shared" si="41"/>
        <v>0.54524887931196608</v>
      </c>
      <c r="Z134" s="15">
        <f t="shared" si="42"/>
        <v>0.80494884106484288</v>
      </c>
      <c r="AA134" s="15">
        <f t="shared" si="43"/>
        <v>0.53550994082933412</v>
      </c>
      <c r="AB134" s="15">
        <f t="shared" si="44"/>
        <v>5.4620099602269462E-2</v>
      </c>
      <c r="AC134" s="15">
        <f t="shared" si="45"/>
        <v>1.625567092252022</v>
      </c>
      <c r="AG134" s="15" t="str">
        <f>IF(ISNUMBER(VLOOKUP(C134,'National budgets summary'!A:F,5, FALSE)),(VLOOKUP(C134,'National budgets summary'!A:F,5, FALSE)), " ")</f>
        <v xml:space="preserve"> </v>
      </c>
      <c r="AH134" t="str">
        <f>IF(ISNUMBER(VLOOKUP(C134,'National budgets summary'!A:F,5, FALSE)),(VLOOKUP(C134,'National budgets summary'!A:F,4, FALSE)), " ")</f>
        <v xml:space="preserve"> </v>
      </c>
      <c r="AI134" s="15" t="str">
        <f t="shared" si="46"/>
        <v xml:space="preserve"> </v>
      </c>
      <c r="AJ134" s="15" t="str">
        <f t="shared" si="51"/>
        <v xml:space="preserve"> </v>
      </c>
      <c r="AK134" s="15">
        <f t="shared" si="52"/>
        <v>2.7538253944674684</v>
      </c>
      <c r="AL134" s="15">
        <f t="shared" si="53"/>
        <v>0.80494884106484288</v>
      </c>
      <c r="AM134" s="15">
        <f t="shared" si="54"/>
        <v>0.53550994082933412</v>
      </c>
      <c r="AN134" s="15">
        <f t="shared" si="47"/>
        <v>6.3197202475278988</v>
      </c>
      <c r="AO134" s="15">
        <f t="shared" si="48"/>
        <v>2.3410539309948901</v>
      </c>
      <c r="AP134">
        <f t="shared" si="49"/>
        <v>2020</v>
      </c>
      <c r="AQ134" t="str">
        <f t="shared" si="50"/>
        <v>IMF COFOG</v>
      </c>
      <c r="AR134" s="7">
        <f t="shared" si="55"/>
        <v>118.33356658968574</v>
      </c>
      <c r="AS134" s="7">
        <f t="shared" si="56"/>
        <v>34.589145512566809</v>
      </c>
      <c r="AT134" s="7">
        <f t="shared" si="57"/>
        <v>23.011190676749813</v>
      </c>
      <c r="AU134" s="7">
        <f t="shared" si="58"/>
        <v>271.56225599540721</v>
      </c>
    </row>
    <row r="135" spans="1:47">
      <c r="A135">
        <v>132</v>
      </c>
      <c r="B135" t="s">
        <v>224</v>
      </c>
      <c r="C135" t="s">
        <v>439</v>
      </c>
      <c r="D135" t="s">
        <v>493</v>
      </c>
      <c r="E135" t="s">
        <v>389</v>
      </c>
      <c r="F135" t="s">
        <v>619</v>
      </c>
      <c r="H135" t="str">
        <f>IF(ISNUMBER(VLOOKUP(C135,'OECD DAC'!B:C,2,FALSE)), "YES", " ")</f>
        <v xml:space="preserve"> </v>
      </c>
      <c r="I135">
        <v>11890</v>
      </c>
      <c r="J135">
        <v>2021</v>
      </c>
      <c r="K135" s="15">
        <f>IF(ISNUMBER(VLOOKUP(C135,'WEO GOV REV'!C:BL,58,FALSE)),(VLOOKUP(C135,'WEO GOV REV'!C:BL,58,FALSE)), " ")</f>
        <v>26342.87</v>
      </c>
      <c r="L135" s="15">
        <f>IF(ISNUMBER(VLOOKUP(C135,'WEO GOV REV'!C:BL,62,FALSE)),(VLOOKUP(C135,'WEO GOV REV'!C:BL,62,FALSE)), " ")</f>
        <v>25.684614427603602</v>
      </c>
      <c r="M135">
        <f>IF(ISNUMBER(VLOOKUP(C135,'WEO GOV REV'!C:BL,62,FALSE)),(VLOOKUP(C135,'WEO GOV REV'!C:BL,57,FALSE)), " ")</f>
        <v>2020</v>
      </c>
      <c r="N135" s="15">
        <f>IF(ISNUMBER(VLOOKUP($C135,'IMF COFOG FULL'!$B:$CM,79,FALSE)),(VLOOKUP($C135,'IMF COFOG FULL'!$B:$CM,79,FALSE)), " ")</f>
        <v>1.35164876479629</v>
      </c>
      <c r="O135" s="15" t="str">
        <f>IF(ISNUMBER(VLOOKUP($C135,'IMF COFOG FULL'!$B:$CM,80,FALSE)),(VLOOKUP($C135,'IMF COFOG FULL'!$B:$CM,80,FALSE)), " ")</f>
        <v xml:space="preserve"> </v>
      </c>
      <c r="P135" s="15" t="str">
        <f>IF(ISNUMBER(VLOOKUP($C135,'IMF COFOG FULL'!$B:$CM,81,FALSE)),(VLOOKUP($C135,'IMF COFOG FULL'!$B:$CM,81,FALSE)), " ")</f>
        <v xml:space="preserve"> </v>
      </c>
      <c r="Q135" s="15" t="str">
        <f>IF(ISNUMBER(VLOOKUP($C135,'IMF COFOG FULL'!$B:$CM,82,FALSE)),(VLOOKUP($C135,'IMF COFOG FULL'!$B:$CM,82,FALSE)), " ")</f>
        <v xml:space="preserve"> </v>
      </c>
      <c r="R135" s="15" t="str">
        <f>IF(ISNUMBER(VLOOKUP($C135,'IMF COFOG FULL'!$B:$CM,83,FALSE)),(VLOOKUP($C135,'IMF COFOG FULL'!$B:$CM,83,FALSE)), " ")</f>
        <v xml:space="preserve"> </v>
      </c>
      <c r="S135" s="15" t="str">
        <f>IF(ISNUMBER(VLOOKUP($C135,'IMF COFOG FULL'!$B:$CM,84,FALSE)),(VLOOKUP($C135,'IMF COFOG FULL'!$B:$CM,84,FALSE)), " ")</f>
        <v xml:space="preserve"> </v>
      </c>
      <c r="T135" s="15" t="str">
        <f>IF(ISNUMBER(VLOOKUP($C135,'IMF COFOG FULL'!$B:$CM,85,FALSE)),(VLOOKUP($C135,'IMF COFOG FULL'!$B:$CM,85,FALSE)), " ")</f>
        <v xml:space="preserve"> </v>
      </c>
      <c r="U135" s="7">
        <f>IF(ISNUMBER(VLOOKUP($C135,'IMF COFOG FULL'!$B:$CM,79,FALSE)),(VLOOKUP($C135,'IMF COFOG FULL'!$B:$CM,86,FALSE)), " ")</f>
        <v>2020</v>
      </c>
      <c r="V135" s="15" t="str">
        <f>IF(ISNUMBER(VLOOKUP($C135,'IMF COFOG FULL'!$B:$CM,79,FALSE)),(VLOOKUP($C135,'IMF COFOG FULL'!$B:$CM,87,FALSE)), " ")</f>
        <v>General government</v>
      </c>
      <c r="W135" s="15">
        <f t="shared" si="39"/>
        <v>5.2624841560543532</v>
      </c>
      <c r="X135" s="15" t="str">
        <f t="shared" si="40"/>
        <v xml:space="preserve"> </v>
      </c>
      <c r="Y135" s="15" t="str">
        <f t="shared" si="41"/>
        <v xml:space="preserve"> </v>
      </c>
      <c r="Z135" s="15" t="str">
        <f t="shared" si="42"/>
        <v xml:space="preserve"> </v>
      </c>
      <c r="AA135" s="15" t="str">
        <f t="shared" si="43"/>
        <v xml:space="preserve"> </v>
      </c>
      <c r="AB135" s="15" t="str">
        <f t="shared" si="44"/>
        <v xml:space="preserve"> </v>
      </c>
      <c r="AC135" s="15" t="str">
        <f t="shared" si="45"/>
        <v xml:space="preserve"> </v>
      </c>
      <c r="AG135" s="15" t="str">
        <f>IF(ISNUMBER(VLOOKUP(C135,'National budgets summary'!A:F,5, FALSE)),(VLOOKUP(C135,'National budgets summary'!A:F,5, FALSE)), " ")</f>
        <v xml:space="preserve"> </v>
      </c>
      <c r="AH135" t="str">
        <f>IF(ISNUMBER(VLOOKUP(C135,'National budgets summary'!A:F,5, FALSE)),(VLOOKUP(C135,'National budgets summary'!A:F,4, FALSE)), " ")</f>
        <v xml:space="preserve"> </v>
      </c>
      <c r="AI135" s="15" t="str">
        <f t="shared" si="46"/>
        <v xml:space="preserve"> </v>
      </c>
      <c r="AJ135" s="15" t="str">
        <f t="shared" si="51"/>
        <v xml:space="preserve"> </v>
      </c>
      <c r="AK135" s="15" t="str">
        <f t="shared" si="52"/>
        <v/>
      </c>
      <c r="AL135" s="15" t="str">
        <f t="shared" si="53"/>
        <v/>
      </c>
      <c r="AM135" s="15" t="str">
        <f t="shared" si="54"/>
        <v/>
      </c>
      <c r="AN135" s="15">
        <f t="shared" si="47"/>
        <v>5.2624841560543532</v>
      </c>
      <c r="AO135" s="15">
        <f t="shared" si="48"/>
        <v>1.35164876479629</v>
      </c>
      <c r="AP135">
        <f t="shared" si="49"/>
        <v>2020</v>
      </c>
      <c r="AQ135" t="str">
        <f t="shared" si="50"/>
        <v>IMF COFOG</v>
      </c>
      <c r="AR135" s="7" t="str">
        <f t="shared" si="55"/>
        <v xml:space="preserve"> </v>
      </c>
      <c r="AS135" s="7" t="str">
        <f t="shared" si="56"/>
        <v xml:space="preserve"> </v>
      </c>
      <c r="AT135" s="7" t="str">
        <f t="shared" si="57"/>
        <v xml:space="preserve"> </v>
      </c>
      <c r="AU135" s="7">
        <f t="shared" si="58"/>
        <v>160.71103813427888</v>
      </c>
    </row>
    <row r="136" spans="1:47">
      <c r="A136">
        <v>133</v>
      </c>
      <c r="B136" t="s">
        <v>225</v>
      </c>
      <c r="C136" t="s">
        <v>440</v>
      </c>
      <c r="D136" t="s">
        <v>497</v>
      </c>
      <c r="E136" t="s">
        <v>389</v>
      </c>
      <c r="F136" t="s">
        <v>619</v>
      </c>
      <c r="H136" t="str">
        <f>IF(ISNUMBER(VLOOKUP(C136,'OECD DAC'!B:C,2,FALSE)), "YES", " ")</f>
        <v xml:space="preserve"> </v>
      </c>
      <c r="I136">
        <v>12310</v>
      </c>
      <c r="J136">
        <v>2021</v>
      </c>
      <c r="K136" s="15">
        <f>IF(ISNUMBER(VLOOKUP(C136,'WEO GOV REV'!C:BL,58,FALSE)),(VLOOKUP(C136,'WEO GOV REV'!C:BL,58,FALSE)), " ")</f>
        <v>6326.21</v>
      </c>
      <c r="L136" s="15">
        <f>IF(ISNUMBER(VLOOKUP(C136,'WEO GOV REV'!C:BL,62,FALSE)),(VLOOKUP(C136,'WEO GOV REV'!C:BL,62,FALSE)), " ")</f>
        <v>15.852957796597215</v>
      </c>
      <c r="M136">
        <f>IF(ISNUMBER(VLOOKUP(C136,'WEO GOV REV'!C:BL,62,FALSE)),(VLOOKUP(C136,'WEO GOV REV'!C:BL,57,FALSE)), " ")</f>
        <v>2021</v>
      </c>
      <c r="N136" s="15">
        <f>IF(ISNUMBER(VLOOKUP($C136,'IMF COFOG FULL'!$B:$CM,79,FALSE)),(VLOOKUP($C136,'IMF COFOG FULL'!$B:$CM,79,FALSE)), " ")</f>
        <v>2.4082744448982898</v>
      </c>
      <c r="O136" s="15">
        <f>IF(ISNUMBER(VLOOKUP($C136,'IMF COFOG FULL'!$B:$CM,80,FALSE)),(VLOOKUP($C136,'IMF COFOG FULL'!$B:$CM,80,FALSE)), " ")</f>
        <v>0</v>
      </c>
      <c r="P136" s="15">
        <f>IF(ISNUMBER(VLOOKUP($C136,'IMF COFOG FULL'!$B:$CM,81,FALSE)),(VLOOKUP($C136,'IMF COFOG FULL'!$B:$CM,81,FALSE)), " ")</f>
        <v>0</v>
      </c>
      <c r="Q136" s="15">
        <f>IF(ISNUMBER(VLOOKUP($C136,'IMF COFOG FULL'!$B:$CM,82,FALSE)),(VLOOKUP($C136,'IMF COFOG FULL'!$B:$CM,82,FALSE)), " ")</f>
        <v>1.61364677443502</v>
      </c>
      <c r="R136" s="15">
        <f>IF(ISNUMBER(VLOOKUP($C136,'IMF COFOG FULL'!$B:$CM,83,FALSE)),(VLOOKUP($C136,'IMF COFOG FULL'!$B:$CM,83,FALSE)), " ")</f>
        <v>0</v>
      </c>
      <c r="S136" s="15">
        <f>IF(ISNUMBER(VLOOKUP($C136,'IMF COFOG FULL'!$B:$CM,84,FALSE)),(VLOOKUP($C136,'IMF COFOG FULL'!$B:$CM,84,FALSE)), " ")</f>
        <v>0</v>
      </c>
      <c r="T136" s="15">
        <f>IF(ISNUMBER(VLOOKUP($C136,'IMF COFOG FULL'!$B:$CM,85,FALSE)),(VLOOKUP($C136,'IMF COFOG FULL'!$B:$CM,85,FALSE)), " ")</f>
        <v>0.79462767046326399</v>
      </c>
      <c r="U136" s="7">
        <f>IF(ISNUMBER(VLOOKUP($C136,'IMF COFOG FULL'!$B:$CM,79,FALSE)),(VLOOKUP($C136,'IMF COFOG FULL'!$B:$CM,86,FALSE)), " ")</f>
        <v>2020</v>
      </c>
      <c r="V136" s="15" t="str">
        <f>IF(ISNUMBER(VLOOKUP($C136,'IMF COFOG FULL'!$B:$CM,79,FALSE)),(VLOOKUP($C136,'IMF COFOG FULL'!$B:$CM,87,FALSE)), " ")</f>
        <v>Budgetary central government</v>
      </c>
      <c r="W136" s="15">
        <f t="shared" si="39"/>
        <v>15.191325655425752</v>
      </c>
      <c r="X136" s="15">
        <f t="shared" si="40"/>
        <v>0</v>
      </c>
      <c r="Y136" s="15">
        <f t="shared" si="41"/>
        <v>0</v>
      </c>
      <c r="Z136" s="15">
        <f t="shared" si="42"/>
        <v>10.178837256359719</v>
      </c>
      <c r="AA136" s="15">
        <f t="shared" si="43"/>
        <v>0</v>
      </c>
      <c r="AB136" s="15">
        <f t="shared" si="44"/>
        <v>0</v>
      </c>
      <c r="AC136" s="15">
        <f t="shared" si="45"/>
        <v>5.0124883990659983</v>
      </c>
      <c r="AG136" s="15" t="str">
        <f>IF(ISNUMBER(VLOOKUP(C136,'National budgets summary'!A:F,5, FALSE)),(VLOOKUP(C136,'National budgets summary'!A:F,5, FALSE)), " ")</f>
        <v xml:space="preserve"> </v>
      </c>
      <c r="AH136" t="str">
        <f>IF(ISNUMBER(VLOOKUP(C136,'National budgets summary'!A:F,5, FALSE)),(VLOOKUP(C136,'National budgets summary'!A:F,4, FALSE)), " ")</f>
        <v xml:space="preserve"> </v>
      </c>
      <c r="AI136" s="15" t="str">
        <f t="shared" si="46"/>
        <v xml:space="preserve"> </v>
      </c>
      <c r="AJ136" s="15" t="str">
        <f t="shared" si="51"/>
        <v xml:space="preserve"> </v>
      </c>
      <c r="AK136" s="15">
        <f t="shared" si="52"/>
        <v>0</v>
      </c>
      <c r="AL136" s="15">
        <f t="shared" si="53"/>
        <v>10.178837256359719</v>
      </c>
      <c r="AM136" s="15">
        <f t="shared" si="54"/>
        <v>0</v>
      </c>
      <c r="AN136" s="15">
        <f t="shared" si="47"/>
        <v>15.191325655425752</v>
      </c>
      <c r="AO136" s="15">
        <f t="shared" si="48"/>
        <v>2.4082744448982898</v>
      </c>
      <c r="AP136">
        <f t="shared" si="49"/>
        <v>2020</v>
      </c>
      <c r="AQ136" t="str">
        <f t="shared" si="50"/>
        <v>IMF COFOG</v>
      </c>
      <c r="AR136" s="7">
        <f t="shared" si="55"/>
        <v>0</v>
      </c>
      <c r="AS136" s="7">
        <f t="shared" si="56"/>
        <v>198.63991793295094</v>
      </c>
      <c r="AT136" s="7">
        <f t="shared" si="57"/>
        <v>0</v>
      </c>
      <c r="AU136" s="7">
        <f t="shared" si="58"/>
        <v>296.45858416697939</v>
      </c>
    </row>
    <row r="137" spans="1:47">
      <c r="A137">
        <v>134</v>
      </c>
      <c r="B137" t="s">
        <v>226</v>
      </c>
      <c r="C137" t="s">
        <v>590</v>
      </c>
      <c r="D137" t="s">
        <v>497</v>
      </c>
      <c r="F137" t="s">
        <v>619</v>
      </c>
      <c r="H137" t="str">
        <f>IF(ISNUMBER(VLOOKUP(C137,'OECD DAC'!B:C,2,FALSE)), "YES", " ")</f>
        <v xml:space="preserve"> </v>
      </c>
      <c r="I137">
        <v>13080</v>
      </c>
      <c r="J137">
        <v>2014</v>
      </c>
      <c r="K137" s="15" t="str">
        <f>IF(ISNUMBER(VLOOKUP(C137,'WEO GOV REV'!C:BL,58,FALSE)),(VLOOKUP(C137,'WEO GOV REV'!C:BL,58,FALSE)), " ")</f>
        <v xml:space="preserve"> </v>
      </c>
      <c r="L137" s="15" t="str">
        <f>IF(ISNUMBER(VLOOKUP(C137,'WEO GOV REV'!C:BL,62,FALSE)),(VLOOKUP(C137,'WEO GOV REV'!C:BL,62,FALSE)), " ")</f>
        <v xml:space="preserve"> </v>
      </c>
      <c r="M137" t="str">
        <f>IF(ISNUMBER(VLOOKUP(C137,'WEO GOV REV'!C:BL,62,FALSE)),(VLOOKUP(C137,'WEO GOV REV'!C:BL,57,FALSE)), " ")</f>
        <v xml:space="preserve"> </v>
      </c>
      <c r="N137" s="15" t="str">
        <f>IF(ISNUMBER(VLOOKUP($C137,'IMF COFOG FULL'!$B:$CM,79,FALSE)),(VLOOKUP($C137,'IMF COFOG FULL'!$B:$CM,79,FALSE)), " ")</f>
        <v xml:space="preserve"> </v>
      </c>
      <c r="O137" s="15" t="str">
        <f>IF(ISNUMBER(VLOOKUP($C137,'IMF COFOG FULL'!$B:$CM,80,FALSE)),(VLOOKUP($C137,'IMF COFOG FULL'!$B:$CM,80,FALSE)), " ")</f>
        <v xml:space="preserve"> </v>
      </c>
      <c r="P137" s="15" t="str">
        <f>IF(ISNUMBER(VLOOKUP($C137,'IMF COFOG FULL'!$B:$CM,81,FALSE)),(VLOOKUP($C137,'IMF COFOG FULL'!$B:$CM,81,FALSE)), " ")</f>
        <v xml:space="preserve"> </v>
      </c>
      <c r="Q137" s="15" t="str">
        <f>IF(ISNUMBER(VLOOKUP($C137,'IMF COFOG FULL'!$B:$CM,82,FALSE)),(VLOOKUP($C137,'IMF COFOG FULL'!$B:$CM,82,FALSE)), " ")</f>
        <v xml:space="preserve"> </v>
      </c>
      <c r="R137" s="15" t="str">
        <f>IF(ISNUMBER(VLOOKUP($C137,'IMF COFOG FULL'!$B:$CM,83,FALSE)),(VLOOKUP($C137,'IMF COFOG FULL'!$B:$CM,83,FALSE)), " ")</f>
        <v xml:space="preserve"> </v>
      </c>
      <c r="S137" s="15" t="str">
        <f>IF(ISNUMBER(VLOOKUP($C137,'IMF COFOG FULL'!$B:$CM,84,FALSE)),(VLOOKUP($C137,'IMF COFOG FULL'!$B:$CM,84,FALSE)), " ")</f>
        <v xml:space="preserve"> </v>
      </c>
      <c r="T137" s="15" t="str">
        <f>IF(ISNUMBER(VLOOKUP($C137,'IMF COFOG FULL'!$B:$CM,85,FALSE)),(VLOOKUP($C137,'IMF COFOG FULL'!$B:$CM,85,FALSE)), " ")</f>
        <v xml:space="preserve"> </v>
      </c>
      <c r="U137" s="7" t="str">
        <f>IF(ISNUMBER(VLOOKUP($C137,'IMF COFOG FULL'!$B:$CM,79,FALSE)),(VLOOKUP($C137,'IMF COFOG FULL'!$B:$CM,86,FALSE)), " ")</f>
        <v xml:space="preserve"> </v>
      </c>
      <c r="V137" s="15" t="str">
        <f>IF(ISNUMBER(VLOOKUP($C137,'IMF COFOG FULL'!$B:$CM,79,FALSE)),(VLOOKUP($C137,'IMF COFOG FULL'!$B:$CM,87,FALSE)), " ")</f>
        <v xml:space="preserve"> </v>
      </c>
      <c r="W137" s="15" t="str">
        <f t="shared" ref="W137:W200" si="59">IF(ISNUMBER(N137),(N137/$L137*100), " ")</f>
        <v xml:space="preserve"> </v>
      </c>
      <c r="X137" s="15" t="str">
        <f t="shared" ref="X137:X200" si="60">IF(ISNUMBER(O137),(O137/$L137*100), " ")</f>
        <v xml:space="preserve"> </v>
      </c>
      <c r="Y137" s="15" t="str">
        <f t="shared" ref="Y137:Y200" si="61">IF(ISNUMBER(P137),(P137/$L137*100), " ")</f>
        <v xml:space="preserve"> </v>
      </c>
      <c r="Z137" s="15" t="str">
        <f t="shared" ref="Z137:Z200" si="62">IF(ISNUMBER(Q137),(Q137/$L137*100), " ")</f>
        <v xml:space="preserve"> </v>
      </c>
      <c r="AA137" s="15" t="str">
        <f t="shared" ref="AA137:AA200" si="63">IF(ISNUMBER(R137),(R137/$L137*100), " ")</f>
        <v xml:space="preserve"> </v>
      </c>
      <c r="AB137" s="15" t="str">
        <f t="shared" ref="AB137:AB200" si="64">IF(ISNUMBER(S137),(S137/$L137*100), " ")</f>
        <v xml:space="preserve"> </v>
      </c>
      <c r="AC137" s="15" t="str">
        <f t="shared" ref="AC137:AC200" si="65">IF(ISNUMBER(T137),(T137/$L137*100), " ")</f>
        <v xml:space="preserve"> </v>
      </c>
      <c r="AG137" s="15" t="str">
        <f>IF(ISNUMBER(VLOOKUP(C137,'National budgets summary'!A:F,5, FALSE)),(VLOOKUP(C137,'National budgets summary'!A:F,5, FALSE)), " ")</f>
        <v xml:space="preserve"> </v>
      </c>
      <c r="AH137" t="str">
        <f>IF(ISNUMBER(VLOOKUP(C137,'National budgets summary'!A:F,5, FALSE)),(VLOOKUP(C137,'National budgets summary'!A:F,4, FALSE)), " ")</f>
        <v xml:space="preserve"> </v>
      </c>
      <c r="AI137" s="15" t="str">
        <f t="shared" si="46"/>
        <v xml:space="preserve"> </v>
      </c>
      <c r="AJ137" s="15" t="str">
        <f t="shared" si="51"/>
        <v xml:space="preserve"> </v>
      </c>
      <c r="AK137" s="15" t="str">
        <f t="shared" si="52"/>
        <v/>
      </c>
      <c r="AL137" s="15" t="str">
        <f t="shared" si="53"/>
        <v/>
      </c>
      <c r="AM137" s="15" t="str">
        <f t="shared" si="54"/>
        <v/>
      </c>
      <c r="AN137" s="15" t="str">
        <f t="shared" si="47"/>
        <v xml:space="preserve"> </v>
      </c>
      <c r="AO137" s="15" t="str">
        <f t="shared" si="48"/>
        <v xml:space="preserve"> </v>
      </c>
      <c r="AP137" t="str">
        <f t="shared" si="49"/>
        <v xml:space="preserve"> </v>
      </c>
      <c r="AQ137" t="str">
        <f t="shared" si="50"/>
        <v xml:space="preserve"> </v>
      </c>
      <c r="AR137" s="7" t="str">
        <f t="shared" si="55"/>
        <v xml:space="preserve"> </v>
      </c>
      <c r="AS137" s="7" t="str">
        <f t="shared" si="56"/>
        <v xml:space="preserve"> </v>
      </c>
      <c r="AT137" s="7" t="str">
        <f t="shared" si="57"/>
        <v xml:space="preserve"> </v>
      </c>
      <c r="AU137" s="7" t="str">
        <f t="shared" si="58"/>
        <v xml:space="preserve"> </v>
      </c>
    </row>
    <row r="138" spans="1:47">
      <c r="A138">
        <v>135</v>
      </c>
      <c r="B138" t="s">
        <v>227</v>
      </c>
      <c r="C138" t="s">
        <v>552</v>
      </c>
      <c r="D138" t="s">
        <v>496</v>
      </c>
      <c r="E138" t="s">
        <v>622</v>
      </c>
      <c r="F138" t="s">
        <v>619</v>
      </c>
      <c r="H138" t="str">
        <f>IF(ISNUMBER(VLOOKUP(C138,'OECD DAC'!B:C,2,FALSE)), "YES", " ")</f>
        <v xml:space="preserve"> </v>
      </c>
      <c r="I138">
        <v>13260</v>
      </c>
      <c r="J138">
        <v>2021</v>
      </c>
      <c r="K138" s="15">
        <f>IF(ISNUMBER(VLOOKUP(C138,'WEO GOV REV'!C:BL,58,FALSE)),(VLOOKUP(C138,'WEO GOV REV'!C:BL,58,FALSE)), " ")</f>
        <v>7.5430000000000001</v>
      </c>
      <c r="L138" s="15">
        <f>IF(ISNUMBER(VLOOKUP(C138,'WEO GOV REV'!C:BL,62,FALSE)),(VLOOKUP(C138,'WEO GOV REV'!C:BL,62,FALSE)), " ")</f>
        <v>35.662616424755335</v>
      </c>
      <c r="M138">
        <f>IF(ISNUMBER(VLOOKUP(C138,'WEO GOV REV'!C:BL,62,FALSE)),(VLOOKUP(C138,'WEO GOV REV'!C:BL,57,FALSE)), " ")</f>
        <v>2020</v>
      </c>
      <c r="N138" s="15">
        <f>IF(ISNUMBER(VLOOKUP($C138,'IMF COFOG FULL'!$B:$CM,79,FALSE)),(VLOOKUP($C138,'IMF COFOG FULL'!$B:$CM,79,FALSE)), " ")</f>
        <v>2.4867677867479401</v>
      </c>
      <c r="O138" s="15">
        <f>IF(ISNUMBER(VLOOKUP($C138,'IMF COFOG FULL'!$B:$CM,80,FALSE)),(VLOOKUP($C138,'IMF COFOG FULL'!$B:$CM,80,FALSE)), " ")</f>
        <v>1.7859204281357799</v>
      </c>
      <c r="P138" s="15">
        <f>IF(ISNUMBER(VLOOKUP($C138,'IMF COFOG FULL'!$B:$CM,81,FALSE)),(VLOOKUP($C138,'IMF COFOG FULL'!$B:$CM,81,FALSE)), " ")</f>
        <v>0.28806424665494701</v>
      </c>
      <c r="Q138" s="15">
        <f>IF(ISNUMBER(VLOOKUP($C138,'IMF COFOG FULL'!$B:$CM,82,FALSE)),(VLOOKUP($C138,'IMF COFOG FULL'!$B:$CM,82,FALSE)), " ")</f>
        <v>0</v>
      </c>
      <c r="R138" s="15">
        <f>IF(ISNUMBER(VLOOKUP($C138,'IMF COFOG FULL'!$B:$CM,83,FALSE)),(VLOOKUP($C138,'IMF COFOG FULL'!$B:$CM,83,FALSE)), " ")</f>
        <v>0.41278311195721401</v>
      </c>
      <c r="S138" s="15">
        <f>IF(ISNUMBER(VLOOKUP($C138,'IMF COFOG FULL'!$B:$CM,84,FALSE)),(VLOOKUP($C138,'IMF COFOG FULL'!$B:$CM,84,FALSE)), " ")</f>
        <v>0</v>
      </c>
      <c r="T138" s="15">
        <f>IF(ISNUMBER(VLOOKUP($C138,'IMF COFOG FULL'!$B:$CM,85,FALSE)),(VLOOKUP($C138,'IMF COFOG FULL'!$B:$CM,85,FALSE)), " ")</f>
        <v>0</v>
      </c>
      <c r="U138" s="7">
        <f>IF(ISNUMBER(VLOOKUP($C138,'IMF COFOG FULL'!$B:$CM,79,FALSE)),(VLOOKUP($C138,'IMF COFOG FULL'!$B:$CM,86,FALSE)), " ")</f>
        <v>2018</v>
      </c>
      <c r="V138" s="15" t="str">
        <f>IF(ISNUMBER(VLOOKUP($C138,'IMF COFOG FULL'!$B:$CM,79,FALSE)),(VLOOKUP($C138,'IMF COFOG FULL'!$B:$CM,87,FALSE)), " ")</f>
        <v>General government</v>
      </c>
      <c r="W138" s="15">
        <f t="shared" si="59"/>
        <v>6.9730379766015744</v>
      </c>
      <c r="X138" s="15">
        <f t="shared" si="60"/>
        <v>5.0078222160280887</v>
      </c>
      <c r="Y138" s="15">
        <f t="shared" si="61"/>
        <v>0.80774849277459682</v>
      </c>
      <c r="Z138" s="15">
        <f t="shared" si="62"/>
        <v>0</v>
      </c>
      <c r="AA138" s="15">
        <f t="shared" si="63"/>
        <v>1.1574672677988906</v>
      </c>
      <c r="AB138" s="15">
        <f t="shared" si="64"/>
        <v>0</v>
      </c>
      <c r="AC138" s="15">
        <f t="shared" si="65"/>
        <v>0</v>
      </c>
      <c r="AG138" s="15" t="str">
        <f>IF(ISNUMBER(VLOOKUP(C138,'National budgets summary'!A:F,5, FALSE)),(VLOOKUP(C138,'National budgets summary'!A:F,5, FALSE)), " ")</f>
        <v xml:space="preserve"> </v>
      </c>
      <c r="AH138" t="str">
        <f>IF(ISNUMBER(VLOOKUP(C138,'National budgets summary'!A:F,5, FALSE)),(VLOOKUP(C138,'National budgets summary'!A:F,4, FALSE)), " ")</f>
        <v xml:space="preserve"> </v>
      </c>
      <c r="AI138" s="15" t="str">
        <f t="shared" si="46"/>
        <v xml:space="preserve"> </v>
      </c>
      <c r="AJ138" s="15" t="str">
        <f t="shared" si="51"/>
        <v xml:space="preserve"> </v>
      </c>
      <c r="AK138" s="15">
        <f t="shared" si="52"/>
        <v>5.0078222160280887</v>
      </c>
      <c r="AL138" s="15">
        <f t="shared" si="53"/>
        <v>0</v>
      </c>
      <c r="AM138" s="15">
        <f t="shared" si="54"/>
        <v>1.1574672677988906</v>
      </c>
      <c r="AN138" s="15">
        <f t="shared" si="47"/>
        <v>6.9730379766015744</v>
      </c>
      <c r="AO138" s="15">
        <f t="shared" si="48"/>
        <v>2.4867677867479401</v>
      </c>
      <c r="AP138">
        <f t="shared" si="49"/>
        <v>2018</v>
      </c>
      <c r="AQ138" t="str">
        <f t="shared" si="50"/>
        <v>IMF COFOG</v>
      </c>
      <c r="AR138" s="7">
        <f t="shared" si="55"/>
        <v>236.81304877080441</v>
      </c>
      <c r="AS138" s="7">
        <f t="shared" si="56"/>
        <v>0</v>
      </c>
      <c r="AT138" s="7">
        <f t="shared" si="57"/>
        <v>54.735040645526574</v>
      </c>
      <c r="AU138" s="7">
        <f t="shared" si="58"/>
        <v>329.74540852277687</v>
      </c>
    </row>
    <row r="139" spans="1:47">
      <c r="A139">
        <v>136</v>
      </c>
      <c r="B139" t="s">
        <v>228</v>
      </c>
      <c r="C139" t="s">
        <v>547</v>
      </c>
      <c r="D139" t="s">
        <v>497</v>
      </c>
      <c r="E139" t="s">
        <v>622</v>
      </c>
      <c r="F139" t="s">
        <v>619</v>
      </c>
      <c r="H139" t="str">
        <f>IF(ISNUMBER(VLOOKUP(C139,'OECD DAC'!B:C,2,FALSE)), "YES", " ")</f>
        <v xml:space="preserve"> </v>
      </c>
      <c r="I139">
        <v>14010</v>
      </c>
      <c r="J139">
        <v>2021</v>
      </c>
      <c r="K139" s="15">
        <f>IF(ISNUMBER(VLOOKUP(C139,'WEO GOV REV'!C:BL,58,FALSE)),(VLOOKUP(C139,'WEO GOV REV'!C:BL,58,FALSE)), " ")</f>
        <v>11.565</v>
      </c>
      <c r="L139" s="15">
        <f>IF(ISNUMBER(VLOOKUP(C139,'WEO GOV REV'!C:BL,62,FALSE)),(VLOOKUP(C139,'WEO GOV REV'!C:BL,62,FALSE)), " ")</f>
        <v>18.182532819746875</v>
      </c>
      <c r="M139">
        <f>IF(ISNUMBER(VLOOKUP(C139,'WEO GOV REV'!C:BL,62,FALSE)),(VLOOKUP(C139,'WEO GOV REV'!C:BL,57,FALSE)), " ")</f>
        <v>2021</v>
      </c>
      <c r="N139" s="15">
        <f>IF(ISNUMBER(VLOOKUP($C139,'IMF COFOG FULL'!$B:$CM,79,FALSE)),(VLOOKUP($C139,'IMF COFOG FULL'!$B:$CM,79,FALSE)), " ")</f>
        <v>1.9633558415594801</v>
      </c>
      <c r="O139" s="15">
        <f>IF(ISNUMBER(VLOOKUP($C139,'IMF COFOG FULL'!$B:$CM,80,FALSE)),(VLOOKUP($C139,'IMF COFOG FULL'!$B:$CM,80,FALSE)), " ")</f>
        <v>1.2842271967402801</v>
      </c>
      <c r="P139" s="15">
        <f>IF(ISNUMBER(VLOOKUP($C139,'IMF COFOG FULL'!$B:$CM,81,FALSE)),(VLOOKUP($C139,'IMF COFOG FULL'!$B:$CM,81,FALSE)), " ")</f>
        <v>0</v>
      </c>
      <c r="Q139" s="15">
        <f>IF(ISNUMBER(VLOOKUP($C139,'IMF COFOG FULL'!$B:$CM,82,FALSE)),(VLOOKUP($C139,'IMF COFOG FULL'!$B:$CM,82,FALSE)), " ")</f>
        <v>0.48002901489934802</v>
      </c>
      <c r="R139" s="15">
        <f>IF(ISNUMBER(VLOOKUP($C139,'IMF COFOG FULL'!$B:$CM,83,FALSE)),(VLOOKUP($C139,'IMF COFOG FULL'!$B:$CM,83,FALSE)), " ")</f>
        <v>0.13357451876015899</v>
      </c>
      <c r="S139" s="15">
        <f>IF(ISNUMBER(VLOOKUP($C139,'IMF COFOG FULL'!$B:$CM,84,FALSE)),(VLOOKUP($C139,'IMF COFOG FULL'!$B:$CM,84,FALSE)), " ")</f>
        <v>0</v>
      </c>
      <c r="T139" s="15">
        <f>IF(ISNUMBER(VLOOKUP($C139,'IMF COFOG FULL'!$B:$CM,85,FALSE)),(VLOOKUP($C139,'IMF COFOG FULL'!$B:$CM,85,FALSE)), " ")</f>
        <v>6.5525111159697405E-2</v>
      </c>
      <c r="U139" s="7">
        <f>IF(ISNUMBER(VLOOKUP($C139,'IMF COFOG FULL'!$B:$CM,79,FALSE)),(VLOOKUP($C139,'IMF COFOG FULL'!$B:$CM,86,FALSE)), " ")</f>
        <v>2020</v>
      </c>
      <c r="V139" s="15" t="str">
        <f>IF(ISNUMBER(VLOOKUP($C139,'IMF COFOG FULL'!$B:$CM,79,FALSE)),(VLOOKUP($C139,'IMF COFOG FULL'!$B:$CM,87,FALSE)), " ")</f>
        <v>Budgetary central government</v>
      </c>
      <c r="W139" s="15">
        <f t="shared" si="59"/>
        <v>10.798032710971961</v>
      </c>
      <c r="X139" s="15">
        <f t="shared" si="60"/>
        <v>7.0629719713502386</v>
      </c>
      <c r="Y139" s="15">
        <f t="shared" si="61"/>
        <v>0</v>
      </c>
      <c r="Z139" s="15">
        <f t="shared" si="62"/>
        <v>2.6400558143253807</v>
      </c>
      <c r="AA139" s="15">
        <f t="shared" si="63"/>
        <v>0.73463097844703096</v>
      </c>
      <c r="AB139" s="15">
        <f t="shared" si="64"/>
        <v>0</v>
      </c>
      <c r="AC139" s="15">
        <f t="shared" si="65"/>
        <v>0.36037394684933449</v>
      </c>
      <c r="AG139" s="15" t="str">
        <f>IF(ISNUMBER(VLOOKUP(C139,'National budgets summary'!A:F,5, FALSE)),(VLOOKUP(C139,'National budgets summary'!A:F,5, FALSE)), " ")</f>
        <v xml:space="preserve"> </v>
      </c>
      <c r="AH139" t="str">
        <f>IF(ISNUMBER(VLOOKUP(C139,'National budgets summary'!A:F,5, FALSE)),(VLOOKUP(C139,'National budgets summary'!A:F,4, FALSE)), " ")</f>
        <v xml:space="preserve"> </v>
      </c>
      <c r="AI139" s="15" t="str">
        <f t="shared" si="46"/>
        <v xml:space="preserve"> </v>
      </c>
      <c r="AJ139" s="15" t="str">
        <f t="shared" si="51"/>
        <v xml:space="preserve"> </v>
      </c>
      <c r="AK139" s="15">
        <f t="shared" si="52"/>
        <v>7.0629719713502386</v>
      </c>
      <c r="AL139" s="15">
        <f t="shared" si="53"/>
        <v>2.6400558143253807</v>
      </c>
      <c r="AM139" s="15">
        <f t="shared" si="54"/>
        <v>0.73463097844703096</v>
      </c>
      <c r="AN139" s="15">
        <f t="shared" si="47"/>
        <v>10.798032710971961</v>
      </c>
      <c r="AO139" s="15">
        <f t="shared" si="48"/>
        <v>1.9633558415594801</v>
      </c>
      <c r="AP139">
        <f t="shared" si="49"/>
        <v>2020</v>
      </c>
      <c r="AQ139" t="str">
        <f t="shared" si="50"/>
        <v>IMF COFOG</v>
      </c>
      <c r="AR139" s="7">
        <f t="shared" si="55"/>
        <v>179.92023026331319</v>
      </c>
      <c r="AS139" s="7">
        <f t="shared" si="56"/>
        <v>67.25206498739864</v>
      </c>
      <c r="AT139" s="7">
        <f t="shared" si="57"/>
        <v>18.713790078298274</v>
      </c>
      <c r="AU139" s="7">
        <f t="shared" si="58"/>
        <v>275.06615340248311</v>
      </c>
    </row>
    <row r="140" spans="1:47">
      <c r="A140">
        <v>137</v>
      </c>
      <c r="B140" t="s">
        <v>229</v>
      </c>
      <c r="C140" t="s">
        <v>549</v>
      </c>
      <c r="D140" t="s">
        <v>485</v>
      </c>
      <c r="E140" t="s">
        <v>622</v>
      </c>
      <c r="F140" t="s">
        <v>619</v>
      </c>
      <c r="H140" t="str">
        <f>IF(ISNUMBER(VLOOKUP(C140,'OECD DAC'!B:C,2,FALSE)), "YES", " ")</f>
        <v xml:space="preserve"> </v>
      </c>
      <c r="I140">
        <v>14170</v>
      </c>
      <c r="J140">
        <v>2021</v>
      </c>
      <c r="K140" s="15">
        <f>IF(ISNUMBER(VLOOKUP(C140,'WEO GOV REV'!C:BL,58,FALSE)),(VLOOKUP(C140,'WEO GOV REV'!C:BL,58,FALSE)), " ")</f>
        <v>305.29599999999999</v>
      </c>
      <c r="L140" s="15">
        <f>IF(ISNUMBER(VLOOKUP(C140,'WEO GOV REV'!C:BL,62,FALSE)),(VLOOKUP(C140,'WEO GOV REV'!C:BL,62,FALSE)), " ")</f>
        <v>28.830612032901133</v>
      </c>
      <c r="M140">
        <f>IF(ISNUMBER(VLOOKUP(C140,'WEO GOV REV'!C:BL,62,FALSE)),(VLOOKUP(C140,'WEO GOV REV'!C:BL,57,FALSE)), " ")</f>
        <v>2020</v>
      </c>
      <c r="N140" s="15">
        <f>IF(ISNUMBER(VLOOKUP($C140,'IMF COFOG FULL'!$B:$CM,79,FALSE)),(VLOOKUP($C140,'IMF COFOG FULL'!$B:$CM,79,FALSE)), " ")</f>
        <v>2.5398352023137201</v>
      </c>
      <c r="O140" s="15">
        <f>IF(ISNUMBER(VLOOKUP($C140,'IMF COFOG FULL'!$B:$CM,80,FALSE)),(VLOOKUP($C140,'IMF COFOG FULL'!$B:$CM,80,FALSE)), " ")</f>
        <v>1.3837541191842599</v>
      </c>
      <c r="P140" s="15">
        <f>IF(ISNUMBER(VLOOKUP($C140,'IMF COFOG FULL'!$B:$CM,81,FALSE)),(VLOOKUP($C140,'IMF COFOG FULL'!$B:$CM,81,FALSE)), " ")</f>
        <v>0.31657465765675602</v>
      </c>
      <c r="Q140" s="15">
        <f>IF(ISNUMBER(VLOOKUP($C140,'IMF COFOG FULL'!$B:$CM,82,FALSE)),(VLOOKUP($C140,'IMF COFOG FULL'!$B:$CM,82,FALSE)), " ")</f>
        <v>0.42606272680145202</v>
      </c>
      <c r="R140" s="15">
        <f>IF(ISNUMBER(VLOOKUP($C140,'IMF COFOG FULL'!$B:$CM,83,FALSE)),(VLOOKUP($C140,'IMF COFOG FULL'!$B:$CM,83,FALSE)), " ")</f>
        <v>0.13242400540837099</v>
      </c>
      <c r="S140" s="15">
        <f>IF(ISNUMBER(VLOOKUP($C140,'IMF COFOG FULL'!$B:$CM,84,FALSE)),(VLOOKUP($C140,'IMF COFOG FULL'!$B:$CM,84,FALSE)), " ")</f>
        <v>2.36843621062333E-4</v>
      </c>
      <c r="T140" s="15">
        <f>IF(ISNUMBER(VLOOKUP($C140,'IMF COFOG FULL'!$B:$CM,85,FALSE)),(VLOOKUP($C140,'IMF COFOG FULL'!$B:$CM,85,FALSE)), " ")</f>
        <v>0.28078284964181699</v>
      </c>
      <c r="U140" s="7">
        <f>IF(ISNUMBER(VLOOKUP($C140,'IMF COFOG FULL'!$B:$CM,79,FALSE)),(VLOOKUP($C140,'IMF COFOG FULL'!$B:$CM,86,FALSE)), " ")</f>
        <v>2020</v>
      </c>
      <c r="V140" s="15" t="str">
        <f>IF(ISNUMBER(VLOOKUP($C140,'IMF COFOG FULL'!$B:$CM,79,FALSE)),(VLOOKUP($C140,'IMF COFOG FULL'!$B:$CM,87,FALSE)), " ")</f>
        <v>General government</v>
      </c>
      <c r="W140" s="15">
        <f t="shared" si="59"/>
        <v>8.8095084468387004</v>
      </c>
      <c r="X140" s="15">
        <f t="shared" si="60"/>
        <v>4.7996002221705778</v>
      </c>
      <c r="Y140" s="15">
        <f t="shared" si="61"/>
        <v>1.0980504239573026</v>
      </c>
      <c r="Z140" s="15">
        <f t="shared" si="62"/>
        <v>1.4778136735884573</v>
      </c>
      <c r="AA140" s="15">
        <f t="shared" si="63"/>
        <v>0.45931735773507121</v>
      </c>
      <c r="AB140" s="15">
        <f t="shared" si="64"/>
        <v>8.2150049673607357E-4</v>
      </c>
      <c r="AC140" s="15">
        <f t="shared" si="65"/>
        <v>0.97390526889054985</v>
      </c>
      <c r="AG140" s="15" t="str">
        <f>IF(ISNUMBER(VLOOKUP(C140,'National budgets summary'!A:F,5, FALSE)),(VLOOKUP(C140,'National budgets summary'!A:F,5, FALSE)), " ")</f>
        <v xml:space="preserve"> </v>
      </c>
      <c r="AH140" t="str">
        <f>IF(ISNUMBER(VLOOKUP(C140,'National budgets summary'!A:F,5, FALSE)),(VLOOKUP(C140,'National budgets summary'!A:F,4, FALSE)), " ")</f>
        <v xml:space="preserve"> </v>
      </c>
      <c r="AI140" s="15" t="str">
        <f t="shared" si="46"/>
        <v xml:space="preserve"> </v>
      </c>
      <c r="AJ140" s="15" t="str">
        <f t="shared" si="51"/>
        <v xml:space="preserve"> </v>
      </c>
      <c r="AK140" s="15">
        <f t="shared" si="52"/>
        <v>4.7996002221705778</v>
      </c>
      <c r="AL140" s="15">
        <f t="shared" si="53"/>
        <v>1.4778136735884573</v>
      </c>
      <c r="AM140" s="15">
        <f t="shared" si="54"/>
        <v>0.45931735773507121</v>
      </c>
      <c r="AN140" s="15">
        <f t="shared" si="47"/>
        <v>8.8095084468387004</v>
      </c>
      <c r="AO140" s="15">
        <f t="shared" si="48"/>
        <v>2.5398352023137201</v>
      </c>
      <c r="AP140">
        <f t="shared" si="49"/>
        <v>2020</v>
      </c>
      <c r="AQ140" t="str">
        <f t="shared" si="50"/>
        <v>IMF COFOG</v>
      </c>
      <c r="AR140" s="7">
        <f t="shared" si="55"/>
        <v>196.07795868840964</v>
      </c>
      <c r="AS140" s="7">
        <f t="shared" si="56"/>
        <v>60.373088387765748</v>
      </c>
      <c r="AT140" s="7">
        <f t="shared" si="57"/>
        <v>18.764481566366168</v>
      </c>
      <c r="AU140" s="7">
        <f t="shared" si="58"/>
        <v>359.89464816785409</v>
      </c>
    </row>
    <row r="141" spans="1:47">
      <c r="A141">
        <v>138</v>
      </c>
      <c r="B141" t="s">
        <v>230</v>
      </c>
      <c r="C141" t="s">
        <v>546</v>
      </c>
      <c r="D141" t="s">
        <v>493</v>
      </c>
      <c r="E141" t="s">
        <v>389</v>
      </c>
      <c r="F141" t="s">
        <v>619</v>
      </c>
      <c r="H141" t="str">
        <f>IF(ISNUMBER(VLOOKUP(C141,'OECD DAC'!B:C,2,FALSE)), "YES", " ")</f>
        <v xml:space="preserve"> </v>
      </c>
      <c r="I141">
        <v>14390</v>
      </c>
      <c r="J141">
        <v>2020</v>
      </c>
      <c r="K141" s="15">
        <f>IF(ISNUMBER(VLOOKUP(C141,'WEO GOV REV'!C:BL,58,FALSE)),(VLOOKUP(C141,'WEO GOV REV'!C:BL,58,FALSE)), " ")</f>
        <v>0.122</v>
      </c>
      <c r="L141" s="15">
        <f>IF(ISNUMBER(VLOOKUP(C141,'WEO GOV REV'!C:BL,62,FALSE)),(VLOOKUP(C141,'WEO GOV REV'!C:BL,62,FALSE)), " ")</f>
        <v>47.286821705426348</v>
      </c>
      <c r="M141">
        <f>IF(ISNUMBER(VLOOKUP(C141,'WEO GOV REV'!C:BL,62,FALSE)),(VLOOKUP(C141,'WEO GOV REV'!C:BL,57,FALSE)), " ")</f>
        <v>2020</v>
      </c>
      <c r="N141" s="15">
        <f>IF(ISNUMBER(VLOOKUP($C141,'IMF COFOG FULL'!$B:$CM,79,FALSE)),(VLOOKUP($C141,'IMF COFOG FULL'!$B:$CM,79,FALSE)), " ")</f>
        <v>4.9992352697621598</v>
      </c>
      <c r="O141" s="15">
        <f>IF(ISNUMBER(VLOOKUP($C141,'IMF COFOG FULL'!$B:$CM,80,FALSE)),(VLOOKUP($C141,'IMF COFOG FULL'!$B:$CM,80,FALSE)), " ")</f>
        <v>1.57819959795533</v>
      </c>
      <c r="P141" s="15">
        <f>IF(ISNUMBER(VLOOKUP($C141,'IMF COFOG FULL'!$B:$CM,81,FALSE)),(VLOOKUP($C141,'IMF COFOG FULL'!$B:$CM,81,FALSE)), " ")</f>
        <v>0</v>
      </c>
      <c r="Q141" s="15">
        <f>IF(ISNUMBER(VLOOKUP($C141,'IMF COFOG FULL'!$B:$CM,82,FALSE)),(VLOOKUP($C141,'IMF COFOG FULL'!$B:$CM,82,FALSE)), " ")</f>
        <v>2.8645622117092899</v>
      </c>
      <c r="R141" s="15">
        <f>IF(ISNUMBER(VLOOKUP($C141,'IMF COFOG FULL'!$B:$CM,83,FALSE)),(VLOOKUP($C141,'IMF COFOG FULL'!$B:$CM,83,FALSE)), " ")</f>
        <v>0</v>
      </c>
      <c r="S141" s="15">
        <f>IF(ISNUMBER(VLOOKUP($C141,'IMF COFOG FULL'!$B:$CM,84,FALSE)),(VLOOKUP($C141,'IMF COFOG FULL'!$B:$CM,84,FALSE)), " ")</f>
        <v>0</v>
      </c>
      <c r="T141" s="15">
        <f>IF(ISNUMBER(VLOOKUP($C141,'IMF COFOG FULL'!$B:$CM,85,FALSE)),(VLOOKUP($C141,'IMF COFOG FULL'!$B:$CM,85,FALSE)), " ")</f>
        <v>0.55647346009754295</v>
      </c>
      <c r="U141" s="7">
        <f>IF(ISNUMBER(VLOOKUP($C141,'IMF COFOG FULL'!$B:$CM,79,FALSE)),(VLOOKUP($C141,'IMF COFOG FULL'!$B:$CM,86,FALSE)), " ")</f>
        <v>2019</v>
      </c>
      <c r="V141" s="15" t="str">
        <f>IF(ISNUMBER(VLOOKUP($C141,'IMF COFOG FULL'!$B:$CM,79,FALSE)),(VLOOKUP($C141,'IMF COFOG FULL'!$B:$CM,87,FALSE)), " ")</f>
        <v>Budgetary central government</v>
      </c>
      <c r="W141" s="15">
        <f t="shared" si="59"/>
        <v>10.572153275398668</v>
      </c>
      <c r="X141" s="15">
        <f t="shared" si="60"/>
        <v>3.3375040678071741</v>
      </c>
      <c r="Y141" s="15">
        <f t="shared" si="61"/>
        <v>0</v>
      </c>
      <c r="Z141" s="15">
        <f t="shared" si="62"/>
        <v>6.0578446772212864</v>
      </c>
      <c r="AA141" s="15">
        <f t="shared" si="63"/>
        <v>0</v>
      </c>
      <c r="AB141" s="15">
        <f t="shared" si="64"/>
        <v>0</v>
      </c>
      <c r="AC141" s="15">
        <f t="shared" si="65"/>
        <v>1.1768045303702139</v>
      </c>
      <c r="AG141" s="15" t="str">
        <f>IF(ISNUMBER(VLOOKUP(C141,'National budgets summary'!A:F,5, FALSE)),(VLOOKUP(C141,'National budgets summary'!A:F,5, FALSE)), " ")</f>
        <v xml:space="preserve"> </v>
      </c>
      <c r="AH141" t="str">
        <f>IF(ISNUMBER(VLOOKUP(C141,'National budgets summary'!A:F,5, FALSE)),(VLOOKUP(C141,'National budgets summary'!A:F,4, FALSE)), " ")</f>
        <v xml:space="preserve"> </v>
      </c>
      <c r="AI141" s="15" t="str">
        <f t="shared" si="46"/>
        <v xml:space="preserve"> </v>
      </c>
      <c r="AJ141" s="15" t="str">
        <f t="shared" si="51"/>
        <v xml:space="preserve"> </v>
      </c>
      <c r="AK141" s="15">
        <f t="shared" si="52"/>
        <v>3.3375040678071741</v>
      </c>
      <c r="AL141" s="15">
        <f t="shared" si="53"/>
        <v>6.0578446772212864</v>
      </c>
      <c r="AM141" s="15">
        <f t="shared" si="54"/>
        <v>0</v>
      </c>
      <c r="AN141" s="15">
        <f t="shared" si="47"/>
        <v>10.572153275398668</v>
      </c>
      <c r="AO141" s="15">
        <f t="shared" si="48"/>
        <v>4.9992352697621598</v>
      </c>
      <c r="AP141">
        <f t="shared" si="49"/>
        <v>2019</v>
      </c>
      <c r="AQ141" t="str">
        <f t="shared" si="50"/>
        <v>IMF COFOG</v>
      </c>
      <c r="AR141" s="7">
        <f t="shared" si="55"/>
        <v>227.10292214577197</v>
      </c>
      <c r="AS141" s="7">
        <f t="shared" si="56"/>
        <v>412.21050226496675</v>
      </c>
      <c r="AT141" s="7">
        <f t="shared" si="57"/>
        <v>0</v>
      </c>
      <c r="AU141" s="7">
        <f t="shared" si="58"/>
        <v>719.3899553187747</v>
      </c>
    </row>
    <row r="142" spans="1:47">
      <c r="A142">
        <v>139</v>
      </c>
      <c r="B142" t="s">
        <v>231</v>
      </c>
      <c r="C142" t="s">
        <v>565</v>
      </c>
      <c r="D142" t="s">
        <v>497</v>
      </c>
      <c r="E142" t="s">
        <v>622</v>
      </c>
      <c r="F142" t="s">
        <v>619</v>
      </c>
      <c r="H142" t="str">
        <f>IF(ISNUMBER(VLOOKUP(C142,'OECD DAC'!B:C,2,FALSE)), "YES", " ")</f>
        <v xml:space="preserve"> </v>
      </c>
      <c r="I142">
        <v>14900</v>
      </c>
      <c r="J142">
        <v>2021</v>
      </c>
      <c r="K142" s="15">
        <f>IF(ISNUMBER(VLOOKUP(C142,'WEO GOV REV'!C:BL,58,FALSE)),(VLOOKUP(C142,'WEO GOV REV'!C:BL,58,FALSE)), " ")</f>
        <v>0.755</v>
      </c>
      <c r="L142" s="15">
        <f>IF(ISNUMBER(VLOOKUP(C142,'WEO GOV REV'!C:BL,62,FALSE)),(VLOOKUP(C142,'WEO GOV REV'!C:BL,62,FALSE)), " ")</f>
        <v>20.405405405405403</v>
      </c>
      <c r="M142">
        <f>IF(ISNUMBER(VLOOKUP(C142,'WEO GOV REV'!C:BL,62,FALSE)),(VLOOKUP(C142,'WEO GOV REV'!C:BL,57,FALSE)), " ")</f>
        <v>2020</v>
      </c>
      <c r="N142" s="15" t="str">
        <f>IF(ISNUMBER(VLOOKUP($C142,'IMF COFOG FULL'!$B:$CM,79,FALSE)),(VLOOKUP($C142,'IMF COFOG FULL'!$B:$CM,79,FALSE)), " ")</f>
        <v xml:space="preserve"> </v>
      </c>
      <c r="O142" s="15" t="str">
        <f>IF(ISNUMBER(VLOOKUP($C142,'IMF COFOG FULL'!$B:$CM,80,FALSE)),(VLOOKUP($C142,'IMF COFOG FULL'!$B:$CM,80,FALSE)), " ")</f>
        <v xml:space="preserve"> </v>
      </c>
      <c r="P142" s="15" t="str">
        <f>IF(ISNUMBER(VLOOKUP($C142,'IMF COFOG FULL'!$B:$CM,81,FALSE)),(VLOOKUP($C142,'IMF COFOG FULL'!$B:$CM,81,FALSE)), " ")</f>
        <v xml:space="preserve"> </v>
      </c>
      <c r="Q142" s="15" t="str">
        <f>IF(ISNUMBER(VLOOKUP($C142,'IMF COFOG FULL'!$B:$CM,82,FALSE)),(VLOOKUP($C142,'IMF COFOG FULL'!$B:$CM,82,FALSE)), " ")</f>
        <v xml:space="preserve"> </v>
      </c>
      <c r="R142" s="15" t="str">
        <f>IF(ISNUMBER(VLOOKUP($C142,'IMF COFOG FULL'!$B:$CM,83,FALSE)),(VLOOKUP($C142,'IMF COFOG FULL'!$B:$CM,83,FALSE)), " ")</f>
        <v xml:space="preserve"> </v>
      </c>
      <c r="S142" s="15" t="str">
        <f>IF(ISNUMBER(VLOOKUP($C142,'IMF COFOG FULL'!$B:$CM,84,FALSE)),(VLOOKUP($C142,'IMF COFOG FULL'!$B:$CM,84,FALSE)), " ")</f>
        <v xml:space="preserve"> </v>
      </c>
      <c r="T142" s="15" t="str">
        <f>IF(ISNUMBER(VLOOKUP($C142,'IMF COFOG FULL'!$B:$CM,85,FALSE)),(VLOOKUP($C142,'IMF COFOG FULL'!$B:$CM,85,FALSE)), " ")</f>
        <v xml:space="preserve"> </v>
      </c>
      <c r="U142" s="7" t="str">
        <f>IF(ISNUMBER(VLOOKUP($C142,'IMF COFOG FULL'!$B:$CM,79,FALSE)),(VLOOKUP($C142,'IMF COFOG FULL'!$B:$CM,86,FALSE)), " ")</f>
        <v xml:space="preserve"> </v>
      </c>
      <c r="V142" s="15" t="str">
        <f>IF(ISNUMBER(VLOOKUP($C142,'IMF COFOG FULL'!$B:$CM,79,FALSE)),(VLOOKUP($C142,'IMF COFOG FULL'!$B:$CM,87,FALSE)), " ")</f>
        <v xml:space="preserve"> </v>
      </c>
      <c r="W142" s="15" t="str">
        <f t="shared" si="59"/>
        <v xml:space="preserve"> </v>
      </c>
      <c r="X142" s="15" t="str">
        <f t="shared" si="60"/>
        <v xml:space="preserve"> </v>
      </c>
      <c r="Y142" s="15" t="str">
        <f t="shared" si="61"/>
        <v xml:space="preserve"> </v>
      </c>
      <c r="Z142" s="15" t="str">
        <f t="shared" si="62"/>
        <v xml:space="preserve"> </v>
      </c>
      <c r="AA142" s="15" t="str">
        <f t="shared" si="63"/>
        <v xml:space="preserve"> </v>
      </c>
      <c r="AB142" s="15" t="str">
        <f t="shared" si="64"/>
        <v xml:space="preserve"> </v>
      </c>
      <c r="AC142" s="15" t="str">
        <f t="shared" si="65"/>
        <v xml:space="preserve"> </v>
      </c>
      <c r="AG142" s="15" t="str">
        <f>IF(ISNUMBER(VLOOKUP(C142,'National budgets summary'!A:F,5, FALSE)),(VLOOKUP(C142,'National budgets summary'!A:F,5, FALSE)), " ")</f>
        <v xml:space="preserve"> </v>
      </c>
      <c r="AH142" t="str">
        <f>IF(ISNUMBER(VLOOKUP(C142,'National budgets summary'!A:F,5, FALSE)),(VLOOKUP(C142,'National budgets summary'!A:F,4, FALSE)), " ")</f>
        <v xml:space="preserve"> </v>
      </c>
      <c r="AI142" s="15" t="str">
        <f t="shared" si="46"/>
        <v xml:space="preserve"> </v>
      </c>
      <c r="AJ142" s="15" t="str">
        <f t="shared" si="51"/>
        <v xml:space="preserve"> </v>
      </c>
      <c r="AK142" s="15" t="str">
        <f t="shared" si="52"/>
        <v/>
      </c>
      <c r="AL142" s="15" t="str">
        <f t="shared" si="53"/>
        <v/>
      </c>
      <c r="AM142" s="15" t="str">
        <f t="shared" si="54"/>
        <v/>
      </c>
      <c r="AN142" s="15" t="str">
        <f t="shared" si="47"/>
        <v xml:space="preserve"> </v>
      </c>
      <c r="AO142" s="15" t="str">
        <f t="shared" si="48"/>
        <v xml:space="preserve"> </v>
      </c>
      <c r="AP142" t="str">
        <f t="shared" si="49"/>
        <v xml:space="preserve"> </v>
      </c>
      <c r="AQ142" t="str">
        <f t="shared" si="50"/>
        <v xml:space="preserve"> </v>
      </c>
      <c r="AR142" s="7" t="str">
        <f t="shared" si="55"/>
        <v xml:space="preserve"> </v>
      </c>
      <c r="AS142" s="7" t="str">
        <f t="shared" si="56"/>
        <v xml:space="preserve"> </v>
      </c>
      <c r="AT142" s="7" t="str">
        <f t="shared" si="57"/>
        <v xml:space="preserve"> </v>
      </c>
      <c r="AU142" s="7" t="str">
        <f t="shared" si="58"/>
        <v xml:space="preserve"> </v>
      </c>
    </row>
    <row r="143" spans="1:47">
      <c r="A143">
        <v>140</v>
      </c>
      <c r="B143" t="s">
        <v>232</v>
      </c>
      <c r="C143" t="s">
        <v>507</v>
      </c>
      <c r="D143" t="s">
        <v>497</v>
      </c>
      <c r="E143" t="s">
        <v>622</v>
      </c>
      <c r="F143" t="s">
        <v>619</v>
      </c>
      <c r="H143" t="str">
        <f>IF(ISNUMBER(VLOOKUP(C143,'OECD DAC'!B:C,2,FALSE)), "YES", " ")</f>
        <v xml:space="preserve"> </v>
      </c>
      <c r="I143">
        <v>15000</v>
      </c>
      <c r="J143">
        <v>2021</v>
      </c>
      <c r="K143" s="15">
        <f>IF(ISNUMBER(VLOOKUP(C143,'WEO GOV REV'!C:BL,58,FALSE)),(VLOOKUP(C143,'WEO GOV REV'!C:BL,58,FALSE)), " ")</f>
        <v>62283.95</v>
      </c>
      <c r="L143" s="15">
        <f>IF(ISNUMBER(VLOOKUP(C143,'WEO GOV REV'!C:BL,62,FALSE)),(VLOOKUP(C143,'WEO GOV REV'!C:BL,62,FALSE)), " ")</f>
        <v>25.895409635408434</v>
      </c>
      <c r="M143">
        <f>IF(ISNUMBER(VLOOKUP(C143,'WEO GOV REV'!C:BL,62,FALSE)),(VLOOKUP(C143,'WEO GOV REV'!C:BL,57,FALSE)), " ")</f>
        <v>2021</v>
      </c>
      <c r="N143" s="15">
        <f>IF(ISNUMBER(VLOOKUP($C143,'IMF COFOG FULL'!$B:$CM,79,FALSE)),(VLOOKUP($C143,'IMF COFOG FULL'!$B:$CM,79,FALSE)), " ")</f>
        <v>1.6139792756486899</v>
      </c>
      <c r="O143" s="15">
        <f>IF(ISNUMBER(VLOOKUP($C143,'IMF COFOG FULL'!$B:$CM,80,FALSE)),(VLOOKUP($C143,'IMF COFOG FULL'!$B:$CM,80,FALSE)), " ")</f>
        <v>0.76276738760823404</v>
      </c>
      <c r="P143" s="15">
        <f>IF(ISNUMBER(VLOOKUP($C143,'IMF COFOG FULL'!$B:$CM,81,FALSE)),(VLOOKUP($C143,'IMF COFOG FULL'!$B:$CM,81,FALSE)), " ")</f>
        <v>2.3121444965757E-2</v>
      </c>
      <c r="Q143" s="15">
        <f>IF(ISNUMBER(VLOOKUP($C143,'IMF COFOG FULL'!$B:$CM,82,FALSE)),(VLOOKUP($C143,'IMF COFOG FULL'!$B:$CM,82,FALSE)), " ")</f>
        <v>0.52027016523474001</v>
      </c>
      <c r="R143" s="15">
        <f>IF(ISNUMBER(VLOOKUP($C143,'IMF COFOG FULL'!$B:$CM,83,FALSE)),(VLOOKUP($C143,'IMF COFOG FULL'!$B:$CM,83,FALSE)), " ")</f>
        <v>0.28799069235562902</v>
      </c>
      <c r="S143" s="15">
        <f>IF(ISNUMBER(VLOOKUP($C143,'IMF COFOG FULL'!$B:$CM,84,FALSE)),(VLOOKUP($C143,'IMF COFOG FULL'!$B:$CM,84,FALSE)), " ")</f>
        <v>0</v>
      </c>
      <c r="T143" s="15">
        <f>IF(ISNUMBER(VLOOKUP($C143,'IMF COFOG FULL'!$B:$CM,85,FALSE)),(VLOOKUP($C143,'IMF COFOG FULL'!$B:$CM,85,FALSE)), " ")</f>
        <v>1.98295854843271E-2</v>
      </c>
      <c r="U143" s="7">
        <f>IF(ISNUMBER(VLOOKUP($C143,'IMF COFOG FULL'!$B:$CM,79,FALSE)),(VLOOKUP($C143,'IMF COFOG FULL'!$B:$CM,86,FALSE)), " ")</f>
        <v>2020</v>
      </c>
      <c r="V143" s="15" t="str">
        <f>IF(ISNUMBER(VLOOKUP($C143,'IMF COFOG FULL'!$B:$CM,79,FALSE)),(VLOOKUP($C143,'IMF COFOG FULL'!$B:$CM,87,FALSE)), " ")</f>
        <v>Budgetary central government</v>
      </c>
      <c r="W143" s="15">
        <f t="shared" si="59"/>
        <v>6.2326848594887405</v>
      </c>
      <c r="X143" s="15">
        <f t="shared" si="60"/>
        <v>2.94556988419003</v>
      </c>
      <c r="Y143" s="15">
        <f t="shared" si="61"/>
        <v>8.9287813134809754E-2</v>
      </c>
      <c r="Z143" s="15">
        <f t="shared" si="62"/>
        <v>2.0091212016331328</v>
      </c>
      <c r="AA143" s="15">
        <f t="shared" si="63"/>
        <v>1.1121302825881583</v>
      </c>
      <c r="AB143" s="15">
        <f t="shared" si="64"/>
        <v>0</v>
      </c>
      <c r="AC143" s="15">
        <f t="shared" si="65"/>
        <v>7.6575677942598952E-2</v>
      </c>
      <c r="AG143" s="15" t="str">
        <f>IF(ISNUMBER(VLOOKUP(C143,'National budgets summary'!A:F,5, FALSE)),(VLOOKUP(C143,'National budgets summary'!A:F,5, FALSE)), " ")</f>
        <v xml:space="preserve"> </v>
      </c>
      <c r="AH143" t="str">
        <f>IF(ISNUMBER(VLOOKUP(C143,'National budgets summary'!A:F,5, FALSE)),(VLOOKUP(C143,'National budgets summary'!A:F,4, FALSE)), " ")</f>
        <v xml:space="preserve"> </v>
      </c>
      <c r="AI143" s="15" t="str">
        <f t="shared" si="46"/>
        <v xml:space="preserve"> </v>
      </c>
      <c r="AJ143" s="15" t="str">
        <f t="shared" si="51"/>
        <v xml:space="preserve"> </v>
      </c>
      <c r="AK143" s="15">
        <f t="shared" si="52"/>
        <v>2.94556988419003</v>
      </c>
      <c r="AL143" s="15">
        <f t="shared" si="53"/>
        <v>2.0091212016331328</v>
      </c>
      <c r="AM143" s="15">
        <f t="shared" si="54"/>
        <v>1.1121302825881583</v>
      </c>
      <c r="AN143" s="15">
        <f t="shared" si="47"/>
        <v>6.2326848594887405</v>
      </c>
      <c r="AO143" s="15">
        <f t="shared" si="48"/>
        <v>1.6139792756486899</v>
      </c>
      <c r="AP143">
        <f t="shared" si="49"/>
        <v>2020</v>
      </c>
      <c r="AQ143" t="str">
        <f t="shared" si="50"/>
        <v>IMF COFOG</v>
      </c>
      <c r="AR143" s="7">
        <f t="shared" si="55"/>
        <v>114.41510814123512</v>
      </c>
      <c r="AS143" s="7">
        <f t="shared" si="56"/>
        <v>78.040524785211005</v>
      </c>
      <c r="AT143" s="7">
        <f t="shared" si="57"/>
        <v>43.198603853344352</v>
      </c>
      <c r="AU143" s="7">
        <f t="shared" si="58"/>
        <v>242.09689134730351</v>
      </c>
    </row>
    <row r="144" spans="1:47">
      <c r="A144">
        <v>141</v>
      </c>
      <c r="B144" t="s">
        <v>233</v>
      </c>
      <c r="C144" t="s">
        <v>578</v>
      </c>
      <c r="D144" t="s">
        <v>487</v>
      </c>
      <c r="E144" t="s">
        <v>622</v>
      </c>
      <c r="H144" t="str">
        <f>IF(ISNUMBER(VLOOKUP(C144,'OECD DAC'!B:C,2,FALSE)), "YES", " ")</f>
        <v xml:space="preserve"> </v>
      </c>
      <c r="I144">
        <v>15030</v>
      </c>
      <c r="J144">
        <v>2020</v>
      </c>
      <c r="K144" s="15">
        <f>IF(ISNUMBER(VLOOKUP(C144,'WEO GOV REV'!C:BL,58,FALSE)),(VLOOKUP(C144,'WEO GOV REV'!C:BL,58,FALSE)), " ")</f>
        <v>11.198</v>
      </c>
      <c r="L144" s="15">
        <f>IF(ISNUMBER(VLOOKUP(C144,'WEO GOV REV'!C:BL,62,FALSE)),(VLOOKUP(C144,'WEO GOV REV'!C:BL,62,FALSE)), " ")</f>
        <v>34.813156749362683</v>
      </c>
      <c r="M144">
        <f>IF(ISNUMBER(VLOOKUP(C144,'WEO GOV REV'!C:BL,62,FALSE)),(VLOOKUP(C144,'WEO GOV REV'!C:BL,57,FALSE)), " ")</f>
        <v>2021</v>
      </c>
      <c r="N144" s="15" t="str">
        <f>IF(ISNUMBER(VLOOKUP($C144,'IMF COFOG FULL'!$B:$CM,79,FALSE)),(VLOOKUP($C144,'IMF COFOG FULL'!$B:$CM,79,FALSE)), " ")</f>
        <v xml:space="preserve"> </v>
      </c>
      <c r="O144" s="15" t="str">
        <f>IF(ISNUMBER(VLOOKUP($C144,'IMF COFOG FULL'!$B:$CM,80,FALSE)),(VLOOKUP($C144,'IMF COFOG FULL'!$B:$CM,80,FALSE)), " ")</f>
        <v xml:space="preserve"> </v>
      </c>
      <c r="P144" s="15" t="str">
        <f>IF(ISNUMBER(VLOOKUP($C144,'IMF COFOG FULL'!$B:$CM,81,FALSE)),(VLOOKUP($C144,'IMF COFOG FULL'!$B:$CM,81,FALSE)), " ")</f>
        <v xml:space="preserve"> </v>
      </c>
      <c r="Q144" s="15" t="str">
        <f>IF(ISNUMBER(VLOOKUP($C144,'IMF COFOG FULL'!$B:$CM,82,FALSE)),(VLOOKUP($C144,'IMF COFOG FULL'!$B:$CM,82,FALSE)), " ")</f>
        <v xml:space="preserve"> </v>
      </c>
      <c r="R144" s="15" t="str">
        <f>IF(ISNUMBER(VLOOKUP($C144,'IMF COFOG FULL'!$B:$CM,83,FALSE)),(VLOOKUP($C144,'IMF COFOG FULL'!$B:$CM,83,FALSE)), " ")</f>
        <v xml:space="preserve"> </v>
      </c>
      <c r="S144" s="15" t="str">
        <f>IF(ISNUMBER(VLOOKUP($C144,'IMF COFOG FULL'!$B:$CM,84,FALSE)),(VLOOKUP($C144,'IMF COFOG FULL'!$B:$CM,84,FALSE)), " ")</f>
        <v xml:space="preserve"> </v>
      </c>
      <c r="T144" s="15" t="str">
        <f>IF(ISNUMBER(VLOOKUP($C144,'IMF COFOG FULL'!$B:$CM,85,FALSE)),(VLOOKUP($C144,'IMF COFOG FULL'!$B:$CM,85,FALSE)), " ")</f>
        <v xml:space="preserve"> </v>
      </c>
      <c r="U144" s="7" t="str">
        <f>IF(ISNUMBER(VLOOKUP($C144,'IMF COFOG FULL'!$B:$CM,79,FALSE)),(VLOOKUP($C144,'IMF COFOG FULL'!$B:$CM,86,FALSE)), " ")</f>
        <v xml:space="preserve"> </v>
      </c>
      <c r="V144" s="15" t="str">
        <f>IF(ISNUMBER(VLOOKUP($C144,'IMF COFOG FULL'!$B:$CM,79,FALSE)),(VLOOKUP($C144,'IMF COFOG FULL'!$B:$CM,87,FALSE)), " ")</f>
        <v xml:space="preserve"> </v>
      </c>
      <c r="W144" s="15" t="str">
        <f t="shared" si="59"/>
        <v xml:space="preserve"> </v>
      </c>
      <c r="X144" s="15" t="str">
        <f t="shared" si="60"/>
        <v xml:space="preserve"> </v>
      </c>
      <c r="Y144" s="15" t="str">
        <f t="shared" si="61"/>
        <v xml:space="preserve"> </v>
      </c>
      <c r="Z144" s="15" t="str">
        <f t="shared" si="62"/>
        <v xml:space="preserve"> </v>
      </c>
      <c r="AA144" s="15" t="str">
        <f t="shared" si="63"/>
        <v xml:space="preserve"> </v>
      </c>
      <c r="AB144" s="15" t="str">
        <f t="shared" si="64"/>
        <v xml:space="preserve"> </v>
      </c>
      <c r="AC144" s="15" t="str">
        <f t="shared" si="65"/>
        <v xml:space="preserve"> </v>
      </c>
      <c r="AG144" s="15" t="str">
        <f>IF(ISNUMBER(VLOOKUP(C144,'National budgets summary'!A:F,5, FALSE)),(VLOOKUP(C144,'National budgets summary'!A:F,5, FALSE)), " ")</f>
        <v xml:space="preserve"> </v>
      </c>
      <c r="AH144" t="str">
        <f>IF(ISNUMBER(VLOOKUP(C144,'National budgets summary'!A:F,5, FALSE)),(VLOOKUP(C144,'National budgets summary'!A:F,4, FALSE)), " ")</f>
        <v xml:space="preserve"> </v>
      </c>
      <c r="AI144" s="15" t="str">
        <f t="shared" si="46"/>
        <v xml:space="preserve"> </v>
      </c>
      <c r="AJ144" s="15" t="str">
        <f t="shared" si="51"/>
        <v xml:space="preserve"> </v>
      </c>
      <c r="AK144" s="15" t="str">
        <f t="shared" si="52"/>
        <v/>
      </c>
      <c r="AL144" s="15" t="str">
        <f t="shared" si="53"/>
        <v/>
      </c>
      <c r="AM144" s="15" t="str">
        <f t="shared" si="54"/>
        <v/>
      </c>
      <c r="AN144" s="15" t="str">
        <f t="shared" si="47"/>
        <v xml:space="preserve"> </v>
      </c>
      <c r="AO144" s="15" t="str">
        <f t="shared" si="48"/>
        <v xml:space="preserve"> </v>
      </c>
      <c r="AP144" t="str">
        <f t="shared" si="49"/>
        <v xml:space="preserve"> </v>
      </c>
      <c r="AQ144" t="str">
        <f t="shared" si="50"/>
        <v xml:space="preserve"> </v>
      </c>
      <c r="AR144" s="7" t="str">
        <f t="shared" si="55"/>
        <v xml:space="preserve"> </v>
      </c>
      <c r="AS144" s="7" t="str">
        <f t="shared" si="56"/>
        <v xml:space="preserve"> </v>
      </c>
      <c r="AT144" s="7" t="str">
        <f t="shared" si="57"/>
        <v xml:space="preserve"> </v>
      </c>
      <c r="AU144" s="7" t="str">
        <f t="shared" si="58"/>
        <v xml:space="preserve"> </v>
      </c>
    </row>
    <row r="145" spans="1:47">
      <c r="A145">
        <v>142</v>
      </c>
      <c r="B145" t="s">
        <v>234</v>
      </c>
      <c r="C145" t="s">
        <v>585</v>
      </c>
      <c r="D145" t="s">
        <v>497</v>
      </c>
      <c r="E145" t="s">
        <v>622</v>
      </c>
      <c r="F145" t="s">
        <v>619</v>
      </c>
      <c r="H145" t="str">
        <f>IF(ISNUMBER(VLOOKUP(C145,'OECD DAC'!B:C,2,FALSE)), "YES", " ")</f>
        <v xml:space="preserve"> </v>
      </c>
      <c r="I145">
        <v>15070</v>
      </c>
      <c r="J145">
        <v>2021</v>
      </c>
      <c r="K145" s="15">
        <f>IF(ISNUMBER(VLOOKUP(C145,'WEO GOV REV'!C:BL,58,FALSE)),(VLOOKUP(C145,'WEO GOV REV'!C:BL,58,FALSE)), " ")</f>
        <v>36.149000000000001</v>
      </c>
      <c r="L145" s="15">
        <f>IF(ISNUMBER(VLOOKUP(C145,'WEO GOV REV'!C:BL,62,FALSE)),(VLOOKUP(C145,'WEO GOV REV'!C:BL,62,FALSE)), " ")</f>
        <v>25.003285446509473</v>
      </c>
      <c r="M145">
        <f>IF(ISNUMBER(VLOOKUP(C145,'WEO GOV REV'!C:BL,62,FALSE)),(VLOOKUP(C145,'WEO GOV REV'!C:BL,57,FALSE)), " ")</f>
        <v>2021</v>
      </c>
      <c r="N145" s="15" t="str">
        <f>IF(ISNUMBER(VLOOKUP($C145,'IMF COFOG FULL'!$B:$CM,79,FALSE)),(VLOOKUP($C145,'IMF COFOG FULL'!$B:$CM,79,FALSE)), " ")</f>
        <v xml:space="preserve"> </v>
      </c>
      <c r="O145" s="15" t="str">
        <f>IF(ISNUMBER(VLOOKUP($C145,'IMF COFOG FULL'!$B:$CM,80,FALSE)),(VLOOKUP($C145,'IMF COFOG FULL'!$B:$CM,80,FALSE)), " ")</f>
        <v xml:space="preserve"> </v>
      </c>
      <c r="P145" s="15" t="str">
        <f>IF(ISNUMBER(VLOOKUP($C145,'IMF COFOG FULL'!$B:$CM,81,FALSE)),(VLOOKUP($C145,'IMF COFOG FULL'!$B:$CM,81,FALSE)), " ")</f>
        <v xml:space="preserve"> </v>
      </c>
      <c r="Q145" s="15" t="str">
        <f>IF(ISNUMBER(VLOOKUP($C145,'IMF COFOG FULL'!$B:$CM,82,FALSE)),(VLOOKUP($C145,'IMF COFOG FULL'!$B:$CM,82,FALSE)), " ")</f>
        <v xml:space="preserve"> </v>
      </c>
      <c r="R145" s="15" t="str">
        <f>IF(ISNUMBER(VLOOKUP($C145,'IMF COFOG FULL'!$B:$CM,83,FALSE)),(VLOOKUP($C145,'IMF COFOG FULL'!$B:$CM,83,FALSE)), " ")</f>
        <v xml:space="preserve"> </v>
      </c>
      <c r="S145" s="15" t="str">
        <f>IF(ISNUMBER(VLOOKUP($C145,'IMF COFOG FULL'!$B:$CM,84,FALSE)),(VLOOKUP($C145,'IMF COFOG FULL'!$B:$CM,84,FALSE)), " ")</f>
        <v xml:space="preserve"> </v>
      </c>
      <c r="T145" s="15" t="str">
        <f>IF(ISNUMBER(VLOOKUP($C145,'IMF COFOG FULL'!$B:$CM,85,FALSE)),(VLOOKUP($C145,'IMF COFOG FULL'!$B:$CM,85,FALSE)), " ")</f>
        <v xml:space="preserve"> </v>
      </c>
      <c r="U145" s="7" t="str">
        <f>IF(ISNUMBER(VLOOKUP($C145,'IMF COFOG FULL'!$B:$CM,79,FALSE)),(VLOOKUP($C145,'IMF COFOG FULL'!$B:$CM,86,FALSE)), " ")</f>
        <v xml:space="preserve"> </v>
      </c>
      <c r="V145" s="15" t="str">
        <f>IF(ISNUMBER(VLOOKUP($C145,'IMF COFOG FULL'!$B:$CM,79,FALSE)),(VLOOKUP($C145,'IMF COFOG FULL'!$B:$CM,87,FALSE)), " ")</f>
        <v xml:space="preserve"> </v>
      </c>
      <c r="W145" s="15" t="str">
        <f t="shared" si="59"/>
        <v xml:space="preserve"> </v>
      </c>
      <c r="X145" s="15" t="str">
        <f t="shared" si="60"/>
        <v xml:space="preserve"> </v>
      </c>
      <c r="Y145" s="15" t="str">
        <f t="shared" si="61"/>
        <v xml:space="preserve"> </v>
      </c>
      <c r="Z145" s="15" t="str">
        <f t="shared" si="62"/>
        <v xml:space="preserve"> </v>
      </c>
      <c r="AA145" s="15" t="str">
        <f t="shared" si="63"/>
        <v xml:space="preserve"> </v>
      </c>
      <c r="AB145" s="15" t="str">
        <f t="shared" si="64"/>
        <v xml:space="preserve"> </v>
      </c>
      <c r="AC145" s="15" t="str">
        <f t="shared" si="65"/>
        <v xml:space="preserve"> </v>
      </c>
      <c r="AG145" s="15" t="str">
        <f>IF(ISNUMBER(VLOOKUP(C145,'National budgets summary'!A:F,5, FALSE)),(VLOOKUP(C145,'National budgets summary'!A:F,5, FALSE)), " ")</f>
        <v xml:space="preserve"> </v>
      </c>
      <c r="AH145" t="str">
        <f>IF(ISNUMBER(VLOOKUP(C145,'National budgets summary'!A:F,5, FALSE)),(VLOOKUP(C145,'National budgets summary'!A:F,4, FALSE)), " ")</f>
        <v xml:space="preserve"> </v>
      </c>
      <c r="AI145" s="15" t="str">
        <f t="shared" si="46"/>
        <v xml:space="preserve"> </v>
      </c>
      <c r="AJ145" s="15" t="str">
        <f t="shared" si="51"/>
        <v xml:space="preserve"> </v>
      </c>
      <c r="AK145" s="15" t="str">
        <f t="shared" si="52"/>
        <v/>
      </c>
      <c r="AL145" s="15" t="str">
        <f t="shared" si="53"/>
        <v/>
      </c>
      <c r="AM145" s="15" t="str">
        <f t="shared" si="54"/>
        <v/>
      </c>
      <c r="AN145" s="15" t="str">
        <f t="shared" si="47"/>
        <v xml:space="preserve"> </v>
      </c>
      <c r="AO145" s="15" t="str">
        <f t="shared" si="48"/>
        <v xml:space="preserve"> </v>
      </c>
      <c r="AP145" t="str">
        <f t="shared" si="49"/>
        <v xml:space="preserve"> </v>
      </c>
      <c r="AQ145" t="str">
        <f t="shared" si="50"/>
        <v xml:space="preserve"> </v>
      </c>
      <c r="AR145" s="7" t="str">
        <f t="shared" si="55"/>
        <v xml:space="preserve"> </v>
      </c>
      <c r="AS145" s="7" t="str">
        <f t="shared" si="56"/>
        <v xml:space="preserve"> </v>
      </c>
      <c r="AT145" s="7" t="str">
        <f t="shared" si="57"/>
        <v xml:space="preserve"> </v>
      </c>
      <c r="AU145" s="7" t="str">
        <f t="shared" si="58"/>
        <v xml:space="preserve"> </v>
      </c>
    </row>
    <row r="146" spans="1:47">
      <c r="A146">
        <v>143</v>
      </c>
      <c r="B146" t="s">
        <v>235</v>
      </c>
      <c r="C146" t="s">
        <v>589</v>
      </c>
      <c r="D146" t="s">
        <v>497</v>
      </c>
      <c r="E146" t="s">
        <v>622</v>
      </c>
      <c r="F146" t="s">
        <v>619</v>
      </c>
      <c r="H146" t="str">
        <f>IF(ISNUMBER(VLOOKUP(C146,'OECD DAC'!B:C,2,FALSE)), "YES", " ")</f>
        <v xml:space="preserve"> </v>
      </c>
      <c r="I146">
        <v>15800</v>
      </c>
      <c r="J146">
        <v>2021</v>
      </c>
      <c r="K146" s="15">
        <f>IF(ISNUMBER(VLOOKUP(C146,'WEO GOV REV'!C:BL,58,FALSE)),(VLOOKUP(C146,'WEO GOV REV'!C:BL,58,FALSE)), " ")</f>
        <v>731.40099999999995</v>
      </c>
      <c r="L146" s="15">
        <f>IF(ISNUMBER(VLOOKUP(C146,'WEO GOV REV'!C:BL,62,FALSE)),(VLOOKUP(C146,'WEO GOV REV'!C:BL,62,FALSE)), " ")</f>
        <v>28.309922393605696</v>
      </c>
      <c r="M146">
        <f>IF(ISNUMBER(VLOOKUP(C146,'WEO GOV REV'!C:BL,62,FALSE)),(VLOOKUP(C146,'WEO GOV REV'!C:BL,57,FALSE)), " ")</f>
        <v>2021</v>
      </c>
      <c r="N146" s="15" t="str">
        <f>IF(ISNUMBER(VLOOKUP($C146,'IMF COFOG FULL'!$B:$CM,79,FALSE)),(VLOOKUP($C146,'IMF COFOG FULL'!$B:$CM,79,FALSE)), " ")</f>
        <v xml:space="preserve"> </v>
      </c>
      <c r="O146" s="15" t="str">
        <f>IF(ISNUMBER(VLOOKUP($C146,'IMF COFOG FULL'!$B:$CM,80,FALSE)),(VLOOKUP($C146,'IMF COFOG FULL'!$B:$CM,80,FALSE)), " ")</f>
        <v xml:space="preserve"> </v>
      </c>
      <c r="P146" s="15" t="str">
        <f>IF(ISNUMBER(VLOOKUP($C146,'IMF COFOG FULL'!$B:$CM,81,FALSE)),(VLOOKUP($C146,'IMF COFOG FULL'!$B:$CM,81,FALSE)), " ")</f>
        <v xml:space="preserve"> </v>
      </c>
      <c r="Q146" s="15" t="str">
        <f>IF(ISNUMBER(VLOOKUP($C146,'IMF COFOG FULL'!$B:$CM,82,FALSE)),(VLOOKUP($C146,'IMF COFOG FULL'!$B:$CM,82,FALSE)), " ")</f>
        <v xml:space="preserve"> </v>
      </c>
      <c r="R146" s="15" t="str">
        <f>IF(ISNUMBER(VLOOKUP($C146,'IMF COFOG FULL'!$B:$CM,83,FALSE)),(VLOOKUP($C146,'IMF COFOG FULL'!$B:$CM,83,FALSE)), " ")</f>
        <v xml:space="preserve"> </v>
      </c>
      <c r="S146" s="15" t="str">
        <f>IF(ISNUMBER(VLOOKUP($C146,'IMF COFOG FULL'!$B:$CM,84,FALSE)),(VLOOKUP($C146,'IMF COFOG FULL'!$B:$CM,84,FALSE)), " ")</f>
        <v xml:space="preserve"> </v>
      </c>
      <c r="T146" s="15" t="str">
        <f>IF(ISNUMBER(VLOOKUP($C146,'IMF COFOG FULL'!$B:$CM,85,FALSE)),(VLOOKUP($C146,'IMF COFOG FULL'!$B:$CM,85,FALSE)), " ")</f>
        <v xml:space="preserve"> </v>
      </c>
      <c r="U146" s="7" t="str">
        <f>IF(ISNUMBER(VLOOKUP($C146,'IMF COFOG FULL'!$B:$CM,79,FALSE)),(VLOOKUP($C146,'IMF COFOG FULL'!$B:$CM,86,FALSE)), " ")</f>
        <v xml:space="preserve"> </v>
      </c>
      <c r="V146" s="15" t="str">
        <f>IF(ISNUMBER(VLOOKUP($C146,'IMF COFOG FULL'!$B:$CM,79,FALSE)),(VLOOKUP($C146,'IMF COFOG FULL'!$B:$CM,87,FALSE)), " ")</f>
        <v xml:space="preserve"> </v>
      </c>
      <c r="W146" s="15" t="str">
        <f t="shared" si="59"/>
        <v xml:space="preserve"> </v>
      </c>
      <c r="X146" s="15" t="str">
        <f t="shared" si="60"/>
        <v xml:space="preserve"> </v>
      </c>
      <c r="Y146" s="15" t="str">
        <f t="shared" si="61"/>
        <v xml:space="preserve"> </v>
      </c>
      <c r="Z146" s="15" t="str">
        <f t="shared" si="62"/>
        <v xml:space="preserve"> </v>
      </c>
      <c r="AA146" s="15" t="str">
        <f t="shared" si="63"/>
        <v xml:space="preserve"> </v>
      </c>
      <c r="AB146" s="15" t="str">
        <f t="shared" si="64"/>
        <v xml:space="preserve"> </v>
      </c>
      <c r="AC146" s="15" t="str">
        <f t="shared" si="65"/>
        <v xml:space="preserve"> </v>
      </c>
      <c r="AG146" s="15" t="str">
        <f>IF(ISNUMBER(VLOOKUP(C146,'National budgets summary'!A:F,5, FALSE)),(VLOOKUP(C146,'National budgets summary'!A:F,5, FALSE)), " ")</f>
        <v xml:space="preserve"> </v>
      </c>
      <c r="AH146" t="str">
        <f>IF(ISNUMBER(VLOOKUP(C146,'National budgets summary'!A:F,5, FALSE)),(VLOOKUP(C146,'National budgets summary'!A:F,4, FALSE)), " ")</f>
        <v xml:space="preserve"> </v>
      </c>
      <c r="AI146" s="15" t="str">
        <f t="shared" si="46"/>
        <v xml:space="preserve"> </v>
      </c>
      <c r="AJ146" s="15" t="str">
        <f t="shared" si="51"/>
        <v xml:space="preserve"> </v>
      </c>
      <c r="AK146" s="15" t="str">
        <f t="shared" si="52"/>
        <v/>
      </c>
      <c r="AL146" s="15" t="str">
        <f t="shared" si="53"/>
        <v/>
      </c>
      <c r="AM146" s="15" t="str">
        <f t="shared" si="54"/>
        <v/>
      </c>
      <c r="AN146" s="15" t="str">
        <f t="shared" si="47"/>
        <v xml:space="preserve"> </v>
      </c>
      <c r="AO146" s="15" t="str">
        <f t="shared" si="48"/>
        <v xml:space="preserve"> </v>
      </c>
      <c r="AP146" t="str">
        <f t="shared" si="49"/>
        <v xml:space="preserve"> </v>
      </c>
      <c r="AQ146" t="str">
        <f t="shared" si="50"/>
        <v xml:space="preserve"> </v>
      </c>
      <c r="AR146" s="7" t="str">
        <f t="shared" si="55"/>
        <v xml:space="preserve"> </v>
      </c>
      <c r="AS146" s="7" t="str">
        <f t="shared" si="56"/>
        <v xml:space="preserve"> </v>
      </c>
      <c r="AT146" s="7" t="str">
        <f t="shared" si="57"/>
        <v xml:space="preserve"> </v>
      </c>
      <c r="AU146" s="7" t="str">
        <f t="shared" si="58"/>
        <v xml:space="preserve"> </v>
      </c>
    </row>
    <row r="147" spans="1:47">
      <c r="A147">
        <v>144</v>
      </c>
      <c r="B147" t="s">
        <v>236</v>
      </c>
      <c r="C147" t="s">
        <v>517</v>
      </c>
      <c r="D147" t="s">
        <v>497</v>
      </c>
      <c r="E147" t="s">
        <v>622</v>
      </c>
      <c r="H147" t="str">
        <f>IF(ISNUMBER(VLOOKUP(C147,'OECD DAC'!B:C,2,FALSE)), "YES", " ")</f>
        <v xml:space="preserve"> </v>
      </c>
      <c r="I147">
        <v>16560</v>
      </c>
      <c r="J147">
        <v>2020</v>
      </c>
      <c r="K147" s="15" t="str">
        <f>IF(ISNUMBER(VLOOKUP(C147,'WEO GOV REV'!C:BL,58,FALSE)),(VLOOKUP(C147,'WEO GOV REV'!C:BL,58,FALSE)), " ")</f>
        <v xml:space="preserve"> </v>
      </c>
      <c r="L147" s="15" t="str">
        <f>IF(ISNUMBER(VLOOKUP(C147,'WEO GOV REV'!C:BL,62,FALSE)),(VLOOKUP(C147,'WEO GOV REV'!C:BL,62,FALSE)), " ")</f>
        <v xml:space="preserve"> </v>
      </c>
      <c r="M147" t="str">
        <f>IF(ISNUMBER(VLOOKUP(C147,'WEO GOV REV'!C:BL,62,FALSE)),(VLOOKUP(C147,'WEO GOV REV'!C:BL,57,FALSE)), " ")</f>
        <v xml:space="preserve"> </v>
      </c>
      <c r="N147" s="15" t="str">
        <f>IF(ISNUMBER(VLOOKUP($C147,'IMF COFOG FULL'!$B:$CM,79,FALSE)),(VLOOKUP($C147,'IMF COFOG FULL'!$B:$CM,79,FALSE)), " ")</f>
        <v xml:space="preserve"> </v>
      </c>
      <c r="O147" s="15" t="str">
        <f>IF(ISNUMBER(VLOOKUP($C147,'IMF COFOG FULL'!$B:$CM,80,FALSE)),(VLOOKUP($C147,'IMF COFOG FULL'!$B:$CM,80,FALSE)), " ")</f>
        <v xml:space="preserve"> </v>
      </c>
      <c r="P147" s="15" t="str">
        <f>IF(ISNUMBER(VLOOKUP($C147,'IMF COFOG FULL'!$B:$CM,81,FALSE)),(VLOOKUP($C147,'IMF COFOG FULL'!$B:$CM,81,FALSE)), " ")</f>
        <v xml:space="preserve"> </v>
      </c>
      <c r="Q147" s="15" t="str">
        <f>IF(ISNUMBER(VLOOKUP($C147,'IMF COFOG FULL'!$B:$CM,82,FALSE)),(VLOOKUP($C147,'IMF COFOG FULL'!$B:$CM,82,FALSE)), " ")</f>
        <v xml:space="preserve"> </v>
      </c>
      <c r="R147" s="15" t="str">
        <f>IF(ISNUMBER(VLOOKUP($C147,'IMF COFOG FULL'!$B:$CM,83,FALSE)),(VLOOKUP($C147,'IMF COFOG FULL'!$B:$CM,83,FALSE)), " ")</f>
        <v xml:space="preserve"> </v>
      </c>
      <c r="S147" s="15" t="str">
        <f>IF(ISNUMBER(VLOOKUP($C147,'IMF COFOG FULL'!$B:$CM,84,FALSE)),(VLOOKUP($C147,'IMF COFOG FULL'!$B:$CM,84,FALSE)), " ")</f>
        <v xml:space="preserve"> </v>
      </c>
      <c r="T147" s="15" t="str">
        <f>IF(ISNUMBER(VLOOKUP($C147,'IMF COFOG FULL'!$B:$CM,85,FALSE)),(VLOOKUP($C147,'IMF COFOG FULL'!$B:$CM,85,FALSE)), " ")</f>
        <v xml:space="preserve"> </v>
      </c>
      <c r="U147" s="7" t="str">
        <f>IF(ISNUMBER(VLOOKUP($C147,'IMF COFOG FULL'!$B:$CM,79,FALSE)),(VLOOKUP($C147,'IMF COFOG FULL'!$B:$CM,86,FALSE)), " ")</f>
        <v xml:space="preserve"> </v>
      </c>
      <c r="V147" s="15" t="str">
        <f>IF(ISNUMBER(VLOOKUP($C147,'IMF COFOG FULL'!$B:$CM,79,FALSE)),(VLOOKUP($C147,'IMF COFOG FULL'!$B:$CM,87,FALSE)), " ")</f>
        <v xml:space="preserve"> </v>
      </c>
      <c r="W147" s="15" t="str">
        <f t="shared" si="59"/>
        <v xml:space="preserve"> </v>
      </c>
      <c r="X147" s="15" t="str">
        <f t="shared" si="60"/>
        <v xml:space="preserve"> </v>
      </c>
      <c r="Y147" s="15" t="str">
        <f t="shared" si="61"/>
        <v xml:space="preserve"> </v>
      </c>
      <c r="Z147" s="15" t="str">
        <f t="shared" si="62"/>
        <v xml:space="preserve"> </v>
      </c>
      <c r="AA147" s="15" t="str">
        <f t="shared" si="63"/>
        <v xml:space="preserve"> </v>
      </c>
      <c r="AB147" s="15" t="str">
        <f t="shared" si="64"/>
        <v xml:space="preserve"> </v>
      </c>
      <c r="AC147" s="15" t="str">
        <f t="shared" si="65"/>
        <v xml:space="preserve"> </v>
      </c>
      <c r="AG147" s="15" t="str">
        <f>IF(ISNUMBER(VLOOKUP(C147,'National budgets summary'!A:F,5, FALSE)),(VLOOKUP(C147,'National budgets summary'!A:F,5, FALSE)), " ")</f>
        <v xml:space="preserve"> </v>
      </c>
      <c r="AH147" t="str">
        <f>IF(ISNUMBER(VLOOKUP(C147,'National budgets summary'!A:F,5, FALSE)),(VLOOKUP(C147,'National budgets summary'!A:F,4, FALSE)), " ")</f>
        <v xml:space="preserve"> </v>
      </c>
      <c r="AI147" s="15" t="str">
        <f t="shared" si="46"/>
        <v xml:space="preserve"> </v>
      </c>
      <c r="AJ147" s="15" t="str">
        <f t="shared" si="51"/>
        <v xml:space="preserve"> </v>
      </c>
      <c r="AK147" s="15" t="str">
        <f t="shared" si="52"/>
        <v/>
      </c>
      <c r="AL147" s="15" t="str">
        <f t="shared" si="53"/>
        <v/>
      </c>
      <c r="AM147" s="15" t="str">
        <f t="shared" si="54"/>
        <v/>
      </c>
      <c r="AN147" s="15" t="str">
        <f t="shared" si="47"/>
        <v xml:space="preserve"> </v>
      </c>
      <c r="AO147" s="15" t="str">
        <f t="shared" si="48"/>
        <v xml:space="preserve"> </v>
      </c>
      <c r="AP147" t="str">
        <f t="shared" si="49"/>
        <v xml:space="preserve"> </v>
      </c>
      <c r="AQ147" t="str">
        <f t="shared" si="50"/>
        <v xml:space="preserve"> </v>
      </c>
      <c r="AR147" s="7" t="str">
        <f t="shared" si="55"/>
        <v xml:space="preserve"> </v>
      </c>
      <c r="AS147" s="7" t="str">
        <f t="shared" si="56"/>
        <v xml:space="preserve"> </v>
      </c>
      <c r="AT147" s="7" t="str">
        <f t="shared" si="57"/>
        <v xml:space="preserve"> </v>
      </c>
      <c r="AU147" s="7" t="str">
        <f t="shared" si="58"/>
        <v xml:space="preserve"> </v>
      </c>
    </row>
    <row r="148" spans="1:47">
      <c r="A148">
        <v>145</v>
      </c>
      <c r="B148" t="s">
        <v>75</v>
      </c>
      <c r="C148" t="s">
        <v>441</v>
      </c>
      <c r="D148" t="s">
        <v>485</v>
      </c>
      <c r="E148" t="s">
        <v>622</v>
      </c>
      <c r="F148" t="s">
        <v>619</v>
      </c>
      <c r="H148" t="str">
        <f>IF(ISNUMBER(VLOOKUP(C148,'OECD DAC'!B:C,2,FALSE)), "YES", " ")</f>
        <v>YES</v>
      </c>
      <c r="I148">
        <v>16670</v>
      </c>
      <c r="J148">
        <v>2021</v>
      </c>
      <c r="K148" s="15">
        <f>IF(ISNUMBER(VLOOKUP(C148,'WEO GOV REV'!C:BL,58,FALSE)),(VLOOKUP(C148,'WEO GOV REV'!C:BL,58,FALSE)), " ")</f>
        <v>966.27499999999998</v>
      </c>
      <c r="L148" s="15">
        <f>IF(ISNUMBER(VLOOKUP(C148,'WEO GOV REV'!C:BL,62,FALSE)),(VLOOKUP(C148,'WEO GOV REV'!C:BL,62,FALSE)), " ")</f>
        <v>41.530563124822713</v>
      </c>
      <c r="M148">
        <f>IF(ISNUMBER(VLOOKUP(C148,'WEO GOV REV'!C:BL,62,FALSE)),(VLOOKUP(C148,'WEO GOV REV'!C:BL,57,FALSE)), " ")</f>
        <v>2020</v>
      </c>
      <c r="N148" s="15">
        <f>IF(ISNUMBER(VLOOKUP($C148,'IMF COFOG FULL'!$B:$CM,79,FALSE)),(VLOOKUP($C148,'IMF COFOG FULL'!$B:$CM,79,FALSE)), " ")</f>
        <v>2.3464546256894199</v>
      </c>
      <c r="O148" s="15">
        <f>IF(ISNUMBER(VLOOKUP($C148,'IMF COFOG FULL'!$B:$CM,80,FALSE)),(VLOOKUP($C148,'IMF COFOG FULL'!$B:$CM,80,FALSE)), " ")</f>
        <v>1.14549178758264</v>
      </c>
      <c r="P148" s="15">
        <f>IF(ISNUMBER(VLOOKUP($C148,'IMF COFOG FULL'!$B:$CM,81,FALSE)),(VLOOKUP($C148,'IMF COFOG FULL'!$B:$CM,81,FALSE)), " ")</f>
        <v>0.214334045223914</v>
      </c>
      <c r="Q148" s="15">
        <f>IF(ISNUMBER(VLOOKUP($C148,'IMF COFOG FULL'!$B:$CM,82,FALSE)),(VLOOKUP($C148,'IMF COFOG FULL'!$B:$CM,82,FALSE)), " ")</f>
        <v>0.55821592446013302</v>
      </c>
      <c r="R148" s="15">
        <f>IF(ISNUMBER(VLOOKUP($C148,'IMF COFOG FULL'!$B:$CM,83,FALSE)),(VLOOKUP($C148,'IMF COFOG FULL'!$B:$CM,83,FALSE)), " ")</f>
        <v>0.24023875803136099</v>
      </c>
      <c r="S148" s="15">
        <f>IF(ISNUMBER(VLOOKUP($C148,'IMF COFOG FULL'!$B:$CM,84,FALSE)),(VLOOKUP($C148,'IMF COFOG FULL'!$B:$CM,84,FALSE)), " ")</f>
        <v>1.13324431473682E-2</v>
      </c>
      <c r="T148" s="15">
        <f>IF(ISNUMBER(VLOOKUP($C148,'IMF COFOG FULL'!$B:$CM,85,FALSE)),(VLOOKUP($C148,'IMF COFOG FULL'!$B:$CM,85,FALSE)), " ")</f>
        <v>0.17684166724401101</v>
      </c>
      <c r="U148" s="7">
        <f>IF(ISNUMBER(VLOOKUP($C148,'IMF COFOG FULL'!$B:$CM,79,FALSE)),(VLOOKUP($C148,'IMF COFOG FULL'!$B:$CM,86,FALSE)), " ")</f>
        <v>2020</v>
      </c>
      <c r="V148" s="15" t="str">
        <f>IF(ISNUMBER(VLOOKUP($C148,'IMF COFOG FULL'!$B:$CM,79,FALSE)),(VLOOKUP($C148,'IMF COFOG FULL'!$B:$CM,87,FALSE)), " ")</f>
        <v>General government</v>
      </c>
      <c r="W148" s="15">
        <f t="shared" si="59"/>
        <v>5.6499465673918348</v>
      </c>
      <c r="X148" s="15">
        <f t="shared" si="60"/>
        <v>2.758189876067398</v>
      </c>
      <c r="Y148" s="15">
        <f t="shared" si="61"/>
        <v>0.51608750061904918</v>
      </c>
      <c r="Z148" s="15">
        <f t="shared" si="62"/>
        <v>1.3441087297140182</v>
      </c>
      <c r="AA148" s="15">
        <f t="shared" si="63"/>
        <v>0.57846255854828732</v>
      </c>
      <c r="AB148" s="15">
        <f t="shared" si="64"/>
        <v>2.7286996117312043E-2</v>
      </c>
      <c r="AC148" s="15">
        <f t="shared" si="65"/>
        <v>0.42581090632578777</v>
      </c>
      <c r="AG148" s="15" t="str">
        <f>IF(ISNUMBER(VLOOKUP(C148,'National budgets summary'!A:F,5, FALSE)),(VLOOKUP(C148,'National budgets summary'!A:F,5, FALSE)), " ")</f>
        <v xml:space="preserve"> </v>
      </c>
      <c r="AH148" t="str">
        <f>IF(ISNUMBER(VLOOKUP(C148,'National budgets summary'!A:F,5, FALSE)),(VLOOKUP(C148,'National budgets summary'!A:F,4, FALSE)), " ")</f>
        <v xml:space="preserve"> </v>
      </c>
      <c r="AI148" s="15" t="str">
        <f t="shared" si="46"/>
        <v xml:space="preserve"> </v>
      </c>
      <c r="AJ148" s="15" t="str">
        <f t="shared" si="51"/>
        <v xml:space="preserve"> </v>
      </c>
      <c r="AK148" s="15">
        <f t="shared" si="52"/>
        <v>2.758189876067398</v>
      </c>
      <c r="AL148" s="15">
        <f t="shared" si="53"/>
        <v>1.3441087297140182</v>
      </c>
      <c r="AM148" s="15">
        <f t="shared" si="54"/>
        <v>0.57846255854828732</v>
      </c>
      <c r="AN148" s="15">
        <f t="shared" si="47"/>
        <v>5.6499465673918348</v>
      </c>
      <c r="AO148" s="15">
        <f t="shared" si="48"/>
        <v>2.3464546256894199</v>
      </c>
      <c r="AP148">
        <f t="shared" si="49"/>
        <v>2020</v>
      </c>
      <c r="AQ148" t="str">
        <f t="shared" si="50"/>
        <v>IMF COFOG</v>
      </c>
      <c r="AR148" s="7">
        <f t="shared" si="55"/>
        <v>190.95348099002609</v>
      </c>
      <c r="AS148" s="7">
        <f t="shared" si="56"/>
        <v>93.054594607504171</v>
      </c>
      <c r="AT148" s="7">
        <f t="shared" si="57"/>
        <v>40.047800963827882</v>
      </c>
      <c r="AU148" s="7">
        <f t="shared" si="58"/>
        <v>391.1539861024263</v>
      </c>
    </row>
    <row r="149" spans="1:47">
      <c r="A149">
        <v>146</v>
      </c>
      <c r="B149" t="s">
        <v>237</v>
      </c>
      <c r="C149" t="s">
        <v>566</v>
      </c>
      <c r="D149" t="s">
        <v>497</v>
      </c>
      <c r="E149" t="s">
        <v>622</v>
      </c>
      <c r="H149" t="str">
        <f>IF(ISNUMBER(VLOOKUP(C149,'OECD DAC'!B:C,2,FALSE)), "YES", " ")</f>
        <v xml:space="preserve"> </v>
      </c>
      <c r="I149">
        <v>16720</v>
      </c>
      <c r="J149">
        <v>2021</v>
      </c>
      <c r="K149" s="15">
        <f>IF(ISNUMBER(VLOOKUP(C149,'WEO GOV REV'!C:BL,58,FALSE)),(VLOOKUP(C149,'WEO GOV REV'!C:BL,58,FALSE)), " ")</f>
        <v>2.702</v>
      </c>
      <c r="L149" s="15">
        <f>IF(ISNUMBER(VLOOKUP(C149,'WEO GOV REV'!C:BL,62,FALSE)),(VLOOKUP(C149,'WEO GOV REV'!C:BL,62,FALSE)), " ")</f>
        <v>28.88603805858456</v>
      </c>
      <c r="M149">
        <f>IF(ISNUMBER(VLOOKUP(C149,'WEO GOV REV'!C:BL,62,FALSE)),(VLOOKUP(C149,'WEO GOV REV'!C:BL,57,FALSE)), " ")</f>
        <v>2020</v>
      </c>
      <c r="N149" s="15" t="str">
        <f>IF(ISNUMBER(VLOOKUP($C149,'IMF COFOG FULL'!$B:$CM,79,FALSE)),(VLOOKUP($C149,'IMF COFOG FULL'!$B:$CM,79,FALSE)), " ")</f>
        <v xml:space="preserve"> </v>
      </c>
      <c r="O149" s="15" t="str">
        <f>IF(ISNUMBER(VLOOKUP($C149,'IMF COFOG FULL'!$B:$CM,80,FALSE)),(VLOOKUP($C149,'IMF COFOG FULL'!$B:$CM,80,FALSE)), " ")</f>
        <v xml:space="preserve"> </v>
      </c>
      <c r="P149" s="15" t="str">
        <f>IF(ISNUMBER(VLOOKUP($C149,'IMF COFOG FULL'!$B:$CM,81,FALSE)),(VLOOKUP($C149,'IMF COFOG FULL'!$B:$CM,81,FALSE)), " ")</f>
        <v xml:space="preserve"> </v>
      </c>
      <c r="Q149" s="15" t="str">
        <f>IF(ISNUMBER(VLOOKUP($C149,'IMF COFOG FULL'!$B:$CM,82,FALSE)),(VLOOKUP($C149,'IMF COFOG FULL'!$B:$CM,82,FALSE)), " ")</f>
        <v xml:space="preserve"> </v>
      </c>
      <c r="R149" s="15" t="str">
        <f>IF(ISNUMBER(VLOOKUP($C149,'IMF COFOG FULL'!$B:$CM,83,FALSE)),(VLOOKUP($C149,'IMF COFOG FULL'!$B:$CM,83,FALSE)), " ")</f>
        <v xml:space="preserve"> </v>
      </c>
      <c r="S149" s="15" t="str">
        <f>IF(ISNUMBER(VLOOKUP($C149,'IMF COFOG FULL'!$B:$CM,84,FALSE)),(VLOOKUP($C149,'IMF COFOG FULL'!$B:$CM,84,FALSE)), " ")</f>
        <v xml:space="preserve"> </v>
      </c>
      <c r="T149" s="15" t="str">
        <f>IF(ISNUMBER(VLOOKUP($C149,'IMF COFOG FULL'!$B:$CM,85,FALSE)),(VLOOKUP($C149,'IMF COFOG FULL'!$B:$CM,85,FALSE)), " ")</f>
        <v xml:space="preserve"> </v>
      </c>
      <c r="U149" s="7" t="str">
        <f>IF(ISNUMBER(VLOOKUP($C149,'IMF COFOG FULL'!$B:$CM,79,FALSE)),(VLOOKUP($C149,'IMF COFOG FULL'!$B:$CM,86,FALSE)), " ")</f>
        <v xml:space="preserve"> </v>
      </c>
      <c r="V149" s="15" t="str">
        <f>IF(ISNUMBER(VLOOKUP($C149,'IMF COFOG FULL'!$B:$CM,79,FALSE)),(VLOOKUP($C149,'IMF COFOG FULL'!$B:$CM,87,FALSE)), " ")</f>
        <v xml:space="preserve"> </v>
      </c>
      <c r="W149" s="15" t="str">
        <f t="shared" si="59"/>
        <v xml:space="preserve"> </v>
      </c>
      <c r="X149" s="15" t="str">
        <f t="shared" si="60"/>
        <v xml:space="preserve"> </v>
      </c>
      <c r="Y149" s="15" t="str">
        <f t="shared" si="61"/>
        <v xml:space="preserve"> </v>
      </c>
      <c r="Z149" s="15" t="str">
        <f t="shared" si="62"/>
        <v xml:space="preserve"> </v>
      </c>
      <c r="AA149" s="15" t="str">
        <f t="shared" si="63"/>
        <v xml:space="preserve"> </v>
      </c>
      <c r="AB149" s="15" t="str">
        <f t="shared" si="64"/>
        <v xml:space="preserve"> </v>
      </c>
      <c r="AC149" s="15" t="str">
        <f t="shared" si="65"/>
        <v xml:space="preserve"> </v>
      </c>
      <c r="AG149" s="15" t="str">
        <f>IF(ISNUMBER(VLOOKUP(C149,'National budgets summary'!A:F,5, FALSE)),(VLOOKUP(C149,'National budgets summary'!A:F,5, FALSE)), " ")</f>
        <v xml:space="preserve"> </v>
      </c>
      <c r="AH149" t="str">
        <f>IF(ISNUMBER(VLOOKUP(C149,'National budgets summary'!A:F,5, FALSE)),(VLOOKUP(C149,'National budgets summary'!A:F,4, FALSE)), " ")</f>
        <v xml:space="preserve"> </v>
      </c>
      <c r="AI149" s="15" t="str">
        <f t="shared" si="46"/>
        <v xml:space="preserve"> </v>
      </c>
      <c r="AJ149" s="15" t="str">
        <f t="shared" si="51"/>
        <v xml:space="preserve"> </v>
      </c>
      <c r="AK149" s="15" t="str">
        <f t="shared" si="52"/>
        <v/>
      </c>
      <c r="AL149" s="15" t="str">
        <f t="shared" si="53"/>
        <v/>
      </c>
      <c r="AM149" s="15" t="str">
        <f t="shared" si="54"/>
        <v/>
      </c>
      <c r="AN149" s="15" t="str">
        <f t="shared" si="47"/>
        <v xml:space="preserve"> </v>
      </c>
      <c r="AO149" s="15" t="str">
        <f t="shared" si="48"/>
        <v xml:space="preserve"> </v>
      </c>
      <c r="AP149" t="str">
        <f t="shared" si="49"/>
        <v xml:space="preserve"> </v>
      </c>
      <c r="AQ149" t="str">
        <f t="shared" si="50"/>
        <v xml:space="preserve"> </v>
      </c>
      <c r="AR149" s="7" t="str">
        <f t="shared" si="55"/>
        <v xml:space="preserve"> </v>
      </c>
      <c r="AS149" s="7" t="str">
        <f t="shared" si="56"/>
        <v xml:space="preserve"> </v>
      </c>
      <c r="AT149" s="7" t="str">
        <f t="shared" si="57"/>
        <v xml:space="preserve"> </v>
      </c>
      <c r="AU149" s="7" t="str">
        <f t="shared" si="58"/>
        <v xml:space="preserve"> </v>
      </c>
    </row>
    <row r="150" spans="1:47">
      <c r="A150">
        <v>147</v>
      </c>
      <c r="B150" t="s">
        <v>238</v>
      </c>
      <c r="C150" t="s">
        <v>509</v>
      </c>
      <c r="D150" t="s">
        <v>485</v>
      </c>
      <c r="E150" t="s">
        <v>622</v>
      </c>
      <c r="F150" t="s">
        <v>619</v>
      </c>
      <c r="H150" t="str">
        <f>IF(ISNUMBER(VLOOKUP(C150,'OECD DAC'!B:C,2,FALSE)), "YES", " ")</f>
        <v xml:space="preserve"> </v>
      </c>
      <c r="I150">
        <v>17150</v>
      </c>
      <c r="J150">
        <v>2021</v>
      </c>
      <c r="K150" s="15">
        <f>IF(ISNUMBER(VLOOKUP(C150,'WEO GOV REV'!C:BL,58,FALSE)),(VLOOKUP(C150,'WEO GOV REV'!C:BL,58,FALSE)), " ")</f>
        <v>178.304</v>
      </c>
      <c r="L150" s="15">
        <f>IF(ISNUMBER(VLOOKUP(C150,'WEO GOV REV'!C:BL,62,FALSE)),(VLOOKUP(C150,'WEO GOV REV'!C:BL,62,FALSE)), " ")</f>
        <v>47.126609946848298</v>
      </c>
      <c r="M150">
        <f>IF(ISNUMBER(VLOOKUP(C150,'WEO GOV REV'!C:BL,62,FALSE)),(VLOOKUP(C150,'WEO GOV REV'!C:BL,57,FALSE)), " ")</f>
        <v>2020</v>
      </c>
      <c r="N150" s="15">
        <f>IF(ISNUMBER(VLOOKUP($C150,'IMF COFOG FULL'!$B:$CM,79,FALSE)),(VLOOKUP($C150,'IMF COFOG FULL'!$B:$CM,79,FALSE)), " ")</f>
        <v>2.4927370557391901</v>
      </c>
      <c r="O150" s="15">
        <f>IF(ISNUMBER(VLOOKUP($C150,'IMF COFOG FULL'!$B:$CM,80,FALSE)),(VLOOKUP($C150,'IMF COFOG FULL'!$B:$CM,80,FALSE)), " ")</f>
        <v>1.4048533575942901</v>
      </c>
      <c r="P150" s="15">
        <f>IF(ISNUMBER(VLOOKUP($C150,'IMF COFOG FULL'!$B:$CM,81,FALSE)),(VLOOKUP($C150,'IMF COFOG FULL'!$B:$CM,81,FALSE)), " ")</f>
        <v>0.28172245609879498</v>
      </c>
      <c r="Q150" s="15">
        <f>IF(ISNUMBER(VLOOKUP($C150,'IMF COFOG FULL'!$B:$CM,82,FALSE)),(VLOOKUP($C150,'IMF COFOG FULL'!$B:$CM,82,FALSE)), " ")</f>
        <v>0.51520311372861505</v>
      </c>
      <c r="R150" s="15">
        <f>IF(ISNUMBER(VLOOKUP($C150,'IMF COFOG FULL'!$B:$CM,83,FALSE)),(VLOOKUP($C150,'IMF COFOG FULL'!$B:$CM,83,FALSE)), " ")</f>
        <v>0.156197579646637</v>
      </c>
      <c r="S150" s="15">
        <f>IF(ISNUMBER(VLOOKUP($C150,'IMF COFOG FULL'!$B:$CM,84,FALSE)),(VLOOKUP($C150,'IMF COFOG FULL'!$B:$CM,84,FALSE)), " ")</f>
        <v>1.5568643073245801E-3</v>
      </c>
      <c r="T150" s="15">
        <f>IF(ISNUMBER(VLOOKUP($C150,'IMF COFOG FULL'!$B:$CM,85,FALSE)),(VLOOKUP($C150,'IMF COFOG FULL'!$B:$CM,85,FALSE)), " ")</f>
        <v>0.133203684363527</v>
      </c>
      <c r="U150" s="7">
        <f>IF(ISNUMBER(VLOOKUP($C150,'IMF COFOG FULL'!$B:$CM,79,FALSE)),(VLOOKUP($C150,'IMF COFOG FULL'!$B:$CM,86,FALSE)), " ")</f>
        <v>2020</v>
      </c>
      <c r="V150" s="15" t="str">
        <f>IF(ISNUMBER(VLOOKUP($C150,'IMF COFOG FULL'!$B:$CM,79,FALSE)),(VLOOKUP($C150,'IMF COFOG FULL'!$B:$CM,87,FALSE)), " ")</f>
        <v>General government</v>
      </c>
      <c r="W150" s="15">
        <f t="shared" si="59"/>
        <v>5.2894469993717381</v>
      </c>
      <c r="X150" s="15">
        <f t="shared" si="60"/>
        <v>2.9810193416813826</v>
      </c>
      <c r="Y150" s="15">
        <f t="shared" si="61"/>
        <v>0.59779911268078778</v>
      </c>
      <c r="Z150" s="15">
        <f t="shared" si="62"/>
        <v>1.0932318584122354</v>
      </c>
      <c r="AA150" s="15">
        <f t="shared" si="63"/>
        <v>0.33144242673683572</v>
      </c>
      <c r="AB150" s="15">
        <f t="shared" si="64"/>
        <v>3.3035779766049118E-3</v>
      </c>
      <c r="AC150" s="15">
        <f t="shared" si="65"/>
        <v>0.2826506818838882</v>
      </c>
      <c r="AG150" s="15" t="str">
        <f>IF(ISNUMBER(VLOOKUP(C150,'National budgets summary'!A:F,5, FALSE)),(VLOOKUP(C150,'National budgets summary'!A:F,5, FALSE)), " ")</f>
        <v xml:space="preserve"> </v>
      </c>
      <c r="AH150" t="str">
        <f>IF(ISNUMBER(VLOOKUP(C150,'National budgets summary'!A:F,5, FALSE)),(VLOOKUP(C150,'National budgets summary'!A:F,4, FALSE)), " ")</f>
        <v xml:space="preserve"> </v>
      </c>
      <c r="AI150" s="15" t="str">
        <f t="shared" si="46"/>
        <v xml:space="preserve"> </v>
      </c>
      <c r="AJ150" s="15" t="str">
        <f t="shared" si="51"/>
        <v xml:space="preserve"> </v>
      </c>
      <c r="AK150" s="15">
        <f t="shared" si="52"/>
        <v>2.9810193416813826</v>
      </c>
      <c r="AL150" s="15">
        <f t="shared" si="53"/>
        <v>1.0932318584122354</v>
      </c>
      <c r="AM150" s="15">
        <f t="shared" si="54"/>
        <v>0.33144242673683572</v>
      </c>
      <c r="AN150" s="15">
        <f t="shared" si="47"/>
        <v>5.2894469993717381</v>
      </c>
      <c r="AO150" s="15">
        <f t="shared" si="48"/>
        <v>2.4927370557391901</v>
      </c>
      <c r="AP150">
        <f t="shared" si="49"/>
        <v>2020</v>
      </c>
      <c r="AQ150" t="str">
        <f t="shared" si="50"/>
        <v>IMF COFOG</v>
      </c>
      <c r="AR150" s="7">
        <f t="shared" si="55"/>
        <v>240.93235082742072</v>
      </c>
      <c r="AS150" s="7">
        <f t="shared" si="56"/>
        <v>88.357334004457456</v>
      </c>
      <c r="AT150" s="7">
        <f t="shared" si="57"/>
        <v>26.787884909398244</v>
      </c>
      <c r="AU150" s="7">
        <f t="shared" si="58"/>
        <v>427.50440505927111</v>
      </c>
    </row>
    <row r="151" spans="1:47">
      <c r="A151">
        <v>148</v>
      </c>
      <c r="B151" t="s">
        <v>68</v>
      </c>
      <c r="C151" t="s">
        <v>442</v>
      </c>
      <c r="D151" t="s">
        <v>485</v>
      </c>
      <c r="E151" t="s">
        <v>622</v>
      </c>
      <c r="H151" t="str">
        <f>IF(ISNUMBER(VLOOKUP(C151,'OECD DAC'!B:C,2,FALSE)), "YES", " ")</f>
        <v>YES</v>
      </c>
      <c r="I151">
        <v>17740</v>
      </c>
      <c r="J151">
        <v>2021</v>
      </c>
      <c r="K151" s="15">
        <f>IF(ISNUMBER(VLOOKUP(C151,'WEO GOV REV'!C:BL,58,FALSE)),(VLOOKUP(C151,'WEO GOV REV'!C:BL,58,FALSE)), " ")</f>
        <v>20774.79</v>
      </c>
      <c r="L151" s="15">
        <f>IF(ISNUMBER(VLOOKUP(C151,'WEO GOV REV'!C:BL,62,FALSE)),(VLOOKUP(C151,'WEO GOV REV'!C:BL,62,FALSE)), " ")</f>
        <v>43.291202388573261</v>
      </c>
      <c r="M151">
        <f>IF(ISNUMBER(VLOOKUP(C151,'WEO GOV REV'!C:BL,62,FALSE)),(VLOOKUP(C151,'WEO GOV REV'!C:BL,57,FALSE)), " ")</f>
        <v>2020</v>
      </c>
      <c r="N151" s="15">
        <f>IF(ISNUMBER(VLOOKUP($C151,'IMF COFOG FULL'!$B:$CM,79,FALSE)),(VLOOKUP($C151,'IMF COFOG FULL'!$B:$CM,79,FALSE)), " ")</f>
        <v>2.1570805554226098</v>
      </c>
      <c r="O151" s="15">
        <f>IF(ISNUMBER(VLOOKUP($C151,'IMF COFOG FULL'!$B:$CM,80,FALSE)),(VLOOKUP($C151,'IMF COFOG FULL'!$B:$CM,80,FALSE)), " ")</f>
        <v>1.2100504226075799</v>
      </c>
      <c r="P151" s="15">
        <f>IF(ISNUMBER(VLOOKUP($C151,'IMF COFOG FULL'!$B:$CM,81,FALSE)),(VLOOKUP($C151,'IMF COFOG FULL'!$B:$CM,81,FALSE)), " ")</f>
        <v>0.216341650108554</v>
      </c>
      <c r="Q151" s="15">
        <f>IF(ISNUMBER(VLOOKUP($C151,'IMF COFOG FULL'!$B:$CM,82,FALSE)),(VLOOKUP($C151,'IMF COFOG FULL'!$B:$CM,82,FALSE)), " ")</f>
        <v>0.42200330453602403</v>
      </c>
      <c r="R151" s="15">
        <f>IF(ISNUMBER(VLOOKUP($C151,'IMF COFOG FULL'!$B:$CM,83,FALSE)),(VLOOKUP($C151,'IMF COFOG FULL'!$B:$CM,83,FALSE)), " ")</f>
        <v>0.29117702286585201</v>
      </c>
      <c r="S151" s="15">
        <f>IF(ISNUMBER(VLOOKUP($C151,'IMF COFOG FULL'!$B:$CM,84,FALSE)),(VLOOKUP($C151,'IMF COFOG FULL'!$B:$CM,84,FALSE)), " ")</f>
        <v>4.6079604821309101E-5</v>
      </c>
      <c r="T151" s="15">
        <f>IF(ISNUMBER(VLOOKUP($C151,'IMF COFOG FULL'!$B:$CM,85,FALSE)),(VLOOKUP($C151,'IMF COFOG FULL'!$B:$CM,85,FALSE)), " ")</f>
        <v>1.74620756997843E-2</v>
      </c>
      <c r="U151" s="7">
        <f>IF(ISNUMBER(VLOOKUP($C151,'IMF COFOG FULL'!$B:$CM,79,FALSE)),(VLOOKUP($C151,'IMF COFOG FULL'!$B:$CM,86,FALSE)), " ")</f>
        <v>2020</v>
      </c>
      <c r="V151" s="15" t="str">
        <f>IF(ISNUMBER(VLOOKUP($C151,'IMF COFOG FULL'!$B:$CM,79,FALSE)),(VLOOKUP($C151,'IMF COFOG FULL'!$B:$CM,87,FALSE)), " ")</f>
        <v>General government</v>
      </c>
      <c r="W151" s="15">
        <f t="shared" si="59"/>
        <v>4.9827226697495757</v>
      </c>
      <c r="X151" s="15">
        <f t="shared" si="60"/>
        <v>2.7951416358141477</v>
      </c>
      <c r="Y151" s="15">
        <f t="shared" si="61"/>
        <v>0.49973583123590376</v>
      </c>
      <c r="Z151" s="15">
        <f t="shared" si="62"/>
        <v>0.97480153299556327</v>
      </c>
      <c r="AA151" s="15">
        <f t="shared" si="63"/>
        <v>0.67260091381224452</v>
      </c>
      <c r="AB151" s="15">
        <f t="shared" si="64"/>
        <v>1.0644103715971594E-4</v>
      </c>
      <c r="AC151" s="15">
        <f t="shared" si="65"/>
        <v>4.03363148545706E-2</v>
      </c>
      <c r="AG151" s="15" t="str">
        <f>IF(ISNUMBER(VLOOKUP(C151,'National budgets summary'!A:F,5, FALSE)),(VLOOKUP(C151,'National budgets summary'!A:F,5, FALSE)), " ")</f>
        <v xml:space="preserve"> </v>
      </c>
      <c r="AH151" t="str">
        <f>IF(ISNUMBER(VLOOKUP(C151,'National budgets summary'!A:F,5, FALSE)),(VLOOKUP(C151,'National budgets summary'!A:F,4, FALSE)), " ")</f>
        <v xml:space="preserve"> </v>
      </c>
      <c r="AI151" s="15" t="str">
        <f t="shared" si="46"/>
        <v xml:space="preserve"> </v>
      </c>
      <c r="AJ151" s="15" t="str">
        <f t="shared" si="51"/>
        <v xml:space="preserve"> </v>
      </c>
      <c r="AK151" s="15">
        <f t="shared" si="52"/>
        <v>2.7951416358141477</v>
      </c>
      <c r="AL151" s="15">
        <f t="shared" si="53"/>
        <v>0.97480153299556327</v>
      </c>
      <c r="AM151" s="15">
        <f t="shared" si="54"/>
        <v>0.67260091381224452</v>
      </c>
      <c r="AN151" s="15">
        <f t="shared" si="47"/>
        <v>4.9827226697495757</v>
      </c>
      <c r="AO151" s="15">
        <f t="shared" si="48"/>
        <v>2.1570805554226098</v>
      </c>
      <c r="AP151">
        <f t="shared" si="49"/>
        <v>2020</v>
      </c>
      <c r="AQ151" t="str">
        <f t="shared" si="50"/>
        <v>IMF COFOG</v>
      </c>
      <c r="AR151" s="7">
        <f t="shared" si="55"/>
        <v>214.6629449705847</v>
      </c>
      <c r="AS151" s="7">
        <f t="shared" si="56"/>
        <v>74.863386224690672</v>
      </c>
      <c r="AT151" s="7">
        <f t="shared" si="57"/>
        <v>51.654803856402147</v>
      </c>
      <c r="AU151" s="7">
        <f t="shared" si="58"/>
        <v>382.66609053197101</v>
      </c>
    </row>
    <row r="152" spans="1:47">
      <c r="A152">
        <v>149</v>
      </c>
      <c r="B152" t="s">
        <v>239</v>
      </c>
      <c r="C152" t="s">
        <v>583</v>
      </c>
      <c r="D152" t="s">
        <v>497</v>
      </c>
      <c r="E152" t="s">
        <v>622</v>
      </c>
      <c r="F152" t="s">
        <v>619</v>
      </c>
      <c r="H152" t="str">
        <f>IF(ISNUMBER(VLOOKUP(C152,'OECD DAC'!B:C,2,FALSE)), "YES", " ")</f>
        <v xml:space="preserve"> </v>
      </c>
      <c r="I152">
        <v>18560</v>
      </c>
      <c r="J152">
        <v>2021</v>
      </c>
      <c r="K152" s="15">
        <f>IF(ISNUMBER(VLOOKUP(C152,'WEO GOV REV'!C:BL,58,FALSE)),(VLOOKUP(C152,'WEO GOV REV'!C:BL,58,FALSE)), " ")</f>
        <v>1.085</v>
      </c>
      <c r="L152" s="15">
        <f>IF(ISNUMBER(VLOOKUP(C152,'WEO GOV REV'!C:BL,62,FALSE)),(VLOOKUP(C152,'WEO GOV REV'!C:BL,62,FALSE)), " ")</f>
        <v>42.283710054559627</v>
      </c>
      <c r="M152">
        <f>IF(ISNUMBER(VLOOKUP(C152,'WEO GOV REV'!C:BL,62,FALSE)),(VLOOKUP(C152,'WEO GOV REV'!C:BL,57,FALSE)), " ")</f>
        <v>2021</v>
      </c>
      <c r="N152" s="15" t="str">
        <f>IF(ISNUMBER(VLOOKUP($C152,'IMF COFOG FULL'!$B:$CM,79,FALSE)),(VLOOKUP($C152,'IMF COFOG FULL'!$B:$CM,79,FALSE)), " ")</f>
        <v xml:space="preserve"> </v>
      </c>
      <c r="O152" s="15" t="str">
        <f>IF(ISNUMBER(VLOOKUP($C152,'IMF COFOG FULL'!$B:$CM,80,FALSE)),(VLOOKUP($C152,'IMF COFOG FULL'!$B:$CM,80,FALSE)), " ")</f>
        <v xml:space="preserve"> </v>
      </c>
      <c r="P152" s="15" t="str">
        <f>IF(ISNUMBER(VLOOKUP($C152,'IMF COFOG FULL'!$B:$CM,81,FALSE)),(VLOOKUP($C152,'IMF COFOG FULL'!$B:$CM,81,FALSE)), " ")</f>
        <v xml:space="preserve"> </v>
      </c>
      <c r="Q152" s="15" t="str">
        <f>IF(ISNUMBER(VLOOKUP($C152,'IMF COFOG FULL'!$B:$CM,82,FALSE)),(VLOOKUP($C152,'IMF COFOG FULL'!$B:$CM,82,FALSE)), " ")</f>
        <v xml:space="preserve"> </v>
      </c>
      <c r="R152" s="15" t="str">
        <f>IF(ISNUMBER(VLOOKUP($C152,'IMF COFOG FULL'!$B:$CM,83,FALSE)),(VLOOKUP($C152,'IMF COFOG FULL'!$B:$CM,83,FALSE)), " ")</f>
        <v xml:space="preserve"> </v>
      </c>
      <c r="S152" s="15" t="str">
        <f>IF(ISNUMBER(VLOOKUP($C152,'IMF COFOG FULL'!$B:$CM,84,FALSE)),(VLOOKUP($C152,'IMF COFOG FULL'!$B:$CM,84,FALSE)), " ")</f>
        <v xml:space="preserve"> </v>
      </c>
      <c r="T152" s="15" t="str">
        <f>IF(ISNUMBER(VLOOKUP($C152,'IMF COFOG FULL'!$B:$CM,85,FALSE)),(VLOOKUP($C152,'IMF COFOG FULL'!$B:$CM,85,FALSE)), " ")</f>
        <v xml:space="preserve"> </v>
      </c>
      <c r="U152" s="7" t="str">
        <f>IF(ISNUMBER(VLOOKUP($C152,'IMF COFOG FULL'!$B:$CM,79,FALSE)),(VLOOKUP($C152,'IMF COFOG FULL'!$B:$CM,86,FALSE)), " ")</f>
        <v xml:space="preserve"> </v>
      </c>
      <c r="V152" s="15" t="str">
        <f>IF(ISNUMBER(VLOOKUP($C152,'IMF COFOG FULL'!$B:$CM,79,FALSE)),(VLOOKUP($C152,'IMF COFOG FULL'!$B:$CM,87,FALSE)), " ")</f>
        <v xml:space="preserve"> </v>
      </c>
      <c r="W152" s="15" t="str">
        <f t="shared" si="59"/>
        <v xml:space="preserve"> </v>
      </c>
      <c r="X152" s="15" t="str">
        <f t="shared" si="60"/>
        <v xml:space="preserve"> </v>
      </c>
      <c r="Y152" s="15" t="str">
        <f t="shared" si="61"/>
        <v xml:space="preserve"> </v>
      </c>
      <c r="Z152" s="15" t="str">
        <f t="shared" si="62"/>
        <v xml:space="preserve"> </v>
      </c>
      <c r="AA152" s="15" t="str">
        <f t="shared" si="63"/>
        <v xml:space="preserve"> </v>
      </c>
      <c r="AB152" s="15" t="str">
        <f t="shared" si="64"/>
        <v xml:space="preserve"> </v>
      </c>
      <c r="AC152" s="15" t="str">
        <f t="shared" si="65"/>
        <v xml:space="preserve"> </v>
      </c>
      <c r="AG152" s="15" t="str">
        <f>IF(ISNUMBER(VLOOKUP(C152,'National budgets summary'!A:F,5, FALSE)),(VLOOKUP(C152,'National budgets summary'!A:F,5, FALSE)), " ")</f>
        <v xml:space="preserve"> </v>
      </c>
      <c r="AH152" t="str">
        <f>IF(ISNUMBER(VLOOKUP(C152,'National budgets summary'!A:F,5, FALSE)),(VLOOKUP(C152,'National budgets summary'!A:F,4, FALSE)), " ")</f>
        <v xml:space="preserve"> </v>
      </c>
      <c r="AI152" s="15" t="str">
        <f t="shared" si="46"/>
        <v xml:space="preserve"> </v>
      </c>
      <c r="AJ152" s="15" t="str">
        <f t="shared" si="51"/>
        <v xml:space="preserve"> </v>
      </c>
      <c r="AK152" s="15" t="str">
        <f t="shared" si="52"/>
        <v/>
      </c>
      <c r="AL152" s="15" t="str">
        <f t="shared" si="53"/>
        <v/>
      </c>
      <c r="AM152" s="15" t="str">
        <f t="shared" si="54"/>
        <v/>
      </c>
      <c r="AN152" s="15" t="str">
        <f t="shared" si="47"/>
        <v xml:space="preserve"> </v>
      </c>
      <c r="AO152" s="15" t="str">
        <f t="shared" si="48"/>
        <v xml:space="preserve"> </v>
      </c>
      <c r="AP152" t="str">
        <f t="shared" si="49"/>
        <v xml:space="preserve"> </v>
      </c>
      <c r="AQ152" t="str">
        <f t="shared" si="50"/>
        <v xml:space="preserve"> </v>
      </c>
      <c r="AR152" s="7" t="str">
        <f t="shared" si="55"/>
        <v xml:space="preserve"> </v>
      </c>
      <c r="AS152" s="7" t="str">
        <f t="shared" si="56"/>
        <v xml:space="preserve"> </v>
      </c>
      <c r="AT152" s="7" t="str">
        <f t="shared" si="57"/>
        <v xml:space="preserve"> </v>
      </c>
      <c r="AU152" s="7" t="str">
        <f t="shared" si="58"/>
        <v xml:space="preserve"> </v>
      </c>
    </row>
    <row r="153" spans="1:47">
      <c r="A153">
        <v>150</v>
      </c>
      <c r="B153" t="s">
        <v>240</v>
      </c>
      <c r="C153" t="s">
        <v>534</v>
      </c>
      <c r="D153" t="s">
        <v>485</v>
      </c>
      <c r="E153" t="s">
        <v>622</v>
      </c>
      <c r="G153" t="s">
        <v>623</v>
      </c>
      <c r="H153" t="str">
        <f>IF(ISNUMBER(VLOOKUP(C153,'OECD DAC'!B:C,2,FALSE)), "YES", " ")</f>
        <v xml:space="preserve"> </v>
      </c>
      <c r="I153">
        <v>19370</v>
      </c>
      <c r="J153">
        <v>2021</v>
      </c>
      <c r="K153" s="15">
        <f>IF(ISNUMBER(VLOOKUP(C153,'WEO GOV REV'!C:BL,58,FALSE)),(VLOOKUP(C153,'WEO GOV REV'!C:BL,58,FALSE)), " ")</f>
        <v>11.321</v>
      </c>
      <c r="L153" s="15">
        <f>IF(ISNUMBER(VLOOKUP(C153,'WEO GOV REV'!C:BL,62,FALSE)),(VLOOKUP(C153,'WEO GOV REV'!C:BL,62,FALSE)), " ")</f>
        <v>38.432291136232472</v>
      </c>
      <c r="M153">
        <f>IF(ISNUMBER(VLOOKUP(C153,'WEO GOV REV'!C:BL,62,FALSE)),(VLOOKUP(C153,'WEO GOV REV'!C:BL,57,FALSE)), " ")</f>
        <v>2020</v>
      </c>
      <c r="N153" s="15">
        <f>IF(ISNUMBER(VLOOKUP($C153,'IMF COFOG FULL'!$B:$CM,79,FALSE)),(VLOOKUP($C153,'IMF COFOG FULL'!$B:$CM,79,FALSE)), " ")</f>
        <v>2.28677612507314</v>
      </c>
      <c r="O153" s="15">
        <f>IF(ISNUMBER(VLOOKUP($C153,'IMF COFOG FULL'!$B:$CM,80,FALSE)),(VLOOKUP($C153,'IMF COFOG FULL'!$B:$CM,80,FALSE)), " ")</f>
        <v>1.20035096470294</v>
      </c>
      <c r="P153" s="15">
        <f>IF(ISNUMBER(VLOOKUP($C153,'IMF COFOG FULL'!$B:$CM,81,FALSE)),(VLOOKUP($C153,'IMF COFOG FULL'!$B:$CM,81,FALSE)), " ")</f>
        <v>0.18743435093279501</v>
      </c>
      <c r="Q153" s="15">
        <f>IF(ISNUMBER(VLOOKUP($C153,'IMF COFOG FULL'!$B:$CM,82,FALSE)),(VLOOKUP($C153,'IMF COFOG FULL'!$B:$CM,82,FALSE)), " ")</f>
        <v>0.47823679304059502</v>
      </c>
      <c r="R153" s="15">
        <f>IF(ISNUMBER(VLOOKUP($C153,'IMF COFOG FULL'!$B:$CM,83,FALSE)),(VLOOKUP($C153,'IMF COFOG FULL'!$B:$CM,83,FALSE)), " ")</f>
        <v>0.19975452379429701</v>
      </c>
      <c r="S153" s="15">
        <f>IF(ISNUMBER(VLOOKUP($C153,'IMF COFOG FULL'!$B:$CM,84,FALSE)),(VLOOKUP($C153,'IMF COFOG FULL'!$B:$CM,84,FALSE)), " ")</f>
        <v>0</v>
      </c>
      <c r="T153" s="15">
        <f>IF(ISNUMBER(VLOOKUP($C153,'IMF COFOG FULL'!$B:$CM,85,FALSE)),(VLOOKUP($C153,'IMF COFOG FULL'!$B:$CM,85,FALSE)), " ")</f>
        <v>0.22099949260251001</v>
      </c>
      <c r="U153" s="7">
        <f>IF(ISNUMBER(VLOOKUP($C153,'IMF COFOG FULL'!$B:$CM,79,FALSE)),(VLOOKUP($C153,'IMF COFOG FULL'!$B:$CM,86,FALSE)), " ")</f>
        <v>2020</v>
      </c>
      <c r="V153" s="15" t="str">
        <f>IF(ISNUMBER(VLOOKUP($C153,'IMF COFOG FULL'!$B:$CM,79,FALSE)),(VLOOKUP($C153,'IMF COFOG FULL'!$B:$CM,87,FALSE)), " ")</f>
        <v>General government</v>
      </c>
      <c r="W153" s="15">
        <f t="shared" si="59"/>
        <v>5.9501425948484661</v>
      </c>
      <c r="X153" s="15">
        <f t="shared" si="60"/>
        <v>3.1232875512105385</v>
      </c>
      <c r="Y153" s="15">
        <f t="shared" si="61"/>
        <v>0.4877001744923013</v>
      </c>
      <c r="Z153" s="15">
        <f t="shared" si="62"/>
        <v>1.2443619126046115</v>
      </c>
      <c r="AA153" s="15">
        <f t="shared" si="63"/>
        <v>0.51975700091940702</v>
      </c>
      <c r="AB153" s="15">
        <f t="shared" si="64"/>
        <v>0</v>
      </c>
      <c r="AC153" s="15">
        <f t="shared" si="65"/>
        <v>0.57503595562160037</v>
      </c>
      <c r="AG153" s="15" t="str">
        <f>IF(ISNUMBER(VLOOKUP(C153,'National budgets summary'!A:F,5, FALSE)),(VLOOKUP(C153,'National budgets summary'!A:F,5, FALSE)), " ")</f>
        <v xml:space="preserve"> </v>
      </c>
      <c r="AH153" t="str">
        <f>IF(ISNUMBER(VLOOKUP(C153,'National budgets summary'!A:F,5, FALSE)),(VLOOKUP(C153,'National budgets summary'!A:F,4, FALSE)), " ")</f>
        <v xml:space="preserve"> </v>
      </c>
      <c r="AI153" s="15" t="str">
        <f t="shared" si="46"/>
        <v xml:space="preserve"> </v>
      </c>
      <c r="AJ153" s="15" t="str">
        <f t="shared" si="51"/>
        <v xml:space="preserve"> </v>
      </c>
      <c r="AK153" s="15">
        <f t="shared" si="52"/>
        <v>3.1232875512105385</v>
      </c>
      <c r="AL153" s="15">
        <f t="shared" si="53"/>
        <v>1.2443619126046115</v>
      </c>
      <c r="AM153" s="15">
        <f t="shared" si="54"/>
        <v>0.51975700091940702</v>
      </c>
      <c r="AN153" s="15">
        <f t="shared" si="47"/>
        <v>5.9501425948484661</v>
      </c>
      <c r="AO153" s="15">
        <f t="shared" si="48"/>
        <v>2.28677612507314</v>
      </c>
      <c r="AP153">
        <f t="shared" si="49"/>
        <v>2020</v>
      </c>
      <c r="AQ153" t="str">
        <f t="shared" si="50"/>
        <v>IMF COFOG</v>
      </c>
      <c r="AR153" s="7">
        <f t="shared" si="55"/>
        <v>232.50798186295947</v>
      </c>
      <c r="AS153" s="7">
        <f t="shared" si="56"/>
        <v>92.634466811963236</v>
      </c>
      <c r="AT153" s="7">
        <f t="shared" si="57"/>
        <v>38.692451258955323</v>
      </c>
      <c r="AU153" s="7">
        <f t="shared" si="58"/>
        <v>442.94853542666715</v>
      </c>
    </row>
    <row r="154" spans="1:47">
      <c r="A154">
        <v>151</v>
      </c>
      <c r="B154" t="s">
        <v>241</v>
      </c>
      <c r="C154" t="s">
        <v>545</v>
      </c>
      <c r="D154" t="s">
        <v>493</v>
      </c>
      <c r="E154" t="s">
        <v>622</v>
      </c>
      <c r="F154" t="s">
        <v>619</v>
      </c>
      <c r="H154" t="str">
        <f>IF(ISNUMBER(VLOOKUP(C154,'OECD DAC'!B:C,2,FALSE)), "YES", " ")</f>
        <v xml:space="preserve"> </v>
      </c>
      <c r="I154">
        <v>19470</v>
      </c>
      <c r="J154">
        <v>2021</v>
      </c>
      <c r="K154" s="15">
        <f>IF(ISNUMBER(VLOOKUP(C154,'WEO GOV REV'!C:BL,58,FALSE)),(VLOOKUP(C154,'WEO GOV REV'!C:BL,58,FALSE)), " ")</f>
        <v>0.32</v>
      </c>
      <c r="L154" s="15">
        <f>IF(ISNUMBER(VLOOKUP(C154,'WEO GOV REV'!C:BL,62,FALSE)),(VLOOKUP(C154,'WEO GOV REV'!C:BL,62,FALSE)), " ")</f>
        <v>178.77094972067042</v>
      </c>
      <c r="M154">
        <f>IF(ISNUMBER(VLOOKUP(C154,'WEO GOV REV'!C:BL,62,FALSE)),(VLOOKUP(C154,'WEO GOV REV'!C:BL,57,FALSE)), " ")</f>
        <v>2021</v>
      </c>
      <c r="N154" s="15">
        <f>IF(ISNUMBER(VLOOKUP($C154,'IMF COFOG FULL'!$B:$CM,79,FALSE)),(VLOOKUP($C154,'IMF COFOG FULL'!$B:$CM,79,FALSE)), " ")</f>
        <v>16.576395889183299</v>
      </c>
      <c r="O154" s="15">
        <f>IF(ISNUMBER(VLOOKUP($C154,'IMF COFOG FULL'!$B:$CM,80,FALSE)),(VLOOKUP($C154,'IMF COFOG FULL'!$B:$CM,80,FALSE)), " ")</f>
        <v>1.76217742008916</v>
      </c>
      <c r="P154" s="15">
        <f>IF(ISNUMBER(VLOOKUP($C154,'IMF COFOG FULL'!$B:$CM,81,FALSE)),(VLOOKUP($C154,'IMF COFOG FULL'!$B:$CM,81,FALSE)), " ")</f>
        <v>0</v>
      </c>
      <c r="Q154" s="15">
        <f>IF(ISNUMBER(VLOOKUP($C154,'IMF COFOG FULL'!$B:$CM,82,FALSE)),(VLOOKUP($C154,'IMF COFOG FULL'!$B:$CM,82,FALSE)), " ")</f>
        <v>3.0870396706054199</v>
      </c>
      <c r="R154" s="15">
        <f>IF(ISNUMBER(VLOOKUP($C154,'IMF COFOG FULL'!$B:$CM,83,FALSE)),(VLOOKUP($C154,'IMF COFOG FULL'!$B:$CM,83,FALSE)), " ")</f>
        <v>0.38299311691654703</v>
      </c>
      <c r="S154" s="15">
        <f>IF(ISNUMBER(VLOOKUP($C154,'IMF COFOG FULL'!$B:$CM,84,FALSE)),(VLOOKUP($C154,'IMF COFOG FULL'!$B:$CM,84,FALSE)), " ")</f>
        <v>0</v>
      </c>
      <c r="T154" s="15">
        <f>IF(ISNUMBER(VLOOKUP($C154,'IMF COFOG FULL'!$B:$CM,85,FALSE)),(VLOOKUP($C154,'IMF COFOG FULL'!$B:$CM,85,FALSE)), " ")</f>
        <v>11.344185681572201</v>
      </c>
      <c r="U154" s="7">
        <f>IF(ISNUMBER(VLOOKUP($C154,'IMF COFOG FULL'!$B:$CM,79,FALSE)),(VLOOKUP($C154,'IMF COFOG FULL'!$B:$CM,86,FALSE)), " ")</f>
        <v>2018</v>
      </c>
      <c r="V154" s="15" t="str">
        <f>IF(ISNUMBER(VLOOKUP($C154,'IMF COFOG FULL'!$B:$CM,79,FALSE)),(VLOOKUP($C154,'IMF COFOG FULL'!$B:$CM,87,FALSE)), " ")</f>
        <v>General government</v>
      </c>
      <c r="W154" s="15">
        <f t="shared" si="59"/>
        <v>9.2724214505119065</v>
      </c>
      <c r="X154" s="15">
        <f t="shared" si="60"/>
        <v>0.98571799436237373</v>
      </c>
      <c r="Y154" s="15">
        <f t="shared" si="61"/>
        <v>0</v>
      </c>
      <c r="Z154" s="15">
        <f t="shared" si="62"/>
        <v>1.7268128157449065</v>
      </c>
      <c r="AA154" s="15">
        <f t="shared" si="63"/>
        <v>0.21423677477519346</v>
      </c>
      <c r="AB154" s="15">
        <f t="shared" si="64"/>
        <v>0</v>
      </c>
      <c r="AC154" s="15">
        <f t="shared" si="65"/>
        <v>6.3456538656294486</v>
      </c>
      <c r="AG154" s="15" t="str">
        <f>IF(ISNUMBER(VLOOKUP(C154,'National budgets summary'!A:F,5, FALSE)),(VLOOKUP(C154,'National budgets summary'!A:F,5, FALSE)), " ")</f>
        <v xml:space="preserve"> </v>
      </c>
      <c r="AH154" t="str">
        <f>IF(ISNUMBER(VLOOKUP(C154,'National budgets summary'!A:F,5, FALSE)),(VLOOKUP(C154,'National budgets summary'!A:F,4, FALSE)), " ")</f>
        <v xml:space="preserve"> </v>
      </c>
      <c r="AI154" s="15" t="str">
        <f t="shared" si="46"/>
        <v xml:space="preserve"> </v>
      </c>
      <c r="AJ154" s="15" t="str">
        <f t="shared" si="51"/>
        <v xml:space="preserve"> </v>
      </c>
      <c r="AK154" s="15">
        <f t="shared" si="52"/>
        <v>0.98571799436237373</v>
      </c>
      <c r="AL154" s="15">
        <f t="shared" si="53"/>
        <v>1.7268128157449065</v>
      </c>
      <c r="AM154" s="15">
        <f t="shared" si="54"/>
        <v>0.21423677477519346</v>
      </c>
      <c r="AN154" s="15">
        <f t="shared" si="47"/>
        <v>9.2724214505119065</v>
      </c>
      <c r="AO154" s="15">
        <f t="shared" si="48"/>
        <v>16.576395889183299</v>
      </c>
      <c r="AP154">
        <f t="shared" si="49"/>
        <v>2018</v>
      </c>
      <c r="AQ154" t="str">
        <f t="shared" si="50"/>
        <v>IMF COFOG</v>
      </c>
      <c r="AR154" s="7">
        <f t="shared" si="55"/>
        <v>343.09594369135948</v>
      </c>
      <c r="AS154" s="7">
        <f t="shared" si="56"/>
        <v>601.04662386687528</v>
      </c>
      <c r="AT154" s="7">
        <f t="shared" si="57"/>
        <v>74.568759863651707</v>
      </c>
      <c r="AU154" s="7">
        <f t="shared" si="58"/>
        <v>3227.4242796239887</v>
      </c>
    </row>
    <row r="155" spans="1:47">
      <c r="A155">
        <v>152</v>
      </c>
      <c r="B155" t="s">
        <v>242</v>
      </c>
      <c r="C155" t="s">
        <v>500</v>
      </c>
      <c r="D155" t="s">
        <v>487</v>
      </c>
      <c r="E155" t="s">
        <v>622</v>
      </c>
      <c r="H155" t="str">
        <f>IF(ISNUMBER(VLOOKUP(C155,'OECD DAC'!B:C,2,FALSE)), "YES", " ")</f>
        <v xml:space="preserve"> </v>
      </c>
      <c r="I155">
        <v>19930</v>
      </c>
      <c r="J155">
        <v>2020</v>
      </c>
      <c r="K155" s="15">
        <f>IF(ISNUMBER(VLOOKUP(C155,'WEO GOV REV'!C:BL,58,FALSE)),(VLOOKUP(C155,'WEO GOV REV'!C:BL,58,FALSE)), " ")</f>
        <v>2.3290000000000002</v>
      </c>
      <c r="L155" s="15">
        <f>IF(ISNUMBER(VLOOKUP(C155,'WEO GOV REV'!C:BL,62,FALSE)),(VLOOKUP(C155,'WEO GOV REV'!C:BL,62,FALSE)), " ")</f>
        <v>17.838541666666668</v>
      </c>
      <c r="M155">
        <f>IF(ISNUMBER(VLOOKUP(C155,'WEO GOV REV'!C:BL,62,FALSE)),(VLOOKUP(C155,'WEO GOV REV'!C:BL,57,FALSE)), " ")</f>
        <v>2020</v>
      </c>
      <c r="N155" s="15">
        <f>IF(ISNUMBER(VLOOKUP($C155,'IMF COFOG FULL'!$B:$CM,79,FALSE)),(VLOOKUP($C155,'IMF COFOG FULL'!$B:$CM,79,FALSE)), " ")</f>
        <v>3.4954884879086698</v>
      </c>
      <c r="O155" s="15" t="str">
        <f>IF(ISNUMBER(VLOOKUP($C155,'IMF COFOG FULL'!$B:$CM,80,FALSE)),(VLOOKUP($C155,'IMF COFOG FULL'!$B:$CM,80,FALSE)), " ")</f>
        <v xml:space="preserve"> </v>
      </c>
      <c r="P155" s="15" t="str">
        <f>IF(ISNUMBER(VLOOKUP($C155,'IMF COFOG FULL'!$B:$CM,81,FALSE)),(VLOOKUP($C155,'IMF COFOG FULL'!$B:$CM,81,FALSE)), " ")</f>
        <v xml:space="preserve"> </v>
      </c>
      <c r="Q155" s="15" t="str">
        <f>IF(ISNUMBER(VLOOKUP($C155,'IMF COFOG FULL'!$B:$CM,82,FALSE)),(VLOOKUP($C155,'IMF COFOG FULL'!$B:$CM,82,FALSE)), " ")</f>
        <v xml:space="preserve"> </v>
      </c>
      <c r="R155" s="15" t="str">
        <f>IF(ISNUMBER(VLOOKUP($C155,'IMF COFOG FULL'!$B:$CM,83,FALSE)),(VLOOKUP($C155,'IMF COFOG FULL'!$B:$CM,83,FALSE)), " ")</f>
        <v xml:space="preserve"> </v>
      </c>
      <c r="S155" s="15" t="str">
        <f>IF(ISNUMBER(VLOOKUP($C155,'IMF COFOG FULL'!$B:$CM,84,FALSE)),(VLOOKUP($C155,'IMF COFOG FULL'!$B:$CM,84,FALSE)), " ")</f>
        <v xml:space="preserve"> </v>
      </c>
      <c r="T155" s="15" t="str">
        <f>IF(ISNUMBER(VLOOKUP($C155,'IMF COFOG FULL'!$B:$CM,85,FALSE)),(VLOOKUP($C155,'IMF COFOG FULL'!$B:$CM,85,FALSE)), " ")</f>
        <v xml:space="preserve"> </v>
      </c>
      <c r="U155" s="7">
        <f>IF(ISNUMBER(VLOOKUP($C155,'IMF COFOG FULL'!$B:$CM,79,FALSE)),(VLOOKUP($C155,'IMF COFOG FULL'!$B:$CM,86,FALSE)), " ")</f>
        <v>2020</v>
      </c>
      <c r="V155" s="15" t="str">
        <f>IF(ISNUMBER(VLOOKUP($C155,'IMF COFOG FULL'!$B:$CM,79,FALSE)),(VLOOKUP($C155,'IMF COFOG FULL'!$B:$CM,87,FALSE)), " ")</f>
        <v>Budgetary central government</v>
      </c>
      <c r="W155" s="15">
        <f t="shared" si="59"/>
        <v>19.595147143896778</v>
      </c>
      <c r="X155" s="15" t="str">
        <f t="shared" si="60"/>
        <v xml:space="preserve"> </v>
      </c>
      <c r="Y155" s="15" t="str">
        <f t="shared" si="61"/>
        <v xml:space="preserve"> </v>
      </c>
      <c r="Z155" s="15" t="str">
        <f t="shared" si="62"/>
        <v xml:space="preserve"> </v>
      </c>
      <c r="AA155" s="15" t="str">
        <f t="shared" si="63"/>
        <v xml:space="preserve"> </v>
      </c>
      <c r="AB155" s="15" t="str">
        <f t="shared" si="64"/>
        <v xml:space="preserve"> </v>
      </c>
      <c r="AC155" s="15" t="str">
        <f t="shared" si="65"/>
        <v xml:space="preserve"> </v>
      </c>
      <c r="AG155" s="15" t="str">
        <f>IF(ISNUMBER(VLOOKUP(C155,'National budgets summary'!A:F,5, FALSE)),(VLOOKUP(C155,'National budgets summary'!A:F,5, FALSE)), " ")</f>
        <v xml:space="preserve"> </v>
      </c>
      <c r="AH155" t="str">
        <f>IF(ISNUMBER(VLOOKUP(C155,'National budgets summary'!A:F,5, FALSE)),(VLOOKUP(C155,'National budgets summary'!A:F,4, FALSE)), " ")</f>
        <v xml:space="preserve"> </v>
      </c>
      <c r="AI155" s="15" t="str">
        <f t="shared" si="46"/>
        <v xml:space="preserve"> </v>
      </c>
      <c r="AJ155" s="15" t="str">
        <f t="shared" si="51"/>
        <v xml:space="preserve"> </v>
      </c>
      <c r="AK155" s="15" t="str">
        <f t="shared" si="52"/>
        <v/>
      </c>
      <c r="AL155" s="15" t="str">
        <f t="shared" si="53"/>
        <v/>
      </c>
      <c r="AM155" s="15" t="str">
        <f t="shared" si="54"/>
        <v/>
      </c>
      <c r="AN155" s="15">
        <f t="shared" si="47"/>
        <v>19.595147143896778</v>
      </c>
      <c r="AO155" s="15">
        <f t="shared" si="48"/>
        <v>3.4954884879086698</v>
      </c>
      <c r="AP155">
        <f t="shared" si="49"/>
        <v>2020</v>
      </c>
      <c r="AQ155" t="str">
        <f t="shared" si="50"/>
        <v>IMF COFOG</v>
      </c>
      <c r="AR155" s="7" t="str">
        <f t="shared" si="55"/>
        <v xml:space="preserve"> </v>
      </c>
      <c r="AS155" s="7" t="str">
        <f t="shared" si="56"/>
        <v xml:space="preserve"> </v>
      </c>
      <c r="AT155" s="7" t="str">
        <f t="shared" si="57"/>
        <v xml:space="preserve"> </v>
      </c>
      <c r="AU155" s="7">
        <f t="shared" si="58"/>
        <v>696.65085564019796</v>
      </c>
    </row>
    <row r="156" spans="1:47">
      <c r="A156">
        <v>153</v>
      </c>
      <c r="B156" t="s">
        <v>65</v>
      </c>
      <c r="C156" t="s">
        <v>443</v>
      </c>
      <c r="D156" t="s">
        <v>485</v>
      </c>
      <c r="E156" t="s">
        <v>622</v>
      </c>
      <c r="G156" t="s">
        <v>623</v>
      </c>
      <c r="H156" t="str">
        <f>IF(ISNUMBER(VLOOKUP(C156,'OECD DAC'!B:C,2,FALSE)), "YES", " ")</f>
        <v>YES</v>
      </c>
      <c r="I156">
        <v>20140</v>
      </c>
      <c r="J156">
        <v>2021</v>
      </c>
      <c r="K156" s="15">
        <f>IF(ISNUMBER(VLOOKUP(C156,'WEO GOV REV'!C:BL,58,FALSE)),(VLOOKUP(C156,'WEO GOV REV'!C:BL,58,FALSE)), " ")</f>
        <v>89.81</v>
      </c>
      <c r="L156" s="15">
        <f>IF(ISNUMBER(VLOOKUP(C156,'WEO GOV REV'!C:BL,62,FALSE)),(VLOOKUP(C156,'WEO GOV REV'!C:BL,62,FALSE)), " ")</f>
        <v>49.122135316961106</v>
      </c>
      <c r="M156">
        <f>IF(ISNUMBER(VLOOKUP(C156,'WEO GOV REV'!C:BL,62,FALSE)),(VLOOKUP(C156,'WEO GOV REV'!C:BL,57,FALSE)), " ")</f>
        <v>2021</v>
      </c>
      <c r="N156" s="15">
        <f>IF(ISNUMBER(VLOOKUP($C156,'IMF COFOG FULL'!$B:$CM,79,FALSE)),(VLOOKUP($C156,'IMF COFOG FULL'!$B:$CM,79,FALSE)), " ")</f>
        <v>2.36507266477718</v>
      </c>
      <c r="O156" s="15">
        <f>IF(ISNUMBER(VLOOKUP($C156,'IMF COFOG FULL'!$B:$CM,80,FALSE)),(VLOOKUP($C156,'IMF COFOG FULL'!$B:$CM,80,FALSE)), " ")</f>
        <v>1.5148043176747299</v>
      </c>
      <c r="P156" s="15">
        <f>IF(ISNUMBER(VLOOKUP($C156,'IMF COFOG FULL'!$B:$CM,81,FALSE)),(VLOOKUP($C156,'IMF COFOG FULL'!$B:$CM,81,FALSE)), " ")</f>
        <v>0.34493155641319401</v>
      </c>
      <c r="Q156" s="15">
        <f>IF(ISNUMBER(VLOOKUP($C156,'IMF COFOG FULL'!$B:$CM,82,FALSE)),(VLOOKUP($C156,'IMF COFOG FULL'!$B:$CM,82,FALSE)), " ")</f>
        <v>0.39920400410058499</v>
      </c>
      <c r="R156" s="15">
        <f>IF(ISNUMBER(VLOOKUP($C156,'IMF COFOG FULL'!$B:$CM,83,FALSE)),(VLOOKUP($C156,'IMF COFOG FULL'!$B:$CM,83,FALSE)), " ")</f>
        <v>8.6835916299825094E-2</v>
      </c>
      <c r="S156" s="15">
        <f>IF(ISNUMBER(VLOOKUP($C156,'IMF COFOG FULL'!$B:$CM,84,FALSE)),(VLOOKUP($C156,'IMF COFOG FULL'!$B:$CM,84,FALSE)), " ")</f>
        <v>0</v>
      </c>
      <c r="T156" s="15">
        <f>IF(ISNUMBER(VLOOKUP($C156,'IMF COFOG FULL'!$B:$CM,85,FALSE)),(VLOOKUP($C156,'IMF COFOG FULL'!$B:$CM,85,FALSE)), " ")</f>
        <v>1.929687028885E-2</v>
      </c>
      <c r="U156" s="7">
        <f>IF(ISNUMBER(VLOOKUP($C156,'IMF COFOG FULL'!$B:$CM,79,FALSE)),(VLOOKUP($C156,'IMF COFOG FULL'!$B:$CM,86,FALSE)), " ")</f>
        <v>2020</v>
      </c>
      <c r="V156" s="15" t="str">
        <f>IF(ISNUMBER(VLOOKUP($C156,'IMF COFOG FULL'!$B:$CM,79,FALSE)),(VLOOKUP($C156,'IMF COFOG FULL'!$B:$CM,87,FALSE)), " ")</f>
        <v>General government</v>
      </c>
      <c r="W156" s="15">
        <f t="shared" si="59"/>
        <v>4.814678045888118</v>
      </c>
      <c r="X156" s="15">
        <f t="shared" si="60"/>
        <v>3.0837509564688887</v>
      </c>
      <c r="Y156" s="15">
        <f t="shared" si="61"/>
        <v>0.70219169868638531</v>
      </c>
      <c r="Z156" s="15">
        <f t="shared" si="62"/>
        <v>0.81267640652165651</v>
      </c>
      <c r="AA156" s="15">
        <f t="shared" si="63"/>
        <v>0.17677553253643272</v>
      </c>
      <c r="AB156" s="15">
        <f t="shared" si="64"/>
        <v>0</v>
      </c>
      <c r="AC156" s="15">
        <f t="shared" si="65"/>
        <v>3.9283451674762784E-2</v>
      </c>
      <c r="AG156" s="15" t="str">
        <f>IF(ISNUMBER(VLOOKUP(C156,'National budgets summary'!A:F,5, FALSE)),(VLOOKUP(C156,'National budgets summary'!A:F,5, FALSE)), " ")</f>
        <v xml:space="preserve"> </v>
      </c>
      <c r="AH156" t="str">
        <f>IF(ISNUMBER(VLOOKUP(C156,'National budgets summary'!A:F,5, FALSE)),(VLOOKUP(C156,'National budgets summary'!A:F,4, FALSE)), " ")</f>
        <v xml:space="preserve"> </v>
      </c>
      <c r="AI156" s="15" t="str">
        <f t="shared" si="46"/>
        <v xml:space="preserve"> </v>
      </c>
      <c r="AJ156" s="15" t="str">
        <f t="shared" si="51"/>
        <v xml:space="preserve"> </v>
      </c>
      <c r="AK156" s="15">
        <f t="shared" si="52"/>
        <v>3.0837509564688887</v>
      </c>
      <c r="AL156" s="15">
        <f t="shared" si="53"/>
        <v>0.81267640652165651</v>
      </c>
      <c r="AM156" s="15">
        <f t="shared" si="54"/>
        <v>0.17677553253643272</v>
      </c>
      <c r="AN156" s="15">
        <f t="shared" si="47"/>
        <v>4.814678045888118</v>
      </c>
      <c r="AO156" s="15">
        <f t="shared" si="48"/>
        <v>2.36507266477718</v>
      </c>
      <c r="AP156">
        <f t="shared" si="49"/>
        <v>2020</v>
      </c>
      <c r="AQ156" t="str">
        <f t="shared" si="50"/>
        <v>IMF COFOG</v>
      </c>
      <c r="AR156" s="7">
        <f t="shared" si="55"/>
        <v>305.08158957969061</v>
      </c>
      <c r="AS156" s="7">
        <f t="shared" si="56"/>
        <v>80.399686425857837</v>
      </c>
      <c r="AT156" s="7">
        <f t="shared" si="57"/>
        <v>17.488753542784774</v>
      </c>
      <c r="AU156" s="7">
        <f t="shared" si="58"/>
        <v>476.32563468612409</v>
      </c>
    </row>
    <row r="157" spans="1:47">
      <c r="A157">
        <v>154</v>
      </c>
      <c r="B157" t="s">
        <v>76</v>
      </c>
      <c r="C157" t="s">
        <v>444</v>
      </c>
      <c r="D157" t="s">
        <v>485</v>
      </c>
      <c r="E157" t="s">
        <v>622</v>
      </c>
      <c r="G157" t="s">
        <v>623</v>
      </c>
      <c r="H157" t="str">
        <f>IF(ISNUMBER(VLOOKUP(C157,'OECD DAC'!B:C,2,FALSE)), "YES", " ")</f>
        <v>YES</v>
      </c>
      <c r="I157">
        <v>20250</v>
      </c>
      <c r="J157">
        <v>2021</v>
      </c>
      <c r="K157" s="15">
        <f>IF(ISNUMBER(VLOOKUP(C157,'WEO GOV REV'!C:BL,58,FALSE)),(VLOOKUP(C157,'WEO GOV REV'!C:BL,58,FALSE)), " ")</f>
        <v>36.881999999999998</v>
      </c>
      <c r="L157" s="15">
        <f>IF(ISNUMBER(VLOOKUP(C157,'WEO GOV REV'!C:BL,62,FALSE)),(VLOOKUP(C157,'WEO GOV REV'!C:BL,62,FALSE)), " ")</f>
        <v>40.054735607467499</v>
      </c>
      <c r="M157">
        <f>IF(ISNUMBER(VLOOKUP(C157,'WEO GOV REV'!C:BL,62,FALSE)),(VLOOKUP(C157,'WEO GOV REV'!C:BL,57,FALSE)), " ")</f>
        <v>2020</v>
      </c>
      <c r="N157" s="15">
        <f>IF(ISNUMBER(VLOOKUP($C157,'IMF COFOG FULL'!$B:$CM,79,FALSE)),(VLOOKUP($C157,'IMF COFOG FULL'!$B:$CM,79,FALSE)), " ")</f>
        <v>2.5029665098945602</v>
      </c>
      <c r="O157" s="15">
        <f>IF(ISNUMBER(VLOOKUP($C157,'IMF COFOG FULL'!$B:$CM,80,FALSE)),(VLOOKUP($C157,'IMF COFOG FULL'!$B:$CM,80,FALSE)), " ")</f>
        <v>1.1260777627534799</v>
      </c>
      <c r="P157" s="15">
        <f>IF(ISNUMBER(VLOOKUP($C157,'IMF COFOG FULL'!$B:$CM,81,FALSE)),(VLOOKUP($C157,'IMF COFOG FULL'!$B:$CM,81,FALSE)), " ")</f>
        <v>0.24532796536304799</v>
      </c>
      <c r="Q157" s="15">
        <f>IF(ISNUMBER(VLOOKUP($C157,'IMF COFOG FULL'!$B:$CM,82,FALSE)),(VLOOKUP($C157,'IMF COFOG FULL'!$B:$CM,82,FALSE)), " ")</f>
        <v>0.32723575015782802</v>
      </c>
      <c r="R157" s="15">
        <f>IF(ISNUMBER(VLOOKUP($C157,'IMF COFOG FULL'!$B:$CM,83,FALSE)),(VLOOKUP($C157,'IMF COFOG FULL'!$B:$CM,83,FALSE)), " ")</f>
        <v>0.21883143976215499</v>
      </c>
      <c r="S157" s="15">
        <f>IF(ISNUMBER(VLOOKUP($C157,'IMF COFOG FULL'!$B:$CM,84,FALSE)),(VLOOKUP($C157,'IMF COFOG FULL'!$B:$CM,84,FALSE)), " ")</f>
        <v>2.3264602634033601E-4</v>
      </c>
      <c r="T157" s="15">
        <f>IF(ISNUMBER(VLOOKUP($C157,'IMF COFOG FULL'!$B:$CM,85,FALSE)),(VLOOKUP($C157,'IMF COFOG FULL'!$B:$CM,85,FALSE)), " ")</f>
        <v>0.58526094583170396</v>
      </c>
      <c r="U157" s="7">
        <f>IF(ISNUMBER(VLOOKUP($C157,'IMF COFOG FULL'!$B:$CM,79,FALSE)),(VLOOKUP($C157,'IMF COFOG FULL'!$B:$CM,86,FALSE)), " ")</f>
        <v>2020</v>
      </c>
      <c r="V157" s="15" t="str">
        <f>IF(ISNUMBER(VLOOKUP($C157,'IMF COFOG FULL'!$B:$CM,79,FALSE)),(VLOOKUP($C157,'IMF COFOG FULL'!$B:$CM,87,FALSE)), " ")</f>
        <v>General government</v>
      </c>
      <c r="W157" s="15">
        <f t="shared" si="59"/>
        <v>6.2488653886606258</v>
      </c>
      <c r="X157" s="15">
        <f t="shared" si="60"/>
        <v>2.8113473867083587</v>
      </c>
      <c r="Y157" s="15">
        <f t="shared" si="61"/>
        <v>0.61248179932390046</v>
      </c>
      <c r="Z157" s="15">
        <f t="shared" si="62"/>
        <v>0.81697143969368924</v>
      </c>
      <c r="AA157" s="15">
        <f t="shared" si="63"/>
        <v>0.54633100541888924</v>
      </c>
      <c r="AB157" s="15">
        <f t="shared" si="64"/>
        <v>5.8082027708344984E-4</v>
      </c>
      <c r="AC157" s="15">
        <f t="shared" si="65"/>
        <v>1.4611529372386929</v>
      </c>
      <c r="AG157" s="15" t="str">
        <f>IF(ISNUMBER(VLOOKUP(C157,'National budgets summary'!A:F,5, FALSE)),(VLOOKUP(C157,'National budgets summary'!A:F,5, FALSE)), " ")</f>
        <v xml:space="preserve"> </v>
      </c>
      <c r="AH157" t="str">
        <f>IF(ISNUMBER(VLOOKUP(C157,'National budgets summary'!A:F,5, FALSE)),(VLOOKUP(C157,'National budgets summary'!A:F,4, FALSE)), " ")</f>
        <v xml:space="preserve"> </v>
      </c>
      <c r="AI157" s="15" t="str">
        <f t="shared" si="46"/>
        <v xml:space="preserve"> </v>
      </c>
      <c r="AJ157" s="15" t="str">
        <f t="shared" si="51"/>
        <v xml:space="preserve"> </v>
      </c>
      <c r="AK157" s="15">
        <f t="shared" si="52"/>
        <v>2.8113473867083587</v>
      </c>
      <c r="AL157" s="15">
        <f t="shared" si="53"/>
        <v>0.81697143969368924</v>
      </c>
      <c r="AM157" s="15">
        <f t="shared" si="54"/>
        <v>0.54633100541888924</v>
      </c>
      <c r="AN157" s="15">
        <f t="shared" si="47"/>
        <v>6.2488653886606258</v>
      </c>
      <c r="AO157" s="15">
        <f t="shared" si="48"/>
        <v>2.5029665098945602</v>
      </c>
      <c r="AP157">
        <f t="shared" si="49"/>
        <v>2020</v>
      </c>
      <c r="AQ157" t="str">
        <f t="shared" si="50"/>
        <v>IMF COFOG</v>
      </c>
      <c r="AR157" s="7">
        <f t="shared" si="55"/>
        <v>228.03074695757974</v>
      </c>
      <c r="AS157" s="7">
        <f t="shared" si="56"/>
        <v>66.265239406960177</v>
      </c>
      <c r="AT157" s="7">
        <f t="shared" si="57"/>
        <v>44.313366551836396</v>
      </c>
      <c r="AU157" s="7">
        <f t="shared" si="58"/>
        <v>506.85071825364849</v>
      </c>
    </row>
    <row r="158" spans="1:47">
      <c r="A158">
        <v>155</v>
      </c>
      <c r="B158" t="s">
        <v>243</v>
      </c>
      <c r="C158" t="s">
        <v>579</v>
      </c>
      <c r="D158" t="s">
        <v>497</v>
      </c>
      <c r="E158" t="s">
        <v>622</v>
      </c>
      <c r="H158" t="str">
        <f>IF(ISNUMBER(VLOOKUP(C158,'OECD DAC'!B:C,2,FALSE)), "YES", " ")</f>
        <v xml:space="preserve"> </v>
      </c>
      <c r="I158">
        <v>21160</v>
      </c>
      <c r="J158">
        <v>2020</v>
      </c>
      <c r="K158" s="15">
        <f>IF(ISNUMBER(VLOOKUP(C158,'WEO GOV REV'!C:BL,58,FALSE)),(VLOOKUP(C158,'WEO GOV REV'!C:BL,58,FALSE)), " ")</f>
        <v>21.463000000000001</v>
      </c>
      <c r="L158" s="15">
        <f>IF(ISNUMBER(VLOOKUP(C158,'WEO GOV REV'!C:BL,62,FALSE)),(VLOOKUP(C158,'WEO GOV REV'!C:BL,62,FALSE)), " ")</f>
        <v>20.809982741569545</v>
      </c>
      <c r="M158">
        <f>IF(ISNUMBER(VLOOKUP(C158,'WEO GOV REV'!C:BL,62,FALSE)),(VLOOKUP(C158,'WEO GOV REV'!C:BL,57,FALSE)), " ")</f>
        <v>2020</v>
      </c>
      <c r="N158" s="15" t="str">
        <f>IF(ISNUMBER(VLOOKUP($C158,'IMF COFOG FULL'!$B:$CM,79,FALSE)),(VLOOKUP($C158,'IMF COFOG FULL'!$B:$CM,79,FALSE)), " ")</f>
        <v xml:space="preserve"> </v>
      </c>
      <c r="O158" s="15" t="str">
        <f>IF(ISNUMBER(VLOOKUP($C158,'IMF COFOG FULL'!$B:$CM,80,FALSE)),(VLOOKUP($C158,'IMF COFOG FULL'!$B:$CM,80,FALSE)), " ")</f>
        <v xml:space="preserve"> </v>
      </c>
      <c r="P158" s="15" t="str">
        <f>IF(ISNUMBER(VLOOKUP($C158,'IMF COFOG FULL'!$B:$CM,81,FALSE)),(VLOOKUP($C158,'IMF COFOG FULL'!$B:$CM,81,FALSE)), " ")</f>
        <v xml:space="preserve"> </v>
      </c>
      <c r="Q158" s="15" t="str">
        <f>IF(ISNUMBER(VLOOKUP($C158,'IMF COFOG FULL'!$B:$CM,82,FALSE)),(VLOOKUP($C158,'IMF COFOG FULL'!$B:$CM,82,FALSE)), " ")</f>
        <v xml:space="preserve"> </v>
      </c>
      <c r="R158" s="15" t="str">
        <f>IF(ISNUMBER(VLOOKUP($C158,'IMF COFOG FULL'!$B:$CM,83,FALSE)),(VLOOKUP($C158,'IMF COFOG FULL'!$B:$CM,83,FALSE)), " ")</f>
        <v xml:space="preserve"> </v>
      </c>
      <c r="S158" s="15" t="str">
        <f>IF(ISNUMBER(VLOOKUP($C158,'IMF COFOG FULL'!$B:$CM,84,FALSE)),(VLOOKUP($C158,'IMF COFOG FULL'!$B:$CM,84,FALSE)), " ")</f>
        <v xml:space="preserve"> </v>
      </c>
      <c r="T158" s="15" t="str">
        <f>IF(ISNUMBER(VLOOKUP($C158,'IMF COFOG FULL'!$B:$CM,85,FALSE)),(VLOOKUP($C158,'IMF COFOG FULL'!$B:$CM,85,FALSE)), " ")</f>
        <v xml:space="preserve"> </v>
      </c>
      <c r="U158" s="7" t="str">
        <f>IF(ISNUMBER(VLOOKUP($C158,'IMF COFOG FULL'!$B:$CM,79,FALSE)),(VLOOKUP($C158,'IMF COFOG FULL'!$B:$CM,86,FALSE)), " ")</f>
        <v xml:space="preserve"> </v>
      </c>
      <c r="V158" s="15" t="str">
        <f>IF(ISNUMBER(VLOOKUP($C158,'IMF COFOG FULL'!$B:$CM,79,FALSE)),(VLOOKUP($C158,'IMF COFOG FULL'!$B:$CM,87,FALSE)), " ")</f>
        <v xml:space="preserve"> </v>
      </c>
      <c r="W158" s="15" t="str">
        <f t="shared" si="59"/>
        <v xml:space="preserve"> </v>
      </c>
      <c r="X158" s="15" t="str">
        <f t="shared" si="60"/>
        <v xml:space="preserve"> </v>
      </c>
      <c r="Y158" s="15" t="str">
        <f t="shared" si="61"/>
        <v xml:space="preserve"> </v>
      </c>
      <c r="Z158" s="15" t="str">
        <f t="shared" si="62"/>
        <v xml:space="preserve"> </v>
      </c>
      <c r="AA158" s="15" t="str">
        <f t="shared" si="63"/>
        <v xml:space="preserve"> </v>
      </c>
      <c r="AB158" s="15" t="str">
        <f t="shared" si="64"/>
        <v xml:space="preserve"> </v>
      </c>
      <c r="AC158" s="15" t="str">
        <f t="shared" si="65"/>
        <v xml:space="preserve"> </v>
      </c>
      <c r="AG158" s="15" t="str">
        <f>IF(ISNUMBER(VLOOKUP(C158,'National budgets summary'!A:F,5, FALSE)),(VLOOKUP(C158,'National budgets summary'!A:F,5, FALSE)), " ")</f>
        <v xml:space="preserve"> </v>
      </c>
      <c r="AH158" t="str">
        <f>IF(ISNUMBER(VLOOKUP(C158,'National budgets summary'!A:F,5, FALSE)),(VLOOKUP(C158,'National budgets summary'!A:F,4, FALSE)), " ")</f>
        <v xml:space="preserve"> </v>
      </c>
      <c r="AI158" s="15" t="str">
        <f t="shared" si="46"/>
        <v xml:space="preserve"> </v>
      </c>
      <c r="AJ158" s="15" t="str">
        <f t="shared" si="51"/>
        <v xml:space="preserve"> </v>
      </c>
      <c r="AK158" s="15" t="str">
        <f t="shared" si="52"/>
        <v/>
      </c>
      <c r="AL158" s="15" t="str">
        <f t="shared" si="53"/>
        <v/>
      </c>
      <c r="AM158" s="15" t="str">
        <f t="shared" si="54"/>
        <v/>
      </c>
      <c r="AN158" s="15" t="str">
        <f t="shared" si="47"/>
        <v xml:space="preserve"> </v>
      </c>
      <c r="AO158" s="15" t="str">
        <f t="shared" si="48"/>
        <v xml:space="preserve"> </v>
      </c>
      <c r="AP158" t="str">
        <f t="shared" si="49"/>
        <v xml:space="preserve"> </v>
      </c>
      <c r="AQ158" t="str">
        <f t="shared" si="50"/>
        <v xml:space="preserve"> </v>
      </c>
      <c r="AR158" s="7" t="str">
        <f t="shared" si="55"/>
        <v xml:space="preserve"> </v>
      </c>
      <c r="AS158" s="7" t="str">
        <f t="shared" si="56"/>
        <v xml:space="preserve"> </v>
      </c>
      <c r="AT158" s="7" t="str">
        <f t="shared" si="57"/>
        <v xml:space="preserve"> </v>
      </c>
      <c r="AU158" s="7" t="str">
        <f t="shared" si="58"/>
        <v xml:space="preserve"> </v>
      </c>
    </row>
    <row r="159" spans="1:47">
      <c r="A159">
        <v>156</v>
      </c>
      <c r="B159" t="s">
        <v>244</v>
      </c>
      <c r="C159" t="s">
        <v>536</v>
      </c>
      <c r="D159" t="s">
        <v>485</v>
      </c>
      <c r="E159" t="s">
        <v>622</v>
      </c>
      <c r="G159" t="s">
        <v>623</v>
      </c>
      <c r="H159" t="str">
        <f>IF(ISNUMBER(VLOOKUP(C159,'OECD DAC'!B:C,2,FALSE)), "YES", " ")</f>
        <v xml:space="preserve"> </v>
      </c>
      <c r="I159">
        <v>21610</v>
      </c>
      <c r="J159">
        <v>2021</v>
      </c>
      <c r="K159" s="15">
        <f>IF(ISNUMBER(VLOOKUP(C159,'WEO GOV REV'!C:BL,58,FALSE)),(VLOOKUP(C159,'WEO GOV REV'!C:BL,58,FALSE)), " ")</f>
        <v>17.282</v>
      </c>
      <c r="L159" s="15">
        <f>IF(ISNUMBER(VLOOKUP(C159,'WEO GOV REV'!C:BL,62,FALSE)),(VLOOKUP(C159,'WEO GOV REV'!C:BL,62,FALSE)), " ")</f>
        <v>34.908194800735252</v>
      </c>
      <c r="M159">
        <f>IF(ISNUMBER(VLOOKUP(C159,'WEO GOV REV'!C:BL,62,FALSE)),(VLOOKUP(C159,'WEO GOV REV'!C:BL,57,FALSE)), " ")</f>
        <v>2020</v>
      </c>
      <c r="N159" s="15">
        <f>IF(ISNUMBER(VLOOKUP($C159,'IMF COFOG FULL'!$B:$CM,79,FALSE)),(VLOOKUP($C159,'IMF COFOG FULL'!$B:$CM,79,FALSE)), " ")</f>
        <v>1.5397968922760601</v>
      </c>
      <c r="O159" s="15">
        <f>IF(ISNUMBER(VLOOKUP($C159,'IMF COFOG FULL'!$B:$CM,80,FALSE)),(VLOOKUP($C159,'IMF COFOG FULL'!$B:$CM,80,FALSE)), " ")</f>
        <v>0.51924495756156297</v>
      </c>
      <c r="P159" s="15">
        <f>IF(ISNUMBER(VLOOKUP($C159,'IMF COFOG FULL'!$B:$CM,81,FALSE)),(VLOOKUP($C159,'IMF COFOG FULL'!$B:$CM,81,FALSE)), " ")</f>
        <v>0.25521922268070302</v>
      </c>
      <c r="Q159" s="15">
        <f>IF(ISNUMBER(VLOOKUP($C159,'IMF COFOG FULL'!$B:$CM,82,FALSE)),(VLOOKUP($C159,'IMF COFOG FULL'!$B:$CM,82,FALSE)), " ")</f>
        <v>0.270702661164896</v>
      </c>
      <c r="R159" s="15">
        <f>IF(ISNUMBER(VLOOKUP($C159,'IMF COFOG FULL'!$B:$CM,83,FALSE)),(VLOOKUP($C159,'IMF COFOG FULL'!$B:$CM,83,FALSE)), " ")</f>
        <v>0.20513307868227301</v>
      </c>
      <c r="S159" s="15">
        <f>IF(ISNUMBER(VLOOKUP($C159,'IMF COFOG FULL'!$B:$CM,84,FALSE)),(VLOOKUP($C159,'IMF COFOG FULL'!$B:$CM,84,FALSE)), " ")</f>
        <v>7.4392444670619295E-4</v>
      </c>
      <c r="T159" s="15">
        <f>IF(ISNUMBER(VLOOKUP($C159,'IMF COFOG FULL'!$B:$CM,85,FALSE)),(VLOOKUP($C159,'IMF COFOG FULL'!$B:$CM,85,FALSE)), " ")</f>
        <v>0.288753047739921</v>
      </c>
      <c r="U159" s="7">
        <f>IF(ISNUMBER(VLOOKUP($C159,'IMF COFOG FULL'!$B:$CM,79,FALSE)),(VLOOKUP($C159,'IMF COFOG FULL'!$B:$CM,86,FALSE)), " ")</f>
        <v>2020</v>
      </c>
      <c r="V159" s="15" t="str">
        <f>IF(ISNUMBER(VLOOKUP($C159,'IMF COFOG FULL'!$B:$CM,79,FALSE)),(VLOOKUP($C159,'IMF COFOG FULL'!$B:$CM,87,FALSE)), " ")</f>
        <v>General government</v>
      </c>
      <c r="W159" s="15">
        <f t="shared" si="59"/>
        <v>4.4109897434273178</v>
      </c>
      <c r="X159" s="15">
        <f t="shared" si="60"/>
        <v>1.4874586340701479</v>
      </c>
      <c r="Y159" s="15">
        <f t="shared" si="61"/>
        <v>0.73111549920458074</v>
      </c>
      <c r="Z159" s="15">
        <f t="shared" si="62"/>
        <v>0.77547023760505174</v>
      </c>
      <c r="AA159" s="15">
        <f t="shared" si="63"/>
        <v>0.58763588278690482</v>
      </c>
      <c r="AB159" s="15">
        <f t="shared" si="64"/>
        <v>2.1310882758409613E-3</v>
      </c>
      <c r="AC159" s="15">
        <f t="shared" si="65"/>
        <v>0.82717840148479738</v>
      </c>
      <c r="AG159" s="15" t="str">
        <f>IF(ISNUMBER(VLOOKUP(C159,'National budgets summary'!A:F,5, FALSE)),(VLOOKUP(C159,'National budgets summary'!A:F,5, FALSE)), " ")</f>
        <v xml:space="preserve"> </v>
      </c>
      <c r="AH159" t="str">
        <f>IF(ISNUMBER(VLOOKUP(C159,'National budgets summary'!A:F,5, FALSE)),(VLOOKUP(C159,'National budgets summary'!A:F,4, FALSE)), " ")</f>
        <v xml:space="preserve"> </v>
      </c>
      <c r="AI159" s="15" t="str">
        <f t="shared" si="46"/>
        <v xml:space="preserve"> </v>
      </c>
      <c r="AJ159" s="15" t="str">
        <f t="shared" si="51"/>
        <v xml:space="preserve"> </v>
      </c>
      <c r="AK159" s="15">
        <f t="shared" si="52"/>
        <v>1.4874586340701479</v>
      </c>
      <c r="AL159" s="15">
        <f t="shared" si="53"/>
        <v>0.77547023760505174</v>
      </c>
      <c r="AM159" s="15">
        <f t="shared" si="54"/>
        <v>0.58763588278690482</v>
      </c>
      <c r="AN159" s="15">
        <f t="shared" si="47"/>
        <v>4.4109897434273178</v>
      </c>
      <c r="AO159" s="15">
        <f t="shared" si="48"/>
        <v>1.5397968922760601</v>
      </c>
      <c r="AP159">
        <f t="shared" si="49"/>
        <v>2020</v>
      </c>
      <c r="AQ159" t="str">
        <f t="shared" si="50"/>
        <v>IMF COFOG</v>
      </c>
      <c r="AR159" s="7">
        <f t="shared" si="55"/>
        <v>112.20883532905376</v>
      </c>
      <c r="AS159" s="7">
        <f t="shared" si="56"/>
        <v>58.498845077734025</v>
      </c>
      <c r="AT159" s="7">
        <f t="shared" si="57"/>
        <v>44.3292583032392</v>
      </c>
      <c r="AU159" s="7">
        <f t="shared" si="58"/>
        <v>332.75010842085663</v>
      </c>
    </row>
    <row r="160" spans="1:47">
      <c r="A160">
        <v>157</v>
      </c>
      <c r="B160" t="s">
        <v>245</v>
      </c>
      <c r="C160" t="s">
        <v>582</v>
      </c>
      <c r="D160" t="s">
        <v>487</v>
      </c>
      <c r="E160" t="s">
        <v>622</v>
      </c>
      <c r="H160" t="str">
        <f>IF(ISNUMBER(VLOOKUP(C160,'OECD DAC'!B:C,2,FALSE)), "YES", " ")</f>
        <v xml:space="preserve"> </v>
      </c>
      <c r="I160">
        <v>22270</v>
      </c>
      <c r="J160">
        <v>2020</v>
      </c>
      <c r="K160" s="15">
        <f>IF(ISNUMBER(VLOOKUP(C160,'WEO GOV REV'!C:BL,58,FALSE)),(VLOOKUP(C160,'WEO GOV REV'!C:BL,58,FALSE)), " ")</f>
        <v>962.48599999999999</v>
      </c>
      <c r="L160" s="15">
        <f>IF(ISNUMBER(VLOOKUP(C160,'WEO GOV REV'!C:BL,62,FALSE)),(VLOOKUP(C160,'WEO GOV REV'!C:BL,62,FALSE)), " ")</f>
        <v>30.791866350158998</v>
      </c>
      <c r="M160">
        <f>IF(ISNUMBER(VLOOKUP(C160,'WEO GOV REV'!C:BL,62,FALSE)),(VLOOKUP(C160,'WEO GOV REV'!C:BL,57,FALSE)), " ")</f>
        <v>2021</v>
      </c>
      <c r="N160" s="15" t="str">
        <f>IF(ISNUMBER(VLOOKUP($C160,'IMF COFOG FULL'!$B:$CM,79,FALSE)),(VLOOKUP($C160,'IMF COFOG FULL'!$B:$CM,79,FALSE)), " ")</f>
        <v xml:space="preserve"> </v>
      </c>
      <c r="O160" s="15" t="str">
        <f>IF(ISNUMBER(VLOOKUP($C160,'IMF COFOG FULL'!$B:$CM,80,FALSE)),(VLOOKUP($C160,'IMF COFOG FULL'!$B:$CM,80,FALSE)), " ")</f>
        <v xml:space="preserve"> </v>
      </c>
      <c r="P160" s="15" t="str">
        <f>IF(ISNUMBER(VLOOKUP($C160,'IMF COFOG FULL'!$B:$CM,81,FALSE)),(VLOOKUP($C160,'IMF COFOG FULL'!$B:$CM,81,FALSE)), " ")</f>
        <v xml:space="preserve"> </v>
      </c>
      <c r="Q160" s="15" t="str">
        <f>IF(ISNUMBER(VLOOKUP($C160,'IMF COFOG FULL'!$B:$CM,82,FALSE)),(VLOOKUP($C160,'IMF COFOG FULL'!$B:$CM,82,FALSE)), " ")</f>
        <v xml:space="preserve"> </v>
      </c>
      <c r="R160" s="15" t="str">
        <f>IF(ISNUMBER(VLOOKUP($C160,'IMF COFOG FULL'!$B:$CM,83,FALSE)),(VLOOKUP($C160,'IMF COFOG FULL'!$B:$CM,83,FALSE)), " ")</f>
        <v xml:space="preserve"> </v>
      </c>
      <c r="S160" s="15" t="str">
        <f>IF(ISNUMBER(VLOOKUP($C160,'IMF COFOG FULL'!$B:$CM,84,FALSE)),(VLOOKUP($C160,'IMF COFOG FULL'!$B:$CM,84,FALSE)), " ")</f>
        <v xml:space="preserve"> </v>
      </c>
      <c r="T160" s="15" t="str">
        <f>IF(ISNUMBER(VLOOKUP($C160,'IMF COFOG FULL'!$B:$CM,85,FALSE)),(VLOOKUP($C160,'IMF COFOG FULL'!$B:$CM,85,FALSE)), " ")</f>
        <v xml:space="preserve"> </v>
      </c>
      <c r="U160" s="7" t="str">
        <f>IF(ISNUMBER(VLOOKUP($C160,'IMF COFOG FULL'!$B:$CM,79,FALSE)),(VLOOKUP($C160,'IMF COFOG FULL'!$B:$CM,86,FALSE)), " ")</f>
        <v xml:space="preserve"> </v>
      </c>
      <c r="V160" s="15" t="str">
        <f>IF(ISNUMBER(VLOOKUP($C160,'IMF COFOG FULL'!$B:$CM,79,FALSE)),(VLOOKUP($C160,'IMF COFOG FULL'!$B:$CM,87,FALSE)), " ")</f>
        <v xml:space="preserve"> </v>
      </c>
      <c r="W160" s="15" t="str">
        <f t="shared" si="59"/>
        <v xml:space="preserve"> </v>
      </c>
      <c r="X160" s="15" t="str">
        <f t="shared" si="60"/>
        <v xml:space="preserve"> </v>
      </c>
      <c r="Y160" s="15" t="str">
        <f t="shared" si="61"/>
        <v xml:space="preserve"> </v>
      </c>
      <c r="Z160" s="15" t="str">
        <f t="shared" si="62"/>
        <v xml:space="preserve"> </v>
      </c>
      <c r="AA160" s="15" t="str">
        <f t="shared" si="63"/>
        <v xml:space="preserve"> </v>
      </c>
      <c r="AB160" s="15" t="str">
        <f t="shared" si="64"/>
        <v xml:space="preserve"> </v>
      </c>
      <c r="AC160" s="15" t="str">
        <f t="shared" si="65"/>
        <v xml:space="preserve"> </v>
      </c>
      <c r="AG160" s="15" t="str">
        <f>IF(ISNUMBER(VLOOKUP(C160,'National budgets summary'!A:F,5, FALSE)),(VLOOKUP(C160,'National budgets summary'!A:F,5, FALSE)), " ")</f>
        <v xml:space="preserve"> </v>
      </c>
      <c r="AH160" t="str">
        <f>IF(ISNUMBER(VLOOKUP(C160,'National budgets summary'!A:F,5, FALSE)),(VLOOKUP(C160,'National budgets summary'!A:F,4, FALSE)), " ")</f>
        <v xml:space="preserve"> </v>
      </c>
      <c r="AI160" s="15" t="str">
        <f t="shared" si="46"/>
        <v xml:space="preserve"> </v>
      </c>
      <c r="AJ160" s="15" t="str">
        <f t="shared" si="51"/>
        <v xml:space="preserve"> </v>
      </c>
      <c r="AK160" s="15" t="str">
        <f t="shared" si="52"/>
        <v/>
      </c>
      <c r="AL160" s="15" t="str">
        <f t="shared" si="53"/>
        <v/>
      </c>
      <c r="AM160" s="15" t="str">
        <f t="shared" si="54"/>
        <v/>
      </c>
      <c r="AN160" s="15" t="str">
        <f t="shared" si="47"/>
        <v xml:space="preserve"> </v>
      </c>
      <c r="AO160" s="15" t="str">
        <f t="shared" si="48"/>
        <v xml:space="preserve"> </v>
      </c>
      <c r="AP160" t="str">
        <f t="shared" si="49"/>
        <v xml:space="preserve"> </v>
      </c>
      <c r="AQ160" t="str">
        <f t="shared" si="50"/>
        <v xml:space="preserve"> </v>
      </c>
      <c r="AR160" s="7" t="str">
        <f t="shared" si="55"/>
        <v xml:space="preserve"> </v>
      </c>
      <c r="AS160" s="7" t="str">
        <f t="shared" si="56"/>
        <v xml:space="preserve"> </v>
      </c>
      <c r="AT160" s="7" t="str">
        <f t="shared" si="57"/>
        <v xml:space="preserve"> </v>
      </c>
      <c r="AU160" s="7" t="str">
        <f t="shared" si="58"/>
        <v xml:space="preserve"> </v>
      </c>
    </row>
    <row r="161" spans="1:47">
      <c r="A161">
        <v>158</v>
      </c>
      <c r="B161" t="s">
        <v>246</v>
      </c>
      <c r="C161" t="s">
        <v>498</v>
      </c>
      <c r="D161" t="s">
        <v>497</v>
      </c>
      <c r="E161" t="s">
        <v>622</v>
      </c>
      <c r="H161" t="str">
        <f>IF(ISNUMBER(VLOOKUP(C161,'OECD DAC'!B:C,2,FALSE)), "YES", " ")</f>
        <v xml:space="preserve"> </v>
      </c>
      <c r="I161">
        <v>23070</v>
      </c>
      <c r="J161">
        <v>2020</v>
      </c>
      <c r="K161" s="15">
        <f>IF(ISNUMBER(VLOOKUP(C161,'WEO GOV REV'!C:BL,58,FALSE)),(VLOOKUP(C161,'WEO GOV REV'!C:BL,58,FALSE)), " ")</f>
        <v>1.071</v>
      </c>
      <c r="L161" s="15">
        <f>IF(ISNUMBER(VLOOKUP(C161,'WEO GOV REV'!C:BL,62,FALSE)),(VLOOKUP(C161,'WEO GOV REV'!C:BL,62,FALSE)), " ")</f>
        <v>23.965092861937791</v>
      </c>
      <c r="M161">
        <f>IF(ISNUMBER(VLOOKUP(C161,'WEO GOV REV'!C:BL,62,FALSE)),(VLOOKUP(C161,'WEO GOV REV'!C:BL,57,FALSE)), " ")</f>
        <v>2020</v>
      </c>
      <c r="N161" s="15" t="str">
        <f>IF(ISNUMBER(VLOOKUP($C161,'IMF COFOG FULL'!$B:$CM,79,FALSE)),(VLOOKUP($C161,'IMF COFOG FULL'!$B:$CM,79,FALSE)), " ")</f>
        <v xml:space="preserve"> </v>
      </c>
      <c r="O161" s="15" t="str">
        <f>IF(ISNUMBER(VLOOKUP($C161,'IMF COFOG FULL'!$B:$CM,80,FALSE)),(VLOOKUP($C161,'IMF COFOG FULL'!$B:$CM,80,FALSE)), " ")</f>
        <v xml:space="preserve"> </v>
      </c>
      <c r="P161" s="15" t="str">
        <f>IF(ISNUMBER(VLOOKUP($C161,'IMF COFOG FULL'!$B:$CM,81,FALSE)),(VLOOKUP($C161,'IMF COFOG FULL'!$B:$CM,81,FALSE)), " ")</f>
        <v xml:space="preserve"> </v>
      </c>
      <c r="Q161" s="15" t="str">
        <f>IF(ISNUMBER(VLOOKUP($C161,'IMF COFOG FULL'!$B:$CM,82,FALSE)),(VLOOKUP($C161,'IMF COFOG FULL'!$B:$CM,82,FALSE)), " ")</f>
        <v xml:space="preserve"> </v>
      </c>
      <c r="R161" s="15" t="str">
        <f>IF(ISNUMBER(VLOOKUP($C161,'IMF COFOG FULL'!$B:$CM,83,FALSE)),(VLOOKUP($C161,'IMF COFOG FULL'!$B:$CM,83,FALSE)), " ")</f>
        <v xml:space="preserve"> </v>
      </c>
      <c r="S161" s="15" t="str">
        <f>IF(ISNUMBER(VLOOKUP($C161,'IMF COFOG FULL'!$B:$CM,84,FALSE)),(VLOOKUP($C161,'IMF COFOG FULL'!$B:$CM,84,FALSE)), " ")</f>
        <v xml:space="preserve"> </v>
      </c>
      <c r="T161" s="15" t="str">
        <f>IF(ISNUMBER(VLOOKUP($C161,'IMF COFOG FULL'!$B:$CM,85,FALSE)),(VLOOKUP($C161,'IMF COFOG FULL'!$B:$CM,85,FALSE)), " ")</f>
        <v xml:space="preserve"> </v>
      </c>
      <c r="U161" s="7" t="str">
        <f>IF(ISNUMBER(VLOOKUP($C161,'IMF COFOG FULL'!$B:$CM,79,FALSE)),(VLOOKUP($C161,'IMF COFOG FULL'!$B:$CM,86,FALSE)), " ")</f>
        <v xml:space="preserve"> </v>
      </c>
      <c r="V161" s="15" t="str">
        <f>IF(ISNUMBER(VLOOKUP($C161,'IMF COFOG FULL'!$B:$CM,79,FALSE)),(VLOOKUP($C161,'IMF COFOG FULL'!$B:$CM,87,FALSE)), " ")</f>
        <v xml:space="preserve"> </v>
      </c>
      <c r="W161" s="15" t="str">
        <f t="shared" si="59"/>
        <v xml:space="preserve"> </v>
      </c>
      <c r="X161" s="15" t="str">
        <f t="shared" si="60"/>
        <v xml:space="preserve"> </v>
      </c>
      <c r="Y161" s="15" t="str">
        <f t="shared" si="61"/>
        <v xml:space="preserve"> </v>
      </c>
      <c r="Z161" s="15" t="str">
        <f t="shared" si="62"/>
        <v xml:space="preserve"> </v>
      </c>
      <c r="AA161" s="15" t="str">
        <f t="shared" si="63"/>
        <v xml:space="preserve"> </v>
      </c>
      <c r="AB161" s="15" t="str">
        <f t="shared" si="64"/>
        <v xml:space="preserve"> </v>
      </c>
      <c r="AC161" s="15" t="str">
        <f t="shared" si="65"/>
        <v xml:space="preserve"> </v>
      </c>
      <c r="AG161" s="15" t="str">
        <f>IF(ISNUMBER(VLOOKUP(C161,'National budgets summary'!A:F,5, FALSE)),(VLOOKUP(C161,'National budgets summary'!A:F,5, FALSE)), " ")</f>
        <v xml:space="preserve"> </v>
      </c>
      <c r="AH161" t="str">
        <f>IF(ISNUMBER(VLOOKUP(C161,'National budgets summary'!A:F,5, FALSE)),(VLOOKUP(C161,'National budgets summary'!A:F,4, FALSE)), " ")</f>
        <v xml:space="preserve"> </v>
      </c>
      <c r="AI161" s="15" t="str">
        <f t="shared" si="46"/>
        <v xml:space="preserve"> </v>
      </c>
      <c r="AJ161" s="15" t="str">
        <f t="shared" si="51"/>
        <v xml:space="preserve"> </v>
      </c>
      <c r="AK161" s="15" t="str">
        <f t="shared" si="52"/>
        <v/>
      </c>
      <c r="AL161" s="15" t="str">
        <f t="shared" si="53"/>
        <v/>
      </c>
      <c r="AM161" s="15" t="str">
        <f t="shared" si="54"/>
        <v/>
      </c>
      <c r="AN161" s="15" t="str">
        <f t="shared" si="47"/>
        <v xml:space="preserve"> </v>
      </c>
      <c r="AO161" s="15" t="str">
        <f t="shared" si="48"/>
        <v xml:space="preserve"> </v>
      </c>
      <c r="AP161" t="str">
        <f t="shared" si="49"/>
        <v xml:space="preserve"> </v>
      </c>
      <c r="AQ161" t="str">
        <f t="shared" si="50"/>
        <v xml:space="preserve"> </v>
      </c>
      <c r="AR161" s="7" t="str">
        <f t="shared" si="55"/>
        <v xml:space="preserve"> </v>
      </c>
      <c r="AS161" s="7" t="str">
        <f t="shared" si="56"/>
        <v xml:space="preserve"> </v>
      </c>
      <c r="AT161" s="7" t="str">
        <f t="shared" si="57"/>
        <v xml:space="preserve"> </v>
      </c>
      <c r="AU161" s="7" t="str">
        <f t="shared" si="58"/>
        <v xml:space="preserve"> </v>
      </c>
    </row>
    <row r="162" spans="1:47">
      <c r="A162">
        <v>159</v>
      </c>
      <c r="B162" t="s">
        <v>247</v>
      </c>
      <c r="C162" t="s">
        <v>586</v>
      </c>
      <c r="D162" t="s">
        <v>497</v>
      </c>
      <c r="E162" t="s">
        <v>622</v>
      </c>
      <c r="H162" t="str">
        <f>IF(ISNUMBER(VLOOKUP(C162,'OECD DAC'!B:C,2,FALSE)), "YES", " ")</f>
        <v xml:space="preserve"> </v>
      </c>
      <c r="I162">
        <v>23600</v>
      </c>
      <c r="J162">
        <v>2021</v>
      </c>
      <c r="K162" s="15" t="str">
        <f>IF(ISNUMBER(VLOOKUP(C162,'WEO GOV REV'!C:BL,58,FALSE)),(VLOOKUP(C162,'WEO GOV REV'!C:BL,58,FALSE)), " ")</f>
        <v xml:space="preserve"> </v>
      </c>
      <c r="L162" s="15" t="str">
        <f>IF(ISNUMBER(VLOOKUP(C162,'WEO GOV REV'!C:BL,62,FALSE)),(VLOOKUP(C162,'WEO GOV REV'!C:BL,62,FALSE)), " ")</f>
        <v xml:space="preserve"> </v>
      </c>
      <c r="M162" t="str">
        <f>IF(ISNUMBER(VLOOKUP(C162,'WEO GOV REV'!C:BL,62,FALSE)),(VLOOKUP(C162,'WEO GOV REV'!C:BL,57,FALSE)), " ")</f>
        <v xml:space="preserve"> </v>
      </c>
      <c r="N162" s="15" t="str">
        <f>IF(ISNUMBER(VLOOKUP($C162,'IMF COFOG FULL'!$B:$CM,79,FALSE)),(VLOOKUP($C162,'IMF COFOG FULL'!$B:$CM,79,FALSE)), " ")</f>
        <v xml:space="preserve"> </v>
      </c>
      <c r="O162" s="15" t="str">
        <f>IF(ISNUMBER(VLOOKUP($C162,'IMF COFOG FULL'!$B:$CM,80,FALSE)),(VLOOKUP($C162,'IMF COFOG FULL'!$B:$CM,80,FALSE)), " ")</f>
        <v xml:space="preserve"> </v>
      </c>
      <c r="P162" s="15" t="str">
        <f>IF(ISNUMBER(VLOOKUP($C162,'IMF COFOG FULL'!$B:$CM,81,FALSE)),(VLOOKUP($C162,'IMF COFOG FULL'!$B:$CM,81,FALSE)), " ")</f>
        <v xml:space="preserve"> </v>
      </c>
      <c r="Q162" s="15" t="str">
        <f>IF(ISNUMBER(VLOOKUP($C162,'IMF COFOG FULL'!$B:$CM,82,FALSE)),(VLOOKUP($C162,'IMF COFOG FULL'!$B:$CM,82,FALSE)), " ")</f>
        <v xml:space="preserve"> </v>
      </c>
      <c r="R162" s="15" t="str">
        <f>IF(ISNUMBER(VLOOKUP($C162,'IMF COFOG FULL'!$B:$CM,83,FALSE)),(VLOOKUP($C162,'IMF COFOG FULL'!$B:$CM,83,FALSE)), " ")</f>
        <v xml:space="preserve"> </v>
      </c>
      <c r="S162" s="15" t="str">
        <f>IF(ISNUMBER(VLOOKUP($C162,'IMF COFOG FULL'!$B:$CM,84,FALSE)),(VLOOKUP($C162,'IMF COFOG FULL'!$B:$CM,84,FALSE)), " ")</f>
        <v xml:space="preserve"> </v>
      </c>
      <c r="T162" s="15" t="str">
        <f>IF(ISNUMBER(VLOOKUP($C162,'IMF COFOG FULL'!$B:$CM,85,FALSE)),(VLOOKUP($C162,'IMF COFOG FULL'!$B:$CM,85,FALSE)), " ")</f>
        <v xml:space="preserve"> </v>
      </c>
      <c r="U162" s="7" t="str">
        <f>IF(ISNUMBER(VLOOKUP($C162,'IMF COFOG FULL'!$B:$CM,79,FALSE)),(VLOOKUP($C162,'IMF COFOG FULL'!$B:$CM,86,FALSE)), " ")</f>
        <v xml:space="preserve"> </v>
      </c>
      <c r="V162" s="15" t="str">
        <f>IF(ISNUMBER(VLOOKUP($C162,'IMF COFOG FULL'!$B:$CM,79,FALSE)),(VLOOKUP($C162,'IMF COFOG FULL'!$B:$CM,87,FALSE)), " ")</f>
        <v xml:space="preserve"> </v>
      </c>
      <c r="W162" s="15" t="str">
        <f t="shared" si="59"/>
        <v xml:space="preserve"> </v>
      </c>
      <c r="X162" s="15" t="str">
        <f t="shared" si="60"/>
        <v xml:space="preserve"> </v>
      </c>
      <c r="Y162" s="15" t="str">
        <f t="shared" si="61"/>
        <v xml:space="preserve"> </v>
      </c>
      <c r="Z162" s="15" t="str">
        <f t="shared" si="62"/>
        <v xml:space="preserve"> </v>
      </c>
      <c r="AA162" s="15" t="str">
        <f t="shared" si="63"/>
        <v xml:space="preserve"> </v>
      </c>
      <c r="AB162" s="15" t="str">
        <f t="shared" si="64"/>
        <v xml:space="preserve"> </v>
      </c>
      <c r="AC162" s="15" t="str">
        <f t="shared" si="65"/>
        <v xml:space="preserve"> </v>
      </c>
      <c r="AG162" s="15" t="str">
        <f>IF(ISNUMBER(VLOOKUP(C162,'National budgets summary'!A:F,5, FALSE)),(VLOOKUP(C162,'National budgets summary'!A:F,5, FALSE)), " ")</f>
        <v xml:space="preserve"> </v>
      </c>
      <c r="AH162" t="str">
        <f>IF(ISNUMBER(VLOOKUP(C162,'National budgets summary'!A:F,5, FALSE)),(VLOOKUP(C162,'National budgets summary'!A:F,4, FALSE)), " ")</f>
        <v xml:space="preserve"> </v>
      </c>
      <c r="AI162" s="15" t="str">
        <f t="shared" si="46"/>
        <v xml:space="preserve"> </v>
      </c>
      <c r="AJ162" s="15" t="str">
        <f t="shared" si="51"/>
        <v xml:space="preserve"> </v>
      </c>
      <c r="AK162" s="15" t="str">
        <f t="shared" si="52"/>
        <v/>
      </c>
      <c r="AL162" s="15" t="str">
        <f t="shared" si="53"/>
        <v/>
      </c>
      <c r="AM162" s="15" t="str">
        <f t="shared" si="54"/>
        <v/>
      </c>
      <c r="AN162" s="15" t="str">
        <f t="shared" si="47"/>
        <v xml:space="preserve"> </v>
      </c>
      <c r="AO162" s="15" t="str">
        <f t="shared" si="48"/>
        <v xml:space="preserve"> </v>
      </c>
      <c r="AP162" t="str">
        <f t="shared" si="49"/>
        <v xml:space="preserve"> </v>
      </c>
      <c r="AQ162" t="str">
        <f t="shared" si="50"/>
        <v xml:space="preserve"> </v>
      </c>
      <c r="AR162" s="7" t="str">
        <f t="shared" si="55"/>
        <v xml:space="preserve"> </v>
      </c>
      <c r="AS162" s="7" t="str">
        <f t="shared" si="56"/>
        <v xml:space="preserve"> </v>
      </c>
      <c r="AT162" s="7" t="str">
        <f t="shared" si="57"/>
        <v xml:space="preserve"> </v>
      </c>
      <c r="AU162" s="7" t="str">
        <f t="shared" si="58"/>
        <v xml:space="preserve"> </v>
      </c>
    </row>
    <row r="163" spans="1:47">
      <c r="A163">
        <v>160</v>
      </c>
      <c r="B163" t="s">
        <v>62</v>
      </c>
      <c r="C163" t="s">
        <v>445</v>
      </c>
      <c r="D163" t="s">
        <v>485</v>
      </c>
      <c r="E163" t="s">
        <v>622</v>
      </c>
      <c r="G163" t="s">
        <v>623</v>
      </c>
      <c r="H163" t="str">
        <f>IF(ISNUMBER(VLOOKUP(C163,'OECD DAC'!B:C,2,FALSE)), "YES", " ")</f>
        <v>YES</v>
      </c>
      <c r="I163">
        <v>23730</v>
      </c>
      <c r="J163">
        <v>2021</v>
      </c>
      <c r="K163" s="15">
        <f>IF(ISNUMBER(VLOOKUP(C163,'WEO GOV REV'!C:BL,58,FALSE)),(VLOOKUP(C163,'WEO GOV REV'!C:BL,58,FALSE)), " ")</f>
        <v>95.75</v>
      </c>
      <c r="L163" s="15">
        <f>IF(ISNUMBER(VLOOKUP(C163,'WEO GOV REV'!C:BL,62,FALSE)),(VLOOKUP(C163,'WEO GOV REV'!C:BL,62,FALSE)), " ")</f>
        <v>45.319436950368711</v>
      </c>
      <c r="M163">
        <f>IF(ISNUMBER(VLOOKUP(C163,'WEO GOV REV'!C:BL,62,FALSE)),(VLOOKUP(C163,'WEO GOV REV'!C:BL,57,FALSE)), " ")</f>
        <v>2021</v>
      </c>
      <c r="N163" s="15">
        <f>IF(ISNUMBER(VLOOKUP($C163,'IMF COFOG FULL'!$B:$CM,79,FALSE)),(VLOOKUP($C163,'IMF COFOG FULL'!$B:$CM,79,FALSE)), " ")</f>
        <v>1.9066074059561899</v>
      </c>
      <c r="O163" s="15">
        <f>IF(ISNUMBER(VLOOKUP($C163,'IMF COFOG FULL'!$B:$CM,80,FALSE)),(VLOOKUP($C163,'IMF COFOG FULL'!$B:$CM,80,FALSE)), " ")</f>
        <v>1.13227806220875</v>
      </c>
      <c r="P163" s="15">
        <f>IF(ISNUMBER(VLOOKUP($C163,'IMF COFOG FULL'!$B:$CM,81,FALSE)),(VLOOKUP($C163,'IMF COFOG FULL'!$B:$CM,81,FALSE)), " ")</f>
        <v>0.132324541850669</v>
      </c>
      <c r="Q163" s="15">
        <f>IF(ISNUMBER(VLOOKUP($C163,'IMF COFOG FULL'!$B:$CM,82,FALSE)),(VLOOKUP($C163,'IMF COFOG FULL'!$B:$CM,82,FALSE)), " ")</f>
        <v>0.362179865219034</v>
      </c>
      <c r="R163" s="15">
        <f>IF(ISNUMBER(VLOOKUP($C163,'IMF COFOG FULL'!$B:$CM,83,FALSE)),(VLOOKUP($C163,'IMF COFOG FULL'!$B:$CM,83,FALSE)), " ")</f>
        <v>0.14832053560540501</v>
      </c>
      <c r="S163" s="15">
        <f>IF(ISNUMBER(VLOOKUP($C163,'IMF COFOG FULL'!$B:$CM,84,FALSE)),(VLOOKUP($C163,'IMF COFOG FULL'!$B:$CM,84,FALSE)), " ")</f>
        <v>6.5086492116453003E-3</v>
      </c>
      <c r="T163" s="15">
        <f>IF(ISNUMBER(VLOOKUP($C163,'IMF COFOG FULL'!$B:$CM,85,FALSE)),(VLOOKUP($C163,'IMF COFOG FULL'!$B:$CM,85,FALSE)), " ")</f>
        <v>0.124995751860685</v>
      </c>
      <c r="U163" s="7">
        <f>IF(ISNUMBER(VLOOKUP($C163,'IMF COFOG FULL'!$B:$CM,79,FALSE)),(VLOOKUP($C163,'IMF COFOG FULL'!$B:$CM,86,FALSE)), " ")</f>
        <v>2020</v>
      </c>
      <c r="V163" s="15" t="str">
        <f>IF(ISNUMBER(VLOOKUP($C163,'IMF COFOG FULL'!$B:$CM,79,FALSE)),(VLOOKUP($C163,'IMF COFOG FULL'!$B:$CM,87,FALSE)), " ")</f>
        <v>General government</v>
      </c>
      <c r="W163" s="15">
        <f t="shared" si="59"/>
        <v>4.2070412482048241</v>
      </c>
      <c r="X163" s="15">
        <f t="shared" si="60"/>
        <v>2.4984380619043374</v>
      </c>
      <c r="Y163" s="15">
        <f t="shared" si="61"/>
        <v>0.29198187522846625</v>
      </c>
      <c r="Z163" s="15">
        <f t="shared" si="62"/>
        <v>0.7991711494908309</v>
      </c>
      <c r="AA163" s="15">
        <f t="shared" si="63"/>
        <v>0.3272779751607181</v>
      </c>
      <c r="AB163" s="15">
        <f t="shared" si="64"/>
        <v>1.4361716847394212E-2</v>
      </c>
      <c r="AC163" s="15">
        <f t="shared" si="65"/>
        <v>0.2758104695730737</v>
      </c>
      <c r="AG163" s="15" t="str">
        <f>IF(ISNUMBER(VLOOKUP(C163,'National budgets summary'!A:F,5, FALSE)),(VLOOKUP(C163,'National budgets summary'!A:F,5, FALSE)), " ")</f>
        <v xml:space="preserve"> </v>
      </c>
      <c r="AH163" t="str">
        <f>IF(ISNUMBER(VLOOKUP(C163,'National budgets summary'!A:F,5, FALSE)),(VLOOKUP(C163,'National budgets summary'!A:F,4, FALSE)), " ")</f>
        <v xml:space="preserve"> </v>
      </c>
      <c r="AI163" s="15" t="str">
        <f t="shared" si="46"/>
        <v xml:space="preserve"> </v>
      </c>
      <c r="AJ163" s="15" t="str">
        <f t="shared" si="51"/>
        <v xml:space="preserve"> </v>
      </c>
      <c r="AK163" s="15">
        <f t="shared" si="52"/>
        <v>2.4984380619043374</v>
      </c>
      <c r="AL163" s="15">
        <f t="shared" si="53"/>
        <v>0.7991711494908309</v>
      </c>
      <c r="AM163" s="15">
        <f t="shared" si="54"/>
        <v>0.3272779751607181</v>
      </c>
      <c r="AN163" s="15">
        <f t="shared" si="47"/>
        <v>4.2070412482048241</v>
      </c>
      <c r="AO163" s="15">
        <f t="shared" si="48"/>
        <v>1.9066074059561899</v>
      </c>
      <c r="AP163">
        <f t="shared" si="49"/>
        <v>2020</v>
      </c>
      <c r="AQ163" t="str">
        <f t="shared" si="50"/>
        <v>IMF COFOG</v>
      </c>
      <c r="AR163" s="7">
        <f t="shared" si="55"/>
        <v>268.68958416213644</v>
      </c>
      <c r="AS163" s="7">
        <f t="shared" si="56"/>
        <v>85.945282016476767</v>
      </c>
      <c r="AT163" s="7">
        <f t="shared" si="57"/>
        <v>35.196463099162614</v>
      </c>
      <c r="AU163" s="7">
        <f t="shared" si="58"/>
        <v>452.43793743340393</v>
      </c>
    </row>
    <row r="164" spans="1:47">
      <c r="A164">
        <v>161</v>
      </c>
      <c r="B164" t="s">
        <v>70</v>
      </c>
      <c r="C164" t="s">
        <v>446</v>
      </c>
      <c r="D164" t="s">
        <v>485</v>
      </c>
      <c r="E164" t="s">
        <v>622</v>
      </c>
      <c r="H164" t="str">
        <f>IF(ISNUMBER(VLOOKUP(C164,'OECD DAC'!B:C,2,FALSE)), "YES", " ")</f>
        <v>YES</v>
      </c>
      <c r="I164">
        <v>24070</v>
      </c>
      <c r="J164">
        <v>2021</v>
      </c>
      <c r="K164" s="15">
        <f>IF(ISNUMBER(VLOOKUP(C164,'WEO GOV REV'!C:BL,58,FALSE)),(VLOOKUP(C164,'WEO GOV REV'!C:BL,58,FALSE)), " ")</f>
        <v>2371.1</v>
      </c>
      <c r="L164" s="15">
        <f>IF(ISNUMBER(VLOOKUP(C164,'WEO GOV REV'!C:BL,62,FALSE)),(VLOOKUP(C164,'WEO GOV REV'!C:BL,62,FALSE)), " ")</f>
        <v>41.639227379930063</v>
      </c>
      <c r="M164">
        <f>IF(ISNUMBER(VLOOKUP(C164,'WEO GOV REV'!C:BL,62,FALSE)),(VLOOKUP(C164,'WEO GOV REV'!C:BL,57,FALSE)), " ")</f>
        <v>2020</v>
      </c>
      <c r="N164" s="15">
        <f>IF(ISNUMBER(VLOOKUP($C164,'IMF COFOG FULL'!$B:$CM,79,FALSE)),(VLOOKUP($C164,'IMF COFOG FULL'!$B:$CM,79,FALSE)), " ")</f>
        <v>2.1377358957739601</v>
      </c>
      <c r="O164" s="15">
        <f>IF(ISNUMBER(VLOOKUP($C164,'IMF COFOG FULL'!$B:$CM,80,FALSE)),(VLOOKUP($C164,'IMF COFOG FULL'!$B:$CM,80,FALSE)), " ")</f>
        <v>1.0275307074761599</v>
      </c>
      <c r="P164" s="15">
        <f>IF(ISNUMBER(VLOOKUP($C164,'IMF COFOG FULL'!$B:$CM,81,FALSE)),(VLOOKUP($C164,'IMF COFOG FULL'!$B:$CM,81,FALSE)), " ")</f>
        <v>0.29814089536743699</v>
      </c>
      <c r="Q164" s="15">
        <f>IF(ISNUMBER(VLOOKUP($C164,'IMF COFOG FULL'!$B:$CM,82,FALSE)),(VLOOKUP($C164,'IMF COFOG FULL'!$B:$CM,82,FALSE)), " ")</f>
        <v>0.32723851956486</v>
      </c>
      <c r="R164" s="15">
        <f>IF(ISNUMBER(VLOOKUP($C164,'IMF COFOG FULL'!$B:$CM,83,FALSE)),(VLOOKUP($C164,'IMF COFOG FULL'!$B:$CM,83,FALSE)), " ")</f>
        <v>0.19976739461067</v>
      </c>
      <c r="S164" s="15">
        <f>IF(ISNUMBER(VLOOKUP($C164,'IMF COFOG FULL'!$B:$CM,84,FALSE)),(VLOOKUP($C164,'IMF COFOG FULL'!$B:$CM,84,FALSE)), " ")</f>
        <v>1.2994714487684299E-3</v>
      </c>
      <c r="T164" s="15">
        <f>IF(ISNUMBER(VLOOKUP($C164,'IMF COFOG FULL'!$B:$CM,85,FALSE)),(VLOOKUP($C164,'IMF COFOG FULL'!$B:$CM,85,FALSE)), " ")</f>
        <v>0.28375890730606801</v>
      </c>
      <c r="U164" s="7">
        <f>IF(ISNUMBER(VLOOKUP($C164,'IMF COFOG FULL'!$B:$CM,79,FALSE)),(VLOOKUP($C164,'IMF COFOG FULL'!$B:$CM,86,FALSE)), " ")</f>
        <v>2020</v>
      </c>
      <c r="V164" s="15" t="str">
        <f>IF(ISNUMBER(VLOOKUP($C164,'IMF COFOG FULL'!$B:$CM,79,FALSE)),(VLOOKUP($C164,'IMF COFOG FULL'!$B:$CM,87,FALSE)), " ")</f>
        <v>General government</v>
      </c>
      <c r="W164" s="15">
        <f t="shared" si="59"/>
        <v>5.1339470741581055</v>
      </c>
      <c r="X164" s="15">
        <f t="shared" si="60"/>
        <v>2.4676987834107256</v>
      </c>
      <c r="Y164" s="15">
        <f t="shared" si="61"/>
        <v>0.71600967195452736</v>
      </c>
      <c r="Z164" s="15">
        <f t="shared" si="62"/>
        <v>0.78588998921384312</v>
      </c>
      <c r="AA164" s="15">
        <f t="shared" si="63"/>
        <v>0.47975768807602098</v>
      </c>
      <c r="AB164" s="15">
        <f t="shared" si="64"/>
        <v>3.120786648877087E-3</v>
      </c>
      <c r="AC164" s="15">
        <f t="shared" si="65"/>
        <v>0.68147015485411877</v>
      </c>
      <c r="AG164" s="15" t="str">
        <f>IF(ISNUMBER(VLOOKUP(C164,'National budgets summary'!A:F,5, FALSE)),(VLOOKUP(C164,'National budgets summary'!A:F,5, FALSE)), " ")</f>
        <v xml:space="preserve"> </v>
      </c>
      <c r="AH164" t="str">
        <f>IF(ISNUMBER(VLOOKUP(C164,'National budgets summary'!A:F,5, FALSE)),(VLOOKUP(C164,'National budgets summary'!A:F,4, FALSE)), " ")</f>
        <v xml:space="preserve"> </v>
      </c>
      <c r="AI164" s="15" t="str">
        <f t="shared" si="46"/>
        <v xml:space="preserve"> </v>
      </c>
      <c r="AJ164" s="15" t="str">
        <f t="shared" si="51"/>
        <v xml:space="preserve"> </v>
      </c>
      <c r="AK164" s="15">
        <f t="shared" si="52"/>
        <v>2.4676987834107256</v>
      </c>
      <c r="AL164" s="15">
        <f t="shared" si="53"/>
        <v>0.78588998921384312</v>
      </c>
      <c r="AM164" s="15">
        <f t="shared" si="54"/>
        <v>0.47975768807602098</v>
      </c>
      <c r="AN164" s="15">
        <f t="shared" si="47"/>
        <v>5.1339470741581055</v>
      </c>
      <c r="AO164" s="15">
        <f t="shared" si="48"/>
        <v>2.1377358957739601</v>
      </c>
      <c r="AP164">
        <f t="shared" si="49"/>
        <v>2020</v>
      </c>
      <c r="AQ164" t="str">
        <f t="shared" si="50"/>
        <v>IMF COFOG</v>
      </c>
      <c r="AR164" s="7">
        <f t="shared" si="55"/>
        <v>247.32664128951166</v>
      </c>
      <c r="AS164" s="7">
        <f t="shared" si="56"/>
        <v>78.766311659261788</v>
      </c>
      <c r="AT164" s="7">
        <f t="shared" si="57"/>
        <v>48.084011882788261</v>
      </c>
      <c r="AU164" s="7">
        <f t="shared" si="58"/>
        <v>514.55303011279216</v>
      </c>
    </row>
    <row r="165" spans="1:47">
      <c r="A165">
        <v>162</v>
      </c>
      <c r="B165" t="s">
        <v>248</v>
      </c>
      <c r="C165" t="s">
        <v>515</v>
      </c>
      <c r="D165" t="s">
        <v>485</v>
      </c>
      <c r="E165" t="s">
        <v>622</v>
      </c>
      <c r="G165" t="s">
        <v>623</v>
      </c>
      <c r="H165" t="str">
        <f>IF(ISNUMBER(VLOOKUP(C165,'OECD DAC'!B:C,2,FALSE)), "YES", " ")</f>
        <v xml:space="preserve"> </v>
      </c>
      <c r="I165">
        <v>25970</v>
      </c>
      <c r="J165">
        <v>2021</v>
      </c>
      <c r="K165" s="15">
        <f>IF(ISNUMBER(VLOOKUP(C165,'WEO GOV REV'!C:BL,58,FALSE)),(VLOOKUP(C165,'WEO GOV REV'!C:BL,58,FALSE)), " ")</f>
        <v>12.387</v>
      </c>
      <c r="L165" s="15">
        <f>IF(ISNUMBER(VLOOKUP(C165,'WEO GOV REV'!C:BL,62,FALSE)),(VLOOKUP(C165,'WEO GOV REV'!C:BL,62,FALSE)), " ")</f>
        <v>40.401174168297452</v>
      </c>
      <c r="M165">
        <f>IF(ISNUMBER(VLOOKUP(C165,'WEO GOV REV'!C:BL,62,FALSE)),(VLOOKUP(C165,'WEO GOV REV'!C:BL,57,FALSE)), " ")</f>
        <v>2021</v>
      </c>
      <c r="N165" s="15">
        <f>IF(ISNUMBER(VLOOKUP($C165,'IMF COFOG FULL'!$B:$CM,79,FALSE)),(VLOOKUP($C165,'IMF COFOG FULL'!$B:$CM,79,FALSE)), " ")</f>
        <v>2.0153146022362201</v>
      </c>
      <c r="O165" s="15">
        <f>IF(ISNUMBER(VLOOKUP($C165,'IMF COFOG FULL'!$B:$CM,80,FALSE)),(VLOOKUP($C165,'IMF COFOG FULL'!$B:$CM,80,FALSE)), " ")</f>
        <v>1.07957958629407</v>
      </c>
      <c r="P165" s="15">
        <f>IF(ISNUMBER(VLOOKUP($C165,'IMF COFOG FULL'!$B:$CM,81,FALSE)),(VLOOKUP($C165,'IMF COFOG FULL'!$B:$CM,81,FALSE)), " ")</f>
        <v>0.292160992631879</v>
      </c>
      <c r="Q165" s="15">
        <f>IF(ISNUMBER(VLOOKUP($C165,'IMF COFOG FULL'!$B:$CM,82,FALSE)),(VLOOKUP($C165,'IMF COFOG FULL'!$B:$CM,82,FALSE)), " ")</f>
        <v>0.322718647473478</v>
      </c>
      <c r="R165" s="15">
        <f>IF(ISNUMBER(VLOOKUP($C165,'IMF COFOG FULL'!$B:$CM,83,FALSE)),(VLOOKUP($C165,'IMF COFOG FULL'!$B:$CM,83,FALSE)), " ")</f>
        <v>0.16881241028347099</v>
      </c>
      <c r="S165" s="15">
        <f>IF(ISNUMBER(VLOOKUP($C165,'IMF COFOG FULL'!$B:$CM,84,FALSE)),(VLOOKUP($C165,'IMF COFOG FULL'!$B:$CM,84,FALSE)), " ")</f>
        <v>5.5898149100486998E-3</v>
      </c>
      <c r="T165" s="15">
        <f>IF(ISNUMBER(VLOOKUP($C165,'IMF COFOG FULL'!$B:$CM,85,FALSE)),(VLOOKUP($C165,'IMF COFOG FULL'!$B:$CM,85,FALSE)), " ")</f>
        <v>0.146080496315939</v>
      </c>
      <c r="U165" s="7">
        <f>IF(ISNUMBER(VLOOKUP($C165,'IMF COFOG FULL'!$B:$CM,79,FALSE)),(VLOOKUP($C165,'IMF COFOG FULL'!$B:$CM,86,FALSE)), " ")</f>
        <v>2020</v>
      </c>
      <c r="V165" s="15" t="str">
        <f>IF(ISNUMBER(VLOOKUP($C165,'IMF COFOG FULL'!$B:$CM,79,FALSE)),(VLOOKUP($C165,'IMF COFOG FULL'!$B:$CM,87,FALSE)), " ")</f>
        <v>General government</v>
      </c>
      <c r="W165" s="15">
        <f t="shared" si="59"/>
        <v>4.9882575042029957</v>
      </c>
      <c r="X165" s="15">
        <f t="shared" si="60"/>
        <v>2.67214903655253</v>
      </c>
      <c r="Y165" s="15">
        <f t="shared" si="61"/>
        <v>0.72314975652647218</v>
      </c>
      <c r="Z165" s="15">
        <f t="shared" si="62"/>
        <v>0.79878531779582118</v>
      </c>
      <c r="AA165" s="15">
        <f t="shared" si="63"/>
        <v>0.41784035676848474</v>
      </c>
      <c r="AB165" s="15">
        <f t="shared" si="64"/>
        <v>1.383577340292994E-2</v>
      </c>
      <c r="AC165" s="15">
        <f t="shared" si="65"/>
        <v>0.36157487826323487</v>
      </c>
      <c r="AG165" s="15" t="str">
        <f>IF(ISNUMBER(VLOOKUP(C165,'National budgets summary'!A:F,5, FALSE)),(VLOOKUP(C165,'National budgets summary'!A:F,5, FALSE)), " ")</f>
        <v xml:space="preserve"> </v>
      </c>
      <c r="AH165" t="str">
        <f>IF(ISNUMBER(VLOOKUP(C165,'National budgets summary'!A:F,5, FALSE)),(VLOOKUP(C165,'National budgets summary'!A:F,4, FALSE)), " ")</f>
        <v xml:space="preserve"> </v>
      </c>
      <c r="AI165" s="15" t="str">
        <f t="shared" si="46"/>
        <v xml:space="preserve"> </v>
      </c>
      <c r="AJ165" s="15" t="str">
        <f t="shared" si="51"/>
        <v xml:space="preserve"> </v>
      </c>
      <c r="AK165" s="15">
        <f t="shared" si="52"/>
        <v>2.67214903655253</v>
      </c>
      <c r="AL165" s="15">
        <f t="shared" si="53"/>
        <v>0.79878531779582118</v>
      </c>
      <c r="AM165" s="15">
        <f t="shared" si="54"/>
        <v>0.41784035676848474</v>
      </c>
      <c r="AN165" s="15">
        <f t="shared" si="47"/>
        <v>4.9882575042029957</v>
      </c>
      <c r="AO165" s="15">
        <f t="shared" si="48"/>
        <v>2.0153146022362201</v>
      </c>
      <c r="AP165">
        <f t="shared" si="49"/>
        <v>2020</v>
      </c>
      <c r="AQ165" t="str">
        <f t="shared" si="50"/>
        <v>IMF COFOG</v>
      </c>
      <c r="AR165" s="7">
        <f t="shared" si="55"/>
        <v>280.36681856056993</v>
      </c>
      <c r="AS165" s="7">
        <f t="shared" si="56"/>
        <v>83.810032748862227</v>
      </c>
      <c r="AT165" s="7">
        <f t="shared" si="57"/>
        <v>43.84058295061741</v>
      </c>
      <c r="AU165" s="7">
        <f t="shared" si="58"/>
        <v>523.3772022007463</v>
      </c>
    </row>
    <row r="166" spans="1:47">
      <c r="A166">
        <v>163</v>
      </c>
      <c r="B166" t="s">
        <v>249</v>
      </c>
      <c r="C166" t="s">
        <v>499</v>
      </c>
      <c r="D166" t="s">
        <v>497</v>
      </c>
      <c r="E166" t="s">
        <v>622</v>
      </c>
      <c r="H166" t="str">
        <f>IF(ISNUMBER(VLOOKUP(C166,'OECD DAC'!B:C,2,FALSE)), "YES", " ")</f>
        <v xml:space="preserve"> </v>
      </c>
      <c r="I166">
        <v>27220</v>
      </c>
      <c r="J166">
        <v>2021</v>
      </c>
      <c r="K166" s="15">
        <f>IF(ISNUMBER(VLOOKUP(C166,'WEO GOV REV'!C:BL,58,FALSE)),(VLOOKUP(C166,'WEO GOV REV'!C:BL,58,FALSE)), " ")</f>
        <v>1.891</v>
      </c>
      <c r="L166" s="15">
        <f>IF(ISNUMBER(VLOOKUP(C166,'WEO GOV REV'!C:BL,62,FALSE)),(VLOOKUP(C166,'WEO GOV REV'!C:BL,62,FALSE)), " ")</f>
        <v>16.996225058421714</v>
      </c>
      <c r="M166">
        <f>IF(ISNUMBER(VLOOKUP(C166,'WEO GOV REV'!C:BL,62,FALSE)),(VLOOKUP(C166,'WEO GOV REV'!C:BL,57,FALSE)), " ")</f>
        <v>2021</v>
      </c>
      <c r="N166" s="15">
        <f>IF(ISNUMBER(VLOOKUP($C166,'IMF COFOG FULL'!$B:$CM,79,FALSE)),(VLOOKUP($C166,'IMF COFOG FULL'!$B:$CM,79,FALSE)), " ")</f>
        <v>2.2073975841614</v>
      </c>
      <c r="O166" s="15">
        <f>IF(ISNUMBER(VLOOKUP($C166,'IMF COFOG FULL'!$B:$CM,80,FALSE)),(VLOOKUP($C166,'IMF COFOG FULL'!$B:$CM,80,FALSE)), " ")</f>
        <v>1.66210225649401</v>
      </c>
      <c r="P166" s="15">
        <f>IF(ISNUMBER(VLOOKUP($C166,'IMF COFOG FULL'!$B:$CM,81,FALSE)),(VLOOKUP($C166,'IMF COFOG FULL'!$B:$CM,81,FALSE)), " ")</f>
        <v>0</v>
      </c>
      <c r="Q166" s="15">
        <f>IF(ISNUMBER(VLOOKUP($C166,'IMF COFOG FULL'!$B:$CM,82,FALSE)),(VLOOKUP($C166,'IMF COFOG FULL'!$B:$CM,82,FALSE)), " ")</f>
        <v>0.311857155836399</v>
      </c>
      <c r="R166" s="15">
        <f>IF(ISNUMBER(VLOOKUP($C166,'IMF COFOG FULL'!$B:$CM,83,FALSE)),(VLOOKUP($C166,'IMF COFOG FULL'!$B:$CM,83,FALSE)), " ")</f>
        <v>0.23343817183099499</v>
      </c>
      <c r="S166" s="15">
        <f>IF(ISNUMBER(VLOOKUP($C166,'IMF COFOG FULL'!$B:$CM,84,FALSE)),(VLOOKUP($C166,'IMF COFOG FULL'!$B:$CM,84,FALSE)), " ")</f>
        <v>0</v>
      </c>
      <c r="T166" s="15">
        <f>IF(ISNUMBER(VLOOKUP($C166,'IMF COFOG FULL'!$B:$CM,85,FALSE)),(VLOOKUP($C166,'IMF COFOG FULL'!$B:$CM,85,FALSE)), " ")</f>
        <v>0</v>
      </c>
      <c r="U166" s="7">
        <f>IF(ISNUMBER(VLOOKUP($C166,'IMF COFOG FULL'!$B:$CM,79,FALSE)),(VLOOKUP($C166,'IMF COFOG FULL'!$B:$CM,86,FALSE)), " ")</f>
        <v>2020</v>
      </c>
      <c r="V166" s="15" t="str">
        <f>IF(ISNUMBER(VLOOKUP($C166,'IMF COFOG FULL'!$B:$CM,79,FALSE)),(VLOOKUP($C166,'IMF COFOG FULL'!$B:$CM,87,FALSE)), " ")</f>
        <v>Budgetary central government</v>
      </c>
      <c r="W166" s="15">
        <f t="shared" si="59"/>
        <v>12.987575632670406</v>
      </c>
      <c r="X166" s="15">
        <f t="shared" si="60"/>
        <v>9.7792436307521715</v>
      </c>
      <c r="Y166" s="15">
        <f t="shared" si="61"/>
        <v>0</v>
      </c>
      <c r="Z166" s="15">
        <f t="shared" si="62"/>
        <v>1.8348612986968671</v>
      </c>
      <c r="AA166" s="15">
        <f t="shared" si="63"/>
        <v>1.3734707032213909</v>
      </c>
      <c r="AB166" s="15">
        <f t="shared" si="64"/>
        <v>0</v>
      </c>
      <c r="AC166" s="15">
        <f t="shared" si="65"/>
        <v>0</v>
      </c>
      <c r="AG166" s="15" t="str">
        <f>IF(ISNUMBER(VLOOKUP(C166,'National budgets summary'!A:F,5, FALSE)),(VLOOKUP(C166,'National budgets summary'!A:F,5, FALSE)), " ")</f>
        <v xml:space="preserve"> </v>
      </c>
      <c r="AH166" t="str">
        <f>IF(ISNUMBER(VLOOKUP(C166,'National budgets summary'!A:F,5, FALSE)),(VLOOKUP(C166,'National budgets summary'!A:F,4, FALSE)), " ")</f>
        <v xml:space="preserve"> </v>
      </c>
      <c r="AI166" s="15" t="str">
        <f t="shared" si="46"/>
        <v xml:space="preserve"> </v>
      </c>
      <c r="AJ166" s="15" t="str">
        <f t="shared" si="51"/>
        <v xml:space="preserve"> </v>
      </c>
      <c r="AK166" s="15">
        <f t="shared" si="52"/>
        <v>9.7792436307521715</v>
      </c>
      <c r="AL166" s="15">
        <f t="shared" si="53"/>
        <v>1.8348612986968671</v>
      </c>
      <c r="AM166" s="15">
        <f t="shared" si="54"/>
        <v>1.3734707032213909</v>
      </c>
      <c r="AN166" s="15">
        <f t="shared" si="47"/>
        <v>12.987575632670406</v>
      </c>
      <c r="AO166" s="15">
        <f t="shared" si="48"/>
        <v>2.2073975841614</v>
      </c>
      <c r="AP166">
        <f t="shared" si="49"/>
        <v>2020</v>
      </c>
      <c r="AQ166" t="str">
        <f t="shared" si="50"/>
        <v>IMF COFOG</v>
      </c>
      <c r="AR166" s="7">
        <f t="shared" si="55"/>
        <v>452.42423421766955</v>
      </c>
      <c r="AS166" s="7">
        <f t="shared" si="56"/>
        <v>84.887517818667817</v>
      </c>
      <c r="AT166" s="7">
        <f t="shared" si="57"/>
        <v>63.541870372396836</v>
      </c>
      <c r="AU166" s="7">
        <f t="shared" si="58"/>
        <v>600.85362240873314</v>
      </c>
    </row>
    <row r="167" spans="1:47">
      <c r="A167">
        <v>164</v>
      </c>
      <c r="B167" t="s">
        <v>250</v>
      </c>
      <c r="C167" t="s">
        <v>570</v>
      </c>
      <c r="D167" t="s">
        <v>497</v>
      </c>
      <c r="E167" t="s">
        <v>622</v>
      </c>
      <c r="H167" t="str">
        <f>IF(ISNUMBER(VLOOKUP(C167,'OECD DAC'!B:C,2,FALSE)), "YES", " ")</f>
        <v xml:space="preserve"> </v>
      </c>
      <c r="I167">
        <v>27510</v>
      </c>
      <c r="J167">
        <v>2018</v>
      </c>
      <c r="K167" s="15" t="str">
        <f>IF(ISNUMBER(VLOOKUP(C167,'WEO GOV REV'!C:BL,58,FALSE)),(VLOOKUP(C167,'WEO GOV REV'!C:BL,58,FALSE)), " ")</f>
        <v xml:space="preserve"> </v>
      </c>
      <c r="L167" s="15" t="str">
        <f>IF(ISNUMBER(VLOOKUP(C167,'WEO GOV REV'!C:BL,62,FALSE)),(VLOOKUP(C167,'WEO GOV REV'!C:BL,62,FALSE)), " ")</f>
        <v xml:space="preserve"> </v>
      </c>
      <c r="M167" t="str">
        <f>IF(ISNUMBER(VLOOKUP(C167,'WEO GOV REV'!C:BL,62,FALSE)),(VLOOKUP(C167,'WEO GOV REV'!C:BL,57,FALSE)), " ")</f>
        <v xml:space="preserve"> </v>
      </c>
      <c r="N167" s="15" t="str">
        <f>IF(ISNUMBER(VLOOKUP($C167,'IMF COFOG FULL'!$B:$CM,79,FALSE)),(VLOOKUP($C167,'IMF COFOG FULL'!$B:$CM,79,FALSE)), " ")</f>
        <v xml:space="preserve"> </v>
      </c>
      <c r="O167" s="15" t="str">
        <f>IF(ISNUMBER(VLOOKUP($C167,'IMF COFOG FULL'!$B:$CM,80,FALSE)),(VLOOKUP($C167,'IMF COFOG FULL'!$B:$CM,80,FALSE)), " ")</f>
        <v xml:space="preserve"> </v>
      </c>
      <c r="P167" s="15" t="str">
        <f>IF(ISNUMBER(VLOOKUP($C167,'IMF COFOG FULL'!$B:$CM,81,FALSE)),(VLOOKUP($C167,'IMF COFOG FULL'!$B:$CM,81,FALSE)), " ")</f>
        <v xml:space="preserve"> </v>
      </c>
      <c r="Q167" s="15" t="str">
        <f>IF(ISNUMBER(VLOOKUP($C167,'IMF COFOG FULL'!$B:$CM,82,FALSE)),(VLOOKUP($C167,'IMF COFOG FULL'!$B:$CM,82,FALSE)), " ")</f>
        <v xml:space="preserve"> </v>
      </c>
      <c r="R167" s="15" t="str">
        <f>IF(ISNUMBER(VLOOKUP($C167,'IMF COFOG FULL'!$B:$CM,83,FALSE)),(VLOOKUP($C167,'IMF COFOG FULL'!$B:$CM,83,FALSE)), " ")</f>
        <v xml:space="preserve"> </v>
      </c>
      <c r="S167" s="15" t="str">
        <f>IF(ISNUMBER(VLOOKUP($C167,'IMF COFOG FULL'!$B:$CM,84,FALSE)),(VLOOKUP($C167,'IMF COFOG FULL'!$B:$CM,84,FALSE)), " ")</f>
        <v xml:space="preserve"> </v>
      </c>
      <c r="T167" s="15" t="str">
        <f>IF(ISNUMBER(VLOOKUP($C167,'IMF COFOG FULL'!$B:$CM,85,FALSE)),(VLOOKUP($C167,'IMF COFOG FULL'!$B:$CM,85,FALSE)), " ")</f>
        <v xml:space="preserve"> </v>
      </c>
      <c r="U167" s="7" t="str">
        <f>IF(ISNUMBER(VLOOKUP($C167,'IMF COFOG FULL'!$B:$CM,79,FALSE)),(VLOOKUP($C167,'IMF COFOG FULL'!$B:$CM,86,FALSE)), " ")</f>
        <v xml:space="preserve"> </v>
      </c>
      <c r="V167" s="15" t="str">
        <f>IF(ISNUMBER(VLOOKUP($C167,'IMF COFOG FULL'!$B:$CM,79,FALSE)),(VLOOKUP($C167,'IMF COFOG FULL'!$B:$CM,87,FALSE)), " ")</f>
        <v xml:space="preserve"> </v>
      </c>
      <c r="W167" s="15" t="str">
        <f t="shared" si="59"/>
        <v xml:space="preserve"> </v>
      </c>
      <c r="X167" s="15" t="str">
        <f t="shared" si="60"/>
        <v xml:space="preserve"> </v>
      </c>
      <c r="Y167" s="15" t="str">
        <f t="shared" si="61"/>
        <v xml:space="preserve"> </v>
      </c>
      <c r="Z167" s="15" t="str">
        <f t="shared" si="62"/>
        <v xml:space="preserve"> </v>
      </c>
      <c r="AA167" s="15" t="str">
        <f t="shared" si="63"/>
        <v xml:space="preserve"> </v>
      </c>
      <c r="AB167" s="15" t="str">
        <f t="shared" si="64"/>
        <v xml:space="preserve"> </v>
      </c>
      <c r="AC167" s="15" t="str">
        <f t="shared" si="65"/>
        <v xml:space="preserve"> </v>
      </c>
      <c r="AG167" s="15" t="str">
        <f>IF(ISNUMBER(VLOOKUP(C167,'National budgets summary'!A:F,5, FALSE)),(VLOOKUP(C167,'National budgets summary'!A:F,5, FALSE)), " ")</f>
        <v xml:space="preserve"> </v>
      </c>
      <c r="AH167" t="str">
        <f>IF(ISNUMBER(VLOOKUP(C167,'National budgets summary'!A:F,5, FALSE)),(VLOOKUP(C167,'National budgets summary'!A:F,4, FALSE)), " ")</f>
        <v xml:space="preserve"> </v>
      </c>
      <c r="AI167" s="15" t="str">
        <f t="shared" si="46"/>
        <v xml:space="preserve"> </v>
      </c>
      <c r="AJ167" s="15" t="str">
        <f t="shared" si="51"/>
        <v xml:space="preserve"> </v>
      </c>
      <c r="AK167" s="15" t="str">
        <f t="shared" si="52"/>
        <v/>
      </c>
      <c r="AL167" s="15" t="str">
        <f t="shared" si="53"/>
        <v/>
      </c>
      <c r="AM167" s="15" t="str">
        <f t="shared" si="54"/>
        <v/>
      </c>
      <c r="AN167" s="15" t="str">
        <f t="shared" si="47"/>
        <v xml:space="preserve"> </v>
      </c>
      <c r="AO167" s="15" t="str">
        <f t="shared" si="48"/>
        <v xml:space="preserve"> </v>
      </c>
      <c r="AP167" t="str">
        <f t="shared" si="49"/>
        <v xml:space="preserve"> </v>
      </c>
      <c r="AQ167" t="str">
        <f t="shared" si="50"/>
        <v xml:space="preserve"> </v>
      </c>
      <c r="AR167" s="7" t="str">
        <f t="shared" si="55"/>
        <v xml:space="preserve"> </v>
      </c>
      <c r="AS167" s="7" t="str">
        <f t="shared" si="56"/>
        <v xml:space="preserve"> </v>
      </c>
      <c r="AT167" s="7" t="str">
        <f t="shared" si="57"/>
        <v xml:space="preserve"> </v>
      </c>
      <c r="AU167" s="7" t="str">
        <f t="shared" si="58"/>
        <v xml:space="preserve"> </v>
      </c>
    </row>
    <row r="168" spans="1:47">
      <c r="A168">
        <v>165</v>
      </c>
      <c r="B168" t="s">
        <v>251</v>
      </c>
      <c r="C168" t="s">
        <v>511</v>
      </c>
      <c r="D168" t="s">
        <v>485</v>
      </c>
      <c r="E168" t="s">
        <v>622</v>
      </c>
      <c r="G168" t="s">
        <v>623</v>
      </c>
      <c r="H168" t="str">
        <f>IF(ISNUMBER(VLOOKUP(C168,'OECD DAC'!B:C,2,FALSE)), "YES", " ")</f>
        <v xml:space="preserve"> </v>
      </c>
      <c r="I168">
        <v>28130</v>
      </c>
      <c r="J168">
        <v>2021</v>
      </c>
      <c r="K168" s="15">
        <f>IF(ISNUMBER(VLOOKUP(C168,'WEO GOV REV'!C:BL,58,FALSE)),(VLOOKUP(C168,'WEO GOV REV'!C:BL,58,FALSE)), " ")</f>
        <v>8.4920000000000009</v>
      </c>
      <c r="L168" s="15">
        <f>IF(ISNUMBER(VLOOKUP(C168,'WEO GOV REV'!C:BL,62,FALSE)),(VLOOKUP(C168,'WEO GOV REV'!C:BL,62,FALSE)), " ")</f>
        <v>39.282079748357859</v>
      </c>
      <c r="M168">
        <f>IF(ISNUMBER(VLOOKUP(C168,'WEO GOV REV'!C:BL,62,FALSE)),(VLOOKUP(C168,'WEO GOV REV'!C:BL,57,FALSE)), " ")</f>
        <v>2020</v>
      </c>
      <c r="N168" s="15">
        <f>IF(ISNUMBER(VLOOKUP($C168,'IMF COFOG FULL'!$B:$CM,79,FALSE)),(VLOOKUP($C168,'IMF COFOG FULL'!$B:$CM,79,FALSE)), " ")</f>
        <v>1.9222003099703899</v>
      </c>
      <c r="O168" s="15">
        <f>IF(ISNUMBER(VLOOKUP($C168,'IMF COFOG FULL'!$B:$CM,80,FALSE)),(VLOOKUP($C168,'IMF COFOG FULL'!$B:$CM,80,FALSE)), " ")</f>
        <v>1.48891352017926</v>
      </c>
      <c r="P168" s="15">
        <f>IF(ISNUMBER(VLOOKUP($C168,'IMF COFOG FULL'!$B:$CM,81,FALSE)),(VLOOKUP($C168,'IMF COFOG FULL'!$B:$CM,81,FALSE)), " ")</f>
        <v>0.172738919518058</v>
      </c>
      <c r="Q168" s="15">
        <f>IF(ISNUMBER(VLOOKUP($C168,'IMF COFOG FULL'!$B:$CM,82,FALSE)),(VLOOKUP($C168,'IMF COFOG FULL'!$B:$CM,82,FALSE)), " ")</f>
        <v>0.16074316121819299</v>
      </c>
      <c r="R168" s="15">
        <f>IF(ISNUMBER(VLOOKUP($C168,'IMF COFOG FULL'!$B:$CM,83,FALSE)),(VLOOKUP($C168,'IMF COFOG FULL'!$B:$CM,83,FALSE)), " ")</f>
        <v>9.0208102414986099E-2</v>
      </c>
      <c r="S168" s="15">
        <f>IF(ISNUMBER(VLOOKUP($C168,'IMF COFOG FULL'!$B:$CM,84,FALSE)),(VLOOKUP($C168,'IMF COFOG FULL'!$B:$CM,84,FALSE)), " ")</f>
        <v>0</v>
      </c>
      <c r="T168" s="15">
        <f>IF(ISNUMBER(VLOOKUP($C168,'IMF COFOG FULL'!$B:$CM,85,FALSE)),(VLOOKUP($C168,'IMF COFOG FULL'!$B:$CM,85,FALSE)), " ")</f>
        <v>9.5966066398921294E-3</v>
      </c>
      <c r="U168" s="7">
        <f>IF(ISNUMBER(VLOOKUP($C168,'IMF COFOG FULL'!$B:$CM,79,FALSE)),(VLOOKUP($C168,'IMF COFOG FULL'!$B:$CM,86,FALSE)), " ")</f>
        <v>2020</v>
      </c>
      <c r="V168" s="15" t="str">
        <f>IF(ISNUMBER(VLOOKUP($C168,'IMF COFOG FULL'!$B:$CM,79,FALSE)),(VLOOKUP($C168,'IMF COFOG FULL'!$B:$CM,87,FALSE)), " ")</f>
        <v>General government</v>
      </c>
      <c r="W168" s="15">
        <f t="shared" si="59"/>
        <v>4.893326224792732</v>
      </c>
      <c r="X168" s="15">
        <f t="shared" si="60"/>
        <v>3.7903123503574228</v>
      </c>
      <c r="Y168" s="15">
        <f t="shared" si="61"/>
        <v>0.43973975060543774</v>
      </c>
      <c r="Z168" s="15">
        <f t="shared" si="62"/>
        <v>0.40920226792450487</v>
      </c>
      <c r="AA168" s="15">
        <f t="shared" si="63"/>
        <v>0.22964186976061812</v>
      </c>
      <c r="AB168" s="15">
        <f t="shared" si="64"/>
        <v>0</v>
      </c>
      <c r="AC168" s="15">
        <f t="shared" si="65"/>
        <v>2.4429986144746584E-2</v>
      </c>
      <c r="AG168" s="15" t="str">
        <f>IF(ISNUMBER(VLOOKUP(C168,'National budgets summary'!A:F,5, FALSE)),(VLOOKUP(C168,'National budgets summary'!A:F,5, FALSE)), " ")</f>
        <v xml:space="preserve"> </v>
      </c>
      <c r="AH168" t="str">
        <f>IF(ISNUMBER(VLOOKUP(C168,'National budgets summary'!A:F,5, FALSE)),(VLOOKUP(C168,'National budgets summary'!A:F,4, FALSE)), " ")</f>
        <v xml:space="preserve"> </v>
      </c>
      <c r="AI168" s="15" t="str">
        <f t="shared" si="46"/>
        <v xml:space="preserve"> </v>
      </c>
      <c r="AJ168" s="15" t="str">
        <f t="shared" si="51"/>
        <v xml:space="preserve"> </v>
      </c>
      <c r="AK168" s="15">
        <f t="shared" si="52"/>
        <v>3.7903123503574228</v>
      </c>
      <c r="AL168" s="15">
        <f t="shared" si="53"/>
        <v>0.40920226792450487</v>
      </c>
      <c r="AM168" s="15">
        <f t="shared" si="54"/>
        <v>0.22964186976061812</v>
      </c>
      <c r="AN168" s="15">
        <f t="shared" si="47"/>
        <v>4.893326224792732</v>
      </c>
      <c r="AO168" s="15">
        <f t="shared" si="48"/>
        <v>1.9222003099703899</v>
      </c>
      <c r="AP168">
        <f t="shared" si="49"/>
        <v>2020</v>
      </c>
      <c r="AQ168" t="str">
        <f t="shared" si="50"/>
        <v>IMF COFOG</v>
      </c>
      <c r="AR168" s="7">
        <f t="shared" si="55"/>
        <v>418.8313732264258</v>
      </c>
      <c r="AS168" s="7">
        <f t="shared" si="56"/>
        <v>45.217051250677684</v>
      </c>
      <c r="AT168" s="7">
        <f t="shared" si="57"/>
        <v>25.375539209335589</v>
      </c>
      <c r="AU168" s="7">
        <f t="shared" si="58"/>
        <v>540.71494719467069</v>
      </c>
    </row>
    <row r="169" spans="1:47">
      <c r="A169">
        <v>166</v>
      </c>
      <c r="B169" t="s">
        <v>60</v>
      </c>
      <c r="C169" t="s">
        <v>447</v>
      </c>
      <c r="D169" t="s">
        <v>485</v>
      </c>
      <c r="E169" t="s">
        <v>622</v>
      </c>
      <c r="G169" t="s">
        <v>623</v>
      </c>
      <c r="H169" t="str">
        <f>IF(ISNUMBER(VLOOKUP(C169,'OECD DAC'!B:C,2,FALSE)), "YES", " ")</f>
        <v>YES</v>
      </c>
      <c r="I169">
        <v>28240</v>
      </c>
      <c r="J169">
        <v>2021</v>
      </c>
      <c r="K169" s="15">
        <f>IF(ISNUMBER(VLOOKUP(C169,'WEO GOV REV'!C:BL,58,FALSE)),(VLOOKUP(C169,'WEO GOV REV'!C:BL,58,FALSE)), " ")</f>
        <v>22.843</v>
      </c>
      <c r="L169" s="15">
        <f>IF(ISNUMBER(VLOOKUP(C169,'WEO GOV REV'!C:BL,62,FALSE)),(VLOOKUP(C169,'WEO GOV REV'!C:BL,62,FALSE)), " ")</f>
        <v>43.9119569396386</v>
      </c>
      <c r="M169">
        <f>IF(ISNUMBER(VLOOKUP(C169,'WEO GOV REV'!C:BL,62,FALSE)),(VLOOKUP(C169,'WEO GOV REV'!C:BL,57,FALSE)), " ")</f>
        <v>2021</v>
      </c>
      <c r="N169" s="15">
        <f>IF(ISNUMBER(VLOOKUP($C169,'IMF COFOG FULL'!$B:$CM,79,FALSE)),(VLOOKUP($C169,'IMF COFOG FULL'!$B:$CM,79,FALSE)), " ")</f>
        <v>1.7532674027025901</v>
      </c>
      <c r="O169" s="15">
        <f>IF(ISNUMBER(VLOOKUP($C169,'IMF COFOG FULL'!$B:$CM,80,FALSE)),(VLOOKUP($C169,'IMF COFOG FULL'!$B:$CM,80,FALSE)), " ")</f>
        <v>0.89495929067735203</v>
      </c>
      <c r="P169" s="15">
        <f>IF(ISNUMBER(VLOOKUP($C169,'IMF COFOG FULL'!$B:$CM,81,FALSE)),(VLOOKUP($C169,'IMF COFOG FULL'!$B:$CM,81,FALSE)), " ")</f>
        <v>0.15687369453088401</v>
      </c>
      <c r="Q169" s="15">
        <f>IF(ISNUMBER(VLOOKUP($C169,'IMF COFOG FULL'!$B:$CM,82,FALSE)),(VLOOKUP($C169,'IMF COFOG FULL'!$B:$CM,82,FALSE)), " ")</f>
        <v>0.484334370604033</v>
      </c>
      <c r="R169" s="15">
        <f>IF(ISNUMBER(VLOOKUP($C169,'IMF COFOG FULL'!$B:$CM,83,FALSE)),(VLOOKUP($C169,'IMF COFOG FULL'!$B:$CM,83,FALSE)), " ")</f>
        <v>0.10177543799821</v>
      </c>
      <c r="S169" s="15">
        <f>IF(ISNUMBER(VLOOKUP($C169,'IMF COFOG FULL'!$B:$CM,84,FALSE)),(VLOOKUP($C169,'IMF COFOG FULL'!$B:$CM,84,FALSE)), " ")</f>
        <v>1.5196726203163E-3</v>
      </c>
      <c r="T169" s="15">
        <f>IF(ISNUMBER(VLOOKUP($C169,'IMF COFOG FULL'!$B:$CM,85,FALSE)),(VLOOKUP($C169,'IMF COFOG FULL'!$B:$CM,85,FALSE)), " ")</f>
        <v>0.113804936271793</v>
      </c>
      <c r="U169" s="7">
        <f>IF(ISNUMBER(VLOOKUP($C169,'IMF COFOG FULL'!$B:$CM,79,FALSE)),(VLOOKUP($C169,'IMF COFOG FULL'!$B:$CM,86,FALSE)), " ")</f>
        <v>2020</v>
      </c>
      <c r="V169" s="15" t="str">
        <f>IF(ISNUMBER(VLOOKUP($C169,'IMF COFOG FULL'!$B:$CM,79,FALSE)),(VLOOKUP($C169,'IMF COFOG FULL'!$B:$CM,87,FALSE)), " ")</f>
        <v>General government</v>
      </c>
      <c r="W169" s="15">
        <f t="shared" si="59"/>
        <v>3.9926879257798338</v>
      </c>
      <c r="X169" s="15">
        <f t="shared" si="60"/>
        <v>2.0380765355266757</v>
      </c>
      <c r="Y169" s="15">
        <f t="shared" si="61"/>
        <v>0.35724596548161741</v>
      </c>
      <c r="Z169" s="15">
        <f t="shared" si="62"/>
        <v>1.1029669464965985</v>
      </c>
      <c r="AA169" s="15">
        <f t="shared" si="63"/>
        <v>0.23177158362154199</v>
      </c>
      <c r="AB169" s="15">
        <f t="shared" si="64"/>
        <v>3.4607262491290081E-3</v>
      </c>
      <c r="AC169" s="15">
        <f t="shared" si="65"/>
        <v>0.25916616840426704</v>
      </c>
      <c r="AG169" s="15" t="str">
        <f>IF(ISNUMBER(VLOOKUP(C169,'National budgets summary'!A:F,5, FALSE)),(VLOOKUP(C169,'National budgets summary'!A:F,5, FALSE)), " ")</f>
        <v xml:space="preserve"> </v>
      </c>
      <c r="AH169" t="str">
        <f>IF(ISNUMBER(VLOOKUP(C169,'National budgets summary'!A:F,5, FALSE)),(VLOOKUP(C169,'National budgets summary'!A:F,4, FALSE)), " ")</f>
        <v xml:space="preserve"> </v>
      </c>
      <c r="AI169" s="15" t="str">
        <f t="shared" si="46"/>
        <v xml:space="preserve"> </v>
      </c>
      <c r="AJ169" s="15" t="str">
        <f t="shared" si="51"/>
        <v xml:space="preserve"> </v>
      </c>
      <c r="AK169" s="15">
        <f t="shared" si="52"/>
        <v>2.0380765355266757</v>
      </c>
      <c r="AL169" s="15">
        <f t="shared" si="53"/>
        <v>1.1029669464965985</v>
      </c>
      <c r="AM169" s="15">
        <f t="shared" si="54"/>
        <v>0.23177158362154199</v>
      </c>
      <c r="AN169" s="15">
        <f t="shared" si="47"/>
        <v>3.9926879257798338</v>
      </c>
      <c r="AO169" s="15">
        <f t="shared" si="48"/>
        <v>1.7532674027025901</v>
      </c>
      <c r="AP169">
        <f t="shared" si="49"/>
        <v>2020</v>
      </c>
      <c r="AQ169" t="str">
        <f t="shared" si="50"/>
        <v>IMF COFOG</v>
      </c>
      <c r="AR169" s="7">
        <f t="shared" si="55"/>
        <v>252.73650368728423</v>
      </c>
      <c r="AS169" s="7">
        <f t="shared" si="56"/>
        <v>136.77602625857895</v>
      </c>
      <c r="AT169" s="7">
        <f t="shared" si="57"/>
        <v>28.741383690694501</v>
      </c>
      <c r="AU169" s="7">
        <f t="shared" si="58"/>
        <v>495.12271452321153</v>
      </c>
    </row>
    <row r="170" spans="1:47">
      <c r="A170">
        <v>167</v>
      </c>
      <c r="B170" t="s">
        <v>69</v>
      </c>
      <c r="C170" t="s">
        <v>448</v>
      </c>
      <c r="D170" t="s">
        <v>485</v>
      </c>
      <c r="E170" t="s">
        <v>622</v>
      </c>
      <c r="G170" t="s">
        <v>623</v>
      </c>
      <c r="H170" t="str">
        <f>IF(ISNUMBER(VLOOKUP(C170,'OECD DAC'!B:C,2,FALSE)), "YES", " ")</f>
        <v>YES</v>
      </c>
      <c r="I170">
        <v>29740</v>
      </c>
      <c r="J170">
        <v>2021</v>
      </c>
      <c r="K170" s="15">
        <f>IF(ISNUMBER(VLOOKUP(C170,'WEO GOV REV'!C:BL,58,FALSE)),(VLOOKUP(C170,'WEO GOV REV'!C:BL,58,FALSE)), " ")</f>
        <v>465.37900000000002</v>
      </c>
      <c r="L170" s="15">
        <f>IF(ISNUMBER(VLOOKUP(C170,'WEO GOV REV'!C:BL,62,FALSE)),(VLOOKUP(C170,'WEO GOV REV'!C:BL,62,FALSE)), " ")</f>
        <v>41.479477695084448</v>
      </c>
      <c r="M170">
        <f>IF(ISNUMBER(VLOOKUP(C170,'WEO GOV REV'!C:BL,62,FALSE)),(VLOOKUP(C170,'WEO GOV REV'!C:BL,57,FALSE)), " ")</f>
        <v>2020</v>
      </c>
      <c r="N170" s="15">
        <f>IF(ISNUMBER(VLOOKUP($C170,'IMF COFOG FULL'!$B:$CM,79,FALSE)),(VLOOKUP($C170,'IMF COFOG FULL'!$B:$CM,79,FALSE)), " ")</f>
        <v>2.0844994598680202</v>
      </c>
      <c r="O170" s="15">
        <f>IF(ISNUMBER(VLOOKUP($C170,'IMF COFOG FULL'!$B:$CM,80,FALSE)),(VLOOKUP($C170,'IMF COFOG FULL'!$B:$CM,80,FALSE)), " ")</f>
        <v>1.31307333316696</v>
      </c>
      <c r="P170" s="15">
        <f>IF(ISNUMBER(VLOOKUP($C170,'IMF COFOG FULL'!$B:$CM,81,FALSE)),(VLOOKUP($C170,'IMF COFOG FULL'!$B:$CM,81,FALSE)), " ")</f>
        <v>0.18779836498661301</v>
      </c>
      <c r="Q170" s="15">
        <f>IF(ISNUMBER(VLOOKUP($C170,'IMF COFOG FULL'!$B:$CM,82,FALSE)),(VLOOKUP($C170,'IMF COFOG FULL'!$B:$CM,82,FALSE)), " ")</f>
        <v>0.39297721463026802</v>
      </c>
      <c r="R170" s="15">
        <f>IF(ISNUMBER(VLOOKUP($C170,'IMF COFOG FULL'!$B:$CM,83,FALSE)),(VLOOKUP($C170,'IMF COFOG FULL'!$B:$CM,83,FALSE)), " ")</f>
        <v>0.16720917546980801</v>
      </c>
      <c r="S170" s="15">
        <f>IF(ISNUMBER(VLOOKUP($C170,'IMF COFOG FULL'!$B:$CM,84,FALSE)),(VLOOKUP($C170,'IMF COFOG FULL'!$B:$CM,84,FALSE)), " ")</f>
        <v>8.9130690548938095E-5</v>
      </c>
      <c r="T170" s="15">
        <f>IF(ISNUMBER(VLOOKUP($C170,'IMF COFOG FULL'!$B:$CM,85,FALSE)),(VLOOKUP($C170,'IMF COFOG FULL'!$B:$CM,85,FALSE)), " ")</f>
        <v>2.33522409238218E-2</v>
      </c>
      <c r="U170" s="7">
        <f>IF(ISNUMBER(VLOOKUP($C170,'IMF COFOG FULL'!$B:$CM,79,FALSE)),(VLOOKUP($C170,'IMF COFOG FULL'!$B:$CM,86,FALSE)), " ")</f>
        <v>2020</v>
      </c>
      <c r="V170" s="15" t="str">
        <f>IF(ISNUMBER(VLOOKUP($C170,'IMF COFOG FULL'!$B:$CM,79,FALSE)),(VLOOKUP($C170,'IMF COFOG FULL'!$B:$CM,87,FALSE)), " ")</f>
        <v>General government</v>
      </c>
      <c r="W170" s="15">
        <f t="shared" si="59"/>
        <v>5.0253753800642604</v>
      </c>
      <c r="X170" s="15">
        <f t="shared" si="60"/>
        <v>3.1655975584344604</v>
      </c>
      <c r="Y170" s="15">
        <f t="shared" si="61"/>
        <v>0.4527500716549962</v>
      </c>
      <c r="Z170" s="15">
        <f t="shared" si="62"/>
        <v>0.94740155003648474</v>
      </c>
      <c r="AA170" s="15">
        <f t="shared" si="63"/>
        <v>0.40311302060976345</v>
      </c>
      <c r="AB170" s="15">
        <f t="shared" si="64"/>
        <v>2.1487900885381827E-4</v>
      </c>
      <c r="AC170" s="15">
        <f t="shared" si="65"/>
        <v>5.6298300319700435E-2</v>
      </c>
      <c r="AG170" s="15" t="str">
        <f>IF(ISNUMBER(VLOOKUP(C170,'National budgets summary'!A:F,5, FALSE)),(VLOOKUP(C170,'National budgets summary'!A:F,5, FALSE)), " ")</f>
        <v xml:space="preserve"> </v>
      </c>
      <c r="AH170" t="str">
        <f>IF(ISNUMBER(VLOOKUP(C170,'National budgets summary'!A:F,5, FALSE)),(VLOOKUP(C170,'National budgets summary'!A:F,4, FALSE)), " ")</f>
        <v xml:space="preserve"> </v>
      </c>
      <c r="AI170" s="15" t="str">
        <f t="shared" si="46"/>
        <v xml:space="preserve"> </v>
      </c>
      <c r="AJ170" s="15" t="str">
        <f t="shared" si="51"/>
        <v xml:space="preserve"> </v>
      </c>
      <c r="AK170" s="15">
        <f t="shared" si="52"/>
        <v>3.1655975584344604</v>
      </c>
      <c r="AL170" s="15">
        <f t="shared" si="53"/>
        <v>0.94740155003648474</v>
      </c>
      <c r="AM170" s="15">
        <f t="shared" si="54"/>
        <v>0.40311302060976345</v>
      </c>
      <c r="AN170" s="15">
        <f t="shared" si="47"/>
        <v>5.0253753800642604</v>
      </c>
      <c r="AO170" s="15">
        <f t="shared" si="48"/>
        <v>2.0844994598680202</v>
      </c>
      <c r="AP170">
        <f t="shared" si="49"/>
        <v>2020</v>
      </c>
      <c r="AQ170" t="str">
        <f t="shared" si="50"/>
        <v>IMF COFOG</v>
      </c>
      <c r="AR170" s="7">
        <f t="shared" si="55"/>
        <v>390.50800928385388</v>
      </c>
      <c r="AS170" s="7">
        <f t="shared" si="56"/>
        <v>116.87142363104171</v>
      </c>
      <c r="AT170" s="7">
        <f t="shared" si="57"/>
        <v>49.728008784720899</v>
      </c>
      <c r="AU170" s="7">
        <f t="shared" si="58"/>
        <v>619.93013936474915</v>
      </c>
    </row>
    <row r="171" spans="1:47">
      <c r="A171">
        <v>168</v>
      </c>
      <c r="B171" t="s">
        <v>252</v>
      </c>
      <c r="C171" t="s">
        <v>540</v>
      </c>
      <c r="D171" t="s">
        <v>487</v>
      </c>
      <c r="E171" t="s">
        <v>622</v>
      </c>
      <c r="G171" t="s">
        <v>623</v>
      </c>
      <c r="H171" t="str">
        <f>IF(ISNUMBER(VLOOKUP(C171,'OECD DAC'!B:C,2,FALSE)), "YES", " ")</f>
        <v xml:space="preserve"> </v>
      </c>
      <c r="I171">
        <v>30560</v>
      </c>
      <c r="J171">
        <v>2021</v>
      </c>
      <c r="K171" s="15">
        <f>IF(ISNUMBER(VLOOKUP(C171,'WEO GOV REV'!C:BL,58,FALSE)),(VLOOKUP(C171,'WEO GOV REV'!C:BL,58,FALSE)), " ")</f>
        <v>4.6749999999999998</v>
      </c>
      <c r="L171" s="15">
        <f>IF(ISNUMBER(VLOOKUP(C171,'WEO GOV REV'!C:BL,62,FALSE)),(VLOOKUP(C171,'WEO GOV REV'!C:BL,62,FALSE)), " ")</f>
        <v>35.796324655436443</v>
      </c>
      <c r="M171">
        <f>IF(ISNUMBER(VLOOKUP(C171,'WEO GOV REV'!C:BL,62,FALSE)),(VLOOKUP(C171,'WEO GOV REV'!C:BL,57,FALSE)), " ")</f>
        <v>2020</v>
      </c>
      <c r="N171" s="15">
        <f>IF(ISNUMBER(VLOOKUP($C171,'IMF COFOG FULL'!$B:$CM,79,FALSE)),(VLOOKUP($C171,'IMF COFOG FULL'!$B:$CM,79,FALSE)), " ")</f>
        <v>1.4772277164016301</v>
      </c>
      <c r="O171" s="15">
        <f>IF(ISNUMBER(VLOOKUP($C171,'IMF COFOG FULL'!$B:$CM,80,FALSE)),(VLOOKUP($C171,'IMF COFOG FULL'!$B:$CM,80,FALSE)), " ")</f>
        <v>0.80433234134514897</v>
      </c>
      <c r="P171" s="15">
        <f>IF(ISNUMBER(VLOOKUP($C171,'IMF COFOG FULL'!$B:$CM,81,FALSE)),(VLOOKUP($C171,'IMF COFOG FULL'!$B:$CM,81,FALSE)), " ")</f>
        <v>0.12626650459248101</v>
      </c>
      <c r="Q171" s="15">
        <f>IF(ISNUMBER(VLOOKUP($C171,'IMF COFOG FULL'!$B:$CM,82,FALSE)),(VLOOKUP($C171,'IMF COFOG FULL'!$B:$CM,82,FALSE)), " ")</f>
        <v>0.349867908108563</v>
      </c>
      <c r="R171" s="15">
        <f>IF(ISNUMBER(VLOOKUP($C171,'IMF COFOG FULL'!$B:$CM,83,FALSE)),(VLOOKUP($C171,'IMF COFOG FULL'!$B:$CM,83,FALSE)), " ")</f>
        <v>0.19544345211581801</v>
      </c>
      <c r="S171" s="15">
        <f>IF(ISNUMBER(VLOOKUP($C171,'IMF COFOG FULL'!$B:$CM,84,FALSE)),(VLOOKUP($C171,'IMF COFOG FULL'!$B:$CM,84,FALSE)), " ")</f>
        <v>1.3251701828742499E-3</v>
      </c>
      <c r="T171" s="15">
        <f>IF(ISNUMBER(VLOOKUP($C171,'IMF COFOG FULL'!$B:$CM,85,FALSE)),(VLOOKUP($C171,'IMF COFOG FULL'!$B:$CM,85,FALSE)), " ")</f>
        <v>0</v>
      </c>
      <c r="U171" s="7">
        <f>IF(ISNUMBER(VLOOKUP($C171,'IMF COFOG FULL'!$B:$CM,79,FALSE)),(VLOOKUP($C171,'IMF COFOG FULL'!$B:$CM,86,FALSE)), " ")</f>
        <v>2020</v>
      </c>
      <c r="V171" s="15" t="str">
        <f>IF(ISNUMBER(VLOOKUP($C171,'IMF COFOG FULL'!$B:$CM,79,FALSE)),(VLOOKUP($C171,'IMF COFOG FULL'!$B:$CM,87,FALSE)), " ")</f>
        <v>General government</v>
      </c>
      <c r="W171" s="15">
        <f t="shared" si="59"/>
        <v>4.1267580697765327</v>
      </c>
      <c r="X171" s="15">
        <f t="shared" si="60"/>
        <v>2.246969064805914</v>
      </c>
      <c r="Y171" s="15">
        <f t="shared" si="61"/>
        <v>0.352735946519316</v>
      </c>
      <c r="Z171" s="15">
        <f t="shared" si="62"/>
        <v>0.97738500104766479</v>
      </c>
      <c r="AA171" s="15">
        <f t="shared" si="63"/>
        <v>0.54598748334386804</v>
      </c>
      <c r="AB171" s="15">
        <f t="shared" si="64"/>
        <v>3.7019727461684933E-3</v>
      </c>
      <c r="AC171" s="15">
        <f t="shared" si="65"/>
        <v>0</v>
      </c>
      <c r="AG171" s="15" t="str">
        <f>IF(ISNUMBER(VLOOKUP(C171,'National budgets summary'!A:F,5, FALSE)),(VLOOKUP(C171,'National budgets summary'!A:F,5, FALSE)), " ")</f>
        <v xml:space="preserve"> </v>
      </c>
      <c r="AH171" t="str">
        <f>IF(ISNUMBER(VLOOKUP(C171,'National budgets summary'!A:F,5, FALSE)),(VLOOKUP(C171,'National budgets summary'!A:F,4, FALSE)), " ")</f>
        <v xml:space="preserve"> </v>
      </c>
      <c r="AI171" s="15" t="str">
        <f t="shared" si="46"/>
        <v xml:space="preserve"> </v>
      </c>
      <c r="AJ171" s="15" t="str">
        <f t="shared" si="51"/>
        <v xml:space="preserve"> </v>
      </c>
      <c r="AK171" s="15">
        <f t="shared" si="52"/>
        <v>2.246969064805914</v>
      </c>
      <c r="AL171" s="15">
        <f t="shared" si="53"/>
        <v>0.97738500104766479</v>
      </c>
      <c r="AM171" s="15">
        <f t="shared" si="54"/>
        <v>0.54598748334386804</v>
      </c>
      <c r="AN171" s="15">
        <f t="shared" si="47"/>
        <v>4.1267580697765327</v>
      </c>
      <c r="AO171" s="15">
        <f t="shared" si="48"/>
        <v>1.4772277164016301</v>
      </c>
      <c r="AP171">
        <f t="shared" si="49"/>
        <v>2020</v>
      </c>
      <c r="AQ171" t="str">
        <f t="shared" si="50"/>
        <v>IMF COFOG</v>
      </c>
      <c r="AR171" s="7">
        <f t="shared" si="55"/>
        <v>245.80396351507758</v>
      </c>
      <c r="AS171" s="7">
        <f t="shared" si="56"/>
        <v>106.91963271797685</v>
      </c>
      <c r="AT171" s="7">
        <f t="shared" si="57"/>
        <v>59.727518966593983</v>
      </c>
      <c r="AU171" s="7">
        <f t="shared" si="58"/>
        <v>451.44079013233818</v>
      </c>
    </row>
    <row r="172" spans="1:47">
      <c r="A172">
        <v>169</v>
      </c>
      <c r="B172" t="s">
        <v>253</v>
      </c>
      <c r="C172" t="s">
        <v>567</v>
      </c>
      <c r="D172" t="s">
        <v>493</v>
      </c>
      <c r="E172" t="s">
        <v>622</v>
      </c>
      <c r="H172" t="str">
        <f>IF(ISNUMBER(VLOOKUP(C172,'OECD DAC'!B:C,2,FALSE)), "YES", " ")</f>
        <v xml:space="preserve"> </v>
      </c>
      <c r="I172">
        <v>31510</v>
      </c>
      <c r="J172">
        <v>2020</v>
      </c>
      <c r="K172" s="15">
        <f>IF(ISNUMBER(VLOOKUP(C172,'WEO GOV REV'!C:BL,58,FALSE)),(VLOOKUP(C172,'WEO GOV REV'!C:BL,58,FALSE)), " ")</f>
        <v>2.8919999999999999</v>
      </c>
      <c r="L172" s="15">
        <f>IF(ISNUMBER(VLOOKUP(C172,'WEO GOV REV'!C:BL,62,FALSE)),(VLOOKUP(C172,'WEO GOV REV'!C:BL,62,FALSE)), " ")</f>
        <v>17.462713604250951</v>
      </c>
      <c r="M172">
        <f>IF(ISNUMBER(VLOOKUP(C172,'WEO GOV REV'!C:BL,62,FALSE)),(VLOOKUP(C172,'WEO GOV REV'!C:BL,57,FALSE)), " ")</f>
        <v>2020</v>
      </c>
      <c r="N172" s="15" t="str">
        <f>IF(ISNUMBER(VLOOKUP($C172,'IMF COFOG FULL'!$B:$CM,79,FALSE)),(VLOOKUP($C172,'IMF COFOG FULL'!$B:$CM,79,FALSE)), " ")</f>
        <v xml:space="preserve"> </v>
      </c>
      <c r="O172" s="15" t="str">
        <f>IF(ISNUMBER(VLOOKUP($C172,'IMF COFOG FULL'!$B:$CM,80,FALSE)),(VLOOKUP($C172,'IMF COFOG FULL'!$B:$CM,80,FALSE)), " ")</f>
        <v xml:space="preserve"> </v>
      </c>
      <c r="P172" s="15" t="str">
        <f>IF(ISNUMBER(VLOOKUP($C172,'IMF COFOG FULL'!$B:$CM,81,FALSE)),(VLOOKUP($C172,'IMF COFOG FULL'!$B:$CM,81,FALSE)), " ")</f>
        <v xml:space="preserve"> </v>
      </c>
      <c r="Q172" s="15" t="str">
        <f>IF(ISNUMBER(VLOOKUP($C172,'IMF COFOG FULL'!$B:$CM,82,FALSE)),(VLOOKUP($C172,'IMF COFOG FULL'!$B:$CM,82,FALSE)), " ")</f>
        <v xml:space="preserve"> </v>
      </c>
      <c r="R172" s="15" t="str">
        <f>IF(ISNUMBER(VLOOKUP($C172,'IMF COFOG FULL'!$B:$CM,83,FALSE)),(VLOOKUP($C172,'IMF COFOG FULL'!$B:$CM,83,FALSE)), " ")</f>
        <v xml:space="preserve"> </v>
      </c>
      <c r="S172" s="15" t="str">
        <f>IF(ISNUMBER(VLOOKUP($C172,'IMF COFOG FULL'!$B:$CM,84,FALSE)),(VLOOKUP($C172,'IMF COFOG FULL'!$B:$CM,84,FALSE)), " ")</f>
        <v xml:space="preserve"> </v>
      </c>
      <c r="T172" s="15" t="str">
        <f>IF(ISNUMBER(VLOOKUP($C172,'IMF COFOG FULL'!$B:$CM,85,FALSE)),(VLOOKUP($C172,'IMF COFOG FULL'!$B:$CM,85,FALSE)), " ")</f>
        <v xml:space="preserve"> </v>
      </c>
      <c r="U172" s="7" t="str">
        <f>IF(ISNUMBER(VLOOKUP($C172,'IMF COFOG FULL'!$B:$CM,79,FALSE)),(VLOOKUP($C172,'IMF COFOG FULL'!$B:$CM,86,FALSE)), " ")</f>
        <v xml:space="preserve"> </v>
      </c>
      <c r="V172" s="15" t="str">
        <f>IF(ISNUMBER(VLOOKUP($C172,'IMF COFOG FULL'!$B:$CM,79,FALSE)),(VLOOKUP($C172,'IMF COFOG FULL'!$B:$CM,87,FALSE)), " ")</f>
        <v xml:space="preserve"> </v>
      </c>
      <c r="W172" s="15" t="str">
        <f t="shared" si="59"/>
        <v xml:space="preserve"> </v>
      </c>
      <c r="X172" s="15" t="str">
        <f t="shared" si="60"/>
        <v xml:space="preserve"> </v>
      </c>
      <c r="Y172" s="15" t="str">
        <f t="shared" si="61"/>
        <v xml:space="preserve"> </v>
      </c>
      <c r="Z172" s="15" t="str">
        <f t="shared" si="62"/>
        <v xml:space="preserve"> </v>
      </c>
      <c r="AA172" s="15" t="str">
        <f t="shared" si="63"/>
        <v xml:space="preserve"> </v>
      </c>
      <c r="AB172" s="15" t="str">
        <f t="shared" si="64"/>
        <v xml:space="preserve"> </v>
      </c>
      <c r="AC172" s="15" t="str">
        <f t="shared" si="65"/>
        <v xml:space="preserve"> </v>
      </c>
      <c r="AG172" s="15" t="str">
        <f>IF(ISNUMBER(VLOOKUP(C172,'National budgets summary'!A:F,5, FALSE)),(VLOOKUP(C172,'National budgets summary'!A:F,5, FALSE)), " ")</f>
        <v xml:space="preserve"> </v>
      </c>
      <c r="AH172" t="str">
        <f>IF(ISNUMBER(VLOOKUP(C172,'National budgets summary'!A:F,5, FALSE)),(VLOOKUP(C172,'National budgets summary'!A:F,4, FALSE)), " ")</f>
        <v xml:space="preserve"> </v>
      </c>
      <c r="AI172" s="15" t="str">
        <f t="shared" si="46"/>
        <v xml:space="preserve"> </v>
      </c>
      <c r="AJ172" s="15" t="str">
        <f t="shared" si="51"/>
        <v xml:space="preserve"> </v>
      </c>
      <c r="AK172" s="15" t="str">
        <f t="shared" si="52"/>
        <v/>
      </c>
      <c r="AL172" s="15" t="str">
        <f t="shared" si="53"/>
        <v/>
      </c>
      <c r="AM172" s="15" t="str">
        <f t="shared" si="54"/>
        <v/>
      </c>
      <c r="AN172" s="15" t="str">
        <f t="shared" si="47"/>
        <v xml:space="preserve"> </v>
      </c>
      <c r="AO172" s="15" t="str">
        <f t="shared" si="48"/>
        <v xml:space="preserve"> </v>
      </c>
      <c r="AP172" t="str">
        <f t="shared" si="49"/>
        <v xml:space="preserve"> </v>
      </c>
      <c r="AQ172" t="str">
        <f t="shared" si="50"/>
        <v xml:space="preserve"> </v>
      </c>
      <c r="AR172" s="7" t="str">
        <f t="shared" si="55"/>
        <v xml:space="preserve"> </v>
      </c>
      <c r="AS172" s="7" t="str">
        <f t="shared" si="56"/>
        <v xml:space="preserve"> </v>
      </c>
      <c r="AT172" s="7" t="str">
        <f t="shared" si="57"/>
        <v xml:space="preserve"> </v>
      </c>
      <c r="AU172" s="7" t="str">
        <f t="shared" si="58"/>
        <v xml:space="preserve"> </v>
      </c>
    </row>
    <row r="173" spans="1:47">
      <c r="A173">
        <v>170</v>
      </c>
      <c r="B173" t="s">
        <v>73</v>
      </c>
      <c r="C173" t="s">
        <v>449</v>
      </c>
      <c r="D173" t="s">
        <v>493</v>
      </c>
      <c r="E173" t="s">
        <v>622</v>
      </c>
      <c r="H173" t="str">
        <f>IF(ISNUMBER(VLOOKUP(C173,'OECD DAC'!B:C,2,FALSE)), "YES", " ")</f>
        <v>YES</v>
      </c>
      <c r="I173">
        <v>34980</v>
      </c>
      <c r="J173">
        <v>2021</v>
      </c>
      <c r="K173" s="15">
        <f>IF(ISNUMBER(VLOOKUP(C173,'WEO GOV REV'!C:BL,58,FALSE)),(VLOOKUP(C173,'WEO GOV REV'!C:BL,58,FALSE)), " ")</f>
        <v>441148</v>
      </c>
      <c r="L173" s="15">
        <f>IF(ISNUMBER(VLOOKUP(C173,'WEO GOV REV'!C:BL,62,FALSE)),(VLOOKUP(C173,'WEO GOV REV'!C:BL,62,FALSE)), " ")</f>
        <v>22.92275699948766</v>
      </c>
      <c r="M173">
        <f>IF(ISNUMBER(VLOOKUP(C173,'WEO GOV REV'!C:BL,62,FALSE)),(VLOOKUP(C173,'WEO GOV REV'!C:BL,57,FALSE)), " ")</f>
        <v>2019</v>
      </c>
      <c r="N173" s="115">
        <f>'COFOG_OECD DAC_HIST'!W21</f>
        <v>1.2796999529227882</v>
      </c>
      <c r="O173" s="15" t="str">
        <f>IF(ISNUMBER(VLOOKUP($C173,'IMF COFOG FULL'!$B:$CM,80,FALSE)),(VLOOKUP($C173,'IMF COFOG FULL'!$B:$CM,80,FALSE)), " ")</f>
        <v xml:space="preserve"> </v>
      </c>
      <c r="P173" s="15" t="str">
        <f>IF(ISNUMBER(VLOOKUP($C173,'IMF COFOG FULL'!$B:$CM,81,FALSE)),(VLOOKUP($C173,'IMF COFOG FULL'!$B:$CM,81,FALSE)), " ")</f>
        <v xml:space="preserve"> </v>
      </c>
      <c r="Q173" s="15" t="str">
        <f>IF(ISNUMBER(VLOOKUP($C173,'IMF COFOG FULL'!$B:$CM,82,FALSE)),(VLOOKUP($C173,'IMF COFOG FULL'!$B:$CM,82,FALSE)), " ")</f>
        <v xml:space="preserve"> </v>
      </c>
      <c r="R173" s="15" t="str">
        <f>IF(ISNUMBER(VLOOKUP($C173,'IMF COFOG FULL'!$B:$CM,83,FALSE)),(VLOOKUP($C173,'IMF COFOG FULL'!$B:$CM,83,FALSE)), " ")</f>
        <v xml:space="preserve"> </v>
      </c>
      <c r="S173" s="15" t="str">
        <f>IF(ISNUMBER(VLOOKUP($C173,'IMF COFOG FULL'!$B:$CM,84,FALSE)),(VLOOKUP($C173,'IMF COFOG FULL'!$B:$CM,84,FALSE)), " ")</f>
        <v xml:space="preserve"> </v>
      </c>
      <c r="T173" s="15" t="str">
        <f>IF(ISNUMBER(VLOOKUP($C173,'IMF COFOG FULL'!$B:$CM,85,FALSE)),(VLOOKUP($C173,'IMF COFOG FULL'!$B:$CM,85,FALSE)), " ")</f>
        <v xml:space="preserve"> </v>
      </c>
      <c r="U173" s="7" t="str">
        <f>IF(ISNUMBER(VLOOKUP($C173,'IMF COFOG FULL'!$B:$CM,79,FALSE)),(VLOOKUP($C173,'IMF COFOG FULL'!$B:$CM,86,FALSE)), " ")</f>
        <v xml:space="preserve"> </v>
      </c>
      <c r="V173" s="15" t="str">
        <f>IF(ISNUMBER(VLOOKUP($C173,'IMF COFOG FULL'!$B:$CM,79,FALSE)),(VLOOKUP($C173,'IMF COFOG FULL'!$B:$CM,87,FALSE)), " ")</f>
        <v xml:space="preserve"> </v>
      </c>
      <c r="W173" s="15">
        <f t="shared" si="59"/>
        <v>5.5826616010953236</v>
      </c>
      <c r="X173" s="15" t="str">
        <f t="shared" si="60"/>
        <v xml:space="preserve"> </v>
      </c>
      <c r="Y173" s="15" t="str">
        <f t="shared" si="61"/>
        <v xml:space="preserve"> </v>
      </c>
      <c r="Z173" s="15" t="str">
        <f t="shared" si="62"/>
        <v xml:space="preserve"> </v>
      </c>
      <c r="AA173" s="15" t="str">
        <f t="shared" si="63"/>
        <v xml:space="preserve"> </v>
      </c>
      <c r="AB173" s="15" t="str">
        <f t="shared" si="64"/>
        <v xml:space="preserve"> </v>
      </c>
      <c r="AC173" s="15" t="str">
        <f t="shared" si="65"/>
        <v xml:space="preserve"> </v>
      </c>
      <c r="AG173" s="15" t="str">
        <f>IF(ISNUMBER(VLOOKUP(C173,'National budgets summary'!A:F,5, FALSE)),(VLOOKUP(C173,'National budgets summary'!A:F,5, FALSE)), " ")</f>
        <v xml:space="preserve"> </v>
      </c>
      <c r="AH173" t="str">
        <f>IF(ISNUMBER(VLOOKUP(C173,'National budgets summary'!A:F,5, FALSE)),(VLOOKUP(C173,'National budgets summary'!A:F,4, FALSE)), " ")</f>
        <v xml:space="preserve"> </v>
      </c>
      <c r="AI173" s="15" t="str">
        <f t="shared" si="46"/>
        <v xml:space="preserve"> </v>
      </c>
      <c r="AJ173" s="15" t="str">
        <f t="shared" si="51"/>
        <v xml:space="preserve"> </v>
      </c>
      <c r="AK173" s="15" t="str">
        <f t="shared" si="52"/>
        <v/>
      </c>
      <c r="AL173" s="15" t="str">
        <f t="shared" si="53"/>
        <v/>
      </c>
      <c r="AM173" s="15" t="str">
        <f t="shared" si="54"/>
        <v/>
      </c>
      <c r="AN173" s="15">
        <f t="shared" si="47"/>
        <v>5.5826616010953236</v>
      </c>
      <c r="AO173" s="15">
        <f t="shared" si="48"/>
        <v>1.2796999529227882</v>
      </c>
      <c r="AP173" t="str">
        <f t="shared" si="49"/>
        <v xml:space="preserve"> </v>
      </c>
      <c r="AQ173" t="str">
        <f t="shared" si="50"/>
        <v>IMF COFOG</v>
      </c>
      <c r="AR173" s="7" t="str">
        <f t="shared" si="55"/>
        <v xml:space="preserve"> </v>
      </c>
      <c r="AS173" s="7" t="str">
        <f t="shared" si="56"/>
        <v xml:space="preserve"> </v>
      </c>
      <c r="AT173" s="7" t="str">
        <f t="shared" si="57"/>
        <v xml:space="preserve"> </v>
      </c>
      <c r="AU173" s="7">
        <f t="shared" si="58"/>
        <v>447.63904353239127</v>
      </c>
    </row>
    <row r="174" spans="1:47">
      <c r="A174">
        <v>171</v>
      </c>
      <c r="B174" t="s">
        <v>63</v>
      </c>
      <c r="C174" t="s">
        <v>450</v>
      </c>
      <c r="D174" t="s">
        <v>485</v>
      </c>
      <c r="E174" t="s">
        <v>622</v>
      </c>
      <c r="G174" t="s">
        <v>623</v>
      </c>
      <c r="H174" t="str">
        <f>IF(ISNUMBER(VLOOKUP(C174,'OECD DAC'!B:C,2,FALSE)), "YES", " ")</f>
        <v>YES</v>
      </c>
      <c r="I174">
        <v>35710</v>
      </c>
      <c r="J174">
        <v>2021</v>
      </c>
      <c r="K174" s="15">
        <f>IF(ISNUMBER(VLOOKUP(C174,'WEO GOV REV'!C:BL,58,FALSE)),(VLOOKUP(C174,'WEO GOV REV'!C:BL,58,FALSE)), " ")</f>
        <v>785.39800000000002</v>
      </c>
      <c r="L174" s="15">
        <f>IF(ISNUMBER(VLOOKUP(C174,'WEO GOV REV'!C:BL,62,FALSE)),(VLOOKUP(C174,'WEO GOV REV'!C:BL,62,FALSE)), " ")</f>
        <v>47.399937234453461</v>
      </c>
      <c r="M174">
        <f>IF(ISNUMBER(VLOOKUP(C174,'WEO GOV REV'!C:BL,62,FALSE)),(VLOOKUP(C174,'WEO GOV REV'!C:BL,57,FALSE)), " ")</f>
        <v>2020</v>
      </c>
      <c r="N174" s="15">
        <f>IF(ISNUMBER(VLOOKUP($C174,'IMF COFOG FULL'!$B:$CM,79,FALSE)),(VLOOKUP($C174,'IMF COFOG FULL'!$B:$CM,79,FALSE)), " ")</f>
        <v>2.0215004283737801</v>
      </c>
      <c r="O174" s="15">
        <f>IF(ISNUMBER(VLOOKUP($C174,'IMF COFOG FULL'!$B:$CM,80,FALSE)),(VLOOKUP($C174,'IMF COFOG FULL'!$B:$CM,80,FALSE)), " ")</f>
        <v>1.2401950841459299</v>
      </c>
      <c r="P174" s="15">
        <f>IF(ISNUMBER(VLOOKUP($C174,'IMF COFOG FULL'!$B:$CM,81,FALSE)),(VLOOKUP($C174,'IMF COFOG FULL'!$B:$CM,81,FALSE)), " ")</f>
        <v>0.21391442817397699</v>
      </c>
      <c r="Q174" s="15">
        <f>IF(ISNUMBER(VLOOKUP($C174,'IMF COFOG FULL'!$B:$CM,82,FALSE)),(VLOOKUP($C174,'IMF COFOG FULL'!$B:$CM,82,FALSE)), " ")</f>
        <v>0.344576000775008</v>
      </c>
      <c r="R174" s="15">
        <f>IF(ISNUMBER(VLOOKUP($C174,'IMF COFOG FULL'!$B:$CM,83,FALSE)),(VLOOKUP($C174,'IMF COFOG FULL'!$B:$CM,83,FALSE)), " ")</f>
        <v>0.214398808424584</v>
      </c>
      <c r="S174" s="15">
        <f>IF(ISNUMBER(VLOOKUP($C174,'IMF COFOG FULL'!$B:$CM,84,FALSE)),(VLOOKUP($C174,'IMF COFOG FULL'!$B:$CM,84,FALSE)), " ")</f>
        <v>0</v>
      </c>
      <c r="T174" s="15">
        <f>IF(ISNUMBER(VLOOKUP($C174,'IMF COFOG FULL'!$B:$CM,85,FALSE)),(VLOOKUP($C174,'IMF COFOG FULL'!$B:$CM,85,FALSE)), " ")</f>
        <v>8.4161068542832809E-3</v>
      </c>
      <c r="U174" s="7">
        <f>IF(ISNUMBER(VLOOKUP($C174,'IMF COFOG FULL'!$B:$CM,79,FALSE)),(VLOOKUP($C174,'IMF COFOG FULL'!$B:$CM,86,FALSE)), " ")</f>
        <v>2020</v>
      </c>
      <c r="V174" s="15" t="str">
        <f>IF(ISNUMBER(VLOOKUP($C174,'IMF COFOG FULL'!$B:$CM,79,FALSE)),(VLOOKUP($C174,'IMF COFOG FULL'!$B:$CM,87,FALSE)), " ")</f>
        <v>General government</v>
      </c>
      <c r="W174" s="15">
        <f t="shared" si="59"/>
        <v>4.2647744835080026</v>
      </c>
      <c r="X174" s="15">
        <f t="shared" si="60"/>
        <v>2.6164487898192252</v>
      </c>
      <c r="Y174" s="15">
        <f t="shared" si="61"/>
        <v>0.45129685956311694</v>
      </c>
      <c r="Z174" s="15">
        <f t="shared" si="62"/>
        <v>0.72695455074262627</v>
      </c>
      <c r="AA174" s="15">
        <f t="shared" si="63"/>
        <v>0.45231876017916867</v>
      </c>
      <c r="AB174" s="15">
        <f t="shared" si="64"/>
        <v>0</v>
      </c>
      <c r="AC174" s="15">
        <f t="shared" si="65"/>
        <v>1.7755523203870169E-2</v>
      </c>
      <c r="AG174" s="15" t="str">
        <f>IF(ISNUMBER(VLOOKUP(C174,'National budgets summary'!A:F,5, FALSE)),(VLOOKUP(C174,'National budgets summary'!A:F,5, FALSE)), " ")</f>
        <v xml:space="preserve"> </v>
      </c>
      <c r="AH174" t="str">
        <f>IF(ISNUMBER(VLOOKUP(C174,'National budgets summary'!A:F,5, FALSE)),(VLOOKUP(C174,'National budgets summary'!A:F,4, FALSE)), " ")</f>
        <v xml:space="preserve"> </v>
      </c>
      <c r="AI174" s="15" t="str">
        <f t="shared" si="46"/>
        <v xml:space="preserve"> </v>
      </c>
      <c r="AJ174" s="15" t="str">
        <f t="shared" si="51"/>
        <v xml:space="preserve"> </v>
      </c>
      <c r="AK174" s="15">
        <f t="shared" si="52"/>
        <v>2.6164487898192252</v>
      </c>
      <c r="AL174" s="15">
        <f t="shared" si="53"/>
        <v>0.72695455074262627</v>
      </c>
      <c r="AM174" s="15">
        <f t="shared" si="54"/>
        <v>0.45231876017916867</v>
      </c>
      <c r="AN174" s="15">
        <f t="shared" si="47"/>
        <v>4.2647744835080026</v>
      </c>
      <c r="AO174" s="15">
        <f t="shared" si="48"/>
        <v>2.0215004283737801</v>
      </c>
      <c r="AP174">
        <f t="shared" si="49"/>
        <v>2020</v>
      </c>
      <c r="AQ174" t="str">
        <f t="shared" si="50"/>
        <v>IMF COFOG</v>
      </c>
      <c r="AR174" s="7">
        <f t="shared" si="55"/>
        <v>442.87366454851161</v>
      </c>
      <c r="AS174" s="7">
        <f t="shared" si="56"/>
        <v>123.04808987675537</v>
      </c>
      <c r="AT174" s="7">
        <f t="shared" si="57"/>
        <v>76.56181448841896</v>
      </c>
      <c r="AU174" s="7">
        <f t="shared" si="58"/>
        <v>721.87780297227687</v>
      </c>
    </row>
    <row r="175" spans="1:47">
      <c r="A175">
        <v>172</v>
      </c>
      <c r="B175" t="s">
        <v>254</v>
      </c>
      <c r="C175" t="s">
        <v>571</v>
      </c>
      <c r="D175" t="s">
        <v>487</v>
      </c>
      <c r="E175" t="s">
        <v>622</v>
      </c>
      <c r="H175" t="str">
        <f>IF(ISNUMBER(VLOOKUP(C175,'OECD DAC'!B:C,2,FALSE)), "YES", " ")</f>
        <v xml:space="preserve"> </v>
      </c>
      <c r="I175">
        <v>36200</v>
      </c>
      <c r="J175">
        <v>2019</v>
      </c>
      <c r="K175" s="15">
        <f>IF(ISNUMBER(VLOOKUP(C175,'WEO GOV REV'!C:BL,58,FALSE)),(VLOOKUP(C175,'WEO GOV REV'!C:BL,58,FALSE)), " ")</f>
        <v>17.123000000000001</v>
      </c>
      <c r="L175" s="15">
        <f>IF(ISNUMBER(VLOOKUP(C175,'WEO GOV REV'!C:BL,62,FALSE)),(VLOOKUP(C175,'WEO GOV REV'!C:BL,62,FALSE)), " ")</f>
        <v>52.775466173524435</v>
      </c>
      <c r="M175">
        <f>IF(ISNUMBER(VLOOKUP(C175,'WEO GOV REV'!C:BL,62,FALSE)),(VLOOKUP(C175,'WEO GOV REV'!C:BL,57,FALSE)), " ")</f>
        <v>2020</v>
      </c>
      <c r="N175" s="15" t="str">
        <f>IF(ISNUMBER(VLOOKUP($C175,'IMF COFOG FULL'!$B:$CM,79,FALSE)),(VLOOKUP($C175,'IMF COFOG FULL'!$B:$CM,79,FALSE)), " ")</f>
        <v xml:space="preserve"> </v>
      </c>
      <c r="O175" s="15" t="str">
        <f>IF(ISNUMBER(VLOOKUP($C175,'IMF COFOG FULL'!$B:$CM,80,FALSE)),(VLOOKUP($C175,'IMF COFOG FULL'!$B:$CM,80,FALSE)), " ")</f>
        <v xml:space="preserve"> </v>
      </c>
      <c r="P175" s="15" t="str">
        <f>IF(ISNUMBER(VLOOKUP($C175,'IMF COFOG FULL'!$B:$CM,81,FALSE)),(VLOOKUP($C175,'IMF COFOG FULL'!$B:$CM,81,FALSE)), " ")</f>
        <v xml:space="preserve"> </v>
      </c>
      <c r="Q175" s="15" t="str">
        <f>IF(ISNUMBER(VLOOKUP($C175,'IMF COFOG FULL'!$B:$CM,82,FALSE)),(VLOOKUP($C175,'IMF COFOG FULL'!$B:$CM,82,FALSE)), " ")</f>
        <v xml:space="preserve"> </v>
      </c>
      <c r="R175" s="15" t="str">
        <f>IF(ISNUMBER(VLOOKUP($C175,'IMF COFOG FULL'!$B:$CM,83,FALSE)),(VLOOKUP($C175,'IMF COFOG FULL'!$B:$CM,83,FALSE)), " ")</f>
        <v xml:space="preserve"> </v>
      </c>
      <c r="S175" s="15" t="str">
        <f>IF(ISNUMBER(VLOOKUP($C175,'IMF COFOG FULL'!$B:$CM,84,FALSE)),(VLOOKUP($C175,'IMF COFOG FULL'!$B:$CM,84,FALSE)), " ")</f>
        <v xml:space="preserve"> </v>
      </c>
      <c r="T175" s="15" t="str">
        <f>IF(ISNUMBER(VLOOKUP($C175,'IMF COFOG FULL'!$B:$CM,85,FALSE)),(VLOOKUP($C175,'IMF COFOG FULL'!$B:$CM,85,FALSE)), " ")</f>
        <v xml:space="preserve"> </v>
      </c>
      <c r="U175" s="7" t="str">
        <f>IF(ISNUMBER(VLOOKUP($C175,'IMF COFOG FULL'!$B:$CM,79,FALSE)),(VLOOKUP($C175,'IMF COFOG FULL'!$B:$CM,86,FALSE)), " ")</f>
        <v xml:space="preserve"> </v>
      </c>
      <c r="V175" s="15" t="str">
        <f>IF(ISNUMBER(VLOOKUP($C175,'IMF COFOG FULL'!$B:$CM,79,FALSE)),(VLOOKUP($C175,'IMF COFOG FULL'!$B:$CM,87,FALSE)), " ")</f>
        <v xml:space="preserve"> </v>
      </c>
      <c r="W175" s="15" t="str">
        <f t="shared" si="59"/>
        <v xml:space="preserve"> </v>
      </c>
      <c r="X175" s="15" t="str">
        <f t="shared" si="60"/>
        <v xml:space="preserve"> </v>
      </c>
      <c r="Y175" s="15" t="str">
        <f t="shared" si="61"/>
        <v xml:space="preserve"> </v>
      </c>
      <c r="Z175" s="15" t="str">
        <f t="shared" si="62"/>
        <v xml:space="preserve"> </v>
      </c>
      <c r="AA175" s="15" t="str">
        <f t="shared" si="63"/>
        <v xml:space="preserve"> </v>
      </c>
      <c r="AB175" s="15" t="str">
        <f t="shared" si="64"/>
        <v xml:space="preserve"> </v>
      </c>
      <c r="AC175" s="15" t="str">
        <f t="shared" si="65"/>
        <v xml:space="preserve"> </v>
      </c>
      <c r="AG175" s="15" t="str">
        <f>IF(ISNUMBER(VLOOKUP(C175,'National budgets summary'!A:F,5, FALSE)),(VLOOKUP(C175,'National budgets summary'!A:F,5, FALSE)), " ")</f>
        <v xml:space="preserve"> </v>
      </c>
      <c r="AH175" t="str">
        <f>IF(ISNUMBER(VLOOKUP(C175,'National budgets summary'!A:F,5, FALSE)),(VLOOKUP(C175,'National budgets summary'!A:F,4, FALSE)), " ")</f>
        <v xml:space="preserve"> </v>
      </c>
      <c r="AI175" s="15" t="str">
        <f t="shared" si="46"/>
        <v xml:space="preserve"> </v>
      </c>
      <c r="AJ175" s="15" t="str">
        <f t="shared" si="51"/>
        <v xml:space="preserve"> </v>
      </c>
      <c r="AK175" s="15" t="str">
        <f t="shared" si="52"/>
        <v/>
      </c>
      <c r="AL175" s="15" t="str">
        <f t="shared" si="53"/>
        <v/>
      </c>
      <c r="AM175" s="15" t="str">
        <f t="shared" si="54"/>
        <v/>
      </c>
      <c r="AN175" s="15" t="str">
        <f t="shared" si="47"/>
        <v xml:space="preserve"> </v>
      </c>
      <c r="AO175" s="15" t="str">
        <f t="shared" si="48"/>
        <v xml:space="preserve"> </v>
      </c>
      <c r="AP175" t="str">
        <f t="shared" si="49"/>
        <v xml:space="preserve"> </v>
      </c>
      <c r="AQ175" t="str">
        <f t="shared" si="50"/>
        <v xml:space="preserve"> </v>
      </c>
      <c r="AR175" s="7" t="str">
        <f t="shared" si="55"/>
        <v xml:space="preserve"> </v>
      </c>
      <c r="AS175" s="7" t="str">
        <f t="shared" si="56"/>
        <v xml:space="preserve"> </v>
      </c>
      <c r="AT175" s="7" t="str">
        <f t="shared" si="57"/>
        <v xml:space="preserve"> </v>
      </c>
      <c r="AU175" s="7" t="str">
        <f t="shared" si="58"/>
        <v xml:space="preserve"> </v>
      </c>
    </row>
    <row r="176" spans="1:47">
      <c r="A176">
        <v>173</v>
      </c>
      <c r="B176" t="s">
        <v>255</v>
      </c>
      <c r="C176" t="s">
        <v>561</v>
      </c>
      <c r="D176" t="s">
        <v>487</v>
      </c>
      <c r="E176" t="s">
        <v>622</v>
      </c>
      <c r="H176" t="str">
        <f>IF(ISNUMBER(VLOOKUP(C176,'OECD DAC'!B:C,2,FALSE)), "YES", " ")</f>
        <v xml:space="preserve"> </v>
      </c>
      <c r="I176">
        <v>39410</v>
      </c>
      <c r="J176">
        <v>2020</v>
      </c>
      <c r="K176" s="15">
        <f>IF(ISNUMBER(VLOOKUP(C176,'WEO GOV REV'!C:BL,58,FALSE)),(VLOOKUP(C176,'WEO GOV REV'!C:BL,58,FALSE)), " ")</f>
        <v>367.86500000000001</v>
      </c>
      <c r="L176" s="15">
        <f>IF(ISNUMBER(VLOOKUP(C176,'WEO GOV REV'!C:BL,62,FALSE)),(VLOOKUP(C176,'WEO GOV REV'!C:BL,62,FALSE)), " ")</f>
        <v>27.911908646003265</v>
      </c>
      <c r="M176">
        <f>IF(ISNUMBER(VLOOKUP(C176,'WEO GOV REV'!C:BL,62,FALSE)),(VLOOKUP(C176,'WEO GOV REV'!C:BL,57,FALSE)), " ")</f>
        <v>2020</v>
      </c>
      <c r="N176" s="15">
        <f>IF(ISNUMBER(VLOOKUP($C176,'IMF COFOG FULL'!$B:$CM,79,FALSE)),(VLOOKUP($C176,'IMF COFOG FULL'!$B:$CM,79,FALSE)), " ")</f>
        <v>3.20344046219875</v>
      </c>
      <c r="O176" s="15">
        <f>IF(ISNUMBER(VLOOKUP($C176,'IMF COFOG FULL'!$B:$CM,80,FALSE)),(VLOOKUP($C176,'IMF COFOG FULL'!$B:$CM,80,FALSE)), " ")</f>
        <v>0.89828964990674898</v>
      </c>
      <c r="P176" s="15">
        <f>IF(ISNUMBER(VLOOKUP($C176,'IMF COFOG FULL'!$B:$CM,81,FALSE)),(VLOOKUP($C176,'IMF COFOG FULL'!$B:$CM,81,FALSE)), " ")</f>
        <v>3.6140442284433499E-2</v>
      </c>
      <c r="Q176" s="15">
        <f>IF(ISNUMBER(VLOOKUP($C176,'IMF COFOG FULL'!$B:$CM,82,FALSE)),(VLOOKUP($C176,'IMF COFOG FULL'!$B:$CM,82,FALSE)), " ")</f>
        <v>6.6141525672523793E-2</v>
      </c>
      <c r="R176" s="15">
        <f>IF(ISNUMBER(VLOOKUP($C176,'IMF COFOG FULL'!$B:$CM,83,FALSE)),(VLOOKUP($C176,'IMF COFOG FULL'!$B:$CM,83,FALSE)), " ")</f>
        <v>0</v>
      </c>
      <c r="S176" s="15">
        <f>IF(ISNUMBER(VLOOKUP($C176,'IMF COFOG FULL'!$B:$CM,84,FALSE)),(VLOOKUP($C176,'IMF COFOG FULL'!$B:$CM,84,FALSE)), " ")</f>
        <v>0</v>
      </c>
      <c r="T176" s="15">
        <f>IF(ISNUMBER(VLOOKUP($C176,'IMF COFOG FULL'!$B:$CM,85,FALSE)),(VLOOKUP($C176,'IMF COFOG FULL'!$B:$CM,85,FALSE)), " ")</f>
        <v>2.2028688443350499</v>
      </c>
      <c r="U176" s="7">
        <f>IF(ISNUMBER(VLOOKUP($C176,'IMF COFOG FULL'!$B:$CM,79,FALSE)),(VLOOKUP($C176,'IMF COFOG FULL'!$B:$CM,86,FALSE)), " ")</f>
        <v>2020</v>
      </c>
      <c r="V176" s="15" t="str">
        <f>IF(ISNUMBER(VLOOKUP($C176,'IMF COFOG FULL'!$B:$CM,79,FALSE)),(VLOOKUP($C176,'IMF COFOG FULL'!$B:$CM,87,FALSE)), " ")</f>
        <v>General government</v>
      </c>
      <c r="W176" s="15">
        <f t="shared" si="59"/>
        <v>11.476966705598093</v>
      </c>
      <c r="X176" s="15">
        <f t="shared" si="60"/>
        <v>3.2183024862234779</v>
      </c>
      <c r="Y176" s="15">
        <f t="shared" si="61"/>
        <v>0.12948036890916267</v>
      </c>
      <c r="Z176" s="15">
        <f t="shared" si="62"/>
        <v>0.23696525562394555</v>
      </c>
      <c r="AA176" s="15">
        <f t="shared" si="63"/>
        <v>0</v>
      </c>
      <c r="AB176" s="15">
        <f t="shared" si="64"/>
        <v>0</v>
      </c>
      <c r="AC176" s="15">
        <f t="shared" si="65"/>
        <v>7.8922185948415287</v>
      </c>
      <c r="AG176" s="15" t="str">
        <f>IF(ISNUMBER(VLOOKUP(C176,'National budgets summary'!A:F,5, FALSE)),(VLOOKUP(C176,'National budgets summary'!A:F,5, FALSE)), " ")</f>
        <v xml:space="preserve"> </v>
      </c>
      <c r="AH176" t="str">
        <f>IF(ISNUMBER(VLOOKUP(C176,'National budgets summary'!A:F,5, FALSE)),(VLOOKUP(C176,'National budgets summary'!A:F,4, FALSE)), " ")</f>
        <v xml:space="preserve"> </v>
      </c>
      <c r="AI176" s="15" t="str">
        <f t="shared" si="46"/>
        <v xml:space="preserve"> </v>
      </c>
      <c r="AJ176" s="15" t="str">
        <f t="shared" si="51"/>
        <v xml:space="preserve"> </v>
      </c>
      <c r="AK176" s="15">
        <f t="shared" si="52"/>
        <v>3.2183024862234779</v>
      </c>
      <c r="AL176" s="15">
        <f t="shared" si="53"/>
        <v>0.23696525562394555</v>
      </c>
      <c r="AM176" s="15">
        <f t="shared" si="54"/>
        <v>0</v>
      </c>
      <c r="AN176" s="15">
        <f t="shared" si="47"/>
        <v>11.476966705598093</v>
      </c>
      <c r="AO176" s="15">
        <f t="shared" si="48"/>
        <v>3.20344046219875</v>
      </c>
      <c r="AP176">
        <f t="shared" si="49"/>
        <v>2020</v>
      </c>
      <c r="AQ176" t="str">
        <f t="shared" si="50"/>
        <v>IMF COFOG</v>
      </c>
      <c r="AR176" s="7">
        <f t="shared" si="55"/>
        <v>354.01595102824973</v>
      </c>
      <c r="AS176" s="7">
        <f t="shared" si="56"/>
        <v>26.066375267541623</v>
      </c>
      <c r="AT176" s="7">
        <f t="shared" si="57"/>
        <v>0</v>
      </c>
      <c r="AU176" s="7">
        <f t="shared" si="58"/>
        <v>1262.4758861525272</v>
      </c>
    </row>
    <row r="177" spans="1:47">
      <c r="A177">
        <v>174</v>
      </c>
      <c r="B177" t="s">
        <v>57</v>
      </c>
      <c r="C177" t="s">
        <v>451</v>
      </c>
      <c r="D177" t="s">
        <v>493</v>
      </c>
      <c r="E177" t="s">
        <v>622</v>
      </c>
      <c r="H177" t="str">
        <f>IF(ISNUMBER(VLOOKUP(C177,'OECD DAC'!B:C,2,FALSE)), "YES", " ")</f>
        <v>YES</v>
      </c>
      <c r="I177">
        <v>42620</v>
      </c>
      <c r="J177">
        <v>2021</v>
      </c>
      <c r="K177" s="15">
        <f>IF(ISNUMBER(VLOOKUP(C177,'WEO GOV REV'!C:BL,58,FALSE)),(VLOOKUP(C177,'WEO GOV REV'!C:BL,58,FALSE)), " ")</f>
        <v>191417.7</v>
      </c>
      <c r="L177" s="15">
        <f>IF(ISNUMBER(VLOOKUP(C177,'WEO GOV REV'!C:BL,62,FALSE)),(VLOOKUP(C177,'WEO GOV REV'!C:BL,62,FALSE)), " ")</f>
        <v>35.569224056843062</v>
      </c>
      <c r="M177">
        <f>IF(ISNUMBER(VLOOKUP(C177,'WEO GOV REV'!C:BL,62,FALSE)),(VLOOKUP(C177,'WEO GOV REV'!C:BL,57,FALSE)), " ")</f>
        <v>2020</v>
      </c>
      <c r="N177" s="15">
        <f>IF(ISNUMBER(VLOOKUP($C177,'IMF COFOG FULL'!$B:$CM,79,FALSE)),(VLOOKUP($C177,'IMF COFOG FULL'!$B:$CM,79,FALSE)), " ")</f>
        <v>1.2881656096241201</v>
      </c>
      <c r="O177" s="15">
        <f>IF(ISNUMBER(VLOOKUP($C177,'IMF COFOG FULL'!$B:$CM,80,FALSE)),(VLOOKUP($C177,'IMF COFOG FULL'!$B:$CM,80,FALSE)), " ")</f>
        <v>0.66836399886019504</v>
      </c>
      <c r="P177" s="15">
        <f>IF(ISNUMBER(VLOOKUP($C177,'IMF COFOG FULL'!$B:$CM,81,FALSE)),(VLOOKUP($C177,'IMF COFOG FULL'!$B:$CM,81,FALSE)), " ")</f>
        <v>0.37600579926989303</v>
      </c>
      <c r="Q177" s="15">
        <f>IF(ISNUMBER(VLOOKUP($C177,'IMF COFOG FULL'!$B:$CM,82,FALSE)),(VLOOKUP($C177,'IMF COFOG FULL'!$B:$CM,82,FALSE)), " ")</f>
        <v>0.104865799065694</v>
      </c>
      <c r="R177" s="15">
        <f>IF(ISNUMBER(VLOOKUP($C177,'IMF COFOG FULL'!$B:$CM,83,FALSE)),(VLOOKUP($C177,'IMF COFOG FULL'!$B:$CM,83,FALSE)), " ")</f>
        <v>4.7040172567262901E-2</v>
      </c>
      <c r="S177" s="15">
        <f>IF(ISNUMBER(VLOOKUP($C177,'IMF COFOG FULL'!$B:$CM,84,FALSE)),(VLOOKUP($C177,'IMF COFOG FULL'!$B:$CM,84,FALSE)), " ")</f>
        <v>4.8265370432077199E-4</v>
      </c>
      <c r="T177" s="15">
        <f>IF(ISNUMBER(VLOOKUP($C177,'IMF COFOG FULL'!$B:$CM,85,FALSE)),(VLOOKUP($C177,'IMF COFOG FULL'!$B:$CM,85,FALSE)), " ")</f>
        <v>9.1388622552736901E-2</v>
      </c>
      <c r="U177" s="7">
        <f>IF(ISNUMBER(VLOOKUP($C177,'IMF COFOG FULL'!$B:$CM,79,FALSE)),(VLOOKUP($C177,'IMF COFOG FULL'!$B:$CM,86,FALSE)), " ")</f>
        <v>2020</v>
      </c>
      <c r="V177" s="15" t="str">
        <f>IF(ISNUMBER(VLOOKUP($C177,'IMF COFOG FULL'!$B:$CM,79,FALSE)),(VLOOKUP($C177,'IMF COFOG FULL'!$B:$CM,87,FALSE)), " ")</f>
        <v>General government</v>
      </c>
      <c r="W177" s="15">
        <f t="shared" si="59"/>
        <v>3.6215735478668494</v>
      </c>
      <c r="X177" s="15">
        <f t="shared" si="60"/>
        <v>1.8790513894598453</v>
      </c>
      <c r="Y177" s="15">
        <f t="shared" si="61"/>
        <v>1.0571099292720003</v>
      </c>
      <c r="Z177" s="15">
        <f t="shared" si="62"/>
        <v>0.29482172256023442</v>
      </c>
      <c r="AA177" s="15">
        <f t="shared" si="63"/>
        <v>0.13224964506419412</v>
      </c>
      <c r="AB177" s="15">
        <f t="shared" si="64"/>
        <v>1.3569418988433502E-3</v>
      </c>
      <c r="AC177" s="15">
        <f t="shared" si="65"/>
        <v>0.25693172953868504</v>
      </c>
      <c r="AG177" s="15" t="str">
        <f>IF(ISNUMBER(VLOOKUP(C177,'National budgets summary'!A:F,5, FALSE)),(VLOOKUP(C177,'National budgets summary'!A:F,5, FALSE)), " ")</f>
        <v xml:space="preserve"> </v>
      </c>
      <c r="AH177" t="str">
        <f>IF(ISNUMBER(VLOOKUP(C177,'National budgets summary'!A:F,5, FALSE)),(VLOOKUP(C177,'National budgets summary'!A:F,4, FALSE)), " ")</f>
        <v xml:space="preserve"> </v>
      </c>
      <c r="AI177" s="15" t="str">
        <f t="shared" si="46"/>
        <v xml:space="preserve"> </v>
      </c>
      <c r="AJ177" s="15" t="str">
        <f t="shared" si="51"/>
        <v xml:space="preserve"> </v>
      </c>
      <c r="AK177" s="15">
        <f t="shared" si="52"/>
        <v>1.8790513894598453</v>
      </c>
      <c r="AL177" s="15">
        <f t="shared" si="53"/>
        <v>0.29482172256023442</v>
      </c>
      <c r="AM177" s="15">
        <f t="shared" si="54"/>
        <v>0.13224964506419412</v>
      </c>
      <c r="AN177" s="15">
        <f t="shared" si="47"/>
        <v>3.6215735478668494</v>
      </c>
      <c r="AO177" s="15">
        <f t="shared" si="48"/>
        <v>1.2881656096241201</v>
      </c>
      <c r="AP177">
        <f t="shared" si="49"/>
        <v>2020</v>
      </c>
      <c r="AQ177" t="str">
        <f t="shared" si="50"/>
        <v>IMF COFOG</v>
      </c>
      <c r="AR177" s="7">
        <f t="shared" si="55"/>
        <v>284.85673631421514</v>
      </c>
      <c r="AS177" s="7">
        <f t="shared" si="56"/>
        <v>44.693803561798788</v>
      </c>
      <c r="AT177" s="7">
        <f t="shared" si="57"/>
        <v>20.048521548167447</v>
      </c>
      <c r="AU177" s="7">
        <f t="shared" si="58"/>
        <v>549.01618282180004</v>
      </c>
    </row>
    <row r="178" spans="1:47">
      <c r="A178">
        <v>175</v>
      </c>
      <c r="B178" t="s">
        <v>55</v>
      </c>
      <c r="C178" t="s">
        <v>452</v>
      </c>
      <c r="D178" t="s">
        <v>485</v>
      </c>
      <c r="E178" t="s">
        <v>622</v>
      </c>
      <c r="G178" t="s">
        <v>623</v>
      </c>
      <c r="H178" t="str">
        <f>IF(ISNUMBER(VLOOKUP(C178,'OECD DAC'!B:C,2,FALSE)), "YES", " ")</f>
        <v>YES</v>
      </c>
      <c r="I178">
        <v>43880</v>
      </c>
      <c r="J178">
        <v>2021</v>
      </c>
      <c r="K178" s="15">
        <f>IF(ISNUMBER(VLOOKUP(C178,'WEO GOV REV'!C:BL,58,FALSE)),(VLOOKUP(C178,'WEO GOV REV'!C:BL,58,FALSE)), " ")</f>
        <v>1310.6199999999999</v>
      </c>
      <c r="L178" s="15">
        <f>IF(ISNUMBER(VLOOKUP(C178,'WEO GOV REV'!C:BL,62,FALSE)),(VLOOKUP(C178,'WEO GOV REV'!C:BL,62,FALSE)), " ")</f>
        <v>52.81372023581654</v>
      </c>
      <c r="M178">
        <f>IF(ISNUMBER(VLOOKUP(C178,'WEO GOV REV'!C:BL,62,FALSE)),(VLOOKUP(C178,'WEO GOV REV'!C:BL,57,FALSE)), " ")</f>
        <v>2021</v>
      </c>
      <c r="N178" s="15">
        <f>IF(ISNUMBER(VLOOKUP($C178,'IMF COFOG FULL'!$B:$CM,79,FALSE)),(VLOOKUP($C178,'IMF COFOG FULL'!$B:$CM,79,FALSE)), " ")</f>
        <v>1.7738377495809601</v>
      </c>
      <c r="O178" s="15">
        <f>IF(ISNUMBER(VLOOKUP($C178,'IMF COFOG FULL'!$B:$CM,80,FALSE)),(VLOOKUP($C178,'IMF COFOG FULL'!$B:$CM,80,FALSE)), " ")</f>
        <v>0.99966997559556403</v>
      </c>
      <c r="P178" s="15">
        <f>IF(ISNUMBER(VLOOKUP($C178,'IMF COFOG FULL'!$B:$CM,81,FALSE)),(VLOOKUP($C178,'IMF COFOG FULL'!$B:$CM,81,FALSE)), " ")</f>
        <v>0.288771353881695</v>
      </c>
      <c r="Q178" s="15">
        <f>IF(ISNUMBER(VLOOKUP($C178,'IMF COFOG FULL'!$B:$CM,82,FALSE)),(VLOOKUP($C178,'IMF COFOG FULL'!$B:$CM,82,FALSE)), " ")</f>
        <v>0.246693242316077</v>
      </c>
      <c r="R178" s="15">
        <f>IF(ISNUMBER(VLOOKUP($C178,'IMF COFOG FULL'!$B:$CM,83,FALSE)),(VLOOKUP($C178,'IMF COFOG FULL'!$B:$CM,83,FALSE)), " ")</f>
        <v>0.17256802410915101</v>
      </c>
      <c r="S178" s="15">
        <f>IF(ISNUMBER(VLOOKUP($C178,'IMF COFOG FULL'!$B:$CM,84,FALSE)),(VLOOKUP($C178,'IMF COFOG FULL'!$B:$CM,84,FALSE)), " ")</f>
        <v>6.5136395612412396E-4</v>
      </c>
      <c r="T178" s="15">
        <f>IF(ISNUMBER(VLOOKUP($C178,'IMF COFOG FULL'!$B:$CM,85,FALSE)),(VLOOKUP($C178,'IMF COFOG FULL'!$B:$CM,85,FALSE)), " ")</f>
        <v>6.5440365458603697E-2</v>
      </c>
      <c r="U178" s="7">
        <f>IF(ISNUMBER(VLOOKUP($C178,'IMF COFOG FULL'!$B:$CM,79,FALSE)),(VLOOKUP($C178,'IMF COFOG FULL'!$B:$CM,86,FALSE)), " ")</f>
        <v>2020</v>
      </c>
      <c r="V178" s="15" t="str">
        <f>IF(ISNUMBER(VLOOKUP($C178,'IMF COFOG FULL'!$B:$CM,79,FALSE)),(VLOOKUP($C178,'IMF COFOG FULL'!$B:$CM,87,FALSE)), " ")</f>
        <v>General government</v>
      </c>
      <c r="W178" s="15">
        <f t="shared" si="59"/>
        <v>3.3586684324843326</v>
      </c>
      <c r="X178" s="15">
        <f t="shared" si="60"/>
        <v>1.8928224922084176</v>
      </c>
      <c r="Y178" s="15">
        <f t="shared" si="61"/>
        <v>0.54677336228599871</v>
      </c>
      <c r="Z178" s="15">
        <f t="shared" si="62"/>
        <v>0.46710067235289687</v>
      </c>
      <c r="AA178" s="15">
        <f t="shared" si="63"/>
        <v>0.32674847243978283</v>
      </c>
      <c r="AB178" s="15">
        <f t="shared" si="64"/>
        <v>1.2333233735774406E-3</v>
      </c>
      <c r="AC178" s="15">
        <f t="shared" si="65"/>
        <v>0.12390788826541362</v>
      </c>
      <c r="AG178" s="15" t="str">
        <f>IF(ISNUMBER(VLOOKUP(C178,'National budgets summary'!A:F,5, FALSE)),(VLOOKUP(C178,'National budgets summary'!A:F,5, FALSE)), " ")</f>
        <v xml:space="preserve"> </v>
      </c>
      <c r="AH178" t="str">
        <f>IF(ISNUMBER(VLOOKUP(C178,'National budgets summary'!A:F,5, FALSE)),(VLOOKUP(C178,'National budgets summary'!A:F,4, FALSE)), " ")</f>
        <v xml:space="preserve"> </v>
      </c>
      <c r="AI178" s="15" t="str">
        <f t="shared" si="46"/>
        <v xml:space="preserve"> </v>
      </c>
      <c r="AJ178" s="15" t="str">
        <f t="shared" si="51"/>
        <v xml:space="preserve"> </v>
      </c>
      <c r="AK178" s="15">
        <f t="shared" si="52"/>
        <v>1.8928224922084176</v>
      </c>
      <c r="AL178" s="15">
        <f t="shared" si="53"/>
        <v>0.46710067235289687</v>
      </c>
      <c r="AM178" s="15">
        <f t="shared" si="54"/>
        <v>0.32674847243978283</v>
      </c>
      <c r="AN178" s="15">
        <f t="shared" si="47"/>
        <v>3.3586684324843326</v>
      </c>
      <c r="AO178" s="15">
        <f t="shared" si="48"/>
        <v>1.7738377495809601</v>
      </c>
      <c r="AP178">
        <f t="shared" si="49"/>
        <v>2020</v>
      </c>
      <c r="AQ178" t="str">
        <f t="shared" si="50"/>
        <v>IMF COFOG</v>
      </c>
      <c r="AR178" s="7">
        <f t="shared" si="55"/>
        <v>438.65518529133351</v>
      </c>
      <c r="AS178" s="7">
        <f t="shared" si="56"/>
        <v>108.24899472829459</v>
      </c>
      <c r="AT178" s="7">
        <f t="shared" si="57"/>
        <v>75.722848979095474</v>
      </c>
      <c r="AU178" s="7">
        <f t="shared" si="58"/>
        <v>778.36000451612529</v>
      </c>
    </row>
    <row r="179" spans="1:47">
      <c r="A179">
        <v>176</v>
      </c>
      <c r="B179" t="s">
        <v>71</v>
      </c>
      <c r="C179" t="s">
        <v>453</v>
      </c>
      <c r="D179" t="s">
        <v>493</v>
      </c>
      <c r="E179" t="s">
        <v>622</v>
      </c>
      <c r="H179" t="str">
        <f>IF(ISNUMBER(VLOOKUP(C179,'OECD DAC'!B:C,2,FALSE)), "YES", " ")</f>
        <v>YES</v>
      </c>
      <c r="I179">
        <v>45340</v>
      </c>
      <c r="J179">
        <v>2021</v>
      </c>
      <c r="K179" s="15">
        <f>IF(ISNUMBER(VLOOKUP(C179,'WEO GOV REV'!C:BL,58,FALSE)),(VLOOKUP(C179,'WEO GOV REV'!C:BL,58,FALSE)), " ")</f>
        <v>122.033</v>
      </c>
      <c r="L179" s="15">
        <f>IF(ISNUMBER(VLOOKUP(C179,'WEO GOV REV'!C:BL,62,FALSE)),(VLOOKUP(C179,'WEO GOV REV'!C:BL,62,FALSE)), " ")</f>
        <v>37.648238415499478</v>
      </c>
      <c r="M179">
        <f>IF(ISNUMBER(VLOOKUP(C179,'WEO GOV REV'!C:BL,62,FALSE)),(VLOOKUP(C179,'WEO GOV REV'!C:BL,57,FALSE)), " ")</f>
        <v>2020</v>
      </c>
      <c r="N179" s="15">
        <f>IF(ISNUMBER(VLOOKUP($C179,'IMF COFOG FULL'!$B:$CM,79,FALSE)),(VLOOKUP($C179,'IMF COFOG FULL'!$B:$CM,79,FALSE)), " ")</f>
        <v>1.95102069967767</v>
      </c>
      <c r="O179" s="15" t="str">
        <f>IF(ISNUMBER(VLOOKUP($C179,'IMF COFOG FULL'!$B:$CM,80,FALSE)),(VLOOKUP($C179,'IMF COFOG FULL'!$B:$CM,80,FALSE)), " ")</f>
        <v xml:space="preserve"> </v>
      </c>
      <c r="P179" s="15" t="str">
        <f>IF(ISNUMBER(VLOOKUP($C179,'IMF COFOG FULL'!$B:$CM,81,FALSE)),(VLOOKUP($C179,'IMF COFOG FULL'!$B:$CM,81,FALSE)), " ")</f>
        <v xml:space="preserve"> </v>
      </c>
      <c r="Q179" s="15" t="str">
        <f>IF(ISNUMBER(VLOOKUP($C179,'IMF COFOG FULL'!$B:$CM,82,FALSE)),(VLOOKUP($C179,'IMF COFOG FULL'!$B:$CM,82,FALSE)), " ")</f>
        <v xml:space="preserve"> </v>
      </c>
      <c r="R179" s="15" t="str">
        <f>IF(ISNUMBER(VLOOKUP($C179,'IMF COFOG FULL'!$B:$CM,83,FALSE)),(VLOOKUP($C179,'IMF COFOG FULL'!$B:$CM,83,FALSE)), " ")</f>
        <v xml:space="preserve"> </v>
      </c>
      <c r="S179" s="15" t="str">
        <f>IF(ISNUMBER(VLOOKUP($C179,'IMF COFOG FULL'!$B:$CM,84,FALSE)),(VLOOKUP($C179,'IMF COFOG FULL'!$B:$CM,84,FALSE)), " ")</f>
        <v xml:space="preserve"> </v>
      </c>
      <c r="T179" s="15" t="str">
        <f>IF(ISNUMBER(VLOOKUP($C179,'IMF COFOG FULL'!$B:$CM,85,FALSE)),(VLOOKUP($C179,'IMF COFOG FULL'!$B:$CM,85,FALSE)), " ")</f>
        <v xml:space="preserve"> </v>
      </c>
      <c r="U179" s="7">
        <f>IF(ISNUMBER(VLOOKUP($C179,'IMF COFOG FULL'!$B:$CM,79,FALSE)),(VLOOKUP($C179,'IMF COFOG FULL'!$B:$CM,86,FALSE)), " ")</f>
        <v>2020</v>
      </c>
      <c r="V179" s="15" t="str">
        <f>IF(ISNUMBER(VLOOKUP($C179,'IMF COFOG FULL'!$B:$CM,79,FALSE)),(VLOOKUP($C179,'IMF COFOG FULL'!$B:$CM,87,FALSE)), " ")</f>
        <v>General government</v>
      </c>
      <c r="W179" s="15">
        <f t="shared" si="59"/>
        <v>5.1822363589645422</v>
      </c>
      <c r="X179" s="15" t="str">
        <f t="shared" si="60"/>
        <v xml:space="preserve"> </v>
      </c>
      <c r="Y179" s="15" t="str">
        <f t="shared" si="61"/>
        <v xml:space="preserve"> </v>
      </c>
      <c r="Z179" s="15" t="str">
        <f t="shared" si="62"/>
        <v xml:space="preserve"> </v>
      </c>
      <c r="AA179" s="15" t="str">
        <f t="shared" si="63"/>
        <v xml:space="preserve"> </v>
      </c>
      <c r="AB179" s="15" t="str">
        <f t="shared" si="64"/>
        <v xml:space="preserve"> </v>
      </c>
      <c r="AC179" s="15" t="str">
        <f t="shared" si="65"/>
        <v xml:space="preserve"> </v>
      </c>
      <c r="AG179" s="15" t="str">
        <f>IF(ISNUMBER(VLOOKUP(C179,'National budgets summary'!A:F,5, FALSE)),(VLOOKUP(C179,'National budgets summary'!A:F,5, FALSE)), " ")</f>
        <v xml:space="preserve"> </v>
      </c>
      <c r="AH179" t="str">
        <f>IF(ISNUMBER(VLOOKUP(C179,'National budgets summary'!A:F,5, FALSE)),(VLOOKUP(C179,'National budgets summary'!A:F,4, FALSE)), " ")</f>
        <v xml:space="preserve"> </v>
      </c>
      <c r="AI179" s="15" t="str">
        <f t="shared" si="46"/>
        <v xml:space="preserve"> </v>
      </c>
      <c r="AJ179" s="15" t="str">
        <f t="shared" si="51"/>
        <v xml:space="preserve"> </v>
      </c>
      <c r="AK179" s="15" t="str">
        <f t="shared" si="52"/>
        <v/>
      </c>
      <c r="AL179" s="15" t="str">
        <f t="shared" si="53"/>
        <v/>
      </c>
      <c r="AM179" s="15" t="str">
        <f t="shared" si="54"/>
        <v/>
      </c>
      <c r="AN179" s="15">
        <f t="shared" si="47"/>
        <v>5.1822363589645422</v>
      </c>
      <c r="AO179" s="15">
        <f t="shared" si="48"/>
        <v>1.95102069967767</v>
      </c>
      <c r="AP179">
        <f t="shared" si="49"/>
        <v>2020</v>
      </c>
      <c r="AQ179" t="str">
        <f t="shared" si="50"/>
        <v>IMF COFOG</v>
      </c>
      <c r="AR179" s="7" t="str">
        <f t="shared" si="55"/>
        <v xml:space="preserve"> </v>
      </c>
      <c r="AS179" s="7" t="str">
        <f t="shared" si="56"/>
        <v xml:space="preserve"> </v>
      </c>
      <c r="AT179" s="7" t="str">
        <f t="shared" si="57"/>
        <v xml:space="preserve"> </v>
      </c>
      <c r="AU179" s="7">
        <f t="shared" si="58"/>
        <v>884.59278523385569</v>
      </c>
    </row>
    <row r="180" spans="1:47">
      <c r="A180">
        <v>177</v>
      </c>
      <c r="B180" t="s">
        <v>72</v>
      </c>
      <c r="C180" t="s">
        <v>454</v>
      </c>
      <c r="D180" t="s">
        <v>485</v>
      </c>
      <c r="E180" t="s">
        <v>622</v>
      </c>
      <c r="H180" t="str">
        <f>IF(ISNUMBER(VLOOKUP(C180,'OECD DAC'!B:C,2,FALSE)), "YES", " ")</f>
        <v>YES</v>
      </c>
      <c r="I180">
        <v>45380</v>
      </c>
      <c r="J180">
        <v>2021</v>
      </c>
      <c r="K180" s="15">
        <f>IF(ISNUMBER(VLOOKUP(C180,'WEO GOV REV'!C:BL,58,FALSE)),(VLOOKUP(C180,'WEO GOV REV'!C:BL,58,FALSE)), " ")</f>
        <v>854.72199999999998</v>
      </c>
      <c r="L180" s="15">
        <f>IF(ISNUMBER(VLOOKUP(C180,'WEO GOV REV'!C:BL,62,FALSE)),(VLOOKUP(C180,'WEO GOV REV'!C:BL,62,FALSE)), " ")</f>
        <v>36.888370988973044</v>
      </c>
      <c r="M180">
        <f>IF(ISNUMBER(VLOOKUP(C180,'WEO GOV REV'!C:BL,62,FALSE)),(VLOOKUP(C180,'WEO GOV REV'!C:BL,57,FALSE)), " ")</f>
        <v>2021</v>
      </c>
      <c r="N180" s="15">
        <f>IF(ISNUMBER(VLOOKUP($C180,'IMF COFOG FULL'!$B:$CM,79,FALSE)),(VLOOKUP($C180,'IMF COFOG FULL'!$B:$CM,79,FALSE)), " ")</f>
        <v>2.0167123872467299</v>
      </c>
      <c r="O180" s="15">
        <f>IF(ISNUMBER(VLOOKUP($C180,'IMF COFOG FULL'!$B:$CM,80,FALSE)),(VLOOKUP($C180,'IMF COFOG FULL'!$B:$CM,80,FALSE)), " ")</f>
        <v>1.09738692817691</v>
      </c>
      <c r="P180" s="15">
        <f>IF(ISNUMBER(VLOOKUP($C180,'IMF COFOG FULL'!$B:$CM,81,FALSE)),(VLOOKUP($C180,'IMF COFOG FULL'!$B:$CM,81,FALSE)), " ")</f>
        <v>0.16457548685558501</v>
      </c>
      <c r="Q180" s="15">
        <f>IF(ISNUMBER(VLOOKUP($C180,'IMF COFOG FULL'!$B:$CM,82,FALSE)),(VLOOKUP($C180,'IMF COFOG FULL'!$B:$CM,82,FALSE)), " ")</f>
        <v>0.410345887542719</v>
      </c>
      <c r="R180" s="15">
        <f>IF(ISNUMBER(VLOOKUP($C180,'IMF COFOG FULL'!$B:$CM,83,FALSE)),(VLOOKUP($C180,'IMF COFOG FULL'!$B:$CM,83,FALSE)), " ")</f>
        <v>0.224285835858855</v>
      </c>
      <c r="S180" s="15">
        <f>IF(ISNUMBER(VLOOKUP($C180,'IMF COFOG FULL'!$B:$CM,84,FALSE)),(VLOOKUP($C180,'IMF COFOG FULL'!$B:$CM,84,FALSE)), " ")</f>
        <v>3.0692235468970401E-3</v>
      </c>
      <c r="T180" s="15">
        <f>IF(ISNUMBER(VLOOKUP($C180,'IMF COFOG FULL'!$B:$CM,85,FALSE)),(VLOOKUP($C180,'IMF COFOG FULL'!$B:$CM,85,FALSE)), " ")</f>
        <v>0.117049025265755</v>
      </c>
      <c r="U180" s="7">
        <f>IF(ISNUMBER(VLOOKUP($C180,'IMF COFOG FULL'!$B:$CM,79,FALSE)),(VLOOKUP($C180,'IMF COFOG FULL'!$B:$CM,86,FALSE)), " ")</f>
        <v>2020</v>
      </c>
      <c r="V180" s="15" t="str">
        <f>IF(ISNUMBER(VLOOKUP($C180,'IMF COFOG FULL'!$B:$CM,79,FALSE)),(VLOOKUP($C180,'IMF COFOG FULL'!$B:$CM,87,FALSE)), " ")</f>
        <v>General government</v>
      </c>
      <c r="W180" s="15">
        <f t="shared" si="59"/>
        <v>5.4670681658715186</v>
      </c>
      <c r="X180" s="15">
        <f t="shared" si="60"/>
        <v>2.9748858481849183</v>
      </c>
      <c r="Y180" s="15">
        <f t="shared" si="61"/>
        <v>0.44614463160973195</v>
      </c>
      <c r="Z180" s="15">
        <f t="shared" si="62"/>
        <v>1.1123990475626662</v>
      </c>
      <c r="AA180" s="15">
        <f t="shared" si="63"/>
        <v>0.60801230806830764</v>
      </c>
      <c r="AB180" s="15">
        <f t="shared" si="64"/>
        <v>8.3203011263753446E-3</v>
      </c>
      <c r="AC180" s="15">
        <f t="shared" si="65"/>
        <v>0.31730602931949525</v>
      </c>
      <c r="AG180" s="15" t="str">
        <f>IF(ISNUMBER(VLOOKUP(C180,'National budgets summary'!A:F,5, FALSE)),(VLOOKUP(C180,'National budgets summary'!A:F,5, FALSE)), " ")</f>
        <v xml:space="preserve"> </v>
      </c>
      <c r="AH180" t="str">
        <f>IF(ISNUMBER(VLOOKUP(C180,'National budgets summary'!A:F,5, FALSE)),(VLOOKUP(C180,'National budgets summary'!A:F,4, FALSE)), " ")</f>
        <v xml:space="preserve"> </v>
      </c>
      <c r="AI180" s="15" t="str">
        <f t="shared" si="46"/>
        <v xml:space="preserve"> </v>
      </c>
      <c r="AJ180" s="15" t="str">
        <f t="shared" si="51"/>
        <v xml:space="preserve"> </v>
      </c>
      <c r="AK180" s="15">
        <f t="shared" si="52"/>
        <v>2.9748858481849183</v>
      </c>
      <c r="AL180" s="15">
        <f t="shared" si="53"/>
        <v>1.1123990475626662</v>
      </c>
      <c r="AM180" s="15">
        <f t="shared" si="54"/>
        <v>0.60801230806830764</v>
      </c>
      <c r="AN180" s="15">
        <f t="shared" si="47"/>
        <v>5.4670681658715186</v>
      </c>
      <c r="AO180" s="15">
        <f t="shared" si="48"/>
        <v>2.0167123872467299</v>
      </c>
      <c r="AP180">
        <f t="shared" si="49"/>
        <v>2020</v>
      </c>
      <c r="AQ180" t="str">
        <f t="shared" si="50"/>
        <v>IMF COFOG</v>
      </c>
      <c r="AR180" s="7">
        <f t="shared" si="55"/>
        <v>497.99418800668178</v>
      </c>
      <c r="AS180" s="7">
        <f t="shared" si="56"/>
        <v>186.21496376688589</v>
      </c>
      <c r="AT180" s="7">
        <f t="shared" si="57"/>
        <v>101.7809123127484</v>
      </c>
      <c r="AU180" s="7">
        <f t="shared" si="58"/>
        <v>915.18408133256605</v>
      </c>
    </row>
    <row r="181" spans="1:47">
      <c r="A181">
        <v>178</v>
      </c>
      <c r="B181" t="s">
        <v>256</v>
      </c>
      <c r="C181" t="s">
        <v>495</v>
      </c>
      <c r="D181" t="s">
        <v>485</v>
      </c>
      <c r="E181" t="s">
        <v>622</v>
      </c>
      <c r="H181" t="str">
        <f>IF(ISNUMBER(VLOOKUP(C181,'OECD DAC'!B:C,2,FALSE)), "YES", " ")</f>
        <v xml:space="preserve"> </v>
      </c>
      <c r="I181">
        <v>46040</v>
      </c>
      <c r="J181">
        <v>2019</v>
      </c>
      <c r="K181" s="15">
        <f>IF(ISNUMBER(VLOOKUP(C181,'WEO GOV REV'!C:BL,58,FALSE)),(VLOOKUP(C181,'WEO GOV REV'!C:BL,58,FALSE)), " ")</f>
        <v>1.022</v>
      </c>
      <c r="L181" s="15">
        <f>IF(ISNUMBER(VLOOKUP(C181,'WEO GOV REV'!C:BL,62,FALSE)),(VLOOKUP(C181,'WEO GOV REV'!C:BL,62,FALSE)), " ")</f>
        <v>40.379296720663767</v>
      </c>
      <c r="M181">
        <f>IF(ISNUMBER(VLOOKUP(C181,'WEO GOV REV'!C:BL,62,FALSE)),(VLOOKUP(C181,'WEO GOV REV'!C:BL,57,FALSE)), " ")</f>
        <v>2020</v>
      </c>
      <c r="N181" s="15" t="str">
        <f>IF(ISNUMBER(VLOOKUP($C181,'IMF COFOG FULL'!$B:$CM,79,FALSE)),(VLOOKUP($C181,'IMF COFOG FULL'!$B:$CM,79,FALSE)), " ")</f>
        <v xml:space="preserve"> </v>
      </c>
      <c r="O181" s="15" t="str">
        <f>IF(ISNUMBER(VLOOKUP($C181,'IMF COFOG FULL'!$B:$CM,80,FALSE)),(VLOOKUP($C181,'IMF COFOG FULL'!$B:$CM,80,FALSE)), " ")</f>
        <v xml:space="preserve"> </v>
      </c>
      <c r="P181" s="15" t="str">
        <f>IF(ISNUMBER(VLOOKUP($C181,'IMF COFOG FULL'!$B:$CM,81,FALSE)),(VLOOKUP($C181,'IMF COFOG FULL'!$B:$CM,81,FALSE)), " ")</f>
        <v xml:space="preserve"> </v>
      </c>
      <c r="Q181" s="15" t="str">
        <f>IF(ISNUMBER(VLOOKUP($C181,'IMF COFOG FULL'!$B:$CM,82,FALSE)),(VLOOKUP($C181,'IMF COFOG FULL'!$B:$CM,82,FALSE)), " ")</f>
        <v xml:space="preserve"> </v>
      </c>
      <c r="R181" s="15" t="str">
        <f>IF(ISNUMBER(VLOOKUP($C181,'IMF COFOG FULL'!$B:$CM,83,FALSE)),(VLOOKUP($C181,'IMF COFOG FULL'!$B:$CM,83,FALSE)), " ")</f>
        <v xml:space="preserve"> </v>
      </c>
      <c r="S181" s="15" t="str">
        <f>IF(ISNUMBER(VLOOKUP($C181,'IMF COFOG FULL'!$B:$CM,84,FALSE)),(VLOOKUP($C181,'IMF COFOG FULL'!$B:$CM,84,FALSE)), " ")</f>
        <v xml:space="preserve"> </v>
      </c>
      <c r="T181" s="15" t="str">
        <f>IF(ISNUMBER(VLOOKUP($C181,'IMF COFOG FULL'!$B:$CM,85,FALSE)),(VLOOKUP($C181,'IMF COFOG FULL'!$B:$CM,85,FALSE)), " ")</f>
        <v xml:space="preserve"> </v>
      </c>
      <c r="U181" s="7" t="str">
        <f>IF(ISNUMBER(VLOOKUP($C181,'IMF COFOG FULL'!$B:$CM,79,FALSE)),(VLOOKUP($C181,'IMF COFOG FULL'!$B:$CM,86,FALSE)), " ")</f>
        <v xml:space="preserve"> </v>
      </c>
      <c r="V181" s="15" t="str">
        <f>IF(ISNUMBER(VLOOKUP($C181,'IMF COFOG FULL'!$B:$CM,79,FALSE)),(VLOOKUP($C181,'IMF COFOG FULL'!$B:$CM,87,FALSE)), " ")</f>
        <v xml:space="preserve"> </v>
      </c>
      <c r="W181" s="15" t="str">
        <f t="shared" si="59"/>
        <v xml:space="preserve"> </v>
      </c>
      <c r="X181" s="15" t="str">
        <f t="shared" si="60"/>
        <v xml:space="preserve"> </v>
      </c>
      <c r="Y181" s="15" t="str">
        <f t="shared" si="61"/>
        <v xml:space="preserve"> </v>
      </c>
      <c r="Z181" s="15" t="str">
        <f t="shared" si="62"/>
        <v xml:space="preserve"> </v>
      </c>
      <c r="AA181" s="15" t="str">
        <f t="shared" si="63"/>
        <v xml:space="preserve"> </v>
      </c>
      <c r="AB181" s="15" t="str">
        <f t="shared" si="64"/>
        <v xml:space="preserve"> </v>
      </c>
      <c r="AC181" s="15" t="str">
        <f t="shared" si="65"/>
        <v xml:space="preserve"> </v>
      </c>
      <c r="AG181" s="15" t="str">
        <f>IF(ISNUMBER(VLOOKUP(C181,'National budgets summary'!A:F,5, FALSE)),(VLOOKUP(C181,'National budgets summary'!A:F,5, FALSE)), " ")</f>
        <v xml:space="preserve"> </v>
      </c>
      <c r="AH181" t="str">
        <f>IF(ISNUMBER(VLOOKUP(C181,'National budgets summary'!A:F,5, FALSE)),(VLOOKUP(C181,'National budgets summary'!A:F,4, FALSE)), " ")</f>
        <v xml:space="preserve"> </v>
      </c>
      <c r="AI181" s="15" t="str">
        <f t="shared" si="46"/>
        <v xml:space="preserve"> </v>
      </c>
      <c r="AJ181" s="15" t="str">
        <f t="shared" si="51"/>
        <v xml:space="preserve"> </v>
      </c>
      <c r="AK181" s="15" t="str">
        <f t="shared" si="52"/>
        <v/>
      </c>
      <c r="AL181" s="15" t="str">
        <f t="shared" si="53"/>
        <v/>
      </c>
      <c r="AM181" s="15" t="str">
        <f t="shared" si="54"/>
        <v/>
      </c>
      <c r="AN181" s="15" t="str">
        <f t="shared" si="47"/>
        <v xml:space="preserve"> </v>
      </c>
      <c r="AO181" s="15" t="str">
        <f t="shared" si="48"/>
        <v xml:space="preserve"> </v>
      </c>
      <c r="AP181" t="str">
        <f t="shared" si="49"/>
        <v xml:space="preserve"> </v>
      </c>
      <c r="AQ181" t="str">
        <f t="shared" si="50"/>
        <v xml:space="preserve"> </v>
      </c>
      <c r="AR181" s="7" t="str">
        <f t="shared" si="55"/>
        <v xml:space="preserve"> </v>
      </c>
      <c r="AS181" s="7" t="str">
        <f t="shared" si="56"/>
        <v xml:space="preserve"> </v>
      </c>
      <c r="AT181" s="7" t="str">
        <f t="shared" si="57"/>
        <v xml:space="preserve"> </v>
      </c>
      <c r="AU181" s="7" t="str">
        <f t="shared" si="58"/>
        <v xml:space="preserve"> </v>
      </c>
    </row>
    <row r="182" spans="1:47">
      <c r="A182">
        <v>179</v>
      </c>
      <c r="B182" t="s">
        <v>257</v>
      </c>
      <c r="C182" t="s">
        <v>537</v>
      </c>
      <c r="D182" t="s">
        <v>493</v>
      </c>
      <c r="E182" t="s">
        <v>622</v>
      </c>
      <c r="H182" t="str">
        <f>IF(ISNUMBER(VLOOKUP(C182,'OECD DAC'!B:C,2,FALSE)), "YES", " ")</f>
        <v xml:space="preserve"> </v>
      </c>
      <c r="I182">
        <v>46730</v>
      </c>
      <c r="J182">
        <v>2020</v>
      </c>
      <c r="K182" s="15">
        <f>IF(ISNUMBER(VLOOKUP(C182,'WEO GOV REV'!C:BL,58,FALSE)),(VLOOKUP(C182,'WEO GOV REV'!C:BL,58,FALSE)), " ")</f>
        <v>56.511000000000003</v>
      </c>
      <c r="L182" s="15">
        <f>IF(ISNUMBER(VLOOKUP(C182,'WEO GOV REV'!C:BL,62,FALSE)),(VLOOKUP(C182,'WEO GOV REV'!C:BL,62,FALSE)), " ")</f>
        <v>27.646042982451853</v>
      </c>
      <c r="M182">
        <f>IF(ISNUMBER(VLOOKUP(C182,'WEO GOV REV'!C:BL,62,FALSE)),(VLOOKUP(C182,'WEO GOV REV'!C:BL,57,FALSE)), " ")</f>
        <v>2020</v>
      </c>
      <c r="N182" s="15">
        <f>IF(ISNUMBER(VLOOKUP($C182,'IMF COFOG FULL'!$B:$CM,79,FALSE)),(VLOOKUP($C182,'IMF COFOG FULL'!$B:$CM,79,FALSE)), " ")</f>
        <v>6.3745799688217</v>
      </c>
      <c r="O182" s="15" t="str">
        <f>IF(ISNUMBER(VLOOKUP($C182,'IMF COFOG FULL'!$B:$CM,80,FALSE)),(VLOOKUP($C182,'IMF COFOG FULL'!$B:$CM,80,FALSE)), " ")</f>
        <v xml:space="preserve"> </v>
      </c>
      <c r="P182" s="15" t="str">
        <f>IF(ISNUMBER(VLOOKUP($C182,'IMF COFOG FULL'!$B:$CM,81,FALSE)),(VLOOKUP($C182,'IMF COFOG FULL'!$B:$CM,81,FALSE)), " ")</f>
        <v xml:space="preserve"> </v>
      </c>
      <c r="Q182" s="15" t="str">
        <f>IF(ISNUMBER(VLOOKUP($C182,'IMF COFOG FULL'!$B:$CM,82,FALSE)),(VLOOKUP($C182,'IMF COFOG FULL'!$B:$CM,82,FALSE)), " ")</f>
        <v xml:space="preserve"> </v>
      </c>
      <c r="R182" s="15" t="str">
        <f>IF(ISNUMBER(VLOOKUP($C182,'IMF COFOG FULL'!$B:$CM,83,FALSE)),(VLOOKUP($C182,'IMF COFOG FULL'!$B:$CM,83,FALSE)), " ")</f>
        <v xml:space="preserve"> </v>
      </c>
      <c r="S182" s="15" t="str">
        <f>IF(ISNUMBER(VLOOKUP($C182,'IMF COFOG FULL'!$B:$CM,84,FALSE)),(VLOOKUP($C182,'IMF COFOG FULL'!$B:$CM,84,FALSE)), " ")</f>
        <v xml:space="preserve"> </v>
      </c>
      <c r="T182" s="15" t="str">
        <f>IF(ISNUMBER(VLOOKUP($C182,'IMF COFOG FULL'!$B:$CM,85,FALSE)),(VLOOKUP($C182,'IMF COFOG FULL'!$B:$CM,85,FALSE)), " ")</f>
        <v xml:space="preserve"> </v>
      </c>
      <c r="U182" s="7">
        <f>IF(ISNUMBER(VLOOKUP($C182,'IMF COFOG FULL'!$B:$CM,79,FALSE)),(VLOOKUP($C182,'IMF COFOG FULL'!$B:$CM,86,FALSE)), " ")</f>
        <v>2020</v>
      </c>
      <c r="V182" s="15" t="str">
        <f>IF(ISNUMBER(VLOOKUP($C182,'IMF COFOG FULL'!$B:$CM,79,FALSE)),(VLOOKUP($C182,'IMF COFOG FULL'!$B:$CM,87,FALSE)), " ")</f>
        <v>General government</v>
      </c>
      <c r="W182" s="15">
        <f t="shared" si="59"/>
        <v>23.057838595085464</v>
      </c>
      <c r="X182" s="15" t="str">
        <f t="shared" si="60"/>
        <v xml:space="preserve"> </v>
      </c>
      <c r="Y182" s="15" t="str">
        <f t="shared" si="61"/>
        <v xml:space="preserve"> </v>
      </c>
      <c r="Z182" s="15" t="str">
        <f t="shared" si="62"/>
        <v xml:space="preserve"> </v>
      </c>
      <c r="AA182" s="15" t="str">
        <f t="shared" si="63"/>
        <v xml:space="preserve"> </v>
      </c>
      <c r="AB182" s="15" t="str">
        <f t="shared" si="64"/>
        <v xml:space="preserve"> </v>
      </c>
      <c r="AC182" s="15" t="str">
        <f t="shared" si="65"/>
        <v xml:space="preserve"> </v>
      </c>
      <c r="AG182" s="15" t="str">
        <f>IF(ISNUMBER(VLOOKUP(C182,'National budgets summary'!A:F,5, FALSE)),(VLOOKUP(C182,'National budgets summary'!A:F,5, FALSE)), " ")</f>
        <v xml:space="preserve"> </v>
      </c>
      <c r="AH182" t="str">
        <f>IF(ISNUMBER(VLOOKUP(C182,'National budgets summary'!A:F,5, FALSE)),(VLOOKUP(C182,'National budgets summary'!A:F,4, FALSE)), " ")</f>
        <v xml:space="preserve"> </v>
      </c>
      <c r="AI182" s="15" t="str">
        <f t="shared" si="46"/>
        <v xml:space="preserve"> </v>
      </c>
      <c r="AJ182" s="15" t="str">
        <f t="shared" si="51"/>
        <v xml:space="preserve"> </v>
      </c>
      <c r="AK182" s="15" t="str">
        <f t="shared" si="52"/>
        <v/>
      </c>
      <c r="AL182" s="15" t="str">
        <f t="shared" si="53"/>
        <v/>
      </c>
      <c r="AM182" s="15" t="str">
        <f t="shared" si="54"/>
        <v/>
      </c>
      <c r="AN182" s="15">
        <f t="shared" si="47"/>
        <v>23.057838595085464</v>
      </c>
      <c r="AO182" s="15">
        <f t="shared" si="48"/>
        <v>6.3745799688217</v>
      </c>
      <c r="AP182">
        <f t="shared" si="49"/>
        <v>2020</v>
      </c>
      <c r="AQ182" t="str">
        <f t="shared" si="50"/>
        <v>IMF COFOG</v>
      </c>
      <c r="AR182" s="7" t="str">
        <f t="shared" si="55"/>
        <v xml:space="preserve"> </v>
      </c>
      <c r="AS182" s="7" t="str">
        <f t="shared" si="56"/>
        <v xml:space="preserve"> </v>
      </c>
      <c r="AT182" s="7" t="str">
        <f t="shared" si="57"/>
        <v xml:space="preserve"> </v>
      </c>
      <c r="AU182" s="7">
        <f t="shared" si="58"/>
        <v>2978.8412194303805</v>
      </c>
    </row>
    <row r="183" spans="1:47">
      <c r="A183">
        <v>180</v>
      </c>
      <c r="B183" t="s">
        <v>64</v>
      </c>
      <c r="C183" t="s">
        <v>455</v>
      </c>
      <c r="D183" t="s">
        <v>502</v>
      </c>
      <c r="E183" t="s">
        <v>622</v>
      </c>
      <c r="H183" t="str">
        <f>IF(ISNUMBER(VLOOKUP(C183,'OECD DAC'!B:C,2,FALSE)), "YES", " ")</f>
        <v>YES</v>
      </c>
      <c r="I183">
        <v>48310</v>
      </c>
      <c r="J183">
        <v>2021</v>
      </c>
      <c r="K183" s="15">
        <f>IF(ISNUMBER(VLOOKUP(C183,'WEO GOV REV'!C:BL,58,FALSE)),(VLOOKUP(C183,'WEO GOV REV'!C:BL,58,FALSE)), " ")</f>
        <v>1023.74</v>
      </c>
      <c r="L183" s="15">
        <f>IF(ISNUMBER(VLOOKUP(C183,'WEO GOV REV'!C:BL,62,FALSE)),(VLOOKUP(C183,'WEO GOV REV'!C:BL,62,FALSE)), " ")</f>
        <v>41.012431044359957</v>
      </c>
      <c r="M183">
        <f>IF(ISNUMBER(VLOOKUP(C183,'WEO GOV REV'!C:BL,62,FALSE)),(VLOOKUP(C183,'WEO GOV REV'!C:BL,57,FALSE)), " ")</f>
        <v>2021</v>
      </c>
      <c r="N183" s="15">
        <f>IF(ISNUMBER(VLOOKUP($C183,'IMF COFOG FULL'!$B:$CM,79,FALSE)),(VLOOKUP($C183,'IMF COFOG FULL'!$B:$CM,79,FALSE)), " ")</f>
        <v>1.8533925693911999</v>
      </c>
      <c r="O183" s="15">
        <f>IF(ISNUMBER(VLOOKUP($C183,'IMF COFOG FULL'!$B:$CM,80,FALSE)),(VLOOKUP($C183,'IMF COFOG FULL'!$B:$CM,80,FALSE)), " ")</f>
        <v>0.85206211448075098</v>
      </c>
      <c r="P183" s="15">
        <f>IF(ISNUMBER(VLOOKUP($C183,'IMF COFOG FULL'!$B:$CM,81,FALSE)),(VLOOKUP($C183,'IMF COFOG FULL'!$B:$CM,81,FALSE)), " ")</f>
        <v>0.24039725135991</v>
      </c>
      <c r="Q183" s="15">
        <f>IF(ISNUMBER(VLOOKUP($C183,'IMF COFOG FULL'!$B:$CM,82,FALSE)),(VLOOKUP($C183,'IMF COFOG FULL'!$B:$CM,82,FALSE)), " ")</f>
        <v>0.25725451384923798</v>
      </c>
      <c r="R183" s="15">
        <f>IF(ISNUMBER(VLOOKUP($C183,'IMF COFOG FULL'!$B:$CM,83,FALSE)),(VLOOKUP($C183,'IMF COFOG FULL'!$B:$CM,83,FALSE)), " ")</f>
        <v>0.251272904578831</v>
      </c>
      <c r="S183" s="15" t="str">
        <f>IF(ISNUMBER(VLOOKUP($C183,'IMF COFOG FULL'!$B:$CM,84,FALSE)),(VLOOKUP($C183,'IMF COFOG FULL'!$B:$CM,84,FALSE)), " ")</f>
        <v xml:space="preserve"> </v>
      </c>
      <c r="T183" s="15">
        <f>IF(ISNUMBER(VLOOKUP($C183,'IMF COFOG FULL'!$B:$CM,85,FALSE)),(VLOOKUP($C183,'IMF COFOG FULL'!$B:$CM,85,FALSE)), " ")</f>
        <v>0.25240578512246897</v>
      </c>
      <c r="U183" s="7">
        <f>IF(ISNUMBER(VLOOKUP($C183,'IMF COFOG FULL'!$B:$CM,79,FALSE)),(VLOOKUP($C183,'IMF COFOG FULL'!$B:$CM,86,FALSE)), " ")</f>
        <v>2020</v>
      </c>
      <c r="V183" s="15" t="str">
        <f>IF(ISNUMBER(VLOOKUP($C183,'IMF COFOG FULL'!$B:$CM,79,FALSE)),(VLOOKUP($C183,'IMF COFOG FULL'!$B:$CM,87,FALSE)), " ")</f>
        <v>General government</v>
      </c>
      <c r="W183" s="15">
        <f t="shared" si="59"/>
        <v>4.5190995076261862</v>
      </c>
      <c r="X183" s="15">
        <f t="shared" si="60"/>
        <v>2.0775703677724975</v>
      </c>
      <c r="Y183" s="15">
        <f t="shared" si="61"/>
        <v>0.58615703882535275</v>
      </c>
      <c r="Z183" s="15">
        <f t="shared" si="62"/>
        <v>0.62725985097295445</v>
      </c>
      <c r="AA183" s="15">
        <f t="shared" si="63"/>
        <v>0.61267498214638538</v>
      </c>
      <c r="AB183" s="15" t="str">
        <f t="shared" si="64"/>
        <v xml:space="preserve"> </v>
      </c>
      <c r="AC183" s="15">
        <f t="shared" si="65"/>
        <v>0.61543726790899389</v>
      </c>
      <c r="AG183" s="15" t="str">
        <f>IF(ISNUMBER(VLOOKUP(C183,'National budgets summary'!A:F,5, FALSE)),(VLOOKUP(C183,'National budgets summary'!A:F,5, FALSE)), " ")</f>
        <v xml:space="preserve"> </v>
      </c>
      <c r="AH183" t="str">
        <f>IF(ISNUMBER(VLOOKUP(C183,'National budgets summary'!A:F,5, FALSE)),(VLOOKUP(C183,'National budgets summary'!A:F,4, FALSE)), " ")</f>
        <v xml:space="preserve"> </v>
      </c>
      <c r="AI183" s="15" t="str">
        <f t="shared" si="46"/>
        <v xml:space="preserve"> </v>
      </c>
      <c r="AJ183" s="15" t="str">
        <f t="shared" si="51"/>
        <v xml:space="preserve"> </v>
      </c>
      <c r="AK183" s="15">
        <f t="shared" si="52"/>
        <v>2.0775703677724975</v>
      </c>
      <c r="AL183" s="15">
        <f t="shared" si="53"/>
        <v>0.62725985097295445</v>
      </c>
      <c r="AM183" s="15">
        <f t="shared" si="54"/>
        <v>0.61267498214638538</v>
      </c>
      <c r="AN183" s="15">
        <f t="shared" si="47"/>
        <v>4.5190995076261862</v>
      </c>
      <c r="AO183" s="15">
        <f t="shared" si="48"/>
        <v>1.8533925693911999</v>
      </c>
      <c r="AP183">
        <f t="shared" si="49"/>
        <v>2020</v>
      </c>
      <c r="AQ183" t="str">
        <f t="shared" si="50"/>
        <v>IMF COFOG</v>
      </c>
      <c r="AR183" s="7">
        <f t="shared" si="55"/>
        <v>411.63120750565088</v>
      </c>
      <c r="AS183" s="7">
        <f t="shared" si="56"/>
        <v>124.27965564056687</v>
      </c>
      <c r="AT183" s="7">
        <f t="shared" si="57"/>
        <v>121.38994020203326</v>
      </c>
      <c r="AU183" s="7">
        <f t="shared" si="58"/>
        <v>895.37395027288881</v>
      </c>
    </row>
    <row r="184" spans="1:47">
      <c r="A184">
        <v>181</v>
      </c>
      <c r="B184" t="s">
        <v>258</v>
      </c>
      <c r="C184" t="s">
        <v>524</v>
      </c>
      <c r="D184" t="s">
        <v>487</v>
      </c>
      <c r="E184" t="s">
        <v>622</v>
      </c>
      <c r="H184" t="str">
        <f>IF(ISNUMBER(VLOOKUP(C184,'OECD DAC'!B:C,2,FALSE)), "YES", " ")</f>
        <v xml:space="preserve"> </v>
      </c>
      <c r="I184">
        <v>49560</v>
      </c>
      <c r="J184">
        <v>2021</v>
      </c>
      <c r="K184" s="15">
        <f>IF(ISNUMBER(VLOOKUP(C184,'WEO GOV REV'!C:BL,58,FALSE)),(VLOOKUP(C184,'WEO GOV REV'!C:BL,58,FALSE)), " ")</f>
        <v>483.86200000000002</v>
      </c>
      <c r="L184" s="15">
        <f>IF(ISNUMBER(VLOOKUP(C184,'WEO GOV REV'!C:BL,62,FALSE)),(VLOOKUP(C184,'WEO GOV REV'!C:BL,62,FALSE)), " ")</f>
        <v>34.526798010575064</v>
      </c>
      <c r="M184">
        <f>IF(ISNUMBER(VLOOKUP(C184,'WEO GOV REV'!C:BL,62,FALSE)),(VLOOKUP(C184,'WEO GOV REV'!C:BL,57,FALSE)), " ")</f>
        <v>2020</v>
      </c>
      <c r="N184" s="15">
        <f>IF(ISNUMBER(VLOOKUP($C184,'IMF COFOG FULL'!$B:$CM,79,FALSE)),(VLOOKUP($C184,'IMF COFOG FULL'!$B:$CM,79,FALSE)), " ")</f>
        <v>1.7224006159276299</v>
      </c>
      <c r="O184" s="15">
        <f>IF(ISNUMBER(VLOOKUP($C184,'IMF COFOG FULL'!$B:$CM,80,FALSE)),(VLOOKUP($C184,'IMF COFOG FULL'!$B:$CM,80,FALSE)), " ")</f>
        <v>1.01157708304792</v>
      </c>
      <c r="P184" s="15">
        <f>IF(ISNUMBER(VLOOKUP($C184,'IMF COFOG FULL'!$B:$CM,81,FALSE)),(VLOOKUP($C184,'IMF COFOG FULL'!$B:$CM,81,FALSE)), " ")</f>
        <v>0.10350672080038301</v>
      </c>
      <c r="Q184" s="15">
        <f>IF(ISNUMBER(VLOOKUP($C184,'IMF COFOG FULL'!$B:$CM,82,FALSE)),(VLOOKUP($C184,'IMF COFOG FULL'!$B:$CM,82,FALSE)), " ")</f>
        <v>0.35606212826963501</v>
      </c>
      <c r="R184" s="15">
        <f>IF(ISNUMBER(VLOOKUP($C184,'IMF COFOG FULL'!$B:$CM,83,FALSE)),(VLOOKUP($C184,'IMF COFOG FULL'!$B:$CM,83,FALSE)), " ")</f>
        <v>0.22867477696758301</v>
      </c>
      <c r="S184" s="15">
        <f>IF(ISNUMBER(VLOOKUP($C184,'IMF COFOG FULL'!$B:$CM,84,FALSE)),(VLOOKUP($C184,'IMF COFOG FULL'!$B:$CM,84,FALSE)), " ")</f>
        <v>0</v>
      </c>
      <c r="T184" s="15">
        <f>IF(ISNUMBER(VLOOKUP($C184,'IMF COFOG FULL'!$B:$CM,85,FALSE)),(VLOOKUP($C184,'IMF COFOG FULL'!$B:$CM,85,FALSE)), " ")</f>
        <v>2.2550179931589E-2</v>
      </c>
      <c r="U184" s="7">
        <f>IF(ISNUMBER(VLOOKUP($C184,'IMF COFOG FULL'!$B:$CM,79,FALSE)),(VLOOKUP($C184,'IMF COFOG FULL'!$B:$CM,86,FALSE)), " ")</f>
        <v>2020</v>
      </c>
      <c r="V184" s="15" t="str">
        <f>IF(ISNUMBER(VLOOKUP($C184,'IMF COFOG FULL'!$B:$CM,79,FALSE)),(VLOOKUP($C184,'IMF COFOG FULL'!$B:$CM,87,FALSE)), " ")</f>
        <v>General government</v>
      </c>
      <c r="W184" s="15">
        <f t="shared" si="59"/>
        <v>4.9885906460253953</v>
      </c>
      <c r="X184" s="15">
        <f t="shared" si="60"/>
        <v>2.9298317287866906</v>
      </c>
      <c r="Y184" s="15">
        <f t="shared" si="61"/>
        <v>0.29978662014554719</v>
      </c>
      <c r="Z184" s="15">
        <f t="shared" si="62"/>
        <v>1.03126310224475</v>
      </c>
      <c r="AA184" s="15">
        <f t="shared" si="63"/>
        <v>0.6623109878232647</v>
      </c>
      <c r="AB184" s="15">
        <f t="shared" si="64"/>
        <v>0</v>
      </c>
      <c r="AC184" s="15">
        <f t="shared" si="65"/>
        <v>6.5312108944137262E-2</v>
      </c>
      <c r="AG184" s="15" t="str">
        <f>IF(ISNUMBER(VLOOKUP(C184,'National budgets summary'!A:F,5, FALSE)),(VLOOKUP(C184,'National budgets summary'!A:F,5, FALSE)), " ")</f>
        <v xml:space="preserve"> </v>
      </c>
      <c r="AH184" t="str">
        <f>IF(ISNUMBER(VLOOKUP(C184,'National budgets summary'!A:F,5, FALSE)),(VLOOKUP(C184,'National budgets summary'!A:F,4, FALSE)), " ")</f>
        <v xml:space="preserve"> </v>
      </c>
      <c r="AI184" s="15" t="str">
        <f t="shared" si="46"/>
        <v xml:space="preserve"> </v>
      </c>
      <c r="AJ184" s="15" t="str">
        <f t="shared" si="51"/>
        <v xml:space="preserve"> </v>
      </c>
      <c r="AK184" s="15">
        <f t="shared" si="52"/>
        <v>2.9298317287866906</v>
      </c>
      <c r="AL184" s="15">
        <f t="shared" si="53"/>
        <v>1.03126310224475</v>
      </c>
      <c r="AM184" s="15">
        <f t="shared" si="54"/>
        <v>0.6623109878232647</v>
      </c>
      <c r="AN184" s="15">
        <f t="shared" si="47"/>
        <v>4.9885906460253953</v>
      </c>
      <c r="AO184" s="15">
        <f t="shared" si="48"/>
        <v>1.7224006159276299</v>
      </c>
      <c r="AP184">
        <f t="shared" si="49"/>
        <v>2020</v>
      </c>
      <c r="AQ184" t="str">
        <f t="shared" si="50"/>
        <v>IMF COFOG</v>
      </c>
      <c r="AR184" s="7">
        <f t="shared" si="55"/>
        <v>501.33760235854925</v>
      </c>
      <c r="AS184" s="7">
        <f t="shared" si="56"/>
        <v>176.46439077043112</v>
      </c>
      <c r="AT184" s="7">
        <f t="shared" si="57"/>
        <v>113.33121946513414</v>
      </c>
      <c r="AU184" s="7">
        <f t="shared" si="58"/>
        <v>853.62174525373337</v>
      </c>
    </row>
    <row r="185" spans="1:47">
      <c r="A185">
        <v>182</v>
      </c>
      <c r="B185" t="s">
        <v>58</v>
      </c>
      <c r="C185" t="s">
        <v>456</v>
      </c>
      <c r="D185" t="s">
        <v>485</v>
      </c>
      <c r="E185" t="s">
        <v>622</v>
      </c>
      <c r="G185" t="s">
        <v>623</v>
      </c>
      <c r="H185" t="str">
        <f>IF(ISNUMBER(VLOOKUP(C185,'OECD DAC'!B:C,2,FALSE)), "YES", " ")</f>
        <v>YES</v>
      </c>
      <c r="I185">
        <v>50510</v>
      </c>
      <c r="J185">
        <v>2021</v>
      </c>
      <c r="K185" s="15">
        <f>IF(ISNUMBER(VLOOKUP(C185,'WEO GOV REV'!C:BL,58,FALSE)),(VLOOKUP(C185,'WEO GOV REV'!C:BL,58,FALSE)), " ")</f>
        <v>228.97800000000001</v>
      </c>
      <c r="L185" s="15">
        <f>IF(ISNUMBER(VLOOKUP(C185,'WEO GOV REV'!C:BL,62,FALSE)),(VLOOKUP(C185,'WEO GOV REV'!C:BL,62,FALSE)), " ")</f>
        <v>50.116219516999571</v>
      </c>
      <c r="M185">
        <f>IF(ISNUMBER(VLOOKUP(C185,'WEO GOV REV'!C:BL,62,FALSE)),(VLOOKUP(C185,'WEO GOV REV'!C:BL,57,FALSE)), " ")</f>
        <v>2020</v>
      </c>
      <c r="N185" s="15">
        <f>IF(ISNUMBER(VLOOKUP($C185,'IMF COFOG FULL'!$B:$CM,79,FALSE)),(VLOOKUP($C185,'IMF COFOG FULL'!$B:$CM,79,FALSE)), " ")</f>
        <v>1.8200395853511999</v>
      </c>
      <c r="O185" s="15">
        <f>IF(ISNUMBER(VLOOKUP($C185,'IMF COFOG FULL'!$B:$CM,80,FALSE)),(VLOOKUP($C185,'IMF COFOG FULL'!$B:$CM,80,FALSE)), " ")</f>
        <v>1.0932294864321499</v>
      </c>
      <c r="P185" s="15">
        <f>IF(ISNUMBER(VLOOKUP($C185,'IMF COFOG FULL'!$B:$CM,81,FALSE)),(VLOOKUP($C185,'IMF COFOG FULL'!$B:$CM,81,FALSE)), " ")</f>
        <v>0.205750736407219</v>
      </c>
      <c r="Q185" s="15">
        <f>IF(ISNUMBER(VLOOKUP($C185,'IMF COFOG FULL'!$B:$CM,82,FALSE)),(VLOOKUP($C185,'IMF COFOG FULL'!$B:$CM,82,FALSE)), " ")</f>
        <v>0.266037497478817</v>
      </c>
      <c r="R185" s="15">
        <f>IF(ISNUMBER(VLOOKUP($C185,'IMF COFOG FULL'!$B:$CM,83,FALSE)),(VLOOKUP($C185,'IMF COFOG FULL'!$B:$CM,83,FALSE)), " ")</f>
        <v>0.14061000449934299</v>
      </c>
      <c r="S185" s="15">
        <f>IF(ISNUMBER(VLOOKUP($C185,'IMF COFOG FULL'!$B:$CM,84,FALSE)),(VLOOKUP($C185,'IMF COFOG FULL'!$B:$CM,84,FALSE)), " ")</f>
        <v>4.0338935717024599E-3</v>
      </c>
      <c r="T185" s="15">
        <f>IF(ISNUMBER(VLOOKUP($C185,'IMF COFOG FULL'!$B:$CM,85,FALSE)),(VLOOKUP($C185,'IMF COFOG FULL'!$B:$CM,85,FALSE)), " ")</f>
        <v>0.110400131212362</v>
      </c>
      <c r="U185" s="7">
        <f>IF(ISNUMBER(VLOOKUP($C185,'IMF COFOG FULL'!$B:$CM,79,FALSE)),(VLOOKUP($C185,'IMF COFOG FULL'!$B:$CM,86,FALSE)), " ")</f>
        <v>2020</v>
      </c>
      <c r="V185" s="15" t="str">
        <f>IF(ISNUMBER(VLOOKUP($C185,'IMF COFOG FULL'!$B:$CM,79,FALSE)),(VLOOKUP($C185,'IMF COFOG FULL'!$B:$CM,87,FALSE)), " ")</f>
        <v>General government</v>
      </c>
      <c r="W185" s="15">
        <f t="shared" si="59"/>
        <v>3.6316378268193934</v>
      </c>
      <c r="X185" s="15">
        <f t="shared" si="60"/>
        <v>2.1813885743343491</v>
      </c>
      <c r="Y185" s="15">
        <f t="shared" si="61"/>
        <v>0.41054720086663304</v>
      </c>
      <c r="Z185" s="15">
        <f t="shared" si="62"/>
        <v>0.5308411130025007</v>
      </c>
      <c r="AA185" s="15">
        <f t="shared" si="63"/>
        <v>0.28056785977571125</v>
      </c>
      <c r="AB185" s="15">
        <f t="shared" si="64"/>
        <v>8.0490779443851534E-3</v>
      </c>
      <c r="AC185" s="15">
        <f t="shared" si="65"/>
        <v>0.2202882265988039</v>
      </c>
      <c r="AG185" s="15" t="str">
        <f>IF(ISNUMBER(VLOOKUP(C185,'National budgets summary'!A:F,5, FALSE)),(VLOOKUP(C185,'National budgets summary'!A:F,5, FALSE)), " ")</f>
        <v xml:space="preserve"> </v>
      </c>
      <c r="AH185" t="str">
        <f>IF(ISNUMBER(VLOOKUP(C185,'National budgets summary'!A:F,5, FALSE)),(VLOOKUP(C185,'National budgets summary'!A:F,4, FALSE)), " ")</f>
        <v xml:space="preserve"> </v>
      </c>
      <c r="AI185" s="15" t="str">
        <f t="shared" si="46"/>
        <v xml:space="preserve"> </v>
      </c>
      <c r="AJ185" s="15" t="str">
        <f t="shared" si="51"/>
        <v xml:space="preserve"> </v>
      </c>
      <c r="AK185" s="15">
        <f t="shared" si="52"/>
        <v>2.1813885743343491</v>
      </c>
      <c r="AL185" s="15">
        <f t="shared" si="53"/>
        <v>0.5308411130025007</v>
      </c>
      <c r="AM185" s="15">
        <f t="shared" si="54"/>
        <v>0.28056785977571125</v>
      </c>
      <c r="AN185" s="15">
        <f t="shared" si="47"/>
        <v>3.6316378268193934</v>
      </c>
      <c r="AO185" s="15">
        <f t="shared" si="48"/>
        <v>1.8200395853511999</v>
      </c>
      <c r="AP185">
        <f t="shared" si="49"/>
        <v>2020</v>
      </c>
      <c r="AQ185" t="str">
        <f t="shared" si="50"/>
        <v>IMF COFOG</v>
      </c>
      <c r="AR185" s="7">
        <f t="shared" si="55"/>
        <v>552.19021359687883</v>
      </c>
      <c r="AS185" s="7">
        <f t="shared" si="56"/>
        <v>134.37553997655047</v>
      </c>
      <c r="AT185" s="7">
        <f t="shared" si="57"/>
        <v>71.022113272618142</v>
      </c>
      <c r="AU185" s="7">
        <f t="shared" si="58"/>
        <v>919.3019945608911</v>
      </c>
    </row>
    <row r="186" spans="1:47">
      <c r="A186">
        <v>183</v>
      </c>
      <c r="B186" t="s">
        <v>56</v>
      </c>
      <c r="C186" t="s">
        <v>457</v>
      </c>
      <c r="D186" t="s">
        <v>485</v>
      </c>
      <c r="E186" t="s">
        <v>622</v>
      </c>
      <c r="G186" t="s">
        <v>623</v>
      </c>
      <c r="H186" t="str">
        <f>IF(ISNUMBER(VLOOKUP(C186,'OECD DAC'!B:C,2,FALSE)), "YES", " ")</f>
        <v>YES</v>
      </c>
      <c r="I186">
        <v>51040</v>
      </c>
      <c r="J186">
        <v>2021</v>
      </c>
      <c r="K186" s="15">
        <f>IF(ISNUMBER(VLOOKUP(C186,'WEO GOV REV'!C:BL,58,FALSE)),(VLOOKUP(C186,'WEO GOV REV'!C:BL,58,FALSE)), " ")</f>
        <v>1705.77</v>
      </c>
      <c r="L186" s="15">
        <f>IF(ISNUMBER(VLOOKUP(C186,'WEO GOV REV'!C:BL,62,FALSE)),(VLOOKUP(C186,'WEO GOV REV'!C:BL,62,FALSE)), " ")</f>
        <v>47.772375665850745</v>
      </c>
      <c r="M186">
        <f>IF(ISNUMBER(VLOOKUP(C186,'WEO GOV REV'!C:BL,62,FALSE)),(VLOOKUP(C186,'WEO GOV REV'!C:BL,57,FALSE)), " ")</f>
        <v>2021</v>
      </c>
      <c r="N186" s="15">
        <f>IF(ISNUMBER(VLOOKUP($C186,'IMF COFOG FULL'!$B:$CM,79,FALSE)),(VLOOKUP($C186,'IMF COFOG FULL'!$B:$CM,79,FALSE)), " ")</f>
        <v>1.7156338714083801</v>
      </c>
      <c r="O186" s="15">
        <f>IF(ISNUMBER(VLOOKUP($C186,'IMF COFOG FULL'!$B:$CM,80,FALSE)),(VLOOKUP($C186,'IMF COFOG FULL'!$B:$CM,80,FALSE)), " ")</f>
        <v>0.81118079559087297</v>
      </c>
      <c r="P186" s="15">
        <f>IF(ISNUMBER(VLOOKUP($C186,'IMF COFOG FULL'!$B:$CM,81,FALSE)),(VLOOKUP($C186,'IMF COFOG FULL'!$B:$CM,81,FALSE)), " ")</f>
        <v>0.31461948710639198</v>
      </c>
      <c r="Q186" s="15">
        <f>IF(ISNUMBER(VLOOKUP($C186,'IMF COFOG FULL'!$B:$CM,82,FALSE)),(VLOOKUP($C186,'IMF COFOG FULL'!$B:$CM,82,FALSE)), " ")</f>
        <v>0.395894950646759</v>
      </c>
      <c r="R186" s="15">
        <f>IF(ISNUMBER(VLOOKUP($C186,'IMF COFOG FULL'!$B:$CM,83,FALSE)),(VLOOKUP($C186,'IMF COFOG FULL'!$B:$CM,83,FALSE)), " ")</f>
        <v>9.8795567116844202E-2</v>
      </c>
      <c r="S186" s="15">
        <f>IF(ISNUMBER(VLOOKUP($C186,'IMF COFOG FULL'!$B:$CM,84,FALSE)),(VLOOKUP($C186,'IMF COFOG FULL'!$B:$CM,84,FALSE)), " ")</f>
        <v>9.5024290584280605E-4</v>
      </c>
      <c r="T186" s="15">
        <f>IF(ISNUMBER(VLOOKUP($C186,'IMF COFOG FULL'!$B:$CM,85,FALSE)),(VLOOKUP($C186,'IMF COFOG FULL'!$B:$CM,85,FALSE)), " ")</f>
        <v>9.4192828041668106E-2</v>
      </c>
      <c r="U186" s="7">
        <f>IF(ISNUMBER(VLOOKUP($C186,'IMF COFOG FULL'!$B:$CM,79,FALSE)),(VLOOKUP($C186,'IMF COFOG FULL'!$B:$CM,86,FALSE)), " ")</f>
        <v>2020</v>
      </c>
      <c r="V186" s="15" t="str">
        <f>IF(ISNUMBER(VLOOKUP($C186,'IMF COFOG FULL'!$B:$CM,79,FALSE)),(VLOOKUP($C186,'IMF COFOG FULL'!$B:$CM,87,FALSE)), " ")</f>
        <v>General government</v>
      </c>
      <c r="W186" s="15">
        <f t="shared" si="59"/>
        <v>3.5912676468270579</v>
      </c>
      <c r="X186" s="15">
        <f t="shared" si="60"/>
        <v>1.69801225977282</v>
      </c>
      <c r="Y186" s="15">
        <f t="shared" si="61"/>
        <v>0.65858036725456848</v>
      </c>
      <c r="Z186" s="15">
        <f t="shared" si="62"/>
        <v>0.8287110388143365</v>
      </c>
      <c r="AA186" s="15">
        <f t="shared" si="63"/>
        <v>0.20680480244039132</v>
      </c>
      <c r="AB186" s="15">
        <f t="shared" si="64"/>
        <v>1.9891054036947774E-3</v>
      </c>
      <c r="AC186" s="15">
        <f t="shared" si="65"/>
        <v>0.19717007314124468</v>
      </c>
      <c r="AG186" s="15" t="str">
        <f>IF(ISNUMBER(VLOOKUP(C186,'National budgets summary'!A:F,5, FALSE)),(VLOOKUP(C186,'National budgets summary'!A:F,5, FALSE)), " ")</f>
        <v xml:space="preserve"> </v>
      </c>
      <c r="AH186" t="str">
        <f>IF(ISNUMBER(VLOOKUP(C186,'National budgets summary'!A:F,5, FALSE)),(VLOOKUP(C186,'National budgets summary'!A:F,4, FALSE)), " ")</f>
        <v xml:space="preserve"> </v>
      </c>
      <c r="AI186" s="15" t="str">
        <f t="shared" si="46"/>
        <v xml:space="preserve"> </v>
      </c>
      <c r="AJ186" s="15" t="str">
        <f t="shared" si="51"/>
        <v xml:space="preserve"> </v>
      </c>
      <c r="AK186" s="15">
        <f t="shared" si="52"/>
        <v>1.69801225977282</v>
      </c>
      <c r="AL186" s="15">
        <f t="shared" si="53"/>
        <v>0.8287110388143365</v>
      </c>
      <c r="AM186" s="15">
        <f t="shared" si="54"/>
        <v>0.20680480244039132</v>
      </c>
      <c r="AN186" s="15">
        <f t="shared" si="47"/>
        <v>3.5912676468270579</v>
      </c>
      <c r="AO186" s="15">
        <f t="shared" si="48"/>
        <v>1.7156338714083801</v>
      </c>
      <c r="AP186">
        <f t="shared" si="49"/>
        <v>2020</v>
      </c>
      <c r="AQ186" t="str">
        <f t="shared" si="50"/>
        <v>IMF COFOG</v>
      </c>
      <c r="AR186" s="7">
        <f t="shared" si="55"/>
        <v>414.02667806958158</v>
      </c>
      <c r="AS186" s="7">
        <f t="shared" si="56"/>
        <v>202.06478281010581</v>
      </c>
      <c r="AT186" s="7">
        <f t="shared" si="57"/>
        <v>50.425257456437286</v>
      </c>
      <c r="AU186" s="7">
        <f t="shared" si="58"/>
        <v>875.65952796683723</v>
      </c>
    </row>
    <row r="187" spans="1:47">
      <c r="A187">
        <v>184</v>
      </c>
      <c r="B187" t="s">
        <v>53</v>
      </c>
      <c r="C187" t="s">
        <v>458</v>
      </c>
      <c r="D187" t="s">
        <v>485</v>
      </c>
      <c r="E187" t="s">
        <v>622</v>
      </c>
      <c r="G187" t="s">
        <v>623</v>
      </c>
      <c r="H187" t="str">
        <f>IF(ISNUMBER(VLOOKUP(C187,'OECD DAC'!B:C,2,FALSE)), "YES", " ")</f>
        <v>YES</v>
      </c>
      <c r="I187">
        <v>52210</v>
      </c>
      <c r="J187">
        <v>2021</v>
      </c>
      <c r="K187" s="15">
        <f>IF(ISNUMBER(VLOOKUP(C187,'WEO GOV REV'!C:BL,58,FALSE)),(VLOOKUP(C187,'WEO GOV REV'!C:BL,58,FALSE)), " ")</f>
        <v>184.91499999999999</v>
      </c>
      <c r="L187" s="15">
        <f>IF(ISNUMBER(VLOOKUP(C187,'WEO GOV REV'!C:BL,62,FALSE)),(VLOOKUP(C187,'WEO GOV REV'!C:BL,62,FALSE)), " ")</f>
        <v>48.748948779529734</v>
      </c>
      <c r="M187">
        <f>IF(ISNUMBER(VLOOKUP(C187,'WEO GOV REV'!C:BL,62,FALSE)),(VLOOKUP(C187,'WEO GOV REV'!C:BL,57,FALSE)), " ")</f>
        <v>2020</v>
      </c>
      <c r="N187" s="15">
        <f>IF(ISNUMBER(VLOOKUP($C187,'IMF COFOG FULL'!$B:$CM,79,FALSE)),(VLOOKUP($C187,'IMF COFOG FULL'!$B:$CM,79,FALSE)), " ")</f>
        <v>1.43017610927842</v>
      </c>
      <c r="O187" s="15">
        <f>IF(ISNUMBER(VLOOKUP($C187,'IMF COFOG FULL'!$B:$CM,80,FALSE)),(VLOOKUP($C187,'IMF COFOG FULL'!$B:$CM,80,FALSE)), " ")</f>
        <v>0.72614534886482296</v>
      </c>
      <c r="P187" s="15">
        <f>IF(ISNUMBER(VLOOKUP($C187,'IMF COFOG FULL'!$B:$CM,81,FALSE)),(VLOOKUP($C187,'IMF COFOG FULL'!$B:$CM,81,FALSE)), " ")</f>
        <v>0.174687042028009</v>
      </c>
      <c r="Q187" s="15">
        <f>IF(ISNUMBER(VLOOKUP($C187,'IMF COFOG FULL'!$B:$CM,82,FALSE)),(VLOOKUP($C187,'IMF COFOG FULL'!$B:$CM,82,FALSE)), " ")</f>
        <v>0.28531275743402201</v>
      </c>
      <c r="R187" s="15">
        <f>IF(ISNUMBER(VLOOKUP($C187,'IMF COFOG FULL'!$B:$CM,83,FALSE)),(VLOOKUP($C187,'IMF COFOG FULL'!$B:$CM,83,FALSE)), " ")</f>
        <v>0.15326378184002001</v>
      </c>
      <c r="S187" s="15">
        <f>IF(ISNUMBER(VLOOKUP($C187,'IMF COFOG FULL'!$B:$CM,84,FALSE)),(VLOOKUP($C187,'IMF COFOG FULL'!$B:$CM,84,FALSE)), " ")</f>
        <v>2.79512988263779E-2</v>
      </c>
      <c r="T187" s="15">
        <f>IF(ISNUMBER(VLOOKUP($C187,'IMF COFOG FULL'!$B:$CM,85,FALSE)),(VLOOKUP($C187,'IMF COFOG FULL'!$B:$CM,85,FALSE)), " ")</f>
        <v>6.2815880285164993E-2</v>
      </c>
      <c r="U187" s="7">
        <f>IF(ISNUMBER(VLOOKUP($C187,'IMF COFOG FULL'!$B:$CM,79,FALSE)),(VLOOKUP($C187,'IMF COFOG FULL'!$B:$CM,86,FALSE)), " ")</f>
        <v>2020</v>
      </c>
      <c r="V187" s="15" t="str">
        <f>IF(ISNUMBER(VLOOKUP($C187,'IMF COFOG FULL'!$B:$CM,79,FALSE)),(VLOOKUP($C187,'IMF COFOG FULL'!$B:$CM,87,FALSE)), " ")</f>
        <v>General government</v>
      </c>
      <c r="W187" s="15">
        <f t="shared" si="59"/>
        <v>2.9337578452132038</v>
      </c>
      <c r="X187" s="15">
        <f t="shared" si="60"/>
        <v>1.4895610408931321</v>
      </c>
      <c r="Y187" s="15">
        <f t="shared" si="61"/>
        <v>0.35834012096966933</v>
      </c>
      <c r="Z187" s="15">
        <f t="shared" si="62"/>
        <v>0.58526955878447229</v>
      </c>
      <c r="AA187" s="15">
        <f t="shared" si="63"/>
        <v>0.31439402423458473</v>
      </c>
      <c r="AB187" s="15">
        <f t="shared" si="64"/>
        <v>5.7337233983833072E-2</v>
      </c>
      <c r="AC187" s="15">
        <f t="shared" si="65"/>
        <v>0.12885586634750601</v>
      </c>
      <c r="AG187" s="15" t="str">
        <f>IF(ISNUMBER(VLOOKUP(C187,'National budgets summary'!A:F,5, FALSE)),(VLOOKUP(C187,'National budgets summary'!A:F,5, FALSE)), " ")</f>
        <v xml:space="preserve"> </v>
      </c>
      <c r="AH187" t="str">
        <f>IF(ISNUMBER(VLOOKUP(C187,'National budgets summary'!A:F,5, FALSE)),(VLOOKUP(C187,'National budgets summary'!A:F,4, FALSE)), " ")</f>
        <v xml:space="preserve"> </v>
      </c>
      <c r="AI187" s="15" t="str">
        <f t="shared" si="46"/>
        <v xml:space="preserve"> </v>
      </c>
      <c r="AJ187" s="15" t="str">
        <f t="shared" si="51"/>
        <v xml:space="preserve"> </v>
      </c>
      <c r="AK187" s="15">
        <f t="shared" si="52"/>
        <v>1.4895610408931321</v>
      </c>
      <c r="AL187" s="15">
        <f t="shared" si="53"/>
        <v>0.58526955878447229</v>
      </c>
      <c r="AM187" s="15">
        <f t="shared" si="54"/>
        <v>0.31439402423458473</v>
      </c>
      <c r="AN187" s="15">
        <f t="shared" si="47"/>
        <v>2.9337578452132038</v>
      </c>
      <c r="AO187" s="15">
        <f t="shared" si="48"/>
        <v>1.43017610927842</v>
      </c>
      <c r="AP187">
        <f t="shared" si="49"/>
        <v>2020</v>
      </c>
      <c r="AQ187" t="str">
        <f t="shared" si="50"/>
        <v>IMF COFOG</v>
      </c>
      <c r="AR187" s="7">
        <f t="shared" si="55"/>
        <v>379.12048664232407</v>
      </c>
      <c r="AS187" s="7">
        <f t="shared" si="56"/>
        <v>148.96179065630292</v>
      </c>
      <c r="AT187" s="7">
        <f t="shared" si="57"/>
        <v>80.01902049867445</v>
      </c>
      <c r="AU187" s="7">
        <f t="shared" si="58"/>
        <v>746.69494665426316</v>
      </c>
    </row>
    <row r="188" spans="1:47">
      <c r="A188">
        <v>185</v>
      </c>
      <c r="B188" t="s">
        <v>50</v>
      </c>
      <c r="C188" t="s">
        <v>459</v>
      </c>
      <c r="D188" t="s">
        <v>485</v>
      </c>
      <c r="E188" t="s">
        <v>622</v>
      </c>
      <c r="G188" t="s">
        <v>623</v>
      </c>
      <c r="H188" t="str">
        <f>IF(ISNUMBER(VLOOKUP(C188,'OECD DAC'!B:C,2,FALSE)), "YES", " ")</f>
        <v>YES</v>
      </c>
      <c r="I188">
        <v>53660</v>
      </c>
      <c r="J188">
        <v>2021</v>
      </c>
      <c r="K188" s="15">
        <f>IF(ISNUMBER(VLOOKUP(C188,'WEO GOV REV'!C:BL,58,FALSE)),(VLOOKUP(C188,'WEO GOV REV'!C:BL,58,FALSE)), " ")</f>
        <v>122.492</v>
      </c>
      <c r="L188" s="15">
        <f>IF(ISNUMBER(VLOOKUP(C188,'WEO GOV REV'!C:BL,62,FALSE)),(VLOOKUP(C188,'WEO GOV REV'!C:BL,62,FALSE)), " ")</f>
        <v>51.468308157734413</v>
      </c>
      <c r="M188">
        <f>IF(ISNUMBER(VLOOKUP(C188,'WEO GOV REV'!C:BL,62,FALSE)),(VLOOKUP(C188,'WEO GOV REV'!C:BL,57,FALSE)), " ")</f>
        <v>2020</v>
      </c>
      <c r="N188" s="15">
        <f>IF(ISNUMBER(VLOOKUP($C188,'IMF COFOG FULL'!$B:$CM,79,FALSE)),(VLOOKUP($C188,'IMF COFOG FULL'!$B:$CM,79,FALSE)), " ")</f>
        <v>1.16771385506461</v>
      </c>
      <c r="O188" s="15">
        <f>IF(ISNUMBER(VLOOKUP($C188,'IMF COFOG FULL'!$B:$CM,80,FALSE)),(VLOOKUP($C188,'IMF COFOG FULL'!$B:$CM,80,FALSE)), " ")</f>
        <v>0.53432011787220302</v>
      </c>
      <c r="P188" s="15">
        <f>IF(ISNUMBER(VLOOKUP($C188,'IMF COFOG FULL'!$B:$CM,81,FALSE)),(VLOOKUP($C188,'IMF COFOG FULL'!$B:$CM,81,FALSE)), " ")</f>
        <v>0.251917963656071</v>
      </c>
      <c r="Q188" s="15">
        <f>IF(ISNUMBER(VLOOKUP($C188,'IMF COFOG FULL'!$B:$CM,82,FALSE)),(VLOOKUP($C188,'IMF COFOG FULL'!$B:$CM,82,FALSE)), " ")</f>
        <v>0.23963960912493401</v>
      </c>
      <c r="R188" s="15">
        <f>IF(ISNUMBER(VLOOKUP($C188,'IMF COFOG FULL'!$B:$CM,83,FALSE)),(VLOOKUP($C188,'IMF COFOG FULL'!$B:$CM,83,FALSE)), " ")</f>
        <v>9.5686487035751194E-2</v>
      </c>
      <c r="S188" s="15">
        <f>IF(ISNUMBER(VLOOKUP($C188,'IMF COFOG FULL'!$B:$CM,84,FALSE)),(VLOOKUP($C188,'IMF COFOG FULL'!$B:$CM,84,FALSE)), " ")</f>
        <v>1.27017460666926E-3</v>
      </c>
      <c r="T188" s="15">
        <f>IF(ISNUMBER(VLOOKUP($C188,'IMF COFOG FULL'!$B:$CM,85,FALSE)),(VLOOKUP($C188,'IMF COFOG FULL'!$B:$CM,85,FALSE)), " ")</f>
        <v>4.4879502768980603E-2</v>
      </c>
      <c r="U188" s="7">
        <f>IF(ISNUMBER(VLOOKUP($C188,'IMF COFOG FULL'!$B:$CM,79,FALSE)),(VLOOKUP($C188,'IMF COFOG FULL'!$B:$CM,86,FALSE)), " ")</f>
        <v>2020</v>
      </c>
      <c r="V188" s="15" t="str">
        <f>IF(ISNUMBER(VLOOKUP($C188,'IMF COFOG FULL'!$B:$CM,79,FALSE)),(VLOOKUP($C188,'IMF COFOG FULL'!$B:$CM,87,FALSE)), " ")</f>
        <v>General government</v>
      </c>
      <c r="W188" s="15">
        <f t="shared" si="59"/>
        <v>2.2688017089777439</v>
      </c>
      <c r="X188" s="15">
        <f t="shared" si="60"/>
        <v>1.0381536463850289</v>
      </c>
      <c r="Y188" s="15">
        <f t="shared" si="61"/>
        <v>0.48946229762210269</v>
      </c>
      <c r="Z188" s="15">
        <f t="shared" si="62"/>
        <v>0.46560615202371308</v>
      </c>
      <c r="AA188" s="15">
        <f t="shared" si="63"/>
        <v>0.18591341052536986</v>
      </c>
      <c r="AB188" s="15">
        <f t="shared" si="64"/>
        <v>2.467877130867734E-3</v>
      </c>
      <c r="AC188" s="15">
        <f t="shared" si="65"/>
        <v>8.71983252906601E-2</v>
      </c>
      <c r="AG188" s="15" t="str">
        <f>IF(ISNUMBER(VLOOKUP(C188,'National budgets summary'!A:F,5, FALSE)),(VLOOKUP(C188,'National budgets summary'!A:F,5, FALSE)), " ")</f>
        <v xml:space="preserve"> </v>
      </c>
      <c r="AH188" t="str">
        <f>IF(ISNUMBER(VLOOKUP(C188,'National budgets summary'!A:F,5, FALSE)),(VLOOKUP(C188,'National budgets summary'!A:F,4, FALSE)), " ")</f>
        <v xml:space="preserve"> </v>
      </c>
      <c r="AI188" s="15" t="str">
        <f t="shared" si="46"/>
        <v xml:space="preserve"> </v>
      </c>
      <c r="AJ188" s="15" t="str">
        <f t="shared" si="51"/>
        <v xml:space="preserve"> </v>
      </c>
      <c r="AK188" s="15">
        <f t="shared" si="52"/>
        <v>1.0381536463850289</v>
      </c>
      <c r="AL188" s="15">
        <f t="shared" si="53"/>
        <v>0.46560615202371308</v>
      </c>
      <c r="AM188" s="15">
        <f t="shared" si="54"/>
        <v>0.18591341052536986</v>
      </c>
      <c r="AN188" s="15">
        <f t="shared" si="47"/>
        <v>2.2688017089777439</v>
      </c>
      <c r="AO188" s="15">
        <f t="shared" si="48"/>
        <v>1.16771385506461</v>
      </c>
      <c r="AP188">
        <f t="shared" si="49"/>
        <v>2020</v>
      </c>
      <c r="AQ188" t="str">
        <f t="shared" si="50"/>
        <v>IMF COFOG</v>
      </c>
      <c r="AR188" s="7">
        <f t="shared" si="55"/>
        <v>286.71617525022418</v>
      </c>
      <c r="AS188" s="7">
        <f t="shared" si="56"/>
        <v>128.59061425643961</v>
      </c>
      <c r="AT188" s="7">
        <f t="shared" si="57"/>
        <v>51.345368943384095</v>
      </c>
      <c r="AU188" s="7">
        <f t="shared" si="58"/>
        <v>626.59525462766976</v>
      </c>
    </row>
    <row r="189" spans="1:47">
      <c r="A189">
        <v>186</v>
      </c>
      <c r="B189" t="s">
        <v>259</v>
      </c>
      <c r="C189" t="s">
        <v>520</v>
      </c>
      <c r="D189" t="s">
        <v>493</v>
      </c>
      <c r="E189" t="s">
        <v>622</v>
      </c>
      <c r="H189" t="str">
        <f>IF(ISNUMBER(VLOOKUP(C189,'OECD DAC'!B:C,2,FALSE)), "YES", " ")</f>
        <v xml:space="preserve"> </v>
      </c>
      <c r="I189">
        <v>54450</v>
      </c>
      <c r="J189">
        <v>2021</v>
      </c>
      <c r="K189" s="15">
        <f>IF(ISNUMBER(VLOOKUP(C189,'WEO GOV REV'!C:BL,58,FALSE)),(VLOOKUP(C189,'WEO GOV REV'!C:BL,58,FALSE)), " ")</f>
        <v>694.548</v>
      </c>
      <c r="L189" s="15">
        <f>IF(ISNUMBER(VLOOKUP(C189,'WEO GOV REV'!C:BL,62,FALSE)),(VLOOKUP(C189,'WEO GOV REV'!C:BL,62,FALSE)), " ")</f>
        <v>24.271147112474754</v>
      </c>
      <c r="M189">
        <f>IF(ISNUMBER(VLOOKUP(C189,'WEO GOV REV'!C:BL,62,FALSE)),(VLOOKUP(C189,'WEO GOV REV'!C:BL,57,FALSE)), " ")</f>
        <v>2021</v>
      </c>
      <c r="N189" s="15">
        <f>IF(ISNUMBER(VLOOKUP($C189,'IMF COFOG FULL'!$B:$CM,79,FALSE)),(VLOOKUP($C189,'IMF COFOG FULL'!$B:$CM,79,FALSE)), " ")</f>
        <v>3.1884107809401101</v>
      </c>
      <c r="O189" s="15">
        <f>IF(ISNUMBER(VLOOKUP($C189,'IMF COFOG FULL'!$B:$CM,80,FALSE)),(VLOOKUP($C189,'IMF COFOG FULL'!$B:$CM,80,FALSE)), " ")</f>
        <v>1.5549576610446501</v>
      </c>
      <c r="P189" s="15">
        <f>IF(ISNUMBER(VLOOKUP($C189,'IMF COFOG FULL'!$B:$CM,81,FALSE)),(VLOOKUP($C189,'IMF COFOG FULL'!$B:$CM,81,FALSE)), " ")</f>
        <v>0.38873941526116201</v>
      </c>
      <c r="Q189" s="15">
        <f>IF(ISNUMBER(VLOOKUP($C189,'IMF COFOG FULL'!$B:$CM,82,FALSE)),(VLOOKUP($C189,'IMF COFOG FULL'!$B:$CM,82,FALSE)), " ")</f>
        <v>0.26912728748849701</v>
      </c>
      <c r="R189" s="15">
        <f>IF(ISNUMBER(VLOOKUP($C189,'IMF COFOG FULL'!$B:$CM,83,FALSE)),(VLOOKUP($C189,'IMF COFOG FULL'!$B:$CM,83,FALSE)), " ")</f>
        <v>0.23548637655243501</v>
      </c>
      <c r="S189" s="15">
        <f>IF(ISNUMBER(VLOOKUP($C189,'IMF COFOG FULL'!$B:$CM,84,FALSE)),(VLOOKUP($C189,'IMF COFOG FULL'!$B:$CM,84,FALSE)), " ")</f>
        <v>0</v>
      </c>
      <c r="T189" s="15">
        <f>IF(ISNUMBER(VLOOKUP($C189,'IMF COFOG FULL'!$B:$CM,85,FALSE)),(VLOOKUP($C189,'IMF COFOG FULL'!$B:$CM,85,FALSE)), " ")</f>
        <v>0.74010004059336598</v>
      </c>
      <c r="U189" s="7">
        <f>IF(ISNUMBER(VLOOKUP($C189,'IMF COFOG FULL'!$B:$CM,79,FALSE)),(VLOOKUP($C189,'IMF COFOG FULL'!$B:$CM,86,FALSE)), " ")</f>
        <v>2020</v>
      </c>
      <c r="V189" s="15" t="str">
        <f>IF(ISNUMBER(VLOOKUP($C189,'IMF COFOG FULL'!$B:$CM,79,FALSE)),(VLOOKUP($C189,'IMF COFOG FULL'!$B:$CM,87,FALSE)), " ")</f>
        <v>General government</v>
      </c>
      <c r="W189" s="15">
        <f t="shared" si="59"/>
        <v>13.136629950635287</v>
      </c>
      <c r="X189" s="15">
        <f t="shared" si="60"/>
        <v>6.4066096828420651</v>
      </c>
      <c r="Y189" s="15">
        <f t="shared" si="61"/>
        <v>1.6016524207105143</v>
      </c>
      <c r="Z189" s="15">
        <f t="shared" si="62"/>
        <v>1.1088362912611263</v>
      </c>
      <c r="AA189" s="15">
        <f t="shared" si="63"/>
        <v>0.97023175485348601</v>
      </c>
      <c r="AB189" s="15">
        <f t="shared" si="64"/>
        <v>0</v>
      </c>
      <c r="AC189" s="15">
        <f t="shared" si="65"/>
        <v>3.0492998009680941</v>
      </c>
      <c r="AG189" s="15" t="str">
        <f>IF(ISNUMBER(VLOOKUP(C189,'National budgets summary'!A:F,5, FALSE)),(VLOOKUP(C189,'National budgets summary'!A:F,5, FALSE)), " ")</f>
        <v xml:space="preserve"> </v>
      </c>
      <c r="AH189" t="str">
        <f>IF(ISNUMBER(VLOOKUP(C189,'National budgets summary'!A:F,5, FALSE)),(VLOOKUP(C189,'National budgets summary'!A:F,4, FALSE)), " ")</f>
        <v xml:space="preserve"> </v>
      </c>
      <c r="AI189" s="15" t="str">
        <f t="shared" si="46"/>
        <v xml:space="preserve"> </v>
      </c>
      <c r="AJ189" s="15" t="str">
        <f t="shared" si="51"/>
        <v xml:space="preserve"> </v>
      </c>
      <c r="AK189" s="15">
        <f t="shared" si="52"/>
        <v>6.4066096828420651</v>
      </c>
      <c r="AL189" s="15">
        <f t="shared" si="53"/>
        <v>1.1088362912611263</v>
      </c>
      <c r="AM189" s="15">
        <f t="shared" si="54"/>
        <v>0.97023175485348601</v>
      </c>
      <c r="AN189" s="15">
        <f t="shared" si="47"/>
        <v>13.136629950635287</v>
      </c>
      <c r="AO189" s="15">
        <f t="shared" si="48"/>
        <v>3.1884107809401101</v>
      </c>
      <c r="AP189">
        <f t="shared" si="49"/>
        <v>2020</v>
      </c>
      <c r="AQ189" t="str">
        <f t="shared" si="50"/>
        <v>IMF COFOG</v>
      </c>
      <c r="AR189" s="7">
        <f t="shared" si="55"/>
        <v>846.67444643881197</v>
      </c>
      <c r="AS189" s="7">
        <f t="shared" si="56"/>
        <v>146.53980803748664</v>
      </c>
      <c r="AT189" s="7">
        <f t="shared" si="57"/>
        <v>128.22233203280086</v>
      </c>
      <c r="AU189" s="7">
        <f t="shared" si="58"/>
        <v>1736.0896702218902</v>
      </c>
    </row>
    <row r="190" spans="1:47">
      <c r="A190">
        <v>187</v>
      </c>
      <c r="B190" t="s">
        <v>66</v>
      </c>
      <c r="C190" t="s">
        <v>460</v>
      </c>
      <c r="D190" t="s">
        <v>485</v>
      </c>
      <c r="E190" t="s">
        <v>622</v>
      </c>
      <c r="G190" t="s">
        <v>623</v>
      </c>
      <c r="H190" t="str">
        <f>IF(ISNUMBER(VLOOKUP(C190,'OECD DAC'!B:C,2,FALSE)), "YES", " ")</f>
        <v>YES</v>
      </c>
      <c r="I190">
        <v>56370</v>
      </c>
      <c r="J190">
        <v>2021</v>
      </c>
      <c r="K190" s="15">
        <f>IF(ISNUMBER(VLOOKUP(C190,'WEO GOV REV'!C:BL,58,FALSE)),(VLOOKUP(C190,'WEO GOV REV'!C:BL,58,FALSE)), " ")</f>
        <v>328.59800000000001</v>
      </c>
      <c r="L190" s="15">
        <f>IF(ISNUMBER(VLOOKUP(C190,'WEO GOV REV'!C:BL,62,FALSE)),(VLOOKUP(C190,'WEO GOV REV'!C:BL,62,FALSE)), " ")</f>
        <v>41.069872952586884</v>
      </c>
      <c r="M190">
        <f>IF(ISNUMBER(VLOOKUP(C190,'WEO GOV REV'!C:BL,62,FALSE)),(VLOOKUP(C190,'WEO GOV REV'!C:BL,57,FALSE)), " ")</f>
        <v>2020</v>
      </c>
      <c r="N190" s="15">
        <f>IF(ISNUMBER(VLOOKUP($C190,'IMF COFOG FULL'!$B:$CM,79,FALSE)),(VLOOKUP($C190,'IMF COFOG FULL'!$B:$CM,79,FALSE)), " ")</f>
        <v>1.98138970997194</v>
      </c>
      <c r="O190" s="15">
        <f>IF(ISNUMBER(VLOOKUP($C190,'IMF COFOG FULL'!$B:$CM,80,FALSE)),(VLOOKUP($C190,'IMF COFOG FULL'!$B:$CM,80,FALSE)), " ")</f>
        <v>0.90164292990207395</v>
      </c>
      <c r="P190" s="15">
        <f>IF(ISNUMBER(VLOOKUP($C190,'IMF COFOG FULL'!$B:$CM,81,FALSE)),(VLOOKUP($C190,'IMF COFOG FULL'!$B:$CM,81,FALSE)), " ")</f>
        <v>0.20910016935488901</v>
      </c>
      <c r="Q190" s="15">
        <f>IF(ISNUMBER(VLOOKUP($C190,'IMF COFOG FULL'!$B:$CM,82,FALSE)),(VLOOKUP($C190,'IMF COFOG FULL'!$B:$CM,82,FALSE)), " ")</f>
        <v>0.29071547753704202</v>
      </c>
      <c r="R190" s="15">
        <f>IF(ISNUMBER(VLOOKUP($C190,'IMF COFOG FULL'!$B:$CM,83,FALSE)),(VLOOKUP($C190,'IMF COFOG FULL'!$B:$CM,83,FALSE)), " ")</f>
        <v>0.36008224023397201</v>
      </c>
      <c r="S190" s="15">
        <f>IF(ISNUMBER(VLOOKUP($C190,'IMF COFOG FULL'!$B:$CM,84,FALSE)),(VLOOKUP($C190,'IMF COFOG FULL'!$B:$CM,84,FALSE)), " ")</f>
        <v>2.19973878101975E-2</v>
      </c>
      <c r="T190" s="15">
        <f>IF(ISNUMBER(VLOOKUP($C190,'IMF COFOG FULL'!$B:$CM,85,FALSE)),(VLOOKUP($C190,'IMF COFOG FULL'!$B:$CM,85,FALSE)), " ")</f>
        <v>0.19785150513376501</v>
      </c>
      <c r="U190" s="7">
        <f>IF(ISNUMBER(VLOOKUP($C190,'IMF COFOG FULL'!$B:$CM,79,FALSE)),(VLOOKUP($C190,'IMF COFOG FULL'!$B:$CM,86,FALSE)), " ")</f>
        <v>2020</v>
      </c>
      <c r="V190" s="15" t="str">
        <f>IF(ISNUMBER(VLOOKUP($C190,'IMF COFOG FULL'!$B:$CM,79,FALSE)),(VLOOKUP($C190,'IMF COFOG FULL'!$B:$CM,87,FALSE)), " ")</f>
        <v>General government</v>
      </c>
      <c r="W190" s="15">
        <f t="shared" si="59"/>
        <v>4.8244359369198815</v>
      </c>
      <c r="X190" s="15">
        <f t="shared" si="60"/>
        <v>2.1953876773443532</v>
      </c>
      <c r="Y190" s="15">
        <f t="shared" si="61"/>
        <v>0.50913273970018047</v>
      </c>
      <c r="Z190" s="15">
        <f t="shared" si="62"/>
        <v>0.70785579948751853</v>
      </c>
      <c r="AA190" s="15">
        <f t="shared" si="63"/>
        <v>0.8767551841459772</v>
      </c>
      <c r="AB190" s="15">
        <f t="shared" si="64"/>
        <v>5.3560885945745151E-2</v>
      </c>
      <c r="AC190" s="15">
        <f t="shared" si="65"/>
        <v>0.48174365029610561</v>
      </c>
      <c r="AG190" s="15" t="str">
        <f>IF(ISNUMBER(VLOOKUP(C190,'National budgets summary'!A:F,5, FALSE)),(VLOOKUP(C190,'National budgets summary'!A:F,5, FALSE)), " ")</f>
        <v xml:space="preserve"> </v>
      </c>
      <c r="AH190" t="str">
        <f>IF(ISNUMBER(VLOOKUP(C190,'National budgets summary'!A:F,5, FALSE)),(VLOOKUP(C190,'National budgets summary'!A:F,4, FALSE)), " ")</f>
        <v xml:space="preserve"> </v>
      </c>
      <c r="AI190" s="15" t="str">
        <f t="shared" si="46"/>
        <v xml:space="preserve"> </v>
      </c>
      <c r="AJ190" s="15" t="str">
        <f t="shared" si="51"/>
        <v xml:space="preserve"> </v>
      </c>
      <c r="AK190" s="15">
        <f t="shared" si="52"/>
        <v>2.1953876773443532</v>
      </c>
      <c r="AL190" s="15">
        <f t="shared" si="53"/>
        <v>0.70785579948751853</v>
      </c>
      <c r="AM190" s="15">
        <f t="shared" si="54"/>
        <v>0.8767551841459772</v>
      </c>
      <c r="AN190" s="15">
        <f t="shared" si="47"/>
        <v>4.8244359369198815</v>
      </c>
      <c r="AO190" s="15">
        <f t="shared" si="48"/>
        <v>1.98138970997194</v>
      </c>
      <c r="AP190">
        <f t="shared" si="49"/>
        <v>2020</v>
      </c>
      <c r="AQ190" t="str">
        <f t="shared" si="50"/>
        <v>IMF COFOG</v>
      </c>
      <c r="AR190" s="7">
        <f t="shared" si="55"/>
        <v>508.25611958579907</v>
      </c>
      <c r="AS190" s="7">
        <f t="shared" si="56"/>
        <v>163.87631468763058</v>
      </c>
      <c r="AT190" s="7">
        <f t="shared" si="57"/>
        <v>202.97835881989002</v>
      </c>
      <c r="AU190" s="7">
        <f t="shared" si="58"/>
        <v>1116.9093795111826</v>
      </c>
    </row>
    <row r="191" spans="1:47">
      <c r="A191">
        <v>188</v>
      </c>
      <c r="B191" t="s">
        <v>74</v>
      </c>
      <c r="C191" t="s">
        <v>461</v>
      </c>
      <c r="D191" t="s">
        <v>493</v>
      </c>
      <c r="E191" t="s">
        <v>622</v>
      </c>
      <c r="H191" t="str">
        <f>IF(ISNUMBER(VLOOKUP(C191,'OECD DAC'!B:C,2,FALSE)), "YES", " ")</f>
        <v>YES</v>
      </c>
      <c r="I191">
        <v>56760</v>
      </c>
      <c r="J191">
        <v>2021</v>
      </c>
      <c r="K191" s="15">
        <f>IF(ISNUMBER(VLOOKUP(C191,'WEO GOV REV'!C:BL,58,FALSE)),(VLOOKUP(C191,'WEO GOV REV'!C:BL,58,FALSE)), " ")</f>
        <v>709.49699999999996</v>
      </c>
      <c r="L191" s="15">
        <f>IF(ISNUMBER(VLOOKUP(C191,'WEO GOV REV'!C:BL,62,FALSE)),(VLOOKUP(C191,'WEO GOV REV'!C:BL,62,FALSE)), " ")</f>
        <v>36.089820542036293</v>
      </c>
      <c r="M191">
        <f>IF(ISNUMBER(VLOOKUP(C191,'WEO GOV REV'!C:BL,62,FALSE)),(VLOOKUP(C191,'WEO GOV REV'!C:BL,57,FALSE)), " ")</f>
        <v>2020</v>
      </c>
      <c r="N191" s="15">
        <f>IF(ISNUMBER(VLOOKUP($C191,'IMF COFOG FULL'!$B:$CM,79,FALSE)),(VLOOKUP($C191,'IMF COFOG FULL'!$B:$CM,79,FALSE)), " ")</f>
        <v>2.0181498380004799</v>
      </c>
      <c r="O191" s="15">
        <f>IF(ISNUMBER(VLOOKUP($C191,'IMF COFOG FULL'!$B:$CM,80,FALSE)),(VLOOKUP($C191,'IMF COFOG FULL'!$B:$CM,80,FALSE)), " ")</f>
        <v>0.67405412241667995</v>
      </c>
      <c r="P191" s="15">
        <f>IF(ISNUMBER(VLOOKUP($C191,'IMF COFOG FULL'!$B:$CM,81,FALSE)),(VLOOKUP($C191,'IMF COFOG FULL'!$B:$CM,81,FALSE)), " ")</f>
        <v>0.27407098519783002</v>
      </c>
      <c r="Q191" s="15">
        <f>IF(ISNUMBER(VLOOKUP($C191,'IMF COFOG FULL'!$B:$CM,82,FALSE)),(VLOOKUP($C191,'IMF COFOG FULL'!$B:$CM,82,FALSE)), " ")</f>
        <v>0.40612890986691103</v>
      </c>
      <c r="R191" s="15">
        <f>IF(ISNUMBER(VLOOKUP($C191,'IMF COFOG FULL'!$B:$CM,83,FALSE)),(VLOOKUP($C191,'IMF COFOG FULL'!$B:$CM,83,FALSE)), " ")</f>
        <v>0.34715996735121801</v>
      </c>
      <c r="S191" s="15">
        <f>IF(ISNUMBER(VLOOKUP($C191,'IMF COFOG FULL'!$B:$CM,84,FALSE)),(VLOOKUP($C191,'IMF COFOG FULL'!$B:$CM,84,FALSE)), " ")</f>
        <v>1.62532830361945E-3</v>
      </c>
      <c r="T191" s="15">
        <f>IF(ISNUMBER(VLOOKUP($C191,'IMF COFOG FULL'!$B:$CM,85,FALSE)),(VLOOKUP($C191,'IMF COFOG FULL'!$B:$CM,85,FALSE)), " ")</f>
        <v>0.31511052486422197</v>
      </c>
      <c r="U191" s="7">
        <f>IF(ISNUMBER(VLOOKUP($C191,'IMF COFOG FULL'!$B:$CM,79,FALSE)),(VLOOKUP($C191,'IMF COFOG FULL'!$B:$CM,86,FALSE)), " ")</f>
        <v>2020</v>
      </c>
      <c r="V191" s="15" t="str">
        <f>IF(ISNUMBER(VLOOKUP($C191,'IMF COFOG FULL'!$B:$CM,79,FALSE)),(VLOOKUP($C191,'IMF COFOG FULL'!$B:$CM,87,FALSE)), " ")</f>
        <v>General government</v>
      </c>
      <c r="W191" s="15">
        <f t="shared" si="59"/>
        <v>5.5920195991271333</v>
      </c>
      <c r="X191" s="15">
        <f t="shared" si="60"/>
        <v>1.8677125912320978</v>
      </c>
      <c r="Y191" s="15">
        <f t="shared" si="61"/>
        <v>0.75941354398978167</v>
      </c>
      <c r="Z191" s="15">
        <f t="shared" si="62"/>
        <v>1.1253281500634362</v>
      </c>
      <c r="AA191" s="15">
        <f t="shared" si="63"/>
        <v>0.9619332048128556</v>
      </c>
      <c r="AB191" s="15">
        <f t="shared" si="64"/>
        <v>4.5035643824449566E-3</v>
      </c>
      <c r="AC191" s="15">
        <f t="shared" si="65"/>
        <v>0.87312854464651912</v>
      </c>
      <c r="AG191" s="15" t="str">
        <f>IF(ISNUMBER(VLOOKUP(C191,'National budgets summary'!A:F,5, FALSE)),(VLOOKUP(C191,'National budgets summary'!A:F,5, FALSE)), " ")</f>
        <v xml:space="preserve"> </v>
      </c>
      <c r="AH191" t="str">
        <f>IF(ISNUMBER(VLOOKUP(C191,'National budgets summary'!A:F,5, FALSE)),(VLOOKUP(C191,'National budgets summary'!A:F,4, FALSE)), " ")</f>
        <v xml:space="preserve"> </v>
      </c>
      <c r="AI191" s="15" t="str">
        <f t="shared" si="46"/>
        <v xml:space="preserve"> </v>
      </c>
      <c r="AJ191" s="15" t="str">
        <f t="shared" si="51"/>
        <v xml:space="preserve"> </v>
      </c>
      <c r="AK191" s="15">
        <f t="shared" si="52"/>
        <v>1.8677125912320978</v>
      </c>
      <c r="AL191" s="15">
        <f t="shared" si="53"/>
        <v>1.1253281500634362</v>
      </c>
      <c r="AM191" s="15">
        <f t="shared" si="54"/>
        <v>0.9619332048128556</v>
      </c>
      <c r="AN191" s="15">
        <f t="shared" si="47"/>
        <v>5.5920195991271333</v>
      </c>
      <c r="AO191" s="15">
        <f t="shared" si="48"/>
        <v>2.0181498380004799</v>
      </c>
      <c r="AP191">
        <f t="shared" si="49"/>
        <v>2020</v>
      </c>
      <c r="AQ191" t="str">
        <f t="shared" si="50"/>
        <v>IMF COFOG</v>
      </c>
      <c r="AR191" s="7">
        <f t="shared" si="55"/>
        <v>382.59311988370757</v>
      </c>
      <c r="AS191" s="7">
        <f t="shared" si="56"/>
        <v>230.51876924045871</v>
      </c>
      <c r="AT191" s="7">
        <f t="shared" si="57"/>
        <v>197.04799746855136</v>
      </c>
      <c r="AU191" s="7">
        <f t="shared" si="58"/>
        <v>1145.5018480490724</v>
      </c>
    </row>
    <row r="192" spans="1:47">
      <c r="A192">
        <v>189</v>
      </c>
      <c r="B192" t="s">
        <v>260</v>
      </c>
      <c r="C192" t="s">
        <v>580</v>
      </c>
      <c r="D192" t="s">
        <v>487</v>
      </c>
      <c r="E192" t="s">
        <v>622</v>
      </c>
      <c r="H192" t="str">
        <f>IF(ISNUMBER(VLOOKUP(C192,'OECD DAC'!B:C,2,FALSE)), "YES", " ")</f>
        <v xml:space="preserve"> </v>
      </c>
      <c r="I192">
        <v>57120</v>
      </c>
      <c r="J192">
        <v>2021</v>
      </c>
      <c r="K192" s="15">
        <f>IF(ISNUMBER(VLOOKUP(C192,'WEO GOV REV'!C:BL,58,FALSE)),(VLOOKUP(C192,'WEO GOV REV'!C:BL,58,FALSE)), " ")</f>
        <v>187.81800000000001</v>
      </c>
      <c r="L192" s="15">
        <f>IF(ISNUMBER(VLOOKUP(C192,'WEO GOV REV'!C:BL,62,FALSE)),(VLOOKUP(C192,'WEO GOV REV'!C:BL,62,FALSE)), " ")</f>
        <v>35.730143420519461</v>
      </c>
      <c r="M192">
        <f>IF(ISNUMBER(VLOOKUP(C192,'WEO GOV REV'!C:BL,62,FALSE)),(VLOOKUP(C192,'WEO GOV REV'!C:BL,57,FALSE)), " ")</f>
        <v>2020</v>
      </c>
      <c r="N192" s="15" t="str">
        <f>IF(ISNUMBER(VLOOKUP($C192,'IMF COFOG FULL'!$B:$CM,79,FALSE)),(VLOOKUP($C192,'IMF COFOG FULL'!$B:$CM,79,FALSE)), " ")</f>
        <v xml:space="preserve"> </v>
      </c>
      <c r="O192" s="15" t="str">
        <f>IF(ISNUMBER(VLOOKUP($C192,'IMF COFOG FULL'!$B:$CM,80,FALSE)),(VLOOKUP($C192,'IMF COFOG FULL'!$B:$CM,80,FALSE)), " ")</f>
        <v xml:space="preserve"> </v>
      </c>
      <c r="P192" s="15" t="str">
        <f>IF(ISNUMBER(VLOOKUP($C192,'IMF COFOG FULL'!$B:$CM,81,FALSE)),(VLOOKUP($C192,'IMF COFOG FULL'!$B:$CM,81,FALSE)), " ")</f>
        <v xml:space="preserve"> </v>
      </c>
      <c r="Q192" s="15" t="str">
        <f>IF(ISNUMBER(VLOOKUP($C192,'IMF COFOG FULL'!$B:$CM,82,FALSE)),(VLOOKUP($C192,'IMF COFOG FULL'!$B:$CM,82,FALSE)), " ")</f>
        <v xml:space="preserve"> </v>
      </c>
      <c r="R192" s="15" t="str">
        <f>IF(ISNUMBER(VLOOKUP($C192,'IMF COFOG FULL'!$B:$CM,83,FALSE)),(VLOOKUP($C192,'IMF COFOG FULL'!$B:$CM,83,FALSE)), " ")</f>
        <v xml:space="preserve"> </v>
      </c>
      <c r="S192" s="15" t="str">
        <f>IF(ISNUMBER(VLOOKUP($C192,'IMF COFOG FULL'!$B:$CM,84,FALSE)),(VLOOKUP($C192,'IMF COFOG FULL'!$B:$CM,84,FALSE)), " ")</f>
        <v xml:space="preserve"> </v>
      </c>
      <c r="T192" s="15" t="str">
        <f>IF(ISNUMBER(VLOOKUP($C192,'IMF COFOG FULL'!$B:$CM,85,FALSE)),(VLOOKUP($C192,'IMF COFOG FULL'!$B:$CM,85,FALSE)), " ")</f>
        <v xml:space="preserve"> </v>
      </c>
      <c r="U192" s="7" t="str">
        <f>IF(ISNUMBER(VLOOKUP($C192,'IMF COFOG FULL'!$B:$CM,79,FALSE)),(VLOOKUP($C192,'IMF COFOG FULL'!$B:$CM,86,FALSE)), " ")</f>
        <v xml:space="preserve"> </v>
      </c>
      <c r="V192" s="15" t="str">
        <f>IF(ISNUMBER(VLOOKUP($C192,'IMF COFOG FULL'!$B:$CM,79,FALSE)),(VLOOKUP($C192,'IMF COFOG FULL'!$B:$CM,87,FALSE)), " ")</f>
        <v xml:space="preserve"> </v>
      </c>
      <c r="W192" s="15" t="str">
        <f t="shared" si="59"/>
        <v xml:space="preserve"> </v>
      </c>
      <c r="X192" s="15" t="str">
        <f t="shared" si="60"/>
        <v xml:space="preserve"> </v>
      </c>
      <c r="Y192" s="15" t="str">
        <f t="shared" si="61"/>
        <v xml:space="preserve"> </v>
      </c>
      <c r="Z192" s="15" t="str">
        <f t="shared" si="62"/>
        <v xml:space="preserve"> </v>
      </c>
      <c r="AA192" s="15" t="str">
        <f t="shared" si="63"/>
        <v xml:space="preserve"> </v>
      </c>
      <c r="AB192" s="15" t="str">
        <f t="shared" si="64"/>
        <v xml:space="preserve"> </v>
      </c>
      <c r="AC192" s="15" t="str">
        <f t="shared" si="65"/>
        <v xml:space="preserve"> </v>
      </c>
      <c r="AG192" s="15" t="str">
        <f>IF(ISNUMBER(VLOOKUP(C192,'National budgets summary'!A:F,5, FALSE)),(VLOOKUP(C192,'National budgets summary'!A:F,5, FALSE)), " ")</f>
        <v xml:space="preserve"> </v>
      </c>
      <c r="AH192" t="str">
        <f>IF(ISNUMBER(VLOOKUP(C192,'National budgets summary'!A:F,5, FALSE)),(VLOOKUP(C192,'National budgets summary'!A:F,4, FALSE)), " ")</f>
        <v xml:space="preserve"> </v>
      </c>
      <c r="AI192" s="15" t="str">
        <f t="shared" si="46"/>
        <v xml:space="preserve"> </v>
      </c>
      <c r="AJ192" s="15" t="str">
        <f t="shared" si="51"/>
        <v xml:space="preserve"> </v>
      </c>
      <c r="AK192" s="15" t="str">
        <f t="shared" si="52"/>
        <v/>
      </c>
      <c r="AL192" s="15" t="str">
        <f t="shared" si="53"/>
        <v/>
      </c>
      <c r="AM192" s="15" t="str">
        <f t="shared" si="54"/>
        <v/>
      </c>
      <c r="AN192" s="15" t="str">
        <f t="shared" si="47"/>
        <v xml:space="preserve"> </v>
      </c>
      <c r="AO192" s="15" t="str">
        <f t="shared" si="48"/>
        <v xml:space="preserve"> </v>
      </c>
      <c r="AP192" t="str">
        <f t="shared" si="49"/>
        <v xml:space="preserve"> </v>
      </c>
      <c r="AQ192" t="str">
        <f t="shared" si="50"/>
        <v xml:space="preserve"> </v>
      </c>
      <c r="AR192" s="7" t="str">
        <f t="shared" si="55"/>
        <v xml:space="preserve"> </v>
      </c>
      <c r="AS192" s="7" t="str">
        <f t="shared" si="56"/>
        <v xml:space="preserve"> </v>
      </c>
      <c r="AT192" s="7" t="str">
        <f t="shared" si="57"/>
        <v xml:space="preserve"> </v>
      </c>
      <c r="AU192" s="7" t="str">
        <f t="shared" si="58"/>
        <v xml:space="preserve"> </v>
      </c>
    </row>
    <row r="193" spans="1:47">
      <c r="A193">
        <v>190</v>
      </c>
      <c r="B193" t="s">
        <v>52</v>
      </c>
      <c r="C193" t="s">
        <v>462</v>
      </c>
      <c r="D193" t="s">
        <v>485</v>
      </c>
      <c r="E193" t="s">
        <v>622</v>
      </c>
      <c r="H193" t="str">
        <f>IF(ISNUMBER(VLOOKUP(C193,'OECD DAC'!B:C,2,FALSE)), "YES", " ")</f>
        <v>YES</v>
      </c>
      <c r="I193">
        <v>58890</v>
      </c>
      <c r="J193">
        <v>2021</v>
      </c>
      <c r="K193" s="15">
        <f>IF(ISNUMBER(VLOOKUP(C193,'WEO GOV REV'!C:BL,58,FALSE)),(VLOOKUP(C193,'WEO GOV REV'!C:BL,58,FALSE)), " ")</f>
        <v>2424.83</v>
      </c>
      <c r="L193" s="15">
        <f>IF(ISNUMBER(VLOOKUP(C193,'WEO GOV REV'!C:BL,62,FALSE)),(VLOOKUP(C193,'WEO GOV REV'!C:BL,62,FALSE)), " ")</f>
        <v>48.620484995769218</v>
      </c>
      <c r="M193">
        <f>IF(ISNUMBER(VLOOKUP(C193,'WEO GOV REV'!C:BL,62,FALSE)),(VLOOKUP(C193,'WEO GOV REV'!C:BL,57,FALSE)), " ")</f>
        <v>2020</v>
      </c>
      <c r="N193" s="15">
        <f>IF(ISNUMBER(VLOOKUP($C193,'IMF COFOG FULL'!$B:$CM,79,FALSE)),(VLOOKUP($C193,'IMF COFOG FULL'!$B:$CM,79,FALSE)), " ")</f>
        <v>1.39833281260065</v>
      </c>
      <c r="O193" s="15">
        <f>IF(ISNUMBER(VLOOKUP($C193,'IMF COFOG FULL'!$B:$CM,80,FALSE)),(VLOOKUP($C193,'IMF COFOG FULL'!$B:$CM,80,FALSE)), " ")</f>
        <v>0.71096566716091103</v>
      </c>
      <c r="P193" s="15">
        <f>IF(ISNUMBER(VLOOKUP($C193,'IMF COFOG FULL'!$B:$CM,81,FALSE)),(VLOOKUP($C193,'IMF COFOG FULL'!$B:$CM,81,FALSE)), " ")</f>
        <v>0.191216252960099</v>
      </c>
      <c r="Q193" s="15">
        <f>IF(ISNUMBER(VLOOKUP($C193,'IMF COFOG FULL'!$B:$CM,82,FALSE)),(VLOOKUP($C193,'IMF COFOG FULL'!$B:$CM,82,FALSE)), " ")</f>
        <v>0.269235855385209</v>
      </c>
      <c r="R193" s="15">
        <f>IF(ISNUMBER(VLOOKUP($C193,'IMF COFOG FULL'!$B:$CM,83,FALSE)),(VLOOKUP($C193,'IMF COFOG FULL'!$B:$CM,83,FALSE)), " ")</f>
        <v>0.21573784610914401</v>
      </c>
      <c r="S193" s="15">
        <f>IF(ISNUMBER(VLOOKUP($C193,'IMF COFOG FULL'!$B:$CM,84,FALSE)),(VLOOKUP($C193,'IMF COFOG FULL'!$B:$CM,84,FALSE)), " ")</f>
        <v>0</v>
      </c>
      <c r="T193" s="15">
        <f>IF(ISNUMBER(VLOOKUP($C193,'IMF COFOG FULL'!$B:$CM,85,FALSE)),(VLOOKUP($C193,'IMF COFOG FULL'!$B:$CM,85,FALSE)), " ")</f>
        <v>1.1177190985284399E-2</v>
      </c>
      <c r="U193" s="7">
        <f>IF(ISNUMBER(VLOOKUP($C193,'IMF COFOG FULL'!$B:$CM,79,FALSE)),(VLOOKUP($C193,'IMF COFOG FULL'!$B:$CM,86,FALSE)), " ")</f>
        <v>2020</v>
      </c>
      <c r="V193" s="15" t="str">
        <f>IF(ISNUMBER(VLOOKUP($C193,'IMF COFOG FULL'!$B:$CM,79,FALSE)),(VLOOKUP($C193,'IMF COFOG FULL'!$B:$CM,87,FALSE)), " ")</f>
        <v>General government</v>
      </c>
      <c r="W193" s="15">
        <f t="shared" si="59"/>
        <v>2.8760157631548267</v>
      </c>
      <c r="X193" s="15">
        <f t="shared" si="60"/>
        <v>1.4622759670595156</v>
      </c>
      <c r="Y193" s="15">
        <f t="shared" si="61"/>
        <v>0.39328331047445941</v>
      </c>
      <c r="Z193" s="15">
        <f t="shared" si="62"/>
        <v>0.55374983488674978</v>
      </c>
      <c r="AA193" s="15">
        <f t="shared" si="63"/>
        <v>0.44371800513285037</v>
      </c>
      <c r="AB193" s="15">
        <f t="shared" si="64"/>
        <v>0</v>
      </c>
      <c r="AC193" s="15">
        <f t="shared" si="65"/>
        <v>2.2988645601246058E-2</v>
      </c>
      <c r="AG193" s="15" t="str">
        <f>IF(ISNUMBER(VLOOKUP(C193,'National budgets summary'!A:F,5, FALSE)),(VLOOKUP(C193,'National budgets summary'!A:F,5, FALSE)), " ")</f>
        <v xml:space="preserve"> </v>
      </c>
      <c r="AH193" t="str">
        <f>IF(ISNUMBER(VLOOKUP(C193,'National budgets summary'!A:F,5, FALSE)),(VLOOKUP(C193,'National budgets summary'!A:F,4, FALSE)), " ")</f>
        <v xml:space="preserve"> </v>
      </c>
      <c r="AI193" s="15" t="str">
        <f t="shared" si="46"/>
        <v xml:space="preserve"> </v>
      </c>
      <c r="AJ193" s="15" t="str">
        <f t="shared" si="51"/>
        <v xml:space="preserve"> </v>
      </c>
      <c r="AK193" s="15">
        <f t="shared" si="52"/>
        <v>1.4622759670595156</v>
      </c>
      <c r="AL193" s="15">
        <f t="shared" si="53"/>
        <v>0.55374983488674978</v>
      </c>
      <c r="AM193" s="15">
        <f t="shared" si="54"/>
        <v>0.44371800513285037</v>
      </c>
      <c r="AN193" s="15">
        <f t="shared" si="47"/>
        <v>2.8760157631548267</v>
      </c>
      <c r="AO193" s="15">
        <f t="shared" si="48"/>
        <v>1.39833281260065</v>
      </c>
      <c r="AP193">
        <f t="shared" si="49"/>
        <v>2020</v>
      </c>
      <c r="AQ193" t="str">
        <f t="shared" si="50"/>
        <v>IMF COFOG</v>
      </c>
      <c r="AR193" s="7">
        <f t="shared" si="55"/>
        <v>418.68768139106055</v>
      </c>
      <c r="AS193" s="7">
        <f t="shared" si="56"/>
        <v>158.5529952363496</v>
      </c>
      <c r="AT193" s="7">
        <f t="shared" si="57"/>
        <v>127.04801757367493</v>
      </c>
      <c r="AU193" s="7">
        <f t="shared" si="58"/>
        <v>823.47819334052292</v>
      </c>
    </row>
    <row r="194" spans="1:47">
      <c r="A194">
        <v>191</v>
      </c>
      <c r="B194" t="s">
        <v>261</v>
      </c>
      <c r="C194" t="s">
        <v>510</v>
      </c>
      <c r="D194" t="s">
        <v>497</v>
      </c>
      <c r="E194" t="s">
        <v>622</v>
      </c>
      <c r="H194" t="str">
        <f>IF(ISNUMBER(VLOOKUP(C194,'OECD DAC'!B:C,2,FALSE)), "YES", " ")</f>
        <v xml:space="preserve"> </v>
      </c>
      <c r="I194">
        <v>63370</v>
      </c>
      <c r="J194">
        <v>2020</v>
      </c>
      <c r="K194" s="15" t="str">
        <f>IF(ISNUMBER(VLOOKUP(C194,'WEO GOV REV'!C:BL,58,FALSE)),(VLOOKUP(C194,'WEO GOV REV'!C:BL,58,FALSE)), " ")</f>
        <v xml:space="preserve"> </v>
      </c>
      <c r="L194" s="15" t="str">
        <f>IF(ISNUMBER(VLOOKUP(C194,'WEO GOV REV'!C:BL,62,FALSE)),(VLOOKUP(C194,'WEO GOV REV'!C:BL,62,FALSE)), " ")</f>
        <v xml:space="preserve"> </v>
      </c>
      <c r="M194" t="str">
        <f>IF(ISNUMBER(VLOOKUP(C194,'WEO GOV REV'!C:BL,62,FALSE)),(VLOOKUP(C194,'WEO GOV REV'!C:BL,57,FALSE)), " ")</f>
        <v xml:space="preserve"> </v>
      </c>
      <c r="N194" s="15" t="str">
        <f>IF(ISNUMBER(VLOOKUP($C194,'IMF COFOG FULL'!$B:$CM,79,FALSE)),(VLOOKUP($C194,'IMF COFOG FULL'!$B:$CM,79,FALSE)), " ")</f>
        <v xml:space="preserve"> </v>
      </c>
      <c r="O194" s="15" t="str">
        <f>IF(ISNUMBER(VLOOKUP($C194,'IMF COFOG FULL'!$B:$CM,80,FALSE)),(VLOOKUP($C194,'IMF COFOG FULL'!$B:$CM,80,FALSE)), " ")</f>
        <v xml:space="preserve"> </v>
      </c>
      <c r="P194" s="15" t="str">
        <f>IF(ISNUMBER(VLOOKUP($C194,'IMF COFOG FULL'!$B:$CM,81,FALSE)),(VLOOKUP($C194,'IMF COFOG FULL'!$B:$CM,81,FALSE)), " ")</f>
        <v xml:space="preserve"> </v>
      </c>
      <c r="Q194" s="15" t="str">
        <f>IF(ISNUMBER(VLOOKUP($C194,'IMF COFOG FULL'!$B:$CM,82,FALSE)),(VLOOKUP($C194,'IMF COFOG FULL'!$B:$CM,82,FALSE)), " ")</f>
        <v xml:space="preserve"> </v>
      </c>
      <c r="R194" s="15" t="str">
        <f>IF(ISNUMBER(VLOOKUP($C194,'IMF COFOG FULL'!$B:$CM,83,FALSE)),(VLOOKUP($C194,'IMF COFOG FULL'!$B:$CM,83,FALSE)), " ")</f>
        <v xml:space="preserve"> </v>
      </c>
      <c r="S194" s="15" t="str">
        <f>IF(ISNUMBER(VLOOKUP($C194,'IMF COFOG FULL'!$B:$CM,84,FALSE)),(VLOOKUP($C194,'IMF COFOG FULL'!$B:$CM,84,FALSE)), " ")</f>
        <v xml:space="preserve"> </v>
      </c>
      <c r="T194" s="15" t="str">
        <f>IF(ISNUMBER(VLOOKUP($C194,'IMF COFOG FULL'!$B:$CM,85,FALSE)),(VLOOKUP($C194,'IMF COFOG FULL'!$B:$CM,85,FALSE)), " ")</f>
        <v xml:space="preserve"> </v>
      </c>
      <c r="U194" s="7" t="str">
        <f>IF(ISNUMBER(VLOOKUP($C194,'IMF COFOG FULL'!$B:$CM,79,FALSE)),(VLOOKUP($C194,'IMF COFOG FULL'!$B:$CM,86,FALSE)), " ")</f>
        <v xml:space="preserve"> </v>
      </c>
      <c r="V194" s="15" t="str">
        <f>IF(ISNUMBER(VLOOKUP($C194,'IMF COFOG FULL'!$B:$CM,79,FALSE)),(VLOOKUP($C194,'IMF COFOG FULL'!$B:$CM,87,FALSE)), " ")</f>
        <v xml:space="preserve"> </v>
      </c>
      <c r="W194" s="15" t="str">
        <f t="shared" si="59"/>
        <v xml:space="preserve"> </v>
      </c>
      <c r="X194" s="15" t="str">
        <f t="shared" si="60"/>
        <v xml:space="preserve"> </v>
      </c>
      <c r="Y194" s="15" t="str">
        <f t="shared" si="61"/>
        <v xml:space="preserve"> </v>
      </c>
      <c r="Z194" s="15" t="str">
        <f t="shared" si="62"/>
        <v xml:space="preserve"> </v>
      </c>
      <c r="AA194" s="15" t="str">
        <f t="shared" si="63"/>
        <v xml:space="preserve"> </v>
      </c>
      <c r="AB194" s="15" t="str">
        <f t="shared" si="64"/>
        <v xml:space="preserve"> </v>
      </c>
      <c r="AC194" s="15" t="str">
        <f t="shared" si="65"/>
        <v xml:space="preserve"> </v>
      </c>
      <c r="AG194" s="15" t="str">
        <f>IF(ISNUMBER(VLOOKUP(C194,'National budgets summary'!A:F,5, FALSE)),(VLOOKUP(C194,'National budgets summary'!A:F,5, FALSE)), " ")</f>
        <v xml:space="preserve"> </v>
      </c>
      <c r="AH194" t="str">
        <f>IF(ISNUMBER(VLOOKUP(C194,'National budgets summary'!A:F,5, FALSE)),(VLOOKUP(C194,'National budgets summary'!A:F,4, FALSE)), " ")</f>
        <v xml:space="preserve"> </v>
      </c>
      <c r="AI194" s="15" t="str">
        <f t="shared" si="46"/>
        <v xml:space="preserve"> </v>
      </c>
      <c r="AJ194" s="15" t="str">
        <f t="shared" si="51"/>
        <v xml:space="preserve"> </v>
      </c>
      <c r="AK194" s="15" t="str">
        <f t="shared" si="52"/>
        <v/>
      </c>
      <c r="AL194" s="15" t="str">
        <f t="shared" si="53"/>
        <v/>
      </c>
      <c r="AM194" s="15" t="str">
        <f t="shared" si="54"/>
        <v/>
      </c>
      <c r="AN194" s="15" t="str">
        <f t="shared" si="47"/>
        <v xml:space="preserve"> </v>
      </c>
      <c r="AO194" s="15" t="str">
        <f t="shared" si="48"/>
        <v xml:space="preserve"> </v>
      </c>
      <c r="AP194" t="str">
        <f t="shared" si="49"/>
        <v xml:space="preserve"> </v>
      </c>
      <c r="AQ194" t="str">
        <f t="shared" si="50"/>
        <v xml:space="preserve"> </v>
      </c>
      <c r="AR194" s="7" t="str">
        <f t="shared" si="55"/>
        <v xml:space="preserve"> </v>
      </c>
      <c r="AS194" s="7" t="str">
        <f t="shared" si="56"/>
        <v xml:space="preserve"> </v>
      </c>
      <c r="AT194" s="7" t="str">
        <f t="shared" si="57"/>
        <v xml:space="preserve"> </v>
      </c>
      <c r="AU194" s="7" t="str">
        <f t="shared" si="58"/>
        <v xml:space="preserve"> </v>
      </c>
    </row>
    <row r="195" spans="1:47">
      <c r="A195">
        <v>192</v>
      </c>
      <c r="B195" t="s">
        <v>262</v>
      </c>
      <c r="C195" t="s">
        <v>554</v>
      </c>
      <c r="D195" t="s">
        <v>493</v>
      </c>
      <c r="E195" t="s">
        <v>622</v>
      </c>
      <c r="H195" t="str">
        <f>IF(ISNUMBER(VLOOKUP(C195,'OECD DAC'!B:C,2,FALSE)), "YES", " ")</f>
        <v xml:space="preserve"> </v>
      </c>
      <c r="I195">
        <v>64010</v>
      </c>
      <c r="J195">
        <v>2021</v>
      </c>
      <c r="K195" s="15">
        <f>IF(ISNUMBER(VLOOKUP(C195,'WEO GOV REV'!C:BL,58,FALSE)),(VLOOKUP(C195,'WEO GOV REV'!C:BL,58,FALSE)), " ")</f>
        <v>103.31399999999999</v>
      </c>
      <c r="L195" s="15">
        <f>IF(ISNUMBER(VLOOKUP(C195,'WEO GOV REV'!C:BL,62,FALSE)),(VLOOKUP(C195,'WEO GOV REV'!C:BL,62,FALSE)), " ")</f>
        <v>18.00538519854652</v>
      </c>
      <c r="M195">
        <f>IF(ISNUMBER(VLOOKUP(C195,'WEO GOV REV'!C:BL,62,FALSE)),(VLOOKUP(C195,'WEO GOV REV'!C:BL,57,FALSE)), " ")</f>
        <v>2022</v>
      </c>
      <c r="N195" s="15">
        <f>IF(ISNUMBER(VLOOKUP($C195,'IMF COFOG FULL'!$B:$CM,79,FALSE)),(VLOOKUP($C195,'IMF COFOG FULL'!$B:$CM,79,FALSE)), " ")</f>
        <v>1.22639990117607</v>
      </c>
      <c r="O195" s="15">
        <f>IF(ISNUMBER(VLOOKUP($C195,'IMF COFOG FULL'!$B:$CM,80,FALSE)),(VLOOKUP($C195,'IMF COFOG FULL'!$B:$CM,80,FALSE)), " ")</f>
        <v>0.76376232582953696</v>
      </c>
      <c r="P195" s="15">
        <f>IF(ISNUMBER(VLOOKUP($C195,'IMF COFOG FULL'!$B:$CM,81,FALSE)),(VLOOKUP($C195,'IMF COFOG FULL'!$B:$CM,81,FALSE)), " ")</f>
        <v>0.13736434816846599</v>
      </c>
      <c r="Q195" s="15">
        <f>IF(ISNUMBER(VLOOKUP($C195,'IMF COFOG FULL'!$B:$CM,82,FALSE)),(VLOOKUP($C195,'IMF COFOG FULL'!$B:$CM,82,FALSE)), " ")</f>
        <v>3.7049825440810702E-2</v>
      </c>
      <c r="R195" s="15">
        <f>IF(ISNUMBER(VLOOKUP($C195,'IMF COFOG FULL'!$B:$CM,83,FALSE)),(VLOOKUP($C195,'IMF COFOG FULL'!$B:$CM,83,FALSE)), " ")</f>
        <v>0.1329031726114</v>
      </c>
      <c r="S195" s="15">
        <f>IF(ISNUMBER(VLOOKUP($C195,'IMF COFOG FULL'!$B:$CM,84,FALSE)),(VLOOKUP($C195,'IMF COFOG FULL'!$B:$CM,84,FALSE)), " ")</f>
        <v>0</v>
      </c>
      <c r="T195" s="15">
        <f>IF(ISNUMBER(VLOOKUP($C195,'IMF COFOG FULL'!$B:$CM,85,FALSE)),(VLOOKUP($C195,'IMF COFOG FULL'!$B:$CM,85,FALSE)), " ")</f>
        <v>0.155320229125857</v>
      </c>
      <c r="U195" s="7">
        <f>IF(ISNUMBER(VLOOKUP($C195,'IMF COFOG FULL'!$B:$CM,79,FALSE)),(VLOOKUP($C195,'IMF COFOG FULL'!$B:$CM,86,FALSE)), " ")</f>
        <v>2020</v>
      </c>
      <c r="V195" s="15" t="str">
        <f>IF(ISNUMBER(VLOOKUP($C195,'IMF COFOG FULL'!$B:$CM,79,FALSE)),(VLOOKUP($C195,'IMF COFOG FULL'!$B:$CM,87,FALSE)), " ")</f>
        <v>General government</v>
      </c>
      <c r="W195" s="15">
        <f t="shared" si="59"/>
        <v>6.8112949967605845</v>
      </c>
      <c r="X195" s="15">
        <f t="shared" si="60"/>
        <v>4.24185496398706</v>
      </c>
      <c r="Y195" s="15">
        <f t="shared" si="61"/>
        <v>0.76290702283644951</v>
      </c>
      <c r="Z195" s="15">
        <f t="shared" si="62"/>
        <v>0.20577080152554325</v>
      </c>
      <c r="AA195" s="15">
        <f t="shared" si="63"/>
        <v>0.73813012688075441</v>
      </c>
      <c r="AB195" s="15">
        <f t="shared" si="64"/>
        <v>0</v>
      </c>
      <c r="AC195" s="15">
        <f t="shared" si="65"/>
        <v>0.86263208153078108</v>
      </c>
      <c r="AG195" s="15" t="str">
        <f>IF(ISNUMBER(VLOOKUP(C195,'National budgets summary'!A:F,5, FALSE)),(VLOOKUP(C195,'National budgets summary'!A:F,5, FALSE)), " ")</f>
        <v xml:space="preserve"> </v>
      </c>
      <c r="AH195" t="str">
        <f>IF(ISNUMBER(VLOOKUP(C195,'National budgets summary'!A:F,5, FALSE)),(VLOOKUP(C195,'National budgets summary'!A:F,4, FALSE)), " ")</f>
        <v xml:space="preserve"> </v>
      </c>
      <c r="AI195" s="15" t="str">
        <f t="shared" si="46"/>
        <v xml:space="preserve"> </v>
      </c>
      <c r="AJ195" s="15" t="str">
        <f t="shared" si="51"/>
        <v xml:space="preserve"> </v>
      </c>
      <c r="AK195" s="15">
        <f t="shared" si="52"/>
        <v>4.24185496398706</v>
      </c>
      <c r="AL195" s="15">
        <f t="shared" si="53"/>
        <v>0.20577080152554325</v>
      </c>
      <c r="AM195" s="15">
        <f t="shared" si="54"/>
        <v>0.73813012688075441</v>
      </c>
      <c r="AN195" s="15">
        <f t="shared" si="47"/>
        <v>6.8112949967605845</v>
      </c>
      <c r="AO195" s="15">
        <f t="shared" si="48"/>
        <v>1.22639990117607</v>
      </c>
      <c r="AP195">
        <f t="shared" si="49"/>
        <v>2020</v>
      </c>
      <c r="AQ195" t="str">
        <f t="shared" si="50"/>
        <v>IMF COFOG</v>
      </c>
      <c r="AR195" s="7">
        <f t="shared" si="55"/>
        <v>488.88426476348656</v>
      </c>
      <c r="AS195" s="7">
        <f t="shared" si="56"/>
        <v>23.715593264662932</v>
      </c>
      <c r="AT195" s="7">
        <f t="shared" si="57"/>
        <v>85.071320788557145</v>
      </c>
      <c r="AU195" s="7">
        <f t="shared" si="58"/>
        <v>785.01857674280234</v>
      </c>
    </row>
    <row r="196" spans="1:47">
      <c r="A196">
        <v>193</v>
      </c>
      <c r="B196" t="s">
        <v>59</v>
      </c>
      <c r="C196" t="s">
        <v>463</v>
      </c>
      <c r="D196" t="s">
        <v>485</v>
      </c>
      <c r="E196" t="s">
        <v>622</v>
      </c>
      <c r="H196" t="str">
        <f>IF(ISNUMBER(VLOOKUP(C196,'OECD DAC'!B:C,2,FALSE)), "YES", " ")</f>
        <v>YES</v>
      </c>
      <c r="I196">
        <v>64410</v>
      </c>
      <c r="J196">
        <v>2021</v>
      </c>
      <c r="K196" s="15">
        <f>IF(ISNUMBER(VLOOKUP(C196,'WEO GOV REV'!C:BL,58,FALSE)),(VLOOKUP(C196,'WEO GOV REV'!C:BL,58,FALSE)), " ")</f>
        <v>1231.6099999999999</v>
      </c>
      <c r="L196" s="15">
        <f>IF(ISNUMBER(VLOOKUP(C196,'WEO GOV REV'!C:BL,62,FALSE)),(VLOOKUP(C196,'WEO GOV REV'!C:BL,62,FALSE)), " ")</f>
        <v>42.056432198383455</v>
      </c>
      <c r="M196">
        <f>IF(ISNUMBER(VLOOKUP(C196,'WEO GOV REV'!C:BL,62,FALSE)),(VLOOKUP(C196,'WEO GOV REV'!C:BL,57,FALSE)), " ")</f>
        <v>2020</v>
      </c>
      <c r="N196" s="15">
        <f>IF(ISNUMBER(VLOOKUP($C196,'IMF COFOG FULL'!$B:$CM,79,FALSE)),(VLOOKUP($C196,'IMF COFOG FULL'!$B:$CM,79,FALSE)), " ")</f>
        <v>1.59045179319445</v>
      </c>
      <c r="O196" s="15">
        <f>IF(ISNUMBER(VLOOKUP($C196,'IMF COFOG FULL'!$B:$CM,80,FALSE)),(VLOOKUP($C196,'IMF COFOG FULL'!$B:$CM,80,FALSE)), " ")</f>
        <v>0.889734569472312</v>
      </c>
      <c r="P196" s="15">
        <f>IF(ISNUMBER(VLOOKUP($C196,'IMF COFOG FULL'!$B:$CM,81,FALSE)),(VLOOKUP($C196,'IMF COFOG FULL'!$B:$CM,81,FALSE)), " ")</f>
        <v>9.9652717505550298E-2</v>
      </c>
      <c r="Q196" s="15">
        <f>IF(ISNUMBER(VLOOKUP($C196,'IMF COFOG FULL'!$B:$CM,82,FALSE)),(VLOOKUP($C196,'IMF COFOG FULL'!$B:$CM,82,FALSE)), " ")</f>
        <v>0.248820649298122</v>
      </c>
      <c r="R196" s="15">
        <f>IF(ISNUMBER(VLOOKUP($C196,'IMF COFOG FULL'!$B:$CM,83,FALSE)),(VLOOKUP($C196,'IMF COFOG FULL'!$B:$CM,83,FALSE)), " ")</f>
        <v>7.6751150345528901E-2</v>
      </c>
      <c r="S196" s="15">
        <f>IF(ISNUMBER(VLOOKUP($C196,'IMF COFOG FULL'!$B:$CM,84,FALSE)),(VLOOKUP($C196,'IMF COFOG FULL'!$B:$CM,84,FALSE)), " ")</f>
        <v>0</v>
      </c>
      <c r="T196" s="15">
        <f>IF(ISNUMBER(VLOOKUP($C196,'IMF COFOG FULL'!$B:$CM,85,FALSE)),(VLOOKUP($C196,'IMF COFOG FULL'!$B:$CM,85,FALSE)), " ")</f>
        <v>0.27549270657293801</v>
      </c>
      <c r="U196" s="7">
        <f>IF(ISNUMBER(VLOOKUP($C196,'IMF COFOG FULL'!$B:$CM,79,FALSE)),(VLOOKUP($C196,'IMF COFOG FULL'!$B:$CM,86,FALSE)), " ")</f>
        <v>2020</v>
      </c>
      <c r="V196" s="15" t="str">
        <f>IF(ISNUMBER(VLOOKUP($C196,'IMF COFOG FULL'!$B:$CM,79,FALSE)),(VLOOKUP($C196,'IMF COFOG FULL'!$B:$CM,87,FALSE)), " ")</f>
        <v>General government</v>
      </c>
      <c r="W196" s="15">
        <f t="shared" si="59"/>
        <v>3.7817087899709736</v>
      </c>
      <c r="X196" s="15">
        <f t="shared" si="60"/>
        <v>2.1155731072844337</v>
      </c>
      <c r="Y196" s="15">
        <f t="shared" si="61"/>
        <v>0.23695000335615893</v>
      </c>
      <c r="Z196" s="15">
        <f t="shared" si="62"/>
        <v>0.59163518228178669</v>
      </c>
      <c r="AA196" s="15">
        <f t="shared" si="63"/>
        <v>0.18249562869120178</v>
      </c>
      <c r="AB196" s="15">
        <f t="shared" si="64"/>
        <v>0</v>
      </c>
      <c r="AC196" s="15">
        <f t="shared" si="65"/>
        <v>0.65505486835739546</v>
      </c>
      <c r="AG196" s="15" t="str">
        <f>IF(ISNUMBER(VLOOKUP(C196,'National budgets summary'!A:F,5, FALSE)),(VLOOKUP(C196,'National budgets summary'!A:F,5, FALSE)), " ")</f>
        <v xml:space="preserve"> </v>
      </c>
      <c r="AH196" t="str">
        <f>IF(ISNUMBER(VLOOKUP(C196,'National budgets summary'!A:F,5, FALSE)),(VLOOKUP(C196,'National budgets summary'!A:F,4, FALSE)), " ")</f>
        <v xml:space="preserve"> </v>
      </c>
      <c r="AI196" s="15" t="str">
        <f t="shared" ref="AI196:AI219" si="66">IF(ISNUMBER(AG196),(AG196/K196*100), " ")</f>
        <v xml:space="preserve"> </v>
      </c>
      <c r="AJ196" s="15" t="str">
        <f t="shared" si="51"/>
        <v xml:space="preserve"> </v>
      </c>
      <c r="AK196" s="15">
        <f t="shared" si="52"/>
        <v>2.1155731072844337</v>
      </c>
      <c r="AL196" s="15">
        <f t="shared" si="53"/>
        <v>0.59163518228178669</v>
      </c>
      <c r="AM196" s="15">
        <f t="shared" si="54"/>
        <v>0.18249562869120178</v>
      </c>
      <c r="AN196" s="15">
        <f t="shared" ref="AN196:AN222" si="67">IF(ISNUMBER(W196),W196,IF(ISNUMBER(AI196),AI196, " "))</f>
        <v>3.7817087899709736</v>
      </c>
      <c r="AO196" s="15">
        <f t="shared" ref="AO196:AO222" si="68">IF(ISNUMBER(N196),N196,IF(ISNUMBER(AJ196),AJ196, " "))</f>
        <v>1.59045179319445</v>
      </c>
      <c r="AP196">
        <f t="shared" ref="AP196:AP222" si="69">IF(ISNUMBER(N196),U196,IF(ISNUMBER(AJ196),AH196, " "))</f>
        <v>2020</v>
      </c>
      <c r="AQ196" t="str">
        <f t="shared" ref="AQ196:AQ222" si="70">IF(ISNUMBER(N196),"IMF COFOG",IF(ISNUMBER(AJ196),"National", " "))</f>
        <v>IMF COFOG</v>
      </c>
      <c r="AR196" s="7">
        <f t="shared" si="55"/>
        <v>573.07803619711615</v>
      </c>
      <c r="AS196" s="7">
        <f t="shared" si="56"/>
        <v>160.26538021292038</v>
      </c>
      <c r="AT196" s="7">
        <f t="shared" si="57"/>
        <v>49.435415937555163</v>
      </c>
      <c r="AU196" s="7">
        <f t="shared" si="58"/>
        <v>1024.4099999965451</v>
      </c>
    </row>
    <row r="197" spans="1:47">
      <c r="A197">
        <v>194</v>
      </c>
      <c r="B197" t="s">
        <v>49</v>
      </c>
      <c r="C197" t="s">
        <v>464</v>
      </c>
      <c r="D197" t="s">
        <v>485</v>
      </c>
      <c r="E197" t="s">
        <v>622</v>
      </c>
      <c r="H197" t="str">
        <f>IF(ISNUMBER(VLOOKUP(C197,'OECD DAC'!B:C,2,FALSE)), "YES", " ")</f>
        <v>YES</v>
      </c>
      <c r="I197">
        <v>68110</v>
      </c>
      <c r="J197">
        <v>2021</v>
      </c>
      <c r="K197" s="15">
        <f>IF(ISNUMBER(VLOOKUP(C197,'WEO GOV REV'!C:BL,58,FALSE)),(VLOOKUP(C197,'WEO GOV REV'!C:BL,58,FALSE)), " ")</f>
        <v>1240.52</v>
      </c>
      <c r="L197" s="15">
        <f>IF(ISNUMBER(VLOOKUP(C197,'WEO GOV REV'!C:BL,62,FALSE)),(VLOOKUP(C197,'WEO GOV REV'!C:BL,62,FALSE)), " ")</f>
        <v>53.251257748244306</v>
      </c>
      <c r="M197">
        <f>IF(ISNUMBER(VLOOKUP(C197,'WEO GOV REV'!C:BL,62,FALSE)),(VLOOKUP(C197,'WEO GOV REV'!C:BL,57,FALSE)), " ")</f>
        <v>2020</v>
      </c>
      <c r="N197" s="15">
        <f>IF(ISNUMBER(VLOOKUP($C197,'IMF COFOG FULL'!$B:$CM,79,FALSE)),(VLOOKUP($C197,'IMF COFOG FULL'!$B:$CM,79,FALSE)), " ")</f>
        <v>0.99675432409797404</v>
      </c>
      <c r="O197" s="15">
        <f>IF(ISNUMBER(VLOOKUP($C197,'IMF COFOG FULL'!$B:$CM,80,FALSE)),(VLOOKUP($C197,'IMF COFOG FULL'!$B:$CM,80,FALSE)), " ")</f>
        <v>0.58186928781860603</v>
      </c>
      <c r="P197" s="15">
        <f>IF(ISNUMBER(VLOOKUP($C197,'IMF COFOG FULL'!$B:$CM,81,FALSE)),(VLOOKUP($C197,'IMF COFOG FULL'!$B:$CM,81,FALSE)), " ")</f>
        <v>6.1728368563862497E-2</v>
      </c>
      <c r="Q197" s="15">
        <f>IF(ISNUMBER(VLOOKUP($C197,'IMF COFOG FULL'!$B:$CM,82,FALSE)),(VLOOKUP($C197,'IMF COFOG FULL'!$B:$CM,82,FALSE)), " ")</f>
        <v>0.165181336741128</v>
      </c>
      <c r="R197" s="15">
        <f>IF(ISNUMBER(VLOOKUP($C197,'IMF COFOG FULL'!$B:$CM,83,FALSE)),(VLOOKUP($C197,'IMF COFOG FULL'!$B:$CM,83,FALSE)), " ")</f>
        <v>0.16810034165235399</v>
      </c>
      <c r="S197" s="15">
        <f>IF(ISNUMBER(VLOOKUP($C197,'IMF COFOG FULL'!$B:$CM,84,FALSE)),(VLOOKUP($C197,'IMF COFOG FULL'!$B:$CM,84,FALSE)), " ")</f>
        <v>0</v>
      </c>
      <c r="T197" s="15">
        <f>IF(ISNUMBER(VLOOKUP($C197,'IMF COFOG FULL'!$B:$CM,85,FALSE)),(VLOOKUP($C197,'IMF COFOG FULL'!$B:$CM,85,FALSE)), " ")</f>
        <v>1.9874989322022502E-2</v>
      </c>
      <c r="U197" s="7">
        <f>IF(ISNUMBER(VLOOKUP($C197,'IMF COFOG FULL'!$B:$CM,79,FALSE)),(VLOOKUP($C197,'IMF COFOG FULL'!$B:$CM,86,FALSE)), " ")</f>
        <v>2020</v>
      </c>
      <c r="V197" s="15" t="str">
        <f>IF(ISNUMBER(VLOOKUP($C197,'IMF COFOG FULL'!$B:$CM,79,FALSE)),(VLOOKUP($C197,'IMF COFOG FULL'!$B:$CM,87,FALSE)), " ")</f>
        <v>General government</v>
      </c>
      <c r="W197" s="15">
        <f t="shared" si="59"/>
        <v>1.8717948950808341</v>
      </c>
      <c r="X197" s="15">
        <f t="shared" si="60"/>
        <v>1.0926864686830617</v>
      </c>
      <c r="Y197" s="15">
        <f t="shared" si="61"/>
        <v>0.11591908092705601</v>
      </c>
      <c r="Z197" s="15">
        <f t="shared" si="62"/>
        <v>0.31019236676447148</v>
      </c>
      <c r="AA197" s="15">
        <f t="shared" si="63"/>
        <v>0.31567393665532012</v>
      </c>
      <c r="AB197" s="15">
        <f t="shared" si="64"/>
        <v>0</v>
      </c>
      <c r="AC197" s="15">
        <f t="shared" si="65"/>
        <v>3.7323042050922788E-2</v>
      </c>
      <c r="AG197" s="15" t="str">
        <f>IF(ISNUMBER(VLOOKUP(C197,'National budgets summary'!A:F,5, FALSE)),(VLOOKUP(C197,'National budgets summary'!A:F,5, FALSE)), " ")</f>
        <v xml:space="preserve"> </v>
      </c>
      <c r="AH197" t="str">
        <f>IF(ISNUMBER(VLOOKUP(C197,'National budgets summary'!A:F,5, FALSE)),(VLOOKUP(C197,'National budgets summary'!A:F,4, FALSE)), " ")</f>
        <v xml:space="preserve"> </v>
      </c>
      <c r="AI197" s="15" t="str">
        <f t="shared" si="66"/>
        <v xml:space="preserve"> </v>
      </c>
      <c r="AJ197" s="15" t="str">
        <f t="shared" ref="AJ197:AJ222" si="71">IF(ISNUMBER(AI197),(AI197*L197/100), " ")</f>
        <v xml:space="preserve"> </v>
      </c>
      <c r="AK197" s="15">
        <f t="shared" ref="AK197:AK221" si="72">IF(ISNUMBER(X197),X197, IF(ISNUMBER(AD197),((AD197/K197)*100), ""))</f>
        <v>1.0926864686830617</v>
      </c>
      <c r="AL197" s="15">
        <f t="shared" ref="AL197:AL221" si="73">IF(ISNUMBER(Z197),Z197, IF(ISNUMBER(AE197),((AE197/K197)*100), ""))</f>
        <v>0.31019236676447148</v>
      </c>
      <c r="AM197" s="15">
        <f t="shared" ref="AM197:AM221" si="74">IF(ISNUMBER(AA197),AA197, IF(ISNUMBER(AF197),((AF197/K197)*100), ""))</f>
        <v>0.31567393665532012</v>
      </c>
      <c r="AN197" s="15">
        <f t="shared" si="67"/>
        <v>1.8717948950808341</v>
      </c>
      <c r="AO197" s="15">
        <f t="shared" si="68"/>
        <v>0.99675432409797404</v>
      </c>
      <c r="AP197">
        <f t="shared" si="69"/>
        <v>2020</v>
      </c>
      <c r="AQ197" t="str">
        <f t="shared" si="70"/>
        <v>IMF COFOG</v>
      </c>
      <c r="AR197" s="7">
        <f t="shared" ref="AR197:AR221" si="75">IF(ISNUMBER(AK197),$L197/100*$I197/100*AK197, " ")</f>
        <v>396.31117193325258</v>
      </c>
      <c r="AS197" s="7">
        <f t="shared" ref="AS197:AS221" si="76">IF(ISNUMBER(AL197),$L197/100*$I197/100*AL197, " ")</f>
        <v>112.50500845438231</v>
      </c>
      <c r="AT197" s="7">
        <f t="shared" ref="AT197:AT221" si="77">IF(ISNUMBER(AM197),$L197/100*$I197/100*AM197, " ")</f>
        <v>114.4931426994183</v>
      </c>
      <c r="AU197" s="7">
        <f t="shared" ref="AU197:AU221" si="78">IF(ISNUMBER(AN197),$L197/100*$I197/100*AN197, " ")</f>
        <v>678.88937014313012</v>
      </c>
    </row>
    <row r="198" spans="1:47">
      <c r="A198">
        <v>195</v>
      </c>
      <c r="B198" t="s">
        <v>77</v>
      </c>
      <c r="C198" t="s">
        <v>465</v>
      </c>
      <c r="D198" t="s">
        <v>502</v>
      </c>
      <c r="E198" t="s">
        <v>622</v>
      </c>
      <c r="H198" t="str">
        <f>IF(ISNUMBER(VLOOKUP(C198,'OECD DAC'!B:C,2,FALSE)), "YES", " ")</f>
        <v>YES</v>
      </c>
      <c r="I198">
        <v>70430</v>
      </c>
      <c r="J198">
        <v>2021</v>
      </c>
      <c r="K198" s="15">
        <f>IF(ISNUMBER(VLOOKUP(C198,'WEO GOV REV'!C:BL,58,FALSE)),(VLOOKUP(C198,'WEO GOV REV'!C:BL,58,FALSE)), " ")</f>
        <v>6436.15</v>
      </c>
      <c r="L198" s="15">
        <f>IF(ISNUMBER(VLOOKUP(C198,'WEO GOV REV'!C:BL,62,FALSE)),(VLOOKUP(C198,'WEO GOV REV'!C:BL,62,FALSE)), " ")</f>
        <v>30.804187855219862</v>
      </c>
      <c r="M198">
        <f>IF(ISNUMBER(VLOOKUP(C198,'WEO GOV REV'!C:BL,62,FALSE)),(VLOOKUP(C198,'WEO GOV REV'!C:BL,57,FALSE)), " ")</f>
        <v>2020</v>
      </c>
      <c r="N198" s="115">
        <f>'COFOG_OECD DAC_HIST'!X34</f>
        <v>1.9599162428956027</v>
      </c>
      <c r="O198" s="115">
        <f>'COFOG_OECD DAC_HIST'!AU34</f>
        <v>0.91319174394256653</v>
      </c>
      <c r="P198" s="115">
        <f>'COFOG_OECD DAC_HIST'!BQ34</f>
        <v>0.30631169608136405</v>
      </c>
      <c r="Q198" s="115">
        <f>'COFOG_OECD DAC_HIST'!CM34</f>
        <v>0.30200418785521987</v>
      </c>
      <c r="R198" s="115">
        <f>'COFOG_OECD DAC_HIST'!DI34</f>
        <v>0.43840861501645229</v>
      </c>
      <c r="S198" s="115" t="str">
        <f>'COFOG_OECD DAC_HIST'!EE34</f>
        <v xml:space="preserve"> </v>
      </c>
      <c r="T198" s="115">
        <f>'COFOG_OECD DAC_HIST'!FA34</f>
        <v>0</v>
      </c>
      <c r="U198" s="7">
        <f>IF(ISNUMBER(VLOOKUP($C198,'IMF COFOG FULL'!$B:$CM,79,FALSE)),(VLOOKUP($C198,'IMF COFOG FULL'!$B:$CM,86,FALSE)), " ")</f>
        <v>2020</v>
      </c>
      <c r="V198" s="15" t="str">
        <f>IF(ISNUMBER(VLOOKUP($C198,'IMF COFOG FULL'!$B:$CM,79,FALSE)),(VLOOKUP($C198,'IMF COFOG FULL'!$B:$CM,87,FALSE)), " ")</f>
        <v>General government</v>
      </c>
      <c r="W198" s="15">
        <f t="shared" si="59"/>
        <v>6.3624993202457985</v>
      </c>
      <c r="X198" s="15">
        <f t="shared" si="60"/>
        <v>2.9645051777848557</v>
      </c>
      <c r="Y198" s="15">
        <f t="shared" si="61"/>
        <v>0.99438328814586363</v>
      </c>
      <c r="Z198" s="15">
        <f t="shared" si="62"/>
        <v>0.98039977315631244</v>
      </c>
      <c r="AA198" s="15">
        <f t="shared" si="63"/>
        <v>1.4232110811587673</v>
      </c>
      <c r="AB198" s="15" t="str">
        <f t="shared" si="64"/>
        <v xml:space="preserve"> </v>
      </c>
      <c r="AC198" s="15">
        <f t="shared" si="65"/>
        <v>0</v>
      </c>
      <c r="AG198" s="15" t="str">
        <f>IF(ISNUMBER(VLOOKUP(C198,'National budgets summary'!A:F,5, FALSE)),(VLOOKUP(C198,'National budgets summary'!A:F,5, FALSE)), " ")</f>
        <v xml:space="preserve"> </v>
      </c>
      <c r="AH198" t="str">
        <f>IF(ISNUMBER(VLOOKUP(C198,'National budgets summary'!A:F,5, FALSE)),(VLOOKUP(C198,'National budgets summary'!A:F,4, FALSE)), " ")</f>
        <v xml:space="preserve"> </v>
      </c>
      <c r="AI198" s="15" t="str">
        <f t="shared" si="66"/>
        <v xml:space="preserve"> </v>
      </c>
      <c r="AJ198" s="15" t="str">
        <f t="shared" si="71"/>
        <v xml:space="preserve"> </v>
      </c>
      <c r="AK198" s="15">
        <f t="shared" si="72"/>
        <v>2.9645051777848557</v>
      </c>
      <c r="AL198" s="15">
        <f t="shared" si="73"/>
        <v>0.98039977315631244</v>
      </c>
      <c r="AM198" s="15">
        <f t="shared" si="74"/>
        <v>1.4232110811587673</v>
      </c>
      <c r="AN198" s="15">
        <f t="shared" si="67"/>
        <v>6.3624993202457985</v>
      </c>
      <c r="AO198" s="15">
        <f t="shared" si="68"/>
        <v>1.9599162428956027</v>
      </c>
      <c r="AP198">
        <f t="shared" si="69"/>
        <v>2020</v>
      </c>
      <c r="AQ198" t="str">
        <f t="shared" si="70"/>
        <v>IMF COFOG</v>
      </c>
      <c r="AR198" s="7">
        <f t="shared" si="75"/>
        <v>643.16094525874962</v>
      </c>
      <c r="AS198" s="7">
        <f t="shared" si="76"/>
        <v>212.70154950643135</v>
      </c>
      <c r="AT198" s="7">
        <f t="shared" si="77"/>
        <v>308.77118755608734</v>
      </c>
      <c r="AU198" s="7">
        <f t="shared" si="78"/>
        <v>1380.3690098713728</v>
      </c>
    </row>
    <row r="199" spans="1:47">
      <c r="A199">
        <v>196</v>
      </c>
      <c r="B199" t="s">
        <v>61</v>
      </c>
      <c r="C199" t="s">
        <v>466</v>
      </c>
      <c r="D199" t="s">
        <v>485</v>
      </c>
      <c r="E199" t="s">
        <v>622</v>
      </c>
      <c r="G199" t="s">
        <v>623</v>
      </c>
      <c r="H199" t="str">
        <f>IF(ISNUMBER(VLOOKUP(C199,'OECD DAC'!B:C,2,FALSE)), "YES", " ")</f>
        <v>YES</v>
      </c>
      <c r="I199">
        <v>74520</v>
      </c>
      <c r="J199">
        <v>2021</v>
      </c>
      <c r="K199" s="15">
        <f>IF(ISNUMBER(VLOOKUP(C199,'WEO GOV REV'!C:BL,58,FALSE)),(VLOOKUP(C199,'WEO GOV REV'!C:BL,58,FALSE)), " ")</f>
        <v>83.616</v>
      </c>
      <c r="L199" s="15">
        <f>IF(ISNUMBER(VLOOKUP(C199,'WEO GOV REV'!C:BL,62,FALSE)),(VLOOKUP(C199,'WEO GOV REV'!C:BL,62,FALSE)), " ")</f>
        <v>22.425033993171866</v>
      </c>
      <c r="M199">
        <f>IF(ISNUMBER(VLOOKUP(C199,'WEO GOV REV'!C:BL,62,FALSE)),(VLOOKUP(C199,'WEO GOV REV'!C:BL,57,FALSE)), " ")</f>
        <v>2020</v>
      </c>
      <c r="N199" s="15">
        <f>IF(ISNUMBER(VLOOKUP($C199,'IMF COFOG FULL'!$B:$CM,79,FALSE)),(VLOOKUP($C199,'IMF COFOG FULL'!$B:$CM,79,FALSE)), " ")</f>
        <v>0.93555886920071096</v>
      </c>
      <c r="O199" s="15">
        <f>IF(ISNUMBER(VLOOKUP($C199,'IMF COFOG FULL'!$B:$CM,80,FALSE)),(VLOOKUP($C199,'IMF COFOG FULL'!$B:$CM,80,FALSE)), " ")</f>
        <v>0.52702745468247603</v>
      </c>
      <c r="P199" s="15">
        <f>IF(ISNUMBER(VLOOKUP($C199,'IMF COFOG FULL'!$B:$CM,81,FALSE)),(VLOOKUP($C199,'IMF COFOG FULL'!$B:$CM,81,FALSE)), " ")</f>
        <v>9.9713304136305206E-2</v>
      </c>
      <c r="Q199" s="15">
        <f>IF(ISNUMBER(VLOOKUP($C199,'IMF COFOG FULL'!$B:$CM,82,FALSE)),(VLOOKUP($C199,'IMF COFOG FULL'!$B:$CM,82,FALSE)), " ")</f>
        <v>0.19832970828897001</v>
      </c>
      <c r="R199" s="15">
        <f>IF(ISNUMBER(VLOOKUP($C199,'IMF COFOG FULL'!$B:$CM,83,FALSE)),(VLOOKUP($C199,'IMF COFOG FULL'!$B:$CM,83,FALSE)), " ")</f>
        <v>5.577669369135E-2</v>
      </c>
      <c r="S199" s="15">
        <f>IF(ISNUMBER(VLOOKUP($C199,'IMF COFOG FULL'!$B:$CM,84,FALSE)),(VLOOKUP($C199,'IMF COFOG FULL'!$B:$CM,84,FALSE)), " ")</f>
        <v>2.10529703461537E-4</v>
      </c>
      <c r="T199" s="15">
        <f>IF(ISNUMBER(VLOOKUP($C199,'IMF COFOG FULL'!$B:$CM,85,FALSE)),(VLOOKUP($C199,'IMF COFOG FULL'!$B:$CM,85,FALSE)), " ")</f>
        <v>5.4501178698148703E-2</v>
      </c>
      <c r="U199" s="7">
        <f>IF(ISNUMBER(VLOOKUP($C199,'IMF COFOG FULL'!$B:$CM,79,FALSE)),(VLOOKUP($C199,'IMF COFOG FULL'!$B:$CM,86,FALSE)), " ")</f>
        <v>2020</v>
      </c>
      <c r="V199" s="15" t="str">
        <f>IF(ISNUMBER(VLOOKUP($C199,'IMF COFOG FULL'!$B:$CM,79,FALSE)),(VLOOKUP($C199,'IMF COFOG FULL'!$B:$CM,87,FALSE)), " ")</f>
        <v>General government</v>
      </c>
      <c r="W199" s="15">
        <f t="shared" si="59"/>
        <v>4.1719395809414452</v>
      </c>
      <c r="X199" s="15">
        <f t="shared" si="60"/>
        <v>2.3501746077305796</v>
      </c>
      <c r="Y199" s="15">
        <f t="shared" si="61"/>
        <v>0.44465174129353219</v>
      </c>
      <c r="Z199" s="15">
        <f t="shared" si="62"/>
        <v>0.88441207424416324</v>
      </c>
      <c r="AA199" s="15">
        <f t="shared" si="63"/>
        <v>0.24872512437810923</v>
      </c>
      <c r="AB199" s="15">
        <f t="shared" si="64"/>
        <v>9.3881553769613281E-4</v>
      </c>
      <c r="AC199" s="15">
        <f t="shared" si="65"/>
        <v>0.24303721775736711</v>
      </c>
      <c r="AG199" s="15" t="str">
        <f>IF(ISNUMBER(VLOOKUP(C199,'National budgets summary'!A:F,5, FALSE)),(VLOOKUP(C199,'National budgets summary'!A:F,5, FALSE)), " ")</f>
        <v xml:space="preserve"> </v>
      </c>
      <c r="AH199" t="str">
        <f>IF(ISNUMBER(VLOOKUP(C199,'National budgets summary'!A:F,5, FALSE)),(VLOOKUP(C199,'National budgets summary'!A:F,4, FALSE)), " ")</f>
        <v xml:space="preserve"> </v>
      </c>
      <c r="AI199" s="15" t="str">
        <f t="shared" si="66"/>
        <v xml:space="preserve"> </v>
      </c>
      <c r="AJ199" s="15" t="str">
        <f t="shared" si="71"/>
        <v xml:space="preserve"> </v>
      </c>
      <c r="AK199" s="15">
        <f t="shared" si="72"/>
        <v>2.3501746077305796</v>
      </c>
      <c r="AL199" s="15">
        <f t="shared" si="73"/>
        <v>0.88441207424416324</v>
      </c>
      <c r="AM199" s="15">
        <f t="shared" si="74"/>
        <v>0.24872512437810923</v>
      </c>
      <c r="AN199" s="15">
        <f t="shared" si="67"/>
        <v>4.1719395809414452</v>
      </c>
      <c r="AO199" s="15">
        <f t="shared" si="68"/>
        <v>0.93555886920071096</v>
      </c>
      <c r="AP199">
        <f t="shared" si="69"/>
        <v>2020</v>
      </c>
      <c r="AQ199" t="str">
        <f t="shared" si="70"/>
        <v>IMF COFOG</v>
      </c>
      <c r="AR199" s="7">
        <f t="shared" si="75"/>
        <v>392.7408592293811</v>
      </c>
      <c r="AS199" s="7">
        <f t="shared" si="76"/>
        <v>147.79529861694044</v>
      </c>
      <c r="AT199" s="7">
        <f t="shared" si="77"/>
        <v>41.564792138794019</v>
      </c>
      <c r="AU199" s="7">
        <f t="shared" si="78"/>
        <v>697.17846932836983</v>
      </c>
    </row>
    <row r="200" spans="1:47">
      <c r="A200">
        <v>197</v>
      </c>
      <c r="B200" t="s">
        <v>54</v>
      </c>
      <c r="C200" t="s">
        <v>467</v>
      </c>
      <c r="D200" t="s">
        <v>485</v>
      </c>
      <c r="E200" t="s">
        <v>622</v>
      </c>
      <c r="G200" t="s">
        <v>623</v>
      </c>
      <c r="H200" t="str">
        <f>IF(ISNUMBER(VLOOKUP(C200,'OECD DAC'!B:C,2,FALSE)), "YES", " ")</f>
        <v>YES</v>
      </c>
      <c r="I200">
        <v>81110</v>
      </c>
      <c r="J200">
        <v>2020</v>
      </c>
      <c r="K200" s="15">
        <f>IF(ISNUMBER(VLOOKUP(C200,'WEO GOV REV'!C:BL,58,FALSE)),(VLOOKUP(C200,'WEO GOV REV'!C:BL,58,FALSE)), " ")</f>
        <v>28.202999999999999</v>
      </c>
      <c r="L200" s="15">
        <f>IF(ISNUMBER(VLOOKUP(C200,'WEO GOV REV'!C:BL,62,FALSE)),(VLOOKUP(C200,'WEO GOV REV'!C:BL,62,FALSE)), " ")</f>
        <v>43.915541645256226</v>
      </c>
      <c r="M200">
        <f>IF(ISNUMBER(VLOOKUP(C200,'WEO GOV REV'!C:BL,62,FALSE)),(VLOOKUP(C200,'WEO GOV REV'!C:BL,57,FALSE)), " ")</f>
        <v>2020</v>
      </c>
      <c r="N200" s="15">
        <f>IF(ISNUMBER(VLOOKUP($C200,'IMF COFOG FULL'!$B:$CM,79,FALSE)),(VLOOKUP($C200,'IMF COFOG FULL'!$B:$CM,79,FALSE)), " ")</f>
        <v>1.2953993420950101</v>
      </c>
      <c r="O200" s="15">
        <f>IF(ISNUMBER(VLOOKUP($C200,'IMF COFOG FULL'!$B:$CM,80,FALSE)),(VLOOKUP($C200,'IMF COFOG FULL'!$B:$CM,80,FALSE)), " ")</f>
        <v>0.53415181703381498</v>
      </c>
      <c r="P200" s="15">
        <f>IF(ISNUMBER(VLOOKUP($C200,'IMF COFOG FULL'!$B:$CM,81,FALSE)),(VLOOKUP($C200,'IMF COFOG FULL'!$B:$CM,81,FALSE)), " ")</f>
        <v>0.28511918681695603</v>
      </c>
      <c r="Q200" s="15">
        <f>IF(ISNUMBER(VLOOKUP($C200,'IMF COFOG FULL'!$B:$CM,82,FALSE)),(VLOOKUP($C200,'IMF COFOG FULL'!$B:$CM,82,FALSE)), " ")</f>
        <v>0.23598210248974899</v>
      </c>
      <c r="R200" s="15">
        <f>IF(ISNUMBER(VLOOKUP($C200,'IMF COFOG FULL'!$B:$CM,83,FALSE)),(VLOOKUP($C200,'IMF COFOG FULL'!$B:$CM,83,FALSE)), " ")</f>
        <v>0.17941786321188599</v>
      </c>
      <c r="S200" s="15">
        <f>IF(ISNUMBER(VLOOKUP($C200,'IMF COFOG FULL'!$B:$CM,84,FALSE)),(VLOOKUP($C200,'IMF COFOG FULL'!$B:$CM,84,FALSE)), " ")</f>
        <v>1.70540822848947E-2</v>
      </c>
      <c r="T200" s="15">
        <f>IF(ISNUMBER(VLOOKUP($C200,'IMF COFOG FULL'!$B:$CM,85,FALSE)),(VLOOKUP($C200,'IMF COFOG FULL'!$B:$CM,85,FALSE)), " ")</f>
        <v>4.3672731241133099E-2</v>
      </c>
      <c r="U200" s="7">
        <f>IF(ISNUMBER(VLOOKUP($C200,'IMF COFOG FULL'!$B:$CM,79,FALSE)),(VLOOKUP($C200,'IMF COFOG FULL'!$B:$CM,86,FALSE)), " ")</f>
        <v>2020</v>
      </c>
      <c r="V200" s="15" t="str">
        <f>IF(ISNUMBER(VLOOKUP($C200,'IMF COFOG FULL'!$B:$CM,79,FALSE)),(VLOOKUP($C200,'IMF COFOG FULL'!$B:$CM,87,FALSE)), " ")</f>
        <v>General government</v>
      </c>
      <c r="W200" s="15">
        <f t="shared" si="59"/>
        <v>2.9497514856108795</v>
      </c>
      <c r="X200" s="15">
        <f t="shared" si="60"/>
        <v>1.2163161309693518</v>
      </c>
      <c r="Y200" s="15">
        <f t="shared" si="61"/>
        <v>0.64924438168179743</v>
      </c>
      <c r="Z200" s="15">
        <f t="shared" si="62"/>
        <v>0.53735441633848069</v>
      </c>
      <c r="AA200" s="15">
        <f t="shared" si="63"/>
        <v>0.40855208996668901</v>
      </c>
      <c r="AB200" s="15">
        <f t="shared" si="64"/>
        <v>3.883381975031814E-2</v>
      </c>
      <c r="AC200" s="15">
        <f t="shared" si="65"/>
        <v>9.9447096870432516E-2</v>
      </c>
      <c r="AG200" s="15" t="str">
        <f>IF(ISNUMBER(VLOOKUP(C200,'National budgets summary'!A:F,5, FALSE)),(VLOOKUP(C200,'National budgets summary'!A:F,5, FALSE)), " ")</f>
        <v xml:space="preserve"> </v>
      </c>
      <c r="AH200" t="str">
        <f>IF(ISNUMBER(VLOOKUP(C200,'National budgets summary'!A:F,5, FALSE)),(VLOOKUP(C200,'National budgets summary'!A:F,4, FALSE)), " ")</f>
        <v xml:space="preserve"> </v>
      </c>
      <c r="AI200" s="15" t="str">
        <f t="shared" si="66"/>
        <v xml:space="preserve"> </v>
      </c>
      <c r="AJ200" s="15" t="str">
        <f t="shared" si="71"/>
        <v xml:space="preserve"> </v>
      </c>
      <c r="AK200" s="15">
        <f t="shared" si="72"/>
        <v>1.2163161309693518</v>
      </c>
      <c r="AL200" s="15">
        <f t="shared" si="73"/>
        <v>0.53735441633848069</v>
      </c>
      <c r="AM200" s="15">
        <f t="shared" si="74"/>
        <v>0.40855208996668901</v>
      </c>
      <c r="AN200" s="15">
        <f t="shared" si="67"/>
        <v>2.9497514856108795</v>
      </c>
      <c r="AO200" s="15">
        <f t="shared" si="68"/>
        <v>1.2953993420950101</v>
      </c>
      <c r="AP200">
        <f t="shared" si="69"/>
        <v>2020</v>
      </c>
      <c r="AQ200" t="str">
        <f t="shared" si="70"/>
        <v>IMF COFOG</v>
      </c>
      <c r="AR200" s="7">
        <f t="shared" si="75"/>
        <v>433.25053879612733</v>
      </c>
      <c r="AS200" s="7">
        <f t="shared" si="76"/>
        <v>191.40508332943543</v>
      </c>
      <c r="AT200" s="7">
        <f t="shared" si="77"/>
        <v>145.52582885116075</v>
      </c>
      <c r="AU200" s="7">
        <f t="shared" si="78"/>
        <v>1050.6984063732627</v>
      </c>
    </row>
    <row r="201" spans="1:47">
      <c r="A201">
        <v>198</v>
      </c>
      <c r="B201" t="s">
        <v>263</v>
      </c>
      <c r="C201" t="s">
        <v>541</v>
      </c>
      <c r="D201" t="s">
        <v>485</v>
      </c>
      <c r="E201" t="s">
        <v>622</v>
      </c>
      <c r="H201" t="str">
        <f>IF(ISNUMBER(VLOOKUP(C201,'OECD DAC'!B:C,2,FALSE)), "YES", " ")</f>
        <v xml:space="preserve"> </v>
      </c>
      <c r="I201">
        <v>83920</v>
      </c>
      <c r="J201">
        <v>2019</v>
      </c>
      <c r="K201" s="15" t="str">
        <f>IF(ISNUMBER(VLOOKUP(C201,'WEO GOV REV'!C:BL,58,FALSE)),(VLOOKUP(C201,'WEO GOV REV'!C:BL,58,FALSE)), " ")</f>
        <v xml:space="preserve"> </v>
      </c>
      <c r="L201" s="15" t="str">
        <f>IF(ISNUMBER(VLOOKUP(C201,'WEO GOV REV'!C:BL,62,FALSE)),(VLOOKUP(C201,'WEO GOV REV'!C:BL,62,FALSE)), " ")</f>
        <v xml:space="preserve"> </v>
      </c>
      <c r="M201" t="str">
        <f>IF(ISNUMBER(VLOOKUP(C201,'WEO GOV REV'!C:BL,62,FALSE)),(VLOOKUP(C201,'WEO GOV REV'!C:BL,57,FALSE)), " ")</f>
        <v xml:space="preserve"> </v>
      </c>
      <c r="N201" s="15" t="str">
        <f>IF(ISNUMBER(VLOOKUP($C201,'IMF COFOG FULL'!$B:$CM,79,FALSE)),(VLOOKUP($C201,'IMF COFOG FULL'!$B:$CM,79,FALSE)), " ")</f>
        <v xml:space="preserve"> </v>
      </c>
      <c r="O201" s="15" t="str">
        <f>IF(ISNUMBER(VLOOKUP($C201,'IMF COFOG FULL'!$B:$CM,80,FALSE)),(VLOOKUP($C201,'IMF COFOG FULL'!$B:$CM,80,FALSE)), " ")</f>
        <v xml:space="preserve"> </v>
      </c>
      <c r="P201" s="15" t="str">
        <f>IF(ISNUMBER(VLOOKUP($C201,'IMF COFOG FULL'!$B:$CM,81,FALSE)),(VLOOKUP($C201,'IMF COFOG FULL'!$B:$CM,81,FALSE)), " ")</f>
        <v xml:space="preserve"> </v>
      </c>
      <c r="Q201" s="15" t="str">
        <f>IF(ISNUMBER(VLOOKUP($C201,'IMF COFOG FULL'!$B:$CM,82,FALSE)),(VLOOKUP($C201,'IMF COFOG FULL'!$B:$CM,82,FALSE)), " ")</f>
        <v xml:space="preserve"> </v>
      </c>
      <c r="R201" s="15" t="str">
        <f>IF(ISNUMBER(VLOOKUP($C201,'IMF COFOG FULL'!$B:$CM,83,FALSE)),(VLOOKUP($C201,'IMF COFOG FULL'!$B:$CM,83,FALSE)), " ")</f>
        <v xml:space="preserve"> </v>
      </c>
      <c r="S201" s="15" t="str">
        <f>IF(ISNUMBER(VLOOKUP($C201,'IMF COFOG FULL'!$B:$CM,84,FALSE)),(VLOOKUP($C201,'IMF COFOG FULL'!$B:$CM,84,FALSE)), " ")</f>
        <v xml:space="preserve"> </v>
      </c>
      <c r="T201" s="15" t="str">
        <f>IF(ISNUMBER(VLOOKUP($C201,'IMF COFOG FULL'!$B:$CM,85,FALSE)),(VLOOKUP($C201,'IMF COFOG FULL'!$B:$CM,85,FALSE)), " ")</f>
        <v xml:space="preserve"> </v>
      </c>
      <c r="U201" s="7" t="str">
        <f>IF(ISNUMBER(VLOOKUP($C201,'IMF COFOG FULL'!$B:$CM,79,FALSE)),(VLOOKUP($C201,'IMF COFOG FULL'!$B:$CM,86,FALSE)), " ")</f>
        <v xml:space="preserve"> </v>
      </c>
      <c r="V201" s="15" t="str">
        <f>IF(ISNUMBER(VLOOKUP($C201,'IMF COFOG FULL'!$B:$CM,79,FALSE)),(VLOOKUP($C201,'IMF COFOG FULL'!$B:$CM,87,FALSE)), " ")</f>
        <v xml:space="preserve"> </v>
      </c>
      <c r="W201" s="15" t="str">
        <f t="shared" ref="W201:W222" si="79">IF(ISNUMBER(N201),(N201/$L201*100), " ")</f>
        <v xml:space="preserve"> </v>
      </c>
      <c r="X201" s="15" t="str">
        <f t="shared" ref="X201:X222" si="80">IF(ISNUMBER(O201),(O201/$L201*100), " ")</f>
        <v xml:space="preserve"> </v>
      </c>
      <c r="Y201" s="15" t="str">
        <f t="shared" ref="Y201:Y222" si="81">IF(ISNUMBER(P201),(P201/$L201*100), " ")</f>
        <v xml:space="preserve"> </v>
      </c>
      <c r="Z201" s="15" t="str">
        <f t="shared" ref="Z201:Z222" si="82">IF(ISNUMBER(Q201),(Q201/$L201*100), " ")</f>
        <v xml:space="preserve"> </v>
      </c>
      <c r="AA201" s="15" t="str">
        <f t="shared" ref="AA201:AA222" si="83">IF(ISNUMBER(R201),(R201/$L201*100), " ")</f>
        <v xml:space="preserve"> </v>
      </c>
      <c r="AB201" s="15" t="str">
        <f t="shared" ref="AB201:AB222" si="84">IF(ISNUMBER(S201),(S201/$L201*100), " ")</f>
        <v xml:space="preserve"> </v>
      </c>
      <c r="AC201" s="15" t="str">
        <f t="shared" ref="AC201:AC222" si="85">IF(ISNUMBER(T201),(T201/$L201*100), " ")</f>
        <v xml:space="preserve"> </v>
      </c>
      <c r="AG201" s="15" t="str">
        <f>IF(ISNUMBER(VLOOKUP(C201,'National budgets summary'!A:F,5, FALSE)),(VLOOKUP(C201,'National budgets summary'!A:F,5, FALSE)), " ")</f>
        <v xml:space="preserve"> </v>
      </c>
      <c r="AH201" t="str">
        <f>IF(ISNUMBER(VLOOKUP(C201,'National budgets summary'!A:F,5, FALSE)),(VLOOKUP(C201,'National budgets summary'!A:F,4, FALSE)), " ")</f>
        <v xml:space="preserve"> </v>
      </c>
      <c r="AI201" s="15" t="str">
        <f t="shared" si="66"/>
        <v xml:space="preserve"> </v>
      </c>
      <c r="AJ201" s="15" t="str">
        <f t="shared" si="71"/>
        <v xml:space="preserve"> </v>
      </c>
      <c r="AK201" s="15" t="str">
        <f t="shared" si="72"/>
        <v/>
      </c>
      <c r="AL201" s="15" t="str">
        <f t="shared" si="73"/>
        <v/>
      </c>
      <c r="AM201" s="15" t="str">
        <f t="shared" si="74"/>
        <v/>
      </c>
      <c r="AN201" s="15" t="str">
        <f t="shared" si="67"/>
        <v xml:space="preserve"> </v>
      </c>
      <c r="AO201" s="15" t="str">
        <f t="shared" si="68"/>
        <v xml:space="preserve"> </v>
      </c>
      <c r="AP201" t="str">
        <f t="shared" si="69"/>
        <v xml:space="preserve"> </v>
      </c>
      <c r="AQ201" t="str">
        <f t="shared" si="70"/>
        <v xml:space="preserve"> </v>
      </c>
      <c r="AR201" s="7" t="str">
        <f t="shared" si="75"/>
        <v xml:space="preserve"> </v>
      </c>
      <c r="AS201" s="7" t="str">
        <f t="shared" si="76"/>
        <v xml:space="preserve"> </v>
      </c>
      <c r="AT201" s="7" t="str">
        <f t="shared" si="77"/>
        <v xml:space="preserve"> </v>
      </c>
      <c r="AU201" s="7" t="str">
        <f t="shared" si="78"/>
        <v xml:space="preserve"> </v>
      </c>
    </row>
    <row r="202" spans="1:47">
      <c r="A202">
        <v>199</v>
      </c>
      <c r="B202" t="s">
        <v>51</v>
      </c>
      <c r="C202" t="s">
        <v>468</v>
      </c>
      <c r="D202" t="s">
        <v>485</v>
      </c>
      <c r="E202" t="s">
        <v>622</v>
      </c>
      <c r="H202" t="str">
        <f>IF(ISNUMBER(VLOOKUP(C202,'OECD DAC'!B:C,2,FALSE)), "YES", " ")</f>
        <v>YES</v>
      </c>
      <c r="I202">
        <v>84090</v>
      </c>
      <c r="J202">
        <v>2021</v>
      </c>
      <c r="K202" s="15">
        <f>IF(ISNUMBER(VLOOKUP(C202,'WEO GOV REV'!C:BL,58,FALSE)),(VLOOKUP(C202,'WEO GOV REV'!C:BL,58,FALSE)), " ")</f>
        <v>2071.4299999999998</v>
      </c>
      <c r="L202" s="15">
        <f>IF(ISNUMBER(VLOOKUP(C202,'WEO GOV REV'!C:BL,62,FALSE)),(VLOOKUP(C202,'WEO GOV REV'!C:BL,62,FALSE)), " ")</f>
        <v>49.984677121615391</v>
      </c>
      <c r="M202">
        <f>IF(ISNUMBER(VLOOKUP(C202,'WEO GOV REV'!C:BL,62,FALSE)),(VLOOKUP(C202,'WEO GOV REV'!C:BL,57,FALSE)), " ")</f>
        <v>2021</v>
      </c>
      <c r="N202" s="15">
        <f>IF(ISNUMBER(VLOOKUP($C202,'IMF COFOG FULL'!$B:$CM,79,FALSE)),(VLOOKUP($C202,'IMF COFOG FULL'!$B:$CM,79,FALSE)), " ")</f>
        <v>1.2970748070134299</v>
      </c>
      <c r="O202" s="15">
        <f>IF(ISNUMBER(VLOOKUP($C202,'IMF COFOG FULL'!$B:$CM,80,FALSE)),(VLOOKUP($C202,'IMF COFOG FULL'!$B:$CM,80,FALSE)), " ")</f>
        <v>0.63490017431044798</v>
      </c>
      <c r="P202" s="15">
        <f>IF(ISNUMBER(VLOOKUP($C202,'IMF COFOG FULL'!$B:$CM,81,FALSE)),(VLOOKUP($C202,'IMF COFOG FULL'!$B:$CM,81,FALSE)), " ")</f>
        <v>0.29515592728764201</v>
      </c>
      <c r="Q202" s="15">
        <f>IF(ISNUMBER(VLOOKUP($C202,'IMF COFOG FULL'!$B:$CM,82,FALSE)),(VLOOKUP($C202,'IMF COFOG FULL'!$B:$CM,82,FALSE)), " ")</f>
        <v>0.166722817091213</v>
      </c>
      <c r="R202" s="15">
        <f>IF(ISNUMBER(VLOOKUP($C202,'IMF COFOG FULL'!$B:$CM,83,FALSE)),(VLOOKUP($C202,'IMF COFOG FULL'!$B:$CM,83,FALSE)), " ")</f>
        <v>0.14814923318050699</v>
      </c>
      <c r="S202" s="15">
        <f>IF(ISNUMBER(VLOOKUP($C202,'IMF COFOG FULL'!$B:$CM,84,FALSE)),(VLOOKUP($C202,'IMF COFOG FULL'!$B:$CM,84,FALSE)), " ")</f>
        <v>2.7596713002973498E-2</v>
      </c>
      <c r="T202" s="15">
        <f>IF(ISNUMBER(VLOOKUP($C202,'IMF COFOG FULL'!$B:$CM,85,FALSE)),(VLOOKUP($C202,'IMF COFOG FULL'!$B:$CM,85,FALSE)), " ")</f>
        <v>2.4549942140649501E-2</v>
      </c>
      <c r="U202" s="7">
        <f>IF(ISNUMBER(VLOOKUP($C202,'IMF COFOG FULL'!$B:$CM,79,FALSE)),(VLOOKUP($C202,'IMF COFOG FULL'!$B:$CM,86,FALSE)), " ")</f>
        <v>2020</v>
      </c>
      <c r="V202" s="15" t="str">
        <f>IF(ISNUMBER(VLOOKUP($C202,'IMF COFOG FULL'!$B:$CM,79,FALSE)),(VLOOKUP($C202,'IMF COFOG FULL'!$B:$CM,87,FALSE)), " ")</f>
        <v>General government</v>
      </c>
      <c r="W202" s="15">
        <f t="shared" si="79"/>
        <v>2.59494485451527</v>
      </c>
      <c r="X202" s="15">
        <f t="shared" si="80"/>
        <v>1.2701896078386221</v>
      </c>
      <c r="Y202" s="15">
        <f t="shared" si="81"/>
        <v>0.5904928155672825</v>
      </c>
      <c r="Z202" s="15">
        <f t="shared" si="82"/>
        <v>0.33354785244599555</v>
      </c>
      <c r="AA202" s="15">
        <f t="shared" si="83"/>
        <v>0.29638929710409445</v>
      </c>
      <c r="AB202" s="15">
        <f t="shared" si="84"/>
        <v>5.5210345634181486E-2</v>
      </c>
      <c r="AC202" s="15">
        <f t="shared" si="85"/>
        <v>4.9114935925099967E-2</v>
      </c>
      <c r="AG202" s="15" t="str">
        <f>IF(ISNUMBER(VLOOKUP(C202,'National budgets summary'!A:F,5, FALSE)),(VLOOKUP(C202,'National budgets summary'!A:F,5, FALSE)), " ")</f>
        <v xml:space="preserve"> </v>
      </c>
      <c r="AH202" t="str">
        <f>IF(ISNUMBER(VLOOKUP(C202,'National budgets summary'!A:F,5, FALSE)),(VLOOKUP(C202,'National budgets summary'!A:F,4, FALSE)), " ")</f>
        <v xml:space="preserve"> </v>
      </c>
      <c r="AI202" s="15" t="str">
        <f t="shared" si="66"/>
        <v xml:space="preserve"> </v>
      </c>
      <c r="AJ202" s="15" t="str">
        <f t="shared" si="71"/>
        <v xml:space="preserve"> </v>
      </c>
      <c r="AK202" s="15">
        <f t="shared" si="72"/>
        <v>1.2701896078386221</v>
      </c>
      <c r="AL202" s="15">
        <f t="shared" si="73"/>
        <v>0.33354785244599555</v>
      </c>
      <c r="AM202" s="15">
        <f t="shared" si="74"/>
        <v>0.29638929710409445</v>
      </c>
      <c r="AN202" s="15">
        <f t="shared" si="67"/>
        <v>2.59494485451527</v>
      </c>
      <c r="AO202" s="15">
        <f t="shared" si="68"/>
        <v>1.2970748070134299</v>
      </c>
      <c r="AP202">
        <f t="shared" si="69"/>
        <v>2020</v>
      </c>
      <c r="AQ202" t="str">
        <f t="shared" si="70"/>
        <v>IMF COFOG</v>
      </c>
      <c r="AR202" s="7">
        <f t="shared" si="75"/>
        <v>533.8875565776558</v>
      </c>
      <c r="AS202" s="7">
        <f t="shared" si="76"/>
        <v>140.19721689200102</v>
      </c>
      <c r="AT202" s="7">
        <f t="shared" si="77"/>
        <v>124.57869018148831</v>
      </c>
      <c r="AU202" s="7">
        <f t="shared" si="78"/>
        <v>1090.7102052175933</v>
      </c>
    </row>
    <row r="203" spans="1:47">
      <c r="A203">
        <v>200</v>
      </c>
      <c r="B203" t="s">
        <v>67</v>
      </c>
      <c r="C203" t="s">
        <v>469</v>
      </c>
      <c r="D203" t="s">
        <v>485</v>
      </c>
      <c r="E203" t="s">
        <v>622</v>
      </c>
      <c r="H203" t="str">
        <f>IF(ISNUMBER(VLOOKUP(C203,'OECD DAC'!B:C,2,FALSE)), "YES", " ")</f>
        <v>YES</v>
      </c>
      <c r="I203">
        <v>90360</v>
      </c>
      <c r="J203">
        <v>2021</v>
      </c>
      <c r="K203" s="15">
        <f>IF(ISNUMBER(VLOOKUP(C203,'WEO GOV REV'!C:BL,58,FALSE)),(VLOOKUP(C203,'WEO GOV REV'!C:BL,58,FALSE)), " ")</f>
        <v>238.78700000000001</v>
      </c>
      <c r="L203" s="15">
        <f>IF(ISNUMBER(VLOOKUP(C203,'WEO GOV REV'!C:BL,62,FALSE)),(VLOOKUP(C203,'WEO GOV REV'!C:BL,62,FALSE)), " ")</f>
        <v>32.806540782343951</v>
      </c>
      <c r="M203">
        <f>IF(ISNUMBER(VLOOKUP(C203,'WEO GOV REV'!C:BL,62,FALSE)),(VLOOKUP(C203,'WEO GOV REV'!C:BL,57,FALSE)), " ")</f>
        <v>2019</v>
      </c>
      <c r="N203" s="15">
        <f>IF(ISNUMBER(VLOOKUP($C203,'IMF COFOG FULL'!$B:$CM,79,FALSE)),(VLOOKUP($C203,'IMF COFOG FULL'!$B:$CM,79,FALSE)), " ")</f>
        <v>1.6131846220113</v>
      </c>
      <c r="O203" s="15">
        <f>IF(ISNUMBER(VLOOKUP($C203,'IMF COFOG FULL'!$B:$CM,80,FALSE)),(VLOOKUP($C203,'IMF COFOG FULL'!$B:$CM,80,FALSE)), " ")</f>
        <v>0.67216950099543304</v>
      </c>
      <c r="P203" s="15">
        <f>IF(ISNUMBER(VLOOKUP($C203,'IMF COFOG FULL'!$B:$CM,81,FALSE)),(VLOOKUP($C203,'IMF COFOG FULL'!$B:$CM,81,FALSE)), " ")</f>
        <v>0.10809765945840701</v>
      </c>
      <c r="Q203" s="15">
        <f>IF(ISNUMBER(VLOOKUP($C203,'IMF COFOG FULL'!$B:$CM,82,FALSE)),(VLOOKUP($C203,'IMF COFOG FULL'!$B:$CM,82,FALSE)), " ")</f>
        <v>0.29539977251323102</v>
      </c>
      <c r="R203" s="15">
        <f>IF(ISNUMBER(VLOOKUP($C203,'IMF COFOG FULL'!$B:$CM,83,FALSE)),(VLOOKUP($C203,'IMF COFOG FULL'!$B:$CM,83,FALSE)), " ")</f>
        <v>0.19629267591357699</v>
      </c>
      <c r="S203" s="15">
        <f>IF(ISNUMBER(VLOOKUP($C203,'IMF COFOG FULL'!$B:$CM,84,FALSE)),(VLOOKUP($C203,'IMF COFOG FULL'!$B:$CM,84,FALSE)), " ")</f>
        <v>0</v>
      </c>
      <c r="T203" s="15">
        <f>IF(ISNUMBER(VLOOKUP($C203,'IMF COFOG FULL'!$B:$CM,85,FALSE)),(VLOOKUP($C203,'IMF COFOG FULL'!$B:$CM,85,FALSE)), " ")</f>
        <v>0.34122501313064901</v>
      </c>
      <c r="U203" s="7">
        <f>IF(ISNUMBER(VLOOKUP($C203,'IMF COFOG FULL'!$B:$CM,79,FALSE)),(VLOOKUP($C203,'IMF COFOG FULL'!$B:$CM,86,FALSE)), " ")</f>
        <v>2020</v>
      </c>
      <c r="V203" s="15" t="str">
        <f>IF(ISNUMBER(VLOOKUP($C203,'IMF COFOG FULL'!$B:$CM,79,FALSE)),(VLOOKUP($C203,'IMF COFOG FULL'!$B:$CM,87,FALSE)), " ")</f>
        <v>General government</v>
      </c>
      <c r="W203" s="15">
        <f t="shared" si="79"/>
        <v>4.917265226815668</v>
      </c>
      <c r="X203" s="15">
        <f t="shared" si="80"/>
        <v>2.0488886818484255</v>
      </c>
      <c r="Y203" s="15">
        <f t="shared" si="81"/>
        <v>0.3295003279241917</v>
      </c>
      <c r="Z203" s="15">
        <f t="shared" si="82"/>
        <v>0.90042950420487888</v>
      </c>
      <c r="AA203" s="15">
        <f t="shared" si="83"/>
        <v>0.59833396399787186</v>
      </c>
      <c r="AB203" s="15">
        <f t="shared" si="84"/>
        <v>0</v>
      </c>
      <c r="AC203" s="15">
        <f t="shared" si="85"/>
        <v>1.0401127488402917</v>
      </c>
      <c r="AG203" s="15" t="str">
        <f>IF(ISNUMBER(VLOOKUP(C203,'National budgets summary'!A:F,5, FALSE)),(VLOOKUP(C203,'National budgets summary'!A:F,5, FALSE)), " ")</f>
        <v xml:space="preserve"> </v>
      </c>
      <c r="AH203" t="str">
        <f>IF(ISNUMBER(VLOOKUP(C203,'National budgets summary'!A:F,5, FALSE)),(VLOOKUP(C203,'National budgets summary'!A:F,4, FALSE)), " ")</f>
        <v xml:space="preserve"> </v>
      </c>
      <c r="AI203" s="15" t="str">
        <f t="shared" si="66"/>
        <v xml:space="preserve"> </v>
      </c>
      <c r="AJ203" s="15" t="str">
        <f t="shared" si="71"/>
        <v xml:space="preserve"> </v>
      </c>
      <c r="AK203" s="15">
        <f t="shared" si="72"/>
        <v>2.0488886818484255</v>
      </c>
      <c r="AL203" s="15">
        <f t="shared" si="73"/>
        <v>0.90042950420487888</v>
      </c>
      <c r="AM203" s="15">
        <f t="shared" si="74"/>
        <v>0.59833396399787186</v>
      </c>
      <c r="AN203" s="15">
        <f t="shared" si="67"/>
        <v>4.917265226815668</v>
      </c>
      <c r="AO203" s="15">
        <f t="shared" si="68"/>
        <v>1.6131846220113</v>
      </c>
      <c r="AP203">
        <f t="shared" si="69"/>
        <v>2020</v>
      </c>
      <c r="AQ203" t="str">
        <f t="shared" si="70"/>
        <v>IMF COFOG</v>
      </c>
      <c r="AR203" s="7">
        <f t="shared" si="75"/>
        <v>607.37236109947344</v>
      </c>
      <c r="AS203" s="7">
        <f t="shared" si="76"/>
        <v>266.92323444295562</v>
      </c>
      <c r="AT203" s="7">
        <f t="shared" si="77"/>
        <v>177.37006195550822</v>
      </c>
      <c r="AU203" s="7">
        <f t="shared" si="78"/>
        <v>1457.6736244494107</v>
      </c>
    </row>
    <row r="204" spans="1:47">
      <c r="A204">
        <v>201</v>
      </c>
      <c r="B204" t="s">
        <v>264</v>
      </c>
      <c r="C204" t="s">
        <v>501</v>
      </c>
      <c r="D204" t="s">
        <v>502</v>
      </c>
      <c r="E204" t="s">
        <v>622</v>
      </c>
      <c r="H204" t="str">
        <f>IF(ISNUMBER(VLOOKUP(C204,'OECD DAC'!B:C,2,FALSE)), "YES", " ")</f>
        <v xml:space="preserve"> </v>
      </c>
      <c r="I204">
        <v>116540</v>
      </c>
      <c r="J204">
        <v>2021</v>
      </c>
      <c r="K204" s="15" t="str">
        <f>IF(ISNUMBER(VLOOKUP(C204,'WEO GOV REV'!C:BL,58,FALSE)),(VLOOKUP(C204,'WEO GOV REV'!C:BL,58,FALSE)), " ")</f>
        <v xml:space="preserve"> </v>
      </c>
      <c r="L204" s="15" t="str">
        <f>IF(ISNUMBER(VLOOKUP(C204,'WEO GOV REV'!C:BL,62,FALSE)),(VLOOKUP(C204,'WEO GOV REV'!C:BL,62,FALSE)), " ")</f>
        <v xml:space="preserve"> </v>
      </c>
      <c r="M204" t="str">
        <f>IF(ISNUMBER(VLOOKUP(C204,'WEO GOV REV'!C:BL,62,FALSE)),(VLOOKUP(C204,'WEO GOV REV'!C:BL,57,FALSE)), " ")</f>
        <v xml:space="preserve"> </v>
      </c>
      <c r="N204" s="15" t="str">
        <f>IF(ISNUMBER(VLOOKUP($C204,'IMF COFOG FULL'!$B:$CM,79,FALSE)),(VLOOKUP($C204,'IMF COFOG FULL'!$B:$CM,79,FALSE)), " ")</f>
        <v xml:space="preserve"> </v>
      </c>
      <c r="O204" s="15" t="str">
        <f>IF(ISNUMBER(VLOOKUP($C204,'IMF COFOG FULL'!$B:$CM,80,FALSE)),(VLOOKUP($C204,'IMF COFOG FULL'!$B:$CM,80,FALSE)), " ")</f>
        <v xml:space="preserve"> </v>
      </c>
      <c r="P204" s="15" t="str">
        <f>IF(ISNUMBER(VLOOKUP($C204,'IMF COFOG FULL'!$B:$CM,81,FALSE)),(VLOOKUP($C204,'IMF COFOG FULL'!$B:$CM,81,FALSE)), " ")</f>
        <v xml:space="preserve"> </v>
      </c>
      <c r="Q204" s="15" t="str">
        <f>IF(ISNUMBER(VLOOKUP($C204,'IMF COFOG FULL'!$B:$CM,82,FALSE)),(VLOOKUP($C204,'IMF COFOG FULL'!$B:$CM,82,FALSE)), " ")</f>
        <v xml:space="preserve"> </v>
      </c>
      <c r="R204" s="15" t="str">
        <f>IF(ISNUMBER(VLOOKUP($C204,'IMF COFOG FULL'!$B:$CM,83,FALSE)),(VLOOKUP($C204,'IMF COFOG FULL'!$B:$CM,83,FALSE)), " ")</f>
        <v xml:space="preserve"> </v>
      </c>
      <c r="S204" s="15" t="str">
        <f>IF(ISNUMBER(VLOOKUP($C204,'IMF COFOG FULL'!$B:$CM,84,FALSE)),(VLOOKUP($C204,'IMF COFOG FULL'!$B:$CM,84,FALSE)), " ")</f>
        <v xml:space="preserve"> </v>
      </c>
      <c r="T204" s="15" t="str">
        <f>IF(ISNUMBER(VLOOKUP($C204,'IMF COFOG FULL'!$B:$CM,85,FALSE)),(VLOOKUP($C204,'IMF COFOG FULL'!$B:$CM,85,FALSE)), " ")</f>
        <v xml:space="preserve"> </v>
      </c>
      <c r="U204" s="7" t="str">
        <f>IF(ISNUMBER(VLOOKUP($C204,'IMF COFOG FULL'!$B:$CM,79,FALSE)),(VLOOKUP($C204,'IMF COFOG FULL'!$B:$CM,86,FALSE)), " ")</f>
        <v xml:space="preserve"> </v>
      </c>
      <c r="V204" s="15" t="str">
        <f>IF(ISNUMBER(VLOOKUP($C204,'IMF COFOG FULL'!$B:$CM,79,FALSE)),(VLOOKUP($C204,'IMF COFOG FULL'!$B:$CM,87,FALSE)), " ")</f>
        <v xml:space="preserve"> </v>
      </c>
      <c r="W204" s="15" t="str">
        <f t="shared" si="79"/>
        <v xml:space="preserve"> </v>
      </c>
      <c r="X204" s="15" t="str">
        <f t="shared" si="80"/>
        <v xml:space="preserve"> </v>
      </c>
      <c r="Y204" s="15" t="str">
        <f t="shared" si="81"/>
        <v xml:space="preserve"> </v>
      </c>
      <c r="Z204" s="15" t="str">
        <f t="shared" si="82"/>
        <v xml:space="preserve"> </v>
      </c>
      <c r="AA204" s="15" t="str">
        <f t="shared" si="83"/>
        <v xml:space="preserve"> </v>
      </c>
      <c r="AB204" s="15" t="str">
        <f t="shared" si="84"/>
        <v xml:space="preserve"> </v>
      </c>
      <c r="AC204" s="15" t="str">
        <f t="shared" si="85"/>
        <v xml:space="preserve"> </v>
      </c>
      <c r="AG204" s="15" t="str">
        <f>IF(ISNUMBER(VLOOKUP(C204,'National budgets summary'!A:F,5, FALSE)),(VLOOKUP(C204,'National budgets summary'!A:F,5, FALSE)), " ")</f>
        <v xml:space="preserve"> </v>
      </c>
      <c r="AH204" t="str">
        <f>IF(ISNUMBER(VLOOKUP(C204,'National budgets summary'!A:F,5, FALSE)),(VLOOKUP(C204,'National budgets summary'!A:F,4, FALSE)), " ")</f>
        <v xml:space="preserve"> </v>
      </c>
      <c r="AI204" s="15" t="str">
        <f t="shared" si="66"/>
        <v xml:space="preserve"> </v>
      </c>
      <c r="AJ204" s="15" t="str">
        <f t="shared" si="71"/>
        <v xml:space="preserve"> </v>
      </c>
      <c r="AK204" s="15" t="str">
        <f t="shared" si="72"/>
        <v/>
      </c>
      <c r="AL204" s="15" t="str">
        <f t="shared" si="73"/>
        <v/>
      </c>
      <c r="AM204" s="15" t="str">
        <f t="shared" si="74"/>
        <v/>
      </c>
      <c r="AN204" s="15" t="str">
        <f t="shared" si="67"/>
        <v xml:space="preserve"> </v>
      </c>
      <c r="AO204" s="15" t="str">
        <f t="shared" si="68"/>
        <v xml:space="preserve"> </v>
      </c>
      <c r="AP204" t="str">
        <f t="shared" si="69"/>
        <v xml:space="preserve"> </v>
      </c>
      <c r="AQ204" t="str">
        <f t="shared" si="70"/>
        <v xml:space="preserve"> </v>
      </c>
      <c r="AR204" s="7" t="str">
        <f t="shared" si="75"/>
        <v xml:space="preserve"> </v>
      </c>
      <c r="AS204" s="7" t="str">
        <f t="shared" si="76"/>
        <v xml:space="preserve"> </v>
      </c>
      <c r="AT204" s="7" t="str">
        <f t="shared" si="77"/>
        <v xml:space="preserve"> </v>
      </c>
      <c r="AU204" s="7" t="str">
        <f t="shared" si="78"/>
        <v xml:space="preserve"> </v>
      </c>
    </row>
    <row r="205" spans="1:47">
      <c r="A205">
        <v>202</v>
      </c>
      <c r="B205" t="s">
        <v>491</v>
      </c>
      <c r="C205" t="s">
        <v>492</v>
      </c>
      <c r="D205" t="s">
        <v>493</v>
      </c>
      <c r="E205" t="s">
        <v>389</v>
      </c>
      <c r="H205" t="str">
        <f>IF(ISNUMBER(VLOOKUP(C205,'OECD DAC'!B:C,2,FALSE)), "YES", " ")</f>
        <v xml:space="preserve"> </v>
      </c>
      <c r="I205" t="s">
        <v>484</v>
      </c>
      <c r="J205" t="s">
        <v>484</v>
      </c>
      <c r="K205" s="15" t="str">
        <f>IF(ISNUMBER(VLOOKUP(C205,'WEO GOV REV'!C:BL,58,FALSE)),(VLOOKUP(C205,'WEO GOV REV'!C:BL,58,FALSE)), " ")</f>
        <v xml:space="preserve"> </v>
      </c>
      <c r="L205" s="15" t="str">
        <f>IF(ISNUMBER(VLOOKUP(C205,'WEO GOV REV'!C:BL,62,FALSE)),(VLOOKUP(C205,'WEO GOV REV'!C:BL,62,FALSE)), " ")</f>
        <v xml:space="preserve"> </v>
      </c>
      <c r="M205" t="str">
        <f>IF(ISNUMBER(VLOOKUP(C205,'WEO GOV REV'!C:BL,62,FALSE)),(VLOOKUP(C205,'WEO GOV REV'!C:BL,57,FALSE)), " ")</f>
        <v xml:space="preserve"> </v>
      </c>
      <c r="N205" s="15" t="str">
        <f>IF(ISNUMBER(VLOOKUP($C205,'IMF COFOG FULL'!$B:$CM,79,FALSE)),(VLOOKUP($C205,'IMF COFOG FULL'!$B:$CM,79,FALSE)), " ")</f>
        <v xml:space="preserve"> </v>
      </c>
      <c r="O205" s="15" t="str">
        <f>IF(ISNUMBER(VLOOKUP($C205,'IMF COFOG FULL'!$B:$CM,80,FALSE)),(VLOOKUP($C205,'IMF COFOG FULL'!$B:$CM,80,FALSE)), " ")</f>
        <v xml:space="preserve"> </v>
      </c>
      <c r="P205" s="15" t="str">
        <f>IF(ISNUMBER(VLOOKUP($C205,'IMF COFOG FULL'!$B:$CM,81,FALSE)),(VLOOKUP($C205,'IMF COFOG FULL'!$B:$CM,81,FALSE)), " ")</f>
        <v xml:space="preserve"> </v>
      </c>
      <c r="Q205" s="15" t="str">
        <f>IF(ISNUMBER(VLOOKUP($C205,'IMF COFOG FULL'!$B:$CM,82,FALSE)),(VLOOKUP($C205,'IMF COFOG FULL'!$B:$CM,82,FALSE)), " ")</f>
        <v xml:space="preserve"> </v>
      </c>
      <c r="R205" s="15" t="str">
        <f>IF(ISNUMBER(VLOOKUP($C205,'IMF COFOG FULL'!$B:$CM,83,FALSE)),(VLOOKUP($C205,'IMF COFOG FULL'!$B:$CM,83,FALSE)), " ")</f>
        <v xml:space="preserve"> </v>
      </c>
      <c r="S205" s="15" t="str">
        <f>IF(ISNUMBER(VLOOKUP($C205,'IMF COFOG FULL'!$B:$CM,84,FALSE)),(VLOOKUP($C205,'IMF COFOG FULL'!$B:$CM,84,FALSE)), " ")</f>
        <v xml:space="preserve"> </v>
      </c>
      <c r="T205" s="15" t="str">
        <f>IF(ISNUMBER(VLOOKUP($C205,'IMF COFOG FULL'!$B:$CM,85,FALSE)),(VLOOKUP($C205,'IMF COFOG FULL'!$B:$CM,85,FALSE)), " ")</f>
        <v xml:space="preserve"> </v>
      </c>
      <c r="U205" s="7" t="str">
        <f>IF(ISNUMBER(VLOOKUP($C205,'IMF COFOG FULL'!$B:$CM,79,FALSE)),(VLOOKUP($C205,'IMF COFOG FULL'!$B:$CM,86,FALSE)), " ")</f>
        <v xml:space="preserve"> </v>
      </c>
      <c r="V205" s="15" t="str">
        <f>IF(ISNUMBER(VLOOKUP($C205,'IMF COFOG FULL'!$B:$CM,79,FALSE)),(VLOOKUP($C205,'IMF COFOG FULL'!$B:$CM,87,FALSE)), " ")</f>
        <v xml:space="preserve"> </v>
      </c>
      <c r="W205" s="15" t="str">
        <f t="shared" si="79"/>
        <v xml:space="preserve"> </v>
      </c>
      <c r="X205" s="15" t="str">
        <f t="shared" si="80"/>
        <v xml:space="preserve"> </v>
      </c>
      <c r="Y205" s="15" t="str">
        <f t="shared" si="81"/>
        <v xml:space="preserve"> </v>
      </c>
      <c r="Z205" s="15" t="str">
        <f t="shared" si="82"/>
        <v xml:space="preserve"> </v>
      </c>
      <c r="AA205" s="15" t="str">
        <f t="shared" si="83"/>
        <v xml:space="preserve"> </v>
      </c>
      <c r="AB205" s="15" t="str">
        <f t="shared" si="84"/>
        <v xml:space="preserve"> </v>
      </c>
      <c r="AC205" s="15" t="str">
        <f t="shared" si="85"/>
        <v xml:space="preserve"> </v>
      </c>
      <c r="AG205" s="15" t="str">
        <f>IF(ISNUMBER(VLOOKUP(C205,'National budgets summary'!A:F,5, FALSE)),(VLOOKUP(C205,'National budgets summary'!A:F,5, FALSE)), " ")</f>
        <v xml:space="preserve"> </v>
      </c>
      <c r="AH205" t="str">
        <f>IF(ISNUMBER(VLOOKUP(C205,'National budgets summary'!A:F,5, FALSE)),(VLOOKUP(C205,'National budgets summary'!A:F,4, FALSE)), " ")</f>
        <v xml:space="preserve"> </v>
      </c>
      <c r="AI205" s="15" t="str">
        <f t="shared" si="66"/>
        <v xml:space="preserve"> </v>
      </c>
      <c r="AJ205" s="15" t="str">
        <f t="shared" si="71"/>
        <v xml:space="preserve"> </v>
      </c>
      <c r="AK205" s="15" t="str">
        <f t="shared" si="72"/>
        <v/>
      </c>
      <c r="AL205" s="15" t="str">
        <f t="shared" si="73"/>
        <v/>
      </c>
      <c r="AM205" s="15" t="str">
        <f t="shared" si="74"/>
        <v/>
      </c>
      <c r="AN205" s="15" t="str">
        <f t="shared" si="67"/>
        <v xml:space="preserve"> </v>
      </c>
      <c r="AO205" s="15" t="str">
        <f t="shared" si="68"/>
        <v xml:space="preserve"> </v>
      </c>
      <c r="AP205" t="str">
        <f t="shared" si="69"/>
        <v xml:space="preserve"> </v>
      </c>
      <c r="AQ205" t="str">
        <f t="shared" si="70"/>
        <v xml:space="preserve"> </v>
      </c>
      <c r="AR205" s="7" t="str">
        <f t="shared" si="75"/>
        <v xml:space="preserve"> </v>
      </c>
      <c r="AS205" s="7" t="str">
        <f t="shared" si="76"/>
        <v xml:space="preserve"> </v>
      </c>
      <c r="AT205" s="7" t="str">
        <f t="shared" si="77"/>
        <v xml:space="preserve"> </v>
      </c>
      <c r="AU205" s="7" t="str">
        <f t="shared" si="78"/>
        <v xml:space="preserve"> </v>
      </c>
    </row>
    <row r="206" spans="1:47">
      <c r="A206">
        <v>203</v>
      </c>
      <c r="B206" t="s">
        <v>512</v>
      </c>
      <c r="C206" t="s">
        <v>513</v>
      </c>
      <c r="D206" t="s">
        <v>485</v>
      </c>
      <c r="E206" t="s">
        <v>622</v>
      </c>
      <c r="H206" t="str">
        <f>IF(ISNUMBER(VLOOKUP(C206,'OECD DAC'!B:C,2,FALSE)), "YES", " ")</f>
        <v xml:space="preserve"> </v>
      </c>
      <c r="I206" t="s">
        <v>484</v>
      </c>
      <c r="J206" t="s">
        <v>484</v>
      </c>
      <c r="K206" s="15" t="str">
        <f>IF(ISNUMBER(VLOOKUP(C206,'WEO GOV REV'!C:BL,58,FALSE)),(VLOOKUP(C206,'WEO GOV REV'!C:BL,58,FALSE)), " ")</f>
        <v xml:space="preserve"> </v>
      </c>
      <c r="L206" s="15" t="str">
        <f>IF(ISNUMBER(VLOOKUP(C206,'WEO GOV REV'!C:BL,62,FALSE)),(VLOOKUP(C206,'WEO GOV REV'!C:BL,62,FALSE)), " ")</f>
        <v xml:space="preserve"> </v>
      </c>
      <c r="M206" t="str">
        <f>IF(ISNUMBER(VLOOKUP(C206,'WEO GOV REV'!C:BL,62,FALSE)),(VLOOKUP(C206,'WEO GOV REV'!C:BL,57,FALSE)), " ")</f>
        <v xml:space="preserve"> </v>
      </c>
      <c r="N206" s="15" t="str">
        <f>IF(ISNUMBER(VLOOKUP($C206,'IMF COFOG FULL'!$B:$CM,79,FALSE)),(VLOOKUP($C206,'IMF COFOG FULL'!$B:$CM,79,FALSE)), " ")</f>
        <v xml:space="preserve"> </v>
      </c>
      <c r="O206" s="15" t="str">
        <f>IF(ISNUMBER(VLOOKUP($C206,'IMF COFOG FULL'!$B:$CM,80,FALSE)),(VLOOKUP($C206,'IMF COFOG FULL'!$B:$CM,80,FALSE)), " ")</f>
        <v xml:space="preserve"> </v>
      </c>
      <c r="P206" s="15" t="str">
        <f>IF(ISNUMBER(VLOOKUP($C206,'IMF COFOG FULL'!$B:$CM,81,FALSE)),(VLOOKUP($C206,'IMF COFOG FULL'!$B:$CM,81,FALSE)), " ")</f>
        <v xml:space="preserve"> </v>
      </c>
      <c r="Q206" s="15" t="str">
        <f>IF(ISNUMBER(VLOOKUP($C206,'IMF COFOG FULL'!$B:$CM,82,FALSE)),(VLOOKUP($C206,'IMF COFOG FULL'!$B:$CM,82,FALSE)), " ")</f>
        <v xml:space="preserve"> </v>
      </c>
      <c r="R206" s="15" t="str">
        <f>IF(ISNUMBER(VLOOKUP($C206,'IMF COFOG FULL'!$B:$CM,83,FALSE)),(VLOOKUP($C206,'IMF COFOG FULL'!$B:$CM,83,FALSE)), " ")</f>
        <v xml:space="preserve"> </v>
      </c>
      <c r="S206" s="15" t="str">
        <f>IF(ISNUMBER(VLOOKUP($C206,'IMF COFOG FULL'!$B:$CM,84,FALSE)),(VLOOKUP($C206,'IMF COFOG FULL'!$B:$CM,84,FALSE)), " ")</f>
        <v xml:space="preserve"> </v>
      </c>
      <c r="T206" s="15" t="str">
        <f>IF(ISNUMBER(VLOOKUP($C206,'IMF COFOG FULL'!$B:$CM,85,FALSE)),(VLOOKUP($C206,'IMF COFOG FULL'!$B:$CM,85,FALSE)), " ")</f>
        <v xml:space="preserve"> </v>
      </c>
      <c r="U206" s="7" t="str">
        <f>IF(ISNUMBER(VLOOKUP($C206,'IMF COFOG FULL'!$B:$CM,79,FALSE)),(VLOOKUP($C206,'IMF COFOG FULL'!$B:$CM,86,FALSE)), " ")</f>
        <v xml:space="preserve"> </v>
      </c>
      <c r="V206" s="15" t="str">
        <f>IF(ISNUMBER(VLOOKUP($C206,'IMF COFOG FULL'!$B:$CM,79,FALSE)),(VLOOKUP($C206,'IMF COFOG FULL'!$B:$CM,87,FALSE)), " ")</f>
        <v xml:space="preserve"> </v>
      </c>
      <c r="W206" s="15" t="str">
        <f t="shared" si="79"/>
        <v xml:space="preserve"> </v>
      </c>
      <c r="X206" s="15" t="str">
        <f t="shared" si="80"/>
        <v xml:space="preserve"> </v>
      </c>
      <c r="Y206" s="15" t="str">
        <f t="shared" si="81"/>
        <v xml:space="preserve"> </v>
      </c>
      <c r="Z206" s="15" t="str">
        <f t="shared" si="82"/>
        <v xml:space="preserve"> </v>
      </c>
      <c r="AA206" s="15" t="str">
        <f t="shared" si="83"/>
        <v xml:space="preserve"> </v>
      </c>
      <c r="AB206" s="15" t="str">
        <f t="shared" si="84"/>
        <v xml:space="preserve"> </v>
      </c>
      <c r="AC206" s="15" t="str">
        <f t="shared" si="85"/>
        <v xml:space="preserve"> </v>
      </c>
      <c r="AG206" s="15" t="str">
        <f>IF(ISNUMBER(VLOOKUP(C206,'National budgets summary'!A:F,5, FALSE)),(VLOOKUP(C206,'National budgets summary'!A:F,5, FALSE)), " ")</f>
        <v xml:space="preserve"> </v>
      </c>
      <c r="AH206" t="str">
        <f>IF(ISNUMBER(VLOOKUP(C206,'National budgets summary'!A:F,5, FALSE)),(VLOOKUP(C206,'National budgets summary'!A:F,4, FALSE)), " ")</f>
        <v xml:space="preserve"> </v>
      </c>
      <c r="AI206" s="15" t="str">
        <f t="shared" si="66"/>
        <v xml:space="preserve"> </v>
      </c>
      <c r="AJ206" s="15" t="str">
        <f t="shared" si="71"/>
        <v xml:space="preserve"> </v>
      </c>
      <c r="AK206" s="15" t="str">
        <f t="shared" si="72"/>
        <v/>
      </c>
      <c r="AL206" s="15" t="str">
        <f t="shared" si="73"/>
        <v/>
      </c>
      <c r="AM206" s="15" t="str">
        <f t="shared" si="74"/>
        <v/>
      </c>
      <c r="AN206" s="15" t="str">
        <f t="shared" si="67"/>
        <v xml:space="preserve"> </v>
      </c>
      <c r="AO206" s="15" t="str">
        <f t="shared" si="68"/>
        <v xml:space="preserve"> </v>
      </c>
      <c r="AP206" t="str">
        <f t="shared" si="69"/>
        <v xml:space="preserve"> </v>
      </c>
      <c r="AQ206" t="str">
        <f t="shared" si="70"/>
        <v xml:space="preserve"> </v>
      </c>
      <c r="AR206" s="7" t="str">
        <f t="shared" si="75"/>
        <v xml:space="preserve"> </v>
      </c>
      <c r="AS206" s="7" t="str">
        <f t="shared" si="76"/>
        <v xml:space="preserve"> </v>
      </c>
      <c r="AT206" s="7" t="str">
        <f t="shared" si="77"/>
        <v xml:space="preserve"> </v>
      </c>
      <c r="AU206" s="7" t="str">
        <f t="shared" si="78"/>
        <v xml:space="preserve"> </v>
      </c>
    </row>
    <row r="207" spans="1:47">
      <c r="A207">
        <v>204</v>
      </c>
      <c r="B207" t="s">
        <v>522</v>
      </c>
      <c r="C207" t="s">
        <v>523</v>
      </c>
      <c r="D207" t="s">
        <v>485</v>
      </c>
      <c r="E207" t="s">
        <v>622</v>
      </c>
      <c r="H207" t="str">
        <f>IF(ISNUMBER(VLOOKUP(C207,'OECD DAC'!B:C,2,FALSE)), "YES", " ")</f>
        <v xml:space="preserve"> </v>
      </c>
      <c r="I207" t="s">
        <v>484</v>
      </c>
      <c r="J207" t="s">
        <v>484</v>
      </c>
      <c r="K207" s="15" t="str">
        <f>IF(ISNUMBER(VLOOKUP(C207,'WEO GOV REV'!C:BL,58,FALSE)),(VLOOKUP(C207,'WEO GOV REV'!C:BL,58,FALSE)), " ")</f>
        <v xml:space="preserve"> </v>
      </c>
      <c r="L207" s="15" t="str">
        <f>IF(ISNUMBER(VLOOKUP(C207,'WEO GOV REV'!C:BL,62,FALSE)),(VLOOKUP(C207,'WEO GOV REV'!C:BL,62,FALSE)), " ")</f>
        <v xml:space="preserve"> </v>
      </c>
      <c r="M207" t="str">
        <f>IF(ISNUMBER(VLOOKUP(C207,'WEO GOV REV'!C:BL,62,FALSE)),(VLOOKUP(C207,'WEO GOV REV'!C:BL,57,FALSE)), " ")</f>
        <v xml:space="preserve"> </v>
      </c>
      <c r="N207" s="15" t="str">
        <f>IF(ISNUMBER(VLOOKUP($C207,'IMF COFOG FULL'!$B:$CM,79,FALSE)),(VLOOKUP($C207,'IMF COFOG FULL'!$B:$CM,79,FALSE)), " ")</f>
        <v xml:space="preserve"> </v>
      </c>
      <c r="O207" s="15" t="str">
        <f>IF(ISNUMBER(VLOOKUP($C207,'IMF COFOG FULL'!$B:$CM,80,FALSE)),(VLOOKUP($C207,'IMF COFOG FULL'!$B:$CM,80,FALSE)), " ")</f>
        <v xml:space="preserve"> </v>
      </c>
      <c r="P207" s="15" t="str">
        <f>IF(ISNUMBER(VLOOKUP($C207,'IMF COFOG FULL'!$B:$CM,81,FALSE)),(VLOOKUP($C207,'IMF COFOG FULL'!$B:$CM,81,FALSE)), " ")</f>
        <v xml:space="preserve"> </v>
      </c>
      <c r="Q207" s="15" t="str">
        <f>IF(ISNUMBER(VLOOKUP($C207,'IMF COFOG FULL'!$B:$CM,82,FALSE)),(VLOOKUP($C207,'IMF COFOG FULL'!$B:$CM,82,FALSE)), " ")</f>
        <v xml:space="preserve"> </v>
      </c>
      <c r="R207" s="15" t="str">
        <f>IF(ISNUMBER(VLOOKUP($C207,'IMF COFOG FULL'!$B:$CM,83,FALSE)),(VLOOKUP($C207,'IMF COFOG FULL'!$B:$CM,83,FALSE)), " ")</f>
        <v xml:space="preserve"> </v>
      </c>
      <c r="S207" s="15" t="str">
        <f>IF(ISNUMBER(VLOOKUP($C207,'IMF COFOG FULL'!$B:$CM,84,FALSE)),(VLOOKUP($C207,'IMF COFOG FULL'!$B:$CM,84,FALSE)), " ")</f>
        <v xml:space="preserve"> </v>
      </c>
      <c r="T207" s="15" t="str">
        <f>IF(ISNUMBER(VLOOKUP($C207,'IMF COFOG FULL'!$B:$CM,85,FALSE)),(VLOOKUP($C207,'IMF COFOG FULL'!$B:$CM,85,FALSE)), " ")</f>
        <v xml:space="preserve"> </v>
      </c>
      <c r="U207" s="7" t="str">
        <f>IF(ISNUMBER(VLOOKUP($C207,'IMF COFOG FULL'!$B:$CM,79,FALSE)),(VLOOKUP($C207,'IMF COFOG FULL'!$B:$CM,86,FALSE)), " ")</f>
        <v xml:space="preserve"> </v>
      </c>
      <c r="V207" s="15" t="str">
        <f>IF(ISNUMBER(VLOOKUP($C207,'IMF COFOG FULL'!$B:$CM,79,FALSE)),(VLOOKUP($C207,'IMF COFOG FULL'!$B:$CM,87,FALSE)), " ")</f>
        <v xml:space="preserve"> </v>
      </c>
      <c r="W207" s="15" t="str">
        <f t="shared" si="79"/>
        <v xml:space="preserve"> </v>
      </c>
      <c r="X207" s="15" t="str">
        <f t="shared" si="80"/>
        <v xml:space="preserve"> </v>
      </c>
      <c r="Y207" s="15" t="str">
        <f t="shared" si="81"/>
        <v xml:space="preserve"> </v>
      </c>
      <c r="Z207" s="15" t="str">
        <f t="shared" si="82"/>
        <v xml:space="preserve"> </v>
      </c>
      <c r="AA207" s="15" t="str">
        <f t="shared" si="83"/>
        <v xml:space="preserve"> </v>
      </c>
      <c r="AB207" s="15" t="str">
        <f t="shared" si="84"/>
        <v xml:space="preserve"> </v>
      </c>
      <c r="AC207" s="15" t="str">
        <f t="shared" si="85"/>
        <v xml:space="preserve"> </v>
      </c>
      <c r="AG207" s="15" t="str">
        <f>IF(ISNUMBER(VLOOKUP(C207,'National budgets summary'!A:F,5, FALSE)),(VLOOKUP(C207,'National budgets summary'!A:F,5, FALSE)), " ")</f>
        <v xml:space="preserve"> </v>
      </c>
      <c r="AH207" t="str">
        <f>IF(ISNUMBER(VLOOKUP(C207,'National budgets summary'!A:F,5, FALSE)),(VLOOKUP(C207,'National budgets summary'!A:F,4, FALSE)), " ")</f>
        <v xml:space="preserve"> </v>
      </c>
      <c r="AI207" s="15" t="str">
        <f t="shared" si="66"/>
        <v xml:space="preserve"> </v>
      </c>
      <c r="AJ207" s="15" t="str">
        <f t="shared" si="71"/>
        <v xml:space="preserve"> </v>
      </c>
      <c r="AK207" s="15" t="str">
        <f t="shared" si="72"/>
        <v/>
      </c>
      <c r="AL207" s="15" t="str">
        <f t="shared" si="73"/>
        <v/>
      </c>
      <c r="AM207" s="15" t="str">
        <f t="shared" si="74"/>
        <v/>
      </c>
      <c r="AN207" s="15" t="str">
        <f t="shared" si="67"/>
        <v xml:space="preserve"> </v>
      </c>
      <c r="AO207" s="15" t="str">
        <f t="shared" si="68"/>
        <v xml:space="preserve"> </v>
      </c>
      <c r="AP207" t="str">
        <f t="shared" si="69"/>
        <v xml:space="preserve"> </v>
      </c>
      <c r="AQ207" t="str">
        <f t="shared" si="70"/>
        <v xml:space="preserve"> </v>
      </c>
      <c r="AR207" s="7" t="str">
        <f t="shared" si="75"/>
        <v xml:space="preserve"> </v>
      </c>
      <c r="AS207" s="7" t="str">
        <f t="shared" si="76"/>
        <v xml:space="preserve"> </v>
      </c>
      <c r="AT207" s="7" t="str">
        <f t="shared" si="77"/>
        <v xml:space="preserve"> </v>
      </c>
      <c r="AU207" s="7" t="str">
        <f t="shared" si="78"/>
        <v xml:space="preserve"> </v>
      </c>
    </row>
    <row r="208" spans="1:47">
      <c r="A208">
        <v>205</v>
      </c>
      <c r="B208" t="s">
        <v>527</v>
      </c>
      <c r="C208" t="s">
        <v>528</v>
      </c>
      <c r="D208" t="s">
        <v>485</v>
      </c>
      <c r="E208" t="s">
        <v>622</v>
      </c>
      <c r="H208" t="str">
        <f>IF(ISNUMBER(VLOOKUP(C208,'OECD DAC'!B:C,2,FALSE)), "YES", " ")</f>
        <v xml:space="preserve"> </v>
      </c>
      <c r="I208" t="s">
        <v>484</v>
      </c>
      <c r="J208" t="s">
        <v>484</v>
      </c>
      <c r="K208" s="15" t="str">
        <f>IF(ISNUMBER(VLOOKUP(C208,'WEO GOV REV'!C:BL,58,FALSE)),(VLOOKUP(C208,'WEO GOV REV'!C:BL,58,FALSE)), " ")</f>
        <v xml:space="preserve"> </v>
      </c>
      <c r="L208" s="15" t="str">
        <f>IF(ISNUMBER(VLOOKUP(C208,'WEO GOV REV'!C:BL,62,FALSE)),(VLOOKUP(C208,'WEO GOV REV'!C:BL,62,FALSE)), " ")</f>
        <v xml:space="preserve"> </v>
      </c>
      <c r="M208" t="str">
        <f>IF(ISNUMBER(VLOOKUP(C208,'WEO GOV REV'!C:BL,62,FALSE)),(VLOOKUP(C208,'WEO GOV REV'!C:BL,57,FALSE)), " ")</f>
        <v xml:space="preserve"> </v>
      </c>
      <c r="N208" s="15" t="str">
        <f>IF(ISNUMBER(VLOOKUP($C208,'IMF COFOG FULL'!$B:$CM,79,FALSE)),(VLOOKUP($C208,'IMF COFOG FULL'!$B:$CM,79,FALSE)), " ")</f>
        <v xml:space="preserve"> </v>
      </c>
      <c r="O208" s="15" t="str">
        <f>IF(ISNUMBER(VLOOKUP($C208,'IMF COFOG FULL'!$B:$CM,80,FALSE)),(VLOOKUP($C208,'IMF COFOG FULL'!$B:$CM,80,FALSE)), " ")</f>
        <v xml:space="preserve"> </v>
      </c>
      <c r="P208" s="15" t="str">
        <f>IF(ISNUMBER(VLOOKUP($C208,'IMF COFOG FULL'!$B:$CM,81,FALSE)),(VLOOKUP($C208,'IMF COFOG FULL'!$B:$CM,81,FALSE)), " ")</f>
        <v xml:space="preserve"> </v>
      </c>
      <c r="Q208" s="15" t="str">
        <f>IF(ISNUMBER(VLOOKUP($C208,'IMF COFOG FULL'!$B:$CM,82,FALSE)),(VLOOKUP($C208,'IMF COFOG FULL'!$B:$CM,82,FALSE)), " ")</f>
        <v xml:space="preserve"> </v>
      </c>
      <c r="R208" s="15" t="str">
        <f>IF(ISNUMBER(VLOOKUP($C208,'IMF COFOG FULL'!$B:$CM,83,FALSE)),(VLOOKUP($C208,'IMF COFOG FULL'!$B:$CM,83,FALSE)), " ")</f>
        <v xml:space="preserve"> </v>
      </c>
      <c r="S208" s="15" t="str">
        <f>IF(ISNUMBER(VLOOKUP($C208,'IMF COFOG FULL'!$B:$CM,84,FALSE)),(VLOOKUP($C208,'IMF COFOG FULL'!$B:$CM,84,FALSE)), " ")</f>
        <v xml:space="preserve"> </v>
      </c>
      <c r="T208" s="15" t="str">
        <f>IF(ISNUMBER(VLOOKUP($C208,'IMF COFOG FULL'!$B:$CM,85,FALSE)),(VLOOKUP($C208,'IMF COFOG FULL'!$B:$CM,85,FALSE)), " ")</f>
        <v xml:space="preserve"> </v>
      </c>
      <c r="U208" s="7" t="str">
        <f>IF(ISNUMBER(VLOOKUP($C208,'IMF COFOG FULL'!$B:$CM,79,FALSE)),(VLOOKUP($C208,'IMF COFOG FULL'!$B:$CM,86,FALSE)), " ")</f>
        <v xml:space="preserve"> </v>
      </c>
      <c r="V208" s="15" t="str">
        <f>IF(ISNUMBER(VLOOKUP($C208,'IMF COFOG FULL'!$B:$CM,79,FALSE)),(VLOOKUP($C208,'IMF COFOG FULL'!$B:$CM,87,FALSE)), " ")</f>
        <v xml:space="preserve"> </v>
      </c>
      <c r="W208" s="15" t="str">
        <f t="shared" si="79"/>
        <v xml:space="preserve"> </v>
      </c>
      <c r="X208" s="15" t="str">
        <f t="shared" si="80"/>
        <v xml:space="preserve"> </v>
      </c>
      <c r="Y208" s="15" t="str">
        <f t="shared" si="81"/>
        <v xml:space="preserve"> </v>
      </c>
      <c r="Z208" s="15" t="str">
        <f t="shared" si="82"/>
        <v xml:space="preserve"> </v>
      </c>
      <c r="AA208" s="15" t="str">
        <f t="shared" si="83"/>
        <v xml:space="preserve"> </v>
      </c>
      <c r="AB208" s="15" t="str">
        <f t="shared" si="84"/>
        <v xml:space="preserve"> </v>
      </c>
      <c r="AC208" s="15" t="str">
        <f t="shared" si="85"/>
        <v xml:space="preserve"> </v>
      </c>
      <c r="AG208" s="15" t="str">
        <f>IF(ISNUMBER(VLOOKUP(C208,'National budgets summary'!A:F,5, FALSE)),(VLOOKUP(C208,'National budgets summary'!A:F,5, FALSE)), " ")</f>
        <v xml:space="preserve"> </v>
      </c>
      <c r="AH208" t="str">
        <f>IF(ISNUMBER(VLOOKUP(C208,'National budgets summary'!A:F,5, FALSE)),(VLOOKUP(C208,'National budgets summary'!A:F,4, FALSE)), " ")</f>
        <v xml:space="preserve"> </v>
      </c>
      <c r="AI208" s="15" t="str">
        <f t="shared" si="66"/>
        <v xml:space="preserve"> </v>
      </c>
      <c r="AJ208" s="15" t="str">
        <f t="shared" si="71"/>
        <v xml:space="preserve"> </v>
      </c>
      <c r="AK208" s="15" t="str">
        <f t="shared" si="72"/>
        <v/>
      </c>
      <c r="AL208" s="15" t="str">
        <f t="shared" si="73"/>
        <v/>
      </c>
      <c r="AM208" s="15" t="str">
        <f t="shared" si="74"/>
        <v/>
      </c>
      <c r="AN208" s="15" t="str">
        <f t="shared" si="67"/>
        <v xml:space="preserve"> </v>
      </c>
      <c r="AO208" s="15" t="str">
        <f t="shared" si="68"/>
        <v xml:space="preserve"> </v>
      </c>
      <c r="AP208" t="str">
        <f t="shared" si="69"/>
        <v xml:space="preserve"> </v>
      </c>
      <c r="AQ208" t="str">
        <f t="shared" si="70"/>
        <v xml:space="preserve"> </v>
      </c>
      <c r="AR208" s="7" t="str">
        <f t="shared" si="75"/>
        <v xml:space="preserve"> </v>
      </c>
      <c r="AS208" s="7" t="str">
        <f t="shared" si="76"/>
        <v xml:space="preserve"> </v>
      </c>
      <c r="AT208" s="7" t="str">
        <f t="shared" si="77"/>
        <v xml:space="preserve"> </v>
      </c>
      <c r="AU208" s="7" t="str">
        <f t="shared" si="78"/>
        <v xml:space="preserve"> </v>
      </c>
    </row>
    <row r="209" spans="1:47">
      <c r="A209">
        <v>206</v>
      </c>
      <c r="B209" t="s">
        <v>529</v>
      </c>
      <c r="C209" t="s">
        <v>530</v>
      </c>
      <c r="D209" t="s">
        <v>485</v>
      </c>
      <c r="E209" t="s">
        <v>622</v>
      </c>
      <c r="H209" t="str">
        <f>IF(ISNUMBER(VLOOKUP(C209,'OECD DAC'!B:C,2,FALSE)), "YES", " ")</f>
        <v xml:space="preserve"> </v>
      </c>
      <c r="I209" t="s">
        <v>484</v>
      </c>
      <c r="J209" t="s">
        <v>484</v>
      </c>
      <c r="K209" s="15" t="str">
        <f>IF(ISNUMBER(VLOOKUP(C209,'WEO GOV REV'!C:BL,58,FALSE)),(VLOOKUP(C209,'WEO GOV REV'!C:BL,58,FALSE)), " ")</f>
        <v xml:space="preserve"> </v>
      </c>
      <c r="L209" s="15" t="str">
        <f>IF(ISNUMBER(VLOOKUP(C209,'WEO GOV REV'!C:BL,62,FALSE)),(VLOOKUP(C209,'WEO GOV REV'!C:BL,62,FALSE)), " ")</f>
        <v xml:space="preserve"> </v>
      </c>
      <c r="M209" t="str">
        <f>IF(ISNUMBER(VLOOKUP(C209,'WEO GOV REV'!C:BL,62,FALSE)),(VLOOKUP(C209,'WEO GOV REV'!C:BL,57,FALSE)), " ")</f>
        <v xml:space="preserve"> </v>
      </c>
      <c r="N209" s="15" t="str">
        <f>IF(ISNUMBER(VLOOKUP($C209,'IMF COFOG FULL'!$B:$CM,79,FALSE)),(VLOOKUP($C209,'IMF COFOG FULL'!$B:$CM,79,FALSE)), " ")</f>
        <v xml:space="preserve"> </v>
      </c>
      <c r="O209" s="15" t="str">
        <f>IF(ISNUMBER(VLOOKUP($C209,'IMF COFOG FULL'!$B:$CM,80,FALSE)),(VLOOKUP($C209,'IMF COFOG FULL'!$B:$CM,80,FALSE)), " ")</f>
        <v xml:space="preserve"> </v>
      </c>
      <c r="P209" s="15" t="str">
        <f>IF(ISNUMBER(VLOOKUP($C209,'IMF COFOG FULL'!$B:$CM,81,FALSE)),(VLOOKUP($C209,'IMF COFOG FULL'!$B:$CM,81,FALSE)), " ")</f>
        <v xml:space="preserve"> </v>
      </c>
      <c r="Q209" s="15" t="str">
        <f>IF(ISNUMBER(VLOOKUP($C209,'IMF COFOG FULL'!$B:$CM,82,FALSE)),(VLOOKUP($C209,'IMF COFOG FULL'!$B:$CM,82,FALSE)), " ")</f>
        <v xml:space="preserve"> </v>
      </c>
      <c r="R209" s="15" t="str">
        <f>IF(ISNUMBER(VLOOKUP($C209,'IMF COFOG FULL'!$B:$CM,83,FALSE)),(VLOOKUP($C209,'IMF COFOG FULL'!$B:$CM,83,FALSE)), " ")</f>
        <v xml:space="preserve"> </v>
      </c>
      <c r="S209" s="15" t="str">
        <f>IF(ISNUMBER(VLOOKUP($C209,'IMF COFOG FULL'!$B:$CM,84,FALSE)),(VLOOKUP($C209,'IMF COFOG FULL'!$B:$CM,84,FALSE)), " ")</f>
        <v xml:space="preserve"> </v>
      </c>
      <c r="T209" s="15" t="str">
        <f>IF(ISNUMBER(VLOOKUP($C209,'IMF COFOG FULL'!$B:$CM,85,FALSE)),(VLOOKUP($C209,'IMF COFOG FULL'!$B:$CM,85,FALSE)), " ")</f>
        <v xml:space="preserve"> </v>
      </c>
      <c r="U209" s="7" t="str">
        <f>IF(ISNUMBER(VLOOKUP($C209,'IMF COFOG FULL'!$B:$CM,79,FALSE)),(VLOOKUP($C209,'IMF COFOG FULL'!$B:$CM,86,FALSE)), " ")</f>
        <v xml:space="preserve"> </v>
      </c>
      <c r="V209" s="15" t="str">
        <f>IF(ISNUMBER(VLOOKUP($C209,'IMF COFOG FULL'!$B:$CM,79,FALSE)),(VLOOKUP($C209,'IMF COFOG FULL'!$B:$CM,87,FALSE)), " ")</f>
        <v xml:space="preserve"> </v>
      </c>
      <c r="W209" s="15" t="str">
        <f t="shared" si="79"/>
        <v xml:space="preserve"> </v>
      </c>
      <c r="X209" s="15" t="str">
        <f t="shared" si="80"/>
        <v xml:space="preserve"> </v>
      </c>
      <c r="Y209" s="15" t="str">
        <f t="shared" si="81"/>
        <v xml:space="preserve"> </v>
      </c>
      <c r="Z209" s="15" t="str">
        <f t="shared" si="82"/>
        <v xml:space="preserve"> </v>
      </c>
      <c r="AA209" s="15" t="str">
        <f t="shared" si="83"/>
        <v xml:space="preserve"> </v>
      </c>
      <c r="AB209" s="15" t="str">
        <f t="shared" si="84"/>
        <v xml:space="preserve"> </v>
      </c>
      <c r="AC209" s="15" t="str">
        <f t="shared" si="85"/>
        <v xml:space="preserve"> </v>
      </c>
      <c r="AG209" s="15" t="str">
        <f>IF(ISNUMBER(VLOOKUP(C209,'National budgets summary'!A:F,5, FALSE)),(VLOOKUP(C209,'National budgets summary'!A:F,5, FALSE)), " ")</f>
        <v xml:space="preserve"> </v>
      </c>
      <c r="AH209" t="str">
        <f>IF(ISNUMBER(VLOOKUP(C209,'National budgets summary'!A:F,5, FALSE)),(VLOOKUP(C209,'National budgets summary'!A:F,4, FALSE)), " ")</f>
        <v xml:space="preserve"> </v>
      </c>
      <c r="AI209" s="15" t="str">
        <f t="shared" si="66"/>
        <v xml:space="preserve"> </v>
      </c>
      <c r="AJ209" s="15" t="str">
        <f t="shared" si="71"/>
        <v xml:space="preserve"> </v>
      </c>
      <c r="AK209" s="15" t="str">
        <f t="shared" si="72"/>
        <v/>
      </c>
      <c r="AL209" s="15" t="str">
        <f t="shared" si="73"/>
        <v/>
      </c>
      <c r="AM209" s="15" t="str">
        <f t="shared" si="74"/>
        <v/>
      </c>
      <c r="AN209" s="15" t="str">
        <f t="shared" si="67"/>
        <v xml:space="preserve"> </v>
      </c>
      <c r="AO209" s="15" t="str">
        <f t="shared" si="68"/>
        <v xml:space="preserve"> </v>
      </c>
      <c r="AP209" t="str">
        <f t="shared" si="69"/>
        <v xml:space="preserve"> </v>
      </c>
      <c r="AQ209" t="str">
        <f t="shared" si="70"/>
        <v xml:space="preserve"> </v>
      </c>
      <c r="AR209" s="7" t="str">
        <f t="shared" si="75"/>
        <v xml:space="preserve"> </v>
      </c>
      <c r="AS209" s="7" t="str">
        <f t="shared" si="76"/>
        <v xml:space="preserve"> </v>
      </c>
      <c r="AT209" s="7" t="str">
        <f t="shared" si="77"/>
        <v xml:space="preserve"> </v>
      </c>
      <c r="AU209" s="7" t="str">
        <f t="shared" si="78"/>
        <v xml:space="preserve"> </v>
      </c>
    </row>
    <row r="210" spans="1:47">
      <c r="A210">
        <v>207</v>
      </c>
      <c r="B210" t="s">
        <v>531</v>
      </c>
      <c r="C210" t="s">
        <v>532</v>
      </c>
      <c r="D210" t="s">
        <v>493</v>
      </c>
      <c r="E210" t="s">
        <v>622</v>
      </c>
      <c r="H210" t="str">
        <f>IF(ISNUMBER(VLOOKUP(C210,'OECD DAC'!B:C,2,FALSE)), "YES", " ")</f>
        <v xml:space="preserve"> </v>
      </c>
      <c r="I210" t="s">
        <v>484</v>
      </c>
      <c r="J210" t="s">
        <v>484</v>
      </c>
      <c r="K210" s="15" t="str">
        <f>IF(ISNUMBER(VLOOKUP(C210,'WEO GOV REV'!C:BL,58,FALSE)),(VLOOKUP(C210,'WEO GOV REV'!C:BL,58,FALSE)), " ")</f>
        <v xml:space="preserve"> </v>
      </c>
      <c r="L210" s="15" t="str">
        <f>IF(ISNUMBER(VLOOKUP(C210,'WEO GOV REV'!C:BL,62,FALSE)),(VLOOKUP(C210,'WEO GOV REV'!C:BL,62,FALSE)), " ")</f>
        <v xml:space="preserve"> </v>
      </c>
      <c r="M210" t="str">
        <f>IF(ISNUMBER(VLOOKUP(C210,'WEO GOV REV'!C:BL,62,FALSE)),(VLOOKUP(C210,'WEO GOV REV'!C:BL,57,FALSE)), " ")</f>
        <v xml:space="preserve"> </v>
      </c>
      <c r="N210" s="15" t="str">
        <f>IF(ISNUMBER(VLOOKUP($C210,'IMF COFOG FULL'!$B:$CM,79,FALSE)),(VLOOKUP($C210,'IMF COFOG FULL'!$B:$CM,79,FALSE)), " ")</f>
        <v xml:space="preserve"> </v>
      </c>
      <c r="O210" s="15" t="str">
        <f>IF(ISNUMBER(VLOOKUP($C210,'IMF COFOG FULL'!$B:$CM,80,FALSE)),(VLOOKUP($C210,'IMF COFOG FULL'!$B:$CM,80,FALSE)), " ")</f>
        <v xml:space="preserve"> </v>
      </c>
      <c r="P210" s="15" t="str">
        <f>IF(ISNUMBER(VLOOKUP($C210,'IMF COFOG FULL'!$B:$CM,81,FALSE)),(VLOOKUP($C210,'IMF COFOG FULL'!$B:$CM,81,FALSE)), " ")</f>
        <v xml:space="preserve"> </v>
      </c>
      <c r="Q210" s="15" t="str">
        <f>IF(ISNUMBER(VLOOKUP($C210,'IMF COFOG FULL'!$B:$CM,82,FALSE)),(VLOOKUP($C210,'IMF COFOG FULL'!$B:$CM,82,FALSE)), " ")</f>
        <v xml:space="preserve"> </v>
      </c>
      <c r="R210" s="15" t="str">
        <f>IF(ISNUMBER(VLOOKUP($C210,'IMF COFOG FULL'!$B:$CM,83,FALSE)),(VLOOKUP($C210,'IMF COFOG FULL'!$B:$CM,83,FALSE)), " ")</f>
        <v xml:space="preserve"> </v>
      </c>
      <c r="S210" s="15" t="str">
        <f>IF(ISNUMBER(VLOOKUP($C210,'IMF COFOG FULL'!$B:$CM,84,FALSE)),(VLOOKUP($C210,'IMF COFOG FULL'!$B:$CM,84,FALSE)), " ")</f>
        <v xml:space="preserve"> </v>
      </c>
      <c r="T210" s="15" t="str">
        <f>IF(ISNUMBER(VLOOKUP($C210,'IMF COFOG FULL'!$B:$CM,85,FALSE)),(VLOOKUP($C210,'IMF COFOG FULL'!$B:$CM,85,FALSE)), " ")</f>
        <v xml:space="preserve"> </v>
      </c>
      <c r="U210" s="7" t="str">
        <f>IF(ISNUMBER(VLOOKUP($C210,'IMF COFOG FULL'!$B:$CM,79,FALSE)),(VLOOKUP($C210,'IMF COFOG FULL'!$B:$CM,86,FALSE)), " ")</f>
        <v xml:space="preserve"> </v>
      </c>
      <c r="V210" s="15" t="str">
        <f>IF(ISNUMBER(VLOOKUP($C210,'IMF COFOG FULL'!$B:$CM,79,FALSE)),(VLOOKUP($C210,'IMF COFOG FULL'!$B:$CM,87,FALSE)), " ")</f>
        <v xml:space="preserve"> </v>
      </c>
      <c r="W210" s="15" t="str">
        <f t="shared" si="79"/>
        <v xml:space="preserve"> </v>
      </c>
      <c r="X210" s="15" t="str">
        <f t="shared" si="80"/>
        <v xml:space="preserve"> </v>
      </c>
      <c r="Y210" s="15" t="str">
        <f t="shared" si="81"/>
        <v xml:space="preserve"> </v>
      </c>
      <c r="Z210" s="15" t="str">
        <f t="shared" si="82"/>
        <v xml:space="preserve"> </v>
      </c>
      <c r="AA210" s="15" t="str">
        <f t="shared" si="83"/>
        <v xml:space="preserve"> </v>
      </c>
      <c r="AB210" s="15" t="str">
        <f t="shared" si="84"/>
        <v xml:space="preserve"> </v>
      </c>
      <c r="AC210" s="15" t="str">
        <f t="shared" si="85"/>
        <v xml:space="preserve"> </v>
      </c>
      <c r="AG210" s="15" t="str">
        <f>IF(ISNUMBER(VLOOKUP(C210,'National budgets summary'!A:F,5, FALSE)),(VLOOKUP(C210,'National budgets summary'!A:F,5, FALSE)), " ")</f>
        <v xml:space="preserve"> </v>
      </c>
      <c r="AH210" t="str">
        <f>IF(ISNUMBER(VLOOKUP(C210,'National budgets summary'!A:F,5, FALSE)),(VLOOKUP(C210,'National budgets summary'!A:F,4, FALSE)), " ")</f>
        <v xml:space="preserve"> </v>
      </c>
      <c r="AI210" s="15" t="str">
        <f t="shared" si="66"/>
        <v xml:space="preserve"> </v>
      </c>
      <c r="AJ210" s="15" t="str">
        <f t="shared" si="71"/>
        <v xml:space="preserve"> </v>
      </c>
      <c r="AK210" s="15" t="str">
        <f t="shared" si="72"/>
        <v/>
      </c>
      <c r="AL210" s="15" t="str">
        <f t="shared" si="73"/>
        <v/>
      </c>
      <c r="AM210" s="15" t="str">
        <f t="shared" si="74"/>
        <v/>
      </c>
      <c r="AN210" s="15" t="str">
        <f t="shared" si="67"/>
        <v xml:space="preserve"> </v>
      </c>
      <c r="AO210" s="15" t="str">
        <f t="shared" si="68"/>
        <v xml:space="preserve"> </v>
      </c>
      <c r="AP210" t="str">
        <f t="shared" si="69"/>
        <v xml:space="preserve"> </v>
      </c>
      <c r="AQ210" t="str">
        <f t="shared" si="70"/>
        <v xml:space="preserve"> </v>
      </c>
      <c r="AR210" s="7" t="str">
        <f t="shared" si="75"/>
        <v xml:space="preserve"> </v>
      </c>
      <c r="AS210" s="7" t="str">
        <f t="shared" si="76"/>
        <v xml:space="preserve"> </v>
      </c>
      <c r="AT210" s="7" t="str">
        <f t="shared" si="77"/>
        <v xml:space="preserve"> </v>
      </c>
      <c r="AU210" s="7" t="str">
        <f t="shared" si="78"/>
        <v xml:space="preserve"> </v>
      </c>
    </row>
    <row r="211" spans="1:47">
      <c r="A211">
        <v>208</v>
      </c>
      <c r="B211" t="s">
        <v>574</v>
      </c>
      <c r="C211" t="s">
        <v>575</v>
      </c>
      <c r="D211" t="s">
        <v>485</v>
      </c>
      <c r="E211" t="s">
        <v>622</v>
      </c>
      <c r="H211" t="str">
        <f>IF(ISNUMBER(VLOOKUP(C211,'OECD DAC'!B:C,2,FALSE)), "YES", " ")</f>
        <v xml:space="preserve"> </v>
      </c>
      <c r="I211" t="s">
        <v>484</v>
      </c>
      <c r="J211" t="s">
        <v>484</v>
      </c>
      <c r="K211" s="15" t="str">
        <f>IF(ISNUMBER(VLOOKUP(C211,'WEO GOV REV'!C:BL,58,FALSE)),(VLOOKUP(C211,'WEO GOV REV'!C:BL,58,FALSE)), " ")</f>
        <v xml:space="preserve"> </v>
      </c>
      <c r="L211" s="15" t="str">
        <f>IF(ISNUMBER(VLOOKUP(C211,'WEO GOV REV'!C:BL,62,FALSE)),(VLOOKUP(C211,'WEO GOV REV'!C:BL,62,FALSE)), " ")</f>
        <v xml:space="preserve"> </v>
      </c>
      <c r="M211" t="str">
        <f>IF(ISNUMBER(VLOOKUP(C211,'WEO GOV REV'!C:BL,62,FALSE)),(VLOOKUP(C211,'WEO GOV REV'!C:BL,57,FALSE)), " ")</f>
        <v xml:space="preserve"> </v>
      </c>
      <c r="N211" s="15" t="str">
        <f>IF(ISNUMBER(VLOOKUP($C211,'IMF COFOG FULL'!$B:$CM,79,FALSE)),(VLOOKUP($C211,'IMF COFOG FULL'!$B:$CM,79,FALSE)), " ")</f>
        <v xml:space="preserve"> </v>
      </c>
      <c r="O211" s="15" t="str">
        <f>IF(ISNUMBER(VLOOKUP($C211,'IMF COFOG FULL'!$B:$CM,80,FALSE)),(VLOOKUP($C211,'IMF COFOG FULL'!$B:$CM,80,FALSE)), " ")</f>
        <v xml:space="preserve"> </v>
      </c>
      <c r="P211" s="15" t="str">
        <f>IF(ISNUMBER(VLOOKUP($C211,'IMF COFOG FULL'!$B:$CM,81,FALSE)),(VLOOKUP($C211,'IMF COFOG FULL'!$B:$CM,81,FALSE)), " ")</f>
        <v xml:space="preserve"> </v>
      </c>
      <c r="Q211" s="15" t="str">
        <f>IF(ISNUMBER(VLOOKUP($C211,'IMF COFOG FULL'!$B:$CM,82,FALSE)),(VLOOKUP($C211,'IMF COFOG FULL'!$B:$CM,82,FALSE)), " ")</f>
        <v xml:space="preserve"> </v>
      </c>
      <c r="R211" s="15" t="str">
        <f>IF(ISNUMBER(VLOOKUP($C211,'IMF COFOG FULL'!$B:$CM,83,FALSE)),(VLOOKUP($C211,'IMF COFOG FULL'!$B:$CM,83,FALSE)), " ")</f>
        <v xml:space="preserve"> </v>
      </c>
      <c r="S211" s="15" t="str">
        <f>IF(ISNUMBER(VLOOKUP($C211,'IMF COFOG FULL'!$B:$CM,84,FALSE)),(VLOOKUP($C211,'IMF COFOG FULL'!$B:$CM,84,FALSE)), " ")</f>
        <v xml:space="preserve"> </v>
      </c>
      <c r="T211" s="15" t="str">
        <f>IF(ISNUMBER(VLOOKUP($C211,'IMF COFOG FULL'!$B:$CM,85,FALSE)),(VLOOKUP($C211,'IMF COFOG FULL'!$B:$CM,85,FALSE)), " ")</f>
        <v xml:space="preserve"> </v>
      </c>
      <c r="U211" s="7" t="str">
        <f>IF(ISNUMBER(VLOOKUP($C211,'IMF COFOG FULL'!$B:$CM,79,FALSE)),(VLOOKUP($C211,'IMF COFOG FULL'!$B:$CM,86,FALSE)), " ")</f>
        <v xml:space="preserve"> </v>
      </c>
      <c r="V211" s="15" t="str">
        <f>IF(ISNUMBER(VLOOKUP($C211,'IMF COFOG FULL'!$B:$CM,79,FALSE)),(VLOOKUP($C211,'IMF COFOG FULL'!$B:$CM,87,FALSE)), " ")</f>
        <v xml:space="preserve"> </v>
      </c>
      <c r="W211" s="15" t="str">
        <f t="shared" si="79"/>
        <v xml:space="preserve"> </v>
      </c>
      <c r="X211" s="15" t="str">
        <f t="shared" si="80"/>
        <v xml:space="preserve"> </v>
      </c>
      <c r="Y211" s="15" t="str">
        <f t="shared" si="81"/>
        <v xml:space="preserve"> </v>
      </c>
      <c r="Z211" s="15" t="str">
        <f t="shared" si="82"/>
        <v xml:space="preserve"> </v>
      </c>
      <c r="AA211" s="15" t="str">
        <f t="shared" si="83"/>
        <v xml:space="preserve"> </v>
      </c>
      <c r="AB211" s="15" t="str">
        <f t="shared" si="84"/>
        <v xml:space="preserve"> </v>
      </c>
      <c r="AC211" s="15" t="str">
        <f t="shared" si="85"/>
        <v xml:space="preserve"> </v>
      </c>
      <c r="AG211" s="15" t="str">
        <f>IF(ISNUMBER(VLOOKUP(C211,'National budgets summary'!A:F,5, FALSE)),(VLOOKUP(C211,'National budgets summary'!A:F,5, FALSE)), " ")</f>
        <v xml:space="preserve"> </v>
      </c>
      <c r="AH211" t="str">
        <f>IF(ISNUMBER(VLOOKUP(C211,'National budgets summary'!A:F,5, FALSE)),(VLOOKUP(C211,'National budgets summary'!A:F,4, FALSE)), " ")</f>
        <v xml:space="preserve"> </v>
      </c>
      <c r="AI211" s="15" t="str">
        <f t="shared" si="66"/>
        <v xml:space="preserve"> </v>
      </c>
      <c r="AJ211" s="15" t="str">
        <f t="shared" si="71"/>
        <v xml:space="preserve"> </v>
      </c>
      <c r="AK211" s="15" t="str">
        <f t="shared" si="72"/>
        <v/>
      </c>
      <c r="AL211" s="15" t="str">
        <f t="shared" si="73"/>
        <v/>
      </c>
      <c r="AM211" s="15" t="str">
        <f t="shared" si="74"/>
        <v/>
      </c>
      <c r="AN211" s="15" t="str">
        <f t="shared" si="67"/>
        <v xml:space="preserve"> </v>
      </c>
      <c r="AO211" s="15" t="str">
        <f t="shared" si="68"/>
        <v xml:space="preserve"> </v>
      </c>
      <c r="AP211" t="str">
        <f t="shared" si="69"/>
        <v xml:space="preserve"> </v>
      </c>
      <c r="AQ211" t="str">
        <f t="shared" si="70"/>
        <v xml:space="preserve"> </v>
      </c>
      <c r="AR211" s="7" t="str">
        <f t="shared" si="75"/>
        <v xml:space="preserve"> </v>
      </c>
      <c r="AS211" s="7" t="str">
        <f t="shared" si="76"/>
        <v xml:space="preserve"> </v>
      </c>
      <c r="AT211" s="7" t="str">
        <f t="shared" si="77"/>
        <v xml:space="preserve"> </v>
      </c>
      <c r="AU211" s="7" t="str">
        <f t="shared" si="78"/>
        <v xml:space="preserve"> </v>
      </c>
    </row>
    <row r="212" spans="1:47">
      <c r="A212">
        <v>209</v>
      </c>
      <c r="B212" t="s">
        <v>572</v>
      </c>
      <c r="C212" t="s">
        <v>573</v>
      </c>
      <c r="D212" t="s">
        <v>497</v>
      </c>
      <c r="E212" t="s">
        <v>622</v>
      </c>
      <c r="H212" t="str">
        <f>IF(ISNUMBER(VLOOKUP(C212,'OECD DAC'!B:C,2,FALSE)), "YES", " ")</f>
        <v xml:space="preserve"> </v>
      </c>
      <c r="I212" t="s">
        <v>484</v>
      </c>
      <c r="J212" t="s">
        <v>484</v>
      </c>
      <c r="K212" s="15" t="str">
        <f>IF(ISNUMBER(VLOOKUP(C212,'WEO GOV REV'!C:BL,58,FALSE)),(VLOOKUP(C212,'WEO GOV REV'!C:BL,58,FALSE)), " ")</f>
        <v xml:space="preserve"> </v>
      </c>
      <c r="L212" s="15" t="str">
        <f>IF(ISNUMBER(VLOOKUP(C212,'WEO GOV REV'!C:BL,62,FALSE)),(VLOOKUP(C212,'WEO GOV REV'!C:BL,62,FALSE)), " ")</f>
        <v xml:space="preserve"> </v>
      </c>
      <c r="M212" t="str">
        <f>IF(ISNUMBER(VLOOKUP(C212,'WEO GOV REV'!C:BL,62,FALSE)),(VLOOKUP(C212,'WEO GOV REV'!C:BL,57,FALSE)), " ")</f>
        <v xml:space="preserve"> </v>
      </c>
      <c r="N212" s="15" t="str">
        <f>IF(ISNUMBER(VLOOKUP($C212,'IMF COFOG FULL'!$B:$CM,79,FALSE)),(VLOOKUP($C212,'IMF COFOG FULL'!$B:$CM,79,FALSE)), " ")</f>
        <v xml:space="preserve"> </v>
      </c>
      <c r="O212" s="15" t="str">
        <f>IF(ISNUMBER(VLOOKUP($C212,'IMF COFOG FULL'!$B:$CM,80,FALSE)),(VLOOKUP($C212,'IMF COFOG FULL'!$B:$CM,80,FALSE)), " ")</f>
        <v xml:space="preserve"> </v>
      </c>
      <c r="P212" s="15" t="str">
        <f>IF(ISNUMBER(VLOOKUP($C212,'IMF COFOG FULL'!$B:$CM,81,FALSE)),(VLOOKUP($C212,'IMF COFOG FULL'!$B:$CM,81,FALSE)), " ")</f>
        <v xml:space="preserve"> </v>
      </c>
      <c r="Q212" s="15" t="str">
        <f>IF(ISNUMBER(VLOOKUP($C212,'IMF COFOG FULL'!$B:$CM,82,FALSE)),(VLOOKUP($C212,'IMF COFOG FULL'!$B:$CM,82,FALSE)), " ")</f>
        <v xml:space="preserve"> </v>
      </c>
      <c r="R212" s="15" t="str">
        <f>IF(ISNUMBER(VLOOKUP($C212,'IMF COFOG FULL'!$B:$CM,83,FALSE)),(VLOOKUP($C212,'IMF COFOG FULL'!$B:$CM,83,FALSE)), " ")</f>
        <v xml:space="preserve"> </v>
      </c>
      <c r="S212" s="15" t="str">
        <f>IF(ISNUMBER(VLOOKUP($C212,'IMF COFOG FULL'!$B:$CM,84,FALSE)),(VLOOKUP($C212,'IMF COFOG FULL'!$B:$CM,84,FALSE)), " ")</f>
        <v xml:space="preserve"> </v>
      </c>
      <c r="T212" s="15" t="str">
        <f>IF(ISNUMBER(VLOOKUP($C212,'IMF COFOG FULL'!$B:$CM,85,FALSE)),(VLOOKUP($C212,'IMF COFOG FULL'!$B:$CM,85,FALSE)), " ")</f>
        <v xml:space="preserve"> </v>
      </c>
      <c r="U212" s="7" t="str">
        <f>IF(ISNUMBER(VLOOKUP($C212,'IMF COFOG FULL'!$B:$CM,79,FALSE)),(VLOOKUP($C212,'IMF COFOG FULL'!$B:$CM,86,FALSE)), " ")</f>
        <v xml:space="preserve"> </v>
      </c>
      <c r="V212" s="15" t="str">
        <f>IF(ISNUMBER(VLOOKUP($C212,'IMF COFOG FULL'!$B:$CM,79,FALSE)),(VLOOKUP($C212,'IMF COFOG FULL'!$B:$CM,87,FALSE)), " ")</f>
        <v xml:space="preserve"> </v>
      </c>
      <c r="W212" s="15" t="str">
        <f t="shared" si="79"/>
        <v xml:space="preserve"> </v>
      </c>
      <c r="X212" s="15" t="str">
        <f t="shared" si="80"/>
        <v xml:space="preserve"> </v>
      </c>
      <c r="Y212" s="15" t="str">
        <f t="shared" si="81"/>
        <v xml:space="preserve"> </v>
      </c>
      <c r="Z212" s="15" t="str">
        <f t="shared" si="82"/>
        <v xml:space="preserve"> </v>
      </c>
      <c r="AA212" s="15" t="str">
        <f t="shared" si="83"/>
        <v xml:space="preserve"> </v>
      </c>
      <c r="AB212" s="15" t="str">
        <f t="shared" si="84"/>
        <v xml:space="preserve"> </v>
      </c>
      <c r="AC212" s="15" t="str">
        <f t="shared" si="85"/>
        <v xml:space="preserve"> </v>
      </c>
      <c r="AG212" s="15" t="str">
        <f>IF(ISNUMBER(VLOOKUP(C212,'National budgets summary'!A:F,5, FALSE)),(VLOOKUP(C212,'National budgets summary'!A:F,5, FALSE)), " ")</f>
        <v xml:space="preserve"> </v>
      </c>
      <c r="AH212" t="str">
        <f>IF(ISNUMBER(VLOOKUP(C212,'National budgets summary'!A:F,5, FALSE)),(VLOOKUP(C212,'National budgets summary'!A:F,4, FALSE)), " ")</f>
        <v xml:space="preserve"> </v>
      </c>
      <c r="AI212" s="15" t="str">
        <f t="shared" si="66"/>
        <v xml:space="preserve"> </v>
      </c>
      <c r="AJ212" s="15" t="str">
        <f t="shared" si="71"/>
        <v xml:space="preserve"> </v>
      </c>
      <c r="AK212" s="15" t="str">
        <f t="shared" si="72"/>
        <v/>
      </c>
      <c r="AL212" s="15" t="str">
        <f t="shared" si="73"/>
        <v/>
      </c>
      <c r="AM212" s="15" t="str">
        <f t="shared" si="74"/>
        <v/>
      </c>
      <c r="AN212" s="15" t="str">
        <f t="shared" si="67"/>
        <v xml:space="preserve"> </v>
      </c>
      <c r="AO212" s="15" t="str">
        <f t="shared" si="68"/>
        <v xml:space="preserve"> </v>
      </c>
      <c r="AP212" t="str">
        <f t="shared" si="69"/>
        <v xml:space="preserve"> </v>
      </c>
      <c r="AQ212" t="str">
        <f t="shared" si="70"/>
        <v xml:space="preserve"> </v>
      </c>
      <c r="AR212" s="7" t="str">
        <f t="shared" si="75"/>
        <v xml:space="preserve"> </v>
      </c>
      <c r="AS212" s="7" t="str">
        <f t="shared" si="76"/>
        <v xml:space="preserve"> </v>
      </c>
      <c r="AT212" s="7" t="str">
        <f t="shared" si="77"/>
        <v xml:space="preserve"> </v>
      </c>
      <c r="AU212" s="7" t="str">
        <f t="shared" si="78"/>
        <v xml:space="preserve"> </v>
      </c>
    </row>
    <row r="213" spans="1:47">
      <c r="A213">
        <v>210</v>
      </c>
      <c r="B213" t="s">
        <v>576</v>
      </c>
      <c r="C213" t="s">
        <v>577</v>
      </c>
      <c r="D213" t="s">
        <v>485</v>
      </c>
      <c r="E213" t="s">
        <v>622</v>
      </c>
      <c r="H213" t="str">
        <f>IF(ISNUMBER(VLOOKUP(C213,'OECD DAC'!B:C,2,FALSE)), "YES", " ")</f>
        <v xml:space="preserve"> </v>
      </c>
      <c r="I213" t="s">
        <v>484</v>
      </c>
      <c r="J213" t="s">
        <v>484</v>
      </c>
      <c r="K213" s="15" t="str">
        <f>IF(ISNUMBER(VLOOKUP(C213,'WEO GOV REV'!C:BL,58,FALSE)),(VLOOKUP(C213,'WEO GOV REV'!C:BL,58,FALSE)), " ")</f>
        <v xml:space="preserve"> </v>
      </c>
      <c r="L213" s="15" t="str">
        <f>IF(ISNUMBER(VLOOKUP(C213,'WEO GOV REV'!C:BL,62,FALSE)),(VLOOKUP(C213,'WEO GOV REV'!C:BL,62,FALSE)), " ")</f>
        <v xml:space="preserve"> </v>
      </c>
      <c r="M213" t="str">
        <f>IF(ISNUMBER(VLOOKUP(C213,'WEO GOV REV'!C:BL,62,FALSE)),(VLOOKUP(C213,'WEO GOV REV'!C:BL,57,FALSE)), " ")</f>
        <v xml:space="preserve"> </v>
      </c>
      <c r="N213" s="15" t="str">
        <f>IF(ISNUMBER(VLOOKUP($C213,'IMF COFOG FULL'!$B:$CM,79,FALSE)),(VLOOKUP($C213,'IMF COFOG FULL'!$B:$CM,79,FALSE)), " ")</f>
        <v xml:space="preserve"> </v>
      </c>
      <c r="O213" s="15" t="str">
        <f>IF(ISNUMBER(VLOOKUP($C213,'IMF COFOG FULL'!$B:$CM,80,FALSE)),(VLOOKUP($C213,'IMF COFOG FULL'!$B:$CM,80,FALSE)), " ")</f>
        <v xml:space="preserve"> </v>
      </c>
      <c r="P213" s="15" t="str">
        <f>IF(ISNUMBER(VLOOKUP($C213,'IMF COFOG FULL'!$B:$CM,81,FALSE)),(VLOOKUP($C213,'IMF COFOG FULL'!$B:$CM,81,FALSE)), " ")</f>
        <v xml:space="preserve"> </v>
      </c>
      <c r="Q213" s="15" t="str">
        <f>IF(ISNUMBER(VLOOKUP($C213,'IMF COFOG FULL'!$B:$CM,82,FALSE)),(VLOOKUP($C213,'IMF COFOG FULL'!$B:$CM,82,FALSE)), " ")</f>
        <v xml:space="preserve"> </v>
      </c>
      <c r="R213" s="15" t="str">
        <f>IF(ISNUMBER(VLOOKUP($C213,'IMF COFOG FULL'!$B:$CM,83,FALSE)),(VLOOKUP($C213,'IMF COFOG FULL'!$B:$CM,83,FALSE)), " ")</f>
        <v xml:space="preserve"> </v>
      </c>
      <c r="S213" s="15" t="str">
        <f>IF(ISNUMBER(VLOOKUP($C213,'IMF COFOG FULL'!$B:$CM,84,FALSE)),(VLOOKUP($C213,'IMF COFOG FULL'!$B:$CM,84,FALSE)), " ")</f>
        <v xml:space="preserve"> </v>
      </c>
      <c r="T213" s="15" t="str">
        <f>IF(ISNUMBER(VLOOKUP($C213,'IMF COFOG FULL'!$B:$CM,85,FALSE)),(VLOOKUP($C213,'IMF COFOG FULL'!$B:$CM,85,FALSE)), " ")</f>
        <v xml:space="preserve"> </v>
      </c>
      <c r="U213" s="7" t="str">
        <f>IF(ISNUMBER(VLOOKUP($C213,'IMF COFOG FULL'!$B:$CM,79,FALSE)),(VLOOKUP($C213,'IMF COFOG FULL'!$B:$CM,86,FALSE)), " ")</f>
        <v xml:space="preserve"> </v>
      </c>
      <c r="V213" s="15" t="str">
        <f>IF(ISNUMBER(VLOOKUP($C213,'IMF COFOG FULL'!$B:$CM,79,FALSE)),(VLOOKUP($C213,'IMF COFOG FULL'!$B:$CM,87,FALSE)), " ")</f>
        <v xml:space="preserve"> </v>
      </c>
      <c r="W213" s="15" t="str">
        <f t="shared" si="79"/>
        <v xml:space="preserve"> </v>
      </c>
      <c r="X213" s="15" t="str">
        <f t="shared" si="80"/>
        <v xml:space="preserve"> </v>
      </c>
      <c r="Y213" s="15" t="str">
        <f t="shared" si="81"/>
        <v xml:space="preserve"> </v>
      </c>
      <c r="Z213" s="15" t="str">
        <f t="shared" si="82"/>
        <v xml:space="preserve"> </v>
      </c>
      <c r="AA213" s="15" t="str">
        <f t="shared" si="83"/>
        <v xml:space="preserve"> </v>
      </c>
      <c r="AB213" s="15" t="str">
        <f t="shared" si="84"/>
        <v xml:space="preserve"> </v>
      </c>
      <c r="AC213" s="15" t="str">
        <f t="shared" si="85"/>
        <v xml:space="preserve"> </v>
      </c>
      <c r="AG213" s="15" t="str">
        <f>IF(ISNUMBER(VLOOKUP(C213,'National budgets summary'!A:F,5, FALSE)),(VLOOKUP(C213,'National budgets summary'!A:F,5, FALSE)), " ")</f>
        <v xml:space="preserve"> </v>
      </c>
      <c r="AH213" t="str">
        <f>IF(ISNUMBER(VLOOKUP(C213,'National budgets summary'!A:F,5, FALSE)),(VLOOKUP(C213,'National budgets summary'!A:F,4, FALSE)), " ")</f>
        <v xml:space="preserve"> </v>
      </c>
      <c r="AI213" s="15" t="str">
        <f t="shared" si="66"/>
        <v xml:space="preserve"> </v>
      </c>
      <c r="AJ213" s="15" t="str">
        <f t="shared" si="71"/>
        <v xml:space="preserve"> </v>
      </c>
      <c r="AK213" s="15" t="str">
        <f t="shared" si="72"/>
        <v/>
      </c>
      <c r="AL213" s="15" t="str">
        <f t="shared" si="73"/>
        <v/>
      </c>
      <c r="AM213" s="15" t="str">
        <f t="shared" si="74"/>
        <v/>
      </c>
      <c r="AN213" s="15" t="str">
        <f t="shared" si="67"/>
        <v xml:space="preserve"> </v>
      </c>
      <c r="AO213" s="15" t="str">
        <f t="shared" si="68"/>
        <v xml:space="preserve"> </v>
      </c>
      <c r="AP213" t="str">
        <f t="shared" si="69"/>
        <v xml:space="preserve"> </v>
      </c>
      <c r="AQ213" t="str">
        <f t="shared" si="70"/>
        <v xml:space="preserve"> </v>
      </c>
      <c r="AR213" s="7" t="str">
        <f t="shared" si="75"/>
        <v xml:space="preserve"> </v>
      </c>
      <c r="AS213" s="7" t="str">
        <f t="shared" si="76"/>
        <v xml:space="preserve"> </v>
      </c>
      <c r="AT213" s="7" t="str">
        <f t="shared" si="77"/>
        <v xml:space="preserve"> </v>
      </c>
      <c r="AU213" s="7" t="str">
        <f t="shared" si="78"/>
        <v xml:space="preserve"> </v>
      </c>
    </row>
    <row r="214" spans="1:47">
      <c r="A214">
        <v>211</v>
      </c>
      <c r="B214" t="s">
        <v>559</v>
      </c>
      <c r="C214" t="s">
        <v>560</v>
      </c>
      <c r="D214" t="s">
        <v>493</v>
      </c>
      <c r="E214" t="s">
        <v>622</v>
      </c>
      <c r="H214" t="str">
        <f>IF(ISNUMBER(VLOOKUP(C214,'OECD DAC'!B:C,2,FALSE)), "YES", " ")</f>
        <v xml:space="preserve"> </v>
      </c>
      <c r="I214" t="s">
        <v>484</v>
      </c>
      <c r="J214" t="s">
        <v>484</v>
      </c>
      <c r="K214" s="15" t="str">
        <f>IF(ISNUMBER(VLOOKUP(C214,'WEO GOV REV'!C:BL,58,FALSE)),(VLOOKUP(C214,'WEO GOV REV'!C:BL,58,FALSE)), " ")</f>
        <v xml:space="preserve"> </v>
      </c>
      <c r="L214" s="15" t="str">
        <f>IF(ISNUMBER(VLOOKUP(C214,'WEO GOV REV'!C:BL,62,FALSE)),(VLOOKUP(C214,'WEO GOV REV'!C:BL,62,FALSE)), " ")</f>
        <v xml:space="preserve"> </v>
      </c>
      <c r="M214" t="str">
        <f>IF(ISNUMBER(VLOOKUP(C214,'WEO GOV REV'!C:BL,62,FALSE)),(VLOOKUP(C214,'WEO GOV REV'!C:BL,57,FALSE)), " ")</f>
        <v xml:space="preserve"> </v>
      </c>
      <c r="N214" s="15" t="str">
        <f>IF(ISNUMBER(VLOOKUP($C214,'IMF COFOG FULL'!$B:$CM,79,FALSE)),(VLOOKUP($C214,'IMF COFOG FULL'!$B:$CM,79,FALSE)), " ")</f>
        <v xml:space="preserve"> </v>
      </c>
      <c r="O214" s="15" t="str">
        <f>IF(ISNUMBER(VLOOKUP($C214,'IMF COFOG FULL'!$B:$CM,80,FALSE)),(VLOOKUP($C214,'IMF COFOG FULL'!$B:$CM,80,FALSE)), " ")</f>
        <v xml:space="preserve"> </v>
      </c>
      <c r="P214" s="15" t="str">
        <f>IF(ISNUMBER(VLOOKUP($C214,'IMF COFOG FULL'!$B:$CM,81,FALSE)),(VLOOKUP($C214,'IMF COFOG FULL'!$B:$CM,81,FALSE)), " ")</f>
        <v xml:space="preserve"> </v>
      </c>
      <c r="Q214" s="15" t="str">
        <f>IF(ISNUMBER(VLOOKUP($C214,'IMF COFOG FULL'!$B:$CM,82,FALSE)),(VLOOKUP($C214,'IMF COFOG FULL'!$B:$CM,82,FALSE)), " ")</f>
        <v xml:space="preserve"> </v>
      </c>
      <c r="R214" s="15" t="str">
        <f>IF(ISNUMBER(VLOOKUP($C214,'IMF COFOG FULL'!$B:$CM,83,FALSE)),(VLOOKUP($C214,'IMF COFOG FULL'!$B:$CM,83,FALSE)), " ")</f>
        <v xml:space="preserve"> </v>
      </c>
      <c r="S214" s="15" t="str">
        <f>IF(ISNUMBER(VLOOKUP($C214,'IMF COFOG FULL'!$B:$CM,84,FALSE)),(VLOOKUP($C214,'IMF COFOG FULL'!$B:$CM,84,FALSE)), " ")</f>
        <v xml:space="preserve"> </v>
      </c>
      <c r="T214" s="15" t="str">
        <f>IF(ISNUMBER(VLOOKUP($C214,'IMF COFOG FULL'!$B:$CM,85,FALSE)),(VLOOKUP($C214,'IMF COFOG FULL'!$B:$CM,85,FALSE)), " ")</f>
        <v xml:space="preserve"> </v>
      </c>
      <c r="U214" s="7" t="str">
        <f>IF(ISNUMBER(VLOOKUP($C214,'IMF COFOG FULL'!$B:$CM,79,FALSE)),(VLOOKUP($C214,'IMF COFOG FULL'!$B:$CM,86,FALSE)), " ")</f>
        <v xml:space="preserve"> </v>
      </c>
      <c r="V214" s="15" t="str">
        <f>IF(ISNUMBER(VLOOKUP($C214,'IMF COFOG FULL'!$B:$CM,79,FALSE)),(VLOOKUP($C214,'IMF COFOG FULL'!$B:$CM,87,FALSE)), " ")</f>
        <v xml:space="preserve"> </v>
      </c>
      <c r="W214" s="15" t="str">
        <f t="shared" si="79"/>
        <v xml:space="preserve"> </v>
      </c>
      <c r="X214" s="15" t="str">
        <f t="shared" si="80"/>
        <v xml:space="preserve"> </v>
      </c>
      <c r="Y214" s="15" t="str">
        <f t="shared" si="81"/>
        <v xml:space="preserve"> </v>
      </c>
      <c r="Z214" s="15" t="str">
        <f t="shared" si="82"/>
        <v xml:space="preserve"> </v>
      </c>
      <c r="AA214" s="15" t="str">
        <f t="shared" si="83"/>
        <v xml:space="preserve"> </v>
      </c>
      <c r="AB214" s="15" t="str">
        <f t="shared" si="84"/>
        <v xml:space="preserve"> </v>
      </c>
      <c r="AC214" s="15" t="str">
        <f t="shared" si="85"/>
        <v xml:space="preserve"> </v>
      </c>
      <c r="AG214" s="15" t="str">
        <f>IF(ISNUMBER(VLOOKUP(C214,'National budgets summary'!A:F,5, FALSE)),(VLOOKUP(C214,'National budgets summary'!A:F,5, FALSE)), " ")</f>
        <v xml:space="preserve"> </v>
      </c>
      <c r="AH214" t="str">
        <f>IF(ISNUMBER(VLOOKUP(C214,'National budgets summary'!A:F,5, FALSE)),(VLOOKUP(C214,'National budgets summary'!A:F,4, FALSE)), " ")</f>
        <v xml:space="preserve"> </v>
      </c>
      <c r="AI214" s="15" t="str">
        <f t="shared" si="66"/>
        <v xml:space="preserve"> </v>
      </c>
      <c r="AJ214" s="15" t="str">
        <f t="shared" si="71"/>
        <v xml:space="preserve"> </v>
      </c>
      <c r="AK214" s="15" t="str">
        <f t="shared" si="72"/>
        <v/>
      </c>
      <c r="AL214" s="15" t="str">
        <f t="shared" si="73"/>
        <v/>
      </c>
      <c r="AM214" s="15" t="str">
        <f t="shared" si="74"/>
        <v/>
      </c>
      <c r="AN214" s="15" t="str">
        <f t="shared" si="67"/>
        <v xml:space="preserve"> </v>
      </c>
      <c r="AO214" s="15" t="str">
        <f t="shared" si="68"/>
        <v xml:space="preserve"> </v>
      </c>
      <c r="AP214" t="str">
        <f t="shared" si="69"/>
        <v xml:space="preserve"> </v>
      </c>
      <c r="AQ214" t="str">
        <f t="shared" si="70"/>
        <v xml:space="preserve"> </v>
      </c>
      <c r="AR214" s="7" t="str">
        <f t="shared" si="75"/>
        <v xml:space="preserve"> </v>
      </c>
      <c r="AS214" s="7" t="str">
        <f t="shared" si="76"/>
        <v xml:space="preserve"> </v>
      </c>
      <c r="AT214" s="7" t="str">
        <f t="shared" si="77"/>
        <v xml:space="preserve"> </v>
      </c>
      <c r="AU214" s="7" t="str">
        <f t="shared" si="78"/>
        <v xml:space="preserve"> </v>
      </c>
    </row>
    <row r="215" spans="1:47">
      <c r="A215">
        <v>212</v>
      </c>
      <c r="B215" t="s">
        <v>557</v>
      </c>
      <c r="C215" t="s">
        <v>558</v>
      </c>
      <c r="D215" t="s">
        <v>493</v>
      </c>
      <c r="E215" t="s">
        <v>622</v>
      </c>
      <c r="H215" t="str">
        <f>IF(ISNUMBER(VLOOKUP(C215,'OECD DAC'!B:C,2,FALSE)), "YES", " ")</f>
        <v xml:space="preserve"> </v>
      </c>
      <c r="I215" t="s">
        <v>484</v>
      </c>
      <c r="J215" t="s">
        <v>484</v>
      </c>
      <c r="K215" s="15" t="str">
        <f>IF(ISNUMBER(VLOOKUP(C215,'WEO GOV REV'!C:BL,58,FALSE)),(VLOOKUP(C215,'WEO GOV REV'!C:BL,58,FALSE)), " ")</f>
        <v xml:space="preserve"> </v>
      </c>
      <c r="L215" s="15" t="str">
        <f>IF(ISNUMBER(VLOOKUP(C215,'WEO GOV REV'!C:BL,62,FALSE)),(VLOOKUP(C215,'WEO GOV REV'!C:BL,62,FALSE)), " ")</f>
        <v xml:space="preserve"> </v>
      </c>
      <c r="M215" t="str">
        <f>IF(ISNUMBER(VLOOKUP(C215,'WEO GOV REV'!C:BL,62,FALSE)),(VLOOKUP(C215,'WEO GOV REV'!C:BL,57,FALSE)), " ")</f>
        <v xml:space="preserve"> </v>
      </c>
      <c r="N215" s="15" t="str">
        <f>IF(ISNUMBER(VLOOKUP($C215,'IMF COFOG FULL'!$B:$CM,79,FALSE)),(VLOOKUP($C215,'IMF COFOG FULL'!$B:$CM,79,FALSE)), " ")</f>
        <v xml:space="preserve"> </v>
      </c>
      <c r="O215" s="15" t="str">
        <f>IF(ISNUMBER(VLOOKUP($C215,'IMF COFOG FULL'!$B:$CM,80,FALSE)),(VLOOKUP($C215,'IMF COFOG FULL'!$B:$CM,80,FALSE)), " ")</f>
        <v xml:space="preserve"> </v>
      </c>
      <c r="P215" s="15" t="str">
        <f>IF(ISNUMBER(VLOOKUP($C215,'IMF COFOG FULL'!$B:$CM,81,FALSE)),(VLOOKUP($C215,'IMF COFOG FULL'!$B:$CM,81,FALSE)), " ")</f>
        <v xml:space="preserve"> </v>
      </c>
      <c r="Q215" s="15" t="str">
        <f>IF(ISNUMBER(VLOOKUP($C215,'IMF COFOG FULL'!$B:$CM,82,FALSE)),(VLOOKUP($C215,'IMF COFOG FULL'!$B:$CM,82,FALSE)), " ")</f>
        <v xml:space="preserve"> </v>
      </c>
      <c r="R215" s="15" t="str">
        <f>IF(ISNUMBER(VLOOKUP($C215,'IMF COFOG FULL'!$B:$CM,83,FALSE)),(VLOOKUP($C215,'IMF COFOG FULL'!$B:$CM,83,FALSE)), " ")</f>
        <v xml:space="preserve"> </v>
      </c>
      <c r="S215" s="15" t="str">
        <f>IF(ISNUMBER(VLOOKUP($C215,'IMF COFOG FULL'!$B:$CM,84,FALSE)),(VLOOKUP($C215,'IMF COFOG FULL'!$B:$CM,84,FALSE)), " ")</f>
        <v xml:space="preserve"> </v>
      </c>
      <c r="T215" s="15" t="str">
        <f>IF(ISNUMBER(VLOOKUP($C215,'IMF COFOG FULL'!$B:$CM,85,FALSE)),(VLOOKUP($C215,'IMF COFOG FULL'!$B:$CM,85,FALSE)), " ")</f>
        <v xml:space="preserve"> </v>
      </c>
      <c r="U215" s="7" t="str">
        <f>IF(ISNUMBER(VLOOKUP($C215,'IMF COFOG FULL'!$B:$CM,79,FALSE)),(VLOOKUP($C215,'IMF COFOG FULL'!$B:$CM,86,FALSE)), " ")</f>
        <v xml:space="preserve"> </v>
      </c>
      <c r="V215" s="15" t="str">
        <f>IF(ISNUMBER(VLOOKUP($C215,'IMF COFOG FULL'!$B:$CM,79,FALSE)),(VLOOKUP($C215,'IMF COFOG FULL'!$B:$CM,87,FALSE)), " ")</f>
        <v xml:space="preserve"> </v>
      </c>
      <c r="W215" s="15" t="str">
        <f t="shared" si="79"/>
        <v xml:space="preserve"> </v>
      </c>
      <c r="X215" s="15" t="str">
        <f t="shared" si="80"/>
        <v xml:space="preserve"> </v>
      </c>
      <c r="Y215" s="15" t="str">
        <f t="shared" si="81"/>
        <v xml:space="preserve"> </v>
      </c>
      <c r="Z215" s="15" t="str">
        <f t="shared" si="82"/>
        <v xml:space="preserve"> </v>
      </c>
      <c r="AA215" s="15" t="str">
        <f t="shared" si="83"/>
        <v xml:space="preserve"> </v>
      </c>
      <c r="AB215" s="15" t="str">
        <f t="shared" si="84"/>
        <v xml:space="preserve"> </v>
      </c>
      <c r="AC215" s="15" t="str">
        <f t="shared" si="85"/>
        <v xml:space="preserve"> </v>
      </c>
      <c r="AG215" s="15" t="str">
        <f>IF(ISNUMBER(VLOOKUP(C215,'National budgets summary'!A:F,5, FALSE)),(VLOOKUP(C215,'National budgets summary'!A:F,5, FALSE)), " ")</f>
        <v xml:space="preserve"> </v>
      </c>
      <c r="AH215" t="str">
        <f>IF(ISNUMBER(VLOOKUP(C215,'National budgets summary'!A:F,5, FALSE)),(VLOOKUP(C215,'National budgets summary'!A:F,4, FALSE)), " ")</f>
        <v xml:space="preserve"> </v>
      </c>
      <c r="AI215" s="15" t="str">
        <f t="shared" si="66"/>
        <v xml:space="preserve"> </v>
      </c>
      <c r="AJ215" s="15" t="str">
        <f t="shared" si="71"/>
        <v xml:space="preserve"> </v>
      </c>
      <c r="AK215" s="15" t="str">
        <f t="shared" si="72"/>
        <v/>
      </c>
      <c r="AL215" s="15" t="str">
        <f t="shared" si="73"/>
        <v/>
      </c>
      <c r="AM215" s="15" t="str">
        <f t="shared" si="74"/>
        <v/>
      </c>
      <c r="AN215" s="15" t="str">
        <f t="shared" si="67"/>
        <v xml:space="preserve"> </v>
      </c>
      <c r="AO215" s="15" t="str">
        <f t="shared" si="68"/>
        <v xml:space="preserve"> </v>
      </c>
      <c r="AP215" t="str">
        <f t="shared" si="69"/>
        <v xml:space="preserve"> </v>
      </c>
      <c r="AQ215" t="str">
        <f t="shared" si="70"/>
        <v xml:space="preserve"> </v>
      </c>
      <c r="AR215" s="7" t="str">
        <f t="shared" si="75"/>
        <v xml:space="preserve"> </v>
      </c>
      <c r="AS215" s="7" t="str">
        <f t="shared" si="76"/>
        <v xml:space="preserve"> </v>
      </c>
      <c r="AT215" s="7" t="str">
        <f t="shared" si="77"/>
        <v xml:space="preserve"> </v>
      </c>
      <c r="AU215" s="7" t="str">
        <f t="shared" si="78"/>
        <v xml:space="preserve"> </v>
      </c>
    </row>
    <row r="216" spans="1:47">
      <c r="A216">
        <v>213</v>
      </c>
      <c r="B216" t="s">
        <v>543</v>
      </c>
      <c r="C216" t="s">
        <v>544</v>
      </c>
      <c r="D216" t="s">
        <v>493</v>
      </c>
      <c r="E216" t="s">
        <v>306</v>
      </c>
      <c r="H216" t="str">
        <f>IF(ISNUMBER(VLOOKUP(C216,'OECD DAC'!B:C,2,FALSE)), "YES", " ")</f>
        <v xml:space="preserve"> </v>
      </c>
      <c r="I216" t="s">
        <v>484</v>
      </c>
      <c r="J216" t="s">
        <v>484</v>
      </c>
      <c r="K216" s="15" t="str">
        <f>IF(ISNUMBER(VLOOKUP(C216,'WEO GOV REV'!C:BL,58,FALSE)),(VLOOKUP(C216,'WEO GOV REV'!C:BL,58,FALSE)), " ")</f>
        <v xml:space="preserve"> </v>
      </c>
      <c r="L216" s="15" t="str">
        <f>IF(ISNUMBER(VLOOKUP(C216,'WEO GOV REV'!C:BL,62,FALSE)),(VLOOKUP(C216,'WEO GOV REV'!C:BL,62,FALSE)), " ")</f>
        <v xml:space="preserve"> </v>
      </c>
      <c r="M216" t="str">
        <f>IF(ISNUMBER(VLOOKUP(C216,'WEO GOV REV'!C:BL,62,FALSE)),(VLOOKUP(C216,'WEO GOV REV'!C:BL,57,FALSE)), " ")</f>
        <v xml:space="preserve"> </v>
      </c>
      <c r="N216" s="15" t="str">
        <f>IF(ISNUMBER(VLOOKUP($C216,'IMF COFOG FULL'!$B:$CM,79,FALSE)),(VLOOKUP($C216,'IMF COFOG FULL'!$B:$CM,79,FALSE)), " ")</f>
        <v xml:space="preserve"> </v>
      </c>
      <c r="O216" s="15" t="str">
        <f>IF(ISNUMBER(VLOOKUP($C216,'IMF COFOG FULL'!$B:$CM,80,FALSE)),(VLOOKUP($C216,'IMF COFOG FULL'!$B:$CM,80,FALSE)), " ")</f>
        <v xml:space="preserve"> </v>
      </c>
      <c r="P216" s="15" t="str">
        <f>IF(ISNUMBER(VLOOKUP($C216,'IMF COFOG FULL'!$B:$CM,81,FALSE)),(VLOOKUP($C216,'IMF COFOG FULL'!$B:$CM,81,FALSE)), " ")</f>
        <v xml:space="preserve"> </v>
      </c>
      <c r="Q216" s="15" t="str">
        <f>IF(ISNUMBER(VLOOKUP($C216,'IMF COFOG FULL'!$B:$CM,82,FALSE)),(VLOOKUP($C216,'IMF COFOG FULL'!$B:$CM,82,FALSE)), " ")</f>
        <v xml:space="preserve"> </v>
      </c>
      <c r="R216" s="15" t="str">
        <f>IF(ISNUMBER(VLOOKUP($C216,'IMF COFOG FULL'!$B:$CM,83,FALSE)),(VLOOKUP($C216,'IMF COFOG FULL'!$B:$CM,83,FALSE)), " ")</f>
        <v xml:space="preserve"> </v>
      </c>
      <c r="S216" s="15" t="str">
        <f>IF(ISNUMBER(VLOOKUP($C216,'IMF COFOG FULL'!$B:$CM,84,FALSE)),(VLOOKUP($C216,'IMF COFOG FULL'!$B:$CM,84,FALSE)), " ")</f>
        <v xml:space="preserve"> </v>
      </c>
      <c r="T216" s="15" t="str">
        <f>IF(ISNUMBER(VLOOKUP($C216,'IMF COFOG FULL'!$B:$CM,85,FALSE)),(VLOOKUP($C216,'IMF COFOG FULL'!$B:$CM,85,FALSE)), " ")</f>
        <v xml:space="preserve"> </v>
      </c>
      <c r="U216" s="7" t="str">
        <f>IF(ISNUMBER(VLOOKUP($C216,'IMF COFOG FULL'!$B:$CM,79,FALSE)),(VLOOKUP($C216,'IMF COFOG FULL'!$B:$CM,86,FALSE)), " ")</f>
        <v xml:space="preserve"> </v>
      </c>
      <c r="V216" s="15" t="str">
        <f>IF(ISNUMBER(VLOOKUP($C216,'IMF COFOG FULL'!$B:$CM,79,FALSE)),(VLOOKUP($C216,'IMF COFOG FULL'!$B:$CM,87,FALSE)), " ")</f>
        <v xml:space="preserve"> </v>
      </c>
      <c r="W216" s="15" t="str">
        <f t="shared" si="79"/>
        <v xml:space="preserve"> </v>
      </c>
      <c r="X216" s="15" t="str">
        <f t="shared" si="80"/>
        <v xml:space="preserve"> </v>
      </c>
      <c r="Y216" s="15" t="str">
        <f t="shared" si="81"/>
        <v xml:space="preserve"> </v>
      </c>
      <c r="Z216" s="15" t="str">
        <f t="shared" si="82"/>
        <v xml:space="preserve"> </v>
      </c>
      <c r="AA216" s="15" t="str">
        <f t="shared" si="83"/>
        <v xml:space="preserve"> </v>
      </c>
      <c r="AB216" s="15" t="str">
        <f t="shared" si="84"/>
        <v xml:space="preserve"> </v>
      </c>
      <c r="AC216" s="15" t="str">
        <f t="shared" si="85"/>
        <v xml:space="preserve"> </v>
      </c>
      <c r="AG216" s="15" t="str">
        <f>IF(ISNUMBER(VLOOKUP(C216,'National budgets summary'!A:F,5, FALSE)),(VLOOKUP(C216,'National budgets summary'!A:F,5, FALSE)), " ")</f>
        <v xml:space="preserve"> </v>
      </c>
      <c r="AH216" t="str">
        <f>IF(ISNUMBER(VLOOKUP(C216,'National budgets summary'!A:F,5, FALSE)),(VLOOKUP(C216,'National budgets summary'!A:F,4, FALSE)), " ")</f>
        <v xml:space="preserve"> </v>
      </c>
      <c r="AI216" s="15" t="str">
        <f t="shared" si="66"/>
        <v xml:space="preserve"> </v>
      </c>
      <c r="AJ216" s="15" t="str">
        <f t="shared" si="71"/>
        <v xml:space="preserve"> </v>
      </c>
      <c r="AK216" s="15" t="str">
        <f t="shared" si="72"/>
        <v/>
      </c>
      <c r="AL216" s="15" t="str">
        <f t="shared" si="73"/>
        <v/>
      </c>
      <c r="AM216" s="15" t="str">
        <f t="shared" si="74"/>
        <v/>
      </c>
      <c r="AN216" s="15" t="str">
        <f t="shared" si="67"/>
        <v xml:space="preserve"> </v>
      </c>
      <c r="AO216" s="15" t="str">
        <f t="shared" si="68"/>
        <v xml:space="preserve"> </v>
      </c>
      <c r="AP216" t="str">
        <f t="shared" si="69"/>
        <v xml:space="preserve"> </v>
      </c>
      <c r="AQ216" t="str">
        <f t="shared" si="70"/>
        <v xml:space="preserve"> </v>
      </c>
      <c r="AR216" s="7" t="str">
        <f t="shared" si="75"/>
        <v xml:space="preserve"> </v>
      </c>
      <c r="AS216" s="7" t="str">
        <f t="shared" si="76"/>
        <v xml:space="preserve"> </v>
      </c>
      <c r="AT216" s="7" t="str">
        <f t="shared" si="77"/>
        <v xml:space="preserve"> </v>
      </c>
      <c r="AU216" s="7" t="str">
        <f t="shared" si="78"/>
        <v xml:space="preserve"> </v>
      </c>
    </row>
    <row r="217" spans="1:47">
      <c r="A217">
        <v>214</v>
      </c>
      <c r="B217" t="s">
        <v>525</v>
      </c>
      <c r="C217" t="s">
        <v>526</v>
      </c>
      <c r="D217" t="s">
        <v>493</v>
      </c>
      <c r="E217" t="s">
        <v>622</v>
      </c>
      <c r="H217" t="str">
        <f>IF(ISNUMBER(VLOOKUP(C217,'OECD DAC'!B:C,2,FALSE)), "YES", " ")</f>
        <v xml:space="preserve"> </v>
      </c>
      <c r="I217" t="s">
        <v>484</v>
      </c>
      <c r="J217" t="s">
        <v>484</v>
      </c>
      <c r="K217" s="15" t="str">
        <f>IF(ISNUMBER(VLOOKUP(C217,'WEO GOV REV'!C:BL,58,FALSE)),(VLOOKUP(C217,'WEO GOV REV'!C:BL,58,FALSE)), " ")</f>
        <v xml:space="preserve"> </v>
      </c>
      <c r="L217" s="15" t="str">
        <f>IF(ISNUMBER(VLOOKUP(C217,'WEO GOV REV'!C:BL,62,FALSE)),(VLOOKUP(C217,'WEO GOV REV'!C:BL,62,FALSE)), " ")</f>
        <v xml:space="preserve"> </v>
      </c>
      <c r="M217" t="str">
        <f>IF(ISNUMBER(VLOOKUP(C217,'WEO GOV REV'!C:BL,62,FALSE)),(VLOOKUP(C217,'WEO GOV REV'!C:BL,57,FALSE)), " ")</f>
        <v xml:space="preserve"> </v>
      </c>
      <c r="N217" s="15" t="str">
        <f>IF(ISNUMBER(VLOOKUP($C217,'IMF COFOG FULL'!$B:$CM,79,FALSE)),(VLOOKUP($C217,'IMF COFOG FULL'!$B:$CM,79,FALSE)), " ")</f>
        <v xml:space="preserve"> </v>
      </c>
      <c r="O217" s="15" t="str">
        <f>IF(ISNUMBER(VLOOKUP($C217,'IMF COFOG FULL'!$B:$CM,80,FALSE)),(VLOOKUP($C217,'IMF COFOG FULL'!$B:$CM,80,FALSE)), " ")</f>
        <v xml:space="preserve"> </v>
      </c>
      <c r="P217" s="15" t="str">
        <f>IF(ISNUMBER(VLOOKUP($C217,'IMF COFOG FULL'!$B:$CM,81,FALSE)),(VLOOKUP($C217,'IMF COFOG FULL'!$B:$CM,81,FALSE)), " ")</f>
        <v xml:space="preserve"> </v>
      </c>
      <c r="Q217" s="15" t="str">
        <f>IF(ISNUMBER(VLOOKUP($C217,'IMF COFOG FULL'!$B:$CM,82,FALSE)),(VLOOKUP($C217,'IMF COFOG FULL'!$B:$CM,82,FALSE)), " ")</f>
        <v xml:space="preserve"> </v>
      </c>
      <c r="R217" s="15" t="str">
        <f>IF(ISNUMBER(VLOOKUP($C217,'IMF COFOG FULL'!$B:$CM,83,FALSE)),(VLOOKUP($C217,'IMF COFOG FULL'!$B:$CM,83,FALSE)), " ")</f>
        <v xml:space="preserve"> </v>
      </c>
      <c r="S217" s="15" t="str">
        <f>IF(ISNUMBER(VLOOKUP($C217,'IMF COFOG FULL'!$B:$CM,84,FALSE)),(VLOOKUP($C217,'IMF COFOG FULL'!$B:$CM,84,FALSE)), " ")</f>
        <v xml:space="preserve"> </v>
      </c>
      <c r="T217" s="15" t="str">
        <f>IF(ISNUMBER(VLOOKUP($C217,'IMF COFOG FULL'!$B:$CM,85,FALSE)),(VLOOKUP($C217,'IMF COFOG FULL'!$B:$CM,85,FALSE)), " ")</f>
        <v xml:space="preserve"> </v>
      </c>
      <c r="U217" s="7" t="str">
        <f>IF(ISNUMBER(VLOOKUP($C217,'IMF COFOG FULL'!$B:$CM,79,FALSE)),(VLOOKUP($C217,'IMF COFOG FULL'!$B:$CM,86,FALSE)), " ")</f>
        <v xml:space="preserve"> </v>
      </c>
      <c r="V217" s="15" t="str">
        <f>IF(ISNUMBER(VLOOKUP($C217,'IMF COFOG FULL'!$B:$CM,79,FALSE)),(VLOOKUP($C217,'IMF COFOG FULL'!$B:$CM,87,FALSE)), " ")</f>
        <v xml:space="preserve"> </v>
      </c>
      <c r="W217" s="15" t="str">
        <f t="shared" si="79"/>
        <v xml:space="preserve"> </v>
      </c>
      <c r="X217" s="15" t="str">
        <f t="shared" si="80"/>
        <v xml:space="preserve"> </v>
      </c>
      <c r="Y217" s="15" t="str">
        <f t="shared" si="81"/>
        <v xml:space="preserve"> </v>
      </c>
      <c r="Z217" s="15" t="str">
        <f t="shared" si="82"/>
        <v xml:space="preserve"> </v>
      </c>
      <c r="AA217" s="15" t="str">
        <f t="shared" si="83"/>
        <v xml:space="preserve"> </v>
      </c>
      <c r="AB217" s="15" t="str">
        <f t="shared" si="84"/>
        <v xml:space="preserve"> </v>
      </c>
      <c r="AC217" s="15" t="str">
        <f t="shared" si="85"/>
        <v xml:space="preserve"> </v>
      </c>
      <c r="AG217" s="15" t="str">
        <f>IF(ISNUMBER(VLOOKUP(C217,'National budgets summary'!A:F,5, FALSE)),(VLOOKUP(C217,'National budgets summary'!A:F,5, FALSE)), " ")</f>
        <v xml:space="preserve"> </v>
      </c>
      <c r="AH217" t="str">
        <f>IF(ISNUMBER(VLOOKUP(C217,'National budgets summary'!A:F,5, FALSE)),(VLOOKUP(C217,'National budgets summary'!A:F,4, FALSE)), " ")</f>
        <v xml:space="preserve"> </v>
      </c>
      <c r="AI217" s="15" t="str">
        <f t="shared" si="66"/>
        <v xml:space="preserve"> </v>
      </c>
      <c r="AJ217" s="15" t="str">
        <f t="shared" si="71"/>
        <v xml:space="preserve"> </v>
      </c>
      <c r="AK217" s="15" t="str">
        <f t="shared" si="72"/>
        <v/>
      </c>
      <c r="AL217" s="15" t="str">
        <f t="shared" si="73"/>
        <v/>
      </c>
      <c r="AM217" s="15" t="str">
        <f t="shared" si="74"/>
        <v/>
      </c>
      <c r="AN217" s="15" t="str">
        <f t="shared" si="67"/>
        <v xml:space="preserve"> </v>
      </c>
      <c r="AO217" s="15" t="str">
        <f t="shared" si="68"/>
        <v xml:space="preserve"> </v>
      </c>
      <c r="AP217" t="str">
        <f t="shared" si="69"/>
        <v xml:space="preserve"> </v>
      </c>
      <c r="AQ217" t="str">
        <f t="shared" si="70"/>
        <v xml:space="preserve"> </v>
      </c>
      <c r="AR217" s="7" t="str">
        <f t="shared" si="75"/>
        <v xml:space="preserve"> </v>
      </c>
      <c r="AS217" s="7" t="str">
        <f t="shared" si="76"/>
        <v xml:space="preserve"> </v>
      </c>
      <c r="AT217" s="7" t="str">
        <f t="shared" si="77"/>
        <v xml:space="preserve"> </v>
      </c>
      <c r="AU217" s="7" t="str">
        <f t="shared" si="78"/>
        <v xml:space="preserve"> </v>
      </c>
    </row>
    <row r="218" spans="1:47">
      <c r="A218">
        <v>215</v>
      </c>
      <c r="B218" t="s">
        <v>265</v>
      </c>
      <c r="C218" t="s">
        <v>551</v>
      </c>
      <c r="D218" t="s">
        <v>485</v>
      </c>
      <c r="E218" t="s">
        <v>622</v>
      </c>
      <c r="H218" t="str">
        <f>IF(ISNUMBER(VLOOKUP(C218,'OECD DAC'!B:C,2,FALSE)), "YES", " ")</f>
        <v xml:space="preserve"> </v>
      </c>
      <c r="I218" t="s">
        <v>484</v>
      </c>
      <c r="J218" t="s">
        <v>484</v>
      </c>
      <c r="K218" s="15">
        <f>IF(ISNUMBER(VLOOKUP(C218,'WEO GOV REV'!C:BL,58,FALSE)),(VLOOKUP(C218,'WEO GOV REV'!C:BL,58,FALSE)), " ")</f>
        <v>0.29199999999999998</v>
      </c>
      <c r="L218" s="15">
        <f>IF(ISNUMBER(VLOOKUP(C218,'WEO GOV REV'!C:BL,62,FALSE)),(VLOOKUP(C218,'WEO GOV REV'!C:BL,62,FALSE)), " ")</f>
        <v>21.597633136094672</v>
      </c>
      <c r="M218">
        <f>IF(ISNUMBER(VLOOKUP(C218,'WEO GOV REV'!C:BL,62,FALSE)),(VLOOKUP(C218,'WEO GOV REV'!C:BL,57,FALSE)), " ")</f>
        <v>2020</v>
      </c>
      <c r="N218" s="15">
        <f>IF(ISNUMBER(VLOOKUP($C218,'IMF COFOG FULL'!$B:$CM,79,FALSE)),(VLOOKUP($C218,'IMF COFOG FULL'!$B:$CM,79,FALSE)), " ")</f>
        <v>1.12475207535943</v>
      </c>
      <c r="O218" s="15">
        <f>IF(ISNUMBER(VLOOKUP($C218,'IMF COFOG FULL'!$B:$CM,80,FALSE)),(VLOOKUP($C218,'IMF COFOG FULL'!$B:$CM,80,FALSE)), " ")</f>
        <v>0.749068812894507</v>
      </c>
      <c r="P218" s="15">
        <f>IF(ISNUMBER(VLOOKUP($C218,'IMF COFOG FULL'!$B:$CM,81,FALSE)),(VLOOKUP($C218,'IMF COFOG FULL'!$B:$CM,81,FALSE)), " ")</f>
        <v>3.2999387118920302E-2</v>
      </c>
      <c r="Q218" s="15">
        <f>IF(ISNUMBER(VLOOKUP($C218,'IMF COFOG FULL'!$B:$CM,82,FALSE)),(VLOOKUP($C218,'IMF COFOG FULL'!$B:$CM,82,FALSE)), " ")</f>
        <v>0.279059858915299</v>
      </c>
      <c r="R218" s="15">
        <f>IF(ISNUMBER(VLOOKUP($C218,'IMF COFOG FULL'!$B:$CM,83,FALSE)),(VLOOKUP($C218,'IMF COFOG FULL'!$B:$CM,83,FALSE)), " ")</f>
        <v>2.6927093287139399E-3</v>
      </c>
      <c r="S218" s="15">
        <f>IF(ISNUMBER(VLOOKUP($C218,'IMF COFOG FULL'!$B:$CM,84,FALSE)),(VLOOKUP($C218,'IMF COFOG FULL'!$B:$CM,84,FALSE)), " ")</f>
        <v>0</v>
      </c>
      <c r="T218" s="15">
        <f>IF(ISNUMBER(VLOOKUP($C218,'IMF COFOG FULL'!$B:$CM,85,FALSE)),(VLOOKUP($C218,'IMF COFOG FULL'!$B:$CM,85,FALSE)), " ")</f>
        <v>6.0931307101988297E-2</v>
      </c>
      <c r="U218" s="7">
        <f>IF(ISNUMBER(VLOOKUP($C218,'IMF COFOG FULL'!$B:$CM,79,FALSE)),(VLOOKUP($C218,'IMF COFOG FULL'!$B:$CM,86,FALSE)), " ")</f>
        <v>2020</v>
      </c>
      <c r="V218" s="15" t="str">
        <f>IF(ISNUMBER(VLOOKUP($C218,'IMF COFOG FULL'!$B:$CM,79,FALSE)),(VLOOKUP($C218,'IMF COFOG FULL'!$B:$CM,87,FALSE)), " ")</f>
        <v>General government</v>
      </c>
      <c r="W218" s="15">
        <f t="shared" si="79"/>
        <v>5.2077561845409228</v>
      </c>
      <c r="X218" s="15">
        <f t="shared" si="80"/>
        <v>3.4682912158677177</v>
      </c>
      <c r="Y218" s="15">
        <f t="shared" si="81"/>
        <v>0.15279168282458991</v>
      </c>
      <c r="Z218" s="15">
        <f t="shared" si="82"/>
        <v>1.2920853741557681</v>
      </c>
      <c r="AA218" s="15">
        <f t="shared" si="83"/>
        <v>1.2467613056237149E-2</v>
      </c>
      <c r="AB218" s="15">
        <f t="shared" si="84"/>
        <v>0</v>
      </c>
      <c r="AC218" s="15">
        <f t="shared" si="85"/>
        <v>0.28212029863660337</v>
      </c>
      <c r="AG218" s="15" t="str">
        <f>IF(ISNUMBER(VLOOKUP(C218,'National budgets summary'!A:F,5, FALSE)),(VLOOKUP(C218,'National budgets summary'!A:F,5, FALSE)), " ")</f>
        <v xml:space="preserve"> </v>
      </c>
      <c r="AH218" t="str">
        <f>IF(ISNUMBER(VLOOKUP(C218,'National budgets summary'!A:F,5, FALSE)),(VLOOKUP(C218,'National budgets summary'!A:F,4, FALSE)), " ")</f>
        <v xml:space="preserve"> </v>
      </c>
      <c r="AI218" s="15" t="str">
        <f t="shared" si="66"/>
        <v xml:space="preserve"> </v>
      </c>
      <c r="AJ218" s="15" t="str">
        <f t="shared" si="71"/>
        <v xml:space="preserve"> </v>
      </c>
      <c r="AK218" s="15">
        <f t="shared" si="72"/>
        <v>3.4682912158677177</v>
      </c>
      <c r="AL218" s="15">
        <f t="shared" si="73"/>
        <v>1.2920853741557681</v>
      </c>
      <c r="AM218" s="15">
        <f t="shared" si="74"/>
        <v>1.2467613056237149E-2</v>
      </c>
      <c r="AN218" s="15">
        <f t="shared" si="67"/>
        <v>5.2077561845409228</v>
      </c>
      <c r="AO218" s="15">
        <f t="shared" si="68"/>
        <v>1.12475207535943</v>
      </c>
      <c r="AP218">
        <f t="shared" si="69"/>
        <v>2020</v>
      </c>
      <c r="AQ218" t="str">
        <f t="shared" si="70"/>
        <v>IMF COFOG</v>
      </c>
      <c r="AR218" s="7" t="e">
        <f t="shared" si="75"/>
        <v>#VALUE!</v>
      </c>
      <c r="AS218" s="7" t="e">
        <f t="shared" si="76"/>
        <v>#VALUE!</v>
      </c>
      <c r="AT218" s="7" t="e">
        <f t="shared" si="77"/>
        <v>#VALUE!</v>
      </c>
      <c r="AU218" s="7" t="e">
        <f t="shared" si="78"/>
        <v>#VALUE!</v>
      </c>
    </row>
    <row r="219" spans="1:47">
      <c r="A219">
        <v>216</v>
      </c>
      <c r="B219" t="s">
        <v>266</v>
      </c>
      <c r="C219" t="s">
        <v>584</v>
      </c>
      <c r="D219" t="s">
        <v>493</v>
      </c>
      <c r="E219" t="s">
        <v>622</v>
      </c>
      <c r="H219" t="str">
        <f>IF(ISNUMBER(VLOOKUP(C219,'OECD DAC'!B:C,2,FALSE)), "YES", " ")</f>
        <v xml:space="preserve"> </v>
      </c>
      <c r="I219" t="s">
        <v>484</v>
      </c>
      <c r="J219" t="s">
        <v>484</v>
      </c>
      <c r="K219" s="15">
        <f>IF(ISNUMBER(VLOOKUP(C219,'WEO GOV REV'!C:BL,58,FALSE)),(VLOOKUP(C219,'WEO GOV REV'!C:BL,58,FALSE)), " ")</f>
        <v>3036.13</v>
      </c>
      <c r="L219" s="15">
        <f>IF(ISNUMBER(VLOOKUP(C219,'WEO GOV REV'!C:BL,62,FALSE)),(VLOOKUP(C219,'WEO GOV REV'!C:BL,62,FALSE)), " ")</f>
        <v>15.335074197165458</v>
      </c>
      <c r="M219">
        <f>IF(ISNUMBER(VLOOKUP(C219,'WEO GOV REV'!C:BL,62,FALSE)),(VLOOKUP(C219,'WEO GOV REV'!C:BL,57,FALSE)), " ")</f>
        <v>2020</v>
      </c>
      <c r="N219" s="15" t="str">
        <f>IF(ISNUMBER(VLOOKUP($C219,'IMF COFOG FULL'!$B:$CM,79,FALSE)),(VLOOKUP($C219,'IMF COFOG FULL'!$B:$CM,79,FALSE)), " ")</f>
        <v xml:space="preserve"> </v>
      </c>
      <c r="O219" s="15" t="str">
        <f>IF(ISNUMBER(VLOOKUP($C219,'IMF COFOG FULL'!$B:$CM,80,FALSE)),(VLOOKUP($C219,'IMF COFOG FULL'!$B:$CM,80,FALSE)), " ")</f>
        <v xml:space="preserve"> </v>
      </c>
      <c r="P219" s="15" t="str">
        <f>IF(ISNUMBER(VLOOKUP($C219,'IMF COFOG FULL'!$B:$CM,81,FALSE)),(VLOOKUP($C219,'IMF COFOG FULL'!$B:$CM,81,FALSE)), " ")</f>
        <v xml:space="preserve"> </v>
      </c>
      <c r="Q219" s="15" t="str">
        <f>IF(ISNUMBER(VLOOKUP($C219,'IMF COFOG FULL'!$B:$CM,82,FALSE)),(VLOOKUP($C219,'IMF COFOG FULL'!$B:$CM,82,FALSE)), " ")</f>
        <v xml:space="preserve"> </v>
      </c>
      <c r="R219" s="15" t="str">
        <f>IF(ISNUMBER(VLOOKUP($C219,'IMF COFOG FULL'!$B:$CM,83,FALSE)),(VLOOKUP($C219,'IMF COFOG FULL'!$B:$CM,83,FALSE)), " ")</f>
        <v xml:space="preserve"> </v>
      </c>
      <c r="S219" s="15" t="str">
        <f>IF(ISNUMBER(VLOOKUP($C219,'IMF COFOG FULL'!$B:$CM,84,FALSE)),(VLOOKUP($C219,'IMF COFOG FULL'!$B:$CM,84,FALSE)), " ")</f>
        <v xml:space="preserve"> </v>
      </c>
      <c r="T219" s="15" t="str">
        <f>IF(ISNUMBER(VLOOKUP($C219,'IMF COFOG FULL'!$B:$CM,85,FALSE)),(VLOOKUP($C219,'IMF COFOG FULL'!$B:$CM,85,FALSE)), " ")</f>
        <v xml:space="preserve"> </v>
      </c>
      <c r="U219" s="7" t="str">
        <f>IF(ISNUMBER(VLOOKUP($C219,'IMF COFOG FULL'!$B:$CM,79,FALSE)),(VLOOKUP($C219,'IMF COFOG FULL'!$B:$CM,86,FALSE)), " ")</f>
        <v xml:space="preserve"> </v>
      </c>
      <c r="V219" s="15" t="str">
        <f>IF(ISNUMBER(VLOOKUP($C219,'IMF COFOG FULL'!$B:$CM,79,FALSE)),(VLOOKUP($C219,'IMF COFOG FULL'!$B:$CM,87,FALSE)), " ")</f>
        <v xml:space="preserve"> </v>
      </c>
      <c r="W219" s="15" t="str">
        <f t="shared" si="79"/>
        <v xml:space="preserve"> </v>
      </c>
      <c r="X219" s="15" t="str">
        <f t="shared" si="80"/>
        <v xml:space="preserve"> </v>
      </c>
      <c r="Y219" s="15" t="str">
        <f t="shared" si="81"/>
        <v xml:space="preserve"> </v>
      </c>
      <c r="Z219" s="15" t="str">
        <f t="shared" si="82"/>
        <v xml:space="preserve"> </v>
      </c>
      <c r="AA219" s="15" t="str">
        <f t="shared" si="83"/>
        <v xml:space="preserve"> </v>
      </c>
      <c r="AB219" s="15" t="str">
        <f t="shared" si="84"/>
        <v xml:space="preserve"> </v>
      </c>
      <c r="AC219" s="15" t="str">
        <f t="shared" si="85"/>
        <v xml:space="preserve"> </v>
      </c>
      <c r="AG219" s="15" t="str">
        <f>IF(ISNUMBER(VLOOKUP(C219,'National budgets summary'!A:F,5, FALSE)),(VLOOKUP(C219,'National budgets summary'!A:F,5, FALSE)), " ")</f>
        <v xml:space="preserve"> </v>
      </c>
      <c r="AH219" t="str">
        <f>IF(ISNUMBER(VLOOKUP(C219,'National budgets summary'!A:F,5, FALSE)),(VLOOKUP(C219,'National budgets summary'!A:F,4, FALSE)), " ")</f>
        <v xml:space="preserve"> </v>
      </c>
      <c r="AI219" s="15" t="str">
        <f t="shared" si="66"/>
        <v xml:space="preserve"> </v>
      </c>
      <c r="AJ219" s="15" t="str">
        <f t="shared" si="71"/>
        <v xml:space="preserve"> </v>
      </c>
      <c r="AK219" s="15" t="str">
        <f t="shared" si="72"/>
        <v/>
      </c>
      <c r="AL219" s="15" t="str">
        <f t="shared" si="73"/>
        <v/>
      </c>
      <c r="AM219" s="15" t="str">
        <f t="shared" si="74"/>
        <v/>
      </c>
      <c r="AN219" s="15" t="str">
        <f t="shared" si="67"/>
        <v xml:space="preserve"> </v>
      </c>
      <c r="AO219" s="15" t="str">
        <f t="shared" si="68"/>
        <v xml:space="preserve"> </v>
      </c>
      <c r="AP219" t="str">
        <f t="shared" si="69"/>
        <v xml:space="preserve"> </v>
      </c>
      <c r="AQ219" t="str">
        <f t="shared" si="70"/>
        <v xml:space="preserve"> </v>
      </c>
      <c r="AR219" s="7" t="str">
        <f t="shared" si="75"/>
        <v xml:space="preserve"> </v>
      </c>
      <c r="AS219" s="7" t="str">
        <f t="shared" si="76"/>
        <v xml:space="preserve"> </v>
      </c>
      <c r="AT219" s="7" t="str">
        <f t="shared" si="77"/>
        <v xml:space="preserve"> </v>
      </c>
      <c r="AU219" s="7" t="str">
        <f t="shared" si="78"/>
        <v xml:space="preserve"> </v>
      </c>
    </row>
    <row r="220" spans="1:47">
      <c r="A220">
        <v>217</v>
      </c>
      <c r="B220" t="s">
        <v>504</v>
      </c>
      <c r="C220" t="s">
        <v>505</v>
      </c>
      <c r="D220" t="s">
        <v>497</v>
      </c>
      <c r="E220" t="s">
        <v>622</v>
      </c>
      <c r="H220" t="str">
        <f>IF(ISNUMBER(VLOOKUP(C220,'OECD DAC'!B:C,2,FALSE)), "YES", " ")</f>
        <v xml:space="preserve"> </v>
      </c>
      <c r="I220" t="s">
        <v>484</v>
      </c>
      <c r="J220" t="s">
        <v>484</v>
      </c>
      <c r="K220" s="15" t="str">
        <f>IF(ISNUMBER(VLOOKUP(C220,'WEO GOV REV'!C:BL,58,FALSE)),(VLOOKUP(C220,'WEO GOV REV'!C:BL,58,FALSE)), " ")</f>
        <v xml:space="preserve"> </v>
      </c>
      <c r="L220" s="15" t="str">
        <f>IF(ISNUMBER(VLOOKUP(C220,'WEO GOV REV'!C:BL,62,FALSE)),(VLOOKUP(C220,'WEO GOV REV'!C:BL,62,FALSE)), " ")</f>
        <v xml:space="preserve"> </v>
      </c>
      <c r="M220" t="str">
        <f>IF(ISNUMBER(VLOOKUP(C220,'WEO GOV REV'!C:BL,62,FALSE)),(VLOOKUP(C220,'WEO GOV REV'!C:BL,57,FALSE)), " ")</f>
        <v xml:space="preserve"> </v>
      </c>
      <c r="N220" s="15" t="str">
        <f>IF(ISNUMBER(VLOOKUP($C220,'IMF COFOG FULL'!$B:$CM,79,FALSE)),(VLOOKUP($C220,'IMF COFOG FULL'!$B:$CM,79,FALSE)), " ")</f>
        <v xml:space="preserve"> </v>
      </c>
      <c r="O220" s="15" t="str">
        <f>IF(ISNUMBER(VLOOKUP($C220,'IMF COFOG FULL'!$B:$CM,80,FALSE)),(VLOOKUP($C220,'IMF COFOG FULL'!$B:$CM,80,FALSE)), " ")</f>
        <v xml:space="preserve"> </v>
      </c>
      <c r="P220" s="15" t="str">
        <f>IF(ISNUMBER(VLOOKUP($C220,'IMF COFOG FULL'!$B:$CM,81,FALSE)),(VLOOKUP($C220,'IMF COFOG FULL'!$B:$CM,81,FALSE)), " ")</f>
        <v xml:space="preserve"> </v>
      </c>
      <c r="Q220" s="15" t="str">
        <f>IF(ISNUMBER(VLOOKUP($C220,'IMF COFOG FULL'!$B:$CM,82,FALSE)),(VLOOKUP($C220,'IMF COFOG FULL'!$B:$CM,82,FALSE)), " ")</f>
        <v xml:space="preserve"> </v>
      </c>
      <c r="R220" s="15" t="str">
        <f>IF(ISNUMBER(VLOOKUP($C220,'IMF COFOG FULL'!$B:$CM,83,FALSE)),(VLOOKUP($C220,'IMF COFOG FULL'!$B:$CM,83,FALSE)), " ")</f>
        <v xml:space="preserve"> </v>
      </c>
      <c r="S220" s="15" t="str">
        <f>IF(ISNUMBER(VLOOKUP($C220,'IMF COFOG FULL'!$B:$CM,84,FALSE)),(VLOOKUP($C220,'IMF COFOG FULL'!$B:$CM,84,FALSE)), " ")</f>
        <v xml:space="preserve"> </v>
      </c>
      <c r="T220" s="15" t="str">
        <f>IF(ISNUMBER(VLOOKUP($C220,'IMF COFOG FULL'!$B:$CM,85,FALSE)),(VLOOKUP($C220,'IMF COFOG FULL'!$B:$CM,85,FALSE)), " ")</f>
        <v xml:space="preserve"> </v>
      </c>
      <c r="U220" s="7" t="str">
        <f>IF(ISNUMBER(VLOOKUP($C220,'IMF COFOG FULL'!$B:$CM,79,FALSE)),(VLOOKUP($C220,'IMF COFOG FULL'!$B:$CM,86,FALSE)), " ")</f>
        <v xml:space="preserve"> </v>
      </c>
      <c r="V220" s="15" t="str">
        <f>IF(ISNUMBER(VLOOKUP($C220,'IMF COFOG FULL'!$B:$CM,79,FALSE)),(VLOOKUP($C220,'IMF COFOG FULL'!$B:$CM,87,FALSE)), " ")</f>
        <v xml:space="preserve"> </v>
      </c>
      <c r="W220" s="15" t="str">
        <f t="shared" si="79"/>
        <v xml:space="preserve"> </v>
      </c>
      <c r="X220" s="15" t="str">
        <f t="shared" si="80"/>
        <v xml:space="preserve"> </v>
      </c>
      <c r="Y220" s="15" t="str">
        <f t="shared" si="81"/>
        <v xml:space="preserve"> </v>
      </c>
      <c r="Z220" s="15" t="str">
        <f t="shared" si="82"/>
        <v xml:space="preserve"> </v>
      </c>
      <c r="AA220" s="15" t="str">
        <f t="shared" si="83"/>
        <v xml:space="preserve"> </v>
      </c>
      <c r="AB220" s="15" t="str">
        <f t="shared" si="84"/>
        <v xml:space="preserve"> </v>
      </c>
      <c r="AC220" s="15" t="str">
        <f t="shared" si="85"/>
        <v xml:space="preserve"> </v>
      </c>
      <c r="AG220" s="15" t="str">
        <f>IF(ISNUMBER(VLOOKUP(C220,'National budgets summary'!A:F,5, FALSE)),(VLOOKUP(C220,'National budgets summary'!A:F,5, FALSE)), " ")</f>
        <v xml:space="preserve"> </v>
      </c>
      <c r="AH220" t="str">
        <f>IF(ISNUMBER(VLOOKUP(C220,'National budgets summary'!A:F,5, FALSE)),(VLOOKUP(C220,'National budgets summary'!A:F,4, FALSE)), " ")</f>
        <v xml:space="preserve"> </v>
      </c>
      <c r="AJ220" s="15" t="str">
        <f t="shared" si="71"/>
        <v xml:space="preserve"> </v>
      </c>
      <c r="AK220" s="15" t="str">
        <f t="shared" si="72"/>
        <v/>
      </c>
      <c r="AL220" s="15" t="str">
        <f t="shared" si="73"/>
        <v/>
      </c>
      <c r="AM220" s="15" t="str">
        <f t="shared" si="74"/>
        <v/>
      </c>
      <c r="AN220" s="15" t="str">
        <f t="shared" si="67"/>
        <v xml:space="preserve"> </v>
      </c>
      <c r="AO220" s="15" t="str">
        <f t="shared" si="68"/>
        <v xml:space="preserve"> </v>
      </c>
      <c r="AP220" t="str">
        <f t="shared" si="69"/>
        <v xml:space="preserve"> </v>
      </c>
      <c r="AQ220" t="str">
        <f t="shared" si="70"/>
        <v xml:space="preserve"> </v>
      </c>
      <c r="AR220" s="7" t="str">
        <f t="shared" si="75"/>
        <v xml:space="preserve"> </v>
      </c>
      <c r="AS220" s="7" t="str">
        <f t="shared" si="76"/>
        <v xml:space="preserve"> </v>
      </c>
      <c r="AT220" s="7" t="str">
        <f t="shared" si="77"/>
        <v xml:space="preserve"> </v>
      </c>
      <c r="AU220" s="7" t="str">
        <f t="shared" si="78"/>
        <v xml:space="preserve"> </v>
      </c>
    </row>
    <row r="221" spans="1:47">
      <c r="A221">
        <v>218</v>
      </c>
      <c r="B221" t="s">
        <v>587</v>
      </c>
      <c r="C221" t="s">
        <v>588</v>
      </c>
      <c r="D221" t="s">
        <v>497</v>
      </c>
      <c r="E221" t="s">
        <v>622</v>
      </c>
      <c r="H221" t="str">
        <f>IF(ISNUMBER(VLOOKUP(C221,'OECD DAC'!B:C,2,FALSE)), "YES", " ")</f>
        <v xml:space="preserve"> </v>
      </c>
      <c r="I221" t="s">
        <v>484</v>
      </c>
      <c r="J221" t="s">
        <v>484</v>
      </c>
      <c r="K221" s="15" t="str">
        <f>IF(ISNUMBER(VLOOKUP(C221,'WEO GOV REV'!C:BL,58,FALSE)),(VLOOKUP(C221,'WEO GOV REV'!C:BL,58,FALSE)), " ")</f>
        <v xml:space="preserve"> </v>
      </c>
      <c r="L221" s="15" t="str">
        <f>IF(ISNUMBER(VLOOKUP(C221,'WEO GOV REV'!C:BL,62,FALSE)),(VLOOKUP(C221,'WEO GOV REV'!C:BL,62,FALSE)), " ")</f>
        <v xml:space="preserve"> </v>
      </c>
      <c r="M221" t="str">
        <f>IF(ISNUMBER(VLOOKUP(C221,'WEO GOV REV'!C:BL,62,FALSE)),(VLOOKUP(C221,'WEO GOV REV'!C:BL,57,FALSE)), " ")</f>
        <v xml:space="preserve"> </v>
      </c>
      <c r="N221" s="15" t="str">
        <f>IF(ISNUMBER(VLOOKUP($C221,'IMF COFOG FULL'!$B:$CM,79,FALSE)),(VLOOKUP($C221,'IMF COFOG FULL'!$B:$CM,79,FALSE)), " ")</f>
        <v xml:space="preserve"> </v>
      </c>
      <c r="O221" s="15" t="str">
        <f>IF(ISNUMBER(VLOOKUP($C221,'IMF COFOG FULL'!$B:$CM,80,FALSE)),(VLOOKUP($C221,'IMF COFOG FULL'!$B:$CM,80,FALSE)), " ")</f>
        <v xml:space="preserve"> </v>
      </c>
      <c r="P221" s="15" t="str">
        <f>IF(ISNUMBER(VLOOKUP($C221,'IMF COFOG FULL'!$B:$CM,81,FALSE)),(VLOOKUP($C221,'IMF COFOG FULL'!$B:$CM,81,FALSE)), " ")</f>
        <v xml:space="preserve"> </v>
      </c>
      <c r="Q221" s="15" t="str">
        <f>IF(ISNUMBER(VLOOKUP($C221,'IMF COFOG FULL'!$B:$CM,82,FALSE)),(VLOOKUP($C221,'IMF COFOG FULL'!$B:$CM,82,FALSE)), " ")</f>
        <v xml:space="preserve"> </v>
      </c>
      <c r="R221" s="15" t="str">
        <f>IF(ISNUMBER(VLOOKUP($C221,'IMF COFOG FULL'!$B:$CM,83,FALSE)),(VLOOKUP($C221,'IMF COFOG FULL'!$B:$CM,83,FALSE)), " ")</f>
        <v xml:space="preserve"> </v>
      </c>
      <c r="S221" s="15" t="str">
        <f>IF(ISNUMBER(VLOOKUP($C221,'IMF COFOG FULL'!$B:$CM,84,FALSE)),(VLOOKUP($C221,'IMF COFOG FULL'!$B:$CM,84,FALSE)), " ")</f>
        <v xml:space="preserve"> </v>
      </c>
      <c r="T221" s="15" t="str">
        <f>IF(ISNUMBER(VLOOKUP($C221,'IMF COFOG FULL'!$B:$CM,85,FALSE)),(VLOOKUP($C221,'IMF COFOG FULL'!$B:$CM,85,FALSE)), " ")</f>
        <v xml:space="preserve"> </v>
      </c>
      <c r="U221" s="7" t="str">
        <f>IF(ISNUMBER(VLOOKUP($C221,'IMF COFOG FULL'!$B:$CM,79,FALSE)),(VLOOKUP($C221,'IMF COFOG FULL'!$B:$CM,86,FALSE)), " ")</f>
        <v xml:space="preserve"> </v>
      </c>
      <c r="V221" s="15" t="str">
        <f>IF(ISNUMBER(VLOOKUP($C221,'IMF COFOG FULL'!$B:$CM,79,FALSE)),(VLOOKUP($C221,'IMF COFOG FULL'!$B:$CM,87,FALSE)), " ")</f>
        <v xml:space="preserve"> </v>
      </c>
      <c r="W221" s="15" t="str">
        <f t="shared" si="79"/>
        <v xml:space="preserve"> </v>
      </c>
      <c r="X221" s="15" t="str">
        <f t="shared" si="80"/>
        <v xml:space="preserve"> </v>
      </c>
      <c r="Y221" s="15" t="str">
        <f t="shared" si="81"/>
        <v xml:space="preserve"> </v>
      </c>
      <c r="Z221" s="15" t="str">
        <f t="shared" si="82"/>
        <v xml:space="preserve"> </v>
      </c>
      <c r="AA221" s="15" t="str">
        <f t="shared" si="83"/>
        <v xml:space="preserve"> </v>
      </c>
      <c r="AB221" s="15" t="str">
        <f t="shared" si="84"/>
        <v xml:space="preserve"> </v>
      </c>
      <c r="AC221" s="15" t="str">
        <f t="shared" si="85"/>
        <v xml:space="preserve"> </v>
      </c>
      <c r="AG221" s="15" t="str">
        <f>IF(ISNUMBER(VLOOKUP(C221,'National budgets summary'!A:F,5, FALSE)),(VLOOKUP(C221,'National budgets summary'!A:F,5, FALSE)), " ")</f>
        <v xml:space="preserve"> </v>
      </c>
      <c r="AH221" t="str">
        <f>IF(ISNUMBER(VLOOKUP(C221,'National budgets summary'!A:F,5, FALSE)),(VLOOKUP(C221,'National budgets summary'!A:F,4, FALSE)), " ")</f>
        <v xml:space="preserve"> </v>
      </c>
      <c r="AJ221" s="15" t="str">
        <f t="shared" si="71"/>
        <v xml:space="preserve"> </v>
      </c>
      <c r="AK221" s="15" t="str">
        <f t="shared" si="72"/>
        <v/>
      </c>
      <c r="AL221" s="15" t="str">
        <f t="shared" si="73"/>
        <v/>
      </c>
      <c r="AM221" s="15" t="str">
        <f t="shared" si="74"/>
        <v/>
      </c>
      <c r="AN221" s="15" t="str">
        <f t="shared" si="67"/>
        <v xml:space="preserve"> </v>
      </c>
      <c r="AO221" s="15" t="str">
        <f t="shared" si="68"/>
        <v xml:space="preserve"> </v>
      </c>
      <c r="AP221" t="str">
        <f t="shared" si="69"/>
        <v xml:space="preserve"> </v>
      </c>
      <c r="AQ221" t="str">
        <f t="shared" si="70"/>
        <v xml:space="preserve"> </v>
      </c>
      <c r="AR221" s="7" t="str">
        <f t="shared" si="75"/>
        <v xml:space="preserve"> </v>
      </c>
      <c r="AS221" s="7" t="str">
        <f t="shared" si="76"/>
        <v xml:space="preserve"> </v>
      </c>
      <c r="AT221" s="7" t="str">
        <f t="shared" si="77"/>
        <v xml:space="preserve"> </v>
      </c>
      <c r="AU221" s="7" t="str">
        <f t="shared" si="78"/>
        <v xml:space="preserve"> </v>
      </c>
    </row>
    <row r="222" spans="1:47">
      <c r="W222" s="15" t="str">
        <f t="shared" si="79"/>
        <v xml:space="preserve"> </v>
      </c>
      <c r="X222" s="15" t="str">
        <f t="shared" si="80"/>
        <v xml:space="preserve"> </v>
      </c>
      <c r="Y222" s="15" t="str">
        <f t="shared" si="81"/>
        <v xml:space="preserve"> </v>
      </c>
      <c r="Z222" s="15" t="str">
        <f t="shared" si="82"/>
        <v xml:space="preserve"> </v>
      </c>
      <c r="AA222" s="15" t="str">
        <f t="shared" si="83"/>
        <v xml:space="preserve"> </v>
      </c>
      <c r="AB222" s="15" t="str">
        <f t="shared" si="84"/>
        <v xml:space="preserve"> </v>
      </c>
      <c r="AC222" s="15" t="str">
        <f t="shared" si="85"/>
        <v xml:space="preserve"> </v>
      </c>
      <c r="AG222" s="15" t="str">
        <f>IF(ISNUMBER(VLOOKUP(C222,'National budgets summary'!A151:E252,5, FALSE)),(VLOOKUP(C222,'National budgets summary'!A151:E252,5, FALSE)), " ")</f>
        <v xml:space="preserve"> </v>
      </c>
      <c r="AH222" t="str">
        <f>IF(ISNUMBER(VLOOKUP(C222,'National budgets summary'!A151:E252,5, FALSE)),(VLOOKUP(C222,'National budgets summary'!A151:E252,4, FALSE)), " ")</f>
        <v xml:space="preserve"> </v>
      </c>
      <c r="AJ222" s="15" t="str">
        <f t="shared" si="71"/>
        <v xml:space="preserve"> </v>
      </c>
      <c r="AN222" s="15" t="str">
        <f t="shared" si="67"/>
        <v xml:space="preserve"> </v>
      </c>
      <c r="AO222" s="15" t="str">
        <f t="shared" si="68"/>
        <v xml:space="preserve"> </v>
      </c>
      <c r="AP222" t="str">
        <f t="shared" si="69"/>
        <v xml:space="preserve"> </v>
      </c>
      <c r="AQ222" t="str">
        <f t="shared" si="70"/>
        <v xml:space="preserve"> </v>
      </c>
    </row>
    <row r="224" spans="1:47">
      <c r="C224" t="s">
        <v>624</v>
      </c>
      <c r="D224" t="s">
        <v>625</v>
      </c>
      <c r="AN224" s="15" t="str">
        <f>IF(ISNUMBER(W224),W224,IF(ISNUMBER(AI224),AI224, " "))</f>
        <v xml:space="preserve"> </v>
      </c>
      <c r="AO224" s="15" t="str">
        <f>IF(ISNUMBER(N224),N224,IF(ISNUMBER(AJ224),AJ224, " "))</f>
        <v xml:space="preserve"> </v>
      </c>
      <c r="AP224" t="str">
        <f>IF(ISNUMBER(N224),U224,IF(ISNUMBER(AJ224),AH224, " "))</f>
        <v xml:space="preserve"> </v>
      </c>
      <c r="AQ224" t="str">
        <f>IF(ISNUMBER(N224),"IMF COFOG",IF(ISNUMBER(AJ224),"National", " "))</f>
        <v xml:space="preserve"> </v>
      </c>
    </row>
    <row r="225" spans="2:6">
      <c r="B225" t="s">
        <v>626</v>
      </c>
    </row>
    <row r="226" spans="2:6">
      <c r="B226" t="s">
        <v>282</v>
      </c>
      <c r="C226" cm="1">
        <f t="array" ref="C226">AVERAGE(IF(E$4:E$221="Low income",IF(ISNUMBER(AO$4:AO$221),AO$4:AO$221)))</f>
        <v>1.7811714909939094</v>
      </c>
      <c r="D226" cm="1">
        <f t="array" ref="D226">AVERAGE(IF(E$4:E$221="Low income",IF(ISNUMBER(AN$4:AN$221),AN$4:AN$221)))</f>
        <v>9.1629908751834694</v>
      </c>
    </row>
    <row r="227" spans="2:6">
      <c r="B227" t="s">
        <v>283</v>
      </c>
      <c r="C227" cm="1">
        <f t="array" ref="C227">AVERAGE(IF(E$4:E$221="Lower middle income",IF(ISNUMBER(AO$4:AO$221),AO$4:AO$221)))</f>
        <v>1.9569955857135284</v>
      </c>
      <c r="D227" cm="1">
        <f t="array" ref="D227">AVERAGE(IF(E$4:E$221="Lower middle income",IF(ISNUMBER(AN$4:AN$221),AN$4:AN$221)))</f>
        <v>7.9973052860095635</v>
      </c>
    </row>
    <row r="228" spans="2:6">
      <c r="B228" t="s">
        <v>284</v>
      </c>
      <c r="C228" cm="1">
        <f t="array" ref="C228">AVERAGE(IF(E$4:E$221="Upper middle income",IF(ISNUMBER(AO$4:AO$221),AO$4:AO$221)))</f>
        <v>2.5279473735261919</v>
      </c>
      <c r="D228" cm="1">
        <f t="array" ref="D228">AVERAGE(IF(E$4:E$221="Upper middle income",IF(ISNUMBER(AN$4:AN$221),AN$4:AN$221)))</f>
        <v>9.0943334802868581</v>
      </c>
    </row>
    <row r="229" spans="2:6">
      <c r="B229" t="s">
        <v>592</v>
      </c>
      <c r="C229" cm="1">
        <f t="array" ref="C229">AVERAGE(IF(E$4:E$221="High income",IF(ISNUMBER(AO$4:AO$221),AO$4:AO$221)))</f>
        <v>2.2940634640151965</v>
      </c>
      <c r="D229" cm="1">
        <f t="array" ref="D229">AVERAGE(IF(E$4:E$221="High income",IF(ISNUMBER(AN$4:AN$221),AN$4:AN$221)))</f>
        <v>6.1130331940329095</v>
      </c>
    </row>
    <row r="230" spans="2:6">
      <c r="B230" t="s">
        <v>285</v>
      </c>
    </row>
    <row r="231" spans="2:6">
      <c r="B231" t="s">
        <v>627</v>
      </c>
    </row>
    <row r="232" spans="2:6">
      <c r="B232" t="s">
        <v>282</v>
      </c>
      <c r="C232" cm="1">
        <f t="array" ref="C232">MEDIAN(IF(E$4:E$221="Low income",IF(ISNUMBER(AO$4:AO$221),AO$4:AO$221)))</f>
        <v>1.4368284384084631</v>
      </c>
      <c r="D232" cm="1">
        <f t="array" ref="D232">MEDIAN(IF(E$4:E$221="Low income",IF(ISNUMBER(AN$4:AN$221),AN$4:AN$221)))</f>
        <v>7.3551871389098205</v>
      </c>
    </row>
    <row r="233" spans="2:6">
      <c r="B233" t="s">
        <v>283</v>
      </c>
      <c r="C233" cm="1">
        <f t="array" ref="C233">MEDIAN(IF(E$4:E$221="Lower middle income",IF(ISNUMBER(AO$4:AO$221),AO$4:AO$221)))</f>
        <v>1.6006035592726564</v>
      </c>
      <c r="D233" cm="1">
        <f t="array" ref="D233">MEDIAN(IF(E$4:E$221="Lower middle income",IF(ISNUMBER(AN$4:AN$221),AN$4:AN$221)))</f>
        <v>7.3448317479129557</v>
      </c>
    </row>
    <row r="234" spans="2:6">
      <c r="B234" t="s">
        <v>284</v>
      </c>
      <c r="C234" cm="1">
        <f t="array" ref="C234">MEDIAN(IF(E$4:E$221="Upper middle income",IF(ISNUMBER(AO$4:AO$221),AO$4:AO$221)))</f>
        <v>2.3843350115441502</v>
      </c>
      <c r="D234" cm="1">
        <f t="array" ref="D234">MEDIAN(IF(E$4:E$221="Upper middle income",IF(ISNUMBER(AN$4:AN$221),AN$4:AN$221)))</f>
        <v>7.624516289077687</v>
      </c>
    </row>
    <row r="235" spans="2:6">
      <c r="B235" t="s">
        <v>592</v>
      </c>
      <c r="C235" cm="1">
        <f t="array" ref="C235">MEDIAN(IF(E$4:E$221="High income",IF(ISNUMBER(AO$4:AO$221),AO$4:AO$221)))</f>
        <v>1.9366105048240301</v>
      </c>
      <c r="D235" cm="1">
        <f t="array" ref="D235">MEDIAN(IF(E$4:E$221="High income",IF(ISNUMBER(AN$4:AN$221),AN$4:AN$221)))</f>
        <v>4.9884240751141959</v>
      </c>
    </row>
    <row r="236" spans="2:6">
      <c r="B236" t="s">
        <v>285</v>
      </c>
    </row>
    <row r="237" spans="2:6">
      <c r="B237" t="s">
        <v>628</v>
      </c>
    </row>
    <row r="238" spans="2:6">
      <c r="C238" t="s">
        <v>591</v>
      </c>
      <c r="D238" t="s">
        <v>273</v>
      </c>
      <c r="E238" t="s">
        <v>277</v>
      </c>
      <c r="F238" t="s">
        <v>629</v>
      </c>
    </row>
    <row r="239" spans="2:6">
      <c r="B239" t="s">
        <v>282</v>
      </c>
      <c r="C239" cm="1">
        <f t="array" ref="C239">COUNT(IF(E$4:E$221="Low income",IF(ISNUMBER(AO$4:AO$221),AO$4:AO$221)))</f>
        <v>21</v>
      </c>
      <c r="D239" cm="1">
        <f t="array" ref="D239">COUNT(IF(E$4:E$221="Low income",IF(AQ$4:AQ$221="IMF COFOG",IF(ISNUMBER(AP$4:AP$221), IF(AP$4:AP$221&gt;2017,AN$4:AN$221)))))</f>
        <v>3</v>
      </c>
      <c r="E239">
        <v>28</v>
      </c>
      <c r="F239" s="4">
        <f>C239/E239</f>
        <v>0.75</v>
      </c>
    </row>
    <row r="240" spans="2:6">
      <c r="B240" t="s">
        <v>283</v>
      </c>
      <c r="C240" cm="1">
        <f t="array" ref="C240">COUNT(IF(E$4:E$221="Lower middle income",IF(ISNUMBER(AO$4:AO$221),AO$4:AO$221)))</f>
        <v>41</v>
      </c>
      <c r="D240" cm="1">
        <f t="array" ref="D240">COUNT(IF(E$4:E$221="Lower middle income",IF(AQ$4:AQ$221="IMF COFOG",IF(ISNUMBER(AP$4:AP$221), IF(AP$4:AP$221&gt;2017,AN$4:AN$221)))))</f>
        <v>19</v>
      </c>
      <c r="E240">
        <v>54</v>
      </c>
      <c r="F240" s="4">
        <f t="shared" ref="F240:F243" si="86">C240/E240</f>
        <v>0.7592592592592593</v>
      </c>
    </row>
    <row r="241" spans="2:6">
      <c r="B241" t="s">
        <v>284</v>
      </c>
      <c r="C241" cm="1">
        <f t="array" ref="C241">COUNT(IF(E$4:E$221="Upper middle income",IF(ISNUMBER(AO$4:AO$221),AO$4:AO$221)))</f>
        <v>26</v>
      </c>
      <c r="D241" cm="1">
        <f t="array" ref="D241">COUNT(IF(E$4:E$221="Upper middle income",IF(AQ$4:AQ$221="IMF COFOG",IF(ISNUMBER(AP$4:AP$221), IF(AP$4:AP$221&gt;2017,AN$4:AN$221)))))</f>
        <v>26</v>
      </c>
      <c r="E241">
        <v>54</v>
      </c>
      <c r="F241" s="4">
        <f t="shared" si="86"/>
        <v>0.48148148148148145</v>
      </c>
    </row>
    <row r="242" spans="2:6">
      <c r="B242" t="s">
        <v>592</v>
      </c>
      <c r="C242" cm="1">
        <f t="array" ref="C242">COUNT(IF(E$4:E$221="High income",IF(ISNUMBER(AO$4:AO$221),AO$4:AO$221)))</f>
        <v>48</v>
      </c>
      <c r="D242" cm="1">
        <f t="array" ref="D242">COUNT(IF(E$4:E$221="High income",IF(AQ$4:AQ$221="IMF COFOG",IF(ISNUMBER(AP$4:AP$221), IF(AP$4:AP$221&gt;2017,AN$4:AN$221)))))</f>
        <v>47</v>
      </c>
      <c r="E242">
        <v>81</v>
      </c>
      <c r="F242" s="4">
        <f t="shared" si="86"/>
        <v>0.59259259259259256</v>
      </c>
    </row>
    <row r="243" spans="2:6">
      <c r="B243" t="s">
        <v>285</v>
      </c>
      <c r="C243" cm="1">
        <f t="array" ref="C243">COUNT(IF(H$4:H$221="YES",IF(ISNUMBER(AO$4:AO$221),AO$4:AO$221)))</f>
        <v>29</v>
      </c>
      <c r="D243" cm="1">
        <f t="array" ref="D243">COUNT(IF(H$4:H$221="YES",IF(AQ$4:AQ$221="IMF COFOG",IF(ISNUMBER(AP$4:AP$221), IF(AP$4:AP$221&gt;2017,AN$4:AN$221)))))</f>
        <v>28</v>
      </c>
      <c r="E243">
        <v>29</v>
      </c>
      <c r="F243" s="4">
        <f t="shared" si="86"/>
        <v>1</v>
      </c>
    </row>
    <row r="244" spans="2:6">
      <c r="C244">
        <f>C239+C240</f>
        <v>62</v>
      </c>
      <c r="F244" s="4"/>
    </row>
  </sheetData>
  <autoFilter ref="A3:AQ244" xr:uid="{0610FDC4-55A2-4A68-9906-69FCCB20CCAE}"/>
  <mergeCells count="5">
    <mergeCell ref="AR2:AU2"/>
    <mergeCell ref="N2:V2"/>
    <mergeCell ref="W2:AC2"/>
    <mergeCell ref="AD2:AJ2"/>
    <mergeCell ref="AK2:AM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E2EB3-6AE7-415A-9F57-012A313E9709}">
  <dimension ref="A1:F164"/>
  <sheetViews>
    <sheetView tabSelected="1" topLeftCell="A30" workbookViewId="0">
      <selection activeCell="E59" sqref="E59"/>
    </sheetView>
  </sheetViews>
  <sheetFormatPr defaultColWidth="8.85546875" defaultRowHeight="14.45"/>
  <cols>
    <col min="2" max="2" width="11.140625" customWidth="1"/>
    <col min="4" max="4" width="15.28515625" customWidth="1"/>
    <col min="5" max="5" width="15.42578125" customWidth="1"/>
  </cols>
  <sheetData>
    <row r="1" spans="1:6">
      <c r="E1" s="32" t="s">
        <v>630</v>
      </c>
      <c r="F1" s="32"/>
    </row>
    <row r="2" spans="1:6">
      <c r="A2" s="1" t="s">
        <v>302</v>
      </c>
      <c r="B2" s="75" t="s">
        <v>47</v>
      </c>
      <c r="C2" s="75" t="s">
        <v>303</v>
      </c>
      <c r="D2" s="75" t="s">
        <v>304</v>
      </c>
      <c r="E2" s="75" t="s">
        <v>267</v>
      </c>
    </row>
    <row r="3" spans="1:6">
      <c r="A3">
        <v>1</v>
      </c>
      <c r="B3" s="15" t="s">
        <v>93</v>
      </c>
      <c r="C3" s="15" t="s">
        <v>305</v>
      </c>
      <c r="D3" s="15" t="s">
        <v>306</v>
      </c>
      <c r="E3" s="15" t="e">
        <f>Table141415[[#This Row],[Police]]/Table14[[#This Row],[Justice]]</f>
        <v>#N/A</v>
      </c>
    </row>
    <row r="4" spans="1:6">
      <c r="A4">
        <v>2</v>
      </c>
      <c r="B4" s="15" t="s">
        <v>94</v>
      </c>
      <c r="C4" s="15" t="s">
        <v>307</v>
      </c>
      <c r="D4" s="15" t="s">
        <v>306</v>
      </c>
      <c r="E4" s="15">
        <f>Table141415[[#This Row],[Police]]/Table14[[#This Row],[Justice]]</f>
        <v>0.80473271564557458</v>
      </c>
    </row>
    <row r="5" spans="1:6">
      <c r="A5">
        <v>3</v>
      </c>
      <c r="B5" s="15" t="s">
        <v>95</v>
      </c>
      <c r="C5" s="15" t="s">
        <v>308</v>
      </c>
      <c r="D5" s="15" t="s">
        <v>306</v>
      </c>
      <c r="E5" s="15">
        <f>Table141415[[#This Row],[Police]]/Table14[[#This Row],[Justice]]</f>
        <v>1.0508261095058169E-3</v>
      </c>
    </row>
    <row r="6" spans="1:6">
      <c r="A6">
        <v>4</v>
      </c>
      <c r="B6" s="15" t="s">
        <v>96</v>
      </c>
      <c r="C6" s="15" t="s">
        <v>309</v>
      </c>
      <c r="D6" s="15" t="s">
        <v>306</v>
      </c>
      <c r="E6" s="15">
        <f>Table141415[[#This Row],[Police]]/Table14[[#This Row],[Justice]]</f>
        <v>0.89880766514055122</v>
      </c>
    </row>
    <row r="7" spans="1:6">
      <c r="A7">
        <v>5</v>
      </c>
      <c r="B7" s="15" t="s">
        <v>97</v>
      </c>
      <c r="C7" s="15" t="s">
        <v>310</v>
      </c>
      <c r="D7" s="15" t="s">
        <v>306</v>
      </c>
      <c r="E7" s="15">
        <f>Table141415[[#This Row],[Police]]/Table14[[#This Row],[Justice]]</f>
        <v>0.20887604958785622</v>
      </c>
    </row>
    <row r="8" spans="1:6">
      <c r="A8">
        <v>6</v>
      </c>
      <c r="B8" s="15" t="s">
        <v>98</v>
      </c>
      <c r="C8" s="15" t="s">
        <v>311</v>
      </c>
      <c r="D8" s="15" t="s">
        <v>306</v>
      </c>
      <c r="E8" s="15">
        <f>Table141415[[#This Row],[Police]]/Table14[[#This Row],[Justice]]</f>
        <v>0.60221612339844721</v>
      </c>
    </row>
    <row r="9" spans="1:6" ht="15" customHeight="1">
      <c r="A9">
        <v>7</v>
      </c>
      <c r="B9" t="s">
        <v>99</v>
      </c>
      <c r="C9" t="s">
        <v>312</v>
      </c>
      <c r="D9" t="s">
        <v>306</v>
      </c>
      <c r="E9" s="15" t="e">
        <f>Table141415[[#This Row],[Police]]/Table14[[#This Row],[Justice]]</f>
        <v>#N/A</v>
      </c>
    </row>
    <row r="10" spans="1:6">
      <c r="A10">
        <v>8</v>
      </c>
      <c r="B10" s="15" t="s">
        <v>100</v>
      </c>
      <c r="C10" s="15" t="s">
        <v>313</v>
      </c>
      <c r="D10" s="15" t="s">
        <v>306</v>
      </c>
      <c r="E10" s="15">
        <f>Table141415[[#This Row],[Police]]/Table14[[#This Row],[Justice]]</f>
        <v>0.4847544951722178</v>
      </c>
    </row>
    <row r="11" spans="1:6">
      <c r="A11">
        <v>9</v>
      </c>
      <c r="B11" s="15" t="s">
        <v>101</v>
      </c>
      <c r="C11" s="15" t="s">
        <v>314</v>
      </c>
      <c r="D11" s="15" t="s">
        <v>306</v>
      </c>
      <c r="E11" s="15" t="e">
        <f>Table141415[[#This Row],[Police]]/Table14[[#This Row],[Justice]]</f>
        <v>#N/A</v>
      </c>
    </row>
    <row r="12" spans="1:6" ht="15" customHeight="1">
      <c r="A12">
        <v>10</v>
      </c>
      <c r="B12" t="s">
        <v>102</v>
      </c>
      <c r="C12" t="s">
        <v>315</v>
      </c>
      <c r="D12" t="s">
        <v>306</v>
      </c>
      <c r="E12" s="15" t="e">
        <f>Table141415[[#This Row],[Police]]/Table14[[#This Row],[Justice]]</f>
        <v>#N/A</v>
      </c>
    </row>
    <row r="13" spans="1:6" ht="15" customHeight="1">
      <c r="A13">
        <v>11</v>
      </c>
      <c r="B13" t="s">
        <v>103</v>
      </c>
      <c r="C13" t="s">
        <v>316</v>
      </c>
      <c r="D13" t="s">
        <v>306</v>
      </c>
      <c r="E13" s="15" t="e">
        <f>Table141415[[#This Row],[Police]]/Table14[[#This Row],[Justice]]</f>
        <v>#N/A</v>
      </c>
    </row>
    <row r="14" spans="1:6">
      <c r="A14">
        <v>12</v>
      </c>
      <c r="B14" s="15" t="s">
        <v>104</v>
      </c>
      <c r="C14" s="15" t="s">
        <v>317</v>
      </c>
      <c r="D14" s="15" t="s">
        <v>306</v>
      </c>
      <c r="E14" s="15">
        <f>Table141415[[#This Row],[Police]]/Table14[[#This Row],[Justice]]</f>
        <v>0.68383759417069978</v>
      </c>
    </row>
    <row r="15" spans="1:6">
      <c r="A15">
        <v>13</v>
      </c>
      <c r="B15" t="s">
        <v>105</v>
      </c>
      <c r="C15" t="s">
        <v>318</v>
      </c>
      <c r="D15" t="s">
        <v>306</v>
      </c>
      <c r="E15" s="15" t="e">
        <f>Table141415[[#This Row],[Police]]/Table14[[#This Row],[Justice]]</f>
        <v>#N/A</v>
      </c>
    </row>
    <row r="16" spans="1:6">
      <c r="A16">
        <v>14</v>
      </c>
      <c r="B16" s="15" t="s">
        <v>106</v>
      </c>
      <c r="C16" s="15" t="s">
        <v>319</v>
      </c>
      <c r="D16" s="15" t="s">
        <v>306</v>
      </c>
      <c r="E16" s="15" t="e">
        <f>Table141415[[#This Row],[Police]]/Table14[[#This Row],[Justice]]</f>
        <v>#N/A</v>
      </c>
    </row>
    <row r="17" spans="1:5">
      <c r="A17">
        <v>15</v>
      </c>
      <c r="B17" t="s">
        <v>107</v>
      </c>
      <c r="C17" t="s">
        <v>320</v>
      </c>
      <c r="D17" t="s">
        <v>306</v>
      </c>
      <c r="E17" s="15" t="e">
        <f>Table141415[[#This Row],[Police]]/Table14[[#This Row],[Justice]]</f>
        <v>#N/A</v>
      </c>
    </row>
    <row r="18" spans="1:5">
      <c r="A18">
        <v>16</v>
      </c>
      <c r="B18" t="s">
        <v>108</v>
      </c>
      <c r="C18" t="s">
        <v>321</v>
      </c>
      <c r="D18" t="s">
        <v>306</v>
      </c>
      <c r="E18" s="15" t="e">
        <f>Table141415[[#This Row],[Police]]/Table14[[#This Row],[Justice]]</f>
        <v>#N/A</v>
      </c>
    </row>
    <row r="19" spans="1:5">
      <c r="A19">
        <v>17</v>
      </c>
      <c r="B19" s="15" t="s">
        <v>109</v>
      </c>
      <c r="C19" s="15" t="s">
        <v>322</v>
      </c>
      <c r="D19" s="15" t="s">
        <v>306</v>
      </c>
      <c r="E19" s="15">
        <f>Table141415[[#This Row],[Police]]/Table14[[#This Row],[Justice]]</f>
        <v>0.10668550063711355</v>
      </c>
    </row>
    <row r="20" spans="1:5">
      <c r="A20">
        <v>18</v>
      </c>
      <c r="B20" s="15" t="s">
        <v>110</v>
      </c>
      <c r="C20" s="15" t="s">
        <v>323</v>
      </c>
      <c r="D20" s="15" t="s">
        <v>306</v>
      </c>
      <c r="E20" s="15">
        <f>Table141415[[#This Row],[Police]]/Table14[[#This Row],[Justice]]</f>
        <v>0</v>
      </c>
    </row>
    <row r="21" spans="1:5">
      <c r="A21">
        <v>19</v>
      </c>
      <c r="B21" s="15" t="s">
        <v>111</v>
      </c>
      <c r="C21" s="15" t="s">
        <v>324</v>
      </c>
      <c r="D21" s="15" t="s">
        <v>306</v>
      </c>
      <c r="E21" s="15">
        <f>Table141415[[#This Row],[Police]]/Table14[[#This Row],[Justice]]</f>
        <v>0.4869492772397212</v>
      </c>
    </row>
    <row r="22" spans="1:5">
      <c r="A22">
        <v>20</v>
      </c>
      <c r="B22" s="15" t="s">
        <v>112</v>
      </c>
      <c r="C22" s="15" t="s">
        <v>325</v>
      </c>
      <c r="D22" s="15" t="s">
        <v>306</v>
      </c>
      <c r="E22" s="15">
        <f>Table141415[[#This Row],[Police]]/Table14[[#This Row],[Justice]]</f>
        <v>0.68616195424357074</v>
      </c>
    </row>
    <row r="23" spans="1:5">
      <c r="A23">
        <v>21</v>
      </c>
      <c r="B23" t="s">
        <v>113</v>
      </c>
      <c r="C23" t="s">
        <v>326</v>
      </c>
      <c r="D23" t="s">
        <v>306</v>
      </c>
      <c r="E23" s="15">
        <f>Table141415[[#This Row],[Police]]/Table14[[#This Row],[Justice]]</f>
        <v>0.35077288941736035</v>
      </c>
    </row>
    <row r="24" spans="1:5">
      <c r="A24">
        <v>22</v>
      </c>
      <c r="B24" t="s">
        <v>114</v>
      </c>
      <c r="C24" t="s">
        <v>327</v>
      </c>
      <c r="D24" t="s">
        <v>306</v>
      </c>
      <c r="E24" s="15" t="e">
        <f>Table141415[[#This Row],[Police]]/Table14[[#This Row],[Justice]]</f>
        <v>#N/A</v>
      </c>
    </row>
    <row r="25" spans="1:5">
      <c r="A25">
        <v>23</v>
      </c>
      <c r="B25" s="15" t="s">
        <v>115</v>
      </c>
      <c r="C25" s="15" t="s">
        <v>328</v>
      </c>
      <c r="D25" s="15" t="s">
        <v>306</v>
      </c>
      <c r="E25" s="15">
        <f>Table141415[[#This Row],[Police]]/Table14[[#This Row],[Justice]]</f>
        <v>0.46463984243621465</v>
      </c>
    </row>
    <row r="26" spans="1:5">
      <c r="A26">
        <v>24</v>
      </c>
      <c r="B26" t="s">
        <v>116</v>
      </c>
      <c r="C26" t="s">
        <v>329</v>
      </c>
      <c r="D26" t="s">
        <v>306</v>
      </c>
      <c r="E26" s="15" t="e">
        <f>Table141415[[#This Row],[Police]]/Table14[[#This Row],[Justice]]</f>
        <v>#N/A</v>
      </c>
    </row>
    <row r="27" spans="1:5">
      <c r="A27">
        <v>25</v>
      </c>
      <c r="B27" t="s">
        <v>117</v>
      </c>
      <c r="C27" t="s">
        <v>330</v>
      </c>
      <c r="D27" t="s">
        <v>306</v>
      </c>
      <c r="E27" s="15" t="e">
        <f>Table141415[[#This Row],[Police]]/Table14[[#This Row],[Justice]]</f>
        <v>#N/A</v>
      </c>
    </row>
    <row r="28" spans="1:5">
      <c r="A28">
        <v>26</v>
      </c>
      <c r="B28" s="15" t="s">
        <v>118</v>
      </c>
      <c r="C28" s="15" t="s">
        <v>331</v>
      </c>
      <c r="D28" s="15" t="s">
        <v>306</v>
      </c>
      <c r="E28" s="15">
        <f>Table141415[[#This Row],[Police]]/Table14[[#This Row],[Justice]]</f>
        <v>0.60253452938523311</v>
      </c>
    </row>
    <row r="29" spans="1:5">
      <c r="A29">
        <v>27</v>
      </c>
      <c r="B29" t="s">
        <v>119</v>
      </c>
      <c r="C29" t="s">
        <v>332</v>
      </c>
      <c r="D29" t="s">
        <v>306</v>
      </c>
      <c r="E29" s="15">
        <f>Table141415[[#This Row],[Police]]/Table14[[#This Row],[Justice]]</f>
        <v>0.53245756683388246</v>
      </c>
    </row>
    <row r="30" spans="1:5">
      <c r="A30">
        <v>28</v>
      </c>
      <c r="B30" s="15" t="s">
        <v>120</v>
      </c>
      <c r="C30" s="15" t="s">
        <v>333</v>
      </c>
      <c r="D30" s="15" t="s">
        <v>334</v>
      </c>
      <c r="E30" s="15">
        <f>Table141415[[#This Row],[Police]]/Table14[[#This Row],[Justice]]</f>
        <v>0.62938773837787032</v>
      </c>
    </row>
    <row r="31" spans="1:5">
      <c r="A31">
        <v>29</v>
      </c>
      <c r="B31" s="15" t="s">
        <v>121</v>
      </c>
      <c r="C31" s="15" t="s">
        <v>335</v>
      </c>
      <c r="D31" s="15" t="s">
        <v>334</v>
      </c>
      <c r="E31" s="15" t="e">
        <f>Table141415[[#This Row],[Police]]/Table14[[#This Row],[Justice]]</f>
        <v>#N/A</v>
      </c>
    </row>
    <row r="32" spans="1:5">
      <c r="A32">
        <v>30</v>
      </c>
      <c r="B32" t="s">
        <v>122</v>
      </c>
      <c r="C32" t="s">
        <v>336</v>
      </c>
      <c r="D32" t="s">
        <v>334</v>
      </c>
      <c r="E32" s="15" t="e">
        <f>Table141415[[#This Row],[Police]]/Table14[[#This Row],[Justice]]</f>
        <v>#N/A</v>
      </c>
    </row>
    <row r="33" spans="1:5">
      <c r="A33">
        <v>31</v>
      </c>
      <c r="B33" t="s">
        <v>123</v>
      </c>
      <c r="C33" t="s">
        <v>337</v>
      </c>
      <c r="D33" t="s">
        <v>334</v>
      </c>
      <c r="E33" s="15" t="e">
        <f>Table141415[[#This Row],[Police]]/Table14[[#This Row],[Justice]]</f>
        <v>#N/A</v>
      </c>
    </row>
    <row r="34" spans="1:5">
      <c r="A34">
        <v>32</v>
      </c>
      <c r="B34" s="15" t="s">
        <v>124</v>
      </c>
      <c r="C34" s="15" t="s">
        <v>338</v>
      </c>
      <c r="D34" s="15" t="s">
        <v>334</v>
      </c>
      <c r="E34" s="15">
        <f>Table141415[[#This Row],[Police]]/Table14[[#This Row],[Justice]]</f>
        <v>0.69213589985360424</v>
      </c>
    </row>
    <row r="35" spans="1:5">
      <c r="A35">
        <v>33</v>
      </c>
      <c r="B35" t="s">
        <v>125</v>
      </c>
      <c r="C35" t="s">
        <v>339</v>
      </c>
      <c r="D35" t="s">
        <v>334</v>
      </c>
      <c r="E35" s="15" t="e">
        <f>Table141415[[#This Row],[Police]]/Table14[[#This Row],[Justice]]</f>
        <v>#N/A</v>
      </c>
    </row>
    <row r="36" spans="1:5">
      <c r="A36">
        <v>34</v>
      </c>
      <c r="B36" t="s">
        <v>126</v>
      </c>
      <c r="C36" t="s">
        <v>340</v>
      </c>
      <c r="D36" t="s">
        <v>334</v>
      </c>
      <c r="E36" s="15" t="e">
        <f>Table141415[[#This Row],[Police]]/Table14[[#This Row],[Justice]]</f>
        <v>#N/A</v>
      </c>
    </row>
    <row r="37" spans="1:5">
      <c r="A37">
        <v>35</v>
      </c>
      <c r="B37" t="s">
        <v>127</v>
      </c>
      <c r="C37" t="s">
        <v>341</v>
      </c>
      <c r="D37" t="s">
        <v>334</v>
      </c>
      <c r="E37" s="15" t="e">
        <f>Table141415[[#This Row],[Police]]/Table14[[#This Row],[Justice]]</f>
        <v>#N/A</v>
      </c>
    </row>
    <row r="38" spans="1:5">
      <c r="A38">
        <v>36</v>
      </c>
      <c r="B38" t="s">
        <v>128</v>
      </c>
      <c r="C38" t="s">
        <v>342</v>
      </c>
      <c r="D38" t="s">
        <v>334</v>
      </c>
      <c r="E38" s="15" t="e">
        <f>Table141415[[#This Row],[Police]]/Table14[[#This Row],[Justice]]</f>
        <v>#N/A</v>
      </c>
    </row>
    <row r="39" spans="1:5">
      <c r="A39">
        <v>37</v>
      </c>
      <c r="B39" t="s">
        <v>129</v>
      </c>
      <c r="C39" t="s">
        <v>343</v>
      </c>
      <c r="D39" t="s">
        <v>334</v>
      </c>
      <c r="E39" s="15" t="e">
        <f>Table141415[[#This Row],[Police]]/Table14[[#This Row],[Justice]]</f>
        <v>#N/A</v>
      </c>
    </row>
    <row r="40" spans="1:5">
      <c r="A40">
        <v>38</v>
      </c>
      <c r="B40" t="s">
        <v>130</v>
      </c>
      <c r="C40" t="s">
        <v>344</v>
      </c>
      <c r="D40" t="s">
        <v>334</v>
      </c>
      <c r="E40" s="15">
        <f>Table141415[[#This Row],[Police]]/Table14[[#This Row],[Justice]]</f>
        <v>0.91645515536543554</v>
      </c>
    </row>
    <row r="41" spans="1:5">
      <c r="A41">
        <v>39</v>
      </c>
      <c r="B41" t="s">
        <v>131</v>
      </c>
      <c r="C41" t="s">
        <v>345</v>
      </c>
      <c r="D41" t="s">
        <v>334</v>
      </c>
      <c r="E41" s="15" t="e">
        <f>Table141415[[#This Row],[Police]]/Table14[[#This Row],[Justice]]</f>
        <v>#N/A</v>
      </c>
    </row>
    <row r="42" spans="1:5">
      <c r="A42">
        <v>40</v>
      </c>
      <c r="B42" t="s">
        <v>132</v>
      </c>
      <c r="C42" t="s">
        <v>346</v>
      </c>
      <c r="D42" t="s">
        <v>334</v>
      </c>
      <c r="E42" s="15" t="e">
        <f>Table141415[[#This Row],[Police]]/Table14[[#This Row],[Justice]]</f>
        <v>#N/A</v>
      </c>
    </row>
    <row r="43" spans="1:5">
      <c r="A43">
        <v>41</v>
      </c>
      <c r="B43" t="s">
        <v>133</v>
      </c>
      <c r="C43" t="s">
        <v>347</v>
      </c>
      <c r="D43" t="s">
        <v>334</v>
      </c>
      <c r="E43" s="15" t="e">
        <f>Table141415[[#This Row],[Police]]/Table14[[#This Row],[Justice]]</f>
        <v>#N/A</v>
      </c>
    </row>
    <row r="44" spans="1:5">
      <c r="A44">
        <v>42</v>
      </c>
      <c r="B44" t="s">
        <v>134</v>
      </c>
      <c r="C44" t="s">
        <v>348</v>
      </c>
      <c r="D44" t="s">
        <v>334</v>
      </c>
      <c r="E44" s="15" t="e">
        <f>Table141415[[#This Row],[Police]]/Table14[[#This Row],[Justice]]</f>
        <v>#N/A</v>
      </c>
    </row>
    <row r="45" spans="1:5">
      <c r="A45">
        <v>43</v>
      </c>
      <c r="B45" t="s">
        <v>135</v>
      </c>
      <c r="C45" t="s">
        <v>349</v>
      </c>
      <c r="D45" t="s">
        <v>334</v>
      </c>
      <c r="E45" s="15">
        <f>Table141415[[#This Row],[Police]]/Table14[[#This Row],[Justice]]</f>
        <v>0.51459758910570752</v>
      </c>
    </row>
    <row r="46" spans="1:5">
      <c r="A46">
        <v>44</v>
      </c>
      <c r="B46" s="15" t="s">
        <v>136</v>
      </c>
      <c r="C46" s="15" t="s">
        <v>350</v>
      </c>
      <c r="D46" s="15" t="s">
        <v>334</v>
      </c>
      <c r="E46" s="15">
        <f>Table141415[[#This Row],[Police]]/Table14[[#This Row],[Justice]]</f>
        <v>0.85748222067087088</v>
      </c>
    </row>
    <row r="47" spans="1:5">
      <c r="A47">
        <v>45</v>
      </c>
      <c r="B47" t="s">
        <v>137</v>
      </c>
      <c r="C47" t="s">
        <v>351</v>
      </c>
      <c r="D47" t="s">
        <v>334</v>
      </c>
      <c r="E47" s="15" t="e">
        <f>Table141415[[#This Row],[Police]]/Table14[[#This Row],[Justice]]</f>
        <v>#N/A</v>
      </c>
    </row>
    <row r="48" spans="1:5">
      <c r="A48">
        <v>46</v>
      </c>
      <c r="B48" t="s">
        <v>138</v>
      </c>
      <c r="C48" t="s">
        <v>352</v>
      </c>
      <c r="D48" t="s">
        <v>334</v>
      </c>
      <c r="E48" s="15" t="e">
        <f>Table141415[[#This Row],[Police]]/Table14[[#This Row],[Justice]]</f>
        <v>#N/A</v>
      </c>
    </row>
    <row r="49" spans="1:5">
      <c r="A49">
        <v>47</v>
      </c>
      <c r="B49" s="15" t="s">
        <v>139</v>
      </c>
      <c r="C49" s="15" t="s">
        <v>353</v>
      </c>
      <c r="D49" s="15" t="s">
        <v>334</v>
      </c>
      <c r="E49" s="15">
        <f>Table141415[[#This Row],[Police]]/Table14[[#This Row],[Justice]]</f>
        <v>0.65065801806090351</v>
      </c>
    </row>
    <row r="50" spans="1:5">
      <c r="A50">
        <v>48</v>
      </c>
      <c r="B50" s="15" t="s">
        <v>140</v>
      </c>
      <c r="C50" s="15" t="s">
        <v>354</v>
      </c>
      <c r="D50" s="15" t="s">
        <v>334</v>
      </c>
      <c r="E50" s="15" t="e">
        <f>Table141415[[#This Row],[Police]]/Table14[[#This Row],[Justice]]</f>
        <v>#N/A</v>
      </c>
    </row>
    <row r="51" spans="1:5">
      <c r="A51">
        <v>49</v>
      </c>
      <c r="B51" t="s">
        <v>141</v>
      </c>
      <c r="C51" t="s">
        <v>355</v>
      </c>
      <c r="D51" t="s">
        <v>334</v>
      </c>
      <c r="E51" s="15">
        <f>Table141415[[#This Row],[Police]]/Table14[[#This Row],[Justice]]</f>
        <v>0.66755343750522678</v>
      </c>
    </row>
    <row r="52" spans="1:5">
      <c r="A52">
        <v>50</v>
      </c>
      <c r="B52" s="15" t="s">
        <v>142</v>
      </c>
      <c r="C52" s="15" t="s">
        <v>356</v>
      </c>
      <c r="D52" s="15" t="s">
        <v>334</v>
      </c>
      <c r="E52" s="15">
        <f>Table141415[[#This Row],[Police]]/Table14[[#This Row],[Justice]]</f>
        <v>0.92599064891060834</v>
      </c>
    </row>
    <row r="53" spans="1:5">
      <c r="A53">
        <v>51</v>
      </c>
      <c r="B53" t="s">
        <v>143</v>
      </c>
      <c r="C53" t="s">
        <v>357</v>
      </c>
      <c r="D53" t="s">
        <v>334</v>
      </c>
      <c r="E53" s="15" t="e">
        <f>Table141415[[#This Row],[Police]]/Table14[[#This Row],[Justice]]</f>
        <v>#N/A</v>
      </c>
    </row>
    <row r="54" spans="1:5">
      <c r="A54">
        <v>52</v>
      </c>
      <c r="B54" s="15" t="s">
        <v>144</v>
      </c>
      <c r="C54" s="15" t="s">
        <v>358</v>
      </c>
      <c r="D54" s="15" t="s">
        <v>334</v>
      </c>
      <c r="E54" s="15">
        <f>Table141415[[#This Row],[Police]]/Table14[[#This Row],[Justice]]</f>
        <v>0.43995008648868966</v>
      </c>
    </row>
    <row r="55" spans="1:5">
      <c r="A55">
        <v>53</v>
      </c>
      <c r="B55" s="15" t="s">
        <v>145</v>
      </c>
      <c r="C55" s="15" t="s">
        <v>359</v>
      </c>
      <c r="D55" s="15" t="s">
        <v>334</v>
      </c>
      <c r="E55" s="15">
        <f>Table141415[[#This Row],[Police]]/Table14[[#This Row],[Justice]]</f>
        <v>0.65258827390863439</v>
      </c>
    </row>
    <row r="56" spans="1:5">
      <c r="A56">
        <v>54</v>
      </c>
      <c r="B56" t="s">
        <v>146</v>
      </c>
      <c r="C56" t="s">
        <v>360</v>
      </c>
      <c r="D56" t="s">
        <v>334</v>
      </c>
      <c r="E56" s="15" t="e">
        <f>Table141415[[#This Row],[Police]]/Table14[[#This Row],[Justice]]</f>
        <v>#N/A</v>
      </c>
    </row>
    <row r="57" spans="1:5">
      <c r="A57">
        <v>55</v>
      </c>
      <c r="B57" t="s">
        <v>147</v>
      </c>
      <c r="C57" t="s">
        <v>361</v>
      </c>
      <c r="D57" t="s">
        <v>334</v>
      </c>
      <c r="E57" s="15" t="e">
        <f>Table141415[[#This Row],[Police]]/Table14[[#This Row],[Justice]]</f>
        <v>#N/A</v>
      </c>
    </row>
    <row r="58" spans="1:5">
      <c r="A58">
        <v>56</v>
      </c>
      <c r="B58" s="15" t="s">
        <v>148</v>
      </c>
      <c r="C58" s="15" t="s">
        <v>362</v>
      </c>
      <c r="D58" s="15" t="s">
        <v>334</v>
      </c>
      <c r="E58" s="15">
        <f>Table141415[[#This Row],[Police]]/Table14[[#This Row],[Justice]]</f>
        <v>0.4688708888267219</v>
      </c>
    </row>
    <row r="59" spans="1:5">
      <c r="A59">
        <v>57</v>
      </c>
      <c r="B59" s="15" t="s">
        <v>149</v>
      </c>
      <c r="C59" s="15" t="s">
        <v>363</v>
      </c>
      <c r="D59" s="15" t="s">
        <v>334</v>
      </c>
      <c r="E59" s="15">
        <f>Table141415[[#This Row],[Police]]/Table14[[#This Row],[Justice]]</f>
        <v>1.0535483920642561</v>
      </c>
    </row>
    <row r="60" spans="1:5">
      <c r="A60">
        <v>58</v>
      </c>
      <c r="B60" s="15" t="s">
        <v>150</v>
      </c>
      <c r="C60" s="15" t="s">
        <v>364</v>
      </c>
      <c r="D60" s="15" t="s">
        <v>334</v>
      </c>
      <c r="E60" s="15">
        <f>Table141415[[#This Row],[Police]]/Table14[[#This Row],[Justice]]</f>
        <v>0.38344597199467378</v>
      </c>
    </row>
    <row r="61" spans="1:5">
      <c r="A61">
        <v>59</v>
      </c>
      <c r="B61" s="15" t="s">
        <v>151</v>
      </c>
      <c r="C61" s="15" t="s">
        <v>365</v>
      </c>
      <c r="D61" s="15" t="s">
        <v>334</v>
      </c>
      <c r="E61" s="15" t="e">
        <f>Table141415[[#This Row],[Police]]/Table14[[#This Row],[Justice]]</f>
        <v>#N/A</v>
      </c>
    </row>
    <row r="62" spans="1:5">
      <c r="A62">
        <v>60</v>
      </c>
      <c r="B62" s="15" t="s">
        <v>152</v>
      </c>
      <c r="C62" s="15" t="s">
        <v>366</v>
      </c>
      <c r="D62" s="15" t="s">
        <v>334</v>
      </c>
      <c r="E62" s="15" t="e">
        <f>Table141415[[#This Row],[Police]]/Table14[[#This Row],[Justice]]</f>
        <v>#N/A</v>
      </c>
    </row>
    <row r="63" spans="1:5">
      <c r="A63">
        <v>61</v>
      </c>
      <c r="B63" t="s">
        <v>153</v>
      </c>
      <c r="C63" t="s">
        <v>367</v>
      </c>
      <c r="D63" t="s">
        <v>334</v>
      </c>
      <c r="E63" s="15" t="e">
        <f>Table141415[[#This Row],[Police]]/Table14[[#This Row],[Justice]]</f>
        <v>#N/A</v>
      </c>
    </row>
    <row r="64" spans="1:5">
      <c r="A64">
        <v>62</v>
      </c>
      <c r="B64" t="s">
        <v>154</v>
      </c>
      <c r="C64" t="s">
        <v>368</v>
      </c>
      <c r="D64" t="s">
        <v>334</v>
      </c>
      <c r="E64" s="15" t="e">
        <f>Table141415[[#This Row],[Police]]/Table14[[#This Row],[Justice]]</f>
        <v>#N/A</v>
      </c>
    </row>
    <row r="65" spans="1:5">
      <c r="A65">
        <v>63</v>
      </c>
      <c r="B65" s="15" t="s">
        <v>155</v>
      </c>
      <c r="C65" s="15" t="s">
        <v>369</v>
      </c>
      <c r="D65" s="15" t="s">
        <v>334</v>
      </c>
      <c r="E65" s="15">
        <f>Table141415[[#This Row],[Police]]/Table14[[#This Row],[Justice]]</f>
        <v>7.8367979782607445E-3</v>
      </c>
    </row>
    <row r="66" spans="1:5">
      <c r="A66">
        <v>64</v>
      </c>
      <c r="B66" t="s">
        <v>156</v>
      </c>
      <c r="C66" t="s">
        <v>370</v>
      </c>
      <c r="D66" t="s">
        <v>334</v>
      </c>
      <c r="E66" s="15" t="e">
        <f>Table141415[[#This Row],[Police]]/Table14[[#This Row],[Justice]]</f>
        <v>#N/A</v>
      </c>
    </row>
    <row r="67" spans="1:5">
      <c r="A67">
        <v>65</v>
      </c>
      <c r="B67" t="s">
        <v>157</v>
      </c>
      <c r="C67" t="s">
        <v>371</v>
      </c>
      <c r="D67" t="s">
        <v>334</v>
      </c>
      <c r="E67" s="15" t="e">
        <f>Table141415[[#This Row],[Police]]/Table14[[#This Row],[Justice]]</f>
        <v>#N/A</v>
      </c>
    </row>
    <row r="68" spans="1:5">
      <c r="A68">
        <v>66</v>
      </c>
      <c r="B68" t="s">
        <v>158</v>
      </c>
      <c r="C68" t="s">
        <v>372</v>
      </c>
      <c r="D68" t="s">
        <v>334</v>
      </c>
      <c r="E68" s="15" t="e">
        <f>Table141415[[#This Row],[Police]]/Table14[[#This Row],[Justice]]</f>
        <v>#N/A</v>
      </c>
    </row>
    <row r="69" spans="1:5">
      <c r="A69">
        <v>67</v>
      </c>
      <c r="B69" s="15" t="s">
        <v>159</v>
      </c>
      <c r="C69" s="15" t="s">
        <v>373</v>
      </c>
      <c r="D69" s="15" t="s">
        <v>334</v>
      </c>
      <c r="E69" s="15">
        <f>Table141415[[#This Row],[Police]]/Table14[[#This Row],[Justice]]</f>
        <v>0.64236574790532708</v>
      </c>
    </row>
    <row r="70" spans="1:5">
      <c r="A70">
        <v>68</v>
      </c>
      <c r="B70" s="15" t="s">
        <v>160</v>
      </c>
      <c r="C70" s="15" t="s">
        <v>374</v>
      </c>
      <c r="D70" s="15" t="s">
        <v>334</v>
      </c>
      <c r="E70" s="15" t="e">
        <f>Table141415[[#This Row],[Police]]/Table14[[#This Row],[Justice]]</f>
        <v>#N/A</v>
      </c>
    </row>
    <row r="71" spans="1:5">
      <c r="A71">
        <v>69</v>
      </c>
      <c r="B71" t="s">
        <v>161</v>
      </c>
      <c r="C71" t="s">
        <v>375</v>
      </c>
      <c r="D71" t="s">
        <v>334</v>
      </c>
      <c r="E71" s="15" t="e">
        <f>Table141415[[#This Row],[Police]]/Table14[[#This Row],[Justice]]</f>
        <v>#N/A</v>
      </c>
    </row>
    <row r="72" spans="1:5">
      <c r="A72">
        <v>70</v>
      </c>
      <c r="B72" t="s">
        <v>162</v>
      </c>
      <c r="C72" t="s">
        <v>376</v>
      </c>
      <c r="D72" t="s">
        <v>334</v>
      </c>
      <c r="E72" s="15" t="e">
        <f>Table141415[[#This Row],[Police]]/Table14[[#This Row],[Justice]]</f>
        <v>#N/A</v>
      </c>
    </row>
    <row r="73" spans="1:5">
      <c r="A73">
        <v>71</v>
      </c>
      <c r="B73" s="15" t="s">
        <v>163</v>
      </c>
      <c r="C73" s="15" t="s">
        <v>377</v>
      </c>
      <c r="D73" s="15" t="s">
        <v>334</v>
      </c>
      <c r="E73" s="15">
        <f>Table141415[[#This Row],[Police]]/Table14[[#This Row],[Justice]]</f>
        <v>0.66914416067299376</v>
      </c>
    </row>
    <row r="74" spans="1:5">
      <c r="A74">
        <v>72</v>
      </c>
      <c r="B74" t="s">
        <v>164</v>
      </c>
      <c r="C74" t="s">
        <v>378</v>
      </c>
      <c r="D74" t="s">
        <v>334</v>
      </c>
      <c r="E74" s="15" t="e">
        <f>Table141415[[#This Row],[Police]]/Table14[[#This Row],[Justice]]</f>
        <v>#N/A</v>
      </c>
    </row>
    <row r="75" spans="1:5">
      <c r="A75">
        <v>73</v>
      </c>
      <c r="B75" t="s">
        <v>165</v>
      </c>
      <c r="C75" t="s">
        <v>379</v>
      </c>
      <c r="D75" t="s">
        <v>334</v>
      </c>
      <c r="E75" s="15" t="e">
        <f>Table141415[[#This Row],[Police]]/Table14[[#This Row],[Justice]]</f>
        <v>#N/A</v>
      </c>
    </row>
    <row r="76" spans="1:5">
      <c r="A76">
        <v>74</v>
      </c>
      <c r="B76" s="15" t="s">
        <v>166</v>
      </c>
      <c r="C76" s="15" t="s">
        <v>380</v>
      </c>
      <c r="D76" s="15" t="s">
        <v>334</v>
      </c>
      <c r="E76" s="15">
        <f>Table141415[[#This Row],[Police]]/Table14[[#This Row],[Justice]]</f>
        <v>0.35319515721707873</v>
      </c>
    </row>
    <row r="77" spans="1:5">
      <c r="A77">
        <v>75</v>
      </c>
      <c r="B77" s="15" t="s">
        <v>167</v>
      </c>
      <c r="C77" s="15" t="s">
        <v>381</v>
      </c>
      <c r="D77" s="15" t="s">
        <v>334</v>
      </c>
      <c r="E77" s="15">
        <f>Table141415[[#This Row],[Police]]/Table14[[#This Row],[Justice]]</f>
        <v>1</v>
      </c>
    </row>
    <row r="78" spans="1:5">
      <c r="A78">
        <v>76</v>
      </c>
      <c r="B78" s="15" t="s">
        <v>168</v>
      </c>
      <c r="C78" s="15" t="s">
        <v>382</v>
      </c>
      <c r="D78" s="15" t="s">
        <v>334</v>
      </c>
      <c r="E78" s="15">
        <f>Table141415[[#This Row],[Police]]/Table14[[#This Row],[Justice]]</f>
        <v>0.29304710659473926</v>
      </c>
    </row>
    <row r="79" spans="1:5">
      <c r="A79">
        <v>77</v>
      </c>
      <c r="B79" s="15" t="s">
        <v>169</v>
      </c>
      <c r="C79" s="15" t="s">
        <v>383</v>
      </c>
      <c r="D79" s="15" t="s">
        <v>334</v>
      </c>
      <c r="E79" s="15">
        <f>Table141415[[#This Row],[Police]]/Table14[[#This Row],[Justice]]</f>
        <v>0</v>
      </c>
    </row>
    <row r="80" spans="1:5">
      <c r="A80">
        <v>78</v>
      </c>
      <c r="B80" s="15" t="s">
        <v>170</v>
      </c>
      <c r="C80" s="15" t="s">
        <v>384</v>
      </c>
      <c r="D80" s="15" t="s">
        <v>334</v>
      </c>
      <c r="E80" s="15">
        <f>Table141415[[#This Row],[Police]]/Table14[[#This Row],[Justice]]</f>
        <v>0.47756435976267397</v>
      </c>
    </row>
    <row r="81" spans="1:5">
      <c r="A81">
        <v>79</v>
      </c>
      <c r="B81" s="15" t="s">
        <v>171</v>
      </c>
      <c r="C81" s="15" t="s">
        <v>385</v>
      </c>
      <c r="D81" s="15" t="s">
        <v>334</v>
      </c>
      <c r="E81" s="15" t="e">
        <f>Table141415[[#This Row],[Police]]/Table14[[#This Row],[Justice]]</f>
        <v>#N/A</v>
      </c>
    </row>
    <row r="82" spans="1:5">
      <c r="A82">
        <v>80</v>
      </c>
      <c r="B82" s="15" t="s">
        <v>172</v>
      </c>
      <c r="C82" s="15" t="s">
        <v>386</v>
      </c>
      <c r="D82" s="15" t="s">
        <v>334</v>
      </c>
      <c r="E82" s="15">
        <f>Table141415[[#This Row],[Police]]/Table14[[#This Row],[Justice]]</f>
        <v>0.47704517704517863</v>
      </c>
    </row>
    <row r="83" spans="1:5">
      <c r="A83">
        <v>81</v>
      </c>
      <c r="B83" s="15" t="s">
        <v>173</v>
      </c>
      <c r="C83" s="15" t="s">
        <v>387</v>
      </c>
      <c r="D83" s="15" t="s">
        <v>334</v>
      </c>
      <c r="E83" s="15">
        <f>Table141415[[#This Row],[Police]]/Table14[[#This Row],[Justice]]</f>
        <v>0</v>
      </c>
    </row>
    <row r="84" spans="1:5">
      <c r="A84">
        <v>82</v>
      </c>
      <c r="B84" t="s">
        <v>174</v>
      </c>
      <c r="C84" t="s">
        <v>388</v>
      </c>
      <c r="D84" t="s">
        <v>389</v>
      </c>
      <c r="E84" s="15" t="e">
        <f>Table141415[[#This Row],[Police]]/Table14[[#This Row],[Justice]]</f>
        <v>#N/A</v>
      </c>
    </row>
    <row r="85" spans="1:5">
      <c r="A85">
        <v>83</v>
      </c>
      <c r="B85" t="s">
        <v>175</v>
      </c>
      <c r="C85" t="s">
        <v>390</v>
      </c>
      <c r="D85" t="s">
        <v>389</v>
      </c>
      <c r="E85" s="15" t="e">
        <f>Table141415[[#This Row],[Police]]/Table14[[#This Row],[Justice]]</f>
        <v>#N/A</v>
      </c>
    </row>
    <row r="86" spans="1:5">
      <c r="A86">
        <v>84</v>
      </c>
      <c r="B86" s="15" t="s">
        <v>176</v>
      </c>
      <c r="C86" s="15" t="s">
        <v>391</v>
      </c>
      <c r="D86" s="15" t="s">
        <v>389</v>
      </c>
      <c r="E86" s="15">
        <f>Table141415[[#This Row],[Police]]/Table14[[#This Row],[Justice]]</f>
        <v>0.74493219628128071</v>
      </c>
    </row>
    <row r="87" spans="1:5">
      <c r="A87">
        <v>85</v>
      </c>
      <c r="B87" s="15" t="s">
        <v>177</v>
      </c>
      <c r="C87" s="15" t="s">
        <v>392</v>
      </c>
      <c r="D87" s="15" t="s">
        <v>389</v>
      </c>
      <c r="E87" s="15">
        <f>Table141415[[#This Row],[Police]]/Table14[[#This Row],[Justice]]</f>
        <v>0.47549652133280212</v>
      </c>
    </row>
    <row r="88" spans="1:5">
      <c r="A88">
        <v>86</v>
      </c>
      <c r="B88" s="15" t="s">
        <v>178</v>
      </c>
      <c r="C88" s="15" t="s">
        <v>393</v>
      </c>
      <c r="D88" s="15" t="s">
        <v>389</v>
      </c>
      <c r="E88" s="15">
        <f>Table141415[[#This Row],[Police]]/Table14[[#This Row],[Justice]]</f>
        <v>0.41110269440310304</v>
      </c>
    </row>
    <row r="89" spans="1:5">
      <c r="A89">
        <v>87</v>
      </c>
      <c r="B89" s="15" t="s">
        <v>179</v>
      </c>
      <c r="C89" s="15" t="s">
        <v>394</v>
      </c>
      <c r="D89" s="15" t="s">
        <v>389</v>
      </c>
      <c r="E89" s="15">
        <f>Table141415[[#This Row],[Police]]/Table14[[#This Row],[Justice]]</f>
        <v>0.53673731969932814</v>
      </c>
    </row>
    <row r="90" spans="1:5">
      <c r="A90">
        <v>88</v>
      </c>
      <c r="B90" t="s">
        <v>180</v>
      </c>
      <c r="C90" t="s">
        <v>395</v>
      </c>
      <c r="D90" t="s">
        <v>389</v>
      </c>
      <c r="E90" s="15" t="e">
        <f>Table141415[[#This Row],[Police]]/Table14[[#This Row],[Justice]]</f>
        <v>#N/A</v>
      </c>
    </row>
    <row r="91" spans="1:5">
      <c r="A91">
        <v>89</v>
      </c>
      <c r="B91" t="s">
        <v>181</v>
      </c>
      <c r="C91" t="s">
        <v>396</v>
      </c>
      <c r="D91" t="s">
        <v>389</v>
      </c>
      <c r="E91" s="15" t="e">
        <f>Table141415[[#This Row],[Police]]/Table14[[#This Row],[Justice]]</f>
        <v>#N/A</v>
      </c>
    </row>
    <row r="92" spans="1:5">
      <c r="A92">
        <v>90</v>
      </c>
      <c r="B92" s="15" t="s">
        <v>182</v>
      </c>
      <c r="C92" s="15" t="s">
        <v>397</v>
      </c>
      <c r="D92" s="15" t="s">
        <v>389</v>
      </c>
      <c r="E92" s="15">
        <f>Table141415[[#This Row],[Police]]/Table14[[#This Row],[Justice]]</f>
        <v>0.69368107824260694</v>
      </c>
    </row>
    <row r="93" spans="1:5">
      <c r="A93">
        <v>91</v>
      </c>
      <c r="B93" s="15" t="s">
        <v>183</v>
      </c>
      <c r="C93" s="15" t="s">
        <v>398</v>
      </c>
      <c r="D93" s="15" t="s">
        <v>389</v>
      </c>
      <c r="E93" s="15">
        <f>Table141415[[#This Row],[Police]]/Table14[[#This Row],[Justice]]</f>
        <v>0.41312905050073007</v>
      </c>
    </row>
    <row r="94" spans="1:5">
      <c r="A94">
        <v>92</v>
      </c>
      <c r="B94" s="15" t="s">
        <v>184</v>
      </c>
      <c r="C94" s="15" t="s">
        <v>399</v>
      </c>
      <c r="D94" s="15" t="s">
        <v>389</v>
      </c>
      <c r="E94" s="15">
        <f>Table141415[[#This Row],[Police]]/Table14[[#This Row],[Justice]]</f>
        <v>0.52811434474222829</v>
      </c>
    </row>
    <row r="95" spans="1:5">
      <c r="A95">
        <v>93</v>
      </c>
      <c r="B95" t="s">
        <v>185</v>
      </c>
      <c r="C95" t="s">
        <v>400</v>
      </c>
      <c r="D95" t="s">
        <v>389</v>
      </c>
      <c r="E95" s="15" t="e">
        <f>Table141415[[#This Row],[Police]]/Table14[[#This Row],[Justice]]</f>
        <v>#N/A</v>
      </c>
    </row>
    <row r="96" spans="1:5">
      <c r="A96">
        <v>94</v>
      </c>
      <c r="B96" s="15" t="s">
        <v>186</v>
      </c>
      <c r="C96" s="15" t="s">
        <v>401</v>
      </c>
      <c r="D96" s="15" t="s">
        <v>389</v>
      </c>
      <c r="E96" s="15">
        <f>Table141415[[#This Row],[Police]]/Table14[[#This Row],[Justice]]</f>
        <v>0</v>
      </c>
    </row>
    <row r="97" spans="1:5">
      <c r="A97">
        <v>95</v>
      </c>
      <c r="B97" t="s">
        <v>187</v>
      </c>
      <c r="C97" t="s">
        <v>402</v>
      </c>
      <c r="D97" t="s">
        <v>389</v>
      </c>
      <c r="E97" s="15" t="e">
        <f>Table141415[[#This Row],[Police]]/Table14[[#This Row],[Justice]]</f>
        <v>#N/A</v>
      </c>
    </row>
    <row r="98" spans="1:5">
      <c r="A98">
        <v>96</v>
      </c>
      <c r="B98" t="s">
        <v>188</v>
      </c>
      <c r="C98" t="s">
        <v>403</v>
      </c>
      <c r="D98" t="s">
        <v>389</v>
      </c>
      <c r="E98" s="15" t="e">
        <f>Table141415[[#This Row],[Police]]/Table14[[#This Row],[Justice]]</f>
        <v>#N/A</v>
      </c>
    </row>
    <row r="99" spans="1:5">
      <c r="A99">
        <v>97</v>
      </c>
      <c r="B99" s="15" t="s">
        <v>189</v>
      </c>
      <c r="C99" s="15" t="s">
        <v>404</v>
      </c>
      <c r="D99" s="15" t="s">
        <v>389</v>
      </c>
      <c r="E99" s="15">
        <f>Table141415[[#This Row],[Police]]/Table14[[#This Row],[Justice]]</f>
        <v>0.57779221868187158</v>
      </c>
    </row>
    <row r="100" spans="1:5">
      <c r="A100">
        <v>98</v>
      </c>
      <c r="B100" t="s">
        <v>190</v>
      </c>
      <c r="C100" t="s">
        <v>405</v>
      </c>
      <c r="D100" t="s">
        <v>389</v>
      </c>
      <c r="E100" s="15" t="e">
        <f>Table141415[[#This Row],[Police]]/Table14[[#This Row],[Justice]]</f>
        <v>#N/A</v>
      </c>
    </row>
    <row r="101" spans="1:5">
      <c r="A101">
        <v>99</v>
      </c>
      <c r="B101" t="s">
        <v>191</v>
      </c>
      <c r="C101" t="s">
        <v>406</v>
      </c>
      <c r="D101" t="s">
        <v>389</v>
      </c>
      <c r="E101" s="15" t="e">
        <f>Table141415[[#This Row],[Police]]/Table14[[#This Row],[Justice]]</f>
        <v>#N/A</v>
      </c>
    </row>
    <row r="102" spans="1:5">
      <c r="A102">
        <v>100</v>
      </c>
      <c r="B102" s="15" t="s">
        <v>192</v>
      </c>
      <c r="C102" s="15" t="s">
        <v>407</v>
      </c>
      <c r="D102" s="15" t="s">
        <v>389</v>
      </c>
      <c r="E102" s="15">
        <f>Table141415[[#This Row],[Police]]/Table14[[#This Row],[Justice]]</f>
        <v>0.57350168401189183</v>
      </c>
    </row>
    <row r="103" spans="1:5">
      <c r="A103">
        <v>101</v>
      </c>
      <c r="B103" t="s">
        <v>193</v>
      </c>
      <c r="C103" t="s">
        <v>408</v>
      </c>
      <c r="D103" t="s">
        <v>389</v>
      </c>
      <c r="E103" s="15" t="e">
        <f>Table141415[[#This Row],[Police]]/Table14[[#This Row],[Justice]]</f>
        <v>#N/A</v>
      </c>
    </row>
    <row r="104" spans="1:5">
      <c r="A104">
        <v>102</v>
      </c>
      <c r="B104" t="s">
        <v>194</v>
      </c>
      <c r="C104" t="s">
        <v>409</v>
      </c>
      <c r="D104" t="s">
        <v>389</v>
      </c>
      <c r="E104" s="15" t="e">
        <f>Table141415[[#This Row],[Police]]/Table14[[#This Row],[Justice]]</f>
        <v>#N/A</v>
      </c>
    </row>
    <row r="105" spans="1:5">
      <c r="A105">
        <v>103</v>
      </c>
      <c r="B105" s="15" t="s">
        <v>195</v>
      </c>
      <c r="C105" s="15" t="s">
        <v>410</v>
      </c>
      <c r="D105" s="15" t="s">
        <v>389</v>
      </c>
      <c r="E105" s="15">
        <f>Table141415[[#This Row],[Police]]/Table14[[#This Row],[Justice]]</f>
        <v>0.65703769382170951</v>
      </c>
    </row>
    <row r="106" spans="1:5">
      <c r="A106">
        <v>104</v>
      </c>
      <c r="B106" t="s">
        <v>196</v>
      </c>
      <c r="C106" t="s">
        <v>411</v>
      </c>
      <c r="D106" t="s">
        <v>389</v>
      </c>
      <c r="E106" s="15" t="e">
        <f>Table141415[[#This Row],[Police]]/Table14[[#This Row],[Justice]]</f>
        <v>#N/A</v>
      </c>
    </row>
    <row r="107" spans="1:5">
      <c r="A107">
        <v>105</v>
      </c>
      <c r="B107" t="s">
        <v>197</v>
      </c>
      <c r="C107" t="s">
        <v>412</v>
      </c>
      <c r="D107" t="s">
        <v>389</v>
      </c>
      <c r="E107" s="15" t="e">
        <f>Table141415[[#This Row],[Police]]/Table14[[#This Row],[Justice]]</f>
        <v>#N/A</v>
      </c>
    </row>
    <row r="108" spans="1:5">
      <c r="A108">
        <v>106</v>
      </c>
      <c r="B108" t="s">
        <v>198</v>
      </c>
      <c r="C108" t="s">
        <v>413</v>
      </c>
      <c r="D108" t="s">
        <v>389</v>
      </c>
      <c r="E108" s="15" t="e">
        <f>Table141415[[#This Row],[Police]]/Table14[[#This Row],[Justice]]</f>
        <v>#N/A</v>
      </c>
    </row>
    <row r="109" spans="1:5">
      <c r="A109">
        <v>107</v>
      </c>
      <c r="B109" s="15" t="s">
        <v>199</v>
      </c>
      <c r="C109" s="15" t="s">
        <v>414</v>
      </c>
      <c r="D109" s="15" t="s">
        <v>389</v>
      </c>
      <c r="E109" s="15">
        <f>Table141415[[#This Row],[Police]]/Table14[[#This Row],[Justice]]</f>
        <v>0.58575465874645272</v>
      </c>
    </row>
    <row r="110" spans="1:5">
      <c r="A110">
        <v>108</v>
      </c>
      <c r="B110" s="15" t="s">
        <v>200</v>
      </c>
      <c r="C110" s="15" t="s">
        <v>415</v>
      </c>
      <c r="D110" s="15" t="s">
        <v>389</v>
      </c>
      <c r="E110" s="15">
        <f>Table141415[[#This Row],[Police]]/Table14[[#This Row],[Justice]]</f>
        <v>0.42470733630494384</v>
      </c>
    </row>
    <row r="111" spans="1:5">
      <c r="A111">
        <v>109</v>
      </c>
      <c r="B111" t="s">
        <v>201</v>
      </c>
      <c r="C111" t="s">
        <v>416</v>
      </c>
      <c r="D111" t="s">
        <v>389</v>
      </c>
      <c r="E111" s="15" t="e">
        <f>Table141415[[#This Row],[Police]]/Table14[[#This Row],[Justice]]</f>
        <v>#N/A</v>
      </c>
    </row>
    <row r="112" spans="1:5">
      <c r="A112">
        <v>110</v>
      </c>
      <c r="B112" t="s">
        <v>202</v>
      </c>
      <c r="C112" t="s">
        <v>417</v>
      </c>
      <c r="D112" t="s">
        <v>389</v>
      </c>
      <c r="E112" s="15" t="e">
        <f>Table141415[[#This Row],[Police]]/Table14[[#This Row],[Justice]]</f>
        <v>#N/A</v>
      </c>
    </row>
    <row r="113" spans="1:5">
      <c r="A113">
        <v>111</v>
      </c>
      <c r="B113" s="15" t="s">
        <v>203</v>
      </c>
      <c r="C113" s="15" t="s">
        <v>418</v>
      </c>
      <c r="D113" s="15" t="s">
        <v>389</v>
      </c>
      <c r="E113" s="15">
        <f>Table141415[[#This Row],[Police]]/Table14[[#This Row],[Justice]]</f>
        <v>0.62254060622099994</v>
      </c>
    </row>
    <row r="114" spans="1:5">
      <c r="A114">
        <v>112</v>
      </c>
      <c r="B114" s="15" t="s">
        <v>204</v>
      </c>
      <c r="C114" s="15" t="s">
        <v>419</v>
      </c>
      <c r="D114" s="15" t="s">
        <v>389</v>
      </c>
      <c r="E114" s="15">
        <f>Table141415[[#This Row],[Police]]/Table14[[#This Row],[Justice]]</f>
        <v>0.22826828822170447</v>
      </c>
    </row>
    <row r="115" spans="1:5">
      <c r="A115">
        <v>113</v>
      </c>
      <c r="B115" t="s">
        <v>205</v>
      </c>
      <c r="C115" t="s">
        <v>420</v>
      </c>
      <c r="D115" t="s">
        <v>389</v>
      </c>
      <c r="E115" s="15" t="e">
        <f>Table141415[[#This Row],[Police]]/Table14[[#This Row],[Justice]]</f>
        <v>#N/A</v>
      </c>
    </row>
    <row r="116" spans="1:5">
      <c r="A116">
        <v>114</v>
      </c>
      <c r="B116" t="s">
        <v>206</v>
      </c>
      <c r="C116" t="s">
        <v>421</v>
      </c>
      <c r="D116" t="s">
        <v>389</v>
      </c>
      <c r="E116" s="15" t="e">
        <f>Table141415[[#This Row],[Police]]/Table14[[#This Row],[Justice]]</f>
        <v>#N/A</v>
      </c>
    </row>
    <row r="117" spans="1:5">
      <c r="A117">
        <v>115</v>
      </c>
      <c r="B117" s="15" t="s">
        <v>207</v>
      </c>
      <c r="C117" s="15" t="s">
        <v>422</v>
      </c>
      <c r="D117" s="15" t="s">
        <v>389</v>
      </c>
      <c r="E117" s="15">
        <f>Table141415[[#This Row],[Police]]/Table14[[#This Row],[Justice]]</f>
        <v>0.36497894468286274</v>
      </c>
    </row>
    <row r="118" spans="1:5">
      <c r="A118">
        <v>116</v>
      </c>
      <c r="B118" t="s">
        <v>208</v>
      </c>
      <c r="C118" t="s">
        <v>423</v>
      </c>
      <c r="D118" t="s">
        <v>389</v>
      </c>
      <c r="E118" s="15" t="e">
        <f>Table141415[[#This Row],[Police]]/Table14[[#This Row],[Justice]]</f>
        <v>#N/A</v>
      </c>
    </row>
    <row r="119" spans="1:5">
      <c r="A119">
        <v>117</v>
      </c>
      <c r="B119" t="s">
        <v>209</v>
      </c>
      <c r="C119" t="s">
        <v>424</v>
      </c>
      <c r="D119" t="s">
        <v>389</v>
      </c>
      <c r="E119" s="15" t="e">
        <f>Table141415[[#This Row],[Police]]/Table14[[#This Row],[Justice]]</f>
        <v>#N/A</v>
      </c>
    </row>
    <row r="120" spans="1:5">
      <c r="A120">
        <v>118</v>
      </c>
      <c r="B120" t="s">
        <v>210</v>
      </c>
      <c r="C120" t="s">
        <v>425</v>
      </c>
      <c r="D120" t="s">
        <v>389</v>
      </c>
      <c r="E120" s="15" t="e">
        <f>Table141415[[#This Row],[Police]]/Table14[[#This Row],[Justice]]</f>
        <v>#N/A</v>
      </c>
    </row>
    <row r="121" spans="1:5">
      <c r="A121">
        <v>119</v>
      </c>
      <c r="B121" t="s">
        <v>211</v>
      </c>
      <c r="C121" t="s">
        <v>426</v>
      </c>
      <c r="D121" t="s">
        <v>389</v>
      </c>
      <c r="E121" s="15" t="e">
        <f>Table141415[[#This Row],[Police]]/Table14[[#This Row],[Justice]]</f>
        <v>#N/A</v>
      </c>
    </row>
    <row r="122" spans="1:5">
      <c r="A122">
        <v>120</v>
      </c>
      <c r="B122" s="15" t="s">
        <v>212</v>
      </c>
      <c r="C122" s="15" t="s">
        <v>427</v>
      </c>
      <c r="D122" s="15" t="s">
        <v>389</v>
      </c>
      <c r="E122" s="15">
        <f>Table141415[[#This Row],[Police]]/Table14[[#This Row],[Justice]]</f>
        <v>0.70239304571103056</v>
      </c>
    </row>
    <row r="123" spans="1:5">
      <c r="A123">
        <v>121</v>
      </c>
      <c r="B123" t="s">
        <v>213</v>
      </c>
      <c r="C123" t="s">
        <v>428</v>
      </c>
      <c r="D123" t="s">
        <v>389</v>
      </c>
      <c r="E123" s="15" t="e">
        <f>Table141415[[#This Row],[Police]]/Table14[[#This Row],[Justice]]</f>
        <v>#N/A</v>
      </c>
    </row>
    <row r="124" spans="1:5">
      <c r="A124">
        <v>122</v>
      </c>
      <c r="B124" t="s">
        <v>214</v>
      </c>
      <c r="C124" t="s">
        <v>429</v>
      </c>
      <c r="D124" t="s">
        <v>389</v>
      </c>
      <c r="E124" s="15" t="e">
        <f>Table141415[[#This Row],[Police]]/Table14[[#This Row],[Justice]]</f>
        <v>#N/A</v>
      </c>
    </row>
    <row r="125" spans="1:5">
      <c r="A125">
        <v>123</v>
      </c>
      <c r="B125" t="s">
        <v>215</v>
      </c>
      <c r="C125" t="s">
        <v>430</v>
      </c>
      <c r="D125" t="s">
        <v>389</v>
      </c>
      <c r="E125" s="15" t="e">
        <f>Table141415[[#This Row],[Police]]/Table14[[#This Row],[Justice]]</f>
        <v>#N/A</v>
      </c>
    </row>
    <row r="126" spans="1:5">
      <c r="A126">
        <v>124</v>
      </c>
      <c r="B126" t="s">
        <v>216</v>
      </c>
      <c r="C126" t="s">
        <v>431</v>
      </c>
      <c r="D126" t="s">
        <v>389</v>
      </c>
      <c r="E126" s="15" t="e">
        <f>Table141415[[#This Row],[Police]]/Table14[[#This Row],[Justice]]</f>
        <v>#N/A</v>
      </c>
    </row>
    <row r="127" spans="1:5">
      <c r="A127">
        <v>125</v>
      </c>
      <c r="B127" t="s">
        <v>217</v>
      </c>
      <c r="C127" t="s">
        <v>432</v>
      </c>
      <c r="D127" t="s">
        <v>389</v>
      </c>
      <c r="E127" s="15" t="e">
        <f>Table141415[[#This Row],[Police]]/Table14[[#This Row],[Justice]]</f>
        <v>#N/A</v>
      </c>
    </row>
    <row r="128" spans="1:5">
      <c r="A128">
        <v>126</v>
      </c>
      <c r="B128" s="15" t="s">
        <v>218</v>
      </c>
      <c r="C128" s="15" t="s">
        <v>433</v>
      </c>
      <c r="D128" s="15" t="s">
        <v>389</v>
      </c>
      <c r="E128" s="15">
        <f>Table141415[[#This Row],[Police]]/Table14[[#This Row],[Justice]]</f>
        <v>0.65438556324940478</v>
      </c>
    </row>
    <row r="129" spans="1:5">
      <c r="A129">
        <v>127</v>
      </c>
      <c r="B129" s="15" t="s">
        <v>219</v>
      </c>
      <c r="C129" s="15" t="s">
        <v>434</v>
      </c>
      <c r="D129" s="15" t="s">
        <v>389</v>
      </c>
      <c r="E129" s="15">
        <f>Table141415[[#This Row],[Police]]/Table14[[#This Row],[Justice]]</f>
        <v>0.46900335569843188</v>
      </c>
    </row>
    <row r="130" spans="1:5">
      <c r="A130">
        <v>128</v>
      </c>
      <c r="B130" s="15" t="s">
        <v>220</v>
      </c>
      <c r="C130" s="15" t="s">
        <v>435</v>
      </c>
      <c r="D130" s="15" t="s">
        <v>389</v>
      </c>
      <c r="E130" s="15">
        <f>Table141415[[#This Row],[Police]]/Table14[[#This Row],[Justice]]</f>
        <v>0.49638441025740893</v>
      </c>
    </row>
    <row r="131" spans="1:5">
      <c r="A131">
        <v>129</v>
      </c>
      <c r="B131" s="15" t="s">
        <v>221</v>
      </c>
      <c r="C131" s="15" t="s">
        <v>436</v>
      </c>
      <c r="D131" s="15" t="s">
        <v>389</v>
      </c>
      <c r="E131" s="15">
        <f>Table141415[[#This Row],[Police]]/Table14[[#This Row],[Justice]]</f>
        <v>0.73266977121177534</v>
      </c>
    </row>
    <row r="132" spans="1:5">
      <c r="A132">
        <v>130</v>
      </c>
      <c r="B132" s="15" t="s">
        <v>222</v>
      </c>
      <c r="C132" s="15" t="s">
        <v>437</v>
      </c>
      <c r="D132" s="15" t="s">
        <v>389</v>
      </c>
      <c r="E132" s="15" t="e">
        <f>Table141415[[#This Row],[Police]]/Table14[[#This Row],[Justice]]</f>
        <v>#N/A</v>
      </c>
    </row>
    <row r="133" spans="1:5">
      <c r="A133">
        <v>131</v>
      </c>
      <c r="B133" s="15" t="s">
        <v>223</v>
      </c>
      <c r="C133" s="15" t="s">
        <v>438</v>
      </c>
      <c r="D133" s="15" t="s">
        <v>389</v>
      </c>
      <c r="E133" s="15">
        <f>Table141415[[#This Row],[Police]]/Table14[[#This Row],[Justice]]</f>
        <v>0.43575115457756053</v>
      </c>
    </row>
    <row r="134" spans="1:5">
      <c r="A134">
        <v>132</v>
      </c>
      <c r="B134" s="15" t="s">
        <v>224</v>
      </c>
      <c r="C134" s="15" t="s">
        <v>439</v>
      </c>
      <c r="D134" s="15" t="s">
        <v>389</v>
      </c>
      <c r="E134" s="15" t="e">
        <f>Table141415[[#This Row],[Police]]/Table14[[#This Row],[Justice]]</f>
        <v>#N/A</v>
      </c>
    </row>
    <row r="135" spans="1:5">
      <c r="A135">
        <v>133</v>
      </c>
      <c r="B135" s="15" t="s">
        <v>225</v>
      </c>
      <c r="C135" s="15" t="s">
        <v>440</v>
      </c>
      <c r="D135" s="15" t="s">
        <v>389</v>
      </c>
      <c r="E135" s="15">
        <f>Table141415[[#This Row],[Police]]/Table14[[#This Row],[Justice]]</f>
        <v>0</v>
      </c>
    </row>
    <row r="136" spans="1:5">
      <c r="A136">
        <v>145</v>
      </c>
      <c r="B136" s="15" t="s">
        <v>75</v>
      </c>
      <c r="C136" s="15" t="s">
        <v>441</v>
      </c>
      <c r="D136" s="15" t="s">
        <v>285</v>
      </c>
      <c r="E136" s="15">
        <f>Table141415[[#This Row],[Police]]/Table14[[#This Row],[Justice]]</f>
        <v>0.48817981606871225</v>
      </c>
    </row>
    <row r="137" spans="1:5">
      <c r="A137">
        <v>148</v>
      </c>
      <c r="B137" s="15" t="s">
        <v>68</v>
      </c>
      <c r="C137" s="15" t="s">
        <v>442</v>
      </c>
      <c r="D137" s="15" t="s">
        <v>285</v>
      </c>
      <c r="E137" s="15">
        <f>Table141415[[#This Row],[Police]]/Table14[[#This Row],[Justice]]</f>
        <v>0.56096672864890296</v>
      </c>
    </row>
    <row r="138" spans="1:5">
      <c r="A138">
        <v>153</v>
      </c>
      <c r="B138" s="15" t="s">
        <v>65</v>
      </c>
      <c r="C138" s="15" t="s">
        <v>443</v>
      </c>
      <c r="D138" s="15" t="s">
        <v>285</v>
      </c>
      <c r="E138" s="15">
        <f>Table141415[[#This Row],[Police]]/Table14[[#This Row],[Justice]]</f>
        <v>0.64048954614992504</v>
      </c>
    </row>
    <row r="139" spans="1:5">
      <c r="A139">
        <v>154</v>
      </c>
      <c r="B139" s="15" t="s">
        <v>76</v>
      </c>
      <c r="C139" s="15" t="s">
        <v>444</v>
      </c>
      <c r="D139" s="15" t="s">
        <v>285</v>
      </c>
      <c r="E139" s="15">
        <f>Table141415[[#This Row],[Police]]/Table14[[#This Row],[Justice]]</f>
        <v>0.44989725523771273</v>
      </c>
    </row>
    <row r="140" spans="1:5">
      <c r="A140">
        <v>160</v>
      </c>
      <c r="B140" s="15" t="s">
        <v>62</v>
      </c>
      <c r="C140" s="15" t="s">
        <v>445</v>
      </c>
      <c r="D140" s="15" t="s">
        <v>285</v>
      </c>
      <c r="E140" s="15">
        <f>Table141415[[#This Row],[Police]]/Table14[[#This Row],[Justice]]</f>
        <v>0.59387058849742436</v>
      </c>
    </row>
    <row r="141" spans="1:5">
      <c r="A141">
        <v>161</v>
      </c>
      <c r="B141" s="15" t="s">
        <v>70</v>
      </c>
      <c r="C141" s="15" t="s">
        <v>446</v>
      </c>
      <c r="D141" s="15" t="s">
        <v>285</v>
      </c>
      <c r="E141" s="15">
        <f>Table141415[[#This Row],[Police]]/Table14[[#This Row],[Justice]]</f>
        <v>0.48066307419333754</v>
      </c>
    </row>
    <row r="142" spans="1:5">
      <c r="A142">
        <v>166</v>
      </c>
      <c r="B142" s="15" t="s">
        <v>60</v>
      </c>
      <c r="C142" s="15" t="s">
        <v>447</v>
      </c>
      <c r="D142" s="15" t="s">
        <v>285</v>
      </c>
      <c r="E142" s="15">
        <f>Table141415[[#This Row],[Police]]/Table14[[#This Row],[Justice]]</f>
        <v>0.51045225006625272</v>
      </c>
    </row>
    <row r="143" spans="1:5">
      <c r="A143">
        <v>167</v>
      </c>
      <c r="B143" s="15" t="s">
        <v>69</v>
      </c>
      <c r="C143" s="15" t="s">
        <v>448</v>
      </c>
      <c r="D143" s="15" t="s">
        <v>285</v>
      </c>
      <c r="E143" s="15">
        <f>Table141415[[#This Row],[Police]]/Table14[[#This Row],[Justice]]</f>
        <v>0.62992260657630339</v>
      </c>
    </row>
    <row r="144" spans="1:5">
      <c r="A144">
        <v>170</v>
      </c>
      <c r="B144" t="s">
        <v>73</v>
      </c>
      <c r="C144" t="s">
        <v>449</v>
      </c>
      <c r="D144" t="s">
        <v>285</v>
      </c>
      <c r="E144" s="15" t="e">
        <f>Table141415[[#This Row],[Police]]/Table14[[#This Row],[Justice]]</f>
        <v>#N/A</v>
      </c>
    </row>
    <row r="145" spans="1:5">
      <c r="A145">
        <v>171</v>
      </c>
      <c r="B145" s="15" t="s">
        <v>63</v>
      </c>
      <c r="C145" s="15" t="s">
        <v>450</v>
      </c>
      <c r="D145" s="15" t="s">
        <v>285</v>
      </c>
      <c r="E145" s="15">
        <f>Table141415[[#This Row],[Police]]/Table14[[#This Row],[Justice]]</f>
        <v>0.61350226135921204</v>
      </c>
    </row>
    <row r="146" spans="1:5">
      <c r="A146">
        <v>174</v>
      </c>
      <c r="B146" s="15" t="s">
        <v>57</v>
      </c>
      <c r="C146" s="15" t="s">
        <v>451</v>
      </c>
      <c r="D146" s="15" t="s">
        <v>285</v>
      </c>
      <c r="E146" s="15">
        <f>Table141415[[#This Row],[Police]]/Table14[[#This Row],[Justice]]</f>
        <v>0.51884943509338066</v>
      </c>
    </row>
    <row r="147" spans="1:5">
      <c r="A147">
        <v>175</v>
      </c>
      <c r="B147" s="15" t="s">
        <v>55</v>
      </c>
      <c r="C147" s="15" t="s">
        <v>452</v>
      </c>
      <c r="D147" s="15" t="s">
        <v>285</v>
      </c>
      <c r="E147" s="15">
        <f>Table141415[[#This Row],[Police]]/Table14[[#This Row],[Justice]]</f>
        <v>0.56356336752429559</v>
      </c>
    </row>
    <row r="148" spans="1:5">
      <c r="A148">
        <v>176</v>
      </c>
      <c r="B148" s="15" t="s">
        <v>71</v>
      </c>
      <c r="C148" s="15" t="s">
        <v>453</v>
      </c>
      <c r="D148" s="15" t="s">
        <v>285</v>
      </c>
      <c r="E148" s="15" t="e">
        <f>Table141415[[#This Row],[Police]]/Table14[[#This Row],[Justice]]</f>
        <v>#N/A</v>
      </c>
    </row>
    <row r="149" spans="1:5">
      <c r="A149">
        <v>177</v>
      </c>
      <c r="B149" s="15" t="s">
        <v>72</v>
      </c>
      <c r="C149" s="15" t="s">
        <v>454</v>
      </c>
      <c r="D149" s="15" t="s">
        <v>285</v>
      </c>
      <c r="E149" s="15">
        <f>Table141415[[#This Row],[Police]]/Table14[[#This Row],[Justice]]</f>
        <v>0.54414647081882228</v>
      </c>
    </row>
    <row r="150" spans="1:5">
      <c r="A150">
        <v>180</v>
      </c>
      <c r="B150" s="15" t="s">
        <v>64</v>
      </c>
      <c r="C150" s="15" t="s">
        <v>455</v>
      </c>
      <c r="D150" s="15" t="s">
        <v>285</v>
      </c>
      <c r="E150" s="15">
        <f>Table141415[[#This Row],[Police]]/Table14[[#This Row],[Justice]]</f>
        <v>0.45973105134474312</v>
      </c>
    </row>
    <row r="151" spans="1:5">
      <c r="A151">
        <v>182</v>
      </c>
      <c r="B151" s="15" t="s">
        <v>58</v>
      </c>
      <c r="C151" s="15" t="s">
        <v>456</v>
      </c>
      <c r="D151" s="15" t="s">
        <v>285</v>
      </c>
      <c r="E151" s="15">
        <f>Table141415[[#This Row],[Police]]/Table14[[#This Row],[Justice]]</f>
        <v>0.60066247747089363</v>
      </c>
    </row>
    <row r="152" spans="1:5">
      <c r="A152">
        <v>183</v>
      </c>
      <c r="B152" s="15" t="s">
        <v>56</v>
      </c>
      <c r="C152" s="15" t="s">
        <v>457</v>
      </c>
      <c r="D152" s="15" t="s">
        <v>285</v>
      </c>
      <c r="E152" s="15">
        <f>Table141415[[#This Row],[Police]]/Table14[[#This Row],[Justice]]</f>
        <v>0.47281696235395904</v>
      </c>
    </row>
    <row r="153" spans="1:5">
      <c r="A153">
        <v>184</v>
      </c>
      <c r="B153" s="15" t="s">
        <v>53</v>
      </c>
      <c r="C153" s="15" t="s">
        <v>458</v>
      </c>
      <c r="D153" s="15" t="s">
        <v>285</v>
      </c>
      <c r="E153" s="15">
        <f>Table141415[[#This Row],[Police]]/Table14[[#This Row],[Justice]]</f>
        <v>0.50773142143396022</v>
      </c>
    </row>
    <row r="154" spans="1:5">
      <c r="A154">
        <v>185</v>
      </c>
      <c r="B154" s="15" t="s">
        <v>50</v>
      </c>
      <c r="C154" s="15" t="s">
        <v>459</v>
      </c>
      <c r="D154" s="15" t="s">
        <v>285</v>
      </c>
      <c r="E154" s="15">
        <f>Table141415[[#This Row],[Police]]/Table14[[#This Row],[Justice]]</f>
        <v>0.45757795503988347</v>
      </c>
    </row>
    <row r="155" spans="1:5">
      <c r="A155">
        <v>187</v>
      </c>
      <c r="B155" s="15" t="s">
        <v>66</v>
      </c>
      <c r="C155" s="15" t="s">
        <v>460</v>
      </c>
      <c r="D155" s="15" t="s">
        <v>285</v>
      </c>
      <c r="E155" s="15">
        <f>Table141415[[#This Row],[Police]]/Table14[[#This Row],[Justice]]</f>
        <v>0.45505582539582423</v>
      </c>
    </row>
    <row r="156" spans="1:5">
      <c r="A156">
        <v>188</v>
      </c>
      <c r="B156" s="15" t="s">
        <v>74</v>
      </c>
      <c r="C156" s="15" t="s">
        <v>461</v>
      </c>
      <c r="D156" s="15" t="s">
        <v>285</v>
      </c>
      <c r="E156" s="15">
        <f>Table141415[[#This Row],[Police]]/Table14[[#This Row],[Justice]]</f>
        <v>0.33399607389137759</v>
      </c>
    </row>
    <row r="157" spans="1:5">
      <c r="A157">
        <v>190</v>
      </c>
      <c r="B157" s="15" t="s">
        <v>52</v>
      </c>
      <c r="C157" s="15" t="s">
        <v>462</v>
      </c>
      <c r="D157" s="15" t="s">
        <v>285</v>
      </c>
      <c r="E157" s="15">
        <f>Table141415[[#This Row],[Police]]/Table14[[#This Row],[Justice]]</f>
        <v>0.50843809195798062</v>
      </c>
    </row>
    <row r="158" spans="1:5">
      <c r="A158">
        <v>193</v>
      </c>
      <c r="B158" s="15" t="s">
        <v>59</v>
      </c>
      <c r="C158" s="15" t="s">
        <v>463</v>
      </c>
      <c r="D158" s="15" t="s">
        <v>285</v>
      </c>
      <c r="E158" s="15">
        <f>Table141415[[#This Row],[Police]]/Table14[[#This Row],[Justice]]</f>
        <v>0.5594225321883316</v>
      </c>
    </row>
    <row r="159" spans="1:5">
      <c r="A159">
        <v>194</v>
      </c>
      <c r="B159" s="15" t="s">
        <v>49</v>
      </c>
      <c r="C159" s="15" t="s">
        <v>464</v>
      </c>
      <c r="D159" s="15" t="s">
        <v>285</v>
      </c>
      <c r="E159" s="15">
        <f>Table141415[[#This Row],[Police]]/Table14[[#This Row],[Justice]]</f>
        <v>0.58376399655469391</v>
      </c>
    </row>
    <row r="160" spans="1:5">
      <c r="A160">
        <v>195</v>
      </c>
      <c r="B160" s="15" t="s">
        <v>77</v>
      </c>
      <c r="C160" s="15" t="s">
        <v>465</v>
      </c>
      <c r="D160" s="15" t="s">
        <v>285</v>
      </c>
      <c r="E160" s="15">
        <f>Table141415[[#This Row],[Police]]/Table14[[#This Row],[Justice]]</f>
        <v>0.46593406593406594</v>
      </c>
    </row>
    <row r="161" spans="1:5">
      <c r="A161">
        <v>196</v>
      </c>
      <c r="B161" s="15" t="s">
        <v>61</v>
      </c>
      <c r="C161" s="15" t="s">
        <v>466</v>
      </c>
      <c r="D161" s="15" t="s">
        <v>285</v>
      </c>
      <c r="E161" s="15">
        <f>Table141415[[#This Row],[Police]]/Table14[[#This Row],[Justice]]</f>
        <v>0.56332901331237306</v>
      </c>
    </row>
    <row r="162" spans="1:5">
      <c r="A162">
        <v>197</v>
      </c>
      <c r="B162" s="15" t="s">
        <v>54</v>
      </c>
      <c r="C162" s="15" t="s">
        <v>467</v>
      </c>
      <c r="D162" s="15" t="s">
        <v>285</v>
      </c>
      <c r="E162" s="15">
        <f>Table141415[[#This Row],[Police]]/Table14[[#This Row],[Justice]]</f>
        <v>0.41234528973123258</v>
      </c>
    </row>
    <row r="163" spans="1:5">
      <c r="A163">
        <v>199</v>
      </c>
      <c r="B163" s="15" t="s">
        <v>51</v>
      </c>
      <c r="C163" s="15" t="s">
        <v>468</v>
      </c>
      <c r="D163" s="15" t="s">
        <v>285</v>
      </c>
      <c r="E163" s="15">
        <f>Table141415[[#This Row],[Police]]/Table14[[#This Row],[Justice]]</f>
        <v>0.48948616600790568</v>
      </c>
    </row>
    <row r="164" spans="1:5">
      <c r="A164">
        <v>200</v>
      </c>
      <c r="B164" s="15" t="s">
        <v>67</v>
      </c>
      <c r="C164" s="15" t="s">
        <v>469</v>
      </c>
      <c r="D164" s="15" t="s">
        <v>285</v>
      </c>
      <c r="E164" s="15">
        <f>Table141415[[#This Row],[Police]]/Table14[[#This Row],[Justice]]</f>
        <v>0.416672395598081</v>
      </c>
    </row>
  </sheetData>
  <pageMargins left="0.7" right="0.7" top="0.75" bottom="0.75" header="0.3" footer="0.3"/>
  <pageSetup paperSize="9" orientation="portrait" horizontalDpi="4294967292" verticalDpi="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5C35-0DA5-4503-825B-DE79D1CF0B99}">
  <dimension ref="A1:E164"/>
  <sheetViews>
    <sheetView workbookViewId="0">
      <selection activeCell="N8" sqref="N8"/>
    </sheetView>
  </sheetViews>
  <sheetFormatPr defaultColWidth="8.85546875" defaultRowHeight="14.45"/>
  <cols>
    <col min="2" max="2" width="11.140625" customWidth="1"/>
    <col min="4" max="4" width="15.28515625" customWidth="1"/>
    <col min="5" max="5" width="15.42578125" customWidth="1"/>
  </cols>
  <sheetData>
    <row r="1" spans="1:5">
      <c r="E1" t="s">
        <v>631</v>
      </c>
    </row>
    <row r="2" spans="1:5">
      <c r="A2" s="1" t="s">
        <v>302</v>
      </c>
      <c r="B2" s="75" t="s">
        <v>47</v>
      </c>
      <c r="C2" s="75" t="s">
        <v>303</v>
      </c>
      <c r="D2" s="75" t="s">
        <v>304</v>
      </c>
      <c r="E2" s="75" t="s">
        <v>470</v>
      </c>
    </row>
    <row r="3" spans="1:5">
      <c r="A3">
        <v>1</v>
      </c>
      <c r="B3" s="15" t="s">
        <v>93</v>
      </c>
      <c r="C3" s="15" t="s">
        <v>305</v>
      </c>
      <c r="D3" s="15" t="s">
        <v>306</v>
      </c>
      <c r="E3" s="15" t="e">
        <f>Table1414[[#This Row],[Law courts]]/Table14[[#This Row],[Justice]]</f>
        <v>#N/A</v>
      </c>
    </row>
    <row r="4" spans="1:5">
      <c r="A4">
        <v>2</v>
      </c>
      <c r="B4" s="15" t="s">
        <v>94</v>
      </c>
      <c r="C4" s="15" t="s">
        <v>307</v>
      </c>
      <c r="D4" s="15" t="s">
        <v>306</v>
      </c>
      <c r="E4" s="15">
        <f>Table1414[[#This Row],[Law courts]]/Table14[[#This Row],[Justice]]</f>
        <v>0.13519355232350019</v>
      </c>
    </row>
    <row r="5" spans="1:5">
      <c r="A5">
        <v>3</v>
      </c>
      <c r="B5" s="15" t="s">
        <v>95</v>
      </c>
      <c r="C5" s="15" t="s">
        <v>308</v>
      </c>
      <c r="D5" s="15" t="s">
        <v>306</v>
      </c>
      <c r="E5" s="15">
        <f>Table1414[[#This Row],[Law courts]]/Table14[[#This Row],[Justice]]</f>
        <v>0.17242923118717732</v>
      </c>
    </row>
    <row r="6" spans="1:5">
      <c r="A6">
        <v>4</v>
      </c>
      <c r="B6" s="15" t="s">
        <v>96</v>
      </c>
      <c r="C6" s="15" t="s">
        <v>309</v>
      </c>
      <c r="D6" s="15" t="s">
        <v>306</v>
      </c>
      <c r="E6" s="15">
        <f>Table1414[[#This Row],[Law courts]]/Table14[[#This Row],[Justice]]</f>
        <v>6.9014605330909209E-2</v>
      </c>
    </row>
    <row r="7" spans="1:5">
      <c r="A7">
        <v>5</v>
      </c>
      <c r="B7" s="15" t="s">
        <v>97</v>
      </c>
      <c r="C7" s="15" t="s">
        <v>310</v>
      </c>
      <c r="D7" s="15" t="s">
        <v>306</v>
      </c>
      <c r="E7" s="15">
        <f>Table1414[[#This Row],[Law courts]]/Table14[[#This Row],[Justice]]</f>
        <v>0.17024586151310758</v>
      </c>
    </row>
    <row r="8" spans="1:5">
      <c r="A8">
        <v>6</v>
      </c>
      <c r="B8" s="15" t="s">
        <v>98</v>
      </c>
      <c r="C8" s="15" t="s">
        <v>311</v>
      </c>
      <c r="D8" s="15" t="s">
        <v>306</v>
      </c>
      <c r="E8" s="15">
        <f>Table1414[[#This Row],[Law courts]]/Table14[[#This Row],[Justice]]</f>
        <v>0.16125893420608484</v>
      </c>
    </row>
    <row r="9" spans="1:5" ht="15" customHeight="1">
      <c r="A9">
        <v>7</v>
      </c>
      <c r="B9" t="s">
        <v>99</v>
      </c>
      <c r="C9" t="s">
        <v>312</v>
      </c>
      <c r="D9" t="s">
        <v>306</v>
      </c>
      <c r="E9" s="15" t="e">
        <f>Table1414[[#This Row],[Law courts]]/Table14[[#This Row],[Justice]]</f>
        <v>#N/A</v>
      </c>
    </row>
    <row r="10" spans="1:5">
      <c r="A10">
        <v>8</v>
      </c>
      <c r="B10" s="15" t="s">
        <v>100</v>
      </c>
      <c r="C10" s="15" t="s">
        <v>313</v>
      </c>
      <c r="D10" s="15" t="s">
        <v>306</v>
      </c>
      <c r="E10" s="15">
        <f>Table1414[[#This Row],[Law courts]]/Table14[[#This Row],[Justice]]</f>
        <v>0.27853483016220776</v>
      </c>
    </row>
    <row r="11" spans="1:5">
      <c r="A11">
        <v>9</v>
      </c>
      <c r="B11" s="15" t="s">
        <v>101</v>
      </c>
      <c r="C11" s="15" t="s">
        <v>314</v>
      </c>
      <c r="D11" s="15" t="s">
        <v>306</v>
      </c>
      <c r="E11" s="15" t="e">
        <f>Table1414[[#This Row],[Law courts]]/Table14[[#This Row],[Justice]]</f>
        <v>#N/A</v>
      </c>
    </row>
    <row r="12" spans="1:5" ht="15" customHeight="1">
      <c r="A12">
        <v>10</v>
      </c>
      <c r="B12" t="s">
        <v>102</v>
      </c>
      <c r="C12" t="s">
        <v>315</v>
      </c>
      <c r="D12" t="s">
        <v>306</v>
      </c>
      <c r="E12" s="15" t="e">
        <f>Table1414[[#This Row],[Law courts]]/Table14[[#This Row],[Justice]]</f>
        <v>#N/A</v>
      </c>
    </row>
    <row r="13" spans="1:5" ht="15" customHeight="1">
      <c r="A13">
        <v>11</v>
      </c>
      <c r="B13" t="s">
        <v>103</v>
      </c>
      <c r="C13" t="s">
        <v>316</v>
      </c>
      <c r="D13" t="s">
        <v>306</v>
      </c>
      <c r="E13" s="15" t="e">
        <f>Table1414[[#This Row],[Law courts]]/Table14[[#This Row],[Justice]]</f>
        <v>#N/A</v>
      </c>
    </row>
    <row r="14" spans="1:5">
      <c r="A14">
        <v>12</v>
      </c>
      <c r="B14" s="15" t="s">
        <v>104</v>
      </c>
      <c r="C14" s="15" t="s">
        <v>317</v>
      </c>
      <c r="D14" s="15" t="s">
        <v>306</v>
      </c>
      <c r="E14" s="15">
        <f>Table1414[[#This Row],[Law courts]]/Table14[[#This Row],[Justice]]</f>
        <v>0.14298244853052589</v>
      </c>
    </row>
    <row r="15" spans="1:5">
      <c r="A15">
        <v>13</v>
      </c>
      <c r="B15" t="s">
        <v>105</v>
      </c>
      <c r="C15" t="s">
        <v>318</v>
      </c>
      <c r="D15" t="s">
        <v>306</v>
      </c>
      <c r="E15" s="15" t="e">
        <f>Table1414[[#This Row],[Law courts]]/Table14[[#This Row],[Justice]]</f>
        <v>#N/A</v>
      </c>
    </row>
    <row r="16" spans="1:5">
      <c r="A16">
        <v>14</v>
      </c>
      <c r="B16" s="15" t="s">
        <v>106</v>
      </c>
      <c r="C16" s="15" t="s">
        <v>319</v>
      </c>
      <c r="D16" s="15" t="s">
        <v>306</v>
      </c>
      <c r="E16" s="15" t="e">
        <f>Table1414[[#This Row],[Law courts]]/Table14[[#This Row],[Justice]]</f>
        <v>#N/A</v>
      </c>
    </row>
    <row r="17" spans="1:5">
      <c r="A17">
        <v>15</v>
      </c>
      <c r="B17" t="s">
        <v>107</v>
      </c>
      <c r="C17" t="s">
        <v>320</v>
      </c>
      <c r="D17" t="s">
        <v>306</v>
      </c>
      <c r="E17" s="15" t="e">
        <f>Table1414[[#This Row],[Law courts]]/Table14[[#This Row],[Justice]]</f>
        <v>#N/A</v>
      </c>
    </row>
    <row r="18" spans="1:5">
      <c r="A18">
        <v>16</v>
      </c>
      <c r="B18" t="s">
        <v>108</v>
      </c>
      <c r="C18" t="s">
        <v>321</v>
      </c>
      <c r="D18" t="s">
        <v>306</v>
      </c>
      <c r="E18" s="15" t="e">
        <f>Table1414[[#This Row],[Law courts]]/Table14[[#This Row],[Justice]]</f>
        <v>#N/A</v>
      </c>
    </row>
    <row r="19" spans="1:5">
      <c r="A19">
        <v>17</v>
      </c>
      <c r="B19" s="15" t="s">
        <v>109</v>
      </c>
      <c r="C19" s="15" t="s">
        <v>322</v>
      </c>
      <c r="D19" s="15" t="s">
        <v>306</v>
      </c>
      <c r="E19" s="15">
        <f>Table1414[[#This Row],[Law courts]]/Table14[[#This Row],[Justice]]</f>
        <v>0.21233233854201594</v>
      </c>
    </row>
    <row r="20" spans="1:5">
      <c r="A20">
        <v>18</v>
      </c>
      <c r="B20" s="15" t="s">
        <v>110</v>
      </c>
      <c r="C20" s="15" t="s">
        <v>323</v>
      </c>
      <c r="D20" s="15" t="s">
        <v>306</v>
      </c>
      <c r="E20" s="15">
        <f>Table1414[[#This Row],[Law courts]]/Table14[[#This Row],[Justice]]</f>
        <v>0</v>
      </c>
    </row>
    <row r="21" spans="1:5">
      <c r="A21">
        <v>19</v>
      </c>
      <c r="B21" s="15" t="s">
        <v>111</v>
      </c>
      <c r="C21" s="15" t="s">
        <v>324</v>
      </c>
      <c r="D21" s="15" t="s">
        <v>306</v>
      </c>
      <c r="E21" s="15">
        <f>Table1414[[#This Row],[Law courts]]/Table14[[#This Row],[Justice]]</f>
        <v>0.20016743898549275</v>
      </c>
    </row>
    <row r="22" spans="1:5">
      <c r="A22">
        <v>20</v>
      </c>
      <c r="B22" s="15" t="s">
        <v>112</v>
      </c>
      <c r="C22" s="15" t="s">
        <v>325</v>
      </c>
      <c r="D22" s="15" t="s">
        <v>306</v>
      </c>
      <c r="E22" s="15">
        <f>Table1414[[#This Row],[Law courts]]/Table14[[#This Row],[Justice]]</f>
        <v>0.11798267364357906</v>
      </c>
    </row>
    <row r="23" spans="1:5">
      <c r="A23">
        <v>21</v>
      </c>
      <c r="B23" t="s">
        <v>113</v>
      </c>
      <c r="C23" t="s">
        <v>326</v>
      </c>
      <c r="D23" t="s">
        <v>306</v>
      </c>
      <c r="E23" s="15">
        <f>Table1414[[#This Row],[Law courts]]/Table14[[#This Row],[Justice]]</f>
        <v>0.13436385255648042</v>
      </c>
    </row>
    <row r="24" spans="1:5">
      <c r="A24">
        <v>22</v>
      </c>
      <c r="B24" t="s">
        <v>114</v>
      </c>
      <c r="C24" t="s">
        <v>327</v>
      </c>
      <c r="D24" t="s">
        <v>306</v>
      </c>
      <c r="E24" s="15" t="e">
        <f>Table1414[[#This Row],[Law courts]]/Table14[[#This Row],[Justice]]</f>
        <v>#N/A</v>
      </c>
    </row>
    <row r="25" spans="1:5">
      <c r="A25">
        <v>23</v>
      </c>
      <c r="B25" s="15" t="s">
        <v>115</v>
      </c>
      <c r="C25" s="15" t="s">
        <v>328</v>
      </c>
      <c r="D25" s="15" t="s">
        <v>306</v>
      </c>
      <c r="E25" s="15">
        <f>Table1414[[#This Row],[Law courts]]/Table14[[#This Row],[Justice]]</f>
        <v>9.8519261394874075E-2</v>
      </c>
    </row>
    <row r="26" spans="1:5">
      <c r="A26">
        <v>24</v>
      </c>
      <c r="B26" t="s">
        <v>116</v>
      </c>
      <c r="C26" t="s">
        <v>329</v>
      </c>
      <c r="D26" t="s">
        <v>306</v>
      </c>
      <c r="E26" s="15" t="e">
        <f>Table1414[[#This Row],[Law courts]]/Table14[[#This Row],[Justice]]</f>
        <v>#N/A</v>
      </c>
    </row>
    <row r="27" spans="1:5">
      <c r="A27">
        <v>25</v>
      </c>
      <c r="B27" t="s">
        <v>117</v>
      </c>
      <c r="C27" t="s">
        <v>330</v>
      </c>
      <c r="D27" t="s">
        <v>306</v>
      </c>
      <c r="E27" s="15" t="e">
        <f>Table1414[[#This Row],[Law courts]]/Table14[[#This Row],[Justice]]</f>
        <v>#N/A</v>
      </c>
    </row>
    <row r="28" spans="1:5">
      <c r="A28">
        <v>26</v>
      </c>
      <c r="B28" s="15" t="s">
        <v>118</v>
      </c>
      <c r="C28" s="15" t="s">
        <v>331</v>
      </c>
      <c r="D28" s="15" t="s">
        <v>306</v>
      </c>
      <c r="E28" s="15">
        <f>Table1414[[#This Row],[Law courts]]/Table14[[#This Row],[Justice]]</f>
        <v>0.43256191190778293</v>
      </c>
    </row>
    <row r="29" spans="1:5">
      <c r="A29">
        <v>27</v>
      </c>
      <c r="B29" t="s">
        <v>119</v>
      </c>
      <c r="C29" t="s">
        <v>332</v>
      </c>
      <c r="D29" t="s">
        <v>306</v>
      </c>
      <c r="E29" s="15">
        <f>Table1414[[#This Row],[Law courts]]/Table14[[#This Row],[Justice]]</f>
        <v>2.4546730493949273E-2</v>
      </c>
    </row>
    <row r="30" spans="1:5">
      <c r="A30">
        <v>28</v>
      </c>
      <c r="B30" s="15" t="s">
        <v>120</v>
      </c>
      <c r="C30" s="15" t="s">
        <v>333</v>
      </c>
      <c r="D30" s="15" t="s">
        <v>334</v>
      </c>
      <c r="E30" s="15">
        <f>Table1414[[#This Row],[Law courts]]/Table14[[#This Row],[Justice]]</f>
        <v>7.9908325848487435E-2</v>
      </c>
    </row>
    <row r="31" spans="1:5">
      <c r="A31">
        <v>29</v>
      </c>
      <c r="B31" s="15" t="s">
        <v>121</v>
      </c>
      <c r="C31" s="15" t="s">
        <v>335</v>
      </c>
      <c r="D31" s="15" t="s">
        <v>334</v>
      </c>
      <c r="E31" s="15" t="e">
        <f>Table1414[[#This Row],[Law courts]]/Table14[[#This Row],[Justice]]</f>
        <v>#N/A</v>
      </c>
    </row>
    <row r="32" spans="1:5">
      <c r="A32">
        <v>30</v>
      </c>
      <c r="B32" t="s">
        <v>122</v>
      </c>
      <c r="C32" t="s">
        <v>336</v>
      </c>
      <c r="D32" t="s">
        <v>334</v>
      </c>
      <c r="E32" s="15" t="e">
        <f>Table1414[[#This Row],[Law courts]]/Table14[[#This Row],[Justice]]</f>
        <v>#N/A</v>
      </c>
    </row>
    <row r="33" spans="1:5">
      <c r="A33">
        <v>31</v>
      </c>
      <c r="B33" t="s">
        <v>123</v>
      </c>
      <c r="C33" t="s">
        <v>337</v>
      </c>
      <c r="D33" t="s">
        <v>334</v>
      </c>
      <c r="E33" s="15" t="e">
        <f>Table1414[[#This Row],[Law courts]]/Table14[[#This Row],[Justice]]</f>
        <v>#N/A</v>
      </c>
    </row>
    <row r="34" spans="1:5">
      <c r="A34">
        <v>32</v>
      </c>
      <c r="B34" s="15" t="s">
        <v>124</v>
      </c>
      <c r="C34" s="15" t="s">
        <v>338</v>
      </c>
      <c r="D34" s="15" t="s">
        <v>334</v>
      </c>
      <c r="E34" s="15">
        <f>Table1414[[#This Row],[Law courts]]/Table14[[#This Row],[Justice]]</f>
        <v>0.10862735691864936</v>
      </c>
    </row>
    <row r="35" spans="1:5">
      <c r="A35">
        <v>33</v>
      </c>
      <c r="B35" t="s">
        <v>125</v>
      </c>
      <c r="C35" t="s">
        <v>339</v>
      </c>
      <c r="D35" t="s">
        <v>334</v>
      </c>
      <c r="E35" s="15" t="e">
        <f>Table1414[[#This Row],[Law courts]]/Table14[[#This Row],[Justice]]</f>
        <v>#N/A</v>
      </c>
    </row>
    <row r="36" spans="1:5">
      <c r="A36">
        <v>34</v>
      </c>
      <c r="B36" t="s">
        <v>126</v>
      </c>
      <c r="C36" t="s">
        <v>340</v>
      </c>
      <c r="D36" t="s">
        <v>334</v>
      </c>
      <c r="E36" s="15" t="e">
        <f>Table1414[[#This Row],[Law courts]]/Table14[[#This Row],[Justice]]</f>
        <v>#N/A</v>
      </c>
    </row>
    <row r="37" spans="1:5">
      <c r="A37">
        <v>35</v>
      </c>
      <c r="B37" t="s">
        <v>127</v>
      </c>
      <c r="C37" t="s">
        <v>341</v>
      </c>
      <c r="D37" t="s">
        <v>334</v>
      </c>
      <c r="E37" s="15" t="e">
        <f>Table1414[[#This Row],[Law courts]]/Table14[[#This Row],[Justice]]</f>
        <v>#N/A</v>
      </c>
    </row>
    <row r="38" spans="1:5">
      <c r="A38">
        <v>36</v>
      </c>
      <c r="B38" t="s">
        <v>128</v>
      </c>
      <c r="C38" t="s">
        <v>342</v>
      </c>
      <c r="D38" t="s">
        <v>334</v>
      </c>
      <c r="E38" s="15" t="e">
        <f>Table1414[[#This Row],[Law courts]]/Table14[[#This Row],[Justice]]</f>
        <v>#N/A</v>
      </c>
    </row>
    <row r="39" spans="1:5">
      <c r="A39">
        <v>37</v>
      </c>
      <c r="B39" t="s">
        <v>129</v>
      </c>
      <c r="C39" t="s">
        <v>343</v>
      </c>
      <c r="D39" t="s">
        <v>334</v>
      </c>
      <c r="E39" s="15" t="e">
        <f>Table1414[[#This Row],[Law courts]]/Table14[[#This Row],[Justice]]</f>
        <v>#N/A</v>
      </c>
    </row>
    <row r="40" spans="1:5">
      <c r="A40">
        <v>38</v>
      </c>
      <c r="B40" t="s">
        <v>130</v>
      </c>
      <c r="C40" t="s">
        <v>344</v>
      </c>
      <c r="D40" t="s">
        <v>334</v>
      </c>
      <c r="E40" s="15">
        <f>Table1414[[#This Row],[Law courts]]/Table14[[#This Row],[Justice]]</f>
        <v>5.4872559142628972E-2</v>
      </c>
    </row>
    <row r="41" spans="1:5">
      <c r="A41">
        <v>39</v>
      </c>
      <c r="B41" t="s">
        <v>131</v>
      </c>
      <c r="C41" t="s">
        <v>345</v>
      </c>
      <c r="D41" t="s">
        <v>334</v>
      </c>
      <c r="E41" s="15" t="e">
        <f>Table1414[[#This Row],[Law courts]]/Table14[[#This Row],[Justice]]</f>
        <v>#N/A</v>
      </c>
    </row>
    <row r="42" spans="1:5">
      <c r="A42">
        <v>40</v>
      </c>
      <c r="B42" t="s">
        <v>132</v>
      </c>
      <c r="C42" t="s">
        <v>346</v>
      </c>
      <c r="D42" t="s">
        <v>334</v>
      </c>
      <c r="E42" s="15" t="e">
        <f>Table1414[[#This Row],[Law courts]]/Table14[[#This Row],[Justice]]</f>
        <v>#N/A</v>
      </c>
    </row>
    <row r="43" spans="1:5">
      <c r="A43">
        <v>41</v>
      </c>
      <c r="B43" t="s">
        <v>133</v>
      </c>
      <c r="C43" t="s">
        <v>347</v>
      </c>
      <c r="D43" t="s">
        <v>334</v>
      </c>
      <c r="E43" s="15" t="e">
        <f>Table1414[[#This Row],[Law courts]]/Table14[[#This Row],[Justice]]</f>
        <v>#N/A</v>
      </c>
    </row>
    <row r="44" spans="1:5">
      <c r="A44">
        <v>42</v>
      </c>
      <c r="B44" t="s">
        <v>134</v>
      </c>
      <c r="C44" t="s">
        <v>348</v>
      </c>
      <c r="D44" t="s">
        <v>334</v>
      </c>
      <c r="E44" s="15" t="e">
        <f>Table1414[[#This Row],[Law courts]]/Table14[[#This Row],[Justice]]</f>
        <v>#N/A</v>
      </c>
    </row>
    <row r="45" spans="1:5">
      <c r="A45">
        <v>43</v>
      </c>
      <c r="B45" t="s">
        <v>135</v>
      </c>
      <c r="C45" t="s">
        <v>349</v>
      </c>
      <c r="D45" t="s">
        <v>334</v>
      </c>
      <c r="E45" s="15">
        <f>Table1414[[#This Row],[Law courts]]/Table14[[#This Row],[Justice]]</f>
        <v>0.12055906389371684</v>
      </c>
    </row>
    <row r="46" spans="1:5">
      <c r="A46">
        <v>44</v>
      </c>
      <c r="B46" s="15" t="s">
        <v>136</v>
      </c>
      <c r="C46" s="15" t="s">
        <v>350</v>
      </c>
      <c r="D46" s="15" t="s">
        <v>334</v>
      </c>
      <c r="E46" s="15">
        <f>Table1414[[#This Row],[Law courts]]/Table14[[#This Row],[Justice]]</f>
        <v>0</v>
      </c>
    </row>
    <row r="47" spans="1:5">
      <c r="A47">
        <v>45</v>
      </c>
      <c r="B47" t="s">
        <v>137</v>
      </c>
      <c r="C47" t="s">
        <v>351</v>
      </c>
      <c r="D47" t="s">
        <v>334</v>
      </c>
      <c r="E47" s="15" t="e">
        <f>Table1414[[#This Row],[Law courts]]/Table14[[#This Row],[Justice]]</f>
        <v>#N/A</v>
      </c>
    </row>
    <row r="48" spans="1:5">
      <c r="A48">
        <v>46</v>
      </c>
      <c r="B48" t="s">
        <v>138</v>
      </c>
      <c r="C48" t="s">
        <v>352</v>
      </c>
      <c r="D48" t="s">
        <v>334</v>
      </c>
      <c r="E48" s="15" t="e">
        <f>Table1414[[#This Row],[Law courts]]/Table14[[#This Row],[Justice]]</f>
        <v>#N/A</v>
      </c>
    </row>
    <row r="49" spans="1:5">
      <c r="A49">
        <v>47</v>
      </c>
      <c r="B49" s="15" t="s">
        <v>139</v>
      </c>
      <c r="C49" s="15" t="s">
        <v>353</v>
      </c>
      <c r="D49" s="15" t="s">
        <v>334</v>
      </c>
      <c r="E49" s="15">
        <f>Table1414[[#This Row],[Law courts]]/Table14[[#This Row],[Justice]]</f>
        <v>0.16845576242883289</v>
      </c>
    </row>
    <row r="50" spans="1:5">
      <c r="A50">
        <v>48</v>
      </c>
      <c r="B50" s="15" t="s">
        <v>140</v>
      </c>
      <c r="C50" s="15" t="s">
        <v>354</v>
      </c>
      <c r="D50" s="15" t="s">
        <v>334</v>
      </c>
      <c r="E50" s="15" t="e">
        <f>Table1414[[#This Row],[Law courts]]/Table14[[#This Row],[Justice]]</f>
        <v>#N/A</v>
      </c>
    </row>
    <row r="51" spans="1:5">
      <c r="A51">
        <v>49</v>
      </c>
      <c r="B51" t="s">
        <v>141</v>
      </c>
      <c r="C51" t="s">
        <v>355</v>
      </c>
      <c r="D51" t="s">
        <v>334</v>
      </c>
      <c r="E51" s="15">
        <f>Table1414[[#This Row],[Law courts]]/Table14[[#This Row],[Justice]]</f>
        <v>0.2175565051349744</v>
      </c>
    </row>
    <row r="52" spans="1:5">
      <c r="A52">
        <v>50</v>
      </c>
      <c r="B52" s="15" t="s">
        <v>142</v>
      </c>
      <c r="C52" s="15" t="s">
        <v>356</v>
      </c>
      <c r="D52" s="15" t="s">
        <v>334</v>
      </c>
      <c r="E52" s="15">
        <f>Table1414[[#This Row],[Law courts]]/Table14[[#This Row],[Justice]]</f>
        <v>7.3796966599219416E-2</v>
      </c>
    </row>
    <row r="53" spans="1:5">
      <c r="A53">
        <v>51</v>
      </c>
      <c r="B53" t="s">
        <v>143</v>
      </c>
      <c r="C53" t="s">
        <v>357</v>
      </c>
      <c r="D53" t="s">
        <v>334</v>
      </c>
      <c r="E53" s="15" t="e">
        <f>Table1414[[#This Row],[Law courts]]/Table14[[#This Row],[Justice]]</f>
        <v>#N/A</v>
      </c>
    </row>
    <row r="54" spans="1:5">
      <c r="A54">
        <v>52</v>
      </c>
      <c r="B54" s="15" t="s">
        <v>144</v>
      </c>
      <c r="C54" s="15" t="s">
        <v>358</v>
      </c>
      <c r="D54" s="15" t="s">
        <v>334</v>
      </c>
      <c r="E54" s="15">
        <f>Table1414[[#This Row],[Law courts]]/Table14[[#This Row],[Justice]]</f>
        <v>0.16536211027058056</v>
      </c>
    </row>
    <row r="55" spans="1:5">
      <c r="A55">
        <v>53</v>
      </c>
      <c r="B55" s="15" t="s">
        <v>145</v>
      </c>
      <c r="C55" s="15" t="s">
        <v>359</v>
      </c>
      <c r="D55" s="15" t="s">
        <v>334</v>
      </c>
      <c r="E55" s="15">
        <f>Table1414[[#This Row],[Law courts]]/Table14[[#This Row],[Justice]]</f>
        <v>0.16156953593093759</v>
      </c>
    </row>
    <row r="56" spans="1:5">
      <c r="A56">
        <v>54</v>
      </c>
      <c r="B56" t="s">
        <v>146</v>
      </c>
      <c r="C56" t="s">
        <v>360</v>
      </c>
      <c r="D56" t="s">
        <v>334</v>
      </c>
      <c r="E56" s="15" t="e">
        <f>Table1414[[#This Row],[Law courts]]/Table14[[#This Row],[Justice]]</f>
        <v>#N/A</v>
      </c>
    </row>
    <row r="57" spans="1:5">
      <c r="A57">
        <v>55</v>
      </c>
      <c r="B57" t="s">
        <v>147</v>
      </c>
      <c r="C57" t="s">
        <v>361</v>
      </c>
      <c r="D57" t="s">
        <v>334</v>
      </c>
      <c r="E57" s="15" t="e">
        <f>Table1414[[#This Row],[Law courts]]/Table14[[#This Row],[Justice]]</f>
        <v>#N/A</v>
      </c>
    </row>
    <row r="58" spans="1:5">
      <c r="A58">
        <v>56</v>
      </c>
      <c r="B58" s="15" t="s">
        <v>148</v>
      </c>
      <c r="C58" s="15" t="s">
        <v>362</v>
      </c>
      <c r="D58" s="15" t="s">
        <v>334</v>
      </c>
      <c r="E58" s="15">
        <f>Table1414[[#This Row],[Law courts]]/Table14[[#This Row],[Justice]]</f>
        <v>0.35844470102659254</v>
      </c>
    </row>
    <row r="59" spans="1:5">
      <c r="A59">
        <v>57</v>
      </c>
      <c r="B59" s="15" t="s">
        <v>149</v>
      </c>
      <c r="C59" s="15" t="s">
        <v>363</v>
      </c>
      <c r="D59" s="15" t="s">
        <v>334</v>
      </c>
      <c r="E59" s="15">
        <f>Table1414[[#This Row],[Law courts]]/Table14[[#This Row],[Justice]]</f>
        <v>0.14179833704512573</v>
      </c>
    </row>
    <row r="60" spans="1:5">
      <c r="A60">
        <v>58</v>
      </c>
      <c r="B60" s="15" t="s">
        <v>150</v>
      </c>
      <c r="C60" s="15" t="s">
        <v>364</v>
      </c>
      <c r="D60" s="15" t="s">
        <v>334</v>
      </c>
      <c r="E60" s="15">
        <f>Table1414[[#This Row],[Law courts]]/Table14[[#This Row],[Justice]]</f>
        <v>0.38550927295452847</v>
      </c>
    </row>
    <row r="61" spans="1:5">
      <c r="A61">
        <v>59</v>
      </c>
      <c r="B61" s="15" t="s">
        <v>151</v>
      </c>
      <c r="C61" s="15" t="s">
        <v>365</v>
      </c>
      <c r="D61" s="15" t="s">
        <v>334</v>
      </c>
      <c r="E61" s="15" t="e">
        <f>Table1414[[#This Row],[Law courts]]/Table14[[#This Row],[Justice]]</f>
        <v>#N/A</v>
      </c>
    </row>
    <row r="62" spans="1:5">
      <c r="A62">
        <v>60</v>
      </c>
      <c r="B62" s="15" t="s">
        <v>152</v>
      </c>
      <c r="C62" s="15" t="s">
        <v>366</v>
      </c>
      <c r="D62" s="15" t="s">
        <v>334</v>
      </c>
      <c r="E62" s="15" t="e">
        <f>Table1414[[#This Row],[Law courts]]/Table14[[#This Row],[Justice]]</f>
        <v>#N/A</v>
      </c>
    </row>
    <row r="63" spans="1:5">
      <c r="A63">
        <v>61</v>
      </c>
      <c r="B63" t="s">
        <v>153</v>
      </c>
      <c r="C63" t="s">
        <v>367</v>
      </c>
      <c r="D63" t="s">
        <v>334</v>
      </c>
      <c r="E63" s="15" t="e">
        <f>Table1414[[#This Row],[Law courts]]/Table14[[#This Row],[Justice]]</f>
        <v>#N/A</v>
      </c>
    </row>
    <row r="64" spans="1:5">
      <c r="A64">
        <v>62</v>
      </c>
      <c r="B64" t="s">
        <v>154</v>
      </c>
      <c r="C64" t="s">
        <v>368</v>
      </c>
      <c r="D64" t="s">
        <v>334</v>
      </c>
      <c r="E64" s="15" t="e">
        <f>Table1414[[#This Row],[Law courts]]/Table14[[#This Row],[Justice]]</f>
        <v>#N/A</v>
      </c>
    </row>
    <row r="65" spans="1:5">
      <c r="A65">
        <v>63</v>
      </c>
      <c r="B65" s="15" t="s">
        <v>155</v>
      </c>
      <c r="C65" s="15" t="s">
        <v>369</v>
      </c>
      <c r="D65" s="15" t="s">
        <v>334</v>
      </c>
      <c r="E65" s="15">
        <f>Table1414[[#This Row],[Law courts]]/Table14[[#This Row],[Justice]]</f>
        <v>0.13642231757467041</v>
      </c>
    </row>
    <row r="66" spans="1:5">
      <c r="A66">
        <v>64</v>
      </c>
      <c r="B66" t="s">
        <v>156</v>
      </c>
      <c r="C66" t="s">
        <v>370</v>
      </c>
      <c r="D66" t="s">
        <v>334</v>
      </c>
      <c r="E66" s="15" t="e">
        <f>Table1414[[#This Row],[Law courts]]/Table14[[#This Row],[Justice]]</f>
        <v>#N/A</v>
      </c>
    </row>
    <row r="67" spans="1:5">
      <c r="A67">
        <v>65</v>
      </c>
      <c r="B67" t="s">
        <v>157</v>
      </c>
      <c r="C67" t="s">
        <v>371</v>
      </c>
      <c r="D67" t="s">
        <v>334</v>
      </c>
      <c r="E67" s="15" t="e">
        <f>Table1414[[#This Row],[Law courts]]/Table14[[#This Row],[Justice]]</f>
        <v>#N/A</v>
      </c>
    </row>
    <row r="68" spans="1:5">
      <c r="A68">
        <v>66</v>
      </c>
      <c r="B68" t="s">
        <v>158</v>
      </c>
      <c r="C68" t="s">
        <v>372</v>
      </c>
      <c r="D68" t="s">
        <v>334</v>
      </c>
      <c r="E68" s="15" t="e">
        <f>Table1414[[#This Row],[Law courts]]/Table14[[#This Row],[Justice]]</f>
        <v>#N/A</v>
      </c>
    </row>
    <row r="69" spans="1:5">
      <c r="A69">
        <v>67</v>
      </c>
      <c r="B69" s="15" t="s">
        <v>159</v>
      </c>
      <c r="C69" s="15" t="s">
        <v>373</v>
      </c>
      <c r="D69" s="15" t="s">
        <v>334</v>
      </c>
      <c r="E69" s="15">
        <f>Table1414[[#This Row],[Law courts]]/Table14[[#This Row],[Justice]]</f>
        <v>7.7935479464845275E-2</v>
      </c>
    </row>
    <row r="70" spans="1:5">
      <c r="A70">
        <v>68</v>
      </c>
      <c r="B70" s="15" t="s">
        <v>160</v>
      </c>
      <c r="C70" s="15" t="s">
        <v>374</v>
      </c>
      <c r="D70" s="15" t="s">
        <v>334</v>
      </c>
      <c r="E70" s="15" t="e">
        <f>Table1414[[#This Row],[Law courts]]/Table14[[#This Row],[Justice]]</f>
        <v>#N/A</v>
      </c>
    </row>
    <row r="71" spans="1:5">
      <c r="A71">
        <v>69</v>
      </c>
      <c r="B71" t="s">
        <v>161</v>
      </c>
      <c r="C71" t="s">
        <v>375</v>
      </c>
      <c r="D71" t="s">
        <v>334</v>
      </c>
      <c r="E71" s="15" t="e">
        <f>Table1414[[#This Row],[Law courts]]/Table14[[#This Row],[Justice]]</f>
        <v>#N/A</v>
      </c>
    </row>
    <row r="72" spans="1:5">
      <c r="A72">
        <v>70</v>
      </c>
      <c r="B72" t="s">
        <v>162</v>
      </c>
      <c r="C72" t="s">
        <v>376</v>
      </c>
      <c r="D72" t="s">
        <v>334</v>
      </c>
      <c r="E72" s="15" t="e">
        <f>Table1414[[#This Row],[Law courts]]/Table14[[#This Row],[Justice]]</f>
        <v>#N/A</v>
      </c>
    </row>
    <row r="73" spans="1:5">
      <c r="A73">
        <v>71</v>
      </c>
      <c r="B73" s="15" t="s">
        <v>163</v>
      </c>
      <c r="C73" s="15" t="s">
        <v>377</v>
      </c>
      <c r="D73" s="15" t="s">
        <v>334</v>
      </c>
      <c r="E73" s="15">
        <f>Table1414[[#This Row],[Law courts]]/Table14[[#This Row],[Justice]]</f>
        <v>0.1214520760848809</v>
      </c>
    </row>
    <row r="74" spans="1:5">
      <c r="A74">
        <v>72</v>
      </c>
      <c r="B74" t="s">
        <v>164</v>
      </c>
      <c r="C74" t="s">
        <v>378</v>
      </c>
      <c r="D74" t="s">
        <v>334</v>
      </c>
      <c r="E74" s="15" t="e">
        <f>Table1414[[#This Row],[Law courts]]/Table14[[#This Row],[Justice]]</f>
        <v>#N/A</v>
      </c>
    </row>
    <row r="75" spans="1:5">
      <c r="A75">
        <v>73</v>
      </c>
      <c r="B75" t="s">
        <v>165</v>
      </c>
      <c r="C75" t="s">
        <v>379</v>
      </c>
      <c r="D75" t="s">
        <v>334</v>
      </c>
      <c r="E75" s="15" t="e">
        <f>Table1414[[#This Row],[Law courts]]/Table14[[#This Row],[Justice]]</f>
        <v>#N/A</v>
      </c>
    </row>
    <row r="76" spans="1:5">
      <c r="A76">
        <v>74</v>
      </c>
      <c r="B76" s="15" t="s">
        <v>166</v>
      </c>
      <c r="C76" s="15" t="s">
        <v>380</v>
      </c>
      <c r="D76" s="15" t="s">
        <v>334</v>
      </c>
      <c r="E76" s="15">
        <f>Table1414[[#This Row],[Law courts]]/Table14[[#This Row],[Justice]]</f>
        <v>0.1717035248685784</v>
      </c>
    </row>
    <row r="77" spans="1:5">
      <c r="A77">
        <v>75</v>
      </c>
      <c r="B77" s="15" t="s">
        <v>167</v>
      </c>
      <c r="C77" s="15" t="s">
        <v>381</v>
      </c>
      <c r="D77" s="15" t="s">
        <v>334</v>
      </c>
      <c r="E77" s="15">
        <f>Table1414[[#This Row],[Law courts]]/Table14[[#This Row],[Justice]]</f>
        <v>0</v>
      </c>
    </row>
    <row r="78" spans="1:5">
      <c r="A78">
        <v>76</v>
      </c>
      <c r="B78" s="15" t="s">
        <v>168</v>
      </c>
      <c r="C78" s="15" t="s">
        <v>382</v>
      </c>
      <c r="D78" s="15" t="s">
        <v>334</v>
      </c>
      <c r="E78" s="15">
        <f>Table1414[[#This Row],[Law courts]]/Table14[[#This Row],[Justice]]</f>
        <v>0.27449617159509626</v>
      </c>
    </row>
    <row r="79" spans="1:5">
      <c r="A79">
        <v>77</v>
      </c>
      <c r="B79" s="15" t="s">
        <v>169</v>
      </c>
      <c r="C79" s="15" t="s">
        <v>383</v>
      </c>
      <c r="D79" s="15" t="s">
        <v>334</v>
      </c>
      <c r="E79" s="15">
        <f>Table1414[[#This Row],[Law courts]]/Table14[[#This Row],[Justice]]</f>
        <v>0</v>
      </c>
    </row>
    <row r="80" spans="1:5">
      <c r="A80">
        <v>78</v>
      </c>
      <c r="B80" s="15" t="s">
        <v>170</v>
      </c>
      <c r="C80" s="15" t="s">
        <v>384</v>
      </c>
      <c r="D80" s="15" t="s">
        <v>334</v>
      </c>
      <c r="E80" s="15">
        <f>Table1414[[#This Row],[Law courts]]/Table14[[#This Row],[Justice]]</f>
        <v>0.11691333938521592</v>
      </c>
    </row>
    <row r="81" spans="1:5">
      <c r="A81">
        <v>79</v>
      </c>
      <c r="B81" s="15" t="s">
        <v>171</v>
      </c>
      <c r="C81" s="15" t="s">
        <v>385</v>
      </c>
      <c r="D81" s="15" t="s">
        <v>334</v>
      </c>
      <c r="E81" s="15" t="e">
        <f>Table1414[[#This Row],[Law courts]]/Table14[[#This Row],[Justice]]</f>
        <v>#N/A</v>
      </c>
    </row>
    <row r="82" spans="1:5">
      <c r="A82">
        <v>80</v>
      </c>
      <c r="B82" s="15" t="s">
        <v>172</v>
      </c>
      <c r="C82" s="15" t="s">
        <v>386</v>
      </c>
      <c r="D82" s="15" t="s">
        <v>334</v>
      </c>
      <c r="E82" s="15">
        <f>Table1414[[#This Row],[Law courts]]/Table14[[#This Row],[Justice]]</f>
        <v>0.41489621489621392</v>
      </c>
    </row>
    <row r="83" spans="1:5">
      <c r="A83">
        <v>81</v>
      </c>
      <c r="B83" s="15" t="s">
        <v>173</v>
      </c>
      <c r="C83" s="15" t="s">
        <v>387</v>
      </c>
      <c r="D83" s="15" t="s">
        <v>334</v>
      </c>
      <c r="E83" s="15">
        <f>Table1414[[#This Row],[Law courts]]/Table14[[#This Row],[Justice]]</f>
        <v>6.0067164266306289E-2</v>
      </c>
    </row>
    <row r="84" spans="1:5">
      <c r="A84">
        <v>82</v>
      </c>
      <c r="B84" t="s">
        <v>174</v>
      </c>
      <c r="C84" t="s">
        <v>388</v>
      </c>
      <c r="D84" t="s">
        <v>389</v>
      </c>
      <c r="E84" s="15" t="e">
        <f>Table1414[[#This Row],[Law courts]]/Table14[[#This Row],[Justice]]</f>
        <v>#N/A</v>
      </c>
    </row>
    <row r="85" spans="1:5">
      <c r="A85">
        <v>83</v>
      </c>
      <c r="B85" t="s">
        <v>175</v>
      </c>
      <c r="C85" t="s">
        <v>390</v>
      </c>
      <c r="D85" t="s">
        <v>389</v>
      </c>
      <c r="E85" s="15" t="e">
        <f>Table1414[[#This Row],[Law courts]]/Table14[[#This Row],[Justice]]</f>
        <v>#N/A</v>
      </c>
    </row>
    <row r="86" spans="1:5">
      <c r="A86">
        <v>84</v>
      </c>
      <c r="B86" s="15" t="s">
        <v>176</v>
      </c>
      <c r="C86" s="15" t="s">
        <v>391</v>
      </c>
      <c r="D86" s="15" t="s">
        <v>389</v>
      </c>
      <c r="E86" s="15">
        <f>Table1414[[#This Row],[Law courts]]/Table14[[#This Row],[Justice]]</f>
        <v>6.6475604641409156E-2</v>
      </c>
    </row>
    <row r="87" spans="1:5">
      <c r="A87">
        <v>85</v>
      </c>
      <c r="B87" s="15" t="s">
        <v>177</v>
      </c>
      <c r="C87" s="15" t="s">
        <v>392</v>
      </c>
      <c r="D87" s="15" t="s">
        <v>389</v>
      </c>
      <c r="E87" s="15">
        <f>Table1414[[#This Row],[Law courts]]/Table14[[#This Row],[Justice]]</f>
        <v>0</v>
      </c>
    </row>
    <row r="88" spans="1:5">
      <c r="A88">
        <v>86</v>
      </c>
      <c r="B88" s="15" t="s">
        <v>178</v>
      </c>
      <c r="C88" s="15" t="s">
        <v>393</v>
      </c>
      <c r="D88" s="15" t="s">
        <v>389</v>
      </c>
      <c r="E88" s="15">
        <f>Table1414[[#This Row],[Law courts]]/Table14[[#This Row],[Justice]]</f>
        <v>9.7085988812204066E-2</v>
      </c>
    </row>
    <row r="89" spans="1:5">
      <c r="A89">
        <v>87</v>
      </c>
      <c r="B89" s="15" t="s">
        <v>179</v>
      </c>
      <c r="C89" s="15" t="s">
        <v>394</v>
      </c>
      <c r="D89" s="15" t="s">
        <v>389</v>
      </c>
      <c r="E89" s="15">
        <f>Table1414[[#This Row],[Law courts]]/Table14[[#This Row],[Justice]]</f>
        <v>9.467054919753487E-2</v>
      </c>
    </row>
    <row r="90" spans="1:5">
      <c r="A90">
        <v>88</v>
      </c>
      <c r="B90" t="s">
        <v>180</v>
      </c>
      <c r="C90" t="s">
        <v>395</v>
      </c>
      <c r="D90" t="s">
        <v>389</v>
      </c>
      <c r="E90" s="15" t="e">
        <f>Table1414[[#This Row],[Law courts]]/Table14[[#This Row],[Justice]]</f>
        <v>#N/A</v>
      </c>
    </row>
    <row r="91" spans="1:5">
      <c r="A91">
        <v>89</v>
      </c>
      <c r="B91" t="s">
        <v>181</v>
      </c>
      <c r="C91" t="s">
        <v>396</v>
      </c>
      <c r="D91" t="s">
        <v>389</v>
      </c>
      <c r="E91" s="15" t="e">
        <f>Table1414[[#This Row],[Law courts]]/Table14[[#This Row],[Justice]]</f>
        <v>#N/A</v>
      </c>
    </row>
    <row r="92" spans="1:5">
      <c r="A92">
        <v>90</v>
      </c>
      <c r="B92" s="15" t="s">
        <v>182</v>
      </c>
      <c r="C92" s="15" t="s">
        <v>397</v>
      </c>
      <c r="D92" s="15" t="s">
        <v>389</v>
      </c>
      <c r="E92" s="15">
        <f>Table1414[[#This Row],[Law courts]]/Table14[[#This Row],[Justice]]</f>
        <v>7.8009218740883304E-2</v>
      </c>
    </row>
    <row r="93" spans="1:5">
      <c r="A93">
        <v>91</v>
      </c>
      <c r="B93" s="15" t="s">
        <v>183</v>
      </c>
      <c r="C93" s="15" t="s">
        <v>398</v>
      </c>
      <c r="D93" s="15" t="s">
        <v>389</v>
      </c>
      <c r="E93" s="15">
        <f>Table1414[[#This Row],[Law courts]]/Table14[[#This Row],[Justice]]</f>
        <v>0.30366235973268552</v>
      </c>
    </row>
    <row r="94" spans="1:5">
      <c r="A94">
        <v>92</v>
      </c>
      <c r="B94" s="15" t="s">
        <v>184</v>
      </c>
      <c r="C94" s="15" t="s">
        <v>399</v>
      </c>
      <c r="D94" s="15" t="s">
        <v>389</v>
      </c>
      <c r="E94" s="15">
        <f>Table1414[[#This Row],[Law courts]]/Table14[[#This Row],[Justice]]</f>
        <v>0.27528798276964855</v>
      </c>
    </row>
    <row r="95" spans="1:5">
      <c r="A95">
        <v>93</v>
      </c>
      <c r="B95" t="s">
        <v>185</v>
      </c>
      <c r="C95" t="s">
        <v>400</v>
      </c>
      <c r="D95" t="s">
        <v>389</v>
      </c>
      <c r="E95" s="15" t="e">
        <f>Table1414[[#This Row],[Law courts]]/Table14[[#This Row],[Justice]]</f>
        <v>#N/A</v>
      </c>
    </row>
    <row r="96" spans="1:5">
      <c r="A96">
        <v>94</v>
      </c>
      <c r="B96" s="15" t="s">
        <v>186</v>
      </c>
      <c r="C96" s="15" t="s">
        <v>401</v>
      </c>
      <c r="D96" s="15" t="s">
        <v>389</v>
      </c>
      <c r="E96" s="15">
        <f>Table1414[[#This Row],[Law courts]]/Table14[[#This Row],[Justice]]</f>
        <v>0.79864271417035781</v>
      </c>
    </row>
    <row r="97" spans="1:5">
      <c r="A97">
        <v>95</v>
      </c>
      <c r="B97" t="s">
        <v>187</v>
      </c>
      <c r="C97" t="s">
        <v>402</v>
      </c>
      <c r="D97" t="s">
        <v>389</v>
      </c>
      <c r="E97" s="15" t="e">
        <f>Table1414[[#This Row],[Law courts]]/Table14[[#This Row],[Justice]]</f>
        <v>#N/A</v>
      </c>
    </row>
    <row r="98" spans="1:5">
      <c r="A98">
        <v>96</v>
      </c>
      <c r="B98" t="s">
        <v>188</v>
      </c>
      <c r="C98" t="s">
        <v>403</v>
      </c>
      <c r="D98" t="s">
        <v>389</v>
      </c>
      <c r="E98" s="15" t="e">
        <f>Table1414[[#This Row],[Law courts]]/Table14[[#This Row],[Justice]]</f>
        <v>#N/A</v>
      </c>
    </row>
    <row r="99" spans="1:5">
      <c r="A99">
        <v>97</v>
      </c>
      <c r="B99" s="15" t="s">
        <v>189</v>
      </c>
      <c r="C99" s="15" t="s">
        <v>404</v>
      </c>
      <c r="D99" s="15" t="s">
        <v>389</v>
      </c>
      <c r="E99" s="15">
        <f>Table1414[[#This Row],[Law courts]]/Table14[[#This Row],[Justice]]</f>
        <v>0.19799178265973497</v>
      </c>
    </row>
    <row r="100" spans="1:5">
      <c r="A100">
        <v>98</v>
      </c>
      <c r="B100" t="s">
        <v>190</v>
      </c>
      <c r="C100" t="s">
        <v>405</v>
      </c>
      <c r="D100" t="s">
        <v>389</v>
      </c>
      <c r="E100" s="15" t="e">
        <f>Table1414[[#This Row],[Law courts]]/Table14[[#This Row],[Justice]]</f>
        <v>#N/A</v>
      </c>
    </row>
    <row r="101" spans="1:5">
      <c r="A101">
        <v>99</v>
      </c>
      <c r="B101" t="s">
        <v>191</v>
      </c>
      <c r="C101" t="s">
        <v>406</v>
      </c>
      <c r="D101" t="s">
        <v>389</v>
      </c>
      <c r="E101" s="15" t="e">
        <f>Table1414[[#This Row],[Law courts]]/Table14[[#This Row],[Justice]]</f>
        <v>#N/A</v>
      </c>
    </row>
    <row r="102" spans="1:5">
      <c r="A102">
        <v>100</v>
      </c>
      <c r="B102" s="15" t="s">
        <v>192</v>
      </c>
      <c r="C102" s="15" t="s">
        <v>407</v>
      </c>
      <c r="D102" s="15" t="s">
        <v>389</v>
      </c>
      <c r="E102" s="15">
        <f>Table1414[[#This Row],[Law courts]]/Table14[[#This Row],[Justice]]</f>
        <v>0.11275844271189776</v>
      </c>
    </row>
    <row r="103" spans="1:5">
      <c r="A103">
        <v>101</v>
      </c>
      <c r="B103" t="s">
        <v>193</v>
      </c>
      <c r="C103" t="s">
        <v>408</v>
      </c>
      <c r="D103" t="s">
        <v>389</v>
      </c>
      <c r="E103" s="15" t="e">
        <f>Table1414[[#This Row],[Law courts]]/Table14[[#This Row],[Justice]]</f>
        <v>#N/A</v>
      </c>
    </row>
    <row r="104" spans="1:5">
      <c r="A104">
        <v>102</v>
      </c>
      <c r="B104" t="s">
        <v>194</v>
      </c>
      <c r="C104" t="s">
        <v>409</v>
      </c>
      <c r="D104" t="s">
        <v>389</v>
      </c>
      <c r="E104" s="15" t="e">
        <f>Table1414[[#This Row],[Law courts]]/Table14[[#This Row],[Justice]]</f>
        <v>#N/A</v>
      </c>
    </row>
    <row r="105" spans="1:5">
      <c r="A105">
        <v>103</v>
      </c>
      <c r="B105" s="15" t="s">
        <v>195</v>
      </c>
      <c r="C105" s="15" t="s">
        <v>410</v>
      </c>
      <c r="D105" s="15" t="s">
        <v>389</v>
      </c>
      <c r="E105" s="15">
        <f>Table1414[[#This Row],[Law courts]]/Table14[[#This Row],[Justice]]</f>
        <v>0.14086673304258193</v>
      </c>
    </row>
    <row r="106" spans="1:5">
      <c r="A106">
        <v>104</v>
      </c>
      <c r="B106" t="s">
        <v>196</v>
      </c>
      <c r="C106" t="s">
        <v>411</v>
      </c>
      <c r="D106" t="s">
        <v>389</v>
      </c>
      <c r="E106" s="15" t="e">
        <f>Table1414[[#This Row],[Law courts]]/Table14[[#This Row],[Justice]]</f>
        <v>#N/A</v>
      </c>
    </row>
    <row r="107" spans="1:5">
      <c r="A107">
        <v>105</v>
      </c>
      <c r="B107" t="s">
        <v>197</v>
      </c>
      <c r="C107" t="s">
        <v>412</v>
      </c>
      <c r="D107" t="s">
        <v>389</v>
      </c>
      <c r="E107" s="15" t="e">
        <f>Table1414[[#This Row],[Law courts]]/Table14[[#This Row],[Justice]]</f>
        <v>#N/A</v>
      </c>
    </row>
    <row r="108" spans="1:5">
      <c r="A108">
        <v>106</v>
      </c>
      <c r="B108" t="s">
        <v>198</v>
      </c>
      <c r="C108" t="s">
        <v>413</v>
      </c>
      <c r="D108" t="s">
        <v>389</v>
      </c>
      <c r="E108" s="15" t="e">
        <f>Table1414[[#This Row],[Law courts]]/Table14[[#This Row],[Justice]]</f>
        <v>#N/A</v>
      </c>
    </row>
    <row r="109" spans="1:5">
      <c r="A109">
        <v>107</v>
      </c>
      <c r="B109" s="15" t="s">
        <v>199</v>
      </c>
      <c r="C109" s="15" t="s">
        <v>414</v>
      </c>
      <c r="D109" s="15" t="s">
        <v>389</v>
      </c>
      <c r="E109" s="15">
        <f>Table1414[[#This Row],[Law courts]]/Table14[[#This Row],[Justice]]</f>
        <v>0.28604673636297284</v>
      </c>
    </row>
    <row r="110" spans="1:5">
      <c r="A110">
        <v>108</v>
      </c>
      <c r="B110" s="15" t="s">
        <v>200</v>
      </c>
      <c r="C110" s="15" t="s">
        <v>415</v>
      </c>
      <c r="D110" s="15" t="s">
        <v>389</v>
      </c>
      <c r="E110" s="15">
        <f>Table1414[[#This Row],[Law courts]]/Table14[[#This Row],[Justice]]</f>
        <v>7.7476629693243704E-2</v>
      </c>
    </row>
    <row r="111" spans="1:5">
      <c r="A111">
        <v>109</v>
      </c>
      <c r="B111" t="s">
        <v>201</v>
      </c>
      <c r="C111" t="s">
        <v>416</v>
      </c>
      <c r="D111" t="s">
        <v>389</v>
      </c>
      <c r="E111" s="15" t="e">
        <f>Table1414[[#This Row],[Law courts]]/Table14[[#This Row],[Justice]]</f>
        <v>#N/A</v>
      </c>
    </row>
    <row r="112" spans="1:5">
      <c r="A112">
        <v>110</v>
      </c>
      <c r="B112" t="s">
        <v>202</v>
      </c>
      <c r="C112" t="s">
        <v>417</v>
      </c>
      <c r="D112" t="s">
        <v>389</v>
      </c>
      <c r="E112" s="15" t="e">
        <f>Table1414[[#This Row],[Law courts]]/Table14[[#This Row],[Justice]]</f>
        <v>#N/A</v>
      </c>
    </row>
    <row r="113" spans="1:5">
      <c r="A113">
        <v>111</v>
      </c>
      <c r="B113" s="15" t="s">
        <v>203</v>
      </c>
      <c r="C113" s="15" t="s">
        <v>418</v>
      </c>
      <c r="D113" s="15" t="s">
        <v>389</v>
      </c>
      <c r="E113" s="15">
        <f>Table1414[[#This Row],[Law courts]]/Table14[[#This Row],[Justice]]</f>
        <v>0.20731199867647301</v>
      </c>
    </row>
    <row r="114" spans="1:5">
      <c r="A114">
        <v>112</v>
      </c>
      <c r="B114" s="15" t="s">
        <v>204</v>
      </c>
      <c r="C114" s="15" t="s">
        <v>419</v>
      </c>
      <c r="D114" s="15" t="s">
        <v>389</v>
      </c>
      <c r="E114" s="15">
        <f>Table1414[[#This Row],[Law courts]]/Table14[[#This Row],[Justice]]</f>
        <v>0.74348020442557794</v>
      </c>
    </row>
    <row r="115" spans="1:5">
      <c r="A115">
        <v>113</v>
      </c>
      <c r="B115" t="s">
        <v>205</v>
      </c>
      <c r="C115" t="s">
        <v>420</v>
      </c>
      <c r="D115" t="s">
        <v>389</v>
      </c>
      <c r="E115" s="15" t="e">
        <f>Table1414[[#This Row],[Law courts]]/Table14[[#This Row],[Justice]]</f>
        <v>#N/A</v>
      </c>
    </row>
    <row r="116" spans="1:5">
      <c r="A116">
        <v>114</v>
      </c>
      <c r="B116" t="s">
        <v>206</v>
      </c>
      <c r="C116" t="s">
        <v>421</v>
      </c>
      <c r="D116" t="s">
        <v>389</v>
      </c>
      <c r="E116" s="15" t="e">
        <f>Table1414[[#This Row],[Law courts]]/Table14[[#This Row],[Justice]]</f>
        <v>#N/A</v>
      </c>
    </row>
    <row r="117" spans="1:5">
      <c r="A117">
        <v>115</v>
      </c>
      <c r="B117" s="15" t="s">
        <v>207</v>
      </c>
      <c r="C117" s="15" t="s">
        <v>422</v>
      </c>
      <c r="D117" s="15" t="s">
        <v>389</v>
      </c>
      <c r="E117" s="15">
        <f>Table1414[[#This Row],[Law courts]]/Table14[[#This Row],[Justice]]</f>
        <v>0.35280572241786357</v>
      </c>
    </row>
    <row r="118" spans="1:5">
      <c r="A118">
        <v>116</v>
      </c>
      <c r="B118" t="s">
        <v>208</v>
      </c>
      <c r="C118" t="s">
        <v>423</v>
      </c>
      <c r="D118" t="s">
        <v>389</v>
      </c>
      <c r="E118" s="15" t="e">
        <f>Table1414[[#This Row],[Law courts]]/Table14[[#This Row],[Justice]]</f>
        <v>#N/A</v>
      </c>
    </row>
    <row r="119" spans="1:5">
      <c r="A119">
        <v>117</v>
      </c>
      <c r="B119" t="s">
        <v>209</v>
      </c>
      <c r="C119" t="s">
        <v>424</v>
      </c>
      <c r="D119" t="s">
        <v>389</v>
      </c>
      <c r="E119" s="15" t="e">
        <f>Table1414[[#This Row],[Law courts]]/Table14[[#This Row],[Justice]]</f>
        <v>#N/A</v>
      </c>
    </row>
    <row r="120" spans="1:5">
      <c r="A120">
        <v>118</v>
      </c>
      <c r="B120" t="s">
        <v>210</v>
      </c>
      <c r="C120" t="s">
        <v>425</v>
      </c>
      <c r="D120" t="s">
        <v>389</v>
      </c>
      <c r="E120" s="15" t="e">
        <f>Table1414[[#This Row],[Law courts]]/Table14[[#This Row],[Justice]]</f>
        <v>#N/A</v>
      </c>
    </row>
    <row r="121" spans="1:5">
      <c r="A121">
        <v>119</v>
      </c>
      <c r="B121" t="s">
        <v>211</v>
      </c>
      <c r="C121" t="s">
        <v>426</v>
      </c>
      <c r="D121" t="s">
        <v>389</v>
      </c>
      <c r="E121" s="15" t="e">
        <f>Table1414[[#This Row],[Law courts]]/Table14[[#This Row],[Justice]]</f>
        <v>#N/A</v>
      </c>
    </row>
    <row r="122" spans="1:5">
      <c r="A122">
        <v>120</v>
      </c>
      <c r="B122" s="15" t="s">
        <v>212</v>
      </c>
      <c r="C122" s="15" t="s">
        <v>427</v>
      </c>
      <c r="D122" s="15" t="s">
        <v>389</v>
      </c>
      <c r="E122" s="15">
        <f>Table1414[[#This Row],[Law courts]]/Table14[[#This Row],[Justice]]</f>
        <v>0.12991148072174569</v>
      </c>
    </row>
    <row r="123" spans="1:5">
      <c r="A123">
        <v>121</v>
      </c>
      <c r="B123" t="s">
        <v>213</v>
      </c>
      <c r="C123" t="s">
        <v>428</v>
      </c>
      <c r="D123" t="s">
        <v>389</v>
      </c>
      <c r="E123" s="15" t="e">
        <f>Table1414[[#This Row],[Law courts]]/Table14[[#This Row],[Justice]]</f>
        <v>#N/A</v>
      </c>
    </row>
    <row r="124" spans="1:5">
      <c r="A124">
        <v>122</v>
      </c>
      <c r="B124" t="s">
        <v>214</v>
      </c>
      <c r="C124" t="s">
        <v>429</v>
      </c>
      <c r="D124" t="s">
        <v>389</v>
      </c>
      <c r="E124" s="15" t="e">
        <f>Table1414[[#This Row],[Law courts]]/Table14[[#This Row],[Justice]]</f>
        <v>#N/A</v>
      </c>
    </row>
    <row r="125" spans="1:5">
      <c r="A125">
        <v>123</v>
      </c>
      <c r="B125" t="s">
        <v>215</v>
      </c>
      <c r="C125" t="s">
        <v>430</v>
      </c>
      <c r="D125" t="s">
        <v>389</v>
      </c>
      <c r="E125" s="15" t="e">
        <f>Table1414[[#This Row],[Law courts]]/Table14[[#This Row],[Justice]]</f>
        <v>#N/A</v>
      </c>
    </row>
    <row r="126" spans="1:5">
      <c r="A126">
        <v>124</v>
      </c>
      <c r="B126" t="s">
        <v>216</v>
      </c>
      <c r="C126" t="s">
        <v>431</v>
      </c>
      <c r="D126" t="s">
        <v>389</v>
      </c>
      <c r="E126" s="15" t="e">
        <f>Table1414[[#This Row],[Law courts]]/Table14[[#This Row],[Justice]]</f>
        <v>#N/A</v>
      </c>
    </row>
    <row r="127" spans="1:5">
      <c r="A127">
        <v>125</v>
      </c>
      <c r="B127" t="s">
        <v>217</v>
      </c>
      <c r="C127" t="s">
        <v>432</v>
      </c>
      <c r="D127" t="s">
        <v>389</v>
      </c>
      <c r="E127" s="15" t="e">
        <f>Table1414[[#This Row],[Law courts]]/Table14[[#This Row],[Justice]]</f>
        <v>#N/A</v>
      </c>
    </row>
    <row r="128" spans="1:5">
      <c r="A128">
        <v>126</v>
      </c>
      <c r="B128" s="15" t="s">
        <v>218</v>
      </c>
      <c r="C128" s="15" t="s">
        <v>433</v>
      </c>
      <c r="D128" s="15" t="s">
        <v>389</v>
      </c>
      <c r="E128" s="15">
        <f>Table1414[[#This Row],[Law courts]]/Table14[[#This Row],[Justice]]</f>
        <v>0.13514036211155508</v>
      </c>
    </row>
    <row r="129" spans="1:5">
      <c r="A129">
        <v>127</v>
      </c>
      <c r="B129" s="15" t="s">
        <v>219</v>
      </c>
      <c r="C129" s="15" t="s">
        <v>434</v>
      </c>
      <c r="D129" s="15" t="s">
        <v>389</v>
      </c>
      <c r="E129" s="15">
        <f>Table1414[[#This Row],[Law courts]]/Table14[[#This Row],[Justice]]</f>
        <v>0.4063102950146556</v>
      </c>
    </row>
    <row r="130" spans="1:5">
      <c r="A130">
        <v>128</v>
      </c>
      <c r="B130" s="15" t="s">
        <v>220</v>
      </c>
      <c r="C130" s="15" t="s">
        <v>435</v>
      </c>
      <c r="D130" s="15" t="s">
        <v>389</v>
      </c>
      <c r="E130" s="15">
        <f>Table1414[[#This Row],[Law courts]]/Table14[[#This Row],[Justice]]</f>
        <v>0.26376277390508057</v>
      </c>
    </row>
    <row r="131" spans="1:5">
      <c r="A131">
        <v>129</v>
      </c>
      <c r="B131" s="15" t="s">
        <v>221</v>
      </c>
      <c r="C131" s="15" t="s">
        <v>436</v>
      </c>
      <c r="D131" s="15" t="s">
        <v>389</v>
      </c>
      <c r="E131" s="15">
        <f>Table1414[[#This Row],[Law courts]]/Table14[[#This Row],[Justice]]</f>
        <v>8.1449711577680564E-2</v>
      </c>
    </row>
    <row r="132" spans="1:5">
      <c r="A132">
        <v>130</v>
      </c>
      <c r="B132" s="15" t="s">
        <v>222</v>
      </c>
      <c r="C132" s="15" t="s">
        <v>437</v>
      </c>
      <c r="D132" s="15" t="s">
        <v>389</v>
      </c>
      <c r="E132" s="15" t="e">
        <f>Table1414[[#This Row],[Law courts]]/Table14[[#This Row],[Justice]]</f>
        <v>#N/A</v>
      </c>
    </row>
    <row r="133" spans="1:5">
      <c r="A133">
        <v>131</v>
      </c>
      <c r="B133" s="15" t="s">
        <v>223</v>
      </c>
      <c r="C133" s="15" t="s">
        <v>438</v>
      </c>
      <c r="D133" s="15" t="s">
        <v>389</v>
      </c>
      <c r="E133" s="15">
        <f>Table1414[[#This Row],[Law courts]]/Table14[[#This Row],[Justice]]</f>
        <v>0.12737096098197018</v>
      </c>
    </row>
    <row r="134" spans="1:5">
      <c r="A134">
        <v>132</v>
      </c>
      <c r="B134" s="15" t="s">
        <v>224</v>
      </c>
      <c r="C134" s="15" t="s">
        <v>439</v>
      </c>
      <c r="D134" s="15" t="s">
        <v>389</v>
      </c>
      <c r="E134" s="15" t="e">
        <f>Table1414[[#This Row],[Law courts]]/Table14[[#This Row],[Justice]]</f>
        <v>#N/A</v>
      </c>
    </row>
    <row r="135" spans="1:5">
      <c r="A135">
        <v>133</v>
      </c>
      <c r="B135" s="15" t="s">
        <v>225</v>
      </c>
      <c r="C135" s="15" t="s">
        <v>440</v>
      </c>
      <c r="D135" s="15" t="s">
        <v>389</v>
      </c>
      <c r="E135" s="15">
        <f>Table1414[[#This Row],[Law courts]]/Table14[[#This Row],[Justice]]</f>
        <v>0.67004272617408034</v>
      </c>
    </row>
    <row r="136" spans="1:5">
      <c r="A136">
        <v>145</v>
      </c>
      <c r="B136" s="15" t="s">
        <v>75</v>
      </c>
      <c r="C136" s="15" t="s">
        <v>441</v>
      </c>
      <c r="D136" s="15" t="s">
        <v>285</v>
      </c>
      <c r="E136" s="15">
        <f>Table1414[[#This Row],[Law courts]]/Table14[[#This Row],[Justice]]</f>
        <v>0.23789760021296882</v>
      </c>
    </row>
    <row r="137" spans="1:5">
      <c r="A137">
        <v>148</v>
      </c>
      <c r="B137" s="15" t="s">
        <v>68</v>
      </c>
      <c r="C137" s="15" t="s">
        <v>442</v>
      </c>
      <c r="D137" s="15" t="s">
        <v>285</v>
      </c>
      <c r="E137" s="15">
        <f>Table1414[[#This Row],[Law courts]]/Table14[[#This Row],[Justice]]</f>
        <v>0.19563632126540878</v>
      </c>
    </row>
    <row r="138" spans="1:5">
      <c r="A138">
        <v>153</v>
      </c>
      <c r="B138" s="15" t="s">
        <v>65</v>
      </c>
      <c r="C138" s="15" t="s">
        <v>443</v>
      </c>
      <c r="D138" s="15" t="s">
        <v>285</v>
      </c>
      <c r="E138" s="15">
        <f>Table1414[[#This Row],[Law courts]]/Table14[[#This Row],[Justice]]</f>
        <v>0.16879143294237647</v>
      </c>
    </row>
    <row r="139" spans="1:5">
      <c r="A139">
        <v>154</v>
      </c>
      <c r="B139" s="15" t="s">
        <v>76</v>
      </c>
      <c r="C139" s="15" t="s">
        <v>444</v>
      </c>
      <c r="D139" s="15" t="s">
        <v>285</v>
      </c>
      <c r="E139" s="15">
        <f>Table1414[[#This Row],[Law courts]]/Table14[[#This Row],[Justice]]</f>
        <v>0.13073916445314848</v>
      </c>
    </row>
    <row r="140" spans="1:5">
      <c r="A140">
        <v>160</v>
      </c>
      <c r="B140" s="15" t="s">
        <v>62</v>
      </c>
      <c r="C140" s="15" t="s">
        <v>445</v>
      </c>
      <c r="D140" s="15" t="s">
        <v>285</v>
      </c>
      <c r="E140" s="15">
        <f>Table1414[[#This Row],[Law courts]]/Table14[[#This Row],[Justice]]</f>
        <v>0.18996037888429149</v>
      </c>
    </row>
    <row r="141" spans="1:5">
      <c r="A141">
        <v>161</v>
      </c>
      <c r="B141" s="15" t="s">
        <v>70</v>
      </c>
      <c r="C141" s="15" t="s">
        <v>446</v>
      </c>
      <c r="D141" s="15" t="s">
        <v>285</v>
      </c>
      <c r="E141" s="15">
        <f>Table1414[[#This Row],[Law courts]]/Table14[[#This Row],[Justice]]</f>
        <v>0.15307715055530016</v>
      </c>
    </row>
    <row r="142" spans="1:5">
      <c r="A142">
        <v>166</v>
      </c>
      <c r="B142" s="15" t="s">
        <v>60</v>
      </c>
      <c r="C142" s="15" t="s">
        <v>447</v>
      </c>
      <c r="D142" s="15" t="s">
        <v>285</v>
      </c>
      <c r="E142" s="15">
        <f>Table1414[[#This Row],[Law courts]]/Table14[[#This Row],[Justice]]</f>
        <v>0.27624672075545997</v>
      </c>
    </row>
    <row r="143" spans="1:5">
      <c r="A143">
        <v>167</v>
      </c>
      <c r="B143" s="15" t="s">
        <v>69</v>
      </c>
      <c r="C143" s="15" t="s">
        <v>448</v>
      </c>
      <c r="D143" s="15" t="s">
        <v>285</v>
      </c>
      <c r="E143" s="15">
        <f>Table1414[[#This Row],[Law courts]]/Table14[[#This Row],[Justice]]</f>
        <v>0.18852353871809077</v>
      </c>
    </row>
    <row r="144" spans="1:5">
      <c r="A144">
        <v>170</v>
      </c>
      <c r="B144" t="s">
        <v>73</v>
      </c>
      <c r="C144" t="s">
        <v>449</v>
      </c>
      <c r="D144" t="s">
        <v>285</v>
      </c>
      <c r="E144" s="15" t="e">
        <f>Table1414[[#This Row],[Law courts]]/Table14[[#This Row],[Justice]]</f>
        <v>#N/A</v>
      </c>
    </row>
    <row r="145" spans="1:5">
      <c r="A145">
        <v>171</v>
      </c>
      <c r="B145" s="15" t="s">
        <v>63</v>
      </c>
      <c r="C145" s="15" t="s">
        <v>450</v>
      </c>
      <c r="D145" s="15" t="s">
        <v>285</v>
      </c>
      <c r="E145" s="15">
        <f>Table1414[[#This Row],[Law courts]]/Table14[[#This Row],[Justice]]</f>
        <v>0.17045556653787416</v>
      </c>
    </row>
    <row r="146" spans="1:5">
      <c r="A146">
        <v>174</v>
      </c>
      <c r="B146" s="15" t="s">
        <v>57</v>
      </c>
      <c r="C146" s="15" t="s">
        <v>451</v>
      </c>
      <c r="D146" s="15" t="s">
        <v>285</v>
      </c>
      <c r="E146" s="15">
        <f>Table1414[[#This Row],[Law courts]]/Table14[[#This Row],[Justice]]</f>
        <v>8.1407078625778007E-2</v>
      </c>
    </row>
    <row r="147" spans="1:5">
      <c r="A147">
        <v>175</v>
      </c>
      <c r="B147" s="15" t="s">
        <v>55</v>
      </c>
      <c r="C147" s="15" t="s">
        <v>452</v>
      </c>
      <c r="D147" s="15" t="s">
        <v>285</v>
      </c>
      <c r="E147" s="15">
        <f>Table1414[[#This Row],[Law courts]]/Table14[[#This Row],[Justice]]</f>
        <v>0.13907317192587326</v>
      </c>
    </row>
    <row r="148" spans="1:5">
      <c r="A148">
        <v>176</v>
      </c>
      <c r="B148" s="15" t="s">
        <v>71</v>
      </c>
      <c r="C148" s="15" t="s">
        <v>453</v>
      </c>
      <c r="D148" s="15" t="s">
        <v>285</v>
      </c>
      <c r="E148" s="15" t="e">
        <f>Table1414[[#This Row],[Law courts]]/Table14[[#This Row],[Justice]]</f>
        <v>#N/A</v>
      </c>
    </row>
    <row r="149" spans="1:5">
      <c r="A149">
        <v>177</v>
      </c>
      <c r="B149" s="15" t="s">
        <v>72</v>
      </c>
      <c r="C149" s="15" t="s">
        <v>454</v>
      </c>
      <c r="D149" s="15" t="s">
        <v>285</v>
      </c>
      <c r="E149" s="15">
        <f>Table1414[[#This Row],[Law courts]]/Table14[[#This Row],[Justice]]</f>
        <v>0.20347268660502169</v>
      </c>
    </row>
    <row r="150" spans="1:5">
      <c r="A150">
        <v>180</v>
      </c>
      <c r="B150" s="15" t="s">
        <v>64</v>
      </c>
      <c r="C150" s="15" t="s">
        <v>455</v>
      </c>
      <c r="D150" s="15" t="s">
        <v>285</v>
      </c>
      <c r="E150" s="15">
        <f>Table1414[[#This Row],[Law courts]]/Table14[[#This Row],[Justice]]</f>
        <v>0.13880195599021994</v>
      </c>
    </row>
    <row r="151" spans="1:5">
      <c r="A151">
        <v>182</v>
      </c>
      <c r="B151" s="15" t="s">
        <v>58</v>
      </c>
      <c r="C151" s="15" t="s">
        <v>456</v>
      </c>
      <c r="D151" s="15" t="s">
        <v>285</v>
      </c>
      <c r="E151" s="15">
        <f>Table1414[[#This Row],[Law courts]]/Table14[[#This Row],[Justice]]</f>
        <v>0.14617126991085838</v>
      </c>
    </row>
    <row r="152" spans="1:5">
      <c r="A152">
        <v>183</v>
      </c>
      <c r="B152" s="15" t="s">
        <v>56</v>
      </c>
      <c r="C152" s="15" t="s">
        <v>457</v>
      </c>
      <c r="D152" s="15" t="s">
        <v>285</v>
      </c>
      <c r="E152" s="15">
        <f>Table1414[[#This Row],[Law courts]]/Table14[[#This Row],[Justice]]</f>
        <v>0.2307572479446125</v>
      </c>
    </row>
    <row r="153" spans="1:5">
      <c r="A153">
        <v>184</v>
      </c>
      <c r="B153" s="15" t="s">
        <v>53</v>
      </c>
      <c r="C153" s="15" t="s">
        <v>458</v>
      </c>
      <c r="D153" s="15" t="s">
        <v>285</v>
      </c>
      <c r="E153" s="15">
        <f>Table1414[[#This Row],[Law courts]]/Table14[[#This Row],[Justice]]</f>
        <v>0.1994948423365662</v>
      </c>
    </row>
    <row r="154" spans="1:5">
      <c r="A154">
        <v>185</v>
      </c>
      <c r="B154" s="15" t="s">
        <v>50</v>
      </c>
      <c r="C154" s="15" t="s">
        <v>459</v>
      </c>
      <c r="D154" s="15" t="s">
        <v>285</v>
      </c>
      <c r="E154" s="15">
        <f>Table1414[[#This Row],[Law courts]]/Table14[[#This Row],[Justice]]</f>
        <v>0.20522117476432158</v>
      </c>
    </row>
    <row r="155" spans="1:5">
      <c r="A155">
        <v>187</v>
      </c>
      <c r="B155" s="15" t="s">
        <v>66</v>
      </c>
      <c r="C155" s="15" t="s">
        <v>460</v>
      </c>
      <c r="D155" s="15" t="s">
        <v>285</v>
      </c>
      <c r="E155" s="15">
        <f>Table1414[[#This Row],[Law courts]]/Table14[[#This Row],[Justice]]</f>
        <v>0.14672301772535148</v>
      </c>
    </row>
    <row r="156" spans="1:5">
      <c r="A156">
        <v>188</v>
      </c>
      <c r="B156" s="15" t="s">
        <v>74</v>
      </c>
      <c r="C156" s="15" t="s">
        <v>461</v>
      </c>
      <c r="D156" s="15" t="s">
        <v>285</v>
      </c>
      <c r="E156" s="15">
        <f>Table1414[[#This Row],[Law courts]]/Table14[[#This Row],[Justice]]</f>
        <v>0.20123823425781454</v>
      </c>
    </row>
    <row r="157" spans="1:5">
      <c r="A157">
        <v>190</v>
      </c>
      <c r="B157" s="15" t="s">
        <v>52</v>
      </c>
      <c r="C157" s="15" t="s">
        <v>462</v>
      </c>
      <c r="D157" s="15" t="s">
        <v>285</v>
      </c>
      <c r="E157" s="15">
        <f>Table1414[[#This Row],[Law courts]]/Table14[[#This Row],[Justice]]</f>
        <v>0.19254061190517174</v>
      </c>
    </row>
    <row r="158" spans="1:5">
      <c r="A158">
        <v>193</v>
      </c>
      <c r="B158" s="15" t="s">
        <v>59</v>
      </c>
      <c r="C158" s="15" t="s">
        <v>463</v>
      </c>
      <c r="D158" s="15" t="s">
        <v>285</v>
      </c>
      <c r="E158" s="15">
        <f>Table1414[[#This Row],[Law courts]]/Table14[[#This Row],[Justice]]</f>
        <v>0.15644652064452794</v>
      </c>
    </row>
    <row r="159" spans="1:5">
      <c r="A159">
        <v>194</v>
      </c>
      <c r="B159" s="15" t="s">
        <v>49</v>
      </c>
      <c r="C159" s="15" t="s">
        <v>464</v>
      </c>
      <c r="D159" s="15" t="s">
        <v>285</v>
      </c>
      <c r="E159" s="15">
        <f>Table1414[[#This Row],[Law courts]]/Table14[[#This Row],[Justice]]</f>
        <v>0.16571920757967221</v>
      </c>
    </row>
    <row r="160" spans="1:5">
      <c r="A160">
        <v>195</v>
      </c>
      <c r="B160" s="15" t="s">
        <v>77</v>
      </c>
      <c r="C160" s="15" t="s">
        <v>465</v>
      </c>
      <c r="D160" s="15" t="s">
        <v>285</v>
      </c>
      <c r="E160" s="15">
        <f>Table1414[[#This Row],[Law courts]]/Table14[[#This Row],[Justice]]</f>
        <v>0.15409035409035413</v>
      </c>
    </row>
    <row r="161" spans="1:5">
      <c r="A161">
        <v>196</v>
      </c>
      <c r="B161" s="15" t="s">
        <v>61</v>
      </c>
      <c r="C161" s="15" t="s">
        <v>466</v>
      </c>
      <c r="D161" s="15" t="s">
        <v>285</v>
      </c>
      <c r="E161" s="15">
        <f>Table1414[[#This Row],[Law courts]]/Table14[[#This Row],[Justice]]</f>
        <v>0.21199062380586672</v>
      </c>
    </row>
    <row r="162" spans="1:5">
      <c r="A162">
        <v>197</v>
      </c>
      <c r="B162" s="15" t="s">
        <v>54</v>
      </c>
      <c r="C162" s="15" t="s">
        <v>467</v>
      </c>
      <c r="D162" s="15" t="s">
        <v>285</v>
      </c>
      <c r="E162" s="15">
        <f>Table1414[[#This Row],[Law courts]]/Table14[[#This Row],[Justice]]</f>
        <v>0.18216938578037437</v>
      </c>
    </row>
    <row r="163" spans="1:5">
      <c r="A163">
        <v>199</v>
      </c>
      <c r="B163" s="15" t="s">
        <v>51</v>
      </c>
      <c r="C163" s="15" t="s">
        <v>468</v>
      </c>
      <c r="D163" s="15" t="s">
        <v>285</v>
      </c>
      <c r="E163" s="15">
        <f>Table1414[[#This Row],[Law courts]]/Table14[[#This Row],[Justice]]</f>
        <v>0.12853754940711506</v>
      </c>
    </row>
    <row r="164" spans="1:5">
      <c r="A164">
        <v>200</v>
      </c>
      <c r="B164" s="15" t="s">
        <v>67</v>
      </c>
      <c r="C164" s="15" t="s">
        <v>469</v>
      </c>
      <c r="D164" s="15" t="s">
        <v>285</v>
      </c>
      <c r="E164" s="15">
        <f>Table1414[[#This Row],[Law courts]]/Table14[[#This Row],[Justice]]</f>
        <v>0.18311591152222242</v>
      </c>
    </row>
  </sheetData>
  <pageMargins left="0.7" right="0.7" top="0.75" bottom="0.75" header="0.3" footer="0.3"/>
  <pageSetup paperSize="9" orientation="portrait" horizontalDpi="4294967292" verticalDpi="0"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7A38-E9EE-4597-8AFF-5092C791D737}">
  <dimension ref="A1:L164"/>
  <sheetViews>
    <sheetView topLeftCell="A43" workbookViewId="0">
      <selection activeCell="A2" sqref="A2:C2"/>
    </sheetView>
  </sheetViews>
  <sheetFormatPr defaultColWidth="8.85546875" defaultRowHeight="14.45"/>
  <cols>
    <col min="2" max="2" width="11.140625" customWidth="1"/>
    <col min="4" max="4" width="15.28515625" customWidth="1"/>
    <col min="5" max="5" width="15.42578125" customWidth="1"/>
  </cols>
  <sheetData>
    <row r="1" spans="1:12">
      <c r="E1" t="s">
        <v>78</v>
      </c>
      <c r="H1" s="57" t="s">
        <v>632</v>
      </c>
      <c r="I1" s="57"/>
      <c r="J1" s="57"/>
      <c r="K1" s="57"/>
      <c r="L1" s="57"/>
    </row>
    <row r="2" spans="1:12">
      <c r="A2" s="1" t="s">
        <v>302</v>
      </c>
      <c r="B2" s="75" t="s">
        <v>47</v>
      </c>
      <c r="C2" s="75" t="s">
        <v>303</v>
      </c>
      <c r="D2" s="75" t="s">
        <v>304</v>
      </c>
      <c r="E2" s="75" t="s">
        <v>289</v>
      </c>
      <c r="F2" s="114" t="s">
        <v>633</v>
      </c>
      <c r="G2" s="114" t="s">
        <v>634</v>
      </c>
    </row>
    <row r="3" spans="1:12">
      <c r="A3">
        <v>1</v>
      </c>
      <c r="B3" s="15" t="s">
        <v>93</v>
      </c>
      <c r="C3" s="15" t="s">
        <v>305</v>
      </c>
      <c r="D3" s="15" t="s">
        <v>306</v>
      </c>
      <c r="E3" s="15">
        <f>IF(ISNUMBER(VLOOKUP(C3,'Justice Spend Total'!C:AQ, 38, FALSE)),(VLOOKUP(C3,'Justice Spend Total'!C:AQ, 38, FALSE)), #N/A)</f>
        <v>15.622320649234567</v>
      </c>
      <c r="F3" s="58">
        <f>IF(ISNUMBER(VLOOKUP(Table112[[#This Row],[Code]],'Edu &amp; Health Exp'!C:AA,20,FALSE)), (VLOOKUP(Table112[[#This Row],[Code]],'Edu &amp; Health Exp'!C:AA,20,FALSE)), #N/A)</f>
        <v>5.0409836769104004</v>
      </c>
      <c r="G3" s="58">
        <f>IF(ISNUMBER(VLOOKUP(Table112[[#This Row],[Code]],'Edu &amp; Health Exp'!C:AA,23,FALSE)), (VLOOKUP(Table112[[#This Row],[Code]],'Edu &amp; Health Exp'!C:AA,23,FALSE)), #N/A)</f>
        <v>4.1811737400000002</v>
      </c>
    </row>
    <row r="4" spans="1:12">
      <c r="A4">
        <v>2</v>
      </c>
      <c r="B4" s="15" t="s">
        <v>94</v>
      </c>
      <c r="C4" s="15" t="s">
        <v>307</v>
      </c>
      <c r="D4" s="15" t="s">
        <v>306</v>
      </c>
      <c r="E4" s="15">
        <f>IF(ISNUMBER(VLOOKUP(C4,'Justice Spend Total'!C:AQ, 38, FALSE)),(VLOOKUP(C4,'Justice Spend Total'!C:AQ, 38, FALSE)), #N/A)</f>
        <v>21.027975161403319</v>
      </c>
      <c r="F4" s="58">
        <f>IF(ISNUMBER(VLOOKUP(Table112[[#This Row],[Code]],'Edu &amp; Health Exp'!C:AA,20,FALSE)), (VLOOKUP(Table112[[#This Row],[Code]],'Edu &amp; Health Exp'!C:AA,20,FALSE)), #N/A)</f>
        <v>0.27066173538112698</v>
      </c>
      <c r="G4" s="58">
        <f>IF(ISNUMBER(VLOOKUP(Table112[[#This Row],[Code]],'Edu &amp; Health Exp'!C:AA,23,FALSE)), (VLOOKUP(Table112[[#This Row],[Code]],'Edu &amp; Health Exp'!C:AA,23,FALSE)), #N/A)</f>
        <v>0.27066173538112698</v>
      </c>
    </row>
    <row r="5" spans="1:12">
      <c r="A5">
        <v>3</v>
      </c>
      <c r="B5" s="15" t="s">
        <v>95</v>
      </c>
      <c r="C5" s="15" t="s">
        <v>308</v>
      </c>
      <c r="D5" s="15" t="s">
        <v>306</v>
      </c>
      <c r="E5" s="15">
        <f>IF(ISNUMBER(VLOOKUP(C5,'Justice Spend Total'!C:AQ, 38, FALSE)),(VLOOKUP(C5,'Justice Spend Total'!C:AQ, 38, FALSE)), #N/A)</f>
        <v>14.806539728742408</v>
      </c>
      <c r="F5" s="58">
        <f>IF(ISNUMBER(VLOOKUP(Table112[[#This Row],[Code]],'Edu &amp; Health Exp'!C:AA,20,FALSE)), (VLOOKUP(Table112[[#This Row],[Code]],'Edu &amp; Health Exp'!C:AA,20,FALSE)), #N/A)</f>
        <v>6.2605886459350604</v>
      </c>
      <c r="G5" s="58">
        <f>IF(ISNUMBER(VLOOKUP(Table112[[#This Row],[Code]],'Edu &amp; Health Exp'!C:AA,23,FALSE)), (VLOOKUP(Table112[[#This Row],[Code]],'Edu &amp; Health Exp'!C:AA,23,FALSE)), #N/A)</f>
        <v>4.22343987</v>
      </c>
    </row>
    <row r="6" spans="1:12">
      <c r="A6">
        <v>4</v>
      </c>
      <c r="B6" s="15" t="s">
        <v>96</v>
      </c>
      <c r="C6" s="15" t="s">
        <v>309</v>
      </c>
      <c r="D6" s="15" t="s">
        <v>306</v>
      </c>
      <c r="E6" s="15">
        <f>IF(ISNUMBER(VLOOKUP(C6,'Justice Spend Total'!C:AQ, 38, FALSE)),(VLOOKUP(C6,'Justice Spend Total'!C:AQ, 38, FALSE)), #N/A)</f>
        <v>34.231205732872709</v>
      </c>
      <c r="F6" s="58">
        <f>IF(ISNUMBER(VLOOKUP(Table112[[#This Row],[Code]],'Edu &amp; Health Exp'!C:AA,20,FALSE)), (VLOOKUP(Table112[[#This Row],[Code]],'Edu &amp; Health Exp'!C:AA,20,FALSE)), #N/A)</f>
        <v>3.2137799263000502</v>
      </c>
      <c r="G6" s="58">
        <f>IF(ISNUMBER(VLOOKUP(Table112[[#This Row],[Code]],'Edu &amp; Health Exp'!C:AA,23,FALSE)), (VLOOKUP(Table112[[#This Row],[Code]],'Edu &amp; Health Exp'!C:AA,23,FALSE)), #N/A)</f>
        <v>1.3322757099999998</v>
      </c>
    </row>
    <row r="7" spans="1:12">
      <c r="A7">
        <v>5</v>
      </c>
      <c r="B7" s="15" t="s">
        <v>97</v>
      </c>
      <c r="C7" s="15" t="s">
        <v>310</v>
      </c>
      <c r="D7" s="15" t="s">
        <v>306</v>
      </c>
      <c r="E7" s="15">
        <f>IF(ISNUMBER(VLOOKUP(C7,'Justice Spend Total'!C:AQ, 38, FALSE)),(VLOOKUP(C7,'Justice Spend Total'!C:AQ, 38, FALSE)), #N/A)</f>
        <v>11.773836910501457</v>
      </c>
      <c r="F7" s="58">
        <f>IF(ISNUMBER(VLOOKUP(Table112[[#This Row],[Code]],'Edu &amp; Health Exp'!C:AA,20,FALSE)), (VLOOKUP(Table112[[#This Row],[Code]],'Edu &amp; Health Exp'!C:AA,20,FALSE)), #N/A)</f>
        <v>3.0957062244415301</v>
      </c>
      <c r="G7" s="58">
        <f>IF(ISNUMBER(VLOOKUP(Table112[[#This Row],[Code]],'Edu &amp; Health Exp'!C:AA,23,FALSE)), (VLOOKUP(Table112[[#This Row],[Code]],'Edu &amp; Health Exp'!C:AA,23,FALSE)), #N/A)</f>
        <v>1.5031376599999997</v>
      </c>
    </row>
    <row r="8" spans="1:12">
      <c r="A8">
        <v>6</v>
      </c>
      <c r="B8" s="15" t="s">
        <v>98</v>
      </c>
      <c r="C8" s="15" t="s">
        <v>311</v>
      </c>
      <c r="D8" s="15" t="s">
        <v>306</v>
      </c>
      <c r="E8" s="15">
        <f>IF(ISNUMBER(VLOOKUP(C8,'Justice Spend Total'!C:AQ, 38, FALSE)),(VLOOKUP(C8,'Justice Spend Total'!C:AQ, 38, FALSE)), #N/A)</f>
        <v>8.5446280214440229</v>
      </c>
      <c r="F8" s="58">
        <f>IF(ISNUMBER(VLOOKUP(Table112[[#This Row],[Code]],'Edu &amp; Health Exp'!C:AA,20,FALSE)), (VLOOKUP(Table112[[#This Row],[Code]],'Edu &amp; Health Exp'!C:AA,20,FALSE)), #N/A)</f>
        <v>8.8095502853393608</v>
      </c>
      <c r="G8" s="58">
        <f>IF(ISNUMBER(VLOOKUP(Table112[[#This Row],[Code]],'Edu &amp; Health Exp'!C:AA,23,FALSE)), (VLOOKUP(Table112[[#This Row],[Code]],'Edu &amp; Health Exp'!C:AA,23,FALSE)), #N/A)</f>
        <v>2.88884148</v>
      </c>
    </row>
    <row r="9" spans="1:12" ht="15" customHeight="1">
      <c r="A9">
        <v>7</v>
      </c>
      <c r="B9" t="s">
        <v>99</v>
      </c>
      <c r="C9" t="s">
        <v>312</v>
      </c>
      <c r="D9" t="s">
        <v>306</v>
      </c>
      <c r="E9" s="15">
        <f>IF(ISNUMBER(VLOOKUP(C9,'Justice Spend Total'!C:AQ, 38, FALSE)),(VLOOKUP(C9,'Justice Spend Total'!C:AQ, 38, FALSE)), #N/A)</f>
        <v>6.6046458821047134</v>
      </c>
      <c r="F9" s="58">
        <f>IF(ISNUMBER(VLOOKUP(Table112[[#This Row],[Code]],'Edu &amp; Health Exp'!C:AA,20,FALSE)), (VLOOKUP(Table112[[#This Row],[Code]],'Edu &amp; Health Exp'!C:AA,20,FALSE)), #N/A)</f>
        <v>2.16669702529907</v>
      </c>
      <c r="G9" s="58">
        <f>IF(ISNUMBER(VLOOKUP(Table112[[#This Row],[Code]],'Edu &amp; Health Exp'!C:AA,23,FALSE)), (VLOOKUP(Table112[[#This Row],[Code]],'Edu &amp; Health Exp'!C:AA,23,FALSE)), #N/A)</f>
        <v>1.3382561099999999</v>
      </c>
    </row>
    <row r="10" spans="1:12">
      <c r="A10">
        <v>8</v>
      </c>
      <c r="B10" s="15" t="s">
        <v>100</v>
      </c>
      <c r="C10" s="15" t="s">
        <v>313</v>
      </c>
      <c r="D10" s="15" t="s">
        <v>306</v>
      </c>
      <c r="E10" s="15">
        <f>IF(ISNUMBER(VLOOKUP(C10,'Justice Spend Total'!C:AQ, 38, FALSE)),(VLOOKUP(C10,'Justice Spend Total'!C:AQ, 38, FALSE)), #N/A)</f>
        <v>9.9122587063871759</v>
      </c>
      <c r="F10" s="58">
        <f>IF(ISNUMBER(VLOOKUP(Table112[[#This Row],[Code]],'Edu &amp; Health Exp'!C:AA,20,FALSE)), (VLOOKUP(Table112[[#This Row],[Code]],'Edu &amp; Health Exp'!C:AA,20,FALSE)), #N/A)</f>
        <v>2.7000000476837198</v>
      </c>
      <c r="G10" s="58">
        <f>IF(ISNUMBER(VLOOKUP(Table112[[#This Row],[Code]],'Edu &amp; Health Exp'!C:AA,23,FALSE)), (VLOOKUP(Table112[[#This Row],[Code]],'Edu &amp; Health Exp'!C:AA,23,FALSE)), #N/A)</f>
        <v>1.29640771</v>
      </c>
    </row>
    <row r="11" spans="1:12">
      <c r="A11">
        <v>9</v>
      </c>
      <c r="B11" s="15" t="s">
        <v>101</v>
      </c>
      <c r="C11" s="15" t="s">
        <v>314</v>
      </c>
      <c r="D11" s="15" t="s">
        <v>306</v>
      </c>
      <c r="E11" s="15" t="e">
        <f>IF(ISNUMBER(VLOOKUP(C11,'Justice Spend Total'!C:AQ, 38, FALSE)),(VLOOKUP(C11,'Justice Spend Total'!C:AQ, 38, FALSE)), #N/A)</f>
        <v>#N/A</v>
      </c>
      <c r="F11" s="58">
        <f>IF(ISNUMBER(VLOOKUP(Table112[[#This Row],[Code]],'Edu &amp; Health Exp'!C:AA,20,FALSE)), (VLOOKUP(Table112[[#This Row],[Code]],'Edu &amp; Health Exp'!C:AA,20,FALSE)), #N/A)</f>
        <v>3.8376126289367698</v>
      </c>
      <c r="G11" s="58">
        <f>IF(ISNUMBER(VLOOKUP(Table112[[#This Row],[Code]],'Edu &amp; Health Exp'!C:AA,23,FALSE)), (VLOOKUP(Table112[[#This Row],[Code]],'Edu &amp; Health Exp'!C:AA,23,FALSE)), #N/A)</f>
        <v>2.7910485399999998</v>
      </c>
    </row>
    <row r="12" spans="1:12" ht="15" customHeight="1">
      <c r="A12">
        <v>10</v>
      </c>
      <c r="B12" t="s">
        <v>102</v>
      </c>
      <c r="C12" t="s">
        <v>315</v>
      </c>
      <c r="D12" t="s">
        <v>306</v>
      </c>
      <c r="E12" s="15" t="e">
        <f>IF(ISNUMBER(VLOOKUP(C12,'Justice Spend Total'!C:AQ, 38, FALSE)),(VLOOKUP(C12,'Justice Spend Total'!C:AQ, 38, FALSE)), #N/A)</f>
        <v>#N/A</v>
      </c>
      <c r="F12" s="58">
        <f>IF(ISNUMBER(VLOOKUP(Table112[[#This Row],[Code]],'Edu &amp; Health Exp'!C:AA,20,FALSE)), (VLOOKUP(Table112[[#This Row],[Code]],'Edu &amp; Health Exp'!C:AA,20,FALSE)), #N/A)</f>
        <v>2.1270000934600799</v>
      </c>
      <c r="G12" s="58">
        <f>IF(ISNUMBER(VLOOKUP(Table112[[#This Row],[Code]],'Edu &amp; Health Exp'!C:AA,23,FALSE)), (VLOOKUP(Table112[[#This Row],[Code]],'Edu &amp; Health Exp'!C:AA,23,FALSE)), #N/A)</f>
        <v>1.8137422700000001</v>
      </c>
    </row>
    <row r="13" spans="1:12" ht="15" customHeight="1">
      <c r="A13">
        <v>11</v>
      </c>
      <c r="B13" t="s">
        <v>103</v>
      </c>
      <c r="C13" t="s">
        <v>316</v>
      </c>
      <c r="D13" t="s">
        <v>306</v>
      </c>
      <c r="E13" s="15">
        <f>IF(ISNUMBER(VLOOKUP(C13,'Justice Spend Total'!C:AQ, 38, FALSE)),(VLOOKUP(C13,'Justice Spend Total'!C:AQ, 38, FALSE)), #N/A)</f>
        <v>9.4417222105263168</v>
      </c>
      <c r="F13" s="58">
        <f>IF(ISNUMBER(VLOOKUP(Table112[[#This Row],[Code]],'Edu &amp; Health Exp'!C:AA,20,FALSE)), (VLOOKUP(Table112[[#This Row],[Code]],'Edu &amp; Health Exp'!C:AA,20,FALSE)), #N/A)</f>
        <v>2.6921794414520299</v>
      </c>
      <c r="G13" s="58">
        <f>IF(ISNUMBER(VLOOKUP(Table112[[#This Row],[Code]],'Edu &amp; Health Exp'!C:AA,23,FALSE)), (VLOOKUP(Table112[[#This Row],[Code]],'Edu &amp; Health Exp'!C:AA,23,FALSE)), #N/A)</f>
        <v>1.8697378600000003</v>
      </c>
    </row>
    <row r="14" spans="1:12">
      <c r="A14">
        <v>12</v>
      </c>
      <c r="B14" s="15" t="s">
        <v>104</v>
      </c>
      <c r="C14" s="15" t="s">
        <v>317</v>
      </c>
      <c r="D14" s="15" t="s">
        <v>306</v>
      </c>
      <c r="E14" s="15">
        <f>IF(ISNUMBER(VLOOKUP(C14,'Justice Spend Total'!C:AQ, 38, FALSE)),(VLOOKUP(C14,'Justice Spend Total'!C:AQ, 38, FALSE)), #N/A)</f>
        <v>5.9198582358868865</v>
      </c>
      <c r="F14" s="58">
        <f>IF(ISNUMBER(VLOOKUP(Table112[[#This Row],[Code]],'Edu &amp; Health Exp'!C:AA,20,FALSE)), (VLOOKUP(Table112[[#This Row],[Code]],'Edu &amp; Health Exp'!C:AA,20,FALSE)), #N/A)</f>
        <v>2.9076199531555198</v>
      </c>
      <c r="G14" s="58">
        <f>IF(ISNUMBER(VLOOKUP(Table112[[#This Row],[Code]],'Edu &amp; Health Exp'!C:AA,23,FALSE)), (VLOOKUP(Table112[[#This Row],[Code]],'Edu &amp; Health Exp'!C:AA,23,FALSE)), #N/A)</f>
        <v>2.5158966300000003</v>
      </c>
    </row>
    <row r="15" spans="1:12">
      <c r="A15">
        <v>13</v>
      </c>
      <c r="B15" t="s">
        <v>105</v>
      </c>
      <c r="C15" t="s">
        <v>318</v>
      </c>
      <c r="D15" t="s">
        <v>306</v>
      </c>
      <c r="E15" s="15" t="e">
        <f>IF(ISNUMBER(VLOOKUP(C15,'Justice Spend Total'!C:AQ, 38, FALSE)),(VLOOKUP(C15,'Justice Spend Total'!C:AQ, 38, FALSE)), #N/A)</f>
        <v>#N/A</v>
      </c>
      <c r="F15" s="58">
        <f>IF(ISNUMBER(VLOOKUP(Table112[[#This Row],[Code]],'Edu &amp; Health Exp'!C:AA,20,FALSE)), (VLOOKUP(Table112[[#This Row],[Code]],'Edu &amp; Health Exp'!C:AA,20,FALSE)), #N/A)</f>
        <v>2.9085104465484601</v>
      </c>
      <c r="G15" s="58">
        <f>IF(ISNUMBER(VLOOKUP(Table112[[#This Row],[Code]],'Edu &amp; Health Exp'!C:AA,23,FALSE)), (VLOOKUP(Table112[[#This Row],[Code]],'Edu &amp; Health Exp'!C:AA,23,FALSE)), #N/A)</f>
        <v>1.2431519099999999</v>
      </c>
    </row>
    <row r="16" spans="1:12">
      <c r="A16">
        <v>14</v>
      </c>
      <c r="B16" s="15" t="s">
        <v>106</v>
      </c>
      <c r="C16" s="15" t="s">
        <v>319</v>
      </c>
      <c r="D16" s="15" t="s">
        <v>306</v>
      </c>
      <c r="E16" s="15">
        <f>IF(ISNUMBER(VLOOKUP(C16,'Justice Spend Total'!C:AQ, 38, FALSE)),(VLOOKUP(C16,'Justice Spend Total'!C:AQ, 38, FALSE)), #N/A)</f>
        <v>7.3551871389098205</v>
      </c>
      <c r="F16" s="58" t="e">
        <f>IF(ISNUMBER(VLOOKUP(Table112[[#This Row],[Code]],'Edu &amp; Health Exp'!C:AA,20,FALSE)), (VLOOKUP(Table112[[#This Row],[Code]],'Edu &amp; Health Exp'!C:AA,20,FALSE)), #N/A)</f>
        <v>#N/A</v>
      </c>
      <c r="G16" s="58">
        <f>IF(ISNUMBER(VLOOKUP(Table112[[#This Row],[Code]],'Edu &amp; Health Exp'!C:AA,23,FALSE)), (VLOOKUP(Table112[[#This Row],[Code]],'Edu &amp; Health Exp'!C:AA,23,FALSE)), #N/A)</f>
        <v>1.15174478</v>
      </c>
    </row>
    <row r="17" spans="1:7">
      <c r="A17">
        <v>15</v>
      </c>
      <c r="B17" t="s">
        <v>107</v>
      </c>
      <c r="C17" t="s">
        <v>320</v>
      </c>
      <c r="D17" t="s">
        <v>306</v>
      </c>
      <c r="E17" s="15" t="e">
        <f>IF(ISNUMBER(VLOOKUP(C17,'Justice Spend Total'!C:AQ, 38, FALSE)),(VLOOKUP(C17,'Justice Spend Total'!C:AQ, 38, FALSE)), #N/A)</f>
        <v>#N/A</v>
      </c>
      <c r="F17" s="58">
        <f>IF(ISNUMBER(VLOOKUP(Table112[[#This Row],[Code]],'Edu &amp; Health Exp'!C:AA,20,FALSE)), (VLOOKUP(Table112[[#This Row],[Code]],'Edu &amp; Health Exp'!C:AA,20,FALSE)), #N/A)</f>
        <v>5.1514301300048801</v>
      </c>
      <c r="G17" s="58" t="e">
        <f>IF(ISNUMBER(VLOOKUP(Table112[[#This Row],[Code]],'Edu &amp; Health Exp'!C:AA,23,FALSE)), (VLOOKUP(Table112[[#This Row],[Code]],'Edu &amp; Health Exp'!C:AA,23,FALSE)), #N/A)</f>
        <v>#N/A</v>
      </c>
    </row>
    <row r="18" spans="1:7">
      <c r="A18">
        <v>16</v>
      </c>
      <c r="B18" t="s">
        <v>108</v>
      </c>
      <c r="C18" t="s">
        <v>321</v>
      </c>
      <c r="D18" t="s">
        <v>306</v>
      </c>
      <c r="E18" s="15" t="e">
        <f>IF(ISNUMBER(VLOOKUP(C18,'Justice Spend Total'!C:AQ, 38, FALSE)),(VLOOKUP(C18,'Justice Spend Total'!C:AQ, 38, FALSE)), #N/A)</f>
        <v>#N/A</v>
      </c>
      <c r="F18" s="58">
        <f>IF(ISNUMBER(VLOOKUP(Table112[[#This Row],[Code]],'Edu &amp; Health Exp'!C:AA,20,FALSE)), (VLOOKUP(Table112[[#This Row],[Code]],'Edu &amp; Health Exp'!C:AA,20,FALSE)), #N/A)</f>
        <v>2.7084276676178001</v>
      </c>
      <c r="G18" s="58">
        <f>IF(ISNUMBER(VLOOKUP(Table112[[#This Row],[Code]],'Edu &amp; Health Exp'!C:AA,23,FALSE)), (VLOOKUP(Table112[[#This Row],[Code]],'Edu &amp; Health Exp'!C:AA,23,FALSE)), #N/A)</f>
        <v>1.3261738500000002</v>
      </c>
    </row>
    <row r="19" spans="1:7">
      <c r="A19">
        <v>17</v>
      </c>
      <c r="B19" s="15" t="s">
        <v>109</v>
      </c>
      <c r="C19" s="15" t="s">
        <v>322</v>
      </c>
      <c r="D19" s="15" t="s">
        <v>306</v>
      </c>
      <c r="E19" s="15">
        <f>IF(ISNUMBER(VLOOKUP(C19,'Justice Spend Total'!C:AQ, 38, FALSE)),(VLOOKUP(C19,'Justice Spend Total'!C:AQ, 38, FALSE)), #N/A)</f>
        <v>5.5622493705119833</v>
      </c>
      <c r="F19" s="58">
        <f>IF(ISNUMBER(VLOOKUP(Table112[[#This Row],[Code]],'Edu &amp; Health Exp'!C:AA,20,FALSE)), (VLOOKUP(Table112[[#This Row],[Code]],'Edu &amp; Health Exp'!C:AA,20,FALSE)), #N/A)</f>
        <v>2.7637171745300302</v>
      </c>
      <c r="G19" s="58">
        <f>IF(ISNUMBER(VLOOKUP(Table112[[#This Row],[Code]],'Edu &amp; Health Exp'!C:AA,23,FALSE)), (VLOOKUP(Table112[[#This Row],[Code]],'Edu &amp; Health Exp'!C:AA,23,FALSE)), #N/A)</f>
        <v>2.1528068600000005</v>
      </c>
    </row>
    <row r="20" spans="1:7">
      <c r="A20">
        <v>18</v>
      </c>
      <c r="B20" s="15" t="s">
        <v>110</v>
      </c>
      <c r="C20" s="15" t="s">
        <v>323</v>
      </c>
      <c r="D20" s="15" t="s">
        <v>306</v>
      </c>
      <c r="E20" s="15">
        <f>IF(ISNUMBER(VLOOKUP(C20,'Justice Spend Total'!C:AQ, 38, FALSE)),(VLOOKUP(C20,'Justice Spend Total'!C:AQ, 38, FALSE)), #N/A)</f>
        <v>9.2859942129042068</v>
      </c>
      <c r="F20" s="58">
        <f>IF(ISNUMBER(VLOOKUP(Table112[[#This Row],[Code]],'Edu &amp; Health Exp'!C:AA,20,FALSE)), (VLOOKUP(Table112[[#This Row],[Code]],'Edu &amp; Health Exp'!C:AA,20,FALSE)), #N/A)</f>
        <v>2.6650531291961701</v>
      </c>
      <c r="G20" s="58">
        <f>IF(ISNUMBER(VLOOKUP(Table112[[#This Row],[Code]],'Edu &amp; Health Exp'!C:AA,23,FALSE)), (VLOOKUP(Table112[[#This Row],[Code]],'Edu &amp; Health Exp'!C:AA,23,FALSE)), #N/A)</f>
        <v>0.56694104999999995</v>
      </c>
    </row>
    <row r="21" spans="1:7">
      <c r="A21">
        <v>19</v>
      </c>
      <c r="B21" s="15" t="s">
        <v>111</v>
      </c>
      <c r="C21" s="15" t="s">
        <v>324</v>
      </c>
      <c r="D21" s="15" t="s">
        <v>306</v>
      </c>
      <c r="E21" s="15">
        <f>IF(ISNUMBER(VLOOKUP(C21,'Justice Spend Total'!C:AQ, 38, FALSE)),(VLOOKUP(C21,'Justice Spend Total'!C:AQ, 38, FALSE)), #N/A)</f>
        <v>6.7482845078752964</v>
      </c>
      <c r="F21" s="58">
        <f>IF(ISNUMBER(VLOOKUP(Table112[[#This Row],[Code]],'Edu &amp; Health Exp'!C:AA,20,FALSE)), (VLOOKUP(Table112[[#This Row],[Code]],'Edu &amp; Health Exp'!C:AA,20,FALSE)), #N/A)</f>
        <v>3.82156157493591</v>
      </c>
      <c r="G21" s="58">
        <f>IF(ISNUMBER(VLOOKUP(Table112[[#This Row],[Code]],'Edu &amp; Health Exp'!C:AA,23,FALSE)), (VLOOKUP(Table112[[#This Row],[Code]],'Edu &amp; Health Exp'!C:AA,23,FALSE)), #N/A)</f>
        <v>4.2964621599999999</v>
      </c>
    </row>
    <row r="22" spans="1:7">
      <c r="A22">
        <v>20</v>
      </c>
      <c r="B22" s="15" t="s">
        <v>112</v>
      </c>
      <c r="C22" s="15" t="s">
        <v>325</v>
      </c>
      <c r="D22" s="15" t="s">
        <v>306</v>
      </c>
      <c r="E22" s="15">
        <f>IF(ISNUMBER(VLOOKUP(C22,'Justice Spend Total'!C:AQ, 38, FALSE)),(VLOOKUP(C22,'Justice Spend Total'!C:AQ, 38, FALSE)), #N/A)</f>
        <v>1.7010389421096062</v>
      </c>
      <c r="F22" s="58">
        <f>IF(ISNUMBER(VLOOKUP(Table112[[#This Row],[Code]],'Edu &amp; Health Exp'!C:AA,20,FALSE)), (VLOOKUP(Table112[[#This Row],[Code]],'Edu &amp; Health Exp'!C:AA,20,FALSE)), #N/A)</f>
        <v>5.5190758705139196</v>
      </c>
      <c r="G22" s="58">
        <f>IF(ISNUMBER(VLOOKUP(Table112[[#This Row],[Code]],'Edu &amp; Health Exp'!C:AA,23,FALSE)), (VLOOKUP(Table112[[#This Row],[Code]],'Edu &amp; Health Exp'!C:AA,23,FALSE)), #N/A)</f>
        <v>3.05167287</v>
      </c>
    </row>
    <row r="23" spans="1:7">
      <c r="A23">
        <v>21</v>
      </c>
      <c r="B23" t="s">
        <v>113</v>
      </c>
      <c r="C23" t="s">
        <v>326</v>
      </c>
      <c r="D23" t="s">
        <v>306</v>
      </c>
      <c r="E23" s="15">
        <f>IF(ISNUMBER(VLOOKUP(C23,'Justice Spend Total'!C:AQ, 38, FALSE)),(VLOOKUP(C23,'Justice Spend Total'!C:AQ, 38, FALSE)), #N/A)</f>
        <v>7.7393825058666526</v>
      </c>
      <c r="F23" s="58">
        <f>IF(ISNUMBER(VLOOKUP(Table112[[#This Row],[Code]],'Edu &amp; Health Exp'!C:AA,20,FALSE)), (VLOOKUP(Table112[[#This Row],[Code]],'Edu &amp; Health Exp'!C:AA,20,FALSE)), #N/A)</f>
        <v>3.7634313106536901</v>
      </c>
      <c r="G23" s="58">
        <f>IF(ISNUMBER(VLOOKUP(Table112[[#This Row],[Code]],'Edu &amp; Health Exp'!C:AA,23,FALSE)), (VLOOKUP(Table112[[#This Row],[Code]],'Edu &amp; Health Exp'!C:AA,23,FALSE)), #N/A)</f>
        <v>1.6773269599999998</v>
      </c>
    </row>
    <row r="24" spans="1:7">
      <c r="A24">
        <v>22</v>
      </c>
      <c r="B24" t="s">
        <v>114</v>
      </c>
      <c r="C24" t="s">
        <v>327</v>
      </c>
      <c r="D24" t="s">
        <v>306</v>
      </c>
      <c r="E24" s="15" t="e">
        <f>IF(ISNUMBER(VLOOKUP(C24,'Justice Spend Total'!C:AQ, 38, FALSE)),(VLOOKUP(C24,'Justice Spend Total'!C:AQ, 38, FALSE)), #N/A)</f>
        <v>#N/A</v>
      </c>
      <c r="F24" s="58">
        <f>IF(ISNUMBER(VLOOKUP(Table112[[#This Row],[Code]],'Edu &amp; Health Exp'!C:AA,20,FALSE)), (VLOOKUP(Table112[[#This Row],[Code]],'Edu &amp; Health Exp'!C:AA,20,FALSE)), #N/A)</f>
        <v>5.1301398277282697</v>
      </c>
      <c r="G24" s="58" t="e">
        <f>IF(ISNUMBER(VLOOKUP(Table112[[#This Row],[Code]],'Edu &amp; Health Exp'!C:AA,23,FALSE)), (VLOOKUP(Table112[[#This Row],[Code]],'Edu &amp; Health Exp'!C:AA,23,FALSE)), #N/A)</f>
        <v>#N/A</v>
      </c>
    </row>
    <row r="25" spans="1:7">
      <c r="A25">
        <v>23</v>
      </c>
      <c r="B25" s="15" t="s">
        <v>115</v>
      </c>
      <c r="C25" s="15" t="s">
        <v>328</v>
      </c>
      <c r="D25" s="15" t="s">
        <v>306</v>
      </c>
      <c r="E25" s="15">
        <f>IF(ISNUMBER(VLOOKUP(C25,'Justice Spend Total'!C:AQ, 38, FALSE)),(VLOOKUP(C25,'Justice Spend Total'!C:AQ, 38, FALSE)), #N/A)</f>
        <v>2.1822794133400376</v>
      </c>
      <c r="F25" s="58">
        <f>IF(ISNUMBER(VLOOKUP(Table112[[#This Row],[Code]],'Edu &amp; Health Exp'!C:AA,20,FALSE)), (VLOOKUP(Table112[[#This Row],[Code]],'Edu &amp; Health Exp'!C:AA,20,FALSE)), #N/A)</f>
        <v>1.5427847126588301</v>
      </c>
      <c r="G25" s="58">
        <f>IF(ISNUMBER(VLOOKUP(Table112[[#This Row],[Code]],'Edu &amp; Health Exp'!C:AA,23,FALSE)), (VLOOKUP(Table112[[#This Row],[Code]],'Edu &amp; Health Exp'!C:AA,23,FALSE)), #N/A)</f>
        <v>1.3791670800000002</v>
      </c>
    </row>
    <row r="26" spans="1:7">
      <c r="A26">
        <v>24</v>
      </c>
      <c r="B26" t="s">
        <v>116</v>
      </c>
      <c r="C26" t="s">
        <v>329</v>
      </c>
      <c r="D26" t="s">
        <v>306</v>
      </c>
      <c r="E26" s="15">
        <f>IF(ISNUMBER(VLOOKUP(C26,'Justice Spend Total'!C:AQ, 38, FALSE)),(VLOOKUP(C26,'Justice Spend Total'!C:AQ, 38, FALSE)), #N/A)</f>
        <v>3.7638283356616098</v>
      </c>
      <c r="F26" s="58">
        <f>IF(ISNUMBER(VLOOKUP(Table112[[#This Row],[Code]],'Edu &amp; Health Exp'!C:AA,20,FALSE)), (VLOOKUP(Table112[[#This Row],[Code]],'Edu &amp; Health Exp'!C:AA,20,FALSE)), #N/A)</f>
        <v>3.9912462234497101</v>
      </c>
      <c r="G26" s="58">
        <f>IF(ISNUMBER(VLOOKUP(Table112[[#This Row],[Code]],'Edu &amp; Health Exp'!C:AA,23,FALSE)), (VLOOKUP(Table112[[#This Row],[Code]],'Edu &amp; Health Exp'!C:AA,23,FALSE)), #N/A)</f>
        <v>1.3692451699999997</v>
      </c>
    </row>
    <row r="27" spans="1:7">
      <c r="A27">
        <v>25</v>
      </c>
      <c r="B27" t="s">
        <v>117</v>
      </c>
      <c r="C27" t="s">
        <v>330</v>
      </c>
      <c r="D27" t="s">
        <v>306</v>
      </c>
      <c r="E27" s="15">
        <f>IF(ISNUMBER(VLOOKUP(C27,'Justice Spend Total'!C:AQ, 38, FALSE)),(VLOOKUP(C27,'Justice Spend Total'!C:AQ, 38, FALSE)), #N/A)</f>
        <v>3.1633198566082625</v>
      </c>
      <c r="F27" s="58">
        <f>IF(ISNUMBER(VLOOKUP(Table112[[#This Row],[Code]],'Edu &amp; Health Exp'!C:AA,20,FALSE)), (VLOOKUP(Table112[[#This Row],[Code]],'Edu &amp; Health Exp'!C:AA,20,FALSE)), #N/A)</f>
        <v>2.1994700431823699</v>
      </c>
      <c r="G27" s="58">
        <f>IF(ISNUMBER(VLOOKUP(Table112[[#This Row],[Code]],'Edu &amp; Health Exp'!C:AA,23,FALSE)), (VLOOKUP(Table112[[#This Row],[Code]],'Edu &amp; Health Exp'!C:AA,23,FALSE)), #N/A)</f>
        <v>1.3014689399999999</v>
      </c>
    </row>
    <row r="28" spans="1:7">
      <c r="A28">
        <v>26</v>
      </c>
      <c r="B28" s="15" t="s">
        <v>118</v>
      </c>
      <c r="C28" s="15" t="s">
        <v>331</v>
      </c>
      <c r="D28" s="15" t="s">
        <v>306</v>
      </c>
      <c r="E28" s="15">
        <f>IF(ISNUMBER(VLOOKUP(C28,'Justice Spend Total'!C:AQ, 38, FALSE)),(VLOOKUP(C28,'Justice Spend Total'!C:AQ, 38, FALSE)), #N/A)</f>
        <v>2.8744483824346863</v>
      </c>
      <c r="F28" s="58">
        <f>IF(ISNUMBER(VLOOKUP(Table112[[#This Row],[Code]],'Edu &amp; Health Exp'!C:AA,20,FALSE)), (VLOOKUP(Table112[[#This Row],[Code]],'Edu &amp; Health Exp'!C:AA,20,FALSE)), #N/A)</f>
        <v>3.7024028301239</v>
      </c>
      <c r="G28" s="58">
        <f>IF(ISNUMBER(VLOOKUP(Table112[[#This Row],[Code]],'Edu &amp; Health Exp'!C:AA,23,FALSE)), (VLOOKUP(Table112[[#This Row],[Code]],'Edu &amp; Health Exp'!C:AA,23,FALSE)), #N/A)</f>
        <v>3.2651754100000003</v>
      </c>
    </row>
    <row r="29" spans="1:7">
      <c r="A29">
        <v>27</v>
      </c>
      <c r="B29" t="s">
        <v>119</v>
      </c>
      <c r="C29" t="s">
        <v>332</v>
      </c>
      <c r="D29" t="s">
        <v>306</v>
      </c>
      <c r="E29" s="15">
        <f>IF(ISNUMBER(VLOOKUP(C29,'Justice Spend Total'!C:AQ, 38, FALSE)),(VLOOKUP(C29,'Justice Spend Total'!C:AQ, 38, FALSE)), #N/A)</f>
        <v>4.161804473527118</v>
      </c>
      <c r="F29" s="58">
        <f>IF(ISNUMBER(VLOOKUP(Table112[[#This Row],[Code]],'Edu &amp; Health Exp'!C:AA,20,FALSE)), (VLOOKUP(Table112[[#This Row],[Code]],'Edu &amp; Health Exp'!C:AA,20,FALSE)), #N/A)</f>
        <v>1.54390001296997</v>
      </c>
      <c r="G29" s="58">
        <f>IF(ISNUMBER(VLOOKUP(Table112[[#This Row],[Code]],'Edu &amp; Health Exp'!C:AA,23,FALSE)), (VLOOKUP(Table112[[#This Row],[Code]],'Edu &amp; Health Exp'!C:AA,23,FALSE)), #N/A)</f>
        <v>0.98557813000000005</v>
      </c>
    </row>
    <row r="30" spans="1:7">
      <c r="A30">
        <v>28</v>
      </c>
      <c r="B30" s="15" t="s">
        <v>120</v>
      </c>
      <c r="C30" s="15" t="s">
        <v>333</v>
      </c>
      <c r="D30" s="15" t="s">
        <v>334</v>
      </c>
      <c r="E30" s="15">
        <f>IF(ISNUMBER(VLOOKUP(C30,'Justice Spend Total'!C:AQ, 38, FALSE)),(VLOOKUP(C30,'Justice Spend Total'!C:AQ, 38, FALSE)), #N/A)</f>
        <v>3.5156234228405929</v>
      </c>
      <c r="F30" s="58">
        <f>IF(ISNUMBER(VLOOKUP(Table112[[#This Row],[Code]],'Edu &amp; Health Exp'!C:AA,20,FALSE)), (VLOOKUP(Table112[[#This Row],[Code]],'Edu &amp; Health Exp'!C:AA,20,FALSE)), #N/A)</f>
        <v>2.1398699283599898</v>
      </c>
      <c r="G30" s="58">
        <f>IF(ISNUMBER(VLOOKUP(Table112[[#This Row],[Code]],'Edu &amp; Health Exp'!C:AA,23,FALSE)), (VLOOKUP(Table112[[#This Row],[Code]],'Edu &amp; Health Exp'!C:AA,23,FALSE)), #N/A)</f>
        <v>0.82849151999999981</v>
      </c>
    </row>
    <row r="31" spans="1:7">
      <c r="A31">
        <v>29</v>
      </c>
      <c r="B31" s="15" t="s">
        <v>121</v>
      </c>
      <c r="C31" s="15" t="s">
        <v>335</v>
      </c>
      <c r="D31" s="15" t="s">
        <v>334</v>
      </c>
      <c r="E31" s="15">
        <f>IF(ISNUMBER(VLOOKUP(C31,'Justice Spend Total'!C:AQ, 38, FALSE)),(VLOOKUP(C31,'Justice Spend Total'!C:AQ, 38, FALSE)), #N/A)</f>
        <v>5.0542729215615552</v>
      </c>
      <c r="F31" s="58">
        <f>IF(ISNUMBER(VLOOKUP(Table112[[#This Row],[Code]],'Edu &amp; Health Exp'!C:AA,20,FALSE)), (VLOOKUP(Table112[[#This Row],[Code]],'Edu &amp; Health Exp'!C:AA,20,FALSE)), #N/A)</f>
        <v>3.29779028892517</v>
      </c>
      <c r="G31" s="58">
        <f>IF(ISNUMBER(VLOOKUP(Table112[[#This Row],[Code]],'Edu &amp; Health Exp'!C:AA,23,FALSE)), (VLOOKUP(Table112[[#This Row],[Code]],'Edu &amp; Health Exp'!C:AA,23,FALSE)), #N/A)</f>
        <v>2.2035343399999996</v>
      </c>
    </row>
    <row r="32" spans="1:7">
      <c r="A32">
        <v>30</v>
      </c>
      <c r="B32" t="s">
        <v>122</v>
      </c>
      <c r="C32" t="s">
        <v>336</v>
      </c>
      <c r="D32" t="s">
        <v>334</v>
      </c>
      <c r="E32" s="15" t="e">
        <f>IF(ISNUMBER(VLOOKUP(C32,'Justice Spend Total'!C:AQ, 38, FALSE)),(VLOOKUP(C32,'Justice Spend Total'!C:AQ, 38, FALSE)), #N/A)</f>
        <v>#N/A</v>
      </c>
      <c r="F32" s="58">
        <f>IF(ISNUMBER(VLOOKUP(Table112[[#This Row],[Code]],'Edu &amp; Health Exp'!C:AA,20,FALSE)), (VLOOKUP(Table112[[#This Row],[Code]],'Edu &amp; Health Exp'!C:AA,20,FALSE)), #N/A)</f>
        <v>5.7129001617431596</v>
      </c>
      <c r="G32" s="58">
        <f>IF(ISNUMBER(VLOOKUP(Table112[[#This Row],[Code]],'Edu &amp; Health Exp'!C:AA,23,FALSE)), (VLOOKUP(Table112[[#This Row],[Code]],'Edu &amp; Health Exp'!C:AA,23,FALSE)), #N/A)</f>
        <v>2.05313167</v>
      </c>
    </row>
    <row r="33" spans="1:7">
      <c r="A33">
        <v>31</v>
      </c>
      <c r="B33" t="s">
        <v>123</v>
      </c>
      <c r="C33" t="s">
        <v>337</v>
      </c>
      <c r="D33" t="s">
        <v>334</v>
      </c>
      <c r="E33" s="15">
        <f>IF(ISNUMBER(VLOOKUP(C33,'Justice Spend Total'!C:AQ, 38, FALSE)),(VLOOKUP(C33,'Justice Spend Total'!C:AQ, 38, FALSE)), #N/A)</f>
        <v>5.0470867520410456</v>
      </c>
      <c r="F33" s="58">
        <f>IF(ISNUMBER(VLOOKUP(Table112[[#This Row],[Code]],'Edu &amp; Health Exp'!C:AA,20,FALSE)), (VLOOKUP(Table112[[#This Row],[Code]],'Edu &amp; Health Exp'!C:AA,20,FALSE)), #N/A)</f>
        <v>5.3667497634887704</v>
      </c>
      <c r="G33" s="58">
        <f>IF(ISNUMBER(VLOOKUP(Table112[[#This Row],[Code]],'Edu &amp; Health Exp'!C:AA,23,FALSE)), (VLOOKUP(Table112[[#This Row],[Code]],'Edu &amp; Health Exp'!C:AA,23,FALSE)), #N/A)</f>
        <v>2.4142444800000002</v>
      </c>
    </row>
    <row r="34" spans="1:7">
      <c r="A34">
        <v>32</v>
      </c>
      <c r="B34" s="15" t="s">
        <v>124</v>
      </c>
      <c r="C34" s="15" t="s">
        <v>338</v>
      </c>
      <c r="D34" s="15" t="s">
        <v>334</v>
      </c>
      <c r="E34" s="15">
        <f>IF(ISNUMBER(VLOOKUP(C34,'Justice Spend Total'!C:AQ, 38, FALSE)),(VLOOKUP(C34,'Justice Spend Total'!C:AQ, 38, FALSE)), #N/A)</f>
        <v>6.5903818984189302</v>
      </c>
      <c r="F34" s="58">
        <f>IF(ISNUMBER(VLOOKUP(Table112[[#This Row],[Code]],'Edu &amp; Health Exp'!C:AA,20,FALSE)), (VLOOKUP(Table112[[#This Row],[Code]],'Edu &amp; Health Exp'!C:AA,20,FALSE)), #N/A)</f>
        <v>4.3899998664856001</v>
      </c>
      <c r="G34" s="58">
        <f>IF(ISNUMBER(VLOOKUP(Table112[[#This Row],[Code]],'Edu &amp; Health Exp'!C:AA,23,FALSE)), (VLOOKUP(Table112[[#This Row],[Code]],'Edu &amp; Health Exp'!C:AA,23,FALSE)), #N/A)</f>
        <v>1.17799188</v>
      </c>
    </row>
    <row r="35" spans="1:7">
      <c r="A35">
        <v>33</v>
      </c>
      <c r="B35" t="s">
        <v>125</v>
      </c>
      <c r="C35" t="s">
        <v>339</v>
      </c>
      <c r="D35" t="s">
        <v>334</v>
      </c>
      <c r="E35" s="15">
        <f>IF(ISNUMBER(VLOOKUP(C35,'Justice Spend Total'!C:AQ, 38, FALSE)),(VLOOKUP(C35,'Justice Spend Total'!C:AQ, 38, FALSE)), #N/A)</f>
        <v>7.2660882762281052</v>
      </c>
      <c r="F35" s="58">
        <f>IF(ISNUMBER(VLOOKUP(Table112[[#This Row],[Code]],'Edu &amp; Health Exp'!C:AA,20,FALSE)), (VLOOKUP(Table112[[#This Row],[Code]],'Edu &amp; Health Exp'!C:AA,20,FALSE)), #N/A)</f>
        <v>8.7026405334472692</v>
      </c>
      <c r="G35" s="58">
        <f>IF(ISNUMBER(VLOOKUP(Table112[[#This Row],[Code]],'Edu &amp; Health Exp'!C:AA,23,FALSE)), (VLOOKUP(Table112[[#This Row],[Code]],'Edu &amp; Health Exp'!C:AA,23,FALSE)), #N/A)</f>
        <v>7.5201411900000013</v>
      </c>
    </row>
    <row r="36" spans="1:7">
      <c r="A36">
        <v>34</v>
      </c>
      <c r="B36" t="s">
        <v>126</v>
      </c>
      <c r="C36" t="s">
        <v>340</v>
      </c>
      <c r="D36" t="s">
        <v>334</v>
      </c>
      <c r="E36" s="15">
        <f>IF(ISNUMBER(VLOOKUP(C36,'Justice Spend Total'!C:AQ, 38, FALSE)),(VLOOKUP(C36,'Justice Spend Total'!C:AQ, 38, FALSE)), #N/A)</f>
        <v>7.8511923826011687</v>
      </c>
      <c r="F36" s="58">
        <f>IF(ISNUMBER(VLOOKUP(Table112[[#This Row],[Code]],'Edu &amp; Health Exp'!C:AA,20,FALSE)), (VLOOKUP(Table112[[#This Row],[Code]],'Edu &amp; Health Exp'!C:AA,20,FALSE)), #N/A)</f>
        <v>3.003662109375</v>
      </c>
      <c r="G36" s="58">
        <f>IF(ISNUMBER(VLOOKUP(Table112[[#This Row],[Code]],'Edu &amp; Health Exp'!C:AA,23,FALSE)), (VLOOKUP(Table112[[#This Row],[Code]],'Edu &amp; Health Exp'!C:AA,23,FALSE)), #N/A)</f>
        <v>0.90473011000000025</v>
      </c>
    </row>
    <row r="37" spans="1:7">
      <c r="A37">
        <v>35</v>
      </c>
      <c r="B37" t="s">
        <v>127</v>
      </c>
      <c r="C37" t="s">
        <v>341</v>
      </c>
      <c r="D37" t="s">
        <v>334</v>
      </c>
      <c r="E37" s="15">
        <f>IF(ISNUMBER(VLOOKUP(C37,'Justice Spend Total'!C:AQ, 38, FALSE)),(VLOOKUP(C37,'Justice Spend Total'!C:AQ, 38, FALSE)), #N/A)</f>
        <v>9.8152941176470581</v>
      </c>
      <c r="F37" s="58">
        <f>IF(ISNUMBER(VLOOKUP(Table112[[#This Row],[Code]],'Edu &amp; Health Exp'!C:AA,20,FALSE)), (VLOOKUP(Table112[[#This Row],[Code]],'Edu &amp; Health Exp'!C:AA,20,FALSE)), #N/A)</f>
        <v>3.86611008644104</v>
      </c>
      <c r="G37" s="58">
        <f>IF(ISNUMBER(VLOOKUP(Table112[[#This Row],[Code]],'Edu &amp; Health Exp'!C:AA,23,FALSE)), (VLOOKUP(Table112[[#This Row],[Code]],'Edu &amp; Health Exp'!C:AA,23,FALSE)), #N/A)</f>
        <v>1.56122048</v>
      </c>
    </row>
    <row r="38" spans="1:7">
      <c r="A38">
        <v>36</v>
      </c>
      <c r="B38" t="s">
        <v>128</v>
      </c>
      <c r="C38" t="s">
        <v>342</v>
      </c>
      <c r="D38" t="s">
        <v>334</v>
      </c>
      <c r="E38" s="15">
        <f>IF(ISNUMBER(VLOOKUP(C38,'Justice Spend Total'!C:AQ, 38, FALSE)),(VLOOKUP(C38,'Justice Spend Total'!C:AQ, 38, FALSE)), #N/A)</f>
        <v>17.816601534233381</v>
      </c>
      <c r="F38" s="58">
        <f>IF(ISNUMBER(VLOOKUP(Table112[[#This Row],[Code]],'Edu &amp; Health Exp'!C:AA,20,FALSE)), (VLOOKUP(Table112[[#This Row],[Code]],'Edu &amp; Health Exp'!C:AA,20,FALSE)), #N/A)</f>
        <v>1.63206994533539</v>
      </c>
      <c r="G38" s="58">
        <f>IF(ISNUMBER(VLOOKUP(Table112[[#This Row],[Code]],'Edu &amp; Health Exp'!C:AA,23,FALSE)), (VLOOKUP(Table112[[#This Row],[Code]],'Edu &amp; Health Exp'!C:AA,23,FALSE)), #N/A)</f>
        <v>0.57852979000000004</v>
      </c>
    </row>
    <row r="39" spans="1:7">
      <c r="A39">
        <v>37</v>
      </c>
      <c r="B39" t="s">
        <v>129</v>
      </c>
      <c r="C39" t="s">
        <v>343</v>
      </c>
      <c r="D39" t="s">
        <v>334</v>
      </c>
      <c r="E39" s="15" t="e">
        <f>IF(ISNUMBER(VLOOKUP(C39,'Justice Spend Total'!C:AQ, 38, FALSE)),(VLOOKUP(C39,'Justice Spend Total'!C:AQ, 38, FALSE)), #N/A)</f>
        <v>#N/A</v>
      </c>
      <c r="F39" s="58">
        <f>IF(ISNUMBER(VLOOKUP(Table112[[#This Row],[Code]],'Edu &amp; Health Exp'!C:AA,20,FALSE)), (VLOOKUP(Table112[[#This Row],[Code]],'Edu &amp; Health Exp'!C:AA,20,FALSE)), #N/A)</f>
        <v>2.5450599193572998</v>
      </c>
      <c r="G39" s="58">
        <f>IF(ISNUMBER(VLOOKUP(Table112[[#This Row],[Code]],'Edu &amp; Health Exp'!C:AA,23,FALSE)), (VLOOKUP(Table112[[#This Row],[Code]],'Edu &amp; Health Exp'!C:AA,23,FALSE)), #N/A)</f>
        <v>1.7257022</v>
      </c>
    </row>
    <row r="40" spans="1:7">
      <c r="A40">
        <v>38</v>
      </c>
      <c r="B40" t="s">
        <v>130</v>
      </c>
      <c r="C40" t="s">
        <v>344</v>
      </c>
      <c r="D40" t="s">
        <v>334</v>
      </c>
      <c r="E40" s="15">
        <f>IF(ISNUMBER(VLOOKUP(C40,'Justice Spend Total'!C:AQ, 38, FALSE)),(VLOOKUP(C40,'Justice Spend Total'!C:AQ, 38, FALSE)), #N/A)</f>
        <v>2.8356336080008888</v>
      </c>
      <c r="F40" s="58">
        <f>IF(ISNUMBER(VLOOKUP(Table112[[#This Row],[Code]],'Edu &amp; Health Exp'!C:AA,20,FALSE)), (VLOOKUP(Table112[[#This Row],[Code]],'Edu &amp; Health Exp'!C:AA,20,FALSE)), #N/A)</f>
        <v>2.5075500011444101</v>
      </c>
      <c r="G40" s="58">
        <f>IF(ISNUMBER(VLOOKUP(Table112[[#This Row],[Code]],'Edu &amp; Health Exp'!C:AA,23,FALSE)), (VLOOKUP(Table112[[#This Row],[Code]],'Edu &amp; Health Exp'!C:AA,23,FALSE)), #N/A)</f>
        <v>1.11974602</v>
      </c>
    </row>
    <row r="41" spans="1:7">
      <c r="A41">
        <v>39</v>
      </c>
      <c r="B41" t="s">
        <v>131</v>
      </c>
      <c r="C41" t="s">
        <v>345</v>
      </c>
      <c r="D41" t="s">
        <v>334</v>
      </c>
      <c r="E41" s="15">
        <f>IF(ISNUMBER(VLOOKUP(C41,'Justice Spend Total'!C:AQ, 38, FALSE)),(VLOOKUP(C41,'Justice Spend Total'!C:AQ, 38, FALSE)), #N/A)</f>
        <v>5.966313259786677</v>
      </c>
      <c r="F41" s="58">
        <f>IF(ISNUMBER(VLOOKUP(Table112[[#This Row],[Code]],'Edu &amp; Health Exp'!C:AA,20,FALSE)), (VLOOKUP(Table112[[#This Row],[Code]],'Edu &amp; Health Exp'!C:AA,20,FALSE)), #N/A)</f>
        <v>5.4978580474853498</v>
      </c>
      <c r="G41" s="58">
        <f>IF(ISNUMBER(VLOOKUP(Table112[[#This Row],[Code]],'Edu &amp; Health Exp'!C:AA,23,FALSE)), (VLOOKUP(Table112[[#This Row],[Code]],'Edu &amp; Health Exp'!C:AA,23,FALSE)), #N/A)</f>
        <v>1.20360226</v>
      </c>
    </row>
    <row r="42" spans="1:7">
      <c r="A42">
        <v>40</v>
      </c>
      <c r="B42" t="s">
        <v>132</v>
      </c>
      <c r="C42" t="s">
        <v>346</v>
      </c>
      <c r="D42" t="s">
        <v>334</v>
      </c>
      <c r="E42" s="15">
        <f>IF(ISNUMBER(VLOOKUP(C42,'Justice Spend Total'!C:AQ, 38, FALSE)),(VLOOKUP(C42,'Justice Spend Total'!C:AQ, 38, FALSE)), #N/A)</f>
        <v>5.9769169855292441</v>
      </c>
      <c r="F42" s="58">
        <f>IF(ISNUMBER(VLOOKUP(Table112[[#This Row],[Code]],'Edu &amp; Health Exp'!C:AA,20,FALSE)), (VLOOKUP(Table112[[#This Row],[Code]],'Edu &amp; Health Exp'!C:AA,20,FALSE)), #N/A)</f>
        <v>2.1628599166870099</v>
      </c>
      <c r="G42" s="58">
        <f>IF(ISNUMBER(VLOOKUP(Table112[[#This Row],[Code]],'Edu &amp; Health Exp'!C:AA,23,FALSE)), (VLOOKUP(Table112[[#This Row],[Code]],'Edu &amp; Health Exp'!C:AA,23,FALSE)), #N/A)</f>
        <v>1.9744944600000003</v>
      </c>
    </row>
    <row r="43" spans="1:7">
      <c r="A43">
        <v>41</v>
      </c>
      <c r="B43" t="s">
        <v>133</v>
      </c>
      <c r="C43" t="s">
        <v>347</v>
      </c>
      <c r="D43" t="s">
        <v>334</v>
      </c>
      <c r="E43" s="15" t="e">
        <f>IF(ISNUMBER(VLOOKUP(C43,'Justice Spend Total'!C:AQ, 38, FALSE)),(VLOOKUP(C43,'Justice Spend Total'!C:AQ, 38, FALSE)), #N/A)</f>
        <v>#N/A</v>
      </c>
      <c r="F43" s="58">
        <f>IF(ISNUMBER(VLOOKUP(Table112[[#This Row],[Code]],'Edu &amp; Health Exp'!C:AA,20,FALSE)), (VLOOKUP(Table112[[#This Row],[Code]],'Edu &amp; Health Exp'!C:AA,20,FALSE)), #N/A)</f>
        <v>3.1661612987518302</v>
      </c>
      <c r="G43" s="58">
        <f>IF(ISNUMBER(VLOOKUP(Table112[[#This Row],[Code]],'Edu &amp; Health Exp'!C:AA,23,FALSE)), (VLOOKUP(Table112[[#This Row],[Code]],'Edu &amp; Health Exp'!C:AA,23,FALSE)), #N/A)</f>
        <v>0.45708117000000004</v>
      </c>
    </row>
    <row r="44" spans="1:7">
      <c r="A44">
        <v>42</v>
      </c>
      <c r="B44" t="s">
        <v>134</v>
      </c>
      <c r="C44" t="s">
        <v>348</v>
      </c>
      <c r="D44" t="s">
        <v>334</v>
      </c>
      <c r="E44" s="15" t="e">
        <f>IF(ISNUMBER(VLOOKUP(C44,'Justice Spend Total'!C:AQ, 38, FALSE)),(VLOOKUP(C44,'Justice Spend Total'!C:AQ, 38, FALSE)), #N/A)</f>
        <v>#N/A</v>
      </c>
      <c r="F44" s="58">
        <f>IF(ISNUMBER(VLOOKUP(Table112[[#This Row],[Code]],'Edu &amp; Health Exp'!C:AA,20,FALSE)), (VLOOKUP(Table112[[#This Row],[Code]],'Edu &amp; Health Exp'!C:AA,20,FALSE)), #N/A)</f>
        <v>4.4486188888549796</v>
      </c>
      <c r="G44" s="58">
        <f>IF(ISNUMBER(VLOOKUP(Table112[[#This Row],[Code]],'Edu &amp; Health Exp'!C:AA,23,FALSE)), (VLOOKUP(Table112[[#This Row],[Code]],'Edu &amp; Health Exp'!C:AA,23,FALSE)), #N/A)</f>
        <v>0.85655581999999997</v>
      </c>
    </row>
    <row r="45" spans="1:7">
      <c r="A45">
        <v>43</v>
      </c>
      <c r="B45" t="s">
        <v>135</v>
      </c>
      <c r="C45" t="s">
        <v>349</v>
      </c>
      <c r="D45" t="s">
        <v>334</v>
      </c>
      <c r="E45" s="15">
        <f>IF(ISNUMBER(VLOOKUP(C45,'Justice Spend Total'!C:AQ, 38, FALSE)),(VLOOKUP(C45,'Justice Spend Total'!C:AQ, 38, FALSE)), #N/A)</f>
        <v>5.3690922482514285</v>
      </c>
      <c r="F45" s="58">
        <f>IF(ISNUMBER(VLOOKUP(Table112[[#This Row],[Code]],'Edu &amp; Health Exp'!C:AA,20,FALSE)), (VLOOKUP(Table112[[#This Row],[Code]],'Edu &amp; Health Exp'!C:AA,20,FALSE)), #N/A)</f>
        <v>1.88116002082825</v>
      </c>
      <c r="G45" s="58">
        <f>IF(ISNUMBER(VLOOKUP(Table112[[#This Row],[Code]],'Edu &amp; Health Exp'!C:AA,23,FALSE)), (VLOOKUP(Table112[[#This Row],[Code]],'Edu &amp; Health Exp'!C:AA,23,FALSE)), #N/A)</f>
        <v>1.2379597200000001</v>
      </c>
    </row>
    <row r="46" spans="1:7">
      <c r="A46">
        <v>44</v>
      </c>
      <c r="B46" s="15" t="s">
        <v>136</v>
      </c>
      <c r="C46" s="15" t="s">
        <v>350</v>
      </c>
      <c r="D46" s="15" t="s">
        <v>334</v>
      </c>
      <c r="E46" s="15">
        <f>IF(ISNUMBER(VLOOKUP(C46,'Justice Spend Total'!C:AQ, 38, FALSE)),(VLOOKUP(C46,'Justice Spend Total'!C:AQ, 38, FALSE)), #N/A)</f>
        <v>9.4822313304155088</v>
      </c>
      <c r="F46" s="58">
        <f>IF(ISNUMBER(VLOOKUP(Table112[[#This Row],[Code]],'Edu &amp; Health Exp'!C:AA,20,FALSE)), (VLOOKUP(Table112[[#This Row],[Code]],'Edu &amp; Health Exp'!C:AA,20,FALSE)), #N/A)</f>
        <v>2.41520023345947</v>
      </c>
      <c r="G46" s="58">
        <f>IF(ISNUMBER(VLOOKUP(Table112[[#This Row],[Code]],'Edu &amp; Health Exp'!C:AA,23,FALSE)), (VLOOKUP(Table112[[#This Row],[Code]],'Edu &amp; Health Exp'!C:AA,23,FALSE)), #N/A)</f>
        <v>1.07087902</v>
      </c>
    </row>
    <row r="47" spans="1:7">
      <c r="A47">
        <v>45</v>
      </c>
      <c r="B47" t="s">
        <v>137</v>
      </c>
      <c r="C47" t="s">
        <v>351</v>
      </c>
      <c r="D47" t="s">
        <v>334</v>
      </c>
      <c r="E47" s="15">
        <f>IF(ISNUMBER(VLOOKUP(C47,'Justice Spend Total'!C:AQ, 38, FALSE)),(VLOOKUP(C47,'Justice Spend Total'!C:AQ, 38, FALSE)), #N/A)</f>
        <v>13.415927189988624</v>
      </c>
      <c r="F47" s="58">
        <f>IF(ISNUMBER(VLOOKUP(Table112[[#This Row],[Code]],'Edu &amp; Health Exp'!C:AA,20,FALSE)), (VLOOKUP(Table112[[#This Row],[Code]],'Edu &amp; Health Exp'!C:AA,20,FALSE)), #N/A)</f>
        <v>6.7274799346923801</v>
      </c>
      <c r="G47" s="58">
        <f>IF(ISNUMBER(VLOOKUP(Table112[[#This Row],[Code]],'Edu &amp; Health Exp'!C:AA,23,FALSE)), (VLOOKUP(Table112[[#This Row],[Code]],'Edu &amp; Health Exp'!C:AA,23,FALSE)), #N/A)</f>
        <v>5.5528909700000009</v>
      </c>
    </row>
    <row r="48" spans="1:7">
      <c r="A48">
        <v>46</v>
      </c>
      <c r="B48" t="s">
        <v>138</v>
      </c>
      <c r="C48" t="s">
        <v>352</v>
      </c>
      <c r="D48" t="s">
        <v>334</v>
      </c>
      <c r="E48" s="15" t="e">
        <f>IF(ISNUMBER(VLOOKUP(C48,'Justice Spend Total'!C:AQ, 38, FALSE)),(VLOOKUP(C48,'Justice Spend Total'!C:AQ, 38, FALSE)), #N/A)</f>
        <v>#N/A</v>
      </c>
      <c r="F48" s="58">
        <f>IF(ISNUMBER(VLOOKUP(Table112[[#This Row],[Code]],'Edu &amp; Health Exp'!C:AA,20,FALSE)), (VLOOKUP(Table112[[#This Row],[Code]],'Edu &amp; Health Exp'!C:AA,20,FALSE)), #N/A)</f>
        <v>4.92279005050659</v>
      </c>
      <c r="G48" s="58">
        <f>IF(ISNUMBER(VLOOKUP(Table112[[#This Row],[Code]],'Edu &amp; Health Exp'!C:AA,23,FALSE)), (VLOOKUP(Table112[[#This Row],[Code]],'Edu &amp; Health Exp'!C:AA,23,FALSE)), #N/A)</f>
        <v>2.33914818</v>
      </c>
    </row>
    <row r="49" spans="1:7">
      <c r="A49">
        <v>47</v>
      </c>
      <c r="B49" s="15" t="s">
        <v>139</v>
      </c>
      <c r="C49" s="15" t="s">
        <v>353</v>
      </c>
      <c r="D49" s="15" t="s">
        <v>334</v>
      </c>
      <c r="E49" s="15">
        <f>IF(ISNUMBER(VLOOKUP(C49,'Justice Spend Total'!C:AQ, 38, FALSE)),(VLOOKUP(C49,'Justice Spend Total'!C:AQ, 38, FALSE)), #N/A)</f>
        <v>9.8828966175336799</v>
      </c>
      <c r="F49" s="58">
        <f>IF(ISNUMBER(VLOOKUP(Table112[[#This Row],[Code]],'Edu &amp; Health Exp'!C:AA,20,FALSE)), (VLOOKUP(Table112[[#This Row],[Code]],'Edu &amp; Health Exp'!C:AA,20,FALSE)), #N/A)</f>
        <v>4.7990360260009801</v>
      </c>
      <c r="G49" s="58">
        <f>IF(ISNUMBER(VLOOKUP(Table112[[#This Row],[Code]],'Edu &amp; Health Exp'!C:AA,23,FALSE)), (VLOOKUP(Table112[[#This Row],[Code]],'Edu &amp; Health Exp'!C:AA,23,FALSE)), #N/A)</f>
        <v>2.1761703700000004</v>
      </c>
    </row>
    <row r="50" spans="1:7">
      <c r="A50">
        <v>48</v>
      </c>
      <c r="B50" s="15" t="s">
        <v>140</v>
      </c>
      <c r="C50" s="15" t="s">
        <v>354</v>
      </c>
      <c r="D50" s="15" t="s">
        <v>334</v>
      </c>
      <c r="E50" s="15">
        <f>IF(ISNUMBER(VLOOKUP(C50,'Justice Spend Total'!C:AQ, 38, FALSE)),(VLOOKUP(C50,'Justice Spend Total'!C:AQ, 38, FALSE)), #N/A)</f>
        <v>7.4880644866092094</v>
      </c>
      <c r="F50" s="58">
        <f>IF(ISNUMBER(VLOOKUP(Table112[[#This Row],[Code]],'Edu &amp; Health Exp'!C:AA,20,FALSE)), (VLOOKUP(Table112[[#This Row],[Code]],'Edu &amp; Health Exp'!C:AA,20,FALSE)), #N/A)</f>
        <v>4.6300001144409197</v>
      </c>
      <c r="G50" s="58">
        <f>IF(ISNUMBER(VLOOKUP(Table112[[#This Row],[Code]],'Edu &amp; Health Exp'!C:AA,23,FALSE)), (VLOOKUP(Table112[[#This Row],[Code]],'Edu &amp; Health Exp'!C:AA,23,FALSE)), #N/A)</f>
        <v>5.2472826299999991</v>
      </c>
    </row>
    <row r="51" spans="1:7">
      <c r="A51">
        <v>49</v>
      </c>
      <c r="B51" t="s">
        <v>141</v>
      </c>
      <c r="C51" t="s">
        <v>355</v>
      </c>
      <c r="D51" t="s">
        <v>334</v>
      </c>
      <c r="E51" s="15">
        <f>IF(ISNUMBER(VLOOKUP(C51,'Justice Spend Total'!C:AQ, 38, FALSE)),(VLOOKUP(C51,'Justice Spend Total'!C:AQ, 38, FALSE)), #N/A)</f>
        <v>8.5336919981642545</v>
      </c>
      <c r="F51" s="58" t="e">
        <f>IF(ISNUMBER(VLOOKUP(Table112[[#This Row],[Code]],'Edu &amp; Health Exp'!C:AA,20,FALSE)), (VLOOKUP(Table112[[#This Row],[Code]],'Edu &amp; Health Exp'!C:AA,20,FALSE)), #N/A)</f>
        <v>#N/A</v>
      </c>
      <c r="G51" s="58">
        <f>IF(ISNUMBER(VLOOKUP(Table112[[#This Row],[Code]],'Edu &amp; Health Exp'!C:AA,23,FALSE)), (VLOOKUP(Table112[[#This Row],[Code]],'Edu &amp; Health Exp'!C:AA,23,FALSE)), #N/A)</f>
        <v>0.57116209000000007</v>
      </c>
    </row>
    <row r="52" spans="1:7">
      <c r="A52">
        <v>50</v>
      </c>
      <c r="B52" s="15" t="s">
        <v>142</v>
      </c>
      <c r="C52" s="15" t="s">
        <v>356</v>
      </c>
      <c r="D52" s="15" t="s">
        <v>334</v>
      </c>
      <c r="E52" s="15">
        <f>IF(ISNUMBER(VLOOKUP(C52,'Justice Spend Total'!C:AQ, 38, FALSE)),(VLOOKUP(C52,'Justice Spend Total'!C:AQ, 38, FALSE)), #N/A)</f>
        <v>6.2854468431273407</v>
      </c>
      <c r="F52" s="58">
        <f>IF(ISNUMBER(VLOOKUP(Table112[[#This Row],[Code]],'Edu &amp; Health Exp'!C:AA,20,FALSE)), (VLOOKUP(Table112[[#This Row],[Code]],'Edu &amp; Health Exp'!C:AA,20,FALSE)), #N/A)</f>
        <v>4.4742298126220703</v>
      </c>
      <c r="G52" s="58">
        <f>IF(ISNUMBER(VLOOKUP(Table112[[#This Row],[Code]],'Edu &amp; Health Exp'!C:AA,23,FALSE)), (VLOOKUP(Table112[[#This Row],[Code]],'Edu &amp; Health Exp'!C:AA,23,FALSE)), #N/A)</f>
        <v>0.99818068000000015</v>
      </c>
    </row>
    <row r="53" spans="1:7">
      <c r="A53">
        <v>51</v>
      </c>
      <c r="B53" t="s">
        <v>143</v>
      </c>
      <c r="C53" t="s">
        <v>357</v>
      </c>
      <c r="D53" t="s">
        <v>334</v>
      </c>
      <c r="E53" s="15" t="e">
        <f>IF(ISNUMBER(VLOOKUP(C53,'Justice Spend Total'!C:AQ, 38, FALSE)),(VLOOKUP(C53,'Justice Spend Total'!C:AQ, 38, FALSE)), #N/A)</f>
        <v>#N/A</v>
      </c>
      <c r="F53" s="58">
        <f>IF(ISNUMBER(VLOOKUP(Table112[[#This Row],[Code]],'Edu &amp; Health Exp'!C:AA,20,FALSE)), (VLOOKUP(Table112[[#This Row],[Code]],'Edu &amp; Health Exp'!C:AA,20,FALSE)), #N/A)</f>
        <v>5.0113840103149396</v>
      </c>
      <c r="G53" s="58">
        <f>IF(ISNUMBER(VLOOKUP(Table112[[#This Row],[Code]],'Edu &amp; Health Exp'!C:AA,23,FALSE)), (VLOOKUP(Table112[[#This Row],[Code]],'Edu &amp; Health Exp'!C:AA,23,FALSE)), #N/A)</f>
        <v>3.1979139000000005</v>
      </c>
    </row>
    <row r="54" spans="1:7">
      <c r="A54">
        <v>52</v>
      </c>
      <c r="B54" s="15" t="s">
        <v>144</v>
      </c>
      <c r="C54" s="15" t="s">
        <v>358</v>
      </c>
      <c r="D54" s="15" t="s">
        <v>334</v>
      </c>
      <c r="E54" s="15">
        <f>IF(ISNUMBER(VLOOKUP(C54,'Justice Spend Total'!C:AQ, 38, FALSE)),(VLOOKUP(C54,'Justice Spend Total'!C:AQ, 38, FALSE)), #N/A)</f>
        <v>10.618260250382619</v>
      </c>
      <c r="F54" s="58">
        <f>IF(ISNUMBER(VLOOKUP(Table112[[#This Row],[Code]],'Edu &amp; Health Exp'!C:AA,20,FALSE)), (VLOOKUP(Table112[[#This Row],[Code]],'Edu &amp; Health Exp'!C:AA,20,FALSE)), #N/A)</f>
        <v>12.75</v>
      </c>
      <c r="G54" s="58">
        <f>IF(ISNUMBER(VLOOKUP(Table112[[#This Row],[Code]],'Edu &amp; Health Exp'!C:AA,23,FALSE)), (VLOOKUP(Table112[[#This Row],[Code]],'Edu &amp; Health Exp'!C:AA,23,FALSE)), #N/A)</f>
        <v>4.3378108700000002</v>
      </c>
    </row>
    <row r="55" spans="1:7">
      <c r="A55">
        <v>53</v>
      </c>
      <c r="B55" s="15" t="s">
        <v>145</v>
      </c>
      <c r="C55" s="15" t="s">
        <v>359</v>
      </c>
      <c r="D55" s="15" t="s">
        <v>334</v>
      </c>
      <c r="E55" s="15">
        <f>IF(ISNUMBER(VLOOKUP(C55,'Justice Spend Total'!C:AQ, 38, FALSE)),(VLOOKUP(C55,'Justice Spend Total'!C:AQ, 38, FALSE)), #N/A)</f>
        <v>10.977701900144751</v>
      </c>
      <c r="F55" s="58">
        <f>IF(ISNUMBER(VLOOKUP(Table112[[#This Row],[Code]],'Edu &amp; Health Exp'!C:AA,20,FALSE)), (VLOOKUP(Table112[[#This Row],[Code]],'Edu &amp; Health Exp'!C:AA,20,FALSE)), #N/A)</f>
        <v>3.8861300945282</v>
      </c>
      <c r="G55" s="58">
        <f>IF(ISNUMBER(VLOOKUP(Table112[[#This Row],[Code]],'Edu &amp; Health Exp'!C:AA,23,FALSE)), (VLOOKUP(Table112[[#This Row],[Code]],'Edu &amp; Health Exp'!C:AA,23,FALSE)), #N/A)</f>
        <v>1.5593819099999999</v>
      </c>
    </row>
    <row r="56" spans="1:7">
      <c r="A56">
        <v>54</v>
      </c>
      <c r="B56" t="s">
        <v>146</v>
      </c>
      <c r="C56" t="s">
        <v>360</v>
      </c>
      <c r="D56" t="s">
        <v>334</v>
      </c>
      <c r="E56" s="15" t="e">
        <f>IF(ISNUMBER(VLOOKUP(C56,'Justice Spend Total'!C:AQ, 38, FALSE)),(VLOOKUP(C56,'Justice Spend Total'!C:AQ, 38, FALSE)), #N/A)</f>
        <v>#N/A</v>
      </c>
      <c r="F56" s="58">
        <f>IF(ISNUMBER(VLOOKUP(Table112[[#This Row],[Code]],'Edu &amp; Health Exp'!C:AA,20,FALSE)), (VLOOKUP(Table112[[#This Row],[Code]],'Edu &amp; Health Exp'!C:AA,20,FALSE)), #N/A)</f>
        <v>3.4430160522460902</v>
      </c>
      <c r="G56" s="58">
        <f>IF(ISNUMBER(VLOOKUP(Table112[[#This Row],[Code]],'Edu &amp; Health Exp'!C:AA,23,FALSE)), (VLOOKUP(Table112[[#This Row],[Code]],'Edu &amp; Health Exp'!C:AA,23,FALSE)), #N/A)</f>
        <v>1.2556454699999999</v>
      </c>
    </row>
    <row r="57" spans="1:7">
      <c r="A57">
        <v>55</v>
      </c>
      <c r="B57" t="s">
        <v>147</v>
      </c>
      <c r="C57" t="s">
        <v>361</v>
      </c>
      <c r="D57" t="s">
        <v>334</v>
      </c>
      <c r="E57" s="15">
        <f>IF(ISNUMBER(VLOOKUP(C57,'Justice Spend Total'!C:AQ, 38, FALSE)),(VLOOKUP(C57,'Justice Spend Total'!C:AQ, 38, FALSE)), #N/A)</f>
        <v>1.9645703775836318</v>
      </c>
      <c r="F57" s="58">
        <f>IF(ISNUMBER(VLOOKUP(Table112[[#This Row],[Code]],'Edu &amp; Health Exp'!C:AA,20,FALSE)), (VLOOKUP(Table112[[#This Row],[Code]],'Edu &amp; Health Exp'!C:AA,20,FALSE)), #N/A)</f>
        <v>2.2300000190734899</v>
      </c>
      <c r="G57" s="58">
        <f>IF(ISNUMBER(VLOOKUP(Table112[[#This Row],[Code]],'Edu &amp; Health Exp'!C:AA,23,FALSE)), (VLOOKUP(Table112[[#This Row],[Code]],'Edu &amp; Health Exp'!C:AA,23,FALSE)), #N/A)</f>
        <v>1.45304722</v>
      </c>
    </row>
    <row r="58" spans="1:7">
      <c r="A58">
        <v>56</v>
      </c>
      <c r="B58" s="15" t="s">
        <v>148</v>
      </c>
      <c r="C58" s="15" t="s">
        <v>362</v>
      </c>
      <c r="D58" s="15" t="s">
        <v>334</v>
      </c>
      <c r="E58" s="15">
        <f>IF(ISNUMBER(VLOOKUP(C58,'Justice Spend Total'!C:AQ, 38, FALSE)),(VLOOKUP(C58,'Justice Spend Total'!C:AQ, 38, FALSE)), #N/A)</f>
        <v>10.611992546944284</v>
      </c>
      <c r="F58" s="58">
        <f>IF(ISNUMBER(VLOOKUP(Table112[[#This Row],[Code]],'Edu &amp; Health Exp'!C:AA,20,FALSE)), (VLOOKUP(Table112[[#This Row],[Code]],'Edu &amp; Health Exp'!C:AA,20,FALSE)), #N/A)</f>
        <v>6.4384388923645002</v>
      </c>
      <c r="G58" s="58">
        <f>IF(ISNUMBER(VLOOKUP(Table112[[#This Row],[Code]],'Edu &amp; Health Exp'!C:AA,23,FALSE)), (VLOOKUP(Table112[[#This Row],[Code]],'Edu &amp; Health Exp'!C:AA,23,FALSE)), #N/A)</f>
        <v>3.0023341800000005</v>
      </c>
    </row>
    <row r="59" spans="1:7">
      <c r="A59">
        <v>57</v>
      </c>
      <c r="B59" s="15" t="s">
        <v>149</v>
      </c>
      <c r="C59" s="15" t="s">
        <v>363</v>
      </c>
      <c r="D59" s="15" t="s">
        <v>334</v>
      </c>
      <c r="E59" s="15">
        <f>IF(ISNUMBER(VLOOKUP(C59,'Justice Spend Total'!C:AQ, 38, FALSE)),(VLOOKUP(C59,'Justice Spend Total'!C:AQ, 38, FALSE)), #N/A)</f>
        <v>9.2123163714881251</v>
      </c>
      <c r="F59" s="58">
        <f>IF(ISNUMBER(VLOOKUP(Table112[[#This Row],[Code]],'Edu &amp; Health Exp'!C:AA,20,FALSE)), (VLOOKUP(Table112[[#This Row],[Code]],'Edu &amp; Health Exp'!C:AA,20,FALSE)), #N/A)</f>
        <v>1.3263200521469101</v>
      </c>
      <c r="G59" s="58">
        <f>IF(ISNUMBER(VLOOKUP(Table112[[#This Row],[Code]],'Edu &amp; Health Exp'!C:AA,23,FALSE)), (VLOOKUP(Table112[[#This Row],[Code]],'Edu &amp; Health Exp'!C:AA,23,FALSE)), #N/A)</f>
        <v>0.52066554000000009</v>
      </c>
    </row>
    <row r="60" spans="1:7">
      <c r="A60">
        <v>58</v>
      </c>
      <c r="B60" s="15" t="s">
        <v>150</v>
      </c>
      <c r="C60" s="15" t="s">
        <v>364</v>
      </c>
      <c r="D60" s="15" t="s">
        <v>334</v>
      </c>
      <c r="E60" s="15">
        <f>IF(ISNUMBER(VLOOKUP(C60,'Justice Spend Total'!C:AQ, 38, FALSE)),(VLOOKUP(C60,'Justice Spend Total'!C:AQ, 38, FALSE)), #N/A)</f>
        <v>11.458695112875219</v>
      </c>
      <c r="F60" s="58">
        <f>IF(ISNUMBER(VLOOKUP(Table112[[#This Row],[Code]],'Edu &amp; Health Exp'!C:AA,20,FALSE)), (VLOOKUP(Table112[[#This Row],[Code]],'Edu &amp; Health Exp'!C:AA,20,FALSE)), #N/A)</f>
        <v>1.3452810812851499</v>
      </c>
      <c r="G60" s="58">
        <f>IF(ISNUMBER(VLOOKUP(Table112[[#This Row],[Code]],'Edu &amp; Health Exp'!C:AA,23,FALSE)), (VLOOKUP(Table112[[#This Row],[Code]],'Edu &amp; Health Exp'!C:AA,23,FALSE)), #N/A)</f>
        <v>1.7892447500000004</v>
      </c>
    </row>
    <row r="61" spans="1:7">
      <c r="A61">
        <v>59</v>
      </c>
      <c r="B61" s="15" t="s">
        <v>151</v>
      </c>
      <c r="C61" s="15" t="s">
        <v>365</v>
      </c>
      <c r="D61" s="15" t="s">
        <v>334</v>
      </c>
      <c r="E61" s="15">
        <f>IF(ISNUMBER(VLOOKUP(C61,'Justice Spend Total'!C:AQ, 38, FALSE)),(VLOOKUP(C61,'Justice Spend Total'!C:AQ, 38, FALSE)), #N/A)</f>
        <v>6.3679090726346823</v>
      </c>
      <c r="F61" s="58">
        <f>IF(ISNUMBER(VLOOKUP(Table112[[#This Row],[Code]],'Edu &amp; Health Exp'!C:AA,20,FALSE)), (VLOOKUP(Table112[[#This Row],[Code]],'Edu &amp; Health Exp'!C:AA,20,FALSE)), #N/A)</f>
        <v>7.1421920726579602</v>
      </c>
      <c r="G61" s="58">
        <f>IF(ISNUMBER(VLOOKUP(Table112[[#This Row],[Code]],'Edu &amp; Health Exp'!C:AA,23,FALSE)), (VLOOKUP(Table112[[#This Row],[Code]],'Edu &amp; Health Exp'!C:AA,23,FALSE)), #N/A)</f>
        <v>2.7801053100000002</v>
      </c>
    </row>
    <row r="62" spans="1:7">
      <c r="A62">
        <v>60</v>
      </c>
      <c r="B62" s="15" t="s">
        <v>152</v>
      </c>
      <c r="C62" s="15" t="s">
        <v>366</v>
      </c>
      <c r="D62" s="15" t="s">
        <v>334</v>
      </c>
      <c r="E62" s="15">
        <f>IF(ISNUMBER(VLOOKUP(C62,'Justice Spend Total'!C:AQ, 38, FALSE)),(VLOOKUP(C62,'Justice Spend Total'!C:AQ, 38, FALSE)), #N/A)</f>
        <v>4.0841156451358946</v>
      </c>
      <c r="F62" s="58">
        <f>IF(ISNUMBER(VLOOKUP(Table112[[#This Row],[Code]],'Edu &amp; Health Exp'!C:AA,20,FALSE)), (VLOOKUP(Table112[[#This Row],[Code]],'Edu &amp; Health Exp'!C:AA,20,FALSE)), #N/A)</f>
        <v>11.208027408464201</v>
      </c>
      <c r="G62" s="58">
        <f>IF(ISNUMBER(VLOOKUP(Table112[[#This Row],[Code]],'Edu &amp; Health Exp'!C:AA,23,FALSE)), (VLOOKUP(Table112[[#This Row],[Code]],'Edu &amp; Health Exp'!C:AA,23,FALSE)), #N/A)</f>
        <v>9.0852118599999994</v>
      </c>
    </row>
    <row r="63" spans="1:7">
      <c r="A63">
        <v>61</v>
      </c>
      <c r="B63" t="s">
        <v>153</v>
      </c>
      <c r="C63" t="s">
        <v>367</v>
      </c>
      <c r="D63" t="s">
        <v>334</v>
      </c>
      <c r="E63" s="15">
        <f>IF(ISNUMBER(VLOOKUP(C63,'Justice Spend Total'!C:AQ, 38, FALSE)),(VLOOKUP(C63,'Justice Spend Total'!C:AQ, 38, FALSE)), #N/A)</f>
        <v>3.5660555312737228</v>
      </c>
      <c r="F63" s="58">
        <f>IF(ISNUMBER(VLOOKUP(Table112[[#This Row],[Code]],'Edu &amp; Health Exp'!C:AA,20,FALSE)), (VLOOKUP(Table112[[#This Row],[Code]],'Edu &amp; Health Exp'!C:AA,20,FALSE)), #N/A)</f>
        <v>2.24232006072998</v>
      </c>
      <c r="G63" s="58">
        <f>IF(ISNUMBER(VLOOKUP(Table112[[#This Row],[Code]],'Edu &amp; Health Exp'!C:AA,23,FALSE)), (VLOOKUP(Table112[[#This Row],[Code]],'Edu &amp; Health Exp'!C:AA,23,FALSE)), #N/A)</f>
        <v>2.5953371699999996</v>
      </c>
    </row>
    <row r="64" spans="1:7">
      <c r="A64">
        <v>62</v>
      </c>
      <c r="B64" t="s">
        <v>154</v>
      </c>
      <c r="C64" t="s">
        <v>368</v>
      </c>
      <c r="D64" t="s">
        <v>334</v>
      </c>
      <c r="E64" s="15" t="e">
        <f>IF(ISNUMBER(VLOOKUP(C64,'Justice Spend Total'!C:AQ, 38, FALSE)),(VLOOKUP(C64,'Justice Spend Total'!C:AQ, 38, FALSE)), #N/A)</f>
        <v>#N/A</v>
      </c>
      <c r="F64" s="58">
        <f>IF(ISNUMBER(VLOOKUP(Table112[[#This Row],[Code]],'Edu &amp; Health Exp'!C:AA,20,FALSE)), (VLOOKUP(Table112[[#This Row],[Code]],'Edu &amp; Health Exp'!C:AA,20,FALSE)), #N/A)</f>
        <v>3.62773990631104</v>
      </c>
      <c r="G64" s="58">
        <f>IF(ISNUMBER(VLOOKUP(Table112[[#This Row],[Code]],'Edu &amp; Health Exp'!C:AA,23,FALSE)), (VLOOKUP(Table112[[#This Row],[Code]],'Edu &amp; Health Exp'!C:AA,23,FALSE)), #N/A)</f>
        <v>1.06763177</v>
      </c>
    </row>
    <row r="65" spans="1:7">
      <c r="A65">
        <v>63</v>
      </c>
      <c r="B65" s="15" t="s">
        <v>155</v>
      </c>
      <c r="C65" s="15" t="s">
        <v>369</v>
      </c>
      <c r="D65" s="15" t="s">
        <v>334</v>
      </c>
      <c r="E65" s="15">
        <f>IF(ISNUMBER(VLOOKUP(C65,'Justice Spend Total'!C:AQ, 38, FALSE)),(VLOOKUP(C65,'Justice Spend Total'!C:AQ, 38, FALSE)), #N/A)</f>
        <v>13.473230999861412</v>
      </c>
      <c r="F65" s="58">
        <f>IF(ISNUMBER(VLOOKUP(Table112[[#This Row],[Code]],'Edu &amp; Health Exp'!C:AA,20,FALSE)), (VLOOKUP(Table112[[#This Row],[Code]],'Edu &amp; Health Exp'!C:AA,20,FALSE)), #N/A)</f>
        <v>7.5847949981689498</v>
      </c>
      <c r="G65" s="58">
        <f>IF(ISNUMBER(VLOOKUP(Table112[[#This Row],[Code]],'Edu &amp; Health Exp'!C:AA,23,FALSE)), (VLOOKUP(Table112[[#This Row],[Code]],'Edu &amp; Health Exp'!C:AA,23,FALSE)), #N/A)</f>
        <v>3.4969259899999998</v>
      </c>
    </row>
    <row r="66" spans="1:7">
      <c r="A66">
        <v>64</v>
      </c>
      <c r="B66" t="s">
        <v>156</v>
      </c>
      <c r="C66" t="s">
        <v>370</v>
      </c>
      <c r="D66" t="s">
        <v>334</v>
      </c>
      <c r="E66" s="15">
        <f>IF(ISNUMBER(VLOOKUP(C66,'Justice Spend Total'!C:AQ, 38, FALSE)),(VLOOKUP(C66,'Justice Spend Total'!C:AQ, 38, FALSE)), #N/A)</f>
        <v>14.333665437879844</v>
      </c>
      <c r="F66" s="58">
        <f>IF(ISNUMBER(VLOOKUP(Table112[[#This Row],[Code]],'Edu &amp; Health Exp'!C:AA,20,FALSE)), (VLOOKUP(Table112[[#This Row],[Code]],'Edu &amp; Health Exp'!C:AA,20,FALSE)), #N/A)</f>
        <v>6.7543020248413104</v>
      </c>
      <c r="G66" s="58">
        <f>IF(ISNUMBER(VLOOKUP(Table112[[#This Row],[Code]],'Edu &amp; Health Exp'!C:AA,23,FALSE)), (VLOOKUP(Table112[[#This Row],[Code]],'Edu &amp; Health Exp'!C:AA,23,FALSE)), #N/A)</f>
        <v>2.7092112499999996</v>
      </c>
    </row>
    <row r="67" spans="1:7">
      <c r="A67">
        <v>65</v>
      </c>
      <c r="B67" t="s">
        <v>157</v>
      </c>
      <c r="C67" t="s">
        <v>371</v>
      </c>
      <c r="D67" t="s">
        <v>334</v>
      </c>
      <c r="E67" s="15" t="e">
        <f>IF(ISNUMBER(VLOOKUP(C67,'Justice Spend Total'!C:AQ, 38, FALSE)),(VLOOKUP(C67,'Justice Spend Total'!C:AQ, 38, FALSE)), #N/A)</f>
        <v>#N/A</v>
      </c>
      <c r="F67" s="58">
        <f>IF(ISNUMBER(VLOOKUP(Table112[[#This Row],[Code]],'Edu &amp; Health Exp'!C:AA,20,FALSE)), (VLOOKUP(Table112[[#This Row],[Code]],'Edu &amp; Health Exp'!C:AA,20,FALSE)), #N/A)</f>
        <v>8.8999996185302699</v>
      </c>
      <c r="G67" s="58">
        <f>IF(ISNUMBER(VLOOKUP(Table112[[#This Row],[Code]],'Edu &amp; Health Exp'!C:AA,23,FALSE)), (VLOOKUP(Table112[[#This Row],[Code]],'Edu &amp; Health Exp'!C:AA,23,FALSE)), #N/A)</f>
        <v>5.0037987899999994</v>
      </c>
    </row>
    <row r="68" spans="1:7">
      <c r="A68">
        <v>66</v>
      </c>
      <c r="B68" t="s">
        <v>158</v>
      </c>
      <c r="C68" t="s">
        <v>372</v>
      </c>
      <c r="D68" t="s">
        <v>334</v>
      </c>
      <c r="E68" s="15" t="e">
        <f>IF(ISNUMBER(VLOOKUP(C68,'Justice Spend Total'!C:AQ, 38, FALSE)),(VLOOKUP(C68,'Justice Spend Total'!C:AQ, 38, FALSE)), #N/A)</f>
        <v>#N/A</v>
      </c>
      <c r="F68" s="58">
        <f>IF(ISNUMBER(VLOOKUP(Table112[[#This Row],[Code]],'Edu &amp; Health Exp'!C:AA,20,FALSE)), (VLOOKUP(Table112[[#This Row],[Code]],'Edu &amp; Health Exp'!C:AA,20,FALSE)), #N/A)</f>
        <v>3.5924301147460902</v>
      </c>
      <c r="G68" s="58">
        <f>IF(ISNUMBER(VLOOKUP(Table112[[#This Row],[Code]],'Edu &amp; Health Exp'!C:AA,23,FALSE)), (VLOOKUP(Table112[[#This Row],[Code]],'Edu &amp; Health Exp'!C:AA,23,FALSE)), #N/A)</f>
        <v>3.3220589500000002</v>
      </c>
    </row>
    <row r="69" spans="1:7">
      <c r="A69">
        <v>67</v>
      </c>
      <c r="B69" s="15" t="s">
        <v>159</v>
      </c>
      <c r="C69" s="15" t="s">
        <v>373</v>
      </c>
      <c r="D69" s="15" t="s">
        <v>334</v>
      </c>
      <c r="E69" s="15">
        <f>IF(ISNUMBER(VLOOKUP(C69,'Justice Spend Total'!C:AQ, 38, FALSE)),(VLOOKUP(C69,'Justice Spend Total'!C:AQ, 38, FALSE)), #N/A)</f>
        <v>10.510120990502802</v>
      </c>
      <c r="F69" s="58">
        <f>IF(ISNUMBER(VLOOKUP(Table112[[#This Row],[Code]],'Edu &amp; Health Exp'!C:AA,20,FALSE)), (VLOOKUP(Table112[[#This Row],[Code]],'Edu &amp; Health Exp'!C:AA,20,FALSE)), #N/A)</f>
        <v>1.6935668335195799</v>
      </c>
      <c r="G69" s="58">
        <f>IF(ISNUMBER(VLOOKUP(Table112[[#This Row],[Code]],'Edu &amp; Health Exp'!C:AA,23,FALSE)), (VLOOKUP(Table112[[#This Row],[Code]],'Edu &amp; Health Exp'!C:AA,23,FALSE)), #N/A)</f>
        <v>4.0931103799999997</v>
      </c>
    </row>
    <row r="70" spans="1:7">
      <c r="A70">
        <v>68</v>
      </c>
      <c r="B70" s="15" t="s">
        <v>160</v>
      </c>
      <c r="C70" s="15" t="s">
        <v>374</v>
      </c>
      <c r="D70" s="15" t="s">
        <v>334</v>
      </c>
      <c r="E70" s="15">
        <f>IF(ISNUMBER(VLOOKUP(C70,'Justice Spend Total'!C:AQ, 38, FALSE)),(VLOOKUP(C70,'Justice Spend Total'!C:AQ, 38, FALSE)), #N/A)</f>
        <v>5.5291385602123189</v>
      </c>
      <c r="F70" s="58">
        <f>IF(ISNUMBER(VLOOKUP(Table112[[#This Row],[Code]],'Edu &amp; Health Exp'!C:AA,20,FALSE)), (VLOOKUP(Table112[[#This Row],[Code]],'Edu &amp; Health Exp'!C:AA,20,FALSE)), #N/A)</f>
        <v>2.4800000190734899</v>
      </c>
      <c r="G70" s="58">
        <f>IF(ISNUMBER(VLOOKUP(Table112[[#This Row],[Code]],'Edu &amp; Health Exp'!C:AA,23,FALSE)), (VLOOKUP(Table112[[#This Row],[Code]],'Edu &amp; Health Exp'!C:AA,23,FALSE)), #N/A)</f>
        <v>1.3622638</v>
      </c>
    </row>
    <row r="71" spans="1:7">
      <c r="A71">
        <v>69</v>
      </c>
      <c r="B71" t="s">
        <v>161</v>
      </c>
      <c r="C71" t="s">
        <v>375</v>
      </c>
      <c r="D71" t="s">
        <v>334</v>
      </c>
      <c r="E71" s="15" t="e">
        <f>IF(ISNUMBER(VLOOKUP(C71,'Justice Spend Total'!C:AQ, 38, FALSE)),(VLOOKUP(C71,'Justice Spend Total'!C:AQ, 38, FALSE)), #N/A)</f>
        <v>#N/A</v>
      </c>
      <c r="F71" s="58">
        <f>IF(ISNUMBER(VLOOKUP(Table112[[#This Row],[Code]],'Edu &amp; Health Exp'!C:AA,20,FALSE)), (VLOOKUP(Table112[[#This Row],[Code]],'Edu &amp; Health Exp'!C:AA,20,FALSE)), #N/A)</f>
        <v>4.0619702339172399</v>
      </c>
      <c r="G71" s="58">
        <f>IF(ISNUMBER(VLOOKUP(Table112[[#This Row],[Code]],'Edu &amp; Health Exp'!C:AA,23,FALSE)), (VLOOKUP(Table112[[#This Row],[Code]],'Edu &amp; Health Exp'!C:AA,23,FALSE)), #N/A)</f>
        <v>2.3333955400000002</v>
      </c>
    </row>
    <row r="72" spans="1:7">
      <c r="A72">
        <v>70</v>
      </c>
      <c r="B72" t="s">
        <v>162</v>
      </c>
      <c r="C72" t="s">
        <v>376</v>
      </c>
      <c r="D72" t="s">
        <v>334</v>
      </c>
      <c r="E72" s="15" t="e">
        <f>IF(ISNUMBER(VLOOKUP(C72,'Justice Spend Total'!C:AQ, 38, FALSE)),(VLOOKUP(C72,'Justice Spend Total'!C:AQ, 38, FALSE)), #N/A)</f>
        <v>#N/A</v>
      </c>
      <c r="F72" s="58">
        <f>IF(ISNUMBER(VLOOKUP(Table112[[#This Row],[Code]],'Edu &amp; Health Exp'!C:AA,20,FALSE)), (VLOOKUP(Table112[[#This Row],[Code]],'Edu &amp; Health Exp'!C:AA,20,FALSE)), #N/A)</f>
        <v>7.3243498802185103</v>
      </c>
      <c r="G72" s="58">
        <f>IF(ISNUMBER(VLOOKUP(Table112[[#This Row],[Code]],'Edu &amp; Health Exp'!C:AA,23,FALSE)), (VLOOKUP(Table112[[#This Row],[Code]],'Edu &amp; Health Exp'!C:AA,23,FALSE)), #N/A)</f>
        <v>3.9985094500000002</v>
      </c>
    </row>
    <row r="73" spans="1:7">
      <c r="A73">
        <v>71</v>
      </c>
      <c r="B73" s="15" t="s">
        <v>163</v>
      </c>
      <c r="C73" s="15" t="s">
        <v>377</v>
      </c>
      <c r="D73" s="15" t="s">
        <v>334</v>
      </c>
      <c r="E73" s="15">
        <f>IF(ISNUMBER(VLOOKUP(C73,'Justice Spend Total'!C:AQ, 38, FALSE)),(VLOOKUP(C73,'Justice Spend Total'!C:AQ, 38, FALSE)), #N/A)</f>
        <v>6.7211417188083269</v>
      </c>
      <c r="F73" s="58">
        <f>IF(ISNUMBER(VLOOKUP(Table112[[#This Row],[Code]],'Edu &amp; Health Exp'!C:AA,20,FALSE)), (VLOOKUP(Table112[[#This Row],[Code]],'Edu &amp; Health Exp'!C:AA,20,FALSE)), #N/A)</f>
        <v>3.8800001144409202</v>
      </c>
      <c r="G73" s="58">
        <f>IF(ISNUMBER(VLOOKUP(Table112[[#This Row],[Code]],'Edu &amp; Health Exp'!C:AA,23,FALSE)), (VLOOKUP(Table112[[#This Row],[Code]],'Edu &amp; Health Exp'!C:AA,23,FALSE)), #N/A)</f>
        <v>1.6950378499999998</v>
      </c>
    </row>
    <row r="74" spans="1:7">
      <c r="A74">
        <v>72</v>
      </c>
      <c r="B74" t="s">
        <v>164</v>
      </c>
      <c r="C74" t="s">
        <v>378</v>
      </c>
      <c r="D74" t="s">
        <v>334</v>
      </c>
      <c r="E74" s="15" t="e">
        <f>IF(ISNUMBER(VLOOKUP(C74,'Justice Spend Total'!C:AQ, 38, FALSE)),(VLOOKUP(C74,'Justice Spend Total'!C:AQ, 38, FALSE)), #N/A)</f>
        <v>#N/A</v>
      </c>
      <c r="F74" s="58">
        <f>IF(ISNUMBER(VLOOKUP(Table112[[#This Row],[Code]],'Edu &amp; Health Exp'!C:AA,20,FALSE)), (VLOOKUP(Table112[[#This Row],[Code]],'Edu &amp; Health Exp'!C:AA,20,FALSE)), #N/A)</f>
        <v>6.1003599166870099</v>
      </c>
      <c r="G74" s="58">
        <f>IF(ISNUMBER(VLOOKUP(Table112[[#This Row],[Code]],'Edu &amp; Health Exp'!C:AA,23,FALSE)), (VLOOKUP(Table112[[#This Row],[Code]],'Edu &amp; Health Exp'!C:AA,23,FALSE)), #N/A)</f>
        <v>4.0598895000000006</v>
      </c>
    </row>
    <row r="75" spans="1:7">
      <c r="A75">
        <v>73</v>
      </c>
      <c r="B75" t="s">
        <v>165</v>
      </c>
      <c r="C75" t="s">
        <v>379</v>
      </c>
      <c r="D75" t="s">
        <v>334</v>
      </c>
      <c r="E75" s="15">
        <f>IF(ISNUMBER(VLOOKUP(C75,'Justice Spend Total'!C:AQ, 38, FALSE)),(VLOOKUP(C75,'Justice Spend Total'!C:AQ, 38, FALSE)), #N/A)</f>
        <v>9.8110889320796346</v>
      </c>
      <c r="F75" s="58">
        <f>IF(ISNUMBER(VLOOKUP(Table112[[#This Row],[Code]],'Edu &amp; Health Exp'!C:AA,20,FALSE)), (VLOOKUP(Table112[[#This Row],[Code]],'Edu &amp; Health Exp'!C:AA,20,FALSE)), #N/A)</f>
        <v>4.9952979087829599</v>
      </c>
      <c r="G75" s="58">
        <f>IF(ISNUMBER(VLOOKUP(Table112[[#This Row],[Code]],'Edu &amp; Health Exp'!C:AA,23,FALSE)), (VLOOKUP(Table112[[#This Row],[Code]],'Edu &amp; Health Exp'!C:AA,23,FALSE)), #N/A)</f>
        <v>4.4197889200000002</v>
      </c>
    </row>
    <row r="76" spans="1:7">
      <c r="A76">
        <v>74</v>
      </c>
      <c r="B76" s="15" t="s">
        <v>166</v>
      </c>
      <c r="C76" s="15" t="s">
        <v>380</v>
      </c>
      <c r="D76" s="15" t="s">
        <v>334</v>
      </c>
      <c r="E76" s="15">
        <f>IF(ISNUMBER(VLOOKUP(C76,'Justice Spend Total'!C:AQ, 38, FALSE)),(VLOOKUP(C76,'Justice Spend Total'!C:AQ, 38, FALSE)), #N/A)</f>
        <v>5.741427106532826</v>
      </c>
      <c r="F76" s="58">
        <f>IF(ISNUMBER(VLOOKUP(Table112[[#This Row],[Code]],'Edu &amp; Health Exp'!C:AA,20,FALSE)), (VLOOKUP(Table112[[#This Row],[Code]],'Edu &amp; Health Exp'!C:AA,20,FALSE)), #N/A)</f>
        <v>4.7463829902655501</v>
      </c>
      <c r="G76" s="58">
        <f>IF(ISNUMBER(VLOOKUP(Table112[[#This Row],[Code]],'Edu &amp; Health Exp'!C:AA,23,FALSE)), (VLOOKUP(Table112[[#This Row],[Code]],'Edu &amp; Health Exp'!C:AA,23,FALSE)), #N/A)</f>
        <v>2.3102477900000005</v>
      </c>
    </row>
    <row r="77" spans="1:7">
      <c r="A77">
        <v>75</v>
      </c>
      <c r="B77" s="15" t="s">
        <v>167</v>
      </c>
      <c r="C77" s="15" t="s">
        <v>381</v>
      </c>
      <c r="D77" s="15" t="s">
        <v>334</v>
      </c>
      <c r="E77" s="15">
        <f>IF(ISNUMBER(VLOOKUP(C77,'Justice Spend Total'!C:AQ, 38, FALSE)),(VLOOKUP(C77,'Justice Spend Total'!C:AQ, 38, FALSE)), #N/A)</f>
        <v>6.5945076793827102</v>
      </c>
      <c r="F77" s="58">
        <f>IF(ISNUMBER(VLOOKUP(Table112[[#This Row],[Code]],'Edu &amp; Health Exp'!C:AA,20,FALSE)), (VLOOKUP(Table112[[#This Row],[Code]],'Edu &amp; Health Exp'!C:AA,20,FALSE)), #N/A)</f>
        <v>1.9299999475479099</v>
      </c>
      <c r="G77" s="58">
        <f>IF(ISNUMBER(VLOOKUP(Table112[[#This Row],[Code]],'Edu &amp; Health Exp'!C:AA,23,FALSE)), (VLOOKUP(Table112[[#This Row],[Code]],'Edu &amp; Health Exp'!C:AA,23,FALSE)), #N/A)</f>
        <v>1.9782008500000003</v>
      </c>
    </row>
    <row r="78" spans="1:7">
      <c r="A78">
        <v>76</v>
      </c>
      <c r="B78" s="15" t="s">
        <v>168</v>
      </c>
      <c r="C78" s="15" t="s">
        <v>382</v>
      </c>
      <c r="D78" s="15" t="s">
        <v>334</v>
      </c>
      <c r="E78" s="15">
        <f>IF(ISNUMBER(VLOOKUP(C78,'Justice Spend Total'!C:AQ, 38, FALSE)),(VLOOKUP(C78,'Justice Spend Total'!C:AQ, 38, FALSE)), #N/A)</f>
        <v>6.4914035505065417</v>
      </c>
      <c r="F78" s="58">
        <f>IF(ISNUMBER(VLOOKUP(Table112[[#This Row],[Code]],'Edu &amp; Health Exp'!C:AA,20,FALSE)), (VLOOKUP(Table112[[#This Row],[Code]],'Edu &amp; Health Exp'!C:AA,20,FALSE)), #N/A)</f>
        <v>4.8091602325439498</v>
      </c>
      <c r="G78" s="58">
        <f>IF(ISNUMBER(VLOOKUP(Table112[[#This Row],[Code]],'Edu &amp; Health Exp'!C:AA,23,FALSE)), (VLOOKUP(Table112[[#This Row],[Code]],'Edu &amp; Health Exp'!C:AA,23,FALSE)), #N/A)</f>
        <v>5.0603087099999993</v>
      </c>
    </row>
    <row r="79" spans="1:7">
      <c r="A79">
        <v>77</v>
      </c>
      <c r="B79" s="15" t="s">
        <v>169</v>
      </c>
      <c r="C79" s="15" t="s">
        <v>383</v>
      </c>
      <c r="D79" s="15" t="s">
        <v>334</v>
      </c>
      <c r="E79" s="15">
        <f>IF(ISNUMBER(VLOOKUP(C79,'Justice Spend Total'!C:AQ, 38, FALSE)),(VLOOKUP(C79,'Justice Spend Total'!C:AQ, 38, FALSE)), #N/A)</f>
        <v>2.0585992931719943</v>
      </c>
      <c r="F79" s="58">
        <f>IF(ISNUMBER(VLOOKUP(Table112[[#This Row],[Code]],'Edu &amp; Health Exp'!C:AA,20,FALSE)), (VLOOKUP(Table112[[#This Row],[Code]],'Edu &amp; Health Exp'!C:AA,20,FALSE)), #N/A)</f>
        <v>1.4857187234737399</v>
      </c>
      <c r="G79" s="58">
        <f>IF(ISNUMBER(VLOOKUP(Table112[[#This Row],[Code]],'Edu &amp; Health Exp'!C:AA,23,FALSE)), (VLOOKUP(Table112[[#This Row],[Code]],'Edu &amp; Health Exp'!C:AA,23,FALSE)), #N/A)</f>
        <v>10.8701954</v>
      </c>
    </row>
    <row r="80" spans="1:7">
      <c r="A80">
        <v>78</v>
      </c>
      <c r="B80" s="15" t="s">
        <v>170</v>
      </c>
      <c r="C80" s="15" t="s">
        <v>384</v>
      </c>
      <c r="D80" s="15" t="s">
        <v>334</v>
      </c>
      <c r="E80" s="15">
        <f>IF(ISNUMBER(VLOOKUP(C80,'Justice Spend Total'!C:AQ, 38, FALSE)),(VLOOKUP(C80,'Justice Spend Total'!C:AQ, 38, FALSE)), #N/A)</f>
        <v>10.404548691131007</v>
      </c>
      <c r="F80" s="58">
        <f>IF(ISNUMBER(VLOOKUP(Table112[[#This Row],[Code]],'Edu &amp; Health Exp'!C:AA,20,FALSE)), (VLOOKUP(Table112[[#This Row],[Code]],'Edu &amp; Health Exp'!C:AA,20,FALSE)), #N/A)</f>
        <v>6.0184132882173698</v>
      </c>
      <c r="G80" s="58">
        <f>IF(ISNUMBER(VLOOKUP(Table112[[#This Row],[Code]],'Edu &amp; Health Exp'!C:AA,23,FALSE)), (VLOOKUP(Table112[[#This Row],[Code]],'Edu &amp; Health Exp'!C:AA,23,FALSE)), #N/A)</f>
        <v>3.2277250800000004</v>
      </c>
    </row>
    <row r="81" spans="1:7">
      <c r="A81">
        <v>79</v>
      </c>
      <c r="B81" s="15" t="s">
        <v>171</v>
      </c>
      <c r="C81" s="15" t="s">
        <v>385</v>
      </c>
      <c r="D81" s="15" t="s">
        <v>334</v>
      </c>
      <c r="E81" s="15">
        <f>IF(ISNUMBER(VLOOKUP(C81,'Justice Spend Total'!C:AQ, 38, FALSE)),(VLOOKUP(C81,'Justice Spend Total'!C:AQ, 38, FALSE)), #N/A)</f>
        <v>8.2684142285504016</v>
      </c>
      <c r="F81" s="58">
        <f>IF(ISNUMBER(VLOOKUP(Table112[[#This Row],[Code]],'Edu &amp; Health Exp'!C:AA,20,FALSE)), (VLOOKUP(Table112[[#This Row],[Code]],'Edu &amp; Health Exp'!C:AA,20,FALSE)), #N/A)</f>
        <v>3.4918990618146601</v>
      </c>
      <c r="G81" s="58">
        <f>IF(ISNUMBER(VLOOKUP(Table112[[#This Row],[Code]],'Edu &amp; Health Exp'!C:AA,23,FALSE)), (VLOOKUP(Table112[[#This Row],[Code]],'Edu &amp; Health Exp'!C:AA,23,FALSE)), #N/A)</f>
        <v>1.4246177400000002</v>
      </c>
    </row>
    <row r="82" spans="1:7">
      <c r="A82">
        <v>80</v>
      </c>
      <c r="B82" s="15" t="s">
        <v>172</v>
      </c>
      <c r="C82" s="15" t="s">
        <v>386</v>
      </c>
      <c r="D82" s="15" t="s">
        <v>334</v>
      </c>
      <c r="E82" s="15">
        <f>IF(ISNUMBER(VLOOKUP(C82,'Justice Spend Total'!C:AQ, 38, FALSE)),(VLOOKUP(C82,'Justice Spend Total'!C:AQ, 38, FALSE)), #N/A)</f>
        <v>13.553025108417636</v>
      </c>
      <c r="F82" s="58">
        <f>IF(ISNUMBER(VLOOKUP(Table112[[#This Row],[Code]],'Edu &amp; Health Exp'!C:AA,20,FALSE)), (VLOOKUP(Table112[[#This Row],[Code]],'Edu &amp; Health Exp'!C:AA,20,FALSE)), #N/A)</f>
        <v>4.2181574367499604</v>
      </c>
      <c r="G82" s="58">
        <f>IF(ISNUMBER(VLOOKUP(Table112[[#This Row],[Code]],'Edu &amp; Health Exp'!C:AA,23,FALSE)), (VLOOKUP(Table112[[#This Row],[Code]],'Edu &amp; Health Exp'!C:AA,23,FALSE)), #N/A)</f>
        <v>4.8264195899999986</v>
      </c>
    </row>
    <row r="83" spans="1:7">
      <c r="A83">
        <v>81</v>
      </c>
      <c r="B83" s="15" t="s">
        <v>173</v>
      </c>
      <c r="C83" s="15" t="s">
        <v>387</v>
      </c>
      <c r="D83" s="15" t="s">
        <v>334</v>
      </c>
      <c r="E83" s="15">
        <f>IF(ISNUMBER(VLOOKUP(C83,'Justice Spend Total'!C:AQ, 38, FALSE)),(VLOOKUP(C83,'Justice Spend Total'!C:AQ, 38, FALSE)), #N/A)</f>
        <v>7.3448317479129557</v>
      </c>
      <c r="F83" s="58">
        <f>IF(ISNUMBER(VLOOKUP(Table112[[#This Row],[Code]],'Edu &amp; Health Exp'!C:AA,20,FALSE)), (VLOOKUP(Table112[[#This Row],[Code]],'Edu &amp; Health Exp'!C:AA,20,FALSE)), #N/A)</f>
        <v>5.31887006759644</v>
      </c>
      <c r="G83" s="58">
        <f>IF(ISNUMBER(VLOOKUP(Table112[[#This Row],[Code]],'Edu &amp; Health Exp'!C:AA,23,FALSE)), (VLOOKUP(Table112[[#This Row],[Code]],'Edu &amp; Health Exp'!C:AA,23,FALSE)), #N/A)</f>
        <v>1.5192796947262099</v>
      </c>
    </row>
    <row r="84" spans="1:7">
      <c r="A84">
        <v>82</v>
      </c>
      <c r="B84" t="s">
        <v>174</v>
      </c>
      <c r="C84" t="s">
        <v>388</v>
      </c>
      <c r="D84" t="s">
        <v>389</v>
      </c>
      <c r="E84" s="15" t="e">
        <f>IF(ISNUMBER(VLOOKUP(C84,'Justice Spend Total'!C:AQ, 38, FALSE)),(VLOOKUP(C84,'Justice Spend Total'!C:AQ, 38, FALSE)), #N/A)</f>
        <v>#N/A</v>
      </c>
      <c r="F84" s="58">
        <f>IF(ISNUMBER(VLOOKUP(Table112[[#This Row],[Code]],'Edu &amp; Health Exp'!C:AA,20,FALSE)), (VLOOKUP(Table112[[#This Row],[Code]],'Edu &amp; Health Exp'!C:AA,20,FALSE)), #N/A)</f>
        <v>8.7070140838622994</v>
      </c>
      <c r="G84" s="58">
        <f>IF(ISNUMBER(VLOOKUP(Table112[[#This Row],[Code]],'Edu &amp; Health Exp'!C:AA,23,FALSE)), (VLOOKUP(Table112[[#This Row],[Code]],'Edu &amp; Health Exp'!C:AA,23,FALSE)), #N/A)</f>
        <v>4.1846337799999995</v>
      </c>
    </row>
    <row r="85" spans="1:7">
      <c r="A85">
        <v>83</v>
      </c>
      <c r="B85" t="s">
        <v>175</v>
      </c>
      <c r="C85" t="s">
        <v>390</v>
      </c>
      <c r="D85" t="s">
        <v>389</v>
      </c>
      <c r="E85" s="15" t="e">
        <f>IF(ISNUMBER(VLOOKUP(C85,'Justice Spend Total'!C:AQ, 38, FALSE)),(VLOOKUP(C85,'Justice Spend Total'!C:AQ, 38, FALSE)), #N/A)</f>
        <v>#N/A</v>
      </c>
      <c r="F85" s="58">
        <f>IF(ISNUMBER(VLOOKUP(Table112[[#This Row],[Code]],'Edu &amp; Health Exp'!C:AA,20,FALSE)), (VLOOKUP(Table112[[#This Row],[Code]],'Edu &amp; Health Exp'!C:AA,20,FALSE)), #N/A)</f>
        <v>5.0070724487304696</v>
      </c>
      <c r="G85" s="58">
        <f>IF(ISNUMBER(VLOOKUP(Table112[[#This Row],[Code]],'Edu &amp; Health Exp'!C:AA,23,FALSE)), (VLOOKUP(Table112[[#This Row],[Code]],'Edu &amp; Health Exp'!C:AA,23,FALSE)), #N/A)</f>
        <v>7.74191275</v>
      </c>
    </row>
    <row r="86" spans="1:7">
      <c r="A86">
        <v>84</v>
      </c>
      <c r="B86" s="15" t="s">
        <v>176</v>
      </c>
      <c r="C86" s="15" t="s">
        <v>391</v>
      </c>
      <c r="D86" s="15" t="s">
        <v>389</v>
      </c>
      <c r="E86" s="15">
        <f>IF(ISNUMBER(VLOOKUP(C86,'Justice Spend Total'!C:AQ, 38, FALSE)),(VLOOKUP(C86,'Justice Spend Total'!C:AQ, 38, FALSE)), #N/A)</f>
        <v>20.352648406310909</v>
      </c>
      <c r="F86" s="58">
        <f>IF(ISNUMBER(VLOOKUP(Table112[[#This Row],[Code]],'Edu &amp; Health Exp'!C:AA,20,FALSE)), (VLOOKUP(Table112[[#This Row],[Code]],'Edu &amp; Health Exp'!C:AA,20,FALSE)), #N/A)</f>
        <v>3.67281279017622</v>
      </c>
      <c r="G86" s="58">
        <f>IF(ISNUMBER(VLOOKUP(Table112[[#This Row],[Code]],'Edu &amp; Health Exp'!C:AA,23,FALSE)), (VLOOKUP(Table112[[#This Row],[Code]],'Edu &amp; Health Exp'!C:AA,23,FALSE)), #N/A)</f>
        <v>3.9542009899999995</v>
      </c>
    </row>
    <row r="87" spans="1:7">
      <c r="A87">
        <v>85</v>
      </c>
      <c r="B87" s="15" t="s">
        <v>177</v>
      </c>
      <c r="C87" s="15" t="s">
        <v>392</v>
      </c>
      <c r="D87" s="15" t="s">
        <v>389</v>
      </c>
      <c r="E87" s="15">
        <f>IF(ISNUMBER(VLOOKUP(C87,'Justice Spend Total'!C:AQ, 38, FALSE)),(VLOOKUP(C87,'Justice Spend Total'!C:AQ, 38, FALSE)), #N/A)</f>
        <v>21.332191660194656</v>
      </c>
      <c r="F87" s="58">
        <f>IF(ISNUMBER(VLOOKUP(Table112[[#This Row],[Code]],'Edu &amp; Health Exp'!C:AA,20,FALSE)), (VLOOKUP(Table112[[#This Row],[Code]],'Edu &amp; Health Exp'!C:AA,20,FALSE)), #N/A)</f>
        <v>9.6404914855956996</v>
      </c>
      <c r="G87" s="58">
        <f>IF(ISNUMBER(VLOOKUP(Table112[[#This Row],[Code]],'Edu &amp; Health Exp'!C:AA,23,FALSE)), (VLOOKUP(Table112[[#This Row],[Code]],'Edu &amp; Health Exp'!C:AA,23,FALSE)), #N/A)</f>
        <v>4.1512656100000003</v>
      </c>
    </row>
    <row r="88" spans="1:7">
      <c r="A88">
        <v>86</v>
      </c>
      <c r="B88" s="15" t="s">
        <v>178</v>
      </c>
      <c r="C88" s="15" t="s">
        <v>393</v>
      </c>
      <c r="D88" s="15" t="s">
        <v>389</v>
      </c>
      <c r="E88" s="15">
        <f>IF(ISNUMBER(VLOOKUP(C88,'Justice Spend Total'!C:AQ, 38, FALSE)),(VLOOKUP(C88,'Justice Spend Total'!C:AQ, 38, FALSE)), #N/A)</f>
        <v>9.7017207449999034</v>
      </c>
      <c r="F88" s="58">
        <f>IF(ISNUMBER(VLOOKUP(Table112[[#This Row],[Code]],'Edu &amp; Health Exp'!C:AA,20,FALSE)), (VLOOKUP(Table112[[#This Row],[Code]],'Edu &amp; Health Exp'!C:AA,20,FALSE)), #N/A)</f>
        <v>2.7056701183319101</v>
      </c>
      <c r="G88" s="58">
        <f>IF(ISNUMBER(VLOOKUP(Table112[[#This Row],[Code]],'Edu &amp; Health Exp'!C:AA,23,FALSE)), (VLOOKUP(Table112[[#This Row],[Code]],'Edu &amp; Health Exp'!C:AA,23,FALSE)), #N/A)</f>
        <v>1.4877539799999999</v>
      </c>
    </row>
    <row r="89" spans="1:7">
      <c r="A89">
        <v>87</v>
      </c>
      <c r="B89" s="15" t="s">
        <v>179</v>
      </c>
      <c r="C89" s="15" t="s">
        <v>394</v>
      </c>
      <c r="D89" s="15" t="s">
        <v>389</v>
      </c>
      <c r="E89" s="15">
        <f>IF(ISNUMBER(VLOOKUP(C89,'Justice Spend Total'!C:AQ, 38, FALSE)),(VLOOKUP(C89,'Justice Spend Total'!C:AQ, 38, FALSE)), #N/A)</f>
        <v>11.874177688065121</v>
      </c>
      <c r="F89" s="58">
        <f>IF(ISNUMBER(VLOOKUP(Table112[[#This Row],[Code]],'Edu &amp; Health Exp'!C:AA,20,FALSE)), (VLOOKUP(Table112[[#This Row],[Code]],'Edu &amp; Health Exp'!C:AA,20,FALSE)), #N/A)</f>
        <v>3.85008001327515</v>
      </c>
      <c r="G89" s="58">
        <f>IF(ISNUMBER(VLOOKUP(Table112[[#This Row],[Code]],'Edu &amp; Health Exp'!C:AA,23,FALSE)), (VLOOKUP(Table112[[#This Row],[Code]],'Edu &amp; Health Exp'!C:AA,23,FALSE)), #N/A)</f>
        <v>2.6139930599999994</v>
      </c>
    </row>
    <row r="90" spans="1:7">
      <c r="A90">
        <v>88</v>
      </c>
      <c r="B90" t="s">
        <v>180</v>
      </c>
      <c r="C90" t="s">
        <v>395</v>
      </c>
      <c r="D90" t="s">
        <v>389</v>
      </c>
      <c r="E90" s="15" t="e">
        <f>IF(ISNUMBER(VLOOKUP(C90,'Justice Spend Total'!C:AQ, 38, FALSE)),(VLOOKUP(C90,'Justice Spend Total'!C:AQ, 38, FALSE)), #N/A)</f>
        <v>#N/A</v>
      </c>
      <c r="F90" s="58">
        <f>IF(ISNUMBER(VLOOKUP(Table112[[#This Row],[Code]],'Edu &amp; Health Exp'!C:AA,20,FALSE)), (VLOOKUP(Table112[[#This Row],[Code]],'Edu &amp; Health Exp'!C:AA,20,FALSE)), #N/A)</f>
        <v>6.0274701118469203</v>
      </c>
      <c r="G90" s="58">
        <f>IF(ISNUMBER(VLOOKUP(Table112[[#This Row],[Code]],'Edu &amp; Health Exp'!C:AA,23,FALSE)), (VLOOKUP(Table112[[#This Row],[Code]],'Edu &amp; Health Exp'!C:AA,23,FALSE)), #N/A)</f>
        <v>4.0468895000000007</v>
      </c>
    </row>
    <row r="91" spans="1:7">
      <c r="A91">
        <v>89</v>
      </c>
      <c r="B91" t="s">
        <v>181</v>
      </c>
      <c r="C91" t="s">
        <v>396</v>
      </c>
      <c r="D91" t="s">
        <v>389</v>
      </c>
      <c r="E91" s="15" t="e">
        <f>IF(ISNUMBER(VLOOKUP(C91,'Justice Spend Total'!C:AQ, 38, FALSE)),(VLOOKUP(C91,'Justice Spend Total'!C:AQ, 38, FALSE)), #N/A)</f>
        <v>#N/A</v>
      </c>
      <c r="F91" s="58">
        <f>IF(ISNUMBER(VLOOKUP(Table112[[#This Row],[Code]],'Edu &amp; Health Exp'!C:AA,20,FALSE)), (VLOOKUP(Table112[[#This Row],[Code]],'Edu &amp; Health Exp'!C:AA,20,FALSE)), #N/A)</f>
        <v>6.05</v>
      </c>
      <c r="G91" s="58">
        <f>IF(ISNUMBER(VLOOKUP(Table112[[#This Row],[Code]],'Edu &amp; Health Exp'!C:AA,23,FALSE)), (VLOOKUP(Table112[[#This Row],[Code]],'Edu &amp; Health Exp'!C:AA,23,FALSE)), #N/A)</f>
        <v>2.5561675900000003</v>
      </c>
    </row>
    <row r="92" spans="1:7">
      <c r="A92">
        <v>90</v>
      </c>
      <c r="B92" s="15" t="s">
        <v>182</v>
      </c>
      <c r="C92" s="15" t="s">
        <v>397</v>
      </c>
      <c r="D92" s="15" t="s">
        <v>389</v>
      </c>
      <c r="E92" s="15">
        <f>IF(ISNUMBER(VLOOKUP(C92,'Justice Spend Total'!C:AQ, 38, FALSE)),(VLOOKUP(C92,'Justice Spend Total'!C:AQ, 38, FALSE)), #N/A)</f>
        <v>5.732971595393332</v>
      </c>
      <c r="F92" s="58">
        <f>IF(ISNUMBER(VLOOKUP(Table112[[#This Row],[Code]],'Edu &amp; Health Exp'!C:AA,20,FALSE)), (VLOOKUP(Table112[[#This Row],[Code]],'Edu &amp; Health Exp'!C:AA,20,FALSE)), #N/A)</f>
        <v>2.68108010292053</v>
      </c>
      <c r="G92" s="58">
        <f>IF(ISNUMBER(VLOOKUP(Table112[[#This Row],[Code]],'Edu &amp; Health Exp'!C:AA,23,FALSE)), (VLOOKUP(Table112[[#This Row],[Code]],'Edu &amp; Health Exp'!C:AA,23,FALSE)), #N/A)</f>
        <v>1.29246989</v>
      </c>
    </row>
    <row r="93" spans="1:7">
      <c r="A93">
        <v>91</v>
      </c>
      <c r="B93" s="15" t="s">
        <v>183</v>
      </c>
      <c r="C93" s="15" t="s">
        <v>398</v>
      </c>
      <c r="D93" s="15" t="s">
        <v>389</v>
      </c>
      <c r="E93" s="15">
        <f>IF(ISNUMBER(VLOOKUP(C93,'Justice Spend Total'!C:AQ, 38, FALSE)),(VLOOKUP(C93,'Justice Spend Total'!C:AQ, 38, FALSE)), #N/A)</f>
        <v>14.929194840439303</v>
      </c>
      <c r="F93" s="58">
        <f>IF(ISNUMBER(VLOOKUP(Table112[[#This Row],[Code]],'Edu &amp; Health Exp'!C:AA,20,FALSE)), (VLOOKUP(Table112[[#This Row],[Code]],'Edu &amp; Health Exp'!C:AA,20,FALSE)), #N/A)</f>
        <v>3.2997200489044198</v>
      </c>
      <c r="G93" s="58">
        <f>IF(ISNUMBER(VLOOKUP(Table112[[#This Row],[Code]],'Edu &amp; Health Exp'!C:AA,23,FALSE)), (VLOOKUP(Table112[[#This Row],[Code]],'Edu &amp; Health Exp'!C:AA,23,FALSE)), #N/A)</f>
        <v>2.3048415799999997</v>
      </c>
    </row>
    <row r="94" spans="1:7">
      <c r="A94">
        <v>92</v>
      </c>
      <c r="B94" s="15" t="s">
        <v>184</v>
      </c>
      <c r="C94" s="15" t="s">
        <v>399</v>
      </c>
      <c r="D94" s="15" t="s">
        <v>389</v>
      </c>
      <c r="E94" s="15">
        <f>IF(ISNUMBER(VLOOKUP(C94,'Justice Spend Total'!C:AQ, 38, FALSE)),(VLOOKUP(C94,'Justice Spend Total'!C:AQ, 38, FALSE)), #N/A)</f>
        <v>9.4105946106878555</v>
      </c>
      <c r="F94" s="58">
        <f>IF(ISNUMBER(VLOOKUP(Table112[[#This Row],[Code]],'Edu &amp; Health Exp'!C:AA,20,FALSE)), (VLOOKUP(Table112[[#This Row],[Code]],'Edu &amp; Health Exp'!C:AA,20,FALSE)), #N/A)</f>
        <v>4.4099331164125299</v>
      </c>
      <c r="G94" s="58">
        <f>IF(ISNUMBER(VLOOKUP(Table112[[#This Row],[Code]],'Edu &amp; Health Exp'!C:AA,23,FALSE)), (VLOOKUP(Table112[[#This Row],[Code]],'Edu &amp; Health Exp'!C:AA,23,FALSE)), #N/A)</f>
        <v>4.4099331164125299</v>
      </c>
    </row>
    <row r="95" spans="1:7">
      <c r="A95">
        <v>93</v>
      </c>
      <c r="B95" t="s">
        <v>185</v>
      </c>
      <c r="C95" t="s">
        <v>400</v>
      </c>
      <c r="D95" t="s">
        <v>389</v>
      </c>
      <c r="E95" s="15" t="e">
        <f>IF(ISNUMBER(VLOOKUP(C95,'Justice Spend Total'!C:AQ, 38, FALSE)),(VLOOKUP(C95,'Justice Spend Total'!C:AQ, 38, FALSE)), #N/A)</f>
        <v>#N/A</v>
      </c>
      <c r="F95" s="58">
        <f>IF(ISNUMBER(VLOOKUP(Table112[[#This Row],[Code]],'Edu &amp; Health Exp'!C:AA,20,FALSE)), (VLOOKUP(Table112[[#This Row],[Code]],'Edu &amp; Health Exp'!C:AA,20,FALSE)), #N/A)</f>
        <v>4.71000003814697</v>
      </c>
      <c r="G95" s="58">
        <f>IF(ISNUMBER(VLOOKUP(Table112[[#This Row],[Code]],'Edu &amp; Health Exp'!C:AA,23,FALSE)), (VLOOKUP(Table112[[#This Row],[Code]],'Edu &amp; Health Exp'!C:AA,23,FALSE)), #N/A)</f>
        <v>2.2271955100000005</v>
      </c>
    </row>
    <row r="96" spans="1:7">
      <c r="A96">
        <v>94</v>
      </c>
      <c r="B96" s="15" t="s">
        <v>186</v>
      </c>
      <c r="C96" s="15" t="s">
        <v>401</v>
      </c>
      <c r="D96" s="15" t="s">
        <v>389</v>
      </c>
      <c r="E96" s="15">
        <f>IF(ISNUMBER(VLOOKUP(C96,'Justice Spend Total'!C:AQ, 38, FALSE)),(VLOOKUP(C96,'Justice Spend Total'!C:AQ, 38, FALSE)), #N/A)</f>
        <v>4.9891233164721704</v>
      </c>
      <c r="F96" s="58">
        <f>IF(ISNUMBER(VLOOKUP(Table112[[#This Row],[Code]],'Edu &amp; Health Exp'!C:AA,20,FALSE)), (VLOOKUP(Table112[[#This Row],[Code]],'Edu &amp; Health Exp'!C:AA,20,FALSE)), #N/A)</f>
        <v>15.75</v>
      </c>
      <c r="G96" s="58">
        <f>IF(ISNUMBER(VLOOKUP(Table112[[#This Row],[Code]],'Edu &amp; Health Exp'!C:AA,23,FALSE)), (VLOOKUP(Table112[[#This Row],[Code]],'Edu &amp; Health Exp'!C:AA,23,FALSE)), #N/A)</f>
        <v>13.757807339999999</v>
      </c>
    </row>
    <row r="97" spans="1:7">
      <c r="A97">
        <v>95</v>
      </c>
      <c r="B97" t="s">
        <v>187</v>
      </c>
      <c r="C97" t="s">
        <v>402</v>
      </c>
      <c r="D97" t="s">
        <v>389</v>
      </c>
      <c r="E97" s="15" t="e">
        <f>IF(ISNUMBER(VLOOKUP(C97,'Justice Spend Total'!C:AQ, 38, FALSE)),(VLOOKUP(C97,'Justice Spend Total'!C:AQ, 38, FALSE)), #N/A)</f>
        <v>#N/A</v>
      </c>
      <c r="F97" s="58">
        <f>IF(ISNUMBER(VLOOKUP(Table112[[#This Row],[Code]],'Edu &amp; Health Exp'!C:AA,20,FALSE)), (VLOOKUP(Table112[[#This Row],[Code]],'Edu &amp; Health Exp'!C:AA,20,FALSE)), #N/A)</f>
        <v>5.15</v>
      </c>
      <c r="G97" s="58">
        <f>IF(ISNUMBER(VLOOKUP(Table112[[#This Row],[Code]],'Edu &amp; Health Exp'!C:AA,23,FALSE)), (VLOOKUP(Table112[[#This Row],[Code]],'Edu &amp; Health Exp'!C:AA,23,FALSE)), #N/A)</f>
        <v>3.8761280400000002</v>
      </c>
    </row>
    <row r="98" spans="1:7">
      <c r="A98">
        <v>96</v>
      </c>
      <c r="B98" t="s">
        <v>188</v>
      </c>
      <c r="C98" t="s">
        <v>403</v>
      </c>
      <c r="D98" t="s">
        <v>389</v>
      </c>
      <c r="E98" s="15" t="e">
        <f>IF(ISNUMBER(VLOOKUP(C98,'Justice Spend Total'!C:AQ, 38, FALSE)),(VLOOKUP(C98,'Justice Spend Total'!C:AQ, 38, FALSE)), #N/A)</f>
        <v>#N/A</v>
      </c>
      <c r="F98" s="58">
        <f>IF(ISNUMBER(VLOOKUP(Table112[[#This Row],[Code]],'Edu &amp; Health Exp'!C:AA,20,FALSE)), (VLOOKUP(Table112[[#This Row],[Code]],'Edu &amp; Health Exp'!C:AA,20,FALSE)), #N/A)</f>
        <v>3.30362153053284</v>
      </c>
      <c r="G98" s="58">
        <f>IF(ISNUMBER(VLOOKUP(Table112[[#This Row],[Code]],'Edu &amp; Health Exp'!C:AA,23,FALSE)), (VLOOKUP(Table112[[#This Row],[Code]],'Edu &amp; Health Exp'!C:AA,23,FALSE)), #N/A)</f>
        <v>3.3001700399999998</v>
      </c>
    </row>
    <row r="99" spans="1:7">
      <c r="A99">
        <v>97</v>
      </c>
      <c r="B99" s="15" t="s">
        <v>189</v>
      </c>
      <c r="C99" s="15" t="s">
        <v>404</v>
      </c>
      <c r="D99" s="15" t="s">
        <v>389</v>
      </c>
      <c r="E99" s="15">
        <f>IF(ISNUMBER(VLOOKUP(C99,'Justice Spend Total'!C:AQ, 38, FALSE)),(VLOOKUP(C99,'Justice Spend Total'!C:AQ, 38, FALSE)), #N/A)</f>
        <v>7.4861736496858624</v>
      </c>
      <c r="F99" s="58">
        <f>IF(ISNUMBER(VLOOKUP(Table112[[#This Row],[Code]],'Edu &amp; Health Exp'!C:AA,20,FALSE)), (VLOOKUP(Table112[[#This Row],[Code]],'Edu &amp; Health Exp'!C:AA,20,FALSE)), #N/A)</f>
        <v>6.3887200355529803</v>
      </c>
      <c r="G99" s="58">
        <f>IF(ISNUMBER(VLOOKUP(Table112[[#This Row],[Code]],'Edu &amp; Health Exp'!C:AA,23,FALSE)), (VLOOKUP(Table112[[#This Row],[Code]],'Edu &amp; Health Exp'!C:AA,23,FALSE)), #N/A)</f>
        <v>3.8491377899999994</v>
      </c>
    </row>
    <row r="100" spans="1:7">
      <c r="A100">
        <v>98</v>
      </c>
      <c r="B100" t="s">
        <v>190</v>
      </c>
      <c r="C100" t="s">
        <v>405</v>
      </c>
      <c r="D100" t="s">
        <v>389</v>
      </c>
      <c r="E100" s="15" t="e">
        <f>IF(ISNUMBER(VLOOKUP(C100,'Justice Spend Total'!C:AQ, 38, FALSE)),(VLOOKUP(C100,'Justice Spend Total'!C:AQ, 38, FALSE)), #N/A)</f>
        <v>#N/A</v>
      </c>
      <c r="F100" s="58" t="e">
        <f>IF(ISNUMBER(VLOOKUP(Table112[[#This Row],[Code]],'Edu &amp; Health Exp'!C:AA,20,FALSE)), (VLOOKUP(Table112[[#This Row],[Code]],'Edu &amp; Health Exp'!C:AA,20,FALSE)), #N/A)</f>
        <v>#N/A</v>
      </c>
      <c r="G100" s="58">
        <f>IF(ISNUMBER(VLOOKUP(Table112[[#This Row],[Code]],'Edu &amp; Health Exp'!C:AA,23,FALSE)), (VLOOKUP(Table112[[#This Row],[Code]],'Edu &amp; Health Exp'!C:AA,23,FALSE)), #N/A)</f>
        <v>0.66788512999999994</v>
      </c>
    </row>
    <row r="101" spans="1:7">
      <c r="A101">
        <v>99</v>
      </c>
      <c r="B101" t="s">
        <v>191</v>
      </c>
      <c r="C101" t="s">
        <v>406</v>
      </c>
      <c r="D101" t="s">
        <v>389</v>
      </c>
      <c r="E101" s="15" t="e">
        <f>IF(ISNUMBER(VLOOKUP(C101,'Justice Spend Total'!C:AQ, 38, FALSE)),(VLOOKUP(C101,'Justice Spend Total'!C:AQ, 38, FALSE)), #N/A)</f>
        <v>#N/A</v>
      </c>
      <c r="F101" s="58">
        <f>IF(ISNUMBER(VLOOKUP(Table112[[#This Row],[Code]],'Edu &amp; Health Exp'!C:AA,20,FALSE)), (VLOOKUP(Table112[[#This Row],[Code]],'Edu &amp; Health Exp'!C:AA,20,FALSE)), #N/A)</f>
        <v>4.1341300010681197</v>
      </c>
      <c r="G101" s="58">
        <f>IF(ISNUMBER(VLOOKUP(Table112[[#This Row],[Code]],'Edu &amp; Health Exp'!C:AA,23,FALSE)), (VLOOKUP(Table112[[#This Row],[Code]],'Edu &amp; Health Exp'!C:AA,23,FALSE)), #N/A)</f>
        <v>4.8558935200000004</v>
      </c>
    </row>
    <row r="102" spans="1:7">
      <c r="A102">
        <v>100</v>
      </c>
      <c r="B102" s="15" t="s">
        <v>192</v>
      </c>
      <c r="C102" s="15" t="s">
        <v>407</v>
      </c>
      <c r="D102" s="15" t="s">
        <v>389</v>
      </c>
      <c r="E102" s="15">
        <f>IF(ISNUMBER(VLOOKUP(C102,'Justice Spend Total'!C:AQ, 38, FALSE)),(VLOOKUP(C102,'Justice Spend Total'!C:AQ, 38, FALSE)), #N/A)</f>
        <v>7.7628589284695115</v>
      </c>
      <c r="F102" s="58">
        <f>IF(ISNUMBER(VLOOKUP(Table112[[#This Row],[Code]],'Edu &amp; Health Exp'!C:AA,20,FALSE)), (VLOOKUP(Table112[[#This Row],[Code]],'Edu &amp; Health Exp'!C:AA,20,FALSE)), #N/A)</f>
        <v>3.0999999046325701</v>
      </c>
      <c r="G102" s="58">
        <f>IF(ISNUMBER(VLOOKUP(Table112[[#This Row],[Code]],'Edu &amp; Health Exp'!C:AA,23,FALSE)), (VLOOKUP(Table112[[#This Row],[Code]],'Edu &amp; Health Exp'!C:AA,23,FALSE)), #N/A)</f>
        <v>2.8800772700000001</v>
      </c>
    </row>
    <row r="103" spans="1:7">
      <c r="A103">
        <v>101</v>
      </c>
      <c r="B103" t="s">
        <v>193</v>
      </c>
      <c r="C103" t="s">
        <v>408</v>
      </c>
      <c r="D103" t="s">
        <v>389</v>
      </c>
      <c r="E103" s="15" t="e">
        <f>IF(ISNUMBER(VLOOKUP(C103,'Justice Spend Total'!C:AQ, 38, FALSE)),(VLOOKUP(C103,'Justice Spend Total'!C:AQ, 38, FALSE)), #N/A)</f>
        <v>#N/A</v>
      </c>
      <c r="F103" s="58" t="e">
        <f>IF(ISNUMBER(VLOOKUP(Table112[[#This Row],[Code]],'Edu &amp; Health Exp'!C:AA,20,FALSE)), (VLOOKUP(Table112[[#This Row],[Code]],'Edu &amp; Health Exp'!C:AA,20,FALSE)), #N/A)</f>
        <v>#N/A</v>
      </c>
      <c r="G103" s="58">
        <f>IF(ISNUMBER(VLOOKUP(Table112[[#This Row],[Code]],'Edu &amp; Health Exp'!C:AA,23,FALSE)), (VLOOKUP(Table112[[#This Row],[Code]],'Edu &amp; Health Exp'!C:AA,23,FALSE)), #N/A)</f>
        <v>4.2870899700000011</v>
      </c>
    </row>
    <row r="104" spans="1:7">
      <c r="A104">
        <v>102</v>
      </c>
      <c r="B104" t="s">
        <v>194</v>
      </c>
      <c r="C104" t="s">
        <v>409</v>
      </c>
      <c r="D104" t="s">
        <v>389</v>
      </c>
      <c r="E104" s="15" t="e">
        <f>IF(ISNUMBER(VLOOKUP(C104,'Justice Spend Total'!C:AQ, 38, FALSE)),(VLOOKUP(C104,'Justice Spend Total'!C:AQ, 38, FALSE)), #N/A)</f>
        <v>#N/A</v>
      </c>
      <c r="F104" s="58">
        <f>IF(ISNUMBER(VLOOKUP(Table112[[#This Row],[Code]],'Edu &amp; Health Exp'!C:AA,20,FALSE)), (VLOOKUP(Table112[[#This Row],[Code]],'Edu &amp; Health Exp'!C:AA,20,FALSE)), #N/A)</f>
        <v>4.9331002235412598</v>
      </c>
      <c r="G104" s="58">
        <f>IF(ISNUMBER(VLOOKUP(Table112[[#This Row],[Code]],'Edu &amp; Health Exp'!C:AA,23,FALSE)), (VLOOKUP(Table112[[#This Row],[Code]],'Edu &amp; Health Exp'!C:AA,23,FALSE)), #N/A)</f>
        <v>5.9770074299999996</v>
      </c>
    </row>
    <row r="105" spans="1:7">
      <c r="A105">
        <v>103</v>
      </c>
      <c r="B105" s="15" t="s">
        <v>195</v>
      </c>
      <c r="C105" s="15" t="s">
        <v>410</v>
      </c>
      <c r="D105" s="15" t="s">
        <v>389</v>
      </c>
      <c r="E105" s="15">
        <f>IF(ISNUMBER(VLOOKUP(C105,'Justice Spend Total'!C:AQ, 38, FALSE)),(VLOOKUP(C105,'Justice Spend Total'!C:AQ, 38, FALSE)), #N/A)</f>
        <v>13.35145145515299</v>
      </c>
      <c r="F105" s="58">
        <f>IF(ISNUMBER(VLOOKUP(Table112[[#This Row],[Code]],'Edu &amp; Health Exp'!C:AA,20,FALSE)), (VLOOKUP(Table112[[#This Row],[Code]],'Edu &amp; Health Exp'!C:AA,20,FALSE)), #N/A)</f>
        <v>6.1928801536560103</v>
      </c>
      <c r="G105" s="58">
        <f>IF(ISNUMBER(VLOOKUP(Table112[[#This Row],[Code]],'Edu &amp; Health Exp'!C:AA,23,FALSE)), (VLOOKUP(Table112[[#This Row],[Code]],'Edu &amp; Health Exp'!C:AA,23,FALSE)), #N/A)</f>
        <v>4.3904388499999998</v>
      </c>
    </row>
    <row r="106" spans="1:7">
      <c r="A106">
        <v>104</v>
      </c>
      <c r="B106" t="s">
        <v>196</v>
      </c>
      <c r="C106" t="s">
        <v>411</v>
      </c>
      <c r="D106" t="s">
        <v>389</v>
      </c>
      <c r="E106" s="15" t="e">
        <f>IF(ISNUMBER(VLOOKUP(C106,'Justice Spend Total'!C:AQ, 38, FALSE)),(VLOOKUP(C106,'Justice Spend Total'!C:AQ, 38, FALSE)), #N/A)</f>
        <v>#N/A</v>
      </c>
      <c r="F106" s="58">
        <f>IF(ISNUMBER(VLOOKUP(Table112[[#This Row],[Code]],'Edu &amp; Health Exp'!C:AA,20,FALSE)), (VLOOKUP(Table112[[#This Row],[Code]],'Edu &amp; Health Exp'!C:AA,20,FALSE)), #N/A)</f>
        <v>4.2466797828674299</v>
      </c>
      <c r="G106" s="58">
        <f>IF(ISNUMBER(VLOOKUP(Table112[[#This Row],[Code]],'Edu &amp; Health Exp'!C:AA,23,FALSE)), (VLOOKUP(Table112[[#This Row],[Code]],'Edu &amp; Health Exp'!C:AA,23,FALSE)), #N/A)</f>
        <v>3.2806442699999998</v>
      </c>
    </row>
    <row r="107" spans="1:7">
      <c r="A107">
        <v>105</v>
      </c>
      <c r="B107" t="s">
        <v>197</v>
      </c>
      <c r="C107" t="s">
        <v>412</v>
      </c>
      <c r="D107" t="s">
        <v>389</v>
      </c>
      <c r="E107" s="15" t="e">
        <f>IF(ISNUMBER(VLOOKUP(C107,'Justice Spend Total'!C:AQ, 38, FALSE)),(VLOOKUP(C107,'Justice Spend Total'!C:AQ, 38, FALSE)), #N/A)</f>
        <v>#N/A</v>
      </c>
      <c r="F107" s="58" t="e">
        <f>IF(ISNUMBER(VLOOKUP(Table112[[#This Row],[Code]],'Edu &amp; Health Exp'!C:AA,20,FALSE)), (VLOOKUP(Table112[[#This Row],[Code]],'Edu &amp; Health Exp'!C:AA,20,FALSE)), #N/A)</f>
        <v>#N/A</v>
      </c>
      <c r="G107" s="58">
        <f>IF(ISNUMBER(VLOOKUP(Table112[[#This Row],[Code]],'Edu &amp; Health Exp'!C:AA,23,FALSE)), (VLOOKUP(Table112[[#This Row],[Code]],'Edu &amp; Health Exp'!C:AA,23,FALSE)), #N/A)</f>
        <v>22.872465560000002</v>
      </c>
    </row>
    <row r="108" spans="1:7">
      <c r="A108">
        <v>106</v>
      </c>
      <c r="B108" t="s">
        <v>198</v>
      </c>
      <c r="C108" t="s">
        <v>413</v>
      </c>
      <c r="D108" t="s">
        <v>389</v>
      </c>
      <c r="E108" s="15" t="e">
        <f>IF(ISNUMBER(VLOOKUP(C108,'Justice Spend Total'!C:AQ, 38, FALSE)),(VLOOKUP(C108,'Justice Spend Total'!C:AQ, 38, FALSE)), #N/A)</f>
        <v>#N/A</v>
      </c>
      <c r="F108" s="58" t="e">
        <f>IF(ISNUMBER(VLOOKUP(Table112[[#This Row],[Code]],'Edu &amp; Health Exp'!C:AA,20,FALSE)), (VLOOKUP(Table112[[#This Row],[Code]],'Edu &amp; Health Exp'!C:AA,20,FALSE)), #N/A)</f>
        <v>#N/A</v>
      </c>
      <c r="G108" s="58">
        <f>IF(ISNUMBER(VLOOKUP(Table112[[#This Row],[Code]],'Edu &amp; Health Exp'!C:AA,23,FALSE)), (VLOOKUP(Table112[[#This Row],[Code]],'Edu &amp; Health Exp'!C:AA,23,FALSE)), #N/A)</f>
        <v>6.3583975499999994</v>
      </c>
    </row>
    <row r="109" spans="1:7">
      <c r="A109">
        <v>107</v>
      </c>
      <c r="B109" s="15" t="s">
        <v>199</v>
      </c>
      <c r="C109" s="15" t="s">
        <v>414</v>
      </c>
      <c r="D109" s="15" t="s">
        <v>389</v>
      </c>
      <c r="E109" s="15">
        <f>IF(ISNUMBER(VLOOKUP(C109,'Justice Spend Total'!C:AQ, 38, FALSE)),(VLOOKUP(C109,'Justice Spend Total'!C:AQ, 38, FALSE)), #N/A)</f>
        <v>9.2846466192784192</v>
      </c>
      <c r="F109" s="58">
        <f>IF(ISNUMBER(VLOOKUP(Table112[[#This Row],[Code]],'Edu &amp; Health Exp'!C:AA,20,FALSE)), (VLOOKUP(Table112[[#This Row],[Code]],'Edu &amp; Health Exp'!C:AA,20,FALSE)), #N/A)</f>
        <v>8.7399997711181605</v>
      </c>
      <c r="G109" s="58">
        <f>IF(ISNUMBER(VLOOKUP(Table112[[#This Row],[Code]],'Edu &amp; Health Exp'!C:AA,23,FALSE)), (VLOOKUP(Table112[[#This Row],[Code]],'Edu &amp; Health Exp'!C:AA,23,FALSE)), #N/A)</f>
        <v>4.9813954899999997</v>
      </c>
    </row>
    <row r="110" spans="1:7">
      <c r="A110">
        <v>108</v>
      </c>
      <c r="B110" s="15" t="s">
        <v>200</v>
      </c>
      <c r="C110" s="15" t="s">
        <v>415</v>
      </c>
      <c r="D110" s="15" t="s">
        <v>389</v>
      </c>
      <c r="E110" s="15">
        <f>IF(ISNUMBER(VLOOKUP(C110,'Justice Spend Total'!C:AQ, 38, FALSE)),(VLOOKUP(C110,'Justice Spend Total'!C:AQ, 38, FALSE)), #N/A)</f>
        <v>6.7488466916679455</v>
      </c>
      <c r="F110" s="58">
        <f>IF(ISNUMBER(VLOOKUP(Table112[[#This Row],[Code]],'Edu &amp; Health Exp'!C:AA,20,FALSE)), (VLOOKUP(Table112[[#This Row],[Code]],'Edu &amp; Health Exp'!C:AA,20,FALSE)), #N/A)</f>
        <v>4.9524497985839799</v>
      </c>
      <c r="G110" s="58">
        <f>IF(ISNUMBER(VLOOKUP(Table112[[#This Row],[Code]],'Edu &amp; Health Exp'!C:AA,23,FALSE)), (VLOOKUP(Table112[[#This Row],[Code]],'Edu &amp; Health Exp'!C:AA,23,FALSE)), #N/A)</f>
        <v>4.1315129299999986</v>
      </c>
    </row>
    <row r="111" spans="1:7">
      <c r="A111">
        <v>109</v>
      </c>
      <c r="B111" t="s">
        <v>201</v>
      </c>
      <c r="C111" t="s">
        <v>416</v>
      </c>
      <c r="D111" t="s">
        <v>389</v>
      </c>
      <c r="E111" s="15" t="e">
        <f>IF(ISNUMBER(VLOOKUP(C111,'Justice Spend Total'!C:AQ, 38, FALSE)),(VLOOKUP(C111,'Justice Spend Total'!C:AQ, 38, FALSE)), #N/A)</f>
        <v>#N/A</v>
      </c>
      <c r="F111" s="58">
        <f>IF(ISNUMBER(VLOOKUP(Table112[[#This Row],[Code]],'Edu &amp; Health Exp'!C:AA,20,FALSE)), (VLOOKUP(Table112[[#This Row],[Code]],'Edu &amp; Health Exp'!C:AA,20,FALSE)), #N/A)</f>
        <v>3.1816093921661399</v>
      </c>
      <c r="G111" s="58">
        <f>IF(ISNUMBER(VLOOKUP(Table112[[#This Row],[Code]],'Edu &amp; Health Exp'!C:AA,23,FALSE)), (VLOOKUP(Table112[[#This Row],[Code]],'Edu &amp; Health Exp'!C:AA,23,FALSE)), #N/A)</f>
        <v>1.6696250400000003</v>
      </c>
    </row>
    <row r="112" spans="1:7">
      <c r="A112">
        <v>110</v>
      </c>
      <c r="B112" t="s">
        <v>202</v>
      </c>
      <c r="C112" t="s">
        <v>417</v>
      </c>
      <c r="D112" t="s">
        <v>389</v>
      </c>
      <c r="E112" s="15" t="e">
        <f>IF(ISNUMBER(VLOOKUP(C112,'Justice Spend Total'!C:AQ, 38, FALSE)),(VLOOKUP(C112,'Justice Spend Total'!C:AQ, 38, FALSE)), #N/A)</f>
        <v>#N/A</v>
      </c>
      <c r="F112" s="58">
        <f>IF(ISNUMBER(VLOOKUP(Table112[[#This Row],[Code]],'Edu &amp; Health Exp'!C:AA,20,FALSE)), (VLOOKUP(Table112[[#This Row],[Code]],'Edu &amp; Health Exp'!C:AA,20,FALSE)), #N/A)</f>
        <v>3.1206500530242902</v>
      </c>
      <c r="G112" s="58">
        <f>IF(ISNUMBER(VLOOKUP(Table112[[#This Row],[Code]],'Edu &amp; Health Exp'!C:AA,23,FALSE)), (VLOOKUP(Table112[[#This Row],[Code]],'Edu &amp; Health Exp'!C:AA,23,FALSE)), #N/A)</f>
        <v>1.1818493299999999</v>
      </c>
    </row>
    <row r="113" spans="1:7">
      <c r="A113">
        <v>111</v>
      </c>
      <c r="B113" s="15" t="s">
        <v>203</v>
      </c>
      <c r="C113" s="15" t="s">
        <v>418</v>
      </c>
      <c r="D113" s="15" t="s">
        <v>389</v>
      </c>
      <c r="E113" s="15">
        <f>IF(ISNUMBER(VLOOKUP(C113,'Justice Spend Total'!C:AQ, 38, FALSE)),(VLOOKUP(C113,'Justice Spend Total'!C:AQ, 38, FALSE)), #N/A)</f>
        <v>6.369857992540612</v>
      </c>
      <c r="F113" s="58">
        <f>IF(ISNUMBER(VLOOKUP(Table112[[#This Row],[Code]],'Edu &amp; Health Exp'!C:AA,20,FALSE)), (VLOOKUP(Table112[[#This Row],[Code]],'Edu &amp; Health Exp'!C:AA,20,FALSE)), #N/A)</f>
        <v>3.0915403203899299</v>
      </c>
      <c r="G113" s="58">
        <f>IF(ISNUMBER(VLOOKUP(Table112[[#This Row],[Code]],'Edu &amp; Health Exp'!C:AA,23,FALSE)), (VLOOKUP(Table112[[#This Row],[Code]],'Edu &amp; Health Exp'!C:AA,23,FALSE)), #N/A)</f>
        <v>2.8306114600000001</v>
      </c>
    </row>
    <row r="114" spans="1:7">
      <c r="A114">
        <v>112</v>
      </c>
      <c r="B114" s="15" t="s">
        <v>204</v>
      </c>
      <c r="C114" s="15" t="s">
        <v>419</v>
      </c>
      <c r="D114" s="15" t="s">
        <v>389</v>
      </c>
      <c r="E114" s="15">
        <f>IF(ISNUMBER(VLOOKUP(C114,'Justice Spend Total'!C:AQ, 38, FALSE)),(VLOOKUP(C114,'Justice Spend Total'!C:AQ, 38, FALSE)), #N/A)</f>
        <v>3.6720610239801097</v>
      </c>
      <c r="F114" s="58">
        <f>IF(ISNUMBER(VLOOKUP(Table112[[#This Row],[Code]],'Edu &amp; Health Exp'!C:AA,20,FALSE)), (VLOOKUP(Table112[[#This Row],[Code]],'Edu &amp; Health Exp'!C:AA,20,FALSE)), #N/A)</f>
        <v>2.1680790784545998</v>
      </c>
      <c r="G114" s="58">
        <f>IF(ISNUMBER(VLOOKUP(Table112[[#This Row],[Code]],'Edu &amp; Health Exp'!C:AA,23,FALSE)), (VLOOKUP(Table112[[#This Row],[Code]],'Edu &amp; Health Exp'!C:AA,23,FALSE)), #N/A)</f>
        <v>3.9204989799999992</v>
      </c>
    </row>
    <row r="115" spans="1:7">
      <c r="A115">
        <v>113</v>
      </c>
      <c r="B115" t="s">
        <v>205</v>
      </c>
      <c r="C115" t="s">
        <v>420</v>
      </c>
      <c r="D115" t="s">
        <v>389</v>
      </c>
      <c r="E115" s="15" t="e">
        <f>IF(ISNUMBER(VLOOKUP(C115,'Justice Spend Total'!C:AQ, 38, FALSE)),(VLOOKUP(C115,'Justice Spend Total'!C:AQ, 38, FALSE)), #N/A)</f>
        <v>#N/A</v>
      </c>
      <c r="F115" s="58">
        <f>IF(ISNUMBER(VLOOKUP(Table112[[#This Row],[Code]],'Edu &amp; Health Exp'!C:AA,20,FALSE)), (VLOOKUP(Table112[[#This Row],[Code]],'Edu &amp; Health Exp'!C:AA,20,FALSE)), #N/A)</f>
        <v>4.6963000297546396</v>
      </c>
      <c r="G115" s="58">
        <f>IF(ISNUMBER(VLOOKUP(Table112[[#This Row],[Code]],'Edu &amp; Health Exp'!C:AA,23,FALSE)), (VLOOKUP(Table112[[#This Row],[Code]],'Edu &amp; Health Exp'!C:AA,23,FALSE)), #N/A)</f>
        <v>3.5196089600000002</v>
      </c>
    </row>
    <row r="116" spans="1:7">
      <c r="A116">
        <v>114</v>
      </c>
      <c r="B116" t="s">
        <v>206</v>
      </c>
      <c r="C116" t="s">
        <v>421</v>
      </c>
      <c r="D116" t="s">
        <v>389</v>
      </c>
      <c r="E116" s="15" t="e">
        <f>IF(ISNUMBER(VLOOKUP(C116,'Justice Spend Total'!C:AQ, 38, FALSE)),(VLOOKUP(C116,'Justice Spend Total'!C:AQ, 38, FALSE)), #N/A)</f>
        <v>#N/A</v>
      </c>
      <c r="F116" s="58">
        <f>IF(ISNUMBER(VLOOKUP(Table112[[#This Row],[Code]],'Edu &amp; Health Exp'!C:AA,20,FALSE)), (VLOOKUP(Table112[[#This Row],[Code]],'Edu &amp; Health Exp'!C:AA,20,FALSE)), #N/A)</f>
        <v>5.6937799453735396</v>
      </c>
      <c r="G116" s="58">
        <f>IF(ISNUMBER(VLOOKUP(Table112[[#This Row],[Code]],'Edu &amp; Health Exp'!C:AA,23,FALSE)), (VLOOKUP(Table112[[#This Row],[Code]],'Edu &amp; Health Exp'!C:AA,23,FALSE)), #N/A)</f>
        <v>3.1678739</v>
      </c>
    </row>
    <row r="117" spans="1:7">
      <c r="A117">
        <v>115</v>
      </c>
      <c r="B117" s="15" t="s">
        <v>207</v>
      </c>
      <c r="C117" s="15" t="s">
        <v>422</v>
      </c>
      <c r="D117" s="15" t="s">
        <v>389</v>
      </c>
      <c r="E117" s="15">
        <f>IF(ISNUMBER(VLOOKUP(C117,'Justice Spend Total'!C:AQ, 38, FALSE)),(VLOOKUP(C117,'Justice Spend Total'!C:AQ, 38, FALSE)), #N/A)</f>
        <v>6.7215292248574476</v>
      </c>
      <c r="F117" s="58">
        <f>IF(ISNUMBER(VLOOKUP(Table112[[#This Row],[Code]],'Edu &amp; Health Exp'!C:AA,20,FALSE)), (VLOOKUP(Table112[[#This Row],[Code]],'Edu &amp; Health Exp'!C:AA,20,FALSE)), #N/A)</f>
        <v>4.6187024116516104</v>
      </c>
      <c r="G117" s="58">
        <f>IF(ISNUMBER(VLOOKUP(Table112[[#This Row],[Code]],'Edu &amp; Health Exp'!C:AA,23,FALSE)), (VLOOKUP(Table112[[#This Row],[Code]],'Edu &amp; Health Exp'!C:AA,23,FALSE)), #N/A)</f>
        <v>2.6756498999999998</v>
      </c>
    </row>
    <row r="118" spans="1:7">
      <c r="A118">
        <v>116</v>
      </c>
      <c r="B118" t="s">
        <v>208</v>
      </c>
      <c r="C118" t="s">
        <v>423</v>
      </c>
      <c r="D118" t="s">
        <v>389</v>
      </c>
      <c r="E118" s="15" t="e">
        <f>IF(ISNUMBER(VLOOKUP(C118,'Justice Spend Total'!C:AQ, 38, FALSE)),(VLOOKUP(C118,'Justice Spend Total'!C:AQ, 38, FALSE)), #N/A)</f>
        <v>#N/A</v>
      </c>
      <c r="F118" s="58">
        <f>IF(ISNUMBER(VLOOKUP(Table112[[#This Row],[Code]],'Edu &amp; Health Exp'!C:AA,20,FALSE)), (VLOOKUP(Table112[[#This Row],[Code]],'Edu &amp; Health Exp'!C:AA,20,FALSE)), #N/A)</f>
        <v>4.1215901374816903</v>
      </c>
      <c r="G118" s="58">
        <f>IF(ISNUMBER(VLOOKUP(Table112[[#This Row],[Code]],'Edu &amp; Health Exp'!C:AA,23,FALSE)), (VLOOKUP(Table112[[#This Row],[Code]],'Edu &amp; Health Exp'!C:AA,23,FALSE)), #N/A)</f>
        <v>6.5260536</v>
      </c>
    </row>
    <row r="119" spans="1:7">
      <c r="A119">
        <v>117</v>
      </c>
      <c r="B119" t="s">
        <v>209</v>
      </c>
      <c r="C119" t="s">
        <v>424</v>
      </c>
      <c r="D119" t="s">
        <v>389</v>
      </c>
      <c r="E119" s="15" t="e">
        <f>IF(ISNUMBER(VLOOKUP(C119,'Justice Spend Total'!C:AQ, 38, FALSE)),(VLOOKUP(C119,'Justice Spend Total'!C:AQ, 38, FALSE)), #N/A)</f>
        <v>#N/A</v>
      </c>
      <c r="F119" s="58" t="e">
        <f>IF(ISNUMBER(VLOOKUP(Table112[[#This Row],[Code]],'Edu &amp; Health Exp'!C:AA,20,FALSE)), (VLOOKUP(Table112[[#This Row],[Code]],'Edu &amp; Health Exp'!C:AA,20,FALSE)), #N/A)</f>
        <v>#N/A</v>
      </c>
      <c r="G119" s="58">
        <f>IF(ISNUMBER(VLOOKUP(Table112[[#This Row],[Code]],'Edu &amp; Health Exp'!C:AA,23,FALSE)), (VLOOKUP(Table112[[#This Row],[Code]],'Edu &amp; Health Exp'!C:AA,23,FALSE)), #N/A)</f>
        <v>3.8293638200000002</v>
      </c>
    </row>
    <row r="120" spans="1:7">
      <c r="A120">
        <v>118</v>
      </c>
      <c r="B120" t="s">
        <v>210</v>
      </c>
      <c r="C120" t="s">
        <v>425</v>
      </c>
      <c r="D120" t="s">
        <v>389</v>
      </c>
      <c r="E120" s="15" t="e">
        <f>IF(ISNUMBER(VLOOKUP(C120,'Justice Spend Total'!C:AQ, 38, FALSE)),(VLOOKUP(C120,'Justice Spend Total'!C:AQ, 38, FALSE)), #N/A)</f>
        <v>#N/A</v>
      </c>
      <c r="F120" s="58">
        <f>IF(ISNUMBER(VLOOKUP(Table112[[#This Row],[Code]],'Edu &amp; Health Exp'!C:AA,20,FALSE)), (VLOOKUP(Table112[[#This Row],[Code]],'Edu &amp; Health Exp'!C:AA,20,FALSE)), #N/A)</f>
        <v>3.6164700984954798</v>
      </c>
      <c r="G120" s="58">
        <f>IF(ISNUMBER(VLOOKUP(Table112[[#This Row],[Code]],'Edu &amp; Health Exp'!C:AA,23,FALSE)), (VLOOKUP(Table112[[#This Row],[Code]],'Edu &amp; Health Exp'!C:AA,23,FALSE)), #N/A)</f>
        <v>5.3191735299999987</v>
      </c>
    </row>
    <row r="121" spans="1:7">
      <c r="A121">
        <v>119</v>
      </c>
      <c r="B121" t="s">
        <v>211</v>
      </c>
      <c r="C121" t="s">
        <v>426</v>
      </c>
      <c r="D121" t="s">
        <v>389</v>
      </c>
      <c r="E121" s="15" t="e">
        <f>IF(ISNUMBER(VLOOKUP(C121,'Justice Spend Total'!C:AQ, 38, FALSE)),(VLOOKUP(C121,'Justice Spend Total'!C:AQ, 38, FALSE)), #N/A)</f>
        <v>#N/A</v>
      </c>
      <c r="F121" s="58">
        <f>IF(ISNUMBER(VLOOKUP(Table112[[#This Row],[Code]],'Edu &amp; Health Exp'!C:AA,20,FALSE)), (VLOOKUP(Table112[[#This Row],[Code]],'Edu &amp; Health Exp'!C:AA,20,FALSE)), #N/A)</f>
        <v>12.8373098373413</v>
      </c>
      <c r="G121" s="58">
        <f>IF(ISNUMBER(VLOOKUP(Table112[[#This Row],[Code]],'Edu &amp; Health Exp'!C:AA,23,FALSE)), (VLOOKUP(Table112[[#This Row],[Code]],'Edu &amp; Health Exp'!C:AA,23,FALSE)), #N/A)</f>
        <v>9.9033268400000001</v>
      </c>
    </row>
    <row r="122" spans="1:7">
      <c r="A122">
        <v>120</v>
      </c>
      <c r="B122" s="15" t="s">
        <v>212</v>
      </c>
      <c r="C122" s="15" t="s">
        <v>427</v>
      </c>
      <c r="D122" s="15" t="s">
        <v>389</v>
      </c>
      <c r="E122" s="15">
        <f>IF(ISNUMBER(VLOOKUP(C122,'Justice Spend Total'!C:AQ, 38, FALSE)),(VLOOKUP(C122,'Justice Spend Total'!C:AQ, 38, FALSE)), #N/A)</f>
        <v>4.9920464788473904</v>
      </c>
      <c r="F122" s="58">
        <f>IF(ISNUMBER(VLOOKUP(Table112[[#This Row],[Code]],'Edu &amp; Health Exp'!C:AA,20,FALSE)), (VLOOKUP(Table112[[#This Row],[Code]],'Edu &amp; Health Exp'!C:AA,20,FALSE)), #N/A)</f>
        <v>4.8098287224118597</v>
      </c>
      <c r="G122" s="58">
        <f>IF(ISNUMBER(VLOOKUP(Table112[[#This Row],[Code]],'Edu &amp; Health Exp'!C:AA,23,FALSE)), (VLOOKUP(Table112[[#This Row],[Code]],'Edu &amp; Health Exp'!C:AA,23,FALSE)), #N/A)</f>
        <v>1.6707523699999995</v>
      </c>
    </row>
    <row r="123" spans="1:7">
      <c r="A123">
        <v>121</v>
      </c>
      <c r="B123" t="s">
        <v>213</v>
      </c>
      <c r="C123" t="s">
        <v>428</v>
      </c>
      <c r="D123" t="s">
        <v>389</v>
      </c>
      <c r="E123" s="15" t="e">
        <f>IF(ISNUMBER(VLOOKUP(C123,'Justice Spend Total'!C:AQ, 38, FALSE)),(VLOOKUP(C123,'Justice Spend Total'!C:AQ, 38, FALSE)), #N/A)</f>
        <v>#N/A</v>
      </c>
      <c r="F123" s="58" t="e">
        <f>IF(ISNUMBER(VLOOKUP(Table112[[#This Row],[Code]],'Edu &amp; Health Exp'!C:AA,20,FALSE)), (VLOOKUP(Table112[[#This Row],[Code]],'Edu &amp; Health Exp'!C:AA,20,FALSE)), #N/A)</f>
        <v>#N/A</v>
      </c>
      <c r="G123" s="58">
        <f>IF(ISNUMBER(VLOOKUP(Table112[[#This Row],[Code]],'Edu &amp; Health Exp'!C:AA,23,FALSE)), (VLOOKUP(Table112[[#This Row],[Code]],'Edu &amp; Health Exp'!C:AA,23,FALSE)), #N/A)</f>
        <v>5.0852353100000007</v>
      </c>
    </row>
    <row r="124" spans="1:7">
      <c r="A124">
        <v>122</v>
      </c>
      <c r="B124" t="s">
        <v>214</v>
      </c>
      <c r="C124" t="s">
        <v>429</v>
      </c>
      <c r="D124" t="s">
        <v>389</v>
      </c>
      <c r="E124" s="15" t="e">
        <f>IF(ISNUMBER(VLOOKUP(C124,'Justice Spend Total'!C:AQ, 38, FALSE)),(VLOOKUP(C124,'Justice Spend Total'!C:AQ, 38, FALSE)), #N/A)</f>
        <v>#N/A</v>
      </c>
      <c r="F124" s="58">
        <f>IF(ISNUMBER(VLOOKUP(Table112[[#This Row],[Code]],'Edu &amp; Health Exp'!C:AA,20,FALSE)), (VLOOKUP(Table112[[#This Row],[Code]],'Edu &amp; Health Exp'!C:AA,20,FALSE)), #N/A)</f>
        <v>4.4505801200866699</v>
      </c>
      <c r="G124" s="58">
        <f>IF(ISNUMBER(VLOOKUP(Table112[[#This Row],[Code]],'Edu &amp; Health Exp'!C:AA,23,FALSE)), (VLOOKUP(Table112[[#This Row],[Code]],'Edu &amp; Health Exp'!C:AA,23,FALSE)), #N/A)</f>
        <v>2.9894196000000002</v>
      </c>
    </row>
    <row r="125" spans="1:7">
      <c r="A125">
        <v>123</v>
      </c>
      <c r="B125" t="s">
        <v>215</v>
      </c>
      <c r="C125" t="s">
        <v>430</v>
      </c>
      <c r="D125" t="s">
        <v>389</v>
      </c>
      <c r="E125" s="15" t="e">
        <f>IF(ISNUMBER(VLOOKUP(C125,'Justice Spend Total'!C:AQ, 38, FALSE)),(VLOOKUP(C125,'Justice Spend Total'!C:AQ, 38, FALSE)), #N/A)</f>
        <v>#N/A</v>
      </c>
      <c r="F125" s="58">
        <f>IF(ISNUMBER(VLOOKUP(Table112[[#This Row],[Code]],'Edu &amp; Health Exp'!C:AA,20,FALSE)), (VLOOKUP(Table112[[#This Row],[Code]],'Edu &amp; Health Exp'!C:AA,20,FALSE)), #N/A)</f>
        <v>4.2542200088501003</v>
      </c>
      <c r="G125" s="58">
        <f>IF(ISNUMBER(VLOOKUP(Table112[[#This Row],[Code]],'Edu &amp; Health Exp'!C:AA,23,FALSE)), (VLOOKUP(Table112[[#This Row],[Code]],'Edu &amp; Health Exp'!C:AA,23,FALSE)), #N/A)</f>
        <v>2.6789144699999996</v>
      </c>
    </row>
    <row r="126" spans="1:7">
      <c r="A126">
        <v>124</v>
      </c>
      <c r="B126" t="s">
        <v>216</v>
      </c>
      <c r="C126" t="s">
        <v>431</v>
      </c>
      <c r="D126" t="s">
        <v>389</v>
      </c>
      <c r="E126" s="15" t="e">
        <f>IF(ISNUMBER(VLOOKUP(C126,'Justice Spend Total'!C:AQ, 38, FALSE)),(VLOOKUP(C126,'Justice Spend Total'!C:AQ, 38, FALSE)), #N/A)</f>
        <v>#N/A</v>
      </c>
      <c r="F126" s="58">
        <f>IF(ISNUMBER(VLOOKUP(Table112[[#This Row],[Code]],'Edu &amp; Health Exp'!C:AA,20,FALSE)), (VLOOKUP(Table112[[#This Row],[Code]],'Edu &amp; Health Exp'!C:AA,20,FALSE)), #N/A)</f>
        <v>3.5525500774383501</v>
      </c>
      <c r="G126" s="58">
        <f>IF(ISNUMBER(VLOOKUP(Table112[[#This Row],[Code]],'Edu &amp; Health Exp'!C:AA,23,FALSE)), (VLOOKUP(Table112[[#This Row],[Code]],'Edu &amp; Health Exp'!C:AA,23,FALSE)), #N/A)</f>
        <v>2.05972271</v>
      </c>
    </row>
    <row r="127" spans="1:7">
      <c r="A127">
        <v>125</v>
      </c>
      <c r="B127" t="s">
        <v>217</v>
      </c>
      <c r="C127" t="s">
        <v>432</v>
      </c>
      <c r="D127" t="s">
        <v>389</v>
      </c>
      <c r="E127" s="15" t="e">
        <f>IF(ISNUMBER(VLOOKUP(C127,'Justice Spend Total'!C:AQ, 38, FALSE)),(VLOOKUP(C127,'Justice Spend Total'!C:AQ, 38, FALSE)), #N/A)</f>
        <v>#N/A</v>
      </c>
      <c r="F127" s="58">
        <f>IF(ISNUMBER(VLOOKUP(Table112[[#This Row],[Code]],'Edu &amp; Health Exp'!C:AA,20,FALSE)), (VLOOKUP(Table112[[#This Row],[Code]],'Edu &amp; Health Exp'!C:AA,20,FALSE)), #N/A)</f>
        <v>3.5752100944518999</v>
      </c>
      <c r="G127" s="58">
        <f>IF(ISNUMBER(VLOOKUP(Table112[[#This Row],[Code]],'Edu &amp; Health Exp'!C:AA,23,FALSE)), (VLOOKUP(Table112[[#This Row],[Code]],'Edu &amp; Health Exp'!C:AA,23,FALSE)), #N/A)</f>
        <v>2.0831866900000002</v>
      </c>
    </row>
    <row r="128" spans="1:7">
      <c r="A128">
        <v>126</v>
      </c>
      <c r="B128" s="15" t="s">
        <v>218</v>
      </c>
      <c r="C128" s="15" t="s">
        <v>433</v>
      </c>
      <c r="D128" s="15" t="s">
        <v>389</v>
      </c>
      <c r="E128" s="15">
        <f>IF(ISNUMBER(VLOOKUP(C128,'Justice Spend Total'!C:AQ, 38, FALSE)),(VLOOKUP(C128,'Justice Spend Total'!C:AQ, 38, FALSE)), #N/A)</f>
        <v>7.9948456128853733</v>
      </c>
      <c r="F128" s="58">
        <f>IF(ISNUMBER(VLOOKUP(Table112[[#This Row],[Code]],'Edu &amp; Health Exp'!C:AA,20,FALSE)), (VLOOKUP(Table112[[#This Row],[Code]],'Edu &amp; Health Exp'!C:AA,20,FALSE)), #N/A)</f>
        <v>3.35536869185293</v>
      </c>
      <c r="G128" s="58">
        <f>IF(ISNUMBER(VLOOKUP(Table112[[#This Row],[Code]],'Edu &amp; Health Exp'!C:AA,23,FALSE)), (VLOOKUP(Table112[[#This Row],[Code]],'Edu &amp; Health Exp'!C:AA,23,FALSE)), #N/A)</f>
        <v>3.3848587299999999</v>
      </c>
    </row>
    <row r="129" spans="1:7">
      <c r="A129">
        <v>127</v>
      </c>
      <c r="B129" s="15" t="s">
        <v>219</v>
      </c>
      <c r="C129" s="15" t="s">
        <v>434</v>
      </c>
      <c r="D129" s="15" t="s">
        <v>389</v>
      </c>
      <c r="E129" s="15">
        <f>IF(ISNUMBER(VLOOKUP(C129,'Justice Spend Total'!C:AQ, 38, FALSE)),(VLOOKUP(C129,'Justice Spend Total'!C:AQ, 38, FALSE)), #N/A)</f>
        <v>2.8755995341126996</v>
      </c>
      <c r="F129" s="58">
        <f>IF(ISNUMBER(VLOOKUP(Table112[[#This Row],[Code]],'Edu &amp; Health Exp'!C:AA,20,FALSE)), (VLOOKUP(Table112[[#This Row],[Code]],'Edu &amp; Health Exp'!C:AA,20,FALSE)), #N/A)</f>
        <v>1.1632676014265499</v>
      </c>
      <c r="G129" s="58">
        <f>IF(ISNUMBER(VLOOKUP(Table112[[#This Row],[Code]],'Edu &amp; Health Exp'!C:AA,23,FALSE)), (VLOOKUP(Table112[[#This Row],[Code]],'Edu &amp; Health Exp'!C:AA,23,FALSE)), #N/A)</f>
        <v>5.9537745599999994</v>
      </c>
    </row>
    <row r="130" spans="1:7">
      <c r="A130">
        <v>128</v>
      </c>
      <c r="B130" s="15" t="s">
        <v>220</v>
      </c>
      <c r="C130" s="15" t="s">
        <v>435</v>
      </c>
      <c r="D130" s="15" t="s">
        <v>389</v>
      </c>
      <c r="E130" s="15">
        <f>IF(ISNUMBER(VLOOKUP(C130,'Justice Spend Total'!C:AQ, 38, FALSE)),(VLOOKUP(C130,'Justice Spend Total'!C:AQ, 38, FALSE)), #N/A)</f>
        <v>7.3808149367373277</v>
      </c>
      <c r="F130" s="58">
        <f>IF(ISNUMBER(VLOOKUP(Table112[[#This Row],[Code]],'Edu &amp; Health Exp'!C:AA,20,FALSE)), (VLOOKUP(Table112[[#This Row],[Code]],'Edu &amp; Health Exp'!C:AA,20,FALSE)), #N/A)</f>
        <v>4.03615241285818</v>
      </c>
      <c r="G130" s="58">
        <f>IF(ISNUMBER(VLOOKUP(Table112[[#This Row],[Code]],'Edu &amp; Health Exp'!C:AA,23,FALSE)), (VLOOKUP(Table112[[#This Row],[Code]],'Edu &amp; Health Exp'!C:AA,23,FALSE)), #N/A)</f>
        <v>4.3177262200000017</v>
      </c>
    </row>
    <row r="131" spans="1:7">
      <c r="A131">
        <v>129</v>
      </c>
      <c r="B131" s="15" t="s">
        <v>221</v>
      </c>
      <c r="C131" s="15" t="s">
        <v>436</v>
      </c>
      <c r="D131" s="15" t="s">
        <v>389</v>
      </c>
      <c r="E131" s="15">
        <f>IF(ISNUMBER(VLOOKUP(C131,'Justice Spend Total'!C:AQ, 38, FALSE)),(VLOOKUP(C131,'Justice Spend Total'!C:AQ, 38, FALSE)), #N/A)</f>
        <v>10.554366064873475</v>
      </c>
      <c r="F131" s="58">
        <f>IF(ISNUMBER(VLOOKUP(Table112[[#This Row],[Code]],'Edu &amp; Health Exp'!C:AA,20,FALSE)), (VLOOKUP(Table112[[#This Row],[Code]],'Edu &amp; Health Exp'!C:AA,20,FALSE)), #N/A)</f>
        <v>4.6081700325012198</v>
      </c>
      <c r="G131" s="58">
        <f>IF(ISNUMBER(VLOOKUP(Table112[[#This Row],[Code]],'Edu &amp; Health Exp'!C:AA,23,FALSE)), (VLOOKUP(Table112[[#This Row],[Code]],'Edu &amp; Health Exp'!C:AA,23,FALSE)), #N/A)</f>
        <v>2.9172781700000003</v>
      </c>
    </row>
    <row r="132" spans="1:7">
      <c r="A132">
        <v>130</v>
      </c>
      <c r="B132" s="15" t="s">
        <v>222</v>
      </c>
      <c r="C132" s="15" t="s">
        <v>437</v>
      </c>
      <c r="D132" s="15" t="s">
        <v>389</v>
      </c>
      <c r="E132" s="15">
        <f>IF(ISNUMBER(VLOOKUP(C132,'Justice Spend Total'!C:AQ, 38, FALSE)),(VLOOKUP(C132,'Justice Spend Total'!C:AQ, 38, FALSE)), #N/A)</f>
        <v>5.5892660773992198</v>
      </c>
      <c r="F132" s="58">
        <f>IF(ISNUMBER(VLOOKUP(Table112[[#This Row],[Code]],'Edu &amp; Health Exp'!C:AA,20,FALSE)), (VLOOKUP(Table112[[#This Row],[Code]],'Edu &amp; Health Exp'!C:AA,20,FALSE)), #N/A)</f>
        <v>3.91697001457214</v>
      </c>
      <c r="G132" s="58">
        <f>IF(ISNUMBER(VLOOKUP(Table112[[#This Row],[Code]],'Edu &amp; Health Exp'!C:AA,23,FALSE)), (VLOOKUP(Table112[[#This Row],[Code]],'Edu &amp; Health Exp'!C:AA,23,FALSE)), #N/A)</f>
        <v>2.0020601099999999</v>
      </c>
    </row>
    <row r="133" spans="1:7">
      <c r="A133">
        <v>131</v>
      </c>
      <c r="B133" s="15" t="s">
        <v>223</v>
      </c>
      <c r="C133" s="15" t="s">
        <v>438</v>
      </c>
      <c r="D133" s="15" t="s">
        <v>389</v>
      </c>
      <c r="E133" s="15">
        <f>IF(ISNUMBER(VLOOKUP(C133,'Justice Spend Total'!C:AQ, 38, FALSE)),(VLOOKUP(C133,'Justice Spend Total'!C:AQ, 38, FALSE)), #N/A)</f>
        <v>6.3197202475278988</v>
      </c>
      <c r="F133" s="58">
        <f>IF(ISNUMBER(VLOOKUP(Table112[[#This Row],[Code]],'Edu &amp; Health Exp'!C:AA,20,FALSE)), (VLOOKUP(Table112[[#This Row],[Code]],'Edu &amp; Health Exp'!C:AA,20,FALSE)), #N/A)</f>
        <v>3.72867814938287</v>
      </c>
      <c r="G133" s="58">
        <f>IF(ISNUMBER(VLOOKUP(Table112[[#This Row],[Code]],'Edu &amp; Health Exp'!C:AA,23,FALSE)), (VLOOKUP(Table112[[#This Row],[Code]],'Edu &amp; Health Exp'!C:AA,23,FALSE)), #N/A)</f>
        <v>3.4541604399999999</v>
      </c>
    </row>
    <row r="134" spans="1:7">
      <c r="A134">
        <v>132</v>
      </c>
      <c r="B134" s="15" t="s">
        <v>224</v>
      </c>
      <c r="C134" s="15" t="s">
        <v>439</v>
      </c>
      <c r="D134" s="15" t="s">
        <v>389</v>
      </c>
      <c r="E134" s="15">
        <f>IF(ISNUMBER(VLOOKUP(C134,'Justice Spend Total'!C:AQ, 38, FALSE)),(VLOOKUP(C134,'Justice Spend Total'!C:AQ, 38, FALSE)), #N/A)</f>
        <v>5.2624841560543532</v>
      </c>
      <c r="F134" s="58">
        <f>IF(ISNUMBER(VLOOKUP(Table112[[#This Row],[Code]],'Edu &amp; Health Exp'!C:AA,20,FALSE)), (VLOOKUP(Table112[[#This Row],[Code]],'Edu &amp; Health Exp'!C:AA,20,FALSE)), #N/A)</f>
        <v>3.5699999332428001</v>
      </c>
      <c r="G134" s="58">
        <f>IF(ISNUMBER(VLOOKUP(Table112[[#This Row],[Code]],'Edu &amp; Health Exp'!C:AA,23,FALSE)), (VLOOKUP(Table112[[#This Row],[Code]],'Edu &amp; Health Exp'!C:AA,23,FALSE)), #N/A)</f>
        <v>3.0019894899999997</v>
      </c>
    </row>
    <row r="135" spans="1:7">
      <c r="A135">
        <v>133</v>
      </c>
      <c r="B135" s="15" t="s">
        <v>225</v>
      </c>
      <c r="C135" s="15" t="s">
        <v>440</v>
      </c>
      <c r="D135" s="15" t="s">
        <v>389</v>
      </c>
      <c r="E135" s="15">
        <f>IF(ISNUMBER(VLOOKUP(C135,'Justice Spend Total'!C:AQ, 38, FALSE)),(VLOOKUP(C135,'Justice Spend Total'!C:AQ, 38, FALSE)), #N/A)</f>
        <v>15.191325655425752</v>
      </c>
      <c r="F135" s="58">
        <f>IF(ISNUMBER(VLOOKUP(Table112[[#This Row],[Code]],'Edu &amp; Health Exp'!C:AA,20,FALSE)), (VLOOKUP(Table112[[#This Row],[Code]],'Edu &amp; Health Exp'!C:AA,20,FALSE)), #N/A)</f>
        <v>6.7106699943542498</v>
      </c>
      <c r="G135" s="58">
        <f>IF(ISNUMBER(VLOOKUP(Table112[[#This Row],[Code]],'Edu &amp; Health Exp'!C:AA,23,FALSE)), (VLOOKUP(Table112[[#This Row],[Code]],'Edu &amp; Health Exp'!C:AA,23,FALSE)), #N/A)</f>
        <v>5.3781502099999994</v>
      </c>
    </row>
    <row r="136" spans="1:7">
      <c r="A136">
        <v>145</v>
      </c>
      <c r="B136" s="15" t="s">
        <v>75</v>
      </c>
      <c r="C136" s="15" t="s">
        <v>441</v>
      </c>
      <c r="D136" s="15" t="s">
        <v>285</v>
      </c>
      <c r="E136" s="15">
        <f>IF(ISNUMBER(VLOOKUP(C136,'Justice Spend Total'!C:AQ, 38, FALSE)),(VLOOKUP(C136,'Justice Spend Total'!C:AQ, 38, FALSE)), #N/A)</f>
        <v>5.6499465673918348</v>
      </c>
      <c r="F136" s="58">
        <f>IF(ISNUMBER(VLOOKUP(Table112[[#This Row],[Code]],'Edu &amp; Health Exp'!C:AA,20,FALSE)), (VLOOKUP(Table112[[#This Row],[Code]],'Edu &amp; Health Exp'!C:AA,20,FALSE)), #N/A)</f>
        <v>5.1921323109534603</v>
      </c>
      <c r="G136" s="58">
        <f>IF(ISNUMBER(VLOOKUP(Table112[[#This Row],[Code]],'Edu &amp; Health Exp'!C:AA,23,FALSE)), (VLOOKUP(Table112[[#This Row],[Code]],'Edu &amp; Health Exp'!C:AA,23,FALSE)), #N/A)</f>
        <v>4.6273319500000003</v>
      </c>
    </row>
    <row r="137" spans="1:7">
      <c r="A137">
        <v>148</v>
      </c>
      <c r="B137" s="15" t="s">
        <v>68</v>
      </c>
      <c r="C137" s="15" t="s">
        <v>442</v>
      </c>
      <c r="D137" s="15" t="s">
        <v>285</v>
      </c>
      <c r="E137" s="15">
        <f>IF(ISNUMBER(VLOOKUP(C137,'Justice Spend Total'!C:AQ, 38, FALSE)),(VLOOKUP(C137,'Justice Spend Total'!C:AQ, 38, FALSE)), #N/A)</f>
        <v>4.9827226697495757</v>
      </c>
      <c r="F137" s="58">
        <f>IF(ISNUMBER(VLOOKUP(Table112[[#This Row],[Code]],'Edu &amp; Health Exp'!C:AA,20,FALSE)), (VLOOKUP(Table112[[#This Row],[Code]],'Edu &amp; Health Exp'!C:AA,20,FALSE)), #N/A)</f>
        <v>4.7566485675055201</v>
      </c>
      <c r="G137" s="58">
        <f>IF(ISNUMBER(VLOOKUP(Table112[[#This Row],[Code]],'Edu &amp; Health Exp'!C:AA,23,FALSE)), (VLOOKUP(Table112[[#This Row],[Code]],'Edu &amp; Health Exp'!C:AA,23,FALSE)), #N/A)</f>
        <v>4.3386955599999997</v>
      </c>
    </row>
    <row r="138" spans="1:7">
      <c r="A138">
        <v>153</v>
      </c>
      <c r="B138" s="15" t="s">
        <v>65</v>
      </c>
      <c r="C138" s="15" t="s">
        <v>443</v>
      </c>
      <c r="D138" s="15" t="s">
        <v>285</v>
      </c>
      <c r="E138" s="15">
        <f>IF(ISNUMBER(VLOOKUP(C138,'Justice Spend Total'!C:AQ, 38, FALSE)),(VLOOKUP(C138,'Justice Spend Total'!C:AQ, 38, FALSE)), #N/A)</f>
        <v>4.814678045888118</v>
      </c>
      <c r="F138" s="58">
        <f>IF(ISNUMBER(VLOOKUP(Table112[[#This Row],[Code]],'Edu &amp; Health Exp'!C:AA,20,FALSE)), (VLOOKUP(Table112[[#This Row],[Code]],'Edu &amp; Health Exp'!C:AA,20,FALSE)), #N/A)</f>
        <v>4.4400892480250898</v>
      </c>
      <c r="G138" s="58">
        <f>IF(ISNUMBER(VLOOKUP(Table112[[#This Row],[Code]],'Edu &amp; Health Exp'!C:AA,23,FALSE)), (VLOOKUP(Table112[[#This Row],[Code]],'Edu &amp; Health Exp'!C:AA,23,FALSE)), #N/A)</f>
        <v>4.6837340600000008</v>
      </c>
    </row>
    <row r="139" spans="1:7">
      <c r="A139">
        <v>154</v>
      </c>
      <c r="B139" s="15" t="s">
        <v>76</v>
      </c>
      <c r="C139" s="15" t="s">
        <v>444</v>
      </c>
      <c r="D139" s="15" t="s">
        <v>285</v>
      </c>
      <c r="E139" s="15">
        <f>IF(ISNUMBER(VLOOKUP(C139,'Justice Spend Total'!C:AQ, 38, FALSE)),(VLOOKUP(C139,'Justice Spend Total'!C:AQ, 38, FALSE)), #N/A)</f>
        <v>6.2488653886606258</v>
      </c>
      <c r="F139" s="58">
        <f>IF(ISNUMBER(VLOOKUP(Table112[[#This Row],[Code]],'Edu &amp; Health Exp'!C:AA,20,FALSE)), (VLOOKUP(Table112[[#This Row],[Code]],'Edu &amp; Health Exp'!C:AA,20,FALSE)), #N/A)</f>
        <v>4.6133717945637303</v>
      </c>
      <c r="G139" s="58">
        <f>IF(ISNUMBER(VLOOKUP(Table112[[#This Row],[Code]],'Edu &amp; Health Exp'!C:AA,23,FALSE)), (VLOOKUP(Table112[[#This Row],[Code]],'Edu &amp; Health Exp'!C:AA,23,FALSE)), #N/A)</f>
        <v>5.5525399500000008</v>
      </c>
    </row>
    <row r="140" spans="1:7">
      <c r="A140">
        <v>160</v>
      </c>
      <c r="B140" s="15" t="s">
        <v>62</v>
      </c>
      <c r="C140" s="15" t="s">
        <v>445</v>
      </c>
      <c r="D140" s="15" t="s">
        <v>285</v>
      </c>
      <c r="E140" s="15">
        <f>IF(ISNUMBER(VLOOKUP(C140,'Justice Spend Total'!C:AQ, 38, FALSE)),(VLOOKUP(C140,'Justice Spend Total'!C:AQ, 38, FALSE)), #N/A)</f>
        <v>4.2070412482048241</v>
      </c>
      <c r="F140" s="58">
        <f>IF(ISNUMBER(VLOOKUP(Table112[[#This Row],[Code]],'Edu &amp; Health Exp'!C:AA,20,FALSE)), (VLOOKUP(Table112[[#This Row],[Code]],'Edu &amp; Health Exp'!C:AA,20,FALSE)), #N/A)</f>
        <v>5.0056550230998802</v>
      </c>
      <c r="G140" s="58">
        <f>IF(ISNUMBER(VLOOKUP(Table112[[#This Row],[Code]],'Edu &amp; Health Exp'!C:AA,23,FALSE)), (VLOOKUP(Table112[[#This Row],[Code]],'Edu &amp; Health Exp'!C:AA,23,FALSE)), #N/A)</f>
        <v>5.811933419999999</v>
      </c>
    </row>
    <row r="141" spans="1:7">
      <c r="A141">
        <v>161</v>
      </c>
      <c r="B141" s="15" t="s">
        <v>70</v>
      </c>
      <c r="C141" s="15" t="s">
        <v>446</v>
      </c>
      <c r="D141" s="15" t="s">
        <v>285</v>
      </c>
      <c r="E141" s="15">
        <f>IF(ISNUMBER(VLOOKUP(C141,'Justice Spend Total'!C:AQ, 38, FALSE)),(VLOOKUP(C141,'Justice Spend Total'!C:AQ, 38, FALSE)), #N/A)</f>
        <v>5.1339470741581055</v>
      </c>
      <c r="F141" s="58">
        <f>IF(ISNUMBER(VLOOKUP(Table112[[#This Row],[Code]],'Edu &amp; Health Exp'!C:AA,20,FALSE)), (VLOOKUP(Table112[[#This Row],[Code]],'Edu &amp; Health Exp'!C:AA,20,FALSE)), #N/A)</f>
        <v>5.0776671256376398</v>
      </c>
      <c r="G141" s="58">
        <f>IF(ISNUMBER(VLOOKUP(Table112[[#This Row],[Code]],'Edu &amp; Health Exp'!C:AA,23,FALSE)), (VLOOKUP(Table112[[#This Row],[Code]],'Edu &amp; Health Exp'!C:AA,23,FALSE)), #N/A)</f>
        <v>6.4088948899999991</v>
      </c>
    </row>
    <row r="142" spans="1:7">
      <c r="A142">
        <v>166</v>
      </c>
      <c r="B142" s="15" t="s">
        <v>60</v>
      </c>
      <c r="C142" s="15" t="s">
        <v>447</v>
      </c>
      <c r="D142" s="15" t="s">
        <v>285</v>
      </c>
      <c r="E142" s="15">
        <f>IF(ISNUMBER(VLOOKUP(C142,'Justice Spend Total'!C:AQ, 38, FALSE)),(VLOOKUP(C142,'Justice Spend Total'!C:AQ, 38, FALSE)), #N/A)</f>
        <v>3.9926879257798338</v>
      </c>
      <c r="F142" s="58">
        <f>IF(ISNUMBER(VLOOKUP(Table112[[#This Row],[Code]],'Edu &amp; Health Exp'!C:AA,20,FALSE)), (VLOOKUP(Table112[[#This Row],[Code]],'Edu &amp; Health Exp'!C:AA,20,FALSE)), #N/A)</f>
        <v>5.7584168123108403</v>
      </c>
      <c r="G142" s="58">
        <f>IF(ISNUMBER(VLOOKUP(Table112[[#This Row],[Code]],'Edu &amp; Health Exp'!C:AA,23,FALSE)), (VLOOKUP(Table112[[#This Row],[Code]],'Edu &amp; Health Exp'!C:AA,23,FALSE)), #N/A)</f>
        <v>6.2040683899999989</v>
      </c>
    </row>
    <row r="143" spans="1:7">
      <c r="A143">
        <v>167</v>
      </c>
      <c r="B143" s="15" t="s">
        <v>69</v>
      </c>
      <c r="C143" s="15" t="s">
        <v>448</v>
      </c>
      <c r="D143" s="15" t="s">
        <v>285</v>
      </c>
      <c r="E143" s="15">
        <f>IF(ISNUMBER(VLOOKUP(C143,'Justice Spend Total'!C:AQ, 38, FALSE)),(VLOOKUP(C143,'Justice Spend Total'!C:AQ, 38, FALSE)), #N/A)</f>
        <v>5.0253753800642604</v>
      </c>
      <c r="F143" s="58">
        <f>IF(ISNUMBER(VLOOKUP(Table112[[#This Row],[Code]],'Edu &amp; Health Exp'!C:AA,20,FALSE)), (VLOOKUP(Table112[[#This Row],[Code]],'Edu &amp; Health Exp'!C:AA,20,FALSE)), #N/A)</f>
        <v>4.5945088364166597</v>
      </c>
      <c r="G143" s="58">
        <f>IF(ISNUMBER(VLOOKUP(Table112[[#This Row],[Code]],'Edu &amp; Health Exp'!C:AA,23,FALSE)), (VLOOKUP(Table112[[#This Row],[Code]],'Edu &amp; Health Exp'!C:AA,23,FALSE)), #N/A)</f>
        <v>6.4490685800000005</v>
      </c>
    </row>
    <row r="144" spans="1:7">
      <c r="A144">
        <v>170</v>
      </c>
      <c r="B144" t="s">
        <v>73</v>
      </c>
      <c r="C144" t="s">
        <v>449</v>
      </c>
      <c r="D144" t="s">
        <v>285</v>
      </c>
      <c r="E144" s="15">
        <f>IF(ISNUMBER(VLOOKUP(C144,'Justice Spend Total'!C:AQ, 38, FALSE)),(VLOOKUP(C144,'Justice Spend Total'!C:AQ, 38, FALSE)), #N/A)</f>
        <v>5.5826616010953236</v>
      </c>
      <c r="F144" s="58">
        <f>IF(ISNUMBER(VLOOKUP(Table112[[#This Row],[Code]],'Edu &amp; Health Exp'!C:AA,20,FALSE)), (VLOOKUP(Table112[[#This Row],[Code]],'Edu &amp; Health Exp'!C:AA,20,FALSE)), #N/A)</f>
        <v>4.4580798149108896</v>
      </c>
      <c r="G144" s="58">
        <f>IF(ISNUMBER(VLOOKUP(Table112[[#This Row],[Code]],'Edu &amp; Health Exp'!C:AA,23,FALSE)), (VLOOKUP(Table112[[#This Row],[Code]],'Edu &amp; Health Exp'!C:AA,23,FALSE)), #N/A)</f>
        <v>4.9785771800000003</v>
      </c>
    </row>
    <row r="145" spans="1:7">
      <c r="A145">
        <v>171</v>
      </c>
      <c r="B145" s="15" t="s">
        <v>63</v>
      </c>
      <c r="C145" s="15" t="s">
        <v>450</v>
      </c>
      <c r="D145" s="15" t="s">
        <v>285</v>
      </c>
      <c r="E145" s="15">
        <f>IF(ISNUMBER(VLOOKUP(C145,'Justice Spend Total'!C:AQ, 38, FALSE)),(VLOOKUP(C145,'Justice Spend Total'!C:AQ, 38, FALSE)), #N/A)</f>
        <v>4.2647744835080026</v>
      </c>
      <c r="F145" s="58">
        <f>IF(ISNUMBER(VLOOKUP(Table112[[#This Row],[Code]],'Edu &amp; Health Exp'!C:AA,20,FALSE)), (VLOOKUP(Table112[[#This Row],[Code]],'Edu &amp; Health Exp'!C:AA,20,FALSE)), #N/A)</f>
        <v>4.2730814757855304</v>
      </c>
      <c r="G145" s="58">
        <f>IF(ISNUMBER(VLOOKUP(Table112[[#This Row],[Code]],'Edu &amp; Health Exp'!C:AA,23,FALSE)), (VLOOKUP(Table112[[#This Row],[Code]],'Edu &amp; Health Exp'!C:AA,23,FALSE)), #N/A)</f>
        <v>6.4077469900000015</v>
      </c>
    </row>
    <row r="146" spans="1:7">
      <c r="A146">
        <v>174</v>
      </c>
      <c r="B146" s="15" t="s">
        <v>57</v>
      </c>
      <c r="C146" s="15" t="s">
        <v>451</v>
      </c>
      <c r="D146" s="15" t="s">
        <v>285</v>
      </c>
      <c r="E146" s="15">
        <f>IF(ISNUMBER(VLOOKUP(C146,'Justice Spend Total'!C:AQ, 38, FALSE)),(VLOOKUP(C146,'Justice Spend Total'!C:AQ, 38, FALSE)), #N/A)</f>
        <v>3.6215735478668494</v>
      </c>
      <c r="F146" s="58">
        <f>IF(ISNUMBER(VLOOKUP(Table112[[#This Row],[Code]],'Edu &amp; Health Exp'!C:AA,20,FALSE)), (VLOOKUP(Table112[[#This Row],[Code]],'Edu &amp; Health Exp'!C:AA,20,FALSE)), #N/A)</f>
        <v>3.4152390481697701</v>
      </c>
      <c r="G146" s="58">
        <f>IF(ISNUMBER(VLOOKUP(Table112[[#This Row],[Code]],'Edu &amp; Health Exp'!C:AA,23,FALSE)), (VLOOKUP(Table112[[#This Row],[Code]],'Edu &amp; Health Exp'!C:AA,23,FALSE)), #N/A)</f>
        <v>9.0093393000000024</v>
      </c>
    </row>
    <row r="147" spans="1:7">
      <c r="A147">
        <v>175</v>
      </c>
      <c r="B147" s="15" t="s">
        <v>55</v>
      </c>
      <c r="C147" s="15" t="s">
        <v>452</v>
      </c>
      <c r="D147" s="15" t="s">
        <v>285</v>
      </c>
      <c r="E147" s="15">
        <f>IF(ISNUMBER(VLOOKUP(C147,'Justice Spend Total'!C:AQ, 38, FALSE)),(VLOOKUP(C147,'Justice Spend Total'!C:AQ, 38, FALSE)), #N/A)</f>
        <v>3.3586684324843326</v>
      </c>
      <c r="F147" s="58">
        <f>IF(ISNUMBER(VLOOKUP(Table112[[#This Row],[Code]],'Edu &amp; Health Exp'!C:AA,20,FALSE)), (VLOOKUP(Table112[[#This Row],[Code]],'Edu &amp; Health Exp'!C:AA,20,FALSE)), #N/A)</f>
        <v>5.5039385807213597</v>
      </c>
      <c r="G147" s="58">
        <f>IF(ISNUMBER(VLOOKUP(Table112[[#This Row],[Code]],'Edu &amp; Health Exp'!C:AA,23,FALSE)), (VLOOKUP(Table112[[#This Row],[Code]],'Edu &amp; Health Exp'!C:AA,23,FALSE)), #N/A)</f>
        <v>9.2559940299999983</v>
      </c>
    </row>
    <row r="148" spans="1:7">
      <c r="A148">
        <v>176</v>
      </c>
      <c r="B148" s="15" t="s">
        <v>71</v>
      </c>
      <c r="C148" s="15" t="s">
        <v>453</v>
      </c>
      <c r="D148" s="15" t="s">
        <v>285</v>
      </c>
      <c r="E148" s="15">
        <f>IF(ISNUMBER(VLOOKUP(C148,'Justice Spend Total'!C:AQ, 38, FALSE)),(VLOOKUP(C148,'Justice Spend Total'!C:AQ, 38, FALSE)), #N/A)</f>
        <v>5.1822363589645422</v>
      </c>
      <c r="F148" s="58">
        <f>IF(ISNUMBER(VLOOKUP(Table112[[#This Row],[Code]],'Edu &amp; Health Exp'!C:AA,20,FALSE)), (VLOOKUP(Table112[[#This Row],[Code]],'Edu &amp; Health Exp'!C:AA,20,FALSE)), #N/A)</f>
        <v>5.9759714812721603</v>
      </c>
      <c r="G148" s="58">
        <f>IF(ISNUMBER(VLOOKUP(Table112[[#This Row],[Code]],'Edu &amp; Health Exp'!C:AA,23,FALSE)), (VLOOKUP(Table112[[#This Row],[Code]],'Edu &amp; Health Exp'!C:AA,23,FALSE)), #N/A)</f>
        <v>7.8232552900000005</v>
      </c>
    </row>
    <row r="149" spans="1:7">
      <c r="A149">
        <v>177</v>
      </c>
      <c r="B149" s="15" t="s">
        <v>72</v>
      </c>
      <c r="C149" s="15" t="s">
        <v>454</v>
      </c>
      <c r="D149" s="15" t="s">
        <v>285</v>
      </c>
      <c r="E149" s="15">
        <f>IF(ISNUMBER(VLOOKUP(C149,'Justice Spend Total'!C:AQ, 38, FALSE)),(VLOOKUP(C149,'Justice Spend Total'!C:AQ, 38, FALSE)), #N/A)</f>
        <v>5.4670681658715186</v>
      </c>
      <c r="F149" s="58">
        <f>IF(ISNUMBER(VLOOKUP(Table112[[#This Row],[Code]],'Edu &amp; Health Exp'!C:AA,20,FALSE)), (VLOOKUP(Table112[[#This Row],[Code]],'Edu &amp; Health Exp'!C:AA,20,FALSE)), #N/A)</f>
        <v>5.4330837186526502</v>
      </c>
      <c r="G149" s="58">
        <f>IF(ISNUMBER(VLOOKUP(Table112[[#This Row],[Code]],'Edu &amp; Health Exp'!C:AA,23,FALSE)), (VLOOKUP(Table112[[#This Row],[Code]],'Edu &amp; Health Exp'!C:AA,23,FALSE)), #N/A)</f>
        <v>7.9722665000000008</v>
      </c>
    </row>
    <row r="150" spans="1:7">
      <c r="A150">
        <v>180</v>
      </c>
      <c r="B150" s="15" t="s">
        <v>64</v>
      </c>
      <c r="C150" s="15" t="s">
        <v>455</v>
      </c>
      <c r="D150" s="15" t="s">
        <v>285</v>
      </c>
      <c r="E150" s="15">
        <f>IF(ISNUMBER(VLOOKUP(C150,'Justice Spend Total'!C:AQ, 38, FALSE)),(VLOOKUP(C150,'Justice Spend Total'!C:AQ, 38, FALSE)), #N/A)</f>
        <v>4.5190995076261862</v>
      </c>
      <c r="F150" s="58">
        <f>IF(ISNUMBER(VLOOKUP(Table112[[#This Row],[Code]],'Edu &amp; Health Exp'!C:AA,20,FALSE)), (VLOOKUP(Table112[[#This Row],[Code]],'Edu &amp; Health Exp'!C:AA,20,FALSE)), #N/A)</f>
        <v>5.16747599652704</v>
      </c>
      <c r="G150" s="58">
        <f>IF(ISNUMBER(VLOOKUP(Table112[[#This Row],[Code]],'Edu &amp; Health Exp'!C:AA,23,FALSE)), (VLOOKUP(Table112[[#This Row],[Code]],'Edu &amp; Health Exp'!C:AA,23,FALSE)), #N/A)</f>
        <v>7.6092955700000005</v>
      </c>
    </row>
    <row r="151" spans="1:7">
      <c r="A151">
        <v>182</v>
      </c>
      <c r="B151" s="15" t="s">
        <v>58</v>
      </c>
      <c r="C151" s="15" t="s">
        <v>456</v>
      </c>
      <c r="D151" s="15" t="s">
        <v>285</v>
      </c>
      <c r="E151" s="15">
        <f>IF(ISNUMBER(VLOOKUP(C151,'Justice Spend Total'!C:AQ, 38, FALSE)),(VLOOKUP(C151,'Justice Spend Total'!C:AQ, 38, FALSE)), #N/A)</f>
        <v>3.6316378268193934</v>
      </c>
      <c r="F151" s="58">
        <f>IF(ISNUMBER(VLOOKUP(Table112[[#This Row],[Code]],'Edu &amp; Health Exp'!C:AA,20,FALSE)), (VLOOKUP(Table112[[#This Row],[Code]],'Edu &amp; Health Exp'!C:AA,20,FALSE)), #N/A)</f>
        <v>6.7099386715191596</v>
      </c>
      <c r="G151" s="58">
        <f>IF(ISNUMBER(VLOOKUP(Table112[[#This Row],[Code]],'Edu &amp; Health Exp'!C:AA,23,FALSE)), (VLOOKUP(Table112[[#This Row],[Code]],'Edu &amp; Health Exp'!C:AA,23,FALSE)), #N/A)</f>
        <v>8.1845961599999981</v>
      </c>
    </row>
    <row r="152" spans="1:7">
      <c r="A152">
        <v>183</v>
      </c>
      <c r="B152" s="15" t="s">
        <v>56</v>
      </c>
      <c r="C152" s="15" t="s">
        <v>457</v>
      </c>
      <c r="D152" s="15" t="s">
        <v>285</v>
      </c>
      <c r="E152" s="15">
        <f>IF(ISNUMBER(VLOOKUP(C152,'Justice Spend Total'!C:AQ, 38, FALSE)),(VLOOKUP(C152,'Justice Spend Total'!C:AQ, 38, FALSE)), #N/A)</f>
        <v>3.5912676468270579</v>
      </c>
      <c r="F152" s="58">
        <f>IF(ISNUMBER(VLOOKUP(Table112[[#This Row],[Code]],'Edu &amp; Health Exp'!C:AA,20,FALSE)), (VLOOKUP(Table112[[#This Row],[Code]],'Edu &amp; Health Exp'!C:AA,20,FALSE)), #N/A)</f>
        <v>4.6645345591466798</v>
      </c>
      <c r="G152" s="58">
        <f>IF(ISNUMBER(VLOOKUP(Table112[[#This Row],[Code]],'Edu &amp; Health Exp'!C:AA,23,FALSE)), (VLOOKUP(Table112[[#This Row],[Code]],'Edu &amp; Health Exp'!C:AA,23,FALSE)), #N/A)</f>
        <v>9.8962322999999994</v>
      </c>
    </row>
    <row r="153" spans="1:7">
      <c r="A153">
        <v>184</v>
      </c>
      <c r="B153" s="15" t="s">
        <v>53</v>
      </c>
      <c r="C153" s="15" t="s">
        <v>458</v>
      </c>
      <c r="D153" s="15" t="s">
        <v>285</v>
      </c>
      <c r="E153" s="15">
        <f>IF(ISNUMBER(VLOOKUP(C153,'Justice Spend Total'!C:AQ, 38, FALSE)),(VLOOKUP(C153,'Justice Spend Total'!C:AQ, 38, FALSE)), #N/A)</f>
        <v>2.9337578452132038</v>
      </c>
      <c r="F153" s="58">
        <f>IF(ISNUMBER(VLOOKUP(Table112[[#This Row],[Code]],'Edu &amp; Health Exp'!C:AA,20,FALSE)), (VLOOKUP(Table112[[#This Row],[Code]],'Edu &amp; Health Exp'!C:AA,20,FALSE)), #N/A)</f>
        <v>5.0748217718796198</v>
      </c>
      <c r="G153" s="58">
        <f>IF(ISNUMBER(VLOOKUP(Table112[[#This Row],[Code]],'Edu &amp; Health Exp'!C:AA,23,FALSE)), (VLOOKUP(Table112[[#This Row],[Code]],'Edu &amp; Health Exp'!C:AA,23,FALSE)), #N/A)</f>
        <v>7.8498492200000012</v>
      </c>
    </row>
    <row r="154" spans="1:7">
      <c r="A154">
        <v>185</v>
      </c>
      <c r="B154" s="15" t="s">
        <v>50</v>
      </c>
      <c r="C154" s="15" t="s">
        <v>459</v>
      </c>
      <c r="D154" s="15" t="s">
        <v>285</v>
      </c>
      <c r="E154" s="15">
        <f>IF(ISNUMBER(VLOOKUP(C154,'Justice Spend Total'!C:AQ, 38, FALSE)),(VLOOKUP(C154,'Justice Spend Total'!C:AQ, 38, FALSE)), #N/A)</f>
        <v>2.2688017089777439</v>
      </c>
      <c r="F154" s="58">
        <f>IF(ISNUMBER(VLOOKUP(Table112[[#This Row],[Code]],'Edu &amp; Health Exp'!C:AA,20,FALSE)), (VLOOKUP(Table112[[#This Row],[Code]],'Edu &amp; Health Exp'!C:AA,20,FALSE)), #N/A)</f>
        <v>5.8813318204142497</v>
      </c>
      <c r="G154" s="58">
        <f>IF(ISNUMBER(VLOOKUP(Table112[[#This Row],[Code]],'Edu &amp; Health Exp'!C:AA,23,FALSE)), (VLOOKUP(Table112[[#This Row],[Code]],'Edu &amp; Health Exp'!C:AA,23,FALSE)), #N/A)</f>
        <v>7.1234116200000006</v>
      </c>
    </row>
    <row r="155" spans="1:7">
      <c r="A155">
        <v>187</v>
      </c>
      <c r="B155" s="15" t="s">
        <v>66</v>
      </c>
      <c r="C155" s="15" t="s">
        <v>460</v>
      </c>
      <c r="D155" s="15" t="s">
        <v>285</v>
      </c>
      <c r="E155" s="15">
        <f>IF(ISNUMBER(VLOOKUP(C155,'Justice Spend Total'!C:AQ, 38, FALSE)),(VLOOKUP(C155,'Justice Spend Total'!C:AQ, 38, FALSE)), #N/A)</f>
        <v>4.8244359369198815</v>
      </c>
      <c r="F155" s="58">
        <f>IF(ISNUMBER(VLOOKUP(Table112[[#This Row],[Code]],'Edu &amp; Health Exp'!C:AA,20,FALSE)), (VLOOKUP(Table112[[#This Row],[Code]],'Edu &amp; Health Exp'!C:AA,20,FALSE)), #N/A)</f>
        <v>5.2951212043569802</v>
      </c>
      <c r="G155" s="58">
        <f>IF(ISNUMBER(VLOOKUP(Table112[[#This Row],[Code]],'Edu &amp; Health Exp'!C:AA,23,FALSE)), (VLOOKUP(Table112[[#This Row],[Code]],'Edu &amp; Health Exp'!C:AA,23,FALSE)), #N/A)</f>
        <v>8.3718813599999997</v>
      </c>
    </row>
    <row r="156" spans="1:7">
      <c r="A156">
        <v>188</v>
      </c>
      <c r="B156" s="15" t="s">
        <v>74</v>
      </c>
      <c r="C156" s="15" t="s">
        <v>461</v>
      </c>
      <c r="D156" s="15" t="s">
        <v>285</v>
      </c>
      <c r="E156" s="15">
        <f>IF(ISNUMBER(VLOOKUP(C156,'Justice Spend Total'!C:AQ, 38, FALSE)),(VLOOKUP(C156,'Justice Spend Total'!C:AQ, 38, FALSE)), #N/A)</f>
        <v>5.5920195991271333</v>
      </c>
      <c r="F156" s="58">
        <f>IF(ISNUMBER(VLOOKUP(Table112[[#This Row],[Code]],'Edu &amp; Health Exp'!C:AA,20,FALSE)), (VLOOKUP(Table112[[#This Row],[Code]],'Edu &amp; Health Exp'!C:AA,20,FALSE)), #N/A)</f>
        <v>6.1028538225436098</v>
      </c>
      <c r="G156" s="58">
        <f>IF(ISNUMBER(VLOOKUP(Table112[[#This Row],[Code]],'Edu &amp; Health Exp'!C:AA,23,FALSE)), (VLOOKUP(Table112[[#This Row],[Code]],'Edu &amp; Health Exp'!C:AA,23,FALSE)), #N/A)</f>
        <v>6.9048363700000008</v>
      </c>
    </row>
    <row r="157" spans="1:7">
      <c r="A157">
        <v>190</v>
      </c>
      <c r="B157" s="15" t="s">
        <v>52</v>
      </c>
      <c r="C157" s="15" t="s">
        <v>462</v>
      </c>
      <c r="D157" s="15" t="s">
        <v>285</v>
      </c>
      <c r="E157" s="15">
        <f>IF(ISNUMBER(VLOOKUP(C157,'Justice Spend Total'!C:AQ, 38, FALSE)),(VLOOKUP(C157,'Justice Spend Total'!C:AQ, 38, FALSE)), #N/A)</f>
        <v>2.8760157631548267</v>
      </c>
      <c r="F157" s="58">
        <f>IF(ISNUMBER(VLOOKUP(Table112[[#This Row],[Code]],'Edu &amp; Health Exp'!C:AA,20,FALSE)), (VLOOKUP(Table112[[#This Row],[Code]],'Edu &amp; Health Exp'!C:AA,20,FALSE)), #N/A)</f>
        <v>7.1724255287042098</v>
      </c>
      <c r="G157" s="58">
        <f>IF(ISNUMBER(VLOOKUP(Table112[[#This Row],[Code]],'Edu &amp; Health Exp'!C:AA,23,FALSE)), (VLOOKUP(Table112[[#This Row],[Code]],'Edu &amp; Health Exp'!C:AA,23,FALSE)), #N/A)</f>
        <v>9.2248345900000004</v>
      </c>
    </row>
    <row r="158" spans="1:7">
      <c r="A158">
        <v>193</v>
      </c>
      <c r="B158" s="15" t="s">
        <v>59</v>
      </c>
      <c r="C158" s="15" t="s">
        <v>463</v>
      </c>
      <c r="D158" s="15" t="s">
        <v>285</v>
      </c>
      <c r="E158" s="15">
        <f>IF(ISNUMBER(VLOOKUP(C158,'Justice Spend Total'!C:AQ, 38, FALSE)),(VLOOKUP(C158,'Justice Spend Total'!C:AQ, 38, FALSE)), #N/A)</f>
        <v>3.7817087899709736</v>
      </c>
      <c r="F158" s="58">
        <f>IF(ISNUMBER(VLOOKUP(Table112[[#This Row],[Code]],'Edu &amp; Health Exp'!C:AA,20,FALSE)), (VLOOKUP(Table112[[#This Row],[Code]],'Edu &amp; Health Exp'!C:AA,20,FALSE)), #N/A)</f>
        <v>7.7199521397783197</v>
      </c>
      <c r="G158" s="58">
        <f>IF(ISNUMBER(VLOOKUP(Table112[[#This Row],[Code]],'Edu &amp; Health Exp'!C:AA,23,FALSE)), (VLOOKUP(Table112[[#This Row],[Code]],'Edu &amp; Health Exp'!C:AA,23,FALSE)), #N/A)</f>
        <v>7.1604976799999989</v>
      </c>
    </row>
    <row r="159" spans="1:7">
      <c r="A159">
        <v>194</v>
      </c>
      <c r="B159" s="15" t="s">
        <v>49</v>
      </c>
      <c r="C159" s="15" t="s">
        <v>464</v>
      </c>
      <c r="D159" s="15" t="s">
        <v>285</v>
      </c>
      <c r="E159" s="15">
        <f>IF(ISNUMBER(VLOOKUP(C159,'Justice Spend Total'!C:AQ, 38, FALSE)),(VLOOKUP(C159,'Justice Spend Total'!C:AQ, 38, FALSE)), #N/A)</f>
        <v>1.8717948950808341</v>
      </c>
      <c r="F159" s="58">
        <f>IF(ISNUMBER(VLOOKUP(Table112[[#This Row],[Code]],'Edu &amp; Health Exp'!C:AA,20,FALSE)), (VLOOKUP(Table112[[#This Row],[Code]],'Edu &amp; Health Exp'!C:AA,20,FALSE)), #N/A)</f>
        <v>6.3809876624823296</v>
      </c>
      <c r="G159" s="58">
        <f>IF(ISNUMBER(VLOOKUP(Table112[[#This Row],[Code]],'Edu &amp; Health Exp'!C:AA,23,FALSE)), (VLOOKUP(Table112[[#This Row],[Code]],'Edu &amp; Health Exp'!C:AA,23,FALSE)), #N/A)</f>
        <v>8.2921766099999985</v>
      </c>
    </row>
    <row r="160" spans="1:7">
      <c r="A160">
        <v>195</v>
      </c>
      <c r="B160" s="15" t="s">
        <v>77</v>
      </c>
      <c r="C160" s="15" t="s">
        <v>465</v>
      </c>
      <c r="D160" s="15" t="s">
        <v>285</v>
      </c>
      <c r="E160" s="15">
        <f>IF(ISNUMBER(VLOOKUP(C160,'Justice Spend Total'!C:AQ, 38, FALSE)),(VLOOKUP(C160,'Justice Spend Total'!C:AQ, 38, FALSE)), #N/A)</f>
        <v>6.3624993202457985</v>
      </c>
      <c r="F160" s="58">
        <f>IF(ISNUMBER(VLOOKUP(Table112[[#This Row],[Code]],'Edu &amp; Health Exp'!C:AA,20,FALSE)), (VLOOKUP(Table112[[#This Row],[Code]],'Edu &amp; Health Exp'!C:AA,20,FALSE)), #N/A)</f>
        <v>6.0469854382291404</v>
      </c>
      <c r="G160" s="58">
        <f>IF(ISNUMBER(VLOOKUP(Table112[[#This Row],[Code]],'Edu &amp; Health Exp'!C:AA,23,FALSE)), (VLOOKUP(Table112[[#This Row],[Code]],'Edu &amp; Health Exp'!C:AA,23,FALSE)), #N/A)</f>
        <v>13.86552608</v>
      </c>
    </row>
    <row r="161" spans="1:7">
      <c r="A161">
        <v>196</v>
      </c>
      <c r="B161" s="15" t="s">
        <v>61</v>
      </c>
      <c r="C161" s="15" t="s">
        <v>466</v>
      </c>
      <c r="D161" s="15" t="s">
        <v>285</v>
      </c>
      <c r="E161" s="15">
        <f>IF(ISNUMBER(VLOOKUP(C161,'Justice Spend Total'!C:AQ, 38, FALSE)),(VLOOKUP(C161,'Justice Spend Total'!C:AQ, 38, FALSE)), #N/A)</f>
        <v>4.1719395809414452</v>
      </c>
      <c r="F161" s="58">
        <f>IF(ISNUMBER(VLOOKUP(Table112[[#This Row],[Code]],'Edu &amp; Health Exp'!C:AA,20,FALSE)), (VLOOKUP(Table112[[#This Row],[Code]],'Edu &amp; Health Exp'!C:AA,20,FALSE)), #N/A)</f>
        <v>3.1016233583376498</v>
      </c>
      <c r="G161" s="58">
        <f>IF(ISNUMBER(VLOOKUP(Table112[[#This Row],[Code]],'Edu &amp; Health Exp'!C:AA,23,FALSE)), (VLOOKUP(Table112[[#This Row],[Code]],'Edu &amp; Health Exp'!C:AA,23,FALSE)), #N/A)</f>
        <v>4.9813008499999993</v>
      </c>
    </row>
    <row r="162" spans="1:7">
      <c r="A162">
        <v>197</v>
      </c>
      <c r="B162" s="15" t="s">
        <v>54</v>
      </c>
      <c r="C162" s="15" t="s">
        <v>467</v>
      </c>
      <c r="D162" s="15" t="s">
        <v>285</v>
      </c>
      <c r="E162" s="15">
        <f>IF(ISNUMBER(VLOOKUP(C162,'Justice Spend Total'!C:AQ, 38, FALSE)),(VLOOKUP(C162,'Justice Spend Total'!C:AQ, 38, FALSE)), #N/A)</f>
        <v>2.9497514856108795</v>
      </c>
      <c r="F162" s="58">
        <f>IF(ISNUMBER(VLOOKUP(Table112[[#This Row],[Code]],'Edu &amp; Health Exp'!C:AA,20,FALSE)), (VLOOKUP(Table112[[#This Row],[Code]],'Edu &amp; Health Exp'!C:AA,20,FALSE)), #N/A)</f>
        <v>4.9739129756949296</v>
      </c>
      <c r="G162" s="58">
        <f>IF(ISNUMBER(VLOOKUP(Table112[[#This Row],[Code]],'Edu &amp; Health Exp'!C:AA,23,FALSE)), (VLOOKUP(Table112[[#This Row],[Code]],'Edu &amp; Health Exp'!C:AA,23,FALSE)), #N/A)</f>
        <v>4.5628734</v>
      </c>
    </row>
    <row r="163" spans="1:7">
      <c r="A163">
        <v>199</v>
      </c>
      <c r="B163" s="15" t="s">
        <v>51</v>
      </c>
      <c r="C163" s="15" t="s">
        <v>468</v>
      </c>
      <c r="D163" s="15" t="s">
        <v>285</v>
      </c>
      <c r="E163" s="15">
        <f>IF(ISNUMBER(VLOOKUP(C163,'Justice Spend Total'!C:AQ, 38, FALSE)),(VLOOKUP(C163,'Justice Spend Total'!C:AQ, 38, FALSE)), #N/A)</f>
        <v>2.59494485451527</v>
      </c>
      <c r="F163" s="58">
        <f>IF(ISNUMBER(VLOOKUP(Table112[[#This Row],[Code]],'Edu &amp; Health Exp'!C:AA,20,FALSE)), (VLOOKUP(Table112[[#This Row],[Code]],'Edu &amp; Health Exp'!C:AA,20,FALSE)), #N/A)</f>
        <v>5.90027684600624</v>
      </c>
      <c r="G163" s="58">
        <f>IF(ISNUMBER(VLOOKUP(Table112[[#This Row],[Code]],'Edu &amp; Health Exp'!C:AA,23,FALSE)), (VLOOKUP(Table112[[#This Row],[Code]],'Edu &amp; Health Exp'!C:AA,23,FALSE)), #N/A)</f>
        <v>9.0294264700000006</v>
      </c>
    </row>
    <row r="164" spans="1:7">
      <c r="A164">
        <v>200</v>
      </c>
      <c r="B164" s="15" t="s">
        <v>67</v>
      </c>
      <c r="C164" s="15" t="s">
        <v>469</v>
      </c>
      <c r="D164" s="15" t="s">
        <v>285</v>
      </c>
      <c r="E164" s="15">
        <f>IF(ISNUMBER(VLOOKUP(C164,'Justice Spend Total'!C:AQ, 38, FALSE)),(VLOOKUP(C164,'Justice Spend Total'!C:AQ, 38, FALSE)), #N/A)</f>
        <v>4.917265226815668</v>
      </c>
      <c r="F164" s="58">
        <f>IF(ISNUMBER(VLOOKUP(Table112[[#This Row],[Code]],'Edu &amp; Health Exp'!C:AA,20,FALSE)), (VLOOKUP(Table112[[#This Row],[Code]],'Edu &amp; Health Exp'!C:AA,20,FALSE)), #N/A)</f>
        <v>5.2237001543729402</v>
      </c>
      <c r="G164" s="58">
        <f>IF(ISNUMBER(VLOOKUP(Table112[[#This Row],[Code]],'Edu &amp; Health Exp'!C:AA,23,FALSE)), (VLOOKUP(Table112[[#This Row],[Code]],'Edu &amp; Health Exp'!C:AA,23,FALSE)), #N/A)</f>
        <v>7.5386671300000003</v>
      </c>
    </row>
  </sheetData>
  <pageMargins left="0.7" right="0.7" top="0.75" bottom="0.75" header="0.3" footer="0.3"/>
  <pageSetup paperSize="9" orientation="portrait" horizontalDpi="4294967292" verticalDpi="0"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DCD37-24E2-49CB-8F32-B10B75912EDA}">
  <dimension ref="A1:E3"/>
  <sheetViews>
    <sheetView workbookViewId="0">
      <selection sqref="A1:E3"/>
    </sheetView>
  </sheetViews>
  <sheetFormatPr defaultRowHeight="14.45"/>
  <sheetData>
    <row r="1" spans="1:5" ht="38.1" thickBot="1">
      <c r="A1" s="146"/>
      <c r="B1" s="147" t="s">
        <v>291</v>
      </c>
      <c r="C1" s="147" t="s">
        <v>292</v>
      </c>
      <c r="D1" s="147" t="s">
        <v>293</v>
      </c>
      <c r="E1" s="147" t="s">
        <v>294</v>
      </c>
    </row>
    <row r="2" spans="1:5" ht="15" thickBot="1">
      <c r="A2" s="148" t="s">
        <v>289</v>
      </c>
      <c r="B2" s="149">
        <v>7.4</v>
      </c>
      <c r="C2" s="149">
        <v>7.3</v>
      </c>
      <c r="D2" s="149">
        <v>7.5</v>
      </c>
      <c r="E2" s="149">
        <v>4.3</v>
      </c>
    </row>
    <row r="3" spans="1:5">
      <c r="A3" t="s">
        <v>635</v>
      </c>
      <c r="B3">
        <v>10</v>
      </c>
      <c r="C3">
        <v>9</v>
      </c>
      <c r="D3">
        <v>12</v>
      </c>
      <c r="E3">
        <v>15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C6487-8DE0-439A-B52B-E9E7877AA21A}">
  <dimension ref="A2:O33"/>
  <sheetViews>
    <sheetView workbookViewId="0">
      <selection activeCell="F3" sqref="F3"/>
    </sheetView>
  </sheetViews>
  <sheetFormatPr defaultColWidth="8.85546875" defaultRowHeight="14.45"/>
  <cols>
    <col min="1" max="1" width="14.5703125" customWidth="1"/>
    <col min="2" max="2" width="15.42578125" customWidth="1"/>
  </cols>
  <sheetData>
    <row r="2" spans="1:15" ht="18.600000000000001">
      <c r="E2" s="141" t="s">
        <v>46</v>
      </c>
    </row>
    <row r="3" spans="1:15">
      <c r="A3" t="s">
        <v>47</v>
      </c>
      <c r="B3" t="s">
        <v>48</v>
      </c>
      <c r="I3" s="34"/>
      <c r="J3" s="34"/>
      <c r="K3" s="34"/>
      <c r="L3" s="34"/>
      <c r="M3" s="34"/>
      <c r="N3" s="34"/>
      <c r="O3" s="34"/>
    </row>
    <row r="4" spans="1:15">
      <c r="A4" t="s">
        <v>49</v>
      </c>
      <c r="B4" s="16">
        <f>IF(ISNUMBER(VLOOKUP($A4,'Justice Spend Total'!$B:$AY, 22,FALSE)),VLOOKUP($A4,'Justice Spend Total'!$B:$AY, 22,FALSE),#N/A)</f>
        <v>1.8717948950808341</v>
      </c>
      <c r="C4" s="15">
        <f>MEDIAN(B$4:B$32)</f>
        <v>4.2647744835080026</v>
      </c>
      <c r="D4" s="15"/>
      <c r="E4" s="15"/>
      <c r="F4" s="15"/>
      <c r="G4" s="15"/>
      <c r="H4" s="15"/>
      <c r="I4" s="4"/>
      <c r="J4" s="4"/>
      <c r="K4" s="4"/>
      <c r="L4" s="4"/>
      <c r="M4" s="4"/>
      <c r="N4" s="4"/>
      <c r="O4" s="4"/>
    </row>
    <row r="5" spans="1:15">
      <c r="A5" t="s">
        <v>50</v>
      </c>
      <c r="B5" s="16">
        <f>IF(ISNUMBER(VLOOKUP($A5,'Justice Spend Total'!$B:$AY, 22,FALSE)),VLOOKUP($A5,'Justice Spend Total'!$B:$AY, 22,FALSE),#N/A)</f>
        <v>2.2688017089777439</v>
      </c>
      <c r="C5" s="15">
        <f t="shared" ref="C5:C32" si="0">MEDIAN(B$4:B$32)</f>
        <v>4.2647744835080026</v>
      </c>
      <c r="D5" s="15"/>
      <c r="E5" s="15"/>
      <c r="F5" s="15"/>
      <c r="G5" s="15"/>
      <c r="H5" s="15"/>
      <c r="I5" s="4"/>
      <c r="J5" s="4"/>
      <c r="K5" s="4"/>
      <c r="L5" s="4"/>
      <c r="M5" s="4"/>
      <c r="N5" s="4"/>
      <c r="O5" s="4"/>
    </row>
    <row r="6" spans="1:15">
      <c r="A6" t="s">
        <v>51</v>
      </c>
      <c r="B6" s="16">
        <f>IF(ISNUMBER(VLOOKUP($A6,'Justice Spend Total'!$B:$AY, 22,FALSE)),VLOOKUP($A6,'Justice Spend Total'!$B:$AY, 22,FALSE),#N/A)</f>
        <v>2.59494485451527</v>
      </c>
      <c r="C6" s="15">
        <f t="shared" si="0"/>
        <v>4.2647744835080026</v>
      </c>
      <c r="D6" s="15"/>
      <c r="E6" s="15"/>
      <c r="F6" s="15"/>
      <c r="G6" s="15"/>
      <c r="H6" s="15"/>
      <c r="I6" s="4"/>
      <c r="J6" s="4"/>
      <c r="K6" s="4"/>
      <c r="L6" s="4"/>
      <c r="M6" s="4"/>
      <c r="N6" s="4"/>
      <c r="O6" s="4"/>
    </row>
    <row r="7" spans="1:15">
      <c r="A7" t="s">
        <v>52</v>
      </c>
      <c r="B7" s="16">
        <f>IF(ISNUMBER(VLOOKUP($A7,'Justice Spend Total'!$B:$AY, 22,FALSE)),VLOOKUP($A7,'Justice Spend Total'!$B:$AY, 22,FALSE),#N/A)</f>
        <v>2.8760157631548267</v>
      </c>
      <c r="C7" s="15">
        <f t="shared" si="0"/>
        <v>4.2647744835080026</v>
      </c>
      <c r="D7" s="15"/>
      <c r="E7" s="15"/>
      <c r="F7" s="15"/>
      <c r="G7" s="15"/>
      <c r="H7" s="15"/>
      <c r="I7" s="4"/>
      <c r="J7" s="4"/>
      <c r="K7" s="4"/>
      <c r="L7" s="4"/>
      <c r="M7" s="4"/>
      <c r="N7" s="4"/>
      <c r="O7" s="4"/>
    </row>
    <row r="8" spans="1:15">
      <c r="A8" t="s">
        <v>53</v>
      </c>
      <c r="B8" s="16">
        <f>IF(ISNUMBER(VLOOKUP($A8,'Justice Spend Total'!$B:$AY, 22,FALSE)),VLOOKUP($A8,'Justice Spend Total'!$B:$AY, 22,FALSE),#N/A)</f>
        <v>2.9337578452132038</v>
      </c>
      <c r="C8" s="15">
        <f t="shared" si="0"/>
        <v>4.2647744835080026</v>
      </c>
      <c r="D8" s="15"/>
      <c r="E8" s="15"/>
      <c r="F8" s="15"/>
      <c r="G8" s="15"/>
      <c r="H8" s="15"/>
      <c r="I8" s="4"/>
      <c r="J8" s="4"/>
      <c r="K8" s="4"/>
      <c r="L8" s="4"/>
      <c r="M8" s="4"/>
      <c r="N8" s="4"/>
      <c r="O8" s="4"/>
    </row>
    <row r="9" spans="1:15">
      <c r="A9" t="s">
        <v>54</v>
      </c>
      <c r="B9" s="16">
        <f>IF(ISNUMBER(VLOOKUP($A9,'Justice Spend Total'!$B:$AY, 22,FALSE)),VLOOKUP($A9,'Justice Spend Total'!$B:$AY, 22,FALSE),#N/A)</f>
        <v>2.9497514856108795</v>
      </c>
      <c r="C9" s="15">
        <f t="shared" si="0"/>
        <v>4.2647744835080026</v>
      </c>
      <c r="D9" s="15"/>
      <c r="E9" s="15"/>
      <c r="F9" s="15"/>
      <c r="G9" s="15"/>
      <c r="H9" s="15"/>
      <c r="I9" s="4"/>
      <c r="J9" s="4"/>
      <c r="K9" s="4"/>
      <c r="L9" s="4"/>
      <c r="M9" s="4"/>
      <c r="N9" s="4"/>
      <c r="O9" s="4"/>
    </row>
    <row r="10" spans="1:15">
      <c r="A10" t="s">
        <v>55</v>
      </c>
      <c r="B10" s="16">
        <f>IF(ISNUMBER(VLOOKUP($A10,'Justice Spend Total'!$B:$AY, 22,FALSE)),VLOOKUP($A10,'Justice Spend Total'!$B:$AY, 22,FALSE),#N/A)</f>
        <v>3.3586684324843326</v>
      </c>
      <c r="C10" s="15">
        <f t="shared" si="0"/>
        <v>4.2647744835080026</v>
      </c>
      <c r="D10" s="15"/>
      <c r="E10" s="15"/>
      <c r="F10" s="15"/>
      <c r="G10" s="15"/>
      <c r="H10" s="15"/>
      <c r="I10" s="4"/>
      <c r="J10" s="4"/>
      <c r="K10" s="4"/>
      <c r="L10" s="4"/>
      <c r="M10" s="4"/>
      <c r="N10" s="4"/>
      <c r="O10" s="4"/>
    </row>
    <row r="11" spans="1:15">
      <c r="A11" t="s">
        <v>56</v>
      </c>
      <c r="B11" s="16">
        <f>IF(ISNUMBER(VLOOKUP($A11,'Justice Spend Total'!$B:$AY, 22,FALSE)),VLOOKUP($A11,'Justice Spend Total'!$B:$AY, 22,FALSE),#N/A)</f>
        <v>3.5912676468270579</v>
      </c>
      <c r="C11" s="15">
        <f t="shared" si="0"/>
        <v>4.2647744835080026</v>
      </c>
      <c r="D11" s="15"/>
      <c r="E11" s="15"/>
      <c r="F11" s="15"/>
      <c r="G11" s="15"/>
      <c r="H11" s="15"/>
      <c r="I11" s="4"/>
      <c r="J11" s="4"/>
      <c r="K11" s="4"/>
      <c r="L11" s="4"/>
      <c r="M11" s="4"/>
      <c r="N11" s="4"/>
      <c r="O11" s="4"/>
    </row>
    <row r="12" spans="1:15">
      <c r="A12" t="s">
        <v>57</v>
      </c>
      <c r="B12" s="16">
        <f>IF(ISNUMBER(VLOOKUP($A12,'Justice Spend Total'!$B:$AY, 22,FALSE)),VLOOKUP($A12,'Justice Spend Total'!$B:$AY, 22,FALSE),#N/A)</f>
        <v>3.6215735478668494</v>
      </c>
      <c r="C12" s="15">
        <f t="shared" si="0"/>
        <v>4.2647744835080026</v>
      </c>
      <c r="D12" s="15"/>
      <c r="E12" s="15"/>
      <c r="F12" s="15"/>
      <c r="G12" s="15"/>
      <c r="H12" s="15"/>
      <c r="I12" s="4"/>
      <c r="J12" s="4"/>
      <c r="K12" s="4"/>
      <c r="L12" s="4"/>
      <c r="M12" s="4"/>
      <c r="N12" s="4"/>
      <c r="O12" s="4"/>
    </row>
    <row r="13" spans="1:15">
      <c r="A13" t="s">
        <v>58</v>
      </c>
      <c r="B13" s="16">
        <f>IF(ISNUMBER(VLOOKUP($A13,'Justice Spend Total'!$B:$AY, 22,FALSE)),VLOOKUP($A13,'Justice Spend Total'!$B:$AY, 22,FALSE),#N/A)</f>
        <v>3.6316378268193934</v>
      </c>
      <c r="C13" s="15">
        <f t="shared" si="0"/>
        <v>4.2647744835080026</v>
      </c>
      <c r="D13" s="15"/>
      <c r="E13" s="15"/>
      <c r="F13" s="15"/>
      <c r="G13" s="15"/>
      <c r="H13" s="15"/>
      <c r="I13" s="4"/>
      <c r="J13" s="4"/>
      <c r="K13" s="4"/>
      <c r="L13" s="4"/>
      <c r="M13" s="4"/>
      <c r="N13" s="4"/>
      <c r="O13" s="4"/>
    </row>
    <row r="14" spans="1:15">
      <c r="A14" t="s">
        <v>59</v>
      </c>
      <c r="B14" s="16">
        <f>IF(ISNUMBER(VLOOKUP($A14,'Justice Spend Total'!$B:$AY, 22,FALSE)),VLOOKUP($A14,'Justice Spend Total'!$B:$AY, 22,FALSE),#N/A)</f>
        <v>3.7817087899709736</v>
      </c>
      <c r="C14" s="15">
        <f t="shared" si="0"/>
        <v>4.2647744835080026</v>
      </c>
      <c r="D14" s="15"/>
      <c r="E14" s="15"/>
      <c r="F14" s="15"/>
      <c r="G14" s="15"/>
      <c r="H14" s="15"/>
      <c r="I14" s="4"/>
      <c r="J14" s="4"/>
      <c r="K14" s="4"/>
      <c r="L14" s="4"/>
      <c r="M14" s="4"/>
      <c r="N14" s="4"/>
      <c r="O14" s="4"/>
    </row>
    <row r="15" spans="1:15">
      <c r="A15" t="s">
        <v>60</v>
      </c>
      <c r="B15" s="16">
        <f>IF(ISNUMBER(VLOOKUP($A15,'Justice Spend Total'!$B:$AY, 22,FALSE)),VLOOKUP($A15,'Justice Spend Total'!$B:$AY, 22,FALSE),#N/A)</f>
        <v>3.9926879257798338</v>
      </c>
      <c r="C15" s="15">
        <f t="shared" si="0"/>
        <v>4.2647744835080026</v>
      </c>
      <c r="D15" s="15"/>
      <c r="E15" s="15"/>
      <c r="F15" s="15"/>
      <c r="G15" s="15"/>
      <c r="H15" s="15"/>
      <c r="I15" s="4"/>
      <c r="J15" s="4"/>
      <c r="K15" s="4"/>
      <c r="L15" s="4"/>
      <c r="M15" s="4"/>
      <c r="N15" s="4"/>
      <c r="O15" s="4"/>
    </row>
    <row r="16" spans="1:15">
      <c r="A16" t="s">
        <v>61</v>
      </c>
      <c r="B16" s="16">
        <f>IF(ISNUMBER(VLOOKUP($A16,'Justice Spend Total'!$B:$AY, 22,FALSE)),VLOOKUP($A16,'Justice Spend Total'!$B:$AY, 22,FALSE),#N/A)</f>
        <v>4.1719395809414452</v>
      </c>
      <c r="C16" s="15">
        <f t="shared" si="0"/>
        <v>4.2647744835080026</v>
      </c>
      <c r="D16" s="15"/>
      <c r="E16" s="15"/>
      <c r="F16" s="15"/>
      <c r="G16" s="15"/>
      <c r="H16" s="15"/>
      <c r="I16" s="4"/>
      <c r="J16" s="4"/>
      <c r="K16" s="4"/>
      <c r="L16" s="4"/>
      <c r="M16" s="4"/>
      <c r="N16" s="4"/>
      <c r="O16" s="4"/>
    </row>
    <row r="17" spans="1:15">
      <c r="A17" t="s">
        <v>62</v>
      </c>
      <c r="B17" s="16">
        <f>IF(ISNUMBER(VLOOKUP($A17,'Justice Spend Total'!$B:$AY, 22,FALSE)),VLOOKUP($A17,'Justice Spend Total'!$B:$AY, 22,FALSE),#N/A)</f>
        <v>4.2070412482048241</v>
      </c>
      <c r="C17" s="15">
        <f t="shared" si="0"/>
        <v>4.2647744835080026</v>
      </c>
      <c r="D17" s="15"/>
      <c r="E17" s="15"/>
      <c r="F17" s="15"/>
      <c r="G17" s="15"/>
      <c r="H17" s="15"/>
      <c r="I17" s="4"/>
      <c r="J17" s="4"/>
      <c r="K17" s="4"/>
      <c r="L17" s="4"/>
      <c r="M17" s="4"/>
      <c r="N17" s="4"/>
      <c r="O17" s="4"/>
    </row>
    <row r="18" spans="1:15">
      <c r="A18" t="s">
        <v>63</v>
      </c>
      <c r="B18" s="16">
        <f>IF(ISNUMBER(VLOOKUP($A18,'Justice Spend Total'!$B:$AY, 22,FALSE)),VLOOKUP($A18,'Justice Spend Total'!$B:$AY, 22,FALSE),#N/A)</f>
        <v>4.2647744835080026</v>
      </c>
      <c r="C18" s="15">
        <f t="shared" si="0"/>
        <v>4.2647744835080026</v>
      </c>
      <c r="D18" s="15"/>
      <c r="E18" s="15"/>
      <c r="F18" s="15"/>
      <c r="G18" s="15"/>
      <c r="H18" s="15"/>
      <c r="I18" s="4"/>
      <c r="J18" s="4"/>
      <c r="K18" s="4"/>
      <c r="L18" s="4"/>
      <c r="M18" s="4"/>
      <c r="N18" s="4"/>
      <c r="O18" s="4"/>
    </row>
    <row r="19" spans="1:15">
      <c r="A19" t="s">
        <v>64</v>
      </c>
      <c r="B19" s="16">
        <f>IF(ISNUMBER(VLOOKUP($A19,'Justice Spend Total'!$B:$AY, 22,FALSE)),VLOOKUP($A19,'Justice Spend Total'!$B:$AY, 22,FALSE),#N/A)</f>
        <v>4.5190995076261862</v>
      </c>
      <c r="C19" s="15">
        <f t="shared" si="0"/>
        <v>4.2647744835080026</v>
      </c>
      <c r="D19" s="15"/>
      <c r="E19" s="15"/>
      <c r="F19" s="15"/>
      <c r="G19" s="15"/>
      <c r="H19" s="15"/>
      <c r="I19" s="4"/>
      <c r="J19" s="4"/>
      <c r="K19" s="4"/>
      <c r="L19" s="4"/>
      <c r="M19" s="4"/>
      <c r="N19" s="4"/>
      <c r="O19" s="4"/>
    </row>
    <row r="20" spans="1:15">
      <c r="A20" t="s">
        <v>65</v>
      </c>
      <c r="B20" s="16">
        <f>IF(ISNUMBER(VLOOKUP($A20,'Justice Spend Total'!$B:$AY, 22,FALSE)),VLOOKUP($A20,'Justice Spend Total'!$B:$AY, 22,FALSE),#N/A)</f>
        <v>4.814678045888118</v>
      </c>
      <c r="C20" s="15">
        <f t="shared" si="0"/>
        <v>4.2647744835080026</v>
      </c>
      <c r="D20" s="15"/>
      <c r="E20" s="15"/>
      <c r="F20" s="15"/>
      <c r="G20" s="15"/>
      <c r="H20" s="15"/>
      <c r="I20" s="4"/>
      <c r="J20" s="4"/>
      <c r="K20" s="4"/>
      <c r="L20" s="4"/>
      <c r="M20" s="4"/>
      <c r="N20" s="4"/>
      <c r="O20" s="4"/>
    </row>
    <row r="21" spans="1:15">
      <c r="A21" t="s">
        <v>66</v>
      </c>
      <c r="B21" s="16">
        <f>IF(ISNUMBER(VLOOKUP($A21,'Justice Spend Total'!$B:$AY, 22,FALSE)),VLOOKUP($A21,'Justice Spend Total'!$B:$AY, 22,FALSE),#N/A)</f>
        <v>4.8244359369198815</v>
      </c>
      <c r="C21" s="15">
        <f t="shared" si="0"/>
        <v>4.2647744835080026</v>
      </c>
      <c r="D21" s="15"/>
      <c r="E21" s="15"/>
      <c r="F21" s="15"/>
      <c r="G21" s="15"/>
      <c r="H21" s="15"/>
      <c r="I21" s="4"/>
      <c r="J21" s="4"/>
      <c r="K21" s="4"/>
      <c r="L21" s="4"/>
      <c r="M21" s="4"/>
      <c r="N21" s="4"/>
      <c r="O21" s="4"/>
    </row>
    <row r="22" spans="1:15">
      <c r="A22" t="s">
        <v>67</v>
      </c>
      <c r="B22" s="16">
        <f>IF(ISNUMBER(VLOOKUP($A22,'Justice Spend Total'!$B:$AY, 22,FALSE)),VLOOKUP($A22,'Justice Spend Total'!$B:$AY, 22,FALSE),#N/A)</f>
        <v>4.917265226815668</v>
      </c>
      <c r="C22" s="15">
        <f t="shared" si="0"/>
        <v>4.2647744835080026</v>
      </c>
      <c r="D22" s="15"/>
      <c r="E22" s="15"/>
      <c r="F22" s="15"/>
      <c r="G22" s="15"/>
      <c r="H22" s="15"/>
      <c r="I22" s="4"/>
      <c r="J22" s="4"/>
      <c r="K22" s="4"/>
      <c r="L22" s="4"/>
      <c r="M22" s="4"/>
      <c r="N22" s="4"/>
      <c r="O22" s="4"/>
    </row>
    <row r="23" spans="1:15">
      <c r="A23" t="s">
        <v>68</v>
      </c>
      <c r="B23" s="16">
        <f>IF(ISNUMBER(VLOOKUP($A23,'Justice Spend Total'!$B:$AY, 22,FALSE)),VLOOKUP($A23,'Justice Spend Total'!$B:$AY, 22,FALSE),#N/A)</f>
        <v>4.9827226697495757</v>
      </c>
      <c r="C23" s="15">
        <f t="shared" si="0"/>
        <v>4.2647744835080026</v>
      </c>
      <c r="D23" s="15"/>
      <c r="E23" s="15"/>
      <c r="F23" s="15"/>
      <c r="G23" s="15"/>
      <c r="H23" s="15"/>
      <c r="I23" s="4"/>
      <c r="J23" s="4"/>
      <c r="K23" s="4"/>
      <c r="L23" s="4"/>
      <c r="M23" s="4"/>
      <c r="N23" s="4"/>
      <c r="O23" s="4"/>
    </row>
    <row r="24" spans="1:15">
      <c r="A24" t="s">
        <v>69</v>
      </c>
      <c r="B24" s="16">
        <f>IF(ISNUMBER(VLOOKUP($A24,'Justice Spend Total'!$B:$AY, 22,FALSE)),VLOOKUP($A24,'Justice Spend Total'!$B:$AY, 22,FALSE),#N/A)</f>
        <v>5.0253753800642604</v>
      </c>
      <c r="C24" s="15">
        <f t="shared" si="0"/>
        <v>4.2647744835080026</v>
      </c>
      <c r="D24" s="15"/>
      <c r="E24" s="15"/>
      <c r="F24" s="15"/>
      <c r="G24" s="15"/>
      <c r="H24" s="15"/>
      <c r="I24" s="4"/>
      <c r="J24" s="4"/>
      <c r="K24" s="4"/>
      <c r="L24" s="4"/>
      <c r="M24" s="4"/>
      <c r="N24" s="4"/>
      <c r="O24" s="4"/>
    </row>
    <row r="25" spans="1:15">
      <c r="A25" t="s">
        <v>70</v>
      </c>
      <c r="B25" s="16">
        <f>IF(ISNUMBER(VLOOKUP($A25,'Justice Spend Total'!$B:$AY, 22,FALSE)),VLOOKUP($A25,'Justice Spend Total'!$B:$AY, 22,FALSE),#N/A)</f>
        <v>5.1339470741581055</v>
      </c>
      <c r="C25" s="15">
        <f t="shared" si="0"/>
        <v>4.2647744835080026</v>
      </c>
      <c r="D25" s="15"/>
      <c r="E25" s="15"/>
      <c r="F25" s="15"/>
      <c r="G25" s="15"/>
      <c r="H25" s="15"/>
      <c r="I25" s="4"/>
      <c r="J25" s="4"/>
      <c r="K25" s="4"/>
      <c r="L25" s="4"/>
      <c r="M25" s="4"/>
      <c r="N25" s="4"/>
      <c r="O25" s="4"/>
    </row>
    <row r="26" spans="1:15">
      <c r="A26" t="s">
        <v>71</v>
      </c>
      <c r="B26" s="16">
        <f>IF(ISNUMBER(VLOOKUP($A26,'Justice Spend Total'!$B:$AY, 22,FALSE)),VLOOKUP($A26,'Justice Spend Total'!$B:$AY, 22,FALSE),#N/A)</f>
        <v>5.1822363589645422</v>
      </c>
      <c r="C26" s="15">
        <f t="shared" si="0"/>
        <v>4.2647744835080026</v>
      </c>
      <c r="D26" s="15"/>
      <c r="E26" s="15"/>
      <c r="F26" s="15"/>
      <c r="G26" s="15"/>
      <c r="H26" s="15"/>
      <c r="I26" s="4"/>
      <c r="J26" s="4"/>
      <c r="K26" s="4"/>
      <c r="L26" s="4"/>
      <c r="M26" s="4"/>
      <c r="N26" s="4"/>
      <c r="O26" s="4"/>
    </row>
    <row r="27" spans="1:15">
      <c r="A27" t="s">
        <v>72</v>
      </c>
      <c r="B27" s="16">
        <f>IF(ISNUMBER(VLOOKUP($A27,'Justice Spend Total'!$B:$AY, 22,FALSE)),VLOOKUP($A27,'Justice Spend Total'!$B:$AY, 22,FALSE),#N/A)</f>
        <v>5.4670681658715186</v>
      </c>
      <c r="C27" s="15">
        <f t="shared" si="0"/>
        <v>4.2647744835080026</v>
      </c>
      <c r="D27" s="15"/>
      <c r="E27" s="15"/>
      <c r="F27" s="15"/>
      <c r="G27" s="15"/>
      <c r="H27" s="15"/>
      <c r="I27" s="4"/>
      <c r="J27" s="4"/>
      <c r="K27" s="4"/>
      <c r="L27" s="4"/>
      <c r="M27" s="4"/>
      <c r="N27" s="4"/>
      <c r="O27" s="4"/>
    </row>
    <row r="28" spans="1:15">
      <c r="A28" t="s">
        <v>73</v>
      </c>
      <c r="B28" s="16">
        <f>'COFOG_OECD DAC_HIST'!W120</f>
        <v>5.5826616010953236</v>
      </c>
      <c r="C28" s="15">
        <f t="shared" si="0"/>
        <v>4.2647744835080026</v>
      </c>
      <c r="D28" s="15"/>
      <c r="E28" s="15"/>
      <c r="F28" s="15"/>
      <c r="G28" s="15"/>
      <c r="H28" s="15"/>
      <c r="I28" s="4"/>
      <c r="J28" s="4"/>
      <c r="K28" s="4"/>
      <c r="L28" s="4"/>
      <c r="M28" s="4"/>
      <c r="N28" s="4"/>
      <c r="O28" s="4"/>
    </row>
    <row r="29" spans="1:15">
      <c r="A29" t="s">
        <v>74</v>
      </c>
      <c r="B29" s="16">
        <f>IF(ISNUMBER(VLOOKUP($A29,'Justice Spend Total'!$B:$AY, 22,FALSE)),VLOOKUP($A29,'Justice Spend Total'!$B:$AY, 22,FALSE),#N/A)</f>
        <v>5.5920195991271333</v>
      </c>
      <c r="C29" s="15">
        <f t="shared" si="0"/>
        <v>4.2647744835080026</v>
      </c>
      <c r="D29" s="15"/>
      <c r="E29" s="15"/>
      <c r="F29" s="15"/>
      <c r="G29" s="15"/>
      <c r="H29" s="15"/>
      <c r="I29" s="4"/>
      <c r="J29" s="4"/>
      <c r="K29" s="4"/>
      <c r="L29" s="4"/>
      <c r="M29" s="4"/>
      <c r="N29" s="4"/>
      <c r="O29" s="4"/>
    </row>
    <row r="30" spans="1:15">
      <c r="A30" t="s">
        <v>75</v>
      </c>
      <c r="B30" s="16">
        <f>IF(ISNUMBER(VLOOKUP($A30,'Justice Spend Total'!$B:$AY, 22,FALSE)),VLOOKUP($A30,'Justice Spend Total'!$B:$AY, 22,FALSE),#N/A)</f>
        <v>5.6499465673918348</v>
      </c>
      <c r="C30" s="15">
        <f t="shared" si="0"/>
        <v>4.2647744835080026</v>
      </c>
      <c r="D30" s="15"/>
      <c r="E30" s="15"/>
      <c r="F30" s="15"/>
      <c r="G30" s="15"/>
      <c r="H30" s="15"/>
      <c r="I30" s="4"/>
      <c r="J30" s="4"/>
      <c r="K30" s="4"/>
      <c r="L30" s="4"/>
      <c r="M30" s="4"/>
      <c r="N30" s="4"/>
      <c r="O30" s="4"/>
    </row>
    <row r="31" spans="1:15">
      <c r="A31" t="s">
        <v>76</v>
      </c>
      <c r="B31" s="16">
        <f>IF(ISNUMBER(VLOOKUP($A31,'Justice Spend Total'!$B:$AY, 22,FALSE)),VLOOKUP($A31,'Justice Spend Total'!$B:$AY, 22,FALSE),#N/A)</f>
        <v>6.2488653886606258</v>
      </c>
      <c r="C31" s="15">
        <f t="shared" si="0"/>
        <v>4.2647744835080026</v>
      </c>
      <c r="D31" s="15"/>
      <c r="E31" s="15"/>
      <c r="F31" s="15"/>
      <c r="G31" s="15"/>
      <c r="H31" s="15"/>
      <c r="I31" s="4"/>
      <c r="J31" s="4"/>
      <c r="K31" s="4"/>
      <c r="L31" s="4"/>
      <c r="M31" s="4"/>
      <c r="N31" s="4"/>
      <c r="O31" s="4"/>
    </row>
    <row r="32" spans="1:15">
      <c r="A32" t="s">
        <v>77</v>
      </c>
      <c r="B32" s="16">
        <f>'COFOG_OECD DAC_HIST'!X133</f>
        <v>6.3624993202457985</v>
      </c>
      <c r="C32" s="15">
        <f t="shared" si="0"/>
        <v>4.2647744835080026</v>
      </c>
      <c r="D32" s="15"/>
      <c r="E32" s="15"/>
      <c r="F32" s="15"/>
      <c r="G32" s="15"/>
      <c r="H32" s="15"/>
      <c r="I32" s="4"/>
      <c r="J32" s="4"/>
      <c r="K32" s="4"/>
      <c r="L32" s="4"/>
      <c r="M32" s="4"/>
      <c r="N32" s="4"/>
      <c r="O32" s="4"/>
    </row>
    <row r="33" spans="9:15">
      <c r="I33" s="11"/>
      <c r="J33" s="11"/>
      <c r="K33" s="11"/>
      <c r="L33" s="11"/>
      <c r="M33" s="11"/>
      <c r="N33" s="11"/>
      <c r="O33" s="11"/>
    </row>
  </sheetData>
  <sortState xmlns:xlrd2="http://schemas.microsoft.com/office/spreadsheetml/2017/richdata2" ref="A4:B32">
    <sortCondition ref="B4:B32"/>
  </sortState>
  <pageMargins left="0.7" right="0.7" top="0.75" bottom="0.75" header="0.3" footer="0.3"/>
  <pageSetup paperSize="9" orientation="portrait" horizontalDpi="4294967292"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88B03-1682-4AFD-A793-450E65691AF9}">
  <dimension ref="A1:E164"/>
  <sheetViews>
    <sheetView topLeftCell="D1" workbookViewId="0">
      <selection activeCell="J45" sqref="J45"/>
    </sheetView>
  </sheetViews>
  <sheetFormatPr defaultColWidth="8.85546875" defaultRowHeight="14.45"/>
  <cols>
    <col min="2" max="2" width="11.140625" customWidth="1"/>
    <col min="4" max="4" width="15.28515625" customWidth="1"/>
    <col min="5" max="5" width="15.42578125" customWidth="1"/>
  </cols>
  <sheetData>
    <row r="1" spans="1:5">
      <c r="E1" t="s">
        <v>636</v>
      </c>
    </row>
    <row r="2" spans="1:5">
      <c r="A2" s="1" t="s">
        <v>302</v>
      </c>
      <c r="B2" s="75" t="s">
        <v>47</v>
      </c>
      <c r="C2" s="75" t="s">
        <v>303</v>
      </c>
      <c r="D2" s="75" t="s">
        <v>304</v>
      </c>
      <c r="E2" s="75" t="s">
        <v>289</v>
      </c>
    </row>
    <row r="3" spans="1:5">
      <c r="A3">
        <v>1</v>
      </c>
      <c r="B3" s="15" t="s">
        <v>93</v>
      </c>
      <c r="C3" s="15" t="s">
        <v>305</v>
      </c>
      <c r="D3" s="15" t="s">
        <v>306</v>
      </c>
      <c r="E3" s="15">
        <f>IF(ISNUMBER(VLOOKUP(C3,'Justice Spend Total'!C:AU, 45, FALSE)),(VLOOKUP(C3,'Justice Spend Total'!C:AU, 45, FALSE)), #N/A)</f>
        <v>8.3744690822712524</v>
      </c>
    </row>
    <row r="4" spans="1:5">
      <c r="A4">
        <v>2</v>
      </c>
      <c r="B4" s="15" t="s">
        <v>94</v>
      </c>
      <c r="C4" s="15" t="s">
        <v>307</v>
      </c>
      <c r="D4" s="15" t="s">
        <v>306</v>
      </c>
      <c r="E4" s="15">
        <f>IF(ISNUMBER(VLOOKUP(C4,'Justice Spend Total'!C:AU, 45, FALSE)),(VLOOKUP(C4,'Justice Spend Total'!C:AU, 45, FALSE)), #N/A)</f>
        <v>6.7521990593651857</v>
      </c>
    </row>
    <row r="5" spans="1:5">
      <c r="A5">
        <v>3</v>
      </c>
      <c r="B5" s="15" t="s">
        <v>95</v>
      </c>
      <c r="C5" s="15" t="s">
        <v>308</v>
      </c>
      <c r="D5" s="15" t="s">
        <v>306</v>
      </c>
      <c r="E5" s="15">
        <f>IF(ISNUMBER(VLOOKUP(C5,'Justice Spend Total'!C:AU, 45, FALSE)),(VLOOKUP(C5,'Justice Spend Total'!C:AU, 45, FALSE)), #N/A)</f>
        <v>19.944033469093732</v>
      </c>
    </row>
    <row r="6" spans="1:5">
      <c r="A6">
        <v>4</v>
      </c>
      <c r="B6" s="15" t="s">
        <v>96</v>
      </c>
      <c r="C6" s="15" t="s">
        <v>309</v>
      </c>
      <c r="D6" s="15" t="s">
        <v>306</v>
      </c>
      <c r="E6" s="15">
        <f>IF(ISNUMBER(VLOOKUP(C6,'Justice Spend Total'!C:AU, 45, FALSE)),(VLOOKUP(C6,'Justice Spend Total'!C:AU, 45, FALSE)), #N/A)</f>
        <v>43.977195858513298</v>
      </c>
    </row>
    <row r="7" spans="1:5">
      <c r="A7">
        <v>5</v>
      </c>
      <c r="B7" s="15" t="s">
        <v>97</v>
      </c>
      <c r="C7" s="15" t="s">
        <v>310</v>
      </c>
      <c r="D7" s="15" t="s">
        <v>306</v>
      </c>
      <c r="E7" s="15">
        <f>IF(ISNUMBER(VLOOKUP(C7,'Justice Spend Total'!C:AU, 45, FALSE)),(VLOOKUP(C7,'Justice Spend Total'!C:AU, 45, FALSE)), #N/A)</f>
        <v>7.296149017192409</v>
      </c>
    </row>
    <row r="8" spans="1:5">
      <c r="A8">
        <v>6</v>
      </c>
      <c r="B8" s="15" t="s">
        <v>98</v>
      </c>
      <c r="C8" s="15" t="s">
        <v>311</v>
      </c>
      <c r="D8" s="15" t="s">
        <v>306</v>
      </c>
      <c r="E8" s="15">
        <f>IF(ISNUMBER(VLOOKUP(C8,'Justice Spend Total'!C:AU, 45, FALSE)),(VLOOKUP(C8,'Justice Spend Total'!C:AU, 45, FALSE)), #N/A)</f>
        <v>8.700938728386225</v>
      </c>
    </row>
    <row r="9" spans="1:5" ht="15" customHeight="1">
      <c r="A9">
        <v>7</v>
      </c>
      <c r="B9" t="s">
        <v>99</v>
      </c>
      <c r="C9" t="s">
        <v>312</v>
      </c>
      <c r="D9" t="s">
        <v>306</v>
      </c>
      <c r="E9" s="15">
        <f>IF(ISNUMBER(VLOOKUP(C9,'Justice Spend Total'!C:AU, 45, FALSE)),(VLOOKUP(C9,'Justice Spend Total'!C:AU, 45, FALSE)), #N/A)</f>
        <v>7.6151907235648553</v>
      </c>
    </row>
    <row r="10" spans="1:5">
      <c r="A10">
        <v>8</v>
      </c>
      <c r="B10" s="15" t="s">
        <v>100</v>
      </c>
      <c r="C10" s="15" t="s">
        <v>313</v>
      </c>
      <c r="D10" s="15" t="s">
        <v>306</v>
      </c>
      <c r="E10" s="15">
        <f>IF(ISNUMBER(VLOOKUP(C10,'Justice Spend Total'!C:AU, 45, FALSE)),(VLOOKUP(C10,'Justice Spend Total'!C:AU, 45, FALSE)), #N/A)</f>
        <v>5.1464327220244162</v>
      </c>
    </row>
    <row r="11" spans="1:5">
      <c r="A11">
        <v>9</v>
      </c>
      <c r="B11" s="15" t="s">
        <v>101</v>
      </c>
      <c r="C11" s="15" t="s">
        <v>314</v>
      </c>
      <c r="D11" s="15" t="s">
        <v>306</v>
      </c>
      <c r="E11" s="15" t="e">
        <f>IF(ISNUMBER(VLOOKUP(C11,'Justice Spend Total'!C:AU, 45, FALSE)),(VLOOKUP(C11,'Justice Spend Total'!C:AU, 45, FALSE)), #N/A)</f>
        <v>#N/A</v>
      </c>
    </row>
    <row r="12" spans="1:5" ht="15" customHeight="1">
      <c r="A12">
        <v>10</v>
      </c>
      <c r="B12" t="s">
        <v>102</v>
      </c>
      <c r="C12" t="s">
        <v>315</v>
      </c>
      <c r="D12" t="s">
        <v>306</v>
      </c>
      <c r="E12" s="15" t="e">
        <f>IF(ISNUMBER(VLOOKUP(C12,'Justice Spend Total'!C:AU, 45, FALSE)),(VLOOKUP(C12,'Justice Spend Total'!C:AU, 45, FALSE)), #N/A)</f>
        <v>#N/A</v>
      </c>
    </row>
    <row r="13" spans="1:5" ht="15" customHeight="1">
      <c r="A13">
        <v>11</v>
      </c>
      <c r="B13" t="s">
        <v>103</v>
      </c>
      <c r="C13" t="s">
        <v>316</v>
      </c>
      <c r="D13" t="s">
        <v>306</v>
      </c>
      <c r="E13" s="15">
        <f>IF(ISNUMBER(VLOOKUP(C13,'Justice Spend Total'!C:AU, 45, FALSE)),(VLOOKUP(C13,'Justice Spend Total'!C:AU, 45, FALSE)), #N/A)</f>
        <v>18.311407250576231</v>
      </c>
    </row>
    <row r="14" spans="1:5">
      <c r="A14">
        <v>12</v>
      </c>
      <c r="B14" s="15" t="s">
        <v>104</v>
      </c>
      <c r="C14" s="15" t="s">
        <v>317</v>
      </c>
      <c r="D14" s="15" t="s">
        <v>306</v>
      </c>
      <c r="E14" s="15">
        <f>IF(ISNUMBER(VLOOKUP(C14,'Justice Spend Total'!C:AU, 45, FALSE)),(VLOOKUP(C14,'Justice Spend Total'!C:AU, 45, FALSE)), #N/A)</f>
        <v>5.511696497843154</v>
      </c>
    </row>
    <row r="15" spans="1:5">
      <c r="A15">
        <v>13</v>
      </c>
      <c r="B15" t="s">
        <v>105</v>
      </c>
      <c r="C15" t="s">
        <v>318</v>
      </c>
      <c r="D15" t="s">
        <v>306</v>
      </c>
      <c r="E15" s="15" t="e">
        <f>IF(ISNUMBER(VLOOKUP(C15,'Justice Spend Total'!C:AU, 45, FALSE)),(VLOOKUP(C15,'Justice Spend Total'!C:AU, 45, FALSE)), #N/A)</f>
        <v>#N/A</v>
      </c>
    </row>
    <row r="16" spans="1:5">
      <c r="A16">
        <v>14</v>
      </c>
      <c r="B16" s="15" t="s">
        <v>106</v>
      </c>
      <c r="C16" s="15" t="s">
        <v>319</v>
      </c>
      <c r="D16" s="15" t="s">
        <v>306</v>
      </c>
      <c r="E16" s="15">
        <f>IF(ISNUMBER(VLOOKUP(C16,'Justice Spend Total'!C:AU, 45, FALSE)),(VLOOKUP(C16,'Justice Spend Total'!C:AU, 45, FALSE)), #N/A)</f>
        <v>3.8661450917600693</v>
      </c>
    </row>
    <row r="17" spans="1:5">
      <c r="A17">
        <v>15</v>
      </c>
      <c r="B17" t="s">
        <v>107</v>
      </c>
      <c r="C17" t="s">
        <v>320</v>
      </c>
      <c r="D17" t="s">
        <v>306</v>
      </c>
      <c r="E17" s="15" t="e">
        <f>IF(ISNUMBER(VLOOKUP(C17,'Justice Spend Total'!C:AU, 45, FALSE)),(VLOOKUP(C17,'Justice Spend Total'!C:AU, 45, FALSE)), #N/A)</f>
        <v>#N/A</v>
      </c>
    </row>
    <row r="18" spans="1:5">
      <c r="A18">
        <v>16</v>
      </c>
      <c r="B18" t="s">
        <v>108</v>
      </c>
      <c r="C18" t="s">
        <v>321</v>
      </c>
      <c r="D18" t="s">
        <v>306</v>
      </c>
      <c r="E18" s="15" t="e">
        <f>IF(ISNUMBER(VLOOKUP(C18,'Justice Spend Total'!C:AU, 45, FALSE)),(VLOOKUP(C18,'Justice Spend Total'!C:AU, 45, FALSE)), #N/A)</f>
        <v>#N/A</v>
      </c>
    </row>
    <row r="19" spans="1:5">
      <c r="A19">
        <v>17</v>
      </c>
      <c r="B19" s="15" t="s">
        <v>109</v>
      </c>
      <c r="C19" s="15" t="s">
        <v>322</v>
      </c>
      <c r="D19" s="15" t="s">
        <v>306</v>
      </c>
      <c r="E19" s="15">
        <f>IF(ISNUMBER(VLOOKUP(C19,'Justice Spend Total'!C:AU, 45, FALSE)),(VLOOKUP(C19,'Justice Spend Total'!C:AU, 45, FALSE)), #N/A)</f>
        <v>10.123200627990114</v>
      </c>
    </row>
    <row r="20" spans="1:5">
      <c r="A20">
        <v>18</v>
      </c>
      <c r="B20" s="15" t="s">
        <v>110</v>
      </c>
      <c r="C20" s="15" t="s">
        <v>323</v>
      </c>
      <c r="D20" s="15" t="s">
        <v>306</v>
      </c>
      <c r="E20" s="15">
        <f>IF(ISNUMBER(VLOOKUP(C20,'Justice Spend Total'!C:AU, 45, FALSE)),(VLOOKUP(C20,'Justice Spend Total'!C:AU, 45, FALSE)), #N/A)</f>
        <v>10.876511743137447</v>
      </c>
    </row>
    <row r="21" spans="1:5">
      <c r="A21">
        <v>19</v>
      </c>
      <c r="B21" s="15" t="s">
        <v>111</v>
      </c>
      <c r="C21" s="15" t="s">
        <v>324</v>
      </c>
      <c r="D21" s="15" t="s">
        <v>306</v>
      </c>
      <c r="E21" s="15">
        <f>IF(ISNUMBER(VLOOKUP(C21,'Justice Spend Total'!C:AU, 45, FALSE)),(VLOOKUP(C21,'Justice Spend Total'!C:AU, 45, FALSE)), #N/A)</f>
        <v>13.253551083580248</v>
      </c>
    </row>
    <row r="22" spans="1:5">
      <c r="A22">
        <v>20</v>
      </c>
      <c r="B22" s="15" t="s">
        <v>112</v>
      </c>
      <c r="C22" s="15" t="s">
        <v>325</v>
      </c>
      <c r="D22" s="15" t="s">
        <v>306</v>
      </c>
      <c r="E22" s="15">
        <f>IF(ISNUMBER(VLOOKUP(C22,'Justice Spend Total'!C:AU, 45, FALSE)),(VLOOKUP(C22,'Justice Spend Total'!C:AU, 45, FALSE)), #N/A)</f>
        <v>2.8930766751330186</v>
      </c>
    </row>
    <row r="23" spans="1:5">
      <c r="A23">
        <v>21</v>
      </c>
      <c r="B23" t="s">
        <v>113</v>
      </c>
      <c r="C23" t="s">
        <v>326</v>
      </c>
      <c r="D23" t="s">
        <v>306</v>
      </c>
      <c r="E23" s="15">
        <f>IF(ISNUMBER(VLOOKUP(C23,'Justice Spend Total'!C:AU, 45, FALSE)),(VLOOKUP(C23,'Justice Spend Total'!C:AU, 45, FALSE)), #N/A)</f>
        <v>14.45314043252554</v>
      </c>
    </row>
    <row r="24" spans="1:5">
      <c r="A24">
        <v>22</v>
      </c>
      <c r="B24" t="s">
        <v>114</v>
      </c>
      <c r="C24" t="s">
        <v>327</v>
      </c>
      <c r="D24" t="s">
        <v>306</v>
      </c>
      <c r="E24" s="15" t="e">
        <f>IF(ISNUMBER(VLOOKUP(C24,'Justice Spend Total'!C:AU, 45, FALSE)),(VLOOKUP(C24,'Justice Spend Total'!C:AU, 45, FALSE)), #N/A)</f>
        <v>#N/A</v>
      </c>
    </row>
    <row r="25" spans="1:5">
      <c r="A25">
        <v>23</v>
      </c>
      <c r="B25" s="15" t="s">
        <v>115</v>
      </c>
      <c r="C25" s="15" t="s">
        <v>328</v>
      </c>
      <c r="D25" s="15" t="s">
        <v>306</v>
      </c>
      <c r="E25" s="15">
        <f>IF(ISNUMBER(VLOOKUP(C25,'Justice Spend Total'!C:AU, 45, FALSE)),(VLOOKUP(C25,'Justice Spend Total'!C:AU, 45, FALSE)), #N/A)</f>
        <v>2.3109297408151774</v>
      </c>
    </row>
    <row r="26" spans="1:5">
      <c r="A26">
        <v>24</v>
      </c>
      <c r="B26" t="s">
        <v>116</v>
      </c>
      <c r="C26" t="s">
        <v>329</v>
      </c>
      <c r="D26" t="s">
        <v>306</v>
      </c>
      <c r="E26" s="15">
        <f>IF(ISNUMBER(VLOOKUP(C26,'Justice Spend Total'!C:AU, 45, FALSE)),(VLOOKUP(C26,'Justice Spend Total'!C:AU, 45, FALSE)), #N/A)</f>
        <v>5.9895596775118403</v>
      </c>
    </row>
    <row r="27" spans="1:5">
      <c r="A27">
        <v>25</v>
      </c>
      <c r="B27" t="s">
        <v>117</v>
      </c>
      <c r="C27" t="s">
        <v>330</v>
      </c>
      <c r="D27" t="s">
        <v>306</v>
      </c>
      <c r="E27" s="15">
        <f>IF(ISNUMBER(VLOOKUP(C27,'Justice Spend Total'!C:AU, 45, FALSE)),(VLOOKUP(C27,'Justice Spend Total'!C:AU, 45, FALSE)), #N/A)</f>
        <v>4.0208031710943457</v>
      </c>
    </row>
    <row r="28" spans="1:5">
      <c r="A28">
        <v>26</v>
      </c>
      <c r="B28" s="15" t="s">
        <v>118</v>
      </c>
      <c r="C28" s="15" t="s">
        <v>331</v>
      </c>
      <c r="D28" s="15" t="s">
        <v>306</v>
      </c>
      <c r="E28" s="15">
        <f>IF(ISNUMBER(VLOOKUP(C28,'Justice Spend Total'!C:AU, 45, FALSE)),(VLOOKUP(C28,'Justice Spend Total'!C:AU, 45, FALSE)), #N/A)</f>
        <v>7.1197718844521685</v>
      </c>
    </row>
    <row r="29" spans="1:5">
      <c r="A29">
        <v>27</v>
      </c>
      <c r="B29" t="s">
        <v>119</v>
      </c>
      <c r="C29" t="s">
        <v>332</v>
      </c>
      <c r="D29" t="s">
        <v>306</v>
      </c>
      <c r="E29" s="15">
        <f>IF(ISNUMBER(VLOOKUP(C29,'Justice Spend Total'!C:AU, 45, FALSE)),(VLOOKUP(C29,'Justice Spend Total'!C:AU, 45, FALSE)), #N/A)</f>
        <v>16.543570219900619</v>
      </c>
    </row>
    <row r="30" spans="1:5">
      <c r="A30">
        <v>28</v>
      </c>
      <c r="B30" s="15" t="s">
        <v>120</v>
      </c>
      <c r="C30" s="15" t="s">
        <v>333</v>
      </c>
      <c r="D30" s="15" t="s">
        <v>334</v>
      </c>
      <c r="E30" s="15">
        <f>IF(ISNUMBER(VLOOKUP(C30,'Justice Spend Total'!C:AU, 45, FALSE)),(VLOOKUP(C30,'Justice Spend Total'!C:AU, 45, FALSE)), #N/A)</f>
        <v>6.4275869070678224</v>
      </c>
    </row>
    <row r="31" spans="1:5">
      <c r="A31">
        <v>29</v>
      </c>
      <c r="B31" s="15" t="s">
        <v>121</v>
      </c>
      <c r="C31" s="15" t="s">
        <v>335</v>
      </c>
      <c r="D31" s="15" t="s">
        <v>334</v>
      </c>
      <c r="E31" s="15">
        <f>IF(ISNUMBER(VLOOKUP(C31,'Justice Spend Total'!C:AU, 45, FALSE)),(VLOOKUP(C31,'Justice Spend Total'!C:AU, 45, FALSE)), #N/A)</f>
        <v>8.4243627853936829</v>
      </c>
    </row>
    <row r="32" spans="1:5">
      <c r="A32">
        <v>30</v>
      </c>
      <c r="B32" t="s">
        <v>122</v>
      </c>
      <c r="C32" t="s">
        <v>336</v>
      </c>
      <c r="D32" t="s">
        <v>334</v>
      </c>
      <c r="E32" s="15" t="e">
        <f>IF(ISNUMBER(VLOOKUP(C32,'Justice Spend Total'!C:AU, 45, FALSE)),(VLOOKUP(C32,'Justice Spend Total'!C:AU, 45, FALSE)), #N/A)</f>
        <v>#N/A</v>
      </c>
    </row>
    <row r="33" spans="1:5">
      <c r="A33">
        <v>31</v>
      </c>
      <c r="B33" t="s">
        <v>123</v>
      </c>
      <c r="C33" t="s">
        <v>337</v>
      </c>
      <c r="D33" t="s">
        <v>334</v>
      </c>
      <c r="E33" s="15">
        <f>IF(ISNUMBER(VLOOKUP(C33,'Justice Spend Total'!C:AU, 45, FALSE)),(VLOOKUP(C33,'Justice Spend Total'!C:AU, 45, FALSE)), #N/A)</f>
        <v>20.226141425651555</v>
      </c>
    </row>
    <row r="34" spans="1:5">
      <c r="A34">
        <v>32</v>
      </c>
      <c r="B34" s="15" t="s">
        <v>124</v>
      </c>
      <c r="C34" s="15" t="s">
        <v>338</v>
      </c>
      <c r="D34" s="15" t="s">
        <v>334</v>
      </c>
      <c r="E34" s="15">
        <f>IF(ISNUMBER(VLOOKUP(C34,'Justice Spend Total'!C:AU, 45, FALSE)),(VLOOKUP(C34,'Justice Spend Total'!C:AU, 45, FALSE)), #N/A)</f>
        <v>17.912197900438365</v>
      </c>
    </row>
    <row r="35" spans="1:5">
      <c r="A35">
        <v>33</v>
      </c>
      <c r="B35" t="s">
        <v>125</v>
      </c>
      <c r="C35" t="s">
        <v>339</v>
      </c>
      <c r="D35" t="s">
        <v>334</v>
      </c>
      <c r="E35" s="15">
        <f>IF(ISNUMBER(VLOOKUP(C35,'Justice Spend Total'!C:AU, 45, FALSE)),(VLOOKUP(C35,'Justice Spend Total'!C:AU, 45, FALSE)), #N/A)</f>
        <v>42.701062847045968</v>
      </c>
    </row>
    <row r="36" spans="1:5">
      <c r="A36">
        <v>34</v>
      </c>
      <c r="B36" t="s">
        <v>126</v>
      </c>
      <c r="C36" t="s">
        <v>340</v>
      </c>
      <c r="D36" t="s">
        <v>334</v>
      </c>
      <c r="E36" s="15">
        <f>IF(ISNUMBER(VLOOKUP(C36,'Justice Spend Total'!C:AU, 45, FALSE)),(VLOOKUP(C36,'Justice Spend Total'!C:AU, 45, FALSE)), #N/A)</f>
        <v>15.413571674441732</v>
      </c>
    </row>
    <row r="37" spans="1:5">
      <c r="A37">
        <v>35</v>
      </c>
      <c r="B37" t="s">
        <v>127</v>
      </c>
      <c r="C37" t="s">
        <v>341</v>
      </c>
      <c r="D37" t="s">
        <v>334</v>
      </c>
      <c r="E37" s="15">
        <f>IF(ISNUMBER(VLOOKUP(C37,'Justice Spend Total'!C:AU, 45, FALSE)),(VLOOKUP(C37,'Justice Spend Total'!C:AU, 45, FALSE)), #N/A)</f>
        <v>16.842783260786867</v>
      </c>
    </row>
    <row r="38" spans="1:5">
      <c r="A38">
        <v>36</v>
      </c>
      <c r="B38" t="s">
        <v>128</v>
      </c>
      <c r="C38" t="s">
        <v>342</v>
      </c>
      <c r="D38" t="s">
        <v>334</v>
      </c>
      <c r="E38" s="15">
        <f>IF(ISNUMBER(VLOOKUP(C38,'Justice Spend Total'!C:AU, 45, FALSE)),(VLOOKUP(C38,'Justice Spend Total'!C:AU, 45, FALSE)), #N/A)</f>
        <v>21.020022736377495</v>
      </c>
    </row>
    <row r="39" spans="1:5">
      <c r="A39">
        <v>37</v>
      </c>
      <c r="B39" t="s">
        <v>129</v>
      </c>
      <c r="C39" t="s">
        <v>343</v>
      </c>
      <c r="D39" t="s">
        <v>334</v>
      </c>
      <c r="E39" s="15" t="e">
        <f>IF(ISNUMBER(VLOOKUP(C39,'Justice Spend Total'!C:AU, 45, FALSE)),(VLOOKUP(C39,'Justice Spend Total'!C:AU, 45, FALSE)), #N/A)</f>
        <v>#N/A</v>
      </c>
    </row>
    <row r="40" spans="1:5">
      <c r="A40">
        <v>38</v>
      </c>
      <c r="B40" t="s">
        <v>130</v>
      </c>
      <c r="C40" t="s">
        <v>344</v>
      </c>
      <c r="D40" t="s">
        <v>334</v>
      </c>
      <c r="E40" s="15">
        <f>IF(ISNUMBER(VLOOKUP(C40,'Justice Spend Total'!C:AU, 45, FALSE)),(VLOOKUP(C40,'Justice Spend Total'!C:AU, 45, FALSE)), #N/A)</f>
        <v>5.3146887048210951</v>
      </c>
    </row>
    <row r="41" spans="1:5">
      <c r="A41">
        <v>39</v>
      </c>
      <c r="B41" t="s">
        <v>131</v>
      </c>
      <c r="C41" t="s">
        <v>345</v>
      </c>
      <c r="D41" t="s">
        <v>334</v>
      </c>
      <c r="E41" s="15">
        <f>IF(ISNUMBER(VLOOKUP(C41,'Justice Spend Total'!C:AU, 45, FALSE)),(VLOOKUP(C41,'Justice Spend Total'!C:AU, 45, FALSE)), #N/A)</f>
        <v>18.522462460954543</v>
      </c>
    </row>
    <row r="42" spans="1:5">
      <c r="A42">
        <v>40</v>
      </c>
      <c r="B42" t="s">
        <v>132</v>
      </c>
      <c r="C42" t="s">
        <v>346</v>
      </c>
      <c r="D42" t="s">
        <v>334</v>
      </c>
      <c r="E42" s="15">
        <f>IF(ISNUMBER(VLOOKUP(C42,'Justice Spend Total'!C:AU, 45, FALSE)),(VLOOKUP(C42,'Justice Spend Total'!C:AU, 45, FALSE)), #N/A)</f>
        <v>24.809355168726171</v>
      </c>
    </row>
    <row r="43" spans="1:5">
      <c r="A43">
        <v>41</v>
      </c>
      <c r="B43" t="s">
        <v>133</v>
      </c>
      <c r="C43" t="s">
        <v>347</v>
      </c>
      <c r="D43" t="s">
        <v>334</v>
      </c>
      <c r="E43" s="15" t="e">
        <f>IF(ISNUMBER(VLOOKUP(C43,'Justice Spend Total'!C:AU, 45, FALSE)),(VLOOKUP(C43,'Justice Spend Total'!C:AU, 45, FALSE)), #N/A)</f>
        <v>#N/A</v>
      </c>
    </row>
    <row r="44" spans="1:5">
      <c r="A44">
        <v>42</v>
      </c>
      <c r="B44" t="s">
        <v>134</v>
      </c>
      <c r="C44" t="s">
        <v>348</v>
      </c>
      <c r="D44" t="s">
        <v>334</v>
      </c>
      <c r="E44" s="15" t="e">
        <f>IF(ISNUMBER(VLOOKUP(C44,'Justice Spend Total'!C:AU, 45, FALSE)),(VLOOKUP(C44,'Justice Spend Total'!C:AU, 45, FALSE)), #N/A)</f>
        <v>#N/A</v>
      </c>
    </row>
    <row r="45" spans="1:5">
      <c r="A45">
        <v>43</v>
      </c>
      <c r="B45" t="s">
        <v>135</v>
      </c>
      <c r="C45" t="s">
        <v>349</v>
      </c>
      <c r="D45" t="s">
        <v>334</v>
      </c>
      <c r="E45" s="15">
        <f>IF(ISNUMBER(VLOOKUP(C45,'Justice Spend Total'!C:AU, 45, FALSE)),(VLOOKUP(C45,'Justice Spend Total'!C:AU, 45, FALSE)), #N/A)</f>
        <v>20.660809153127325</v>
      </c>
    </row>
    <row r="46" spans="1:5">
      <c r="A46">
        <v>44</v>
      </c>
      <c r="B46" s="15" t="s">
        <v>136</v>
      </c>
      <c r="C46" s="15" t="s">
        <v>350</v>
      </c>
      <c r="D46" s="15" t="s">
        <v>334</v>
      </c>
      <c r="E46" s="15">
        <f>IF(ISNUMBER(VLOOKUP(C46,'Justice Spend Total'!C:AU, 45, FALSE)),(VLOOKUP(C46,'Justice Spend Total'!C:AU, 45, FALSE)), #N/A)</f>
        <v>35.139674007696833</v>
      </c>
    </row>
    <row r="47" spans="1:5">
      <c r="A47">
        <v>45</v>
      </c>
      <c r="B47" t="s">
        <v>137</v>
      </c>
      <c r="C47" t="s">
        <v>351</v>
      </c>
      <c r="D47" t="s">
        <v>334</v>
      </c>
      <c r="E47" s="15">
        <f>IF(ISNUMBER(VLOOKUP(C47,'Justice Spend Total'!C:AU, 45, FALSE)),(VLOOKUP(C47,'Justice Spend Total'!C:AU, 45, FALSE)), #N/A)</f>
        <v>134.25847417840379</v>
      </c>
    </row>
    <row r="48" spans="1:5">
      <c r="A48">
        <v>46</v>
      </c>
      <c r="B48" t="s">
        <v>138</v>
      </c>
      <c r="C48" t="s">
        <v>352</v>
      </c>
      <c r="D48" t="s">
        <v>334</v>
      </c>
      <c r="E48" s="15" t="e">
        <f>IF(ISNUMBER(VLOOKUP(C48,'Justice Spend Total'!C:AU, 45, FALSE)),(VLOOKUP(C48,'Justice Spend Total'!C:AU, 45, FALSE)), #N/A)</f>
        <v>#N/A</v>
      </c>
    </row>
    <row r="49" spans="1:5">
      <c r="A49">
        <v>47</v>
      </c>
      <c r="B49" s="15" t="s">
        <v>139</v>
      </c>
      <c r="C49" s="15" t="s">
        <v>353</v>
      </c>
      <c r="D49" s="15" t="s">
        <v>334</v>
      </c>
      <c r="E49" s="15">
        <f>IF(ISNUMBER(VLOOKUP(C49,'Justice Spend Total'!C:AU, 45, FALSE)),(VLOOKUP(C49,'Justice Spend Total'!C:AU, 45, FALSE)), #N/A)</f>
        <v>32.992520896853229</v>
      </c>
    </row>
    <row r="50" spans="1:5">
      <c r="A50">
        <v>48</v>
      </c>
      <c r="B50" s="15" t="s">
        <v>140</v>
      </c>
      <c r="C50" s="15" t="s">
        <v>354</v>
      </c>
      <c r="D50" s="15" t="s">
        <v>334</v>
      </c>
      <c r="E50" s="15">
        <f>IF(ISNUMBER(VLOOKUP(C50,'Justice Spend Total'!C:AU, 45, FALSE)),(VLOOKUP(C50,'Justice Spend Total'!C:AU, 45, FALSE)), #N/A)</f>
        <v>40.414465112992104</v>
      </c>
    </row>
    <row r="51" spans="1:5">
      <c r="A51">
        <v>49</v>
      </c>
      <c r="B51" t="s">
        <v>141</v>
      </c>
      <c r="C51" t="s">
        <v>355</v>
      </c>
      <c r="D51" t="s">
        <v>334</v>
      </c>
      <c r="E51" s="15">
        <f>IF(ISNUMBER(VLOOKUP(C51,'Justice Spend Total'!C:AU, 45, FALSE)),(VLOOKUP(C51,'Justice Spend Total'!C:AU, 45, FALSE)), #N/A)</f>
        <v>11.328301594748787</v>
      </c>
    </row>
    <row r="52" spans="1:5">
      <c r="A52">
        <v>50</v>
      </c>
      <c r="B52" s="15" t="s">
        <v>142</v>
      </c>
      <c r="C52" s="15" t="s">
        <v>356</v>
      </c>
      <c r="D52" s="15" t="s">
        <v>334</v>
      </c>
      <c r="E52" s="15">
        <f>IF(ISNUMBER(VLOOKUP(C52,'Justice Spend Total'!C:AU, 45, FALSE)),(VLOOKUP(C52,'Justice Spend Total'!C:AU, 45, FALSE)), #N/A)</f>
        <v>24.953879750441327</v>
      </c>
    </row>
    <row r="53" spans="1:5">
      <c r="A53">
        <v>51</v>
      </c>
      <c r="B53" t="s">
        <v>143</v>
      </c>
      <c r="C53" t="s">
        <v>357</v>
      </c>
      <c r="D53" t="s">
        <v>334</v>
      </c>
      <c r="E53" s="15" t="e">
        <f>IF(ISNUMBER(VLOOKUP(C53,'Justice Spend Total'!C:AU, 45, FALSE)),(VLOOKUP(C53,'Justice Spend Total'!C:AU, 45, FALSE)), #N/A)</f>
        <v>#N/A</v>
      </c>
    </row>
    <row r="54" spans="1:5">
      <c r="A54">
        <v>52</v>
      </c>
      <c r="B54" s="15" t="s">
        <v>144</v>
      </c>
      <c r="C54" s="15" t="s">
        <v>358</v>
      </c>
      <c r="D54" s="15" t="s">
        <v>334</v>
      </c>
      <c r="E54" s="15">
        <f>IF(ISNUMBER(VLOOKUP(C54,'Justice Spend Total'!C:AU, 45, FALSE)),(VLOOKUP(C54,'Justice Spend Total'!C:AU, 45, FALSE)), #N/A)</f>
        <v>81.130967939719582</v>
      </c>
    </row>
    <row r="55" spans="1:5">
      <c r="A55">
        <v>53</v>
      </c>
      <c r="B55" s="15" t="s">
        <v>145</v>
      </c>
      <c r="C55" s="15" t="s">
        <v>359</v>
      </c>
      <c r="D55" s="15" t="s">
        <v>334</v>
      </c>
      <c r="E55" s="15">
        <f>IF(ISNUMBER(VLOOKUP(C55,'Justice Spend Total'!C:AU, 45, FALSE)),(VLOOKUP(C55,'Justice Spend Total'!C:AU, 45, FALSE)), #N/A)</f>
        <v>36.539671040192886</v>
      </c>
    </row>
    <row r="56" spans="1:5">
      <c r="A56">
        <v>54</v>
      </c>
      <c r="B56" t="s">
        <v>146</v>
      </c>
      <c r="C56" t="s">
        <v>360</v>
      </c>
      <c r="D56" t="s">
        <v>334</v>
      </c>
      <c r="E56" s="15" t="e">
        <f>IF(ISNUMBER(VLOOKUP(C56,'Justice Spend Total'!C:AU, 45, FALSE)),(VLOOKUP(C56,'Justice Spend Total'!C:AU, 45, FALSE)), #N/A)</f>
        <v>#N/A</v>
      </c>
    </row>
    <row r="57" spans="1:5">
      <c r="A57">
        <v>55</v>
      </c>
      <c r="B57" t="s">
        <v>147</v>
      </c>
      <c r="C57" t="s">
        <v>361</v>
      </c>
      <c r="D57" t="s">
        <v>334</v>
      </c>
      <c r="E57" s="15">
        <f>IF(ISNUMBER(VLOOKUP(C57,'Justice Spend Total'!C:AU, 45, FALSE)),(VLOOKUP(C57,'Justice Spend Total'!C:AU, 45, FALSE)), #N/A)</f>
        <v>6.4264666729522286</v>
      </c>
    </row>
    <row r="58" spans="1:5">
      <c r="A58">
        <v>56</v>
      </c>
      <c r="B58" s="15" t="s">
        <v>148</v>
      </c>
      <c r="C58" s="15" t="s">
        <v>362</v>
      </c>
      <c r="D58" s="15" t="s">
        <v>334</v>
      </c>
      <c r="E58" s="15">
        <f>IF(ISNUMBER(VLOOKUP(C58,'Justice Spend Total'!C:AU, 45, FALSE)),(VLOOKUP(C58,'Justice Spend Total'!C:AU, 45, FALSE)), #N/A)</f>
        <v>67.444389565309734</v>
      </c>
    </row>
    <row r="59" spans="1:5">
      <c r="A59">
        <v>57</v>
      </c>
      <c r="B59" s="15" t="s">
        <v>149</v>
      </c>
      <c r="C59" s="15" t="s">
        <v>363</v>
      </c>
      <c r="D59" s="15" t="s">
        <v>334</v>
      </c>
      <c r="E59" s="15">
        <f>IF(ISNUMBER(VLOOKUP(C59,'Justice Spend Total'!C:AU, 45, FALSE)),(VLOOKUP(C59,'Justice Spend Total'!C:AU, 45, FALSE)), #N/A)</f>
        <v>22.818102296808949</v>
      </c>
    </row>
    <row r="60" spans="1:5">
      <c r="A60">
        <v>58</v>
      </c>
      <c r="B60" s="15" t="s">
        <v>150</v>
      </c>
      <c r="C60" s="15" t="s">
        <v>364</v>
      </c>
      <c r="D60" s="15" t="s">
        <v>334</v>
      </c>
      <c r="E60" s="15">
        <f>IF(ISNUMBER(VLOOKUP(C60,'Justice Spend Total'!C:AU, 45, FALSE)),(VLOOKUP(C60,'Justice Spend Total'!C:AU, 45, FALSE)), #N/A)</f>
        <v>45.302886136467507</v>
      </c>
    </row>
    <row r="61" spans="1:5">
      <c r="A61">
        <v>59</v>
      </c>
      <c r="B61" s="15" t="s">
        <v>151</v>
      </c>
      <c r="C61" s="15" t="s">
        <v>365</v>
      </c>
      <c r="D61" s="15" t="s">
        <v>334</v>
      </c>
      <c r="E61" s="15">
        <f>IF(ISNUMBER(VLOOKUP(C61,'Justice Spend Total'!C:AU, 45, FALSE)),(VLOOKUP(C61,'Justice Spend Total'!C:AU, 45, FALSE)), #N/A)</f>
        <v>61.10759026665383</v>
      </c>
    </row>
    <row r="62" spans="1:5">
      <c r="A62">
        <v>60</v>
      </c>
      <c r="B62" s="15" t="s">
        <v>152</v>
      </c>
      <c r="C62" s="15" t="s">
        <v>366</v>
      </c>
      <c r="D62" s="15" t="s">
        <v>334</v>
      </c>
      <c r="E62" s="15">
        <f>IF(ISNUMBER(VLOOKUP(C62,'Justice Spend Total'!C:AU, 45, FALSE)),(VLOOKUP(C62,'Justice Spend Total'!C:AU, 45, FALSE)), #N/A)</f>
        <v>135.5677930875907</v>
      </c>
    </row>
    <row r="63" spans="1:5">
      <c r="A63">
        <v>61</v>
      </c>
      <c r="B63" t="s">
        <v>153</v>
      </c>
      <c r="C63" t="s">
        <v>367</v>
      </c>
      <c r="D63" t="s">
        <v>334</v>
      </c>
      <c r="E63" s="15">
        <f>IF(ISNUMBER(VLOOKUP(C63,'Justice Spend Total'!C:AU, 45, FALSE)),(VLOOKUP(C63,'Justice Spend Total'!C:AU, 45, FALSE)), #N/A)</f>
        <v>47.041130310410139</v>
      </c>
    </row>
    <row r="64" spans="1:5">
      <c r="A64">
        <v>62</v>
      </c>
      <c r="B64" t="s">
        <v>154</v>
      </c>
      <c r="C64" t="s">
        <v>368</v>
      </c>
      <c r="D64" t="s">
        <v>334</v>
      </c>
      <c r="E64" s="15" t="e">
        <f>IF(ISNUMBER(VLOOKUP(C64,'Justice Spend Total'!C:AU, 45, FALSE)),(VLOOKUP(C64,'Justice Spend Total'!C:AU, 45, FALSE)), #N/A)</f>
        <v>#N/A</v>
      </c>
    </row>
    <row r="65" spans="1:5">
      <c r="A65">
        <v>63</v>
      </c>
      <c r="B65" s="15" t="s">
        <v>155</v>
      </c>
      <c r="C65" s="15" t="s">
        <v>369</v>
      </c>
      <c r="D65" s="15" t="s">
        <v>334</v>
      </c>
      <c r="E65" s="15">
        <f>IF(ISNUMBER(VLOOKUP(C65,'Justice Spend Total'!C:AU, 45, FALSE)),(VLOOKUP(C65,'Justice Spend Total'!C:AU, 45, FALSE)), #N/A)</f>
        <v>119.02942842815449</v>
      </c>
    </row>
    <row r="66" spans="1:5">
      <c r="A66">
        <v>64</v>
      </c>
      <c r="B66" t="s">
        <v>156</v>
      </c>
      <c r="C66" t="s">
        <v>370</v>
      </c>
      <c r="D66" t="s">
        <v>334</v>
      </c>
      <c r="E66" s="15">
        <f>IF(ISNUMBER(VLOOKUP(C66,'Justice Spend Total'!C:AU, 45, FALSE)),(VLOOKUP(C66,'Justice Spend Total'!C:AU, 45, FALSE)), #N/A)</f>
        <v>137.13000174388722</v>
      </c>
    </row>
    <row r="67" spans="1:5">
      <c r="A67">
        <v>65</v>
      </c>
      <c r="B67" t="s">
        <v>157</v>
      </c>
      <c r="C67" t="s">
        <v>371</v>
      </c>
      <c r="D67" t="s">
        <v>334</v>
      </c>
      <c r="E67" s="15" t="e">
        <f>IF(ISNUMBER(VLOOKUP(C67,'Justice Spend Total'!C:AU, 45, FALSE)),(VLOOKUP(C67,'Justice Spend Total'!C:AU, 45, FALSE)), #N/A)</f>
        <v>#N/A</v>
      </c>
    </row>
    <row r="68" spans="1:5">
      <c r="A68">
        <v>66</v>
      </c>
      <c r="B68" t="s">
        <v>158</v>
      </c>
      <c r="C68" t="s">
        <v>372</v>
      </c>
      <c r="D68" t="s">
        <v>334</v>
      </c>
      <c r="E68" s="15" t="e">
        <f>IF(ISNUMBER(VLOOKUP(C68,'Justice Spend Total'!C:AU, 45, FALSE)),(VLOOKUP(C68,'Justice Spend Total'!C:AU, 45, FALSE)), #N/A)</f>
        <v>#N/A</v>
      </c>
    </row>
    <row r="69" spans="1:5">
      <c r="A69">
        <v>67</v>
      </c>
      <c r="B69" s="15" t="s">
        <v>159</v>
      </c>
      <c r="C69" s="15" t="s">
        <v>373</v>
      </c>
      <c r="D69" s="15" t="s">
        <v>334</v>
      </c>
      <c r="E69" s="15">
        <f>IF(ISNUMBER(VLOOKUP(C69,'Justice Spend Total'!C:AU, 45, FALSE)),(VLOOKUP(C69,'Justice Spend Total'!C:AU, 45, FALSE)), #N/A)</f>
        <v>49.917387195256694</v>
      </c>
    </row>
    <row r="70" spans="1:5">
      <c r="A70">
        <v>68</v>
      </c>
      <c r="B70" s="15" t="s">
        <v>160</v>
      </c>
      <c r="C70" s="15" t="s">
        <v>374</v>
      </c>
      <c r="D70" s="15" t="s">
        <v>334</v>
      </c>
      <c r="E70" s="15">
        <f>IF(ISNUMBER(VLOOKUP(C70,'Justice Spend Total'!C:AU, 45, FALSE)),(VLOOKUP(C70,'Justice Spend Total'!C:AU, 45, FALSE)), #N/A)</f>
        <v>38.747831572307206</v>
      </c>
    </row>
    <row r="71" spans="1:5">
      <c r="A71">
        <v>69</v>
      </c>
      <c r="B71" t="s">
        <v>161</v>
      </c>
      <c r="C71" t="s">
        <v>375</v>
      </c>
      <c r="D71" t="s">
        <v>334</v>
      </c>
      <c r="E71" s="15" t="e">
        <f>IF(ISNUMBER(VLOOKUP(C71,'Justice Spend Total'!C:AU, 45, FALSE)),(VLOOKUP(C71,'Justice Spend Total'!C:AU, 45, FALSE)), #N/A)</f>
        <v>#N/A</v>
      </c>
    </row>
    <row r="72" spans="1:5">
      <c r="A72">
        <v>70</v>
      </c>
      <c r="B72" t="s">
        <v>162</v>
      </c>
      <c r="C72" t="s">
        <v>376</v>
      </c>
      <c r="D72" t="s">
        <v>334</v>
      </c>
      <c r="E72" s="15" t="e">
        <f>IF(ISNUMBER(VLOOKUP(C72,'Justice Spend Total'!C:AU, 45, FALSE)),(VLOOKUP(C72,'Justice Spend Total'!C:AU, 45, FALSE)), #N/A)</f>
        <v>#N/A</v>
      </c>
    </row>
    <row r="73" spans="1:5">
      <c r="A73">
        <v>71</v>
      </c>
      <c r="B73" s="15" t="s">
        <v>163</v>
      </c>
      <c r="C73" s="15" t="s">
        <v>377</v>
      </c>
      <c r="D73" s="15" t="s">
        <v>334</v>
      </c>
      <c r="E73" s="15">
        <f>IF(ISNUMBER(VLOOKUP(C73,'Justice Spend Total'!C:AU, 45, FALSE)),(VLOOKUP(C73,'Justice Spend Total'!C:AU, 45, FALSE)), #N/A)</f>
        <v>49.849315667279129</v>
      </c>
    </row>
    <row r="74" spans="1:5">
      <c r="A74">
        <v>72</v>
      </c>
      <c r="B74" t="s">
        <v>164</v>
      </c>
      <c r="C74" t="s">
        <v>378</v>
      </c>
      <c r="D74" t="s">
        <v>334</v>
      </c>
      <c r="E74" s="15" t="e">
        <f>IF(ISNUMBER(VLOOKUP(C74,'Justice Spend Total'!C:AU, 45, FALSE)),(VLOOKUP(C74,'Justice Spend Total'!C:AU, 45, FALSE)), #N/A)</f>
        <v>#N/A</v>
      </c>
    </row>
    <row r="75" spans="1:5">
      <c r="A75">
        <v>73</v>
      </c>
      <c r="B75" t="s">
        <v>165</v>
      </c>
      <c r="C75" t="s">
        <v>379</v>
      </c>
      <c r="D75" t="s">
        <v>334</v>
      </c>
      <c r="E75" s="15">
        <f>IF(ISNUMBER(VLOOKUP(C75,'Justice Spend Total'!C:AU, 45, FALSE)),(VLOOKUP(C75,'Justice Spend Total'!C:AU, 45, FALSE)), #N/A)</f>
        <v>105.0445066634063</v>
      </c>
    </row>
    <row r="76" spans="1:5">
      <c r="A76">
        <v>74</v>
      </c>
      <c r="B76" s="15" t="s">
        <v>166</v>
      </c>
      <c r="C76" s="15" t="s">
        <v>380</v>
      </c>
      <c r="D76" s="15" t="s">
        <v>334</v>
      </c>
      <c r="E76" s="15">
        <f>IF(ISNUMBER(VLOOKUP(C76,'Justice Spend Total'!C:AU, 45, FALSE)),(VLOOKUP(C76,'Justice Spend Total'!C:AU, 45, FALSE)), #N/A)</f>
        <v>71.504015396565904</v>
      </c>
    </row>
    <row r="77" spans="1:5">
      <c r="A77">
        <v>75</v>
      </c>
      <c r="B77" s="15" t="s">
        <v>167</v>
      </c>
      <c r="C77" s="15" t="s">
        <v>381</v>
      </c>
      <c r="D77" s="15" t="s">
        <v>334</v>
      </c>
      <c r="E77" s="15">
        <f>IF(ISNUMBER(VLOOKUP(C77,'Justice Spend Total'!C:AU, 45, FALSE)),(VLOOKUP(C77,'Justice Spend Total'!C:AU, 45, FALSE)), #N/A)</f>
        <v>23.1049902279245</v>
      </c>
    </row>
    <row r="78" spans="1:5">
      <c r="A78">
        <v>76</v>
      </c>
      <c r="B78" s="15" t="s">
        <v>168</v>
      </c>
      <c r="C78" s="15" t="s">
        <v>382</v>
      </c>
      <c r="D78" s="15" t="s">
        <v>334</v>
      </c>
      <c r="E78" s="15">
        <f>IF(ISNUMBER(VLOOKUP(C78,'Justice Spend Total'!C:AU, 45, FALSE)),(VLOOKUP(C78,'Justice Spend Total'!C:AU, 45, FALSE)), #N/A)</f>
        <v>97.903303514181346</v>
      </c>
    </row>
    <row r="79" spans="1:5">
      <c r="A79">
        <v>77</v>
      </c>
      <c r="B79" s="15" t="s">
        <v>169</v>
      </c>
      <c r="C79" s="15" t="s">
        <v>383</v>
      </c>
      <c r="D79" s="15" t="s">
        <v>334</v>
      </c>
      <c r="E79" s="15">
        <f>IF(ISNUMBER(VLOOKUP(C79,'Justice Spend Total'!C:AU, 45, FALSE)),(VLOOKUP(C79,'Justice Spend Total'!C:AU, 45, FALSE)), #N/A)</f>
        <v>63.581016975182784</v>
      </c>
    </row>
    <row r="80" spans="1:5">
      <c r="A80">
        <v>78</v>
      </c>
      <c r="B80" s="15" t="s">
        <v>170</v>
      </c>
      <c r="C80" s="15" t="s">
        <v>384</v>
      </c>
      <c r="D80" s="15" t="s">
        <v>334</v>
      </c>
      <c r="E80" s="15">
        <f>IF(ISNUMBER(VLOOKUP(C80,'Justice Spend Total'!C:AU, 45, FALSE)),(VLOOKUP(C80,'Justice Spend Total'!C:AU, 45, FALSE)), #N/A)</f>
        <v>156.77501751010993</v>
      </c>
    </row>
    <row r="81" spans="1:5">
      <c r="A81">
        <v>79</v>
      </c>
      <c r="B81" s="15" t="s">
        <v>171</v>
      </c>
      <c r="C81" s="15" t="s">
        <v>385</v>
      </c>
      <c r="D81" s="15" t="s">
        <v>334</v>
      </c>
      <c r="E81" s="15">
        <f>IF(ISNUMBER(VLOOKUP(C81,'Justice Spend Total'!C:AU, 45, FALSE)),(VLOOKUP(C81,'Justice Spend Total'!C:AU, 45, FALSE)), #N/A)</f>
        <v>46.535221693721915</v>
      </c>
    </row>
    <row r="82" spans="1:5">
      <c r="A82">
        <v>80</v>
      </c>
      <c r="B82" s="15" t="s">
        <v>172</v>
      </c>
      <c r="C82" s="15" t="s">
        <v>386</v>
      </c>
      <c r="D82" s="15" t="s">
        <v>334</v>
      </c>
      <c r="E82" s="15">
        <f>IF(ISNUMBER(VLOOKUP(C82,'Justice Spend Total'!C:AU, 45, FALSE)),(VLOOKUP(C82,'Justice Spend Total'!C:AU, 45, FALSE)), #N/A)</f>
        <v>137.61510338199383</v>
      </c>
    </row>
    <row r="83" spans="1:5">
      <c r="A83">
        <v>81</v>
      </c>
      <c r="B83" s="15" t="s">
        <v>173</v>
      </c>
      <c r="C83" s="15" t="s">
        <v>387</v>
      </c>
      <c r="D83" s="15" t="s">
        <v>334</v>
      </c>
      <c r="E83" s="15">
        <f>IF(ISNUMBER(VLOOKUP(C83,'Justice Spend Total'!C:AU, 45, FALSE)),(VLOOKUP(C83,'Justice Spend Total'!C:AU, 45, FALSE)), #N/A)</f>
        <v>77.097950648759735</v>
      </c>
    </row>
    <row r="84" spans="1:5">
      <c r="A84">
        <v>82</v>
      </c>
      <c r="B84" t="s">
        <v>174</v>
      </c>
      <c r="C84" t="s">
        <v>388</v>
      </c>
      <c r="D84" t="s">
        <v>389</v>
      </c>
      <c r="E84" s="15" t="e">
        <f>IF(ISNUMBER(VLOOKUP(C84,'Justice Spend Total'!C:AU, 45, FALSE)),(VLOOKUP(C84,'Justice Spend Total'!C:AU, 45, FALSE)), #N/A)</f>
        <v>#N/A</v>
      </c>
    </row>
    <row r="85" spans="1:5">
      <c r="A85">
        <v>83</v>
      </c>
      <c r="B85" t="s">
        <v>175</v>
      </c>
      <c r="C85" t="s">
        <v>390</v>
      </c>
      <c r="D85" t="s">
        <v>389</v>
      </c>
      <c r="E85" s="15" t="e">
        <f>IF(ISNUMBER(VLOOKUP(C85,'Justice Spend Total'!C:AU, 45, FALSE)),(VLOOKUP(C85,'Justice Spend Total'!C:AU, 45, FALSE)), #N/A)</f>
        <v>#N/A</v>
      </c>
    </row>
    <row r="86" spans="1:5">
      <c r="A86">
        <v>84</v>
      </c>
      <c r="B86" s="15" t="s">
        <v>176</v>
      </c>
      <c r="C86" s="15" t="s">
        <v>391</v>
      </c>
      <c r="D86" s="15" t="s">
        <v>389</v>
      </c>
      <c r="E86" s="15">
        <f>IF(ISNUMBER(VLOOKUP(C86,'Justice Spend Total'!C:AU, 45, FALSE)),(VLOOKUP(C86,'Justice Spend Total'!C:AU, 45, FALSE)), #N/A)</f>
        <v>206.57639648762546</v>
      </c>
    </row>
    <row r="87" spans="1:5">
      <c r="A87">
        <v>85</v>
      </c>
      <c r="B87" s="15" t="s">
        <v>177</v>
      </c>
      <c r="C87" s="15" t="s">
        <v>392</v>
      </c>
      <c r="D87" s="15" t="s">
        <v>389</v>
      </c>
      <c r="E87" s="15">
        <f>IF(ISNUMBER(VLOOKUP(C87,'Justice Spend Total'!C:AU, 45, FALSE)),(VLOOKUP(C87,'Justice Spend Total'!C:AU, 45, FALSE)), #N/A)</f>
        <v>322.06329650717043</v>
      </c>
    </row>
    <row r="88" spans="1:5">
      <c r="A88">
        <v>86</v>
      </c>
      <c r="B88" s="15" t="s">
        <v>178</v>
      </c>
      <c r="C88" s="15" t="s">
        <v>393</v>
      </c>
      <c r="D88" s="15" t="s">
        <v>389</v>
      </c>
      <c r="E88" s="15">
        <f>IF(ISNUMBER(VLOOKUP(C88,'Justice Spend Total'!C:AU, 45, FALSE)),(VLOOKUP(C88,'Justice Spend Total'!C:AU, 45, FALSE)), #N/A)</f>
        <v>111.69064456858753</v>
      </c>
    </row>
    <row r="89" spans="1:5">
      <c r="A89">
        <v>87</v>
      </c>
      <c r="B89" s="15" t="s">
        <v>179</v>
      </c>
      <c r="C89" s="15" t="s">
        <v>394</v>
      </c>
      <c r="D89" s="15" t="s">
        <v>389</v>
      </c>
      <c r="E89" s="15">
        <f>IF(ISNUMBER(VLOOKUP(C89,'Justice Spend Total'!C:AU, 45, FALSE)),(VLOOKUP(C89,'Justice Spend Total'!C:AU, 45, FALSE)), #N/A)</f>
        <v>143.09184505296142</v>
      </c>
    </row>
    <row r="90" spans="1:5">
      <c r="A90">
        <v>88</v>
      </c>
      <c r="B90" t="s">
        <v>180</v>
      </c>
      <c r="C90" t="s">
        <v>395</v>
      </c>
      <c r="D90" t="s">
        <v>389</v>
      </c>
      <c r="E90" s="15" t="e">
        <f>IF(ISNUMBER(VLOOKUP(C90,'Justice Spend Total'!C:AU, 45, FALSE)),(VLOOKUP(C90,'Justice Spend Total'!C:AU, 45, FALSE)), #N/A)</f>
        <v>#N/A</v>
      </c>
    </row>
    <row r="91" spans="1:5">
      <c r="A91">
        <v>89</v>
      </c>
      <c r="B91" t="s">
        <v>181</v>
      </c>
      <c r="C91" t="s">
        <v>396</v>
      </c>
      <c r="D91" t="s">
        <v>389</v>
      </c>
      <c r="E91" s="15" t="e">
        <f>IF(ISNUMBER(VLOOKUP(C91,'Justice Spend Total'!C:AU, 45, FALSE)),(VLOOKUP(C91,'Justice Spend Total'!C:AU, 45, FALSE)), #N/A)</f>
        <v>#N/A</v>
      </c>
    </row>
    <row r="92" spans="1:5">
      <c r="A92">
        <v>90</v>
      </c>
      <c r="B92" s="15" t="s">
        <v>182</v>
      </c>
      <c r="C92" s="15" t="s">
        <v>397</v>
      </c>
      <c r="D92" s="15" t="s">
        <v>389</v>
      </c>
      <c r="E92" s="15">
        <f>IF(ISNUMBER(VLOOKUP(C92,'Justice Spend Total'!C:AU, 45, FALSE)),(VLOOKUP(C92,'Justice Spend Total'!C:AU, 45, FALSE)), #N/A)</f>
        <v>102.12722934641637</v>
      </c>
    </row>
    <row r="93" spans="1:5">
      <c r="A93">
        <v>91</v>
      </c>
      <c r="B93" s="15" t="s">
        <v>183</v>
      </c>
      <c r="C93" s="15" t="s">
        <v>398</v>
      </c>
      <c r="D93" s="15" t="s">
        <v>389</v>
      </c>
      <c r="E93" s="15">
        <f>IF(ISNUMBER(VLOOKUP(C93,'Justice Spend Total'!C:AU, 45, FALSE)),(VLOOKUP(C93,'Justice Spend Total'!C:AU, 45, FALSE)), #N/A)</f>
        <v>91.415425354801172</v>
      </c>
    </row>
    <row r="94" spans="1:5">
      <c r="A94">
        <v>92</v>
      </c>
      <c r="B94" s="15" t="s">
        <v>184</v>
      </c>
      <c r="C94" s="15" t="s">
        <v>399</v>
      </c>
      <c r="D94" s="15" t="s">
        <v>389</v>
      </c>
      <c r="E94" s="15">
        <f>IF(ISNUMBER(VLOOKUP(C94,'Justice Spend Total'!C:AU, 45, FALSE)),(VLOOKUP(C94,'Justice Spend Total'!C:AU, 45, FALSE)), #N/A)</f>
        <v>134.36534966867922</v>
      </c>
    </row>
    <row r="95" spans="1:5">
      <c r="A95">
        <v>93</v>
      </c>
      <c r="B95" t="s">
        <v>185</v>
      </c>
      <c r="C95" t="s">
        <v>400</v>
      </c>
      <c r="D95" t="s">
        <v>389</v>
      </c>
      <c r="E95" s="15" t="e">
        <f>IF(ISNUMBER(VLOOKUP(C95,'Justice Spend Total'!C:AU, 45, FALSE)),(VLOOKUP(C95,'Justice Spend Total'!C:AU, 45, FALSE)), #N/A)</f>
        <v>#N/A</v>
      </c>
    </row>
    <row r="96" spans="1:5">
      <c r="A96">
        <v>94</v>
      </c>
      <c r="B96" s="15" t="s">
        <v>186</v>
      </c>
      <c r="C96" s="15" t="s">
        <v>401</v>
      </c>
      <c r="D96" s="15" t="s">
        <v>389</v>
      </c>
      <c r="E96" s="15">
        <f>IF(ISNUMBER(VLOOKUP(C96,'Justice Spend Total'!C:AU, 45, FALSE)),(VLOOKUP(C96,'Justice Spend Total'!C:AU, 45, FALSE)), #N/A)</f>
        <v>176.57202622703048</v>
      </c>
    </row>
    <row r="97" spans="1:5">
      <c r="A97">
        <v>95</v>
      </c>
      <c r="B97" t="s">
        <v>187</v>
      </c>
      <c r="C97" t="s">
        <v>402</v>
      </c>
      <c r="D97" t="s">
        <v>389</v>
      </c>
      <c r="E97" s="15" t="e">
        <f>IF(ISNUMBER(VLOOKUP(C97,'Justice Spend Total'!C:AU, 45, FALSE)),(VLOOKUP(C97,'Justice Spend Total'!C:AU, 45, FALSE)), #N/A)</f>
        <v>#N/A</v>
      </c>
    </row>
    <row r="98" spans="1:5">
      <c r="A98">
        <v>96</v>
      </c>
      <c r="B98" t="s">
        <v>188</v>
      </c>
      <c r="C98" t="s">
        <v>403</v>
      </c>
      <c r="D98" t="s">
        <v>389</v>
      </c>
      <c r="E98" s="15" t="e">
        <f>IF(ISNUMBER(VLOOKUP(C98,'Justice Spend Total'!C:AU, 45, FALSE)),(VLOOKUP(C98,'Justice Spend Total'!C:AU, 45, FALSE)), #N/A)</f>
        <v>#N/A</v>
      </c>
    </row>
    <row r="99" spans="1:5">
      <c r="A99">
        <v>97</v>
      </c>
      <c r="B99" s="15" t="s">
        <v>189</v>
      </c>
      <c r="C99" s="15" t="s">
        <v>404</v>
      </c>
      <c r="D99" s="15" t="s">
        <v>389</v>
      </c>
      <c r="E99" s="15">
        <f>IF(ISNUMBER(VLOOKUP(C99,'Justice Spend Total'!C:AU, 45, FALSE)),(VLOOKUP(C99,'Justice Spend Total'!C:AU, 45, FALSE)), #N/A)</f>
        <v>130.75496100534613</v>
      </c>
    </row>
    <row r="100" spans="1:5">
      <c r="A100">
        <v>98</v>
      </c>
      <c r="B100" t="s">
        <v>190</v>
      </c>
      <c r="C100" t="s">
        <v>405</v>
      </c>
      <c r="D100" t="s">
        <v>389</v>
      </c>
      <c r="E100" s="15" t="e">
        <f>IF(ISNUMBER(VLOOKUP(C100,'Justice Spend Total'!C:AU, 45, FALSE)),(VLOOKUP(C100,'Justice Spend Total'!C:AU, 45, FALSE)), #N/A)</f>
        <v>#N/A</v>
      </c>
    </row>
    <row r="101" spans="1:5">
      <c r="A101">
        <v>99</v>
      </c>
      <c r="B101" t="s">
        <v>191</v>
      </c>
      <c r="C101" t="s">
        <v>406</v>
      </c>
      <c r="D101" t="s">
        <v>389</v>
      </c>
      <c r="E101" s="15" t="e">
        <f>IF(ISNUMBER(VLOOKUP(C101,'Justice Spend Total'!C:AU, 45, FALSE)),(VLOOKUP(C101,'Justice Spend Total'!C:AU, 45, FALSE)), #N/A)</f>
        <v>#N/A</v>
      </c>
    </row>
    <row r="102" spans="1:5">
      <c r="A102">
        <v>100</v>
      </c>
      <c r="B102" s="15" t="s">
        <v>192</v>
      </c>
      <c r="C102" s="15" t="s">
        <v>407</v>
      </c>
      <c r="D102" s="15" t="s">
        <v>389</v>
      </c>
      <c r="E102" s="15">
        <f>IF(ISNUMBER(VLOOKUP(C102,'Justice Spend Total'!C:AU, 45, FALSE)),(VLOOKUP(C102,'Justice Spend Total'!C:AU, 45, FALSE)), #N/A)</f>
        <v>122.8722231896208</v>
      </c>
    </row>
    <row r="103" spans="1:5">
      <c r="A103">
        <v>101</v>
      </c>
      <c r="B103" t="s">
        <v>193</v>
      </c>
      <c r="C103" t="s">
        <v>408</v>
      </c>
      <c r="D103" t="s">
        <v>389</v>
      </c>
      <c r="E103" s="15" t="e">
        <f>IF(ISNUMBER(VLOOKUP(C103,'Justice Spend Total'!C:AU, 45, FALSE)),(VLOOKUP(C103,'Justice Spend Total'!C:AU, 45, FALSE)), #N/A)</f>
        <v>#N/A</v>
      </c>
    </row>
    <row r="104" spans="1:5">
      <c r="A104">
        <v>102</v>
      </c>
      <c r="B104" t="s">
        <v>194</v>
      </c>
      <c r="C104" t="s">
        <v>409</v>
      </c>
      <c r="D104" t="s">
        <v>389</v>
      </c>
      <c r="E104" s="15" t="e">
        <f>IF(ISNUMBER(VLOOKUP(C104,'Justice Spend Total'!C:AU, 45, FALSE)),(VLOOKUP(C104,'Justice Spend Total'!C:AU, 45, FALSE)), #N/A)</f>
        <v>#N/A</v>
      </c>
    </row>
    <row r="105" spans="1:5">
      <c r="A105">
        <v>103</v>
      </c>
      <c r="B105" s="15" t="s">
        <v>195</v>
      </c>
      <c r="C105" s="15" t="s">
        <v>410</v>
      </c>
      <c r="D105" s="15" t="s">
        <v>389</v>
      </c>
      <c r="E105" s="15">
        <f>IF(ISNUMBER(VLOOKUP(C105,'Justice Spend Total'!C:AU, 45, FALSE)),(VLOOKUP(C105,'Justice Spend Total'!C:AU, 45, FALSE)), #N/A)</f>
        <v>229.97009036631349</v>
      </c>
    </row>
    <row r="106" spans="1:5">
      <c r="A106">
        <v>104</v>
      </c>
      <c r="B106" t="s">
        <v>196</v>
      </c>
      <c r="C106" t="s">
        <v>411</v>
      </c>
      <c r="D106" t="s">
        <v>389</v>
      </c>
      <c r="E106" s="15" t="e">
        <f>IF(ISNUMBER(VLOOKUP(C106,'Justice Spend Total'!C:AU, 45, FALSE)),(VLOOKUP(C106,'Justice Spend Total'!C:AU, 45, FALSE)), #N/A)</f>
        <v>#N/A</v>
      </c>
    </row>
    <row r="107" spans="1:5">
      <c r="A107">
        <v>105</v>
      </c>
      <c r="B107" t="s">
        <v>197</v>
      </c>
      <c r="C107" t="s">
        <v>412</v>
      </c>
      <c r="D107" t="s">
        <v>389</v>
      </c>
      <c r="E107" s="15" t="e">
        <f>IF(ISNUMBER(VLOOKUP(C107,'Justice Spend Total'!C:AU, 45, FALSE)),(VLOOKUP(C107,'Justice Spend Total'!C:AU, 45, FALSE)), #N/A)</f>
        <v>#N/A</v>
      </c>
    </row>
    <row r="108" spans="1:5">
      <c r="A108">
        <v>106</v>
      </c>
      <c r="B108" t="s">
        <v>198</v>
      </c>
      <c r="C108" t="s">
        <v>413</v>
      </c>
      <c r="D108" t="s">
        <v>389</v>
      </c>
      <c r="E108" s="15" t="e">
        <f>IF(ISNUMBER(VLOOKUP(C108,'Justice Spend Total'!C:AU, 45, FALSE)),(VLOOKUP(C108,'Justice Spend Total'!C:AU, 45, FALSE)), #N/A)</f>
        <v>#N/A</v>
      </c>
    </row>
    <row r="109" spans="1:5">
      <c r="A109">
        <v>107</v>
      </c>
      <c r="B109" s="15" t="s">
        <v>199</v>
      </c>
      <c r="C109" s="15" t="s">
        <v>414</v>
      </c>
      <c r="D109" s="15" t="s">
        <v>389</v>
      </c>
      <c r="E109" s="15">
        <f>IF(ISNUMBER(VLOOKUP(C109,'Justice Spend Total'!C:AU, 45, FALSE)),(VLOOKUP(C109,'Justice Spend Total'!C:AU, 45, FALSE)), #N/A)</f>
        <v>203.93666705696651</v>
      </c>
    </row>
    <row r="110" spans="1:5">
      <c r="A110">
        <v>108</v>
      </c>
      <c r="B110" s="15" t="s">
        <v>200</v>
      </c>
      <c r="C110" s="15" t="s">
        <v>415</v>
      </c>
      <c r="D110" s="15" t="s">
        <v>389</v>
      </c>
      <c r="E110" s="15">
        <f>IF(ISNUMBER(VLOOKUP(C110,'Justice Spend Total'!C:AU, 45, FALSE)),(VLOOKUP(C110,'Justice Spend Total'!C:AU, 45, FALSE)), #N/A)</f>
        <v>164.98539096596369</v>
      </c>
    </row>
    <row r="111" spans="1:5">
      <c r="A111">
        <v>109</v>
      </c>
      <c r="B111" t="s">
        <v>201</v>
      </c>
      <c r="C111" t="s">
        <v>416</v>
      </c>
      <c r="D111" t="s">
        <v>389</v>
      </c>
      <c r="E111" s="15" t="e">
        <f>IF(ISNUMBER(VLOOKUP(C111,'Justice Spend Total'!C:AU, 45, FALSE)),(VLOOKUP(C111,'Justice Spend Total'!C:AU, 45, FALSE)), #N/A)</f>
        <v>#N/A</v>
      </c>
    </row>
    <row r="112" spans="1:5">
      <c r="A112">
        <v>110</v>
      </c>
      <c r="B112" t="s">
        <v>202</v>
      </c>
      <c r="C112" t="s">
        <v>417</v>
      </c>
      <c r="D112" t="s">
        <v>389</v>
      </c>
      <c r="E112" s="15" t="e">
        <f>IF(ISNUMBER(VLOOKUP(C112,'Justice Spend Total'!C:AU, 45, FALSE)),(VLOOKUP(C112,'Justice Spend Total'!C:AU, 45, FALSE)), #N/A)</f>
        <v>#N/A</v>
      </c>
    </row>
    <row r="113" spans="1:5">
      <c r="A113">
        <v>111</v>
      </c>
      <c r="B113" s="15" t="s">
        <v>203</v>
      </c>
      <c r="C113" s="15" t="s">
        <v>418</v>
      </c>
      <c r="D113" s="15" t="s">
        <v>389</v>
      </c>
      <c r="E113" s="15">
        <f>IF(ISNUMBER(VLOOKUP(C113,'Justice Spend Total'!C:AU, 45, FALSE)),(VLOOKUP(C113,'Justice Spend Total'!C:AU, 45, FALSE)), #N/A)</f>
        <v>96.783543917271814</v>
      </c>
    </row>
    <row r="114" spans="1:5">
      <c r="A114">
        <v>112</v>
      </c>
      <c r="B114" s="15" t="s">
        <v>204</v>
      </c>
      <c r="C114" s="15" t="s">
        <v>419</v>
      </c>
      <c r="D114" s="15" t="s">
        <v>389</v>
      </c>
      <c r="E114" s="15">
        <f>IF(ISNUMBER(VLOOKUP(C114,'Justice Spend Total'!C:AU, 45, FALSE)),(VLOOKUP(C114,'Justice Spend Total'!C:AU, 45, FALSE)), #N/A)</f>
        <v>83.726297746687223</v>
      </c>
    </row>
    <row r="115" spans="1:5">
      <c r="A115">
        <v>113</v>
      </c>
      <c r="B115" t="s">
        <v>205</v>
      </c>
      <c r="C115" t="s">
        <v>420</v>
      </c>
      <c r="D115" t="s">
        <v>389</v>
      </c>
      <c r="E115" s="15" t="e">
        <f>IF(ISNUMBER(VLOOKUP(C115,'Justice Spend Total'!C:AU, 45, FALSE)),(VLOOKUP(C115,'Justice Spend Total'!C:AU, 45, FALSE)), #N/A)</f>
        <v>#N/A</v>
      </c>
    </row>
    <row r="116" spans="1:5">
      <c r="A116">
        <v>114</v>
      </c>
      <c r="B116" t="s">
        <v>206</v>
      </c>
      <c r="C116" t="s">
        <v>421</v>
      </c>
      <c r="D116" t="s">
        <v>389</v>
      </c>
      <c r="E116" s="15" t="e">
        <f>IF(ISNUMBER(VLOOKUP(C116,'Justice Spend Total'!C:AU, 45, FALSE)),(VLOOKUP(C116,'Justice Spend Total'!C:AU, 45, FALSE)), #N/A)</f>
        <v>#N/A</v>
      </c>
    </row>
    <row r="117" spans="1:5">
      <c r="A117">
        <v>115</v>
      </c>
      <c r="B117" s="15" t="s">
        <v>207</v>
      </c>
      <c r="C117" s="15" t="s">
        <v>422</v>
      </c>
      <c r="D117" s="15" t="s">
        <v>389</v>
      </c>
      <c r="E117" s="15">
        <f>IF(ISNUMBER(VLOOKUP(C117,'Justice Spend Total'!C:AU, 45, FALSE)),(VLOOKUP(C117,'Justice Spend Total'!C:AU, 45, FALSE)), #N/A)</f>
        <v>78.382771916190521</v>
      </c>
    </row>
    <row r="118" spans="1:5">
      <c r="A118">
        <v>116</v>
      </c>
      <c r="B118" t="s">
        <v>208</v>
      </c>
      <c r="C118" t="s">
        <v>423</v>
      </c>
      <c r="D118" t="s">
        <v>389</v>
      </c>
      <c r="E118" s="15" t="e">
        <f>IF(ISNUMBER(VLOOKUP(C118,'Justice Spend Total'!C:AU, 45, FALSE)),(VLOOKUP(C118,'Justice Spend Total'!C:AU, 45, FALSE)), #N/A)</f>
        <v>#N/A</v>
      </c>
    </row>
    <row r="119" spans="1:5">
      <c r="A119">
        <v>117</v>
      </c>
      <c r="B119" t="s">
        <v>209</v>
      </c>
      <c r="C119" t="s">
        <v>424</v>
      </c>
      <c r="D119" t="s">
        <v>389</v>
      </c>
      <c r="E119" s="15" t="e">
        <f>IF(ISNUMBER(VLOOKUP(C119,'Justice Spend Total'!C:AU, 45, FALSE)),(VLOOKUP(C119,'Justice Spend Total'!C:AU, 45, FALSE)), #N/A)</f>
        <v>#N/A</v>
      </c>
    </row>
    <row r="120" spans="1:5">
      <c r="A120">
        <v>118</v>
      </c>
      <c r="B120" t="s">
        <v>210</v>
      </c>
      <c r="C120" t="s">
        <v>425</v>
      </c>
      <c r="D120" t="s">
        <v>389</v>
      </c>
      <c r="E120" s="15" t="e">
        <f>IF(ISNUMBER(VLOOKUP(C120,'Justice Spend Total'!C:AU, 45, FALSE)),(VLOOKUP(C120,'Justice Spend Total'!C:AU, 45, FALSE)), #N/A)</f>
        <v>#N/A</v>
      </c>
    </row>
    <row r="121" spans="1:5">
      <c r="A121">
        <v>119</v>
      </c>
      <c r="B121" t="s">
        <v>211</v>
      </c>
      <c r="C121" t="s">
        <v>426</v>
      </c>
      <c r="D121" t="s">
        <v>389</v>
      </c>
      <c r="E121" s="15" t="e">
        <f>IF(ISNUMBER(VLOOKUP(C121,'Justice Spend Total'!C:AU, 45, FALSE)),(VLOOKUP(C121,'Justice Spend Total'!C:AU, 45, FALSE)), #N/A)</f>
        <v>#N/A</v>
      </c>
    </row>
    <row r="122" spans="1:5">
      <c r="A122">
        <v>120</v>
      </c>
      <c r="B122" s="15" t="s">
        <v>212</v>
      </c>
      <c r="C122" s="15" t="s">
        <v>427</v>
      </c>
      <c r="D122" s="15" t="s">
        <v>389</v>
      </c>
      <c r="E122" s="15">
        <f>IF(ISNUMBER(VLOOKUP(C122,'Justice Spend Total'!C:AU, 45, FALSE)),(VLOOKUP(C122,'Justice Spend Total'!C:AU, 45, FALSE)), #N/A)</f>
        <v>81.411701687290815</v>
      </c>
    </row>
    <row r="123" spans="1:5">
      <c r="A123">
        <v>121</v>
      </c>
      <c r="B123" t="s">
        <v>213</v>
      </c>
      <c r="C123" t="s">
        <v>428</v>
      </c>
      <c r="D123" t="s">
        <v>389</v>
      </c>
      <c r="E123" s="15" t="e">
        <f>IF(ISNUMBER(VLOOKUP(C123,'Justice Spend Total'!C:AU, 45, FALSE)),(VLOOKUP(C123,'Justice Spend Total'!C:AU, 45, FALSE)), #N/A)</f>
        <v>#N/A</v>
      </c>
    </row>
    <row r="124" spans="1:5">
      <c r="A124">
        <v>122</v>
      </c>
      <c r="B124" t="s">
        <v>214</v>
      </c>
      <c r="C124" t="s">
        <v>429</v>
      </c>
      <c r="D124" t="s">
        <v>389</v>
      </c>
      <c r="E124" s="15" t="e">
        <f>IF(ISNUMBER(VLOOKUP(C124,'Justice Spend Total'!C:AU, 45, FALSE)),(VLOOKUP(C124,'Justice Spend Total'!C:AU, 45, FALSE)), #N/A)</f>
        <v>#N/A</v>
      </c>
    </row>
    <row r="125" spans="1:5">
      <c r="A125">
        <v>123</v>
      </c>
      <c r="B125" t="s">
        <v>215</v>
      </c>
      <c r="C125" t="s">
        <v>430</v>
      </c>
      <c r="D125" t="s">
        <v>389</v>
      </c>
      <c r="E125" s="15" t="e">
        <f>IF(ISNUMBER(VLOOKUP(C125,'Justice Spend Total'!C:AU, 45, FALSE)),(VLOOKUP(C125,'Justice Spend Total'!C:AU, 45, FALSE)), #N/A)</f>
        <v>#N/A</v>
      </c>
    </row>
    <row r="126" spans="1:5">
      <c r="A126">
        <v>124</v>
      </c>
      <c r="B126" t="s">
        <v>216</v>
      </c>
      <c r="C126" t="s">
        <v>431</v>
      </c>
      <c r="D126" t="s">
        <v>389</v>
      </c>
      <c r="E126" s="15" t="e">
        <f>IF(ISNUMBER(VLOOKUP(C126,'Justice Spend Total'!C:AU, 45, FALSE)),(VLOOKUP(C126,'Justice Spend Total'!C:AU, 45, FALSE)), #N/A)</f>
        <v>#N/A</v>
      </c>
    </row>
    <row r="127" spans="1:5">
      <c r="A127">
        <v>125</v>
      </c>
      <c r="B127" t="s">
        <v>217</v>
      </c>
      <c r="C127" t="s">
        <v>432</v>
      </c>
      <c r="D127" t="s">
        <v>389</v>
      </c>
      <c r="E127" s="15" t="e">
        <f>IF(ISNUMBER(VLOOKUP(C127,'Justice Spend Total'!C:AU, 45, FALSE)),(VLOOKUP(C127,'Justice Spend Total'!C:AU, 45, FALSE)), #N/A)</f>
        <v>#N/A</v>
      </c>
    </row>
    <row r="128" spans="1:5">
      <c r="A128">
        <v>126</v>
      </c>
      <c r="B128" s="15" t="s">
        <v>218</v>
      </c>
      <c r="C128" s="15" t="s">
        <v>433</v>
      </c>
      <c r="D128" s="15" t="s">
        <v>389</v>
      </c>
      <c r="E128" s="15">
        <f>IF(ISNUMBER(VLOOKUP(C128,'Justice Spend Total'!C:AU, 45, FALSE)),(VLOOKUP(C128,'Justice Spend Total'!C:AU, 45, FALSE)), #N/A)</f>
        <v>220.36691007341915</v>
      </c>
    </row>
    <row r="129" spans="1:5">
      <c r="A129">
        <v>127</v>
      </c>
      <c r="B129" s="15" t="s">
        <v>219</v>
      </c>
      <c r="C129" s="15" t="s">
        <v>434</v>
      </c>
      <c r="D129" s="15" t="s">
        <v>389</v>
      </c>
      <c r="E129" s="15">
        <f>IF(ISNUMBER(VLOOKUP(C129,'Justice Spend Total'!C:AU, 45, FALSE)),(VLOOKUP(C129,'Justice Spend Total'!C:AU, 45, FALSE)), #N/A)</f>
        <v>96.841293531927647</v>
      </c>
    </row>
    <row r="130" spans="1:5">
      <c r="A130">
        <v>128</v>
      </c>
      <c r="B130" s="15" t="s">
        <v>220</v>
      </c>
      <c r="C130" s="15" t="s">
        <v>435</v>
      </c>
      <c r="D130" s="15" t="s">
        <v>389</v>
      </c>
      <c r="E130" s="15">
        <f>IF(ISNUMBER(VLOOKUP(C130,'Justice Spend Total'!C:AU, 45, FALSE)),(VLOOKUP(C130,'Justice Spend Total'!C:AU, 45, FALSE)), #N/A)</f>
        <v>296.50610275267746</v>
      </c>
    </row>
    <row r="131" spans="1:5">
      <c r="A131">
        <v>129</v>
      </c>
      <c r="B131" s="15" t="s">
        <v>221</v>
      </c>
      <c r="C131" s="15" t="s">
        <v>436</v>
      </c>
      <c r="D131" s="15" t="s">
        <v>389</v>
      </c>
      <c r="E131" s="15">
        <f>IF(ISNUMBER(VLOOKUP(C131,'Justice Spend Total'!C:AU, 45, FALSE)),(VLOOKUP(C131,'Justice Spend Total'!C:AU, 45, FALSE)), #N/A)</f>
        <v>283.06174960958651</v>
      </c>
    </row>
    <row r="132" spans="1:5">
      <c r="A132">
        <v>130</v>
      </c>
      <c r="B132" s="15" t="s">
        <v>222</v>
      </c>
      <c r="C132" s="15" t="s">
        <v>437</v>
      </c>
      <c r="D132" s="15" t="s">
        <v>389</v>
      </c>
      <c r="E132" s="15">
        <f>IF(ISNUMBER(VLOOKUP(C132,'Justice Spend Total'!C:AU, 45, FALSE)),(VLOOKUP(C132,'Justice Spend Total'!C:AU, 45, FALSE)), #N/A)</f>
        <v>126.10827858242544</v>
      </c>
    </row>
    <row r="133" spans="1:5">
      <c r="A133">
        <v>131</v>
      </c>
      <c r="B133" s="15" t="s">
        <v>223</v>
      </c>
      <c r="C133" s="15" t="s">
        <v>438</v>
      </c>
      <c r="D133" s="15" t="s">
        <v>389</v>
      </c>
      <c r="E133" s="15">
        <f>IF(ISNUMBER(VLOOKUP(C133,'Justice Spend Total'!C:AU, 45, FALSE)),(VLOOKUP(C133,'Justice Spend Total'!C:AU, 45, FALSE)), #N/A)</f>
        <v>271.56225599540721</v>
      </c>
    </row>
    <row r="134" spans="1:5">
      <c r="A134">
        <v>132</v>
      </c>
      <c r="B134" s="15" t="s">
        <v>224</v>
      </c>
      <c r="C134" s="15" t="s">
        <v>439</v>
      </c>
      <c r="D134" s="15" t="s">
        <v>389</v>
      </c>
      <c r="E134" s="15">
        <f>IF(ISNUMBER(VLOOKUP(C134,'Justice Spend Total'!C:AU, 45, FALSE)),(VLOOKUP(C134,'Justice Spend Total'!C:AU, 45, FALSE)), #N/A)</f>
        <v>160.71103813427888</v>
      </c>
    </row>
    <row r="135" spans="1:5">
      <c r="A135">
        <v>133</v>
      </c>
      <c r="B135" s="15" t="s">
        <v>225</v>
      </c>
      <c r="C135" s="15" t="s">
        <v>440</v>
      </c>
      <c r="D135" s="15" t="s">
        <v>389</v>
      </c>
      <c r="E135" s="15">
        <f>IF(ISNUMBER(VLOOKUP(C135,'Justice Spend Total'!C:AU, 45, FALSE)),(VLOOKUP(C135,'Justice Spend Total'!C:AU, 45, FALSE)), #N/A)</f>
        <v>296.45858416697939</v>
      </c>
    </row>
    <row r="136" spans="1:5">
      <c r="A136">
        <v>145</v>
      </c>
      <c r="B136" s="15" t="s">
        <v>75</v>
      </c>
      <c r="C136" s="15" t="s">
        <v>441</v>
      </c>
      <c r="D136" s="15" t="s">
        <v>285</v>
      </c>
      <c r="E136" s="15">
        <f>IF(ISNUMBER(VLOOKUP(C136,'Justice Spend Total'!C:AU, 45, FALSE)),(VLOOKUP(C136,'Justice Spend Total'!C:AU, 45, FALSE)), #N/A)</f>
        <v>391.1539861024263</v>
      </c>
    </row>
    <row r="137" spans="1:5">
      <c r="A137">
        <v>148</v>
      </c>
      <c r="B137" s="15" t="s">
        <v>68</v>
      </c>
      <c r="C137" s="15" t="s">
        <v>442</v>
      </c>
      <c r="D137" s="15" t="s">
        <v>285</v>
      </c>
      <c r="E137" s="15">
        <f>IF(ISNUMBER(VLOOKUP(C137,'Justice Spend Total'!C:AU, 45, FALSE)),(VLOOKUP(C137,'Justice Spend Total'!C:AU, 45, FALSE)), #N/A)</f>
        <v>382.66609053197101</v>
      </c>
    </row>
    <row r="138" spans="1:5">
      <c r="A138">
        <v>153</v>
      </c>
      <c r="B138" s="15" t="s">
        <v>65</v>
      </c>
      <c r="C138" s="15" t="s">
        <v>443</v>
      </c>
      <c r="D138" s="15" t="s">
        <v>285</v>
      </c>
      <c r="E138" s="15">
        <f>IF(ISNUMBER(VLOOKUP(C138,'Justice Spend Total'!C:AU, 45, FALSE)),(VLOOKUP(C138,'Justice Spend Total'!C:AU, 45, FALSE)), #N/A)</f>
        <v>476.32563468612409</v>
      </c>
    </row>
    <row r="139" spans="1:5">
      <c r="A139">
        <v>154</v>
      </c>
      <c r="B139" s="15" t="s">
        <v>76</v>
      </c>
      <c r="C139" s="15" t="s">
        <v>444</v>
      </c>
      <c r="D139" s="15" t="s">
        <v>285</v>
      </c>
      <c r="E139" s="15">
        <f>IF(ISNUMBER(VLOOKUP(C139,'Justice Spend Total'!C:AU, 45, FALSE)),(VLOOKUP(C139,'Justice Spend Total'!C:AU, 45, FALSE)), #N/A)</f>
        <v>506.85071825364849</v>
      </c>
    </row>
    <row r="140" spans="1:5">
      <c r="A140">
        <v>160</v>
      </c>
      <c r="B140" s="15" t="s">
        <v>62</v>
      </c>
      <c r="C140" s="15" t="s">
        <v>445</v>
      </c>
      <c r="D140" s="15" t="s">
        <v>285</v>
      </c>
      <c r="E140" s="15">
        <f>IF(ISNUMBER(VLOOKUP(C140,'Justice Spend Total'!C:AU, 45, FALSE)),(VLOOKUP(C140,'Justice Spend Total'!C:AU, 45, FALSE)), #N/A)</f>
        <v>452.43793743340393</v>
      </c>
    </row>
    <row r="141" spans="1:5">
      <c r="A141">
        <v>161</v>
      </c>
      <c r="B141" s="15" t="s">
        <v>70</v>
      </c>
      <c r="C141" s="15" t="s">
        <v>446</v>
      </c>
      <c r="D141" s="15" t="s">
        <v>285</v>
      </c>
      <c r="E141" s="15">
        <f>IF(ISNUMBER(VLOOKUP(C141,'Justice Spend Total'!C:AU, 45, FALSE)),(VLOOKUP(C141,'Justice Spend Total'!C:AU, 45, FALSE)), #N/A)</f>
        <v>514.55303011279216</v>
      </c>
    </row>
    <row r="142" spans="1:5">
      <c r="A142">
        <v>166</v>
      </c>
      <c r="B142" s="15" t="s">
        <v>60</v>
      </c>
      <c r="C142" s="15" t="s">
        <v>447</v>
      </c>
      <c r="D142" s="15" t="s">
        <v>285</v>
      </c>
      <c r="E142" s="15">
        <f>IF(ISNUMBER(VLOOKUP(C142,'Justice Spend Total'!C:AU, 45, FALSE)),(VLOOKUP(C142,'Justice Spend Total'!C:AU, 45, FALSE)), #N/A)</f>
        <v>495.12271452321153</v>
      </c>
    </row>
    <row r="143" spans="1:5">
      <c r="A143">
        <v>167</v>
      </c>
      <c r="B143" s="15" t="s">
        <v>69</v>
      </c>
      <c r="C143" s="15" t="s">
        <v>448</v>
      </c>
      <c r="D143" s="15" t="s">
        <v>285</v>
      </c>
      <c r="E143" s="15">
        <f>IF(ISNUMBER(VLOOKUP(C143,'Justice Spend Total'!C:AU, 45, FALSE)),(VLOOKUP(C143,'Justice Spend Total'!C:AU, 45, FALSE)), #N/A)</f>
        <v>619.93013936474915</v>
      </c>
    </row>
    <row r="144" spans="1:5">
      <c r="A144">
        <v>170</v>
      </c>
      <c r="B144" t="s">
        <v>73</v>
      </c>
      <c r="C144" t="s">
        <v>449</v>
      </c>
      <c r="D144" t="s">
        <v>285</v>
      </c>
      <c r="E144" s="15">
        <f>IF(ISNUMBER(VLOOKUP(C144,'Justice Spend Total'!C:AU, 45, FALSE)),(VLOOKUP(C144,'Justice Spend Total'!C:AU, 45, FALSE)), #N/A)</f>
        <v>447.63904353239127</v>
      </c>
    </row>
    <row r="145" spans="1:5">
      <c r="A145">
        <v>171</v>
      </c>
      <c r="B145" s="15" t="s">
        <v>63</v>
      </c>
      <c r="C145" s="15" t="s">
        <v>450</v>
      </c>
      <c r="D145" s="15" t="s">
        <v>285</v>
      </c>
      <c r="E145" s="15">
        <f>IF(ISNUMBER(VLOOKUP(C145,'Justice Spend Total'!C:AU, 45, FALSE)),(VLOOKUP(C145,'Justice Spend Total'!C:AU, 45, FALSE)), #N/A)</f>
        <v>721.87780297227687</v>
      </c>
    </row>
    <row r="146" spans="1:5">
      <c r="A146">
        <v>174</v>
      </c>
      <c r="B146" s="15" t="s">
        <v>57</v>
      </c>
      <c r="C146" s="15" t="s">
        <v>451</v>
      </c>
      <c r="D146" s="15" t="s">
        <v>285</v>
      </c>
      <c r="E146" s="15">
        <f>IF(ISNUMBER(VLOOKUP(C146,'Justice Spend Total'!C:AU, 45, FALSE)),(VLOOKUP(C146,'Justice Spend Total'!C:AU, 45, FALSE)), #N/A)</f>
        <v>549.01618282180004</v>
      </c>
    </row>
    <row r="147" spans="1:5">
      <c r="A147">
        <v>175</v>
      </c>
      <c r="B147" s="15" t="s">
        <v>55</v>
      </c>
      <c r="C147" s="15" t="s">
        <v>452</v>
      </c>
      <c r="D147" s="15" t="s">
        <v>285</v>
      </c>
      <c r="E147" s="15">
        <f>IF(ISNUMBER(VLOOKUP(C147,'Justice Spend Total'!C:AU, 45, FALSE)),(VLOOKUP(C147,'Justice Spend Total'!C:AU, 45, FALSE)), #N/A)</f>
        <v>778.36000451612529</v>
      </c>
    </row>
    <row r="148" spans="1:5">
      <c r="A148">
        <v>176</v>
      </c>
      <c r="B148" s="15" t="s">
        <v>71</v>
      </c>
      <c r="C148" s="15" t="s">
        <v>453</v>
      </c>
      <c r="D148" s="15" t="s">
        <v>285</v>
      </c>
      <c r="E148" s="15">
        <f>IF(ISNUMBER(VLOOKUP(C148,'Justice Spend Total'!C:AU, 45, FALSE)),(VLOOKUP(C148,'Justice Spend Total'!C:AU, 45, FALSE)), #N/A)</f>
        <v>884.59278523385569</v>
      </c>
    </row>
    <row r="149" spans="1:5">
      <c r="A149">
        <v>177</v>
      </c>
      <c r="B149" s="15" t="s">
        <v>72</v>
      </c>
      <c r="C149" s="15" t="s">
        <v>454</v>
      </c>
      <c r="D149" s="15" t="s">
        <v>285</v>
      </c>
      <c r="E149" s="15">
        <f>IF(ISNUMBER(VLOOKUP(C149,'Justice Spend Total'!C:AU, 45, FALSE)),(VLOOKUP(C149,'Justice Spend Total'!C:AU, 45, FALSE)), #N/A)</f>
        <v>915.18408133256605</v>
      </c>
    </row>
    <row r="150" spans="1:5">
      <c r="A150">
        <v>180</v>
      </c>
      <c r="B150" s="15" t="s">
        <v>64</v>
      </c>
      <c r="C150" s="15" t="s">
        <v>455</v>
      </c>
      <c r="D150" s="15" t="s">
        <v>285</v>
      </c>
      <c r="E150" s="15">
        <f>IF(ISNUMBER(VLOOKUP(C150,'Justice Spend Total'!C:AU, 45, FALSE)),(VLOOKUP(C150,'Justice Spend Total'!C:AU, 45, FALSE)), #N/A)</f>
        <v>895.37395027288881</v>
      </c>
    </row>
    <row r="151" spans="1:5">
      <c r="A151">
        <v>182</v>
      </c>
      <c r="B151" s="15" t="s">
        <v>58</v>
      </c>
      <c r="C151" s="15" t="s">
        <v>456</v>
      </c>
      <c r="D151" s="15" t="s">
        <v>285</v>
      </c>
      <c r="E151" s="15">
        <f>IF(ISNUMBER(VLOOKUP(C151,'Justice Spend Total'!C:AU, 45, FALSE)),(VLOOKUP(C151,'Justice Spend Total'!C:AU, 45, FALSE)), #N/A)</f>
        <v>919.3019945608911</v>
      </c>
    </row>
    <row r="152" spans="1:5">
      <c r="A152">
        <v>183</v>
      </c>
      <c r="B152" s="15" t="s">
        <v>56</v>
      </c>
      <c r="C152" s="15" t="s">
        <v>457</v>
      </c>
      <c r="D152" s="15" t="s">
        <v>285</v>
      </c>
      <c r="E152" s="15">
        <f>IF(ISNUMBER(VLOOKUP(C152,'Justice Spend Total'!C:AU, 45, FALSE)),(VLOOKUP(C152,'Justice Spend Total'!C:AU, 45, FALSE)), #N/A)</f>
        <v>875.65952796683723</v>
      </c>
    </row>
    <row r="153" spans="1:5">
      <c r="A153">
        <v>184</v>
      </c>
      <c r="B153" s="15" t="s">
        <v>53</v>
      </c>
      <c r="C153" s="15" t="s">
        <v>458</v>
      </c>
      <c r="D153" s="15" t="s">
        <v>285</v>
      </c>
      <c r="E153" s="15">
        <f>IF(ISNUMBER(VLOOKUP(C153,'Justice Spend Total'!C:AU, 45, FALSE)),(VLOOKUP(C153,'Justice Spend Total'!C:AU, 45, FALSE)), #N/A)</f>
        <v>746.69494665426316</v>
      </c>
    </row>
    <row r="154" spans="1:5">
      <c r="A154">
        <v>185</v>
      </c>
      <c r="B154" s="15" t="s">
        <v>50</v>
      </c>
      <c r="C154" s="15" t="s">
        <v>459</v>
      </c>
      <c r="D154" s="15" t="s">
        <v>285</v>
      </c>
      <c r="E154" s="15">
        <f>IF(ISNUMBER(VLOOKUP(C154,'Justice Spend Total'!C:AU, 45, FALSE)),(VLOOKUP(C154,'Justice Spend Total'!C:AU, 45, FALSE)), #N/A)</f>
        <v>626.59525462766976</v>
      </c>
    </row>
    <row r="155" spans="1:5">
      <c r="A155">
        <v>187</v>
      </c>
      <c r="B155" s="15" t="s">
        <v>66</v>
      </c>
      <c r="C155" s="15" t="s">
        <v>460</v>
      </c>
      <c r="D155" s="15" t="s">
        <v>285</v>
      </c>
      <c r="E155" s="15">
        <f>IF(ISNUMBER(VLOOKUP(C155,'Justice Spend Total'!C:AU, 45, FALSE)),(VLOOKUP(C155,'Justice Spend Total'!C:AU, 45, FALSE)), #N/A)</f>
        <v>1116.9093795111826</v>
      </c>
    </row>
    <row r="156" spans="1:5">
      <c r="A156">
        <v>188</v>
      </c>
      <c r="B156" s="15" t="s">
        <v>74</v>
      </c>
      <c r="C156" s="15" t="s">
        <v>461</v>
      </c>
      <c r="D156" s="15" t="s">
        <v>285</v>
      </c>
      <c r="E156" s="15">
        <f>IF(ISNUMBER(VLOOKUP(C156,'Justice Spend Total'!C:AU, 45, FALSE)),(VLOOKUP(C156,'Justice Spend Total'!C:AU, 45, FALSE)), #N/A)</f>
        <v>1145.5018480490724</v>
      </c>
    </row>
    <row r="157" spans="1:5">
      <c r="A157">
        <v>190</v>
      </c>
      <c r="B157" s="15" t="s">
        <v>52</v>
      </c>
      <c r="C157" s="15" t="s">
        <v>462</v>
      </c>
      <c r="D157" s="15" t="s">
        <v>285</v>
      </c>
      <c r="E157" s="15">
        <f>IF(ISNUMBER(VLOOKUP(C157,'Justice Spend Total'!C:AU, 45, FALSE)),(VLOOKUP(C157,'Justice Spend Total'!C:AU, 45, FALSE)), #N/A)</f>
        <v>823.47819334052292</v>
      </c>
    </row>
    <row r="158" spans="1:5">
      <c r="A158">
        <v>193</v>
      </c>
      <c r="B158" s="15" t="s">
        <v>59</v>
      </c>
      <c r="C158" s="15" t="s">
        <v>463</v>
      </c>
      <c r="D158" s="15" t="s">
        <v>285</v>
      </c>
      <c r="E158" s="15">
        <f>IF(ISNUMBER(VLOOKUP(C158,'Justice Spend Total'!C:AU, 45, FALSE)),(VLOOKUP(C158,'Justice Spend Total'!C:AU, 45, FALSE)), #N/A)</f>
        <v>1024.4099999965451</v>
      </c>
    </row>
    <row r="159" spans="1:5">
      <c r="A159">
        <v>194</v>
      </c>
      <c r="B159" s="15" t="s">
        <v>49</v>
      </c>
      <c r="C159" s="15" t="s">
        <v>464</v>
      </c>
      <c r="D159" s="15" t="s">
        <v>285</v>
      </c>
      <c r="E159" s="15">
        <f>IF(ISNUMBER(VLOOKUP(C159,'Justice Spend Total'!C:AU, 45, FALSE)),(VLOOKUP(C159,'Justice Spend Total'!C:AU, 45, FALSE)), #N/A)</f>
        <v>678.88937014313012</v>
      </c>
    </row>
    <row r="160" spans="1:5">
      <c r="A160">
        <v>195</v>
      </c>
      <c r="B160" s="15" t="s">
        <v>77</v>
      </c>
      <c r="C160" s="15" t="s">
        <v>465</v>
      </c>
      <c r="D160" s="15" t="s">
        <v>285</v>
      </c>
      <c r="E160" s="15">
        <f>IF(ISNUMBER(VLOOKUP(C160,'Justice Spend Total'!C:AU, 45, FALSE)),(VLOOKUP(C160,'Justice Spend Total'!C:AU, 45, FALSE)), #N/A)</f>
        <v>1380.3690098713728</v>
      </c>
    </row>
    <row r="161" spans="1:5">
      <c r="A161">
        <v>196</v>
      </c>
      <c r="B161" s="15" t="s">
        <v>61</v>
      </c>
      <c r="C161" s="15" t="s">
        <v>466</v>
      </c>
      <c r="D161" s="15" t="s">
        <v>285</v>
      </c>
      <c r="E161" s="15">
        <f>IF(ISNUMBER(VLOOKUP(C161,'Justice Spend Total'!C:AU, 45, FALSE)),(VLOOKUP(C161,'Justice Spend Total'!C:AU, 45, FALSE)), #N/A)</f>
        <v>697.17846932836983</v>
      </c>
    </row>
    <row r="162" spans="1:5">
      <c r="A162">
        <v>197</v>
      </c>
      <c r="B162" s="15" t="s">
        <v>54</v>
      </c>
      <c r="C162" s="15" t="s">
        <v>467</v>
      </c>
      <c r="D162" s="15" t="s">
        <v>285</v>
      </c>
      <c r="E162" s="15">
        <f>IF(ISNUMBER(VLOOKUP(C162,'Justice Spend Total'!C:AU, 45, FALSE)),(VLOOKUP(C162,'Justice Spend Total'!C:AU, 45, FALSE)), #N/A)</f>
        <v>1050.6984063732627</v>
      </c>
    </row>
    <row r="163" spans="1:5">
      <c r="A163">
        <v>199</v>
      </c>
      <c r="B163" s="15" t="s">
        <v>51</v>
      </c>
      <c r="C163" s="15" t="s">
        <v>468</v>
      </c>
      <c r="D163" s="15" t="s">
        <v>285</v>
      </c>
      <c r="E163" s="15">
        <f>IF(ISNUMBER(VLOOKUP(C163,'Justice Spend Total'!C:AU, 45, FALSE)),(VLOOKUP(C163,'Justice Spend Total'!C:AU, 45, FALSE)), #N/A)</f>
        <v>1090.7102052175933</v>
      </c>
    </row>
    <row r="164" spans="1:5">
      <c r="A164">
        <v>200</v>
      </c>
      <c r="B164" s="15" t="s">
        <v>67</v>
      </c>
      <c r="C164" s="15" t="s">
        <v>469</v>
      </c>
      <c r="D164" s="15" t="s">
        <v>285</v>
      </c>
      <c r="E164" s="15">
        <f>IF(ISNUMBER(VLOOKUP(C164,'Justice Spend Total'!C:AU, 45, FALSE)),(VLOOKUP(C164,'Justice Spend Total'!C:AU, 45, FALSE)), #N/A)</f>
        <v>1457.6736244494107</v>
      </c>
    </row>
  </sheetData>
  <pageMargins left="0.7" right="0.7" top="0.75" bottom="0.75" header="0.3" footer="0.3"/>
  <pageSetup paperSize="9" orientation="portrait" horizontalDpi="4294967292" verticalDpi="0"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86C0-7602-4AD1-910A-F6DA8D4E4AAE}">
  <dimension ref="A2:R33"/>
  <sheetViews>
    <sheetView topLeftCell="Q5" workbookViewId="0">
      <selection activeCell="R11" sqref="R11"/>
    </sheetView>
  </sheetViews>
  <sheetFormatPr defaultColWidth="8.85546875" defaultRowHeight="14.45"/>
  <cols>
    <col min="2" max="2" width="11.140625" customWidth="1"/>
    <col min="4" max="4" width="15.28515625" customWidth="1"/>
    <col min="5" max="5" width="15.42578125" customWidth="1"/>
  </cols>
  <sheetData>
    <row r="2" spans="1:18">
      <c r="G2" t="s">
        <v>78</v>
      </c>
      <c r="L2" t="s">
        <v>637</v>
      </c>
    </row>
    <row r="3" spans="1:18" ht="87">
      <c r="A3" t="s">
        <v>47</v>
      </c>
      <c r="B3" t="s">
        <v>20</v>
      </c>
      <c r="C3" t="s">
        <v>79</v>
      </c>
      <c r="D3" t="s">
        <v>80</v>
      </c>
      <c r="E3" s="34" t="s">
        <v>48</v>
      </c>
      <c r="F3" s="34" t="s">
        <v>81</v>
      </c>
      <c r="G3" s="34" t="s">
        <v>82</v>
      </c>
      <c r="H3" s="34" t="s">
        <v>83</v>
      </c>
      <c r="I3" s="34" t="s">
        <v>84</v>
      </c>
      <c r="J3" s="34" t="s">
        <v>85</v>
      </c>
      <c r="K3" s="34" t="s">
        <v>86</v>
      </c>
      <c r="L3" s="34" t="s">
        <v>267</v>
      </c>
      <c r="M3" s="34" t="s">
        <v>268</v>
      </c>
      <c r="N3" s="34" t="s">
        <v>269</v>
      </c>
      <c r="O3" s="34" t="s">
        <v>638</v>
      </c>
      <c r="P3" s="34" t="s">
        <v>639</v>
      </c>
      <c r="Q3" s="34" t="s">
        <v>640</v>
      </c>
      <c r="R3" s="34"/>
    </row>
    <row r="4" spans="1:18">
      <c r="A4" t="s">
        <v>57</v>
      </c>
      <c r="B4" s="15">
        <f>IF(ISNUMBER(VLOOKUP($A4,'Justice Spend Total'!$B:$AY, 10,FALSE)),VLOOKUP($A4,'Justice Spend Total'!$B:$AY, 10,FALSE),#N/A)</f>
        <v>191417.7</v>
      </c>
      <c r="C4" s="15">
        <f>IF(ISNUMBER(VLOOKUP($A4,'Justice Spend Total'!$B:$AY, 11,FALSE)),VLOOKUP($A4,'Justice Spend Total'!$B:$AY, 11,FALSE),#N/A)</f>
        <v>35.569224056843062</v>
      </c>
      <c r="D4">
        <f>IF(ISNUMBER(VLOOKUP($A4,'Justice Spend Total'!$B:$AY, 12,FALSE)),VLOOKUP($A4,'Justice Spend Total'!$B:$AY, 12,FALSE),#N/A)</f>
        <v>2020</v>
      </c>
      <c r="E4" s="15">
        <f>IF(ISNUMBER(VLOOKUP($A4,'Justice Spend Total'!$B:$AY, 22,FALSE)),VLOOKUP($A4,'Justice Spend Total'!$B:$AY, 22,FALSE),#N/A)</f>
        <v>3.6215735478668494</v>
      </c>
      <c r="F4" s="15">
        <f>IF(ISNUMBER(VLOOKUP($A4,'Justice Spend Total'!$B:$AY, 23,FALSE)),VLOOKUP($A4,'Justice Spend Total'!$B:$AY, 23,FALSE),#N/A)</f>
        <v>1.8790513894598453</v>
      </c>
      <c r="G4" s="15">
        <f>IF(ISNUMBER(VLOOKUP($A4,'Justice Spend Total'!$B:$AY, 24,FALSE)),VLOOKUP($A4,'Justice Spend Total'!$B:$AY, 24,FALSE),#N/A)</f>
        <v>1.0571099292720003</v>
      </c>
      <c r="H4" s="15">
        <f>IF(ISNUMBER(VLOOKUP($A4,'Justice Spend Total'!$B:$AY, 25,FALSE)),VLOOKUP($A4,'Justice Spend Total'!$B:$AY, 25,FALSE),#N/A)</f>
        <v>0.29482172256023442</v>
      </c>
      <c r="I4" s="15">
        <f>IF(ISNUMBER(VLOOKUP($A4,'Justice Spend Total'!$B:$AY, 26,FALSE)),VLOOKUP($A4,'Justice Spend Total'!$B:$AY, 26,FALSE),#N/A)</f>
        <v>0.13224964506419412</v>
      </c>
      <c r="J4" s="15">
        <f>IF(ISNUMBER(VLOOKUP($A4,'Justice Spend Total'!$B:$AY, 27,FALSE)),VLOOKUP($A4,'Justice Spend Total'!$B:$AY, 27,FALSE),#N/A)</f>
        <v>1.3569418988433502E-3</v>
      </c>
      <c r="K4" s="15">
        <f>IF(ISNUMBER(VLOOKUP($A4,'Justice Spend Total'!$B:$AY, 28,FALSE)),VLOOKUP($A4,'Justice Spend Total'!$B:$AY, 28,FALSE),#N/A)</f>
        <v>0.25693172953868504</v>
      </c>
      <c r="L4" s="4">
        <f t="shared" ref="L4:L32" si="0">F4/$E4</f>
        <v>0.51884943509338066</v>
      </c>
      <c r="M4" s="4">
        <f t="shared" ref="M4:M32" si="1">H4/$E4</f>
        <v>8.1407078625778007E-2</v>
      </c>
      <c r="N4" s="4">
        <f t="shared" ref="N4:N32" si="2">I4/$E4</f>
        <v>3.6517177772653758E-2</v>
      </c>
      <c r="O4" s="4">
        <f t="shared" ref="O4:O32" si="3">G4/$E4</f>
        <v>0.29189243716854812</v>
      </c>
      <c r="P4" s="4">
        <f t="shared" ref="P4:P32" si="4">J4/$E4</f>
        <v>3.7468296057182254E-4</v>
      </c>
      <c r="Q4" s="4">
        <f t="shared" ref="Q4:Q32" si="5">K4/$E4</f>
        <v>7.0944777495964687E-2</v>
      </c>
      <c r="R4" s="4"/>
    </row>
    <row r="5" spans="1:18">
      <c r="A5" t="s">
        <v>65</v>
      </c>
      <c r="B5" s="15">
        <f>IF(ISNUMBER(VLOOKUP($A5,'Justice Spend Total'!$B:$AY, 10,FALSE)),VLOOKUP($A5,'Justice Spend Total'!$B:$AY, 10,FALSE),#N/A)</f>
        <v>89.81</v>
      </c>
      <c r="C5" s="15">
        <f>IF(ISNUMBER(VLOOKUP($A5,'Justice Spend Total'!$B:$AY, 11,FALSE)),VLOOKUP($A5,'Justice Spend Total'!$B:$AY, 11,FALSE),#N/A)</f>
        <v>49.122135316961106</v>
      </c>
      <c r="D5">
        <f>IF(ISNUMBER(VLOOKUP($A5,'Justice Spend Total'!$B:$AY, 12,FALSE)),VLOOKUP($A5,'Justice Spend Total'!$B:$AY, 12,FALSE),#N/A)</f>
        <v>2021</v>
      </c>
      <c r="E5" s="15">
        <f>IF(ISNUMBER(VLOOKUP($A5,'Justice Spend Total'!$B:$AY, 22,FALSE)),VLOOKUP($A5,'Justice Spend Total'!$B:$AY, 22,FALSE),#N/A)</f>
        <v>4.814678045888118</v>
      </c>
      <c r="F5" s="15">
        <f>IF(ISNUMBER(VLOOKUP($A5,'Justice Spend Total'!$B:$AY, 23,FALSE)),VLOOKUP($A5,'Justice Spend Total'!$B:$AY, 23,FALSE),#N/A)</f>
        <v>3.0837509564688887</v>
      </c>
      <c r="G5" s="15">
        <f>IF(ISNUMBER(VLOOKUP($A5,'Justice Spend Total'!$B:$AY, 24,FALSE)),VLOOKUP($A5,'Justice Spend Total'!$B:$AY, 24,FALSE),#N/A)</f>
        <v>0.70219169868638531</v>
      </c>
      <c r="H5" s="15">
        <f>IF(ISNUMBER(VLOOKUP($A5,'Justice Spend Total'!$B:$AY, 25,FALSE)),VLOOKUP($A5,'Justice Spend Total'!$B:$AY, 25,FALSE),#N/A)</f>
        <v>0.81267640652165651</v>
      </c>
      <c r="I5" s="15">
        <f>IF(ISNUMBER(VLOOKUP($A5,'Justice Spend Total'!$B:$AY, 26,FALSE)),VLOOKUP($A5,'Justice Spend Total'!$B:$AY, 26,FALSE),#N/A)</f>
        <v>0.17677553253643272</v>
      </c>
      <c r="J5" s="15">
        <f>IF(ISNUMBER(VLOOKUP($A5,'Justice Spend Total'!$B:$AY, 27,FALSE)),VLOOKUP($A5,'Justice Spend Total'!$B:$AY, 27,FALSE),#N/A)</f>
        <v>0</v>
      </c>
      <c r="K5" s="15">
        <f>IF(ISNUMBER(VLOOKUP($A5,'Justice Spend Total'!$B:$AY, 28,FALSE)),VLOOKUP($A5,'Justice Spend Total'!$B:$AY, 28,FALSE),#N/A)</f>
        <v>3.9283451674762784E-2</v>
      </c>
      <c r="L5" s="4">
        <f t="shared" si="0"/>
        <v>0.64048954614992504</v>
      </c>
      <c r="M5" s="4">
        <f t="shared" si="1"/>
        <v>0.16879143294237647</v>
      </c>
      <c r="N5" s="4">
        <f t="shared" si="2"/>
        <v>3.6715961244263136E-2</v>
      </c>
      <c r="O5" s="4">
        <f t="shared" si="3"/>
        <v>0.14584395716471188</v>
      </c>
      <c r="P5" s="4">
        <f t="shared" si="4"/>
        <v>0</v>
      </c>
      <c r="Q5" s="4">
        <f t="shared" si="5"/>
        <v>8.1591024987251338E-3</v>
      </c>
      <c r="R5" s="4"/>
    </row>
    <row r="6" spans="1:18">
      <c r="A6" t="s">
        <v>59</v>
      </c>
      <c r="B6" s="15">
        <f>IF(ISNUMBER(VLOOKUP($A6,'Justice Spend Total'!$B:$AY, 10,FALSE)),VLOOKUP($A6,'Justice Spend Total'!$B:$AY, 10,FALSE),#N/A)</f>
        <v>1231.6099999999999</v>
      </c>
      <c r="C6" s="15">
        <f>IF(ISNUMBER(VLOOKUP($A6,'Justice Spend Total'!$B:$AY, 11,FALSE)),VLOOKUP($A6,'Justice Spend Total'!$B:$AY, 11,FALSE),#N/A)</f>
        <v>42.056432198383455</v>
      </c>
      <c r="D6">
        <f>IF(ISNUMBER(VLOOKUP($A6,'Justice Spend Total'!$B:$AY, 12,FALSE)),VLOOKUP($A6,'Justice Spend Total'!$B:$AY, 12,FALSE),#N/A)</f>
        <v>2020</v>
      </c>
      <c r="E6" s="15">
        <f>IF(ISNUMBER(VLOOKUP($A6,'Justice Spend Total'!$B:$AY, 22,FALSE)),VLOOKUP($A6,'Justice Spend Total'!$B:$AY, 22,FALSE),#N/A)</f>
        <v>3.7817087899709736</v>
      </c>
      <c r="F6" s="15">
        <f>IF(ISNUMBER(VLOOKUP($A6,'Justice Spend Total'!$B:$AY, 23,FALSE)),VLOOKUP($A6,'Justice Spend Total'!$B:$AY, 23,FALSE),#N/A)</f>
        <v>2.1155731072844337</v>
      </c>
      <c r="G6" s="15">
        <f>IF(ISNUMBER(VLOOKUP($A6,'Justice Spend Total'!$B:$AY, 24,FALSE)),VLOOKUP($A6,'Justice Spend Total'!$B:$AY, 24,FALSE),#N/A)</f>
        <v>0.23695000335615893</v>
      </c>
      <c r="H6" s="15">
        <f>IF(ISNUMBER(VLOOKUP($A6,'Justice Spend Total'!$B:$AY, 25,FALSE)),VLOOKUP($A6,'Justice Spend Total'!$B:$AY, 25,FALSE),#N/A)</f>
        <v>0.59163518228178669</v>
      </c>
      <c r="I6" s="15">
        <f>IF(ISNUMBER(VLOOKUP($A6,'Justice Spend Total'!$B:$AY, 26,FALSE)),VLOOKUP($A6,'Justice Spend Total'!$B:$AY, 26,FALSE),#N/A)</f>
        <v>0.18249562869120178</v>
      </c>
      <c r="J6" s="15">
        <f>IF(ISNUMBER(VLOOKUP($A6,'Justice Spend Total'!$B:$AY, 27,FALSE)),VLOOKUP($A6,'Justice Spend Total'!$B:$AY, 27,FALSE),#N/A)</f>
        <v>0</v>
      </c>
      <c r="K6" s="15">
        <f>IF(ISNUMBER(VLOOKUP($A6,'Justice Spend Total'!$B:$AY, 28,FALSE)),VLOOKUP($A6,'Justice Spend Total'!$B:$AY, 28,FALSE),#N/A)</f>
        <v>0.65505486835739546</v>
      </c>
      <c r="L6" s="4">
        <f t="shared" si="0"/>
        <v>0.5594225321883316</v>
      </c>
      <c r="M6" s="4">
        <f t="shared" si="1"/>
        <v>0.15644652064452794</v>
      </c>
      <c r="N6" s="4">
        <f t="shared" si="2"/>
        <v>4.8257451545496322E-2</v>
      </c>
      <c r="O6" s="4">
        <f t="shared" si="3"/>
        <v>6.2656861359749919E-2</v>
      </c>
      <c r="P6" s="4">
        <f t="shared" si="4"/>
        <v>0</v>
      </c>
      <c r="Q6" s="4">
        <f t="shared" si="5"/>
        <v>0.17321663426189496</v>
      </c>
      <c r="R6" s="4"/>
    </row>
    <row r="7" spans="1:18">
      <c r="A7" t="s">
        <v>50</v>
      </c>
      <c r="B7" s="15">
        <f>IF(ISNUMBER(VLOOKUP($A7,'Justice Spend Total'!$B:$AY, 10,FALSE)),VLOOKUP($A7,'Justice Spend Total'!$B:$AY, 10,FALSE),#N/A)</f>
        <v>122.492</v>
      </c>
      <c r="C7" s="15">
        <f>IF(ISNUMBER(VLOOKUP($A7,'Justice Spend Total'!$B:$AY, 11,FALSE)),VLOOKUP($A7,'Justice Spend Total'!$B:$AY, 11,FALSE),#N/A)</f>
        <v>51.468308157734413</v>
      </c>
      <c r="D7">
        <f>IF(ISNUMBER(VLOOKUP($A7,'Justice Spend Total'!$B:$AY, 12,FALSE)),VLOOKUP($A7,'Justice Spend Total'!$B:$AY, 12,FALSE),#N/A)</f>
        <v>2020</v>
      </c>
      <c r="E7" s="15">
        <f>IF(ISNUMBER(VLOOKUP($A7,'Justice Spend Total'!$B:$AY, 22,FALSE)),VLOOKUP($A7,'Justice Spend Total'!$B:$AY, 22,FALSE),#N/A)</f>
        <v>2.2688017089777439</v>
      </c>
      <c r="F7" s="15">
        <f>IF(ISNUMBER(VLOOKUP($A7,'Justice Spend Total'!$B:$AY, 23,FALSE)),VLOOKUP($A7,'Justice Spend Total'!$B:$AY, 23,FALSE),#N/A)</f>
        <v>1.0381536463850289</v>
      </c>
      <c r="G7" s="15">
        <f>IF(ISNUMBER(VLOOKUP($A7,'Justice Spend Total'!$B:$AY, 24,FALSE)),VLOOKUP($A7,'Justice Spend Total'!$B:$AY, 24,FALSE),#N/A)</f>
        <v>0.48946229762210269</v>
      </c>
      <c r="H7" s="15">
        <f>IF(ISNUMBER(VLOOKUP($A7,'Justice Spend Total'!$B:$AY, 25,FALSE)),VLOOKUP($A7,'Justice Spend Total'!$B:$AY, 25,FALSE),#N/A)</f>
        <v>0.46560615202371308</v>
      </c>
      <c r="I7" s="15">
        <f>IF(ISNUMBER(VLOOKUP($A7,'Justice Spend Total'!$B:$AY, 26,FALSE)),VLOOKUP($A7,'Justice Spend Total'!$B:$AY, 26,FALSE),#N/A)</f>
        <v>0.18591341052536986</v>
      </c>
      <c r="J7" s="15">
        <f>IF(ISNUMBER(VLOOKUP($A7,'Justice Spend Total'!$B:$AY, 27,FALSE)),VLOOKUP($A7,'Justice Spend Total'!$B:$AY, 27,FALSE),#N/A)</f>
        <v>2.467877130867734E-3</v>
      </c>
      <c r="K7" s="15">
        <f>IF(ISNUMBER(VLOOKUP($A7,'Justice Spend Total'!$B:$AY, 28,FALSE)),VLOOKUP($A7,'Justice Spend Total'!$B:$AY, 28,FALSE),#N/A)</f>
        <v>8.71983252906601E-2</v>
      </c>
      <c r="L7" s="4">
        <f t="shared" si="0"/>
        <v>0.45757795503988347</v>
      </c>
      <c r="M7" s="4">
        <f t="shared" si="1"/>
        <v>0.20522117476432158</v>
      </c>
      <c r="N7" s="4">
        <f t="shared" si="2"/>
        <v>8.1943437273386502E-2</v>
      </c>
      <c r="O7" s="4">
        <f t="shared" si="3"/>
        <v>0.21573604060913731</v>
      </c>
      <c r="P7" s="4">
        <f t="shared" si="4"/>
        <v>1.0877447425670741E-3</v>
      </c>
      <c r="Q7" s="4">
        <f t="shared" si="5"/>
        <v>3.8433647570703361E-2</v>
      </c>
      <c r="R7" s="4"/>
    </row>
    <row r="8" spans="1:18">
      <c r="A8" t="s">
        <v>56</v>
      </c>
      <c r="B8" s="15">
        <f>IF(ISNUMBER(VLOOKUP($A8,'Justice Spend Total'!$B:$AY, 10,FALSE)),VLOOKUP($A8,'Justice Spend Total'!$B:$AY, 10,FALSE),#N/A)</f>
        <v>1705.77</v>
      </c>
      <c r="C8" s="15">
        <f>IF(ISNUMBER(VLOOKUP($A8,'Justice Spend Total'!$B:$AY, 11,FALSE)),VLOOKUP($A8,'Justice Spend Total'!$B:$AY, 11,FALSE),#N/A)</f>
        <v>47.772375665850745</v>
      </c>
      <c r="D8">
        <f>IF(ISNUMBER(VLOOKUP($A8,'Justice Spend Total'!$B:$AY, 12,FALSE)),VLOOKUP($A8,'Justice Spend Total'!$B:$AY, 12,FALSE),#N/A)</f>
        <v>2021</v>
      </c>
      <c r="E8" s="15">
        <f>IF(ISNUMBER(VLOOKUP($A8,'Justice Spend Total'!$B:$AY, 22,FALSE)),VLOOKUP($A8,'Justice Spend Total'!$B:$AY, 22,FALSE),#N/A)</f>
        <v>3.5912676468270579</v>
      </c>
      <c r="F8" s="15">
        <f>IF(ISNUMBER(VLOOKUP($A8,'Justice Spend Total'!$B:$AY, 23,FALSE)),VLOOKUP($A8,'Justice Spend Total'!$B:$AY, 23,FALSE),#N/A)</f>
        <v>1.69801225977282</v>
      </c>
      <c r="G8" s="15">
        <f>IF(ISNUMBER(VLOOKUP($A8,'Justice Spend Total'!$B:$AY, 24,FALSE)),VLOOKUP($A8,'Justice Spend Total'!$B:$AY, 24,FALSE),#N/A)</f>
        <v>0.65858036725456848</v>
      </c>
      <c r="H8" s="15">
        <f>IF(ISNUMBER(VLOOKUP($A8,'Justice Spend Total'!$B:$AY, 25,FALSE)),VLOOKUP($A8,'Justice Spend Total'!$B:$AY, 25,FALSE),#N/A)</f>
        <v>0.8287110388143365</v>
      </c>
      <c r="I8" s="15">
        <f>IF(ISNUMBER(VLOOKUP($A8,'Justice Spend Total'!$B:$AY, 26,FALSE)),VLOOKUP($A8,'Justice Spend Total'!$B:$AY, 26,FALSE),#N/A)</f>
        <v>0.20680480244039132</v>
      </c>
      <c r="J8" s="15">
        <f>IF(ISNUMBER(VLOOKUP($A8,'Justice Spend Total'!$B:$AY, 27,FALSE)),VLOOKUP($A8,'Justice Spend Total'!$B:$AY, 27,FALSE),#N/A)</f>
        <v>1.9891054036947774E-3</v>
      </c>
      <c r="K8" s="15">
        <f>IF(ISNUMBER(VLOOKUP($A8,'Justice Spend Total'!$B:$AY, 28,FALSE)),VLOOKUP($A8,'Justice Spend Total'!$B:$AY, 28,FALSE),#N/A)</f>
        <v>0.19717007314124468</v>
      </c>
      <c r="L8" s="4">
        <f t="shared" si="0"/>
        <v>0.47281696235395904</v>
      </c>
      <c r="M8" s="4">
        <f t="shared" si="1"/>
        <v>0.2307572479446125</v>
      </c>
      <c r="N8" s="4">
        <f t="shared" si="2"/>
        <v>5.7585460839463372E-2</v>
      </c>
      <c r="O8" s="4">
        <f t="shared" si="3"/>
        <v>0.18338381652964092</v>
      </c>
      <c r="P8" s="4">
        <f t="shared" si="4"/>
        <v>5.538727823453046E-4</v>
      </c>
      <c r="Q8" s="4">
        <f t="shared" si="5"/>
        <v>5.4902639549978288E-2</v>
      </c>
      <c r="R8" s="4"/>
    </row>
    <row r="9" spans="1:18">
      <c r="A9" t="s">
        <v>60</v>
      </c>
      <c r="B9" s="15">
        <f>IF(ISNUMBER(VLOOKUP($A9,'Justice Spend Total'!$B:$AY, 10,FALSE)),VLOOKUP($A9,'Justice Spend Total'!$B:$AY, 10,FALSE),#N/A)</f>
        <v>22.843</v>
      </c>
      <c r="C9" s="15">
        <f>IF(ISNUMBER(VLOOKUP($A9,'Justice Spend Total'!$B:$AY, 11,FALSE)),VLOOKUP($A9,'Justice Spend Total'!$B:$AY, 11,FALSE),#N/A)</f>
        <v>43.9119569396386</v>
      </c>
      <c r="D9">
        <f>IF(ISNUMBER(VLOOKUP($A9,'Justice Spend Total'!$B:$AY, 12,FALSE)),VLOOKUP($A9,'Justice Spend Total'!$B:$AY, 12,FALSE),#N/A)</f>
        <v>2021</v>
      </c>
      <c r="E9" s="15">
        <f>IF(ISNUMBER(VLOOKUP($A9,'Justice Spend Total'!$B:$AY, 22,FALSE)),VLOOKUP($A9,'Justice Spend Total'!$B:$AY, 22,FALSE),#N/A)</f>
        <v>3.9926879257798338</v>
      </c>
      <c r="F9" s="15">
        <f>IF(ISNUMBER(VLOOKUP($A9,'Justice Spend Total'!$B:$AY, 23,FALSE)),VLOOKUP($A9,'Justice Spend Total'!$B:$AY, 23,FALSE),#N/A)</f>
        <v>2.0380765355266757</v>
      </c>
      <c r="G9" s="15">
        <f>IF(ISNUMBER(VLOOKUP($A9,'Justice Spend Total'!$B:$AY, 24,FALSE)),VLOOKUP($A9,'Justice Spend Total'!$B:$AY, 24,FALSE),#N/A)</f>
        <v>0.35724596548161741</v>
      </c>
      <c r="H9" s="15">
        <f>IF(ISNUMBER(VLOOKUP($A9,'Justice Spend Total'!$B:$AY, 25,FALSE)),VLOOKUP($A9,'Justice Spend Total'!$B:$AY, 25,FALSE),#N/A)</f>
        <v>1.1029669464965985</v>
      </c>
      <c r="I9" s="15">
        <f>IF(ISNUMBER(VLOOKUP($A9,'Justice Spend Total'!$B:$AY, 26,FALSE)),VLOOKUP($A9,'Justice Spend Total'!$B:$AY, 26,FALSE),#N/A)</f>
        <v>0.23177158362154199</v>
      </c>
      <c r="J9" s="15">
        <f>IF(ISNUMBER(VLOOKUP($A9,'Justice Spend Total'!$B:$AY, 27,FALSE)),VLOOKUP($A9,'Justice Spend Total'!$B:$AY, 27,FALSE),#N/A)</f>
        <v>3.4607262491290081E-3</v>
      </c>
      <c r="K9" s="15">
        <f>IF(ISNUMBER(VLOOKUP($A9,'Justice Spend Total'!$B:$AY, 28,FALSE)),VLOOKUP($A9,'Justice Spend Total'!$B:$AY, 28,FALSE),#N/A)</f>
        <v>0.25916616840426704</v>
      </c>
      <c r="L9" s="4">
        <f t="shared" si="0"/>
        <v>0.51045225006625272</v>
      </c>
      <c r="M9" s="4">
        <f t="shared" si="1"/>
        <v>0.27624672075545997</v>
      </c>
      <c r="N9" s="4">
        <f t="shared" si="2"/>
        <v>5.8049010573816236E-2</v>
      </c>
      <c r="O9" s="4">
        <f t="shared" si="3"/>
        <v>8.9475053428284587E-2</v>
      </c>
      <c r="P9" s="4">
        <f t="shared" si="4"/>
        <v>8.6676602666186959E-4</v>
      </c>
      <c r="Q9" s="4">
        <f t="shared" si="5"/>
        <v>6.4910199149523534E-2</v>
      </c>
      <c r="R9" s="4"/>
    </row>
    <row r="10" spans="1:18">
      <c r="A10" t="s">
        <v>61</v>
      </c>
      <c r="B10" s="15">
        <f>IF(ISNUMBER(VLOOKUP($A10,'Justice Spend Total'!$B:$AY, 10,FALSE)),VLOOKUP($A10,'Justice Spend Total'!$B:$AY, 10,FALSE),#N/A)</f>
        <v>83.616</v>
      </c>
      <c r="C10" s="15">
        <f>IF(ISNUMBER(VLOOKUP($A10,'Justice Spend Total'!$B:$AY, 11,FALSE)),VLOOKUP($A10,'Justice Spend Total'!$B:$AY, 11,FALSE),#N/A)</f>
        <v>22.425033993171866</v>
      </c>
      <c r="D10">
        <f>IF(ISNUMBER(VLOOKUP($A10,'Justice Spend Total'!$B:$AY, 12,FALSE)),VLOOKUP($A10,'Justice Spend Total'!$B:$AY, 12,FALSE),#N/A)</f>
        <v>2020</v>
      </c>
      <c r="E10" s="15">
        <f>IF(ISNUMBER(VLOOKUP($A10,'Justice Spend Total'!$B:$AY, 22,FALSE)),VLOOKUP($A10,'Justice Spend Total'!$B:$AY, 22,FALSE),#N/A)</f>
        <v>4.1719395809414452</v>
      </c>
      <c r="F10" s="15">
        <f>IF(ISNUMBER(VLOOKUP($A10,'Justice Spend Total'!$B:$AY, 23,FALSE)),VLOOKUP($A10,'Justice Spend Total'!$B:$AY, 23,FALSE),#N/A)</f>
        <v>2.3501746077305796</v>
      </c>
      <c r="G10" s="15">
        <f>IF(ISNUMBER(VLOOKUP($A10,'Justice Spend Total'!$B:$AY, 24,FALSE)),VLOOKUP($A10,'Justice Spend Total'!$B:$AY, 24,FALSE),#N/A)</f>
        <v>0.44465174129353219</v>
      </c>
      <c r="H10" s="15">
        <f>IF(ISNUMBER(VLOOKUP($A10,'Justice Spend Total'!$B:$AY, 25,FALSE)),VLOOKUP($A10,'Justice Spend Total'!$B:$AY, 25,FALSE),#N/A)</f>
        <v>0.88441207424416324</v>
      </c>
      <c r="I10" s="15">
        <f>IF(ISNUMBER(VLOOKUP($A10,'Justice Spend Total'!$B:$AY, 26,FALSE)),VLOOKUP($A10,'Justice Spend Total'!$B:$AY, 26,FALSE),#N/A)</f>
        <v>0.24872512437810923</v>
      </c>
      <c r="J10" s="15">
        <f>IF(ISNUMBER(VLOOKUP($A10,'Justice Spend Total'!$B:$AY, 27,FALSE)),VLOOKUP($A10,'Justice Spend Total'!$B:$AY, 27,FALSE),#N/A)</f>
        <v>9.3881553769613281E-4</v>
      </c>
      <c r="K10" s="15">
        <f>IF(ISNUMBER(VLOOKUP($A10,'Justice Spend Total'!$B:$AY, 28,FALSE)),VLOOKUP($A10,'Justice Spend Total'!$B:$AY, 28,FALSE),#N/A)</f>
        <v>0.24303721775736711</v>
      </c>
      <c r="L10" s="4">
        <f t="shared" si="0"/>
        <v>0.56332901331237306</v>
      </c>
      <c r="M10" s="4">
        <f t="shared" si="1"/>
        <v>0.21199062380586672</v>
      </c>
      <c r="N10" s="4">
        <f t="shared" si="2"/>
        <v>5.9618582568729719E-2</v>
      </c>
      <c r="O10" s="4">
        <f t="shared" si="3"/>
        <v>0.10658153903398368</v>
      </c>
      <c r="P10" s="4">
        <f t="shared" si="4"/>
        <v>2.2503095250585544E-4</v>
      </c>
      <c r="Q10" s="4">
        <f t="shared" si="5"/>
        <v>5.8255210326541455E-2</v>
      </c>
      <c r="R10" s="4"/>
    </row>
    <row r="11" spans="1:18">
      <c r="A11" t="s">
        <v>58</v>
      </c>
      <c r="B11" s="15">
        <f>IF(ISNUMBER(VLOOKUP($A11,'Justice Spend Total'!$B:$AY, 10,FALSE)),VLOOKUP($A11,'Justice Spend Total'!$B:$AY, 10,FALSE),#N/A)</f>
        <v>228.97800000000001</v>
      </c>
      <c r="C11" s="15">
        <f>IF(ISNUMBER(VLOOKUP($A11,'Justice Spend Total'!$B:$AY, 11,FALSE)),VLOOKUP($A11,'Justice Spend Total'!$B:$AY, 11,FALSE),#N/A)</f>
        <v>50.116219516999571</v>
      </c>
      <c r="D11">
        <f>IF(ISNUMBER(VLOOKUP($A11,'Justice Spend Total'!$B:$AY, 12,FALSE)),VLOOKUP($A11,'Justice Spend Total'!$B:$AY, 12,FALSE),#N/A)</f>
        <v>2020</v>
      </c>
      <c r="E11" s="15">
        <f>IF(ISNUMBER(VLOOKUP($A11,'Justice Spend Total'!$B:$AY, 22,FALSE)),VLOOKUP($A11,'Justice Spend Total'!$B:$AY, 22,FALSE),#N/A)</f>
        <v>3.6316378268193934</v>
      </c>
      <c r="F11" s="15">
        <f>IF(ISNUMBER(VLOOKUP($A11,'Justice Spend Total'!$B:$AY, 23,FALSE)),VLOOKUP($A11,'Justice Spend Total'!$B:$AY, 23,FALSE),#N/A)</f>
        <v>2.1813885743343491</v>
      </c>
      <c r="G11" s="15">
        <f>IF(ISNUMBER(VLOOKUP($A11,'Justice Spend Total'!$B:$AY, 24,FALSE)),VLOOKUP($A11,'Justice Spend Total'!$B:$AY, 24,FALSE),#N/A)</f>
        <v>0.41054720086663304</v>
      </c>
      <c r="H11" s="15">
        <f>IF(ISNUMBER(VLOOKUP($A11,'Justice Spend Total'!$B:$AY, 25,FALSE)),VLOOKUP($A11,'Justice Spend Total'!$B:$AY, 25,FALSE),#N/A)</f>
        <v>0.5308411130025007</v>
      </c>
      <c r="I11" s="15">
        <f>IF(ISNUMBER(VLOOKUP($A11,'Justice Spend Total'!$B:$AY, 26,FALSE)),VLOOKUP($A11,'Justice Spend Total'!$B:$AY, 26,FALSE),#N/A)</f>
        <v>0.28056785977571125</v>
      </c>
      <c r="J11" s="15">
        <f>IF(ISNUMBER(VLOOKUP($A11,'Justice Spend Total'!$B:$AY, 27,FALSE)),VLOOKUP($A11,'Justice Spend Total'!$B:$AY, 27,FALSE),#N/A)</f>
        <v>8.0490779443851534E-3</v>
      </c>
      <c r="K11" s="15">
        <f>IF(ISNUMBER(VLOOKUP($A11,'Justice Spend Total'!$B:$AY, 28,FALSE)),VLOOKUP($A11,'Justice Spend Total'!$B:$AY, 28,FALSE),#N/A)</f>
        <v>0.2202882265988039</v>
      </c>
      <c r="L11" s="4">
        <f t="shared" si="0"/>
        <v>0.60066247747089363</v>
      </c>
      <c r="M11" s="4">
        <f t="shared" si="1"/>
        <v>0.14617126991085838</v>
      </c>
      <c r="N11" s="4">
        <f t="shared" si="2"/>
        <v>7.725656388523576E-2</v>
      </c>
      <c r="O11" s="4">
        <f t="shared" si="3"/>
        <v>0.11304739636611626</v>
      </c>
      <c r="P11" s="4">
        <f t="shared" si="4"/>
        <v>2.2163768327731559E-3</v>
      </c>
      <c r="Q11" s="4">
        <f t="shared" si="5"/>
        <v>6.0658093428807972E-2</v>
      </c>
      <c r="R11" s="4"/>
    </row>
    <row r="12" spans="1:18">
      <c r="A12" t="s">
        <v>51</v>
      </c>
      <c r="B12" s="15">
        <f>IF(ISNUMBER(VLOOKUP($A12,'Justice Spend Total'!$B:$AY, 10,FALSE)),VLOOKUP($A12,'Justice Spend Total'!$B:$AY, 10,FALSE),#N/A)</f>
        <v>2071.4299999999998</v>
      </c>
      <c r="C12" s="15">
        <f>IF(ISNUMBER(VLOOKUP($A12,'Justice Spend Total'!$B:$AY, 11,FALSE)),VLOOKUP($A12,'Justice Spend Total'!$B:$AY, 11,FALSE),#N/A)</f>
        <v>49.984677121615391</v>
      </c>
      <c r="D12">
        <f>IF(ISNUMBER(VLOOKUP($A12,'Justice Spend Total'!$B:$AY, 12,FALSE)),VLOOKUP($A12,'Justice Spend Total'!$B:$AY, 12,FALSE),#N/A)</f>
        <v>2021</v>
      </c>
      <c r="E12" s="15">
        <f>IF(ISNUMBER(VLOOKUP($A12,'Justice Spend Total'!$B:$AY, 22,FALSE)),VLOOKUP($A12,'Justice Spend Total'!$B:$AY, 22,FALSE),#N/A)</f>
        <v>2.59494485451527</v>
      </c>
      <c r="F12" s="15">
        <f>IF(ISNUMBER(VLOOKUP($A12,'Justice Spend Total'!$B:$AY, 23,FALSE)),VLOOKUP($A12,'Justice Spend Total'!$B:$AY, 23,FALSE),#N/A)</f>
        <v>1.2701896078386221</v>
      </c>
      <c r="G12" s="15">
        <f>IF(ISNUMBER(VLOOKUP($A12,'Justice Spend Total'!$B:$AY, 24,FALSE)),VLOOKUP($A12,'Justice Spend Total'!$B:$AY, 24,FALSE),#N/A)</f>
        <v>0.5904928155672825</v>
      </c>
      <c r="H12" s="15">
        <f>IF(ISNUMBER(VLOOKUP($A12,'Justice Spend Total'!$B:$AY, 25,FALSE)),VLOOKUP($A12,'Justice Spend Total'!$B:$AY, 25,FALSE),#N/A)</f>
        <v>0.33354785244599555</v>
      </c>
      <c r="I12" s="15">
        <f>IF(ISNUMBER(VLOOKUP($A12,'Justice Spend Total'!$B:$AY, 26,FALSE)),VLOOKUP($A12,'Justice Spend Total'!$B:$AY, 26,FALSE),#N/A)</f>
        <v>0.29638929710409445</v>
      </c>
      <c r="J12" s="15">
        <f>IF(ISNUMBER(VLOOKUP($A12,'Justice Spend Total'!$B:$AY, 27,FALSE)),VLOOKUP($A12,'Justice Spend Total'!$B:$AY, 27,FALSE),#N/A)</f>
        <v>5.5210345634181486E-2</v>
      </c>
      <c r="K12" s="15">
        <f>IF(ISNUMBER(VLOOKUP($A12,'Justice Spend Total'!$B:$AY, 28,FALSE)),VLOOKUP($A12,'Justice Spend Total'!$B:$AY, 28,FALSE),#N/A)</f>
        <v>4.9114935925099967E-2</v>
      </c>
      <c r="L12" s="4">
        <f t="shared" si="0"/>
        <v>0.48948616600790568</v>
      </c>
      <c r="M12" s="4">
        <f t="shared" si="1"/>
        <v>0.12853754940711506</v>
      </c>
      <c r="N12" s="4">
        <f t="shared" si="2"/>
        <v>0.11421795595708692</v>
      </c>
      <c r="O12" s="4">
        <f t="shared" si="3"/>
        <v>0.22755505364201092</v>
      </c>
      <c r="P12" s="4">
        <f t="shared" si="4"/>
        <v>2.1276115189158677E-2</v>
      </c>
      <c r="Q12" s="4">
        <f t="shared" si="5"/>
        <v>1.8927159796725056E-2</v>
      </c>
      <c r="R12" s="4"/>
    </row>
    <row r="13" spans="1:18">
      <c r="A13" t="s">
        <v>53</v>
      </c>
      <c r="B13" s="15">
        <f>IF(ISNUMBER(VLOOKUP($A13,'Justice Spend Total'!$B:$AY, 10,FALSE)),VLOOKUP($A13,'Justice Spend Total'!$B:$AY, 10,FALSE),#N/A)</f>
        <v>184.91499999999999</v>
      </c>
      <c r="C13" s="15">
        <f>IF(ISNUMBER(VLOOKUP($A13,'Justice Spend Total'!$B:$AY, 11,FALSE)),VLOOKUP($A13,'Justice Spend Total'!$B:$AY, 11,FALSE),#N/A)</f>
        <v>48.748948779529734</v>
      </c>
      <c r="D13">
        <f>IF(ISNUMBER(VLOOKUP($A13,'Justice Spend Total'!$B:$AY, 12,FALSE)),VLOOKUP($A13,'Justice Spend Total'!$B:$AY, 12,FALSE),#N/A)</f>
        <v>2020</v>
      </c>
      <c r="E13" s="15">
        <f>IF(ISNUMBER(VLOOKUP($A13,'Justice Spend Total'!$B:$AY, 22,FALSE)),VLOOKUP($A13,'Justice Spend Total'!$B:$AY, 22,FALSE),#N/A)</f>
        <v>2.9337578452132038</v>
      </c>
      <c r="F13" s="15">
        <f>IF(ISNUMBER(VLOOKUP($A13,'Justice Spend Total'!$B:$AY, 23,FALSE)),VLOOKUP($A13,'Justice Spend Total'!$B:$AY, 23,FALSE),#N/A)</f>
        <v>1.4895610408931321</v>
      </c>
      <c r="G13" s="15">
        <f>IF(ISNUMBER(VLOOKUP($A13,'Justice Spend Total'!$B:$AY, 24,FALSE)),VLOOKUP($A13,'Justice Spend Total'!$B:$AY, 24,FALSE),#N/A)</f>
        <v>0.35834012096966933</v>
      </c>
      <c r="H13" s="15">
        <f>IF(ISNUMBER(VLOOKUP($A13,'Justice Spend Total'!$B:$AY, 25,FALSE)),VLOOKUP($A13,'Justice Spend Total'!$B:$AY, 25,FALSE),#N/A)</f>
        <v>0.58526955878447229</v>
      </c>
      <c r="I13" s="15">
        <f>IF(ISNUMBER(VLOOKUP($A13,'Justice Spend Total'!$B:$AY, 26,FALSE)),VLOOKUP($A13,'Justice Spend Total'!$B:$AY, 26,FALSE),#N/A)</f>
        <v>0.31439402423458473</v>
      </c>
      <c r="J13" s="15">
        <f>IF(ISNUMBER(VLOOKUP($A13,'Justice Spend Total'!$B:$AY, 27,FALSE)),VLOOKUP($A13,'Justice Spend Total'!$B:$AY, 27,FALSE),#N/A)</f>
        <v>5.7337233983833072E-2</v>
      </c>
      <c r="K13" s="15">
        <f>IF(ISNUMBER(VLOOKUP($A13,'Justice Spend Total'!$B:$AY, 28,FALSE)),VLOOKUP($A13,'Justice Spend Total'!$B:$AY, 28,FALSE),#N/A)</f>
        <v>0.12885586634750601</v>
      </c>
      <c r="L13" s="4">
        <f t="shared" si="0"/>
        <v>0.50773142143396022</v>
      </c>
      <c r="M13" s="4">
        <f t="shared" si="1"/>
        <v>0.1994948423365662</v>
      </c>
      <c r="N13" s="4">
        <f t="shared" si="2"/>
        <v>0.10716427217998181</v>
      </c>
      <c r="O13" s="4">
        <f t="shared" si="3"/>
        <v>0.12214372824067482</v>
      </c>
      <c r="P13" s="4">
        <f t="shared" si="4"/>
        <v>1.9543955912171146E-2</v>
      </c>
      <c r="Q13" s="4">
        <f t="shared" si="5"/>
        <v>4.3921779896643691E-2</v>
      </c>
      <c r="R13" s="4"/>
    </row>
    <row r="14" spans="1:18">
      <c r="A14" t="s">
        <v>49</v>
      </c>
      <c r="B14" s="15">
        <f>IF(ISNUMBER(VLOOKUP($A14,'Justice Spend Total'!$B:$AY, 10,FALSE)),VLOOKUP($A14,'Justice Spend Total'!$B:$AY, 10,FALSE),#N/A)</f>
        <v>1240.52</v>
      </c>
      <c r="C14" s="15">
        <f>IF(ISNUMBER(VLOOKUP($A14,'Justice Spend Total'!$B:$AY, 11,FALSE)),VLOOKUP($A14,'Justice Spend Total'!$B:$AY, 11,FALSE),#N/A)</f>
        <v>53.251257748244306</v>
      </c>
      <c r="D14">
        <f>IF(ISNUMBER(VLOOKUP($A14,'Justice Spend Total'!$B:$AY, 12,FALSE)),VLOOKUP($A14,'Justice Spend Total'!$B:$AY, 12,FALSE),#N/A)</f>
        <v>2020</v>
      </c>
      <c r="E14" s="15">
        <f>IF(ISNUMBER(VLOOKUP($A14,'Justice Spend Total'!$B:$AY, 22,FALSE)),VLOOKUP($A14,'Justice Spend Total'!$B:$AY, 22,FALSE),#N/A)</f>
        <v>1.8717948950808341</v>
      </c>
      <c r="F14" s="15">
        <f>IF(ISNUMBER(VLOOKUP($A14,'Justice Spend Total'!$B:$AY, 23,FALSE)),VLOOKUP($A14,'Justice Spend Total'!$B:$AY, 23,FALSE),#N/A)</f>
        <v>1.0926864686830617</v>
      </c>
      <c r="G14" s="15">
        <f>IF(ISNUMBER(VLOOKUP($A14,'Justice Spend Total'!$B:$AY, 24,FALSE)),VLOOKUP($A14,'Justice Spend Total'!$B:$AY, 24,FALSE),#N/A)</f>
        <v>0.11591908092705601</v>
      </c>
      <c r="H14" s="15">
        <f>IF(ISNUMBER(VLOOKUP($A14,'Justice Spend Total'!$B:$AY, 25,FALSE)),VLOOKUP($A14,'Justice Spend Total'!$B:$AY, 25,FALSE),#N/A)</f>
        <v>0.31019236676447148</v>
      </c>
      <c r="I14" s="15">
        <f>IF(ISNUMBER(VLOOKUP($A14,'Justice Spend Total'!$B:$AY, 26,FALSE)),VLOOKUP($A14,'Justice Spend Total'!$B:$AY, 26,FALSE),#N/A)</f>
        <v>0.31567393665532012</v>
      </c>
      <c r="J14" s="15">
        <f>IF(ISNUMBER(VLOOKUP($A14,'Justice Spend Total'!$B:$AY, 27,FALSE)),VLOOKUP($A14,'Justice Spend Total'!$B:$AY, 27,FALSE),#N/A)</f>
        <v>0</v>
      </c>
      <c r="K14" s="15">
        <f>IF(ISNUMBER(VLOOKUP($A14,'Justice Spend Total'!$B:$AY, 28,FALSE)),VLOOKUP($A14,'Justice Spend Total'!$B:$AY, 28,FALSE),#N/A)</f>
        <v>3.7323042050922788E-2</v>
      </c>
      <c r="L14" s="4">
        <f t="shared" si="0"/>
        <v>0.58376399655469391</v>
      </c>
      <c r="M14" s="4">
        <f t="shared" si="1"/>
        <v>0.16571920757967221</v>
      </c>
      <c r="N14" s="4">
        <f t="shared" si="2"/>
        <v>0.16864771748492649</v>
      </c>
      <c r="O14" s="4">
        <f t="shared" si="3"/>
        <v>6.1929371231696839E-2</v>
      </c>
      <c r="P14" s="4">
        <f t="shared" si="4"/>
        <v>0</v>
      </c>
      <c r="Q14" s="4">
        <f t="shared" si="5"/>
        <v>1.9939707149009497E-2</v>
      </c>
      <c r="R14" s="4"/>
    </row>
    <row r="15" spans="1:18">
      <c r="A15" t="s">
        <v>55</v>
      </c>
      <c r="B15" s="15">
        <f>IF(ISNUMBER(VLOOKUP($A15,'Justice Spend Total'!$B:$AY, 10,FALSE)),VLOOKUP($A15,'Justice Spend Total'!$B:$AY, 10,FALSE),#N/A)</f>
        <v>1310.6199999999999</v>
      </c>
      <c r="C15" s="15">
        <f>IF(ISNUMBER(VLOOKUP($A15,'Justice Spend Total'!$B:$AY, 11,FALSE)),VLOOKUP($A15,'Justice Spend Total'!$B:$AY, 11,FALSE),#N/A)</f>
        <v>52.81372023581654</v>
      </c>
      <c r="D15">
        <f>IF(ISNUMBER(VLOOKUP($A15,'Justice Spend Total'!$B:$AY, 12,FALSE)),VLOOKUP($A15,'Justice Spend Total'!$B:$AY, 12,FALSE),#N/A)</f>
        <v>2021</v>
      </c>
      <c r="E15" s="15">
        <f>IF(ISNUMBER(VLOOKUP($A15,'Justice Spend Total'!$B:$AY, 22,FALSE)),VLOOKUP($A15,'Justice Spend Total'!$B:$AY, 22,FALSE),#N/A)</f>
        <v>3.3586684324843326</v>
      </c>
      <c r="F15" s="15">
        <f>IF(ISNUMBER(VLOOKUP($A15,'Justice Spend Total'!$B:$AY, 23,FALSE)),VLOOKUP($A15,'Justice Spend Total'!$B:$AY, 23,FALSE),#N/A)</f>
        <v>1.8928224922084176</v>
      </c>
      <c r="G15" s="15">
        <f>IF(ISNUMBER(VLOOKUP($A15,'Justice Spend Total'!$B:$AY, 24,FALSE)),VLOOKUP($A15,'Justice Spend Total'!$B:$AY, 24,FALSE),#N/A)</f>
        <v>0.54677336228599871</v>
      </c>
      <c r="H15" s="15">
        <f>IF(ISNUMBER(VLOOKUP($A15,'Justice Spend Total'!$B:$AY, 25,FALSE)),VLOOKUP($A15,'Justice Spend Total'!$B:$AY, 25,FALSE),#N/A)</f>
        <v>0.46710067235289687</v>
      </c>
      <c r="I15" s="15">
        <f>IF(ISNUMBER(VLOOKUP($A15,'Justice Spend Total'!$B:$AY, 26,FALSE)),VLOOKUP($A15,'Justice Spend Total'!$B:$AY, 26,FALSE),#N/A)</f>
        <v>0.32674847243978283</v>
      </c>
      <c r="J15" s="15">
        <f>IF(ISNUMBER(VLOOKUP($A15,'Justice Spend Total'!$B:$AY, 27,FALSE)),VLOOKUP($A15,'Justice Spend Total'!$B:$AY, 27,FALSE),#N/A)</f>
        <v>1.2333233735774406E-3</v>
      </c>
      <c r="K15" s="15">
        <f>IF(ISNUMBER(VLOOKUP($A15,'Justice Spend Total'!$B:$AY, 28,FALSE)),VLOOKUP($A15,'Justice Spend Total'!$B:$AY, 28,FALSE),#N/A)</f>
        <v>0.12390788826541362</v>
      </c>
      <c r="L15" s="4">
        <f t="shared" si="0"/>
        <v>0.56356336752429559</v>
      </c>
      <c r="M15" s="4">
        <f t="shared" si="1"/>
        <v>0.13907317192587326</v>
      </c>
      <c r="N15" s="4">
        <f t="shared" si="2"/>
        <v>9.7285123258830958E-2</v>
      </c>
      <c r="O15" s="4">
        <f t="shared" si="3"/>
        <v>0.16279468285637311</v>
      </c>
      <c r="P15" s="4">
        <f t="shared" si="4"/>
        <v>3.6720605155572878E-4</v>
      </c>
      <c r="Q15" s="4">
        <f t="shared" si="5"/>
        <v>3.6891967979632241E-2</v>
      </c>
      <c r="R15" s="4"/>
    </row>
    <row r="16" spans="1:18">
      <c r="A16" t="s">
        <v>62</v>
      </c>
      <c r="B16" s="15">
        <f>IF(ISNUMBER(VLOOKUP($A16,'Justice Spend Total'!$B:$AY, 10,FALSE)),VLOOKUP($A16,'Justice Spend Total'!$B:$AY, 10,FALSE),#N/A)</f>
        <v>95.75</v>
      </c>
      <c r="C16" s="15">
        <f>IF(ISNUMBER(VLOOKUP($A16,'Justice Spend Total'!$B:$AY, 11,FALSE)),VLOOKUP($A16,'Justice Spend Total'!$B:$AY, 11,FALSE),#N/A)</f>
        <v>45.319436950368711</v>
      </c>
      <c r="D16">
        <f>IF(ISNUMBER(VLOOKUP($A16,'Justice Spend Total'!$B:$AY, 12,FALSE)),VLOOKUP($A16,'Justice Spend Total'!$B:$AY, 12,FALSE),#N/A)</f>
        <v>2021</v>
      </c>
      <c r="E16" s="15">
        <f>IF(ISNUMBER(VLOOKUP($A16,'Justice Spend Total'!$B:$AY, 22,FALSE)),VLOOKUP($A16,'Justice Spend Total'!$B:$AY, 22,FALSE),#N/A)</f>
        <v>4.2070412482048241</v>
      </c>
      <c r="F16" s="15">
        <f>IF(ISNUMBER(VLOOKUP($A16,'Justice Spend Total'!$B:$AY, 23,FALSE)),VLOOKUP($A16,'Justice Spend Total'!$B:$AY, 23,FALSE),#N/A)</f>
        <v>2.4984380619043374</v>
      </c>
      <c r="G16" s="15">
        <f>IF(ISNUMBER(VLOOKUP($A16,'Justice Spend Total'!$B:$AY, 24,FALSE)),VLOOKUP($A16,'Justice Spend Total'!$B:$AY, 24,FALSE),#N/A)</f>
        <v>0.29198187522846625</v>
      </c>
      <c r="H16" s="15">
        <f>IF(ISNUMBER(VLOOKUP($A16,'Justice Spend Total'!$B:$AY, 25,FALSE)),VLOOKUP($A16,'Justice Spend Total'!$B:$AY, 25,FALSE),#N/A)</f>
        <v>0.7991711494908309</v>
      </c>
      <c r="I16" s="15">
        <f>IF(ISNUMBER(VLOOKUP($A16,'Justice Spend Total'!$B:$AY, 26,FALSE)),VLOOKUP($A16,'Justice Spend Total'!$B:$AY, 26,FALSE),#N/A)</f>
        <v>0.3272779751607181</v>
      </c>
      <c r="J16" s="15">
        <f>IF(ISNUMBER(VLOOKUP($A16,'Justice Spend Total'!$B:$AY, 27,FALSE)),VLOOKUP($A16,'Justice Spend Total'!$B:$AY, 27,FALSE),#N/A)</f>
        <v>1.4361716847394212E-2</v>
      </c>
      <c r="K16" s="15">
        <f>IF(ISNUMBER(VLOOKUP($A16,'Justice Spend Total'!$B:$AY, 28,FALSE)),VLOOKUP($A16,'Justice Spend Total'!$B:$AY, 28,FALSE),#N/A)</f>
        <v>0.2758104695730737</v>
      </c>
      <c r="L16" s="4">
        <f t="shared" si="0"/>
        <v>0.59387058849742436</v>
      </c>
      <c r="M16" s="4">
        <f t="shared" si="1"/>
        <v>0.18996037888429149</v>
      </c>
      <c r="N16" s="4">
        <f t="shared" si="2"/>
        <v>7.7792908567361929E-2</v>
      </c>
      <c r="O16" s="4">
        <f t="shared" si="3"/>
        <v>6.9403140592704457E-2</v>
      </c>
      <c r="P16" s="4">
        <f t="shared" si="4"/>
        <v>3.4137333104405534E-3</v>
      </c>
      <c r="Q16" s="4">
        <f t="shared" si="5"/>
        <v>6.5559250147776443E-2</v>
      </c>
      <c r="R16" s="4"/>
    </row>
    <row r="17" spans="1:18">
      <c r="A17" t="s">
        <v>69</v>
      </c>
      <c r="B17" s="15">
        <f>IF(ISNUMBER(VLOOKUP($A17,'Justice Spend Total'!$B:$AY, 10,FALSE)),VLOOKUP($A17,'Justice Spend Total'!$B:$AY, 10,FALSE),#N/A)</f>
        <v>465.37900000000002</v>
      </c>
      <c r="C17" s="15">
        <f>IF(ISNUMBER(VLOOKUP($A17,'Justice Spend Total'!$B:$AY, 11,FALSE)),VLOOKUP($A17,'Justice Spend Total'!$B:$AY, 11,FALSE),#N/A)</f>
        <v>41.479477695084448</v>
      </c>
      <c r="D17">
        <f>IF(ISNUMBER(VLOOKUP($A17,'Justice Spend Total'!$B:$AY, 12,FALSE)),VLOOKUP($A17,'Justice Spend Total'!$B:$AY, 12,FALSE),#N/A)</f>
        <v>2020</v>
      </c>
      <c r="E17" s="15">
        <f>IF(ISNUMBER(VLOOKUP($A17,'Justice Spend Total'!$B:$AY, 22,FALSE)),VLOOKUP($A17,'Justice Spend Total'!$B:$AY, 22,FALSE),#N/A)</f>
        <v>5.0253753800642604</v>
      </c>
      <c r="F17" s="15">
        <f>IF(ISNUMBER(VLOOKUP($A17,'Justice Spend Total'!$B:$AY, 23,FALSE)),VLOOKUP($A17,'Justice Spend Total'!$B:$AY, 23,FALSE),#N/A)</f>
        <v>3.1655975584344604</v>
      </c>
      <c r="G17" s="15">
        <f>IF(ISNUMBER(VLOOKUP($A17,'Justice Spend Total'!$B:$AY, 24,FALSE)),VLOOKUP($A17,'Justice Spend Total'!$B:$AY, 24,FALSE),#N/A)</f>
        <v>0.4527500716549962</v>
      </c>
      <c r="H17" s="15">
        <f>IF(ISNUMBER(VLOOKUP($A17,'Justice Spend Total'!$B:$AY, 25,FALSE)),VLOOKUP($A17,'Justice Spend Total'!$B:$AY, 25,FALSE),#N/A)</f>
        <v>0.94740155003648474</v>
      </c>
      <c r="I17" s="15">
        <f>IF(ISNUMBER(VLOOKUP($A17,'Justice Spend Total'!$B:$AY, 26,FALSE)),VLOOKUP($A17,'Justice Spend Total'!$B:$AY, 26,FALSE),#N/A)</f>
        <v>0.40311302060976345</v>
      </c>
      <c r="J17" s="15">
        <f>IF(ISNUMBER(VLOOKUP($A17,'Justice Spend Total'!$B:$AY, 27,FALSE)),VLOOKUP($A17,'Justice Spend Total'!$B:$AY, 27,FALSE),#N/A)</f>
        <v>2.1487900885381827E-4</v>
      </c>
      <c r="K17" s="15">
        <f>IF(ISNUMBER(VLOOKUP($A17,'Justice Spend Total'!$B:$AY, 28,FALSE)),VLOOKUP($A17,'Justice Spend Total'!$B:$AY, 28,FALSE),#N/A)</f>
        <v>5.6298300319700435E-2</v>
      </c>
      <c r="L17" s="4">
        <f t="shared" si="0"/>
        <v>0.62992260657630339</v>
      </c>
      <c r="M17" s="4">
        <f t="shared" si="1"/>
        <v>0.18852353871809077</v>
      </c>
      <c r="N17" s="4">
        <f t="shared" si="2"/>
        <v>8.0215504340017826E-2</v>
      </c>
      <c r="O17" s="4">
        <f t="shared" si="3"/>
        <v>9.0092786590841065E-2</v>
      </c>
      <c r="P17" s="4">
        <f t="shared" si="4"/>
        <v>4.2758797622610748E-5</v>
      </c>
      <c r="Q17" s="4">
        <f t="shared" si="5"/>
        <v>1.1202804977124024E-2</v>
      </c>
      <c r="R17" s="4"/>
    </row>
    <row r="18" spans="1:18">
      <c r="A18" t="s">
        <v>54</v>
      </c>
      <c r="B18" s="15">
        <f>IF(ISNUMBER(VLOOKUP($A18,'Justice Spend Total'!$B:$AY, 10,FALSE)),VLOOKUP($A18,'Justice Spend Total'!$B:$AY, 10,FALSE),#N/A)</f>
        <v>28.202999999999999</v>
      </c>
      <c r="C18" s="15">
        <f>IF(ISNUMBER(VLOOKUP($A18,'Justice Spend Total'!$B:$AY, 11,FALSE)),VLOOKUP($A18,'Justice Spend Total'!$B:$AY, 11,FALSE),#N/A)</f>
        <v>43.915541645256226</v>
      </c>
      <c r="D18">
        <f>IF(ISNUMBER(VLOOKUP($A18,'Justice Spend Total'!$B:$AY, 12,FALSE)),VLOOKUP($A18,'Justice Spend Total'!$B:$AY, 12,FALSE),#N/A)</f>
        <v>2020</v>
      </c>
      <c r="E18" s="15">
        <f>IF(ISNUMBER(VLOOKUP($A18,'Justice Spend Total'!$B:$AY, 22,FALSE)),VLOOKUP($A18,'Justice Spend Total'!$B:$AY, 22,FALSE),#N/A)</f>
        <v>2.9497514856108795</v>
      </c>
      <c r="F18" s="15">
        <f>IF(ISNUMBER(VLOOKUP($A18,'Justice Spend Total'!$B:$AY, 23,FALSE)),VLOOKUP($A18,'Justice Spend Total'!$B:$AY, 23,FALSE),#N/A)</f>
        <v>1.2163161309693518</v>
      </c>
      <c r="G18" s="15">
        <f>IF(ISNUMBER(VLOOKUP($A18,'Justice Spend Total'!$B:$AY, 24,FALSE)),VLOOKUP($A18,'Justice Spend Total'!$B:$AY, 24,FALSE),#N/A)</f>
        <v>0.64924438168179743</v>
      </c>
      <c r="H18" s="15">
        <f>IF(ISNUMBER(VLOOKUP($A18,'Justice Spend Total'!$B:$AY, 25,FALSE)),VLOOKUP($A18,'Justice Spend Total'!$B:$AY, 25,FALSE),#N/A)</f>
        <v>0.53735441633848069</v>
      </c>
      <c r="I18" s="15">
        <f>IF(ISNUMBER(VLOOKUP($A18,'Justice Spend Total'!$B:$AY, 26,FALSE)),VLOOKUP($A18,'Justice Spend Total'!$B:$AY, 26,FALSE),#N/A)</f>
        <v>0.40855208996668901</v>
      </c>
      <c r="J18" s="15">
        <f>IF(ISNUMBER(VLOOKUP($A18,'Justice Spend Total'!$B:$AY, 27,FALSE)),VLOOKUP($A18,'Justice Spend Total'!$B:$AY, 27,FALSE),#N/A)</f>
        <v>3.883381975031814E-2</v>
      </c>
      <c r="K18" s="15">
        <f>IF(ISNUMBER(VLOOKUP($A18,'Justice Spend Total'!$B:$AY, 28,FALSE)),VLOOKUP($A18,'Justice Spend Total'!$B:$AY, 28,FALSE),#N/A)</f>
        <v>9.9447096870432516E-2</v>
      </c>
      <c r="L18" s="4">
        <f t="shared" si="0"/>
        <v>0.41234528973123258</v>
      </c>
      <c r="M18" s="4">
        <f t="shared" si="1"/>
        <v>0.18216938578037437</v>
      </c>
      <c r="N18" s="4">
        <f t="shared" si="2"/>
        <v>0.13850390175566937</v>
      </c>
      <c r="O18" s="4">
        <f t="shared" si="3"/>
        <v>0.22010138306527272</v>
      </c>
      <c r="P18" s="4">
        <f t="shared" si="4"/>
        <v>1.3165115752887176E-2</v>
      </c>
      <c r="Q18" s="4">
        <f t="shared" si="5"/>
        <v>3.3713720411886659E-2</v>
      </c>
      <c r="R18" s="4"/>
    </row>
    <row r="19" spans="1:18">
      <c r="A19" t="s">
        <v>52</v>
      </c>
      <c r="B19" s="15">
        <f>IF(ISNUMBER(VLOOKUP($A19,'Justice Spend Total'!$B:$AY, 10,FALSE)),VLOOKUP($A19,'Justice Spend Total'!$B:$AY, 10,FALSE),#N/A)</f>
        <v>2424.83</v>
      </c>
      <c r="C19" s="15">
        <f>IF(ISNUMBER(VLOOKUP($A19,'Justice Spend Total'!$B:$AY, 11,FALSE)),VLOOKUP($A19,'Justice Spend Total'!$B:$AY, 11,FALSE),#N/A)</f>
        <v>48.620484995769218</v>
      </c>
      <c r="D19">
        <f>IF(ISNUMBER(VLOOKUP($A19,'Justice Spend Total'!$B:$AY, 12,FALSE)),VLOOKUP($A19,'Justice Spend Total'!$B:$AY, 12,FALSE),#N/A)</f>
        <v>2020</v>
      </c>
      <c r="E19" s="15">
        <f>IF(ISNUMBER(VLOOKUP($A19,'Justice Spend Total'!$B:$AY, 22,FALSE)),VLOOKUP($A19,'Justice Spend Total'!$B:$AY, 22,FALSE),#N/A)</f>
        <v>2.8760157631548267</v>
      </c>
      <c r="F19" s="15">
        <f>IF(ISNUMBER(VLOOKUP($A19,'Justice Spend Total'!$B:$AY, 23,FALSE)),VLOOKUP($A19,'Justice Spend Total'!$B:$AY, 23,FALSE),#N/A)</f>
        <v>1.4622759670595156</v>
      </c>
      <c r="G19" s="15">
        <f>IF(ISNUMBER(VLOOKUP($A19,'Justice Spend Total'!$B:$AY, 24,FALSE)),VLOOKUP($A19,'Justice Spend Total'!$B:$AY, 24,FALSE),#N/A)</f>
        <v>0.39328331047445941</v>
      </c>
      <c r="H19" s="15">
        <f>IF(ISNUMBER(VLOOKUP($A19,'Justice Spend Total'!$B:$AY, 25,FALSE)),VLOOKUP($A19,'Justice Spend Total'!$B:$AY, 25,FALSE),#N/A)</f>
        <v>0.55374983488674978</v>
      </c>
      <c r="I19" s="15">
        <f>IF(ISNUMBER(VLOOKUP($A19,'Justice Spend Total'!$B:$AY, 26,FALSE)),VLOOKUP($A19,'Justice Spend Total'!$B:$AY, 26,FALSE),#N/A)</f>
        <v>0.44371800513285037</v>
      </c>
      <c r="J19" s="15">
        <f>IF(ISNUMBER(VLOOKUP($A19,'Justice Spend Total'!$B:$AY, 27,FALSE)),VLOOKUP($A19,'Justice Spend Total'!$B:$AY, 27,FALSE),#N/A)</f>
        <v>0</v>
      </c>
      <c r="K19" s="15">
        <f>IF(ISNUMBER(VLOOKUP($A19,'Justice Spend Total'!$B:$AY, 28,FALSE)),VLOOKUP($A19,'Justice Spend Total'!$B:$AY, 28,FALSE),#N/A)</f>
        <v>2.2988645601246058E-2</v>
      </c>
      <c r="L19" s="4">
        <f t="shared" si="0"/>
        <v>0.50843809195798062</v>
      </c>
      <c r="M19" s="4">
        <f t="shared" si="1"/>
        <v>0.19254061190517174</v>
      </c>
      <c r="N19" s="4">
        <f t="shared" si="2"/>
        <v>0.15428218816371048</v>
      </c>
      <c r="O19" s="4">
        <f t="shared" si="3"/>
        <v>0.13674588140749613</v>
      </c>
      <c r="P19" s="4">
        <f t="shared" si="4"/>
        <v>0</v>
      </c>
      <c r="Q19" s="4">
        <f t="shared" si="5"/>
        <v>7.9932265656391301E-3</v>
      </c>
      <c r="R19" s="4"/>
    </row>
    <row r="20" spans="1:18">
      <c r="A20" t="s">
        <v>63</v>
      </c>
      <c r="B20" s="15">
        <f>IF(ISNUMBER(VLOOKUP($A20,'Justice Spend Total'!$B:$AY, 10,FALSE)),VLOOKUP($A20,'Justice Spend Total'!$B:$AY, 10,FALSE),#N/A)</f>
        <v>785.39800000000002</v>
      </c>
      <c r="C20" s="15">
        <f>IF(ISNUMBER(VLOOKUP($A20,'Justice Spend Total'!$B:$AY, 11,FALSE)),VLOOKUP($A20,'Justice Spend Total'!$B:$AY, 11,FALSE),#N/A)</f>
        <v>47.399937234453461</v>
      </c>
      <c r="D20">
        <f>IF(ISNUMBER(VLOOKUP($A20,'Justice Spend Total'!$B:$AY, 12,FALSE)),VLOOKUP($A20,'Justice Spend Total'!$B:$AY, 12,FALSE),#N/A)</f>
        <v>2020</v>
      </c>
      <c r="E20" s="15">
        <f>IF(ISNUMBER(VLOOKUP($A20,'Justice Spend Total'!$B:$AY, 22,FALSE)),VLOOKUP($A20,'Justice Spend Total'!$B:$AY, 22,FALSE),#N/A)</f>
        <v>4.2647744835080026</v>
      </c>
      <c r="F20" s="15">
        <f>IF(ISNUMBER(VLOOKUP($A20,'Justice Spend Total'!$B:$AY, 23,FALSE)),VLOOKUP($A20,'Justice Spend Total'!$B:$AY, 23,FALSE),#N/A)</f>
        <v>2.6164487898192252</v>
      </c>
      <c r="G20" s="15">
        <f>IF(ISNUMBER(VLOOKUP($A20,'Justice Spend Total'!$B:$AY, 24,FALSE)),VLOOKUP($A20,'Justice Spend Total'!$B:$AY, 24,FALSE),#N/A)</f>
        <v>0.45129685956311694</v>
      </c>
      <c r="H20" s="15">
        <f>IF(ISNUMBER(VLOOKUP($A20,'Justice Spend Total'!$B:$AY, 25,FALSE)),VLOOKUP($A20,'Justice Spend Total'!$B:$AY, 25,FALSE),#N/A)</f>
        <v>0.72695455074262627</v>
      </c>
      <c r="I20" s="15">
        <f>IF(ISNUMBER(VLOOKUP($A20,'Justice Spend Total'!$B:$AY, 26,FALSE)),VLOOKUP($A20,'Justice Spend Total'!$B:$AY, 26,FALSE),#N/A)</f>
        <v>0.45231876017916867</v>
      </c>
      <c r="J20" s="15">
        <f>IF(ISNUMBER(VLOOKUP($A20,'Justice Spend Total'!$B:$AY, 27,FALSE)),VLOOKUP($A20,'Justice Spend Total'!$B:$AY, 27,FALSE),#N/A)</f>
        <v>0</v>
      </c>
      <c r="K20" s="15">
        <f>IF(ISNUMBER(VLOOKUP($A20,'Justice Spend Total'!$B:$AY, 28,FALSE)),VLOOKUP($A20,'Justice Spend Total'!$B:$AY, 28,FALSE),#N/A)</f>
        <v>1.7755523203870169E-2</v>
      </c>
      <c r="L20" s="4">
        <f t="shared" si="0"/>
        <v>0.61350226135921204</v>
      </c>
      <c r="M20" s="4">
        <f t="shared" si="1"/>
        <v>0.17045556653787416</v>
      </c>
      <c r="N20" s="4">
        <f t="shared" si="2"/>
        <v>0.10605924461616845</v>
      </c>
      <c r="O20" s="4">
        <f t="shared" si="3"/>
        <v>0.10581963039506403</v>
      </c>
      <c r="P20" s="4">
        <f t="shared" si="4"/>
        <v>0</v>
      </c>
      <c r="Q20" s="4">
        <f t="shared" si="5"/>
        <v>4.1632970916823985E-3</v>
      </c>
      <c r="R20" s="4"/>
    </row>
    <row r="21" spans="1:18">
      <c r="A21" t="s">
        <v>70</v>
      </c>
      <c r="B21" s="15">
        <f>IF(ISNUMBER(VLOOKUP($A21,'Justice Spend Total'!$B:$AY, 10,FALSE)),VLOOKUP($A21,'Justice Spend Total'!$B:$AY, 10,FALSE),#N/A)</f>
        <v>2371.1</v>
      </c>
      <c r="C21" s="15">
        <f>IF(ISNUMBER(VLOOKUP($A21,'Justice Spend Total'!$B:$AY, 11,FALSE)),VLOOKUP($A21,'Justice Spend Total'!$B:$AY, 11,FALSE),#N/A)</f>
        <v>41.639227379930063</v>
      </c>
      <c r="D21">
        <f>IF(ISNUMBER(VLOOKUP($A21,'Justice Spend Total'!$B:$AY, 12,FALSE)),VLOOKUP($A21,'Justice Spend Total'!$B:$AY, 12,FALSE),#N/A)</f>
        <v>2020</v>
      </c>
      <c r="E21" s="15">
        <f>IF(ISNUMBER(VLOOKUP($A21,'Justice Spend Total'!$B:$AY, 22,FALSE)),VLOOKUP($A21,'Justice Spend Total'!$B:$AY, 22,FALSE),#N/A)</f>
        <v>5.1339470741581055</v>
      </c>
      <c r="F21" s="15">
        <f>IF(ISNUMBER(VLOOKUP($A21,'Justice Spend Total'!$B:$AY, 23,FALSE)),VLOOKUP($A21,'Justice Spend Total'!$B:$AY, 23,FALSE),#N/A)</f>
        <v>2.4676987834107256</v>
      </c>
      <c r="G21" s="15">
        <f>IF(ISNUMBER(VLOOKUP($A21,'Justice Spend Total'!$B:$AY, 24,FALSE)),VLOOKUP($A21,'Justice Spend Total'!$B:$AY, 24,FALSE),#N/A)</f>
        <v>0.71600967195452736</v>
      </c>
      <c r="H21" s="15">
        <f>IF(ISNUMBER(VLOOKUP($A21,'Justice Spend Total'!$B:$AY, 25,FALSE)),VLOOKUP($A21,'Justice Spend Total'!$B:$AY, 25,FALSE),#N/A)</f>
        <v>0.78588998921384312</v>
      </c>
      <c r="I21" s="15">
        <f>IF(ISNUMBER(VLOOKUP($A21,'Justice Spend Total'!$B:$AY, 26,FALSE)),VLOOKUP($A21,'Justice Spend Total'!$B:$AY, 26,FALSE),#N/A)</f>
        <v>0.47975768807602098</v>
      </c>
      <c r="J21" s="15">
        <f>IF(ISNUMBER(VLOOKUP($A21,'Justice Spend Total'!$B:$AY, 27,FALSE)),VLOOKUP($A21,'Justice Spend Total'!$B:$AY, 27,FALSE),#N/A)</f>
        <v>3.120786648877087E-3</v>
      </c>
      <c r="K21" s="15">
        <f>IF(ISNUMBER(VLOOKUP($A21,'Justice Spend Total'!$B:$AY, 28,FALSE)),VLOOKUP($A21,'Justice Spend Total'!$B:$AY, 28,FALSE),#N/A)</f>
        <v>0.68147015485411877</v>
      </c>
      <c r="L21" s="4">
        <f t="shared" si="0"/>
        <v>0.48066307419333754</v>
      </c>
      <c r="M21" s="4">
        <f t="shared" si="1"/>
        <v>0.15307715055530016</v>
      </c>
      <c r="N21" s="4">
        <f t="shared" si="2"/>
        <v>9.3448117237300204E-2</v>
      </c>
      <c r="O21" s="4">
        <f t="shared" si="3"/>
        <v>0.1394657291187488</v>
      </c>
      <c r="P21" s="4">
        <f t="shared" si="4"/>
        <v>6.0787277387133016E-4</v>
      </c>
      <c r="Q21" s="4">
        <f t="shared" si="5"/>
        <v>0.1327380561214434</v>
      </c>
      <c r="R21" s="4"/>
    </row>
    <row r="22" spans="1:18">
      <c r="A22" t="s">
        <v>76</v>
      </c>
      <c r="B22" s="15">
        <f>IF(ISNUMBER(VLOOKUP($A22,'Justice Spend Total'!$B:$AY, 10,FALSE)),VLOOKUP($A22,'Justice Spend Total'!$B:$AY, 10,FALSE),#N/A)</f>
        <v>36.881999999999998</v>
      </c>
      <c r="C22" s="15">
        <f>IF(ISNUMBER(VLOOKUP($A22,'Justice Spend Total'!$B:$AY, 11,FALSE)),VLOOKUP($A22,'Justice Spend Total'!$B:$AY, 11,FALSE),#N/A)</f>
        <v>40.054735607467499</v>
      </c>
      <c r="D22">
        <f>IF(ISNUMBER(VLOOKUP($A22,'Justice Spend Total'!$B:$AY, 12,FALSE)),VLOOKUP($A22,'Justice Spend Total'!$B:$AY, 12,FALSE),#N/A)</f>
        <v>2020</v>
      </c>
      <c r="E22" s="15">
        <f>IF(ISNUMBER(VLOOKUP($A22,'Justice Spend Total'!$B:$AY, 22,FALSE)),VLOOKUP($A22,'Justice Spend Total'!$B:$AY, 22,FALSE),#N/A)</f>
        <v>6.2488653886606258</v>
      </c>
      <c r="F22" s="15">
        <f>IF(ISNUMBER(VLOOKUP($A22,'Justice Spend Total'!$B:$AY, 23,FALSE)),VLOOKUP($A22,'Justice Spend Total'!$B:$AY, 23,FALSE),#N/A)</f>
        <v>2.8113473867083587</v>
      </c>
      <c r="G22" s="15">
        <f>IF(ISNUMBER(VLOOKUP($A22,'Justice Spend Total'!$B:$AY, 24,FALSE)),VLOOKUP($A22,'Justice Spend Total'!$B:$AY, 24,FALSE),#N/A)</f>
        <v>0.61248179932390046</v>
      </c>
      <c r="H22" s="15">
        <f>IF(ISNUMBER(VLOOKUP($A22,'Justice Spend Total'!$B:$AY, 25,FALSE)),VLOOKUP($A22,'Justice Spend Total'!$B:$AY, 25,FALSE),#N/A)</f>
        <v>0.81697143969368924</v>
      </c>
      <c r="I22" s="15">
        <f>IF(ISNUMBER(VLOOKUP($A22,'Justice Spend Total'!$B:$AY, 26,FALSE)),VLOOKUP($A22,'Justice Spend Total'!$B:$AY, 26,FALSE),#N/A)</f>
        <v>0.54633100541888924</v>
      </c>
      <c r="J22" s="15">
        <f>IF(ISNUMBER(VLOOKUP($A22,'Justice Spend Total'!$B:$AY, 27,FALSE)),VLOOKUP($A22,'Justice Spend Total'!$B:$AY, 27,FALSE),#N/A)</f>
        <v>5.8082027708344984E-4</v>
      </c>
      <c r="K22" s="15">
        <f>IF(ISNUMBER(VLOOKUP($A22,'Justice Spend Total'!$B:$AY, 28,FALSE)),VLOOKUP($A22,'Justice Spend Total'!$B:$AY, 28,FALSE),#N/A)</f>
        <v>1.4611529372386929</v>
      </c>
      <c r="L22" s="4">
        <f t="shared" si="0"/>
        <v>0.44989725523771273</v>
      </c>
      <c r="M22" s="4">
        <f t="shared" si="1"/>
        <v>0.13073916445314848</v>
      </c>
      <c r="N22" s="4">
        <f t="shared" si="2"/>
        <v>8.7428832506182233E-2</v>
      </c>
      <c r="O22" s="4">
        <f t="shared" si="3"/>
        <v>9.8014881299143986E-2</v>
      </c>
      <c r="P22" s="4">
        <f t="shared" si="4"/>
        <v>9.294811793152455E-5</v>
      </c>
      <c r="Q22" s="4">
        <f t="shared" si="5"/>
        <v>0.2338269183858791</v>
      </c>
      <c r="R22" s="4"/>
    </row>
    <row r="23" spans="1:18">
      <c r="A23" t="s">
        <v>75</v>
      </c>
      <c r="B23" s="15">
        <f>IF(ISNUMBER(VLOOKUP($A23,'Justice Spend Total'!$B:$AY, 10,FALSE)),VLOOKUP($A23,'Justice Spend Total'!$B:$AY, 10,FALSE),#N/A)</f>
        <v>966.27499999999998</v>
      </c>
      <c r="C23" s="15">
        <f>IF(ISNUMBER(VLOOKUP($A23,'Justice Spend Total'!$B:$AY, 11,FALSE)),VLOOKUP($A23,'Justice Spend Total'!$B:$AY, 11,FALSE),#N/A)</f>
        <v>41.530563124822713</v>
      </c>
      <c r="D23">
        <f>IF(ISNUMBER(VLOOKUP($A23,'Justice Spend Total'!$B:$AY, 12,FALSE)),VLOOKUP($A23,'Justice Spend Total'!$B:$AY, 12,FALSE),#N/A)</f>
        <v>2020</v>
      </c>
      <c r="E23" s="15">
        <f>IF(ISNUMBER(VLOOKUP($A23,'Justice Spend Total'!$B:$AY, 22,FALSE)),VLOOKUP($A23,'Justice Spend Total'!$B:$AY, 22,FALSE),#N/A)</f>
        <v>5.6499465673918348</v>
      </c>
      <c r="F23" s="15">
        <f>IF(ISNUMBER(VLOOKUP($A23,'Justice Spend Total'!$B:$AY, 23,FALSE)),VLOOKUP($A23,'Justice Spend Total'!$B:$AY, 23,FALSE),#N/A)</f>
        <v>2.758189876067398</v>
      </c>
      <c r="G23" s="15">
        <f>IF(ISNUMBER(VLOOKUP($A23,'Justice Spend Total'!$B:$AY, 24,FALSE)),VLOOKUP($A23,'Justice Spend Total'!$B:$AY, 24,FALSE),#N/A)</f>
        <v>0.51608750061904918</v>
      </c>
      <c r="H23" s="15">
        <f>IF(ISNUMBER(VLOOKUP($A23,'Justice Spend Total'!$B:$AY, 25,FALSE)),VLOOKUP($A23,'Justice Spend Total'!$B:$AY, 25,FALSE),#N/A)</f>
        <v>1.3441087297140182</v>
      </c>
      <c r="I23" s="15">
        <f>IF(ISNUMBER(VLOOKUP($A23,'Justice Spend Total'!$B:$AY, 26,FALSE)),VLOOKUP($A23,'Justice Spend Total'!$B:$AY, 26,FALSE),#N/A)</f>
        <v>0.57846255854828732</v>
      </c>
      <c r="J23" s="15">
        <f>IF(ISNUMBER(VLOOKUP($A23,'Justice Spend Total'!$B:$AY, 27,FALSE)),VLOOKUP($A23,'Justice Spend Total'!$B:$AY, 27,FALSE),#N/A)</f>
        <v>2.7286996117312043E-2</v>
      </c>
      <c r="K23" s="15">
        <f>IF(ISNUMBER(VLOOKUP($A23,'Justice Spend Total'!$B:$AY, 28,FALSE)),VLOOKUP($A23,'Justice Spend Total'!$B:$AY, 28,FALSE),#N/A)</f>
        <v>0.42581090632578777</v>
      </c>
      <c r="L23" s="4">
        <f t="shared" si="0"/>
        <v>0.48817981606871225</v>
      </c>
      <c r="M23" s="4">
        <f t="shared" si="1"/>
        <v>0.23789760021296882</v>
      </c>
      <c r="N23" s="4">
        <f t="shared" si="2"/>
        <v>0.10238372197833386</v>
      </c>
      <c r="O23" s="4">
        <f t="shared" si="3"/>
        <v>9.1343784310740639E-2</v>
      </c>
      <c r="P23" s="4">
        <f t="shared" si="4"/>
        <v>4.8296025089505307E-3</v>
      </c>
      <c r="Q23" s="4">
        <f t="shared" si="5"/>
        <v>7.5365474920297063E-2</v>
      </c>
      <c r="R23" s="4"/>
    </row>
    <row r="24" spans="1:18">
      <c r="A24" t="s">
        <v>67</v>
      </c>
      <c r="B24" s="15">
        <f>IF(ISNUMBER(VLOOKUP($A24,'Justice Spend Total'!$B:$AY, 10,FALSE)),VLOOKUP($A24,'Justice Spend Total'!$B:$AY, 10,FALSE),#N/A)</f>
        <v>238.78700000000001</v>
      </c>
      <c r="C24" s="15">
        <f>IF(ISNUMBER(VLOOKUP($A24,'Justice Spend Total'!$B:$AY, 11,FALSE)),VLOOKUP($A24,'Justice Spend Total'!$B:$AY, 11,FALSE),#N/A)</f>
        <v>32.806540782343951</v>
      </c>
      <c r="D24">
        <f>IF(ISNUMBER(VLOOKUP($A24,'Justice Spend Total'!$B:$AY, 12,FALSE)),VLOOKUP($A24,'Justice Spend Total'!$B:$AY, 12,FALSE),#N/A)</f>
        <v>2019</v>
      </c>
      <c r="E24" s="15">
        <f>IF(ISNUMBER(VLOOKUP($A24,'Justice Spend Total'!$B:$AY, 22,FALSE)),VLOOKUP($A24,'Justice Spend Total'!$B:$AY, 22,FALSE),#N/A)</f>
        <v>4.917265226815668</v>
      </c>
      <c r="F24" s="15">
        <f>IF(ISNUMBER(VLOOKUP($A24,'Justice Spend Total'!$B:$AY, 23,FALSE)),VLOOKUP($A24,'Justice Spend Total'!$B:$AY, 23,FALSE),#N/A)</f>
        <v>2.0488886818484255</v>
      </c>
      <c r="G24" s="15">
        <f>IF(ISNUMBER(VLOOKUP($A24,'Justice Spend Total'!$B:$AY, 24,FALSE)),VLOOKUP($A24,'Justice Spend Total'!$B:$AY, 24,FALSE),#N/A)</f>
        <v>0.3295003279241917</v>
      </c>
      <c r="H24" s="15">
        <f>IF(ISNUMBER(VLOOKUP($A24,'Justice Spend Total'!$B:$AY, 25,FALSE)),VLOOKUP($A24,'Justice Spend Total'!$B:$AY, 25,FALSE),#N/A)</f>
        <v>0.90042950420487888</v>
      </c>
      <c r="I24" s="15">
        <f>IF(ISNUMBER(VLOOKUP($A24,'Justice Spend Total'!$B:$AY, 26,FALSE)),VLOOKUP($A24,'Justice Spend Total'!$B:$AY, 26,FALSE),#N/A)</f>
        <v>0.59833396399787186</v>
      </c>
      <c r="J24" s="15">
        <f>IF(ISNUMBER(VLOOKUP($A24,'Justice Spend Total'!$B:$AY, 27,FALSE)),VLOOKUP($A24,'Justice Spend Total'!$B:$AY, 27,FALSE),#N/A)</f>
        <v>0</v>
      </c>
      <c r="K24" s="15">
        <f>IF(ISNUMBER(VLOOKUP($A24,'Justice Spend Total'!$B:$AY, 28,FALSE)),VLOOKUP($A24,'Justice Spend Total'!$B:$AY, 28,FALSE),#N/A)</f>
        <v>1.0401127488402917</v>
      </c>
      <c r="L24" s="4">
        <f t="shared" si="0"/>
        <v>0.416672395598081</v>
      </c>
      <c r="M24" s="4">
        <f t="shared" si="1"/>
        <v>0.18311591152222242</v>
      </c>
      <c r="N24" s="4">
        <f t="shared" si="2"/>
        <v>0.12168023004635488</v>
      </c>
      <c r="O24" s="4">
        <f t="shared" si="3"/>
        <v>6.700885812042523E-2</v>
      </c>
      <c r="P24" s="4">
        <f t="shared" si="4"/>
        <v>0</v>
      </c>
      <c r="Q24" s="4">
        <f t="shared" si="5"/>
        <v>0.21152260471291476</v>
      </c>
      <c r="R24" s="4"/>
    </row>
    <row r="25" spans="1:18">
      <c r="A25" t="s">
        <v>72</v>
      </c>
      <c r="B25" s="15">
        <f>IF(ISNUMBER(VLOOKUP($A25,'Justice Spend Total'!$B:$AY, 10,FALSE)),VLOOKUP($A25,'Justice Spend Total'!$B:$AY, 10,FALSE),#N/A)</f>
        <v>854.72199999999998</v>
      </c>
      <c r="C25" s="15">
        <f>IF(ISNUMBER(VLOOKUP($A25,'Justice Spend Total'!$B:$AY, 11,FALSE)),VLOOKUP($A25,'Justice Spend Total'!$B:$AY, 11,FALSE),#N/A)</f>
        <v>36.888370988973044</v>
      </c>
      <c r="D25">
        <f>IF(ISNUMBER(VLOOKUP($A25,'Justice Spend Total'!$B:$AY, 12,FALSE)),VLOOKUP($A25,'Justice Spend Total'!$B:$AY, 12,FALSE),#N/A)</f>
        <v>2021</v>
      </c>
      <c r="E25" s="15">
        <f>IF(ISNUMBER(VLOOKUP($A25,'Justice Spend Total'!$B:$AY, 22,FALSE)),VLOOKUP($A25,'Justice Spend Total'!$B:$AY, 22,FALSE),#N/A)</f>
        <v>5.4670681658715186</v>
      </c>
      <c r="F25" s="15">
        <f>IF(ISNUMBER(VLOOKUP($A25,'Justice Spend Total'!$B:$AY, 23,FALSE)),VLOOKUP($A25,'Justice Spend Total'!$B:$AY, 23,FALSE),#N/A)</f>
        <v>2.9748858481849183</v>
      </c>
      <c r="G25" s="15">
        <f>IF(ISNUMBER(VLOOKUP($A25,'Justice Spend Total'!$B:$AY, 24,FALSE)),VLOOKUP($A25,'Justice Spend Total'!$B:$AY, 24,FALSE),#N/A)</f>
        <v>0.44614463160973195</v>
      </c>
      <c r="H25" s="15">
        <f>IF(ISNUMBER(VLOOKUP($A25,'Justice Spend Total'!$B:$AY, 25,FALSE)),VLOOKUP($A25,'Justice Spend Total'!$B:$AY, 25,FALSE),#N/A)</f>
        <v>1.1123990475626662</v>
      </c>
      <c r="I25" s="15">
        <f>IF(ISNUMBER(VLOOKUP($A25,'Justice Spend Total'!$B:$AY, 26,FALSE)),VLOOKUP($A25,'Justice Spend Total'!$B:$AY, 26,FALSE),#N/A)</f>
        <v>0.60801230806830764</v>
      </c>
      <c r="J25" s="15">
        <f>IF(ISNUMBER(VLOOKUP($A25,'Justice Spend Total'!$B:$AY, 27,FALSE)),VLOOKUP($A25,'Justice Spend Total'!$B:$AY, 27,FALSE),#N/A)</f>
        <v>8.3203011263753446E-3</v>
      </c>
      <c r="K25" s="15">
        <f>IF(ISNUMBER(VLOOKUP($A25,'Justice Spend Total'!$B:$AY, 28,FALSE)),VLOOKUP($A25,'Justice Spend Total'!$B:$AY, 28,FALSE),#N/A)</f>
        <v>0.31730602931949525</v>
      </c>
      <c r="L25" s="4">
        <f t="shared" si="0"/>
        <v>0.54414647081882228</v>
      </c>
      <c r="M25" s="4">
        <f t="shared" si="1"/>
        <v>0.20347268660502169</v>
      </c>
      <c r="N25" s="4">
        <f t="shared" si="2"/>
        <v>0.11121359559111751</v>
      </c>
      <c r="O25" s="4">
        <f t="shared" si="3"/>
        <v>8.1605829317222531E-2</v>
      </c>
      <c r="P25" s="4">
        <f t="shared" si="4"/>
        <v>1.5218945280973985E-3</v>
      </c>
      <c r="Q25" s="4">
        <f t="shared" si="5"/>
        <v>5.8039523139714271E-2</v>
      </c>
      <c r="R25" s="4"/>
    </row>
    <row r="26" spans="1:18">
      <c r="A26" t="s">
        <v>64</v>
      </c>
      <c r="B26" s="15">
        <f>IF(ISNUMBER(VLOOKUP($A26,'Justice Spend Total'!$B:$AY, 10,FALSE)),VLOOKUP($A26,'Justice Spend Total'!$B:$AY, 10,FALSE),#N/A)</f>
        <v>1023.74</v>
      </c>
      <c r="C26" s="15">
        <f>IF(ISNUMBER(VLOOKUP($A26,'Justice Spend Total'!$B:$AY, 11,FALSE)),VLOOKUP($A26,'Justice Spend Total'!$B:$AY, 11,FALSE),#N/A)</f>
        <v>41.012431044359957</v>
      </c>
      <c r="D26">
        <f>IF(ISNUMBER(VLOOKUP($A26,'Justice Spend Total'!$B:$AY, 12,FALSE)),VLOOKUP($A26,'Justice Spend Total'!$B:$AY, 12,FALSE),#N/A)</f>
        <v>2021</v>
      </c>
      <c r="E26" s="15">
        <f>IF(ISNUMBER(VLOOKUP($A26,'Justice Spend Total'!$B:$AY, 22,FALSE)),VLOOKUP($A26,'Justice Spend Total'!$B:$AY, 22,FALSE),#N/A)</f>
        <v>4.5190995076261862</v>
      </c>
      <c r="F26" s="15">
        <f>IF(ISNUMBER(VLOOKUP($A26,'Justice Spend Total'!$B:$AY, 23,FALSE)),VLOOKUP($A26,'Justice Spend Total'!$B:$AY, 23,FALSE),#N/A)</f>
        <v>2.0775703677724975</v>
      </c>
      <c r="G26" s="15">
        <f>IF(ISNUMBER(VLOOKUP($A26,'Justice Spend Total'!$B:$AY, 24,FALSE)),VLOOKUP($A26,'Justice Spend Total'!$B:$AY, 24,FALSE),#N/A)</f>
        <v>0.58615703882535275</v>
      </c>
      <c r="H26" s="15">
        <f>IF(ISNUMBER(VLOOKUP($A26,'Justice Spend Total'!$B:$AY, 25,FALSE)),VLOOKUP($A26,'Justice Spend Total'!$B:$AY, 25,FALSE),#N/A)</f>
        <v>0.62725985097295445</v>
      </c>
      <c r="I26" s="15">
        <f>IF(ISNUMBER(VLOOKUP($A26,'Justice Spend Total'!$B:$AY, 26,FALSE)),VLOOKUP($A26,'Justice Spend Total'!$B:$AY, 26,FALSE),#N/A)</f>
        <v>0.61267498214638538</v>
      </c>
      <c r="J26" s="15" t="e">
        <f>IF(ISNUMBER(VLOOKUP($A26,'Justice Spend Total'!$B:$AY, 27,FALSE)),VLOOKUP($A26,'Justice Spend Total'!$B:$AY, 27,FALSE),#N/A)</f>
        <v>#N/A</v>
      </c>
      <c r="K26" s="15">
        <f>IF(ISNUMBER(VLOOKUP($A26,'Justice Spend Total'!$B:$AY, 28,FALSE)),VLOOKUP($A26,'Justice Spend Total'!$B:$AY, 28,FALSE),#N/A)</f>
        <v>0.61543726790899389</v>
      </c>
      <c r="L26" s="4">
        <f t="shared" si="0"/>
        <v>0.45973105134474312</v>
      </c>
      <c r="M26" s="4">
        <f t="shared" si="1"/>
        <v>0.13880195599021994</v>
      </c>
      <c r="N26" s="4">
        <f t="shared" si="2"/>
        <v>0.13557457212713914</v>
      </c>
      <c r="O26" s="4">
        <f t="shared" si="3"/>
        <v>0.12970660146699273</v>
      </c>
      <c r="P26" s="4" t="e">
        <f t="shared" si="4"/>
        <v>#N/A</v>
      </c>
      <c r="Q26" s="4">
        <f t="shared" si="5"/>
        <v>0.1361858190709046</v>
      </c>
      <c r="R26" s="4"/>
    </row>
    <row r="27" spans="1:18">
      <c r="A27" t="s">
        <v>68</v>
      </c>
      <c r="B27" s="15">
        <f>IF(ISNUMBER(VLOOKUP($A27,'Justice Spend Total'!$B:$AY, 10,FALSE)),VLOOKUP($A27,'Justice Spend Total'!$B:$AY, 10,FALSE),#N/A)</f>
        <v>20774.79</v>
      </c>
      <c r="C27" s="15">
        <f>IF(ISNUMBER(VLOOKUP($A27,'Justice Spend Total'!$B:$AY, 11,FALSE)),VLOOKUP($A27,'Justice Spend Total'!$B:$AY, 11,FALSE),#N/A)</f>
        <v>43.291202388573261</v>
      </c>
      <c r="D27">
        <f>IF(ISNUMBER(VLOOKUP($A27,'Justice Spend Total'!$B:$AY, 12,FALSE)),VLOOKUP($A27,'Justice Spend Total'!$B:$AY, 12,FALSE),#N/A)</f>
        <v>2020</v>
      </c>
      <c r="E27" s="15">
        <f>IF(ISNUMBER(VLOOKUP($A27,'Justice Spend Total'!$B:$AY, 22,FALSE)),VLOOKUP($A27,'Justice Spend Total'!$B:$AY, 22,FALSE),#N/A)</f>
        <v>4.9827226697495757</v>
      </c>
      <c r="F27" s="15">
        <f>IF(ISNUMBER(VLOOKUP($A27,'Justice Spend Total'!$B:$AY, 23,FALSE)),VLOOKUP($A27,'Justice Spend Total'!$B:$AY, 23,FALSE),#N/A)</f>
        <v>2.7951416358141477</v>
      </c>
      <c r="G27" s="15">
        <f>IF(ISNUMBER(VLOOKUP($A27,'Justice Spend Total'!$B:$AY, 24,FALSE)),VLOOKUP($A27,'Justice Spend Total'!$B:$AY, 24,FALSE),#N/A)</f>
        <v>0.49973583123590376</v>
      </c>
      <c r="H27" s="15">
        <f>IF(ISNUMBER(VLOOKUP($A27,'Justice Spend Total'!$B:$AY, 25,FALSE)),VLOOKUP($A27,'Justice Spend Total'!$B:$AY, 25,FALSE),#N/A)</f>
        <v>0.97480153299556327</v>
      </c>
      <c r="I27" s="15">
        <f>IF(ISNUMBER(VLOOKUP($A27,'Justice Spend Total'!$B:$AY, 26,FALSE)),VLOOKUP($A27,'Justice Spend Total'!$B:$AY, 26,FALSE),#N/A)</f>
        <v>0.67260091381224452</v>
      </c>
      <c r="J27" s="15">
        <f>IF(ISNUMBER(VLOOKUP($A27,'Justice Spend Total'!$B:$AY, 27,FALSE)),VLOOKUP($A27,'Justice Spend Total'!$B:$AY, 27,FALSE),#N/A)</f>
        <v>1.0644103715971594E-4</v>
      </c>
      <c r="K27" s="15">
        <f>IF(ISNUMBER(VLOOKUP($A27,'Justice Spend Total'!$B:$AY, 28,FALSE)),VLOOKUP($A27,'Justice Spend Total'!$B:$AY, 28,FALSE),#N/A)</f>
        <v>4.03363148545706E-2</v>
      </c>
      <c r="L27" s="4">
        <f t="shared" si="0"/>
        <v>0.56096672864890296</v>
      </c>
      <c r="M27" s="4">
        <f t="shared" si="1"/>
        <v>0.19563632126540878</v>
      </c>
      <c r="N27" s="4">
        <f t="shared" si="2"/>
        <v>0.13498662446048768</v>
      </c>
      <c r="O27" s="4">
        <f t="shared" si="3"/>
        <v>0.10029372781869471</v>
      </c>
      <c r="P27" s="4">
        <f t="shared" si="4"/>
        <v>2.1362023177795186E-5</v>
      </c>
      <c r="Q27" s="4">
        <f t="shared" si="5"/>
        <v>8.0952357833308525E-3</v>
      </c>
      <c r="R27" s="4"/>
    </row>
    <row r="28" spans="1:18">
      <c r="A28" t="s">
        <v>66</v>
      </c>
      <c r="B28" s="15">
        <f>IF(ISNUMBER(VLOOKUP($A28,'Justice Spend Total'!$B:$AY, 10,FALSE)),VLOOKUP($A28,'Justice Spend Total'!$B:$AY, 10,FALSE),#N/A)</f>
        <v>328.59800000000001</v>
      </c>
      <c r="C28" s="15">
        <f>IF(ISNUMBER(VLOOKUP($A28,'Justice Spend Total'!$B:$AY, 11,FALSE)),VLOOKUP($A28,'Justice Spend Total'!$B:$AY, 11,FALSE),#N/A)</f>
        <v>41.069872952586884</v>
      </c>
      <c r="D28">
        <f>IF(ISNUMBER(VLOOKUP($A28,'Justice Spend Total'!$B:$AY, 12,FALSE)),VLOOKUP($A28,'Justice Spend Total'!$B:$AY, 12,FALSE),#N/A)</f>
        <v>2020</v>
      </c>
      <c r="E28" s="15">
        <f>IF(ISNUMBER(VLOOKUP($A28,'Justice Spend Total'!$B:$AY, 22,FALSE)),VLOOKUP($A28,'Justice Spend Total'!$B:$AY, 22,FALSE),#N/A)</f>
        <v>4.8244359369198815</v>
      </c>
      <c r="F28" s="15">
        <f>IF(ISNUMBER(VLOOKUP($A28,'Justice Spend Total'!$B:$AY, 23,FALSE)),VLOOKUP($A28,'Justice Spend Total'!$B:$AY, 23,FALSE),#N/A)</f>
        <v>2.1953876773443532</v>
      </c>
      <c r="G28" s="15">
        <f>IF(ISNUMBER(VLOOKUP($A28,'Justice Spend Total'!$B:$AY, 24,FALSE)),VLOOKUP($A28,'Justice Spend Total'!$B:$AY, 24,FALSE),#N/A)</f>
        <v>0.50913273970018047</v>
      </c>
      <c r="H28" s="15">
        <f>IF(ISNUMBER(VLOOKUP($A28,'Justice Spend Total'!$B:$AY, 25,FALSE)),VLOOKUP($A28,'Justice Spend Total'!$B:$AY, 25,FALSE),#N/A)</f>
        <v>0.70785579948751853</v>
      </c>
      <c r="I28" s="15">
        <f>IF(ISNUMBER(VLOOKUP($A28,'Justice Spend Total'!$B:$AY, 26,FALSE)),VLOOKUP($A28,'Justice Spend Total'!$B:$AY, 26,FALSE),#N/A)</f>
        <v>0.8767551841459772</v>
      </c>
      <c r="J28" s="15">
        <f>IF(ISNUMBER(VLOOKUP($A28,'Justice Spend Total'!$B:$AY, 27,FALSE)),VLOOKUP($A28,'Justice Spend Total'!$B:$AY, 27,FALSE),#N/A)</f>
        <v>5.3560885945745151E-2</v>
      </c>
      <c r="K28" s="15">
        <f>IF(ISNUMBER(VLOOKUP($A28,'Justice Spend Total'!$B:$AY, 28,FALSE)),VLOOKUP($A28,'Justice Spend Total'!$B:$AY, 28,FALSE),#N/A)</f>
        <v>0.48174365029610561</v>
      </c>
      <c r="L28" s="4">
        <f t="shared" si="0"/>
        <v>0.45505582539582423</v>
      </c>
      <c r="M28" s="4">
        <f t="shared" si="1"/>
        <v>0.14672301772535148</v>
      </c>
      <c r="N28" s="4">
        <f t="shared" si="2"/>
        <v>0.18173216425913075</v>
      </c>
      <c r="O28" s="4">
        <f t="shared" si="3"/>
        <v>0.10553207594777013</v>
      </c>
      <c r="P28" s="4">
        <f t="shared" si="4"/>
        <v>1.1101999621522723E-2</v>
      </c>
      <c r="Q28" s="4">
        <f t="shared" si="5"/>
        <v>9.9854917050400421E-2</v>
      </c>
      <c r="R28" s="4"/>
    </row>
    <row r="29" spans="1:18">
      <c r="A29" t="s">
        <v>74</v>
      </c>
      <c r="B29" s="15">
        <f>IF(ISNUMBER(VLOOKUP($A29,'Justice Spend Total'!$B:$AY, 10,FALSE)),VLOOKUP($A29,'Justice Spend Total'!$B:$AY, 10,FALSE),#N/A)</f>
        <v>709.49699999999996</v>
      </c>
      <c r="C29" s="15">
        <f>IF(ISNUMBER(VLOOKUP($A29,'Justice Spend Total'!$B:$AY, 11,FALSE)),VLOOKUP($A29,'Justice Spend Total'!$B:$AY, 11,FALSE),#N/A)</f>
        <v>36.089820542036293</v>
      </c>
      <c r="D29">
        <f>IF(ISNUMBER(VLOOKUP($A29,'Justice Spend Total'!$B:$AY, 12,FALSE)),VLOOKUP($A29,'Justice Spend Total'!$B:$AY, 12,FALSE),#N/A)</f>
        <v>2020</v>
      </c>
      <c r="E29" s="15">
        <f>IF(ISNUMBER(VLOOKUP($A29,'Justice Spend Total'!$B:$AY, 22,FALSE)),VLOOKUP($A29,'Justice Spend Total'!$B:$AY, 22,FALSE),#N/A)</f>
        <v>5.5920195991271333</v>
      </c>
      <c r="F29" s="15">
        <f>IF(ISNUMBER(VLOOKUP($A29,'Justice Spend Total'!$B:$AY, 23,FALSE)),VLOOKUP($A29,'Justice Spend Total'!$B:$AY, 23,FALSE),#N/A)</f>
        <v>1.8677125912320978</v>
      </c>
      <c r="G29" s="15">
        <f>IF(ISNUMBER(VLOOKUP($A29,'Justice Spend Total'!$B:$AY, 24,FALSE)),VLOOKUP($A29,'Justice Spend Total'!$B:$AY, 24,FALSE),#N/A)</f>
        <v>0.75941354398978167</v>
      </c>
      <c r="H29" s="15">
        <f>IF(ISNUMBER(VLOOKUP($A29,'Justice Spend Total'!$B:$AY, 25,FALSE)),VLOOKUP($A29,'Justice Spend Total'!$B:$AY, 25,FALSE),#N/A)</f>
        <v>1.1253281500634362</v>
      </c>
      <c r="I29" s="15">
        <f>IF(ISNUMBER(VLOOKUP($A29,'Justice Spend Total'!$B:$AY, 26,FALSE)),VLOOKUP($A29,'Justice Spend Total'!$B:$AY, 26,FALSE),#N/A)</f>
        <v>0.9619332048128556</v>
      </c>
      <c r="J29" s="15">
        <f>IF(ISNUMBER(VLOOKUP($A29,'Justice Spend Total'!$B:$AY, 27,FALSE)),VLOOKUP($A29,'Justice Spend Total'!$B:$AY, 27,FALSE),#N/A)</f>
        <v>4.5035643824449566E-3</v>
      </c>
      <c r="K29" s="15">
        <f>IF(ISNUMBER(VLOOKUP($A29,'Justice Spend Total'!$B:$AY, 28,FALSE)),VLOOKUP($A29,'Justice Spend Total'!$B:$AY, 28,FALSE),#N/A)</f>
        <v>0.87312854464651912</v>
      </c>
      <c r="L29" s="4">
        <f t="shared" si="0"/>
        <v>0.33399607389137759</v>
      </c>
      <c r="M29" s="4">
        <f t="shared" si="1"/>
        <v>0.20123823425781454</v>
      </c>
      <c r="N29" s="4">
        <f t="shared" si="2"/>
        <v>0.17201892585694892</v>
      </c>
      <c r="O29" s="4">
        <f t="shared" si="3"/>
        <v>0.13580309055217182</v>
      </c>
      <c r="P29" s="4">
        <f t="shared" si="4"/>
        <v>8.0535561483867564E-4</v>
      </c>
      <c r="Q29" s="4">
        <f t="shared" si="5"/>
        <v>0.15613831982684878</v>
      </c>
      <c r="R29" s="4"/>
    </row>
    <row r="30" spans="1:18">
      <c r="A30" t="s">
        <v>77</v>
      </c>
      <c r="B30" s="15">
        <f>IF(ISNUMBER(VLOOKUP($A30,'Justice Spend Total'!$B:$AY, 10,FALSE)),VLOOKUP($A30,'Justice Spend Total'!$B:$AY, 10,FALSE),#N/A)</f>
        <v>6436.15</v>
      </c>
      <c r="C30" s="15">
        <f>IF(ISNUMBER(VLOOKUP($A30,'Justice Spend Total'!$B:$AY, 11,FALSE)),VLOOKUP($A30,'Justice Spend Total'!$B:$AY, 11,FALSE),#N/A)</f>
        <v>30.804187855219862</v>
      </c>
      <c r="D30">
        <f>IF(ISNUMBER(VLOOKUP($A30,'Justice Spend Total'!$B:$AY, 12,FALSE)),VLOOKUP($A30,'Justice Spend Total'!$B:$AY, 12,FALSE),#N/A)</f>
        <v>2020</v>
      </c>
      <c r="E30" s="15">
        <f>'COFOG_OECD DAC_HIST'!X133</f>
        <v>6.3624993202457985</v>
      </c>
      <c r="F30" s="15">
        <f>'COFOG_OECD DAC_HIST'!AU133</f>
        <v>2.9645051777848557</v>
      </c>
      <c r="G30" s="15">
        <f>'COFOG_OECD DAC_HIST'!BQ133</f>
        <v>0.99438328814586363</v>
      </c>
      <c r="H30" s="15">
        <f>'COFOG_OECD DAC_HIST'!CM133</f>
        <v>0.98039977315631244</v>
      </c>
      <c r="I30" s="15">
        <f>'COFOG_OECD DAC_HIST'!DI133</f>
        <v>1.4232110811587673</v>
      </c>
      <c r="J30" s="15">
        <v>0</v>
      </c>
      <c r="K30" s="15">
        <f>E30-(SUM(F30:I30))</f>
        <v>0</v>
      </c>
      <c r="L30" s="4">
        <f t="shared" si="0"/>
        <v>0.46593406593406594</v>
      </c>
      <c r="M30" s="4">
        <f t="shared" si="1"/>
        <v>0.15409035409035413</v>
      </c>
      <c r="N30" s="4">
        <f t="shared" si="2"/>
        <v>0.2236874236874237</v>
      </c>
      <c r="O30" s="4">
        <f t="shared" si="3"/>
        <v>0.15628815628815632</v>
      </c>
      <c r="P30" s="4">
        <f t="shared" si="4"/>
        <v>0</v>
      </c>
      <c r="Q30" s="4">
        <f t="shared" si="5"/>
        <v>0</v>
      </c>
      <c r="R30" s="4"/>
    </row>
    <row r="31" spans="1:18">
      <c r="A31" t="s">
        <v>73</v>
      </c>
      <c r="B31" s="15">
        <f>IF(ISNUMBER(VLOOKUP($A31,'Justice Spend Total'!$B:$AY, 10,FALSE)),VLOOKUP($A31,'Justice Spend Total'!$B:$AY, 10,FALSE),#N/A)</f>
        <v>441148</v>
      </c>
      <c r="C31" s="15">
        <f>IF(ISNUMBER(VLOOKUP($A31,'Justice Spend Total'!$B:$AY, 11,FALSE)),VLOOKUP($A31,'Justice Spend Total'!$B:$AY, 11,FALSE),#N/A)</f>
        <v>22.92275699948766</v>
      </c>
      <c r="D31">
        <f>IF(ISNUMBER(VLOOKUP($A31,'Justice Spend Total'!$B:$AY, 12,FALSE)),VLOOKUP($A31,'Justice Spend Total'!$B:$AY, 12,FALSE),#N/A)</f>
        <v>2019</v>
      </c>
      <c r="E31" s="15">
        <f>'COFOG_OECD DAC_HIST'!W120</f>
        <v>5.5826616010953236</v>
      </c>
      <c r="F31" s="15" t="e">
        <f>IF(ISNUMBER(VLOOKUP($A31,'Justice Spend Total'!$B:$AY, 23,FALSE)),VLOOKUP($A31,'Justice Spend Total'!$B:$AY, 23,FALSE),#N/A)</f>
        <v>#N/A</v>
      </c>
      <c r="G31" s="15" t="e">
        <f>IF(ISNUMBER(VLOOKUP($A31,'Justice Spend Total'!$B:$AY, 24,FALSE)),VLOOKUP($A31,'Justice Spend Total'!$B:$AY, 24,FALSE),#N/A)</f>
        <v>#N/A</v>
      </c>
      <c r="H31" s="15" t="e">
        <f>IF(ISNUMBER(VLOOKUP($A31,'Justice Spend Total'!$B:$AY, 25,FALSE)),VLOOKUP($A31,'Justice Spend Total'!$B:$AY, 25,FALSE),#N/A)</f>
        <v>#N/A</v>
      </c>
      <c r="I31" s="15" t="e">
        <f>IF(ISNUMBER(VLOOKUP($A31,'Justice Spend Total'!$B:$AY, 26,FALSE)),VLOOKUP($A31,'Justice Spend Total'!$B:$AY, 26,FALSE),#N/A)</f>
        <v>#N/A</v>
      </c>
      <c r="J31" s="15" t="e">
        <f>IF(ISNUMBER(VLOOKUP($A31,'Justice Spend Total'!$B:$AY, 27,FALSE)),VLOOKUP($A31,'Justice Spend Total'!$B:$AY, 27,FALSE),#N/A)</f>
        <v>#N/A</v>
      </c>
      <c r="K31" s="15" t="e">
        <f>IF(ISNUMBER(VLOOKUP($A31,'Justice Spend Total'!$B:$AY, 28,FALSE)),VLOOKUP($A31,'Justice Spend Total'!$B:$AY, 28,FALSE),#N/A)</f>
        <v>#N/A</v>
      </c>
      <c r="L31" s="4" t="e">
        <f t="shared" si="0"/>
        <v>#N/A</v>
      </c>
      <c r="M31" s="4" t="e">
        <f t="shared" si="1"/>
        <v>#N/A</v>
      </c>
      <c r="N31" s="4" t="e">
        <f t="shared" si="2"/>
        <v>#N/A</v>
      </c>
      <c r="O31" s="4" t="e">
        <f t="shared" si="3"/>
        <v>#N/A</v>
      </c>
      <c r="P31" s="4" t="e">
        <f t="shared" si="4"/>
        <v>#N/A</v>
      </c>
      <c r="Q31" s="4" t="e">
        <f t="shared" si="5"/>
        <v>#N/A</v>
      </c>
      <c r="R31" s="4"/>
    </row>
    <row r="32" spans="1:18">
      <c r="A32" t="s">
        <v>71</v>
      </c>
      <c r="B32" s="15">
        <f>IF(ISNUMBER(VLOOKUP($A32,'Justice Spend Total'!$B:$AY, 10,FALSE)),VLOOKUP($A32,'Justice Spend Total'!$B:$AY, 10,FALSE),#N/A)</f>
        <v>122.033</v>
      </c>
      <c r="C32" s="15">
        <f>IF(ISNUMBER(VLOOKUP($A32,'Justice Spend Total'!$B:$AY, 11,FALSE)),VLOOKUP($A32,'Justice Spend Total'!$B:$AY, 11,FALSE),#N/A)</f>
        <v>37.648238415499478</v>
      </c>
      <c r="D32">
        <f>IF(ISNUMBER(VLOOKUP($A32,'Justice Spend Total'!$B:$AY, 12,FALSE)),VLOOKUP($A32,'Justice Spend Total'!$B:$AY, 12,FALSE),#N/A)</f>
        <v>2020</v>
      </c>
      <c r="E32" s="15">
        <f>IF(ISNUMBER(VLOOKUP($A32,'Justice Spend Total'!$B:$AY, 22,FALSE)),VLOOKUP($A32,'Justice Spend Total'!$B:$AY, 22,FALSE),#N/A)</f>
        <v>5.1822363589645422</v>
      </c>
      <c r="F32" s="15" t="e">
        <f>IF(ISNUMBER(VLOOKUP($A32,'Justice Spend Total'!$B:$AY, 23,FALSE)),VLOOKUP($A32,'Justice Spend Total'!$B:$AY, 23,FALSE),#N/A)</f>
        <v>#N/A</v>
      </c>
      <c r="G32" s="15" t="e">
        <f>IF(ISNUMBER(VLOOKUP($A32,'Justice Spend Total'!$B:$AY, 24,FALSE)),VLOOKUP($A32,'Justice Spend Total'!$B:$AY, 24,FALSE),#N/A)</f>
        <v>#N/A</v>
      </c>
      <c r="H32" s="15" t="e">
        <f>IF(ISNUMBER(VLOOKUP($A32,'Justice Spend Total'!$B:$AY, 25,FALSE)),VLOOKUP($A32,'Justice Spend Total'!$B:$AY, 25,FALSE),#N/A)</f>
        <v>#N/A</v>
      </c>
      <c r="I32" s="15" t="e">
        <f>IF(ISNUMBER(VLOOKUP($A32,'Justice Spend Total'!$B:$AY, 26,FALSE)),VLOOKUP($A32,'Justice Spend Total'!$B:$AY, 26,FALSE),#N/A)</f>
        <v>#N/A</v>
      </c>
      <c r="J32" s="15" t="e">
        <f>IF(ISNUMBER(VLOOKUP($A32,'Justice Spend Total'!$B:$AY, 27,FALSE)),VLOOKUP($A32,'Justice Spend Total'!$B:$AY, 27,FALSE),#N/A)</f>
        <v>#N/A</v>
      </c>
      <c r="K32" s="15" t="e">
        <f>IF(ISNUMBER(VLOOKUP($A32,'Justice Spend Total'!$B:$AY, 28,FALSE)),VLOOKUP($A32,'Justice Spend Total'!$B:$AY, 28,FALSE),#N/A)</f>
        <v>#N/A</v>
      </c>
      <c r="L32" s="4" t="e">
        <f t="shared" si="0"/>
        <v>#N/A</v>
      </c>
      <c r="M32" s="4" t="e">
        <f t="shared" si="1"/>
        <v>#N/A</v>
      </c>
      <c r="N32" s="4" t="e">
        <f t="shared" si="2"/>
        <v>#N/A</v>
      </c>
      <c r="O32" s="4" t="e">
        <f t="shared" si="3"/>
        <v>#N/A</v>
      </c>
      <c r="P32" s="4" t="e">
        <f t="shared" si="4"/>
        <v>#N/A</v>
      </c>
      <c r="Q32" s="4" t="e">
        <f t="shared" si="5"/>
        <v>#N/A</v>
      </c>
      <c r="R32" s="4"/>
    </row>
    <row r="33" spans="1:18">
      <c r="A33" t="s">
        <v>87</v>
      </c>
      <c r="C33" s="15" cm="1">
        <f t="array" ref="C33">AVERAGE(IF(ISNUMBER(C4:C32),(C4:C32)))</f>
        <v>42.059762632173161</v>
      </c>
      <c r="L33" s="11" cm="1">
        <f t="array" ref="L33">AVERAGE(IF(ISNUMBER(L4:L32),(L4:L32)))</f>
        <v>0.51412839697961432</v>
      </c>
      <c r="M33" s="11" cm="1">
        <f t="array" ref="M33">AVERAGE(IF(ISNUMBER(M4:M32),(M4:M32)))</f>
        <v>0.17697402663506082</v>
      </c>
      <c r="N33" s="11" cm="1">
        <f t="array" ref="N33">AVERAGE(IF(ISNUMBER(N4:N32),(N4:N32)))</f>
        <v>0.10608395073248957</v>
      </c>
      <c r="O33" s="11" cm="1">
        <f t="array" ref="O33">AVERAGE(IF(ISNUMBER(O4:O32),(O4:O32)))</f>
        <v>0.13000983310823605</v>
      </c>
      <c r="P33" s="11" cm="1">
        <f t="array" ref="P33">AVERAGE(IF(ISNUMBER(P4:P32),(P4:P32)))</f>
        <v>3.158245942294267E-3</v>
      </c>
      <c r="Q33" s="11" cm="1">
        <f t="array" ref="Q33">AVERAGE(IF(ISNUMBER(Q4:Q32),(Q4:Q32)))</f>
        <v>6.9761484715184882E-2</v>
      </c>
      <c r="R33" s="11"/>
    </row>
  </sheetData>
  <sortState xmlns:xlrd2="http://schemas.microsoft.com/office/spreadsheetml/2017/richdata2" ref="A4:Q32">
    <sortCondition ref="I4:I32"/>
  </sortState>
  <pageMargins left="0.7" right="0.7" top="0.75" bottom="0.75" header="0.3" footer="0.3"/>
  <pageSetup paperSize="9" orientation="portrait" horizontalDpi="4294967292"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B51CF-62CD-2242-8343-2769314B2872}">
  <dimension ref="A1:J141"/>
  <sheetViews>
    <sheetView topLeftCell="I13" workbookViewId="0">
      <selection activeCell="L7" sqref="L7"/>
    </sheetView>
  </sheetViews>
  <sheetFormatPr defaultColWidth="10.85546875" defaultRowHeight="14.45"/>
  <cols>
    <col min="1" max="1" width="13" bestFit="1" customWidth="1"/>
    <col min="5" max="5" width="13.85546875" customWidth="1"/>
  </cols>
  <sheetData>
    <row r="1" spans="1:10" ht="58.5" thickBot="1">
      <c r="A1" s="130" t="s">
        <v>641</v>
      </c>
      <c r="B1" s="130" t="s">
        <v>642</v>
      </c>
      <c r="C1" s="130" t="s">
        <v>475</v>
      </c>
      <c r="D1" s="130" t="s">
        <v>643</v>
      </c>
      <c r="E1" s="135" t="s">
        <v>644</v>
      </c>
      <c r="F1" s="130" t="s">
        <v>23</v>
      </c>
      <c r="G1" s="135" t="s">
        <v>644</v>
      </c>
      <c r="H1" s="130" t="s">
        <v>645</v>
      </c>
      <c r="I1" s="135" t="s">
        <v>644</v>
      </c>
      <c r="J1" s="130" t="s">
        <v>646</v>
      </c>
    </row>
    <row r="2" spans="1:10" ht="44.1" thickBot="1">
      <c r="A2" s="131" t="s">
        <v>95</v>
      </c>
      <c r="B2" s="134" t="s">
        <v>308</v>
      </c>
      <c r="C2" s="155" t="s">
        <v>496</v>
      </c>
      <c r="D2" s="155" t="s">
        <v>647</v>
      </c>
      <c r="E2" s="133">
        <v>0.39592811055441374</v>
      </c>
      <c r="F2" s="17">
        <f>VLOOKUP(B2,'Justice Spend Total'!$C$3:$AU$221,7,FALSE)</f>
        <v>480</v>
      </c>
      <c r="G2" s="133">
        <v>0.39592811055441374</v>
      </c>
      <c r="H2" s="5">
        <f>(VLOOKUP(B2,'Justice Spend Total'!$C$4:$AZ$221,38,FALSE))/100</f>
        <v>0.14806539728742407</v>
      </c>
      <c r="I2" s="133">
        <v>0.39592811055441374</v>
      </c>
      <c r="J2" s="5">
        <f>(VLOOKUP(B2,'Justice Spend Total'!$C$4:$AZ$221,39,FALSE))/100</f>
        <v>4.15500697272786E-2</v>
      </c>
    </row>
    <row r="3" spans="1:10" ht="15" thickBot="1">
      <c r="A3" s="131" t="s">
        <v>96</v>
      </c>
      <c r="B3" s="132" t="s">
        <v>309</v>
      </c>
      <c r="C3" s="155" t="s">
        <v>483</v>
      </c>
      <c r="D3" s="155" t="s">
        <v>647</v>
      </c>
      <c r="E3" s="133">
        <v>0.33064326393729665</v>
      </c>
      <c r="F3" s="17">
        <f>VLOOKUP(B3,'Justice Spend Total'!$C$3:$AU$221,7,FALSE)</f>
        <v>500</v>
      </c>
      <c r="G3" s="133">
        <v>0.33064326393729665</v>
      </c>
      <c r="H3" s="5">
        <f>(VLOOKUP(B3,'Justice Spend Total'!$C$4:$AZ$221,38,FALSE))/100</f>
        <v>0.3423120573287271</v>
      </c>
      <c r="I3" s="133">
        <v>0.33064326393729665</v>
      </c>
      <c r="J3" s="5">
        <f>(VLOOKUP(B3,'Justice Spend Total'!$C$4:$AZ$221,39,FALSE))/100</f>
        <v>8.7954391717026598E-2</v>
      </c>
    </row>
    <row r="4" spans="1:10" ht="44.1" thickBot="1">
      <c r="A4" s="131" t="s">
        <v>97</v>
      </c>
      <c r="B4" s="134" t="s">
        <v>310</v>
      </c>
      <c r="C4" s="155" t="s">
        <v>496</v>
      </c>
      <c r="D4" s="155" t="s">
        <v>647</v>
      </c>
      <c r="E4" s="133">
        <v>0.43570993758663012</v>
      </c>
      <c r="F4" s="17">
        <f>VLOOKUP(B4,'Justice Spend Total'!$C$3:$AU$221,7,FALSE)</f>
        <v>500</v>
      </c>
      <c r="G4" s="133">
        <v>0.43570993758663012</v>
      </c>
      <c r="H4" s="5">
        <f>(VLOOKUP(B4,'Justice Spend Total'!$C$4:$AZ$221,38,FALSE))/100</f>
        <v>0.11773836910501456</v>
      </c>
      <c r="I4" s="133">
        <v>0.43570993758663012</v>
      </c>
      <c r="J4" s="5">
        <f>(VLOOKUP(B4,'Justice Spend Total'!$C$4:$AZ$221,39,FALSE))/100</f>
        <v>1.4592298034384816E-2</v>
      </c>
    </row>
    <row r="5" spans="1:10" ht="44.1" thickBot="1">
      <c r="A5" s="131" t="s">
        <v>98</v>
      </c>
      <c r="B5" s="134" t="s">
        <v>311</v>
      </c>
      <c r="C5" s="155" t="s">
        <v>496</v>
      </c>
      <c r="D5" s="155" t="s">
        <v>647</v>
      </c>
      <c r="E5" s="133">
        <v>0.44874598604768634</v>
      </c>
      <c r="F5" s="17">
        <f>VLOOKUP(B5,'Justice Spend Total'!$C$3:$AU$221,7,FALSE)</f>
        <v>510</v>
      </c>
      <c r="G5" s="133">
        <v>0.44874598604768634</v>
      </c>
      <c r="H5" s="5">
        <f>(VLOOKUP(B5,'Justice Spend Total'!$C$4:$AZ$221,38,FALSE))/100</f>
        <v>8.5446280214440229E-2</v>
      </c>
      <c r="I5" s="133">
        <v>0.44874598604768634</v>
      </c>
      <c r="J5" s="5">
        <f>(VLOOKUP(B5,'Justice Spend Total'!$C$4:$AZ$221,39,FALSE))/100</f>
        <v>1.706066417330632E-2</v>
      </c>
    </row>
    <row r="6" spans="1:10" ht="44.1" thickBot="1">
      <c r="A6" s="131" t="s">
        <v>100</v>
      </c>
      <c r="B6" s="134" t="s">
        <v>313</v>
      </c>
      <c r="C6" s="155" t="s">
        <v>496</v>
      </c>
      <c r="D6" s="155" t="s">
        <v>647</v>
      </c>
      <c r="E6" s="133">
        <v>0.34204308135640688</v>
      </c>
      <c r="F6" s="17">
        <f>VLOOKUP(B6,'Justice Spend Total'!$C$3:$AU$221,7,FALSE)</f>
        <v>580</v>
      </c>
      <c r="G6" s="133">
        <v>0.34204308135640688</v>
      </c>
      <c r="H6" s="5">
        <f>(VLOOKUP(B6,'Justice Spend Total'!$C$4:$AZ$221,38,FALSE))/100</f>
        <v>9.9122587063871753E-2</v>
      </c>
      <c r="I6" s="133">
        <v>0.34204308135640688</v>
      </c>
      <c r="J6" s="5">
        <f>(VLOOKUP(B6,'Justice Spend Total'!$C$4:$AZ$221,39,FALSE))/100</f>
        <v>8.8731598655593397E-3</v>
      </c>
    </row>
    <row r="7" spans="1:10" ht="44.1" thickBot="1">
      <c r="A7" s="131" t="s">
        <v>101</v>
      </c>
      <c r="B7" s="134" t="s">
        <v>314</v>
      </c>
      <c r="C7" s="155" t="s">
        <v>496</v>
      </c>
      <c r="D7" s="155" t="s">
        <v>647</v>
      </c>
      <c r="E7" s="133">
        <v>0.44273859773093643</v>
      </c>
      <c r="F7" s="17">
        <f>VLOOKUP(B7,'Justice Spend Total'!$C$3:$AU$221,7,FALSE)</f>
        <v>590</v>
      </c>
      <c r="G7" s="133">
        <v>0.44273859773093643</v>
      </c>
      <c r="H7" s="5" t="e">
        <f>(VLOOKUP(B7,'Justice Spend Total'!$C$4:$AZ$221,38,FALSE))/100</f>
        <v>#VALUE!</v>
      </c>
      <c r="I7" s="133">
        <v>0.44273859773093643</v>
      </c>
      <c r="J7" s="5" t="e">
        <f>(VLOOKUP(B7,'Justice Spend Total'!$C$4:$AZ$221,39,FALSE))/100</f>
        <v>#VALUE!</v>
      </c>
    </row>
    <row r="8" spans="1:10" ht="44.1" thickBot="1">
      <c r="A8" s="131" t="s">
        <v>103</v>
      </c>
      <c r="B8" s="134" t="s">
        <v>316</v>
      </c>
      <c r="C8" s="155" t="s">
        <v>496</v>
      </c>
      <c r="D8" s="155" t="s">
        <v>647</v>
      </c>
      <c r="E8" s="133">
        <v>0.43381401218229437</v>
      </c>
      <c r="F8" s="17">
        <f>VLOOKUP(B8,'Justice Spend Total'!$C$3:$AU$221,7,FALSE)</f>
        <v>620</v>
      </c>
      <c r="G8" s="133">
        <v>0.43381401218229437</v>
      </c>
      <c r="H8" s="5">
        <f>(VLOOKUP(B8,'Justice Spend Total'!$C$4:$AZ$221,38,FALSE))/100</f>
        <v>9.4417222105263168E-2</v>
      </c>
      <c r="I8" s="133">
        <v>0.43381401218229437</v>
      </c>
      <c r="J8" s="5">
        <f>(VLOOKUP(B8,'Justice Spend Total'!$C$4:$AZ$221,39,FALSE))/100</f>
        <v>2.953452782351005E-2</v>
      </c>
    </row>
    <row r="9" spans="1:10" ht="44.1" thickBot="1">
      <c r="A9" s="131" t="s">
        <v>104</v>
      </c>
      <c r="B9" s="134" t="s">
        <v>317</v>
      </c>
      <c r="C9" s="155" t="s">
        <v>496</v>
      </c>
      <c r="D9" s="155" t="s">
        <v>647</v>
      </c>
      <c r="E9" s="133">
        <v>0.52451345717521813</v>
      </c>
      <c r="F9" s="17">
        <f>VLOOKUP(B9,'Justice Spend Total'!$C$3:$AU$221,7,FALSE)</f>
        <v>630</v>
      </c>
      <c r="G9" s="133">
        <v>0.52451345717521813</v>
      </c>
      <c r="H9" s="5">
        <f>(VLOOKUP(B9,'Justice Spend Total'!$C$4:$AZ$221,38,FALSE))/100</f>
        <v>5.9198582358868865E-2</v>
      </c>
      <c r="I9" s="133">
        <v>0.52451345717521813</v>
      </c>
      <c r="J9" s="5">
        <f>(VLOOKUP(B9,'Justice Spend Total'!$C$4:$AZ$221,39,FALSE))/100</f>
        <v>8.7487245997510382E-3</v>
      </c>
    </row>
    <row r="10" spans="1:10" ht="44.1" thickBot="1">
      <c r="A10" s="131" t="s">
        <v>106</v>
      </c>
      <c r="B10" s="134" t="s">
        <v>319</v>
      </c>
      <c r="C10" s="155" t="s">
        <v>496</v>
      </c>
      <c r="D10" s="155" t="s">
        <v>647</v>
      </c>
      <c r="E10" s="133">
        <v>0.39105023802049999</v>
      </c>
      <c r="F10" s="17">
        <f>VLOOKUP(B10,'Justice Spend Total'!$C$3:$AU$221,7,FALSE)</f>
        <v>670</v>
      </c>
      <c r="G10" s="133">
        <v>0.39105023802049999</v>
      </c>
      <c r="H10" s="5">
        <f>(VLOOKUP(B10,'Justice Spend Total'!$C$4:$AZ$221,38,FALSE))/100</f>
        <v>7.3551871389098203E-2</v>
      </c>
      <c r="I10" s="133">
        <v>0.39105023802049999</v>
      </c>
      <c r="J10" s="5">
        <f>(VLOOKUP(B10,'Justice Spend Total'!$C$4:$AZ$221,39,FALSE))/100</f>
        <v>5.7703658085971176E-3</v>
      </c>
    </row>
    <row r="11" spans="1:10" ht="44.1" thickBot="1">
      <c r="A11" s="131" t="s">
        <v>648</v>
      </c>
      <c r="B11" s="134" t="s">
        <v>322</v>
      </c>
      <c r="C11" s="155" t="s">
        <v>496</v>
      </c>
      <c r="D11" s="155" t="s">
        <v>647</v>
      </c>
      <c r="E11" s="133">
        <v>0.48740342674777687</v>
      </c>
      <c r="F11" s="17">
        <f>VLOOKUP(B11,'Justice Spend Total'!$C$3:$AU$221,7,FALSE)</f>
        <v>800</v>
      </c>
      <c r="G11" s="133">
        <v>0.48740342674777687</v>
      </c>
      <c r="H11" s="5">
        <f>(VLOOKUP(B11,'Justice Spend Total'!$C$4:$AZ$221,38,FALSE))/100</f>
        <v>5.5622493705119833E-2</v>
      </c>
      <c r="I11" s="133">
        <v>0.48740342674777687</v>
      </c>
      <c r="J11" s="5">
        <f>(VLOOKUP(B11,'Justice Spend Total'!$C$4:$AZ$221,39,FALSE))/100</f>
        <v>1.2654000784987643E-2</v>
      </c>
    </row>
    <row r="12" spans="1:10" ht="44.1" thickBot="1">
      <c r="A12" s="131" t="s">
        <v>110</v>
      </c>
      <c r="B12" s="134" t="s">
        <v>323</v>
      </c>
      <c r="C12" s="155" t="s">
        <v>496</v>
      </c>
      <c r="D12" s="155" t="s">
        <v>647</v>
      </c>
      <c r="E12" s="133">
        <v>0.39053380337926152</v>
      </c>
      <c r="F12" s="17">
        <f>VLOOKUP(B12,'Justice Spend Total'!$C$3:$AU$221,7,FALSE)</f>
        <v>840</v>
      </c>
      <c r="G12" s="133">
        <v>0.39053380337926152</v>
      </c>
      <c r="H12" s="5">
        <f>(VLOOKUP(B12,'Justice Spend Total'!$C$4:$AZ$221,38,FALSE))/100</f>
        <v>9.285994212904207E-2</v>
      </c>
      <c r="I12" s="133">
        <v>0.39053380337926152</v>
      </c>
      <c r="J12" s="5">
        <f>(VLOOKUP(B12,'Justice Spend Total'!$C$4:$AZ$221,39,FALSE))/100</f>
        <v>1.2948228265639818E-2</v>
      </c>
    </row>
    <row r="13" spans="1:10" ht="44.1" thickBot="1">
      <c r="A13" s="131" t="s">
        <v>111</v>
      </c>
      <c r="B13" s="134" t="s">
        <v>324</v>
      </c>
      <c r="C13" s="155" t="s">
        <v>496</v>
      </c>
      <c r="D13" s="155" t="s">
        <v>647</v>
      </c>
      <c r="E13" s="133">
        <v>0.6286870956943249</v>
      </c>
      <c r="F13" s="17">
        <f>VLOOKUP(B13,'Justice Spend Total'!$C$3:$AU$221,7,FALSE)</f>
        <v>850</v>
      </c>
      <c r="G13" s="133">
        <v>0.6286870956943249</v>
      </c>
      <c r="H13" s="5">
        <f>(VLOOKUP(B13,'Justice Spend Total'!$C$4:$AZ$221,38,FALSE))/100</f>
        <v>6.7482845078752962E-2</v>
      </c>
      <c r="I13" s="133">
        <v>0.6286870956943249</v>
      </c>
      <c r="J13" s="5">
        <f>(VLOOKUP(B13,'Justice Spend Total'!$C$4:$AZ$221,39,FALSE))/100</f>
        <v>1.5592413039506174E-2</v>
      </c>
    </row>
    <row r="14" spans="1:10" ht="44.1" thickBot="1">
      <c r="A14" s="131" t="s">
        <v>112</v>
      </c>
      <c r="B14" s="134" t="s">
        <v>325</v>
      </c>
      <c r="C14" s="155" t="s">
        <v>496</v>
      </c>
      <c r="D14" s="155" t="s">
        <v>647</v>
      </c>
      <c r="E14" s="133">
        <v>0.49164622423078619</v>
      </c>
      <c r="F14" s="17">
        <f>VLOOKUP(B14,'Justice Spend Total'!$C$3:$AU$221,7,FALSE)</f>
        <v>860</v>
      </c>
      <c r="G14" s="133">
        <v>0.49164622423078619</v>
      </c>
      <c r="H14" s="5">
        <f>(VLOOKUP(B14,'Justice Spend Total'!$C$4:$AZ$221,38,FALSE))/100</f>
        <v>1.7010389421096062E-2</v>
      </c>
      <c r="I14" s="133">
        <v>0.49164622423078619</v>
      </c>
      <c r="J14" s="5">
        <f>(VLOOKUP(B14,'Justice Spend Total'!$C$4:$AZ$221,39,FALSE))/100</f>
        <v>3.3640426455035098E-3</v>
      </c>
    </row>
    <row r="15" spans="1:10" ht="44.1" thickBot="1">
      <c r="A15" s="131" t="s">
        <v>113</v>
      </c>
      <c r="B15" s="134" t="s">
        <v>326</v>
      </c>
      <c r="C15" s="155" t="s">
        <v>496</v>
      </c>
      <c r="D15" s="155" t="s">
        <v>647</v>
      </c>
      <c r="E15" s="133">
        <v>0.42400321418278591</v>
      </c>
      <c r="F15" s="17">
        <f>VLOOKUP(B15,'Justice Spend Total'!$C$3:$AU$221,7,FALSE)</f>
        <v>870</v>
      </c>
      <c r="G15" s="133">
        <v>0.42400321418278591</v>
      </c>
      <c r="H15" s="5">
        <f>(VLOOKUP(B15,'Justice Spend Total'!$C$4:$AZ$221,38,FALSE))/100</f>
        <v>7.7393825058666529E-2</v>
      </c>
      <c r="I15" s="133">
        <v>0.42400321418278591</v>
      </c>
      <c r="J15" s="5">
        <f>(VLOOKUP(B15,'Justice Spend Total'!$C$4:$AZ$221,39,FALSE))/100</f>
        <v>1.6612805094856943E-2</v>
      </c>
    </row>
    <row r="16" spans="1:10" ht="44.1" thickBot="1">
      <c r="A16" s="131" t="s">
        <v>115</v>
      </c>
      <c r="B16" s="134" t="s">
        <v>328</v>
      </c>
      <c r="C16" s="155" t="s">
        <v>496</v>
      </c>
      <c r="D16" s="155" t="s">
        <v>647</v>
      </c>
      <c r="E16" s="133">
        <v>0.39285608677771916</v>
      </c>
      <c r="F16" s="17">
        <f>VLOOKUP(B16,'Justice Spend Total'!$C$3:$AU$221,7,FALSE)</f>
        <v>960</v>
      </c>
      <c r="G16" s="133">
        <v>0.39285608677771916</v>
      </c>
      <c r="H16" s="5">
        <f>(VLOOKUP(B16,'Justice Spend Total'!$C$4:$AZ$221,38,FALSE))/100</f>
        <v>2.1822794133400377E-2</v>
      </c>
      <c r="I16" s="133">
        <v>0.39285608677771916</v>
      </c>
      <c r="J16" s="5">
        <f>(VLOOKUP(B16,'Justice Spend Total'!$C$4:$AZ$221,39,FALSE))/100</f>
        <v>2.4072184800158101E-3</v>
      </c>
    </row>
    <row r="17" spans="1:10" ht="44.1" thickBot="1">
      <c r="A17" s="131" t="s">
        <v>116</v>
      </c>
      <c r="B17" s="134" t="s">
        <v>329</v>
      </c>
      <c r="C17" s="155" t="s">
        <v>496</v>
      </c>
      <c r="D17" s="155" t="s">
        <v>647</v>
      </c>
      <c r="E17" s="133">
        <v>0.45878699607846302</v>
      </c>
      <c r="F17" s="17">
        <f>VLOOKUP(B17,'Justice Spend Total'!$C$3:$AU$221,7,FALSE)</f>
        <v>980</v>
      </c>
      <c r="G17" s="133">
        <v>0.45878699607846302</v>
      </c>
      <c r="H17" s="5">
        <f>(VLOOKUP(B17,'Justice Spend Total'!$C$4:$AZ$221,38,FALSE))/100</f>
        <v>3.7638283356616099E-2</v>
      </c>
      <c r="I17" s="133">
        <v>0.45878699607846302</v>
      </c>
      <c r="J17" s="5">
        <f>(VLOOKUP(B17,'Justice Spend Total'!$C$4:$AZ$221,39,FALSE))/100</f>
        <v>6.1117955892977969E-3</v>
      </c>
    </row>
    <row r="18" spans="1:10" ht="44.1" thickBot="1">
      <c r="A18" s="131" t="s">
        <v>117</v>
      </c>
      <c r="B18" s="134" t="s">
        <v>330</v>
      </c>
      <c r="C18" s="155" t="s">
        <v>496</v>
      </c>
      <c r="D18" s="155" t="s">
        <v>647</v>
      </c>
      <c r="E18" s="133">
        <v>0.40989861294948604</v>
      </c>
      <c r="F18" s="17">
        <f>VLOOKUP(B18,'Justice Spend Total'!$C$3:$AU$221,7,FALSE)</f>
        <v>1010</v>
      </c>
      <c r="G18" s="133">
        <v>0.40989861294948604</v>
      </c>
      <c r="H18" s="5">
        <f>(VLOOKUP(B18,'Justice Spend Total'!$C$4:$AZ$221,38,FALSE))/100</f>
        <v>3.1633198566082626E-2</v>
      </c>
      <c r="I18" s="133">
        <v>0.40989861294948604</v>
      </c>
      <c r="J18" s="5">
        <f>(VLOOKUP(B18,'Justice Spend Total'!$C$4:$AZ$221,39,FALSE))/100</f>
        <v>3.9809932387072731E-3</v>
      </c>
    </row>
    <row r="19" spans="1:10" ht="44.1" thickBot="1">
      <c r="A19" s="131" t="s">
        <v>118</v>
      </c>
      <c r="B19" s="134" t="s">
        <v>331</v>
      </c>
      <c r="C19" s="155" t="s">
        <v>496</v>
      </c>
      <c r="D19" s="155" t="s">
        <v>649</v>
      </c>
      <c r="E19" s="133">
        <v>0.44988086690298446</v>
      </c>
      <c r="F19" s="17">
        <f>VLOOKUP(B19,'Justice Spend Total'!$C$3:$AU$221,7,FALSE)</f>
        <v>1040</v>
      </c>
      <c r="G19" s="133">
        <v>0.44988086690298446</v>
      </c>
      <c r="H19" s="5">
        <f>(VLOOKUP(B19,'Justice Spend Total'!$C$4:$AZ$221,38,FALSE))/100</f>
        <v>2.8744483824346863E-2</v>
      </c>
      <c r="I19" s="133">
        <v>0.44988086690298446</v>
      </c>
      <c r="J19" s="5">
        <f>(VLOOKUP(B19,'Justice Spend Total'!$C$4:$AZ$221,39,FALSE))/100</f>
        <v>6.8459345042809318E-3</v>
      </c>
    </row>
    <row r="20" spans="1:10" ht="29.45" thickBot="1">
      <c r="A20" s="131" t="s">
        <v>120</v>
      </c>
      <c r="B20" s="134" t="s">
        <v>333</v>
      </c>
      <c r="C20" s="155" t="s">
        <v>493</v>
      </c>
      <c r="D20" s="155" t="s">
        <v>649</v>
      </c>
      <c r="E20" s="133">
        <v>0.36216918097650935</v>
      </c>
      <c r="F20" s="17">
        <f>VLOOKUP(B20,'Justice Spend Total'!$C$3:$AU$221,7,FALSE)</f>
        <v>1140</v>
      </c>
      <c r="G20" s="133">
        <v>0.36216918097650935</v>
      </c>
      <c r="H20" s="5">
        <f>(VLOOKUP(B20,'Justice Spend Total'!$C$4:$AZ$221,38,FALSE))/100</f>
        <v>3.5156234228405928E-2</v>
      </c>
      <c r="I20" s="133">
        <v>0.36216918097650935</v>
      </c>
      <c r="J20" s="5">
        <f>(VLOOKUP(B20,'Justice Spend Total'!$C$4:$AZ$221,39,FALSE))/100</f>
        <v>5.6382341290068605E-3</v>
      </c>
    </row>
    <row r="21" spans="1:10" ht="44.1" thickBot="1">
      <c r="A21" s="131" t="s">
        <v>121</v>
      </c>
      <c r="B21" s="134" t="s">
        <v>335</v>
      </c>
      <c r="C21" s="155" t="s">
        <v>496</v>
      </c>
      <c r="D21" s="155" t="s">
        <v>649</v>
      </c>
      <c r="E21" s="133">
        <v>0.46134454161235328</v>
      </c>
      <c r="F21" s="17">
        <f>VLOOKUP(B21,'Justice Spend Total'!$C$3:$AU$221,7,FALSE)</f>
        <v>1140</v>
      </c>
      <c r="G21" s="133">
        <v>0.46134454161235328</v>
      </c>
      <c r="H21" s="5">
        <f>(VLOOKUP(B21,'Justice Spend Total'!$C$4:$AZ$221,38,FALSE))/100</f>
        <v>5.0542729215615555E-2</v>
      </c>
      <c r="I21" s="133">
        <v>0.46134454161235328</v>
      </c>
      <c r="J21" s="5">
        <f>(VLOOKUP(B21,'Justice Spend Total'!$C$4:$AZ$221,39,FALSE))/100</f>
        <v>7.3897919170120016E-3</v>
      </c>
    </row>
    <row r="22" spans="1:10" ht="44.1" thickBot="1">
      <c r="A22" s="131" t="s">
        <v>123</v>
      </c>
      <c r="B22" s="134" t="s">
        <v>337</v>
      </c>
      <c r="C22" s="155" t="s">
        <v>650</v>
      </c>
      <c r="D22" s="155" t="s">
        <v>649</v>
      </c>
      <c r="E22" s="133">
        <v>0.46017618918109954</v>
      </c>
      <c r="F22" s="17">
        <f>VLOOKUP(B22,'Justice Spend Total'!$C$3:$AU$221,7,FALSE)</f>
        <v>1180</v>
      </c>
      <c r="G22" s="133">
        <v>0.46017618918109954</v>
      </c>
      <c r="H22" s="5">
        <f>(VLOOKUP(B22,'Justice Spend Total'!$C$4:$AZ$221,38,FALSE))/100</f>
        <v>5.0470867520410453E-2</v>
      </c>
      <c r="I22" s="133">
        <v>0.46017618918109954</v>
      </c>
      <c r="J22" s="5">
        <f>(VLOOKUP(B22,'Justice Spend Total'!$C$4:$AZ$221,39,FALSE))/100</f>
        <v>1.7140797818348777E-2</v>
      </c>
    </row>
    <row r="23" spans="1:10" ht="29.45" thickBot="1">
      <c r="A23" s="131" t="s">
        <v>124</v>
      </c>
      <c r="B23" s="134" t="s">
        <v>338</v>
      </c>
      <c r="C23" s="155" t="s">
        <v>483</v>
      </c>
      <c r="D23" s="155" t="s">
        <v>649</v>
      </c>
      <c r="E23" s="133">
        <v>0.52079139228462323</v>
      </c>
      <c r="F23" s="17">
        <f>VLOOKUP(B23,'Justice Spend Total'!$C$3:$AU$221,7,FALSE)</f>
        <v>1230</v>
      </c>
      <c r="G23" s="133">
        <v>0.52079139228462323</v>
      </c>
      <c r="H23" s="5">
        <f>(VLOOKUP(B23,'Justice Spend Total'!$C$4:$AZ$221,38,FALSE))/100</f>
        <v>6.5903818984189302E-2</v>
      </c>
      <c r="I23" s="133">
        <v>0.52079139228462323</v>
      </c>
      <c r="J23" s="5">
        <f>(VLOOKUP(B23,'Justice Spend Total'!$C$4:$AZ$221,39,FALSE))/100</f>
        <v>1.45627625206816E-2</v>
      </c>
    </row>
    <row r="24" spans="1:10" ht="44.1" thickBot="1">
      <c r="A24" s="131" t="s">
        <v>126</v>
      </c>
      <c r="B24" s="134" t="s">
        <v>340</v>
      </c>
      <c r="C24" s="155" t="s">
        <v>496</v>
      </c>
      <c r="D24" s="155" t="s">
        <v>649</v>
      </c>
      <c r="E24" s="133">
        <v>0.48727713251856353</v>
      </c>
      <c r="F24" s="17">
        <f>VLOOKUP(B24,'Justice Spend Total'!$C$3:$AU$221,7,FALSE)</f>
        <v>1370</v>
      </c>
      <c r="G24" s="133">
        <v>0.48727713251856353</v>
      </c>
      <c r="H24" s="5">
        <f>(VLOOKUP(B24,'Justice Spend Total'!$C$4:$AZ$221,38,FALSE))/100</f>
        <v>7.8511923826011687E-2</v>
      </c>
      <c r="I24" s="133">
        <v>0.48727713251856353</v>
      </c>
      <c r="J24" s="5">
        <f>(VLOOKUP(B24,'Justice Spend Total'!$C$4:$AZ$221,39,FALSE))/100</f>
        <v>1.1250782244118051E-2</v>
      </c>
    </row>
    <row r="25" spans="1:10" ht="44.1" thickBot="1">
      <c r="A25" s="131" t="s">
        <v>127</v>
      </c>
      <c r="B25" s="134" t="s">
        <v>341</v>
      </c>
      <c r="C25" s="155" t="s">
        <v>496</v>
      </c>
      <c r="D25" s="155" t="s">
        <v>649</v>
      </c>
      <c r="E25" s="133">
        <v>0.39141420307577152</v>
      </c>
      <c r="F25" s="17">
        <f>VLOOKUP(B25,'Justice Spend Total'!$C$3:$AU$221,7,FALSE)</f>
        <v>1400</v>
      </c>
      <c r="G25" s="133">
        <v>0.39141420307577152</v>
      </c>
      <c r="H25" s="5">
        <f>(VLOOKUP(B25,'Justice Spend Total'!$C$4:$AZ$221,38,FALSE))/100</f>
        <v>9.8152941176470582E-2</v>
      </c>
      <c r="I25" s="133">
        <v>0.39141420307577152</v>
      </c>
      <c r="J25" s="5">
        <f>(VLOOKUP(B25,'Justice Spend Total'!$C$4:$AZ$221,39,FALSE))/100</f>
        <v>1.2030559471990618E-2</v>
      </c>
    </row>
    <row r="26" spans="1:10" ht="44.1" thickBot="1">
      <c r="A26" s="131" t="s">
        <v>128</v>
      </c>
      <c r="B26" s="134" t="s">
        <v>342</v>
      </c>
      <c r="C26" s="155" t="s">
        <v>497</v>
      </c>
      <c r="D26" s="155" t="s">
        <v>649</v>
      </c>
      <c r="E26" s="133">
        <v>0.35244977127370086</v>
      </c>
      <c r="F26" s="17">
        <f>VLOOKUP(B26,'Justice Spend Total'!$C$3:$AU$221,7,FALSE)</f>
        <v>1420</v>
      </c>
      <c r="G26" s="133">
        <v>0.35244977127370086</v>
      </c>
      <c r="H26" s="5">
        <f>(VLOOKUP(B26,'Justice Spend Total'!$C$4:$AZ$221,38,FALSE))/100</f>
        <v>0.17816601534233381</v>
      </c>
      <c r="I26" s="133">
        <v>0.35244977127370086</v>
      </c>
      <c r="J26" s="5">
        <f>(VLOOKUP(B26,'Justice Spend Total'!$C$4:$AZ$221,39,FALSE))/100</f>
        <v>1.4802832912941898E-2</v>
      </c>
    </row>
    <row r="27" spans="1:10" ht="29.45" thickBot="1">
      <c r="A27" s="131" t="s">
        <v>130</v>
      </c>
      <c r="B27" s="134" t="s">
        <v>344</v>
      </c>
      <c r="C27" s="155" t="s">
        <v>483</v>
      </c>
      <c r="D27" s="155" t="s">
        <v>649</v>
      </c>
      <c r="E27" s="133">
        <v>0.38589709321677923</v>
      </c>
      <c r="F27" s="17">
        <f>VLOOKUP(B27,'Justice Spend Total'!$C$3:$AU$221,7,FALSE)</f>
        <v>1500</v>
      </c>
      <c r="G27" s="133">
        <v>0.38589709321677923</v>
      </c>
      <c r="H27" s="5">
        <f>(VLOOKUP(B27,'Justice Spend Total'!$C$4:$AZ$221,38,FALSE))/100</f>
        <v>2.8356336080008888E-2</v>
      </c>
      <c r="I27" s="133">
        <v>0.38589709321677923</v>
      </c>
      <c r="J27" s="5">
        <f>(VLOOKUP(B27,'Justice Spend Total'!$C$4:$AZ$221,39,FALSE))/100</f>
        <v>3.5431258032140641E-3</v>
      </c>
    </row>
    <row r="28" spans="1:10" ht="44.1" thickBot="1">
      <c r="A28" s="131" t="s">
        <v>131</v>
      </c>
      <c r="B28" s="134" t="s">
        <v>345</v>
      </c>
      <c r="C28" s="155" t="s">
        <v>496</v>
      </c>
      <c r="D28" s="155" t="s">
        <v>649</v>
      </c>
      <c r="E28" s="133">
        <v>0.56084044519117404</v>
      </c>
      <c r="F28" s="17">
        <f>VLOOKUP(B28,'Justice Spend Total'!$C$3:$AU$221,7,FALSE)</f>
        <v>1540</v>
      </c>
      <c r="G28" s="133">
        <v>0.56084044519117404</v>
      </c>
      <c r="H28" s="5">
        <f>(VLOOKUP(B28,'Justice Spend Total'!$C$4:$AZ$221,38,FALSE))/100</f>
        <v>5.9663132597866771E-2</v>
      </c>
      <c r="I28" s="133">
        <v>0.56084044519117404</v>
      </c>
      <c r="J28" s="5">
        <f>(VLOOKUP(B28,'Justice Spend Total'!$C$4:$AZ$221,39,FALSE))/100</f>
        <v>1.2027573026593859E-2</v>
      </c>
    </row>
    <row r="29" spans="1:10" ht="29.45" thickBot="1">
      <c r="A29" s="131" t="s">
        <v>132</v>
      </c>
      <c r="B29" s="134" t="s">
        <v>346</v>
      </c>
      <c r="C29" s="155" t="s">
        <v>493</v>
      </c>
      <c r="D29" s="155" t="s">
        <v>649</v>
      </c>
      <c r="E29" s="133">
        <v>0.31169007925336023</v>
      </c>
      <c r="F29" s="17">
        <f>VLOOKUP(B29,'Justice Spend Total'!$C$3:$AU$221,7,FALSE)</f>
        <v>1550</v>
      </c>
      <c r="G29" s="133">
        <v>0.31169007925336023</v>
      </c>
      <c r="H29" s="5">
        <f>(VLOOKUP(B29,'Justice Spend Total'!$C$4:$AZ$221,38,FALSE))/100</f>
        <v>5.9769169855292438E-2</v>
      </c>
      <c r="I29" s="133">
        <v>0.31169007925336023</v>
      </c>
      <c r="J29" s="5">
        <f>(VLOOKUP(B29,'Justice Spend Total'!$C$4:$AZ$221,39,FALSE))/100</f>
        <v>1.6006035592726564E-2</v>
      </c>
    </row>
    <row r="30" spans="1:10" ht="44.1" thickBot="1">
      <c r="A30" s="131" t="s">
        <v>133</v>
      </c>
      <c r="B30" s="134" t="s">
        <v>347</v>
      </c>
      <c r="C30" s="155" t="s">
        <v>496</v>
      </c>
      <c r="D30" s="155" t="s">
        <v>649</v>
      </c>
      <c r="E30" s="133">
        <v>0.35544640938311206</v>
      </c>
      <c r="F30" s="17">
        <f>VLOOKUP(B30,'Justice Spend Total'!$C$3:$AU$221,7,FALSE)</f>
        <v>1590</v>
      </c>
      <c r="G30" s="133">
        <v>0.35544640938311206</v>
      </c>
      <c r="H30" s="5" t="e">
        <f>(VLOOKUP(B30,'Justice Spend Total'!$C$4:$AZ$221,38,FALSE))/100</f>
        <v>#VALUE!</v>
      </c>
      <c r="I30" s="133">
        <v>0.35544640938311206</v>
      </c>
      <c r="J30" s="5" t="e">
        <f>(VLOOKUP(B30,'Justice Spend Total'!$C$4:$AZ$221,39,FALSE))/100</f>
        <v>#VALUE!</v>
      </c>
    </row>
    <row r="31" spans="1:10" ht="44.1" thickBot="1">
      <c r="A31" s="131" t="s">
        <v>134</v>
      </c>
      <c r="B31" s="134" t="s">
        <v>348</v>
      </c>
      <c r="C31" s="155" t="s">
        <v>496</v>
      </c>
      <c r="D31" s="155" t="s">
        <v>649</v>
      </c>
      <c r="E31" s="133">
        <v>0.40570027316098867</v>
      </c>
      <c r="F31" s="17">
        <f>VLOOKUP(B31,'Justice Spend Total'!$C$3:$AU$221,7,FALSE)</f>
        <v>1630</v>
      </c>
      <c r="G31" s="133">
        <v>0.40570027316098867</v>
      </c>
      <c r="H31" s="5">
        <f>(VLOOKUP(B31,'Justice Spend Total'!$C$4:$AZ$221,38,FALSE))/100</f>
        <v>0</v>
      </c>
      <c r="I31" s="133">
        <v>0.40570027316098867</v>
      </c>
      <c r="J31" s="5">
        <f>(VLOOKUP(B31,'Justice Spend Total'!$C$4:$AZ$221,39,FALSE))/100</f>
        <v>0</v>
      </c>
    </row>
    <row r="32" spans="1:10" ht="44.1" thickBot="1">
      <c r="A32" s="131" t="s">
        <v>135</v>
      </c>
      <c r="B32" s="134" t="s">
        <v>349</v>
      </c>
      <c r="C32" s="155" t="s">
        <v>496</v>
      </c>
      <c r="D32" s="155" t="s">
        <v>649</v>
      </c>
      <c r="E32" s="133">
        <v>0.36652338848107258</v>
      </c>
      <c r="F32" s="17">
        <f>VLOOKUP(B32,'Justice Spend Total'!$C$3:$AU$221,7,FALSE)</f>
        <v>1730</v>
      </c>
      <c r="G32" s="133">
        <v>0.36652338848107258</v>
      </c>
      <c r="H32" s="5">
        <f>(VLOOKUP(B32,'Justice Spend Total'!$C$4:$AZ$221,38,FALSE))/100</f>
        <v>5.3690922482514288E-2</v>
      </c>
      <c r="I32" s="133">
        <v>0.36652338848107258</v>
      </c>
      <c r="J32" s="5">
        <f>(VLOOKUP(B32,'Justice Spend Total'!$C$4:$AZ$221,39,FALSE))/100</f>
        <v>1.1942664250362618E-2</v>
      </c>
    </row>
    <row r="33" spans="1:10" ht="44.1" thickBot="1">
      <c r="A33" s="131" t="s">
        <v>136</v>
      </c>
      <c r="B33" s="134" t="s">
        <v>350</v>
      </c>
      <c r="C33" s="155" t="s">
        <v>496</v>
      </c>
      <c r="D33" s="155" t="s">
        <v>649</v>
      </c>
      <c r="E33" s="133">
        <v>0.42649878122283563</v>
      </c>
      <c r="F33" s="17">
        <f>VLOOKUP(B33,'Justice Spend Total'!$C$3:$AU$221,7,FALSE)</f>
        <v>1770</v>
      </c>
      <c r="G33" s="133">
        <v>0.42649878122283563</v>
      </c>
      <c r="H33" s="5">
        <f>(VLOOKUP(B33,'Justice Spend Total'!$C$4:$AZ$221,38,FALSE))/100</f>
        <v>9.4822313304155081E-2</v>
      </c>
      <c r="I33" s="133">
        <v>0.42649878122283563</v>
      </c>
      <c r="J33" s="5">
        <f>(VLOOKUP(B33,'Justice Spend Total'!$C$4:$AZ$221,39,FALSE))/100</f>
        <v>1.98529231681903E-2</v>
      </c>
    </row>
    <row r="34" spans="1:10" ht="44.1" thickBot="1">
      <c r="A34" s="131" t="s">
        <v>138</v>
      </c>
      <c r="B34" s="134" t="s">
        <v>352</v>
      </c>
      <c r="C34" s="155" t="s">
        <v>650</v>
      </c>
      <c r="D34" s="155" t="s">
        <v>649</v>
      </c>
      <c r="E34" s="133">
        <v>0.4960157145109621</v>
      </c>
      <c r="F34" s="17">
        <f>VLOOKUP(B34,'Justice Spend Total'!$C$3:$AU$221,7,FALSE)</f>
        <v>1960</v>
      </c>
      <c r="G34" s="133">
        <v>0.4960157145109621</v>
      </c>
      <c r="H34" s="5">
        <f>(VLOOKUP(B34,'Justice Spend Total'!$C$4:$AZ$221,38,FALSE))/100</f>
        <v>0</v>
      </c>
      <c r="I34" s="133">
        <v>0.4960157145109621</v>
      </c>
      <c r="J34" s="5">
        <f>(VLOOKUP(B34,'Justice Spend Total'!$C$4:$AZ$221,39,FALSE))/100</f>
        <v>0</v>
      </c>
    </row>
    <row r="35" spans="1:10" ht="44.1" thickBot="1">
      <c r="A35" s="131" t="s">
        <v>140</v>
      </c>
      <c r="B35" s="134" t="s">
        <v>354</v>
      </c>
      <c r="C35" s="155" t="s">
        <v>497</v>
      </c>
      <c r="D35" s="155" t="s">
        <v>649</v>
      </c>
      <c r="E35" s="133">
        <v>0.36155580585936148</v>
      </c>
      <c r="F35" s="17">
        <f>VLOOKUP(B35,'Justice Spend Total'!$C$3:$AU$221,7,FALSE)</f>
        <v>2010</v>
      </c>
      <c r="G35" s="133">
        <v>0.36155580585936148</v>
      </c>
      <c r="H35" s="5">
        <f>(VLOOKUP(B35,'Justice Spend Total'!$C$4:$AZ$221,38,FALSE))/100</f>
        <v>7.4880644866092097E-2</v>
      </c>
      <c r="I35" s="133">
        <v>0.36155580585936148</v>
      </c>
      <c r="J35" s="5">
        <f>(VLOOKUP(B35,'Justice Spend Total'!$C$4:$AZ$221,39,FALSE))/100</f>
        <v>2.01066990611901E-2</v>
      </c>
    </row>
    <row r="36" spans="1:10" ht="44.1" thickBot="1">
      <c r="A36" s="131" t="s">
        <v>139</v>
      </c>
      <c r="B36" s="134" t="s">
        <v>353</v>
      </c>
      <c r="C36" s="155" t="s">
        <v>496</v>
      </c>
      <c r="D36" s="155" t="s">
        <v>649</v>
      </c>
      <c r="E36" s="133">
        <v>0.44887327169828972</v>
      </c>
      <c r="F36" s="17">
        <f>VLOOKUP(B36,'Justice Spend Total'!$C$3:$AU$221,7,FALSE)</f>
        <v>2010</v>
      </c>
      <c r="G36" s="133">
        <v>0.44887327169828972</v>
      </c>
      <c r="H36" s="5">
        <f>(VLOOKUP(B36,'Justice Spend Total'!$C$4:$AZ$221,38,FALSE))/100</f>
        <v>9.8828966175336805E-2</v>
      </c>
      <c r="I36" s="133">
        <v>0.44887327169828972</v>
      </c>
      <c r="J36" s="5">
        <f>(VLOOKUP(B36,'Justice Spend Total'!$C$4:$AZ$221,39,FALSE))/100</f>
        <v>1.6414189500922001E-2</v>
      </c>
    </row>
    <row r="37" spans="1:10" ht="44.1" thickBot="1">
      <c r="A37" s="131" t="s">
        <v>141</v>
      </c>
      <c r="B37" s="134" t="s">
        <v>355</v>
      </c>
      <c r="C37" s="155" t="s">
        <v>496</v>
      </c>
      <c r="D37" s="155" t="s">
        <v>649</v>
      </c>
      <c r="E37" s="133">
        <v>0.40770426213737687</v>
      </c>
      <c r="F37" s="17">
        <f>VLOOKUP(B37,'Justice Spend Total'!$C$3:$AU$221,7,FALSE)</f>
        <v>2100</v>
      </c>
      <c r="G37" s="133">
        <v>0.40770426213737687</v>
      </c>
      <c r="H37" s="5">
        <f>(VLOOKUP(B37,'Justice Spend Total'!$C$4:$AZ$221,38,FALSE))/100</f>
        <v>8.5336919981642542E-2</v>
      </c>
      <c r="I37" s="133">
        <v>0.40770426213737687</v>
      </c>
      <c r="J37" s="5">
        <f>(VLOOKUP(B37,'Justice Spend Total'!$C$4:$AZ$221,39,FALSE))/100</f>
        <v>5.3944293308327554E-3</v>
      </c>
    </row>
    <row r="38" spans="1:10" ht="29.45" thickBot="1">
      <c r="A38" s="131" t="s">
        <v>142</v>
      </c>
      <c r="B38" s="134" t="s">
        <v>356</v>
      </c>
      <c r="C38" s="155" t="s">
        <v>483</v>
      </c>
      <c r="D38" s="155" t="s">
        <v>649</v>
      </c>
      <c r="E38" s="133">
        <v>0.49720986505711517</v>
      </c>
      <c r="F38" s="17">
        <f>VLOOKUP(B38,'Justice Spend Total'!$C$3:$AU$221,7,FALSE)</f>
        <v>2170</v>
      </c>
      <c r="G38" s="133">
        <v>0.49720986505711517</v>
      </c>
      <c r="H38" s="5">
        <f>(VLOOKUP(B38,'Justice Spend Total'!$C$4:$AZ$221,38,FALSE))/100</f>
        <v>6.2854468431273403E-2</v>
      </c>
      <c r="I38" s="133">
        <v>0.49720986505711517</v>
      </c>
      <c r="J38" s="5">
        <f>(VLOOKUP(B38,'Justice Spend Total'!$C$4:$AZ$221,39,FALSE))/100</f>
        <v>1.1499483755963744E-2</v>
      </c>
    </row>
    <row r="39" spans="1:10" ht="44.1" thickBot="1">
      <c r="A39" s="131" t="s">
        <v>145</v>
      </c>
      <c r="B39" s="134" t="s">
        <v>359</v>
      </c>
      <c r="C39" s="155" t="s">
        <v>496</v>
      </c>
      <c r="D39" s="155" t="s">
        <v>649</v>
      </c>
      <c r="E39" s="133">
        <v>0.55197597104972529</v>
      </c>
      <c r="F39" s="17">
        <f>VLOOKUP(B39,'Justice Spend Total'!$C$3:$AU$221,7,FALSE)</f>
        <v>2360</v>
      </c>
      <c r="G39" s="133">
        <v>0.55197597104972529</v>
      </c>
      <c r="H39" s="5">
        <f>(VLOOKUP(B39,'Justice Spend Total'!$C$4:$AZ$221,38,FALSE))/100</f>
        <v>0.10977701900144751</v>
      </c>
      <c r="I39" s="133">
        <v>0.55197597104972529</v>
      </c>
      <c r="J39" s="5">
        <f>(VLOOKUP(B39,'Justice Spend Total'!$C$4:$AZ$221,39,FALSE))/100</f>
        <v>1.548291145770885E-2</v>
      </c>
    </row>
    <row r="40" spans="1:10" ht="44.1" thickBot="1">
      <c r="A40" s="131" t="s">
        <v>651</v>
      </c>
      <c r="B40" s="134" t="s">
        <v>360</v>
      </c>
      <c r="C40" s="155" t="s">
        <v>496</v>
      </c>
      <c r="D40" s="155" t="s">
        <v>649</v>
      </c>
      <c r="E40" s="133">
        <v>0.44560572471215865</v>
      </c>
      <c r="F40" s="17">
        <f>VLOOKUP(B40,'Justice Spend Total'!$C$3:$AU$221,7,FALSE)</f>
        <v>2450</v>
      </c>
      <c r="G40" s="133">
        <v>0.44560572471215865</v>
      </c>
      <c r="H40" s="5" t="e">
        <f>(VLOOKUP(B40,'Justice Spend Total'!$C$4:$AZ$221,38,FALSE))/100</f>
        <v>#VALUE!</v>
      </c>
      <c r="I40" s="133">
        <v>0.44560572471215865</v>
      </c>
      <c r="J40" s="5" t="e">
        <f>(VLOOKUP(B40,'Justice Spend Total'!$C$4:$AZ$221,39,FALSE))/100</f>
        <v>#VALUE!</v>
      </c>
    </row>
    <row r="41" spans="1:10" ht="44.1" thickBot="1">
      <c r="A41" s="131" t="s">
        <v>148</v>
      </c>
      <c r="B41" s="134" t="s">
        <v>362</v>
      </c>
      <c r="C41" s="155" t="s">
        <v>497</v>
      </c>
      <c r="D41" s="155" t="s">
        <v>649</v>
      </c>
      <c r="E41" s="133">
        <v>0.40562311721041994</v>
      </c>
      <c r="F41" s="17">
        <f>VLOOKUP(B41,'Justice Spend Total'!$C$3:$AU$221,7,FALSE)</f>
        <v>2540</v>
      </c>
      <c r="G41" s="133">
        <v>0.40562311721041994</v>
      </c>
      <c r="H41" s="5">
        <f>(VLOOKUP(B41,'Justice Spend Total'!$C$4:$AZ$221,38,FALSE))/100</f>
        <v>0.10611992546944285</v>
      </c>
      <c r="I41" s="133">
        <v>0.40562311721041994</v>
      </c>
      <c r="J41" s="5">
        <f>(VLOOKUP(B41,'Justice Spend Total'!$C$4:$AZ$221,39,FALSE))/100</f>
        <v>2.6552909277680999E-2</v>
      </c>
    </row>
    <row r="42" spans="1:10" ht="29.45" thickBot="1">
      <c r="A42" s="131" t="s">
        <v>149</v>
      </c>
      <c r="B42" s="134" t="s">
        <v>363</v>
      </c>
      <c r="C42" s="155" t="s">
        <v>483</v>
      </c>
      <c r="D42" s="155" t="s">
        <v>649</v>
      </c>
      <c r="E42" s="133">
        <v>0.39067526930635516</v>
      </c>
      <c r="F42" s="17">
        <f>VLOOKUP(B42,'Justice Spend Total'!$C$3:$AU$221,7,FALSE)</f>
        <v>2620</v>
      </c>
      <c r="G42" s="133">
        <v>0.39067526930635516</v>
      </c>
      <c r="H42" s="5">
        <f>(VLOOKUP(B42,'Justice Spend Total'!$C$4:$AZ$221,38,FALSE))/100</f>
        <v>9.2123163714881245E-2</v>
      </c>
      <c r="I42" s="133">
        <v>0.39067526930635516</v>
      </c>
      <c r="J42" s="5">
        <f>(VLOOKUP(B42,'Justice Spend Total'!$C$4:$AZ$221,39,FALSE))/100</f>
        <v>8.7091993499270812E-3</v>
      </c>
    </row>
    <row r="43" spans="1:10" ht="44.1" thickBot="1">
      <c r="A43" s="131" t="s">
        <v>156</v>
      </c>
      <c r="B43" s="134" t="s">
        <v>370</v>
      </c>
      <c r="C43" s="155" t="s">
        <v>487</v>
      </c>
      <c r="D43" s="155" t="s">
        <v>649</v>
      </c>
      <c r="E43" s="133">
        <v>0.47941581227372976</v>
      </c>
      <c r="F43" s="17">
        <f>VLOOKUP(B43,'Justice Spend Total'!$C$3:$AU$221,7,FALSE)</f>
        <v>3350</v>
      </c>
      <c r="G43" s="133">
        <v>0.47941581227372976</v>
      </c>
      <c r="H43" s="5">
        <f>(VLOOKUP(B43,'Justice Spend Total'!$C$4:$AZ$221,38,FALSE))/100</f>
        <v>0.14333665437879844</v>
      </c>
      <c r="I43" s="133">
        <v>0.47941581227372976</v>
      </c>
      <c r="J43" s="5">
        <f>(VLOOKUP(B43,'Justice Spend Total'!$C$4:$AZ$221,39,FALSE))/100</f>
        <v>4.0934328878772304E-2</v>
      </c>
    </row>
    <row r="44" spans="1:10" ht="44.1" thickBot="1">
      <c r="A44" s="131" t="s">
        <v>157</v>
      </c>
      <c r="B44" s="134" t="s">
        <v>371</v>
      </c>
      <c r="C44" s="155" t="s">
        <v>497</v>
      </c>
      <c r="D44" s="155" t="s">
        <v>649</v>
      </c>
      <c r="E44" s="133">
        <v>0.37531330448533873</v>
      </c>
      <c r="F44" s="17">
        <f>VLOOKUP(B44,'Justice Spend Total'!$C$3:$AU$221,7,FALSE)</f>
        <v>3360</v>
      </c>
      <c r="G44" s="133">
        <v>0.37531330448533873</v>
      </c>
      <c r="H44" s="5" t="e">
        <f>(VLOOKUP(B44,'Justice Spend Total'!$C$4:$AZ$221,38,FALSE))/100</f>
        <v>#VALUE!</v>
      </c>
      <c r="I44" s="133">
        <v>0.37531330448533873</v>
      </c>
      <c r="J44" s="5" t="e">
        <f>(VLOOKUP(B44,'Justice Spend Total'!$C$4:$AZ$221,39,FALSE))/100</f>
        <v>#VALUE!</v>
      </c>
    </row>
    <row r="45" spans="1:10" ht="44.1" thickBot="1">
      <c r="A45" s="131" t="s">
        <v>158</v>
      </c>
      <c r="B45" s="134" t="s">
        <v>372</v>
      </c>
      <c r="C45" s="155" t="s">
        <v>487</v>
      </c>
      <c r="D45" s="155" t="s">
        <v>649</v>
      </c>
      <c r="E45" s="133">
        <v>0.40627680449168091</v>
      </c>
      <c r="F45" s="17">
        <f>VLOOKUP(B45,'Justice Spend Total'!$C$3:$AU$221,7,FALSE)</f>
        <v>3370</v>
      </c>
      <c r="G45" s="133">
        <v>0.40627680449168091</v>
      </c>
      <c r="H45" s="5" t="e">
        <f>(VLOOKUP(B45,'Justice Spend Total'!$C$4:$AZ$221,38,FALSE))/100</f>
        <v>#VALUE!</v>
      </c>
      <c r="I45" s="133">
        <v>0.40627680449168091</v>
      </c>
      <c r="J45" s="5" t="e">
        <f>(VLOOKUP(B45,'Justice Spend Total'!$C$4:$AZ$221,39,FALSE))/100</f>
        <v>#VALUE!</v>
      </c>
    </row>
    <row r="46" spans="1:10" ht="44.1" thickBot="1">
      <c r="A46" s="131" t="s">
        <v>159</v>
      </c>
      <c r="B46" s="134" t="s">
        <v>373</v>
      </c>
      <c r="C46" s="155" t="s">
        <v>487</v>
      </c>
      <c r="D46" s="155" t="s">
        <v>652</v>
      </c>
      <c r="E46" s="133">
        <v>0.44684708442547377</v>
      </c>
      <c r="F46" s="17">
        <f>VLOOKUP(B46,'Justice Spend Total'!$C$3:$AU$221,7,FALSE)</f>
        <v>3450</v>
      </c>
      <c r="G46" s="133">
        <v>0.44684708442547377</v>
      </c>
      <c r="H46" s="5">
        <f>(VLOOKUP(B46,'Justice Spend Total'!$C$4:$AZ$221,38,FALSE))/100</f>
        <v>0.10510120990502803</v>
      </c>
      <c r="I46" s="133">
        <v>0.44684708442547377</v>
      </c>
      <c r="J46" s="5">
        <f>(VLOOKUP(B46,'Justice Spend Total'!$C$4:$AZ$221,39,FALSE))/100</f>
        <v>1.4468807882683099E-2</v>
      </c>
    </row>
    <row r="47" spans="1:10" ht="44.1" thickBot="1">
      <c r="A47" s="131" t="s">
        <v>160</v>
      </c>
      <c r="B47" s="134" t="s">
        <v>374</v>
      </c>
      <c r="C47" s="155" t="s">
        <v>487</v>
      </c>
      <c r="D47" s="155" t="s">
        <v>649</v>
      </c>
      <c r="E47" s="133">
        <v>0.3526603064355095</v>
      </c>
      <c r="F47" s="17">
        <f>VLOOKUP(B47,'Justice Spend Total'!$C$3:$AU$221,7,FALSE)</f>
        <v>3510</v>
      </c>
      <c r="G47" s="133">
        <v>0.3526603064355095</v>
      </c>
      <c r="H47" s="5">
        <f>(VLOOKUP(B47,'Justice Spend Total'!$C$4:$AZ$221,38,FALSE))/100</f>
        <v>5.529138560212319E-2</v>
      </c>
      <c r="I47" s="133">
        <v>0.3526603064355095</v>
      </c>
      <c r="J47" s="5">
        <f>(VLOOKUP(B47,'Justice Spend Total'!$C$4:$AZ$221,39,FALSE))/100</f>
        <v>1.1039268254218576E-2</v>
      </c>
    </row>
    <row r="48" spans="1:10" ht="29.45" thickBot="1">
      <c r="A48" s="131" t="s">
        <v>161</v>
      </c>
      <c r="B48" s="134" t="s">
        <v>375</v>
      </c>
      <c r="C48" s="155" t="s">
        <v>493</v>
      </c>
      <c r="D48" s="155" t="s">
        <v>649</v>
      </c>
      <c r="E48" s="133">
        <v>0.48919497518810318</v>
      </c>
      <c r="F48" s="17">
        <f>VLOOKUP(B48,'Justice Spend Total'!$C$3:$AU$221,7,FALSE)</f>
        <v>3560</v>
      </c>
      <c r="G48" s="133">
        <v>0.48919497518810318</v>
      </c>
      <c r="H48" s="5" t="e">
        <f>(VLOOKUP(B48,'Justice Spend Total'!$C$4:$AZ$221,38,FALSE))/100</f>
        <v>#VALUE!</v>
      </c>
      <c r="I48" s="133">
        <v>0.48919497518810318</v>
      </c>
      <c r="J48" s="5" t="e">
        <f>(VLOOKUP(B48,'Justice Spend Total'!$C$4:$AZ$221,39,FALSE))/100</f>
        <v>#VALUE!</v>
      </c>
    </row>
    <row r="49" spans="1:10" ht="44.1" thickBot="1">
      <c r="A49" s="131" t="s">
        <v>162</v>
      </c>
      <c r="B49" s="134" t="s">
        <v>376</v>
      </c>
      <c r="C49" s="155" t="s">
        <v>487</v>
      </c>
      <c r="D49" s="155" t="s">
        <v>649</v>
      </c>
      <c r="E49" s="133">
        <v>0.51838096586597326</v>
      </c>
      <c r="F49" s="17">
        <f>VLOOKUP(B49,'Justice Spend Total'!$C$3:$AU$221,7,FALSE)</f>
        <v>3630</v>
      </c>
      <c r="G49" s="133">
        <v>0.51838096586597326</v>
      </c>
      <c r="H49" s="5" t="e">
        <f>(VLOOKUP(B49,'Justice Spend Total'!$C$4:$AZ$221,38,FALSE))/100</f>
        <v>#VALUE!</v>
      </c>
      <c r="I49" s="133">
        <v>0.51838096586597326</v>
      </c>
      <c r="J49" s="5" t="e">
        <f>(VLOOKUP(B49,'Justice Spend Total'!$C$4:$AZ$221,39,FALSE))/100</f>
        <v>#VALUE!</v>
      </c>
    </row>
    <row r="50" spans="1:10" ht="29.45" thickBot="1">
      <c r="A50" s="131" t="s">
        <v>163</v>
      </c>
      <c r="B50" s="134" t="s">
        <v>377</v>
      </c>
      <c r="C50" s="155" t="s">
        <v>493</v>
      </c>
      <c r="D50" s="155" t="s">
        <v>649</v>
      </c>
      <c r="E50" s="133">
        <v>0.46706073519138719</v>
      </c>
      <c r="F50" s="17">
        <f>VLOOKUP(B50,'Justice Spend Total'!$C$3:$AU$221,7,FALSE)</f>
        <v>3640</v>
      </c>
      <c r="G50" s="133">
        <v>0.46706073519138719</v>
      </c>
      <c r="H50" s="5">
        <f>(VLOOKUP(B50,'Justice Spend Total'!$C$4:$AZ$221,38,FALSE))/100</f>
        <v>6.7211417188083267E-2</v>
      </c>
      <c r="I50" s="133">
        <v>0.46706073519138719</v>
      </c>
      <c r="J50" s="5">
        <f>(VLOOKUP(B50,'Justice Spend Total'!$C$4:$AZ$221,39,FALSE))/100</f>
        <v>1.36948669415602E-2</v>
      </c>
    </row>
    <row r="51" spans="1:10" ht="44.1" thickBot="1">
      <c r="A51" s="131" t="s">
        <v>164</v>
      </c>
      <c r="B51" s="134" t="s">
        <v>378</v>
      </c>
      <c r="C51" s="155" t="s">
        <v>487</v>
      </c>
      <c r="D51" s="155" t="s">
        <v>649</v>
      </c>
      <c r="E51" s="133">
        <v>0.48632899718774558</v>
      </c>
      <c r="F51" s="17">
        <f>VLOOKUP(B51,'Justice Spend Total'!$C$3:$AU$221,7,FALSE)</f>
        <v>3660</v>
      </c>
      <c r="G51" s="133">
        <v>0.48632899718774558</v>
      </c>
      <c r="H51" s="5">
        <f>(VLOOKUP(B51,'Justice Spend Total'!$C$4:$AZ$221,38,FALSE))/100</f>
        <v>0</v>
      </c>
      <c r="I51" s="133">
        <v>0.48632899718774558</v>
      </c>
      <c r="J51" s="5">
        <f>(VLOOKUP(B51,'Justice Spend Total'!$C$4:$AZ$221,39,FALSE))/100</f>
        <v>0</v>
      </c>
    </row>
    <row r="52" spans="1:10" ht="29.45" thickBot="1">
      <c r="A52" s="131" t="s">
        <v>166</v>
      </c>
      <c r="B52" s="134" t="s">
        <v>380</v>
      </c>
      <c r="C52" s="155" t="s">
        <v>493</v>
      </c>
      <c r="D52" s="155" t="s">
        <v>649</v>
      </c>
      <c r="E52" s="133">
        <v>0.53675718787644822</v>
      </c>
      <c r="F52" s="17">
        <f>VLOOKUP(B52,'Justice Spend Total'!$C$3:$AU$221,7,FALSE)</f>
        <v>3760</v>
      </c>
      <c r="G52" s="133">
        <v>0.53675718787644822</v>
      </c>
      <c r="H52" s="5">
        <f>(VLOOKUP(B52,'Justice Spend Total'!$C$4:$AZ$221,38,FALSE))/100</f>
        <v>5.741427106532826E-2</v>
      </c>
      <c r="I52" s="133">
        <v>0.53675718787644822</v>
      </c>
      <c r="J52" s="5">
        <f>(VLOOKUP(B52,'Justice Spend Total'!$C$4:$AZ$221,39,FALSE))/100</f>
        <v>1.9017025371427101E-2</v>
      </c>
    </row>
    <row r="53" spans="1:10" ht="29.45" thickBot="1">
      <c r="A53" s="131" t="s">
        <v>167</v>
      </c>
      <c r="B53" s="134" t="s">
        <v>381</v>
      </c>
      <c r="C53" s="155" t="s">
        <v>483</v>
      </c>
      <c r="D53" s="155" t="s">
        <v>649</v>
      </c>
      <c r="E53" s="133">
        <v>0.500822663863703</v>
      </c>
      <c r="F53" s="17">
        <f>VLOOKUP(B53,'Justice Spend Total'!$C$3:$AU$221,7,FALSE)</f>
        <v>3820</v>
      </c>
      <c r="G53" s="133">
        <v>0.500822663863703</v>
      </c>
      <c r="H53" s="5">
        <f>(VLOOKUP(B53,'Justice Spend Total'!$C$4:$AZ$221,38,FALSE))/100</f>
        <v>6.5945076793827107E-2</v>
      </c>
      <c r="I53" s="133">
        <v>0.500822663863703</v>
      </c>
      <c r="J53" s="5">
        <f>(VLOOKUP(B53,'Justice Spend Total'!$C$4:$AZ$221,39,FALSE))/100</f>
        <v>6.0484267612367802E-3</v>
      </c>
    </row>
    <row r="54" spans="1:10" ht="44.1" thickBot="1">
      <c r="A54" s="131" t="s">
        <v>170</v>
      </c>
      <c r="B54" s="134" t="s">
        <v>384</v>
      </c>
      <c r="C54" s="155" t="s">
        <v>650</v>
      </c>
      <c r="D54" s="155" t="s">
        <v>649</v>
      </c>
      <c r="E54" s="133">
        <v>0.49965252609521632</v>
      </c>
      <c r="F54" s="17">
        <f>VLOOKUP(B54,'Justice Spend Total'!$C$3:$AU$221,7,FALSE)</f>
        <v>4120</v>
      </c>
      <c r="G54" s="133">
        <v>0.49965252609521632</v>
      </c>
      <c r="H54" s="5">
        <f>(VLOOKUP(B54,'Justice Spend Total'!$C$4:$AZ$221,38,FALSE))/100</f>
        <v>0.10404548691131006</v>
      </c>
      <c r="I54" s="133">
        <v>0.49965252609521632</v>
      </c>
      <c r="J54" s="5">
        <f>(VLOOKUP(B54,'Justice Spend Total'!$C$4:$AZ$221,39,FALSE))/100</f>
        <v>3.8052188716046098E-2</v>
      </c>
    </row>
    <row r="55" spans="1:10" ht="44.1" thickBot="1">
      <c r="A55" s="131" t="s">
        <v>172</v>
      </c>
      <c r="B55" s="134" t="s">
        <v>386</v>
      </c>
      <c r="C55" s="155" t="s">
        <v>497</v>
      </c>
      <c r="D55" s="155" t="s">
        <v>649</v>
      </c>
      <c r="E55" s="133">
        <v>0.45752250468604477</v>
      </c>
      <c r="F55" s="17">
        <f>VLOOKUP(B55,'Justice Spend Total'!$C$3:$AU$221,7,FALSE)</f>
        <v>4140</v>
      </c>
      <c r="G55" s="133">
        <v>0.45752250468604477</v>
      </c>
      <c r="H55" s="5">
        <f>(VLOOKUP(B55,'Justice Spend Total'!$C$4:$AZ$221,38,FALSE))/100</f>
        <v>0.13553025108417635</v>
      </c>
      <c r="I55" s="133">
        <v>0.45752250468604477</v>
      </c>
      <c r="J55" s="5">
        <f>(VLOOKUP(B55,'Justice Spend Total'!$C$4:$AZ$221,39,FALSE))/100</f>
        <v>3.3240363135747304E-2</v>
      </c>
    </row>
    <row r="56" spans="1:10" ht="29.45" thickBot="1">
      <c r="A56" s="131" t="s">
        <v>171</v>
      </c>
      <c r="B56" s="134" t="s">
        <v>385</v>
      </c>
      <c r="C56" s="155" t="s">
        <v>493</v>
      </c>
      <c r="D56" s="155" t="s">
        <v>649</v>
      </c>
      <c r="E56" s="133">
        <v>0.5313633133991077</v>
      </c>
      <c r="F56" s="17">
        <f>VLOOKUP(B56,'Justice Spend Total'!$C$3:$AU$221,7,FALSE)</f>
        <v>4140</v>
      </c>
      <c r="G56" s="133">
        <v>0.5313633133991077</v>
      </c>
      <c r="H56" s="5">
        <f>(VLOOKUP(B56,'Justice Spend Total'!$C$4:$AZ$221,38,FALSE))/100</f>
        <v>8.2684142285504011E-2</v>
      </c>
      <c r="I56" s="133">
        <v>0.5313633133991077</v>
      </c>
      <c r="J56" s="5">
        <f>(VLOOKUP(B56,'Justice Spend Total'!$C$4:$AZ$221,39,FALSE))/100</f>
        <v>1.1240391713459398E-2</v>
      </c>
    </row>
    <row r="57" spans="1:10" ht="44.1" thickBot="1">
      <c r="A57" s="131" t="s">
        <v>174</v>
      </c>
      <c r="B57" s="134" t="s">
        <v>388</v>
      </c>
      <c r="C57" s="155" t="s">
        <v>497</v>
      </c>
      <c r="D57" s="155" t="s">
        <v>649</v>
      </c>
      <c r="E57" s="133">
        <v>0.48743911655266625</v>
      </c>
      <c r="F57" s="17">
        <f>VLOOKUP(B57,'Justice Spend Total'!$C$3:$AU$221,7,FALSE)</f>
        <v>4290</v>
      </c>
      <c r="G57" s="133">
        <v>0.48743911655266625</v>
      </c>
      <c r="H57" s="5" t="e">
        <f>(VLOOKUP(B57,'Justice Spend Total'!$C$4:$AZ$221,38,FALSE))/100</f>
        <v>#VALUE!</v>
      </c>
      <c r="I57" s="133">
        <v>0.48743911655266625</v>
      </c>
      <c r="J57" s="5" t="e">
        <f>(VLOOKUP(B57,'Justice Spend Total'!$C$4:$AZ$221,39,FALSE))/100</f>
        <v>#VALUE!</v>
      </c>
    </row>
    <row r="58" spans="1:10" ht="44.1" thickBot="1">
      <c r="A58" s="131" t="s">
        <v>175</v>
      </c>
      <c r="B58" s="134" t="s">
        <v>390</v>
      </c>
      <c r="C58" s="155" t="s">
        <v>497</v>
      </c>
      <c r="D58" s="155" t="s">
        <v>652</v>
      </c>
      <c r="E58" s="133">
        <v>0.4958658805202979</v>
      </c>
      <c r="F58" s="17">
        <f>VLOOKUP(B58,'Justice Spend Total'!$C$3:$AU$221,7,FALSE)</f>
        <v>4440</v>
      </c>
      <c r="G58" s="133">
        <v>0.4958658805202979</v>
      </c>
      <c r="H58" s="5" t="e">
        <f>(VLOOKUP(B58,'Justice Spend Total'!$C$4:$AZ$221,38,FALSE))/100</f>
        <v>#VALUE!</v>
      </c>
      <c r="I58" s="133">
        <v>0.4958658805202979</v>
      </c>
      <c r="J58" s="5" t="e">
        <f>(VLOOKUP(B58,'Justice Spend Total'!$C$4:$AZ$221,39,FALSE))/100</f>
        <v>#VALUE!</v>
      </c>
    </row>
    <row r="59" spans="1:10" ht="44.1" thickBot="1">
      <c r="A59" s="131" t="s">
        <v>176</v>
      </c>
      <c r="B59" s="134" t="s">
        <v>391</v>
      </c>
      <c r="C59" s="155" t="s">
        <v>487</v>
      </c>
      <c r="D59" s="155" t="s">
        <v>652</v>
      </c>
      <c r="E59" s="133">
        <v>0.54025209583917788</v>
      </c>
      <c r="F59" s="17">
        <f>VLOOKUP(B59,'Justice Spend Total'!$C$3:$AU$221,7,FALSE)</f>
        <v>4480</v>
      </c>
      <c r="G59" s="133">
        <v>0.54025209583917788</v>
      </c>
      <c r="H59" s="5">
        <f>(VLOOKUP(B59,'Justice Spend Total'!$C$4:$AZ$221,38,FALSE))/100</f>
        <v>0.20352648406310908</v>
      </c>
      <c r="I59" s="133">
        <v>0.54025209583917788</v>
      </c>
      <c r="J59" s="5">
        <f>(VLOOKUP(B59,'Justice Spend Total'!$C$4:$AZ$221,39,FALSE))/100</f>
        <v>4.6110802787416395E-2</v>
      </c>
    </row>
    <row r="60" spans="1:10" ht="44.1" thickBot="1">
      <c r="A60" s="131" t="s">
        <v>177</v>
      </c>
      <c r="B60" s="134" t="s">
        <v>392</v>
      </c>
      <c r="C60" s="155" t="s">
        <v>496</v>
      </c>
      <c r="D60" s="155" t="s">
        <v>652</v>
      </c>
      <c r="E60" s="133">
        <v>0.61206267147688209</v>
      </c>
      <c r="F60" s="17">
        <f>VLOOKUP(B60,'Justice Spend Total'!$C$3:$AU$221,7,FALSE)</f>
        <v>4550</v>
      </c>
      <c r="G60" s="133">
        <v>0.61206267147688209</v>
      </c>
      <c r="H60" s="5">
        <f>(VLOOKUP(B60,'Justice Spend Total'!$C$4:$AZ$221,38,FALSE))/100</f>
        <v>0.21332191660194655</v>
      </c>
      <c r="I60" s="133">
        <v>0.61206267147688209</v>
      </c>
      <c r="J60" s="5">
        <f>(VLOOKUP(B60,'Justice Spend Total'!$C$4:$AZ$221,39,FALSE))/100</f>
        <v>7.0783142089488008E-2</v>
      </c>
    </row>
    <row r="61" spans="1:10" ht="44.1" thickBot="1">
      <c r="A61" s="131" t="s">
        <v>179</v>
      </c>
      <c r="B61" s="134" t="s">
        <v>394</v>
      </c>
      <c r="C61" s="155" t="s">
        <v>650</v>
      </c>
      <c r="D61" s="155" t="s">
        <v>652</v>
      </c>
      <c r="E61" s="133">
        <v>0.60198646153317337</v>
      </c>
      <c r="F61" s="17">
        <f>VLOOKUP(B61,'Justice Spend Total'!$C$3:$AU$221,7,FALSE)</f>
        <v>4740</v>
      </c>
      <c r="G61" s="133">
        <v>0.60198646153317337</v>
      </c>
      <c r="H61" s="5">
        <f>(VLOOKUP(B61,'Justice Spend Total'!$C$4:$AZ$221,38,FALSE))/100</f>
        <v>0.11874177688065121</v>
      </c>
      <c r="I61" s="133">
        <v>0.60198646153317337</v>
      </c>
      <c r="J61" s="5">
        <f>(VLOOKUP(B61,'Justice Spend Total'!$C$4:$AZ$221,39,FALSE))/100</f>
        <v>3.0188152964759799E-2</v>
      </c>
    </row>
    <row r="62" spans="1:10" ht="44.1" thickBot="1">
      <c r="A62" s="131" t="s">
        <v>180</v>
      </c>
      <c r="B62" s="134" t="s">
        <v>395</v>
      </c>
      <c r="C62" s="155" t="s">
        <v>497</v>
      </c>
      <c r="D62" s="155" t="s">
        <v>652</v>
      </c>
      <c r="E62" s="133">
        <v>0.58043448637514494</v>
      </c>
      <c r="F62" s="17">
        <f>VLOOKUP(B62,'Justice Spend Total'!$C$3:$AU$221,7,FALSE)</f>
        <v>4800</v>
      </c>
      <c r="G62" s="133">
        <v>0.58043448637514494</v>
      </c>
      <c r="H62" s="5" t="e">
        <f>(VLOOKUP(B62,'Justice Spend Total'!$C$4:$AZ$221,38,FALSE))/100</f>
        <v>#VALUE!</v>
      </c>
      <c r="I62" s="133">
        <v>0.58043448637514494</v>
      </c>
      <c r="J62" s="5" t="e">
        <f>(VLOOKUP(B62,'Justice Spend Total'!$C$4:$AZ$221,39,FALSE))/100</f>
        <v>#VALUE!</v>
      </c>
    </row>
    <row r="63" spans="1:10" ht="44.1" thickBot="1">
      <c r="A63" s="131" t="s">
        <v>183</v>
      </c>
      <c r="B63" s="134" t="s">
        <v>398</v>
      </c>
      <c r="C63" s="155" t="s">
        <v>497</v>
      </c>
      <c r="D63" s="155" t="s">
        <v>652</v>
      </c>
      <c r="E63" s="133">
        <v>0.43906860469717968</v>
      </c>
      <c r="F63" s="17">
        <f>VLOOKUP(B63,'Justice Spend Total'!$C$3:$AU$221,7,FALSE)</f>
        <v>4940</v>
      </c>
      <c r="G63" s="133">
        <v>0.43906860469717968</v>
      </c>
      <c r="H63" s="5">
        <f>(VLOOKUP(B63,'Justice Spend Total'!$C$4:$AZ$221,38,FALSE))/100</f>
        <v>0.14929194840439303</v>
      </c>
      <c r="I63" s="133">
        <v>0.43906860469717968</v>
      </c>
      <c r="J63" s="5">
        <f>(VLOOKUP(B63,'Justice Spend Total'!$C$4:$AZ$221,39,FALSE))/100</f>
        <v>1.8505146832955698E-2</v>
      </c>
    </row>
    <row r="64" spans="1:10" ht="44.1" thickBot="1">
      <c r="A64" s="131" t="s">
        <v>184</v>
      </c>
      <c r="B64" s="134" t="s">
        <v>399</v>
      </c>
      <c r="C64" s="155" t="s">
        <v>650</v>
      </c>
      <c r="D64" s="155" t="s">
        <v>652</v>
      </c>
      <c r="E64" s="133">
        <v>0.55934098636817053</v>
      </c>
      <c r="F64" s="17">
        <f>VLOOKUP(B64,'Justice Spend Total'!$C$3:$AU$221,7,FALSE)</f>
        <v>4970</v>
      </c>
      <c r="G64" s="133">
        <v>0.55934098636817053</v>
      </c>
      <c r="H64" s="5">
        <f>(VLOOKUP(B64,'Justice Spend Total'!$C$4:$AZ$221,38,FALSE))/100</f>
        <v>9.4105946106878557E-2</v>
      </c>
      <c r="I64" s="133">
        <v>0.55934098636817053</v>
      </c>
      <c r="J64" s="5">
        <f>(VLOOKUP(B64,'Justice Spend Total'!$C$4:$AZ$221,39,FALSE))/100</f>
        <v>2.7035281623476699E-2</v>
      </c>
    </row>
    <row r="65" spans="1:10" ht="44.1" thickBot="1">
      <c r="A65" s="131" t="s">
        <v>188</v>
      </c>
      <c r="B65" s="134" t="s">
        <v>403</v>
      </c>
      <c r="C65" s="155" t="s">
        <v>497</v>
      </c>
      <c r="D65" s="155" t="s">
        <v>652</v>
      </c>
      <c r="E65" s="133">
        <v>0.46843073165710469</v>
      </c>
      <c r="F65" s="17">
        <f>VLOOKUP(B65,'Justice Spend Total'!$C$3:$AU$221,7,FALSE)</f>
        <v>5340</v>
      </c>
      <c r="G65" s="133">
        <v>0.46843073165710469</v>
      </c>
      <c r="H65" s="5" t="e">
        <f>(VLOOKUP(B65,'Justice Spend Total'!$C$4:$AZ$221,38,FALSE))/100</f>
        <v>#VALUE!</v>
      </c>
      <c r="I65" s="133">
        <v>0.46843073165710469</v>
      </c>
      <c r="J65" s="5" t="e">
        <f>(VLOOKUP(B65,'Justice Spend Total'!$C$4:$AZ$221,39,FALSE))/100</f>
        <v>#VALUE!</v>
      </c>
    </row>
    <row r="66" spans="1:10" ht="44.1" thickBot="1">
      <c r="A66" s="131" t="s">
        <v>189</v>
      </c>
      <c r="B66" s="134" t="s">
        <v>404</v>
      </c>
      <c r="C66" s="155" t="s">
        <v>650</v>
      </c>
      <c r="D66" s="155" t="s">
        <v>652</v>
      </c>
      <c r="E66" s="133">
        <v>0.52175817742577146</v>
      </c>
      <c r="F66" s="17">
        <f>VLOOKUP(B66,'Justice Spend Total'!$C$3:$AU$221,7,FALSE)</f>
        <v>5460</v>
      </c>
      <c r="G66" s="133">
        <v>0.52175817742577146</v>
      </c>
      <c r="H66" s="5">
        <f>(VLOOKUP(B66,'Justice Spend Total'!$C$4:$AZ$221,38,FALSE))/100</f>
        <v>7.4861736496858622E-2</v>
      </c>
      <c r="I66" s="133">
        <v>0.52175817742577146</v>
      </c>
      <c r="J66" s="5">
        <f>(VLOOKUP(B66,'Justice Spend Total'!$C$4:$AZ$221,39,FALSE))/100</f>
        <v>2.39477950559242E-2</v>
      </c>
    </row>
    <row r="67" spans="1:10" ht="44.1" thickBot="1">
      <c r="A67" s="131" t="s">
        <v>191</v>
      </c>
      <c r="B67" s="134" t="s">
        <v>406</v>
      </c>
      <c r="C67" s="155" t="s">
        <v>497</v>
      </c>
      <c r="D67" s="155" t="s">
        <v>652</v>
      </c>
      <c r="E67" s="133">
        <v>0.48184314073804174</v>
      </c>
      <c r="F67" s="17">
        <f>VLOOKUP(B67,'Justice Spend Total'!$C$3:$AU$221,7,FALSE)</f>
        <v>5930</v>
      </c>
      <c r="G67" s="133">
        <v>0.48184314073804174</v>
      </c>
      <c r="H67" s="5" t="e">
        <f>(VLOOKUP(B67,'Justice Spend Total'!$C$4:$AZ$221,38,FALSE))/100</f>
        <v>#VALUE!</v>
      </c>
      <c r="I67" s="133">
        <v>0.48184314073804174</v>
      </c>
      <c r="J67" s="5" t="e">
        <f>(VLOOKUP(B67,'Justice Spend Total'!$C$4:$AZ$221,39,FALSE))/100</f>
        <v>#VALUE!</v>
      </c>
    </row>
    <row r="68" spans="1:10" ht="44.1" thickBot="1">
      <c r="A68" s="131" t="s">
        <v>192</v>
      </c>
      <c r="B68" s="134" t="s">
        <v>407</v>
      </c>
      <c r="C68" s="155" t="s">
        <v>650</v>
      </c>
      <c r="D68" s="155" t="s">
        <v>652</v>
      </c>
      <c r="E68" s="133">
        <v>0.487371486399233</v>
      </c>
      <c r="F68" s="17">
        <f>VLOOKUP(B68,'Justice Spend Total'!$C$3:$AU$221,7,FALSE)</f>
        <v>6110</v>
      </c>
      <c r="G68" s="133">
        <v>0.487371486399233</v>
      </c>
      <c r="H68" s="5">
        <f>(VLOOKUP(B68,'Justice Spend Total'!$C$4:$AZ$221,38,FALSE))/100</f>
        <v>7.7628589284695113E-2</v>
      </c>
      <c r="I68" s="133">
        <v>0.487371486399233</v>
      </c>
      <c r="J68" s="5">
        <f>(VLOOKUP(B68,'Justice Spend Total'!$C$4:$AZ$221,39,FALSE))/100</f>
        <v>2.0110020161967401E-2</v>
      </c>
    </row>
    <row r="69" spans="1:10" ht="44.1" thickBot="1">
      <c r="A69" s="131" t="s">
        <v>193</v>
      </c>
      <c r="B69" s="134" t="s">
        <v>408</v>
      </c>
      <c r="C69" s="155" t="s">
        <v>650</v>
      </c>
      <c r="D69" s="155" t="s">
        <v>652</v>
      </c>
      <c r="E69" s="133">
        <v>0.53345230124601695</v>
      </c>
      <c r="F69" s="17">
        <f>VLOOKUP(B69,'Justice Spend Total'!$C$3:$AU$221,7,FALSE)</f>
        <v>6130</v>
      </c>
      <c r="G69" s="133">
        <v>0.53345230124601695</v>
      </c>
      <c r="H69" s="5" t="e">
        <f>(VLOOKUP(B69,'Justice Spend Total'!$C$4:$AZ$221,38,FALSE))/100</f>
        <v>#VALUE!</v>
      </c>
      <c r="I69" s="133">
        <v>0.53345230124601695</v>
      </c>
      <c r="J69" s="5" t="e">
        <f>(VLOOKUP(B69,'Justice Spend Total'!$C$4:$AZ$221,39,FALSE))/100</f>
        <v>#VALUE!</v>
      </c>
    </row>
    <row r="70" spans="1:10" ht="44.1" thickBot="1">
      <c r="A70" s="131" t="s">
        <v>194</v>
      </c>
      <c r="B70" s="134" t="s">
        <v>409</v>
      </c>
      <c r="C70" s="155" t="s">
        <v>497</v>
      </c>
      <c r="D70" s="155" t="s">
        <v>652</v>
      </c>
      <c r="E70" s="133">
        <v>0.48385825165732904</v>
      </c>
      <c r="F70" s="17">
        <f>VLOOKUP(B70,'Justice Spend Total'!$C$3:$AU$221,7,FALSE)</f>
        <v>6160</v>
      </c>
      <c r="G70" s="133">
        <v>0.48385825165732904</v>
      </c>
      <c r="H70" s="5" t="e">
        <f>(VLOOKUP(B70,'Justice Spend Total'!$C$4:$AZ$221,38,FALSE))/100</f>
        <v>#VALUE!</v>
      </c>
      <c r="I70" s="133">
        <v>0.48385825165732904</v>
      </c>
      <c r="J70" s="5" t="e">
        <f>(VLOOKUP(B70,'Justice Spend Total'!$C$4:$AZ$221,39,FALSE))/100</f>
        <v>#VALUE!</v>
      </c>
    </row>
    <row r="71" spans="1:10" ht="44.1" thickBot="1">
      <c r="A71" s="131" t="s">
        <v>195</v>
      </c>
      <c r="B71" s="134" t="s">
        <v>410</v>
      </c>
      <c r="C71" s="155" t="s">
        <v>496</v>
      </c>
      <c r="D71" s="155" t="s">
        <v>652</v>
      </c>
      <c r="E71" s="133">
        <v>0.57650900042914544</v>
      </c>
      <c r="F71" s="17">
        <f>VLOOKUP(B71,'Justice Spend Total'!$C$3:$AU$221,7,FALSE)</f>
        <v>6440</v>
      </c>
      <c r="G71" s="133">
        <v>0.57650900042914544</v>
      </c>
      <c r="H71" s="5">
        <f>(VLOOKUP(B71,'Justice Spend Total'!$C$4:$AZ$221,38,FALSE))/100</f>
        <v>0.13351451455152991</v>
      </c>
      <c r="I71" s="133">
        <v>0.57650900042914544</v>
      </c>
      <c r="J71" s="5">
        <f>(VLOOKUP(B71,'Justice Spend Total'!$C$4:$AZ$221,39,FALSE))/100</f>
        <v>3.5709641361228804E-2</v>
      </c>
    </row>
    <row r="72" spans="1:10" ht="44.1" thickBot="1">
      <c r="A72" s="131" t="s">
        <v>196</v>
      </c>
      <c r="B72" s="134" t="s">
        <v>411</v>
      </c>
      <c r="C72" s="155" t="s">
        <v>497</v>
      </c>
      <c r="D72" s="155" t="s">
        <v>652</v>
      </c>
      <c r="E72" s="133">
        <v>0.48525663888287573</v>
      </c>
      <c r="F72" s="17">
        <f>VLOOKUP(B72,'Justice Spend Total'!$C$3:$AU$221,7,FALSE)</f>
        <v>6520</v>
      </c>
      <c r="G72" s="133">
        <v>0.48525663888287573</v>
      </c>
      <c r="H72" s="5" t="e">
        <f>(VLOOKUP(B72,'Justice Spend Total'!$C$4:$AZ$221,38,FALSE))/100</f>
        <v>#VALUE!</v>
      </c>
      <c r="I72" s="133">
        <v>0.48525663888287573</v>
      </c>
      <c r="J72" s="5" t="e">
        <f>(VLOOKUP(B72,'Justice Spend Total'!$C$4:$AZ$221,39,FALSE))/100</f>
        <v>#VALUE!</v>
      </c>
    </row>
    <row r="73" spans="1:10" ht="44.1" thickBot="1">
      <c r="A73" s="131" t="s">
        <v>198</v>
      </c>
      <c r="B73" s="134" t="s">
        <v>413</v>
      </c>
      <c r="C73" s="155" t="s">
        <v>650</v>
      </c>
      <c r="D73" s="155" t="s">
        <v>652</v>
      </c>
      <c r="E73" s="133">
        <v>0.52037398109697364</v>
      </c>
      <c r="F73" s="17">
        <f>VLOOKUP(B73,'Justice Spend Total'!$C$3:$AU$221,7,FALSE)</f>
        <v>6770</v>
      </c>
      <c r="G73" s="133">
        <v>0.52037398109697364</v>
      </c>
      <c r="H73" s="5" t="e">
        <f>(VLOOKUP(B73,'Justice Spend Total'!$C$4:$AZ$221,38,FALSE))/100</f>
        <v>#VALUE!</v>
      </c>
      <c r="I73" s="133">
        <v>0.52037398109697364</v>
      </c>
      <c r="J73" s="5" t="e">
        <f>(VLOOKUP(B73,'Justice Spend Total'!$C$4:$AZ$221,39,FALSE))/100</f>
        <v>#VALUE!</v>
      </c>
    </row>
    <row r="74" spans="1:10" ht="44.1" thickBot="1">
      <c r="A74" s="131" t="s">
        <v>199</v>
      </c>
      <c r="B74" s="134" t="s">
        <v>414</v>
      </c>
      <c r="C74" s="155" t="s">
        <v>496</v>
      </c>
      <c r="D74" s="155" t="s">
        <v>652</v>
      </c>
      <c r="E74" s="133">
        <v>0.59273560228496436</v>
      </c>
      <c r="F74" s="17">
        <f>VLOOKUP(B74,'Justice Spend Total'!$C$3:$AU$221,7,FALSE)</f>
        <v>6940</v>
      </c>
      <c r="G74" s="133">
        <v>0.59273560228496436</v>
      </c>
      <c r="H74" s="5">
        <f>(VLOOKUP(B74,'Justice Spend Total'!$C$4:$AZ$221,38,FALSE))/100</f>
        <v>9.2846466192784194E-2</v>
      </c>
      <c r="I74" s="133">
        <v>0.59273560228496436</v>
      </c>
      <c r="J74" s="5">
        <f>(VLOOKUP(B74,'Justice Spend Total'!$C$4:$AZ$221,39,FALSE))/100</f>
        <v>2.9385686895816502E-2</v>
      </c>
    </row>
    <row r="75" spans="1:10" ht="44.1" thickBot="1">
      <c r="A75" s="131" t="s">
        <v>200</v>
      </c>
      <c r="B75" s="134" t="s">
        <v>415</v>
      </c>
      <c r="C75" s="155" t="s">
        <v>650</v>
      </c>
      <c r="D75" s="155" t="s">
        <v>652</v>
      </c>
      <c r="E75" s="133">
        <v>0.46071290691703293</v>
      </c>
      <c r="F75" s="17">
        <f>VLOOKUP(B75,'Justice Spend Total'!$C$3:$AU$221,7,FALSE)</f>
        <v>6950</v>
      </c>
      <c r="G75" s="133">
        <v>0.46071290691703293</v>
      </c>
      <c r="H75" s="5">
        <f>(VLOOKUP(B75,'Justice Spend Total'!$C$4:$AZ$221,38,FALSE))/100</f>
        <v>6.7488466916679452E-2</v>
      </c>
      <c r="I75" s="133">
        <v>0.46071290691703293</v>
      </c>
      <c r="J75" s="5">
        <f>(VLOOKUP(B75,'Justice Spend Total'!$C$4:$AZ$221,39,FALSE))/100</f>
        <v>2.3738905174958802E-2</v>
      </c>
    </row>
    <row r="76" spans="1:10" ht="44.1" thickBot="1">
      <c r="A76" s="131" t="s">
        <v>201</v>
      </c>
      <c r="B76" s="134" t="s">
        <v>416</v>
      </c>
      <c r="C76" s="155" t="s">
        <v>496</v>
      </c>
      <c r="D76" s="155" t="s">
        <v>652</v>
      </c>
      <c r="E76" s="133">
        <v>0.39095852997867064</v>
      </c>
      <c r="F76" s="17">
        <f>VLOOKUP(B76,'Justice Spend Total'!$C$3:$AU$221,7,FALSE)</f>
        <v>7100</v>
      </c>
      <c r="G76" s="133">
        <v>0.39095852997867064</v>
      </c>
      <c r="H76" s="5" t="e">
        <f>(VLOOKUP(B76,'Justice Spend Total'!$C$4:$AZ$221,38,FALSE))/100</f>
        <v>#VALUE!</v>
      </c>
      <c r="I76" s="133">
        <v>0.39095852997867064</v>
      </c>
      <c r="J76" s="5" t="e">
        <f>(VLOOKUP(B76,'Justice Spend Total'!$C$4:$AZ$221,39,FALSE))/100</f>
        <v>#VALUE!</v>
      </c>
    </row>
    <row r="77" spans="1:10" ht="29.45" thickBot="1">
      <c r="A77" s="131" t="s">
        <v>203</v>
      </c>
      <c r="B77" s="134" t="s">
        <v>418</v>
      </c>
      <c r="C77" s="155" t="s">
        <v>493</v>
      </c>
      <c r="D77" s="155" t="s">
        <v>652</v>
      </c>
      <c r="E77" s="133">
        <v>0.49527540789685631</v>
      </c>
      <c r="F77" s="17">
        <f>VLOOKUP(B77,'Justice Spend Total'!$C$3:$AU$221,7,FALSE)</f>
        <v>7260</v>
      </c>
      <c r="G77" s="133">
        <v>0.49527540789685631</v>
      </c>
      <c r="H77" s="5">
        <f>(VLOOKUP(B77,'Justice Spend Total'!$C$4:$AZ$221,38,FALSE))/100</f>
        <v>6.3698579925406118E-2</v>
      </c>
      <c r="I77" s="133">
        <v>0.49527540789685631</v>
      </c>
      <c r="J77" s="5">
        <f>(VLOOKUP(B77,'Justice Spend Total'!$C$4:$AZ$221,39,FALSE))/100</f>
        <v>1.33310666552716E-2</v>
      </c>
    </row>
    <row r="78" spans="1:10" ht="44.1" thickBot="1">
      <c r="A78" s="131" t="s">
        <v>204</v>
      </c>
      <c r="B78" s="134" t="s">
        <v>419</v>
      </c>
      <c r="C78" s="155" t="s">
        <v>497</v>
      </c>
      <c r="D78" s="155" t="s">
        <v>652</v>
      </c>
      <c r="E78" s="133">
        <v>0.49426575123650235</v>
      </c>
      <c r="F78" s="17">
        <f>VLOOKUP(B78,'Justice Spend Total'!$C$3:$AU$221,7,FALSE)</f>
        <v>7720</v>
      </c>
      <c r="G78" s="133">
        <v>0.49426575123650235</v>
      </c>
      <c r="H78" s="5">
        <f>(VLOOKUP(B78,'Justice Spend Total'!$C$4:$AZ$221,38,FALSE))/100</f>
        <v>3.6720610239801096E-2</v>
      </c>
      <c r="I78" s="133">
        <v>0.49426575123650235</v>
      </c>
      <c r="J78" s="5">
        <f>(VLOOKUP(B78,'Justice Spend Total'!$C$4:$AZ$221,39,FALSE))/100</f>
        <v>1.08453753557885E-2</v>
      </c>
    </row>
    <row r="79" spans="1:10" ht="44.1" thickBot="1">
      <c r="A79" s="131" t="s">
        <v>205</v>
      </c>
      <c r="B79" s="134" t="s">
        <v>420</v>
      </c>
      <c r="C79" s="155" t="s">
        <v>497</v>
      </c>
      <c r="D79" s="155" t="s">
        <v>652</v>
      </c>
      <c r="E79" s="133">
        <v>0.57722908299473241</v>
      </c>
      <c r="F79" s="17">
        <f>VLOOKUP(B79,'Justice Spend Total'!$C$3:$AU$221,7,FALSE)</f>
        <v>7760</v>
      </c>
      <c r="G79" s="133">
        <v>0.57722908299473241</v>
      </c>
      <c r="H79" s="5" t="e">
        <f>(VLOOKUP(B79,'Justice Spend Total'!$C$4:$AZ$221,38,FALSE))/100</f>
        <v>#VALUE!</v>
      </c>
      <c r="I79" s="133">
        <v>0.57722908299473241</v>
      </c>
      <c r="J79" s="5" t="e">
        <f>(VLOOKUP(B79,'Justice Spend Total'!$C$4:$AZ$221,39,FALSE))/100</f>
        <v>#VALUE!</v>
      </c>
    </row>
    <row r="80" spans="1:10" ht="44.1" thickBot="1">
      <c r="A80" s="131" t="s">
        <v>206</v>
      </c>
      <c r="B80" s="134" t="s">
        <v>421</v>
      </c>
      <c r="C80" s="155" t="s">
        <v>497</v>
      </c>
      <c r="D80" s="155" t="s">
        <v>652</v>
      </c>
      <c r="E80" s="133">
        <v>0.63037907489271217</v>
      </c>
      <c r="F80" s="17">
        <f>VLOOKUP(B80,'Justice Spend Total'!$C$3:$AU$221,7,FALSE)</f>
        <v>8100</v>
      </c>
      <c r="G80" s="133">
        <v>0.63037907489271217</v>
      </c>
      <c r="H80" s="5" t="e">
        <f>(VLOOKUP(B80,'Justice Spend Total'!$C$4:$AZ$221,38,FALSE))/100</f>
        <v>#VALUE!</v>
      </c>
      <c r="I80" s="133">
        <v>0.63037907489271217</v>
      </c>
      <c r="J80" s="5" t="e">
        <f>(VLOOKUP(B80,'Justice Spend Total'!$C$4:$AZ$221,39,FALSE))/100</f>
        <v>#VALUE!</v>
      </c>
    </row>
    <row r="81" spans="1:10" ht="44.1" thickBot="1">
      <c r="A81" s="131" t="s">
        <v>207</v>
      </c>
      <c r="B81" s="134" t="s">
        <v>422</v>
      </c>
      <c r="C81" s="155" t="s">
        <v>497</v>
      </c>
      <c r="D81" s="155" t="s">
        <v>652</v>
      </c>
      <c r="E81" s="133">
        <v>0.48334889432078121</v>
      </c>
      <c r="F81" s="17">
        <f>VLOOKUP(B81,'Justice Spend Total'!$C$3:$AU$221,7,FALSE)</f>
        <v>8220</v>
      </c>
      <c r="G81" s="133">
        <v>0.48334889432078121</v>
      </c>
      <c r="H81" s="5">
        <f>(VLOOKUP(B81,'Justice Spend Total'!$C$4:$AZ$221,38,FALSE))/100</f>
        <v>6.7215292248574476E-2</v>
      </c>
      <c r="I81" s="133">
        <v>0.48334889432078121</v>
      </c>
      <c r="J81" s="5">
        <f>(VLOOKUP(B81,'Justice Spend Total'!$C$4:$AZ$221,39,FALSE))/100</f>
        <v>9.5356170214343713E-3</v>
      </c>
    </row>
    <row r="82" spans="1:10" ht="44.1" thickBot="1">
      <c r="A82" s="131" t="s">
        <v>210</v>
      </c>
      <c r="B82" s="134" t="s">
        <v>425</v>
      </c>
      <c r="C82" s="155" t="s">
        <v>650</v>
      </c>
      <c r="D82" s="155" t="s">
        <v>652</v>
      </c>
      <c r="E82" s="133">
        <v>0.48983764441399291</v>
      </c>
      <c r="F82" s="17">
        <f>VLOOKUP(B82,'Justice Spend Total'!$C$3:$AU$221,7,FALSE)</f>
        <v>8440</v>
      </c>
      <c r="G82" s="133">
        <v>0.48983764441399291</v>
      </c>
      <c r="H82" s="5" t="e">
        <f>(VLOOKUP(B82,'Justice Spend Total'!$C$4:$AZ$221,38,FALSE))/100</f>
        <v>#VALUE!</v>
      </c>
      <c r="I82" s="133">
        <v>0.48983764441399291</v>
      </c>
      <c r="J82" s="5" t="e">
        <f>(VLOOKUP(B82,'Justice Spend Total'!$C$4:$AZ$221,39,FALSE))/100</f>
        <v>#VALUE!</v>
      </c>
    </row>
    <row r="83" spans="1:10" ht="44.1" thickBot="1">
      <c r="A83" s="131" t="s">
        <v>212</v>
      </c>
      <c r="B83" s="134" t="s">
        <v>427</v>
      </c>
      <c r="C83" s="155" t="s">
        <v>650</v>
      </c>
      <c r="D83" s="155" t="s">
        <v>652</v>
      </c>
      <c r="E83" s="133">
        <v>0.52827254011105362</v>
      </c>
      <c r="F83" s="17">
        <f>VLOOKUP(B83,'Justice Spend Total'!$C$3:$AU$221,7,FALSE)</f>
        <v>8720</v>
      </c>
      <c r="G83" s="133">
        <v>0.52827254011105362</v>
      </c>
      <c r="H83" s="5">
        <f>(VLOOKUP(B83,'Justice Spend Total'!$C$4:$AZ$221,38,FALSE))/100</f>
        <v>4.9920464788473902E-2</v>
      </c>
      <c r="I83" s="133">
        <v>0.52827254011105362</v>
      </c>
      <c r="J83" s="5">
        <f>(VLOOKUP(B83,'Justice Spend Total'!$C$4:$AZ$221,39,FALSE))/100</f>
        <v>9.3362043219370212E-3</v>
      </c>
    </row>
    <row r="84" spans="1:10" ht="44.1" thickBot="1">
      <c r="A84" s="131" t="s">
        <v>215</v>
      </c>
      <c r="B84" s="134" t="s">
        <v>430</v>
      </c>
      <c r="C84" s="155" t="s">
        <v>497</v>
      </c>
      <c r="D84" s="155" t="s">
        <v>652</v>
      </c>
      <c r="E84" s="133">
        <v>0.42293661165192037</v>
      </c>
      <c r="F84" s="17">
        <f>VLOOKUP(B84,'Justice Spend Total'!$C$3:$AU$221,7,FALSE)</f>
        <v>9380</v>
      </c>
      <c r="G84" s="133">
        <v>0.42293661165192037</v>
      </c>
      <c r="H84" s="5" t="e">
        <f>(VLOOKUP(B84,'Justice Spend Total'!$C$4:$AZ$221,38,FALSE))/100</f>
        <v>#VALUE!</v>
      </c>
      <c r="I84" s="133">
        <v>0.42293661165192037</v>
      </c>
      <c r="J84" s="5" t="e">
        <f>(VLOOKUP(B84,'Justice Spend Total'!$C$4:$AZ$221,39,FALSE))/100</f>
        <v>#VALUE!</v>
      </c>
    </row>
    <row r="85" spans="1:10" ht="44.1" thickBot="1">
      <c r="A85" s="131" t="s">
        <v>214</v>
      </c>
      <c r="B85" s="134" t="s">
        <v>429</v>
      </c>
      <c r="C85" s="155" t="s">
        <v>497</v>
      </c>
      <c r="D85" s="155" t="s">
        <v>652</v>
      </c>
      <c r="E85" s="133">
        <v>0.50021651786549315</v>
      </c>
      <c r="F85" s="17">
        <f>VLOOKUP(B85,'Justice Spend Total'!$C$3:$AU$221,7,FALSE)</f>
        <v>9380</v>
      </c>
      <c r="G85" s="133">
        <v>0.50021651786549315</v>
      </c>
      <c r="H85" s="5" t="e">
        <f>(VLOOKUP(B85,'Justice Spend Total'!$C$4:$AZ$221,38,FALSE))/100</f>
        <v>#VALUE!</v>
      </c>
      <c r="I85" s="133">
        <v>0.50021651786549315</v>
      </c>
      <c r="J85" s="5" t="e">
        <f>(VLOOKUP(B85,'Justice Spend Total'!$C$4:$AZ$221,39,FALSE))/100</f>
        <v>#VALUE!</v>
      </c>
    </row>
    <row r="86" spans="1:10" ht="44.1" thickBot="1">
      <c r="A86" s="131" t="s">
        <v>216</v>
      </c>
      <c r="B86" s="134" t="s">
        <v>431</v>
      </c>
      <c r="C86" s="155" t="s">
        <v>497</v>
      </c>
      <c r="D86" s="155" t="s">
        <v>652</v>
      </c>
      <c r="E86" s="133">
        <v>0.59408021403127509</v>
      </c>
      <c r="F86" s="17">
        <f>VLOOKUP(B86,'Justice Spend Total'!$C$3:$AU$221,7,FALSE)</f>
        <v>9630</v>
      </c>
      <c r="G86" s="133">
        <v>0.59408021403127509</v>
      </c>
      <c r="H86" s="5" t="e">
        <f>(VLOOKUP(B86,'Justice Spend Total'!$C$4:$AZ$221,38,FALSE))/100</f>
        <v>#VALUE!</v>
      </c>
      <c r="I86" s="133">
        <v>0.59408021403127509</v>
      </c>
      <c r="J86" s="5" t="e">
        <f>(VLOOKUP(B86,'Justice Spend Total'!$C$4:$AZ$221,39,FALSE))/100</f>
        <v>#VALUE!</v>
      </c>
    </row>
    <row r="87" spans="1:10" ht="44.1" thickBot="1">
      <c r="A87" s="131" t="s">
        <v>217</v>
      </c>
      <c r="B87" s="134" t="s">
        <v>432</v>
      </c>
      <c r="C87" s="155" t="s">
        <v>497</v>
      </c>
      <c r="D87" s="155" t="s">
        <v>652</v>
      </c>
      <c r="E87" s="133">
        <v>0.61387657719062894</v>
      </c>
      <c r="F87" s="17">
        <f>VLOOKUP(B87,'Justice Spend Total'!$C$3:$AU$221,7,FALSE)</f>
        <v>9680</v>
      </c>
      <c r="G87" s="133">
        <v>0.61387657719062894</v>
      </c>
      <c r="H87" s="5" t="e">
        <f>(VLOOKUP(B87,'Justice Spend Total'!$C$4:$AZ$221,38,FALSE))/100</f>
        <v>#VALUE!</v>
      </c>
      <c r="I87" s="133">
        <v>0.61387657719062894</v>
      </c>
      <c r="J87" s="5" t="e">
        <f>(VLOOKUP(B87,'Justice Spend Total'!$C$4:$AZ$221,39,FALSE))/100</f>
        <v>#VALUE!</v>
      </c>
    </row>
    <row r="88" spans="1:10" ht="44.1" thickBot="1">
      <c r="A88" s="131" t="s">
        <v>653</v>
      </c>
      <c r="B88" s="134" t="s">
        <v>433</v>
      </c>
      <c r="C88" s="155" t="s">
        <v>650</v>
      </c>
      <c r="D88" s="155" t="s">
        <v>652</v>
      </c>
      <c r="E88" s="133">
        <v>0.41690652831467212</v>
      </c>
      <c r="F88" s="17">
        <f>VLOOKUP(B88,'Justice Spend Total'!$C$3:$AU$221,7,FALSE)</f>
        <v>9830</v>
      </c>
      <c r="G88" s="133">
        <v>0.41690652831467212</v>
      </c>
      <c r="H88" s="5">
        <f>(VLOOKUP(B88,'Justice Spend Total'!$C$4:$AZ$221,38,FALSE))/100</f>
        <v>7.9948456128853734E-2</v>
      </c>
      <c r="I88" s="133">
        <v>0.41690652831467212</v>
      </c>
      <c r="J88" s="5">
        <f>(VLOOKUP(B88,'Justice Spend Total'!$C$4:$AZ$221,39,FALSE))/100</f>
        <v>2.2417793496787301E-2</v>
      </c>
    </row>
    <row r="89" spans="1:10" ht="44.1" thickBot="1">
      <c r="A89" s="131" t="s">
        <v>219</v>
      </c>
      <c r="B89" s="134" t="s">
        <v>434</v>
      </c>
      <c r="C89" s="155" t="s">
        <v>497</v>
      </c>
      <c r="D89" s="155" t="s">
        <v>652</v>
      </c>
      <c r="E89" s="133">
        <v>0.54863303507863292</v>
      </c>
      <c r="F89" s="17">
        <f>VLOOKUP(B89,'Justice Spend Total'!$C$3:$AU$221,7,FALSE)</f>
        <v>10050</v>
      </c>
      <c r="G89" s="133">
        <v>0.54863303507863292</v>
      </c>
      <c r="H89" s="5">
        <f>(VLOOKUP(B89,'Justice Spend Total'!$C$4:$AZ$221,38,FALSE))/100</f>
        <v>2.8755995341126998E-2</v>
      </c>
      <c r="I89" s="133">
        <v>0.54863303507863292</v>
      </c>
      <c r="J89" s="5">
        <f>(VLOOKUP(B89,'Justice Spend Total'!$C$4:$AZ$221,39,FALSE))/100</f>
        <v>9.63594960516693E-3</v>
      </c>
    </row>
    <row r="90" spans="1:10" ht="44.1" thickBot="1">
      <c r="A90" s="131" t="s">
        <v>220</v>
      </c>
      <c r="B90" s="134" t="s">
        <v>435</v>
      </c>
      <c r="C90" s="155" t="s">
        <v>654</v>
      </c>
      <c r="D90" s="155" t="s">
        <v>652</v>
      </c>
      <c r="E90" s="133">
        <v>0.54690553815329424</v>
      </c>
      <c r="F90" s="17">
        <f>VLOOKUP(B90,'Justice Spend Total'!$C$3:$AU$221,7,FALSE)</f>
        <v>10720</v>
      </c>
      <c r="G90" s="133">
        <v>0.54690553815329424</v>
      </c>
      <c r="H90" s="5">
        <f>(VLOOKUP(B90,'Justice Spend Total'!$C$4:$AZ$221,38,FALSE))/100</f>
        <v>7.3808149367373274E-2</v>
      </c>
      <c r="I90" s="133">
        <v>0.54690553815329424</v>
      </c>
      <c r="J90" s="5">
        <f>(VLOOKUP(B90,'Justice Spend Total'!$C$4:$AZ$221,39,FALSE))/100</f>
        <v>2.7659151376182599E-2</v>
      </c>
    </row>
    <row r="91" spans="1:10" ht="44.1" thickBot="1">
      <c r="A91" s="131" t="s">
        <v>221</v>
      </c>
      <c r="B91" s="134" t="s">
        <v>436</v>
      </c>
      <c r="C91" s="155" t="s">
        <v>496</v>
      </c>
      <c r="D91" s="155" t="s">
        <v>652</v>
      </c>
      <c r="E91" s="133">
        <v>0.61207993665308214</v>
      </c>
      <c r="F91" s="17">
        <f>VLOOKUP(B91,'Justice Spend Total'!$C$3:$AU$221,7,FALSE)</f>
        <v>10860</v>
      </c>
      <c r="G91" s="133">
        <v>0.61207993665308214</v>
      </c>
      <c r="H91" s="5">
        <f>(VLOOKUP(B91,'Justice Spend Total'!$C$4:$AZ$221,38,FALSE))/100</f>
        <v>0.10554366064873476</v>
      </c>
      <c r="I91" s="133">
        <v>0.61207993665308214</v>
      </c>
      <c r="J91" s="5">
        <f>(VLOOKUP(B91,'Justice Spend Total'!$C$4:$AZ$221,39,FALSE))/100</f>
        <v>2.6064617827770399E-2</v>
      </c>
    </row>
    <row r="92" spans="1:10" ht="29.45" thickBot="1">
      <c r="A92" s="131" t="s">
        <v>222</v>
      </c>
      <c r="B92" s="134" t="s">
        <v>437</v>
      </c>
      <c r="C92" s="155" t="s">
        <v>493</v>
      </c>
      <c r="D92" s="155" t="s">
        <v>652</v>
      </c>
      <c r="E92" s="133">
        <v>0.56517864785215832</v>
      </c>
      <c r="F92" s="17">
        <f>VLOOKUP(B92,'Justice Spend Total'!$C$3:$AU$221,7,FALSE)</f>
        <v>10930</v>
      </c>
      <c r="G92" s="133">
        <v>0.56517864785215832</v>
      </c>
      <c r="H92" s="5">
        <f>(VLOOKUP(B92,'Justice Spend Total'!$C$4:$AZ$221,38,FALSE))/100</f>
        <v>5.58926607739922E-2</v>
      </c>
      <c r="I92" s="133">
        <v>0.56517864785215832</v>
      </c>
      <c r="J92" s="5">
        <f>(VLOOKUP(B92,'Justice Spend Total'!$C$4:$AZ$221,39,FALSE))/100</f>
        <v>1.15378113982091E-2</v>
      </c>
    </row>
    <row r="93" spans="1:10" ht="44.1" thickBot="1">
      <c r="A93" s="131" t="s">
        <v>223</v>
      </c>
      <c r="B93" s="134" t="s">
        <v>438</v>
      </c>
      <c r="C93" s="155" t="s">
        <v>650</v>
      </c>
      <c r="D93" s="155" t="s">
        <v>652</v>
      </c>
      <c r="E93" s="133">
        <v>0.44582296653705533</v>
      </c>
      <c r="F93" s="17">
        <f>VLOOKUP(B93,'Justice Spend Total'!$C$3:$AU$221,7,FALSE)</f>
        <v>11600</v>
      </c>
      <c r="G93" s="133">
        <v>0.44582296653705533</v>
      </c>
      <c r="H93" s="5">
        <f>(VLOOKUP(B93,'Justice Spend Total'!$C$4:$AZ$221,38,FALSE))/100</f>
        <v>6.3197202475278991E-2</v>
      </c>
      <c r="I93" s="133">
        <v>0.44582296653705533</v>
      </c>
      <c r="J93" s="5">
        <f>(VLOOKUP(B93,'Justice Spend Total'!$C$4:$AZ$221,39,FALSE))/100</f>
        <v>2.3410539309948901E-2</v>
      </c>
    </row>
    <row r="94" spans="1:10" ht="29.45" thickBot="1">
      <c r="A94" s="131" t="s">
        <v>224</v>
      </c>
      <c r="B94" s="134" t="s">
        <v>439</v>
      </c>
      <c r="C94" s="155" t="s">
        <v>493</v>
      </c>
      <c r="D94" s="155" t="s">
        <v>652</v>
      </c>
      <c r="E94" s="133">
        <v>0.47180559340345174</v>
      </c>
      <c r="F94" s="17">
        <f>VLOOKUP(B94,'Justice Spend Total'!$C$3:$AU$221,7,FALSE)</f>
        <v>11890</v>
      </c>
      <c r="G94" s="133">
        <v>0.47180559340345174</v>
      </c>
      <c r="H94" s="5">
        <f>(VLOOKUP(B94,'Justice Spend Total'!$C$4:$AZ$221,38,FALSE))/100</f>
        <v>5.2624841560543534E-2</v>
      </c>
      <c r="I94" s="133">
        <v>0.47180559340345174</v>
      </c>
      <c r="J94" s="5">
        <f>(VLOOKUP(B94,'Justice Spend Total'!$C$4:$AZ$221,39,FALSE))/100</f>
        <v>1.3516487647962901E-2</v>
      </c>
    </row>
    <row r="95" spans="1:10" ht="44.1" thickBot="1">
      <c r="A95" s="131" t="s">
        <v>225</v>
      </c>
      <c r="B95" s="134" t="s">
        <v>440</v>
      </c>
      <c r="C95" s="155" t="s">
        <v>497</v>
      </c>
      <c r="D95" s="155" t="s">
        <v>652</v>
      </c>
      <c r="E95" s="133">
        <v>0.68203073309003259</v>
      </c>
      <c r="F95" s="17">
        <f>VLOOKUP(B95,'Justice Spend Total'!$C$3:$AU$221,7,FALSE)</f>
        <v>12310</v>
      </c>
      <c r="G95" s="133">
        <v>0.68203073309003259</v>
      </c>
      <c r="H95" s="5">
        <f>(VLOOKUP(B95,'Justice Spend Total'!$C$4:$AZ$221,38,FALSE))/100</f>
        <v>0.15191325655425753</v>
      </c>
      <c r="I95" s="133">
        <v>0.68203073309003259</v>
      </c>
      <c r="J95" s="5">
        <f>(VLOOKUP(B95,'Justice Spend Total'!$C$4:$AZ$221,39,FALSE))/100</f>
        <v>2.4082744448982899E-2</v>
      </c>
    </row>
    <row r="96" spans="1:10" ht="44.1" thickBot="1">
      <c r="A96" s="131" t="s">
        <v>226</v>
      </c>
      <c r="B96" s="134" t="s">
        <v>590</v>
      </c>
      <c r="C96" s="155" t="s">
        <v>497</v>
      </c>
      <c r="D96" s="155" t="s">
        <v>652</v>
      </c>
      <c r="E96" s="133">
        <v>0.26138050224502368</v>
      </c>
      <c r="F96" s="17">
        <f>VLOOKUP(B96,'Justice Spend Total'!$C$3:$AU$221,7,FALSE)</f>
        <v>13080</v>
      </c>
      <c r="G96" s="133">
        <v>0.26138050224502368</v>
      </c>
      <c r="H96" s="5" t="e">
        <f>(VLOOKUP(B96,'Justice Spend Total'!$C$4:$AZ$221,38,FALSE))/100</f>
        <v>#VALUE!</v>
      </c>
      <c r="I96" s="133">
        <v>0.26138050224502368</v>
      </c>
      <c r="J96" s="5" t="e">
        <f>(VLOOKUP(B96,'Justice Spend Total'!$C$4:$AZ$221,39,FALSE))/100</f>
        <v>#VALUE!</v>
      </c>
    </row>
    <row r="97" spans="1:10" ht="44.1" thickBot="1">
      <c r="A97" s="131" t="s">
        <v>228</v>
      </c>
      <c r="B97" s="134" t="s">
        <v>547</v>
      </c>
      <c r="C97" s="155" t="s">
        <v>497</v>
      </c>
      <c r="D97" s="155" t="s">
        <v>652</v>
      </c>
      <c r="E97" s="133">
        <v>0.51674775457498956</v>
      </c>
      <c r="F97" s="17">
        <f>VLOOKUP(B97,'Justice Spend Total'!$C$3:$AU$221,7,FALSE)</f>
        <v>14010</v>
      </c>
      <c r="G97" s="133">
        <v>0.51674775457498956</v>
      </c>
      <c r="H97" s="5">
        <f>(VLOOKUP(B97,'Justice Spend Total'!$C$4:$AZ$221,38,FALSE))/100</f>
        <v>0.10798032710971961</v>
      </c>
      <c r="I97" s="133">
        <v>0.51674775457498956</v>
      </c>
      <c r="J97" s="5">
        <f>(VLOOKUP(B97,'Justice Spend Total'!$C$4:$AZ$221,39,FALSE))/100</f>
        <v>1.9633558415594801E-2</v>
      </c>
    </row>
    <row r="98" spans="1:10" ht="44.1" thickBot="1">
      <c r="A98" s="131" t="s">
        <v>229</v>
      </c>
      <c r="B98" s="134" t="s">
        <v>549</v>
      </c>
      <c r="C98" s="155" t="s">
        <v>654</v>
      </c>
      <c r="D98" s="155" t="s">
        <v>652</v>
      </c>
      <c r="E98" s="133">
        <v>0.63331282494856578</v>
      </c>
      <c r="F98" s="17">
        <f>VLOOKUP(B98,'Justice Spend Total'!$C$3:$AU$221,7,FALSE)</f>
        <v>14170</v>
      </c>
      <c r="G98" s="133">
        <v>0.63331282494856578</v>
      </c>
      <c r="H98" s="5">
        <f>(VLOOKUP(B98,'Justice Spend Total'!$C$4:$AZ$221,38,FALSE))/100</f>
        <v>8.8095084468387E-2</v>
      </c>
      <c r="I98" s="133">
        <v>0.63331282494856578</v>
      </c>
      <c r="J98" s="5">
        <f>(VLOOKUP(B98,'Justice Spend Total'!$C$4:$AZ$221,39,FALSE))/100</f>
        <v>2.53983520231372E-2</v>
      </c>
    </row>
    <row r="99" spans="1:10" ht="44.1" thickBot="1">
      <c r="A99" s="131" t="s">
        <v>231</v>
      </c>
      <c r="B99" s="134" t="s">
        <v>565</v>
      </c>
      <c r="C99" s="155" t="s">
        <v>497</v>
      </c>
      <c r="D99" s="155" t="s">
        <v>655</v>
      </c>
      <c r="E99" s="133">
        <v>0.63111846455828502</v>
      </c>
      <c r="F99" s="17">
        <f>VLOOKUP(B99,'Justice Spend Total'!$C$3:$AU$221,7,FALSE)</f>
        <v>14900</v>
      </c>
      <c r="G99" s="133">
        <v>0.63111846455828502</v>
      </c>
      <c r="H99" s="5" t="e">
        <f>(VLOOKUP(B99,'Justice Spend Total'!$C$4:$AZ$221,38,FALSE))/100</f>
        <v>#VALUE!</v>
      </c>
      <c r="I99" s="133">
        <v>0.63111846455828502</v>
      </c>
      <c r="J99" s="5" t="e">
        <f>(VLOOKUP(B99,'Justice Spend Total'!$C$4:$AZ$221,39,FALSE))/100</f>
        <v>#VALUE!</v>
      </c>
    </row>
    <row r="100" spans="1:10" ht="44.1" thickBot="1">
      <c r="A100" s="131" t="s">
        <v>232</v>
      </c>
      <c r="B100" s="134" t="s">
        <v>507</v>
      </c>
      <c r="C100" s="155" t="s">
        <v>497</v>
      </c>
      <c r="D100" s="155" t="s">
        <v>655</v>
      </c>
      <c r="E100" s="133">
        <v>0.66265491356488715</v>
      </c>
      <c r="F100" s="17">
        <f>VLOOKUP(B100,'Justice Spend Total'!$C$3:$AU$221,7,FALSE)</f>
        <v>15000</v>
      </c>
      <c r="G100" s="133">
        <v>0.66265491356488715</v>
      </c>
      <c r="H100" s="5">
        <f>(VLOOKUP(B100,'Justice Spend Total'!$C$4:$AZ$221,38,FALSE))/100</f>
        <v>6.2326848594887407E-2</v>
      </c>
      <c r="I100" s="133">
        <v>0.66265491356488715</v>
      </c>
      <c r="J100" s="5">
        <f>(VLOOKUP(B100,'Justice Spend Total'!$C$4:$AZ$221,39,FALSE))/100</f>
        <v>1.6139792756486901E-2</v>
      </c>
    </row>
    <row r="101" spans="1:10" ht="44.1" thickBot="1">
      <c r="A101" s="131" t="s">
        <v>234</v>
      </c>
      <c r="B101" s="134" t="s">
        <v>585</v>
      </c>
      <c r="C101" s="155" t="s">
        <v>497</v>
      </c>
      <c r="D101" s="155" t="s">
        <v>655</v>
      </c>
      <c r="E101" s="133">
        <v>0.52278850392272136</v>
      </c>
      <c r="F101" s="17">
        <f>VLOOKUP(B101,'Justice Spend Total'!$C$3:$AU$221,7,FALSE)</f>
        <v>15070</v>
      </c>
      <c r="G101" s="133">
        <v>0.52278850392272136</v>
      </c>
      <c r="H101" s="5" t="e">
        <f>(VLOOKUP(B101,'Justice Spend Total'!$C$4:$AZ$221,38,FALSE))/100</f>
        <v>#VALUE!</v>
      </c>
      <c r="I101" s="133">
        <v>0.52278850392272136</v>
      </c>
      <c r="J101" s="5" t="e">
        <f>(VLOOKUP(B101,'Justice Spend Total'!$C$4:$AZ$221,39,FALSE))/100</f>
        <v>#VALUE!</v>
      </c>
    </row>
    <row r="102" spans="1:10" ht="44.1" thickBot="1">
      <c r="A102" s="131" t="s">
        <v>235</v>
      </c>
      <c r="B102" s="134" t="s">
        <v>589</v>
      </c>
      <c r="C102" s="155" t="s">
        <v>497</v>
      </c>
      <c r="D102" s="155" t="s">
        <v>655</v>
      </c>
      <c r="E102" s="133">
        <v>0.71388384254059112</v>
      </c>
      <c r="F102" s="17">
        <f>VLOOKUP(B102,'Justice Spend Total'!$C$3:$AU$221,7,FALSE)</f>
        <v>15800</v>
      </c>
      <c r="G102" s="133">
        <v>0.71388384254059112</v>
      </c>
      <c r="H102" s="5" t="e">
        <f>(VLOOKUP(B102,'Justice Spend Total'!$C$4:$AZ$221,38,FALSE))/100</f>
        <v>#VALUE!</v>
      </c>
      <c r="I102" s="133">
        <v>0.71388384254059112</v>
      </c>
      <c r="J102" s="5" t="e">
        <f>(VLOOKUP(B102,'Justice Spend Total'!$C$4:$AZ$221,39,FALSE))/100</f>
        <v>#VALUE!</v>
      </c>
    </row>
    <row r="103" spans="1:10" ht="44.1" thickBot="1">
      <c r="A103" s="131" t="s">
        <v>75</v>
      </c>
      <c r="B103" s="134" t="s">
        <v>441</v>
      </c>
      <c r="C103" s="155" t="s">
        <v>654</v>
      </c>
      <c r="D103" s="155" t="s">
        <v>655</v>
      </c>
      <c r="E103" s="133">
        <v>0.64296522205769757</v>
      </c>
      <c r="F103" s="17">
        <f>VLOOKUP(B103,'Justice Spend Total'!$C$3:$AU$221,7,FALSE)</f>
        <v>16670</v>
      </c>
      <c r="G103" s="133">
        <v>0.64296522205769757</v>
      </c>
      <c r="H103" s="5">
        <f>(VLOOKUP(B103,'Justice Spend Total'!$C$4:$AZ$221,38,FALSE))/100</f>
        <v>5.649946567391835E-2</v>
      </c>
      <c r="I103" s="133">
        <v>0.64296522205769757</v>
      </c>
      <c r="J103" s="5">
        <f>(VLOOKUP(B103,'Justice Spend Total'!$C$4:$AZ$221,39,FALSE))/100</f>
        <v>2.34645462568942E-2</v>
      </c>
    </row>
    <row r="104" spans="1:10" ht="44.1" thickBot="1">
      <c r="A104" s="131" t="s">
        <v>237</v>
      </c>
      <c r="B104" s="134" t="s">
        <v>566</v>
      </c>
      <c r="C104" s="155" t="s">
        <v>497</v>
      </c>
      <c r="D104" s="155" t="s">
        <v>655</v>
      </c>
      <c r="E104" s="133">
        <v>0.65758330906834384</v>
      </c>
      <c r="F104" s="17">
        <f>VLOOKUP(B104,'Justice Spend Total'!$C$3:$AU$221,7,FALSE)</f>
        <v>16720</v>
      </c>
      <c r="G104" s="133">
        <v>0.65758330906834384</v>
      </c>
      <c r="H104" s="5" t="e">
        <f>(VLOOKUP(B104,'Justice Spend Total'!$C$4:$AZ$221,38,FALSE))/100</f>
        <v>#VALUE!</v>
      </c>
      <c r="I104" s="133">
        <v>0.65758330906834384</v>
      </c>
      <c r="J104" s="5" t="e">
        <f>(VLOOKUP(B104,'Justice Spend Total'!$C$4:$AZ$221,39,FALSE))/100</f>
        <v>#VALUE!</v>
      </c>
    </row>
    <row r="105" spans="1:10" ht="44.1" thickBot="1">
      <c r="A105" s="131" t="s">
        <v>238</v>
      </c>
      <c r="B105" s="134" t="s">
        <v>509</v>
      </c>
      <c r="C105" s="155" t="s">
        <v>654</v>
      </c>
      <c r="D105" s="155" t="s">
        <v>655</v>
      </c>
      <c r="E105" s="133">
        <v>0.61204190673840841</v>
      </c>
      <c r="F105" s="17">
        <f>VLOOKUP(B105,'Justice Spend Total'!$C$3:$AU$221,7,FALSE)</f>
        <v>17150</v>
      </c>
      <c r="G105" s="133">
        <v>0.61204190673840841</v>
      </c>
      <c r="H105" s="5">
        <f>(VLOOKUP(B105,'Justice Spend Total'!$C$4:$AZ$221,38,FALSE))/100</f>
        <v>5.2894469993717379E-2</v>
      </c>
      <c r="I105" s="133">
        <v>0.61204190673840841</v>
      </c>
      <c r="J105" s="5">
        <f>(VLOOKUP(B105,'Justice Spend Total'!$C$4:$AZ$221,39,FALSE))/100</f>
        <v>2.4927370557391901E-2</v>
      </c>
    </row>
    <row r="106" spans="1:10" ht="44.1" thickBot="1">
      <c r="A106" s="131" t="s">
        <v>68</v>
      </c>
      <c r="B106" s="134" t="s">
        <v>442</v>
      </c>
      <c r="C106" s="155" t="s">
        <v>654</v>
      </c>
      <c r="D106" s="155" t="s">
        <v>655</v>
      </c>
      <c r="E106" s="133">
        <v>0.516065936934747</v>
      </c>
      <c r="F106" s="17">
        <f>VLOOKUP(B106,'Justice Spend Total'!$C$3:$AU$221,7,FALSE)</f>
        <v>17740</v>
      </c>
      <c r="G106" s="133">
        <v>0.516065936934747</v>
      </c>
      <c r="H106" s="5">
        <f>(VLOOKUP(B106,'Justice Spend Total'!$C$4:$AZ$221,38,FALSE))/100</f>
        <v>4.9827226697495758E-2</v>
      </c>
      <c r="I106" s="133">
        <v>0.516065936934747</v>
      </c>
      <c r="J106" s="5">
        <f>(VLOOKUP(B106,'Justice Spend Total'!$C$4:$AZ$221,39,FALSE))/100</f>
        <v>2.1570805554226097E-2</v>
      </c>
    </row>
    <row r="107" spans="1:10" ht="44.1" thickBot="1">
      <c r="A107" s="131" t="s">
        <v>239</v>
      </c>
      <c r="B107" s="134" t="s">
        <v>583</v>
      </c>
      <c r="C107" s="155" t="s">
        <v>497</v>
      </c>
      <c r="D107" s="155" t="s">
        <v>655</v>
      </c>
      <c r="E107" s="133">
        <v>0.63255727779902693</v>
      </c>
      <c r="F107" s="17">
        <f>VLOOKUP(B107,'Justice Spend Total'!$C$3:$AU$221,7,FALSE)</f>
        <v>18560</v>
      </c>
      <c r="G107" s="133">
        <v>0.63255727779902693</v>
      </c>
      <c r="H107" s="5" t="e">
        <f>(VLOOKUP(B107,'Justice Spend Total'!$C$4:$AZ$221,38,FALSE))/100</f>
        <v>#VALUE!</v>
      </c>
      <c r="I107" s="133">
        <v>0.63255727779902693</v>
      </c>
      <c r="J107" s="5" t="e">
        <f>(VLOOKUP(B107,'Justice Spend Total'!$C$4:$AZ$221,39,FALSE))/100</f>
        <v>#VALUE!</v>
      </c>
    </row>
    <row r="108" spans="1:10" ht="44.1" thickBot="1">
      <c r="A108" s="131" t="s">
        <v>240</v>
      </c>
      <c r="B108" s="134" t="s">
        <v>534</v>
      </c>
      <c r="C108" s="155" t="s">
        <v>654</v>
      </c>
      <c r="D108" s="155" t="s">
        <v>655</v>
      </c>
      <c r="E108" s="133">
        <v>0.72252398877127566</v>
      </c>
      <c r="F108" s="17">
        <f>VLOOKUP(B108,'Justice Spend Total'!$C$3:$AU$221,7,FALSE)</f>
        <v>19370</v>
      </c>
      <c r="G108" s="133">
        <v>0.72252398877127566</v>
      </c>
      <c r="H108" s="5">
        <f>(VLOOKUP(B108,'Justice Spend Total'!$C$4:$AZ$221,38,FALSE))/100</f>
        <v>5.9501425948484662E-2</v>
      </c>
      <c r="I108" s="133">
        <v>0.72252398877127566</v>
      </c>
      <c r="J108" s="5">
        <f>(VLOOKUP(B108,'Justice Spend Total'!$C$4:$AZ$221,39,FALSE))/100</f>
        <v>2.2867761250731401E-2</v>
      </c>
    </row>
    <row r="109" spans="1:10" ht="44.1" thickBot="1">
      <c r="A109" s="131" t="s">
        <v>65</v>
      </c>
      <c r="B109" s="134" t="s">
        <v>443</v>
      </c>
      <c r="C109" s="155" t="s">
        <v>654</v>
      </c>
      <c r="D109" s="155" t="s">
        <v>655</v>
      </c>
      <c r="E109" s="133">
        <v>0.61340122103735595</v>
      </c>
      <c r="F109" s="17">
        <f>VLOOKUP(B109,'Justice Spend Total'!$C$3:$AU$221,7,FALSE)</f>
        <v>20140</v>
      </c>
      <c r="G109" s="133">
        <v>0.61340122103735595</v>
      </c>
      <c r="H109" s="5">
        <f>(VLOOKUP(B109,'Justice Spend Total'!$C$4:$AZ$221,38,FALSE))/100</f>
        <v>4.8146780458881183E-2</v>
      </c>
      <c r="I109" s="133">
        <v>0.61340122103735595</v>
      </c>
      <c r="J109" s="5">
        <f>(VLOOKUP(B109,'Justice Spend Total'!$C$4:$AZ$221,39,FALSE))/100</f>
        <v>2.3650726647771802E-2</v>
      </c>
    </row>
    <row r="110" spans="1:10" ht="44.1" thickBot="1">
      <c r="A110" s="131" t="s">
        <v>76</v>
      </c>
      <c r="B110" s="134" t="s">
        <v>444</v>
      </c>
      <c r="C110" s="155" t="s">
        <v>654</v>
      </c>
      <c r="D110" s="155" t="s">
        <v>655</v>
      </c>
      <c r="E110" s="133">
        <v>0.65700589728356762</v>
      </c>
      <c r="F110" s="17">
        <f>VLOOKUP(B110,'Justice Spend Total'!$C$3:$AU$221,7,FALSE)</f>
        <v>20250</v>
      </c>
      <c r="G110" s="133">
        <v>0.65700589728356762</v>
      </c>
      <c r="H110" s="5">
        <f>(VLOOKUP(B110,'Justice Spend Total'!$C$4:$AZ$221,38,FALSE))/100</f>
        <v>6.2488653886606259E-2</v>
      </c>
      <c r="I110" s="133">
        <v>0.65700589728356762</v>
      </c>
      <c r="J110" s="5">
        <f>(VLOOKUP(B110,'Justice Spend Total'!$C$4:$AZ$221,39,FALSE))/100</f>
        <v>2.5029665098945601E-2</v>
      </c>
    </row>
    <row r="111" spans="1:10" ht="44.1" thickBot="1">
      <c r="A111" s="131" t="s">
        <v>244</v>
      </c>
      <c r="B111" s="134" t="s">
        <v>536</v>
      </c>
      <c r="C111" s="155" t="s">
        <v>654</v>
      </c>
      <c r="D111" s="155" t="s">
        <v>655</v>
      </c>
      <c r="E111" s="133">
        <v>0.7645346925240939</v>
      </c>
      <c r="F111" s="17">
        <f>VLOOKUP(B111,'Justice Spend Total'!$C$3:$AU$221,7,FALSE)</f>
        <v>21610</v>
      </c>
      <c r="G111" s="133">
        <v>0.7645346925240939</v>
      </c>
      <c r="H111" s="5">
        <f>(VLOOKUP(B111,'Justice Spend Total'!$C$4:$AZ$221,38,FALSE))/100</f>
        <v>4.4109897434273175E-2</v>
      </c>
      <c r="I111" s="133">
        <v>0.7645346925240939</v>
      </c>
      <c r="J111" s="5">
        <f>(VLOOKUP(B111,'Justice Spend Total'!$C$4:$AZ$221,39,FALSE))/100</f>
        <v>1.53979689227606E-2</v>
      </c>
    </row>
    <row r="112" spans="1:10" ht="44.1" thickBot="1">
      <c r="A112" s="131" t="s">
        <v>62</v>
      </c>
      <c r="B112" s="134" t="s">
        <v>445</v>
      </c>
      <c r="C112" s="155" t="s">
        <v>654</v>
      </c>
      <c r="D112" s="155" t="s">
        <v>655</v>
      </c>
      <c r="E112" s="133">
        <v>0.68929429919681551</v>
      </c>
      <c r="F112" s="17">
        <f>VLOOKUP(B112,'Justice Spend Total'!$C$3:$AU$221,7,FALSE)</f>
        <v>23730</v>
      </c>
      <c r="G112" s="133">
        <v>0.68929429919681551</v>
      </c>
      <c r="H112" s="5">
        <f>(VLOOKUP(B112,'Justice Spend Total'!$C$4:$AZ$221,38,FALSE))/100</f>
        <v>4.2070412482048243E-2</v>
      </c>
      <c r="I112" s="133">
        <v>0.68929429919681551</v>
      </c>
      <c r="J112" s="5">
        <f>(VLOOKUP(B112,'Justice Spend Total'!$C$4:$AZ$221,39,FALSE))/100</f>
        <v>1.9066074059561899E-2</v>
      </c>
    </row>
    <row r="113" spans="1:10" ht="44.1" thickBot="1">
      <c r="A113" s="131" t="s">
        <v>70</v>
      </c>
      <c r="B113" s="134" t="s">
        <v>446</v>
      </c>
      <c r="C113" s="155" t="s">
        <v>654</v>
      </c>
      <c r="D113" s="155" t="s">
        <v>655</v>
      </c>
      <c r="E113" s="133">
        <v>0.73170490621804518</v>
      </c>
      <c r="F113" s="17">
        <f>VLOOKUP(B113,'Justice Spend Total'!$C$3:$AU$221,7,FALSE)</f>
        <v>24070</v>
      </c>
      <c r="G113" s="133">
        <v>0.73170490621804518</v>
      </c>
      <c r="H113" s="5">
        <f>(VLOOKUP(B113,'Justice Spend Total'!$C$4:$AZ$221,38,FALSE))/100</f>
        <v>5.1339470741581052E-2</v>
      </c>
      <c r="I113" s="133">
        <v>0.73170490621804518</v>
      </c>
      <c r="J113" s="5">
        <f>(VLOOKUP(B113,'Justice Spend Total'!$C$4:$AZ$221,39,FALSE))/100</f>
        <v>2.1377358957739602E-2</v>
      </c>
    </row>
    <row r="114" spans="1:10" ht="44.1" thickBot="1">
      <c r="A114" s="131" t="s">
        <v>248</v>
      </c>
      <c r="B114" s="134" t="s">
        <v>515</v>
      </c>
      <c r="C114" s="155" t="s">
        <v>654</v>
      </c>
      <c r="D114" s="155" t="s">
        <v>655</v>
      </c>
      <c r="E114" s="133">
        <v>0.81657482614756616</v>
      </c>
      <c r="F114" s="17">
        <f>VLOOKUP(B114,'Justice Spend Total'!$C$3:$AU$221,7,FALSE)</f>
        <v>25970</v>
      </c>
      <c r="G114" s="133">
        <v>0.81657482614756616</v>
      </c>
      <c r="H114" s="5">
        <f>(VLOOKUP(B114,'Justice Spend Total'!$C$4:$AZ$221,38,FALSE))/100</f>
        <v>4.9882575042029954E-2</v>
      </c>
      <c r="I114" s="133">
        <v>0.81657482614756616</v>
      </c>
      <c r="J114" s="5">
        <f>(VLOOKUP(B114,'Justice Spend Total'!$C$4:$AZ$221,39,FALSE))/100</f>
        <v>2.0153146022362199E-2</v>
      </c>
    </row>
    <row r="115" spans="1:10" ht="44.1" thickBot="1">
      <c r="A115" s="131" t="s">
        <v>656</v>
      </c>
      <c r="B115" s="134" t="s">
        <v>499</v>
      </c>
      <c r="C115" s="155" t="s">
        <v>497</v>
      </c>
      <c r="D115" s="155" t="s">
        <v>655</v>
      </c>
      <c r="E115" s="133">
        <v>0.60546757482015967</v>
      </c>
      <c r="F115" s="17">
        <f>VLOOKUP(B115,'Justice Spend Total'!$C$3:$AU$221,7,FALSE)</f>
        <v>27220</v>
      </c>
      <c r="G115" s="133">
        <v>0.60546757482015967</v>
      </c>
      <c r="H115" s="5">
        <f>(VLOOKUP(B115,'Justice Spend Total'!$C$4:$AZ$221,38,FALSE))/100</f>
        <v>0.12987575632670406</v>
      </c>
      <c r="I115" s="133">
        <v>0.60546757482015967</v>
      </c>
      <c r="J115" s="5">
        <f>(VLOOKUP(B115,'Justice Spend Total'!$C$4:$AZ$221,39,FALSE))/100</f>
        <v>2.2073975841614E-2</v>
      </c>
    </row>
    <row r="116" spans="1:10" ht="44.1" thickBot="1">
      <c r="A116" s="131" t="s">
        <v>251</v>
      </c>
      <c r="B116" s="134" t="s">
        <v>511</v>
      </c>
      <c r="C116" s="155" t="s">
        <v>654</v>
      </c>
      <c r="D116" s="155" t="s">
        <v>655</v>
      </c>
      <c r="E116" s="133">
        <v>0.68292710233989862</v>
      </c>
      <c r="F116" s="17">
        <f>VLOOKUP(B116,'Justice Spend Total'!$C$3:$AU$221,7,FALSE)</f>
        <v>28130</v>
      </c>
      <c r="G116" s="133">
        <v>0.68292710233989862</v>
      </c>
      <c r="H116" s="5">
        <f>(VLOOKUP(B116,'Justice Spend Total'!$C$4:$AZ$221,38,FALSE))/100</f>
        <v>4.8933262247927323E-2</v>
      </c>
      <c r="I116" s="133">
        <v>0.68292710233989862</v>
      </c>
      <c r="J116" s="5">
        <f>(VLOOKUP(B116,'Justice Spend Total'!$C$4:$AZ$221,39,FALSE))/100</f>
        <v>1.9222003099703899E-2</v>
      </c>
    </row>
    <row r="117" spans="1:10" ht="44.1" thickBot="1">
      <c r="A117" s="131" t="s">
        <v>60</v>
      </c>
      <c r="B117" s="134" t="s">
        <v>447</v>
      </c>
      <c r="C117" s="155" t="s">
        <v>654</v>
      </c>
      <c r="D117" s="155" t="s">
        <v>655</v>
      </c>
      <c r="E117" s="133">
        <v>0.67723968442348481</v>
      </c>
      <c r="F117" s="17">
        <f>VLOOKUP(B117,'Justice Spend Total'!$C$3:$AU$221,7,FALSE)</f>
        <v>28240</v>
      </c>
      <c r="G117" s="133">
        <v>0.67723968442348481</v>
      </c>
      <c r="H117" s="5">
        <f>(VLOOKUP(B117,'Justice Spend Total'!$C$4:$AZ$221,38,FALSE))/100</f>
        <v>3.9926879257798337E-2</v>
      </c>
      <c r="I117" s="133">
        <v>0.67723968442348481</v>
      </c>
      <c r="J117" s="5">
        <f>(VLOOKUP(B117,'Justice Spend Total'!$C$4:$AZ$221,39,FALSE))/100</f>
        <v>1.75326740270259E-2</v>
      </c>
    </row>
    <row r="118" spans="1:10" ht="44.1" thickBot="1">
      <c r="A118" s="131" t="s">
        <v>69</v>
      </c>
      <c r="B118" s="134" t="s">
        <v>448</v>
      </c>
      <c r="C118" s="155" t="s">
        <v>654</v>
      </c>
      <c r="D118" s="155" t="s">
        <v>655</v>
      </c>
      <c r="E118" s="133">
        <v>0.72674802495436486</v>
      </c>
      <c r="F118" s="17">
        <f>VLOOKUP(B118,'Justice Spend Total'!$C$3:$AU$221,7,FALSE)</f>
        <v>29740</v>
      </c>
      <c r="G118" s="133">
        <v>0.72674802495436486</v>
      </c>
      <c r="H118" s="5">
        <f>(VLOOKUP(B118,'Justice Spend Total'!$C$4:$AZ$221,38,FALSE))/100</f>
        <v>5.0253753800642606E-2</v>
      </c>
      <c r="I118" s="133">
        <v>0.72674802495436486</v>
      </c>
      <c r="J118" s="5">
        <f>(VLOOKUP(B118,'Justice Spend Total'!$C$4:$AZ$221,39,FALSE))/100</f>
        <v>2.0844994598680201E-2</v>
      </c>
    </row>
    <row r="119" spans="1:10" ht="44.1" thickBot="1">
      <c r="A119" s="131" t="s">
        <v>252</v>
      </c>
      <c r="B119" s="134" t="s">
        <v>540</v>
      </c>
      <c r="C119" s="155" t="s">
        <v>654</v>
      </c>
      <c r="D119" s="155" t="s">
        <v>655</v>
      </c>
      <c r="E119" s="133">
        <v>0.67892337761060417</v>
      </c>
      <c r="F119" s="17">
        <f>VLOOKUP(B119,'Justice Spend Total'!$C$3:$AU$221,7,FALSE)</f>
        <v>30560</v>
      </c>
      <c r="G119" s="133">
        <v>0.67892337761060417</v>
      </c>
      <c r="H119" s="5">
        <f>(VLOOKUP(B119,'Justice Spend Total'!$C$4:$AZ$221,38,FALSE))/100</f>
        <v>4.126758069776533E-2</v>
      </c>
      <c r="I119" s="133">
        <v>0.67892337761060417</v>
      </c>
      <c r="J119" s="5">
        <f>(VLOOKUP(B119,'Justice Spend Total'!$C$4:$AZ$221,39,FALSE))/100</f>
        <v>1.4772277164016301E-2</v>
      </c>
    </row>
    <row r="120" spans="1:10" ht="29.45" thickBot="1">
      <c r="A120" s="131" t="s">
        <v>73</v>
      </c>
      <c r="B120" s="134" t="s">
        <v>449</v>
      </c>
      <c r="C120" s="155" t="s">
        <v>493</v>
      </c>
      <c r="D120" s="155" t="s">
        <v>655</v>
      </c>
      <c r="E120" s="133">
        <v>0.73253562939315076</v>
      </c>
      <c r="F120" s="17">
        <f>VLOOKUP(B120,'Justice Spend Total'!$C$3:$AU$221,7,FALSE)</f>
        <v>34980</v>
      </c>
      <c r="G120" s="133">
        <v>0.73253562939315076</v>
      </c>
      <c r="H120" s="5">
        <f>(VLOOKUP(B120,'Justice Spend Total'!$C$4:$AZ$221,38,FALSE))/100</f>
        <v>5.5826616010953234E-2</v>
      </c>
      <c r="I120" s="133">
        <v>0.73253562939315076</v>
      </c>
      <c r="J120" s="5">
        <f>(VLOOKUP(B120,'Justice Spend Total'!$C$4:$AZ$221,39,FALSE))/100</f>
        <v>1.2796999529227882E-2</v>
      </c>
    </row>
    <row r="121" spans="1:10" ht="44.1" thickBot="1">
      <c r="A121" s="131" t="s">
        <v>63</v>
      </c>
      <c r="B121" s="134" t="s">
        <v>450</v>
      </c>
      <c r="C121" s="155" t="s">
        <v>654</v>
      </c>
      <c r="D121" s="155" t="s">
        <v>655</v>
      </c>
      <c r="E121" s="133">
        <v>0.66556907059401782</v>
      </c>
      <c r="F121" s="17">
        <f>VLOOKUP(B121,'Justice Spend Total'!$C$3:$AU$221,7,FALSE)</f>
        <v>35710</v>
      </c>
      <c r="G121" s="133">
        <v>0.66556907059401782</v>
      </c>
      <c r="H121" s="5">
        <f>(VLOOKUP(B121,'Justice Spend Total'!$C$4:$AZ$221,38,FALSE))/100</f>
        <v>4.2647744835080027E-2</v>
      </c>
      <c r="I121" s="133">
        <v>0.66556907059401782</v>
      </c>
      <c r="J121" s="5">
        <f>(VLOOKUP(B121,'Justice Spend Total'!$C$4:$AZ$221,39,FALSE))/100</f>
        <v>2.0215004283737802E-2</v>
      </c>
    </row>
    <row r="122" spans="1:10" ht="44.1" thickBot="1">
      <c r="A122" s="131" t="s">
        <v>255</v>
      </c>
      <c r="B122" s="134" t="s">
        <v>561</v>
      </c>
      <c r="C122" s="155" t="s">
        <v>487</v>
      </c>
      <c r="D122" s="155" t="s">
        <v>655</v>
      </c>
      <c r="E122" s="133">
        <v>0.63381972109357498</v>
      </c>
      <c r="F122" s="17">
        <f>VLOOKUP(B122,'Justice Spend Total'!$C$3:$AU$221,7,FALSE)</f>
        <v>39410</v>
      </c>
      <c r="G122" s="133">
        <v>0.63381972109357498</v>
      </c>
      <c r="H122" s="5">
        <f>(VLOOKUP(B122,'Justice Spend Total'!$C$4:$AZ$221,38,FALSE))/100</f>
        <v>0.11476966705598093</v>
      </c>
      <c r="I122" s="133">
        <v>0.63381972109357498</v>
      </c>
      <c r="J122" s="5">
        <f>(VLOOKUP(B122,'Justice Spend Total'!$C$4:$AZ$221,39,FALSE))/100</f>
        <v>3.2034404621987499E-2</v>
      </c>
    </row>
    <row r="123" spans="1:10" ht="29.45" thickBot="1">
      <c r="A123" s="131" t="s">
        <v>57</v>
      </c>
      <c r="B123" s="134" t="s">
        <v>451</v>
      </c>
      <c r="C123" s="155" t="s">
        <v>493</v>
      </c>
      <c r="D123" s="155" t="s">
        <v>655</v>
      </c>
      <c r="E123" s="133">
        <v>0.78572999043668323</v>
      </c>
      <c r="F123" s="17">
        <f>VLOOKUP(B123,'Justice Spend Total'!$C$3:$AU$221,7,FALSE)</f>
        <v>42620</v>
      </c>
      <c r="G123" s="133">
        <v>0.78572999043668323</v>
      </c>
      <c r="H123" s="5">
        <f>(VLOOKUP(B123,'Justice Spend Total'!$C$4:$AZ$221,38,FALSE))/100</f>
        <v>3.6215735478668493E-2</v>
      </c>
      <c r="I123" s="133">
        <v>0.78572999043668323</v>
      </c>
      <c r="J123" s="5">
        <f>(VLOOKUP(B123,'Justice Spend Total'!$C$4:$AZ$221,39,FALSE))/100</f>
        <v>1.2881656096241201E-2</v>
      </c>
    </row>
    <row r="124" spans="1:10" ht="44.1" thickBot="1">
      <c r="A124" s="131" t="s">
        <v>55</v>
      </c>
      <c r="B124" s="134" t="s">
        <v>452</v>
      </c>
      <c r="C124" s="155" t="s">
        <v>654</v>
      </c>
      <c r="D124" s="155" t="s">
        <v>655</v>
      </c>
      <c r="E124" s="133">
        <v>0.73079553987634294</v>
      </c>
      <c r="F124" s="17">
        <f>VLOOKUP(B124,'Justice Spend Total'!$C$3:$AU$221,7,FALSE)</f>
        <v>43880</v>
      </c>
      <c r="G124" s="133">
        <v>0.73079553987634294</v>
      </c>
      <c r="H124" s="5">
        <f>(VLOOKUP(B124,'Justice Spend Total'!$C$4:$AZ$221,38,FALSE))/100</f>
        <v>3.3586684324843324E-2</v>
      </c>
      <c r="I124" s="133">
        <v>0.73079553987634294</v>
      </c>
      <c r="J124" s="5">
        <f>(VLOOKUP(B124,'Justice Spend Total'!$C$4:$AZ$221,39,FALSE))/100</f>
        <v>1.7738377495809601E-2</v>
      </c>
    </row>
    <row r="125" spans="1:10" ht="29.45" thickBot="1">
      <c r="A125" s="131" t="s">
        <v>71</v>
      </c>
      <c r="B125" s="134" t="s">
        <v>453</v>
      </c>
      <c r="C125" s="155" t="s">
        <v>493</v>
      </c>
      <c r="D125" s="155" t="s">
        <v>655</v>
      </c>
      <c r="E125" s="133">
        <v>0.82710330182542613</v>
      </c>
      <c r="F125" s="17">
        <f>VLOOKUP(B125,'Justice Spend Total'!$C$3:$AU$221,7,FALSE)</f>
        <v>45340</v>
      </c>
      <c r="G125" s="133">
        <v>0.82710330182542613</v>
      </c>
      <c r="H125" s="5">
        <f>(VLOOKUP(B125,'Justice Spend Total'!$C$4:$AZ$221,38,FALSE))/100</f>
        <v>5.1822363589645419E-2</v>
      </c>
      <c r="I125" s="133">
        <v>0.82710330182542613</v>
      </c>
      <c r="J125" s="5">
        <f>(VLOOKUP(B125,'Justice Spend Total'!$C$4:$AZ$221,39,FALSE))/100</f>
        <v>1.9510206996776702E-2</v>
      </c>
    </row>
    <row r="126" spans="1:10" ht="44.1" thickBot="1">
      <c r="A126" s="131" t="s">
        <v>72</v>
      </c>
      <c r="B126" s="134" t="s">
        <v>454</v>
      </c>
      <c r="C126" s="155" t="s">
        <v>654</v>
      </c>
      <c r="D126" s="155" t="s">
        <v>655</v>
      </c>
      <c r="E126" s="133">
        <v>0.78774403373479041</v>
      </c>
      <c r="F126" s="17">
        <f>VLOOKUP(B126,'Justice Spend Total'!$C$3:$AU$221,7,FALSE)</f>
        <v>45380</v>
      </c>
      <c r="G126" s="133">
        <v>0.78774403373479041</v>
      </c>
      <c r="H126" s="5">
        <f>(VLOOKUP(B126,'Justice Spend Total'!$C$4:$AZ$221,38,FALSE))/100</f>
        <v>5.4670681658715185E-2</v>
      </c>
      <c r="I126" s="133">
        <v>0.78774403373479041</v>
      </c>
      <c r="J126" s="5">
        <f>(VLOOKUP(B126,'Justice Spend Total'!$C$4:$AZ$221,39,FALSE))/100</f>
        <v>2.0167123872467298E-2</v>
      </c>
    </row>
    <row r="127" spans="1:10" ht="44.1" thickBot="1">
      <c r="A127" s="131" t="s">
        <v>64</v>
      </c>
      <c r="B127" s="134" t="s">
        <v>455</v>
      </c>
      <c r="C127" s="155" t="s">
        <v>654</v>
      </c>
      <c r="D127" s="155" t="s">
        <v>655</v>
      </c>
      <c r="E127" s="133">
        <v>0.79988396362297742</v>
      </c>
      <c r="F127" s="17">
        <f>VLOOKUP(B127,'Justice Spend Total'!$C$3:$AU$221,7,FALSE)</f>
        <v>48310</v>
      </c>
      <c r="G127" s="133">
        <v>0.79988396362297742</v>
      </c>
      <c r="H127" s="5">
        <f>(VLOOKUP(B127,'Justice Spend Total'!$C$4:$AZ$221,38,FALSE))/100</f>
        <v>4.5190995076261863E-2</v>
      </c>
      <c r="I127" s="133">
        <v>0.79988396362297742</v>
      </c>
      <c r="J127" s="5">
        <f>(VLOOKUP(B127,'Justice Spend Total'!$C$4:$AZ$221,39,FALSE))/100</f>
        <v>1.8533925693912E-2</v>
      </c>
    </row>
    <row r="128" spans="1:10" ht="44.1" thickBot="1">
      <c r="A128" s="131" t="s">
        <v>58</v>
      </c>
      <c r="B128" s="134" t="s">
        <v>456</v>
      </c>
      <c r="C128" s="155" t="s">
        <v>654</v>
      </c>
      <c r="D128" s="155" t="s">
        <v>655</v>
      </c>
      <c r="E128" s="133">
        <v>0.79133690326422901</v>
      </c>
      <c r="F128" s="17">
        <f>VLOOKUP(B128,'Justice Spend Total'!$C$3:$AU$221,7,FALSE)</f>
        <v>50510</v>
      </c>
      <c r="G128" s="133">
        <v>0.79133690326422901</v>
      </c>
      <c r="H128" s="5">
        <f>(VLOOKUP(B128,'Justice Spend Total'!$C$4:$AZ$221,38,FALSE))/100</f>
        <v>3.6316378268193936E-2</v>
      </c>
      <c r="I128" s="133">
        <v>0.79133690326422901</v>
      </c>
      <c r="J128" s="5">
        <f>(VLOOKUP(B128,'Justice Spend Total'!$C$4:$AZ$221,39,FALSE))/100</f>
        <v>1.8200395853511998E-2</v>
      </c>
    </row>
    <row r="129" spans="1:10" ht="44.1" thickBot="1">
      <c r="A129" s="131" t="s">
        <v>56</v>
      </c>
      <c r="B129" s="134" t="s">
        <v>457</v>
      </c>
      <c r="C129" s="155" t="s">
        <v>654</v>
      </c>
      <c r="D129" s="155" t="s">
        <v>655</v>
      </c>
      <c r="E129" s="133">
        <v>0.83425990001168271</v>
      </c>
      <c r="F129" s="17">
        <f>VLOOKUP(B129,'Justice Spend Total'!$C$3:$AU$221,7,FALSE)</f>
        <v>51040</v>
      </c>
      <c r="G129" s="133">
        <v>0.83425990001168271</v>
      </c>
      <c r="H129" s="5">
        <f>(VLOOKUP(B129,'Justice Spend Total'!$C$4:$AZ$221,38,FALSE))/100</f>
        <v>3.591267646827058E-2</v>
      </c>
      <c r="I129" s="133">
        <v>0.83425990001168271</v>
      </c>
      <c r="J129" s="5">
        <f>(VLOOKUP(B129,'Justice Spend Total'!$C$4:$AZ$221,39,FALSE))/100</f>
        <v>1.7156338714083799E-2</v>
      </c>
    </row>
    <row r="130" spans="1:10" ht="44.1" thickBot="1">
      <c r="A130" s="131" t="s">
        <v>53</v>
      </c>
      <c r="B130" s="134" t="s">
        <v>458</v>
      </c>
      <c r="C130" s="155" t="s">
        <v>654</v>
      </c>
      <c r="D130" s="155" t="s">
        <v>655</v>
      </c>
      <c r="E130" s="133">
        <v>0.80269746451525903</v>
      </c>
      <c r="F130" s="17">
        <f>VLOOKUP(B130,'Justice Spend Total'!$C$3:$AU$221,7,FALSE)</f>
        <v>52210</v>
      </c>
      <c r="G130" s="133">
        <v>0.80269746451525903</v>
      </c>
      <c r="H130" s="5">
        <f>(VLOOKUP(B130,'Justice Spend Total'!$C$4:$AZ$221,38,FALSE))/100</f>
        <v>2.933757845213204E-2</v>
      </c>
      <c r="I130" s="133">
        <v>0.80269746451525903</v>
      </c>
      <c r="J130" s="5">
        <f>(VLOOKUP(B130,'Justice Spend Total'!$C$4:$AZ$221,39,FALSE))/100</f>
        <v>1.43017610927842E-2</v>
      </c>
    </row>
    <row r="131" spans="1:10" ht="44.1" thickBot="1">
      <c r="A131" s="131" t="s">
        <v>50</v>
      </c>
      <c r="B131" s="134" t="s">
        <v>459</v>
      </c>
      <c r="C131" s="155" t="s">
        <v>654</v>
      </c>
      <c r="D131" s="155" t="s">
        <v>655</v>
      </c>
      <c r="E131" s="133">
        <v>0.8707964443527102</v>
      </c>
      <c r="F131" s="17">
        <f>VLOOKUP(B131,'Justice Spend Total'!$C$3:$AU$221,7,FALSE)</f>
        <v>53660</v>
      </c>
      <c r="G131" s="133">
        <v>0.8707964443527102</v>
      </c>
      <c r="H131" s="5">
        <f>(VLOOKUP(B131,'Justice Spend Total'!$C$4:$AZ$221,38,FALSE))/100</f>
        <v>2.268801708977744E-2</v>
      </c>
      <c r="I131" s="133">
        <v>0.8707964443527102</v>
      </c>
      <c r="J131" s="5">
        <f>(VLOOKUP(B131,'Justice Spend Total'!$C$4:$AZ$221,39,FALSE))/100</f>
        <v>1.16771385506461E-2</v>
      </c>
    </row>
    <row r="132" spans="1:10" ht="29.45" thickBot="1">
      <c r="A132" s="131" t="s">
        <v>259</v>
      </c>
      <c r="B132" s="134" t="s">
        <v>520</v>
      </c>
      <c r="C132" s="155" t="s">
        <v>493</v>
      </c>
      <c r="D132" s="155" t="s">
        <v>655</v>
      </c>
      <c r="E132" s="133">
        <v>0.72739209213900036</v>
      </c>
      <c r="F132" s="17">
        <f>VLOOKUP(B132,'Justice Spend Total'!$C$3:$AU$221,7,FALSE)</f>
        <v>54450</v>
      </c>
      <c r="G132" s="133">
        <v>0.72739209213900036</v>
      </c>
      <c r="H132" s="5">
        <f>(VLOOKUP(B132,'Justice Spend Total'!$C$4:$AZ$221,38,FALSE))/100</f>
        <v>0.13136629950635287</v>
      </c>
      <c r="I132" s="133">
        <v>0.72739209213900036</v>
      </c>
      <c r="J132" s="5">
        <f>(VLOOKUP(B132,'Justice Spend Total'!$C$4:$AZ$221,39,FALSE))/100</f>
        <v>3.1884107809401104E-2</v>
      </c>
    </row>
    <row r="133" spans="1:10" ht="44.1" thickBot="1">
      <c r="A133" s="131" t="s">
        <v>66</v>
      </c>
      <c r="B133" s="134" t="s">
        <v>460</v>
      </c>
      <c r="C133" s="155" t="s">
        <v>654</v>
      </c>
      <c r="D133" s="155" t="s">
        <v>655</v>
      </c>
      <c r="E133" s="133">
        <v>0.83492212169578972</v>
      </c>
      <c r="F133" s="17">
        <f>VLOOKUP(B133,'Justice Spend Total'!$C$3:$AU$221,7,FALSE)</f>
        <v>56370</v>
      </c>
      <c r="G133" s="133">
        <v>0.83492212169578972</v>
      </c>
      <c r="H133" s="5">
        <f>(VLOOKUP(B133,'Justice Spend Total'!$C$4:$AZ$221,38,FALSE))/100</f>
        <v>4.8244359369198818E-2</v>
      </c>
      <c r="I133" s="133">
        <v>0.83492212169578972</v>
      </c>
      <c r="J133" s="5">
        <f>(VLOOKUP(B133,'Justice Spend Total'!$C$4:$AZ$221,39,FALSE))/100</f>
        <v>1.98138970997194E-2</v>
      </c>
    </row>
    <row r="134" spans="1:10" ht="29.45" thickBot="1">
      <c r="A134" s="131" t="s">
        <v>74</v>
      </c>
      <c r="B134" s="134" t="s">
        <v>461</v>
      </c>
      <c r="C134" s="155" t="s">
        <v>493</v>
      </c>
      <c r="D134" s="155" t="s">
        <v>655</v>
      </c>
      <c r="E134" s="133">
        <v>0.79407671718229889</v>
      </c>
      <c r="F134" s="17">
        <f>VLOOKUP(B134,'Justice Spend Total'!$C$3:$AU$221,7,FALSE)</f>
        <v>56760</v>
      </c>
      <c r="G134" s="133">
        <v>0.79407671718229889</v>
      </c>
      <c r="H134" s="5">
        <f>(VLOOKUP(B134,'Justice Spend Total'!$C$4:$AZ$221,38,FALSE))/100</f>
        <v>5.5920195991271335E-2</v>
      </c>
      <c r="I134" s="133">
        <v>0.79407671718229889</v>
      </c>
      <c r="J134" s="5">
        <f>(VLOOKUP(B134,'Justice Spend Total'!$C$4:$AZ$221,39,FALSE))/100</f>
        <v>2.0181498380004798E-2</v>
      </c>
    </row>
    <row r="135" spans="1:10" ht="44.1" thickBot="1">
      <c r="A135" s="131" t="s">
        <v>52</v>
      </c>
      <c r="B135" s="134" t="s">
        <v>462</v>
      </c>
      <c r="C135" s="155" t="s">
        <v>654</v>
      </c>
      <c r="D135" s="155" t="s">
        <v>655</v>
      </c>
      <c r="E135" s="133">
        <v>0.85742130272246331</v>
      </c>
      <c r="F135" s="17">
        <f>VLOOKUP(B135,'Justice Spend Total'!$C$3:$AU$221,7,FALSE)</f>
        <v>58890</v>
      </c>
      <c r="G135" s="133">
        <v>0.85742130272246331</v>
      </c>
      <c r="H135" s="5">
        <f>(VLOOKUP(B135,'Justice Spend Total'!$C$4:$AZ$221,38,FALSE))/100</f>
        <v>2.8760157631548267E-2</v>
      </c>
      <c r="I135" s="133">
        <v>0.85742130272246331</v>
      </c>
      <c r="J135" s="5">
        <f>(VLOOKUP(B135,'Justice Spend Total'!$C$4:$AZ$221,39,FALSE))/100</f>
        <v>1.39833281260065E-2</v>
      </c>
    </row>
    <row r="136" spans="1:10" ht="29.45" thickBot="1">
      <c r="A136" s="131" t="s">
        <v>262</v>
      </c>
      <c r="B136" s="134" t="s">
        <v>554</v>
      </c>
      <c r="C136" s="155" t="s">
        <v>493</v>
      </c>
      <c r="D136" s="155" t="s">
        <v>655</v>
      </c>
      <c r="E136" s="133">
        <v>0.77688745127576797</v>
      </c>
      <c r="F136" s="17">
        <f>VLOOKUP(B136,'Justice Spend Total'!$C$3:$AU$221,7,FALSE)</f>
        <v>64010</v>
      </c>
      <c r="G136" s="133">
        <v>0.77688745127576797</v>
      </c>
      <c r="H136" s="5">
        <f>(VLOOKUP(B136,'Justice Spend Total'!$C$4:$AZ$221,38,FALSE))/100</f>
        <v>6.8112949967605849E-2</v>
      </c>
      <c r="I136" s="133">
        <v>0.77688745127576797</v>
      </c>
      <c r="J136" s="5">
        <f>(VLOOKUP(B136,'Justice Spend Total'!$C$4:$AZ$221,39,FALSE))/100</f>
        <v>1.2263999011760699E-2</v>
      </c>
    </row>
    <row r="137" spans="1:10" ht="44.1" thickBot="1">
      <c r="A137" s="131" t="s">
        <v>49</v>
      </c>
      <c r="B137" s="134" t="s">
        <v>464</v>
      </c>
      <c r="C137" s="155" t="s">
        <v>654</v>
      </c>
      <c r="D137" s="155" t="s">
        <v>655</v>
      </c>
      <c r="E137" s="133">
        <v>0.90182166845325074</v>
      </c>
      <c r="F137" s="17">
        <f>VLOOKUP(B137,'Justice Spend Total'!$C$3:$AU$221,7,FALSE)</f>
        <v>68110</v>
      </c>
      <c r="G137" s="133">
        <v>0.90182166845325074</v>
      </c>
      <c r="H137" s="5">
        <f>(VLOOKUP(B137,'Justice Spend Total'!$C$4:$AZ$221,38,FALSE))/100</f>
        <v>1.871794895080834E-2</v>
      </c>
      <c r="I137" s="133">
        <v>0.90182166845325074</v>
      </c>
      <c r="J137" s="5">
        <f>(VLOOKUP(B137,'Justice Spend Total'!$C$4:$AZ$221,39,FALSE))/100</f>
        <v>9.9675432409797402E-3</v>
      </c>
    </row>
    <row r="138" spans="1:10" ht="44.1" thickBot="1">
      <c r="A138" s="131" t="s">
        <v>77</v>
      </c>
      <c r="B138" s="134" t="s">
        <v>465</v>
      </c>
      <c r="C138" s="155" t="s">
        <v>654</v>
      </c>
      <c r="D138" s="155" t="s">
        <v>655</v>
      </c>
      <c r="E138" s="133">
        <v>0.70723520754349622</v>
      </c>
      <c r="F138" s="17">
        <f>VLOOKUP(B138,'Justice Spend Total'!$C$3:$AU$221,7,FALSE)</f>
        <v>70430</v>
      </c>
      <c r="G138" s="133">
        <v>0.70723520754349622</v>
      </c>
      <c r="H138" s="5">
        <f>(VLOOKUP(B138,'Justice Spend Total'!$C$4:$AZ$221,38,FALSE))/100</f>
        <v>6.3624993202457986E-2</v>
      </c>
      <c r="I138" s="133">
        <v>0.70723520754349622</v>
      </c>
      <c r="J138" s="5">
        <f>(VLOOKUP(B138,'Justice Spend Total'!$C$4:$AZ$221,39,FALSE))/100</f>
        <v>1.9599162428956027E-2</v>
      </c>
    </row>
    <row r="139" spans="1:10" ht="44.1" thickBot="1">
      <c r="A139" s="131" t="s">
        <v>61</v>
      </c>
      <c r="B139" s="134" t="s">
        <v>466</v>
      </c>
      <c r="C139" s="155" t="s">
        <v>654</v>
      </c>
      <c r="D139" s="155" t="s">
        <v>655</v>
      </c>
      <c r="E139" s="133">
        <v>0.80918564153998274</v>
      </c>
      <c r="F139" s="17">
        <f>VLOOKUP(B139,'Justice Spend Total'!$C$3:$AU$221,7,FALSE)</f>
        <v>74520</v>
      </c>
      <c r="G139" s="133">
        <v>0.80918564153998274</v>
      </c>
      <c r="H139" s="5">
        <f>(VLOOKUP(B139,'Justice Spend Total'!$C$4:$AZ$221,38,FALSE))/100</f>
        <v>4.1719395809414452E-2</v>
      </c>
      <c r="I139" s="133">
        <v>0.80918564153998274</v>
      </c>
      <c r="J139" s="5">
        <f>(VLOOKUP(B139,'Justice Spend Total'!$C$4:$AZ$221,39,FALSE))/100</f>
        <v>9.3555886920071094E-3</v>
      </c>
    </row>
    <row r="140" spans="1:10" ht="44.1" thickBot="1">
      <c r="A140" s="131" t="s">
        <v>54</v>
      </c>
      <c r="B140" s="134" t="s">
        <v>467</v>
      </c>
      <c r="C140" s="155" t="s">
        <v>654</v>
      </c>
      <c r="D140" s="155" t="s">
        <v>655</v>
      </c>
      <c r="E140" s="133">
        <v>0.82638409063169993</v>
      </c>
      <c r="F140" s="17">
        <f>VLOOKUP(B140,'Justice Spend Total'!$C$3:$AU$221,7,FALSE)</f>
        <v>81110</v>
      </c>
      <c r="G140" s="133">
        <v>0.82638409063169993</v>
      </c>
      <c r="H140" s="5">
        <f>(VLOOKUP(B140,'Justice Spend Total'!$C$4:$AZ$221,38,FALSE))/100</f>
        <v>2.9497514856108794E-2</v>
      </c>
      <c r="I140" s="133">
        <v>0.82638409063169993</v>
      </c>
      <c r="J140" s="5">
        <f>(VLOOKUP(B140,'Justice Spend Total'!$C$4:$AZ$221,39,FALSE))/100</f>
        <v>1.29539934209501E-2</v>
      </c>
    </row>
    <row r="141" spans="1:10" ht="44.1" thickBot="1">
      <c r="A141" s="131" t="s">
        <v>51</v>
      </c>
      <c r="B141" s="134" t="s">
        <v>468</v>
      </c>
      <c r="C141" s="155" t="s">
        <v>654</v>
      </c>
      <c r="D141" s="155" t="s">
        <v>655</v>
      </c>
      <c r="E141" s="133">
        <v>0.8894315771536605</v>
      </c>
      <c r="F141" s="17">
        <f>VLOOKUP(B141,'Justice Spend Total'!$C$3:$AU$221,7,FALSE)</f>
        <v>84090</v>
      </c>
      <c r="G141" s="133">
        <v>0.8894315771536605</v>
      </c>
      <c r="H141" s="5">
        <f>(VLOOKUP(B141,'Justice Spend Total'!$C$4:$AZ$221,38,FALSE))/100</f>
        <v>2.5949448545152701E-2</v>
      </c>
      <c r="I141" s="133">
        <v>0.8894315771536605</v>
      </c>
      <c r="J141" s="5">
        <f>(VLOOKUP(B141,'Justice Spend Total'!$C$4:$AZ$221,39,FALSE))/100</f>
        <v>1.2970748070134298E-2</v>
      </c>
    </row>
  </sheetData>
  <autoFilter ref="A1:F141" xr:uid="{BD9B51CF-62CD-2242-8343-2769314B2872}">
    <sortState xmlns:xlrd2="http://schemas.microsoft.com/office/spreadsheetml/2017/richdata2" ref="A2:F141">
      <sortCondition ref="F1:F141"/>
    </sortState>
  </autoFilter>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AA4CC-D288-413A-A3D4-BB3F57F1FB9E}">
  <dimension ref="A1:I141"/>
  <sheetViews>
    <sheetView topLeftCell="A10" workbookViewId="0">
      <selection activeCell="L7" sqref="L7"/>
    </sheetView>
  </sheetViews>
  <sheetFormatPr defaultColWidth="8.85546875" defaultRowHeight="14.45"/>
  <cols>
    <col min="2" max="2" width="11.5703125" customWidth="1"/>
    <col min="3" max="3" width="28.85546875" customWidth="1"/>
    <col min="4" max="4" width="10.5703125" bestFit="1" customWidth="1"/>
    <col min="5" max="5" width="14.85546875" style="35" bestFit="1" customWidth="1"/>
    <col min="6" max="6" width="133.28515625" customWidth="1"/>
  </cols>
  <sheetData>
    <row r="1" spans="1:9">
      <c r="G1" s="35"/>
      <c r="I1" s="35"/>
    </row>
    <row r="2" spans="1:9" ht="43.5">
      <c r="A2" t="s">
        <v>657</v>
      </c>
      <c r="B2" s="155" t="s">
        <v>658</v>
      </c>
      <c r="C2" s="156" t="s">
        <v>641</v>
      </c>
      <c r="D2" s="155" t="s">
        <v>659</v>
      </c>
      <c r="E2" s="64" t="s">
        <v>660</v>
      </c>
      <c r="F2" s="155" t="s">
        <v>661</v>
      </c>
      <c r="G2" s="64" t="s">
        <v>660</v>
      </c>
      <c r="I2" s="64" t="s">
        <v>660</v>
      </c>
    </row>
    <row r="3" spans="1:9">
      <c r="A3" t="str">
        <f>VLOOKUP(C3,'Justice Spend Total'!$B$4:$AQ$221,2,FALSE)</f>
        <v>SSD</v>
      </c>
      <c r="B3" t="str">
        <f>VLOOKUP(C3,'gov''t revenue'!$A$2:$DL$192,5, FALSE)</f>
        <v>LIC</v>
      </c>
      <c r="C3" t="s">
        <v>119</v>
      </c>
      <c r="D3" t="s">
        <v>662</v>
      </c>
      <c r="E3" s="35">
        <f>'South Sudan'!D35</f>
        <v>12.758386176</v>
      </c>
      <c r="F3" t="s">
        <v>555</v>
      </c>
      <c r="G3" s="35">
        <f>'South Sudan'!F35</f>
        <v>0</v>
      </c>
      <c r="I3" s="35">
        <f>'South Sudan'!H35</f>
        <v>0</v>
      </c>
    </row>
    <row r="4" spans="1:9">
      <c r="A4" t="str">
        <f>VLOOKUP(C4,'Justice Spend Total'!$B$4:$AQ$221,2,FALSE)</f>
        <v>TZA</v>
      </c>
      <c r="B4" s="52" t="str">
        <f>VLOOKUP(C4,'gov''t revenue'!$A$2:$DL$192,5, FALSE)</f>
        <v>LMIC</v>
      </c>
      <c r="C4" s="52" t="s">
        <v>121</v>
      </c>
      <c r="D4" s="52" t="s">
        <v>663</v>
      </c>
      <c r="E4" s="66">
        <f>Tanzania!D18</f>
        <v>1199.49218</v>
      </c>
      <c r="F4" s="52" t="s">
        <v>664</v>
      </c>
      <c r="G4" s="66">
        <f>Tanzania!F18</f>
        <v>0</v>
      </c>
      <c r="I4" s="66">
        <f>Tanzania!H18</f>
        <v>0</v>
      </c>
    </row>
    <row r="5" spans="1:9">
      <c r="A5" t="str">
        <f>VLOOKUP(C5,'Justice Spend Total'!$B$4:$AQ$221,2,FALSE)</f>
        <v>BDI</v>
      </c>
      <c r="B5" t="str">
        <f>VLOOKUP(C5,'gov''t revenue'!$A$2:$DL$192,5, FALSE)</f>
        <v>LIC</v>
      </c>
      <c r="C5" t="s">
        <v>93</v>
      </c>
      <c r="D5" t="s">
        <v>662</v>
      </c>
      <c r="E5" s="35">
        <f>Burundi!C19</f>
        <v>206.241190515</v>
      </c>
      <c r="F5" s="34" t="s">
        <v>503</v>
      </c>
      <c r="G5" s="35">
        <f>Burundi!E19</f>
        <v>0</v>
      </c>
      <c r="I5" s="35">
        <f>Burundi!G19</f>
        <v>0</v>
      </c>
    </row>
    <row r="6" spans="1:9" ht="29.1">
      <c r="A6" t="str">
        <f>VLOOKUP(C6,'Justice Spend Total'!$B$4:$AQ$221,2,FALSE)</f>
        <v>KEN</v>
      </c>
      <c r="B6" t="str">
        <f>VLOOKUP(C6,'gov''t revenue'!$A$2:$DL$192,5, FALSE)</f>
        <v>LMIC</v>
      </c>
      <c r="C6" s="53" t="s">
        <v>139</v>
      </c>
      <c r="D6" s="54" t="s">
        <v>665</v>
      </c>
      <c r="E6" s="65">
        <f>Kenya!C5</f>
        <v>188.07419999999999</v>
      </c>
      <c r="F6" s="34" t="s">
        <v>666</v>
      </c>
      <c r="G6" s="65">
        <f>Kenya!E5</f>
        <v>0</v>
      </c>
      <c r="I6" s="65">
        <f>Kenya!G5</f>
        <v>0</v>
      </c>
    </row>
    <row r="7" spans="1:9">
      <c r="A7" t="str">
        <f>VLOOKUP(C7,'Justice Spend Total'!$B$4:$AQ$221,2,FALSE)</f>
        <v>UGA</v>
      </c>
      <c r="B7" t="str">
        <f>VLOOKUP(C7,'gov''t revenue'!$A$2:$DL$192,5, FALSE)</f>
        <v>LIC</v>
      </c>
      <c r="C7" t="s">
        <v>110</v>
      </c>
      <c r="D7" s="22" t="s">
        <v>662</v>
      </c>
      <c r="E7" s="55">
        <f>Uganda!J28</f>
        <v>1829.2479999999996</v>
      </c>
      <c r="F7" t="s">
        <v>667</v>
      </c>
      <c r="G7" s="55">
        <f>Uganda!L28</f>
        <v>0</v>
      </c>
      <c r="I7" s="55">
        <f>Uganda!N28</f>
        <v>0</v>
      </c>
    </row>
    <row r="8" spans="1:9">
      <c r="A8" t="str">
        <f>VLOOKUP(C8,'Justice Spend Total'!$B$4:$AQ$221,2,FALSE)</f>
        <v>LBR</v>
      </c>
      <c r="B8" t="str">
        <f>VLOOKUP(C8,'gov''t revenue'!$A$2:$DL$192,5, FALSE)</f>
        <v>LIC</v>
      </c>
      <c r="C8" t="s">
        <v>103</v>
      </c>
      <c r="D8" s="22" t="s">
        <v>662</v>
      </c>
      <c r="E8" s="35">
        <f>Liberia!D18</f>
        <v>8.9696361000000002E-2</v>
      </c>
      <c r="F8" s="34" t="s">
        <v>595</v>
      </c>
      <c r="G8" s="35">
        <f>Liberia!F18</f>
        <v>8.6021744999999997E-2</v>
      </c>
      <c r="I8" s="35">
        <f>Liberia!H18</f>
        <v>0</v>
      </c>
    </row>
    <row r="9" spans="1:9">
      <c r="A9" t="str">
        <f>VLOOKUP(C9,'Justice Spend Total'!$B$4:$AQ$221,2,FALSE)</f>
        <v>COD</v>
      </c>
      <c r="B9" t="str">
        <f>VLOOKUP(C9,'gov''t revenue'!$A$2:$DL$192,5, FALSE)</f>
        <v>LIC</v>
      </c>
      <c r="C9" t="s">
        <v>100</v>
      </c>
      <c r="D9">
        <v>2020</v>
      </c>
      <c r="E9" s="55">
        <f>DRC!D8</f>
        <v>800.19087349400002</v>
      </c>
      <c r="F9" t="s">
        <v>508</v>
      </c>
      <c r="G9" s="55">
        <f>DRC!F8</f>
        <v>0</v>
      </c>
      <c r="I9" s="55">
        <f>DRC!H8</f>
        <v>0</v>
      </c>
    </row>
    <row r="10" spans="1:9" ht="29.1">
      <c r="A10" t="str">
        <f>VLOOKUP(C10,'Justice Spend Total'!$B$4:$AQ$221,2,FALSE)</f>
        <v>SLE</v>
      </c>
      <c r="B10" t="str">
        <f>VLOOKUP(C10,'gov''t revenue'!$A$2:$DL$192,5, FALSE)</f>
        <v>LIC</v>
      </c>
      <c r="C10" t="s">
        <v>98</v>
      </c>
      <c r="D10" s="22" t="s">
        <v>668</v>
      </c>
      <c r="E10" s="55">
        <f>'Sierra Leone 2018-2020'!E23</f>
        <v>681.37</v>
      </c>
      <c r="F10" s="34" t="s">
        <v>594</v>
      </c>
      <c r="G10" s="55">
        <f>'Sierra Leone 2018-2020'!G23</f>
        <v>0</v>
      </c>
      <c r="I10" s="55">
        <f>'Sierra Leone 2018-2020'!I23</f>
        <v>0</v>
      </c>
    </row>
    <row r="11" spans="1:9">
      <c r="A11" t="str">
        <f>VLOOKUP(C11,'Justice Spend Total'!$B$4:$AQ$221,2,FALSE)</f>
        <v>SLB</v>
      </c>
      <c r="B11" t="str">
        <f>VLOOKUP(C11,'gov''t revenue'!$A$2:$DL$192,5, FALSE)</f>
        <v>LMIC</v>
      </c>
      <c r="C11" t="s">
        <v>144</v>
      </c>
      <c r="D11" s="22">
        <v>2020</v>
      </c>
      <c r="E11" s="55">
        <f>'Solomon Islands'!C11</f>
        <v>0.35609910300000003</v>
      </c>
      <c r="F11" t="s">
        <v>669</v>
      </c>
      <c r="G11" s="55">
        <f>'Solomon Islands'!E11</f>
        <v>0.38673000000000002</v>
      </c>
      <c r="I11" s="55">
        <f>'Solomon Islands'!G11</f>
        <v>0</v>
      </c>
    </row>
    <row r="12" spans="1:9">
      <c r="A12" t="str">
        <f>VLOOKUP(C12,'Justice Spend Total'!$B$4:$AQ$221,2,FALSE)</f>
        <v>BGD</v>
      </c>
      <c r="B12" t="str">
        <f>VLOOKUP(C12,'gov''t revenue'!$A$2:$DL$192,5, FALSE)</f>
        <v>LMIC</v>
      </c>
      <c r="C12" t="s">
        <v>149</v>
      </c>
      <c r="D12" s="22" t="s">
        <v>662</v>
      </c>
      <c r="E12" s="35">
        <f>Bangladesh!F20</f>
        <v>221.43</v>
      </c>
      <c r="F12" t="s">
        <v>670</v>
      </c>
      <c r="G12" s="35">
        <f>Bangladesh!H20</f>
        <v>0</v>
      </c>
      <c r="I12" s="35">
        <f>Bangladesh!J20</f>
        <v>0</v>
      </c>
    </row>
    <row r="13" spans="1:9">
      <c r="A13" t="str">
        <f>VLOOKUP(C13,'Justice Spend Total'!$B$4:$AQ$221,2,FALSE)</f>
        <v>MLI</v>
      </c>
      <c r="B13" t="str">
        <f>VLOOKUP(C13,'gov''t revenue'!$A$2:$DL$192,5, FALSE)</f>
        <v>LIC</v>
      </c>
      <c r="C13" t="s">
        <v>113</v>
      </c>
      <c r="D13">
        <v>2020</v>
      </c>
      <c r="E13" s="35">
        <f>Mali!C14</f>
        <v>168.2</v>
      </c>
      <c r="F13" t="s">
        <v>539</v>
      </c>
      <c r="G13" s="35">
        <f>Mali!E14</f>
        <v>174</v>
      </c>
      <c r="I13" s="35">
        <f>Mali!G14</f>
        <v>0</v>
      </c>
    </row>
    <row r="14" spans="1:9">
      <c r="A14" t="str">
        <f>VLOOKUP(C14,'Justice Spend Total'!$B$4:$AQ$221,2,FALSE)</f>
        <v>MWI</v>
      </c>
      <c r="B14" t="str">
        <f>VLOOKUP(C14,'gov''t revenue'!$A$2:$DL$192,5, FALSE)</f>
        <v>LIC</v>
      </c>
      <c r="C14" t="s">
        <v>104</v>
      </c>
      <c r="D14" s="22" t="s">
        <v>671</v>
      </c>
      <c r="E14" s="35">
        <f>Malawi!D31</f>
        <v>85.181432142000006</v>
      </c>
      <c r="F14" t="s">
        <v>538</v>
      </c>
      <c r="G14" s="35">
        <f>Malawi!F31</f>
        <v>0</v>
      </c>
      <c r="I14" s="35">
        <f>Malawi!H31</f>
        <v>0</v>
      </c>
    </row>
    <row r="15" spans="1:9">
      <c r="A15" t="str">
        <f>VLOOKUP(C15,'Justice Spend Total'!$B$4:$AQ$221,2,FALSE)</f>
        <v>RWA</v>
      </c>
      <c r="B15" t="str">
        <f>VLOOKUP(C15,'gov''t revenue'!$A$2:$DL$192,5, FALSE)</f>
        <v>LIC</v>
      </c>
      <c r="C15" t="s">
        <v>111</v>
      </c>
      <c r="D15" s="22" t="s">
        <v>663</v>
      </c>
      <c r="E15" s="55">
        <f>Rwanda!C4</f>
        <v>145.24332746300001</v>
      </c>
      <c r="F15" t="s">
        <v>550</v>
      </c>
      <c r="G15" s="55">
        <f>Rwanda!E4</f>
        <v>0</v>
      </c>
      <c r="I15" s="55">
        <f>Rwanda!G4</f>
        <v>0</v>
      </c>
    </row>
    <row r="16" spans="1:9">
      <c r="A16" t="str">
        <f>VLOOKUP(C16,'Justice Spend Total'!$B$4:$AQ$221,2,FALSE)</f>
        <v>GMB</v>
      </c>
      <c r="B16" t="str">
        <f>VLOOKUP(C16,'gov''t revenue'!$A$2:$DL$192,5, FALSE)</f>
        <v>LIC</v>
      </c>
      <c r="C16" t="s">
        <v>109</v>
      </c>
      <c r="D16">
        <v>2020</v>
      </c>
      <c r="E16" s="35">
        <f>Gambia!C26</f>
        <v>1.1928799999999999</v>
      </c>
      <c r="F16" t="s">
        <v>516</v>
      </c>
      <c r="G16" s="35">
        <f>Gambia!E26</f>
        <v>1.4192469999999999</v>
      </c>
      <c r="I16" s="35">
        <f>Gambia!G26</f>
        <v>0</v>
      </c>
    </row>
    <row r="17" spans="1:9">
      <c r="A17" t="str">
        <f>VLOOKUP(C17,'Justice Spend Total'!$B$4:$AQ$221,2,FALSE)</f>
        <v>NER</v>
      </c>
      <c r="B17" t="str">
        <f>VLOOKUP(C17,'gov''t revenue'!$A$2:$DL$192,5, FALSE)</f>
        <v>LIC</v>
      </c>
      <c r="C17" t="s">
        <v>101</v>
      </c>
      <c r="E17" s="55"/>
      <c r="G17" s="55"/>
      <c r="I17" s="55"/>
    </row>
    <row r="18" spans="1:9">
      <c r="A18" t="str">
        <f>VLOOKUP(C18,'Justice Spend Total'!$B$4:$AQ$221,2,FALSE)</f>
        <v>GIN</v>
      </c>
      <c r="B18" t="str">
        <f>VLOOKUP(C18,'gov''t revenue'!$A$2:$DL$192,5, FALSE)</f>
        <v>LIC</v>
      </c>
      <c r="C18" t="s">
        <v>117</v>
      </c>
      <c r="D18">
        <v>2021</v>
      </c>
      <c r="E18" s="55">
        <f>Guinea!D10</f>
        <v>683.44</v>
      </c>
      <c r="F18" t="s">
        <v>519</v>
      </c>
      <c r="G18" s="55">
        <f>Guinea!F10</f>
        <v>0.43815873829978202</v>
      </c>
      <c r="I18" s="55">
        <f>Guinea!H10</f>
        <v>0</v>
      </c>
    </row>
    <row r="19" spans="1:9">
      <c r="A19" t="str">
        <f>VLOOKUP(C19,'Justice Spend Total'!$B$4:$AQ$221,2,FALSE)</f>
        <v>AFG</v>
      </c>
      <c r="B19" t="str">
        <f>VLOOKUP(C19,'gov''t revenue'!$A$2:$DL$192,5, FALSE)</f>
        <v>LIC</v>
      </c>
      <c r="C19" t="s">
        <v>96</v>
      </c>
      <c r="E19" s="55"/>
      <c r="F19" s="34" t="s">
        <v>672</v>
      </c>
      <c r="G19" s="55"/>
      <c r="I19" s="55"/>
    </row>
    <row r="20" spans="1:9">
      <c r="A20" t="str">
        <f>VLOOKUP(C20,'Justice Spend Total'!$B$4:$AQ$221,2,FALSE)</f>
        <v>MOZ</v>
      </c>
      <c r="B20" t="str">
        <f>VLOOKUP(C20,'gov''t revenue'!$A$2:$DL$192,5, FALSE)</f>
        <v>LIC</v>
      </c>
      <c r="C20" t="s">
        <v>95</v>
      </c>
      <c r="D20">
        <v>2021</v>
      </c>
      <c r="E20" s="55">
        <f>Mozambique!J8</f>
        <v>40.491</v>
      </c>
      <c r="F20" t="s">
        <v>673</v>
      </c>
      <c r="G20" s="55">
        <f>Mozambique!L8</f>
        <v>0</v>
      </c>
      <c r="I20" s="55">
        <f>Mozambique!N8</f>
        <v>0</v>
      </c>
    </row>
    <row r="21" spans="1:9">
      <c r="A21" t="str">
        <f>VLOOKUP(C21,'Justice Spend Total'!$B$4:$AQ$221,2,FALSE)</f>
        <v>ZMB</v>
      </c>
      <c r="B21" t="str">
        <f>VLOOKUP(C21,'gov''t revenue'!$A$2:$DL$192,5, FALSE)</f>
        <v>LIC</v>
      </c>
      <c r="C21" t="s">
        <v>118</v>
      </c>
      <c r="D21">
        <v>2021</v>
      </c>
      <c r="E21" s="55">
        <f>Zambia!C16</f>
        <v>2.8441229520000002</v>
      </c>
      <c r="G21" s="55">
        <f>Zambia!E16</f>
        <v>0</v>
      </c>
      <c r="I21" s="55">
        <f>Zambia!G16</f>
        <v>0</v>
      </c>
    </row>
    <row r="22" spans="1:9">
      <c r="A22" t="str">
        <f>VLOOKUP(C22,'Justice Spend Total'!$B$4:$AQ$221,2,FALSE)</f>
        <v>SDN</v>
      </c>
      <c r="B22" t="str">
        <f>VLOOKUP(C22,'gov''t revenue'!$A$2:$DL$192,5, FALSE)</f>
        <v>LIC</v>
      </c>
      <c r="C22" t="s">
        <v>106</v>
      </c>
      <c r="D22" t="s">
        <v>674</v>
      </c>
      <c r="E22" s="35">
        <f>Sudan!D9</f>
        <v>11.712399999999999</v>
      </c>
      <c r="F22" t="s">
        <v>556</v>
      </c>
      <c r="G22" s="35">
        <f>Sudan!F9</f>
        <v>0</v>
      </c>
      <c r="I22" s="35">
        <f>Sudan!H9</f>
        <v>0</v>
      </c>
    </row>
    <row r="23" spans="1:9">
      <c r="A23" t="str">
        <f>VLOOKUP(C23,'Justice Spend Total'!$B$4:$AQ$221,2,FALSE)</f>
        <v>GNB</v>
      </c>
      <c r="B23" s="52" t="str">
        <f>VLOOKUP(C23,'gov''t revenue'!$A$2:$DL$192,5, FALSE)</f>
        <v>LIC</v>
      </c>
      <c r="C23" s="52" t="s">
        <v>108</v>
      </c>
      <c r="D23" s="52"/>
      <c r="E23" s="66"/>
      <c r="F23" s="52" t="s">
        <v>675</v>
      </c>
      <c r="G23" s="66"/>
      <c r="I23" s="66"/>
    </row>
    <row r="24" spans="1:9">
      <c r="A24" t="str">
        <f>VLOOKUP(C24,'Justice Spend Total'!$B$4:$AQ$221,2,FALSE)</f>
        <v>CAF</v>
      </c>
      <c r="B24" t="str">
        <f>VLOOKUP(C24,'gov''t revenue'!$A$2:$DL$192,5, FALSE)</f>
        <v>LIC</v>
      </c>
      <c r="C24" t="s">
        <v>99</v>
      </c>
      <c r="D24">
        <v>2021</v>
      </c>
      <c r="E24" s="55">
        <f>CAF!E10</f>
        <v>19.720614000000001</v>
      </c>
      <c r="F24" t="s">
        <v>506</v>
      </c>
      <c r="G24" s="55">
        <f>CAF!G10</f>
        <v>0</v>
      </c>
      <c r="I24" s="55">
        <f>CAF!I10</f>
        <v>0</v>
      </c>
    </row>
    <row r="25" spans="1:9">
      <c r="A25" t="str">
        <f>VLOOKUP(C25,'Justice Spend Total'!$B$4:$AQ$221,2,FALSE)</f>
        <v>MDG</v>
      </c>
      <c r="B25" t="str">
        <f>VLOOKUP(C25,'gov''t revenue'!$A$2:$DL$192,5, FALSE)</f>
        <v>LIC</v>
      </c>
      <c r="C25" t="s">
        <v>97</v>
      </c>
      <c r="D25">
        <v>2021</v>
      </c>
      <c r="E25" s="55">
        <f>Madagascar!E14</f>
        <v>721.63612499999999</v>
      </c>
      <c r="F25" t="s">
        <v>676</v>
      </c>
      <c r="G25" s="55">
        <f>Madagascar!G14</f>
        <v>0</v>
      </c>
      <c r="I25" s="55">
        <f>Madagascar!I14</f>
        <v>0</v>
      </c>
    </row>
    <row r="26" spans="1:9" s="57" customFormat="1">
      <c r="A26" t="str">
        <f>VLOOKUP(C26,'Justice Spend Total'!$B$4:$AQ$221,2,FALSE)</f>
        <v>BOL</v>
      </c>
      <c r="B26" s="57" t="str">
        <f>VLOOKUP(C26,'gov''t revenue'!$A$2:$DL$192,5, FALSE)</f>
        <v>LMIC</v>
      </c>
      <c r="C26" s="58" t="s">
        <v>157</v>
      </c>
      <c r="E26" s="67"/>
      <c r="F26" s="59" t="s">
        <v>677</v>
      </c>
      <c r="G26" s="67"/>
      <c r="I26" s="67"/>
    </row>
    <row r="27" spans="1:9">
      <c r="A27" t="str">
        <f>VLOOKUP(C27,'Justice Spend Total'!$B$4:$AQ$221,2,FALSE)</f>
        <v>BTN</v>
      </c>
      <c r="B27" t="str">
        <f>VLOOKUP(C27,'gov''t revenue'!$A$2:$DL$192,5, FALSE)</f>
        <v>LMIC</v>
      </c>
      <c r="C27" s="15" t="s">
        <v>151</v>
      </c>
      <c r="D27" t="s">
        <v>678</v>
      </c>
      <c r="E27" s="55">
        <f>Bhutan!C15</f>
        <v>3.8013869999999996</v>
      </c>
      <c r="F27" s="34" t="s">
        <v>679</v>
      </c>
      <c r="G27" s="55">
        <f>Bhutan!E15</f>
        <v>0</v>
      </c>
      <c r="I27" s="55">
        <f>Bhutan!G15</f>
        <v>0</v>
      </c>
    </row>
    <row r="28" spans="1:9">
      <c r="A28" t="e">
        <f>VLOOKUP(C28,'Justice Spend Total'!$B$4:$AQ$221,2,FALSE)</f>
        <v>#N/A</v>
      </c>
      <c r="B28" t="str">
        <f>VLOOKUP(C28,'gov''t revenue'!$A$2:$DL$192,5, FALSE)</f>
        <v>LMIC</v>
      </c>
      <c r="C28" t="s">
        <v>680</v>
      </c>
      <c r="D28">
        <v>2020</v>
      </c>
      <c r="E28" s="55">
        <f>'Côte d''Ivoire'!C19</f>
        <v>236.4</v>
      </c>
      <c r="F28" t="s">
        <v>569</v>
      </c>
      <c r="G28" s="55">
        <f>'Côte d''Ivoire'!E19</f>
        <v>0</v>
      </c>
      <c r="I28" s="55">
        <f>'Côte d''Ivoire'!G19</f>
        <v>0</v>
      </c>
    </row>
    <row r="29" spans="1:9">
      <c r="A29" t="str">
        <f>VLOOKUP(C29,'Justice Spend Total'!$B$4:$AQ$221,2,FALSE)</f>
        <v>EGY</v>
      </c>
      <c r="B29" t="str">
        <f>VLOOKUP(C29,'gov''t revenue'!$A$2:$DL$192,5, FALSE)</f>
        <v>LMIC</v>
      </c>
      <c r="C29" t="s">
        <v>160</v>
      </c>
      <c r="D29" t="s">
        <v>681</v>
      </c>
      <c r="E29" s="55">
        <f>'Egypt, Arab Rep.'!D6</f>
        <v>70</v>
      </c>
      <c r="F29" t="s">
        <v>514</v>
      </c>
      <c r="G29" s="55">
        <f>'Egypt, Arab Rep.'!F6</f>
        <v>0</v>
      </c>
      <c r="I29" s="55">
        <f>'Egypt, Arab Rep.'!H6</f>
        <v>0</v>
      </c>
    </row>
    <row r="30" spans="1:9">
      <c r="A30" t="str">
        <f>VLOOKUP(C30,'Justice Spend Total'!$B$4:$AQ$221,2,FALSE)</f>
        <v>GHA</v>
      </c>
      <c r="B30" t="str">
        <f>VLOOKUP(C30,'gov''t revenue'!$A$2:$DL$192,5, FALSE)</f>
        <v>LMIC</v>
      </c>
      <c r="C30" t="s">
        <v>145</v>
      </c>
      <c r="D30">
        <v>2022</v>
      </c>
      <c r="E30" s="35">
        <f>Ghana!D16</f>
        <v>4.7778251980000004</v>
      </c>
      <c r="F30" t="s">
        <v>518</v>
      </c>
      <c r="G30" s="35">
        <f>Ghana!F16</f>
        <v>0</v>
      </c>
      <c r="I30" s="35">
        <f>Ghana!H16</f>
        <v>0</v>
      </c>
    </row>
    <row r="31" spans="1:9">
      <c r="A31" t="str">
        <f>VLOOKUP(C31,'Justice Spend Total'!$B$4:$AQ$221,2,FALSE)</f>
        <v>HND</v>
      </c>
      <c r="B31" t="s">
        <v>300</v>
      </c>
      <c r="C31" t="s">
        <v>148</v>
      </c>
      <c r="D31">
        <v>2021</v>
      </c>
      <c r="E31" s="37">
        <f>Honduras!D13</f>
        <v>12.930658151999999</v>
      </c>
      <c r="F31" s="7" t="s">
        <v>682</v>
      </c>
      <c r="G31" s="37">
        <f>Honduras!F13</f>
        <v>0</v>
      </c>
      <c r="I31" s="37">
        <f>Honduras!H13</f>
        <v>0</v>
      </c>
    </row>
    <row r="32" spans="1:9" s="57" customFormat="1">
      <c r="A32" t="str">
        <f>VLOOKUP(C32,'Justice Spend Total'!$B$4:$AQ$221,2,FALSE)</f>
        <v>CMR</v>
      </c>
      <c r="B32" t="str">
        <f>VLOOKUP(C32,'gov''t revenue'!$A$2:$DL$192,5, FALSE)</f>
        <v>LMIC</v>
      </c>
      <c r="C32" s="57" t="s">
        <v>133</v>
      </c>
      <c r="E32" s="67"/>
      <c r="G32" s="67"/>
      <c r="I32" s="67"/>
    </row>
    <row r="33" spans="1:9">
      <c r="A33" t="str">
        <f>VLOOKUP(C33,'Justice Spend Total'!$B$4:$AQ$221,2,FALSE)</f>
        <v>HTI</v>
      </c>
      <c r="B33" t="str">
        <f>VLOOKUP(C33,'gov''t revenue'!$A$2:$DL$192,5, FALSE)</f>
        <v>LMIC</v>
      </c>
      <c r="C33" t="s">
        <v>128</v>
      </c>
      <c r="D33" t="s">
        <v>683</v>
      </c>
      <c r="E33" s="55">
        <f>Haiti!D10</f>
        <v>25.153121714000001</v>
      </c>
      <c r="G33" s="55">
        <f>Haiti!F10</f>
        <v>0</v>
      </c>
      <c r="I33" s="55">
        <f>Haiti!H10</f>
        <v>0</v>
      </c>
    </row>
    <row r="34" spans="1:9">
      <c r="A34" t="str">
        <f>VLOOKUP(C34,'Justice Spend Total'!$B$4:$AQ$221,2,FALSE)</f>
        <v>IND</v>
      </c>
      <c r="B34" t="str">
        <f>VLOOKUP(C34,'gov''t revenue'!$A$2:$DL$192,5, FALSE)</f>
        <v>LMIC</v>
      </c>
      <c r="C34" s="6" t="s">
        <v>142</v>
      </c>
      <c r="D34" t="s">
        <v>683</v>
      </c>
      <c r="E34" s="35">
        <f>India!H12</f>
        <v>2277.0024289830003</v>
      </c>
      <c r="G34" s="35">
        <f>India!J12</f>
        <v>0</v>
      </c>
      <c r="I34" s="35">
        <f>India!L12</f>
        <v>0</v>
      </c>
    </row>
    <row r="35" spans="1:9">
      <c r="A35" t="str">
        <f>VLOOKUP(C35,'Justice Spend Total'!$B$4:$AQ$221,2,FALSE)</f>
        <v>LSO</v>
      </c>
      <c r="B35" t="str">
        <f>VLOOKUP(C35,'gov''t revenue'!$A$2:$DL$192,5, FALSE)</f>
        <v>LMIC</v>
      </c>
      <c r="C35" s="6" t="s">
        <v>125</v>
      </c>
      <c r="D35" t="s">
        <v>684</v>
      </c>
      <c r="E35" s="35">
        <f>Lesotho!C22</f>
        <v>1.2321105889999999</v>
      </c>
      <c r="G35" s="35">
        <f>Lesotho!E22</f>
        <v>0</v>
      </c>
      <c r="I35" s="35">
        <f>Lesotho!G22</f>
        <v>0</v>
      </c>
    </row>
    <row r="36" spans="1:9">
      <c r="A36" t="str">
        <f>VLOOKUP(C36,'Justice Spend Total'!$B$4:$AQ$221,2,FALSE)</f>
        <v>NGA</v>
      </c>
      <c r="B36" t="str">
        <f>VLOOKUP(C36,'gov''t revenue'!$A$2:$DL$192,5, FALSE)</f>
        <v>LMIC</v>
      </c>
      <c r="C36" s="6" t="s">
        <v>141</v>
      </c>
      <c r="D36">
        <v>2022</v>
      </c>
      <c r="E36" s="35">
        <f>Nigeria!C13</f>
        <v>832.10323935700001</v>
      </c>
      <c r="G36" s="35">
        <f>Nigeria!E13</f>
        <v>0</v>
      </c>
      <c r="I36" s="35">
        <f>Nigeria!G13</f>
        <v>0</v>
      </c>
    </row>
    <row r="37" spans="1:9">
      <c r="A37" t="str">
        <f>VLOOKUP(C37,'Justice Spend Total'!$B$4:$AQ$221,2,FALSE)</f>
        <v>PAK</v>
      </c>
      <c r="B37" t="str">
        <f>VLOOKUP(C37,'gov''t revenue'!$A$2:$DL$192,5, FALSE)</f>
        <v>LMIC</v>
      </c>
      <c r="C37" s="6" t="s">
        <v>130</v>
      </c>
      <c r="D37" t="s">
        <v>685</v>
      </c>
      <c r="E37" s="35">
        <f>Pakistan!C22</f>
        <v>196.601</v>
      </c>
      <c r="G37" s="35">
        <f>Pakistan!E22</f>
        <v>0</v>
      </c>
      <c r="I37" s="35">
        <f>Pakistan!G22</f>
        <v>0</v>
      </c>
    </row>
    <row r="38" spans="1:9">
      <c r="A38" t="str">
        <f>VLOOKUP(C38,'Justice Spend Total'!$B$4:$AQ$221,2,FALSE)</f>
        <v>PNG</v>
      </c>
      <c r="B38" t="str">
        <f>VLOOKUP(C38,'gov''t revenue'!$A$2:$DL$192,5, FALSE)</f>
        <v>LMIC</v>
      </c>
      <c r="C38" s="6" t="s">
        <v>150</v>
      </c>
      <c r="D38">
        <v>2022</v>
      </c>
      <c r="E38" s="35">
        <f>'Papua New Guinea'!E22</f>
        <v>1.3857000000000002</v>
      </c>
      <c r="G38" s="35">
        <f>'Papua New Guinea'!G22</f>
        <v>0</v>
      </c>
      <c r="I38" s="35">
        <f>'Papua New Guinea'!I22</f>
        <v>0</v>
      </c>
    </row>
    <row r="39" spans="1:9">
      <c r="A39" t="str">
        <f>VLOOKUP(C39,'Justice Spend Total'!$B$4:$AQ$221,2,FALSE)</f>
        <v>MRT</v>
      </c>
      <c r="B39" t="s">
        <v>300</v>
      </c>
      <c r="C39" s="6" t="s">
        <v>135</v>
      </c>
      <c r="D39">
        <v>2021</v>
      </c>
      <c r="E39" s="35">
        <f>Mauritania!D9</f>
        <v>3.515788986</v>
      </c>
      <c r="G39" s="35">
        <f>Mauritania!F9</f>
        <v>0</v>
      </c>
      <c r="I39" s="35" t="str">
        <f>Mauritania!H9</f>
        <v>Fonction 01 Services généraux de sécurité publique 1 809 216 536</v>
      </c>
    </row>
    <row r="40" spans="1:9">
      <c r="A40" t="str">
        <f>VLOOKUP(C40,'Justice Spend Total'!$B$4:$AQ$221,2,FALSE)</f>
        <v>MAR</v>
      </c>
      <c r="B40" t="s">
        <v>300</v>
      </c>
      <c r="C40" t="s">
        <v>156</v>
      </c>
      <c r="D40">
        <v>2022</v>
      </c>
      <c r="E40" s="35">
        <f>Morocco!D5</f>
        <v>44.598770000000002</v>
      </c>
      <c r="F40" t="s">
        <v>542</v>
      </c>
      <c r="G40" s="35">
        <f>Morocco!F5</f>
        <v>0</v>
      </c>
      <c r="I40" s="35">
        <f>Morocco!H5</f>
        <v>0</v>
      </c>
    </row>
    <row r="41" spans="1:9">
      <c r="A41" t="str">
        <f>VLOOKUP(C41,'Justice Spend Total'!$B$4:$AQ$221,2,FALSE)</f>
        <v>BEN</v>
      </c>
      <c r="C41" s="6" t="s">
        <v>126</v>
      </c>
      <c r="D41">
        <v>2020</v>
      </c>
      <c r="E41" s="35">
        <f>Benin!D14</f>
        <v>108.84108000000001</v>
      </c>
      <c r="G41" s="35">
        <f>Benin!F14</f>
        <v>0</v>
      </c>
      <c r="I41" s="35">
        <f>Benin!H14</f>
        <v>0</v>
      </c>
    </row>
    <row r="42" spans="1:9">
      <c r="A42" t="str">
        <f>VLOOKUP(C42,'Justice Spend Total'!$B$4:$AQ$221,2,FALSE)</f>
        <v>COG</v>
      </c>
      <c r="C42" t="s">
        <v>134</v>
      </c>
      <c r="D42">
        <v>2020</v>
      </c>
      <c r="E42" s="35">
        <f>'Congo, Rep.'!C12</f>
        <v>29.930814057999999</v>
      </c>
      <c r="F42" t="s">
        <v>686</v>
      </c>
      <c r="G42" s="35">
        <f>'Congo, Rep.'!E12</f>
        <v>32.315093814000001</v>
      </c>
      <c r="I42" s="35">
        <f>'Congo, Rep.'!G12</f>
        <v>0</v>
      </c>
    </row>
    <row r="43" spans="1:9">
      <c r="A43" t="str">
        <f>VLOOKUP(C43,'Justice Spend Total'!$B$4:$AQ$221,2,FALSE)</f>
        <v>DZA</v>
      </c>
      <c r="C43" s="6" t="s">
        <v>164</v>
      </c>
      <c r="D43">
        <v>2021</v>
      </c>
      <c r="E43" s="35">
        <f>Algeria!D6</f>
        <v>92.275048999999996</v>
      </c>
      <c r="F43" t="s">
        <v>686</v>
      </c>
      <c r="G43" s="35">
        <f>Algeria!F6</f>
        <v>0</v>
      </c>
      <c r="I43" s="35">
        <f>Algeria!H6</f>
        <v>0</v>
      </c>
    </row>
    <row r="44" spans="1:9">
      <c r="A44" t="str">
        <f>VLOOKUP(C44,'Justice Spend Total'!$B$4:$AQ$221,2,FALSE)</f>
        <v>KGZ</v>
      </c>
      <c r="C44" t="s">
        <v>123</v>
      </c>
      <c r="D44">
        <v>2019</v>
      </c>
      <c r="E44" s="17">
        <f>'Kyrgyz Republic'!E10</f>
        <v>12.394888000000002</v>
      </c>
      <c r="G44" s="17">
        <f>'Kyrgyz Republic'!G10</f>
        <v>0</v>
      </c>
      <c r="I44" s="17">
        <f>'Kyrgyz Republic'!I10</f>
        <v>0</v>
      </c>
    </row>
    <row r="45" spans="1:9">
      <c r="A45" t="str">
        <f>VLOOKUP(C45,'Justice Spend Total'!$B$4:$AQ$221,2,FALSE)</f>
        <v>KHM</v>
      </c>
      <c r="C45" s="6" t="s">
        <v>132</v>
      </c>
      <c r="D45">
        <v>2022</v>
      </c>
      <c r="E45" s="35">
        <f>Cambodia!D12</f>
        <v>1760.8887999999999</v>
      </c>
      <c r="G45" s="35">
        <f>Cambodia!F12</f>
        <v>0</v>
      </c>
      <c r="I45" s="35">
        <f>Cambodia!H12</f>
        <v>0</v>
      </c>
    </row>
    <row r="46" spans="1:9">
      <c r="A46" t="str">
        <f>VLOOKUP(C46,'Justice Spend Total'!$B$4:$AQ$221,2,FALSE)</f>
        <v>LAO</v>
      </c>
      <c r="C46" t="s">
        <v>147</v>
      </c>
      <c r="D46">
        <v>2022</v>
      </c>
      <c r="E46" s="37">
        <f>'Lao PDR'!D11</f>
        <v>427.90052000000003</v>
      </c>
      <c r="G46" s="37">
        <f>'Lao PDR'!F11</f>
        <v>0</v>
      </c>
      <c r="I46" s="37">
        <f>'Lao PDR'!H11</f>
        <v>0</v>
      </c>
    </row>
    <row r="47" spans="1:9">
      <c r="A47" t="str">
        <f>VLOOKUP(C47,'Justice Spend Total'!$B$4:$AQ$221,2,FALSE)</f>
        <v>SEN</v>
      </c>
      <c r="C47" s="6" t="s">
        <v>131</v>
      </c>
      <c r="D47">
        <v>2021</v>
      </c>
      <c r="E47" s="35">
        <f>Senegal!C8</f>
        <v>169.600807248</v>
      </c>
      <c r="G47" s="35">
        <f>Senegal!E8</f>
        <v>0</v>
      </c>
      <c r="I47" s="35">
        <f>Senegal!G8</f>
        <v>0</v>
      </c>
    </row>
    <row r="48" spans="1:9">
      <c r="A48" t="str">
        <f>VLOOKUP(C48,'Justice Spend Total'!$B$4:$AQ$221,2,FALSE)</f>
        <v>SWZ</v>
      </c>
      <c r="C48" t="s">
        <v>165</v>
      </c>
      <c r="D48" t="s">
        <v>687</v>
      </c>
      <c r="E48" s="35">
        <f>Eswatini!C16</f>
        <v>1.867737</v>
      </c>
      <c r="G48" s="35">
        <f>Eswatini!E16</f>
        <v>0</v>
      </c>
      <c r="I48" s="35">
        <f>Eswatini!G16</f>
        <v>0</v>
      </c>
    </row>
    <row r="49" spans="1:9">
      <c r="A49" t="str">
        <f>VLOOKUP(C49,'Justice Spend Total'!$B$4:$AQ$221,2,FALSE)</f>
        <v>STP</v>
      </c>
      <c r="C49" t="s">
        <v>143</v>
      </c>
      <c r="D49">
        <v>2021</v>
      </c>
      <c r="E49" s="35" t="e">
        <f>#REF!</f>
        <v>#REF!</v>
      </c>
      <c r="G49" s="35" t="e">
        <f>#REF!</f>
        <v>#REF!</v>
      </c>
      <c r="I49" s="35" t="e">
        <f>#REF!</f>
        <v>#REF!</v>
      </c>
    </row>
    <row r="50" spans="1:9">
      <c r="A50" t="str">
        <f>VLOOKUP(C50,'Justice Spend Total'!$B$4:$AQ$221,2,FALSE)</f>
        <v>TLS</v>
      </c>
      <c r="C50" t="s">
        <v>137</v>
      </c>
      <c r="D50">
        <v>2021</v>
      </c>
      <c r="E50" s="35">
        <f>'Timor-Leste'!D7</f>
        <v>0.117926</v>
      </c>
      <c r="G50" s="35">
        <f>'Timor-Leste'!F7</f>
        <v>0</v>
      </c>
      <c r="I50" s="35">
        <f>'Timor-Leste'!H7</f>
        <v>0</v>
      </c>
    </row>
    <row r="51" spans="1:9">
      <c r="A51" t="str">
        <f>VLOOKUP(C51,'Justice Spend Total'!$B$4:$AQ$221,2,FALSE)</f>
        <v>UZB</v>
      </c>
      <c r="C51" t="s">
        <v>138</v>
      </c>
      <c r="D51">
        <v>2020</v>
      </c>
      <c r="E51" s="35">
        <f>Uzbekistan!D10</f>
        <v>581.80000000000007</v>
      </c>
      <c r="F51" t="s">
        <v>686</v>
      </c>
      <c r="G51" s="35">
        <f>Uzbekistan!F10</f>
        <v>0</v>
      </c>
      <c r="I51" s="35">
        <f>Uzbekistan!H10</f>
        <v>0</v>
      </c>
    </row>
    <row r="52" spans="1:9">
      <c r="A52" t="str">
        <f>VLOOKUP(C52,'Justice Spend Total'!$B$4:$AQ$221,2,FALSE)</f>
        <v>VUT</v>
      </c>
      <c r="C52" t="s">
        <v>153</v>
      </c>
      <c r="D52">
        <v>2021</v>
      </c>
      <c r="E52" s="35">
        <f>Vanuatu!D23</f>
        <v>1.5502</v>
      </c>
      <c r="G52" s="35">
        <f>Vanuatu!F23</f>
        <v>1.5121</v>
      </c>
      <c r="I52" s="35">
        <f>Vanuatu!H23</f>
        <v>1.5774000000000001</v>
      </c>
    </row>
    <row r="53" spans="1:9">
      <c r="A53" t="str">
        <f>VLOOKUP(C53,'Justice Spend Total'!$B$4:$AQ$221,2,FALSE)</f>
        <v>ZWE</v>
      </c>
      <c r="C53" t="s">
        <v>127</v>
      </c>
      <c r="D53">
        <v>2022</v>
      </c>
      <c r="E53" s="35">
        <f>Zimbabwe!B15</f>
        <v>87.144209999999987</v>
      </c>
      <c r="G53" s="35">
        <f>Zimbabwe!D15</f>
        <v>0</v>
      </c>
      <c r="I53" s="35">
        <f>Zimbabwe!F15</f>
        <v>0</v>
      </c>
    </row>
    <row r="54" spans="1:9">
      <c r="A54" t="str">
        <f>VLOOKUP(C54,'Justice Spend Total'!$B$4:$AQ$221,2,FALSE)</f>
        <v>TCD</v>
      </c>
      <c r="C54" t="s">
        <v>105</v>
      </c>
      <c r="D54">
        <v>2022</v>
      </c>
      <c r="E54" s="35" t="e">
        <f>#REF!</f>
        <v>#REF!</v>
      </c>
      <c r="G54" s="35" t="e">
        <f>#REF!</f>
        <v>#REF!</v>
      </c>
      <c r="I54" s="35" t="e">
        <f>#REF!</f>
        <v>#REF!</v>
      </c>
    </row>
    <row r="55" spans="1:9">
      <c r="A55" t="str">
        <f>VLOOKUP(C55,'Justice Spend Total'!$B$4:$AQ$221,2,FALSE)</f>
        <v>TGO</v>
      </c>
      <c r="C55" t="s">
        <v>116</v>
      </c>
      <c r="D55">
        <v>2021</v>
      </c>
      <c r="E55" s="17">
        <f>Togo!C16</f>
        <v>26.646512000000001</v>
      </c>
      <c r="G55" s="17">
        <f>Togo!E16</f>
        <v>27.336096000000001</v>
      </c>
      <c r="I55" s="17">
        <f>Togo!G16</f>
        <v>0</v>
      </c>
    </row>
    <row r="56" spans="1:9">
      <c r="G56" s="35"/>
      <c r="I56" s="35"/>
    </row>
    <row r="57" spans="1:9">
      <c r="A57" t="s">
        <v>688</v>
      </c>
      <c r="G57" s="35"/>
      <c r="I57" s="35"/>
    </row>
    <row r="58" spans="1:9">
      <c r="G58" s="35"/>
      <c r="I58" s="35"/>
    </row>
    <row r="59" spans="1:9">
      <c r="G59" s="35"/>
      <c r="I59" s="35"/>
    </row>
    <row r="60" spans="1:9">
      <c r="G60" s="35"/>
      <c r="I60" s="35"/>
    </row>
    <row r="61" spans="1:9">
      <c r="G61" s="35"/>
      <c r="I61" s="35"/>
    </row>
    <row r="62" spans="1:9">
      <c r="G62" s="35"/>
      <c r="I62" s="35"/>
    </row>
    <row r="63" spans="1:9">
      <c r="G63" s="35"/>
      <c r="I63" s="35"/>
    </row>
    <row r="64" spans="1:9">
      <c r="G64" s="35"/>
      <c r="I64" s="35"/>
    </row>
    <row r="65" spans="7:9">
      <c r="G65" s="35"/>
      <c r="I65" s="35"/>
    </row>
    <row r="66" spans="7:9">
      <c r="G66" s="35"/>
      <c r="I66" s="35"/>
    </row>
    <row r="67" spans="7:9">
      <c r="G67" s="35"/>
      <c r="I67" s="35"/>
    </row>
    <row r="68" spans="7:9">
      <c r="G68" s="35"/>
      <c r="I68" s="35"/>
    </row>
    <row r="69" spans="7:9">
      <c r="G69" s="35"/>
      <c r="I69" s="35"/>
    </row>
    <row r="70" spans="7:9">
      <c r="G70" s="35"/>
      <c r="I70" s="35"/>
    </row>
    <row r="71" spans="7:9">
      <c r="G71" s="35"/>
      <c r="I71" s="35"/>
    </row>
    <row r="72" spans="7:9">
      <c r="G72" s="35"/>
      <c r="I72" s="35"/>
    </row>
    <row r="73" spans="7:9">
      <c r="G73" s="35"/>
      <c r="I73" s="35"/>
    </row>
    <row r="74" spans="7:9">
      <c r="G74" s="35"/>
      <c r="I74" s="35"/>
    </row>
    <row r="75" spans="7:9">
      <c r="G75" s="35"/>
      <c r="I75" s="35"/>
    </row>
    <row r="76" spans="7:9">
      <c r="G76" s="35"/>
      <c r="I76" s="35"/>
    </row>
    <row r="77" spans="7:9">
      <c r="G77" s="35"/>
      <c r="I77" s="35"/>
    </row>
    <row r="78" spans="7:9">
      <c r="G78" s="35"/>
      <c r="I78" s="35"/>
    </row>
    <row r="79" spans="7:9">
      <c r="G79" s="35"/>
      <c r="I79" s="35"/>
    </row>
    <row r="80" spans="7:9">
      <c r="G80" s="35"/>
      <c r="I80" s="35"/>
    </row>
    <row r="81" spans="7:9">
      <c r="G81" s="35"/>
      <c r="I81" s="35"/>
    </row>
    <row r="82" spans="7:9">
      <c r="G82" s="35"/>
      <c r="I82" s="35"/>
    </row>
    <row r="83" spans="7:9">
      <c r="G83" s="35"/>
      <c r="I83" s="35"/>
    </row>
    <row r="84" spans="7:9">
      <c r="G84" s="35"/>
      <c r="I84" s="35"/>
    </row>
    <row r="85" spans="7:9">
      <c r="G85" s="35"/>
      <c r="I85" s="35"/>
    </row>
    <row r="86" spans="7:9">
      <c r="G86" s="35"/>
      <c r="I86" s="35"/>
    </row>
    <row r="87" spans="7:9">
      <c r="G87" s="35"/>
      <c r="I87" s="35"/>
    </row>
    <row r="88" spans="7:9">
      <c r="G88" s="35"/>
      <c r="I88" s="35"/>
    </row>
    <row r="89" spans="7:9">
      <c r="G89" s="35"/>
      <c r="I89" s="35"/>
    </row>
    <row r="90" spans="7:9">
      <c r="G90" s="35"/>
      <c r="I90" s="35"/>
    </row>
    <row r="91" spans="7:9">
      <c r="G91" s="35"/>
      <c r="I91" s="35"/>
    </row>
    <row r="92" spans="7:9">
      <c r="G92" s="35"/>
      <c r="I92" s="35"/>
    </row>
    <row r="93" spans="7:9">
      <c r="G93" s="35"/>
      <c r="I93" s="35"/>
    </row>
    <row r="94" spans="7:9">
      <c r="G94" s="35"/>
      <c r="I94" s="35"/>
    </row>
    <row r="95" spans="7:9">
      <c r="G95" s="35"/>
      <c r="I95" s="35"/>
    </row>
    <row r="96" spans="7:9">
      <c r="G96" s="35"/>
      <c r="I96" s="35"/>
    </row>
    <row r="97" spans="7:9">
      <c r="G97" s="35"/>
      <c r="I97" s="35"/>
    </row>
    <row r="98" spans="7:9">
      <c r="G98" s="35"/>
      <c r="I98" s="35"/>
    </row>
    <row r="99" spans="7:9">
      <c r="G99" s="35"/>
      <c r="I99" s="35"/>
    </row>
    <row r="100" spans="7:9">
      <c r="G100" s="35"/>
      <c r="I100" s="35"/>
    </row>
    <row r="101" spans="7:9">
      <c r="G101" s="35"/>
      <c r="I101" s="35"/>
    </row>
    <row r="102" spans="7:9">
      <c r="G102" s="35"/>
      <c r="I102" s="35"/>
    </row>
    <row r="103" spans="7:9">
      <c r="G103" s="35"/>
      <c r="I103" s="35"/>
    </row>
    <row r="104" spans="7:9">
      <c r="G104" s="35"/>
      <c r="I104" s="35"/>
    </row>
    <row r="105" spans="7:9">
      <c r="G105" s="35"/>
      <c r="I105" s="35"/>
    </row>
    <row r="106" spans="7:9">
      <c r="G106" s="35"/>
      <c r="I106" s="35"/>
    </row>
    <row r="107" spans="7:9">
      <c r="G107" s="35"/>
      <c r="I107" s="35"/>
    </row>
    <row r="108" spans="7:9">
      <c r="G108" s="35"/>
      <c r="I108" s="35"/>
    </row>
    <row r="109" spans="7:9">
      <c r="G109" s="35"/>
      <c r="I109" s="35"/>
    </row>
    <row r="110" spans="7:9">
      <c r="G110" s="35"/>
      <c r="I110" s="35"/>
    </row>
    <row r="111" spans="7:9">
      <c r="G111" s="35"/>
      <c r="I111" s="35"/>
    </row>
    <row r="112" spans="7:9">
      <c r="G112" s="35"/>
      <c r="I112" s="35"/>
    </row>
    <row r="113" spans="7:9">
      <c r="G113" s="35"/>
      <c r="I113" s="35"/>
    </row>
    <row r="114" spans="7:9">
      <c r="G114" s="35"/>
      <c r="I114" s="35"/>
    </row>
    <row r="115" spans="7:9">
      <c r="G115" s="35"/>
      <c r="I115" s="35"/>
    </row>
    <row r="116" spans="7:9">
      <c r="G116" s="35"/>
      <c r="I116" s="35"/>
    </row>
    <row r="117" spans="7:9">
      <c r="G117" s="35"/>
      <c r="I117" s="35"/>
    </row>
    <row r="118" spans="7:9">
      <c r="G118" s="35"/>
      <c r="I118" s="35"/>
    </row>
    <row r="119" spans="7:9">
      <c r="G119" s="35"/>
      <c r="I119" s="35"/>
    </row>
    <row r="120" spans="7:9">
      <c r="G120" s="35"/>
      <c r="I120" s="35"/>
    </row>
    <row r="121" spans="7:9">
      <c r="G121" s="35"/>
      <c r="I121" s="35"/>
    </row>
    <row r="122" spans="7:9">
      <c r="G122" s="35"/>
      <c r="I122" s="35"/>
    </row>
    <row r="123" spans="7:9">
      <c r="G123" s="35"/>
      <c r="I123" s="35"/>
    </row>
    <row r="124" spans="7:9">
      <c r="G124" s="35"/>
      <c r="I124" s="35"/>
    </row>
    <row r="125" spans="7:9">
      <c r="G125" s="35"/>
      <c r="I125" s="35"/>
    </row>
    <row r="126" spans="7:9">
      <c r="G126" s="35"/>
      <c r="I126" s="35"/>
    </row>
    <row r="127" spans="7:9">
      <c r="G127" s="35"/>
      <c r="I127" s="35"/>
    </row>
    <row r="128" spans="7:9">
      <c r="G128" s="35"/>
      <c r="I128" s="35"/>
    </row>
    <row r="129" spans="7:9">
      <c r="G129" s="35"/>
      <c r="I129" s="35"/>
    </row>
    <row r="130" spans="7:9">
      <c r="G130" s="35"/>
      <c r="I130" s="35"/>
    </row>
    <row r="131" spans="7:9">
      <c r="G131" s="35"/>
      <c r="I131" s="35"/>
    </row>
    <row r="132" spans="7:9">
      <c r="G132" s="35"/>
      <c r="I132" s="35"/>
    </row>
    <row r="133" spans="7:9">
      <c r="G133" s="35"/>
      <c r="I133" s="35"/>
    </row>
    <row r="134" spans="7:9">
      <c r="G134" s="35"/>
      <c r="I134" s="35"/>
    </row>
    <row r="135" spans="7:9">
      <c r="G135" s="35"/>
      <c r="I135" s="35"/>
    </row>
    <row r="136" spans="7:9">
      <c r="G136" s="35"/>
      <c r="I136" s="35"/>
    </row>
    <row r="137" spans="7:9">
      <c r="G137" s="35"/>
      <c r="I137" s="35"/>
    </row>
    <row r="138" spans="7:9">
      <c r="G138" s="35"/>
      <c r="I138" s="35"/>
    </row>
    <row r="139" spans="7:9">
      <c r="G139" s="35"/>
      <c r="I139" s="35"/>
    </row>
    <row r="140" spans="7:9">
      <c r="G140" s="35"/>
      <c r="I140" s="35"/>
    </row>
    <row r="141" spans="7:9">
      <c r="G141" s="35"/>
      <c r="I141" s="35"/>
    </row>
  </sheetData>
  <autoFilter ref="B2:F34" xr:uid="{216AA4CC-D288-413A-A3D4-BB3F57F1FB9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0FECE-5DA2-4E41-BB21-192D2D74A229}">
  <dimension ref="A1:AA241"/>
  <sheetViews>
    <sheetView topLeftCell="B1" workbookViewId="0">
      <selection activeCell="X5" sqref="X5"/>
    </sheetView>
  </sheetViews>
  <sheetFormatPr defaultColWidth="8.85546875" defaultRowHeight="14.45"/>
  <cols>
    <col min="8" max="8" width="9.140625" style="15"/>
    <col min="10" max="10" width="9.140625" style="15"/>
    <col min="12" max="12" width="9.140625" style="15"/>
    <col min="14" max="14" width="9.140625" style="15"/>
    <col min="16" max="16" width="9.140625" style="15"/>
    <col min="18" max="18" width="9.140625" style="15"/>
    <col min="20" max="20" width="9.140625" style="15"/>
    <col min="22" max="22" width="9.140625" style="15"/>
    <col min="25" max="25" width="9.140625" style="15"/>
  </cols>
  <sheetData>
    <row r="1" spans="1:27">
      <c r="A1" t="s">
        <v>92</v>
      </c>
      <c r="B1" t="s">
        <v>689</v>
      </c>
    </row>
    <row r="2" spans="1:27">
      <c r="H2" s="15" t="s">
        <v>690</v>
      </c>
      <c r="J2" s="15" t="s">
        <v>691</v>
      </c>
      <c r="L2" s="15" t="s">
        <v>692</v>
      </c>
      <c r="N2" s="15" t="s">
        <v>693</v>
      </c>
      <c r="P2" s="15" t="s">
        <v>694</v>
      </c>
      <c r="R2" s="15" t="s">
        <v>695</v>
      </c>
      <c r="T2" s="15" t="s">
        <v>696</v>
      </c>
      <c r="V2" s="15" t="s">
        <v>697</v>
      </c>
      <c r="Y2" s="15" t="s">
        <v>698</v>
      </c>
    </row>
    <row r="3" spans="1:27">
      <c r="A3" t="s">
        <v>302</v>
      </c>
      <c r="B3" t="s">
        <v>47</v>
      </c>
      <c r="C3" t="s">
        <v>303</v>
      </c>
      <c r="D3" t="s">
        <v>475</v>
      </c>
      <c r="E3" t="s">
        <v>304</v>
      </c>
      <c r="F3" t="s">
        <v>604</v>
      </c>
      <c r="G3" t="s">
        <v>605</v>
      </c>
      <c r="H3" s="15" t="s">
        <v>699</v>
      </c>
      <c r="I3" t="s">
        <v>700</v>
      </c>
      <c r="J3" s="15" t="s">
        <v>701</v>
      </c>
      <c r="K3" t="s">
        <v>702</v>
      </c>
      <c r="L3" s="15" t="s">
        <v>703</v>
      </c>
      <c r="M3" t="s">
        <v>704</v>
      </c>
      <c r="N3" s="15" t="s">
        <v>705</v>
      </c>
      <c r="O3" t="s">
        <v>706</v>
      </c>
      <c r="P3" s="15" t="s">
        <v>707</v>
      </c>
      <c r="Q3" t="s">
        <v>708</v>
      </c>
      <c r="R3" s="15" t="s">
        <v>709</v>
      </c>
      <c r="S3" t="s">
        <v>710</v>
      </c>
      <c r="T3" s="15" t="s">
        <v>711</v>
      </c>
      <c r="U3" t="s">
        <v>712</v>
      </c>
      <c r="V3" s="15" t="s">
        <v>713</v>
      </c>
      <c r="W3" t="s">
        <v>714</v>
      </c>
      <c r="X3" t="s">
        <v>715</v>
      </c>
      <c r="Y3" s="15" t="s">
        <v>716</v>
      </c>
      <c r="Z3" t="s">
        <v>717</v>
      </c>
      <c r="AA3" t="s">
        <v>718</v>
      </c>
    </row>
    <row r="4" spans="1:27">
      <c r="A4">
        <v>1</v>
      </c>
      <c r="B4" t="s">
        <v>246</v>
      </c>
      <c r="C4" t="s">
        <v>498</v>
      </c>
      <c r="D4" t="s">
        <v>497</v>
      </c>
      <c r="E4" t="s">
        <v>622</v>
      </c>
      <c r="H4" s="15">
        <v>5.4913501739501998</v>
      </c>
      <c r="I4">
        <v>2016</v>
      </c>
      <c r="J4" s="15" t="s">
        <v>484</v>
      </c>
      <c r="K4" t="s">
        <v>484</v>
      </c>
      <c r="L4" s="15" t="s">
        <v>484</v>
      </c>
      <c r="M4" t="s">
        <v>484</v>
      </c>
      <c r="N4" s="15" t="s">
        <v>484</v>
      </c>
      <c r="O4" t="s">
        <v>484</v>
      </c>
      <c r="P4" s="15" t="s">
        <v>484</v>
      </c>
      <c r="Q4" t="s">
        <v>484</v>
      </c>
      <c r="R4" s="15" t="s">
        <v>484</v>
      </c>
      <c r="S4" t="s">
        <v>484</v>
      </c>
      <c r="T4" s="15" t="s">
        <v>484</v>
      </c>
      <c r="U4" t="s">
        <v>484</v>
      </c>
      <c r="V4" s="15">
        <v>5.4913501739501998</v>
      </c>
      <c r="W4">
        <v>2016</v>
      </c>
      <c r="X4" t="s">
        <v>719</v>
      </c>
      <c r="Y4" s="15" t="s">
        <v>484</v>
      </c>
      <c r="Z4" t="s">
        <v>484</v>
      </c>
      <c r="AA4" t="s">
        <v>484</v>
      </c>
    </row>
    <row r="5" spans="1:27">
      <c r="A5">
        <v>2</v>
      </c>
      <c r="B5" t="s">
        <v>96</v>
      </c>
      <c r="C5" t="s">
        <v>309</v>
      </c>
      <c r="D5" t="s">
        <v>483</v>
      </c>
      <c r="E5" t="s">
        <v>306</v>
      </c>
      <c r="F5" t="s">
        <v>615</v>
      </c>
      <c r="G5" t="s">
        <v>616</v>
      </c>
      <c r="H5" s="15">
        <v>3.2137799263000502</v>
      </c>
      <c r="I5">
        <v>2019</v>
      </c>
      <c r="J5" s="15">
        <v>3.6842560904500701</v>
      </c>
      <c r="K5">
        <v>2017</v>
      </c>
      <c r="L5" s="15">
        <v>2.8</v>
      </c>
      <c r="M5">
        <v>2019</v>
      </c>
      <c r="N5" s="15">
        <v>1.0844309299999999</v>
      </c>
      <c r="O5">
        <v>2019</v>
      </c>
      <c r="P5" s="15">
        <v>1.3322757099999998</v>
      </c>
      <c r="Q5">
        <v>2019</v>
      </c>
      <c r="R5" s="15">
        <v>3.6842560904500701</v>
      </c>
      <c r="S5">
        <v>2017</v>
      </c>
      <c r="T5" s="15">
        <v>1.03</v>
      </c>
      <c r="U5">
        <v>2019</v>
      </c>
      <c r="V5" s="15">
        <v>3.2137799263000502</v>
      </c>
      <c r="W5">
        <v>2019</v>
      </c>
      <c r="X5" t="s">
        <v>719</v>
      </c>
      <c r="Y5" s="15">
        <v>1.3322757099999998</v>
      </c>
      <c r="Z5">
        <v>2019</v>
      </c>
      <c r="AA5" t="s">
        <v>720</v>
      </c>
    </row>
    <row r="6" spans="1:27">
      <c r="A6">
        <v>3</v>
      </c>
      <c r="B6" t="s">
        <v>136</v>
      </c>
      <c r="C6" t="s">
        <v>350</v>
      </c>
      <c r="D6" t="s">
        <v>496</v>
      </c>
      <c r="E6" t="s">
        <v>334</v>
      </c>
      <c r="F6" t="s">
        <v>619</v>
      </c>
      <c r="H6" s="15">
        <v>2.41520023345947</v>
      </c>
      <c r="I6">
        <v>2020</v>
      </c>
      <c r="J6" s="15">
        <v>2.01404346459704</v>
      </c>
      <c r="K6">
        <v>2019</v>
      </c>
      <c r="L6" s="15">
        <v>2.14</v>
      </c>
      <c r="M6">
        <v>2019</v>
      </c>
      <c r="N6" s="15">
        <v>1.0443474100000001</v>
      </c>
      <c r="O6">
        <v>2019</v>
      </c>
      <c r="P6" s="15">
        <v>1.07087902</v>
      </c>
      <c r="Q6">
        <v>2019</v>
      </c>
      <c r="R6" s="15">
        <v>2.01404346459704</v>
      </c>
      <c r="S6">
        <v>2019</v>
      </c>
      <c r="T6" s="15">
        <v>1.1200000000000001</v>
      </c>
      <c r="U6">
        <v>2019</v>
      </c>
      <c r="V6" s="15">
        <v>2.41520023345947</v>
      </c>
      <c r="W6">
        <v>2020</v>
      </c>
      <c r="X6" t="s">
        <v>719</v>
      </c>
      <c r="Y6" s="15">
        <v>1.07087902</v>
      </c>
      <c r="Z6">
        <v>2019</v>
      </c>
      <c r="AA6" t="s">
        <v>720</v>
      </c>
    </row>
    <row r="7" spans="1:27">
      <c r="A7">
        <v>4</v>
      </c>
      <c r="B7" t="s">
        <v>192</v>
      </c>
      <c r="C7" t="s">
        <v>407</v>
      </c>
      <c r="D7" t="s">
        <v>485</v>
      </c>
      <c r="E7" t="s">
        <v>389</v>
      </c>
      <c r="F7" t="s">
        <v>619</v>
      </c>
      <c r="H7" s="15">
        <v>3.0999999046325701</v>
      </c>
      <c r="I7">
        <v>2020</v>
      </c>
      <c r="J7" s="15">
        <v>3.3676014224075201</v>
      </c>
      <c r="K7">
        <v>2020</v>
      </c>
      <c r="L7" s="15" t="s">
        <v>484</v>
      </c>
      <c r="M7" t="s">
        <v>484</v>
      </c>
      <c r="N7" s="15">
        <v>2.8249945599999999</v>
      </c>
      <c r="O7">
        <v>2018</v>
      </c>
      <c r="P7" s="15">
        <v>2.8800772700000001</v>
      </c>
      <c r="Q7">
        <v>2018</v>
      </c>
      <c r="R7" s="15">
        <v>3.3676014224075201</v>
      </c>
      <c r="S7">
        <v>2020</v>
      </c>
      <c r="T7" s="15" t="s">
        <v>484</v>
      </c>
      <c r="U7" t="s">
        <v>484</v>
      </c>
      <c r="V7" s="15">
        <v>3.0999999046325701</v>
      </c>
      <c r="W7">
        <v>2020</v>
      </c>
      <c r="X7" t="s">
        <v>719</v>
      </c>
      <c r="Y7" s="15">
        <v>2.8800772700000001</v>
      </c>
      <c r="Z7">
        <v>2018</v>
      </c>
      <c r="AA7" t="s">
        <v>720</v>
      </c>
    </row>
    <row r="8" spans="1:27">
      <c r="A8">
        <v>5</v>
      </c>
      <c r="B8" t="s">
        <v>256</v>
      </c>
      <c r="C8" t="s">
        <v>495</v>
      </c>
      <c r="D8" t="s">
        <v>485</v>
      </c>
      <c r="E8" t="s">
        <v>622</v>
      </c>
      <c r="H8" s="15">
        <v>2.8800001144409202</v>
      </c>
      <c r="I8">
        <v>2021</v>
      </c>
      <c r="J8" s="15" t="s">
        <v>484</v>
      </c>
      <c r="K8" t="s">
        <v>484</v>
      </c>
      <c r="L8" s="15" t="s">
        <v>484</v>
      </c>
      <c r="M8" t="s">
        <v>484</v>
      </c>
      <c r="N8" s="15">
        <v>4.6636824600000004</v>
      </c>
      <c r="O8">
        <v>2019</v>
      </c>
      <c r="P8" s="15">
        <v>4.6636822700000007</v>
      </c>
      <c r="Q8">
        <v>2019</v>
      </c>
      <c r="R8" s="15" t="s">
        <v>484</v>
      </c>
      <c r="S8" t="s">
        <v>484</v>
      </c>
      <c r="T8" s="15" t="s">
        <v>484</v>
      </c>
      <c r="U8" t="s">
        <v>484</v>
      </c>
      <c r="V8" s="15">
        <v>2.8800001144409202</v>
      </c>
      <c r="W8">
        <v>2021</v>
      </c>
      <c r="X8" t="s">
        <v>719</v>
      </c>
      <c r="Y8" s="15">
        <v>4.6636822700000007</v>
      </c>
      <c r="Z8">
        <v>2019</v>
      </c>
      <c r="AA8" t="s">
        <v>720</v>
      </c>
    </row>
    <row r="9" spans="1:27">
      <c r="A9">
        <v>6</v>
      </c>
      <c r="B9" t="s">
        <v>255</v>
      </c>
      <c r="C9" t="s">
        <v>561</v>
      </c>
      <c r="D9" t="s">
        <v>487</v>
      </c>
      <c r="E9" t="s">
        <v>622</v>
      </c>
      <c r="H9" s="15">
        <v>3.8798699378967298</v>
      </c>
      <c r="I9">
        <v>2020</v>
      </c>
      <c r="J9" s="15">
        <v>1.6444925402785899</v>
      </c>
      <c r="K9">
        <v>2020</v>
      </c>
      <c r="L9" s="15" t="s">
        <v>484</v>
      </c>
      <c r="M9" t="s">
        <v>484</v>
      </c>
      <c r="N9" s="15">
        <v>2.2357583000000001</v>
      </c>
      <c r="O9">
        <v>2019</v>
      </c>
      <c r="P9" s="15">
        <v>3.3282351500000003</v>
      </c>
      <c r="Q9">
        <v>2019</v>
      </c>
      <c r="R9" s="15">
        <v>1.6444925402785899</v>
      </c>
      <c r="S9">
        <v>2020</v>
      </c>
      <c r="T9" s="15" t="s">
        <v>484</v>
      </c>
      <c r="U9" t="s">
        <v>484</v>
      </c>
      <c r="V9" s="15">
        <v>3.8798699378967298</v>
      </c>
      <c r="W9">
        <v>2020</v>
      </c>
      <c r="X9" t="s">
        <v>719</v>
      </c>
      <c r="Y9" s="15">
        <v>3.3282351500000003</v>
      </c>
      <c r="Z9">
        <v>2019</v>
      </c>
      <c r="AA9" t="s">
        <v>720</v>
      </c>
    </row>
    <row r="10" spans="1:27">
      <c r="A10">
        <v>7</v>
      </c>
      <c r="B10" t="s">
        <v>219</v>
      </c>
      <c r="C10" t="s">
        <v>434</v>
      </c>
      <c r="D10" t="s">
        <v>497</v>
      </c>
      <c r="E10" t="s">
        <v>389</v>
      </c>
      <c r="F10" t="s">
        <v>619</v>
      </c>
      <c r="H10" s="15">
        <v>4.7241702079772896</v>
      </c>
      <c r="I10">
        <v>2019</v>
      </c>
      <c r="J10" s="15">
        <v>1.1632676014265499</v>
      </c>
      <c r="K10">
        <v>2020</v>
      </c>
      <c r="L10" s="15" t="s">
        <v>484</v>
      </c>
      <c r="M10" t="s">
        <v>484</v>
      </c>
      <c r="N10" s="15">
        <v>5.9305572499999997</v>
      </c>
      <c r="O10">
        <v>2019</v>
      </c>
      <c r="P10" s="15">
        <v>5.9537745599999994</v>
      </c>
      <c r="Q10">
        <v>2019</v>
      </c>
      <c r="R10" s="15">
        <v>1.1632676014265499</v>
      </c>
      <c r="S10">
        <v>2020</v>
      </c>
      <c r="T10" s="15" t="s">
        <v>484</v>
      </c>
      <c r="U10" t="s">
        <v>484</v>
      </c>
      <c r="V10" s="15">
        <v>1.1632676014265499</v>
      </c>
      <c r="W10">
        <v>2020</v>
      </c>
      <c r="X10" t="s">
        <v>721</v>
      </c>
      <c r="Y10" s="15">
        <v>5.9537745599999994</v>
      </c>
      <c r="Z10">
        <v>2019</v>
      </c>
      <c r="AA10" t="s">
        <v>720</v>
      </c>
    </row>
    <row r="11" spans="1:27">
      <c r="A11">
        <v>8</v>
      </c>
      <c r="B11" t="s">
        <v>178</v>
      </c>
      <c r="C11" t="s">
        <v>393</v>
      </c>
      <c r="D11" t="s">
        <v>485</v>
      </c>
      <c r="E11" t="s">
        <v>389</v>
      </c>
      <c r="F11" t="s">
        <v>619</v>
      </c>
      <c r="H11" s="15">
        <v>2.7056701183319101</v>
      </c>
      <c r="I11">
        <v>2020</v>
      </c>
      <c r="J11" s="15">
        <v>2.97958082937514</v>
      </c>
      <c r="K11">
        <v>2020</v>
      </c>
      <c r="L11" s="15">
        <v>1.98</v>
      </c>
      <c r="M11">
        <v>2019</v>
      </c>
      <c r="N11" s="15">
        <v>1.40614879</v>
      </c>
      <c r="O11">
        <v>2019</v>
      </c>
      <c r="P11" s="15">
        <v>1.4877539799999999</v>
      </c>
      <c r="Q11">
        <v>2019</v>
      </c>
      <c r="R11" s="15">
        <v>2.97958082937514</v>
      </c>
      <c r="S11">
        <v>2020</v>
      </c>
      <c r="T11" s="15">
        <v>1.52</v>
      </c>
      <c r="U11">
        <v>2019</v>
      </c>
      <c r="V11" s="15">
        <v>2.7056701183319101</v>
      </c>
      <c r="W11">
        <v>2020</v>
      </c>
      <c r="X11" t="s">
        <v>719</v>
      </c>
      <c r="Y11" s="15">
        <v>1.4877539799999999</v>
      </c>
      <c r="Z11">
        <v>2019</v>
      </c>
      <c r="AA11" t="s">
        <v>720</v>
      </c>
    </row>
    <row r="12" spans="1:27">
      <c r="A12">
        <v>9</v>
      </c>
      <c r="B12" t="s">
        <v>491</v>
      </c>
      <c r="C12" t="s">
        <v>492</v>
      </c>
      <c r="D12" t="s">
        <v>493</v>
      </c>
      <c r="E12" t="s">
        <v>389</v>
      </c>
      <c r="H12" s="15">
        <v>14.7170495986938</v>
      </c>
      <c r="I12">
        <v>2006</v>
      </c>
      <c r="J12" s="15" t="s">
        <v>484</v>
      </c>
      <c r="K12" t="s">
        <v>484</v>
      </c>
      <c r="L12" s="15" t="s">
        <v>484</v>
      </c>
      <c r="M12" t="s">
        <v>484</v>
      </c>
      <c r="N12" s="15" t="s">
        <v>484</v>
      </c>
      <c r="O12" t="s">
        <v>484</v>
      </c>
      <c r="P12" s="15" t="s">
        <v>484</v>
      </c>
      <c r="Q12" t="s">
        <v>484</v>
      </c>
      <c r="R12" s="15" t="s">
        <v>484</v>
      </c>
      <c r="S12" t="s">
        <v>484</v>
      </c>
      <c r="T12" s="15" t="s">
        <v>484</v>
      </c>
      <c r="U12" t="s">
        <v>484</v>
      </c>
      <c r="V12" s="15">
        <v>14.7170495986938</v>
      </c>
      <c r="W12">
        <v>2006</v>
      </c>
      <c r="X12" t="s">
        <v>719</v>
      </c>
      <c r="Y12" s="15" t="s">
        <v>484</v>
      </c>
      <c r="Z12" t="s">
        <v>484</v>
      </c>
      <c r="AA12" t="s">
        <v>484</v>
      </c>
    </row>
    <row r="13" spans="1:27">
      <c r="A13">
        <v>10</v>
      </c>
      <c r="B13" t="s">
        <v>231</v>
      </c>
      <c r="C13" t="s">
        <v>565</v>
      </c>
      <c r="D13" t="s">
        <v>497</v>
      </c>
      <c r="E13" t="s">
        <v>622</v>
      </c>
      <c r="F13" t="s">
        <v>619</v>
      </c>
      <c r="H13" s="15">
        <v>3.8362457752227801</v>
      </c>
      <c r="I13">
        <v>2021</v>
      </c>
      <c r="J13" s="15" t="s">
        <v>484</v>
      </c>
      <c r="K13" t="s">
        <v>484</v>
      </c>
      <c r="L13" s="15" t="s">
        <v>484</v>
      </c>
      <c r="M13" t="s">
        <v>484</v>
      </c>
      <c r="N13" s="15">
        <v>2.5964553399999999</v>
      </c>
      <c r="O13">
        <v>2019</v>
      </c>
      <c r="P13" s="15">
        <v>2.5966476900000002</v>
      </c>
      <c r="Q13">
        <v>2019</v>
      </c>
      <c r="R13" s="15" t="s">
        <v>484</v>
      </c>
      <c r="S13" t="s">
        <v>484</v>
      </c>
      <c r="T13" s="15" t="s">
        <v>484</v>
      </c>
      <c r="U13" t="s">
        <v>484</v>
      </c>
      <c r="V13" s="15">
        <v>3.8362457752227801</v>
      </c>
      <c r="W13">
        <v>2021</v>
      </c>
      <c r="X13" t="s">
        <v>719</v>
      </c>
      <c r="Y13" s="15">
        <v>2.5966476900000002</v>
      </c>
      <c r="Z13">
        <v>2019</v>
      </c>
      <c r="AA13" t="s">
        <v>720</v>
      </c>
    </row>
    <row r="14" spans="1:27">
      <c r="A14">
        <v>11</v>
      </c>
      <c r="B14" t="s">
        <v>74</v>
      </c>
      <c r="C14" t="s">
        <v>461</v>
      </c>
      <c r="D14" t="s">
        <v>493</v>
      </c>
      <c r="E14" t="s">
        <v>622</v>
      </c>
      <c r="H14" s="15">
        <v>5.1234498023986799</v>
      </c>
      <c r="I14">
        <v>2018</v>
      </c>
      <c r="J14" s="15">
        <v>6.1028538225436098</v>
      </c>
      <c r="K14">
        <v>2020</v>
      </c>
      <c r="L14" s="15" t="s">
        <v>484</v>
      </c>
      <c r="M14" t="s">
        <v>484</v>
      </c>
      <c r="N14" s="15">
        <v>7.10425138</v>
      </c>
      <c r="O14">
        <v>2019</v>
      </c>
      <c r="P14" s="15">
        <v>6.9048363700000008</v>
      </c>
      <c r="Q14">
        <v>2019</v>
      </c>
      <c r="R14" s="15">
        <v>6.1028538225436098</v>
      </c>
      <c r="S14">
        <v>2020</v>
      </c>
      <c r="T14" s="15" t="s">
        <v>484</v>
      </c>
      <c r="U14" t="s">
        <v>484</v>
      </c>
      <c r="V14" s="15">
        <v>6.1028538225436098</v>
      </c>
      <c r="W14">
        <v>2020</v>
      </c>
      <c r="X14" t="s">
        <v>721</v>
      </c>
      <c r="Y14" s="15">
        <v>6.9048363700000008</v>
      </c>
      <c r="Z14">
        <v>2019</v>
      </c>
      <c r="AA14" t="s">
        <v>720</v>
      </c>
    </row>
    <row r="15" spans="1:27">
      <c r="A15">
        <v>12</v>
      </c>
      <c r="B15" t="s">
        <v>53</v>
      </c>
      <c r="C15" t="s">
        <v>458</v>
      </c>
      <c r="D15" t="s">
        <v>485</v>
      </c>
      <c r="E15" t="s">
        <v>622</v>
      </c>
      <c r="G15" t="s">
        <v>623</v>
      </c>
      <c r="H15" s="15">
        <v>5.2245202064514196</v>
      </c>
      <c r="I15">
        <v>2018</v>
      </c>
      <c r="J15" s="15">
        <v>5.0748217718796198</v>
      </c>
      <c r="K15">
        <v>2020</v>
      </c>
      <c r="L15" s="15" t="s">
        <v>484</v>
      </c>
      <c r="M15" t="s">
        <v>484</v>
      </c>
      <c r="N15" s="15">
        <v>7.6176485999999999</v>
      </c>
      <c r="O15">
        <v>2019</v>
      </c>
      <c r="P15" s="15">
        <v>7.8498492200000012</v>
      </c>
      <c r="Q15">
        <v>2019</v>
      </c>
      <c r="R15" s="15">
        <v>5.0748217718796198</v>
      </c>
      <c r="S15">
        <v>2020</v>
      </c>
      <c r="T15" s="15" t="s">
        <v>484</v>
      </c>
      <c r="U15" t="s">
        <v>484</v>
      </c>
      <c r="V15" s="15">
        <v>5.0748217718796198</v>
      </c>
      <c r="W15">
        <v>2020</v>
      </c>
      <c r="X15" t="s">
        <v>721</v>
      </c>
      <c r="Y15" s="15">
        <v>7.8498492200000012</v>
      </c>
      <c r="Z15">
        <v>2019</v>
      </c>
      <c r="AA15" t="s">
        <v>720</v>
      </c>
    </row>
    <row r="16" spans="1:27">
      <c r="A16">
        <v>13</v>
      </c>
      <c r="B16" t="s">
        <v>182</v>
      </c>
      <c r="C16" t="s">
        <v>397</v>
      </c>
      <c r="D16" t="s">
        <v>485</v>
      </c>
      <c r="E16" t="s">
        <v>389</v>
      </c>
      <c r="F16" t="s">
        <v>619</v>
      </c>
      <c r="H16" s="15">
        <v>2.68108010292053</v>
      </c>
      <c r="I16">
        <v>2019</v>
      </c>
      <c r="J16" s="15">
        <v>2.7836456392360098</v>
      </c>
      <c r="K16">
        <v>2019</v>
      </c>
      <c r="L16" s="15" t="s">
        <v>484</v>
      </c>
      <c r="M16" t="s">
        <v>484</v>
      </c>
      <c r="N16" s="15">
        <v>1.2815710300000001</v>
      </c>
      <c r="O16">
        <v>2019</v>
      </c>
      <c r="P16" s="15">
        <v>1.29246989</v>
      </c>
      <c r="Q16">
        <v>2019</v>
      </c>
      <c r="R16" s="15">
        <v>2.7836456392360098</v>
      </c>
      <c r="S16">
        <v>2019</v>
      </c>
      <c r="T16" s="15" t="s">
        <v>484</v>
      </c>
      <c r="U16" t="s">
        <v>484</v>
      </c>
      <c r="V16" s="15">
        <v>2.68108010292053</v>
      </c>
      <c r="W16">
        <v>2019</v>
      </c>
      <c r="X16" t="s">
        <v>719</v>
      </c>
      <c r="Y16" s="15">
        <v>1.29246989</v>
      </c>
      <c r="Z16">
        <v>2019</v>
      </c>
      <c r="AA16" t="s">
        <v>720</v>
      </c>
    </row>
    <row r="17" spans="1:27">
      <c r="A17">
        <v>14</v>
      </c>
      <c r="B17" t="s">
        <v>93</v>
      </c>
      <c r="C17" t="s">
        <v>305</v>
      </c>
      <c r="D17" t="s">
        <v>496</v>
      </c>
      <c r="E17" t="s">
        <v>306</v>
      </c>
      <c r="F17" t="s">
        <v>615</v>
      </c>
      <c r="G17" t="s">
        <v>616</v>
      </c>
      <c r="H17" s="15">
        <v>5.0409836769104004</v>
      </c>
      <c r="I17">
        <v>2020</v>
      </c>
      <c r="J17" s="15" t="s">
        <v>484</v>
      </c>
      <c r="K17" t="s">
        <v>484</v>
      </c>
      <c r="L17" s="15" t="s">
        <v>484</v>
      </c>
      <c r="M17" t="s">
        <v>484</v>
      </c>
      <c r="N17" s="15">
        <v>2.6672670799999998</v>
      </c>
      <c r="O17">
        <v>2019</v>
      </c>
      <c r="P17" s="15">
        <v>4.1811737400000002</v>
      </c>
      <c r="Q17">
        <v>2019</v>
      </c>
      <c r="R17" s="15" t="s">
        <v>484</v>
      </c>
      <c r="S17" t="s">
        <v>484</v>
      </c>
      <c r="T17" s="15" t="s">
        <v>484</v>
      </c>
      <c r="U17" t="s">
        <v>484</v>
      </c>
      <c r="V17" s="15">
        <v>5.0409836769104004</v>
      </c>
      <c r="W17">
        <v>2020</v>
      </c>
      <c r="X17" t="s">
        <v>719</v>
      </c>
      <c r="Y17" s="15">
        <v>4.1811737400000002</v>
      </c>
      <c r="Z17">
        <v>2019</v>
      </c>
      <c r="AA17" t="s">
        <v>720</v>
      </c>
    </row>
    <row r="18" spans="1:27">
      <c r="A18">
        <v>15</v>
      </c>
      <c r="B18" t="s">
        <v>58</v>
      </c>
      <c r="C18" t="s">
        <v>456</v>
      </c>
      <c r="D18" t="s">
        <v>485</v>
      </c>
      <c r="E18" t="s">
        <v>622</v>
      </c>
      <c r="G18" t="s">
        <v>623</v>
      </c>
      <c r="H18" s="15">
        <v>6.38137006759644</v>
      </c>
      <c r="I18">
        <v>2018</v>
      </c>
      <c r="J18" s="15">
        <v>6.7099386715191596</v>
      </c>
      <c r="K18">
        <v>2020</v>
      </c>
      <c r="L18" s="15" t="s">
        <v>484</v>
      </c>
      <c r="M18" t="s">
        <v>484</v>
      </c>
      <c r="N18" s="15">
        <v>8.1813888499999994</v>
      </c>
      <c r="O18">
        <v>2019</v>
      </c>
      <c r="P18" s="15">
        <v>8.1845961599999981</v>
      </c>
      <c r="Q18">
        <v>2019</v>
      </c>
      <c r="R18" s="15">
        <v>6.7099386715191596</v>
      </c>
      <c r="S18">
        <v>2020</v>
      </c>
      <c r="T18" s="15" t="s">
        <v>484</v>
      </c>
      <c r="U18" t="s">
        <v>484</v>
      </c>
      <c r="V18" s="15">
        <v>6.7099386715191596</v>
      </c>
      <c r="W18">
        <v>2020</v>
      </c>
      <c r="X18" t="s">
        <v>721</v>
      </c>
      <c r="Y18" s="15">
        <v>8.1845961599999981</v>
      </c>
      <c r="Z18">
        <v>2019</v>
      </c>
      <c r="AA18" t="s">
        <v>720</v>
      </c>
    </row>
    <row r="19" spans="1:27">
      <c r="A19">
        <v>16</v>
      </c>
      <c r="B19" t="s">
        <v>126</v>
      </c>
      <c r="C19" t="s">
        <v>340</v>
      </c>
      <c r="D19" t="s">
        <v>496</v>
      </c>
      <c r="E19" t="s">
        <v>334</v>
      </c>
      <c r="F19" t="s">
        <v>615</v>
      </c>
      <c r="G19" t="s">
        <v>616</v>
      </c>
      <c r="H19" s="15">
        <v>3.003662109375</v>
      </c>
      <c r="I19">
        <v>2020</v>
      </c>
      <c r="J19" s="15" t="s">
        <v>484</v>
      </c>
      <c r="K19" t="s">
        <v>484</v>
      </c>
      <c r="L19" s="15" t="s">
        <v>484</v>
      </c>
      <c r="M19" t="s">
        <v>484</v>
      </c>
      <c r="N19" s="15">
        <v>0.54099613000000002</v>
      </c>
      <c r="O19">
        <v>2019</v>
      </c>
      <c r="P19" s="15">
        <v>0.90473011000000025</v>
      </c>
      <c r="Q19">
        <v>2019</v>
      </c>
      <c r="R19" s="15" t="s">
        <v>484</v>
      </c>
      <c r="S19" t="s">
        <v>484</v>
      </c>
      <c r="T19" s="15" t="s">
        <v>484</v>
      </c>
      <c r="U19" t="s">
        <v>484</v>
      </c>
      <c r="V19" s="15">
        <v>3.003662109375</v>
      </c>
      <c r="W19">
        <v>2020</v>
      </c>
      <c r="X19" t="s">
        <v>719</v>
      </c>
      <c r="Y19" s="15">
        <v>0.90473011000000025</v>
      </c>
      <c r="Z19">
        <v>2019</v>
      </c>
      <c r="AA19" t="s">
        <v>720</v>
      </c>
    </row>
    <row r="20" spans="1:27">
      <c r="A20">
        <v>17</v>
      </c>
      <c r="B20" t="s">
        <v>112</v>
      </c>
      <c r="C20" t="s">
        <v>325</v>
      </c>
      <c r="D20" t="s">
        <v>496</v>
      </c>
      <c r="E20" t="s">
        <v>306</v>
      </c>
      <c r="F20" t="s">
        <v>615</v>
      </c>
      <c r="G20" t="s">
        <v>616</v>
      </c>
      <c r="H20" s="15">
        <v>5.5190758705139196</v>
      </c>
      <c r="I20">
        <v>2020</v>
      </c>
      <c r="J20" s="15">
        <v>1.70933008135311</v>
      </c>
      <c r="K20">
        <v>2020</v>
      </c>
      <c r="L20" s="15" t="s">
        <v>484</v>
      </c>
      <c r="M20" t="s">
        <v>484</v>
      </c>
      <c r="N20" s="15">
        <v>2.2850885399999998</v>
      </c>
      <c r="O20">
        <v>2019</v>
      </c>
      <c r="P20" s="15">
        <v>3.05167287</v>
      </c>
      <c r="Q20">
        <v>2019</v>
      </c>
      <c r="R20" s="15">
        <v>1.70933008135311</v>
      </c>
      <c r="S20">
        <v>2020</v>
      </c>
      <c r="T20" s="15" t="s">
        <v>484</v>
      </c>
      <c r="U20" t="s">
        <v>484</v>
      </c>
      <c r="V20" s="15">
        <v>5.5190758705139196</v>
      </c>
      <c r="W20">
        <v>2020</v>
      </c>
      <c r="X20" t="s">
        <v>719</v>
      </c>
      <c r="Y20" s="15">
        <v>3.05167287</v>
      </c>
      <c r="Z20">
        <v>2019</v>
      </c>
      <c r="AA20" t="s">
        <v>720</v>
      </c>
    </row>
    <row r="21" spans="1:27">
      <c r="A21">
        <v>18</v>
      </c>
      <c r="B21" t="s">
        <v>149</v>
      </c>
      <c r="C21" t="s">
        <v>363</v>
      </c>
      <c r="D21" t="s">
        <v>483</v>
      </c>
      <c r="E21" t="s">
        <v>334</v>
      </c>
      <c r="F21" t="s">
        <v>615</v>
      </c>
      <c r="H21" s="15">
        <v>1.3263200521469101</v>
      </c>
      <c r="I21">
        <v>2019</v>
      </c>
      <c r="J21" s="15">
        <v>2.1975761855938201</v>
      </c>
      <c r="K21">
        <v>2016</v>
      </c>
      <c r="L21" s="15" t="s">
        <v>484</v>
      </c>
      <c r="M21" t="s">
        <v>484</v>
      </c>
      <c r="N21" s="15">
        <v>0.46258455999999998</v>
      </c>
      <c r="O21">
        <v>2019</v>
      </c>
      <c r="P21" s="15">
        <v>0.52066554000000009</v>
      </c>
      <c r="Q21">
        <v>2019</v>
      </c>
      <c r="R21" s="15">
        <v>2.1975761855938201</v>
      </c>
      <c r="S21">
        <v>2016</v>
      </c>
      <c r="T21" s="15" t="s">
        <v>484</v>
      </c>
      <c r="U21" t="s">
        <v>484</v>
      </c>
      <c r="V21" s="15">
        <v>1.3263200521469101</v>
      </c>
      <c r="W21">
        <v>2019</v>
      </c>
      <c r="X21" t="s">
        <v>719</v>
      </c>
      <c r="Y21" s="15">
        <v>0.52066554000000009</v>
      </c>
      <c r="Z21">
        <v>2019</v>
      </c>
      <c r="AA21" t="s">
        <v>720</v>
      </c>
    </row>
    <row r="22" spans="1:27">
      <c r="A22">
        <v>19</v>
      </c>
      <c r="B22" t="s">
        <v>220</v>
      </c>
      <c r="C22" t="s">
        <v>435</v>
      </c>
      <c r="D22" t="s">
        <v>485</v>
      </c>
      <c r="E22" t="s">
        <v>389</v>
      </c>
      <c r="F22" t="s">
        <v>619</v>
      </c>
      <c r="H22" s="15">
        <v>4.0752701759338397</v>
      </c>
      <c r="I22">
        <v>2017</v>
      </c>
      <c r="J22" s="15">
        <v>4.03615241285818</v>
      </c>
      <c r="K22">
        <v>2020</v>
      </c>
      <c r="L22" s="15" t="s">
        <v>484</v>
      </c>
      <c r="M22" t="s">
        <v>484</v>
      </c>
      <c r="N22" s="15">
        <v>4.2154989199999999</v>
      </c>
      <c r="O22">
        <v>2019</v>
      </c>
      <c r="P22" s="15">
        <v>4.3177262200000017</v>
      </c>
      <c r="Q22">
        <v>2019</v>
      </c>
      <c r="R22" s="15">
        <v>4.03615241285818</v>
      </c>
      <c r="S22">
        <v>2020</v>
      </c>
      <c r="T22" s="15" t="s">
        <v>484</v>
      </c>
      <c r="U22" t="s">
        <v>484</v>
      </c>
      <c r="V22" s="15">
        <v>4.03615241285818</v>
      </c>
      <c r="W22">
        <v>2020</v>
      </c>
      <c r="X22" t="s">
        <v>721</v>
      </c>
      <c r="Y22" s="15">
        <v>4.3177262200000017</v>
      </c>
      <c r="Z22">
        <v>2019</v>
      </c>
      <c r="AA22" t="s">
        <v>720</v>
      </c>
    </row>
    <row r="23" spans="1:27">
      <c r="A23">
        <v>20</v>
      </c>
      <c r="B23" t="s">
        <v>242</v>
      </c>
      <c r="C23" t="s">
        <v>500</v>
      </c>
      <c r="D23" t="s">
        <v>487</v>
      </c>
      <c r="E23" t="s">
        <v>622</v>
      </c>
      <c r="H23" s="15">
        <v>2.1520533561706499</v>
      </c>
      <c r="I23">
        <v>2020</v>
      </c>
      <c r="J23" s="15">
        <v>2.4764939758365498</v>
      </c>
      <c r="K23">
        <v>2020</v>
      </c>
      <c r="L23" s="15" t="s">
        <v>484</v>
      </c>
      <c r="M23" t="s">
        <v>484</v>
      </c>
      <c r="N23" s="15">
        <v>2.3749764</v>
      </c>
      <c r="O23">
        <v>2019</v>
      </c>
      <c r="P23" s="15">
        <v>2.3749764999999998</v>
      </c>
      <c r="Q23">
        <v>2019</v>
      </c>
      <c r="R23" s="15">
        <v>2.4764939758365498</v>
      </c>
      <c r="S23">
        <v>2020</v>
      </c>
      <c r="T23" s="15" t="s">
        <v>484</v>
      </c>
      <c r="U23" t="s">
        <v>484</v>
      </c>
      <c r="V23" s="15">
        <v>2.1520533561706499</v>
      </c>
      <c r="W23">
        <v>2020</v>
      </c>
      <c r="X23" t="s">
        <v>719</v>
      </c>
      <c r="Y23" s="15">
        <v>2.3749764999999998</v>
      </c>
      <c r="Z23">
        <v>2019</v>
      </c>
      <c r="AA23" t="s">
        <v>720</v>
      </c>
    </row>
    <row r="24" spans="1:27">
      <c r="A24">
        <v>21</v>
      </c>
      <c r="B24" t="s">
        <v>249</v>
      </c>
      <c r="C24" t="s">
        <v>499</v>
      </c>
      <c r="D24" t="s">
        <v>497</v>
      </c>
      <c r="E24" t="s">
        <v>622</v>
      </c>
      <c r="H24" s="15">
        <v>2.7822222709655802</v>
      </c>
      <c r="I24">
        <v>2021</v>
      </c>
      <c r="J24" s="15">
        <v>3.2700642906319302</v>
      </c>
      <c r="K24">
        <v>2020</v>
      </c>
      <c r="L24" s="15" t="s">
        <v>484</v>
      </c>
      <c r="M24" t="s">
        <v>484</v>
      </c>
      <c r="N24" s="15">
        <v>2.9877257300000002</v>
      </c>
      <c r="O24">
        <v>2019</v>
      </c>
      <c r="P24" s="15">
        <v>2.44661208</v>
      </c>
      <c r="Q24">
        <v>2019</v>
      </c>
      <c r="R24" s="15">
        <v>3.2700642906319302</v>
      </c>
      <c r="S24">
        <v>2020</v>
      </c>
      <c r="T24" s="15" t="s">
        <v>484</v>
      </c>
      <c r="U24" t="s">
        <v>484</v>
      </c>
      <c r="V24" s="15">
        <v>2.7822222709655802</v>
      </c>
      <c r="W24">
        <v>2021</v>
      </c>
      <c r="X24" t="s">
        <v>719</v>
      </c>
      <c r="Y24" s="15">
        <v>2.44661208</v>
      </c>
      <c r="Z24">
        <v>2019</v>
      </c>
      <c r="AA24" t="s">
        <v>720</v>
      </c>
    </row>
    <row r="25" spans="1:27">
      <c r="A25">
        <v>22</v>
      </c>
      <c r="B25" t="s">
        <v>198</v>
      </c>
      <c r="C25" t="s">
        <v>413</v>
      </c>
      <c r="D25" t="s">
        <v>485</v>
      </c>
      <c r="E25" t="s">
        <v>389</v>
      </c>
      <c r="F25" t="s">
        <v>619</v>
      </c>
      <c r="H25" s="15" t="s">
        <v>484</v>
      </c>
      <c r="I25" t="s">
        <v>484</v>
      </c>
      <c r="J25" s="15" t="s">
        <v>484</v>
      </c>
      <c r="K25" t="s">
        <v>484</v>
      </c>
      <c r="L25" s="15" t="s">
        <v>484</v>
      </c>
      <c r="M25" t="s">
        <v>484</v>
      </c>
      <c r="N25" s="15">
        <v>6.2188372599999999</v>
      </c>
      <c r="O25">
        <v>2019</v>
      </c>
      <c r="P25" s="15">
        <v>6.3583975499999994</v>
      </c>
      <c r="Q25">
        <v>2019</v>
      </c>
      <c r="R25" s="15" t="s">
        <v>484</v>
      </c>
      <c r="S25" t="s">
        <v>484</v>
      </c>
      <c r="T25" s="15" t="s">
        <v>484</v>
      </c>
      <c r="U25" t="s">
        <v>484</v>
      </c>
      <c r="V25" s="15" t="s">
        <v>484</v>
      </c>
      <c r="W25" t="s">
        <v>484</v>
      </c>
      <c r="X25" t="s">
        <v>484</v>
      </c>
      <c r="Y25" s="15">
        <v>6.3583975499999994</v>
      </c>
      <c r="Z25">
        <v>2019</v>
      </c>
      <c r="AA25" t="s">
        <v>720</v>
      </c>
    </row>
    <row r="26" spans="1:27">
      <c r="A26">
        <v>23</v>
      </c>
      <c r="B26" t="s">
        <v>200</v>
      </c>
      <c r="C26" t="s">
        <v>415</v>
      </c>
      <c r="D26" t="s">
        <v>485</v>
      </c>
      <c r="E26" t="s">
        <v>389</v>
      </c>
      <c r="F26" t="s">
        <v>619</v>
      </c>
      <c r="H26" s="15">
        <v>4.9524497985839799</v>
      </c>
      <c r="I26">
        <v>2020</v>
      </c>
      <c r="J26" s="15">
        <v>5.4575417988041304</v>
      </c>
      <c r="K26">
        <v>2020</v>
      </c>
      <c r="L26" s="15" t="s">
        <v>484</v>
      </c>
      <c r="M26" t="s">
        <v>484</v>
      </c>
      <c r="N26" s="15">
        <v>4.1252708399999998</v>
      </c>
      <c r="O26">
        <v>2019</v>
      </c>
      <c r="P26" s="15">
        <v>4.1315129299999986</v>
      </c>
      <c r="Q26">
        <v>2019</v>
      </c>
      <c r="R26" s="15">
        <v>5.4575417988041304</v>
      </c>
      <c r="S26">
        <v>2020</v>
      </c>
      <c r="T26" s="15" t="s">
        <v>484</v>
      </c>
      <c r="U26" t="s">
        <v>484</v>
      </c>
      <c r="V26" s="15">
        <v>4.9524497985839799</v>
      </c>
      <c r="W26">
        <v>2020</v>
      </c>
      <c r="X26" t="s">
        <v>719</v>
      </c>
      <c r="Y26" s="15">
        <v>4.1315129299999986</v>
      </c>
      <c r="Z26">
        <v>2019</v>
      </c>
      <c r="AA26" t="s">
        <v>720</v>
      </c>
    </row>
    <row r="27" spans="1:27">
      <c r="A27">
        <v>24</v>
      </c>
      <c r="B27" t="s">
        <v>174</v>
      </c>
      <c r="C27" t="s">
        <v>388</v>
      </c>
      <c r="D27" t="s">
        <v>497</v>
      </c>
      <c r="E27" t="s">
        <v>389</v>
      </c>
      <c r="F27" t="s">
        <v>619</v>
      </c>
      <c r="H27" s="15">
        <v>8.7070140838622994</v>
      </c>
      <c r="I27">
        <v>2021</v>
      </c>
      <c r="J27" s="15" t="s">
        <v>484</v>
      </c>
      <c r="K27" t="s">
        <v>484</v>
      </c>
      <c r="L27" s="15">
        <v>8.64</v>
      </c>
      <c r="M27">
        <v>2020</v>
      </c>
      <c r="N27" s="15">
        <v>4.1689600899999997</v>
      </c>
      <c r="O27">
        <v>2019</v>
      </c>
      <c r="P27" s="15">
        <v>4.1846337799999995</v>
      </c>
      <c r="Q27">
        <v>2019</v>
      </c>
      <c r="R27" s="15" t="s">
        <v>484</v>
      </c>
      <c r="S27" t="s">
        <v>484</v>
      </c>
      <c r="T27" s="15">
        <v>4.55</v>
      </c>
      <c r="U27">
        <v>2020</v>
      </c>
      <c r="V27" s="15">
        <v>8.7070140838622994</v>
      </c>
      <c r="W27">
        <v>2021</v>
      </c>
      <c r="X27" t="s">
        <v>719</v>
      </c>
      <c r="Y27" s="15">
        <v>4.1846337799999995</v>
      </c>
      <c r="Z27">
        <v>2019</v>
      </c>
      <c r="AA27" t="s">
        <v>720</v>
      </c>
    </row>
    <row r="28" spans="1:27">
      <c r="A28">
        <v>25</v>
      </c>
      <c r="B28" t="s">
        <v>264</v>
      </c>
      <c r="C28" t="s">
        <v>501</v>
      </c>
      <c r="D28" t="s">
        <v>502</v>
      </c>
      <c r="E28" t="s">
        <v>622</v>
      </c>
      <c r="H28" s="15">
        <v>1.3249599933624301</v>
      </c>
      <c r="I28">
        <v>2017</v>
      </c>
      <c r="J28" s="15" t="s">
        <v>484</v>
      </c>
      <c r="K28" t="s">
        <v>484</v>
      </c>
      <c r="L28" s="15" t="s">
        <v>484</v>
      </c>
      <c r="M28" t="s">
        <v>484</v>
      </c>
      <c r="N28" s="15" t="s">
        <v>484</v>
      </c>
      <c r="O28" t="s">
        <v>484</v>
      </c>
      <c r="P28" s="15" t="s">
        <v>484</v>
      </c>
      <c r="Q28" t="s">
        <v>484</v>
      </c>
      <c r="R28" s="15" t="s">
        <v>484</v>
      </c>
      <c r="S28" t="s">
        <v>484</v>
      </c>
      <c r="T28" s="15" t="s">
        <v>484</v>
      </c>
      <c r="U28" t="s">
        <v>484</v>
      </c>
      <c r="V28" s="15">
        <v>1.3249599933624301</v>
      </c>
      <c r="W28">
        <v>2017</v>
      </c>
      <c r="X28" t="s">
        <v>719</v>
      </c>
      <c r="Y28" s="15" t="s">
        <v>484</v>
      </c>
      <c r="Z28" t="s">
        <v>484</v>
      </c>
      <c r="AA28" t="s">
        <v>484</v>
      </c>
    </row>
    <row r="29" spans="1:27">
      <c r="A29">
        <v>26</v>
      </c>
      <c r="B29" t="s">
        <v>157</v>
      </c>
      <c r="C29" t="s">
        <v>371</v>
      </c>
      <c r="D29" t="s">
        <v>497</v>
      </c>
      <c r="E29" t="s">
        <v>334</v>
      </c>
      <c r="F29" t="s">
        <v>619</v>
      </c>
      <c r="G29" t="s">
        <v>616</v>
      </c>
      <c r="H29" s="15">
        <v>8.8999996185302699</v>
      </c>
      <c r="I29">
        <v>2018</v>
      </c>
      <c r="J29" s="15" t="s">
        <v>484</v>
      </c>
      <c r="K29" t="s">
        <v>484</v>
      </c>
      <c r="L29" s="15" t="s">
        <v>484</v>
      </c>
      <c r="M29" t="s">
        <v>484</v>
      </c>
      <c r="N29" s="15">
        <v>4.9319238700000003</v>
      </c>
      <c r="O29">
        <v>2019</v>
      </c>
      <c r="P29" s="15">
        <v>5.0037987899999994</v>
      </c>
      <c r="Q29">
        <v>2019</v>
      </c>
      <c r="R29" s="15" t="s">
        <v>484</v>
      </c>
      <c r="S29" t="s">
        <v>484</v>
      </c>
      <c r="T29" s="15" t="s">
        <v>484</v>
      </c>
      <c r="U29" t="s">
        <v>484</v>
      </c>
      <c r="V29" s="15">
        <v>8.8999996185302699</v>
      </c>
      <c r="W29">
        <v>2018</v>
      </c>
      <c r="X29" t="s">
        <v>719</v>
      </c>
      <c r="Y29" s="15">
        <v>5.0037987899999994</v>
      </c>
      <c r="Z29">
        <v>2019</v>
      </c>
      <c r="AA29" t="s">
        <v>720</v>
      </c>
    </row>
    <row r="30" spans="1:27">
      <c r="A30">
        <v>27</v>
      </c>
      <c r="B30" t="s">
        <v>204</v>
      </c>
      <c r="C30" t="s">
        <v>419</v>
      </c>
      <c r="D30" t="s">
        <v>497</v>
      </c>
      <c r="E30" t="s">
        <v>389</v>
      </c>
      <c r="F30" t="s">
        <v>619</v>
      </c>
      <c r="H30" s="15">
        <v>6.0885100364685103</v>
      </c>
      <c r="I30">
        <v>2018</v>
      </c>
      <c r="J30" s="15">
        <v>2.1680790784545998</v>
      </c>
      <c r="K30">
        <v>2020</v>
      </c>
      <c r="L30" s="15" t="s">
        <v>484</v>
      </c>
      <c r="M30" t="s">
        <v>484</v>
      </c>
      <c r="N30" s="15">
        <v>3.9075586800000002</v>
      </c>
      <c r="O30">
        <v>2019</v>
      </c>
      <c r="P30" s="15">
        <v>3.9204989799999992</v>
      </c>
      <c r="Q30">
        <v>2019</v>
      </c>
      <c r="R30" s="15">
        <v>2.1680790784545998</v>
      </c>
      <c r="S30">
        <v>2020</v>
      </c>
      <c r="T30" s="15" t="s">
        <v>484</v>
      </c>
      <c r="U30" t="s">
        <v>484</v>
      </c>
      <c r="V30" s="15">
        <v>2.1680790784545998</v>
      </c>
      <c r="W30">
        <v>2020</v>
      </c>
      <c r="X30" t="s">
        <v>721</v>
      </c>
      <c r="Y30" s="15">
        <v>3.9204989799999992</v>
      </c>
      <c r="Z30">
        <v>2019</v>
      </c>
      <c r="AA30" t="s">
        <v>720</v>
      </c>
    </row>
    <row r="31" spans="1:27">
      <c r="A31">
        <v>28</v>
      </c>
      <c r="B31" t="s">
        <v>237</v>
      </c>
      <c r="C31" t="s">
        <v>566</v>
      </c>
      <c r="D31" t="s">
        <v>497</v>
      </c>
      <c r="E31" t="s">
        <v>622</v>
      </c>
      <c r="H31" s="15">
        <v>6.4536247253418004</v>
      </c>
      <c r="I31">
        <v>2021</v>
      </c>
      <c r="J31" s="15" t="s">
        <v>484</v>
      </c>
      <c r="K31" t="s">
        <v>484</v>
      </c>
      <c r="L31" s="15" t="s">
        <v>484</v>
      </c>
      <c r="M31" t="s">
        <v>484</v>
      </c>
      <c r="N31" s="15">
        <v>2.82451534</v>
      </c>
      <c r="O31">
        <v>2019</v>
      </c>
      <c r="P31" s="15">
        <v>2.8591499199999997</v>
      </c>
      <c r="Q31">
        <v>2019</v>
      </c>
      <c r="R31" s="15" t="s">
        <v>484</v>
      </c>
      <c r="S31" t="s">
        <v>484</v>
      </c>
      <c r="T31" s="15" t="s">
        <v>484</v>
      </c>
      <c r="U31" t="s">
        <v>484</v>
      </c>
      <c r="V31" s="15">
        <v>6.4536247253418004</v>
      </c>
      <c r="W31">
        <v>2021</v>
      </c>
      <c r="X31" t="s">
        <v>719</v>
      </c>
      <c r="Y31" s="15">
        <v>2.8591499199999997</v>
      </c>
      <c r="Z31">
        <v>2019</v>
      </c>
      <c r="AA31" t="s">
        <v>720</v>
      </c>
    </row>
    <row r="32" spans="1:27">
      <c r="A32">
        <v>29</v>
      </c>
      <c r="B32" t="s">
        <v>253</v>
      </c>
      <c r="C32" t="s">
        <v>567</v>
      </c>
      <c r="D32" t="s">
        <v>493</v>
      </c>
      <c r="E32" t="s">
        <v>622</v>
      </c>
      <c r="H32" s="15">
        <v>4.4254097938537598</v>
      </c>
      <c r="I32">
        <v>2016</v>
      </c>
      <c r="J32" s="15" t="s">
        <v>484</v>
      </c>
      <c r="K32" t="s">
        <v>484</v>
      </c>
      <c r="L32" s="15" t="s">
        <v>484</v>
      </c>
      <c r="M32" t="s">
        <v>484</v>
      </c>
      <c r="N32" s="15">
        <v>2.0376055200000001</v>
      </c>
      <c r="O32">
        <v>2019</v>
      </c>
      <c r="P32" s="15">
        <v>2.0376054400000001</v>
      </c>
      <c r="Q32">
        <v>2019</v>
      </c>
      <c r="R32" s="15" t="s">
        <v>484</v>
      </c>
      <c r="S32" t="s">
        <v>484</v>
      </c>
      <c r="T32" s="15" t="s">
        <v>484</v>
      </c>
      <c r="U32" t="s">
        <v>484</v>
      </c>
      <c r="V32" s="15">
        <v>4.4254097938537598</v>
      </c>
      <c r="W32">
        <v>2016</v>
      </c>
      <c r="X32" t="s">
        <v>719</v>
      </c>
      <c r="Y32" s="15">
        <v>2.0376054400000001</v>
      </c>
      <c r="Z32">
        <v>2019</v>
      </c>
      <c r="AA32" t="s">
        <v>720</v>
      </c>
    </row>
    <row r="33" spans="1:27">
      <c r="A33">
        <v>30</v>
      </c>
      <c r="B33" t="s">
        <v>151</v>
      </c>
      <c r="C33" t="s">
        <v>365</v>
      </c>
      <c r="D33" t="s">
        <v>483</v>
      </c>
      <c r="E33" t="s">
        <v>334</v>
      </c>
      <c r="F33" t="s">
        <v>615</v>
      </c>
      <c r="H33" s="15">
        <v>5.6758918762206996</v>
      </c>
      <c r="I33">
        <v>2019</v>
      </c>
      <c r="J33" s="15">
        <v>7.1421920726579602</v>
      </c>
      <c r="K33">
        <v>2020</v>
      </c>
      <c r="L33" s="15" t="s">
        <v>484</v>
      </c>
      <c r="M33" t="s">
        <v>484</v>
      </c>
      <c r="N33" s="15">
        <v>2.6540450999999998</v>
      </c>
      <c r="O33">
        <v>2019</v>
      </c>
      <c r="P33" s="15">
        <v>2.7801053100000002</v>
      </c>
      <c r="Q33">
        <v>2019</v>
      </c>
      <c r="R33" s="15">
        <v>7.1421920726579602</v>
      </c>
      <c r="S33">
        <v>2020</v>
      </c>
      <c r="T33" s="15" t="s">
        <v>484</v>
      </c>
      <c r="U33" t="s">
        <v>484</v>
      </c>
      <c r="V33" s="15">
        <v>7.1421920726579602</v>
      </c>
      <c r="W33">
        <v>2020</v>
      </c>
      <c r="X33" t="s">
        <v>721</v>
      </c>
      <c r="Y33" s="15">
        <v>2.7801053100000002</v>
      </c>
      <c r="Z33">
        <v>2019</v>
      </c>
      <c r="AA33" t="s">
        <v>720</v>
      </c>
    </row>
    <row r="34" spans="1:27">
      <c r="A34">
        <v>31</v>
      </c>
      <c r="B34" t="s">
        <v>199</v>
      </c>
      <c r="C34" t="s">
        <v>414</v>
      </c>
      <c r="D34" t="s">
        <v>496</v>
      </c>
      <c r="E34" t="s">
        <v>389</v>
      </c>
      <c r="F34" t="s">
        <v>619</v>
      </c>
      <c r="H34" s="15">
        <v>8.7399997711181605</v>
      </c>
      <c r="I34">
        <v>2020</v>
      </c>
      <c r="J34" s="15">
        <v>8.7410272927218404</v>
      </c>
      <c r="K34">
        <v>2020</v>
      </c>
      <c r="L34" s="15" t="s">
        <v>484</v>
      </c>
      <c r="M34" t="s">
        <v>484</v>
      </c>
      <c r="N34" s="15">
        <v>4.7494063400000002</v>
      </c>
      <c r="O34">
        <v>2019</v>
      </c>
      <c r="P34" s="15">
        <v>4.9813954899999997</v>
      </c>
      <c r="Q34">
        <v>2019</v>
      </c>
      <c r="R34" s="15">
        <v>8.7410272927218404</v>
      </c>
      <c r="S34">
        <v>2020</v>
      </c>
      <c r="T34" s="15" t="s">
        <v>484</v>
      </c>
      <c r="U34" t="s">
        <v>484</v>
      </c>
      <c r="V34" s="15">
        <v>8.7399997711181605</v>
      </c>
      <c r="W34">
        <v>2020</v>
      </c>
      <c r="X34" t="s">
        <v>719</v>
      </c>
      <c r="Y34" s="15">
        <v>4.9813954899999997</v>
      </c>
      <c r="Z34">
        <v>2019</v>
      </c>
      <c r="AA34" t="s">
        <v>720</v>
      </c>
    </row>
    <row r="35" spans="1:27">
      <c r="A35">
        <v>32</v>
      </c>
      <c r="B35" t="s">
        <v>99</v>
      </c>
      <c r="C35" t="s">
        <v>312</v>
      </c>
      <c r="D35" t="s">
        <v>496</v>
      </c>
      <c r="E35" t="s">
        <v>306</v>
      </c>
      <c r="F35" t="s">
        <v>615</v>
      </c>
      <c r="G35" t="s">
        <v>616</v>
      </c>
      <c r="H35" s="15">
        <v>2.16669702529907</v>
      </c>
      <c r="I35">
        <v>2020</v>
      </c>
      <c r="J35" s="15" t="s">
        <v>484</v>
      </c>
      <c r="K35" t="s">
        <v>484</v>
      </c>
      <c r="L35" s="15" t="s">
        <v>484</v>
      </c>
      <c r="M35" t="s">
        <v>484</v>
      </c>
      <c r="N35" s="15">
        <v>0.81950128</v>
      </c>
      <c r="O35">
        <v>2019</v>
      </c>
      <c r="P35" s="15">
        <v>1.3382561099999999</v>
      </c>
      <c r="Q35">
        <v>2019</v>
      </c>
      <c r="R35" s="15" t="s">
        <v>484</v>
      </c>
      <c r="S35" t="s">
        <v>484</v>
      </c>
      <c r="T35" s="15" t="s">
        <v>484</v>
      </c>
      <c r="U35" t="s">
        <v>484</v>
      </c>
      <c r="V35" s="15">
        <v>2.16669702529907</v>
      </c>
      <c r="W35">
        <v>2020</v>
      </c>
      <c r="X35" t="s">
        <v>719</v>
      </c>
      <c r="Y35" s="15">
        <v>1.3382561099999999</v>
      </c>
      <c r="Z35">
        <v>2019</v>
      </c>
      <c r="AA35" t="s">
        <v>720</v>
      </c>
    </row>
    <row r="36" spans="1:27">
      <c r="A36">
        <v>33</v>
      </c>
      <c r="B36" t="s">
        <v>64</v>
      </c>
      <c r="C36" t="s">
        <v>455</v>
      </c>
      <c r="D36" t="s">
        <v>502</v>
      </c>
      <c r="E36" t="s">
        <v>622</v>
      </c>
      <c r="H36" s="15">
        <v>5.2620501518249503</v>
      </c>
      <c r="I36">
        <v>2011</v>
      </c>
      <c r="J36" s="15">
        <v>5.16747599652704</v>
      </c>
      <c r="K36">
        <v>2020</v>
      </c>
      <c r="L36" s="15" t="s">
        <v>484</v>
      </c>
      <c r="M36" t="s">
        <v>484</v>
      </c>
      <c r="N36" s="15">
        <v>7.6092958499999996</v>
      </c>
      <c r="O36">
        <v>2019</v>
      </c>
      <c r="P36" s="15">
        <v>7.6092955700000005</v>
      </c>
      <c r="Q36">
        <v>2019</v>
      </c>
      <c r="R36" s="15">
        <v>5.16747599652704</v>
      </c>
      <c r="S36">
        <v>2020</v>
      </c>
      <c r="T36" s="15" t="s">
        <v>484</v>
      </c>
      <c r="U36" t="s">
        <v>484</v>
      </c>
      <c r="V36" s="15">
        <v>5.16747599652704</v>
      </c>
      <c r="W36">
        <v>2020</v>
      </c>
      <c r="X36" t="s">
        <v>721</v>
      </c>
      <c r="Y36" s="15">
        <v>7.6092955700000005</v>
      </c>
      <c r="Z36">
        <v>2019</v>
      </c>
      <c r="AA36" t="s">
        <v>720</v>
      </c>
    </row>
    <row r="37" spans="1:27">
      <c r="A37">
        <v>34</v>
      </c>
      <c r="B37" t="s">
        <v>67</v>
      </c>
      <c r="C37" t="s">
        <v>469</v>
      </c>
      <c r="D37" t="s">
        <v>485</v>
      </c>
      <c r="E37" t="s">
        <v>622</v>
      </c>
      <c r="H37" s="15">
        <v>4.86325979232788</v>
      </c>
      <c r="I37">
        <v>2018</v>
      </c>
      <c r="J37" s="15">
        <v>5.2237001543729402</v>
      </c>
      <c r="K37">
        <v>2020</v>
      </c>
      <c r="L37" s="15" t="s">
        <v>484</v>
      </c>
      <c r="M37" t="s">
        <v>484</v>
      </c>
      <c r="N37" s="15">
        <v>3.6256365800000001</v>
      </c>
      <c r="O37">
        <v>2019</v>
      </c>
      <c r="P37" s="15">
        <v>7.5386671300000003</v>
      </c>
      <c r="Q37">
        <v>2019</v>
      </c>
      <c r="R37" s="15">
        <v>5.2237001543729402</v>
      </c>
      <c r="S37">
        <v>2020</v>
      </c>
      <c r="T37" s="15" t="s">
        <v>484</v>
      </c>
      <c r="U37" t="s">
        <v>484</v>
      </c>
      <c r="V37" s="15">
        <v>5.2237001543729402</v>
      </c>
      <c r="W37">
        <v>2020</v>
      </c>
      <c r="X37" t="s">
        <v>721</v>
      </c>
      <c r="Y37" s="15">
        <v>7.5386671300000003</v>
      </c>
      <c r="Z37">
        <v>2019</v>
      </c>
      <c r="AA37" t="s">
        <v>720</v>
      </c>
    </row>
    <row r="38" spans="1:27">
      <c r="A38">
        <v>35</v>
      </c>
      <c r="B38" t="s">
        <v>512</v>
      </c>
      <c r="C38" t="s">
        <v>513</v>
      </c>
      <c r="D38" t="s">
        <v>485</v>
      </c>
      <c r="E38" t="s">
        <v>622</v>
      </c>
      <c r="H38" s="15" t="s">
        <v>484</v>
      </c>
      <c r="I38" t="s">
        <v>484</v>
      </c>
      <c r="J38" s="15" t="s">
        <v>484</v>
      </c>
      <c r="K38" t="s">
        <v>484</v>
      </c>
      <c r="L38" s="15" t="s">
        <v>484</v>
      </c>
      <c r="M38" t="s">
        <v>484</v>
      </c>
      <c r="N38" s="15" t="s">
        <v>484</v>
      </c>
      <c r="O38" t="s">
        <v>484</v>
      </c>
      <c r="P38" s="15" t="s">
        <v>484</v>
      </c>
      <c r="Q38" t="s">
        <v>484</v>
      </c>
      <c r="R38" s="15" t="s">
        <v>484</v>
      </c>
      <c r="S38" t="s">
        <v>484</v>
      </c>
      <c r="T38" s="15" t="s">
        <v>484</v>
      </c>
      <c r="U38" t="s">
        <v>484</v>
      </c>
      <c r="V38" s="15" t="s">
        <v>484</v>
      </c>
      <c r="W38" t="s">
        <v>484</v>
      </c>
      <c r="X38" t="s">
        <v>484</v>
      </c>
      <c r="Y38" s="15" t="s">
        <v>484</v>
      </c>
      <c r="Z38" t="s">
        <v>484</v>
      </c>
      <c r="AA38" t="s">
        <v>484</v>
      </c>
    </row>
    <row r="39" spans="1:27">
      <c r="A39">
        <v>36</v>
      </c>
      <c r="B39" t="s">
        <v>232</v>
      </c>
      <c r="C39" t="s">
        <v>507</v>
      </c>
      <c r="D39" t="s">
        <v>497</v>
      </c>
      <c r="E39" t="s">
        <v>622</v>
      </c>
      <c r="F39" t="s">
        <v>619</v>
      </c>
      <c r="H39" s="15">
        <v>5.4331698417663601</v>
      </c>
      <c r="I39">
        <v>2018</v>
      </c>
      <c r="J39" s="15">
        <v>5.4245603044179402</v>
      </c>
      <c r="K39">
        <v>2020</v>
      </c>
      <c r="L39" s="15" t="s">
        <v>484</v>
      </c>
      <c r="M39" t="s">
        <v>484</v>
      </c>
      <c r="N39" s="15">
        <v>4.7519597999999998</v>
      </c>
      <c r="O39">
        <v>2019</v>
      </c>
      <c r="P39" s="15">
        <v>5.6557912000000004</v>
      </c>
      <c r="Q39">
        <v>2019</v>
      </c>
      <c r="R39" s="15">
        <v>5.4245603044179402</v>
      </c>
      <c r="S39">
        <v>2020</v>
      </c>
      <c r="T39" s="15" t="s">
        <v>484</v>
      </c>
      <c r="U39" t="s">
        <v>484</v>
      </c>
      <c r="V39" s="15">
        <v>5.4245603044179402</v>
      </c>
      <c r="W39">
        <v>2020</v>
      </c>
      <c r="X39" t="s">
        <v>721</v>
      </c>
      <c r="Y39" s="15">
        <v>5.6557912000000004</v>
      </c>
      <c r="Z39">
        <v>2019</v>
      </c>
      <c r="AA39" t="s">
        <v>720</v>
      </c>
    </row>
    <row r="40" spans="1:27">
      <c r="A40">
        <v>37</v>
      </c>
      <c r="B40" t="s">
        <v>224</v>
      </c>
      <c r="C40" t="s">
        <v>439</v>
      </c>
      <c r="D40" t="s">
        <v>493</v>
      </c>
      <c r="E40" t="s">
        <v>389</v>
      </c>
      <c r="F40" t="s">
        <v>619</v>
      </c>
      <c r="H40" s="15">
        <v>3.5699999332428001</v>
      </c>
      <c r="I40">
        <v>2020</v>
      </c>
      <c r="J40" s="15">
        <v>3.5729561408400898</v>
      </c>
      <c r="K40">
        <v>2020</v>
      </c>
      <c r="L40" s="15" t="s">
        <v>484</v>
      </c>
      <c r="M40" t="s">
        <v>484</v>
      </c>
      <c r="N40" s="15">
        <v>2.99503422</v>
      </c>
      <c r="O40">
        <v>2019</v>
      </c>
      <c r="P40" s="15">
        <v>3.0019894899999997</v>
      </c>
      <c r="Q40">
        <v>2019</v>
      </c>
      <c r="R40" s="15">
        <v>3.5729561408400898</v>
      </c>
      <c r="S40">
        <v>2020</v>
      </c>
      <c r="T40" s="15" t="s">
        <v>484</v>
      </c>
      <c r="U40" t="s">
        <v>484</v>
      </c>
      <c r="V40" s="15">
        <v>3.5699999332428001</v>
      </c>
      <c r="W40">
        <v>2020</v>
      </c>
      <c r="X40" t="s">
        <v>719</v>
      </c>
      <c r="Y40" s="15">
        <v>3.0019894899999997</v>
      </c>
      <c r="Z40">
        <v>2019</v>
      </c>
      <c r="AA40" t="s">
        <v>720</v>
      </c>
    </row>
    <row r="41" spans="1:27">
      <c r="A41">
        <v>38</v>
      </c>
      <c r="B41" t="s">
        <v>146</v>
      </c>
      <c r="C41" t="s">
        <v>360</v>
      </c>
      <c r="D41" t="s">
        <v>496</v>
      </c>
      <c r="E41" t="s">
        <v>334</v>
      </c>
      <c r="F41" t="s">
        <v>615</v>
      </c>
      <c r="G41" t="s">
        <v>616</v>
      </c>
      <c r="H41" s="15">
        <v>3.4430160522460902</v>
      </c>
      <c r="I41">
        <v>2020</v>
      </c>
      <c r="J41" s="15" t="s">
        <v>484</v>
      </c>
      <c r="K41" t="s">
        <v>484</v>
      </c>
      <c r="L41" s="15" t="s">
        <v>484</v>
      </c>
      <c r="M41" t="s">
        <v>484</v>
      </c>
      <c r="N41" s="15">
        <v>0.95927446999999999</v>
      </c>
      <c r="O41">
        <v>2019</v>
      </c>
      <c r="P41" s="15">
        <v>1.2556454699999999</v>
      </c>
      <c r="Q41">
        <v>2019</v>
      </c>
      <c r="R41" s="15" t="s">
        <v>484</v>
      </c>
      <c r="S41" t="s">
        <v>484</v>
      </c>
      <c r="T41" s="15" t="s">
        <v>484</v>
      </c>
      <c r="U41" t="s">
        <v>484</v>
      </c>
      <c r="V41" s="15">
        <v>3.4430160522460902</v>
      </c>
      <c r="W41">
        <v>2020</v>
      </c>
      <c r="X41" t="s">
        <v>719</v>
      </c>
      <c r="Y41" s="15">
        <v>1.2556454699999999</v>
      </c>
      <c r="Z41">
        <v>2019</v>
      </c>
      <c r="AA41" t="s">
        <v>720</v>
      </c>
    </row>
    <row r="42" spans="1:27">
      <c r="A42">
        <v>39</v>
      </c>
      <c r="B42" t="s">
        <v>133</v>
      </c>
      <c r="C42" t="s">
        <v>347</v>
      </c>
      <c r="D42" t="s">
        <v>496</v>
      </c>
      <c r="E42" t="s">
        <v>334</v>
      </c>
      <c r="F42" t="s">
        <v>617</v>
      </c>
      <c r="G42" t="s">
        <v>616</v>
      </c>
      <c r="H42" s="15">
        <v>3.1661612987518302</v>
      </c>
      <c r="I42">
        <v>2020</v>
      </c>
      <c r="J42" s="15" t="s">
        <v>484</v>
      </c>
      <c r="K42" t="s">
        <v>484</v>
      </c>
      <c r="L42" s="15" t="s">
        <v>484</v>
      </c>
      <c r="M42" t="s">
        <v>484</v>
      </c>
      <c r="N42" s="15">
        <v>0.12061489</v>
      </c>
      <c r="O42">
        <v>2019</v>
      </c>
      <c r="P42" s="15">
        <v>0.45708117000000004</v>
      </c>
      <c r="Q42">
        <v>2019</v>
      </c>
      <c r="R42" s="15" t="s">
        <v>484</v>
      </c>
      <c r="S42" t="s">
        <v>484</v>
      </c>
      <c r="T42" s="15" t="s">
        <v>484</v>
      </c>
      <c r="U42" t="s">
        <v>484</v>
      </c>
      <c r="V42" s="15">
        <v>3.1661612987518302</v>
      </c>
      <c r="W42">
        <v>2020</v>
      </c>
      <c r="X42" t="s">
        <v>719</v>
      </c>
      <c r="Y42" s="15">
        <v>0.45708117000000004</v>
      </c>
      <c r="Z42">
        <v>2019</v>
      </c>
      <c r="AA42" t="s">
        <v>720</v>
      </c>
    </row>
    <row r="43" spans="1:27">
      <c r="A43">
        <v>40</v>
      </c>
      <c r="B43" t="s">
        <v>100</v>
      </c>
      <c r="C43" t="s">
        <v>313</v>
      </c>
      <c r="D43" t="s">
        <v>496</v>
      </c>
      <c r="E43" t="s">
        <v>306</v>
      </c>
      <c r="F43" t="s">
        <v>615</v>
      </c>
      <c r="G43" t="s">
        <v>616</v>
      </c>
      <c r="H43" s="15">
        <v>2.7000000476837198</v>
      </c>
      <c r="I43">
        <v>2021</v>
      </c>
      <c r="J43" s="15" t="s">
        <v>484</v>
      </c>
      <c r="K43" t="s">
        <v>484</v>
      </c>
      <c r="L43" s="15">
        <v>1.86</v>
      </c>
      <c r="M43">
        <v>2019</v>
      </c>
      <c r="N43" s="15">
        <v>0.55936717999999996</v>
      </c>
      <c r="O43">
        <v>2019</v>
      </c>
      <c r="P43" s="15">
        <v>1.29640771</v>
      </c>
      <c r="Q43">
        <v>2019</v>
      </c>
      <c r="R43" s="15" t="s">
        <v>484</v>
      </c>
      <c r="S43" t="s">
        <v>484</v>
      </c>
      <c r="T43" s="15">
        <v>1.24</v>
      </c>
      <c r="U43">
        <v>2019</v>
      </c>
      <c r="V43" s="15">
        <v>2.7000000476837198</v>
      </c>
      <c r="W43">
        <v>2021</v>
      </c>
      <c r="X43" t="s">
        <v>719</v>
      </c>
      <c r="Y43" s="15">
        <v>1.29640771</v>
      </c>
      <c r="Z43">
        <v>2019</v>
      </c>
      <c r="AA43" t="s">
        <v>720</v>
      </c>
    </row>
    <row r="44" spans="1:27">
      <c r="A44">
        <v>41</v>
      </c>
      <c r="B44" t="s">
        <v>134</v>
      </c>
      <c r="C44" t="s">
        <v>348</v>
      </c>
      <c r="D44" t="s">
        <v>496</v>
      </c>
      <c r="E44" t="s">
        <v>334</v>
      </c>
      <c r="F44" t="s">
        <v>617</v>
      </c>
      <c r="G44" t="s">
        <v>616</v>
      </c>
      <c r="H44" s="15">
        <v>4.4486188888549796</v>
      </c>
      <c r="I44">
        <v>2020</v>
      </c>
      <c r="J44" s="15" t="s">
        <v>484</v>
      </c>
      <c r="K44" t="s">
        <v>484</v>
      </c>
      <c r="L44" s="15" t="s">
        <v>484</v>
      </c>
      <c r="M44" t="s">
        <v>484</v>
      </c>
      <c r="N44" s="15">
        <v>0.78319961000000005</v>
      </c>
      <c r="O44">
        <v>2019</v>
      </c>
      <c r="P44" s="15">
        <v>0.85655581999999997</v>
      </c>
      <c r="Q44">
        <v>2019</v>
      </c>
      <c r="R44" s="15" t="s">
        <v>484</v>
      </c>
      <c r="S44" t="s">
        <v>484</v>
      </c>
      <c r="T44" s="15" t="s">
        <v>484</v>
      </c>
      <c r="U44" t="s">
        <v>484</v>
      </c>
      <c r="V44" s="15">
        <v>4.4486188888549796</v>
      </c>
      <c r="W44">
        <v>2020</v>
      </c>
      <c r="X44" t="s">
        <v>719</v>
      </c>
      <c r="Y44" s="15">
        <v>0.85655581999999997</v>
      </c>
      <c r="Z44">
        <v>2019</v>
      </c>
      <c r="AA44" t="s">
        <v>720</v>
      </c>
    </row>
    <row r="45" spans="1:27">
      <c r="A45">
        <v>42</v>
      </c>
      <c r="B45" t="s">
        <v>194</v>
      </c>
      <c r="C45" t="s">
        <v>409</v>
      </c>
      <c r="D45" t="s">
        <v>497</v>
      </c>
      <c r="E45" t="s">
        <v>389</v>
      </c>
      <c r="F45" t="s">
        <v>619</v>
      </c>
      <c r="H45" s="15">
        <v>4.9331002235412598</v>
      </c>
      <c r="I45">
        <v>2020</v>
      </c>
      <c r="J45" s="15" t="s">
        <v>484</v>
      </c>
      <c r="K45" t="s">
        <v>484</v>
      </c>
      <c r="L45" s="15" t="s">
        <v>484</v>
      </c>
      <c r="M45" t="s">
        <v>484</v>
      </c>
      <c r="N45" s="15">
        <v>5.5418872800000001</v>
      </c>
      <c r="O45">
        <v>2019</v>
      </c>
      <c r="P45" s="15">
        <v>5.9770074299999996</v>
      </c>
      <c r="Q45">
        <v>2019</v>
      </c>
      <c r="R45" s="15" t="s">
        <v>484</v>
      </c>
      <c r="S45" t="s">
        <v>484</v>
      </c>
      <c r="T45" s="15" t="s">
        <v>484</v>
      </c>
      <c r="U45" t="s">
        <v>484</v>
      </c>
      <c r="V45" s="15">
        <v>4.9331002235412598</v>
      </c>
      <c r="W45">
        <v>2020</v>
      </c>
      <c r="X45" t="s">
        <v>719</v>
      </c>
      <c r="Y45" s="15">
        <v>5.9770074299999996</v>
      </c>
      <c r="Z45">
        <v>2019</v>
      </c>
      <c r="AA45" t="s">
        <v>720</v>
      </c>
    </row>
    <row r="46" spans="1:27">
      <c r="A46">
        <v>43</v>
      </c>
      <c r="B46" t="s">
        <v>129</v>
      </c>
      <c r="C46" t="s">
        <v>343</v>
      </c>
      <c r="D46" t="s">
        <v>496</v>
      </c>
      <c r="E46" t="s">
        <v>334</v>
      </c>
      <c r="F46" t="s">
        <v>615</v>
      </c>
      <c r="G46" t="s">
        <v>616</v>
      </c>
      <c r="H46" s="15">
        <v>2.5450599193572998</v>
      </c>
      <c r="I46">
        <v>2015</v>
      </c>
      <c r="J46" s="15" t="s">
        <v>484</v>
      </c>
      <c r="K46" t="s">
        <v>484</v>
      </c>
      <c r="L46" s="15" t="s">
        <v>484</v>
      </c>
      <c r="M46" t="s">
        <v>484</v>
      </c>
      <c r="N46" s="15">
        <v>0.83081788000000001</v>
      </c>
      <c r="O46">
        <v>2019</v>
      </c>
      <c r="P46" s="15">
        <v>1.7257022</v>
      </c>
      <c r="Q46">
        <v>2019</v>
      </c>
      <c r="R46" s="15" t="s">
        <v>484</v>
      </c>
      <c r="S46" t="s">
        <v>484</v>
      </c>
      <c r="T46" s="15" t="s">
        <v>484</v>
      </c>
      <c r="U46" t="s">
        <v>484</v>
      </c>
      <c r="V46" s="15">
        <v>2.5450599193572998</v>
      </c>
      <c r="W46">
        <v>2015</v>
      </c>
      <c r="X46" t="s">
        <v>719</v>
      </c>
      <c r="Y46" s="15">
        <v>1.7257022</v>
      </c>
      <c r="Z46">
        <v>2019</v>
      </c>
      <c r="AA46" t="s">
        <v>720</v>
      </c>
    </row>
    <row r="47" spans="1:27">
      <c r="A47">
        <v>44</v>
      </c>
      <c r="B47" t="s">
        <v>155</v>
      </c>
      <c r="C47" t="s">
        <v>369</v>
      </c>
      <c r="D47" t="s">
        <v>496</v>
      </c>
      <c r="E47" t="s">
        <v>334</v>
      </c>
      <c r="F47" t="s">
        <v>617</v>
      </c>
      <c r="H47" s="15">
        <v>7.5847949981689498</v>
      </c>
      <c r="I47">
        <v>2020</v>
      </c>
      <c r="J47" s="15">
        <v>6.9559755124401104</v>
      </c>
      <c r="K47">
        <v>2020</v>
      </c>
      <c r="L47" s="15" t="s">
        <v>484</v>
      </c>
      <c r="M47" t="s">
        <v>484</v>
      </c>
      <c r="N47" s="15">
        <v>3.2462148700000002</v>
      </c>
      <c r="O47">
        <v>2019</v>
      </c>
      <c r="P47" s="15">
        <v>3.4969259899999998</v>
      </c>
      <c r="Q47">
        <v>2019</v>
      </c>
      <c r="R47" s="15">
        <v>6.9559755124401104</v>
      </c>
      <c r="S47">
        <v>2020</v>
      </c>
      <c r="T47" s="15" t="s">
        <v>484</v>
      </c>
      <c r="U47" t="s">
        <v>484</v>
      </c>
      <c r="V47" s="15">
        <v>7.5847949981689498</v>
      </c>
      <c r="W47">
        <v>2020</v>
      </c>
      <c r="X47" t="s">
        <v>719</v>
      </c>
      <c r="Y47" s="15">
        <v>3.4969259899999998</v>
      </c>
      <c r="Z47">
        <v>2019</v>
      </c>
      <c r="AA47" t="s">
        <v>720</v>
      </c>
    </row>
    <row r="48" spans="1:27">
      <c r="A48">
        <v>45</v>
      </c>
      <c r="B48" t="s">
        <v>225</v>
      </c>
      <c r="C48" t="s">
        <v>440</v>
      </c>
      <c r="D48" t="s">
        <v>497</v>
      </c>
      <c r="E48" t="s">
        <v>389</v>
      </c>
      <c r="F48" t="s">
        <v>619</v>
      </c>
      <c r="H48" s="15">
        <v>6.7106699943542498</v>
      </c>
      <c r="I48">
        <v>2020</v>
      </c>
      <c r="J48" s="15">
        <v>6.7106714633261104</v>
      </c>
      <c r="K48">
        <v>2020</v>
      </c>
      <c r="L48" s="15" t="s">
        <v>484</v>
      </c>
      <c r="M48" t="s">
        <v>484</v>
      </c>
      <c r="N48" s="15">
        <v>5.2762112600000002</v>
      </c>
      <c r="O48">
        <v>2019</v>
      </c>
      <c r="P48" s="15">
        <v>5.3781502099999994</v>
      </c>
      <c r="Q48">
        <v>2019</v>
      </c>
      <c r="R48" s="15">
        <v>6.7106714633261104</v>
      </c>
      <c r="S48">
        <v>2020</v>
      </c>
      <c r="T48" s="15" t="s">
        <v>484</v>
      </c>
      <c r="U48" t="s">
        <v>484</v>
      </c>
      <c r="V48" s="15">
        <v>6.7106699943542498</v>
      </c>
      <c r="W48">
        <v>2020</v>
      </c>
      <c r="X48" t="s">
        <v>719</v>
      </c>
      <c r="Y48" s="15">
        <v>5.3781502099999994</v>
      </c>
      <c r="Z48">
        <v>2019</v>
      </c>
      <c r="AA48" t="s">
        <v>720</v>
      </c>
    </row>
    <row r="49" spans="1:27">
      <c r="A49">
        <v>46</v>
      </c>
      <c r="B49" t="s">
        <v>211</v>
      </c>
      <c r="C49" t="s">
        <v>426</v>
      </c>
      <c r="D49" t="s">
        <v>497</v>
      </c>
      <c r="E49" t="s">
        <v>389</v>
      </c>
      <c r="H49" s="15">
        <v>12.8373098373413</v>
      </c>
      <c r="I49">
        <v>2010</v>
      </c>
      <c r="J49" s="15" t="s">
        <v>484</v>
      </c>
      <c r="K49" t="s">
        <v>484</v>
      </c>
      <c r="L49" s="15" t="s">
        <v>484</v>
      </c>
      <c r="M49" t="s">
        <v>484</v>
      </c>
      <c r="N49" s="15">
        <v>10.12506104</v>
      </c>
      <c r="O49">
        <v>2019</v>
      </c>
      <c r="P49" s="15">
        <v>9.9033268400000001</v>
      </c>
      <c r="Q49">
        <v>2019</v>
      </c>
      <c r="R49" s="15" t="s">
        <v>484</v>
      </c>
      <c r="S49" t="s">
        <v>484</v>
      </c>
      <c r="T49" s="15" t="s">
        <v>484</v>
      </c>
      <c r="U49" t="s">
        <v>484</v>
      </c>
      <c r="V49" s="15">
        <v>12.8373098373413</v>
      </c>
      <c r="W49">
        <v>2010</v>
      </c>
      <c r="X49" t="s">
        <v>719</v>
      </c>
      <c r="Y49" s="15">
        <v>9.9033268400000001</v>
      </c>
      <c r="Z49">
        <v>2019</v>
      </c>
      <c r="AA49" t="s">
        <v>720</v>
      </c>
    </row>
    <row r="50" spans="1:27">
      <c r="A50">
        <v>47</v>
      </c>
      <c r="B50" t="s">
        <v>236</v>
      </c>
      <c r="C50" t="s">
        <v>517</v>
      </c>
      <c r="D50" t="s">
        <v>497</v>
      </c>
      <c r="E50" t="s">
        <v>622</v>
      </c>
      <c r="H50" s="15">
        <v>4.9309501647949201</v>
      </c>
      <c r="I50">
        <v>2013</v>
      </c>
      <c r="J50" s="15" t="s">
        <v>484</v>
      </c>
      <c r="K50" t="s">
        <v>484</v>
      </c>
      <c r="L50" s="15" t="s">
        <v>484</v>
      </c>
      <c r="M50" t="s">
        <v>484</v>
      </c>
      <c r="N50" s="15" t="s">
        <v>484</v>
      </c>
      <c r="O50" t="s">
        <v>484</v>
      </c>
      <c r="P50" s="15" t="s">
        <v>484</v>
      </c>
      <c r="Q50" t="s">
        <v>484</v>
      </c>
      <c r="R50" s="15" t="s">
        <v>484</v>
      </c>
      <c r="S50" t="s">
        <v>484</v>
      </c>
      <c r="T50" s="15" t="s">
        <v>484</v>
      </c>
      <c r="U50" t="s">
        <v>484</v>
      </c>
      <c r="V50" s="15">
        <v>4.9309501647949201</v>
      </c>
      <c r="W50">
        <v>2013</v>
      </c>
      <c r="X50" t="s">
        <v>719</v>
      </c>
      <c r="Y50" s="15" t="s">
        <v>484</v>
      </c>
      <c r="Z50" t="s">
        <v>484</v>
      </c>
      <c r="AA50" t="s">
        <v>484</v>
      </c>
    </row>
    <row r="51" spans="1:27">
      <c r="A51">
        <v>48</v>
      </c>
      <c r="B51" t="s">
        <v>261</v>
      </c>
      <c r="C51" t="s">
        <v>510</v>
      </c>
      <c r="D51" t="s">
        <v>497</v>
      </c>
      <c r="E51" t="s">
        <v>622</v>
      </c>
      <c r="H51" s="15" t="s">
        <v>484</v>
      </c>
      <c r="I51" t="s">
        <v>484</v>
      </c>
      <c r="J51" s="15" t="s">
        <v>484</v>
      </c>
      <c r="K51" t="s">
        <v>484</v>
      </c>
      <c r="L51" s="15" t="s">
        <v>484</v>
      </c>
      <c r="M51" t="s">
        <v>484</v>
      </c>
      <c r="N51" s="15" t="s">
        <v>484</v>
      </c>
      <c r="O51" t="s">
        <v>484</v>
      </c>
      <c r="P51" s="15" t="s">
        <v>484</v>
      </c>
      <c r="Q51" t="s">
        <v>484</v>
      </c>
      <c r="R51" s="15" t="s">
        <v>484</v>
      </c>
      <c r="S51" t="s">
        <v>484</v>
      </c>
      <c r="T51" s="15" t="s">
        <v>484</v>
      </c>
      <c r="U51" t="s">
        <v>484</v>
      </c>
      <c r="V51" s="15" t="s">
        <v>484</v>
      </c>
      <c r="W51" t="s">
        <v>484</v>
      </c>
      <c r="X51" t="s">
        <v>484</v>
      </c>
      <c r="Y51" s="15" t="s">
        <v>484</v>
      </c>
      <c r="Z51" t="s">
        <v>484</v>
      </c>
      <c r="AA51" t="s">
        <v>484</v>
      </c>
    </row>
    <row r="52" spans="1:27">
      <c r="A52">
        <v>49</v>
      </c>
      <c r="B52" t="s">
        <v>251</v>
      </c>
      <c r="C52" t="s">
        <v>511</v>
      </c>
      <c r="D52" t="s">
        <v>485</v>
      </c>
      <c r="E52" t="s">
        <v>622</v>
      </c>
      <c r="G52" t="s">
        <v>623</v>
      </c>
      <c r="H52" s="15">
        <v>5.7185301780700701</v>
      </c>
      <c r="I52">
        <v>2017</v>
      </c>
      <c r="J52" s="15">
        <v>6.06025709309188</v>
      </c>
      <c r="K52">
        <v>2020</v>
      </c>
      <c r="L52" s="15" t="s">
        <v>484</v>
      </c>
      <c r="M52" t="s">
        <v>484</v>
      </c>
      <c r="N52" s="15">
        <v>3.9254994399999998</v>
      </c>
      <c r="O52">
        <v>2019</v>
      </c>
      <c r="P52" s="15">
        <v>3.9594653399999999</v>
      </c>
      <c r="Q52">
        <v>2019</v>
      </c>
      <c r="R52" s="15">
        <v>6.06025709309188</v>
      </c>
      <c r="S52">
        <v>2020</v>
      </c>
      <c r="T52" s="15" t="s">
        <v>484</v>
      </c>
      <c r="U52" t="s">
        <v>484</v>
      </c>
      <c r="V52" s="15">
        <v>6.06025709309188</v>
      </c>
      <c r="W52">
        <v>2020</v>
      </c>
      <c r="X52" t="s">
        <v>721</v>
      </c>
      <c r="Y52" s="15">
        <v>3.9594653399999999</v>
      </c>
      <c r="Z52">
        <v>2019</v>
      </c>
      <c r="AA52" t="s">
        <v>720</v>
      </c>
    </row>
    <row r="53" spans="1:27">
      <c r="A53">
        <v>50</v>
      </c>
      <c r="B53" t="s">
        <v>70</v>
      </c>
      <c r="C53" t="s">
        <v>446</v>
      </c>
      <c r="D53" t="s">
        <v>485</v>
      </c>
      <c r="E53" t="s">
        <v>622</v>
      </c>
      <c r="H53" s="15">
        <v>4.2669200897216797</v>
      </c>
      <c r="I53">
        <v>2018</v>
      </c>
      <c r="J53" s="15">
        <v>5.0776671256376398</v>
      </c>
      <c r="K53">
        <v>2020</v>
      </c>
      <c r="L53" s="15" t="s">
        <v>484</v>
      </c>
      <c r="M53" t="s">
        <v>484</v>
      </c>
      <c r="N53" s="15">
        <v>6.3851623499999999</v>
      </c>
      <c r="O53">
        <v>2019</v>
      </c>
      <c r="P53" s="15">
        <v>6.4088948899999991</v>
      </c>
      <c r="Q53">
        <v>2019</v>
      </c>
      <c r="R53" s="15">
        <v>5.0776671256376398</v>
      </c>
      <c r="S53">
        <v>2020</v>
      </c>
      <c r="T53" s="15" t="s">
        <v>484</v>
      </c>
      <c r="U53" t="s">
        <v>484</v>
      </c>
      <c r="V53" s="15">
        <v>5.0776671256376398</v>
      </c>
      <c r="W53">
        <v>2020</v>
      </c>
      <c r="X53" t="s">
        <v>721</v>
      </c>
      <c r="Y53" s="15">
        <v>6.4088948899999991</v>
      </c>
      <c r="Z53">
        <v>2019</v>
      </c>
      <c r="AA53" t="s">
        <v>720</v>
      </c>
    </row>
    <row r="54" spans="1:27">
      <c r="A54">
        <v>51</v>
      </c>
      <c r="B54" t="s">
        <v>56</v>
      </c>
      <c r="C54" t="s">
        <v>457</v>
      </c>
      <c r="D54" t="s">
        <v>485</v>
      </c>
      <c r="E54" t="s">
        <v>622</v>
      </c>
      <c r="G54" t="s">
        <v>623</v>
      </c>
      <c r="H54" s="15">
        <v>4.97576999664307</v>
      </c>
      <c r="I54">
        <v>2018</v>
      </c>
      <c r="J54" s="15">
        <v>4.6645345591466798</v>
      </c>
      <c r="K54">
        <v>2020</v>
      </c>
      <c r="L54" s="15" t="s">
        <v>484</v>
      </c>
      <c r="M54" t="s">
        <v>484</v>
      </c>
      <c r="N54" s="15">
        <v>9.0917787600000004</v>
      </c>
      <c r="O54">
        <v>2019</v>
      </c>
      <c r="P54" s="15">
        <v>9.8962322999999994</v>
      </c>
      <c r="Q54">
        <v>2019</v>
      </c>
      <c r="R54" s="15">
        <v>4.6645345591466798</v>
      </c>
      <c r="S54">
        <v>2020</v>
      </c>
      <c r="T54" s="15" t="s">
        <v>484</v>
      </c>
      <c r="U54" t="s">
        <v>484</v>
      </c>
      <c r="V54" s="15">
        <v>4.6645345591466798</v>
      </c>
      <c r="W54">
        <v>2020</v>
      </c>
      <c r="X54" t="s">
        <v>721</v>
      </c>
      <c r="Y54" s="15">
        <v>9.8962322999999994</v>
      </c>
      <c r="Z54">
        <v>2019</v>
      </c>
      <c r="AA54" t="s">
        <v>720</v>
      </c>
    </row>
    <row r="55" spans="1:27">
      <c r="A55">
        <v>52</v>
      </c>
      <c r="B55" t="s">
        <v>154</v>
      </c>
      <c r="C55" t="s">
        <v>368</v>
      </c>
      <c r="D55" t="s">
        <v>487</v>
      </c>
      <c r="E55" t="s">
        <v>334</v>
      </c>
      <c r="F55" t="s">
        <v>615</v>
      </c>
      <c r="H55" s="15">
        <v>3.62773990631104</v>
      </c>
      <c r="I55">
        <v>2018</v>
      </c>
      <c r="J55" s="15" t="s">
        <v>484</v>
      </c>
      <c r="K55" t="s">
        <v>484</v>
      </c>
      <c r="L55" s="15" t="s">
        <v>484</v>
      </c>
      <c r="M55" t="s">
        <v>484</v>
      </c>
      <c r="N55" s="15">
        <v>0.96505355999999998</v>
      </c>
      <c r="O55">
        <v>2019</v>
      </c>
      <c r="P55" s="15">
        <v>1.06763177</v>
      </c>
      <c r="Q55">
        <v>2019</v>
      </c>
      <c r="R55" s="15" t="s">
        <v>484</v>
      </c>
      <c r="S55" t="s">
        <v>484</v>
      </c>
      <c r="T55" s="15" t="s">
        <v>484</v>
      </c>
      <c r="U55" t="s">
        <v>484</v>
      </c>
      <c r="V55" s="15">
        <v>3.62773990631104</v>
      </c>
      <c r="W55">
        <v>2018</v>
      </c>
      <c r="X55" t="s">
        <v>719</v>
      </c>
      <c r="Y55" s="15">
        <v>1.06763177</v>
      </c>
      <c r="Z55">
        <v>2019</v>
      </c>
      <c r="AA55" t="s">
        <v>720</v>
      </c>
    </row>
    <row r="56" spans="1:27">
      <c r="A56">
        <v>53</v>
      </c>
      <c r="B56" t="s">
        <v>205</v>
      </c>
      <c r="C56" t="s">
        <v>420</v>
      </c>
      <c r="D56" t="s">
        <v>497</v>
      </c>
      <c r="E56" t="s">
        <v>389</v>
      </c>
      <c r="F56" t="s">
        <v>617</v>
      </c>
      <c r="H56" s="15">
        <v>4.6963000297546396</v>
      </c>
      <c r="I56">
        <v>2020</v>
      </c>
      <c r="J56" s="15" t="s">
        <v>484</v>
      </c>
      <c r="K56" t="s">
        <v>484</v>
      </c>
      <c r="L56" s="15" t="s">
        <v>484</v>
      </c>
      <c r="M56" t="s">
        <v>484</v>
      </c>
      <c r="N56" s="15">
        <v>3.5196087399999998</v>
      </c>
      <c r="O56">
        <v>2019</v>
      </c>
      <c r="P56" s="15">
        <v>3.5196089600000002</v>
      </c>
      <c r="Q56">
        <v>2019</v>
      </c>
      <c r="R56" s="15" t="s">
        <v>484</v>
      </c>
      <c r="S56" t="s">
        <v>484</v>
      </c>
      <c r="T56" s="15" t="s">
        <v>484</v>
      </c>
      <c r="U56" t="s">
        <v>484</v>
      </c>
      <c r="V56" s="15">
        <v>4.6963000297546396</v>
      </c>
      <c r="W56">
        <v>2020</v>
      </c>
      <c r="X56" t="s">
        <v>719</v>
      </c>
      <c r="Y56" s="15">
        <v>3.5196089600000002</v>
      </c>
      <c r="Z56">
        <v>2019</v>
      </c>
      <c r="AA56" t="s">
        <v>720</v>
      </c>
    </row>
    <row r="57" spans="1:27">
      <c r="A57">
        <v>54</v>
      </c>
      <c r="B57" t="s">
        <v>49</v>
      </c>
      <c r="C57" t="s">
        <v>464</v>
      </c>
      <c r="D57" t="s">
        <v>485</v>
      </c>
      <c r="E57" t="s">
        <v>622</v>
      </c>
      <c r="H57" s="15">
        <v>6.7927799224853498</v>
      </c>
      <c r="I57">
        <v>2018</v>
      </c>
      <c r="J57" s="15">
        <v>6.3809876624823296</v>
      </c>
      <c r="K57">
        <v>2020</v>
      </c>
      <c r="L57" s="15" t="s">
        <v>484</v>
      </c>
      <c r="M57" t="s">
        <v>484</v>
      </c>
      <c r="N57" s="15">
        <v>8.2921762500000007</v>
      </c>
      <c r="O57">
        <v>2019</v>
      </c>
      <c r="P57" s="15">
        <v>8.2921766099999985</v>
      </c>
      <c r="Q57">
        <v>2019</v>
      </c>
      <c r="R57" s="15">
        <v>6.3809876624823296</v>
      </c>
      <c r="S57">
        <v>2020</v>
      </c>
      <c r="T57" s="15" t="s">
        <v>484</v>
      </c>
      <c r="U57" t="s">
        <v>484</v>
      </c>
      <c r="V57" s="15">
        <v>6.3809876624823296</v>
      </c>
      <c r="W57">
        <v>2020</v>
      </c>
      <c r="X57" t="s">
        <v>721</v>
      </c>
      <c r="Y57" s="15">
        <v>8.2921766099999985</v>
      </c>
      <c r="Z57">
        <v>2019</v>
      </c>
      <c r="AA57" t="s">
        <v>720</v>
      </c>
    </row>
    <row r="58" spans="1:27">
      <c r="A58">
        <v>55</v>
      </c>
      <c r="B58" t="s">
        <v>207</v>
      </c>
      <c r="C58" t="s">
        <v>422</v>
      </c>
      <c r="D58" t="s">
        <v>497</v>
      </c>
      <c r="E58" t="s">
        <v>389</v>
      </c>
      <c r="F58" t="s">
        <v>619</v>
      </c>
      <c r="H58" s="15">
        <v>4.6187024116516104</v>
      </c>
      <c r="I58">
        <v>2020</v>
      </c>
      <c r="J58" s="15">
        <v>4.6187001564816903</v>
      </c>
      <c r="K58">
        <v>2020</v>
      </c>
      <c r="L58" s="15">
        <v>4.04</v>
      </c>
      <c r="M58">
        <v>2019</v>
      </c>
      <c r="N58" s="15">
        <v>2.6619985100000001</v>
      </c>
      <c r="O58">
        <v>2019</v>
      </c>
      <c r="P58" s="15">
        <v>2.6756498999999998</v>
      </c>
      <c r="Q58">
        <v>2019</v>
      </c>
      <c r="R58" s="15">
        <v>4.6187001564816903</v>
      </c>
      <c r="S58">
        <v>2020</v>
      </c>
      <c r="T58" s="15">
        <v>1.66</v>
      </c>
      <c r="U58">
        <v>2019</v>
      </c>
      <c r="V58" s="15">
        <v>4.6187024116516104</v>
      </c>
      <c r="W58">
        <v>2020</v>
      </c>
      <c r="X58" t="s">
        <v>719</v>
      </c>
      <c r="Y58" s="15">
        <v>2.6756498999999998</v>
      </c>
      <c r="Z58">
        <v>2019</v>
      </c>
      <c r="AA58" t="s">
        <v>720</v>
      </c>
    </row>
    <row r="59" spans="1:27">
      <c r="A59">
        <v>56</v>
      </c>
      <c r="B59" t="s">
        <v>164</v>
      </c>
      <c r="C59" t="s">
        <v>378</v>
      </c>
      <c r="D59" t="s">
        <v>487</v>
      </c>
      <c r="E59" t="s">
        <v>334</v>
      </c>
      <c r="F59" t="s">
        <v>619</v>
      </c>
      <c r="H59" s="15">
        <v>6.1003599166870099</v>
      </c>
      <c r="I59">
        <v>2019</v>
      </c>
      <c r="J59" s="15" t="s">
        <v>484</v>
      </c>
      <c r="K59" t="s">
        <v>484</v>
      </c>
      <c r="L59" s="15" t="s">
        <v>484</v>
      </c>
      <c r="M59" t="s">
        <v>484</v>
      </c>
      <c r="N59" s="15">
        <v>4.0581779500000001</v>
      </c>
      <c r="O59">
        <v>2019</v>
      </c>
      <c r="P59" s="15">
        <v>4.0598895000000006</v>
      </c>
      <c r="Q59">
        <v>2019</v>
      </c>
      <c r="R59" s="15" t="s">
        <v>484</v>
      </c>
      <c r="S59" t="s">
        <v>484</v>
      </c>
      <c r="T59" s="15" t="s">
        <v>484</v>
      </c>
      <c r="U59" t="s">
        <v>484</v>
      </c>
      <c r="V59" s="15">
        <v>6.1003599166870099</v>
      </c>
      <c r="W59">
        <v>2019</v>
      </c>
      <c r="X59" t="s">
        <v>719</v>
      </c>
      <c r="Y59" s="15">
        <v>4.0598895000000006</v>
      </c>
      <c r="Z59">
        <v>2019</v>
      </c>
      <c r="AA59" t="s">
        <v>720</v>
      </c>
    </row>
    <row r="60" spans="1:27">
      <c r="A60">
        <v>57</v>
      </c>
      <c r="B60" t="s">
        <v>191</v>
      </c>
      <c r="C60" t="s">
        <v>406</v>
      </c>
      <c r="D60" t="s">
        <v>497</v>
      </c>
      <c r="E60" t="s">
        <v>389</v>
      </c>
      <c r="F60" t="s">
        <v>619</v>
      </c>
      <c r="H60" s="15">
        <v>4.1341300010681197</v>
      </c>
      <c r="I60">
        <v>2020</v>
      </c>
      <c r="J60" s="15" t="s">
        <v>484</v>
      </c>
      <c r="K60" t="s">
        <v>484</v>
      </c>
      <c r="L60" s="15">
        <v>4.33</v>
      </c>
      <c r="M60">
        <v>2020</v>
      </c>
      <c r="N60" s="15">
        <v>4.8294086500000004</v>
      </c>
      <c r="O60">
        <v>2019</v>
      </c>
      <c r="P60" s="15">
        <v>4.8558935200000004</v>
      </c>
      <c r="Q60">
        <v>2019</v>
      </c>
      <c r="R60" s="15" t="s">
        <v>484</v>
      </c>
      <c r="S60" t="s">
        <v>484</v>
      </c>
      <c r="T60" s="15">
        <v>2.61</v>
      </c>
      <c r="U60">
        <v>2020</v>
      </c>
      <c r="V60" s="15">
        <v>4.1341300010681197</v>
      </c>
      <c r="W60">
        <v>2020</v>
      </c>
      <c r="X60" t="s">
        <v>719</v>
      </c>
      <c r="Y60" s="15">
        <v>4.8558935200000004</v>
      </c>
      <c r="Z60">
        <v>2019</v>
      </c>
      <c r="AA60" t="s">
        <v>720</v>
      </c>
    </row>
    <row r="61" spans="1:27">
      <c r="A61">
        <v>58</v>
      </c>
      <c r="B61" t="s">
        <v>160</v>
      </c>
      <c r="C61" t="s">
        <v>374</v>
      </c>
      <c r="D61" t="s">
        <v>487</v>
      </c>
      <c r="E61" t="s">
        <v>334</v>
      </c>
      <c r="F61" t="s">
        <v>619</v>
      </c>
      <c r="H61" s="15">
        <v>2.4800000190734899</v>
      </c>
      <c r="I61">
        <v>2020</v>
      </c>
      <c r="J61" s="15" t="s">
        <v>484</v>
      </c>
      <c r="K61" t="s">
        <v>484</v>
      </c>
      <c r="L61" s="15" t="s">
        <v>484</v>
      </c>
      <c r="M61" t="s">
        <v>484</v>
      </c>
      <c r="N61" s="15">
        <v>1.31698537</v>
      </c>
      <c r="O61">
        <v>2019</v>
      </c>
      <c r="P61" s="15">
        <v>1.3622638</v>
      </c>
      <c r="Q61">
        <v>2019</v>
      </c>
      <c r="R61" s="15" t="s">
        <v>484</v>
      </c>
      <c r="S61" t="s">
        <v>484</v>
      </c>
      <c r="T61" s="15" t="s">
        <v>484</v>
      </c>
      <c r="U61" t="s">
        <v>484</v>
      </c>
      <c r="V61" s="15">
        <v>2.4800000190734899</v>
      </c>
      <c r="W61">
        <v>2020</v>
      </c>
      <c r="X61" t="s">
        <v>719</v>
      </c>
      <c r="Y61" s="15">
        <v>1.3622638</v>
      </c>
      <c r="Z61">
        <v>2019</v>
      </c>
      <c r="AA61" t="s">
        <v>720</v>
      </c>
    </row>
    <row r="62" spans="1:27">
      <c r="A62">
        <v>59</v>
      </c>
      <c r="B62" t="s">
        <v>102</v>
      </c>
      <c r="C62" t="s">
        <v>315</v>
      </c>
      <c r="D62" t="s">
        <v>496</v>
      </c>
      <c r="E62" t="s">
        <v>306</v>
      </c>
      <c r="F62" t="s">
        <v>615</v>
      </c>
      <c r="G62" t="s">
        <v>616</v>
      </c>
      <c r="H62" s="15">
        <v>2.1270000934600799</v>
      </c>
      <c r="I62">
        <v>2006</v>
      </c>
      <c r="J62" s="15" t="s">
        <v>484</v>
      </c>
      <c r="K62" t="s">
        <v>484</v>
      </c>
      <c r="L62" s="15" t="s">
        <v>484</v>
      </c>
      <c r="M62" t="s">
        <v>484</v>
      </c>
      <c r="N62" s="15">
        <v>0.78496498000000003</v>
      </c>
      <c r="O62">
        <v>2019</v>
      </c>
      <c r="P62" s="15">
        <v>1.8137422700000001</v>
      </c>
      <c r="Q62">
        <v>2019</v>
      </c>
      <c r="R62" s="15" t="s">
        <v>484</v>
      </c>
      <c r="S62" t="s">
        <v>484</v>
      </c>
      <c r="T62" s="15" t="s">
        <v>484</v>
      </c>
      <c r="U62" t="s">
        <v>484</v>
      </c>
      <c r="V62" s="15">
        <v>2.1270000934600799</v>
      </c>
      <c r="W62">
        <v>2006</v>
      </c>
      <c r="X62" t="s">
        <v>719</v>
      </c>
      <c r="Y62" s="15">
        <v>1.8137422700000001</v>
      </c>
      <c r="Z62">
        <v>2019</v>
      </c>
      <c r="AA62" t="s">
        <v>720</v>
      </c>
    </row>
    <row r="63" spans="1:27">
      <c r="A63">
        <v>60</v>
      </c>
      <c r="B63" t="s">
        <v>69</v>
      </c>
      <c r="C63" t="s">
        <v>448</v>
      </c>
      <c r="D63" t="s">
        <v>485</v>
      </c>
      <c r="E63" t="s">
        <v>622</v>
      </c>
      <c r="G63" t="s">
        <v>623</v>
      </c>
      <c r="H63" s="15">
        <v>4.1815700531005904</v>
      </c>
      <c r="I63">
        <v>2018</v>
      </c>
      <c r="J63" s="15">
        <v>4.5945088364166597</v>
      </c>
      <c r="K63">
        <v>2020</v>
      </c>
      <c r="L63" s="15" t="s">
        <v>484</v>
      </c>
      <c r="M63" t="s">
        <v>484</v>
      </c>
      <c r="N63" s="15">
        <v>6.4490675900000003</v>
      </c>
      <c r="O63">
        <v>2019</v>
      </c>
      <c r="P63" s="15">
        <v>6.4490685800000005</v>
      </c>
      <c r="Q63">
        <v>2019</v>
      </c>
      <c r="R63" s="15">
        <v>4.5945088364166597</v>
      </c>
      <c r="S63">
        <v>2020</v>
      </c>
      <c r="T63" s="15" t="s">
        <v>484</v>
      </c>
      <c r="U63" t="s">
        <v>484</v>
      </c>
      <c r="V63" s="15">
        <v>4.5945088364166597</v>
      </c>
      <c r="W63">
        <v>2020</v>
      </c>
      <c r="X63" t="s">
        <v>721</v>
      </c>
      <c r="Y63" s="15">
        <v>6.4490685800000005</v>
      </c>
      <c r="Z63">
        <v>2019</v>
      </c>
      <c r="AA63" t="s">
        <v>720</v>
      </c>
    </row>
    <row r="64" spans="1:27">
      <c r="A64">
        <v>61</v>
      </c>
      <c r="B64" t="s">
        <v>248</v>
      </c>
      <c r="C64" t="s">
        <v>515</v>
      </c>
      <c r="D64" t="s">
        <v>485</v>
      </c>
      <c r="E64" t="s">
        <v>622</v>
      </c>
      <c r="G64" t="s">
        <v>623</v>
      </c>
      <c r="H64" s="15">
        <v>5.2632098197937003</v>
      </c>
      <c r="I64">
        <v>2018</v>
      </c>
      <c r="J64" s="15">
        <v>6.5829386924006803</v>
      </c>
      <c r="K64">
        <v>2020</v>
      </c>
      <c r="L64" s="15" t="s">
        <v>484</v>
      </c>
      <c r="M64" t="s">
        <v>484</v>
      </c>
      <c r="N64" s="15">
        <v>5.0085749599999998</v>
      </c>
      <c r="O64">
        <v>2019</v>
      </c>
      <c r="P64" s="15">
        <v>5.0136973400000002</v>
      </c>
      <c r="Q64">
        <v>2019</v>
      </c>
      <c r="R64" s="15">
        <v>6.5829386924006803</v>
      </c>
      <c r="S64">
        <v>2020</v>
      </c>
      <c r="T64" s="15" t="s">
        <v>484</v>
      </c>
      <c r="U64" t="s">
        <v>484</v>
      </c>
      <c r="V64" s="15">
        <v>6.5829386924006803</v>
      </c>
      <c r="W64">
        <v>2020</v>
      </c>
      <c r="X64" t="s">
        <v>721</v>
      </c>
      <c r="Y64" s="15">
        <v>5.0136973400000002</v>
      </c>
      <c r="Z64">
        <v>2019</v>
      </c>
      <c r="AA64" t="s">
        <v>720</v>
      </c>
    </row>
    <row r="65" spans="1:27">
      <c r="A65">
        <v>62</v>
      </c>
      <c r="B65" t="s">
        <v>115</v>
      </c>
      <c r="C65" t="s">
        <v>328</v>
      </c>
      <c r="D65" t="s">
        <v>496</v>
      </c>
      <c r="E65" t="s">
        <v>306</v>
      </c>
      <c r="F65" t="s">
        <v>615</v>
      </c>
      <c r="G65" t="s">
        <v>616</v>
      </c>
      <c r="H65" s="15">
        <v>5.0686798095703098</v>
      </c>
      <c r="I65">
        <v>2018</v>
      </c>
      <c r="J65" s="15">
        <v>1.5427847126588301</v>
      </c>
      <c r="K65">
        <v>2020</v>
      </c>
      <c r="L65" s="15">
        <v>3.54</v>
      </c>
      <c r="M65">
        <v>2020</v>
      </c>
      <c r="N65" s="15">
        <v>0.73514652000000003</v>
      </c>
      <c r="O65">
        <v>2019</v>
      </c>
      <c r="P65" s="15">
        <v>1.3791670800000002</v>
      </c>
      <c r="Q65">
        <v>2019</v>
      </c>
      <c r="R65" s="15">
        <v>1.5427847126588301</v>
      </c>
      <c r="S65">
        <v>2020</v>
      </c>
      <c r="T65" s="15">
        <v>1.44</v>
      </c>
      <c r="U65">
        <v>2020</v>
      </c>
      <c r="V65" s="15">
        <v>1.5427847126588301</v>
      </c>
      <c r="W65">
        <v>2020</v>
      </c>
      <c r="X65" t="s">
        <v>721</v>
      </c>
      <c r="Y65" s="15">
        <v>1.3791670800000002</v>
      </c>
      <c r="Z65">
        <v>2019</v>
      </c>
      <c r="AA65" t="s">
        <v>720</v>
      </c>
    </row>
    <row r="66" spans="1:27">
      <c r="A66">
        <v>63</v>
      </c>
      <c r="B66" t="s">
        <v>50</v>
      </c>
      <c r="C66" t="s">
        <v>459</v>
      </c>
      <c r="D66" t="s">
        <v>485</v>
      </c>
      <c r="E66" t="s">
        <v>622</v>
      </c>
      <c r="G66" t="s">
        <v>623</v>
      </c>
      <c r="H66" s="15">
        <v>6.2754201889038104</v>
      </c>
      <c r="I66">
        <v>2018</v>
      </c>
      <c r="J66" s="15">
        <v>5.8813318204142497</v>
      </c>
      <c r="K66">
        <v>2020</v>
      </c>
      <c r="L66" s="15" t="s">
        <v>484</v>
      </c>
      <c r="M66" t="s">
        <v>484</v>
      </c>
      <c r="N66" s="15">
        <v>7.3380699199999997</v>
      </c>
      <c r="O66">
        <v>2019</v>
      </c>
      <c r="P66" s="15">
        <v>7.1234116200000006</v>
      </c>
      <c r="Q66">
        <v>2019</v>
      </c>
      <c r="R66" s="15">
        <v>5.8813318204142497</v>
      </c>
      <c r="S66">
        <v>2020</v>
      </c>
      <c r="T66" s="15" t="s">
        <v>484</v>
      </c>
      <c r="U66" t="s">
        <v>484</v>
      </c>
      <c r="V66" s="15">
        <v>5.8813318204142497</v>
      </c>
      <c r="W66">
        <v>2020</v>
      </c>
      <c r="X66" t="s">
        <v>721</v>
      </c>
      <c r="Y66" s="15">
        <v>7.1234116200000006</v>
      </c>
      <c r="Z66">
        <v>2019</v>
      </c>
      <c r="AA66" t="s">
        <v>720</v>
      </c>
    </row>
    <row r="67" spans="1:27">
      <c r="A67">
        <v>64</v>
      </c>
      <c r="B67" t="s">
        <v>181</v>
      </c>
      <c r="C67" t="s">
        <v>396</v>
      </c>
      <c r="D67" t="s">
        <v>493</v>
      </c>
      <c r="E67" t="s">
        <v>389</v>
      </c>
      <c r="F67" t="s">
        <v>617</v>
      </c>
      <c r="H67" s="15">
        <v>5.0678801536560103</v>
      </c>
      <c r="I67">
        <v>2019</v>
      </c>
      <c r="J67" s="15" t="s">
        <v>484</v>
      </c>
      <c r="K67" t="s">
        <v>484</v>
      </c>
      <c r="L67" s="15">
        <v>6.05</v>
      </c>
      <c r="M67">
        <v>2020</v>
      </c>
      <c r="N67" s="15">
        <v>2.4952652500000001</v>
      </c>
      <c r="O67">
        <v>2019</v>
      </c>
      <c r="P67" s="15">
        <v>2.5561675900000003</v>
      </c>
      <c r="Q67">
        <v>2019</v>
      </c>
      <c r="R67" s="15" t="s">
        <v>484</v>
      </c>
      <c r="S67" t="s">
        <v>484</v>
      </c>
      <c r="T67" s="15">
        <v>3.32</v>
      </c>
      <c r="U67">
        <v>2020</v>
      </c>
      <c r="V67" s="15">
        <v>6.05</v>
      </c>
      <c r="W67">
        <v>2020</v>
      </c>
      <c r="X67" t="s">
        <v>722</v>
      </c>
      <c r="Y67" s="15">
        <v>2.5561675900000003</v>
      </c>
      <c r="Z67">
        <v>2019</v>
      </c>
      <c r="AA67" t="s">
        <v>720</v>
      </c>
    </row>
    <row r="68" spans="1:27">
      <c r="A68">
        <v>65</v>
      </c>
      <c r="B68" t="s">
        <v>55</v>
      </c>
      <c r="C68" t="s">
        <v>452</v>
      </c>
      <c r="D68" t="s">
        <v>485</v>
      </c>
      <c r="E68" t="s">
        <v>622</v>
      </c>
      <c r="G68" t="s">
        <v>623</v>
      </c>
      <c r="H68" s="15">
        <v>5.4071698188781703</v>
      </c>
      <c r="I68">
        <v>2018</v>
      </c>
      <c r="J68" s="15">
        <v>5.5039385807213597</v>
      </c>
      <c r="K68">
        <v>2020</v>
      </c>
      <c r="L68" s="15" t="s">
        <v>484</v>
      </c>
      <c r="M68" t="s">
        <v>484</v>
      </c>
      <c r="N68" s="15">
        <v>8.3275709199999994</v>
      </c>
      <c r="O68">
        <v>2019</v>
      </c>
      <c r="P68" s="15">
        <v>9.2559940299999983</v>
      </c>
      <c r="Q68">
        <v>2019</v>
      </c>
      <c r="R68" s="15">
        <v>5.5039385807213597</v>
      </c>
      <c r="S68">
        <v>2020</v>
      </c>
      <c r="T68" s="15" t="s">
        <v>484</v>
      </c>
      <c r="U68" t="s">
        <v>484</v>
      </c>
      <c r="V68" s="15">
        <v>5.5039385807213597</v>
      </c>
      <c r="W68">
        <v>2020</v>
      </c>
      <c r="X68" t="s">
        <v>721</v>
      </c>
      <c r="Y68" s="15">
        <v>9.2559940299999983</v>
      </c>
      <c r="Z68">
        <v>2019</v>
      </c>
      <c r="AA68" t="s">
        <v>720</v>
      </c>
    </row>
    <row r="69" spans="1:27">
      <c r="A69">
        <v>66</v>
      </c>
      <c r="B69" t="s">
        <v>522</v>
      </c>
      <c r="C69" t="s">
        <v>523</v>
      </c>
      <c r="D69" t="s">
        <v>485</v>
      </c>
      <c r="E69" t="s">
        <v>622</v>
      </c>
      <c r="H69" s="15">
        <v>7.6401047706604004</v>
      </c>
      <c r="I69">
        <v>2019</v>
      </c>
      <c r="J69" s="15" t="s">
        <v>484</v>
      </c>
      <c r="K69" t="s">
        <v>484</v>
      </c>
      <c r="L69" s="15" t="s">
        <v>484</v>
      </c>
      <c r="M69" t="s">
        <v>484</v>
      </c>
      <c r="N69" s="15" t="s">
        <v>484</v>
      </c>
      <c r="O69" t="s">
        <v>484</v>
      </c>
      <c r="P69" s="15" t="s">
        <v>484</v>
      </c>
      <c r="Q69" t="s">
        <v>484</v>
      </c>
      <c r="R69" s="15" t="s">
        <v>484</v>
      </c>
      <c r="S69" t="s">
        <v>484</v>
      </c>
      <c r="T69" s="15" t="s">
        <v>484</v>
      </c>
      <c r="U69" t="s">
        <v>484</v>
      </c>
      <c r="V69" s="15">
        <v>7.6401047706604004</v>
      </c>
      <c r="W69">
        <v>2019</v>
      </c>
      <c r="X69" t="s">
        <v>719</v>
      </c>
      <c r="Y69" s="15" t="s">
        <v>484</v>
      </c>
      <c r="Z69" t="s">
        <v>484</v>
      </c>
      <c r="AA69" t="s">
        <v>484</v>
      </c>
    </row>
    <row r="70" spans="1:27">
      <c r="A70">
        <v>67</v>
      </c>
      <c r="B70" t="s">
        <v>169</v>
      </c>
      <c r="C70" t="s">
        <v>383</v>
      </c>
      <c r="D70" t="s">
        <v>493</v>
      </c>
      <c r="E70" t="s">
        <v>334</v>
      </c>
      <c r="F70" t="s">
        <v>615</v>
      </c>
      <c r="H70" s="15">
        <v>9.6970500946044904</v>
      </c>
      <c r="I70">
        <v>2018</v>
      </c>
      <c r="J70" s="15">
        <v>1.4857187234737399</v>
      </c>
      <c r="K70">
        <v>2020</v>
      </c>
      <c r="L70" s="15" t="s">
        <v>484</v>
      </c>
      <c r="M70" t="s">
        <v>484</v>
      </c>
      <c r="N70" s="15">
        <v>3.2418613399999998</v>
      </c>
      <c r="O70">
        <v>2019</v>
      </c>
      <c r="P70" s="15">
        <v>10.8701954</v>
      </c>
      <c r="Q70">
        <v>2019</v>
      </c>
      <c r="R70" s="15">
        <v>1.4857187234737399</v>
      </c>
      <c r="S70">
        <v>2020</v>
      </c>
      <c r="T70" s="15" t="s">
        <v>484</v>
      </c>
      <c r="U70" t="s">
        <v>484</v>
      </c>
      <c r="V70" s="15">
        <v>1.4857187234737399</v>
      </c>
      <c r="W70">
        <v>2020</v>
      </c>
      <c r="X70" t="s">
        <v>721</v>
      </c>
      <c r="Y70" s="15">
        <v>10.8701954</v>
      </c>
      <c r="Z70">
        <v>2019</v>
      </c>
      <c r="AA70" t="s">
        <v>720</v>
      </c>
    </row>
    <row r="71" spans="1:27">
      <c r="A71">
        <v>68</v>
      </c>
      <c r="B71" t="s">
        <v>201</v>
      </c>
      <c r="C71" t="s">
        <v>416</v>
      </c>
      <c r="D71" t="s">
        <v>496</v>
      </c>
      <c r="E71" t="s">
        <v>389</v>
      </c>
      <c r="F71" t="s">
        <v>619</v>
      </c>
      <c r="H71" s="15">
        <v>3.1816093921661399</v>
      </c>
      <c r="I71">
        <v>2020</v>
      </c>
      <c r="J71" s="15" t="s">
        <v>484</v>
      </c>
      <c r="K71" t="s">
        <v>484</v>
      </c>
      <c r="L71" s="15" t="s">
        <v>484</v>
      </c>
      <c r="M71" t="s">
        <v>484</v>
      </c>
      <c r="N71" s="15">
        <v>1.6696250399999999</v>
      </c>
      <c r="O71">
        <v>2019</v>
      </c>
      <c r="P71" s="15">
        <v>1.6696250400000003</v>
      </c>
      <c r="Q71">
        <v>2019</v>
      </c>
      <c r="R71" s="15" t="s">
        <v>484</v>
      </c>
      <c r="S71" t="s">
        <v>484</v>
      </c>
      <c r="T71" s="15" t="s">
        <v>484</v>
      </c>
      <c r="U71" t="s">
        <v>484</v>
      </c>
      <c r="V71" s="15">
        <v>3.1816093921661399</v>
      </c>
      <c r="W71">
        <v>2020</v>
      </c>
      <c r="X71" t="s">
        <v>719</v>
      </c>
      <c r="Y71" s="15">
        <v>1.6696250400000003</v>
      </c>
      <c r="Z71">
        <v>2019</v>
      </c>
      <c r="AA71" t="s">
        <v>720</v>
      </c>
    </row>
    <row r="72" spans="1:27">
      <c r="A72">
        <v>69</v>
      </c>
      <c r="B72" t="s">
        <v>72</v>
      </c>
      <c r="C72" t="s">
        <v>454</v>
      </c>
      <c r="D72" t="s">
        <v>485</v>
      </c>
      <c r="E72" t="s">
        <v>622</v>
      </c>
      <c r="H72" s="15">
        <v>5.16799020767212</v>
      </c>
      <c r="I72">
        <v>2018</v>
      </c>
      <c r="J72" s="15">
        <v>5.4330837186526502</v>
      </c>
      <c r="K72">
        <v>2020</v>
      </c>
      <c r="L72" s="15" t="s">
        <v>484</v>
      </c>
      <c r="M72" t="s">
        <v>484</v>
      </c>
      <c r="N72" s="15">
        <v>8.0692043299999998</v>
      </c>
      <c r="O72">
        <v>2019</v>
      </c>
      <c r="P72" s="15">
        <v>7.9722665000000008</v>
      </c>
      <c r="Q72">
        <v>2019</v>
      </c>
      <c r="R72" s="15">
        <v>5.4330837186526502</v>
      </c>
      <c r="S72">
        <v>2020</v>
      </c>
      <c r="T72" s="15" t="s">
        <v>484</v>
      </c>
      <c r="U72" t="s">
        <v>484</v>
      </c>
      <c r="V72" s="15">
        <v>5.4330837186526502</v>
      </c>
      <c r="W72">
        <v>2020</v>
      </c>
      <c r="X72" t="s">
        <v>721</v>
      </c>
      <c r="Y72" s="15">
        <v>7.9722665000000008</v>
      </c>
      <c r="Z72">
        <v>2019</v>
      </c>
      <c r="AA72" t="s">
        <v>720</v>
      </c>
    </row>
    <row r="73" spans="1:27">
      <c r="A73">
        <v>70</v>
      </c>
      <c r="B73" t="s">
        <v>179</v>
      </c>
      <c r="C73" t="s">
        <v>394</v>
      </c>
      <c r="D73" t="s">
        <v>485</v>
      </c>
      <c r="E73" t="s">
        <v>389</v>
      </c>
      <c r="F73" t="s">
        <v>619</v>
      </c>
      <c r="H73" s="15">
        <v>3.85008001327515</v>
      </c>
      <c r="I73">
        <v>2020</v>
      </c>
      <c r="J73" s="15">
        <v>4.4079159898838602</v>
      </c>
      <c r="K73">
        <v>2020</v>
      </c>
      <c r="L73" s="15" t="s">
        <v>484</v>
      </c>
      <c r="M73" t="s">
        <v>484</v>
      </c>
      <c r="N73" s="15">
        <v>2.7172760999999999</v>
      </c>
      <c r="O73">
        <v>2019</v>
      </c>
      <c r="P73" s="15">
        <v>2.6139930599999994</v>
      </c>
      <c r="Q73">
        <v>2019</v>
      </c>
      <c r="R73" s="15">
        <v>4.4079159898838602</v>
      </c>
      <c r="S73">
        <v>2020</v>
      </c>
      <c r="T73" s="15" t="s">
        <v>484</v>
      </c>
      <c r="U73" t="s">
        <v>484</v>
      </c>
      <c r="V73" s="15">
        <v>3.85008001327515</v>
      </c>
      <c r="W73">
        <v>2020</v>
      </c>
      <c r="X73" t="s">
        <v>719</v>
      </c>
      <c r="Y73" s="15">
        <v>2.6139930599999994</v>
      </c>
      <c r="Z73">
        <v>2019</v>
      </c>
      <c r="AA73" t="s">
        <v>720</v>
      </c>
    </row>
    <row r="74" spans="1:27">
      <c r="A74">
        <v>71</v>
      </c>
      <c r="B74" t="s">
        <v>145</v>
      </c>
      <c r="C74" t="s">
        <v>359</v>
      </c>
      <c r="D74" t="s">
        <v>496</v>
      </c>
      <c r="E74" t="s">
        <v>334</v>
      </c>
      <c r="F74" t="s">
        <v>615</v>
      </c>
      <c r="G74" t="s">
        <v>616</v>
      </c>
      <c r="H74" s="15">
        <v>3.8861300945282</v>
      </c>
      <c r="I74">
        <v>2018</v>
      </c>
      <c r="J74" s="15" t="s">
        <v>484</v>
      </c>
      <c r="K74" t="s">
        <v>484</v>
      </c>
      <c r="L74" s="15" t="s">
        <v>484</v>
      </c>
      <c r="M74" t="s">
        <v>484</v>
      </c>
      <c r="N74" s="15">
        <v>1.3756671</v>
      </c>
      <c r="O74">
        <v>2019</v>
      </c>
      <c r="P74" s="15">
        <v>1.5593819099999999</v>
      </c>
      <c r="Q74">
        <v>2019</v>
      </c>
      <c r="R74" s="15" t="s">
        <v>484</v>
      </c>
      <c r="S74" t="s">
        <v>484</v>
      </c>
      <c r="T74" s="15" t="s">
        <v>484</v>
      </c>
      <c r="U74" t="s">
        <v>484</v>
      </c>
      <c r="V74" s="15">
        <v>3.8861300945282</v>
      </c>
      <c r="W74">
        <v>2018</v>
      </c>
      <c r="X74" t="s">
        <v>719</v>
      </c>
      <c r="Y74" s="15">
        <v>1.5593819099999999</v>
      </c>
      <c r="Z74">
        <v>2019</v>
      </c>
      <c r="AA74" t="s">
        <v>720</v>
      </c>
    </row>
    <row r="75" spans="1:27">
      <c r="A75">
        <v>72</v>
      </c>
      <c r="B75" t="s">
        <v>527</v>
      </c>
      <c r="C75" t="s">
        <v>528</v>
      </c>
      <c r="D75" t="s">
        <v>485</v>
      </c>
      <c r="E75" t="s">
        <v>622</v>
      </c>
      <c r="H75" s="15" t="s">
        <v>484</v>
      </c>
      <c r="I75" t="s">
        <v>484</v>
      </c>
      <c r="J75" s="15" t="s">
        <v>484</v>
      </c>
      <c r="K75" t="s">
        <v>484</v>
      </c>
      <c r="L75" s="15" t="s">
        <v>484</v>
      </c>
      <c r="M75" t="s">
        <v>484</v>
      </c>
      <c r="N75" s="15" t="s">
        <v>484</v>
      </c>
      <c r="O75" t="s">
        <v>484</v>
      </c>
      <c r="P75" s="15" t="s">
        <v>484</v>
      </c>
      <c r="Q75" t="s">
        <v>484</v>
      </c>
      <c r="R75" s="15" t="s">
        <v>484</v>
      </c>
      <c r="S75" t="s">
        <v>484</v>
      </c>
      <c r="T75" s="15" t="s">
        <v>484</v>
      </c>
      <c r="U75" t="s">
        <v>484</v>
      </c>
      <c r="V75" s="15" t="s">
        <v>484</v>
      </c>
      <c r="W75" t="s">
        <v>484</v>
      </c>
      <c r="X75" t="s">
        <v>484</v>
      </c>
      <c r="Y75" s="15" t="s">
        <v>484</v>
      </c>
      <c r="Z75" t="s">
        <v>484</v>
      </c>
      <c r="AA75" t="s">
        <v>484</v>
      </c>
    </row>
    <row r="76" spans="1:27">
      <c r="A76">
        <v>73</v>
      </c>
      <c r="B76" t="s">
        <v>117</v>
      </c>
      <c r="C76" t="s">
        <v>330</v>
      </c>
      <c r="D76" t="s">
        <v>496</v>
      </c>
      <c r="E76" t="s">
        <v>306</v>
      </c>
      <c r="F76" t="s">
        <v>615</v>
      </c>
      <c r="G76" t="s">
        <v>616</v>
      </c>
      <c r="H76" s="15">
        <v>2.1994700431823699</v>
      </c>
      <c r="I76">
        <v>2020</v>
      </c>
      <c r="J76" s="15" t="s">
        <v>484</v>
      </c>
      <c r="K76" t="s">
        <v>484</v>
      </c>
      <c r="L76" s="15" t="s">
        <v>484</v>
      </c>
      <c r="M76" t="s">
        <v>484</v>
      </c>
      <c r="N76" s="15">
        <v>0.89733302999999998</v>
      </c>
      <c r="O76">
        <v>2019</v>
      </c>
      <c r="P76" s="15">
        <v>1.3014689399999999</v>
      </c>
      <c r="Q76">
        <v>2019</v>
      </c>
      <c r="R76" s="15" t="s">
        <v>484</v>
      </c>
      <c r="S76" t="s">
        <v>484</v>
      </c>
      <c r="T76" s="15" t="s">
        <v>484</v>
      </c>
      <c r="U76" t="s">
        <v>484</v>
      </c>
      <c r="V76" s="15">
        <v>2.1994700431823699</v>
      </c>
      <c r="W76">
        <v>2020</v>
      </c>
      <c r="X76" t="s">
        <v>719</v>
      </c>
      <c r="Y76" s="15">
        <v>1.3014689399999999</v>
      </c>
      <c r="Z76">
        <v>2019</v>
      </c>
      <c r="AA76" t="s">
        <v>720</v>
      </c>
    </row>
    <row r="77" spans="1:27">
      <c r="A77">
        <v>74</v>
      </c>
      <c r="B77" t="s">
        <v>109</v>
      </c>
      <c r="C77" t="s">
        <v>322</v>
      </c>
      <c r="D77" t="s">
        <v>496</v>
      </c>
      <c r="E77" t="s">
        <v>306</v>
      </c>
      <c r="F77" t="s">
        <v>615</v>
      </c>
      <c r="G77" t="s">
        <v>616</v>
      </c>
      <c r="H77" s="15">
        <v>2.7637171745300302</v>
      </c>
      <c r="I77">
        <v>2020</v>
      </c>
      <c r="J77" s="15" t="s">
        <v>484</v>
      </c>
      <c r="K77" t="s">
        <v>484</v>
      </c>
      <c r="L77" s="15">
        <v>2.87</v>
      </c>
      <c r="M77">
        <v>2020</v>
      </c>
      <c r="N77" s="15">
        <v>1.04134357</v>
      </c>
      <c r="O77">
        <v>2019</v>
      </c>
      <c r="P77" s="15">
        <v>2.1528068600000005</v>
      </c>
      <c r="Q77">
        <v>2019</v>
      </c>
      <c r="R77" s="15" t="s">
        <v>484</v>
      </c>
      <c r="S77" t="s">
        <v>484</v>
      </c>
      <c r="T77" s="15">
        <v>2.14</v>
      </c>
      <c r="U77">
        <v>2020</v>
      </c>
      <c r="V77" s="15">
        <v>2.7637171745300302</v>
      </c>
      <c r="W77">
        <v>2020</v>
      </c>
      <c r="X77" t="s">
        <v>719</v>
      </c>
      <c r="Y77" s="15">
        <v>2.1528068600000005</v>
      </c>
      <c r="Z77">
        <v>2019</v>
      </c>
      <c r="AA77" t="s">
        <v>720</v>
      </c>
    </row>
    <row r="78" spans="1:27">
      <c r="A78">
        <v>75</v>
      </c>
      <c r="B78" t="s">
        <v>108</v>
      </c>
      <c r="C78" t="s">
        <v>321</v>
      </c>
      <c r="D78" t="s">
        <v>496</v>
      </c>
      <c r="E78" t="s">
        <v>306</v>
      </c>
      <c r="F78" t="s">
        <v>615</v>
      </c>
      <c r="G78" t="s">
        <v>616</v>
      </c>
      <c r="H78" s="15">
        <v>2.7084276676178001</v>
      </c>
      <c r="I78">
        <v>2020</v>
      </c>
      <c r="J78" s="15" t="s">
        <v>484</v>
      </c>
      <c r="K78" t="s">
        <v>484</v>
      </c>
      <c r="L78" s="15" t="s">
        <v>484</v>
      </c>
      <c r="M78" t="s">
        <v>484</v>
      </c>
      <c r="N78" s="15">
        <v>0.53241198999999995</v>
      </c>
      <c r="O78">
        <v>2019</v>
      </c>
      <c r="P78" s="15">
        <v>1.3261738500000002</v>
      </c>
      <c r="Q78">
        <v>2019</v>
      </c>
      <c r="R78" s="15" t="s">
        <v>484</v>
      </c>
      <c r="S78" t="s">
        <v>484</v>
      </c>
      <c r="T78" s="15" t="s">
        <v>484</v>
      </c>
      <c r="U78" t="s">
        <v>484</v>
      </c>
      <c r="V78" s="15">
        <v>2.7084276676178001</v>
      </c>
      <c r="W78">
        <v>2020</v>
      </c>
      <c r="X78" t="s">
        <v>719</v>
      </c>
      <c r="Y78" s="15">
        <v>1.3261738500000002</v>
      </c>
      <c r="Z78">
        <v>2019</v>
      </c>
      <c r="AA78" t="s">
        <v>720</v>
      </c>
    </row>
    <row r="79" spans="1:27">
      <c r="A79">
        <v>76</v>
      </c>
      <c r="B79" t="s">
        <v>190</v>
      </c>
      <c r="C79" t="s">
        <v>405</v>
      </c>
      <c r="D79" t="s">
        <v>496</v>
      </c>
      <c r="E79" t="s">
        <v>389</v>
      </c>
      <c r="F79" t="s">
        <v>619</v>
      </c>
      <c r="H79" s="15" t="s">
        <v>484</v>
      </c>
      <c r="I79" t="s">
        <v>484</v>
      </c>
      <c r="J79" s="15" t="s">
        <v>484</v>
      </c>
      <c r="K79" t="s">
        <v>484</v>
      </c>
      <c r="L79" s="15" t="s">
        <v>484</v>
      </c>
      <c r="M79" t="s">
        <v>484</v>
      </c>
      <c r="N79" s="15">
        <v>0.66633350000000002</v>
      </c>
      <c r="O79">
        <v>2019</v>
      </c>
      <c r="P79" s="15">
        <v>0.66788512999999994</v>
      </c>
      <c r="Q79">
        <v>2019</v>
      </c>
      <c r="R79" s="15" t="s">
        <v>484</v>
      </c>
      <c r="S79" t="s">
        <v>484</v>
      </c>
      <c r="T79" s="15" t="s">
        <v>484</v>
      </c>
      <c r="U79" t="s">
        <v>484</v>
      </c>
      <c r="V79" s="15" t="s">
        <v>484</v>
      </c>
      <c r="W79" t="s">
        <v>484</v>
      </c>
      <c r="X79" t="s">
        <v>484</v>
      </c>
      <c r="Y79" s="15">
        <v>0.66788512999999994</v>
      </c>
      <c r="Z79">
        <v>2019</v>
      </c>
      <c r="AA79" t="s">
        <v>720</v>
      </c>
    </row>
    <row r="80" spans="1:27">
      <c r="A80">
        <v>77</v>
      </c>
      <c r="B80" t="s">
        <v>65</v>
      </c>
      <c r="C80" t="s">
        <v>443</v>
      </c>
      <c r="D80" t="s">
        <v>485</v>
      </c>
      <c r="E80" t="s">
        <v>622</v>
      </c>
      <c r="G80" t="s">
        <v>623</v>
      </c>
      <c r="H80" s="15">
        <v>3.59734010696411</v>
      </c>
      <c r="I80">
        <v>2018</v>
      </c>
      <c r="J80" s="15">
        <v>4.4400892480250898</v>
      </c>
      <c r="K80">
        <v>2020</v>
      </c>
      <c r="L80" s="15" t="s">
        <v>484</v>
      </c>
      <c r="M80" t="s">
        <v>484</v>
      </c>
      <c r="N80" s="15">
        <v>3.7720236800000002</v>
      </c>
      <c r="O80">
        <v>2019</v>
      </c>
      <c r="P80" s="15">
        <v>4.6837340600000008</v>
      </c>
      <c r="Q80">
        <v>2019</v>
      </c>
      <c r="R80" s="15">
        <v>4.4400892480250898</v>
      </c>
      <c r="S80">
        <v>2020</v>
      </c>
      <c r="T80" s="15" t="s">
        <v>484</v>
      </c>
      <c r="U80" t="s">
        <v>484</v>
      </c>
      <c r="V80" s="15">
        <v>4.4400892480250898</v>
      </c>
      <c r="W80">
        <v>2020</v>
      </c>
      <c r="X80" t="s">
        <v>721</v>
      </c>
      <c r="Y80" s="15">
        <v>4.6837340600000008</v>
      </c>
      <c r="Z80">
        <v>2019</v>
      </c>
      <c r="AA80" t="s">
        <v>720</v>
      </c>
    </row>
    <row r="81" spans="1:27">
      <c r="A81">
        <v>78</v>
      </c>
      <c r="B81" t="s">
        <v>216</v>
      </c>
      <c r="C81" t="s">
        <v>431</v>
      </c>
      <c r="D81" t="s">
        <v>497</v>
      </c>
      <c r="E81" t="s">
        <v>389</v>
      </c>
      <c r="F81" t="s">
        <v>617</v>
      </c>
      <c r="H81" s="15">
        <v>3.5525500774383501</v>
      </c>
      <c r="I81">
        <v>2018</v>
      </c>
      <c r="J81" s="15" t="s">
        <v>484</v>
      </c>
      <c r="K81" t="s">
        <v>484</v>
      </c>
      <c r="L81" s="15" t="s">
        <v>484</v>
      </c>
      <c r="M81" t="s">
        <v>484</v>
      </c>
      <c r="N81" s="15">
        <v>2.05514193</v>
      </c>
      <c r="O81">
        <v>2019</v>
      </c>
      <c r="P81" s="15">
        <v>2.05972271</v>
      </c>
      <c r="Q81">
        <v>2019</v>
      </c>
      <c r="R81" s="15" t="s">
        <v>484</v>
      </c>
      <c r="S81" t="s">
        <v>484</v>
      </c>
      <c r="T81" s="15" t="s">
        <v>484</v>
      </c>
      <c r="U81" t="s">
        <v>484</v>
      </c>
      <c r="V81" s="15">
        <v>3.5525500774383501</v>
      </c>
      <c r="W81">
        <v>2018</v>
      </c>
      <c r="X81" t="s">
        <v>719</v>
      </c>
      <c r="Y81" s="15">
        <v>2.05972271</v>
      </c>
      <c r="Z81">
        <v>2019</v>
      </c>
      <c r="AA81" t="s">
        <v>720</v>
      </c>
    </row>
    <row r="82" spans="1:27">
      <c r="A82">
        <v>79</v>
      </c>
      <c r="B82" t="s">
        <v>529</v>
      </c>
      <c r="C82" t="s">
        <v>530</v>
      </c>
      <c r="D82" t="s">
        <v>485</v>
      </c>
      <c r="E82" t="s">
        <v>622</v>
      </c>
      <c r="H82" s="15">
        <v>10.5601902008057</v>
      </c>
      <c r="I82">
        <v>2018</v>
      </c>
      <c r="J82" s="15" t="s">
        <v>484</v>
      </c>
      <c r="K82" t="s">
        <v>484</v>
      </c>
      <c r="L82" s="15" t="s">
        <v>484</v>
      </c>
      <c r="M82" t="s">
        <v>484</v>
      </c>
      <c r="N82" s="15" t="s">
        <v>484</v>
      </c>
      <c r="O82" t="s">
        <v>484</v>
      </c>
      <c r="P82" s="15" t="s">
        <v>484</v>
      </c>
      <c r="Q82" t="s">
        <v>484</v>
      </c>
      <c r="R82" s="15" t="s">
        <v>484</v>
      </c>
      <c r="S82" t="s">
        <v>484</v>
      </c>
      <c r="T82" s="15" t="s">
        <v>484</v>
      </c>
      <c r="U82" t="s">
        <v>484</v>
      </c>
      <c r="V82" s="15">
        <v>10.5601902008057</v>
      </c>
      <c r="W82">
        <v>2018</v>
      </c>
      <c r="X82" t="s">
        <v>719</v>
      </c>
      <c r="Y82" s="15" t="s">
        <v>484</v>
      </c>
      <c r="Z82" t="s">
        <v>484</v>
      </c>
      <c r="AA82" t="s">
        <v>484</v>
      </c>
    </row>
    <row r="83" spans="1:27">
      <c r="A83">
        <v>80</v>
      </c>
      <c r="B83" t="s">
        <v>183</v>
      </c>
      <c r="C83" t="s">
        <v>398</v>
      </c>
      <c r="D83" t="s">
        <v>497</v>
      </c>
      <c r="E83" t="s">
        <v>389</v>
      </c>
      <c r="F83" t="s">
        <v>619</v>
      </c>
      <c r="H83" s="15">
        <v>3.2997200489044198</v>
      </c>
      <c r="I83">
        <v>2020</v>
      </c>
      <c r="J83" s="15">
        <v>3.4303494431638701</v>
      </c>
      <c r="K83">
        <v>2020</v>
      </c>
      <c r="L83" s="15" t="s">
        <v>484</v>
      </c>
      <c r="M83" t="s">
        <v>484</v>
      </c>
      <c r="N83" s="15">
        <v>2.3868169799999999</v>
      </c>
      <c r="O83">
        <v>2019</v>
      </c>
      <c r="P83" s="15">
        <v>2.3048415799999997</v>
      </c>
      <c r="Q83">
        <v>2019</v>
      </c>
      <c r="R83" s="15">
        <v>3.4303494431638701</v>
      </c>
      <c r="S83">
        <v>2020</v>
      </c>
      <c r="T83" s="15" t="s">
        <v>484</v>
      </c>
      <c r="U83" t="s">
        <v>484</v>
      </c>
      <c r="V83" s="15">
        <v>3.2997200489044198</v>
      </c>
      <c r="W83">
        <v>2020</v>
      </c>
      <c r="X83" t="s">
        <v>719</v>
      </c>
      <c r="Y83" s="15">
        <v>2.3048415799999997</v>
      </c>
      <c r="Z83">
        <v>2019</v>
      </c>
      <c r="AA83" t="s">
        <v>720</v>
      </c>
    </row>
    <row r="84" spans="1:27">
      <c r="A84">
        <v>81</v>
      </c>
      <c r="B84" t="s">
        <v>531</v>
      </c>
      <c r="C84" t="s">
        <v>532</v>
      </c>
      <c r="D84" t="s">
        <v>493</v>
      </c>
      <c r="E84" t="s">
        <v>622</v>
      </c>
      <c r="H84" s="15" t="s">
        <v>484</v>
      </c>
      <c r="I84" t="s">
        <v>484</v>
      </c>
      <c r="J84" s="15" t="s">
        <v>484</v>
      </c>
      <c r="K84" t="s">
        <v>484</v>
      </c>
      <c r="L84" s="15" t="s">
        <v>484</v>
      </c>
      <c r="M84" t="s">
        <v>484</v>
      </c>
      <c r="N84" s="15" t="s">
        <v>484</v>
      </c>
      <c r="O84" t="s">
        <v>484</v>
      </c>
      <c r="P84" s="15" t="s">
        <v>484</v>
      </c>
      <c r="Q84" t="s">
        <v>484</v>
      </c>
      <c r="R84" s="15" t="s">
        <v>484</v>
      </c>
      <c r="S84" t="s">
        <v>484</v>
      </c>
      <c r="T84" s="15" t="s">
        <v>484</v>
      </c>
      <c r="U84" t="s">
        <v>484</v>
      </c>
      <c r="V84" s="15" t="s">
        <v>484</v>
      </c>
      <c r="W84" t="s">
        <v>484</v>
      </c>
      <c r="X84" t="s">
        <v>484</v>
      </c>
      <c r="Y84" s="15" t="s">
        <v>484</v>
      </c>
      <c r="Z84" t="s">
        <v>484</v>
      </c>
      <c r="AA84" t="s">
        <v>484</v>
      </c>
    </row>
    <row r="85" spans="1:27">
      <c r="A85">
        <v>82</v>
      </c>
      <c r="B85" t="s">
        <v>214</v>
      </c>
      <c r="C85" t="s">
        <v>429</v>
      </c>
      <c r="D85" t="s">
        <v>497</v>
      </c>
      <c r="E85" t="s">
        <v>389</v>
      </c>
      <c r="F85" t="s">
        <v>615</v>
      </c>
      <c r="G85" t="s">
        <v>616</v>
      </c>
      <c r="H85" s="15">
        <v>4.4505801200866699</v>
      </c>
      <c r="I85">
        <v>2018</v>
      </c>
      <c r="J85" s="15" t="s">
        <v>484</v>
      </c>
      <c r="K85" t="s">
        <v>484</v>
      </c>
      <c r="L85" s="15" t="s">
        <v>484</v>
      </c>
      <c r="M85" t="s">
        <v>484</v>
      </c>
      <c r="N85" s="15">
        <v>2.9310176399999999</v>
      </c>
      <c r="O85">
        <v>2019</v>
      </c>
      <c r="P85" s="15">
        <v>2.9894196000000002</v>
      </c>
      <c r="Q85">
        <v>2019</v>
      </c>
      <c r="R85" s="15" t="s">
        <v>484</v>
      </c>
      <c r="S85" t="s">
        <v>484</v>
      </c>
      <c r="T85" s="15" t="s">
        <v>484</v>
      </c>
      <c r="U85" t="s">
        <v>484</v>
      </c>
      <c r="V85" s="15">
        <v>4.4505801200866699</v>
      </c>
      <c r="W85">
        <v>2018</v>
      </c>
      <c r="X85" t="s">
        <v>719</v>
      </c>
      <c r="Y85" s="15">
        <v>2.9894196000000002</v>
      </c>
      <c r="Z85">
        <v>2019</v>
      </c>
      <c r="AA85" t="s">
        <v>720</v>
      </c>
    </row>
    <row r="86" spans="1:27">
      <c r="A86">
        <v>83</v>
      </c>
      <c r="B86" t="s">
        <v>259</v>
      </c>
      <c r="C86" t="s">
        <v>520</v>
      </c>
      <c r="D86" t="s">
        <v>493</v>
      </c>
      <c r="E86" t="s">
        <v>622</v>
      </c>
      <c r="H86" s="15">
        <v>4.4063401222229004</v>
      </c>
      <c r="I86">
        <v>2020</v>
      </c>
      <c r="J86" s="15">
        <v>4.1340941661427397</v>
      </c>
      <c r="K86">
        <v>2020</v>
      </c>
      <c r="L86" s="15" t="s">
        <v>484</v>
      </c>
      <c r="M86" t="s">
        <v>484</v>
      </c>
      <c r="N86" s="15" t="s">
        <v>484</v>
      </c>
      <c r="O86" t="s">
        <v>484</v>
      </c>
      <c r="P86" s="15" t="s">
        <v>484</v>
      </c>
      <c r="Q86" t="s">
        <v>484</v>
      </c>
      <c r="R86" s="15">
        <v>4.1340941661427397</v>
      </c>
      <c r="S86">
        <v>2020</v>
      </c>
      <c r="T86" s="15" t="s">
        <v>484</v>
      </c>
      <c r="U86" t="s">
        <v>484</v>
      </c>
      <c r="V86" s="15">
        <v>4.4063401222229004</v>
      </c>
      <c r="W86">
        <v>2020</v>
      </c>
      <c r="X86" t="s">
        <v>719</v>
      </c>
      <c r="Y86" s="15">
        <v>4.1340941661427397</v>
      </c>
      <c r="Z86">
        <v>2020</v>
      </c>
      <c r="AA86" t="s">
        <v>721</v>
      </c>
    </row>
    <row r="87" spans="1:27">
      <c r="A87">
        <v>84</v>
      </c>
      <c r="B87" t="s">
        <v>148</v>
      </c>
      <c r="C87" t="s">
        <v>362</v>
      </c>
      <c r="D87" t="s">
        <v>497</v>
      </c>
      <c r="E87" t="s">
        <v>334</v>
      </c>
      <c r="F87" t="s">
        <v>615</v>
      </c>
      <c r="G87" t="s">
        <v>616</v>
      </c>
      <c r="H87" s="15">
        <v>6.4384388923645002</v>
      </c>
      <c r="I87">
        <v>2020</v>
      </c>
      <c r="J87" s="15">
        <v>5.1138107376172197</v>
      </c>
      <c r="K87">
        <v>2020</v>
      </c>
      <c r="L87" s="15">
        <v>6.16</v>
      </c>
      <c r="M87">
        <v>2020</v>
      </c>
      <c r="N87" s="15">
        <v>2.8526568399999999</v>
      </c>
      <c r="O87">
        <v>2019</v>
      </c>
      <c r="P87" s="15">
        <v>3.0023341800000005</v>
      </c>
      <c r="Q87">
        <v>2019</v>
      </c>
      <c r="R87" s="15">
        <v>5.1138107376172197</v>
      </c>
      <c r="S87">
        <v>2020</v>
      </c>
      <c r="T87" s="15" t="s">
        <v>484</v>
      </c>
      <c r="U87" t="s">
        <v>484</v>
      </c>
      <c r="V87" s="15">
        <v>6.4384388923645002</v>
      </c>
      <c r="W87">
        <v>2020</v>
      </c>
      <c r="X87" t="s">
        <v>719</v>
      </c>
      <c r="Y87" s="15">
        <v>3.0023341800000005</v>
      </c>
      <c r="Z87">
        <v>2019</v>
      </c>
      <c r="AA87" t="s">
        <v>720</v>
      </c>
    </row>
    <row r="88" spans="1:27">
      <c r="A88">
        <v>85</v>
      </c>
      <c r="B88" t="s">
        <v>238</v>
      </c>
      <c r="C88" t="s">
        <v>509</v>
      </c>
      <c r="D88" t="s">
        <v>485</v>
      </c>
      <c r="E88" t="s">
        <v>622</v>
      </c>
      <c r="F88" t="s">
        <v>619</v>
      </c>
      <c r="H88" s="15">
        <v>3.9075500965118399</v>
      </c>
      <c r="I88">
        <v>2018</v>
      </c>
      <c r="J88" s="15">
        <v>5.5405371504861201</v>
      </c>
      <c r="K88">
        <v>2020</v>
      </c>
      <c r="L88" s="15" t="s">
        <v>484</v>
      </c>
      <c r="M88" t="s">
        <v>484</v>
      </c>
      <c r="N88" s="15">
        <v>5.6905832299999997</v>
      </c>
      <c r="O88">
        <v>2019</v>
      </c>
      <c r="P88" s="15">
        <v>5.7159975200000002</v>
      </c>
      <c r="Q88">
        <v>2019</v>
      </c>
      <c r="R88" s="15">
        <v>5.5405371504861201</v>
      </c>
      <c r="S88">
        <v>2020</v>
      </c>
      <c r="T88" s="15" t="s">
        <v>484</v>
      </c>
      <c r="U88" t="s">
        <v>484</v>
      </c>
      <c r="V88" s="15">
        <v>5.5405371504861201</v>
      </c>
      <c r="W88">
        <v>2020</v>
      </c>
      <c r="X88" t="s">
        <v>721</v>
      </c>
      <c r="Y88" s="15">
        <v>5.7159975200000002</v>
      </c>
      <c r="Z88">
        <v>2019</v>
      </c>
      <c r="AA88" t="s">
        <v>720</v>
      </c>
    </row>
    <row r="89" spans="1:27">
      <c r="A89">
        <v>86</v>
      </c>
      <c r="B89" t="s">
        <v>128</v>
      </c>
      <c r="C89" t="s">
        <v>342</v>
      </c>
      <c r="D89" t="s">
        <v>497</v>
      </c>
      <c r="E89" t="s">
        <v>334</v>
      </c>
      <c r="F89" t="s">
        <v>615</v>
      </c>
      <c r="G89" t="s">
        <v>616</v>
      </c>
      <c r="H89" s="15">
        <v>1.63206994533539</v>
      </c>
      <c r="I89">
        <v>2018</v>
      </c>
      <c r="J89" s="15" t="s">
        <v>484</v>
      </c>
      <c r="K89" t="s">
        <v>484</v>
      </c>
      <c r="L89" s="15" t="s">
        <v>484</v>
      </c>
      <c r="M89" t="s">
        <v>484</v>
      </c>
      <c r="N89" s="15">
        <v>0.52095848</v>
      </c>
      <c r="O89">
        <v>2019</v>
      </c>
      <c r="P89" s="15">
        <v>0.57852979000000004</v>
      </c>
      <c r="Q89">
        <v>2019</v>
      </c>
      <c r="R89" s="15" t="s">
        <v>484</v>
      </c>
      <c r="S89" t="s">
        <v>484</v>
      </c>
      <c r="T89" s="15" t="s">
        <v>484</v>
      </c>
      <c r="U89" t="s">
        <v>484</v>
      </c>
      <c r="V89" s="15">
        <v>1.63206994533539</v>
      </c>
      <c r="W89">
        <v>2018</v>
      </c>
      <c r="X89" t="s">
        <v>719</v>
      </c>
      <c r="Y89" s="15">
        <v>0.57852979000000004</v>
      </c>
      <c r="Z89">
        <v>2019</v>
      </c>
      <c r="AA89" t="s">
        <v>720</v>
      </c>
    </row>
    <row r="90" spans="1:27">
      <c r="A90">
        <v>87</v>
      </c>
      <c r="B90" t="s">
        <v>68</v>
      </c>
      <c r="C90" t="s">
        <v>442</v>
      </c>
      <c r="D90" t="s">
        <v>485</v>
      </c>
      <c r="E90" t="s">
        <v>622</v>
      </c>
      <c r="H90" s="15">
        <v>4.6228299140930202</v>
      </c>
      <c r="I90">
        <v>2018</v>
      </c>
      <c r="J90" s="15">
        <v>4.7566485675055201</v>
      </c>
      <c r="K90">
        <v>2020</v>
      </c>
      <c r="L90" s="15" t="s">
        <v>484</v>
      </c>
      <c r="M90" t="s">
        <v>484</v>
      </c>
      <c r="N90" s="15">
        <v>4.3168864300000003</v>
      </c>
      <c r="O90">
        <v>2019</v>
      </c>
      <c r="P90" s="15">
        <v>4.3386955599999997</v>
      </c>
      <c r="Q90">
        <v>2019</v>
      </c>
      <c r="R90" s="15">
        <v>4.7566485675055201</v>
      </c>
      <c r="S90">
        <v>2020</v>
      </c>
      <c r="T90" s="15" t="s">
        <v>484</v>
      </c>
      <c r="U90" t="s">
        <v>484</v>
      </c>
      <c r="V90" s="15">
        <v>4.7566485675055201</v>
      </c>
      <c r="W90">
        <v>2020</v>
      </c>
      <c r="X90" t="s">
        <v>721</v>
      </c>
      <c r="Y90" s="15">
        <v>4.3386955599999997</v>
      </c>
      <c r="Z90">
        <v>2019</v>
      </c>
      <c r="AA90" t="s">
        <v>720</v>
      </c>
    </row>
    <row r="91" spans="1:27">
      <c r="A91">
        <v>88</v>
      </c>
      <c r="B91" t="s">
        <v>171</v>
      </c>
      <c r="C91" t="s">
        <v>385</v>
      </c>
      <c r="D91" t="s">
        <v>493</v>
      </c>
      <c r="E91" t="s">
        <v>334</v>
      </c>
      <c r="F91" t="s">
        <v>619</v>
      </c>
      <c r="H91" s="15">
        <v>2.8418500423431401</v>
      </c>
      <c r="I91">
        <v>2019</v>
      </c>
      <c r="J91" s="15">
        <v>3.4918990618146601</v>
      </c>
      <c r="K91">
        <v>2020</v>
      </c>
      <c r="L91" s="15" t="s">
        <v>484</v>
      </c>
      <c r="M91" t="s">
        <v>484</v>
      </c>
      <c r="N91" s="15">
        <v>1.42157829</v>
      </c>
      <c r="O91">
        <v>2019</v>
      </c>
      <c r="P91" s="15">
        <v>1.4246177400000002</v>
      </c>
      <c r="Q91">
        <v>2019</v>
      </c>
      <c r="R91" s="15">
        <v>3.4918990618146601</v>
      </c>
      <c r="S91">
        <v>2020</v>
      </c>
      <c r="T91" s="15" t="s">
        <v>484</v>
      </c>
      <c r="U91" t="s">
        <v>484</v>
      </c>
      <c r="V91" s="15">
        <v>3.4918990618146601</v>
      </c>
      <c r="W91">
        <v>2020</v>
      </c>
      <c r="X91" t="s">
        <v>721</v>
      </c>
      <c r="Y91" s="15">
        <v>1.4246177400000002</v>
      </c>
      <c r="Z91">
        <v>2019</v>
      </c>
      <c r="AA91" t="s">
        <v>720</v>
      </c>
    </row>
    <row r="92" spans="1:27">
      <c r="A92">
        <v>89</v>
      </c>
      <c r="B92" t="s">
        <v>263</v>
      </c>
      <c r="C92" t="s">
        <v>541</v>
      </c>
      <c r="D92" t="s">
        <v>485</v>
      </c>
      <c r="E92" t="s">
        <v>622</v>
      </c>
      <c r="H92" s="15" t="s">
        <v>484</v>
      </c>
      <c r="I92" t="s">
        <v>484</v>
      </c>
      <c r="J92" s="15" t="s">
        <v>484</v>
      </c>
      <c r="K92" t="s">
        <v>484</v>
      </c>
      <c r="L92" s="15" t="s">
        <v>484</v>
      </c>
      <c r="M92" t="s">
        <v>484</v>
      </c>
      <c r="N92" s="15" t="s">
        <v>484</v>
      </c>
      <c r="O92" t="s">
        <v>484</v>
      </c>
      <c r="P92" s="15" t="s">
        <v>484</v>
      </c>
      <c r="Q92" t="s">
        <v>484</v>
      </c>
      <c r="R92" s="15" t="s">
        <v>484</v>
      </c>
      <c r="S92" t="s">
        <v>484</v>
      </c>
      <c r="T92" s="15" t="s">
        <v>484</v>
      </c>
      <c r="U92" t="s">
        <v>484</v>
      </c>
      <c r="V92" s="15" t="s">
        <v>484</v>
      </c>
      <c r="W92" t="s">
        <v>484</v>
      </c>
      <c r="X92" t="s">
        <v>484</v>
      </c>
      <c r="Y92" s="15" t="s">
        <v>484</v>
      </c>
      <c r="Z92" t="s">
        <v>484</v>
      </c>
      <c r="AA92" t="s">
        <v>484</v>
      </c>
    </row>
    <row r="93" spans="1:27">
      <c r="A93">
        <v>90</v>
      </c>
      <c r="B93" t="s">
        <v>142</v>
      </c>
      <c r="C93" t="s">
        <v>356</v>
      </c>
      <c r="D93" t="s">
        <v>483</v>
      </c>
      <c r="E93" t="s">
        <v>334</v>
      </c>
      <c r="F93" t="s">
        <v>619</v>
      </c>
      <c r="H93" s="15">
        <v>4.4742298126220703</v>
      </c>
      <c r="I93">
        <v>2020</v>
      </c>
      <c r="J93" s="15">
        <v>0.42392590046828799</v>
      </c>
      <c r="K93">
        <v>2018</v>
      </c>
      <c r="L93" s="15">
        <v>2.9</v>
      </c>
      <c r="M93">
        <v>2020</v>
      </c>
      <c r="N93" s="15">
        <v>0.98829239999999996</v>
      </c>
      <c r="O93">
        <v>2019</v>
      </c>
      <c r="P93" s="15">
        <v>0.99818068000000015</v>
      </c>
      <c r="Q93">
        <v>2019</v>
      </c>
      <c r="R93" s="15">
        <v>0.42392590046828799</v>
      </c>
      <c r="S93">
        <v>2018</v>
      </c>
      <c r="T93" s="15">
        <v>1.2</v>
      </c>
      <c r="U93">
        <v>2020</v>
      </c>
      <c r="V93" s="15">
        <v>4.4742298126220703</v>
      </c>
      <c r="W93">
        <v>2020</v>
      </c>
      <c r="X93" t="s">
        <v>719</v>
      </c>
      <c r="Y93" s="15">
        <v>0.99818068000000015</v>
      </c>
      <c r="Z93">
        <v>2019</v>
      </c>
      <c r="AA93" t="s">
        <v>720</v>
      </c>
    </row>
    <row r="94" spans="1:27">
      <c r="A94">
        <v>91</v>
      </c>
      <c r="B94" t="s">
        <v>61</v>
      </c>
      <c r="C94" t="s">
        <v>466</v>
      </c>
      <c r="D94" t="s">
        <v>485</v>
      </c>
      <c r="E94" t="s">
        <v>622</v>
      </c>
      <c r="G94" t="s">
        <v>623</v>
      </c>
      <c r="H94" s="15">
        <v>3.3928699493408199</v>
      </c>
      <c r="I94">
        <v>2018</v>
      </c>
      <c r="J94" s="15">
        <v>3.1016233583376498</v>
      </c>
      <c r="K94">
        <v>2020</v>
      </c>
      <c r="L94" s="15" t="s">
        <v>484</v>
      </c>
      <c r="M94" t="s">
        <v>484</v>
      </c>
      <c r="N94" s="15">
        <v>4.9813008300000003</v>
      </c>
      <c r="O94">
        <v>2019</v>
      </c>
      <c r="P94" s="15">
        <v>4.9813008499999993</v>
      </c>
      <c r="Q94">
        <v>2019</v>
      </c>
      <c r="R94" s="15">
        <v>3.1016233583376498</v>
      </c>
      <c r="S94">
        <v>2020</v>
      </c>
      <c r="T94" s="15" t="s">
        <v>484</v>
      </c>
      <c r="U94" t="s">
        <v>484</v>
      </c>
      <c r="V94" s="15">
        <v>3.1016233583376498</v>
      </c>
      <c r="W94">
        <v>2020</v>
      </c>
      <c r="X94" t="s">
        <v>721</v>
      </c>
      <c r="Y94" s="15">
        <v>4.9813008499999993</v>
      </c>
      <c r="Z94">
        <v>2019</v>
      </c>
      <c r="AA94" t="s">
        <v>720</v>
      </c>
    </row>
    <row r="95" spans="1:27">
      <c r="A95">
        <v>92</v>
      </c>
      <c r="B95" t="s">
        <v>158</v>
      </c>
      <c r="C95" t="s">
        <v>372</v>
      </c>
      <c r="D95" t="s">
        <v>487</v>
      </c>
      <c r="E95" t="s">
        <v>334</v>
      </c>
      <c r="F95" t="s">
        <v>619</v>
      </c>
      <c r="H95" s="15">
        <v>3.5924301147460902</v>
      </c>
      <c r="I95">
        <v>2020</v>
      </c>
      <c r="J95" s="15" t="s">
        <v>484</v>
      </c>
      <c r="K95" t="s">
        <v>484</v>
      </c>
      <c r="L95" s="15" t="s">
        <v>484</v>
      </c>
      <c r="M95" t="s">
        <v>484</v>
      </c>
      <c r="N95" s="15">
        <v>3.32201433</v>
      </c>
      <c r="O95">
        <v>2019</v>
      </c>
      <c r="P95" s="15">
        <v>3.3220589500000002</v>
      </c>
      <c r="Q95">
        <v>2019</v>
      </c>
      <c r="R95" s="15" t="s">
        <v>484</v>
      </c>
      <c r="S95" t="s">
        <v>484</v>
      </c>
      <c r="T95" s="15" t="s">
        <v>484</v>
      </c>
      <c r="U95" t="s">
        <v>484</v>
      </c>
      <c r="V95" s="15">
        <v>3.5924301147460902</v>
      </c>
      <c r="W95">
        <v>2020</v>
      </c>
      <c r="X95" t="s">
        <v>719</v>
      </c>
      <c r="Y95" s="15">
        <v>3.3220589500000002</v>
      </c>
      <c r="Z95">
        <v>2019</v>
      </c>
      <c r="AA95" t="s">
        <v>720</v>
      </c>
    </row>
    <row r="96" spans="1:27">
      <c r="A96">
        <v>93</v>
      </c>
      <c r="B96" t="s">
        <v>185</v>
      </c>
      <c r="C96" t="s">
        <v>400</v>
      </c>
      <c r="D96" t="s">
        <v>487</v>
      </c>
      <c r="E96" t="s">
        <v>389</v>
      </c>
      <c r="F96" t="s">
        <v>619</v>
      </c>
      <c r="H96" s="15">
        <v>4.71000003814697</v>
      </c>
      <c r="I96">
        <v>2016</v>
      </c>
      <c r="J96" s="15" t="s">
        <v>484</v>
      </c>
      <c r="K96" t="s">
        <v>484</v>
      </c>
      <c r="L96" s="15" t="s">
        <v>484</v>
      </c>
      <c r="M96" t="s">
        <v>484</v>
      </c>
      <c r="N96" s="15">
        <v>2.2101747999999999</v>
      </c>
      <c r="O96">
        <v>2019</v>
      </c>
      <c r="P96" s="15">
        <v>2.2271955100000005</v>
      </c>
      <c r="Q96">
        <v>2019</v>
      </c>
      <c r="R96" s="15" t="s">
        <v>484</v>
      </c>
      <c r="S96" t="s">
        <v>484</v>
      </c>
      <c r="T96" s="15" t="s">
        <v>484</v>
      </c>
      <c r="U96" t="s">
        <v>484</v>
      </c>
      <c r="V96" s="15">
        <v>4.71000003814697</v>
      </c>
      <c r="W96">
        <v>2016</v>
      </c>
      <c r="X96" t="s">
        <v>719</v>
      </c>
      <c r="Y96" s="15">
        <v>2.2271955100000005</v>
      </c>
      <c r="Z96">
        <v>2019</v>
      </c>
      <c r="AA96" t="s">
        <v>720</v>
      </c>
    </row>
    <row r="97" spans="1:27">
      <c r="A97">
        <v>94</v>
      </c>
      <c r="B97" t="s">
        <v>59</v>
      </c>
      <c r="C97" t="s">
        <v>463</v>
      </c>
      <c r="D97" t="s">
        <v>485</v>
      </c>
      <c r="E97" t="s">
        <v>622</v>
      </c>
      <c r="H97" s="15">
        <v>7.5617098808288601</v>
      </c>
      <c r="I97">
        <v>2018</v>
      </c>
      <c r="J97" s="15">
        <v>7.7199521397783197</v>
      </c>
      <c r="K97">
        <v>2020</v>
      </c>
      <c r="L97" s="15" t="s">
        <v>484</v>
      </c>
      <c r="M97" t="s">
        <v>484</v>
      </c>
      <c r="N97" s="15">
        <v>7.1604976699999998</v>
      </c>
      <c r="O97">
        <v>2019</v>
      </c>
      <c r="P97" s="15">
        <v>7.1604976799999989</v>
      </c>
      <c r="Q97">
        <v>2019</v>
      </c>
      <c r="R97" s="15">
        <v>7.7199521397783197</v>
      </c>
      <c r="S97">
        <v>2020</v>
      </c>
      <c r="T97" s="15" t="s">
        <v>484</v>
      </c>
      <c r="U97" t="s">
        <v>484</v>
      </c>
      <c r="V97" s="15">
        <v>7.7199521397783197</v>
      </c>
      <c r="W97">
        <v>2020</v>
      </c>
      <c r="X97" t="s">
        <v>721</v>
      </c>
      <c r="Y97" s="15">
        <v>7.1604976799999989</v>
      </c>
      <c r="Z97">
        <v>2019</v>
      </c>
      <c r="AA97" t="s">
        <v>720</v>
      </c>
    </row>
    <row r="98" spans="1:27">
      <c r="A98">
        <v>95</v>
      </c>
      <c r="B98" t="s">
        <v>258</v>
      </c>
      <c r="C98" t="s">
        <v>524</v>
      </c>
      <c r="D98" t="s">
        <v>487</v>
      </c>
      <c r="E98" t="s">
        <v>622</v>
      </c>
      <c r="H98" s="15">
        <v>6.1123399734497097</v>
      </c>
      <c r="I98">
        <v>2018</v>
      </c>
      <c r="J98" s="15">
        <v>7.0731489636042504</v>
      </c>
      <c r="K98">
        <v>2020</v>
      </c>
      <c r="L98" s="15" t="s">
        <v>484</v>
      </c>
      <c r="M98" t="s">
        <v>484</v>
      </c>
      <c r="N98" s="15">
        <v>4.8334150300000003</v>
      </c>
      <c r="O98">
        <v>2019</v>
      </c>
      <c r="P98" s="15">
        <v>4.8334151800000003</v>
      </c>
      <c r="Q98">
        <v>2019</v>
      </c>
      <c r="R98" s="15">
        <v>7.0731489636042504</v>
      </c>
      <c r="S98">
        <v>2020</v>
      </c>
      <c r="T98" s="15" t="s">
        <v>484</v>
      </c>
      <c r="U98" t="s">
        <v>484</v>
      </c>
      <c r="V98" s="15">
        <v>7.0731489636042504</v>
      </c>
      <c r="W98">
        <v>2020</v>
      </c>
      <c r="X98" t="s">
        <v>721</v>
      </c>
      <c r="Y98" s="15">
        <v>4.8334151800000003</v>
      </c>
      <c r="Z98">
        <v>2019</v>
      </c>
      <c r="AA98" t="s">
        <v>720</v>
      </c>
    </row>
    <row r="99" spans="1:27">
      <c r="A99">
        <v>96</v>
      </c>
      <c r="B99" t="s">
        <v>63</v>
      </c>
      <c r="C99" t="s">
        <v>450</v>
      </c>
      <c r="D99" t="s">
        <v>485</v>
      </c>
      <c r="E99" t="s">
        <v>622</v>
      </c>
      <c r="G99" t="s">
        <v>623</v>
      </c>
      <c r="H99" s="15">
        <v>4.2561402320861799</v>
      </c>
      <c r="I99">
        <v>2018</v>
      </c>
      <c r="J99" s="15">
        <v>4.2730814757855304</v>
      </c>
      <c r="K99">
        <v>2020</v>
      </c>
      <c r="L99" s="15" t="s">
        <v>484</v>
      </c>
      <c r="M99" t="s">
        <v>484</v>
      </c>
      <c r="N99" s="15">
        <v>6.40774679</v>
      </c>
      <c r="O99">
        <v>2019</v>
      </c>
      <c r="P99" s="15">
        <v>6.4077469900000015</v>
      </c>
      <c r="Q99">
        <v>2019</v>
      </c>
      <c r="R99" s="15">
        <v>4.2730814757855304</v>
      </c>
      <c r="S99">
        <v>2020</v>
      </c>
      <c r="T99" s="15" t="s">
        <v>484</v>
      </c>
      <c r="U99" t="s">
        <v>484</v>
      </c>
      <c r="V99" s="15">
        <v>4.2730814757855304</v>
      </c>
      <c r="W99">
        <v>2020</v>
      </c>
      <c r="X99" t="s">
        <v>721</v>
      </c>
      <c r="Y99" s="15">
        <v>6.4077469900000015</v>
      </c>
      <c r="Z99">
        <v>2019</v>
      </c>
      <c r="AA99" t="s">
        <v>720</v>
      </c>
    </row>
    <row r="100" spans="1:27">
      <c r="A100">
        <v>97</v>
      </c>
      <c r="B100" t="s">
        <v>180</v>
      </c>
      <c r="C100" t="s">
        <v>395</v>
      </c>
      <c r="D100" t="s">
        <v>497</v>
      </c>
      <c r="E100" t="s">
        <v>389</v>
      </c>
      <c r="F100" t="s">
        <v>619</v>
      </c>
      <c r="H100" s="15">
        <v>6.0274701118469203</v>
      </c>
      <c r="I100">
        <v>2021</v>
      </c>
      <c r="J100" s="15" t="s">
        <v>484</v>
      </c>
      <c r="K100" t="s">
        <v>484</v>
      </c>
      <c r="L100" s="15">
        <v>5.52</v>
      </c>
      <c r="M100">
        <v>2020</v>
      </c>
      <c r="N100" s="15">
        <v>3.9786212399999998</v>
      </c>
      <c r="O100">
        <v>2019</v>
      </c>
      <c r="P100" s="15">
        <v>4.0468895000000007</v>
      </c>
      <c r="Q100">
        <v>2019</v>
      </c>
      <c r="R100" s="15" t="s">
        <v>484</v>
      </c>
      <c r="S100" t="s">
        <v>484</v>
      </c>
      <c r="T100" s="15">
        <v>4.3099999999999996</v>
      </c>
      <c r="U100">
        <v>2020</v>
      </c>
      <c r="V100" s="15">
        <v>6.0274701118469203</v>
      </c>
      <c r="W100">
        <v>2021</v>
      </c>
      <c r="X100" t="s">
        <v>719</v>
      </c>
      <c r="Y100" s="15">
        <v>4.0468895000000007</v>
      </c>
      <c r="Z100">
        <v>2019</v>
      </c>
      <c r="AA100" t="s">
        <v>720</v>
      </c>
    </row>
    <row r="101" spans="1:27">
      <c r="A101">
        <v>98</v>
      </c>
      <c r="B101" t="s">
        <v>176</v>
      </c>
      <c r="C101" t="s">
        <v>391</v>
      </c>
      <c r="D101" t="s">
        <v>487</v>
      </c>
      <c r="E101" t="s">
        <v>389</v>
      </c>
      <c r="F101" t="s">
        <v>619</v>
      </c>
      <c r="H101" s="15">
        <v>2.9884700775146502</v>
      </c>
      <c r="I101">
        <v>2019</v>
      </c>
      <c r="J101" s="15">
        <v>3.67281279017622</v>
      </c>
      <c r="K101">
        <v>2020</v>
      </c>
      <c r="L101" s="15">
        <v>3.44</v>
      </c>
      <c r="M101">
        <v>2019</v>
      </c>
      <c r="N101" s="15">
        <v>3.8803432</v>
      </c>
      <c r="O101">
        <v>2019</v>
      </c>
      <c r="P101" s="15">
        <v>3.9542009899999995</v>
      </c>
      <c r="Q101">
        <v>2019</v>
      </c>
      <c r="R101" s="15">
        <v>3.67281279017622</v>
      </c>
      <c r="S101">
        <v>2020</v>
      </c>
      <c r="T101" s="15">
        <v>3.18</v>
      </c>
      <c r="U101">
        <v>2019</v>
      </c>
      <c r="V101" s="15">
        <v>3.67281279017622</v>
      </c>
      <c r="W101">
        <v>2020</v>
      </c>
      <c r="X101" t="s">
        <v>721</v>
      </c>
      <c r="Y101" s="15">
        <v>3.9542009899999995</v>
      </c>
      <c r="Z101">
        <v>2019</v>
      </c>
      <c r="AA101" t="s">
        <v>720</v>
      </c>
    </row>
    <row r="102" spans="1:27">
      <c r="A102">
        <v>99</v>
      </c>
      <c r="B102" t="s">
        <v>57</v>
      </c>
      <c r="C102" t="s">
        <v>451</v>
      </c>
      <c r="D102" t="s">
        <v>493</v>
      </c>
      <c r="E102" t="s">
        <v>622</v>
      </c>
      <c r="H102" s="15">
        <v>3.07782006263733</v>
      </c>
      <c r="I102">
        <v>2018</v>
      </c>
      <c r="J102" s="15">
        <v>3.4152390481697701</v>
      </c>
      <c r="K102">
        <v>2020</v>
      </c>
      <c r="L102" s="15" t="s">
        <v>484</v>
      </c>
      <c r="M102" t="s">
        <v>484</v>
      </c>
      <c r="N102" s="15">
        <v>9.0093393299999995</v>
      </c>
      <c r="O102">
        <v>2019</v>
      </c>
      <c r="P102" s="15">
        <v>9.0093393000000024</v>
      </c>
      <c r="Q102">
        <v>2019</v>
      </c>
      <c r="R102" s="15">
        <v>3.4152390481697701</v>
      </c>
      <c r="S102">
        <v>2020</v>
      </c>
      <c r="T102" s="15" t="s">
        <v>484</v>
      </c>
      <c r="U102" t="s">
        <v>484</v>
      </c>
      <c r="V102" s="15">
        <v>3.4152390481697701</v>
      </c>
      <c r="W102">
        <v>2020</v>
      </c>
      <c r="X102" t="s">
        <v>721</v>
      </c>
      <c r="Y102" s="15">
        <v>9.0093393000000024</v>
      </c>
      <c r="Z102">
        <v>2019</v>
      </c>
      <c r="AA102" t="s">
        <v>720</v>
      </c>
    </row>
    <row r="103" spans="1:27">
      <c r="A103">
        <v>100</v>
      </c>
      <c r="B103" t="s">
        <v>212</v>
      </c>
      <c r="C103" t="s">
        <v>427</v>
      </c>
      <c r="D103" t="s">
        <v>485</v>
      </c>
      <c r="E103" t="s">
        <v>389</v>
      </c>
      <c r="F103" t="s">
        <v>619</v>
      </c>
      <c r="H103" s="15">
        <v>2.8569700717925999</v>
      </c>
      <c r="I103">
        <v>2019</v>
      </c>
      <c r="J103" s="15">
        <v>4.8098287224118597</v>
      </c>
      <c r="K103">
        <v>2020</v>
      </c>
      <c r="L103" s="15" t="s">
        <v>484</v>
      </c>
      <c r="M103" t="s">
        <v>484</v>
      </c>
      <c r="N103" s="15">
        <v>1.6707525299999999</v>
      </c>
      <c r="O103">
        <v>2019</v>
      </c>
      <c r="P103" s="15">
        <v>1.6707523699999995</v>
      </c>
      <c r="Q103">
        <v>2019</v>
      </c>
      <c r="R103" s="15">
        <v>4.8098287224118597</v>
      </c>
      <c r="S103">
        <v>2020</v>
      </c>
      <c r="T103" s="15" t="s">
        <v>484</v>
      </c>
      <c r="U103" t="s">
        <v>484</v>
      </c>
      <c r="V103" s="15">
        <v>4.8098287224118597</v>
      </c>
      <c r="W103">
        <v>2020</v>
      </c>
      <c r="X103" t="s">
        <v>721</v>
      </c>
      <c r="Y103" s="15">
        <v>1.6707523699999995</v>
      </c>
      <c r="Z103">
        <v>2019</v>
      </c>
      <c r="AA103" t="s">
        <v>720</v>
      </c>
    </row>
    <row r="104" spans="1:27">
      <c r="A104">
        <v>101</v>
      </c>
      <c r="B104" t="s">
        <v>139</v>
      </c>
      <c r="C104" t="s">
        <v>353</v>
      </c>
      <c r="D104" t="s">
        <v>496</v>
      </c>
      <c r="E104" t="s">
        <v>334</v>
      </c>
      <c r="F104" t="s">
        <v>617</v>
      </c>
      <c r="H104" s="15">
        <v>4.7990360260009801</v>
      </c>
      <c r="I104">
        <v>2021</v>
      </c>
      <c r="J104" s="15">
        <v>4.7123172612742898</v>
      </c>
      <c r="K104">
        <v>2020</v>
      </c>
      <c r="L104" s="15" t="s">
        <v>484</v>
      </c>
      <c r="M104" t="s">
        <v>484</v>
      </c>
      <c r="N104" s="15">
        <v>2.11127639</v>
      </c>
      <c r="O104">
        <v>2019</v>
      </c>
      <c r="P104" s="15">
        <v>2.1761703700000004</v>
      </c>
      <c r="Q104">
        <v>2019</v>
      </c>
      <c r="R104" s="15">
        <v>4.7123172612742898</v>
      </c>
      <c r="S104">
        <v>2020</v>
      </c>
      <c r="T104" s="15" t="s">
        <v>484</v>
      </c>
      <c r="U104" t="s">
        <v>484</v>
      </c>
      <c r="V104" s="15">
        <v>4.7990360260009801</v>
      </c>
      <c r="W104">
        <v>2021</v>
      </c>
      <c r="X104" t="s">
        <v>719</v>
      </c>
      <c r="Y104" s="15">
        <v>2.1761703700000004</v>
      </c>
      <c r="Z104">
        <v>2019</v>
      </c>
      <c r="AA104" t="s">
        <v>720</v>
      </c>
    </row>
    <row r="105" spans="1:27">
      <c r="A105">
        <v>102</v>
      </c>
      <c r="B105" t="s">
        <v>123</v>
      </c>
      <c r="C105" t="s">
        <v>337</v>
      </c>
      <c r="D105" t="s">
        <v>485</v>
      </c>
      <c r="E105" t="s">
        <v>334</v>
      </c>
      <c r="F105" t="s">
        <v>615</v>
      </c>
      <c r="H105" s="15">
        <v>5.3667497634887704</v>
      </c>
      <c r="I105">
        <v>2019</v>
      </c>
      <c r="J105" s="15">
        <v>6.7315840353167804</v>
      </c>
      <c r="K105">
        <v>2019</v>
      </c>
      <c r="L105" s="15">
        <v>4.3099999999999996</v>
      </c>
      <c r="M105">
        <v>2019</v>
      </c>
      <c r="N105" s="15">
        <v>2.3111727200000001</v>
      </c>
      <c r="O105">
        <v>2019</v>
      </c>
      <c r="P105" s="15">
        <v>2.4142444800000002</v>
      </c>
      <c r="Q105">
        <v>2019</v>
      </c>
      <c r="R105" s="15">
        <v>6.7315840353167804</v>
      </c>
      <c r="S105">
        <v>2019</v>
      </c>
      <c r="T105" s="15">
        <v>0.45</v>
      </c>
      <c r="U105">
        <v>2019</v>
      </c>
      <c r="V105" s="15">
        <v>5.3667497634887704</v>
      </c>
      <c r="W105">
        <v>2019</v>
      </c>
      <c r="X105" t="s">
        <v>719</v>
      </c>
      <c r="Y105" s="15">
        <v>2.4142444800000002</v>
      </c>
      <c r="Z105">
        <v>2019</v>
      </c>
      <c r="AA105" t="s">
        <v>720</v>
      </c>
    </row>
    <row r="106" spans="1:27">
      <c r="A106">
        <v>103</v>
      </c>
      <c r="B106" t="s">
        <v>132</v>
      </c>
      <c r="C106" t="s">
        <v>346</v>
      </c>
      <c r="D106" t="s">
        <v>493</v>
      </c>
      <c r="E106" t="s">
        <v>334</v>
      </c>
      <c r="F106" t="s">
        <v>615</v>
      </c>
      <c r="H106" s="15">
        <v>2.1628599166870099</v>
      </c>
      <c r="I106">
        <v>2018</v>
      </c>
      <c r="J106" s="15" t="s">
        <v>484</v>
      </c>
      <c r="K106" t="s">
        <v>484</v>
      </c>
      <c r="L106" s="15" t="s">
        <v>484</v>
      </c>
      <c r="M106" t="s">
        <v>484</v>
      </c>
      <c r="N106" s="15">
        <v>1.6988866300000001</v>
      </c>
      <c r="O106">
        <v>2019</v>
      </c>
      <c r="P106" s="15">
        <v>1.9744944600000003</v>
      </c>
      <c r="Q106">
        <v>2019</v>
      </c>
      <c r="R106" s="15" t="s">
        <v>484</v>
      </c>
      <c r="S106" t="s">
        <v>484</v>
      </c>
      <c r="T106" s="15" t="s">
        <v>484</v>
      </c>
      <c r="U106" t="s">
        <v>484</v>
      </c>
      <c r="V106" s="15">
        <v>2.1628599166870099</v>
      </c>
      <c r="W106">
        <v>2018</v>
      </c>
      <c r="X106" t="s">
        <v>719</v>
      </c>
      <c r="Y106" s="15">
        <v>1.9744944600000003</v>
      </c>
      <c r="Z106">
        <v>2019</v>
      </c>
      <c r="AA106" t="s">
        <v>720</v>
      </c>
    </row>
    <row r="107" spans="1:27">
      <c r="A107">
        <v>104</v>
      </c>
      <c r="B107" t="s">
        <v>152</v>
      </c>
      <c r="C107" t="s">
        <v>366</v>
      </c>
      <c r="D107" t="s">
        <v>493</v>
      </c>
      <c r="E107" t="s">
        <v>334</v>
      </c>
      <c r="F107" t="s">
        <v>615</v>
      </c>
      <c r="H107" s="15">
        <v>12.394659996032701</v>
      </c>
      <c r="I107">
        <v>2019</v>
      </c>
      <c r="J107" s="15">
        <v>11.208027408464201</v>
      </c>
      <c r="K107">
        <v>2020</v>
      </c>
      <c r="L107" s="15">
        <v>16.64</v>
      </c>
      <c r="M107">
        <v>2019</v>
      </c>
      <c r="N107" s="15">
        <v>8.4473590900000008</v>
      </c>
      <c r="O107">
        <v>2019</v>
      </c>
      <c r="P107" s="15">
        <v>9.0852118599999994</v>
      </c>
      <c r="Q107">
        <v>2019</v>
      </c>
      <c r="R107" s="15">
        <v>11.208027408464201</v>
      </c>
      <c r="S107">
        <v>2020</v>
      </c>
      <c r="T107" s="15">
        <v>12.07</v>
      </c>
      <c r="U107">
        <v>2019</v>
      </c>
      <c r="V107" s="15">
        <v>11.208027408464201</v>
      </c>
      <c r="W107">
        <v>2020</v>
      </c>
      <c r="X107" t="s">
        <v>721</v>
      </c>
      <c r="Y107" s="15">
        <v>9.0852118599999994</v>
      </c>
      <c r="Z107">
        <v>2019</v>
      </c>
      <c r="AA107" t="s">
        <v>720</v>
      </c>
    </row>
    <row r="108" spans="1:27">
      <c r="A108">
        <v>105</v>
      </c>
      <c r="B108" t="s">
        <v>239</v>
      </c>
      <c r="C108" t="s">
        <v>583</v>
      </c>
      <c r="D108" t="s">
        <v>497</v>
      </c>
      <c r="E108" t="s">
        <v>622</v>
      </c>
      <c r="F108" t="s">
        <v>619</v>
      </c>
      <c r="H108" s="15">
        <v>4.3000001907348597</v>
      </c>
      <c r="I108">
        <v>2019</v>
      </c>
      <c r="J108" s="15" t="s">
        <v>484</v>
      </c>
      <c r="K108" t="s">
        <v>484</v>
      </c>
      <c r="L108" s="15" t="s">
        <v>484</v>
      </c>
      <c r="M108" t="s">
        <v>484</v>
      </c>
      <c r="N108" s="15">
        <v>2.6579883099999999</v>
      </c>
      <c r="O108">
        <v>2019</v>
      </c>
      <c r="P108" s="15">
        <v>2.6579882399999994</v>
      </c>
      <c r="Q108">
        <v>2019</v>
      </c>
      <c r="R108" s="15" t="s">
        <v>484</v>
      </c>
      <c r="S108" t="s">
        <v>484</v>
      </c>
      <c r="T108" s="15" t="s">
        <v>484</v>
      </c>
      <c r="U108" t="s">
        <v>484</v>
      </c>
      <c r="V108" s="15">
        <v>4.3000001907348597</v>
      </c>
      <c r="W108">
        <v>2019</v>
      </c>
      <c r="X108" t="s">
        <v>719</v>
      </c>
      <c r="Y108" s="15">
        <v>2.6579882399999994</v>
      </c>
      <c r="Z108">
        <v>2019</v>
      </c>
      <c r="AA108" t="s">
        <v>720</v>
      </c>
    </row>
    <row r="109" spans="1:27">
      <c r="A109">
        <v>106</v>
      </c>
      <c r="B109" t="s">
        <v>73</v>
      </c>
      <c r="C109" t="s">
        <v>449</v>
      </c>
      <c r="D109" t="s">
        <v>493</v>
      </c>
      <c r="E109" t="s">
        <v>622</v>
      </c>
      <c r="H109" s="15">
        <v>4.4580798149108896</v>
      </c>
      <c r="I109">
        <v>2018</v>
      </c>
      <c r="J109" s="15" t="s">
        <v>484</v>
      </c>
      <c r="K109" t="s">
        <v>484</v>
      </c>
      <c r="L109" s="15" t="s">
        <v>484</v>
      </c>
      <c r="M109" t="s">
        <v>484</v>
      </c>
      <c r="N109" s="15">
        <v>4.8600048999999999</v>
      </c>
      <c r="O109">
        <v>2019</v>
      </c>
      <c r="P109" s="15">
        <v>4.9785771800000003</v>
      </c>
      <c r="Q109">
        <v>2019</v>
      </c>
      <c r="R109" s="15" t="s">
        <v>484</v>
      </c>
      <c r="S109" t="s">
        <v>484</v>
      </c>
      <c r="T109" s="15" t="s">
        <v>484</v>
      </c>
      <c r="U109" t="s">
        <v>484</v>
      </c>
      <c r="V109" s="15">
        <v>4.4580798149108896</v>
      </c>
      <c r="W109">
        <v>2018</v>
      </c>
      <c r="X109" t="s">
        <v>719</v>
      </c>
      <c r="Y109" s="15">
        <v>4.9785771800000003</v>
      </c>
      <c r="Z109">
        <v>2019</v>
      </c>
      <c r="AA109" t="s">
        <v>720</v>
      </c>
    </row>
    <row r="110" spans="1:27">
      <c r="A110">
        <v>107</v>
      </c>
      <c r="B110" t="s">
        <v>254</v>
      </c>
      <c r="C110" t="s">
        <v>571</v>
      </c>
      <c r="D110" t="s">
        <v>487</v>
      </c>
      <c r="E110" t="s">
        <v>622</v>
      </c>
      <c r="H110" s="15">
        <v>6.5512599945068404</v>
      </c>
      <c r="I110">
        <v>2020</v>
      </c>
      <c r="J110" s="15" t="s">
        <v>484</v>
      </c>
      <c r="K110" t="s">
        <v>484</v>
      </c>
      <c r="L110" s="15" t="s">
        <v>484</v>
      </c>
      <c r="M110" t="s">
        <v>484</v>
      </c>
      <c r="N110" s="15">
        <v>4.7793946299999996</v>
      </c>
      <c r="O110">
        <v>2019</v>
      </c>
      <c r="P110" s="15">
        <v>4.7793946300000005</v>
      </c>
      <c r="Q110">
        <v>2019</v>
      </c>
      <c r="R110" s="15" t="s">
        <v>484</v>
      </c>
      <c r="S110" t="s">
        <v>484</v>
      </c>
      <c r="T110" s="15" t="s">
        <v>484</v>
      </c>
      <c r="U110" t="s">
        <v>484</v>
      </c>
      <c r="V110" s="15">
        <v>6.5512599945068404</v>
      </c>
      <c r="W110">
        <v>2020</v>
      </c>
      <c r="X110" t="s">
        <v>719</v>
      </c>
      <c r="Y110" s="15">
        <v>4.7793946300000005</v>
      </c>
      <c r="Z110">
        <v>2019</v>
      </c>
      <c r="AA110" t="s">
        <v>720</v>
      </c>
    </row>
    <row r="111" spans="1:27">
      <c r="A111">
        <v>108</v>
      </c>
      <c r="B111" t="s">
        <v>147</v>
      </c>
      <c r="C111" t="s">
        <v>361</v>
      </c>
      <c r="D111" t="s">
        <v>493</v>
      </c>
      <c r="E111" t="s">
        <v>334</v>
      </c>
      <c r="F111" t="s">
        <v>615</v>
      </c>
      <c r="H111" s="15">
        <v>2.2300000190734899</v>
      </c>
      <c r="I111">
        <v>2020</v>
      </c>
      <c r="J111" s="15" t="s">
        <v>484</v>
      </c>
      <c r="K111" t="s">
        <v>484</v>
      </c>
      <c r="L111" s="15" t="s">
        <v>484</v>
      </c>
      <c r="M111" t="s">
        <v>484</v>
      </c>
      <c r="N111" s="15">
        <v>0.95972489999999999</v>
      </c>
      <c r="O111">
        <v>2019</v>
      </c>
      <c r="P111" s="15">
        <v>1.45304722</v>
      </c>
      <c r="Q111">
        <v>2019</v>
      </c>
      <c r="R111" s="15" t="s">
        <v>484</v>
      </c>
      <c r="S111" t="s">
        <v>484</v>
      </c>
      <c r="T111" s="15" t="s">
        <v>484</v>
      </c>
      <c r="U111" t="s">
        <v>484</v>
      </c>
      <c r="V111" s="15">
        <v>2.2300000190734899</v>
      </c>
      <c r="W111">
        <v>2020</v>
      </c>
      <c r="X111" t="s">
        <v>719</v>
      </c>
      <c r="Y111" s="15">
        <v>1.45304722</v>
      </c>
      <c r="Z111">
        <v>2019</v>
      </c>
      <c r="AA111" t="s">
        <v>720</v>
      </c>
    </row>
    <row r="112" spans="1:27">
      <c r="A112">
        <v>109</v>
      </c>
      <c r="B112" t="s">
        <v>159</v>
      </c>
      <c r="C112" t="s">
        <v>373</v>
      </c>
      <c r="D112" t="s">
        <v>487</v>
      </c>
      <c r="E112" t="s">
        <v>334</v>
      </c>
      <c r="F112" t="s">
        <v>619</v>
      </c>
      <c r="H112" s="15">
        <v>2.59202003479004</v>
      </c>
      <c r="I112">
        <v>2019</v>
      </c>
      <c r="J112" s="15">
        <v>1.6935668335195799</v>
      </c>
      <c r="K112">
        <v>2020</v>
      </c>
      <c r="L112" s="15" t="s">
        <v>484</v>
      </c>
      <c r="M112" t="s">
        <v>484</v>
      </c>
      <c r="N112" s="15">
        <v>4.2352232900000004</v>
      </c>
      <c r="O112">
        <v>2019</v>
      </c>
      <c r="P112" s="15">
        <v>4.0931103799999997</v>
      </c>
      <c r="Q112">
        <v>2019</v>
      </c>
      <c r="R112" s="15">
        <v>1.6935668335195799</v>
      </c>
      <c r="S112">
        <v>2020</v>
      </c>
      <c r="T112" s="15" t="s">
        <v>484</v>
      </c>
      <c r="U112" t="s">
        <v>484</v>
      </c>
      <c r="V112" s="15">
        <v>1.6935668335195799</v>
      </c>
      <c r="W112">
        <v>2020</v>
      </c>
      <c r="X112" t="s">
        <v>721</v>
      </c>
      <c r="Y112" s="15">
        <v>4.0931103799999997</v>
      </c>
      <c r="Z112">
        <v>2019</v>
      </c>
      <c r="AA112" t="s">
        <v>720</v>
      </c>
    </row>
    <row r="113" spans="1:27">
      <c r="A113">
        <v>110</v>
      </c>
      <c r="B113" t="s">
        <v>103</v>
      </c>
      <c r="C113" t="s">
        <v>316</v>
      </c>
      <c r="D113" t="s">
        <v>496</v>
      </c>
      <c r="E113" t="s">
        <v>306</v>
      </c>
      <c r="F113" t="s">
        <v>615</v>
      </c>
      <c r="G113" t="s">
        <v>616</v>
      </c>
      <c r="H113" s="15">
        <v>2.6921794414520299</v>
      </c>
      <c r="I113">
        <v>2021</v>
      </c>
      <c r="J113" s="15" t="s">
        <v>484</v>
      </c>
      <c r="K113" t="s">
        <v>484</v>
      </c>
      <c r="L113" s="15">
        <v>2.41</v>
      </c>
      <c r="M113">
        <v>2019</v>
      </c>
      <c r="N113" s="15">
        <v>1.3633662499999999</v>
      </c>
      <c r="O113">
        <v>2019</v>
      </c>
      <c r="P113" s="15">
        <v>1.8697378600000003</v>
      </c>
      <c r="Q113">
        <v>2019</v>
      </c>
      <c r="R113" s="15" t="s">
        <v>484</v>
      </c>
      <c r="S113" t="s">
        <v>484</v>
      </c>
      <c r="T113" s="15">
        <v>2.1</v>
      </c>
      <c r="U113">
        <v>2019</v>
      </c>
      <c r="V113" s="15">
        <v>2.6921794414520299</v>
      </c>
      <c r="W113">
        <v>2021</v>
      </c>
      <c r="X113" t="s">
        <v>719</v>
      </c>
      <c r="Y113" s="15">
        <v>1.8697378600000003</v>
      </c>
      <c r="Z113">
        <v>2019</v>
      </c>
      <c r="AA113" t="s">
        <v>720</v>
      </c>
    </row>
    <row r="114" spans="1:27">
      <c r="A114">
        <v>111</v>
      </c>
      <c r="B114" t="s">
        <v>209</v>
      </c>
      <c r="C114" t="s">
        <v>424</v>
      </c>
      <c r="D114" t="s">
        <v>487</v>
      </c>
      <c r="E114" t="s">
        <v>389</v>
      </c>
      <c r="F114" t="s">
        <v>619</v>
      </c>
      <c r="H114" s="15" t="s">
        <v>484</v>
      </c>
      <c r="I114" t="s">
        <v>484</v>
      </c>
      <c r="J114" s="15" t="s">
        <v>484</v>
      </c>
      <c r="K114" t="s">
        <v>484</v>
      </c>
      <c r="L114" s="15" t="s">
        <v>484</v>
      </c>
      <c r="M114" t="s">
        <v>484</v>
      </c>
      <c r="N114" s="15">
        <v>3.8293638200000002</v>
      </c>
      <c r="O114">
        <v>2011</v>
      </c>
      <c r="P114" s="15" t="s">
        <v>484</v>
      </c>
      <c r="Q114" t="s">
        <v>484</v>
      </c>
      <c r="R114" s="15" t="s">
        <v>484</v>
      </c>
      <c r="S114" t="s">
        <v>484</v>
      </c>
      <c r="T114" s="15" t="s">
        <v>484</v>
      </c>
      <c r="U114" t="s">
        <v>484</v>
      </c>
      <c r="V114" s="15" t="s">
        <v>484</v>
      </c>
      <c r="W114" t="s">
        <v>484</v>
      </c>
      <c r="X114" t="s">
        <v>484</v>
      </c>
      <c r="Y114" s="15">
        <v>3.8293638200000002</v>
      </c>
      <c r="Z114">
        <v>2011</v>
      </c>
      <c r="AA114" t="s">
        <v>719</v>
      </c>
    </row>
    <row r="115" spans="1:27">
      <c r="A115">
        <v>112</v>
      </c>
      <c r="B115" t="s">
        <v>217</v>
      </c>
      <c r="C115" t="s">
        <v>432</v>
      </c>
      <c r="D115" t="s">
        <v>497</v>
      </c>
      <c r="E115" t="s">
        <v>389</v>
      </c>
      <c r="F115" t="s">
        <v>617</v>
      </c>
      <c r="H115" s="15">
        <v>3.5752100944518999</v>
      </c>
      <c r="I115">
        <v>2020</v>
      </c>
      <c r="J115" s="15" t="s">
        <v>484</v>
      </c>
      <c r="K115" t="s">
        <v>484</v>
      </c>
      <c r="L115" s="15">
        <v>4.6900000000000004</v>
      </c>
      <c r="M115">
        <v>2020</v>
      </c>
      <c r="N115" s="15">
        <v>2.0518536599999999</v>
      </c>
      <c r="O115">
        <v>2019</v>
      </c>
      <c r="P115" s="15">
        <v>2.0831866900000002</v>
      </c>
      <c r="Q115">
        <v>2019</v>
      </c>
      <c r="R115" s="15" t="s">
        <v>484</v>
      </c>
      <c r="S115" t="s">
        <v>484</v>
      </c>
      <c r="T115" s="15">
        <v>3.1</v>
      </c>
      <c r="U115">
        <v>2020</v>
      </c>
      <c r="V115" s="15">
        <v>3.5752100944518999</v>
      </c>
      <c r="W115">
        <v>2020</v>
      </c>
      <c r="X115" t="s">
        <v>719</v>
      </c>
      <c r="Y115" s="15">
        <v>2.0831866900000002</v>
      </c>
      <c r="Z115">
        <v>2019</v>
      </c>
      <c r="AA115" t="s">
        <v>720</v>
      </c>
    </row>
    <row r="116" spans="1:27">
      <c r="A116">
        <v>113</v>
      </c>
      <c r="B116" t="s">
        <v>574</v>
      </c>
      <c r="C116" t="s">
        <v>575</v>
      </c>
      <c r="D116" t="s">
        <v>485</v>
      </c>
      <c r="E116" t="s">
        <v>622</v>
      </c>
      <c r="H116" s="15">
        <v>2.5560400485992401</v>
      </c>
      <c r="I116">
        <v>2011</v>
      </c>
      <c r="J116" s="15" t="s">
        <v>484</v>
      </c>
      <c r="K116" t="s">
        <v>484</v>
      </c>
      <c r="L116" s="15" t="s">
        <v>484</v>
      </c>
      <c r="M116" t="s">
        <v>484</v>
      </c>
      <c r="N116" s="15" t="s">
        <v>484</v>
      </c>
      <c r="O116" t="s">
        <v>484</v>
      </c>
      <c r="P116" s="15" t="s">
        <v>484</v>
      </c>
      <c r="Q116" t="s">
        <v>484</v>
      </c>
      <c r="R116" s="15" t="s">
        <v>484</v>
      </c>
      <c r="S116" t="s">
        <v>484</v>
      </c>
      <c r="T116" s="15" t="s">
        <v>484</v>
      </c>
      <c r="U116" t="s">
        <v>484</v>
      </c>
      <c r="V116" s="15">
        <v>2.5560400485992401</v>
      </c>
      <c r="W116">
        <v>2011</v>
      </c>
      <c r="X116" t="s">
        <v>719</v>
      </c>
      <c r="Y116" s="15" t="s">
        <v>484</v>
      </c>
      <c r="Z116" t="s">
        <v>484</v>
      </c>
      <c r="AA116" t="s">
        <v>484</v>
      </c>
    </row>
    <row r="117" spans="1:27">
      <c r="A117">
        <v>114</v>
      </c>
      <c r="B117" t="s">
        <v>167</v>
      </c>
      <c r="C117" t="s">
        <v>381</v>
      </c>
      <c r="D117" t="s">
        <v>483</v>
      </c>
      <c r="E117" t="s">
        <v>334</v>
      </c>
      <c r="F117" t="s">
        <v>619</v>
      </c>
      <c r="H117" s="15">
        <v>1.9299999475479099</v>
      </c>
      <c r="I117">
        <v>2019</v>
      </c>
      <c r="J117" s="15">
        <v>1.93324303277983</v>
      </c>
      <c r="K117">
        <v>2019</v>
      </c>
      <c r="L117" s="15">
        <v>1.65</v>
      </c>
      <c r="M117">
        <v>2019</v>
      </c>
      <c r="N117" s="15">
        <v>1.92656553</v>
      </c>
      <c r="O117">
        <v>2019</v>
      </c>
      <c r="P117" s="15">
        <v>1.9782008500000003</v>
      </c>
      <c r="Q117">
        <v>2019</v>
      </c>
      <c r="R117" s="15">
        <v>1.93324303277983</v>
      </c>
      <c r="S117">
        <v>2019</v>
      </c>
      <c r="T117" s="15">
        <v>1.57</v>
      </c>
      <c r="U117">
        <v>2019</v>
      </c>
      <c r="V117" s="15">
        <v>1.9299999475479099</v>
      </c>
      <c r="W117">
        <v>2019</v>
      </c>
      <c r="X117" t="s">
        <v>719</v>
      </c>
      <c r="Y117" s="15">
        <v>1.9782008500000003</v>
      </c>
      <c r="Z117">
        <v>2019</v>
      </c>
      <c r="AA117" t="s">
        <v>720</v>
      </c>
    </row>
    <row r="118" spans="1:27">
      <c r="A118">
        <v>115</v>
      </c>
      <c r="B118" t="s">
        <v>125</v>
      </c>
      <c r="C118" t="s">
        <v>339</v>
      </c>
      <c r="D118" t="s">
        <v>496</v>
      </c>
      <c r="E118" t="s">
        <v>334</v>
      </c>
      <c r="F118" t="s">
        <v>615</v>
      </c>
      <c r="H118" s="15">
        <v>8.7026405334472692</v>
      </c>
      <c r="I118">
        <v>2021</v>
      </c>
      <c r="J118" s="15" t="s">
        <v>484</v>
      </c>
      <c r="K118" t="s">
        <v>484</v>
      </c>
      <c r="L118" s="15">
        <v>7.46</v>
      </c>
      <c r="M118">
        <v>2019</v>
      </c>
      <c r="N118" s="15">
        <v>4.9064745900000002</v>
      </c>
      <c r="O118">
        <v>2019</v>
      </c>
      <c r="P118" s="15">
        <v>7.5201411900000013</v>
      </c>
      <c r="Q118">
        <v>2019</v>
      </c>
      <c r="R118" s="15" t="s">
        <v>484</v>
      </c>
      <c r="S118" t="s">
        <v>484</v>
      </c>
      <c r="T118" s="15">
        <v>7.27</v>
      </c>
      <c r="U118">
        <v>2019</v>
      </c>
      <c r="V118" s="15">
        <v>8.7026405334472692</v>
      </c>
      <c r="W118">
        <v>2021</v>
      </c>
      <c r="X118" t="s">
        <v>719</v>
      </c>
      <c r="Y118" s="15">
        <v>7.5201411900000013</v>
      </c>
      <c r="Z118">
        <v>2019</v>
      </c>
      <c r="AA118" t="s">
        <v>720</v>
      </c>
    </row>
    <row r="119" spans="1:27">
      <c r="A119">
        <v>116</v>
      </c>
      <c r="B119" t="s">
        <v>244</v>
      </c>
      <c r="C119" t="s">
        <v>536</v>
      </c>
      <c r="D119" t="s">
        <v>485</v>
      </c>
      <c r="E119" t="s">
        <v>622</v>
      </c>
      <c r="G119" t="s">
        <v>623</v>
      </c>
      <c r="H119" s="15">
        <v>3.8929300308227499</v>
      </c>
      <c r="I119">
        <v>2018</v>
      </c>
      <c r="J119" s="15">
        <v>5.2133775600504402</v>
      </c>
      <c r="K119">
        <v>2020</v>
      </c>
      <c r="L119" s="15" t="s">
        <v>484</v>
      </c>
      <c r="M119" t="s">
        <v>484</v>
      </c>
      <c r="N119" s="15">
        <v>4.5601224900000004</v>
      </c>
      <c r="O119">
        <v>2019</v>
      </c>
      <c r="P119" s="15">
        <v>4.6507620799999998</v>
      </c>
      <c r="Q119">
        <v>2019</v>
      </c>
      <c r="R119" s="15">
        <v>5.2133775600504402</v>
      </c>
      <c r="S119">
        <v>2020</v>
      </c>
      <c r="T119" s="15" t="s">
        <v>484</v>
      </c>
      <c r="U119" t="s">
        <v>484</v>
      </c>
      <c r="V119" s="15">
        <v>5.2133775600504402</v>
      </c>
      <c r="W119">
        <v>2020</v>
      </c>
      <c r="X119" t="s">
        <v>721</v>
      </c>
      <c r="Y119" s="15">
        <v>4.6507620799999998</v>
      </c>
      <c r="Z119">
        <v>2019</v>
      </c>
      <c r="AA119" t="s">
        <v>720</v>
      </c>
    </row>
    <row r="120" spans="1:27">
      <c r="A120">
        <v>117</v>
      </c>
      <c r="B120" t="s">
        <v>54</v>
      </c>
      <c r="C120" t="s">
        <v>467</v>
      </c>
      <c r="D120" t="s">
        <v>485</v>
      </c>
      <c r="E120" t="s">
        <v>622</v>
      </c>
      <c r="G120" t="s">
        <v>623</v>
      </c>
      <c r="H120" s="15">
        <v>3.6474900245666499</v>
      </c>
      <c r="I120">
        <v>2018</v>
      </c>
      <c r="J120" s="15">
        <v>4.9739129756949296</v>
      </c>
      <c r="K120">
        <v>2020</v>
      </c>
      <c r="L120" s="15" t="s">
        <v>484</v>
      </c>
      <c r="M120" t="s">
        <v>484</v>
      </c>
      <c r="N120" s="15">
        <v>4.6118688600000004</v>
      </c>
      <c r="O120">
        <v>2019</v>
      </c>
      <c r="P120" s="15">
        <v>4.5628734</v>
      </c>
      <c r="Q120">
        <v>2019</v>
      </c>
      <c r="R120" s="15">
        <v>4.9739129756949296</v>
      </c>
      <c r="S120">
        <v>2020</v>
      </c>
      <c r="T120" s="15" t="s">
        <v>484</v>
      </c>
      <c r="U120" t="s">
        <v>484</v>
      </c>
      <c r="V120" s="15">
        <v>4.9739129756949296</v>
      </c>
      <c r="W120">
        <v>2020</v>
      </c>
      <c r="X120" t="s">
        <v>721</v>
      </c>
      <c r="Y120" s="15">
        <v>4.5628734</v>
      </c>
      <c r="Z120">
        <v>2019</v>
      </c>
      <c r="AA120" t="s">
        <v>720</v>
      </c>
    </row>
    <row r="121" spans="1:27">
      <c r="A121">
        <v>118</v>
      </c>
      <c r="B121" t="s">
        <v>240</v>
      </c>
      <c r="C121" t="s">
        <v>534</v>
      </c>
      <c r="D121" t="s">
        <v>485</v>
      </c>
      <c r="E121" t="s">
        <v>622</v>
      </c>
      <c r="G121" t="s">
        <v>623</v>
      </c>
      <c r="H121" s="15">
        <v>4.24356985092163</v>
      </c>
      <c r="I121">
        <v>2018</v>
      </c>
      <c r="J121" s="15">
        <v>5.9687283058937304</v>
      </c>
      <c r="K121">
        <v>2020</v>
      </c>
      <c r="L121" s="15" t="s">
        <v>484</v>
      </c>
      <c r="M121" t="s">
        <v>484</v>
      </c>
      <c r="N121" s="15">
        <v>3.9835770099999999</v>
      </c>
      <c r="O121">
        <v>2019</v>
      </c>
      <c r="P121" s="15">
        <v>4.0012951599999997</v>
      </c>
      <c r="Q121">
        <v>2019</v>
      </c>
      <c r="R121" s="15">
        <v>5.9687283058937304</v>
      </c>
      <c r="S121">
        <v>2020</v>
      </c>
      <c r="T121" s="15" t="s">
        <v>484</v>
      </c>
      <c r="U121" t="s">
        <v>484</v>
      </c>
      <c r="V121" s="15">
        <v>5.9687283058937304</v>
      </c>
      <c r="W121">
        <v>2020</v>
      </c>
      <c r="X121" t="s">
        <v>721</v>
      </c>
      <c r="Y121" s="15">
        <v>4.0012951599999997</v>
      </c>
      <c r="Z121">
        <v>2019</v>
      </c>
      <c r="AA121" t="s">
        <v>720</v>
      </c>
    </row>
    <row r="122" spans="1:27">
      <c r="A122">
        <v>119</v>
      </c>
      <c r="B122" t="s">
        <v>257</v>
      </c>
      <c r="C122" t="s">
        <v>537</v>
      </c>
      <c r="D122" t="s">
        <v>493</v>
      </c>
      <c r="E122" t="s">
        <v>622</v>
      </c>
      <c r="H122" s="15">
        <v>6.3000001907348597</v>
      </c>
      <c r="I122">
        <v>2020</v>
      </c>
      <c r="J122" s="15">
        <v>6.2976675298871401</v>
      </c>
      <c r="K122">
        <v>2020</v>
      </c>
      <c r="L122" s="15" t="s">
        <v>484</v>
      </c>
      <c r="M122" t="s">
        <v>484</v>
      </c>
      <c r="N122" s="15" t="s">
        <v>484</v>
      </c>
      <c r="O122" t="s">
        <v>484</v>
      </c>
      <c r="P122" s="15" t="s">
        <v>484</v>
      </c>
      <c r="Q122" t="s">
        <v>484</v>
      </c>
      <c r="R122" s="15">
        <v>6.2976675298871401</v>
      </c>
      <c r="S122">
        <v>2020</v>
      </c>
      <c r="T122" s="15" t="s">
        <v>484</v>
      </c>
      <c r="U122" t="s">
        <v>484</v>
      </c>
      <c r="V122" s="15">
        <v>6.3000001907348597</v>
      </c>
      <c r="W122">
        <v>2020</v>
      </c>
      <c r="X122" t="s">
        <v>719</v>
      </c>
      <c r="Y122" s="15">
        <v>6.2976675298871401</v>
      </c>
      <c r="Z122">
        <v>2020</v>
      </c>
      <c r="AA122" t="s">
        <v>721</v>
      </c>
    </row>
    <row r="123" spans="1:27">
      <c r="A123">
        <v>120</v>
      </c>
      <c r="B123" t="s">
        <v>572</v>
      </c>
      <c r="C123" t="s">
        <v>573</v>
      </c>
      <c r="D123" t="s">
        <v>497</v>
      </c>
      <c r="E123" t="s">
        <v>622</v>
      </c>
      <c r="H123" s="15" t="s">
        <v>484</v>
      </c>
      <c r="I123" t="s">
        <v>484</v>
      </c>
      <c r="J123" s="15" t="s">
        <v>484</v>
      </c>
      <c r="K123" t="s">
        <v>484</v>
      </c>
      <c r="L123" s="15" t="s">
        <v>484</v>
      </c>
      <c r="M123" t="s">
        <v>484</v>
      </c>
      <c r="N123" s="15" t="s">
        <v>484</v>
      </c>
      <c r="O123" t="s">
        <v>484</v>
      </c>
      <c r="P123" s="15" t="s">
        <v>484</v>
      </c>
      <c r="Q123" t="s">
        <v>484</v>
      </c>
      <c r="R123" s="15" t="s">
        <v>484</v>
      </c>
      <c r="S123" t="s">
        <v>484</v>
      </c>
      <c r="T123" s="15" t="s">
        <v>484</v>
      </c>
      <c r="U123" t="s">
        <v>484</v>
      </c>
      <c r="V123" s="15" t="s">
        <v>484</v>
      </c>
      <c r="W123" t="s">
        <v>484</v>
      </c>
      <c r="X123" t="s">
        <v>484</v>
      </c>
      <c r="Y123" s="15" t="s">
        <v>484</v>
      </c>
      <c r="Z123" t="s">
        <v>484</v>
      </c>
      <c r="AA123" t="s">
        <v>484</v>
      </c>
    </row>
    <row r="124" spans="1:27">
      <c r="A124">
        <v>121</v>
      </c>
      <c r="B124" t="s">
        <v>156</v>
      </c>
      <c r="C124" t="s">
        <v>370</v>
      </c>
      <c r="D124" t="s">
        <v>487</v>
      </c>
      <c r="E124" t="s">
        <v>334</v>
      </c>
      <c r="F124" t="s">
        <v>619</v>
      </c>
      <c r="H124" s="15">
        <v>6.7543020248413104</v>
      </c>
      <c r="I124">
        <v>2020</v>
      </c>
      <c r="J124" s="15" t="s">
        <v>484</v>
      </c>
      <c r="K124" t="s">
        <v>484</v>
      </c>
      <c r="L124" s="15" t="s">
        <v>484</v>
      </c>
      <c r="M124" t="s">
        <v>484</v>
      </c>
      <c r="N124" s="15">
        <v>2.1168234300000002</v>
      </c>
      <c r="O124">
        <v>2019</v>
      </c>
      <c r="P124" s="15">
        <v>2.7092112499999996</v>
      </c>
      <c r="Q124">
        <v>2019</v>
      </c>
      <c r="R124" s="15" t="s">
        <v>484</v>
      </c>
      <c r="S124" t="s">
        <v>484</v>
      </c>
      <c r="T124" s="15" t="s">
        <v>484</v>
      </c>
      <c r="U124" t="s">
        <v>484</v>
      </c>
      <c r="V124" s="15">
        <v>6.7543020248413104</v>
      </c>
      <c r="W124">
        <v>2020</v>
      </c>
      <c r="X124" t="s">
        <v>719</v>
      </c>
      <c r="Y124" s="15">
        <v>2.7092112499999996</v>
      </c>
      <c r="Z124">
        <v>2019</v>
      </c>
      <c r="AA124" t="s">
        <v>720</v>
      </c>
    </row>
    <row r="125" spans="1:27">
      <c r="A125">
        <v>122</v>
      </c>
      <c r="B125" t="s">
        <v>576</v>
      </c>
      <c r="C125" t="s">
        <v>577</v>
      </c>
      <c r="D125" t="s">
        <v>485</v>
      </c>
      <c r="E125" t="s">
        <v>622</v>
      </c>
      <c r="H125" s="15">
        <v>1.15266001224518</v>
      </c>
      <c r="I125">
        <v>2019</v>
      </c>
      <c r="J125" s="15" t="s">
        <v>484</v>
      </c>
      <c r="K125" t="s">
        <v>484</v>
      </c>
      <c r="L125" s="15" t="s">
        <v>484</v>
      </c>
      <c r="M125" t="s">
        <v>484</v>
      </c>
      <c r="N125" s="15">
        <v>1.2958043800000001</v>
      </c>
      <c r="O125">
        <v>2019</v>
      </c>
      <c r="P125" s="15">
        <v>1.2958043999999997</v>
      </c>
      <c r="Q125">
        <v>2019</v>
      </c>
      <c r="R125" s="15" t="s">
        <v>484</v>
      </c>
      <c r="S125" t="s">
        <v>484</v>
      </c>
      <c r="T125" s="15" t="s">
        <v>484</v>
      </c>
      <c r="U125" t="s">
        <v>484</v>
      </c>
      <c r="V125" s="15">
        <v>1.15266001224518</v>
      </c>
      <c r="W125">
        <v>2019</v>
      </c>
      <c r="X125" t="s">
        <v>719</v>
      </c>
      <c r="Y125" s="15">
        <v>1.2958043999999997</v>
      </c>
      <c r="Z125">
        <v>2019</v>
      </c>
      <c r="AA125" t="s">
        <v>720</v>
      </c>
    </row>
    <row r="126" spans="1:27">
      <c r="A126">
        <v>123</v>
      </c>
      <c r="B126" t="s">
        <v>189</v>
      </c>
      <c r="C126" t="s">
        <v>404</v>
      </c>
      <c r="D126" t="s">
        <v>485</v>
      </c>
      <c r="E126" t="s">
        <v>389</v>
      </c>
      <c r="F126" t="s">
        <v>619</v>
      </c>
      <c r="H126" s="15">
        <v>6.3887200355529803</v>
      </c>
      <c r="I126">
        <v>2020</v>
      </c>
      <c r="J126" s="15">
        <v>6.3168182954930403</v>
      </c>
      <c r="K126">
        <v>2020</v>
      </c>
      <c r="L126" s="15">
        <v>5.76</v>
      </c>
      <c r="M126">
        <v>2019</v>
      </c>
      <c r="N126" s="15">
        <v>3.8067769999999999</v>
      </c>
      <c r="O126">
        <v>2019</v>
      </c>
      <c r="P126" s="15">
        <v>3.8491377899999994</v>
      </c>
      <c r="Q126">
        <v>2019</v>
      </c>
      <c r="R126" s="15">
        <v>6.3168182954930403</v>
      </c>
      <c r="S126">
        <v>2020</v>
      </c>
      <c r="T126" s="15">
        <v>4.09</v>
      </c>
      <c r="U126">
        <v>2019</v>
      </c>
      <c r="V126" s="15">
        <v>6.3887200355529803</v>
      </c>
      <c r="W126">
        <v>2020</v>
      </c>
      <c r="X126" t="s">
        <v>719</v>
      </c>
      <c r="Y126" s="15">
        <v>3.8491377899999994</v>
      </c>
      <c r="Z126">
        <v>2019</v>
      </c>
      <c r="AA126" t="s">
        <v>720</v>
      </c>
    </row>
    <row r="127" spans="1:27">
      <c r="A127">
        <v>124</v>
      </c>
      <c r="B127" t="s">
        <v>97</v>
      </c>
      <c r="C127" t="s">
        <v>310</v>
      </c>
      <c r="D127" t="s">
        <v>496</v>
      </c>
      <c r="E127" t="s">
        <v>306</v>
      </c>
      <c r="F127" t="s">
        <v>615</v>
      </c>
      <c r="G127" t="s">
        <v>616</v>
      </c>
      <c r="H127" s="15">
        <v>3.0957062244415301</v>
      </c>
      <c r="I127">
        <v>2020</v>
      </c>
      <c r="J127" s="15">
        <v>2.5410681137531701</v>
      </c>
      <c r="K127">
        <v>2020</v>
      </c>
      <c r="L127" s="15" t="s">
        <v>484</v>
      </c>
      <c r="M127" t="s">
        <v>484</v>
      </c>
      <c r="N127" s="15">
        <v>1.1867730599999999</v>
      </c>
      <c r="O127">
        <v>2019</v>
      </c>
      <c r="P127" s="15">
        <v>1.5031376599999997</v>
      </c>
      <c r="Q127">
        <v>2019</v>
      </c>
      <c r="R127" s="15">
        <v>2.5410681137531701</v>
      </c>
      <c r="S127">
        <v>2020</v>
      </c>
      <c r="T127" s="15" t="s">
        <v>484</v>
      </c>
      <c r="U127" t="s">
        <v>484</v>
      </c>
      <c r="V127" s="15">
        <v>3.0957062244415301</v>
      </c>
      <c r="W127">
        <v>2020</v>
      </c>
      <c r="X127" t="s">
        <v>719</v>
      </c>
      <c r="Y127" s="15">
        <v>1.5031376599999997</v>
      </c>
      <c r="Z127">
        <v>2019</v>
      </c>
      <c r="AA127" t="s">
        <v>720</v>
      </c>
    </row>
    <row r="128" spans="1:27">
      <c r="A128">
        <v>125</v>
      </c>
      <c r="B128" t="s">
        <v>208</v>
      </c>
      <c r="C128" t="s">
        <v>423</v>
      </c>
      <c r="D128" t="s">
        <v>483</v>
      </c>
      <c r="E128" t="s">
        <v>389</v>
      </c>
      <c r="F128" t="s">
        <v>615</v>
      </c>
      <c r="H128" s="15">
        <v>4.1215901374816903</v>
      </c>
      <c r="I128">
        <v>2019</v>
      </c>
      <c r="J128" s="15" t="s">
        <v>484</v>
      </c>
      <c r="K128" t="s">
        <v>484</v>
      </c>
      <c r="L128" s="15" t="s">
        <v>484</v>
      </c>
      <c r="M128" t="s">
        <v>484</v>
      </c>
      <c r="N128" s="15">
        <v>6.3931474699999997</v>
      </c>
      <c r="O128">
        <v>2019</v>
      </c>
      <c r="P128" s="15">
        <v>6.5260536</v>
      </c>
      <c r="Q128">
        <v>2019</v>
      </c>
      <c r="R128" s="15" t="s">
        <v>484</v>
      </c>
      <c r="S128" t="s">
        <v>484</v>
      </c>
      <c r="T128" s="15" t="s">
        <v>484</v>
      </c>
      <c r="U128" t="s">
        <v>484</v>
      </c>
      <c r="V128" s="15">
        <v>4.1215901374816903</v>
      </c>
      <c r="W128">
        <v>2019</v>
      </c>
      <c r="X128" t="s">
        <v>719</v>
      </c>
      <c r="Y128" s="15">
        <v>6.5260536</v>
      </c>
      <c r="Z128">
        <v>2019</v>
      </c>
      <c r="AA128" t="s">
        <v>720</v>
      </c>
    </row>
    <row r="129" spans="1:27">
      <c r="A129">
        <v>126</v>
      </c>
      <c r="B129" t="s">
        <v>215</v>
      </c>
      <c r="C129" t="s">
        <v>430</v>
      </c>
      <c r="D129" t="s">
        <v>497</v>
      </c>
      <c r="E129" t="s">
        <v>389</v>
      </c>
      <c r="F129" t="s">
        <v>619</v>
      </c>
      <c r="H129" s="15">
        <v>4.2542200088501003</v>
      </c>
      <c r="I129">
        <v>2018</v>
      </c>
      <c r="J129" s="15" t="s">
        <v>484</v>
      </c>
      <c r="K129" t="s">
        <v>484</v>
      </c>
      <c r="L129" s="15" t="s">
        <v>484</v>
      </c>
      <c r="M129" t="s">
        <v>484</v>
      </c>
      <c r="N129" s="15">
        <v>2.67891455</v>
      </c>
      <c r="O129">
        <v>2019</v>
      </c>
      <c r="P129" s="15">
        <v>2.6789144699999996</v>
      </c>
      <c r="Q129">
        <v>2019</v>
      </c>
      <c r="R129" s="15" t="s">
        <v>484</v>
      </c>
      <c r="S129" t="s">
        <v>484</v>
      </c>
      <c r="T129" s="15" t="s">
        <v>484</v>
      </c>
      <c r="U129" t="s">
        <v>484</v>
      </c>
      <c r="V129" s="15">
        <v>4.2542200088501003</v>
      </c>
      <c r="W129">
        <v>2018</v>
      </c>
      <c r="X129" t="s">
        <v>719</v>
      </c>
      <c r="Y129" s="15">
        <v>2.6789144699999996</v>
      </c>
      <c r="Z129">
        <v>2019</v>
      </c>
      <c r="AA129" t="s">
        <v>720</v>
      </c>
    </row>
    <row r="130" spans="1:27">
      <c r="A130">
        <v>127</v>
      </c>
      <c r="B130" t="s">
        <v>186</v>
      </c>
      <c r="C130" t="s">
        <v>401</v>
      </c>
      <c r="D130" t="s">
        <v>493</v>
      </c>
      <c r="E130" t="s">
        <v>389</v>
      </c>
      <c r="F130" t="s">
        <v>615</v>
      </c>
      <c r="H130" s="15">
        <v>15.75</v>
      </c>
      <c r="I130">
        <v>2019</v>
      </c>
      <c r="J130" s="15">
        <v>15.7505550947318</v>
      </c>
      <c r="K130">
        <v>2019</v>
      </c>
      <c r="L130" s="15" t="s">
        <v>484</v>
      </c>
      <c r="M130" t="s">
        <v>484</v>
      </c>
      <c r="N130" s="15">
        <v>6.7269830700000002</v>
      </c>
      <c r="O130">
        <v>2019</v>
      </c>
      <c r="P130" s="15">
        <v>13.757807339999999</v>
      </c>
      <c r="Q130">
        <v>2019</v>
      </c>
      <c r="R130" s="15">
        <v>15.7505550947318</v>
      </c>
      <c r="S130">
        <v>2019</v>
      </c>
      <c r="T130" s="15" t="s">
        <v>484</v>
      </c>
      <c r="U130" t="s">
        <v>484</v>
      </c>
      <c r="V130" s="15">
        <v>15.75</v>
      </c>
      <c r="W130">
        <v>2019</v>
      </c>
      <c r="X130" t="s">
        <v>719</v>
      </c>
      <c r="Y130" s="15">
        <v>13.757807339999999</v>
      </c>
      <c r="Z130">
        <v>2019</v>
      </c>
      <c r="AA130" t="s">
        <v>720</v>
      </c>
    </row>
    <row r="131" spans="1:27">
      <c r="A131">
        <v>128</v>
      </c>
      <c r="B131" t="s">
        <v>193</v>
      </c>
      <c r="C131" t="s">
        <v>408</v>
      </c>
      <c r="D131" t="s">
        <v>485</v>
      </c>
      <c r="E131" t="s">
        <v>389</v>
      </c>
      <c r="F131" t="s">
        <v>619</v>
      </c>
      <c r="H131" s="15" t="s">
        <v>484</v>
      </c>
      <c r="I131" t="s">
        <v>484</v>
      </c>
      <c r="J131" s="15" t="s">
        <v>484</v>
      </c>
      <c r="K131" t="s">
        <v>484</v>
      </c>
      <c r="L131" s="15" t="s">
        <v>484</v>
      </c>
      <c r="M131" t="s">
        <v>484</v>
      </c>
      <c r="N131" s="15">
        <v>4.2775745399999998</v>
      </c>
      <c r="O131">
        <v>2019</v>
      </c>
      <c r="P131" s="15">
        <v>4.2870899700000011</v>
      </c>
      <c r="Q131">
        <v>2019</v>
      </c>
      <c r="R131" s="15" t="s">
        <v>484</v>
      </c>
      <c r="S131" t="s">
        <v>484</v>
      </c>
      <c r="T131" s="15" t="s">
        <v>484</v>
      </c>
      <c r="U131" t="s">
        <v>484</v>
      </c>
      <c r="V131" s="15" t="s">
        <v>484</v>
      </c>
      <c r="W131" t="s">
        <v>484</v>
      </c>
      <c r="X131" t="s">
        <v>484</v>
      </c>
      <c r="Y131" s="15">
        <v>4.2870899700000011</v>
      </c>
      <c r="Z131">
        <v>2019</v>
      </c>
      <c r="AA131" t="s">
        <v>720</v>
      </c>
    </row>
    <row r="132" spans="1:27">
      <c r="A132">
        <v>129</v>
      </c>
      <c r="B132" t="s">
        <v>113</v>
      </c>
      <c r="C132" t="s">
        <v>326</v>
      </c>
      <c r="D132" t="s">
        <v>496</v>
      </c>
      <c r="E132" t="s">
        <v>306</v>
      </c>
      <c r="F132" t="s">
        <v>615</v>
      </c>
      <c r="G132" t="s">
        <v>616</v>
      </c>
      <c r="H132" s="15">
        <v>3.7634313106536901</v>
      </c>
      <c r="I132">
        <v>2020</v>
      </c>
      <c r="J132" s="15" t="s">
        <v>484</v>
      </c>
      <c r="K132" t="s">
        <v>484</v>
      </c>
      <c r="L132" s="15" t="s">
        <v>484</v>
      </c>
      <c r="M132" t="s">
        <v>484</v>
      </c>
      <c r="N132" s="15">
        <v>1.31026745</v>
      </c>
      <c r="O132">
        <v>2019</v>
      </c>
      <c r="P132" s="15">
        <v>1.6773269599999998</v>
      </c>
      <c r="Q132">
        <v>2019</v>
      </c>
      <c r="R132" s="15" t="s">
        <v>484</v>
      </c>
      <c r="S132" t="s">
        <v>484</v>
      </c>
      <c r="T132" s="15" t="s">
        <v>484</v>
      </c>
      <c r="U132" t="s">
        <v>484</v>
      </c>
      <c r="V132" s="15">
        <v>3.7634313106536901</v>
      </c>
      <c r="W132">
        <v>2020</v>
      </c>
      <c r="X132" t="s">
        <v>719</v>
      </c>
      <c r="Y132" s="15">
        <v>1.6773269599999998</v>
      </c>
      <c r="Z132">
        <v>2019</v>
      </c>
      <c r="AA132" t="s">
        <v>720</v>
      </c>
    </row>
    <row r="133" spans="1:27">
      <c r="A133">
        <v>130</v>
      </c>
      <c r="B133" t="s">
        <v>252</v>
      </c>
      <c r="C133" t="s">
        <v>540</v>
      </c>
      <c r="D133" t="s">
        <v>487</v>
      </c>
      <c r="E133" t="s">
        <v>622</v>
      </c>
      <c r="G133" t="s">
        <v>623</v>
      </c>
      <c r="H133" s="15">
        <v>4.6516299247741699</v>
      </c>
      <c r="I133">
        <v>2017</v>
      </c>
      <c r="J133" s="15">
        <v>5.8735295877181102</v>
      </c>
      <c r="K133">
        <v>2020</v>
      </c>
      <c r="L133" s="15" t="s">
        <v>484</v>
      </c>
      <c r="M133" t="s">
        <v>484</v>
      </c>
      <c r="N133" s="15">
        <v>5.1835227000000001</v>
      </c>
      <c r="O133">
        <v>2019</v>
      </c>
      <c r="P133" s="15">
        <v>5.1835226899999993</v>
      </c>
      <c r="Q133">
        <v>2019</v>
      </c>
      <c r="R133" s="15">
        <v>5.8735295877181102</v>
      </c>
      <c r="S133">
        <v>2020</v>
      </c>
      <c r="T133" s="15" t="s">
        <v>484</v>
      </c>
      <c r="U133" t="s">
        <v>484</v>
      </c>
      <c r="V133" s="15">
        <v>5.8735295877181102</v>
      </c>
      <c r="W133">
        <v>2020</v>
      </c>
      <c r="X133" t="s">
        <v>721</v>
      </c>
      <c r="Y133" s="15">
        <v>5.1835226899999993</v>
      </c>
      <c r="Z133">
        <v>2019</v>
      </c>
      <c r="AA133" t="s">
        <v>720</v>
      </c>
    </row>
    <row r="134" spans="1:27">
      <c r="A134">
        <v>131</v>
      </c>
      <c r="B134" t="s">
        <v>120</v>
      </c>
      <c r="C134" t="s">
        <v>333</v>
      </c>
      <c r="D134" t="s">
        <v>493</v>
      </c>
      <c r="E134" t="s">
        <v>334</v>
      </c>
      <c r="F134" t="s">
        <v>615</v>
      </c>
      <c r="H134" s="15">
        <v>2.1398699283599898</v>
      </c>
      <c r="I134">
        <v>2019</v>
      </c>
      <c r="J134" s="15">
        <v>1.99990872707254</v>
      </c>
      <c r="K134">
        <v>2019</v>
      </c>
      <c r="L134" s="15" t="s">
        <v>484</v>
      </c>
      <c r="M134" t="s">
        <v>484</v>
      </c>
      <c r="N134" s="15">
        <v>0.73722624999999997</v>
      </c>
      <c r="O134">
        <v>2019</v>
      </c>
      <c r="P134" s="15">
        <v>0.82849151999999981</v>
      </c>
      <c r="Q134">
        <v>2019</v>
      </c>
      <c r="R134" s="15">
        <v>1.99990872707254</v>
      </c>
      <c r="S134">
        <v>2019</v>
      </c>
      <c r="T134" s="15" t="s">
        <v>484</v>
      </c>
      <c r="U134" t="s">
        <v>484</v>
      </c>
      <c r="V134" s="15">
        <v>2.1398699283599898</v>
      </c>
      <c r="W134">
        <v>2019</v>
      </c>
      <c r="X134" t="s">
        <v>719</v>
      </c>
      <c r="Y134" s="15">
        <v>0.82849151999999981</v>
      </c>
      <c r="Z134">
        <v>2019</v>
      </c>
      <c r="AA134" t="s">
        <v>720</v>
      </c>
    </row>
    <row r="135" spans="1:27">
      <c r="A135">
        <v>132</v>
      </c>
      <c r="B135" t="s">
        <v>213</v>
      </c>
      <c r="C135" t="s">
        <v>428</v>
      </c>
      <c r="D135" t="s">
        <v>485</v>
      </c>
      <c r="E135" t="s">
        <v>389</v>
      </c>
      <c r="F135" t="s">
        <v>619</v>
      </c>
      <c r="H135" s="15" t="s">
        <v>484</v>
      </c>
      <c r="I135" t="s">
        <v>484</v>
      </c>
      <c r="J135" s="15" t="s">
        <v>484</v>
      </c>
      <c r="K135" t="s">
        <v>484</v>
      </c>
      <c r="L135" s="15" t="s">
        <v>484</v>
      </c>
      <c r="M135" t="s">
        <v>484</v>
      </c>
      <c r="N135" s="15">
        <v>5.0674610099999997</v>
      </c>
      <c r="O135">
        <v>2019</v>
      </c>
      <c r="P135" s="15">
        <v>5.0852353100000007</v>
      </c>
      <c r="Q135">
        <v>2019</v>
      </c>
      <c r="R135" s="15" t="s">
        <v>484</v>
      </c>
      <c r="S135" t="s">
        <v>484</v>
      </c>
      <c r="T135" s="15" t="s">
        <v>484</v>
      </c>
      <c r="U135" t="s">
        <v>484</v>
      </c>
      <c r="V135" s="15" t="s">
        <v>484</v>
      </c>
      <c r="W135" t="s">
        <v>484</v>
      </c>
      <c r="X135" t="s">
        <v>484</v>
      </c>
      <c r="Y135" s="15">
        <v>5.0852353100000007</v>
      </c>
      <c r="Z135">
        <v>2019</v>
      </c>
      <c r="AA135" t="s">
        <v>720</v>
      </c>
    </row>
    <row r="136" spans="1:27">
      <c r="A136">
        <v>133</v>
      </c>
      <c r="B136" t="s">
        <v>166</v>
      </c>
      <c r="C136" t="s">
        <v>380</v>
      </c>
      <c r="D136" t="s">
        <v>493</v>
      </c>
      <c r="E136" t="s">
        <v>334</v>
      </c>
      <c r="F136" t="s">
        <v>619</v>
      </c>
      <c r="H136" s="15">
        <v>4.9408898353576696</v>
      </c>
      <c r="I136">
        <v>2019</v>
      </c>
      <c r="J136" s="15">
        <v>4.7463829902655501</v>
      </c>
      <c r="K136">
        <v>2020</v>
      </c>
      <c r="L136" s="15">
        <v>4.93</v>
      </c>
      <c r="M136">
        <v>2019</v>
      </c>
      <c r="N136" s="15">
        <v>2.1334500300000001</v>
      </c>
      <c r="O136">
        <v>2019</v>
      </c>
      <c r="P136" s="15">
        <v>2.3102477900000005</v>
      </c>
      <c r="Q136">
        <v>2019</v>
      </c>
      <c r="R136" s="15">
        <v>4.7463829902655501</v>
      </c>
      <c r="S136">
        <v>2020</v>
      </c>
      <c r="T136" s="15">
        <v>2.1800000000000002</v>
      </c>
      <c r="U136">
        <v>2019</v>
      </c>
      <c r="V136" s="15">
        <v>4.7463829902655501</v>
      </c>
      <c r="W136">
        <v>2020</v>
      </c>
      <c r="X136" t="s">
        <v>721</v>
      </c>
      <c r="Y136" s="15">
        <v>2.3102477900000005</v>
      </c>
      <c r="Z136">
        <v>2019</v>
      </c>
      <c r="AA136" t="s">
        <v>720</v>
      </c>
    </row>
    <row r="137" spans="1:27">
      <c r="A137">
        <v>134</v>
      </c>
      <c r="B137" t="s">
        <v>559</v>
      </c>
      <c r="C137" t="s">
        <v>560</v>
      </c>
      <c r="D137" t="s">
        <v>493</v>
      </c>
      <c r="E137" t="s">
        <v>622</v>
      </c>
      <c r="H137" s="15" t="s">
        <v>484</v>
      </c>
      <c r="I137" t="s">
        <v>484</v>
      </c>
      <c r="J137" s="15" t="s">
        <v>484</v>
      </c>
      <c r="K137" t="s">
        <v>484</v>
      </c>
      <c r="L137" s="15" t="s">
        <v>484</v>
      </c>
      <c r="M137" t="s">
        <v>484</v>
      </c>
      <c r="N137" s="15" t="s">
        <v>484</v>
      </c>
      <c r="O137" t="s">
        <v>484</v>
      </c>
      <c r="P137" s="15" t="s">
        <v>484</v>
      </c>
      <c r="Q137" t="s">
        <v>484</v>
      </c>
      <c r="R137" s="15" t="s">
        <v>484</v>
      </c>
      <c r="S137" t="s">
        <v>484</v>
      </c>
      <c r="T137" s="15" t="s">
        <v>484</v>
      </c>
      <c r="U137" t="s">
        <v>484</v>
      </c>
      <c r="V137" s="15" t="s">
        <v>484</v>
      </c>
      <c r="W137" t="s">
        <v>484</v>
      </c>
      <c r="X137" t="s">
        <v>484</v>
      </c>
      <c r="Y137" s="15" t="s">
        <v>484</v>
      </c>
      <c r="Z137" t="s">
        <v>484</v>
      </c>
      <c r="AA137" t="s">
        <v>484</v>
      </c>
    </row>
    <row r="138" spans="1:27">
      <c r="A138">
        <v>135</v>
      </c>
      <c r="B138" t="s">
        <v>95</v>
      </c>
      <c r="C138" t="s">
        <v>308</v>
      </c>
      <c r="D138" t="s">
        <v>496</v>
      </c>
      <c r="E138" t="s">
        <v>306</v>
      </c>
      <c r="F138" t="s">
        <v>615</v>
      </c>
      <c r="G138" t="s">
        <v>616</v>
      </c>
      <c r="H138" s="15">
        <v>6.2605886459350604</v>
      </c>
      <c r="I138">
        <v>2020</v>
      </c>
      <c r="J138" s="15">
        <v>6.47774134925106</v>
      </c>
      <c r="K138">
        <v>2020</v>
      </c>
      <c r="L138" s="15">
        <v>6.08</v>
      </c>
      <c r="M138">
        <v>2019</v>
      </c>
      <c r="N138" s="15">
        <v>1.6672264299999999</v>
      </c>
      <c r="O138">
        <v>2019</v>
      </c>
      <c r="P138" s="15">
        <v>4.22343987</v>
      </c>
      <c r="Q138">
        <v>2019</v>
      </c>
      <c r="R138" s="15">
        <v>6.47774134925106</v>
      </c>
      <c r="S138">
        <v>2020</v>
      </c>
      <c r="T138" s="15">
        <v>2.36</v>
      </c>
      <c r="U138">
        <v>2019</v>
      </c>
      <c r="V138" s="15">
        <v>6.2605886459350604</v>
      </c>
      <c r="W138">
        <v>2020</v>
      </c>
      <c r="X138" t="s">
        <v>719</v>
      </c>
      <c r="Y138" s="15">
        <v>4.22343987</v>
      </c>
      <c r="Z138">
        <v>2019</v>
      </c>
      <c r="AA138" t="s">
        <v>720</v>
      </c>
    </row>
    <row r="139" spans="1:27">
      <c r="A139">
        <v>136</v>
      </c>
      <c r="B139" t="s">
        <v>135</v>
      </c>
      <c r="C139" t="s">
        <v>349</v>
      </c>
      <c r="D139" t="s">
        <v>496</v>
      </c>
      <c r="E139" t="s">
        <v>334</v>
      </c>
      <c r="F139" t="s">
        <v>615</v>
      </c>
      <c r="G139" t="s">
        <v>616</v>
      </c>
      <c r="H139" s="15">
        <v>1.88116002082825</v>
      </c>
      <c r="I139">
        <v>2020</v>
      </c>
      <c r="J139" s="15" t="s">
        <v>484</v>
      </c>
      <c r="K139" t="s">
        <v>484</v>
      </c>
      <c r="L139" s="15" t="s">
        <v>484</v>
      </c>
      <c r="M139" t="s">
        <v>484</v>
      </c>
      <c r="N139" s="15">
        <v>1.23795974</v>
      </c>
      <c r="O139">
        <v>2019</v>
      </c>
      <c r="P139" s="15">
        <v>1.2379597200000001</v>
      </c>
      <c r="Q139">
        <v>2019</v>
      </c>
      <c r="R139" s="15" t="s">
        <v>484</v>
      </c>
      <c r="S139" t="s">
        <v>484</v>
      </c>
      <c r="T139" s="15" t="s">
        <v>484</v>
      </c>
      <c r="U139" t="s">
        <v>484</v>
      </c>
      <c r="V139" s="15">
        <v>1.88116002082825</v>
      </c>
      <c r="W139">
        <v>2020</v>
      </c>
      <c r="X139" t="s">
        <v>719</v>
      </c>
      <c r="Y139" s="15">
        <v>1.2379597200000001</v>
      </c>
      <c r="Z139">
        <v>2019</v>
      </c>
      <c r="AA139" t="s">
        <v>720</v>
      </c>
    </row>
    <row r="140" spans="1:27">
      <c r="A140">
        <v>137</v>
      </c>
      <c r="B140" t="s">
        <v>221</v>
      </c>
      <c r="C140" t="s">
        <v>436</v>
      </c>
      <c r="D140" t="s">
        <v>496</v>
      </c>
      <c r="E140" t="s">
        <v>389</v>
      </c>
      <c r="F140" t="s">
        <v>619</v>
      </c>
      <c r="H140" s="15">
        <v>4.6081700325012198</v>
      </c>
      <c r="I140">
        <v>2020</v>
      </c>
      <c r="J140" s="15">
        <v>4.38468349813476</v>
      </c>
      <c r="K140">
        <v>2020</v>
      </c>
      <c r="L140" s="15" t="s">
        <v>484</v>
      </c>
      <c r="M140" t="s">
        <v>484</v>
      </c>
      <c r="N140" s="15">
        <v>2.9163491700000002</v>
      </c>
      <c r="O140">
        <v>2019</v>
      </c>
      <c r="P140" s="15">
        <v>2.9172781700000003</v>
      </c>
      <c r="Q140">
        <v>2019</v>
      </c>
      <c r="R140" s="15">
        <v>4.38468349813476</v>
      </c>
      <c r="S140">
        <v>2020</v>
      </c>
      <c r="T140" s="15" t="s">
        <v>484</v>
      </c>
      <c r="U140" t="s">
        <v>484</v>
      </c>
      <c r="V140" s="15">
        <v>4.6081700325012198</v>
      </c>
      <c r="W140">
        <v>2020</v>
      </c>
      <c r="X140" t="s">
        <v>719</v>
      </c>
      <c r="Y140" s="15">
        <v>2.9172781700000003</v>
      </c>
      <c r="Z140">
        <v>2019</v>
      </c>
      <c r="AA140" t="s">
        <v>720</v>
      </c>
    </row>
    <row r="141" spans="1:27">
      <c r="A141">
        <v>138</v>
      </c>
      <c r="B141" t="s">
        <v>104</v>
      </c>
      <c r="C141" t="s">
        <v>317</v>
      </c>
      <c r="D141" t="s">
        <v>496</v>
      </c>
      <c r="E141" t="s">
        <v>306</v>
      </c>
      <c r="F141" t="s">
        <v>615</v>
      </c>
      <c r="G141" t="s">
        <v>616</v>
      </c>
      <c r="H141" s="15">
        <v>2.9076199531555198</v>
      </c>
      <c r="I141">
        <v>2020</v>
      </c>
      <c r="J141" s="15" t="s">
        <v>484</v>
      </c>
      <c r="K141" t="s">
        <v>484</v>
      </c>
      <c r="L141" s="15" t="s">
        <v>484</v>
      </c>
      <c r="M141" t="s">
        <v>484</v>
      </c>
      <c r="N141" s="15">
        <v>2.4097156499999999</v>
      </c>
      <c r="O141">
        <v>2019</v>
      </c>
      <c r="P141" s="15">
        <v>2.5158966300000003</v>
      </c>
      <c r="Q141">
        <v>2019</v>
      </c>
      <c r="R141" s="15" t="s">
        <v>484</v>
      </c>
      <c r="S141" t="s">
        <v>484</v>
      </c>
      <c r="T141" s="15" t="s">
        <v>484</v>
      </c>
      <c r="U141" t="s">
        <v>484</v>
      </c>
      <c r="V141" s="15">
        <v>2.9076199531555198</v>
      </c>
      <c r="W141">
        <v>2020</v>
      </c>
      <c r="X141" t="s">
        <v>719</v>
      </c>
      <c r="Y141" s="15">
        <v>2.5158966300000003</v>
      </c>
      <c r="Z141">
        <v>2019</v>
      </c>
      <c r="AA141" t="s">
        <v>720</v>
      </c>
    </row>
    <row r="142" spans="1:27">
      <c r="A142">
        <v>139</v>
      </c>
      <c r="B142" t="s">
        <v>222</v>
      </c>
      <c r="C142" t="s">
        <v>437</v>
      </c>
      <c r="D142" t="s">
        <v>493</v>
      </c>
      <c r="E142" t="s">
        <v>389</v>
      </c>
      <c r="F142" t="s">
        <v>619</v>
      </c>
      <c r="H142" s="15">
        <v>3.91697001457214</v>
      </c>
      <c r="I142">
        <v>2020</v>
      </c>
      <c r="J142" s="15">
        <v>4.4645414019631398</v>
      </c>
      <c r="K142">
        <v>2020</v>
      </c>
      <c r="L142" s="15" t="s">
        <v>484</v>
      </c>
      <c r="M142" t="s">
        <v>484</v>
      </c>
      <c r="N142" s="15">
        <v>1.9965959799999999</v>
      </c>
      <c r="O142">
        <v>2019</v>
      </c>
      <c r="P142" s="15">
        <v>2.0020601099999999</v>
      </c>
      <c r="Q142">
        <v>2019</v>
      </c>
      <c r="R142" s="15">
        <v>4.4645414019631398</v>
      </c>
      <c r="S142">
        <v>2020</v>
      </c>
      <c r="T142" s="15" t="s">
        <v>484</v>
      </c>
      <c r="U142" t="s">
        <v>484</v>
      </c>
      <c r="V142" s="15">
        <v>3.91697001457214</v>
      </c>
      <c r="W142">
        <v>2020</v>
      </c>
      <c r="X142" t="s">
        <v>719</v>
      </c>
      <c r="Y142" s="15">
        <v>2.0020601099999999</v>
      </c>
      <c r="Z142">
        <v>2019</v>
      </c>
      <c r="AA142" t="s">
        <v>720</v>
      </c>
    </row>
    <row r="143" spans="1:27">
      <c r="A143">
        <v>140</v>
      </c>
      <c r="B143" t="s">
        <v>177</v>
      </c>
      <c r="C143" t="s">
        <v>392</v>
      </c>
      <c r="D143" t="s">
        <v>496</v>
      </c>
      <c r="E143" t="s">
        <v>389</v>
      </c>
      <c r="F143" t="s">
        <v>619</v>
      </c>
      <c r="H143" s="15">
        <v>9.6404914855956996</v>
      </c>
      <c r="I143">
        <v>2021</v>
      </c>
      <c r="J143" s="15">
        <v>9.7562354569263299</v>
      </c>
      <c r="K143">
        <v>2020</v>
      </c>
      <c r="L143" s="15">
        <v>9.6999999999999993</v>
      </c>
      <c r="M143">
        <v>2020</v>
      </c>
      <c r="N143" s="15">
        <v>3.98512077</v>
      </c>
      <c r="O143">
        <v>2019</v>
      </c>
      <c r="P143" s="15">
        <v>4.1512656100000003</v>
      </c>
      <c r="Q143">
        <v>2019</v>
      </c>
      <c r="R143" s="15">
        <v>9.7562354569263299</v>
      </c>
      <c r="S143">
        <v>2020</v>
      </c>
      <c r="T143" s="15">
        <v>5.53</v>
      </c>
      <c r="U143">
        <v>2020</v>
      </c>
      <c r="V143" s="15">
        <v>9.6404914855956996</v>
      </c>
      <c r="W143">
        <v>2021</v>
      </c>
      <c r="X143" t="s">
        <v>719</v>
      </c>
      <c r="Y143" s="15">
        <v>4.1512656100000003</v>
      </c>
      <c r="Z143">
        <v>2019</v>
      </c>
      <c r="AA143" t="s">
        <v>720</v>
      </c>
    </row>
    <row r="144" spans="1:27">
      <c r="A144">
        <v>141</v>
      </c>
      <c r="B144" t="s">
        <v>557</v>
      </c>
      <c r="C144" t="s">
        <v>558</v>
      </c>
      <c r="D144" t="s">
        <v>493</v>
      </c>
      <c r="E144" t="s">
        <v>622</v>
      </c>
      <c r="H144" s="15" t="s">
        <v>484</v>
      </c>
      <c r="I144" t="s">
        <v>484</v>
      </c>
      <c r="J144" s="15" t="s">
        <v>484</v>
      </c>
      <c r="K144" t="s">
        <v>484</v>
      </c>
      <c r="L144" s="15" t="s">
        <v>484</v>
      </c>
      <c r="M144" t="s">
        <v>484</v>
      </c>
      <c r="N144" s="15" t="s">
        <v>484</v>
      </c>
      <c r="O144" t="s">
        <v>484</v>
      </c>
      <c r="P144" s="15" t="s">
        <v>484</v>
      </c>
      <c r="Q144" t="s">
        <v>484</v>
      </c>
      <c r="R144" s="15" t="s">
        <v>484</v>
      </c>
      <c r="S144" t="s">
        <v>484</v>
      </c>
      <c r="T144" s="15" t="s">
        <v>484</v>
      </c>
      <c r="U144" t="s">
        <v>484</v>
      </c>
      <c r="V144" s="15" t="s">
        <v>484</v>
      </c>
      <c r="W144" t="s">
        <v>484</v>
      </c>
      <c r="X144" t="s">
        <v>484</v>
      </c>
      <c r="Y144" s="15" t="s">
        <v>484</v>
      </c>
      <c r="Z144" t="s">
        <v>484</v>
      </c>
      <c r="AA144" t="s">
        <v>484</v>
      </c>
    </row>
    <row r="145" spans="1:27">
      <c r="A145">
        <v>142</v>
      </c>
      <c r="B145" t="s">
        <v>101</v>
      </c>
      <c r="C145" t="s">
        <v>314</v>
      </c>
      <c r="D145" t="s">
        <v>496</v>
      </c>
      <c r="E145" t="s">
        <v>306</v>
      </c>
      <c r="F145" t="s">
        <v>615</v>
      </c>
      <c r="G145" t="s">
        <v>616</v>
      </c>
      <c r="H145" s="15">
        <v>3.8376126289367698</v>
      </c>
      <c r="I145">
        <v>2020</v>
      </c>
      <c r="J145" s="15" t="s">
        <v>484</v>
      </c>
      <c r="K145" t="s">
        <v>484</v>
      </c>
      <c r="L145" s="15" t="s">
        <v>484</v>
      </c>
      <c r="M145" t="s">
        <v>484</v>
      </c>
      <c r="N145" s="15">
        <v>2.0231537799999999</v>
      </c>
      <c r="O145">
        <v>2019</v>
      </c>
      <c r="P145" s="15">
        <v>2.7910485399999998</v>
      </c>
      <c r="Q145">
        <v>2019</v>
      </c>
      <c r="R145" s="15" t="s">
        <v>484</v>
      </c>
      <c r="S145" t="s">
        <v>484</v>
      </c>
      <c r="T145" s="15" t="s">
        <v>484</v>
      </c>
      <c r="U145" t="s">
        <v>484</v>
      </c>
      <c r="V145" s="15">
        <v>3.8376126289367698</v>
      </c>
      <c r="W145">
        <v>2020</v>
      </c>
      <c r="X145" t="s">
        <v>719</v>
      </c>
      <c r="Y145" s="15">
        <v>2.7910485399999998</v>
      </c>
      <c r="Z145">
        <v>2019</v>
      </c>
      <c r="AA145" t="s">
        <v>720</v>
      </c>
    </row>
    <row r="146" spans="1:27">
      <c r="A146">
        <v>143</v>
      </c>
      <c r="B146" t="s">
        <v>141</v>
      </c>
      <c r="C146" t="s">
        <v>355</v>
      </c>
      <c r="D146" t="s">
        <v>496</v>
      </c>
      <c r="E146" t="s">
        <v>334</v>
      </c>
      <c r="F146" t="s">
        <v>617</v>
      </c>
      <c r="H146" s="15" t="s">
        <v>484</v>
      </c>
      <c r="I146" t="s">
        <v>484</v>
      </c>
      <c r="J146" s="15" t="s">
        <v>484</v>
      </c>
      <c r="K146" t="s">
        <v>484</v>
      </c>
      <c r="L146" s="15" t="s">
        <v>484</v>
      </c>
      <c r="M146" t="s">
        <v>484</v>
      </c>
      <c r="N146" s="15">
        <v>0.48264918000000001</v>
      </c>
      <c r="O146">
        <v>2019</v>
      </c>
      <c r="P146" s="15">
        <v>0.57116209000000007</v>
      </c>
      <c r="Q146">
        <v>2019</v>
      </c>
      <c r="R146" s="15" t="s">
        <v>484</v>
      </c>
      <c r="S146" t="s">
        <v>484</v>
      </c>
      <c r="T146" s="15" t="s">
        <v>484</v>
      </c>
      <c r="U146" t="s">
        <v>484</v>
      </c>
      <c r="V146" s="15" t="s">
        <v>484</v>
      </c>
      <c r="W146" t="s">
        <v>484</v>
      </c>
      <c r="X146" t="s">
        <v>484</v>
      </c>
      <c r="Y146" s="15">
        <v>0.57116209000000007</v>
      </c>
      <c r="Z146">
        <v>2019</v>
      </c>
      <c r="AA146" t="s">
        <v>720</v>
      </c>
    </row>
    <row r="147" spans="1:27">
      <c r="A147">
        <v>144</v>
      </c>
      <c r="B147" t="s">
        <v>140</v>
      </c>
      <c r="C147" t="s">
        <v>354</v>
      </c>
      <c r="D147" t="s">
        <v>497</v>
      </c>
      <c r="E147" t="s">
        <v>334</v>
      </c>
      <c r="F147" t="s">
        <v>615</v>
      </c>
      <c r="G147" t="s">
        <v>616</v>
      </c>
      <c r="H147" s="15">
        <v>4.6300001144409197</v>
      </c>
      <c r="I147">
        <v>2020</v>
      </c>
      <c r="J147" s="15">
        <v>4.6021415684396398</v>
      </c>
      <c r="K147">
        <v>2020</v>
      </c>
      <c r="L147" s="15" t="s">
        <v>484</v>
      </c>
      <c r="M147" t="s">
        <v>484</v>
      </c>
      <c r="N147" s="15">
        <v>5.1194944400000004</v>
      </c>
      <c r="O147">
        <v>2019</v>
      </c>
      <c r="P147" s="15">
        <v>5.2472826299999991</v>
      </c>
      <c r="Q147">
        <v>2019</v>
      </c>
      <c r="R147" s="15">
        <v>4.6021415684396398</v>
      </c>
      <c r="S147">
        <v>2020</v>
      </c>
      <c r="T147" s="15" t="s">
        <v>484</v>
      </c>
      <c r="U147" t="s">
        <v>484</v>
      </c>
      <c r="V147" s="15">
        <v>4.6300001144409197</v>
      </c>
      <c r="W147">
        <v>2020</v>
      </c>
      <c r="X147" t="s">
        <v>719</v>
      </c>
      <c r="Y147" s="15">
        <v>5.2472826299999991</v>
      </c>
      <c r="Z147">
        <v>2019</v>
      </c>
      <c r="AA147" t="s">
        <v>720</v>
      </c>
    </row>
    <row r="148" spans="1:27">
      <c r="A148">
        <v>145</v>
      </c>
      <c r="B148" t="s">
        <v>66</v>
      </c>
      <c r="C148" t="s">
        <v>460</v>
      </c>
      <c r="D148" t="s">
        <v>485</v>
      </c>
      <c r="E148" t="s">
        <v>622</v>
      </c>
      <c r="G148" t="s">
        <v>623</v>
      </c>
      <c r="H148" s="15">
        <v>5.3576498031616202</v>
      </c>
      <c r="I148">
        <v>2018</v>
      </c>
      <c r="J148" s="15">
        <v>5.2951212043569802</v>
      </c>
      <c r="K148">
        <v>2020</v>
      </c>
      <c r="L148" s="15" t="s">
        <v>484</v>
      </c>
      <c r="M148" t="s">
        <v>484</v>
      </c>
      <c r="N148" s="15">
        <v>6.6755628600000003</v>
      </c>
      <c r="O148">
        <v>2019</v>
      </c>
      <c r="P148" s="15">
        <v>8.3718813599999997</v>
      </c>
      <c r="Q148">
        <v>2019</v>
      </c>
      <c r="R148" s="15">
        <v>5.2951212043569802</v>
      </c>
      <c r="S148">
        <v>2020</v>
      </c>
      <c r="T148" s="15" t="s">
        <v>484</v>
      </c>
      <c r="U148" t="s">
        <v>484</v>
      </c>
      <c r="V148" s="15">
        <v>5.2951212043569802</v>
      </c>
      <c r="W148">
        <v>2020</v>
      </c>
      <c r="X148" t="s">
        <v>721</v>
      </c>
      <c r="Y148" s="15">
        <v>8.3718813599999997</v>
      </c>
      <c r="Z148">
        <v>2019</v>
      </c>
      <c r="AA148" t="s">
        <v>720</v>
      </c>
    </row>
    <row r="149" spans="1:27">
      <c r="A149">
        <v>146</v>
      </c>
      <c r="B149" t="s">
        <v>51</v>
      </c>
      <c r="C149" t="s">
        <v>468</v>
      </c>
      <c r="D149" t="s">
        <v>485</v>
      </c>
      <c r="E149" t="s">
        <v>622</v>
      </c>
      <c r="H149" s="15">
        <v>7.6441102027893102</v>
      </c>
      <c r="I149">
        <v>2018</v>
      </c>
      <c r="J149" s="15">
        <v>5.90027684600624</v>
      </c>
      <c r="K149">
        <v>2020</v>
      </c>
      <c r="L149" s="15" t="s">
        <v>484</v>
      </c>
      <c r="M149" t="s">
        <v>484</v>
      </c>
      <c r="N149" s="15">
        <v>9.02942657</v>
      </c>
      <c r="O149">
        <v>2019</v>
      </c>
      <c r="P149" s="15">
        <v>9.0294264700000006</v>
      </c>
      <c r="Q149">
        <v>2019</v>
      </c>
      <c r="R149" s="15">
        <v>5.90027684600624</v>
      </c>
      <c r="S149">
        <v>2020</v>
      </c>
      <c r="T149" s="15" t="s">
        <v>484</v>
      </c>
      <c r="U149" t="s">
        <v>484</v>
      </c>
      <c r="V149" s="15">
        <v>5.90027684600624</v>
      </c>
      <c r="W149">
        <v>2020</v>
      </c>
      <c r="X149" t="s">
        <v>721</v>
      </c>
      <c r="Y149" s="15">
        <v>9.0294264700000006</v>
      </c>
      <c r="Z149">
        <v>2019</v>
      </c>
      <c r="AA149" t="s">
        <v>720</v>
      </c>
    </row>
    <row r="150" spans="1:27">
      <c r="A150">
        <v>147</v>
      </c>
      <c r="B150" t="s">
        <v>124</v>
      </c>
      <c r="C150" t="s">
        <v>338</v>
      </c>
      <c r="D150" t="s">
        <v>483</v>
      </c>
      <c r="E150" t="s">
        <v>334</v>
      </c>
      <c r="F150" t="s">
        <v>615</v>
      </c>
      <c r="H150" s="15">
        <v>4.3899998664856001</v>
      </c>
      <c r="I150">
        <v>2020</v>
      </c>
      <c r="J150" s="15">
        <v>3.15029826906571</v>
      </c>
      <c r="K150">
        <v>2020</v>
      </c>
      <c r="L150" s="15" t="s">
        <v>484</v>
      </c>
      <c r="M150" t="s">
        <v>484</v>
      </c>
      <c r="N150" s="15">
        <v>1.1028087099999999</v>
      </c>
      <c r="O150">
        <v>2019</v>
      </c>
      <c r="P150" s="15">
        <v>1.17799188</v>
      </c>
      <c r="Q150">
        <v>2019</v>
      </c>
      <c r="R150" s="15">
        <v>3.15029826906571</v>
      </c>
      <c r="S150">
        <v>2020</v>
      </c>
      <c r="T150" s="15" t="s">
        <v>484</v>
      </c>
      <c r="U150" t="s">
        <v>484</v>
      </c>
      <c r="V150" s="15">
        <v>4.3899998664856001</v>
      </c>
      <c r="W150">
        <v>2020</v>
      </c>
      <c r="X150" t="s">
        <v>719</v>
      </c>
      <c r="Y150" s="15">
        <v>1.17799188</v>
      </c>
      <c r="Z150">
        <v>2019</v>
      </c>
      <c r="AA150" t="s">
        <v>720</v>
      </c>
    </row>
    <row r="151" spans="1:27">
      <c r="A151">
        <v>148</v>
      </c>
      <c r="B151" t="s">
        <v>241</v>
      </c>
      <c r="C151" t="s">
        <v>545</v>
      </c>
      <c r="D151" t="s">
        <v>493</v>
      </c>
      <c r="E151" t="s">
        <v>622</v>
      </c>
      <c r="F151" t="s">
        <v>619</v>
      </c>
      <c r="H151" s="15">
        <v>5.1670460700988796</v>
      </c>
      <c r="I151">
        <v>2020</v>
      </c>
      <c r="J151" s="15">
        <v>8.7985292245944002</v>
      </c>
      <c r="K151">
        <v>2018</v>
      </c>
      <c r="L151" s="15" t="s">
        <v>484</v>
      </c>
      <c r="M151" t="s">
        <v>484</v>
      </c>
      <c r="N151" s="15">
        <v>8.4423065200000007</v>
      </c>
      <c r="O151">
        <v>2019</v>
      </c>
      <c r="P151" s="15">
        <v>8.7796976600000018</v>
      </c>
      <c r="Q151">
        <v>2019</v>
      </c>
      <c r="R151" s="15">
        <v>8.7985292245944002</v>
      </c>
      <c r="S151">
        <v>2018</v>
      </c>
      <c r="T151" s="15" t="s">
        <v>484</v>
      </c>
      <c r="U151" t="s">
        <v>484</v>
      </c>
      <c r="V151" s="15">
        <v>5.1670460700988796</v>
      </c>
      <c r="W151">
        <v>2020</v>
      </c>
      <c r="X151" t="s">
        <v>719</v>
      </c>
      <c r="Y151" s="15">
        <v>8.7796976600000018</v>
      </c>
      <c r="Z151">
        <v>2019</v>
      </c>
      <c r="AA151" t="s">
        <v>720</v>
      </c>
    </row>
    <row r="152" spans="1:27">
      <c r="A152">
        <v>149</v>
      </c>
      <c r="B152" t="s">
        <v>71</v>
      </c>
      <c r="C152" t="s">
        <v>453</v>
      </c>
      <c r="D152" t="s">
        <v>493</v>
      </c>
      <c r="E152" t="s">
        <v>622</v>
      </c>
      <c r="H152" s="15">
        <v>6.0485000610351598</v>
      </c>
      <c r="I152">
        <v>2018</v>
      </c>
      <c r="J152" s="15">
        <v>5.9759714812721603</v>
      </c>
      <c r="K152">
        <v>2020</v>
      </c>
      <c r="L152" s="15" t="s">
        <v>484</v>
      </c>
      <c r="M152" t="s">
        <v>484</v>
      </c>
      <c r="N152" s="15">
        <v>7.3605461099999996</v>
      </c>
      <c r="O152">
        <v>2019</v>
      </c>
      <c r="P152" s="15">
        <v>7.8232552900000005</v>
      </c>
      <c r="Q152">
        <v>2019</v>
      </c>
      <c r="R152" s="15">
        <v>5.9759714812721603</v>
      </c>
      <c r="S152">
        <v>2020</v>
      </c>
      <c r="T152" s="15" t="s">
        <v>484</v>
      </c>
      <c r="U152" t="s">
        <v>484</v>
      </c>
      <c r="V152" s="15">
        <v>5.9759714812721603</v>
      </c>
      <c r="W152">
        <v>2020</v>
      </c>
      <c r="X152" t="s">
        <v>721</v>
      </c>
      <c r="Y152" s="15">
        <v>7.8232552900000005</v>
      </c>
      <c r="Z152">
        <v>2019</v>
      </c>
      <c r="AA152" t="s">
        <v>720</v>
      </c>
    </row>
    <row r="153" spans="1:27">
      <c r="A153">
        <v>150</v>
      </c>
      <c r="B153" t="s">
        <v>233</v>
      </c>
      <c r="C153" t="s">
        <v>578</v>
      </c>
      <c r="D153" t="s">
        <v>487</v>
      </c>
      <c r="E153" t="s">
        <v>622</v>
      </c>
      <c r="H153" s="15">
        <v>5.4132099151611301</v>
      </c>
      <c r="I153">
        <v>2019</v>
      </c>
      <c r="J153" s="15" t="s">
        <v>484</v>
      </c>
      <c r="K153" t="s">
        <v>484</v>
      </c>
      <c r="L153" s="15" t="s">
        <v>484</v>
      </c>
      <c r="M153" t="s">
        <v>484</v>
      </c>
      <c r="N153" s="15">
        <v>3.5199325099999998</v>
      </c>
      <c r="O153">
        <v>2019</v>
      </c>
      <c r="P153" s="15">
        <v>3.5199327000000005</v>
      </c>
      <c r="Q153">
        <v>2019</v>
      </c>
      <c r="R153" s="15" t="s">
        <v>484</v>
      </c>
      <c r="S153" t="s">
        <v>484</v>
      </c>
      <c r="T153" s="15" t="s">
        <v>484</v>
      </c>
      <c r="U153" t="s">
        <v>484</v>
      </c>
      <c r="V153" s="15">
        <v>5.4132099151611301</v>
      </c>
      <c r="W153">
        <v>2019</v>
      </c>
      <c r="X153" t="s">
        <v>719</v>
      </c>
      <c r="Y153" s="15">
        <v>3.5199327000000005</v>
      </c>
      <c r="Z153">
        <v>2019</v>
      </c>
      <c r="AA153" t="s">
        <v>720</v>
      </c>
    </row>
    <row r="154" spans="1:27">
      <c r="A154">
        <v>151</v>
      </c>
      <c r="B154" t="s">
        <v>130</v>
      </c>
      <c r="C154" t="s">
        <v>344</v>
      </c>
      <c r="D154" t="s">
        <v>483</v>
      </c>
      <c r="E154" t="s">
        <v>334</v>
      </c>
      <c r="F154" t="s">
        <v>617</v>
      </c>
      <c r="H154" s="15">
        <v>2.5075500011444101</v>
      </c>
      <c r="I154">
        <v>2019</v>
      </c>
      <c r="J154" s="15" t="s">
        <v>484</v>
      </c>
      <c r="K154" t="s">
        <v>484</v>
      </c>
      <c r="L154" s="15" t="s">
        <v>484</v>
      </c>
      <c r="M154" t="s">
        <v>484</v>
      </c>
      <c r="N154" s="15">
        <v>1.08106327</v>
      </c>
      <c r="O154">
        <v>2019</v>
      </c>
      <c r="P154" s="15">
        <v>1.11974602</v>
      </c>
      <c r="Q154">
        <v>2019</v>
      </c>
      <c r="R154" s="15" t="s">
        <v>484</v>
      </c>
      <c r="S154" t="s">
        <v>484</v>
      </c>
      <c r="T154" s="15" t="s">
        <v>484</v>
      </c>
      <c r="U154" t="s">
        <v>484</v>
      </c>
      <c r="V154" s="15">
        <v>2.5075500011444101</v>
      </c>
      <c r="W154">
        <v>2019</v>
      </c>
      <c r="X154" t="s">
        <v>719</v>
      </c>
      <c r="Y154" s="15">
        <v>1.11974602</v>
      </c>
      <c r="Z154">
        <v>2019</v>
      </c>
      <c r="AA154" t="s">
        <v>720</v>
      </c>
    </row>
    <row r="155" spans="1:27">
      <c r="A155">
        <v>152</v>
      </c>
      <c r="B155" t="s">
        <v>228</v>
      </c>
      <c r="C155" t="s">
        <v>547</v>
      </c>
      <c r="D155" t="s">
        <v>497</v>
      </c>
      <c r="E155" t="s">
        <v>622</v>
      </c>
      <c r="F155" t="s">
        <v>619</v>
      </c>
      <c r="H155" s="15">
        <v>3.9060714244842498</v>
      </c>
      <c r="I155">
        <v>2020</v>
      </c>
      <c r="J155" s="15">
        <v>4.2379950871388603</v>
      </c>
      <c r="K155">
        <v>2020</v>
      </c>
      <c r="L155" s="15" t="s">
        <v>484</v>
      </c>
      <c r="M155" t="s">
        <v>484</v>
      </c>
      <c r="N155" s="15">
        <v>5.0140957799999999</v>
      </c>
      <c r="O155">
        <v>2019</v>
      </c>
      <c r="P155" s="15">
        <v>5.0143738399999993</v>
      </c>
      <c r="Q155">
        <v>2019</v>
      </c>
      <c r="R155" s="15">
        <v>4.2379950871388603</v>
      </c>
      <c r="S155">
        <v>2020</v>
      </c>
      <c r="T155" s="15" t="s">
        <v>484</v>
      </c>
      <c r="U155" t="s">
        <v>484</v>
      </c>
      <c r="V155" s="15">
        <v>3.9060714244842498</v>
      </c>
      <c r="W155">
        <v>2020</v>
      </c>
      <c r="X155" t="s">
        <v>719</v>
      </c>
      <c r="Y155" s="15">
        <v>5.0143738399999993</v>
      </c>
      <c r="Z155">
        <v>2019</v>
      </c>
      <c r="AA155" t="s">
        <v>720</v>
      </c>
    </row>
    <row r="156" spans="1:27">
      <c r="A156">
        <v>153</v>
      </c>
      <c r="B156" t="s">
        <v>196</v>
      </c>
      <c r="C156" t="s">
        <v>411</v>
      </c>
      <c r="D156" t="s">
        <v>497</v>
      </c>
      <c r="E156" t="s">
        <v>389</v>
      </c>
      <c r="F156" t="s">
        <v>619</v>
      </c>
      <c r="H156" s="15">
        <v>4.2466797828674299</v>
      </c>
      <c r="I156">
        <v>2020</v>
      </c>
      <c r="J156" s="15" t="s">
        <v>484</v>
      </c>
      <c r="K156" t="s">
        <v>484</v>
      </c>
      <c r="L156" s="15">
        <v>3.76</v>
      </c>
      <c r="M156">
        <v>2019</v>
      </c>
      <c r="N156" s="15">
        <v>3.2798132899999999</v>
      </c>
      <c r="O156">
        <v>2019</v>
      </c>
      <c r="P156" s="15">
        <v>3.2806442699999998</v>
      </c>
      <c r="Q156">
        <v>2019</v>
      </c>
      <c r="R156" s="15" t="s">
        <v>484</v>
      </c>
      <c r="S156" t="s">
        <v>484</v>
      </c>
      <c r="T156" s="15">
        <v>2.42</v>
      </c>
      <c r="U156">
        <v>2019</v>
      </c>
      <c r="V156" s="15">
        <v>4.2466797828674299</v>
      </c>
      <c r="W156">
        <v>2020</v>
      </c>
      <c r="X156" t="s">
        <v>719</v>
      </c>
      <c r="Y156" s="15">
        <v>3.2806442699999998</v>
      </c>
      <c r="Z156">
        <v>2019</v>
      </c>
      <c r="AA156" t="s">
        <v>720</v>
      </c>
    </row>
    <row r="157" spans="1:27">
      <c r="A157">
        <v>154</v>
      </c>
      <c r="B157" t="s">
        <v>163</v>
      </c>
      <c r="C157" t="s">
        <v>377</v>
      </c>
      <c r="D157" t="s">
        <v>493</v>
      </c>
      <c r="E157" t="s">
        <v>334</v>
      </c>
      <c r="F157" t="s">
        <v>619</v>
      </c>
      <c r="H157" s="15">
        <v>3.8800001144409202</v>
      </c>
      <c r="I157">
        <v>2020</v>
      </c>
      <c r="J157" s="15">
        <v>3.8794802477163199</v>
      </c>
      <c r="K157">
        <v>2020</v>
      </c>
      <c r="L157" s="15" t="s">
        <v>484</v>
      </c>
      <c r="M157" t="s">
        <v>484</v>
      </c>
      <c r="N157" s="15">
        <v>1.6550749499999999</v>
      </c>
      <c r="O157">
        <v>2019</v>
      </c>
      <c r="P157" s="15">
        <v>1.6950378499999998</v>
      </c>
      <c r="Q157">
        <v>2019</v>
      </c>
      <c r="R157" s="15">
        <v>3.8794802477163199</v>
      </c>
      <c r="S157">
        <v>2020</v>
      </c>
      <c r="T157" s="15" t="s">
        <v>484</v>
      </c>
      <c r="U157" t="s">
        <v>484</v>
      </c>
      <c r="V157" s="15">
        <v>3.8800001144409202</v>
      </c>
      <c r="W157">
        <v>2020</v>
      </c>
      <c r="X157" t="s">
        <v>719</v>
      </c>
      <c r="Y157" s="15">
        <v>1.6950378499999998</v>
      </c>
      <c r="Z157">
        <v>2019</v>
      </c>
      <c r="AA157" t="s">
        <v>720</v>
      </c>
    </row>
    <row r="158" spans="1:27">
      <c r="A158">
        <v>155</v>
      </c>
      <c r="B158" t="s">
        <v>230</v>
      </c>
      <c r="C158" t="s">
        <v>546</v>
      </c>
      <c r="D158" t="s">
        <v>493</v>
      </c>
      <c r="E158" t="s">
        <v>389</v>
      </c>
      <c r="F158" t="s">
        <v>619</v>
      </c>
      <c r="H158" s="15">
        <v>6.8099999427795401</v>
      </c>
      <c r="I158">
        <v>2019</v>
      </c>
      <c r="J158" s="15">
        <v>6.8095016345847501</v>
      </c>
      <c r="K158">
        <v>2019</v>
      </c>
      <c r="L158" s="15" t="s">
        <v>484</v>
      </c>
      <c r="M158" t="s">
        <v>484</v>
      </c>
      <c r="N158" s="15">
        <v>6.8160085700000002</v>
      </c>
      <c r="O158">
        <v>2019</v>
      </c>
      <c r="P158" s="15">
        <v>12.02059916</v>
      </c>
      <c r="Q158">
        <v>2019</v>
      </c>
      <c r="R158" s="15">
        <v>6.8095016345847501</v>
      </c>
      <c r="S158">
        <v>2019</v>
      </c>
      <c r="T158" s="15" t="s">
        <v>484</v>
      </c>
      <c r="U158" t="s">
        <v>484</v>
      </c>
      <c r="V158" s="15">
        <v>6.8099999427795401</v>
      </c>
      <c r="W158">
        <v>2019</v>
      </c>
      <c r="X158" t="s">
        <v>719</v>
      </c>
      <c r="Y158" s="15">
        <v>12.02059916</v>
      </c>
      <c r="Z158">
        <v>2019</v>
      </c>
      <c r="AA158" t="s">
        <v>720</v>
      </c>
    </row>
    <row r="159" spans="1:27">
      <c r="A159">
        <v>156</v>
      </c>
      <c r="B159" t="s">
        <v>150</v>
      </c>
      <c r="C159" t="s">
        <v>364</v>
      </c>
      <c r="D159" t="s">
        <v>493</v>
      </c>
      <c r="E159" t="s">
        <v>334</v>
      </c>
      <c r="F159" t="s">
        <v>617</v>
      </c>
      <c r="H159" s="15">
        <v>1.8748300075530999</v>
      </c>
      <c r="I159">
        <v>2018</v>
      </c>
      <c r="J159" s="15">
        <v>1.3452810812851499</v>
      </c>
      <c r="K159">
        <v>2020</v>
      </c>
      <c r="L159" s="15" t="s">
        <v>484</v>
      </c>
      <c r="M159" t="s">
        <v>484</v>
      </c>
      <c r="N159" s="15">
        <v>1.32699835</v>
      </c>
      <c r="O159">
        <v>2019</v>
      </c>
      <c r="P159" s="15">
        <v>1.7892447500000004</v>
      </c>
      <c r="Q159">
        <v>2019</v>
      </c>
      <c r="R159" s="15">
        <v>1.3452810812851499</v>
      </c>
      <c r="S159">
        <v>2020</v>
      </c>
      <c r="T159" s="15" t="s">
        <v>484</v>
      </c>
      <c r="U159" t="s">
        <v>484</v>
      </c>
      <c r="V159" s="15">
        <v>1.3452810812851499</v>
      </c>
      <c r="W159">
        <v>2020</v>
      </c>
      <c r="X159" t="s">
        <v>721</v>
      </c>
      <c r="Y159" s="15">
        <v>1.7892447500000004</v>
      </c>
      <c r="Z159">
        <v>2019</v>
      </c>
      <c r="AA159" t="s">
        <v>720</v>
      </c>
    </row>
    <row r="160" spans="1:27">
      <c r="A160">
        <v>157</v>
      </c>
      <c r="B160" t="s">
        <v>75</v>
      </c>
      <c r="C160" t="s">
        <v>441</v>
      </c>
      <c r="D160" t="s">
        <v>485</v>
      </c>
      <c r="E160" t="s">
        <v>622</v>
      </c>
      <c r="F160" t="s">
        <v>619</v>
      </c>
      <c r="H160" s="15">
        <v>4.6157999038696298</v>
      </c>
      <c r="I160">
        <v>2018</v>
      </c>
      <c r="J160" s="15">
        <v>5.1921323109534603</v>
      </c>
      <c r="K160">
        <v>2020</v>
      </c>
      <c r="L160" s="15" t="s">
        <v>484</v>
      </c>
      <c r="M160" t="s">
        <v>484</v>
      </c>
      <c r="N160" s="15">
        <v>4.6020655599999998</v>
      </c>
      <c r="O160">
        <v>2019</v>
      </c>
      <c r="P160" s="15">
        <v>4.6273319500000003</v>
      </c>
      <c r="Q160">
        <v>2019</v>
      </c>
      <c r="R160" s="15">
        <v>5.1921323109534603</v>
      </c>
      <c r="S160">
        <v>2020</v>
      </c>
      <c r="T160" s="15" t="s">
        <v>484</v>
      </c>
      <c r="U160" t="s">
        <v>484</v>
      </c>
      <c r="V160" s="15">
        <v>5.1921323109534603</v>
      </c>
      <c r="W160">
        <v>2020</v>
      </c>
      <c r="X160" t="s">
        <v>721</v>
      </c>
      <c r="Y160" s="15">
        <v>4.6273319500000003</v>
      </c>
      <c r="Z160">
        <v>2019</v>
      </c>
      <c r="AA160" t="s">
        <v>720</v>
      </c>
    </row>
    <row r="161" spans="1:27">
      <c r="A161">
        <v>158</v>
      </c>
      <c r="B161" t="s">
        <v>243</v>
      </c>
      <c r="C161" t="s">
        <v>579</v>
      </c>
      <c r="D161" t="s">
        <v>497</v>
      </c>
      <c r="E161" t="s">
        <v>622</v>
      </c>
      <c r="H161" s="15">
        <v>6.0726599693298304</v>
      </c>
      <c r="I161">
        <v>2014</v>
      </c>
      <c r="J161" s="15" t="s">
        <v>484</v>
      </c>
      <c r="K161" t="s">
        <v>484</v>
      </c>
      <c r="L161" s="15" t="s">
        <v>484</v>
      </c>
      <c r="M161" t="s">
        <v>484</v>
      </c>
      <c r="N161" s="15" t="s">
        <v>484</v>
      </c>
      <c r="O161" t="s">
        <v>484</v>
      </c>
      <c r="P161" s="15" t="s">
        <v>484</v>
      </c>
      <c r="Q161" t="s">
        <v>484</v>
      </c>
      <c r="R161" s="15" t="s">
        <v>484</v>
      </c>
      <c r="S161" t="s">
        <v>484</v>
      </c>
      <c r="T161" s="15" t="s">
        <v>484</v>
      </c>
      <c r="U161" t="s">
        <v>484</v>
      </c>
      <c r="V161" s="15">
        <v>6.0726599693298304</v>
      </c>
      <c r="W161">
        <v>2014</v>
      </c>
      <c r="X161" t="s">
        <v>719</v>
      </c>
      <c r="Y161" s="15" t="s">
        <v>484</v>
      </c>
      <c r="Z161" t="s">
        <v>484</v>
      </c>
      <c r="AA161" t="s">
        <v>484</v>
      </c>
    </row>
    <row r="162" spans="1:27">
      <c r="A162">
        <v>159</v>
      </c>
      <c r="B162" t="s">
        <v>543</v>
      </c>
      <c r="C162" t="s">
        <v>544</v>
      </c>
      <c r="D162" t="s">
        <v>493</v>
      </c>
      <c r="E162" t="s">
        <v>306</v>
      </c>
      <c r="H162" s="15" t="s">
        <v>484</v>
      </c>
      <c r="I162" t="s">
        <v>484</v>
      </c>
      <c r="J162" s="15" t="s">
        <v>484</v>
      </c>
      <c r="K162" t="s">
        <v>484</v>
      </c>
      <c r="L162" s="15" t="s">
        <v>484</v>
      </c>
      <c r="M162" t="s">
        <v>484</v>
      </c>
      <c r="N162" s="15" t="s">
        <v>484</v>
      </c>
      <c r="O162" t="s">
        <v>484</v>
      </c>
      <c r="P162" s="15" t="s">
        <v>484</v>
      </c>
      <c r="Q162" t="s">
        <v>484</v>
      </c>
      <c r="R162" s="15" t="s">
        <v>484</v>
      </c>
      <c r="S162" t="s">
        <v>484</v>
      </c>
      <c r="T162" s="15" t="s">
        <v>484</v>
      </c>
      <c r="U162" t="s">
        <v>484</v>
      </c>
      <c r="V162" s="15" t="s">
        <v>484</v>
      </c>
      <c r="W162" t="s">
        <v>484</v>
      </c>
      <c r="X162" t="s">
        <v>484</v>
      </c>
      <c r="Y162" s="15" t="s">
        <v>484</v>
      </c>
      <c r="Z162" t="s">
        <v>484</v>
      </c>
      <c r="AA162" t="s">
        <v>484</v>
      </c>
    </row>
    <row r="163" spans="1:27">
      <c r="A163">
        <v>160</v>
      </c>
      <c r="B163" t="s">
        <v>62</v>
      </c>
      <c r="C163" t="s">
        <v>445</v>
      </c>
      <c r="D163" t="s">
        <v>485</v>
      </c>
      <c r="E163" t="s">
        <v>622</v>
      </c>
      <c r="G163" t="s">
        <v>623</v>
      </c>
      <c r="H163" s="15">
        <v>4.6751599311828604</v>
      </c>
      <c r="I163">
        <v>2018</v>
      </c>
      <c r="J163" s="15">
        <v>5.0056550230998802</v>
      </c>
      <c r="K163">
        <v>2020</v>
      </c>
      <c r="L163" s="15" t="s">
        <v>484</v>
      </c>
      <c r="M163" t="s">
        <v>484</v>
      </c>
      <c r="N163" s="15">
        <v>5.80534792</v>
      </c>
      <c r="O163">
        <v>2019</v>
      </c>
      <c r="P163" s="15">
        <v>5.811933419999999</v>
      </c>
      <c r="Q163">
        <v>2019</v>
      </c>
      <c r="R163" s="15">
        <v>5.0056550230998802</v>
      </c>
      <c r="S163">
        <v>2020</v>
      </c>
      <c r="T163" s="15" t="s">
        <v>484</v>
      </c>
      <c r="U163" t="s">
        <v>484</v>
      </c>
      <c r="V163" s="15">
        <v>5.0056550230998802</v>
      </c>
      <c r="W163">
        <v>2020</v>
      </c>
      <c r="X163" t="s">
        <v>721</v>
      </c>
      <c r="Y163" s="15">
        <v>5.811933419999999</v>
      </c>
      <c r="Z163">
        <v>2019</v>
      </c>
      <c r="AA163" t="s">
        <v>720</v>
      </c>
    </row>
    <row r="164" spans="1:27">
      <c r="A164">
        <v>161</v>
      </c>
      <c r="B164" t="s">
        <v>188</v>
      </c>
      <c r="C164" t="s">
        <v>403</v>
      </c>
      <c r="D164" t="s">
        <v>497</v>
      </c>
      <c r="E164" t="s">
        <v>389</v>
      </c>
      <c r="F164" t="s">
        <v>619</v>
      </c>
      <c r="H164" s="15">
        <v>3.30362153053284</v>
      </c>
      <c r="I164">
        <v>2020</v>
      </c>
      <c r="J164" s="15" t="s">
        <v>484</v>
      </c>
      <c r="K164" t="s">
        <v>484</v>
      </c>
      <c r="L164" s="15" t="s">
        <v>484</v>
      </c>
      <c r="M164" t="s">
        <v>484</v>
      </c>
      <c r="N164" s="15">
        <v>3.2994334699999999</v>
      </c>
      <c r="O164">
        <v>2019</v>
      </c>
      <c r="P164" s="15">
        <v>3.3001700399999998</v>
      </c>
      <c r="Q164">
        <v>2019</v>
      </c>
      <c r="R164" s="15" t="s">
        <v>484</v>
      </c>
      <c r="S164" t="s">
        <v>484</v>
      </c>
      <c r="T164" s="15" t="s">
        <v>484</v>
      </c>
      <c r="U164" t="s">
        <v>484</v>
      </c>
      <c r="V164" s="15">
        <v>3.30362153053284</v>
      </c>
      <c r="W164">
        <v>2020</v>
      </c>
      <c r="X164" t="s">
        <v>719</v>
      </c>
      <c r="Y164" s="15">
        <v>3.3001700399999998</v>
      </c>
      <c r="Z164">
        <v>2019</v>
      </c>
      <c r="AA164" t="s">
        <v>720</v>
      </c>
    </row>
    <row r="165" spans="1:27">
      <c r="A165">
        <v>162</v>
      </c>
      <c r="B165" t="s">
        <v>173</v>
      </c>
      <c r="C165" t="s">
        <v>387</v>
      </c>
      <c r="D165" t="s">
        <v>487</v>
      </c>
      <c r="E165" t="s">
        <v>334</v>
      </c>
      <c r="H165" s="15">
        <v>5.31887006759644</v>
      </c>
      <c r="I165">
        <v>2018</v>
      </c>
      <c r="J165" s="15">
        <v>1.5192796947262099</v>
      </c>
      <c r="K165">
        <v>2018</v>
      </c>
      <c r="L165" s="15" t="s">
        <v>484</v>
      </c>
      <c r="M165" t="s">
        <v>484</v>
      </c>
      <c r="N165" s="15" t="s">
        <v>484</v>
      </c>
      <c r="O165" t="s">
        <v>484</v>
      </c>
      <c r="P165" s="15" t="s">
        <v>484</v>
      </c>
      <c r="Q165" t="s">
        <v>484</v>
      </c>
      <c r="R165" s="15">
        <v>1.5192796947262099</v>
      </c>
      <c r="S165">
        <v>2018</v>
      </c>
      <c r="T165" s="15" t="s">
        <v>484</v>
      </c>
      <c r="U165" t="s">
        <v>484</v>
      </c>
      <c r="V165" s="15">
        <v>5.31887006759644</v>
      </c>
      <c r="W165">
        <v>2018</v>
      </c>
      <c r="X165" t="s">
        <v>719</v>
      </c>
      <c r="Y165" s="15">
        <v>1.5192796947262099</v>
      </c>
      <c r="Z165">
        <v>2018</v>
      </c>
      <c r="AA165" t="s">
        <v>721</v>
      </c>
    </row>
    <row r="166" spans="1:27">
      <c r="A166">
        <v>163</v>
      </c>
      <c r="B166" t="s">
        <v>525</v>
      </c>
      <c r="C166" t="s">
        <v>526</v>
      </c>
      <c r="D166" t="s">
        <v>493</v>
      </c>
      <c r="E166" t="s">
        <v>622</v>
      </c>
      <c r="H166" s="15" t="s">
        <v>484</v>
      </c>
      <c r="I166" t="s">
        <v>484</v>
      </c>
      <c r="J166" s="15" t="s">
        <v>484</v>
      </c>
      <c r="K166" t="s">
        <v>484</v>
      </c>
      <c r="L166" s="15" t="s">
        <v>484</v>
      </c>
      <c r="M166" t="s">
        <v>484</v>
      </c>
      <c r="N166" s="15" t="s">
        <v>484</v>
      </c>
      <c r="O166" t="s">
        <v>484</v>
      </c>
      <c r="P166" s="15" t="s">
        <v>484</v>
      </c>
      <c r="Q166" t="s">
        <v>484</v>
      </c>
      <c r="R166" s="15" t="s">
        <v>484</v>
      </c>
      <c r="S166" t="s">
        <v>484</v>
      </c>
      <c r="T166" s="15" t="s">
        <v>484</v>
      </c>
      <c r="U166" t="s">
        <v>484</v>
      </c>
      <c r="V166" s="15" t="s">
        <v>484</v>
      </c>
      <c r="W166" t="s">
        <v>484</v>
      </c>
      <c r="X166" t="s">
        <v>484</v>
      </c>
      <c r="Y166" s="15" t="s">
        <v>484</v>
      </c>
      <c r="Z166" t="s">
        <v>484</v>
      </c>
      <c r="AA166" t="s">
        <v>484</v>
      </c>
    </row>
    <row r="167" spans="1:27">
      <c r="A167">
        <v>164</v>
      </c>
      <c r="B167" t="s">
        <v>260</v>
      </c>
      <c r="C167" t="s">
        <v>580</v>
      </c>
      <c r="D167" t="s">
        <v>487</v>
      </c>
      <c r="E167" t="s">
        <v>622</v>
      </c>
      <c r="H167" s="15">
        <v>3.2336699962615998</v>
      </c>
      <c r="I167">
        <v>2020</v>
      </c>
      <c r="J167" s="15" t="s">
        <v>484</v>
      </c>
      <c r="K167" t="s">
        <v>484</v>
      </c>
      <c r="L167" s="15" t="s">
        <v>484</v>
      </c>
      <c r="M167" t="s">
        <v>484</v>
      </c>
      <c r="N167" s="15">
        <v>2.1178445799999999</v>
      </c>
      <c r="O167">
        <v>2019</v>
      </c>
      <c r="P167" s="15">
        <v>2.1178444199999999</v>
      </c>
      <c r="Q167">
        <v>2019</v>
      </c>
      <c r="R167" s="15" t="s">
        <v>484</v>
      </c>
      <c r="S167" t="s">
        <v>484</v>
      </c>
      <c r="T167" s="15" t="s">
        <v>484</v>
      </c>
      <c r="U167" t="s">
        <v>484</v>
      </c>
      <c r="V167" s="15">
        <v>3.2336699962615998</v>
      </c>
      <c r="W167">
        <v>2020</v>
      </c>
      <c r="X167" t="s">
        <v>719</v>
      </c>
      <c r="Y167" s="15">
        <v>2.1178444199999999</v>
      </c>
      <c r="Z167">
        <v>2019</v>
      </c>
      <c r="AA167" t="s">
        <v>720</v>
      </c>
    </row>
    <row r="168" spans="1:27">
      <c r="A168">
        <v>165</v>
      </c>
      <c r="B168" t="s">
        <v>229</v>
      </c>
      <c r="C168" t="s">
        <v>549</v>
      </c>
      <c r="D168" t="s">
        <v>485</v>
      </c>
      <c r="E168" t="s">
        <v>622</v>
      </c>
      <c r="F168" t="s">
        <v>619</v>
      </c>
      <c r="H168" s="15">
        <v>3.3447499275207502</v>
      </c>
      <c r="I168">
        <v>2018</v>
      </c>
      <c r="J168" s="15">
        <v>3.6948931210001801</v>
      </c>
      <c r="K168">
        <v>2020</v>
      </c>
      <c r="L168" s="15" t="s">
        <v>484</v>
      </c>
      <c r="M168" t="s">
        <v>484</v>
      </c>
      <c r="N168" s="15">
        <v>4.6036143300000001</v>
      </c>
      <c r="O168">
        <v>2019</v>
      </c>
      <c r="P168" s="15">
        <v>4.621175420000001</v>
      </c>
      <c r="Q168">
        <v>2019</v>
      </c>
      <c r="R168" s="15">
        <v>3.6948931210001801</v>
      </c>
      <c r="S168">
        <v>2020</v>
      </c>
      <c r="T168" s="15" t="s">
        <v>484</v>
      </c>
      <c r="U168" t="s">
        <v>484</v>
      </c>
      <c r="V168" s="15">
        <v>3.6948931210001801</v>
      </c>
      <c r="W168">
        <v>2020</v>
      </c>
      <c r="X168" t="s">
        <v>721</v>
      </c>
      <c r="Y168" s="15">
        <v>4.621175420000001</v>
      </c>
      <c r="Z168">
        <v>2019</v>
      </c>
      <c r="AA168" t="s">
        <v>720</v>
      </c>
    </row>
    <row r="169" spans="1:27">
      <c r="A169">
        <v>166</v>
      </c>
      <c r="B169" t="s">
        <v>223</v>
      </c>
      <c r="C169" t="s">
        <v>438</v>
      </c>
      <c r="D169" t="s">
        <v>485</v>
      </c>
      <c r="E169" t="s">
        <v>389</v>
      </c>
      <c r="F169" t="s">
        <v>619</v>
      </c>
      <c r="H169" s="15">
        <v>4.6781997680664098</v>
      </c>
      <c r="I169">
        <v>2018</v>
      </c>
      <c r="J169" s="15">
        <v>3.72867814938287</v>
      </c>
      <c r="K169">
        <v>2020</v>
      </c>
      <c r="L169" s="15" t="s">
        <v>484</v>
      </c>
      <c r="M169" t="s">
        <v>484</v>
      </c>
      <c r="N169" s="15">
        <v>3.45416021</v>
      </c>
      <c r="O169">
        <v>2019</v>
      </c>
      <c r="P169" s="15">
        <v>3.4541604399999999</v>
      </c>
      <c r="Q169">
        <v>2019</v>
      </c>
      <c r="R169" s="15">
        <v>3.72867814938287</v>
      </c>
      <c r="S169">
        <v>2020</v>
      </c>
      <c r="T169" s="15" t="s">
        <v>484</v>
      </c>
      <c r="U169" t="s">
        <v>484</v>
      </c>
      <c r="V169" s="15">
        <v>3.72867814938287</v>
      </c>
      <c r="W169">
        <v>2020</v>
      </c>
      <c r="X169" t="s">
        <v>721</v>
      </c>
      <c r="Y169" s="15">
        <v>3.4541604399999999</v>
      </c>
      <c r="Z169">
        <v>2019</v>
      </c>
      <c r="AA169" t="s">
        <v>720</v>
      </c>
    </row>
    <row r="170" spans="1:27">
      <c r="A170">
        <v>167</v>
      </c>
      <c r="B170" t="s">
        <v>111</v>
      </c>
      <c r="C170" t="s">
        <v>324</v>
      </c>
      <c r="D170" t="s">
        <v>496</v>
      </c>
      <c r="E170" t="s">
        <v>306</v>
      </c>
      <c r="F170" t="s">
        <v>615</v>
      </c>
      <c r="G170" t="s">
        <v>616</v>
      </c>
      <c r="H170" s="15">
        <v>3.82156157493591</v>
      </c>
      <c r="I170">
        <v>2021</v>
      </c>
      <c r="J170" s="15" t="s">
        <v>484</v>
      </c>
      <c r="K170" t="s">
        <v>484</v>
      </c>
      <c r="L170" s="15" t="s">
        <v>484</v>
      </c>
      <c r="M170" t="s">
        <v>484</v>
      </c>
      <c r="N170" s="15">
        <v>2.56083989</v>
      </c>
      <c r="O170">
        <v>2019</v>
      </c>
      <c r="P170" s="15">
        <v>4.2964621599999999</v>
      </c>
      <c r="Q170">
        <v>2019</v>
      </c>
      <c r="R170" s="15" t="s">
        <v>484</v>
      </c>
      <c r="S170" t="s">
        <v>484</v>
      </c>
      <c r="T170" s="15" t="s">
        <v>484</v>
      </c>
      <c r="U170" t="s">
        <v>484</v>
      </c>
      <c r="V170" s="15">
        <v>3.82156157493591</v>
      </c>
      <c r="W170">
        <v>2021</v>
      </c>
      <c r="X170" t="s">
        <v>719</v>
      </c>
      <c r="Y170" s="15">
        <v>4.2964621599999999</v>
      </c>
      <c r="Z170">
        <v>2019</v>
      </c>
      <c r="AA170" t="s">
        <v>720</v>
      </c>
    </row>
    <row r="171" spans="1:27">
      <c r="A171">
        <v>168</v>
      </c>
      <c r="B171" t="s">
        <v>245</v>
      </c>
      <c r="C171" t="s">
        <v>582</v>
      </c>
      <c r="D171" t="s">
        <v>487</v>
      </c>
      <c r="E171" t="s">
        <v>622</v>
      </c>
      <c r="H171" s="15">
        <v>7.8093137741088903</v>
      </c>
      <c r="I171">
        <v>2020</v>
      </c>
      <c r="J171" s="15" t="s">
        <v>484</v>
      </c>
      <c r="K171" t="s">
        <v>484</v>
      </c>
      <c r="L171" s="15" t="s">
        <v>484</v>
      </c>
      <c r="M171" t="s">
        <v>484</v>
      </c>
      <c r="N171" s="15">
        <v>3.9348487900000002</v>
      </c>
      <c r="O171">
        <v>2019</v>
      </c>
      <c r="P171" s="15">
        <v>4.64926263</v>
      </c>
      <c r="Q171">
        <v>2019</v>
      </c>
      <c r="R171" s="15" t="s">
        <v>484</v>
      </c>
      <c r="S171" t="s">
        <v>484</v>
      </c>
      <c r="T171" s="15" t="s">
        <v>484</v>
      </c>
      <c r="U171" t="s">
        <v>484</v>
      </c>
      <c r="V171" s="15">
        <v>7.8093137741088903</v>
      </c>
      <c r="W171">
        <v>2020</v>
      </c>
      <c r="X171" t="s">
        <v>719</v>
      </c>
      <c r="Y171" s="15">
        <v>4.64926263</v>
      </c>
      <c r="Z171">
        <v>2019</v>
      </c>
      <c r="AA171" t="s">
        <v>720</v>
      </c>
    </row>
    <row r="172" spans="1:27">
      <c r="A172">
        <v>169</v>
      </c>
      <c r="B172" t="s">
        <v>106</v>
      </c>
      <c r="C172" t="s">
        <v>319</v>
      </c>
      <c r="D172" t="s">
        <v>496</v>
      </c>
      <c r="E172" t="s">
        <v>306</v>
      </c>
      <c r="F172" t="s">
        <v>615</v>
      </c>
      <c r="G172" t="s">
        <v>616</v>
      </c>
      <c r="H172" s="15" t="s">
        <v>484</v>
      </c>
      <c r="I172" t="s">
        <v>484</v>
      </c>
      <c r="J172" s="15" t="s">
        <v>484</v>
      </c>
      <c r="K172" t="s">
        <v>484</v>
      </c>
      <c r="L172" s="15" t="s">
        <v>484</v>
      </c>
      <c r="M172" t="s">
        <v>484</v>
      </c>
      <c r="N172" s="15">
        <v>1.0376266199999999</v>
      </c>
      <c r="O172">
        <v>2019</v>
      </c>
      <c r="P172" s="15">
        <v>1.15174478</v>
      </c>
      <c r="Q172">
        <v>2019</v>
      </c>
      <c r="R172" s="15" t="s">
        <v>484</v>
      </c>
      <c r="S172" t="s">
        <v>484</v>
      </c>
      <c r="T172" s="15" t="s">
        <v>484</v>
      </c>
      <c r="U172" t="s">
        <v>484</v>
      </c>
      <c r="V172" s="15" t="s">
        <v>484</v>
      </c>
      <c r="W172" t="s">
        <v>484</v>
      </c>
      <c r="X172" t="s">
        <v>484</v>
      </c>
      <c r="Y172" s="15">
        <v>1.15174478</v>
      </c>
      <c r="Z172">
        <v>2019</v>
      </c>
      <c r="AA172" t="s">
        <v>720</v>
      </c>
    </row>
    <row r="173" spans="1:27">
      <c r="A173">
        <v>170</v>
      </c>
      <c r="B173" t="s">
        <v>131</v>
      </c>
      <c r="C173" t="s">
        <v>345</v>
      </c>
      <c r="D173" t="s">
        <v>496</v>
      </c>
      <c r="E173" t="s">
        <v>334</v>
      </c>
      <c r="F173" t="s">
        <v>615</v>
      </c>
      <c r="G173" t="s">
        <v>616</v>
      </c>
      <c r="H173" s="15">
        <v>5.4978580474853498</v>
      </c>
      <c r="I173">
        <v>2020</v>
      </c>
      <c r="J173" s="15" t="s">
        <v>484</v>
      </c>
      <c r="K173" t="s">
        <v>484</v>
      </c>
      <c r="L173" s="15" t="s">
        <v>484</v>
      </c>
      <c r="M173" t="s">
        <v>484</v>
      </c>
      <c r="N173" s="15">
        <v>1.03445733</v>
      </c>
      <c r="O173">
        <v>2019</v>
      </c>
      <c r="P173" s="15">
        <v>1.20360226</v>
      </c>
      <c r="Q173">
        <v>2019</v>
      </c>
      <c r="R173" s="15" t="s">
        <v>484</v>
      </c>
      <c r="S173" t="s">
        <v>484</v>
      </c>
      <c r="T173" s="15" t="s">
        <v>484</v>
      </c>
      <c r="U173" t="s">
        <v>484</v>
      </c>
      <c r="V173" s="15">
        <v>5.4978580474853498</v>
      </c>
      <c r="W173">
        <v>2020</v>
      </c>
      <c r="X173" t="s">
        <v>719</v>
      </c>
      <c r="Y173" s="15">
        <v>1.20360226</v>
      </c>
      <c r="Z173">
        <v>2019</v>
      </c>
      <c r="AA173" t="s">
        <v>720</v>
      </c>
    </row>
    <row r="174" spans="1:27">
      <c r="A174">
        <v>171</v>
      </c>
      <c r="B174" t="s">
        <v>262</v>
      </c>
      <c r="C174" t="s">
        <v>554</v>
      </c>
      <c r="D174" t="s">
        <v>493</v>
      </c>
      <c r="E174" t="s">
        <v>622</v>
      </c>
      <c r="H174" s="15">
        <v>2.5066599845886199</v>
      </c>
      <c r="I174">
        <v>2020</v>
      </c>
      <c r="J174" s="15">
        <v>3.1625336288083101</v>
      </c>
      <c r="K174">
        <v>2020</v>
      </c>
      <c r="L174" s="15" t="s">
        <v>484</v>
      </c>
      <c r="M174" t="s">
        <v>484</v>
      </c>
      <c r="N174" s="15">
        <v>2.0490090799999998</v>
      </c>
      <c r="O174">
        <v>2019</v>
      </c>
      <c r="P174" s="15">
        <v>2.5040319200000001</v>
      </c>
      <c r="Q174">
        <v>2019</v>
      </c>
      <c r="R174" s="15">
        <v>3.1625336288083101</v>
      </c>
      <c r="S174">
        <v>2020</v>
      </c>
      <c r="T174" s="15" t="s">
        <v>484</v>
      </c>
      <c r="U174" t="s">
        <v>484</v>
      </c>
      <c r="V174" s="15">
        <v>2.5066599845886199</v>
      </c>
      <c r="W174">
        <v>2020</v>
      </c>
      <c r="X174" t="s">
        <v>719</v>
      </c>
      <c r="Y174" s="15">
        <v>2.5040319200000001</v>
      </c>
      <c r="Z174">
        <v>2019</v>
      </c>
      <c r="AA174" t="s">
        <v>720</v>
      </c>
    </row>
    <row r="175" spans="1:27">
      <c r="A175">
        <v>172</v>
      </c>
      <c r="B175" t="s">
        <v>144</v>
      </c>
      <c r="C175" t="s">
        <v>358</v>
      </c>
      <c r="D175" t="s">
        <v>493</v>
      </c>
      <c r="E175" t="s">
        <v>334</v>
      </c>
      <c r="F175" t="s">
        <v>615</v>
      </c>
      <c r="H175" s="15">
        <v>12.75</v>
      </c>
      <c r="I175">
        <v>2020</v>
      </c>
      <c r="J175" s="15">
        <v>12.752178909450601</v>
      </c>
      <c r="K175">
        <v>2020</v>
      </c>
      <c r="L175" s="15" t="s">
        <v>484</v>
      </c>
      <c r="M175" t="s">
        <v>484</v>
      </c>
      <c r="N175" s="15">
        <v>3.5677223200000001</v>
      </c>
      <c r="O175">
        <v>2019</v>
      </c>
      <c r="P175" s="15">
        <v>4.3378108700000002</v>
      </c>
      <c r="Q175">
        <v>2019</v>
      </c>
      <c r="R175" s="15">
        <v>12.752178909450601</v>
      </c>
      <c r="S175">
        <v>2020</v>
      </c>
      <c r="T175" s="15" t="s">
        <v>484</v>
      </c>
      <c r="U175" t="s">
        <v>484</v>
      </c>
      <c r="V175" s="15">
        <v>12.75</v>
      </c>
      <c r="W175">
        <v>2020</v>
      </c>
      <c r="X175" t="s">
        <v>719</v>
      </c>
      <c r="Y175" s="15">
        <v>4.3378108700000002</v>
      </c>
      <c r="Z175">
        <v>2019</v>
      </c>
      <c r="AA175" t="s">
        <v>720</v>
      </c>
    </row>
    <row r="176" spans="1:27">
      <c r="A176">
        <v>173</v>
      </c>
      <c r="B176" t="s">
        <v>98</v>
      </c>
      <c r="C176" t="s">
        <v>311</v>
      </c>
      <c r="D176" t="s">
        <v>496</v>
      </c>
      <c r="E176" t="s">
        <v>306</v>
      </c>
      <c r="F176" t="s">
        <v>615</v>
      </c>
      <c r="G176" t="s">
        <v>616</v>
      </c>
      <c r="H176" s="15">
        <v>8.8095502853393608</v>
      </c>
      <c r="I176">
        <v>2020</v>
      </c>
      <c r="J176" s="15" t="s">
        <v>484</v>
      </c>
      <c r="K176" t="s">
        <v>484</v>
      </c>
      <c r="L176" s="15" t="s">
        <v>484</v>
      </c>
      <c r="M176" t="s">
        <v>484</v>
      </c>
      <c r="N176" s="15">
        <v>1.22532105</v>
      </c>
      <c r="O176">
        <v>2019</v>
      </c>
      <c r="P176" s="15">
        <v>2.88884148</v>
      </c>
      <c r="Q176">
        <v>2019</v>
      </c>
      <c r="R176" s="15" t="s">
        <v>484</v>
      </c>
      <c r="S176" t="s">
        <v>484</v>
      </c>
      <c r="T176" s="15" t="s">
        <v>484</v>
      </c>
      <c r="U176" t="s">
        <v>484</v>
      </c>
      <c r="V176" s="15">
        <v>8.8095502853393608</v>
      </c>
      <c r="W176">
        <v>2020</v>
      </c>
      <c r="X176" t="s">
        <v>719</v>
      </c>
      <c r="Y176" s="15">
        <v>2.88884148</v>
      </c>
      <c r="Z176">
        <v>2019</v>
      </c>
      <c r="AA176" t="s">
        <v>720</v>
      </c>
    </row>
    <row r="177" spans="1:27">
      <c r="A177">
        <v>174</v>
      </c>
      <c r="B177" t="s">
        <v>172</v>
      </c>
      <c r="C177" t="s">
        <v>386</v>
      </c>
      <c r="D177" t="s">
        <v>497</v>
      </c>
      <c r="E177" t="s">
        <v>334</v>
      </c>
      <c r="F177" t="s">
        <v>619</v>
      </c>
      <c r="H177" s="15">
        <v>3.38515996932983</v>
      </c>
      <c r="I177">
        <v>2019</v>
      </c>
      <c r="J177" s="15">
        <v>4.2181574367499604</v>
      </c>
      <c r="K177">
        <v>2020</v>
      </c>
      <c r="L177" s="15" t="s">
        <v>484</v>
      </c>
      <c r="M177" t="s">
        <v>484</v>
      </c>
      <c r="N177" s="15">
        <v>4.5488581699999999</v>
      </c>
      <c r="O177">
        <v>2019</v>
      </c>
      <c r="P177" s="15">
        <v>4.8264195899999986</v>
      </c>
      <c r="Q177">
        <v>2019</v>
      </c>
      <c r="R177" s="15">
        <v>4.2181574367499604</v>
      </c>
      <c r="S177">
        <v>2020</v>
      </c>
      <c r="T177" s="15" t="s">
        <v>484</v>
      </c>
      <c r="U177" t="s">
        <v>484</v>
      </c>
      <c r="V177" s="15">
        <v>4.2181574367499604</v>
      </c>
      <c r="W177">
        <v>2020</v>
      </c>
      <c r="X177" t="s">
        <v>721</v>
      </c>
      <c r="Y177" s="15">
        <v>4.8264195899999986</v>
      </c>
      <c r="Z177">
        <v>2019</v>
      </c>
      <c r="AA177" t="s">
        <v>720</v>
      </c>
    </row>
    <row r="178" spans="1:27">
      <c r="A178">
        <v>175</v>
      </c>
      <c r="B178" t="s">
        <v>265</v>
      </c>
      <c r="C178" t="s">
        <v>551</v>
      </c>
      <c r="D178" t="s">
        <v>485</v>
      </c>
      <c r="E178" t="s">
        <v>622</v>
      </c>
      <c r="H178" s="15">
        <v>3.37969994544983</v>
      </c>
      <c r="I178">
        <v>2019</v>
      </c>
      <c r="J178" s="15">
        <v>3.05722514073938</v>
      </c>
      <c r="K178">
        <v>2020</v>
      </c>
      <c r="L178" s="15" t="s">
        <v>484</v>
      </c>
      <c r="M178" t="s">
        <v>484</v>
      </c>
      <c r="N178" s="15">
        <v>5.2539835000000004</v>
      </c>
      <c r="O178">
        <v>2019</v>
      </c>
      <c r="P178" s="15">
        <v>5.2539836600000003</v>
      </c>
      <c r="Q178">
        <v>2019</v>
      </c>
      <c r="R178" s="15">
        <v>3.05722514073938</v>
      </c>
      <c r="S178">
        <v>2020</v>
      </c>
      <c r="T178" s="15" t="s">
        <v>484</v>
      </c>
      <c r="U178" t="s">
        <v>484</v>
      </c>
      <c r="V178" s="15">
        <v>3.05722514073938</v>
      </c>
      <c r="W178">
        <v>2020</v>
      </c>
      <c r="X178" t="s">
        <v>721</v>
      </c>
      <c r="Y178" s="15">
        <v>5.2539836600000003</v>
      </c>
      <c r="Z178">
        <v>2019</v>
      </c>
      <c r="AA178" t="s">
        <v>720</v>
      </c>
    </row>
    <row r="179" spans="1:27">
      <c r="A179">
        <v>176</v>
      </c>
      <c r="B179" t="s">
        <v>94</v>
      </c>
      <c r="C179" t="s">
        <v>307</v>
      </c>
      <c r="D179" t="s">
        <v>496</v>
      </c>
      <c r="E179" t="s">
        <v>306</v>
      </c>
      <c r="F179" t="s">
        <v>615</v>
      </c>
      <c r="G179" t="s">
        <v>616</v>
      </c>
      <c r="H179" s="15" t="s">
        <v>484</v>
      </c>
      <c r="I179" t="s">
        <v>484</v>
      </c>
      <c r="J179" s="15">
        <v>0.27066173538112698</v>
      </c>
      <c r="K179">
        <v>2019</v>
      </c>
      <c r="L179" s="15">
        <v>0.21</v>
      </c>
      <c r="M179">
        <v>2019</v>
      </c>
      <c r="N179" s="15" t="s">
        <v>484</v>
      </c>
      <c r="O179" t="s">
        <v>484</v>
      </c>
      <c r="P179" s="15" t="s">
        <v>484</v>
      </c>
      <c r="Q179" t="s">
        <v>484</v>
      </c>
      <c r="R179" s="15">
        <v>0.27066173538112698</v>
      </c>
      <c r="S179">
        <v>2019</v>
      </c>
      <c r="T179" s="15">
        <v>0.04</v>
      </c>
      <c r="U179">
        <v>2019</v>
      </c>
      <c r="V179" s="15">
        <v>0.27066173538112698</v>
      </c>
      <c r="W179">
        <v>2019</v>
      </c>
      <c r="X179" t="s">
        <v>721</v>
      </c>
      <c r="Y179" s="15">
        <v>0.27066173538112698</v>
      </c>
      <c r="Z179">
        <v>2019</v>
      </c>
      <c r="AA179" t="s">
        <v>721</v>
      </c>
    </row>
    <row r="180" spans="1:27">
      <c r="A180">
        <v>177</v>
      </c>
      <c r="B180" t="s">
        <v>210</v>
      </c>
      <c r="C180" t="s">
        <v>425</v>
      </c>
      <c r="D180" t="s">
        <v>485</v>
      </c>
      <c r="E180" t="s">
        <v>389</v>
      </c>
      <c r="F180" t="s">
        <v>619</v>
      </c>
      <c r="H180" s="15">
        <v>3.6164700984954798</v>
      </c>
      <c r="I180">
        <v>2019</v>
      </c>
      <c r="J180" s="15" t="s">
        <v>484</v>
      </c>
      <c r="K180" t="s">
        <v>484</v>
      </c>
      <c r="L180" s="15" t="s">
        <v>484</v>
      </c>
      <c r="M180" t="s">
        <v>484</v>
      </c>
      <c r="N180" s="15">
        <v>5.0602803200000004</v>
      </c>
      <c r="O180">
        <v>2019</v>
      </c>
      <c r="P180" s="15">
        <v>5.3191735299999987</v>
      </c>
      <c r="Q180">
        <v>2019</v>
      </c>
      <c r="R180" s="15" t="s">
        <v>484</v>
      </c>
      <c r="S180" t="s">
        <v>484</v>
      </c>
      <c r="T180" s="15" t="s">
        <v>484</v>
      </c>
      <c r="U180" t="s">
        <v>484</v>
      </c>
      <c r="V180" s="15">
        <v>3.6164700984954798</v>
      </c>
      <c r="W180">
        <v>2019</v>
      </c>
      <c r="X180" t="s">
        <v>719</v>
      </c>
      <c r="Y180" s="15">
        <v>5.3191735299999987</v>
      </c>
      <c r="Z180">
        <v>2019</v>
      </c>
      <c r="AA180" t="s">
        <v>720</v>
      </c>
    </row>
    <row r="181" spans="1:27">
      <c r="A181">
        <v>178</v>
      </c>
      <c r="B181" t="s">
        <v>119</v>
      </c>
      <c r="C181" t="s">
        <v>332</v>
      </c>
      <c r="D181" t="s">
        <v>496</v>
      </c>
      <c r="E181" t="s">
        <v>306</v>
      </c>
      <c r="F181" t="s">
        <v>615</v>
      </c>
      <c r="H181" s="15">
        <v>1.54390001296997</v>
      </c>
      <c r="I181">
        <v>2016</v>
      </c>
      <c r="J181" s="15" t="s">
        <v>484</v>
      </c>
      <c r="K181" t="s">
        <v>484</v>
      </c>
      <c r="L181" s="15" t="s">
        <v>484</v>
      </c>
      <c r="M181" t="s">
        <v>484</v>
      </c>
      <c r="N181" s="15">
        <v>0.98501508999999998</v>
      </c>
      <c r="O181">
        <v>2019</v>
      </c>
      <c r="P181" s="15">
        <v>0.98557813000000005</v>
      </c>
      <c r="Q181">
        <v>2019</v>
      </c>
      <c r="R181" s="15" t="s">
        <v>484</v>
      </c>
      <c r="S181" t="s">
        <v>484</v>
      </c>
      <c r="T181" s="15" t="s">
        <v>484</v>
      </c>
      <c r="U181" t="s">
        <v>484</v>
      </c>
      <c r="V181" s="15">
        <v>1.54390001296997</v>
      </c>
      <c r="W181">
        <v>2016</v>
      </c>
      <c r="X181" t="s">
        <v>719</v>
      </c>
      <c r="Y181" s="15">
        <v>0.98557813000000005</v>
      </c>
      <c r="Z181">
        <v>2019</v>
      </c>
      <c r="AA181" t="s">
        <v>720</v>
      </c>
    </row>
    <row r="182" spans="1:27">
      <c r="A182">
        <v>179</v>
      </c>
      <c r="B182" t="s">
        <v>143</v>
      </c>
      <c r="C182" t="s">
        <v>357</v>
      </c>
      <c r="D182" t="s">
        <v>496</v>
      </c>
      <c r="E182" t="s">
        <v>334</v>
      </c>
      <c r="F182" t="s">
        <v>615</v>
      </c>
      <c r="G182" t="s">
        <v>616</v>
      </c>
      <c r="H182" s="15">
        <v>5.0113840103149396</v>
      </c>
      <c r="I182">
        <v>2020</v>
      </c>
      <c r="J182" s="15" t="s">
        <v>484</v>
      </c>
      <c r="K182" t="s">
        <v>484</v>
      </c>
      <c r="L182" s="15" t="s">
        <v>484</v>
      </c>
      <c r="M182" t="s">
        <v>484</v>
      </c>
      <c r="N182" s="15">
        <v>2.6154480000000002</v>
      </c>
      <c r="O182">
        <v>2019</v>
      </c>
      <c r="P182" s="15">
        <v>3.1979139000000005</v>
      </c>
      <c r="Q182">
        <v>2019</v>
      </c>
      <c r="R182" s="15" t="s">
        <v>484</v>
      </c>
      <c r="S182" t="s">
        <v>484</v>
      </c>
      <c r="T182" s="15" t="s">
        <v>484</v>
      </c>
      <c r="U182" t="s">
        <v>484</v>
      </c>
      <c r="V182" s="15">
        <v>5.0113840103149396</v>
      </c>
      <c r="W182">
        <v>2020</v>
      </c>
      <c r="X182" t="s">
        <v>719</v>
      </c>
      <c r="Y182" s="15">
        <v>3.1979139000000005</v>
      </c>
      <c r="Z182">
        <v>2019</v>
      </c>
      <c r="AA182" t="s">
        <v>720</v>
      </c>
    </row>
    <row r="183" spans="1:27">
      <c r="A183">
        <v>180</v>
      </c>
      <c r="B183" t="s">
        <v>175</v>
      </c>
      <c r="C183" t="s">
        <v>390</v>
      </c>
      <c r="D183" t="s">
        <v>497</v>
      </c>
      <c r="E183" t="s">
        <v>389</v>
      </c>
      <c r="F183" t="s">
        <v>619</v>
      </c>
      <c r="H183" s="15">
        <v>5.0070724487304696</v>
      </c>
      <c r="I183">
        <v>2020</v>
      </c>
      <c r="J183" s="15" t="s">
        <v>484</v>
      </c>
      <c r="K183" t="s">
        <v>484</v>
      </c>
      <c r="L183" s="15" t="s">
        <v>484</v>
      </c>
      <c r="M183" t="s">
        <v>484</v>
      </c>
      <c r="N183" s="15">
        <v>7.0121841399999996</v>
      </c>
      <c r="O183">
        <v>2019</v>
      </c>
      <c r="P183" s="15">
        <v>7.74191275</v>
      </c>
      <c r="Q183">
        <v>2019</v>
      </c>
      <c r="R183" s="15" t="s">
        <v>484</v>
      </c>
      <c r="S183" t="s">
        <v>484</v>
      </c>
      <c r="T183" s="15" t="s">
        <v>484</v>
      </c>
      <c r="U183" t="s">
        <v>484</v>
      </c>
      <c r="V183" s="15">
        <v>5.0070724487304696</v>
      </c>
      <c r="W183">
        <v>2020</v>
      </c>
      <c r="X183" t="s">
        <v>719</v>
      </c>
      <c r="Y183" s="15">
        <v>7.74191275</v>
      </c>
      <c r="Z183">
        <v>2019</v>
      </c>
      <c r="AA183" t="s">
        <v>720</v>
      </c>
    </row>
    <row r="184" spans="1:27">
      <c r="A184">
        <v>181</v>
      </c>
      <c r="B184" t="s">
        <v>76</v>
      </c>
      <c r="C184" t="s">
        <v>444</v>
      </c>
      <c r="D184" t="s">
        <v>485</v>
      </c>
      <c r="E184" t="s">
        <v>622</v>
      </c>
      <c r="G184" t="s">
        <v>623</v>
      </c>
      <c r="H184" s="15">
        <v>3.9725699424743701</v>
      </c>
      <c r="I184">
        <v>2018</v>
      </c>
      <c r="J184" s="15">
        <v>4.6133717945637303</v>
      </c>
      <c r="K184">
        <v>2020</v>
      </c>
      <c r="L184" s="15" t="s">
        <v>484</v>
      </c>
      <c r="M184" t="s">
        <v>484</v>
      </c>
      <c r="N184" s="15">
        <v>5.4845209099999996</v>
      </c>
      <c r="O184">
        <v>2019</v>
      </c>
      <c r="P184" s="15">
        <v>5.5525399500000008</v>
      </c>
      <c r="Q184">
        <v>2019</v>
      </c>
      <c r="R184" s="15">
        <v>4.6133717945637303</v>
      </c>
      <c r="S184">
        <v>2020</v>
      </c>
      <c r="T184" s="15" t="s">
        <v>484</v>
      </c>
      <c r="U184" t="s">
        <v>484</v>
      </c>
      <c r="V184" s="15">
        <v>4.6133717945637303</v>
      </c>
      <c r="W184">
        <v>2020</v>
      </c>
      <c r="X184" t="s">
        <v>721</v>
      </c>
      <c r="Y184" s="15">
        <v>5.5525399500000008</v>
      </c>
      <c r="Z184">
        <v>2019</v>
      </c>
      <c r="AA184" t="s">
        <v>720</v>
      </c>
    </row>
    <row r="185" spans="1:27">
      <c r="A185">
        <v>182</v>
      </c>
      <c r="B185" t="s">
        <v>60</v>
      </c>
      <c r="C185" t="s">
        <v>447</v>
      </c>
      <c r="D185" t="s">
        <v>485</v>
      </c>
      <c r="E185" t="s">
        <v>622</v>
      </c>
      <c r="G185" t="s">
        <v>623</v>
      </c>
      <c r="H185" s="15">
        <v>4.9358701705932599</v>
      </c>
      <c r="I185">
        <v>2018</v>
      </c>
      <c r="J185" s="15">
        <v>5.7584168123108403</v>
      </c>
      <c r="K185">
        <v>2020</v>
      </c>
      <c r="L185" s="15" t="s">
        <v>484</v>
      </c>
      <c r="M185" t="s">
        <v>484</v>
      </c>
      <c r="N185" s="15">
        <v>6.1687526699999999</v>
      </c>
      <c r="O185">
        <v>2019</v>
      </c>
      <c r="P185" s="15">
        <v>6.2040683899999989</v>
      </c>
      <c r="Q185">
        <v>2019</v>
      </c>
      <c r="R185" s="15">
        <v>5.7584168123108403</v>
      </c>
      <c r="S185">
        <v>2020</v>
      </c>
      <c r="T185" s="15" t="s">
        <v>484</v>
      </c>
      <c r="U185" t="s">
        <v>484</v>
      </c>
      <c r="V185" s="15">
        <v>5.7584168123108403</v>
      </c>
      <c r="W185">
        <v>2020</v>
      </c>
      <c r="X185" t="s">
        <v>721</v>
      </c>
      <c r="Y185" s="15">
        <v>6.2040683899999989</v>
      </c>
      <c r="Z185">
        <v>2019</v>
      </c>
      <c r="AA185" t="s">
        <v>720</v>
      </c>
    </row>
    <row r="186" spans="1:27">
      <c r="A186">
        <v>183</v>
      </c>
      <c r="B186" t="s">
        <v>52</v>
      </c>
      <c r="C186" t="s">
        <v>462</v>
      </c>
      <c r="D186" t="s">
        <v>485</v>
      </c>
      <c r="E186" t="s">
        <v>622</v>
      </c>
      <c r="H186" s="15">
        <v>7.6408400535583496</v>
      </c>
      <c r="I186">
        <v>2018</v>
      </c>
      <c r="J186" s="15">
        <v>7.1724255287042098</v>
      </c>
      <c r="K186">
        <v>2020</v>
      </c>
      <c r="L186" s="15" t="s">
        <v>484</v>
      </c>
      <c r="M186" t="s">
        <v>484</v>
      </c>
      <c r="N186" s="15">
        <v>9.2248344400000004</v>
      </c>
      <c r="O186">
        <v>2019</v>
      </c>
      <c r="P186" s="15">
        <v>9.2248345900000004</v>
      </c>
      <c r="Q186">
        <v>2019</v>
      </c>
      <c r="R186" s="15">
        <v>7.1724255287042098</v>
      </c>
      <c r="S186">
        <v>2020</v>
      </c>
      <c r="T186" s="15" t="s">
        <v>484</v>
      </c>
      <c r="U186" t="s">
        <v>484</v>
      </c>
      <c r="V186" s="15">
        <v>7.1724255287042098</v>
      </c>
      <c r="W186">
        <v>2020</v>
      </c>
      <c r="X186" t="s">
        <v>721</v>
      </c>
      <c r="Y186" s="15">
        <v>9.2248345900000004</v>
      </c>
      <c r="Z186">
        <v>2019</v>
      </c>
      <c r="AA186" t="s">
        <v>720</v>
      </c>
    </row>
    <row r="187" spans="1:27">
      <c r="A187">
        <v>184</v>
      </c>
      <c r="B187" t="s">
        <v>165</v>
      </c>
      <c r="C187" t="s">
        <v>379</v>
      </c>
      <c r="D187" t="s">
        <v>496</v>
      </c>
      <c r="E187" t="s">
        <v>334</v>
      </c>
      <c r="F187" t="s">
        <v>619</v>
      </c>
      <c r="H187" s="15">
        <v>4.9952979087829599</v>
      </c>
      <c r="I187">
        <v>2021</v>
      </c>
      <c r="J187" s="15" t="s">
        <v>484</v>
      </c>
      <c r="K187" t="s">
        <v>484</v>
      </c>
      <c r="L187" s="15">
        <v>6.05</v>
      </c>
      <c r="M187">
        <v>2020</v>
      </c>
      <c r="N187" s="15">
        <v>3.4401140200000002</v>
      </c>
      <c r="O187">
        <v>2019</v>
      </c>
      <c r="P187" s="15">
        <v>4.4197889200000002</v>
      </c>
      <c r="Q187">
        <v>2019</v>
      </c>
      <c r="R187" s="15" t="s">
        <v>484</v>
      </c>
      <c r="S187" t="s">
        <v>484</v>
      </c>
      <c r="T187" s="15">
        <v>5.09</v>
      </c>
      <c r="U187">
        <v>2020</v>
      </c>
      <c r="V187" s="15">
        <v>4.9952979087829599</v>
      </c>
      <c r="W187">
        <v>2021</v>
      </c>
      <c r="X187" t="s">
        <v>719</v>
      </c>
      <c r="Y187" s="15">
        <v>4.4197889200000002</v>
      </c>
      <c r="Z187">
        <v>2019</v>
      </c>
      <c r="AA187" t="s">
        <v>720</v>
      </c>
    </row>
    <row r="188" spans="1:27">
      <c r="A188">
        <v>185</v>
      </c>
      <c r="B188" t="s">
        <v>250</v>
      </c>
      <c r="C188" t="s">
        <v>570</v>
      </c>
      <c r="D188" t="s">
        <v>497</v>
      </c>
      <c r="E188" t="s">
        <v>622</v>
      </c>
      <c r="H188" s="15" t="s">
        <v>484</v>
      </c>
      <c r="I188" t="s">
        <v>484</v>
      </c>
      <c r="J188" s="15" t="s">
        <v>484</v>
      </c>
      <c r="K188" t="s">
        <v>484</v>
      </c>
      <c r="L188" s="15" t="s">
        <v>484</v>
      </c>
      <c r="M188" t="s">
        <v>484</v>
      </c>
      <c r="N188" s="15" t="s">
        <v>484</v>
      </c>
      <c r="O188" t="s">
        <v>484</v>
      </c>
      <c r="P188" s="15" t="s">
        <v>484</v>
      </c>
      <c r="Q188" t="s">
        <v>484</v>
      </c>
      <c r="R188" s="15" t="s">
        <v>484</v>
      </c>
      <c r="S188" t="s">
        <v>484</v>
      </c>
      <c r="T188" s="15" t="s">
        <v>484</v>
      </c>
      <c r="U188" t="s">
        <v>484</v>
      </c>
      <c r="V188" s="15" t="s">
        <v>484</v>
      </c>
      <c r="W188" t="s">
        <v>484</v>
      </c>
      <c r="X188" t="s">
        <v>484</v>
      </c>
      <c r="Y188" s="15" t="s">
        <v>484</v>
      </c>
      <c r="Z188" t="s">
        <v>484</v>
      </c>
      <c r="AA188" t="s">
        <v>484</v>
      </c>
    </row>
    <row r="189" spans="1:27">
      <c r="A189">
        <v>186</v>
      </c>
      <c r="B189" t="s">
        <v>227</v>
      </c>
      <c r="C189" t="s">
        <v>552</v>
      </c>
      <c r="D189" t="s">
        <v>496</v>
      </c>
      <c r="E189" t="s">
        <v>622</v>
      </c>
      <c r="F189" t="s">
        <v>619</v>
      </c>
      <c r="H189" s="15">
        <v>5.1507253646850604</v>
      </c>
      <c r="I189">
        <v>2020</v>
      </c>
      <c r="J189" s="15">
        <v>4.5988204850190897</v>
      </c>
      <c r="K189">
        <v>2018</v>
      </c>
      <c r="L189" s="15" t="s">
        <v>484</v>
      </c>
      <c r="M189" t="s">
        <v>484</v>
      </c>
      <c r="N189" s="15">
        <v>3.7750895</v>
      </c>
      <c r="O189">
        <v>2019</v>
      </c>
      <c r="P189" s="15">
        <v>3.7750896599999999</v>
      </c>
      <c r="Q189">
        <v>2019</v>
      </c>
      <c r="R189" s="15">
        <v>4.5988204850190897</v>
      </c>
      <c r="S189">
        <v>2018</v>
      </c>
      <c r="T189" s="15" t="s">
        <v>484</v>
      </c>
      <c r="U189" t="s">
        <v>484</v>
      </c>
      <c r="V189" s="15">
        <v>5.1507253646850604</v>
      </c>
      <c r="W189">
        <v>2020</v>
      </c>
      <c r="X189" t="s">
        <v>719</v>
      </c>
      <c r="Y189" s="15">
        <v>3.7750896599999999</v>
      </c>
      <c r="Z189">
        <v>2019</v>
      </c>
      <c r="AA189" t="s">
        <v>720</v>
      </c>
    </row>
    <row r="190" spans="1:27">
      <c r="A190">
        <v>187</v>
      </c>
      <c r="B190" t="s">
        <v>114</v>
      </c>
      <c r="C190" t="s">
        <v>327</v>
      </c>
      <c r="D190" t="s">
        <v>487</v>
      </c>
      <c r="E190" t="s">
        <v>306</v>
      </c>
      <c r="F190" t="s">
        <v>615</v>
      </c>
      <c r="H190" s="15">
        <v>5.1301398277282697</v>
      </c>
      <c r="I190">
        <v>2009</v>
      </c>
      <c r="J190" s="15" t="s">
        <v>484</v>
      </c>
      <c r="K190" t="s">
        <v>484</v>
      </c>
      <c r="L190" s="15" t="s">
        <v>484</v>
      </c>
      <c r="M190" t="s">
        <v>484</v>
      </c>
      <c r="N190" s="15" t="s">
        <v>484</v>
      </c>
      <c r="O190" t="s">
        <v>484</v>
      </c>
      <c r="P190" s="15" t="s">
        <v>484</v>
      </c>
      <c r="Q190" t="s">
        <v>484</v>
      </c>
      <c r="R190" s="15" t="s">
        <v>484</v>
      </c>
      <c r="S190" t="s">
        <v>484</v>
      </c>
      <c r="T190" s="15" t="s">
        <v>484</v>
      </c>
      <c r="U190" t="s">
        <v>484</v>
      </c>
      <c r="V190" s="15">
        <v>5.1301398277282697</v>
      </c>
      <c r="W190">
        <v>2009</v>
      </c>
      <c r="X190" t="s">
        <v>719</v>
      </c>
      <c r="Y190" s="15" t="s">
        <v>484</v>
      </c>
      <c r="Z190" t="s">
        <v>484</v>
      </c>
      <c r="AA190" t="s">
        <v>484</v>
      </c>
    </row>
    <row r="191" spans="1:27">
      <c r="A191">
        <v>188</v>
      </c>
      <c r="B191" t="s">
        <v>247</v>
      </c>
      <c r="C191" t="s">
        <v>586</v>
      </c>
      <c r="D191" t="s">
        <v>497</v>
      </c>
      <c r="E191" t="s">
        <v>622</v>
      </c>
      <c r="H191" s="15">
        <v>4.4942998886108398</v>
      </c>
      <c r="I191">
        <v>2021</v>
      </c>
      <c r="J191" s="15" t="s">
        <v>484</v>
      </c>
      <c r="K191" t="s">
        <v>484</v>
      </c>
      <c r="L191" s="15" t="s">
        <v>484</v>
      </c>
      <c r="M191" t="s">
        <v>484</v>
      </c>
      <c r="N191" s="15" t="s">
        <v>484</v>
      </c>
      <c r="O191" t="s">
        <v>484</v>
      </c>
      <c r="P191" s="15" t="s">
        <v>484</v>
      </c>
      <c r="Q191" t="s">
        <v>484</v>
      </c>
      <c r="R191" s="15" t="s">
        <v>484</v>
      </c>
      <c r="S191" t="s">
        <v>484</v>
      </c>
      <c r="T191" s="15" t="s">
        <v>484</v>
      </c>
      <c r="U191" t="s">
        <v>484</v>
      </c>
      <c r="V191" s="15">
        <v>4.4942998886108398</v>
      </c>
      <c r="W191">
        <v>2021</v>
      </c>
      <c r="X191" t="s">
        <v>719</v>
      </c>
      <c r="Y191" s="15" t="s">
        <v>484</v>
      </c>
      <c r="Z191" t="s">
        <v>484</v>
      </c>
      <c r="AA191" t="s">
        <v>484</v>
      </c>
    </row>
    <row r="192" spans="1:27">
      <c r="A192">
        <v>189</v>
      </c>
      <c r="B192" t="s">
        <v>105</v>
      </c>
      <c r="C192" t="s">
        <v>318</v>
      </c>
      <c r="D192" t="s">
        <v>496</v>
      </c>
      <c r="E192" t="s">
        <v>306</v>
      </c>
      <c r="F192" t="s">
        <v>615</v>
      </c>
      <c r="G192" t="s">
        <v>616</v>
      </c>
      <c r="H192" s="15">
        <v>2.9085104465484601</v>
      </c>
      <c r="I192">
        <v>2020</v>
      </c>
      <c r="J192" s="15" t="s">
        <v>484</v>
      </c>
      <c r="K192" t="s">
        <v>484</v>
      </c>
      <c r="L192" s="15" t="s">
        <v>484</v>
      </c>
      <c r="M192" t="s">
        <v>484</v>
      </c>
      <c r="N192" s="15">
        <v>0.75380652999999997</v>
      </c>
      <c r="O192">
        <v>2019</v>
      </c>
      <c r="P192" s="15">
        <v>1.2431519099999999</v>
      </c>
      <c r="Q192">
        <v>2019</v>
      </c>
      <c r="R192" s="15" t="s">
        <v>484</v>
      </c>
      <c r="S192" t="s">
        <v>484</v>
      </c>
      <c r="T192" s="15" t="s">
        <v>484</v>
      </c>
      <c r="U192" t="s">
        <v>484</v>
      </c>
      <c r="V192" s="15">
        <v>2.9085104465484601</v>
      </c>
      <c r="W192">
        <v>2020</v>
      </c>
      <c r="X192" t="s">
        <v>719</v>
      </c>
      <c r="Y192" s="15">
        <v>1.2431519099999999</v>
      </c>
      <c r="Z192">
        <v>2019</v>
      </c>
      <c r="AA192" t="s">
        <v>720</v>
      </c>
    </row>
    <row r="193" spans="1:27">
      <c r="A193">
        <v>190</v>
      </c>
      <c r="B193" t="s">
        <v>116</v>
      </c>
      <c r="C193" t="s">
        <v>329</v>
      </c>
      <c r="D193" t="s">
        <v>496</v>
      </c>
      <c r="E193" t="s">
        <v>306</v>
      </c>
      <c r="F193" t="s">
        <v>615</v>
      </c>
      <c r="G193" t="s">
        <v>616</v>
      </c>
      <c r="H193" s="15">
        <v>3.9912462234497101</v>
      </c>
      <c r="I193">
        <v>2020</v>
      </c>
      <c r="J193" s="15" t="s">
        <v>484</v>
      </c>
      <c r="K193" t="s">
        <v>484</v>
      </c>
      <c r="L193" s="15">
        <v>3.76</v>
      </c>
      <c r="M193">
        <v>2019</v>
      </c>
      <c r="N193" s="15">
        <v>0.86332363000000001</v>
      </c>
      <c r="O193">
        <v>2019</v>
      </c>
      <c r="P193" s="15">
        <v>1.3692451699999997</v>
      </c>
      <c r="Q193">
        <v>2019</v>
      </c>
      <c r="R193" s="15" t="s">
        <v>484</v>
      </c>
      <c r="S193" t="s">
        <v>484</v>
      </c>
      <c r="T193" s="15">
        <v>0.85</v>
      </c>
      <c r="U193">
        <v>2019</v>
      </c>
      <c r="V193" s="15">
        <v>3.9912462234497101</v>
      </c>
      <c r="W193">
        <v>2020</v>
      </c>
      <c r="X193" t="s">
        <v>719</v>
      </c>
      <c r="Y193" s="15">
        <v>1.3692451699999997</v>
      </c>
      <c r="Z193">
        <v>2019</v>
      </c>
      <c r="AA193" t="s">
        <v>720</v>
      </c>
    </row>
    <row r="194" spans="1:27">
      <c r="A194">
        <v>191</v>
      </c>
      <c r="B194" t="s">
        <v>203</v>
      </c>
      <c r="C194" t="s">
        <v>418</v>
      </c>
      <c r="D194" t="s">
        <v>493</v>
      </c>
      <c r="E194" t="s">
        <v>389</v>
      </c>
      <c r="F194" t="s">
        <v>619</v>
      </c>
      <c r="H194" s="15">
        <v>2.9689800739288299</v>
      </c>
      <c r="I194">
        <v>2019</v>
      </c>
      <c r="J194" s="15">
        <v>3.0915403203899299</v>
      </c>
      <c r="K194">
        <v>2020</v>
      </c>
      <c r="L194" s="15" t="s">
        <v>484</v>
      </c>
      <c r="M194" t="s">
        <v>484</v>
      </c>
      <c r="N194" s="15">
        <v>2.7152462000000002</v>
      </c>
      <c r="O194">
        <v>2019</v>
      </c>
      <c r="P194" s="15">
        <v>2.8306114600000001</v>
      </c>
      <c r="Q194">
        <v>2019</v>
      </c>
      <c r="R194" s="15">
        <v>3.0915403203899299</v>
      </c>
      <c r="S194">
        <v>2020</v>
      </c>
      <c r="T194" s="15" t="s">
        <v>484</v>
      </c>
      <c r="U194" t="s">
        <v>484</v>
      </c>
      <c r="V194" s="15">
        <v>3.0915403203899299</v>
      </c>
      <c r="W194">
        <v>2020</v>
      </c>
      <c r="X194" t="s">
        <v>721</v>
      </c>
      <c r="Y194" s="15">
        <v>2.8306114600000001</v>
      </c>
      <c r="Z194">
        <v>2019</v>
      </c>
      <c r="AA194" t="s">
        <v>720</v>
      </c>
    </row>
    <row r="195" spans="1:27">
      <c r="A195">
        <v>192</v>
      </c>
      <c r="B195" t="s">
        <v>122</v>
      </c>
      <c r="C195" t="s">
        <v>336</v>
      </c>
      <c r="D195" t="s">
        <v>485</v>
      </c>
      <c r="E195" t="s">
        <v>334</v>
      </c>
      <c r="F195" t="s">
        <v>615</v>
      </c>
      <c r="H195" s="15">
        <v>5.7129001617431596</v>
      </c>
      <c r="I195">
        <v>2019</v>
      </c>
      <c r="J195" s="15" t="s">
        <v>484</v>
      </c>
      <c r="K195" t="s">
        <v>484</v>
      </c>
      <c r="L195" s="15" t="s">
        <v>484</v>
      </c>
      <c r="M195" t="s">
        <v>484</v>
      </c>
      <c r="N195" s="15">
        <v>1.94083118</v>
      </c>
      <c r="O195">
        <v>2019</v>
      </c>
      <c r="P195" s="15">
        <v>2.05313167</v>
      </c>
      <c r="Q195">
        <v>2019</v>
      </c>
      <c r="R195" s="15" t="s">
        <v>484</v>
      </c>
      <c r="S195" t="s">
        <v>484</v>
      </c>
      <c r="T195" s="15" t="s">
        <v>484</v>
      </c>
      <c r="U195" t="s">
        <v>484</v>
      </c>
      <c r="V195" s="15">
        <v>5.7129001617431596</v>
      </c>
      <c r="W195">
        <v>2019</v>
      </c>
      <c r="X195" t="s">
        <v>719</v>
      </c>
      <c r="Y195" s="15">
        <v>2.05313167</v>
      </c>
      <c r="Z195">
        <v>2019</v>
      </c>
      <c r="AA195" t="s">
        <v>720</v>
      </c>
    </row>
    <row r="196" spans="1:27">
      <c r="A196">
        <v>193</v>
      </c>
      <c r="B196" t="s">
        <v>202</v>
      </c>
      <c r="C196" t="s">
        <v>417</v>
      </c>
      <c r="D196" t="s">
        <v>485</v>
      </c>
      <c r="E196" t="s">
        <v>389</v>
      </c>
      <c r="F196" t="s">
        <v>619</v>
      </c>
      <c r="H196" s="15">
        <v>3.1206500530242902</v>
      </c>
      <c r="I196">
        <v>2019</v>
      </c>
      <c r="J196" s="15" t="s">
        <v>484</v>
      </c>
      <c r="K196" t="s">
        <v>484</v>
      </c>
      <c r="L196" s="15" t="s">
        <v>484</v>
      </c>
      <c r="M196" t="s">
        <v>484</v>
      </c>
      <c r="N196" s="15">
        <v>1.1818230199999999</v>
      </c>
      <c r="O196">
        <v>2019</v>
      </c>
      <c r="P196" s="15">
        <v>1.1818493299999999</v>
      </c>
      <c r="Q196">
        <v>2019</v>
      </c>
      <c r="R196" s="15" t="s">
        <v>484</v>
      </c>
      <c r="S196" t="s">
        <v>484</v>
      </c>
      <c r="T196" s="15" t="s">
        <v>484</v>
      </c>
      <c r="U196" t="s">
        <v>484</v>
      </c>
      <c r="V196" s="15">
        <v>3.1206500530242902</v>
      </c>
      <c r="W196">
        <v>2019</v>
      </c>
      <c r="X196" t="s">
        <v>719</v>
      </c>
      <c r="Y196" s="15">
        <v>1.1818493299999999</v>
      </c>
      <c r="Z196">
        <v>2019</v>
      </c>
      <c r="AA196" t="s">
        <v>720</v>
      </c>
    </row>
    <row r="197" spans="1:27">
      <c r="A197">
        <v>194</v>
      </c>
      <c r="B197" t="s">
        <v>137</v>
      </c>
      <c r="C197" t="s">
        <v>351</v>
      </c>
      <c r="D197" t="s">
        <v>493</v>
      </c>
      <c r="E197" t="s">
        <v>334</v>
      </c>
      <c r="F197" t="s">
        <v>617</v>
      </c>
      <c r="H197" s="15">
        <v>6.7274799346923801</v>
      </c>
      <c r="I197">
        <v>2018</v>
      </c>
      <c r="J197" s="15" t="s">
        <v>484</v>
      </c>
      <c r="K197" t="s">
        <v>484</v>
      </c>
      <c r="L197" s="15" t="s">
        <v>484</v>
      </c>
      <c r="M197" t="s">
        <v>484</v>
      </c>
      <c r="N197" s="15">
        <v>4.0022840500000001</v>
      </c>
      <c r="O197">
        <v>2019</v>
      </c>
      <c r="P197" s="15">
        <v>5.5528909700000009</v>
      </c>
      <c r="Q197">
        <v>2019</v>
      </c>
      <c r="R197" s="15" t="s">
        <v>484</v>
      </c>
      <c r="S197" t="s">
        <v>484</v>
      </c>
      <c r="T197" s="15" t="s">
        <v>484</v>
      </c>
      <c r="U197" t="s">
        <v>484</v>
      </c>
      <c r="V197" s="15">
        <v>6.7274799346923801</v>
      </c>
      <c r="W197">
        <v>2018</v>
      </c>
      <c r="X197" t="s">
        <v>719</v>
      </c>
      <c r="Y197" s="15">
        <v>5.5528909700000009</v>
      </c>
      <c r="Z197">
        <v>2019</v>
      </c>
      <c r="AA197" t="s">
        <v>720</v>
      </c>
    </row>
    <row r="198" spans="1:27">
      <c r="A198">
        <v>195</v>
      </c>
      <c r="B198" t="s">
        <v>187</v>
      </c>
      <c r="C198" t="s">
        <v>402</v>
      </c>
      <c r="D198" t="s">
        <v>493</v>
      </c>
      <c r="E198" t="s">
        <v>389</v>
      </c>
      <c r="F198" t="s">
        <v>615</v>
      </c>
      <c r="H198" s="15">
        <v>7.9596300125122097</v>
      </c>
      <c r="I198">
        <v>2019</v>
      </c>
      <c r="J198" s="15" t="s">
        <v>484</v>
      </c>
      <c r="K198" t="s">
        <v>484</v>
      </c>
      <c r="L198" s="15">
        <v>5.15</v>
      </c>
      <c r="M198">
        <v>2020</v>
      </c>
      <c r="N198" s="15">
        <v>2.8920791100000001</v>
      </c>
      <c r="O198">
        <v>2019</v>
      </c>
      <c r="P198" s="15">
        <v>3.8761280400000002</v>
      </c>
      <c r="Q198">
        <v>2019</v>
      </c>
      <c r="R198" s="15" t="s">
        <v>484</v>
      </c>
      <c r="S198" t="s">
        <v>484</v>
      </c>
      <c r="T198" s="15">
        <v>4.42</v>
      </c>
      <c r="U198">
        <v>2020</v>
      </c>
      <c r="V198" s="15">
        <v>5.15</v>
      </c>
      <c r="W198">
        <v>2020</v>
      </c>
      <c r="X198" t="s">
        <v>722</v>
      </c>
      <c r="Y198" s="15">
        <v>3.8761280400000002</v>
      </c>
      <c r="Z198">
        <v>2019</v>
      </c>
      <c r="AA198" t="s">
        <v>720</v>
      </c>
    </row>
    <row r="199" spans="1:27">
      <c r="A199">
        <v>196</v>
      </c>
      <c r="B199" t="s">
        <v>234</v>
      </c>
      <c r="C199" t="s">
        <v>585</v>
      </c>
      <c r="D199" t="s">
        <v>497</v>
      </c>
      <c r="E199" t="s">
        <v>622</v>
      </c>
      <c r="F199" t="s">
        <v>619</v>
      </c>
      <c r="H199" s="15">
        <v>4.1037402153015101</v>
      </c>
      <c r="I199">
        <v>2020</v>
      </c>
      <c r="J199" s="15" t="s">
        <v>484</v>
      </c>
      <c r="K199" t="s">
        <v>484</v>
      </c>
      <c r="L199" s="15" t="s">
        <v>484</v>
      </c>
      <c r="M199" t="s">
        <v>484</v>
      </c>
      <c r="N199" s="15">
        <v>3.2277360000000002</v>
      </c>
      <c r="O199">
        <v>2019</v>
      </c>
      <c r="P199" s="15">
        <v>3.2239858999999997</v>
      </c>
      <c r="Q199">
        <v>2019</v>
      </c>
      <c r="R199" s="15" t="s">
        <v>484</v>
      </c>
      <c r="S199" t="s">
        <v>484</v>
      </c>
      <c r="T199" s="15" t="s">
        <v>484</v>
      </c>
      <c r="U199" t="s">
        <v>484</v>
      </c>
      <c r="V199" s="15">
        <v>4.1037402153015101</v>
      </c>
      <c r="W199">
        <v>2020</v>
      </c>
      <c r="X199" t="s">
        <v>719</v>
      </c>
      <c r="Y199" s="15">
        <v>3.2239858999999997</v>
      </c>
      <c r="Z199">
        <v>2019</v>
      </c>
      <c r="AA199" t="s">
        <v>720</v>
      </c>
    </row>
    <row r="200" spans="1:27">
      <c r="A200">
        <v>197</v>
      </c>
      <c r="B200" t="s">
        <v>162</v>
      </c>
      <c r="C200" t="s">
        <v>376</v>
      </c>
      <c r="D200" t="s">
        <v>487</v>
      </c>
      <c r="E200" t="s">
        <v>334</v>
      </c>
      <c r="F200" t="s">
        <v>619</v>
      </c>
      <c r="H200" s="15">
        <v>7.3243498802185103</v>
      </c>
      <c r="I200">
        <v>2016</v>
      </c>
      <c r="J200" s="15" t="s">
        <v>484</v>
      </c>
      <c r="K200" t="s">
        <v>484</v>
      </c>
      <c r="L200" s="15" t="s">
        <v>484</v>
      </c>
      <c r="M200" t="s">
        <v>484</v>
      </c>
      <c r="N200" s="15">
        <v>3.9762251399999999</v>
      </c>
      <c r="O200">
        <v>2019</v>
      </c>
      <c r="P200" s="15">
        <v>3.9985094500000002</v>
      </c>
      <c r="Q200">
        <v>2019</v>
      </c>
      <c r="R200" s="15" t="s">
        <v>484</v>
      </c>
      <c r="S200" t="s">
        <v>484</v>
      </c>
      <c r="T200" s="15" t="s">
        <v>484</v>
      </c>
      <c r="U200" t="s">
        <v>484</v>
      </c>
      <c r="V200" s="15">
        <v>7.3243498802185103</v>
      </c>
      <c r="W200">
        <v>2016</v>
      </c>
      <c r="X200" t="s">
        <v>719</v>
      </c>
      <c r="Y200" s="15">
        <v>3.9985094500000002</v>
      </c>
      <c r="Z200">
        <v>2019</v>
      </c>
      <c r="AA200" t="s">
        <v>720</v>
      </c>
    </row>
    <row r="201" spans="1:27">
      <c r="A201">
        <v>198</v>
      </c>
      <c r="B201" t="s">
        <v>218</v>
      </c>
      <c r="C201" t="s">
        <v>433</v>
      </c>
      <c r="D201" t="s">
        <v>485</v>
      </c>
      <c r="E201" t="s">
        <v>389</v>
      </c>
      <c r="F201" t="s">
        <v>619</v>
      </c>
      <c r="H201" s="15">
        <v>4.2940697669982901</v>
      </c>
      <c r="I201">
        <v>2018</v>
      </c>
      <c r="J201" s="15">
        <v>3.35536869185293</v>
      </c>
      <c r="K201">
        <v>2020</v>
      </c>
      <c r="L201" s="15" t="s">
        <v>484</v>
      </c>
      <c r="M201" t="s">
        <v>484</v>
      </c>
      <c r="N201" s="15">
        <v>3.3848588500000001</v>
      </c>
      <c r="O201">
        <v>2019</v>
      </c>
      <c r="P201" s="15">
        <v>3.3848587299999999</v>
      </c>
      <c r="Q201">
        <v>2019</v>
      </c>
      <c r="R201" s="15">
        <v>3.35536869185293</v>
      </c>
      <c r="S201">
        <v>2020</v>
      </c>
      <c r="T201" s="15" t="s">
        <v>484</v>
      </c>
      <c r="U201" t="s">
        <v>484</v>
      </c>
      <c r="V201" s="15">
        <v>3.35536869185293</v>
      </c>
      <c r="W201">
        <v>2020</v>
      </c>
      <c r="X201" t="s">
        <v>721</v>
      </c>
      <c r="Y201" s="15">
        <v>3.3848587299999999</v>
      </c>
      <c r="Z201">
        <v>2019</v>
      </c>
      <c r="AA201" t="s">
        <v>720</v>
      </c>
    </row>
    <row r="202" spans="1:27">
      <c r="A202">
        <v>199</v>
      </c>
      <c r="B202" t="s">
        <v>197</v>
      </c>
      <c r="C202" t="s">
        <v>412</v>
      </c>
      <c r="D202" t="s">
        <v>493</v>
      </c>
      <c r="E202" t="s">
        <v>389</v>
      </c>
      <c r="F202" t="s">
        <v>615</v>
      </c>
      <c r="H202" s="15" t="s">
        <v>484</v>
      </c>
      <c r="I202" t="s">
        <v>484</v>
      </c>
      <c r="J202" s="15" t="s">
        <v>484</v>
      </c>
      <c r="K202" t="s">
        <v>484</v>
      </c>
      <c r="L202" s="15" t="s">
        <v>484</v>
      </c>
      <c r="M202" t="s">
        <v>484</v>
      </c>
      <c r="N202" s="15">
        <v>17.798381809999999</v>
      </c>
      <c r="O202">
        <v>2019</v>
      </c>
      <c r="P202" s="15">
        <v>22.872465560000002</v>
      </c>
      <c r="Q202">
        <v>2019</v>
      </c>
      <c r="R202" s="15" t="s">
        <v>484</v>
      </c>
      <c r="S202" t="s">
        <v>484</v>
      </c>
      <c r="T202" s="15" t="s">
        <v>484</v>
      </c>
      <c r="U202" t="s">
        <v>484</v>
      </c>
      <c r="V202" s="15" t="s">
        <v>484</v>
      </c>
      <c r="W202" t="s">
        <v>484</v>
      </c>
      <c r="X202" t="s">
        <v>484</v>
      </c>
      <c r="Y202" s="15">
        <v>22.872465560000002</v>
      </c>
      <c r="Z202">
        <v>2019</v>
      </c>
      <c r="AA202" t="s">
        <v>720</v>
      </c>
    </row>
    <row r="203" spans="1:27">
      <c r="A203">
        <v>200</v>
      </c>
      <c r="B203" t="s">
        <v>266</v>
      </c>
      <c r="C203" t="s">
        <v>584</v>
      </c>
      <c r="D203" t="s">
        <v>493</v>
      </c>
      <c r="E203" t="s">
        <v>622</v>
      </c>
      <c r="H203" s="15" t="s">
        <v>484</v>
      </c>
      <c r="I203" t="s">
        <v>484</v>
      </c>
      <c r="J203" s="15" t="s">
        <v>484</v>
      </c>
      <c r="K203" t="s">
        <v>484</v>
      </c>
      <c r="L203" s="15" t="s">
        <v>484</v>
      </c>
      <c r="M203" t="s">
        <v>484</v>
      </c>
      <c r="N203" s="15" t="s">
        <v>484</v>
      </c>
      <c r="O203" t="s">
        <v>484</v>
      </c>
      <c r="P203" s="15" t="s">
        <v>484</v>
      </c>
      <c r="Q203" t="s">
        <v>484</v>
      </c>
      <c r="R203" s="15" t="s">
        <v>484</v>
      </c>
      <c r="S203" t="s">
        <v>484</v>
      </c>
      <c r="T203" s="15" t="s">
        <v>484</v>
      </c>
      <c r="U203" t="s">
        <v>484</v>
      </c>
      <c r="V203" s="15" t="s">
        <v>484</v>
      </c>
      <c r="W203" t="s">
        <v>484</v>
      </c>
      <c r="X203" t="s">
        <v>484</v>
      </c>
      <c r="Y203" s="15" t="s">
        <v>484</v>
      </c>
      <c r="Z203" t="s">
        <v>484</v>
      </c>
      <c r="AA203" t="s">
        <v>484</v>
      </c>
    </row>
    <row r="204" spans="1:27">
      <c r="A204">
        <v>201</v>
      </c>
      <c r="B204" t="s">
        <v>121</v>
      </c>
      <c r="C204" t="s">
        <v>335</v>
      </c>
      <c r="D204" t="s">
        <v>496</v>
      </c>
      <c r="E204" t="s">
        <v>334</v>
      </c>
      <c r="F204" t="s">
        <v>615</v>
      </c>
      <c r="G204" t="s">
        <v>616</v>
      </c>
      <c r="H204" s="15">
        <v>3.29779028892517</v>
      </c>
      <c r="I204">
        <v>2021</v>
      </c>
      <c r="J204" s="15">
        <v>3.8334102766107101</v>
      </c>
      <c r="K204">
        <v>2018</v>
      </c>
      <c r="L204" s="15" t="s">
        <v>484</v>
      </c>
      <c r="M204" t="s">
        <v>484</v>
      </c>
      <c r="N204" s="15">
        <v>1.5649009899999999</v>
      </c>
      <c r="O204">
        <v>2019</v>
      </c>
      <c r="P204" s="15">
        <v>2.2035343399999996</v>
      </c>
      <c r="Q204">
        <v>2019</v>
      </c>
      <c r="R204" s="15">
        <v>3.8334102766107101</v>
      </c>
      <c r="S204">
        <v>2018</v>
      </c>
      <c r="T204" s="15" t="s">
        <v>484</v>
      </c>
      <c r="U204" t="s">
        <v>484</v>
      </c>
      <c r="V204" s="15">
        <v>3.29779028892517</v>
      </c>
      <c r="W204">
        <v>2021</v>
      </c>
      <c r="X204" t="s">
        <v>719</v>
      </c>
      <c r="Y204" s="15">
        <v>2.2035343399999996</v>
      </c>
      <c r="Z204">
        <v>2019</v>
      </c>
      <c r="AA204" t="s">
        <v>720</v>
      </c>
    </row>
    <row r="205" spans="1:27">
      <c r="A205">
        <v>202</v>
      </c>
      <c r="B205" t="s">
        <v>110</v>
      </c>
      <c r="C205" t="s">
        <v>323</v>
      </c>
      <c r="D205" t="s">
        <v>496</v>
      </c>
      <c r="E205" t="s">
        <v>306</v>
      </c>
      <c r="F205" t="s">
        <v>615</v>
      </c>
      <c r="G205" t="s">
        <v>616</v>
      </c>
      <c r="H205" s="15">
        <v>2.6650531291961701</v>
      </c>
      <c r="I205">
        <v>2021</v>
      </c>
      <c r="J205" s="15">
        <v>2.1237772139697202</v>
      </c>
      <c r="K205">
        <v>2020</v>
      </c>
      <c r="L205" s="15" t="s">
        <v>484</v>
      </c>
      <c r="M205" t="s">
        <v>484</v>
      </c>
      <c r="N205" s="15">
        <v>0.57824951000000002</v>
      </c>
      <c r="O205">
        <v>2019</v>
      </c>
      <c r="P205" s="15">
        <v>0.56694104999999995</v>
      </c>
      <c r="Q205">
        <v>2019</v>
      </c>
      <c r="R205" s="15">
        <v>2.1237772139697202</v>
      </c>
      <c r="S205">
        <v>2020</v>
      </c>
      <c r="T205" s="15" t="s">
        <v>484</v>
      </c>
      <c r="U205" t="s">
        <v>484</v>
      </c>
      <c r="V205" s="15">
        <v>2.6650531291961701</v>
      </c>
      <c r="W205">
        <v>2021</v>
      </c>
      <c r="X205" t="s">
        <v>719</v>
      </c>
      <c r="Y205" s="15">
        <v>0.56694104999999995</v>
      </c>
      <c r="Z205">
        <v>2019</v>
      </c>
      <c r="AA205" t="s">
        <v>720</v>
      </c>
    </row>
    <row r="206" spans="1:27">
      <c r="A206">
        <v>203</v>
      </c>
      <c r="B206" t="s">
        <v>170</v>
      </c>
      <c r="C206" t="s">
        <v>384</v>
      </c>
      <c r="D206" t="s">
        <v>485</v>
      </c>
      <c r="E206" t="s">
        <v>334</v>
      </c>
      <c r="F206" t="s">
        <v>619</v>
      </c>
      <c r="H206" s="15">
        <v>5.4412999153137198</v>
      </c>
      <c r="I206">
        <v>2019</v>
      </c>
      <c r="J206" s="15">
        <v>6.0184132882173698</v>
      </c>
      <c r="K206">
        <v>2020</v>
      </c>
      <c r="L206" s="15" t="s">
        <v>484</v>
      </c>
      <c r="M206" t="s">
        <v>484</v>
      </c>
      <c r="N206" s="15">
        <v>3.1794965300000002</v>
      </c>
      <c r="O206">
        <v>2019</v>
      </c>
      <c r="P206" s="15">
        <v>3.2277250800000004</v>
      </c>
      <c r="Q206">
        <v>2019</v>
      </c>
      <c r="R206" s="15">
        <v>6.0184132882173698</v>
      </c>
      <c r="S206">
        <v>2020</v>
      </c>
      <c r="T206" s="15" t="s">
        <v>484</v>
      </c>
      <c r="U206" t="s">
        <v>484</v>
      </c>
      <c r="V206" s="15">
        <v>6.0184132882173698</v>
      </c>
      <c r="W206">
        <v>2020</v>
      </c>
      <c r="X206" t="s">
        <v>721</v>
      </c>
      <c r="Y206" s="15">
        <v>3.2277250800000004</v>
      </c>
      <c r="Z206">
        <v>2019</v>
      </c>
      <c r="AA206" t="s">
        <v>720</v>
      </c>
    </row>
    <row r="207" spans="1:27">
      <c r="A207">
        <v>204</v>
      </c>
      <c r="B207" t="s">
        <v>235</v>
      </c>
      <c r="C207" t="s">
        <v>589</v>
      </c>
      <c r="D207" t="s">
        <v>497</v>
      </c>
      <c r="E207" t="s">
        <v>622</v>
      </c>
      <c r="F207" t="s">
        <v>619</v>
      </c>
      <c r="H207" s="15">
        <v>4.7032599449157697</v>
      </c>
      <c r="I207">
        <v>2019</v>
      </c>
      <c r="J207" s="15" t="s">
        <v>484</v>
      </c>
      <c r="K207" t="s">
        <v>484</v>
      </c>
      <c r="L207" s="15" t="s">
        <v>484</v>
      </c>
      <c r="M207" t="s">
        <v>484</v>
      </c>
      <c r="N207" s="15">
        <v>6.2257075300000002</v>
      </c>
      <c r="O207">
        <v>2019</v>
      </c>
      <c r="P207" s="15">
        <v>6.1410410200000003</v>
      </c>
      <c r="Q207">
        <v>2019</v>
      </c>
      <c r="R207" s="15" t="s">
        <v>484</v>
      </c>
      <c r="S207" t="s">
        <v>484</v>
      </c>
      <c r="T207" s="15" t="s">
        <v>484</v>
      </c>
      <c r="U207" t="s">
        <v>484</v>
      </c>
      <c r="V207" s="15">
        <v>4.7032599449157697</v>
      </c>
      <c r="W207">
        <v>2019</v>
      </c>
      <c r="X207" t="s">
        <v>719</v>
      </c>
      <c r="Y207" s="15">
        <v>6.1410410200000003</v>
      </c>
      <c r="Z207">
        <v>2019</v>
      </c>
      <c r="AA207" t="s">
        <v>720</v>
      </c>
    </row>
    <row r="208" spans="1:27">
      <c r="A208">
        <v>205</v>
      </c>
      <c r="B208" t="s">
        <v>77</v>
      </c>
      <c r="C208" t="s">
        <v>465</v>
      </c>
      <c r="D208" t="s">
        <v>502</v>
      </c>
      <c r="E208" t="s">
        <v>622</v>
      </c>
      <c r="H208" s="15">
        <v>4.9123301506042498</v>
      </c>
      <c r="I208">
        <v>2018</v>
      </c>
      <c r="J208" s="15">
        <v>6.0469854382291404</v>
      </c>
      <c r="K208">
        <v>2020</v>
      </c>
      <c r="L208" s="15" t="s">
        <v>484</v>
      </c>
      <c r="M208" t="s">
        <v>484</v>
      </c>
      <c r="N208" s="15">
        <v>8.5249233199999992</v>
      </c>
      <c r="O208">
        <v>2019</v>
      </c>
      <c r="P208" s="15">
        <v>13.86552608</v>
      </c>
      <c r="Q208">
        <v>2019</v>
      </c>
      <c r="R208" s="15">
        <v>6.0469854382291404</v>
      </c>
      <c r="S208">
        <v>2020</v>
      </c>
      <c r="T208" s="15" t="s">
        <v>484</v>
      </c>
      <c r="U208" t="s">
        <v>484</v>
      </c>
      <c r="V208" s="15">
        <v>6.0469854382291404</v>
      </c>
      <c r="W208">
        <v>2020</v>
      </c>
      <c r="X208" t="s">
        <v>721</v>
      </c>
      <c r="Y208" s="15">
        <v>13.86552608</v>
      </c>
      <c r="Z208">
        <v>2019</v>
      </c>
      <c r="AA208" t="s">
        <v>720</v>
      </c>
    </row>
    <row r="209" spans="1:27">
      <c r="A209">
        <v>206</v>
      </c>
      <c r="B209" t="s">
        <v>138</v>
      </c>
      <c r="C209" t="s">
        <v>352</v>
      </c>
      <c r="D209" t="s">
        <v>485</v>
      </c>
      <c r="E209" t="s">
        <v>334</v>
      </c>
      <c r="F209" t="s">
        <v>617</v>
      </c>
      <c r="H209" s="15">
        <v>4.92279005050659</v>
      </c>
      <c r="I209">
        <v>2020</v>
      </c>
      <c r="J209" s="15">
        <v>6.0999257578215698</v>
      </c>
      <c r="K209">
        <v>2020</v>
      </c>
      <c r="L209" s="15" t="s">
        <v>484</v>
      </c>
      <c r="M209" t="s">
        <v>484</v>
      </c>
      <c r="N209" s="15">
        <v>2.3361670999999999</v>
      </c>
      <c r="O209">
        <v>2019</v>
      </c>
      <c r="P209" s="15">
        <v>2.33914818</v>
      </c>
      <c r="Q209">
        <v>2019</v>
      </c>
      <c r="R209" s="15">
        <v>6.0999257578215698</v>
      </c>
      <c r="S209">
        <v>2020</v>
      </c>
      <c r="T209" s="15" t="s">
        <v>484</v>
      </c>
      <c r="U209" t="s">
        <v>484</v>
      </c>
      <c r="V209" s="15">
        <v>4.92279005050659</v>
      </c>
      <c r="W209">
        <v>2020</v>
      </c>
      <c r="X209" t="s">
        <v>719</v>
      </c>
      <c r="Y209" s="15">
        <v>2.33914818</v>
      </c>
      <c r="Z209">
        <v>2019</v>
      </c>
      <c r="AA209" t="s">
        <v>720</v>
      </c>
    </row>
    <row r="210" spans="1:27">
      <c r="A210">
        <v>207</v>
      </c>
      <c r="B210" t="s">
        <v>206</v>
      </c>
      <c r="C210" t="s">
        <v>421</v>
      </c>
      <c r="D210" t="s">
        <v>497</v>
      </c>
      <c r="E210" t="s">
        <v>389</v>
      </c>
      <c r="F210" t="s">
        <v>617</v>
      </c>
      <c r="H210" s="15">
        <v>5.6937799453735396</v>
      </c>
      <c r="I210">
        <v>2018</v>
      </c>
      <c r="J210" s="15" t="s">
        <v>484</v>
      </c>
      <c r="K210" t="s">
        <v>484</v>
      </c>
      <c r="L210" s="15" t="s">
        <v>484</v>
      </c>
      <c r="M210" t="s">
        <v>484</v>
      </c>
      <c r="N210" s="15">
        <v>3.1517229100000002</v>
      </c>
      <c r="O210">
        <v>2019</v>
      </c>
      <c r="P210" s="15">
        <v>3.1678739</v>
      </c>
      <c r="Q210">
        <v>2019</v>
      </c>
      <c r="R210" s="15" t="s">
        <v>484</v>
      </c>
      <c r="S210" t="s">
        <v>484</v>
      </c>
      <c r="T210" s="15" t="s">
        <v>484</v>
      </c>
      <c r="U210" t="s">
        <v>484</v>
      </c>
      <c r="V210" s="15">
        <v>5.6937799453735396</v>
      </c>
      <c r="W210">
        <v>2018</v>
      </c>
      <c r="X210" t="s">
        <v>719</v>
      </c>
      <c r="Y210" s="15">
        <v>3.1678739</v>
      </c>
      <c r="Z210">
        <v>2019</v>
      </c>
      <c r="AA210" t="s">
        <v>720</v>
      </c>
    </row>
    <row r="211" spans="1:27">
      <c r="A211">
        <v>208</v>
      </c>
      <c r="B211" t="s">
        <v>226</v>
      </c>
      <c r="C211" t="s">
        <v>590</v>
      </c>
      <c r="D211" t="s">
        <v>497</v>
      </c>
      <c r="F211" t="s">
        <v>619</v>
      </c>
      <c r="H211" s="15">
        <v>1.3440799713134799</v>
      </c>
      <c r="I211">
        <v>2017</v>
      </c>
      <c r="J211" s="15" t="s">
        <v>484</v>
      </c>
      <c r="K211" t="s">
        <v>484</v>
      </c>
      <c r="L211" s="15" t="s">
        <v>484</v>
      </c>
      <c r="M211" t="s">
        <v>484</v>
      </c>
      <c r="N211" s="15">
        <v>2.4711010500000001</v>
      </c>
      <c r="O211">
        <v>2019</v>
      </c>
      <c r="P211" s="15">
        <v>2.4711498999999995</v>
      </c>
      <c r="Q211">
        <v>2019</v>
      </c>
      <c r="R211" s="15" t="s">
        <v>484</v>
      </c>
      <c r="S211" t="s">
        <v>484</v>
      </c>
      <c r="T211" s="15" t="s">
        <v>484</v>
      </c>
      <c r="U211" t="s">
        <v>484</v>
      </c>
      <c r="V211" s="15">
        <v>1.3440799713134799</v>
      </c>
      <c r="W211">
        <v>2017</v>
      </c>
      <c r="X211" t="s">
        <v>719</v>
      </c>
      <c r="Y211" s="15">
        <v>2.4711498999999995</v>
      </c>
      <c r="Z211">
        <v>2019</v>
      </c>
      <c r="AA211" t="s">
        <v>720</v>
      </c>
    </row>
    <row r="212" spans="1:27">
      <c r="A212">
        <v>209</v>
      </c>
      <c r="B212" t="s">
        <v>504</v>
      </c>
      <c r="C212" t="s">
        <v>505</v>
      </c>
      <c r="D212" t="s">
        <v>497</v>
      </c>
      <c r="E212" t="s">
        <v>622</v>
      </c>
      <c r="H212" s="15">
        <v>2.5905001163482702</v>
      </c>
      <c r="I212">
        <v>2020</v>
      </c>
      <c r="J212" s="15" t="s">
        <v>484</v>
      </c>
      <c r="K212" t="s">
        <v>484</v>
      </c>
      <c r="L212" s="15" t="s">
        <v>484</v>
      </c>
      <c r="M212" t="s">
        <v>484</v>
      </c>
      <c r="N212" s="15" t="s">
        <v>484</v>
      </c>
      <c r="O212" t="s">
        <v>484</v>
      </c>
      <c r="P212" s="15" t="s">
        <v>484</v>
      </c>
      <c r="Q212" t="s">
        <v>484</v>
      </c>
      <c r="R212" s="15" t="s">
        <v>484</v>
      </c>
      <c r="S212" t="s">
        <v>484</v>
      </c>
      <c r="T212" s="15" t="s">
        <v>484</v>
      </c>
      <c r="U212" t="s">
        <v>484</v>
      </c>
      <c r="V212" s="15">
        <v>2.5905001163482702</v>
      </c>
      <c r="W212">
        <v>2020</v>
      </c>
      <c r="X212" t="s">
        <v>719</v>
      </c>
      <c r="Y212" s="15" t="s">
        <v>484</v>
      </c>
      <c r="Z212" t="s">
        <v>484</v>
      </c>
      <c r="AA212" t="s">
        <v>484</v>
      </c>
    </row>
    <row r="213" spans="1:27">
      <c r="A213">
        <v>210</v>
      </c>
      <c r="B213" t="s">
        <v>587</v>
      </c>
      <c r="C213" t="s">
        <v>588</v>
      </c>
      <c r="D213" t="s">
        <v>497</v>
      </c>
      <c r="E213" t="s">
        <v>622</v>
      </c>
      <c r="H213" s="15" t="s">
        <v>484</v>
      </c>
      <c r="I213" t="s">
        <v>484</v>
      </c>
      <c r="J213" s="15" t="s">
        <v>484</v>
      </c>
      <c r="K213" t="s">
        <v>484</v>
      </c>
      <c r="L213" s="15" t="s">
        <v>484</v>
      </c>
      <c r="M213" t="s">
        <v>484</v>
      </c>
      <c r="N213" s="15" t="s">
        <v>484</v>
      </c>
      <c r="O213" t="s">
        <v>484</v>
      </c>
      <c r="P213" s="15" t="s">
        <v>484</v>
      </c>
      <c r="Q213" t="s">
        <v>484</v>
      </c>
      <c r="R213" s="15" t="s">
        <v>484</v>
      </c>
      <c r="S213" t="s">
        <v>484</v>
      </c>
      <c r="T213" s="15" t="s">
        <v>484</v>
      </c>
      <c r="U213" t="s">
        <v>484</v>
      </c>
      <c r="V213" s="15" t="s">
        <v>484</v>
      </c>
      <c r="W213" t="s">
        <v>484</v>
      </c>
      <c r="X213" t="s">
        <v>484</v>
      </c>
      <c r="Y213" s="15" t="s">
        <v>484</v>
      </c>
      <c r="Z213" t="s">
        <v>484</v>
      </c>
      <c r="AA213" t="s">
        <v>484</v>
      </c>
    </row>
    <row r="214" spans="1:27">
      <c r="A214">
        <v>211</v>
      </c>
      <c r="B214" t="s">
        <v>161</v>
      </c>
      <c r="C214" t="s">
        <v>375</v>
      </c>
      <c r="D214" t="s">
        <v>493</v>
      </c>
      <c r="E214" t="s">
        <v>334</v>
      </c>
      <c r="F214" t="s">
        <v>619</v>
      </c>
      <c r="H214" s="15">
        <v>4.0619702339172399</v>
      </c>
      <c r="I214">
        <v>2019</v>
      </c>
      <c r="J214" s="15" t="s">
        <v>484</v>
      </c>
      <c r="K214" t="s">
        <v>484</v>
      </c>
      <c r="L214" s="15" t="s">
        <v>484</v>
      </c>
      <c r="M214" t="s">
        <v>484</v>
      </c>
      <c r="N214" s="15">
        <v>2.29924917</v>
      </c>
      <c r="O214">
        <v>2019</v>
      </c>
      <c r="P214" s="15">
        <v>2.3333955400000002</v>
      </c>
      <c r="Q214">
        <v>2019</v>
      </c>
      <c r="R214" s="15" t="s">
        <v>484</v>
      </c>
      <c r="S214" t="s">
        <v>484</v>
      </c>
      <c r="T214" s="15" t="s">
        <v>484</v>
      </c>
      <c r="U214" t="s">
        <v>484</v>
      </c>
      <c r="V214" s="15">
        <v>4.0619702339172399</v>
      </c>
      <c r="W214">
        <v>2019</v>
      </c>
      <c r="X214" t="s">
        <v>719</v>
      </c>
      <c r="Y214" s="15">
        <v>2.3333955400000002</v>
      </c>
      <c r="Z214">
        <v>2019</v>
      </c>
      <c r="AA214" t="s">
        <v>720</v>
      </c>
    </row>
    <row r="215" spans="1:27">
      <c r="A215">
        <v>212</v>
      </c>
      <c r="B215" t="s">
        <v>153</v>
      </c>
      <c r="C215" t="s">
        <v>367</v>
      </c>
      <c r="D215" t="s">
        <v>493</v>
      </c>
      <c r="E215" t="s">
        <v>334</v>
      </c>
      <c r="F215" t="s">
        <v>615</v>
      </c>
      <c r="H215" s="15">
        <v>2.24232006072998</v>
      </c>
      <c r="I215">
        <v>2020</v>
      </c>
      <c r="J215" s="15" t="s">
        <v>484</v>
      </c>
      <c r="K215" t="s">
        <v>484</v>
      </c>
      <c r="L215" s="15" t="s">
        <v>484</v>
      </c>
      <c r="M215" t="s">
        <v>484</v>
      </c>
      <c r="N215" s="15">
        <v>1.9170708700000001</v>
      </c>
      <c r="O215">
        <v>2019</v>
      </c>
      <c r="P215" s="15">
        <v>2.5953371699999996</v>
      </c>
      <c r="Q215">
        <v>2019</v>
      </c>
      <c r="R215" s="15" t="s">
        <v>484</v>
      </c>
      <c r="S215" t="s">
        <v>484</v>
      </c>
      <c r="T215" s="15" t="s">
        <v>484</v>
      </c>
      <c r="U215" t="s">
        <v>484</v>
      </c>
      <c r="V215" s="15">
        <v>2.24232006072998</v>
      </c>
      <c r="W215">
        <v>2020</v>
      </c>
      <c r="X215" t="s">
        <v>719</v>
      </c>
      <c r="Y215" s="15">
        <v>2.5953371699999996</v>
      </c>
      <c r="Z215">
        <v>2019</v>
      </c>
      <c r="AA215" t="s">
        <v>720</v>
      </c>
    </row>
    <row r="216" spans="1:27">
      <c r="A216">
        <v>213</v>
      </c>
      <c r="B216" t="s">
        <v>168</v>
      </c>
      <c r="C216" t="s">
        <v>382</v>
      </c>
      <c r="D216" t="s">
        <v>493</v>
      </c>
      <c r="E216" t="s">
        <v>334</v>
      </c>
      <c r="F216" t="s">
        <v>615</v>
      </c>
      <c r="H216" s="15">
        <v>4.8091602325439498</v>
      </c>
      <c r="I216">
        <v>2020</v>
      </c>
      <c r="J216" s="15">
        <v>4.9555943651445196</v>
      </c>
      <c r="K216">
        <v>2020</v>
      </c>
      <c r="L216" s="15" t="s">
        <v>484</v>
      </c>
      <c r="M216" t="s">
        <v>484</v>
      </c>
      <c r="N216" s="15">
        <v>4.6222515099999999</v>
      </c>
      <c r="O216">
        <v>2019</v>
      </c>
      <c r="P216" s="15">
        <v>5.0603087099999993</v>
      </c>
      <c r="Q216">
        <v>2019</v>
      </c>
      <c r="R216" s="15">
        <v>4.9555943651445196</v>
      </c>
      <c r="S216">
        <v>2020</v>
      </c>
      <c r="T216" s="15" t="s">
        <v>484</v>
      </c>
      <c r="U216" t="s">
        <v>484</v>
      </c>
      <c r="V216" s="15">
        <v>4.8091602325439498</v>
      </c>
      <c r="W216">
        <v>2020</v>
      </c>
      <c r="X216" t="s">
        <v>719</v>
      </c>
      <c r="Y216" s="15">
        <v>5.0603087099999993</v>
      </c>
      <c r="Z216">
        <v>2019</v>
      </c>
      <c r="AA216" t="s">
        <v>720</v>
      </c>
    </row>
    <row r="217" spans="1:27">
      <c r="A217">
        <v>214</v>
      </c>
      <c r="B217" t="s">
        <v>184</v>
      </c>
      <c r="C217" t="s">
        <v>399</v>
      </c>
      <c r="D217" t="s">
        <v>485</v>
      </c>
      <c r="E217" t="s">
        <v>389</v>
      </c>
      <c r="F217" t="s">
        <v>615</v>
      </c>
      <c r="H217" s="15" t="s">
        <v>484</v>
      </c>
      <c r="I217" t="s">
        <v>484</v>
      </c>
      <c r="J217" s="15">
        <v>4.4099331164125299</v>
      </c>
      <c r="K217">
        <v>2021</v>
      </c>
      <c r="L217" s="15" t="s">
        <v>484</v>
      </c>
      <c r="M217" t="s">
        <v>484</v>
      </c>
      <c r="N217" s="15" t="s">
        <v>484</v>
      </c>
      <c r="O217" t="s">
        <v>484</v>
      </c>
      <c r="P217" s="15" t="s">
        <v>484</v>
      </c>
      <c r="Q217" t="s">
        <v>484</v>
      </c>
      <c r="R217" s="15">
        <v>4.4099331164125299</v>
      </c>
      <c r="S217">
        <v>2021</v>
      </c>
      <c r="T217" s="15" t="s">
        <v>484</v>
      </c>
      <c r="U217" t="s">
        <v>484</v>
      </c>
      <c r="V217" s="15">
        <v>4.4099331164125299</v>
      </c>
      <c r="W217">
        <v>2021</v>
      </c>
      <c r="X217" t="s">
        <v>721</v>
      </c>
      <c r="Y217" s="15">
        <v>4.4099331164125299</v>
      </c>
      <c r="Z217">
        <v>2021</v>
      </c>
      <c r="AA217" t="s">
        <v>721</v>
      </c>
    </row>
    <row r="218" spans="1:27">
      <c r="A218">
        <v>215</v>
      </c>
      <c r="B218" t="s">
        <v>107</v>
      </c>
      <c r="C218" t="s">
        <v>320</v>
      </c>
      <c r="D218" t="s">
        <v>487</v>
      </c>
      <c r="E218" t="s">
        <v>306</v>
      </c>
      <c r="F218" t="s">
        <v>615</v>
      </c>
      <c r="H218" s="15">
        <v>5.1514301300048801</v>
      </c>
      <c r="I218">
        <v>2008</v>
      </c>
      <c r="J218" s="15" t="s">
        <v>484</v>
      </c>
      <c r="K218" t="s">
        <v>484</v>
      </c>
      <c r="L218" s="15" t="s">
        <v>484</v>
      </c>
      <c r="M218" t="s">
        <v>484</v>
      </c>
      <c r="N218" s="15" t="s">
        <v>484</v>
      </c>
      <c r="O218" t="s">
        <v>484</v>
      </c>
      <c r="P218" s="15" t="s">
        <v>484</v>
      </c>
      <c r="Q218" t="s">
        <v>484</v>
      </c>
      <c r="R218" s="15" t="s">
        <v>484</v>
      </c>
      <c r="S218" t="s">
        <v>484</v>
      </c>
      <c r="T218" s="15" t="s">
        <v>484</v>
      </c>
      <c r="U218" t="s">
        <v>484</v>
      </c>
      <c r="V218" s="15">
        <v>5.1514301300048801</v>
      </c>
      <c r="W218">
        <v>2008</v>
      </c>
      <c r="X218" t="s">
        <v>719</v>
      </c>
      <c r="Y218" s="15" t="s">
        <v>484</v>
      </c>
      <c r="Z218" t="s">
        <v>484</v>
      </c>
      <c r="AA218" t="s">
        <v>484</v>
      </c>
    </row>
    <row r="219" spans="1:27">
      <c r="A219">
        <v>216</v>
      </c>
      <c r="B219" t="s">
        <v>195</v>
      </c>
      <c r="C219" t="s">
        <v>410</v>
      </c>
      <c r="D219" t="s">
        <v>496</v>
      </c>
      <c r="E219" t="s">
        <v>389</v>
      </c>
      <c r="F219" t="s">
        <v>619</v>
      </c>
      <c r="H219" s="15">
        <v>6.1928801536560103</v>
      </c>
      <c r="I219">
        <v>2020</v>
      </c>
      <c r="J219" s="15">
        <v>8.3966626557413697</v>
      </c>
      <c r="K219">
        <v>2020</v>
      </c>
      <c r="L219" s="15">
        <v>6.66</v>
      </c>
      <c r="M219">
        <v>2020</v>
      </c>
      <c r="N219" s="15">
        <v>5.3526582700000001</v>
      </c>
      <c r="O219">
        <v>2019</v>
      </c>
      <c r="P219" s="15">
        <v>4.3904388499999998</v>
      </c>
      <c r="Q219">
        <v>2019</v>
      </c>
      <c r="R219" s="15">
        <v>8.3966626557413697</v>
      </c>
      <c r="S219">
        <v>2020</v>
      </c>
      <c r="T219" s="15">
        <v>3.91</v>
      </c>
      <c r="U219">
        <v>2020</v>
      </c>
      <c r="V219" s="15">
        <v>6.1928801536560103</v>
      </c>
      <c r="W219">
        <v>2020</v>
      </c>
      <c r="X219" t="s">
        <v>719</v>
      </c>
      <c r="Y219" s="15">
        <v>4.3904388499999998</v>
      </c>
      <c r="Z219">
        <v>2019</v>
      </c>
      <c r="AA219" t="s">
        <v>720</v>
      </c>
    </row>
    <row r="220" spans="1:27">
      <c r="A220">
        <v>217</v>
      </c>
      <c r="B220" t="s">
        <v>118</v>
      </c>
      <c r="C220" t="s">
        <v>331</v>
      </c>
      <c r="D220" t="s">
        <v>496</v>
      </c>
      <c r="E220" t="s">
        <v>306</v>
      </c>
      <c r="F220" t="s">
        <v>615</v>
      </c>
      <c r="G220" t="s">
        <v>616</v>
      </c>
      <c r="H220" s="15">
        <v>3.7024028301239</v>
      </c>
      <c r="I220">
        <v>2020</v>
      </c>
      <c r="J220" s="15">
        <v>2.6653205114922298</v>
      </c>
      <c r="K220">
        <v>2020</v>
      </c>
      <c r="L220" s="15" t="s">
        <v>484</v>
      </c>
      <c r="M220" t="s">
        <v>484</v>
      </c>
      <c r="N220" s="15">
        <v>2.12920475</v>
      </c>
      <c r="O220">
        <v>2019</v>
      </c>
      <c r="P220" s="15">
        <v>3.2651754100000003</v>
      </c>
      <c r="Q220">
        <v>2019</v>
      </c>
      <c r="R220" s="15">
        <v>2.6653205114922298</v>
      </c>
      <c r="S220">
        <v>2020</v>
      </c>
      <c r="T220" s="15" t="s">
        <v>484</v>
      </c>
      <c r="U220" t="s">
        <v>484</v>
      </c>
      <c r="V220" s="15">
        <v>3.7024028301239</v>
      </c>
      <c r="W220">
        <v>2020</v>
      </c>
      <c r="X220" t="s">
        <v>719</v>
      </c>
      <c r="Y220" s="15">
        <v>3.2651754100000003</v>
      </c>
      <c r="Z220">
        <v>2019</v>
      </c>
      <c r="AA220" t="s">
        <v>720</v>
      </c>
    </row>
    <row r="221" spans="1:27">
      <c r="A221">
        <v>218</v>
      </c>
      <c r="B221" t="s">
        <v>127</v>
      </c>
      <c r="C221" t="s">
        <v>341</v>
      </c>
      <c r="D221" t="s">
        <v>496</v>
      </c>
      <c r="E221" t="s">
        <v>334</v>
      </c>
      <c r="F221" t="s">
        <v>617</v>
      </c>
      <c r="H221" s="15">
        <v>3.86611008644104</v>
      </c>
      <c r="I221">
        <v>2018</v>
      </c>
      <c r="J221" s="15" t="s">
        <v>484</v>
      </c>
      <c r="K221" t="s">
        <v>484</v>
      </c>
      <c r="L221" s="15" t="s">
        <v>484</v>
      </c>
      <c r="M221" t="s">
        <v>484</v>
      </c>
      <c r="N221" s="15">
        <v>1.3582699300000001</v>
      </c>
      <c r="O221">
        <v>2019</v>
      </c>
      <c r="P221" s="15">
        <v>1.56122048</v>
      </c>
      <c r="Q221">
        <v>2019</v>
      </c>
      <c r="R221" s="15" t="s">
        <v>484</v>
      </c>
      <c r="S221" t="s">
        <v>484</v>
      </c>
      <c r="T221" s="15" t="s">
        <v>484</v>
      </c>
      <c r="U221" t="s">
        <v>484</v>
      </c>
      <c r="V221" s="15">
        <v>3.86611008644104</v>
      </c>
      <c r="W221">
        <v>2018</v>
      </c>
      <c r="X221" t="s">
        <v>719</v>
      </c>
      <c r="Y221" s="15">
        <v>1.56122048</v>
      </c>
      <c r="Z221">
        <v>2019</v>
      </c>
      <c r="AA221" t="s">
        <v>720</v>
      </c>
    </row>
    <row r="223" spans="1:27" ht="15" thickBot="1"/>
    <row r="224" spans="1:27">
      <c r="B224" s="77"/>
      <c r="C224" s="68" t="s">
        <v>723</v>
      </c>
      <c r="D224" s="68" t="s">
        <v>724</v>
      </c>
      <c r="E224" s="68"/>
      <c r="F224" s="68"/>
      <c r="G224" s="69"/>
    </row>
    <row r="225" spans="2:7">
      <c r="B225" s="78" t="s">
        <v>626</v>
      </c>
      <c r="C225" s="7"/>
      <c r="D225" s="7"/>
      <c r="E225" s="7"/>
      <c r="F225" s="7"/>
      <c r="G225" s="79"/>
    </row>
    <row r="226" spans="2:7">
      <c r="B226" s="78" t="s">
        <v>282</v>
      </c>
      <c r="C226" s="15">
        <v>3.4820588707080238</v>
      </c>
      <c r="D226" s="15">
        <v>1.9916613794152449</v>
      </c>
      <c r="E226" s="7"/>
      <c r="F226" s="7"/>
      <c r="G226" s="79"/>
    </row>
    <row r="227" spans="2:7">
      <c r="B227" s="78" t="s">
        <v>283</v>
      </c>
      <c r="C227" s="15">
        <v>4.496723019050779</v>
      </c>
      <c r="D227" s="15">
        <v>2.7060775236060404</v>
      </c>
      <c r="E227" s="7"/>
      <c r="F227" s="7"/>
      <c r="G227" s="79"/>
    </row>
    <row r="228" spans="2:7">
      <c r="B228" s="78" t="s">
        <v>284</v>
      </c>
      <c r="C228" s="15">
        <v>5.1678681720581832</v>
      </c>
      <c r="D228" s="15">
        <v>4.4146938138945773</v>
      </c>
      <c r="E228" s="7"/>
      <c r="F228" s="7"/>
      <c r="G228" s="79"/>
    </row>
    <row r="229" spans="2:7">
      <c r="B229" s="78" t="s">
        <v>592</v>
      </c>
      <c r="C229" s="15">
        <v>5.0025718870699327</v>
      </c>
      <c r="D229" s="15">
        <v>5.6367512476004968</v>
      </c>
      <c r="E229" s="7"/>
      <c r="F229" s="7"/>
      <c r="G229" s="79"/>
    </row>
    <row r="230" spans="2:7">
      <c r="B230" s="78" t="s">
        <v>627</v>
      </c>
      <c r="C230" s="15"/>
      <c r="D230" s="15"/>
      <c r="E230" s="7"/>
      <c r="F230" s="7"/>
      <c r="G230" s="79"/>
    </row>
    <row r="231" spans="2:7">
      <c r="B231" s="78" t="s">
        <v>282</v>
      </c>
      <c r="C231" s="15">
        <v>3.0021083354949951</v>
      </c>
      <c r="D231" s="15">
        <v>1.5031376599999997</v>
      </c>
      <c r="E231" s="7"/>
      <c r="F231" s="7"/>
      <c r="G231" s="79"/>
    </row>
    <row r="232" spans="2:7">
      <c r="B232" s="78" t="s">
        <v>283</v>
      </c>
      <c r="C232" s="15">
        <v>4.2181574367499604</v>
      </c>
      <c r="D232" s="15">
        <v>2.1146510200000002</v>
      </c>
      <c r="E232" s="7"/>
      <c r="F232" s="7"/>
      <c r="G232" s="79"/>
    </row>
    <row r="233" spans="2:7">
      <c r="B233" s="78" t="s">
        <v>284</v>
      </c>
      <c r="C233" s="15">
        <v>4.3320765626313147</v>
      </c>
      <c r="D233" s="15">
        <v>3.8293638200000002</v>
      </c>
      <c r="E233" s="7"/>
      <c r="F233" s="7"/>
      <c r="G233" s="79"/>
    </row>
    <row r="234" spans="2:7">
      <c r="B234" s="78" t="s">
        <v>592</v>
      </c>
      <c r="C234" s="15">
        <v>5.1507253646850604</v>
      </c>
      <c r="D234" s="15">
        <v>5.0989482649999989</v>
      </c>
      <c r="E234" s="7"/>
      <c r="F234" s="7"/>
      <c r="G234" s="79"/>
    </row>
    <row r="235" spans="2:7">
      <c r="B235" s="78" t="s">
        <v>628</v>
      </c>
      <c r="C235" s="7"/>
      <c r="D235" s="7"/>
      <c r="E235" s="7"/>
      <c r="F235" s="7"/>
      <c r="G235" s="79"/>
    </row>
    <row r="236" spans="2:7">
      <c r="B236" s="78"/>
      <c r="C236" s="7" t="s">
        <v>277</v>
      </c>
      <c r="D236" s="7" t="s">
        <v>725</v>
      </c>
      <c r="E236" s="7"/>
      <c r="F236" s="7" t="s">
        <v>726</v>
      </c>
      <c r="G236" s="79"/>
    </row>
    <row r="237" spans="2:7">
      <c r="B237" s="78" t="s">
        <v>282</v>
      </c>
      <c r="C237" s="7">
        <v>28</v>
      </c>
      <c r="D237" s="7">
        <v>26</v>
      </c>
      <c r="E237" s="70">
        <v>0.9285714285714286</v>
      </c>
      <c r="F237" s="7">
        <v>25</v>
      </c>
      <c r="G237" s="71">
        <v>0.8928571428571429</v>
      </c>
    </row>
    <row r="238" spans="2:7">
      <c r="B238" s="78" t="s">
        <v>283</v>
      </c>
      <c r="C238" s="7">
        <v>54</v>
      </c>
      <c r="D238" s="7">
        <v>53</v>
      </c>
      <c r="E238" s="70">
        <v>0.98148148148148151</v>
      </c>
      <c r="F238" s="7">
        <v>54</v>
      </c>
      <c r="G238" s="71">
        <v>1</v>
      </c>
    </row>
    <row r="239" spans="2:7">
      <c r="B239" s="78" t="s">
        <v>284</v>
      </c>
      <c r="C239" s="7">
        <v>54</v>
      </c>
      <c r="D239" s="7">
        <v>48</v>
      </c>
      <c r="E239" s="70">
        <v>0.88888888888888884</v>
      </c>
      <c r="F239" s="7">
        <v>53</v>
      </c>
      <c r="G239" s="71">
        <v>0.98148148148148151</v>
      </c>
    </row>
    <row r="240" spans="2:7">
      <c r="B240" s="78" t="s">
        <v>592</v>
      </c>
      <c r="C240" s="7">
        <v>81</v>
      </c>
      <c r="D240" s="7">
        <v>69</v>
      </c>
      <c r="E240" s="70">
        <v>0.85185185185185186</v>
      </c>
      <c r="F240" s="7">
        <v>60</v>
      </c>
      <c r="G240" s="71">
        <v>0.7407407407407407</v>
      </c>
    </row>
    <row r="241" spans="2:7" ht="15" thickBot="1">
      <c r="B241" s="72" t="s">
        <v>592</v>
      </c>
      <c r="C241" s="76" cm="1">
        <f t="array" ref="C241">COUNT(IF($E$4:$E$221="High income",A$4:A$221))</f>
        <v>81</v>
      </c>
      <c r="D241" s="76" cm="1">
        <f t="array" ref="D241">COUNT(IF($E$4:$E$221="High income",V$4:V$221))</f>
        <v>69</v>
      </c>
      <c r="E241" s="73">
        <f t="shared" ref="E241" si="0">D241/$C241</f>
        <v>0.85185185185185186</v>
      </c>
      <c r="F241" s="76" cm="1">
        <f t="array" ref="F241">COUNT(IF($E$4:$E$221="High income",Y$4:Y$221))</f>
        <v>60</v>
      </c>
      <c r="G241" s="74">
        <f t="shared" ref="G241" si="1">F241/$C241</f>
        <v>0.7407407407407407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FED76-22EE-4199-8F0E-7159793F22F0}">
  <dimension ref="B2:E23"/>
  <sheetViews>
    <sheetView workbookViewId="0">
      <selection activeCell="D3" sqref="D3"/>
    </sheetView>
  </sheetViews>
  <sheetFormatPr defaultColWidth="8.85546875" defaultRowHeight="14.45"/>
  <cols>
    <col min="2" max="2" width="23" bestFit="1" customWidth="1"/>
    <col min="3" max="3" width="12.5703125" customWidth="1"/>
    <col min="4" max="4" width="151.28515625" customWidth="1"/>
  </cols>
  <sheetData>
    <row r="2" spans="2:5">
      <c r="D2" s="1" t="s">
        <v>727</v>
      </c>
      <c r="E2" t="s">
        <v>728</v>
      </c>
    </row>
    <row r="3" spans="2:5" ht="72.599999999999994">
      <c r="B3" s="157" t="s">
        <v>721</v>
      </c>
      <c r="C3" s="34" t="s">
        <v>729</v>
      </c>
      <c r="D3" t="s">
        <v>730</v>
      </c>
    </row>
    <row r="4" spans="2:5" ht="87">
      <c r="B4" s="164" t="s">
        <v>294</v>
      </c>
      <c r="C4" s="40" t="s">
        <v>731</v>
      </c>
      <c r="D4" s="102" t="s">
        <v>732</v>
      </c>
      <c r="E4" s="39" t="s">
        <v>733</v>
      </c>
    </row>
    <row r="5" spans="2:5" ht="57.95">
      <c r="B5" s="164"/>
      <c r="C5" s="40" t="s">
        <v>734</v>
      </c>
      <c r="D5" s="56" t="s">
        <v>735</v>
      </c>
    </row>
    <row r="6" spans="2:5" ht="43.5">
      <c r="B6" s="164"/>
      <c r="C6" s="34" t="s">
        <v>736</v>
      </c>
      <c r="D6" s="56" t="s">
        <v>737</v>
      </c>
    </row>
    <row r="7" spans="2:5" ht="217.5">
      <c r="B7" s="166" t="s">
        <v>285</v>
      </c>
      <c r="C7" s="34" t="s">
        <v>738</v>
      </c>
      <c r="D7" s="41" t="s">
        <v>739</v>
      </c>
    </row>
    <row r="8" spans="2:5" ht="72.599999999999994">
      <c r="B8" s="166"/>
      <c r="C8" s="34" t="s">
        <v>740</v>
      </c>
      <c r="D8" s="63" t="s">
        <v>741</v>
      </c>
    </row>
    <row r="9" spans="2:5" ht="78">
      <c r="B9" s="166"/>
      <c r="C9" s="34" t="s">
        <v>742</v>
      </c>
      <c r="D9" s="63" t="s">
        <v>743</v>
      </c>
    </row>
    <row r="10" spans="2:5">
      <c r="C10" s="165" t="s">
        <v>744</v>
      </c>
      <c r="D10" t="s">
        <v>745</v>
      </c>
    </row>
    <row r="11" spans="2:5">
      <c r="C11" s="165"/>
      <c r="D11" t="s">
        <v>746</v>
      </c>
    </row>
    <row r="12" spans="2:5">
      <c r="C12" s="165"/>
      <c r="D12" t="s">
        <v>747</v>
      </c>
    </row>
    <row r="13" spans="2:5">
      <c r="C13" s="165"/>
      <c r="D13" t="s">
        <v>748</v>
      </c>
    </row>
    <row r="14" spans="2:5">
      <c r="C14" s="165"/>
      <c r="D14" t="s">
        <v>749</v>
      </c>
    </row>
    <row r="15" spans="2:5">
      <c r="C15" s="165"/>
      <c r="D15" t="s">
        <v>750</v>
      </c>
    </row>
    <row r="16" spans="2:5">
      <c r="C16" s="165"/>
      <c r="D16" t="s">
        <v>751</v>
      </c>
    </row>
    <row r="17" spans="3:4">
      <c r="C17" s="165"/>
      <c r="D17" t="s">
        <v>752</v>
      </c>
    </row>
    <row r="18" spans="3:4">
      <c r="C18" s="165"/>
      <c r="D18" t="s">
        <v>753</v>
      </c>
    </row>
    <row r="19" spans="3:4">
      <c r="C19" s="165"/>
      <c r="D19" t="s">
        <v>754</v>
      </c>
    </row>
    <row r="20" spans="3:4">
      <c r="C20" s="165"/>
      <c r="D20" t="s">
        <v>755</v>
      </c>
    </row>
    <row r="21" spans="3:4">
      <c r="C21" s="165"/>
      <c r="D21" t="s">
        <v>756</v>
      </c>
    </row>
    <row r="22" spans="3:4">
      <c r="C22" s="165"/>
      <c r="D22" t="s">
        <v>757</v>
      </c>
    </row>
    <row r="23" spans="3:4">
      <c r="C23" s="165"/>
      <c r="D23" t="s">
        <v>758</v>
      </c>
    </row>
  </sheetData>
  <mergeCells count="3">
    <mergeCell ref="B4:B6"/>
    <mergeCell ref="C10:C23"/>
    <mergeCell ref="B7:B9"/>
  </mergeCells>
  <hyperlinks>
    <hyperlink ref="B4" r:id="rId1" xr:uid="{26D59D69-E130-4B18-99D8-698C3A9494A1}"/>
    <hyperlink ref="E4" r:id="rId2" xr:uid="{4DFEB0C2-A6AA-4D2F-AF92-353EE9F97D9C}"/>
  </hyperlinks>
  <pageMargins left="0.7" right="0.7" top="0.75" bottom="0.75" header="0.3" footer="0.3"/>
  <pageSetup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A31D2-0DDF-4FB3-8195-18D93991A483}">
  <dimension ref="A1:D6"/>
  <sheetViews>
    <sheetView workbookViewId="0">
      <selection activeCell="C3" sqref="C3"/>
    </sheetView>
  </sheetViews>
  <sheetFormatPr defaultColWidth="8.85546875" defaultRowHeight="14.45"/>
  <cols>
    <col min="3" max="3" width="17.42578125" bestFit="1" customWidth="1"/>
  </cols>
  <sheetData>
    <row r="1" spans="1:4">
      <c r="B1" t="s">
        <v>92</v>
      </c>
      <c r="C1" t="s">
        <v>759</v>
      </c>
    </row>
    <row r="2" spans="1:4">
      <c r="B2" t="s">
        <v>760</v>
      </c>
      <c r="C2" t="s">
        <v>761</v>
      </c>
    </row>
    <row r="3" spans="1:4">
      <c r="B3">
        <v>2022</v>
      </c>
      <c r="C3" t="s">
        <v>762</v>
      </c>
    </row>
    <row r="5" spans="1:4">
      <c r="C5" t="s">
        <v>763</v>
      </c>
      <c r="D5" t="s">
        <v>764</v>
      </c>
    </row>
    <row r="6" spans="1:4">
      <c r="A6" t="s">
        <v>765</v>
      </c>
      <c r="B6" t="s">
        <v>289</v>
      </c>
      <c r="C6" s="17">
        <v>92275049000</v>
      </c>
      <c r="D6" s="37">
        <f>C6/(10^9)</f>
        <v>92.275048999999996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E8D5E-5E6B-4F0A-A008-9534FD737B37}">
  <dimension ref="A1:O26"/>
  <sheetViews>
    <sheetView workbookViewId="0">
      <selection activeCell="C2" sqref="C2"/>
    </sheetView>
  </sheetViews>
  <sheetFormatPr defaultColWidth="8.85546875" defaultRowHeight="14.45"/>
  <cols>
    <col min="3" max="3" width="36.85546875" customWidth="1"/>
    <col min="4" max="4" width="14" bestFit="1" customWidth="1"/>
    <col min="5" max="5" width="20.5703125" bestFit="1" customWidth="1"/>
    <col min="6" max="6" width="13.42578125" bestFit="1" customWidth="1"/>
  </cols>
  <sheetData>
    <row r="1" spans="1:15">
      <c r="C1" t="s">
        <v>766</v>
      </c>
    </row>
    <row r="2" spans="1:15">
      <c r="C2" t="s">
        <v>767</v>
      </c>
      <c r="D2" t="s">
        <v>768</v>
      </c>
    </row>
    <row r="3" spans="1:15">
      <c r="C3" t="s">
        <v>769</v>
      </c>
      <c r="D3" t="s">
        <v>770</v>
      </c>
    </row>
    <row r="5" spans="1:15">
      <c r="D5" s="167" t="s">
        <v>771</v>
      </c>
      <c r="E5" s="167"/>
      <c r="F5" s="167"/>
      <c r="K5" t="s">
        <v>772</v>
      </c>
    </row>
    <row r="6" spans="1:15">
      <c r="D6" t="s">
        <v>773</v>
      </c>
      <c r="E6" t="s">
        <v>774</v>
      </c>
      <c r="F6" t="s">
        <v>775</v>
      </c>
      <c r="K6" t="s">
        <v>776</v>
      </c>
      <c r="O6" t="s">
        <v>777</v>
      </c>
    </row>
    <row r="7" spans="1:15">
      <c r="C7" t="s">
        <v>778</v>
      </c>
      <c r="D7" s="17">
        <v>27523</v>
      </c>
      <c r="E7" s="17">
        <v>25657</v>
      </c>
      <c r="F7" s="17">
        <v>22143</v>
      </c>
      <c r="K7" t="s">
        <v>779</v>
      </c>
      <c r="O7" t="s">
        <v>780</v>
      </c>
    </row>
    <row r="8" spans="1:15">
      <c r="A8" t="s">
        <v>781</v>
      </c>
      <c r="B8" s="12" t="s">
        <v>782</v>
      </c>
      <c r="C8" s="2" t="s">
        <v>783</v>
      </c>
      <c r="D8" s="17">
        <v>230</v>
      </c>
      <c r="E8" s="17">
        <v>224</v>
      </c>
      <c r="F8" s="17">
        <v>168</v>
      </c>
    </row>
    <row r="9" spans="1:15">
      <c r="C9" s="2" t="s">
        <v>784</v>
      </c>
      <c r="D9" s="17">
        <v>1612</v>
      </c>
      <c r="E9" s="17">
        <v>1434</v>
      </c>
      <c r="F9" s="17">
        <v>1028</v>
      </c>
    </row>
    <row r="10" spans="1:15">
      <c r="C10" s="2" t="s">
        <v>785</v>
      </c>
      <c r="D10" s="17">
        <v>22980</v>
      </c>
      <c r="E10" s="17">
        <v>21494</v>
      </c>
      <c r="F10" s="17">
        <v>18853</v>
      </c>
    </row>
    <row r="11" spans="1:15">
      <c r="C11" s="2" t="s">
        <v>786</v>
      </c>
      <c r="D11" s="17">
        <v>39</v>
      </c>
      <c r="E11" s="17">
        <v>35</v>
      </c>
      <c r="F11" s="17">
        <v>27</v>
      </c>
    </row>
    <row r="12" spans="1:15">
      <c r="C12" s="2" t="s">
        <v>787</v>
      </c>
      <c r="D12" s="17">
        <v>160</v>
      </c>
      <c r="E12" s="17">
        <v>124</v>
      </c>
      <c r="F12" s="17">
        <v>78</v>
      </c>
    </row>
    <row r="13" spans="1:15">
      <c r="C13" s="2" t="s">
        <v>788</v>
      </c>
      <c r="D13" s="17">
        <v>2502</v>
      </c>
      <c r="E13" s="17">
        <v>2346</v>
      </c>
      <c r="F13" s="17">
        <v>1989</v>
      </c>
    </row>
    <row r="15" spans="1:15">
      <c r="C15" s="48" t="s">
        <v>789</v>
      </c>
    </row>
    <row r="17" spans="2:6">
      <c r="C17" t="s">
        <v>790</v>
      </c>
      <c r="D17">
        <v>100</v>
      </c>
    </row>
    <row r="19" spans="2:6">
      <c r="D19" t="s">
        <v>773</v>
      </c>
      <c r="E19" t="s">
        <v>774</v>
      </c>
      <c r="F19" t="s">
        <v>775</v>
      </c>
    </row>
    <row r="20" spans="2:6">
      <c r="C20" t="s">
        <v>778</v>
      </c>
      <c r="D20" s="37">
        <f>D7/$D$17</f>
        <v>275.23</v>
      </c>
      <c r="E20" s="37">
        <f t="shared" ref="E20:F20" si="0">E7/$D$17</f>
        <v>256.57</v>
      </c>
      <c r="F20" s="37">
        <f t="shared" si="0"/>
        <v>221.43</v>
      </c>
    </row>
    <row r="21" spans="2:6">
      <c r="B21" s="12" t="s">
        <v>782</v>
      </c>
      <c r="C21" s="2" t="s">
        <v>783</v>
      </c>
      <c r="D21" s="37">
        <f t="shared" ref="D21:F26" si="1">D8/$D$17</f>
        <v>2.2999999999999998</v>
      </c>
      <c r="E21" s="37">
        <f t="shared" si="1"/>
        <v>2.2400000000000002</v>
      </c>
      <c r="F21" s="37">
        <f t="shared" si="1"/>
        <v>1.68</v>
      </c>
    </row>
    <row r="22" spans="2:6">
      <c r="C22" s="2" t="s">
        <v>784</v>
      </c>
      <c r="D22" s="37">
        <f t="shared" si="1"/>
        <v>16.12</v>
      </c>
      <c r="E22" s="37">
        <f t="shared" si="1"/>
        <v>14.34</v>
      </c>
      <c r="F22" s="37">
        <f t="shared" si="1"/>
        <v>10.28</v>
      </c>
    </row>
    <row r="23" spans="2:6">
      <c r="C23" s="2" t="s">
        <v>785</v>
      </c>
      <c r="D23" s="37">
        <f t="shared" si="1"/>
        <v>229.8</v>
      </c>
      <c r="E23" s="37">
        <f t="shared" si="1"/>
        <v>214.94</v>
      </c>
      <c r="F23" s="37">
        <f t="shared" si="1"/>
        <v>188.53</v>
      </c>
    </row>
    <row r="24" spans="2:6">
      <c r="C24" s="2" t="s">
        <v>786</v>
      </c>
      <c r="D24" s="37">
        <f t="shared" si="1"/>
        <v>0.39</v>
      </c>
      <c r="E24" s="37">
        <f t="shared" si="1"/>
        <v>0.35</v>
      </c>
      <c r="F24" s="37">
        <f t="shared" si="1"/>
        <v>0.27</v>
      </c>
    </row>
    <row r="25" spans="2:6">
      <c r="C25" s="2" t="s">
        <v>787</v>
      </c>
      <c r="D25" s="37">
        <f t="shared" si="1"/>
        <v>1.6</v>
      </c>
      <c r="E25" s="37">
        <f t="shared" si="1"/>
        <v>1.24</v>
      </c>
      <c r="F25" s="37">
        <f t="shared" si="1"/>
        <v>0.78</v>
      </c>
    </row>
    <row r="26" spans="2:6">
      <c r="C26" s="2" t="s">
        <v>788</v>
      </c>
      <c r="D26" s="37">
        <f t="shared" si="1"/>
        <v>25.02</v>
      </c>
      <c r="E26" s="37">
        <f t="shared" si="1"/>
        <v>23.46</v>
      </c>
      <c r="F26" s="37">
        <f t="shared" si="1"/>
        <v>19.89</v>
      </c>
    </row>
  </sheetData>
  <mergeCells count="1">
    <mergeCell ref="D5:F5"/>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6EFB3-9575-4F05-942A-34B10A85BEE5}">
  <dimension ref="A1:D17"/>
  <sheetViews>
    <sheetView workbookViewId="0">
      <selection activeCell="C16" sqref="C16"/>
    </sheetView>
  </sheetViews>
  <sheetFormatPr defaultColWidth="8.85546875" defaultRowHeight="14.45"/>
  <cols>
    <col min="2" max="2" width="40.42578125" bestFit="1" customWidth="1"/>
    <col min="4" max="4" width="9.28515625" bestFit="1" customWidth="1"/>
  </cols>
  <sheetData>
    <row r="1" spans="1:4">
      <c r="B1" t="s">
        <v>767</v>
      </c>
      <c r="C1" t="s">
        <v>791</v>
      </c>
    </row>
    <row r="2" spans="1:4">
      <c r="C2" t="s">
        <v>792</v>
      </c>
    </row>
    <row r="3" spans="1:4">
      <c r="C3" t="s">
        <v>793</v>
      </c>
    </row>
    <row r="5" spans="1:4">
      <c r="B5">
        <v>2020</v>
      </c>
      <c r="C5" t="s">
        <v>794</v>
      </c>
      <c r="D5" t="s">
        <v>795</v>
      </c>
    </row>
    <row r="6" spans="1:4">
      <c r="A6" t="s">
        <v>796</v>
      </c>
      <c r="B6" t="s">
        <v>797</v>
      </c>
      <c r="C6" s="6">
        <v>123665</v>
      </c>
      <c r="D6">
        <f>C6/(10^3)</f>
        <v>123.66500000000001</v>
      </c>
    </row>
    <row r="8" spans="1:4">
      <c r="B8">
        <v>2020</v>
      </c>
      <c r="C8" t="s">
        <v>798</v>
      </c>
      <c r="D8" t="s">
        <v>799</v>
      </c>
    </row>
    <row r="9" spans="1:4">
      <c r="A9" t="s">
        <v>800</v>
      </c>
      <c r="B9" s="113" t="s">
        <v>801</v>
      </c>
      <c r="C9" s="90">
        <v>1.5E-3</v>
      </c>
      <c r="D9" s="17">
        <f>C9*$C$16</f>
        <v>2.2303500000000001</v>
      </c>
    </row>
    <row r="10" spans="1:4">
      <c r="B10" s="113" t="s">
        <v>802</v>
      </c>
      <c r="C10" s="90">
        <v>2.8999999999999998E-3</v>
      </c>
      <c r="D10" s="17">
        <f>C10*$C$16</f>
        <v>4.3120099999999999</v>
      </c>
    </row>
    <row r="11" spans="1:4">
      <c r="B11" s="113" t="s">
        <v>803</v>
      </c>
      <c r="C11" s="90">
        <v>5.0000000000000001E-4</v>
      </c>
      <c r="D11" s="17">
        <f>C11*$C$16</f>
        <v>0.74345000000000006</v>
      </c>
    </row>
    <row r="12" spans="1:4">
      <c r="B12" s="113" t="s">
        <v>804</v>
      </c>
      <c r="C12" s="90">
        <v>1.6500000000000001E-2</v>
      </c>
      <c r="D12" s="17">
        <f>C12*$C$16</f>
        <v>24.533850000000001</v>
      </c>
    </row>
    <row r="13" spans="1:4">
      <c r="B13" s="113" t="s">
        <v>805</v>
      </c>
      <c r="C13" s="90">
        <v>5.1799999999999999E-2</v>
      </c>
      <c r="D13" s="17">
        <f>C13*$C$16</f>
        <v>77.021420000000006</v>
      </c>
    </row>
    <row r="14" spans="1:4">
      <c r="C14" s="61">
        <f>SUM(C9:C13)</f>
        <v>7.3200000000000001E-2</v>
      </c>
      <c r="D14" s="47">
        <f>SUM(D9:D13)</f>
        <v>108.84108000000001</v>
      </c>
    </row>
    <row r="16" spans="1:4">
      <c r="B16" s="113" t="s">
        <v>806</v>
      </c>
      <c r="C16">
        <v>1486.9</v>
      </c>
    </row>
    <row r="17" spans="3:3">
      <c r="C17" s="37"/>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7C796-42F4-4198-879A-A1D9980D34BD}">
  <dimension ref="A1:D15"/>
  <sheetViews>
    <sheetView workbookViewId="0"/>
  </sheetViews>
  <sheetFormatPr defaultColWidth="8.85546875" defaultRowHeight="14.45"/>
  <cols>
    <col min="2" max="2" width="18.42578125" bestFit="1" customWidth="1"/>
    <col min="3" max="3" width="12.28515625" customWidth="1"/>
  </cols>
  <sheetData>
    <row r="1" spans="1:4">
      <c r="B1" t="s">
        <v>92</v>
      </c>
      <c r="C1" t="s">
        <v>807</v>
      </c>
    </row>
    <row r="2" spans="1:4">
      <c r="B2" t="s">
        <v>808</v>
      </c>
      <c r="C2" t="s">
        <v>809</v>
      </c>
    </row>
    <row r="3" spans="1:4">
      <c r="B3" t="s">
        <v>810</v>
      </c>
      <c r="C3" t="s">
        <v>811</v>
      </c>
    </row>
    <row r="5" spans="1:4">
      <c r="C5" t="s">
        <v>812</v>
      </c>
    </row>
    <row r="6" spans="1:4">
      <c r="A6" t="s">
        <v>813</v>
      </c>
      <c r="B6" t="s">
        <v>814</v>
      </c>
      <c r="C6" s="13">
        <v>3228.0639999999999</v>
      </c>
    </row>
    <row r="8" spans="1:4">
      <c r="B8" t="s">
        <v>815</v>
      </c>
    </row>
    <row r="9" spans="1:4">
      <c r="A9" t="s">
        <v>816</v>
      </c>
      <c r="B9" t="s">
        <v>817</v>
      </c>
    </row>
    <row r="10" spans="1:4">
      <c r="C10" t="s">
        <v>812</v>
      </c>
      <c r="D10" t="s">
        <v>818</v>
      </c>
    </row>
    <row r="11" spans="1:4">
      <c r="B11" t="s">
        <v>819</v>
      </c>
      <c r="C11">
        <v>115.877</v>
      </c>
      <c r="D11">
        <f>C11/1000</f>
        <v>0.11587699999999999</v>
      </c>
    </row>
    <row r="12" spans="1:4">
      <c r="B12" t="s">
        <v>820</v>
      </c>
      <c r="C12">
        <v>83.07</v>
      </c>
      <c r="D12">
        <f t="shared" ref="D12:D13" si="0">C12/1000</f>
        <v>8.3069999999999991E-2</v>
      </c>
    </row>
    <row r="13" spans="1:4">
      <c r="B13" t="s">
        <v>747</v>
      </c>
      <c r="C13">
        <v>374.37599999999998</v>
      </c>
      <c r="D13">
        <f t="shared" si="0"/>
        <v>0.37437599999999999</v>
      </c>
    </row>
    <row r="14" spans="1:4">
      <c r="C14" s="13"/>
    </row>
    <row r="15" spans="1:4">
      <c r="B15" t="s">
        <v>821</v>
      </c>
      <c r="C15">
        <f>SUM(C11:C13,C6)/1000</f>
        <v>3.8013869999999996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BF67-8509-4E8C-8902-2F3DF7DFCF75}">
  <dimension ref="A2:R239"/>
  <sheetViews>
    <sheetView topLeftCell="N20" workbookViewId="0">
      <selection activeCell="X27" sqref="X27"/>
    </sheetView>
  </sheetViews>
  <sheetFormatPr defaultColWidth="8.85546875" defaultRowHeight="14.45"/>
  <cols>
    <col min="2" max="2" width="11.140625" customWidth="1"/>
    <col min="4" max="4" width="15.28515625" customWidth="1"/>
    <col min="5" max="5" width="15.42578125" customWidth="1"/>
  </cols>
  <sheetData>
    <row r="2" spans="1:18">
      <c r="G2" t="s">
        <v>78</v>
      </c>
    </row>
    <row r="3" spans="1:18" ht="87">
      <c r="A3" t="s">
        <v>47</v>
      </c>
      <c r="B3" t="s">
        <v>20</v>
      </c>
      <c r="C3" t="s">
        <v>79</v>
      </c>
      <c r="D3" t="s">
        <v>80</v>
      </c>
      <c r="E3" t="s">
        <v>48</v>
      </c>
      <c r="F3" t="s">
        <v>81</v>
      </c>
      <c r="G3" t="s">
        <v>82</v>
      </c>
      <c r="H3" t="s">
        <v>83</v>
      </c>
      <c r="I3" t="s">
        <v>84</v>
      </c>
      <c r="J3" t="s">
        <v>85</v>
      </c>
      <c r="K3" t="s">
        <v>86</v>
      </c>
      <c r="L3" s="34" t="s">
        <v>81</v>
      </c>
      <c r="M3" s="34" t="s">
        <v>83</v>
      </c>
      <c r="N3" s="34" t="s">
        <v>84</v>
      </c>
      <c r="O3" s="34" t="s">
        <v>82</v>
      </c>
      <c r="P3" s="34" t="s">
        <v>85</v>
      </c>
      <c r="Q3" s="34" t="s">
        <v>86</v>
      </c>
    </row>
    <row r="4" spans="1:18">
      <c r="A4" t="s">
        <v>49</v>
      </c>
      <c r="B4" s="15">
        <f>IF(ISNUMBER(VLOOKUP($A4,'Justice Spend Total'!$B:$AY, 10,FALSE)),VLOOKUP($A4,'Justice Spend Total'!$B:$AY, 10,FALSE),#N/A)</f>
        <v>1240.52</v>
      </c>
      <c r="C4" s="15">
        <f>IF(ISNUMBER(VLOOKUP($A4,'Justice Spend Total'!$B:$AY, 11,FALSE)),VLOOKUP($A4,'Justice Spend Total'!$B:$AY, 11,FALSE),#N/A)</f>
        <v>53.251257748244306</v>
      </c>
      <c r="D4">
        <f>IF(ISNUMBER(VLOOKUP($A4,'Justice Spend Total'!$B:$AY, 12,FALSE)),VLOOKUP($A4,'Justice Spend Total'!$B:$AY, 12,FALSE),#N/A)</f>
        <v>2020</v>
      </c>
      <c r="E4" s="15">
        <f>IF(ISNUMBER(VLOOKUP($A4,'Justice Spend Total'!$B:$AY, 22,FALSE)),VLOOKUP($A4,'Justice Spend Total'!$B:$AY, 22,FALSE),#N/A)</f>
        <v>1.8717948950808341</v>
      </c>
      <c r="F4" s="15">
        <f>IF(ISNUMBER(VLOOKUP($A4,'Justice Spend Total'!$B:$AY, 23,FALSE)),VLOOKUP($A4,'Justice Spend Total'!$B:$AY, 23,FALSE),#N/A)</f>
        <v>1.0926864686830617</v>
      </c>
      <c r="G4" s="15">
        <f>IF(ISNUMBER(VLOOKUP($A4,'Justice Spend Total'!$B:$AY, 24,FALSE)),VLOOKUP($A4,'Justice Spend Total'!$B:$AY, 24,FALSE),#N/A)</f>
        <v>0.11591908092705601</v>
      </c>
      <c r="H4" s="15">
        <f>IF(ISNUMBER(VLOOKUP($A4,'Justice Spend Total'!$B:$AY, 25,FALSE)),VLOOKUP($A4,'Justice Spend Total'!$B:$AY, 25,FALSE),#N/A)</f>
        <v>0.31019236676447148</v>
      </c>
      <c r="I4" s="15">
        <f>IF(ISNUMBER(VLOOKUP($A4,'Justice Spend Total'!$B:$AY, 26,FALSE)),VLOOKUP($A4,'Justice Spend Total'!$B:$AY, 26,FALSE),#N/A)</f>
        <v>0.31567393665532012</v>
      </c>
      <c r="J4" s="15">
        <f>IF(ISNUMBER(VLOOKUP($A4,'Justice Spend Total'!$B:$AY, 27,FALSE)),VLOOKUP($A4,'Justice Spend Total'!$B:$AY, 27,FALSE),#N/A)</f>
        <v>0</v>
      </c>
      <c r="K4" s="15">
        <f>IF(ISNUMBER(VLOOKUP($A4,'Justice Spend Total'!$B:$AY, 28,FALSE)),VLOOKUP($A4,'Justice Spend Total'!$B:$AY, 28,FALSE),#N/A)</f>
        <v>3.7323042050922788E-2</v>
      </c>
      <c r="L4" s="4">
        <f t="shared" ref="L4:L32" si="0">F4/$E4</f>
        <v>0.58376399655469391</v>
      </c>
      <c r="M4" s="4">
        <f t="shared" ref="M4:M32" si="1">H4/$E4</f>
        <v>0.16571920757967221</v>
      </c>
      <c r="N4" s="4">
        <f t="shared" ref="N4:N32" si="2">I4/$E4</f>
        <v>0.16864771748492649</v>
      </c>
      <c r="O4" s="4">
        <f t="shared" ref="O4:O32" si="3">G4/$E4</f>
        <v>6.1929371231696839E-2</v>
      </c>
      <c r="P4" s="4">
        <f t="shared" ref="P4:P32" si="4">J4/$E4</f>
        <v>0</v>
      </c>
      <c r="Q4" s="4">
        <f t="shared" ref="Q4:Q32" si="5">K4/$E4</f>
        <v>1.9939707149009497E-2</v>
      </c>
      <c r="R4" s="4"/>
    </row>
    <row r="5" spans="1:18">
      <c r="A5" t="s">
        <v>50</v>
      </c>
      <c r="B5" s="15">
        <f>IF(ISNUMBER(VLOOKUP($A5,'Justice Spend Total'!$B:$AY, 10,FALSE)),VLOOKUP($A5,'Justice Spend Total'!$B:$AY, 10,FALSE),#N/A)</f>
        <v>122.492</v>
      </c>
      <c r="C5" s="15">
        <f>IF(ISNUMBER(VLOOKUP($A5,'Justice Spend Total'!$B:$AY, 11,FALSE)),VLOOKUP($A5,'Justice Spend Total'!$B:$AY, 11,FALSE),#N/A)</f>
        <v>51.468308157734413</v>
      </c>
      <c r="D5">
        <f>IF(ISNUMBER(VLOOKUP($A5,'Justice Spend Total'!$B:$AY, 12,FALSE)),VLOOKUP($A5,'Justice Spend Total'!$B:$AY, 12,FALSE),#N/A)</f>
        <v>2020</v>
      </c>
      <c r="E5" s="15">
        <f>IF(ISNUMBER(VLOOKUP($A5,'Justice Spend Total'!$B:$AY, 22,FALSE)),VLOOKUP($A5,'Justice Spend Total'!$B:$AY, 22,FALSE),#N/A)</f>
        <v>2.2688017089777439</v>
      </c>
      <c r="F5" s="15">
        <f>IF(ISNUMBER(VLOOKUP($A5,'Justice Spend Total'!$B:$AY, 23,FALSE)),VLOOKUP($A5,'Justice Spend Total'!$B:$AY, 23,FALSE),#N/A)</f>
        <v>1.0381536463850289</v>
      </c>
      <c r="G5" s="15">
        <f>IF(ISNUMBER(VLOOKUP($A5,'Justice Spend Total'!$B:$AY, 24,FALSE)),VLOOKUP($A5,'Justice Spend Total'!$B:$AY, 24,FALSE),#N/A)</f>
        <v>0.48946229762210269</v>
      </c>
      <c r="H5" s="15">
        <f>IF(ISNUMBER(VLOOKUP($A5,'Justice Spend Total'!$B:$AY, 25,FALSE)),VLOOKUP($A5,'Justice Spend Total'!$B:$AY, 25,FALSE),#N/A)</f>
        <v>0.46560615202371308</v>
      </c>
      <c r="I5" s="15">
        <f>IF(ISNUMBER(VLOOKUP($A5,'Justice Spend Total'!$B:$AY, 26,FALSE)),VLOOKUP($A5,'Justice Spend Total'!$B:$AY, 26,FALSE),#N/A)</f>
        <v>0.18591341052536986</v>
      </c>
      <c r="J5" s="15">
        <f>IF(ISNUMBER(VLOOKUP($A5,'Justice Spend Total'!$B:$AY, 27,FALSE)),VLOOKUP($A5,'Justice Spend Total'!$B:$AY, 27,FALSE),#N/A)</f>
        <v>2.467877130867734E-3</v>
      </c>
      <c r="K5" s="15">
        <f>IF(ISNUMBER(VLOOKUP($A5,'Justice Spend Total'!$B:$AY, 28,FALSE)),VLOOKUP($A5,'Justice Spend Total'!$B:$AY, 28,FALSE),#N/A)</f>
        <v>8.71983252906601E-2</v>
      </c>
      <c r="L5" s="4">
        <f t="shared" si="0"/>
        <v>0.45757795503988347</v>
      </c>
      <c r="M5" s="4">
        <f t="shared" si="1"/>
        <v>0.20522117476432158</v>
      </c>
      <c r="N5" s="4">
        <f t="shared" si="2"/>
        <v>8.1943437273386502E-2</v>
      </c>
      <c r="O5" s="4">
        <f t="shared" si="3"/>
        <v>0.21573604060913731</v>
      </c>
      <c r="P5" s="4">
        <f t="shared" si="4"/>
        <v>1.0877447425670741E-3</v>
      </c>
      <c r="Q5" s="4">
        <f t="shared" si="5"/>
        <v>3.8433647570703361E-2</v>
      </c>
      <c r="R5" s="4"/>
    </row>
    <row r="6" spans="1:18">
      <c r="A6" t="s">
        <v>51</v>
      </c>
      <c r="B6" s="15">
        <f>IF(ISNUMBER(VLOOKUP($A6,'Justice Spend Total'!$B:$AY, 10,FALSE)),VLOOKUP($A6,'Justice Spend Total'!$B:$AY, 10,FALSE),#N/A)</f>
        <v>2071.4299999999998</v>
      </c>
      <c r="C6" s="15">
        <f>IF(ISNUMBER(VLOOKUP($A6,'Justice Spend Total'!$B:$AY, 11,FALSE)),VLOOKUP($A6,'Justice Spend Total'!$B:$AY, 11,FALSE),#N/A)</f>
        <v>49.984677121615391</v>
      </c>
      <c r="D6">
        <f>IF(ISNUMBER(VLOOKUP($A6,'Justice Spend Total'!$B:$AY, 12,FALSE)),VLOOKUP($A6,'Justice Spend Total'!$B:$AY, 12,FALSE),#N/A)</f>
        <v>2021</v>
      </c>
      <c r="E6" s="15">
        <f>IF(ISNUMBER(VLOOKUP($A6,'Justice Spend Total'!$B:$AY, 22,FALSE)),VLOOKUP($A6,'Justice Spend Total'!$B:$AY, 22,FALSE),#N/A)</f>
        <v>2.59494485451527</v>
      </c>
      <c r="F6" s="15">
        <f>IF(ISNUMBER(VLOOKUP($A6,'Justice Spend Total'!$B:$AY, 23,FALSE)),VLOOKUP($A6,'Justice Spend Total'!$B:$AY, 23,FALSE),#N/A)</f>
        <v>1.2701896078386221</v>
      </c>
      <c r="G6" s="15">
        <f>IF(ISNUMBER(VLOOKUP($A6,'Justice Spend Total'!$B:$AY, 24,FALSE)),VLOOKUP($A6,'Justice Spend Total'!$B:$AY, 24,FALSE),#N/A)</f>
        <v>0.5904928155672825</v>
      </c>
      <c r="H6" s="15">
        <f>IF(ISNUMBER(VLOOKUP($A6,'Justice Spend Total'!$B:$AY, 25,FALSE)),VLOOKUP($A6,'Justice Spend Total'!$B:$AY, 25,FALSE),#N/A)</f>
        <v>0.33354785244599555</v>
      </c>
      <c r="I6" s="15">
        <f>IF(ISNUMBER(VLOOKUP($A6,'Justice Spend Total'!$B:$AY, 26,FALSE)),VLOOKUP($A6,'Justice Spend Total'!$B:$AY, 26,FALSE),#N/A)</f>
        <v>0.29638929710409445</v>
      </c>
      <c r="J6" s="15">
        <f>IF(ISNUMBER(VLOOKUP($A6,'Justice Spend Total'!$B:$AY, 27,FALSE)),VLOOKUP($A6,'Justice Spend Total'!$B:$AY, 27,FALSE),#N/A)</f>
        <v>5.5210345634181486E-2</v>
      </c>
      <c r="K6" s="15">
        <f>IF(ISNUMBER(VLOOKUP($A6,'Justice Spend Total'!$B:$AY, 28,FALSE)),VLOOKUP($A6,'Justice Spend Total'!$B:$AY, 28,FALSE),#N/A)</f>
        <v>4.9114935925099967E-2</v>
      </c>
      <c r="L6" s="4">
        <f t="shared" si="0"/>
        <v>0.48948616600790568</v>
      </c>
      <c r="M6" s="4">
        <f t="shared" si="1"/>
        <v>0.12853754940711506</v>
      </c>
      <c r="N6" s="4">
        <f t="shared" si="2"/>
        <v>0.11421795595708692</v>
      </c>
      <c r="O6" s="4">
        <f t="shared" si="3"/>
        <v>0.22755505364201092</v>
      </c>
      <c r="P6" s="4">
        <f t="shared" si="4"/>
        <v>2.1276115189158677E-2</v>
      </c>
      <c r="Q6" s="4">
        <f t="shared" si="5"/>
        <v>1.8927159796725056E-2</v>
      </c>
      <c r="R6" s="4"/>
    </row>
    <row r="7" spans="1:18">
      <c r="A7" t="s">
        <v>52</v>
      </c>
      <c r="B7" s="15">
        <f>IF(ISNUMBER(VLOOKUP($A7,'Justice Spend Total'!$B:$AY, 10,FALSE)),VLOOKUP($A7,'Justice Spend Total'!$B:$AY, 10,FALSE),#N/A)</f>
        <v>2424.83</v>
      </c>
      <c r="C7" s="15">
        <f>IF(ISNUMBER(VLOOKUP($A7,'Justice Spend Total'!$B:$AY, 11,FALSE)),VLOOKUP($A7,'Justice Spend Total'!$B:$AY, 11,FALSE),#N/A)</f>
        <v>48.620484995769218</v>
      </c>
      <c r="D7">
        <f>IF(ISNUMBER(VLOOKUP($A7,'Justice Spend Total'!$B:$AY, 12,FALSE)),VLOOKUP($A7,'Justice Spend Total'!$B:$AY, 12,FALSE),#N/A)</f>
        <v>2020</v>
      </c>
      <c r="E7" s="15">
        <f>IF(ISNUMBER(VLOOKUP($A7,'Justice Spend Total'!$B:$AY, 22,FALSE)),VLOOKUP($A7,'Justice Spend Total'!$B:$AY, 22,FALSE),#N/A)</f>
        <v>2.8760157631548267</v>
      </c>
      <c r="F7" s="15">
        <f>IF(ISNUMBER(VLOOKUP($A7,'Justice Spend Total'!$B:$AY, 23,FALSE)),VLOOKUP($A7,'Justice Spend Total'!$B:$AY, 23,FALSE),#N/A)</f>
        <v>1.4622759670595156</v>
      </c>
      <c r="G7" s="15">
        <f>IF(ISNUMBER(VLOOKUP($A7,'Justice Spend Total'!$B:$AY, 24,FALSE)),VLOOKUP($A7,'Justice Spend Total'!$B:$AY, 24,FALSE),#N/A)</f>
        <v>0.39328331047445941</v>
      </c>
      <c r="H7" s="15">
        <f>IF(ISNUMBER(VLOOKUP($A7,'Justice Spend Total'!$B:$AY, 25,FALSE)),VLOOKUP($A7,'Justice Spend Total'!$B:$AY, 25,FALSE),#N/A)</f>
        <v>0.55374983488674978</v>
      </c>
      <c r="I7" s="15">
        <f>IF(ISNUMBER(VLOOKUP($A7,'Justice Spend Total'!$B:$AY, 26,FALSE)),VLOOKUP($A7,'Justice Spend Total'!$B:$AY, 26,FALSE),#N/A)</f>
        <v>0.44371800513285037</v>
      </c>
      <c r="J7" s="15">
        <f>IF(ISNUMBER(VLOOKUP($A7,'Justice Spend Total'!$B:$AY, 27,FALSE)),VLOOKUP($A7,'Justice Spend Total'!$B:$AY, 27,FALSE),#N/A)</f>
        <v>0</v>
      </c>
      <c r="K7" s="15">
        <f>IF(ISNUMBER(VLOOKUP($A7,'Justice Spend Total'!$B:$AY, 28,FALSE)),VLOOKUP($A7,'Justice Spend Total'!$B:$AY, 28,FALSE),#N/A)</f>
        <v>2.2988645601246058E-2</v>
      </c>
      <c r="L7" s="4">
        <f t="shared" si="0"/>
        <v>0.50843809195798062</v>
      </c>
      <c r="M7" s="4">
        <f t="shared" si="1"/>
        <v>0.19254061190517174</v>
      </c>
      <c r="N7" s="4">
        <f t="shared" si="2"/>
        <v>0.15428218816371048</v>
      </c>
      <c r="O7" s="4">
        <f t="shared" si="3"/>
        <v>0.13674588140749613</v>
      </c>
      <c r="P7" s="4">
        <f t="shared" si="4"/>
        <v>0</v>
      </c>
      <c r="Q7" s="4">
        <f t="shared" si="5"/>
        <v>7.9932265656391301E-3</v>
      </c>
      <c r="R7" s="4"/>
    </row>
    <row r="8" spans="1:18">
      <c r="A8" t="s">
        <v>53</v>
      </c>
      <c r="B8" s="15">
        <f>IF(ISNUMBER(VLOOKUP($A8,'Justice Spend Total'!$B:$AY, 10,FALSE)),VLOOKUP($A8,'Justice Spend Total'!$B:$AY, 10,FALSE),#N/A)</f>
        <v>184.91499999999999</v>
      </c>
      <c r="C8" s="15">
        <f>IF(ISNUMBER(VLOOKUP($A8,'Justice Spend Total'!$B:$AY, 11,FALSE)),VLOOKUP($A8,'Justice Spend Total'!$B:$AY, 11,FALSE),#N/A)</f>
        <v>48.748948779529734</v>
      </c>
      <c r="D8">
        <f>IF(ISNUMBER(VLOOKUP($A8,'Justice Spend Total'!$B:$AY, 12,FALSE)),VLOOKUP($A8,'Justice Spend Total'!$B:$AY, 12,FALSE),#N/A)</f>
        <v>2020</v>
      </c>
      <c r="E8" s="15">
        <f>IF(ISNUMBER(VLOOKUP($A8,'Justice Spend Total'!$B:$AY, 22,FALSE)),VLOOKUP($A8,'Justice Spend Total'!$B:$AY, 22,FALSE),#N/A)</f>
        <v>2.9337578452132038</v>
      </c>
      <c r="F8" s="15">
        <f>IF(ISNUMBER(VLOOKUP($A8,'Justice Spend Total'!$B:$AY, 23,FALSE)),VLOOKUP($A8,'Justice Spend Total'!$B:$AY, 23,FALSE),#N/A)</f>
        <v>1.4895610408931321</v>
      </c>
      <c r="G8" s="15">
        <f>IF(ISNUMBER(VLOOKUP($A8,'Justice Spend Total'!$B:$AY, 24,FALSE)),VLOOKUP($A8,'Justice Spend Total'!$B:$AY, 24,FALSE),#N/A)</f>
        <v>0.35834012096966933</v>
      </c>
      <c r="H8" s="15">
        <f>IF(ISNUMBER(VLOOKUP($A8,'Justice Spend Total'!$B:$AY, 25,FALSE)),VLOOKUP($A8,'Justice Spend Total'!$B:$AY, 25,FALSE),#N/A)</f>
        <v>0.58526955878447229</v>
      </c>
      <c r="I8" s="15">
        <f>IF(ISNUMBER(VLOOKUP($A8,'Justice Spend Total'!$B:$AY, 26,FALSE)),VLOOKUP($A8,'Justice Spend Total'!$B:$AY, 26,FALSE),#N/A)</f>
        <v>0.31439402423458473</v>
      </c>
      <c r="J8" s="15">
        <f>IF(ISNUMBER(VLOOKUP($A8,'Justice Spend Total'!$B:$AY, 27,FALSE)),VLOOKUP($A8,'Justice Spend Total'!$B:$AY, 27,FALSE),#N/A)</f>
        <v>5.7337233983833072E-2</v>
      </c>
      <c r="K8" s="15">
        <f>IF(ISNUMBER(VLOOKUP($A8,'Justice Spend Total'!$B:$AY, 28,FALSE)),VLOOKUP($A8,'Justice Spend Total'!$B:$AY, 28,FALSE),#N/A)</f>
        <v>0.12885586634750601</v>
      </c>
      <c r="L8" s="4">
        <f t="shared" si="0"/>
        <v>0.50773142143396022</v>
      </c>
      <c r="M8" s="4">
        <f t="shared" si="1"/>
        <v>0.1994948423365662</v>
      </c>
      <c r="N8" s="4">
        <f t="shared" si="2"/>
        <v>0.10716427217998181</v>
      </c>
      <c r="O8" s="4">
        <f t="shared" si="3"/>
        <v>0.12214372824067482</v>
      </c>
      <c r="P8" s="4">
        <f t="shared" si="4"/>
        <v>1.9543955912171146E-2</v>
      </c>
      <c r="Q8" s="4">
        <f t="shared" si="5"/>
        <v>4.3921779896643691E-2</v>
      </c>
      <c r="R8" s="4"/>
    </row>
    <row r="9" spans="1:18">
      <c r="A9" t="s">
        <v>54</v>
      </c>
      <c r="B9" s="15">
        <f>IF(ISNUMBER(VLOOKUP($A9,'Justice Spend Total'!$B:$AY, 10,FALSE)),VLOOKUP($A9,'Justice Spend Total'!$B:$AY, 10,FALSE),#N/A)</f>
        <v>28.202999999999999</v>
      </c>
      <c r="C9" s="15">
        <f>IF(ISNUMBER(VLOOKUP($A9,'Justice Spend Total'!$B:$AY, 11,FALSE)),VLOOKUP($A9,'Justice Spend Total'!$B:$AY, 11,FALSE),#N/A)</f>
        <v>43.915541645256226</v>
      </c>
      <c r="D9">
        <f>IF(ISNUMBER(VLOOKUP($A9,'Justice Spend Total'!$B:$AY, 12,FALSE)),VLOOKUP($A9,'Justice Spend Total'!$B:$AY, 12,FALSE),#N/A)</f>
        <v>2020</v>
      </c>
      <c r="E9" s="15">
        <f>IF(ISNUMBER(VLOOKUP($A9,'Justice Spend Total'!$B:$AY, 22,FALSE)),VLOOKUP($A9,'Justice Spend Total'!$B:$AY, 22,FALSE),#N/A)</f>
        <v>2.9497514856108795</v>
      </c>
      <c r="F9" s="15">
        <f>IF(ISNUMBER(VLOOKUP($A9,'Justice Spend Total'!$B:$AY, 23,FALSE)),VLOOKUP($A9,'Justice Spend Total'!$B:$AY, 23,FALSE),#N/A)</f>
        <v>1.2163161309693518</v>
      </c>
      <c r="G9" s="15">
        <f>IF(ISNUMBER(VLOOKUP($A9,'Justice Spend Total'!$B:$AY, 24,FALSE)),VLOOKUP($A9,'Justice Spend Total'!$B:$AY, 24,FALSE),#N/A)</f>
        <v>0.64924438168179743</v>
      </c>
      <c r="H9" s="15">
        <f>IF(ISNUMBER(VLOOKUP($A9,'Justice Spend Total'!$B:$AY, 25,FALSE)),VLOOKUP($A9,'Justice Spend Total'!$B:$AY, 25,FALSE),#N/A)</f>
        <v>0.53735441633848069</v>
      </c>
      <c r="I9" s="15">
        <f>IF(ISNUMBER(VLOOKUP($A9,'Justice Spend Total'!$B:$AY, 26,FALSE)),VLOOKUP($A9,'Justice Spend Total'!$B:$AY, 26,FALSE),#N/A)</f>
        <v>0.40855208996668901</v>
      </c>
      <c r="J9" s="15">
        <f>IF(ISNUMBER(VLOOKUP($A9,'Justice Spend Total'!$B:$AY, 27,FALSE)),VLOOKUP($A9,'Justice Spend Total'!$B:$AY, 27,FALSE),#N/A)</f>
        <v>3.883381975031814E-2</v>
      </c>
      <c r="K9" s="15">
        <f>IF(ISNUMBER(VLOOKUP($A9,'Justice Spend Total'!$B:$AY, 28,FALSE)),VLOOKUP($A9,'Justice Spend Total'!$B:$AY, 28,FALSE),#N/A)</f>
        <v>9.9447096870432516E-2</v>
      </c>
      <c r="L9" s="4">
        <f t="shared" si="0"/>
        <v>0.41234528973123258</v>
      </c>
      <c r="M9" s="4">
        <f t="shared" si="1"/>
        <v>0.18216938578037437</v>
      </c>
      <c r="N9" s="4">
        <f t="shared" si="2"/>
        <v>0.13850390175566937</v>
      </c>
      <c r="O9" s="4">
        <f t="shared" si="3"/>
        <v>0.22010138306527272</v>
      </c>
      <c r="P9" s="4">
        <f t="shared" si="4"/>
        <v>1.3165115752887176E-2</v>
      </c>
      <c r="Q9" s="4">
        <f t="shared" si="5"/>
        <v>3.3713720411886659E-2</v>
      </c>
      <c r="R9" s="4"/>
    </row>
    <row r="10" spans="1:18">
      <c r="A10" t="s">
        <v>55</v>
      </c>
      <c r="B10" s="15">
        <f>IF(ISNUMBER(VLOOKUP($A10,'Justice Spend Total'!$B:$AY, 10,FALSE)),VLOOKUP($A10,'Justice Spend Total'!$B:$AY, 10,FALSE),#N/A)</f>
        <v>1310.6199999999999</v>
      </c>
      <c r="C10" s="15">
        <f>IF(ISNUMBER(VLOOKUP($A10,'Justice Spend Total'!$B:$AY, 11,FALSE)),VLOOKUP($A10,'Justice Spend Total'!$B:$AY, 11,FALSE),#N/A)</f>
        <v>52.81372023581654</v>
      </c>
      <c r="D10">
        <f>IF(ISNUMBER(VLOOKUP($A10,'Justice Spend Total'!$B:$AY, 12,FALSE)),VLOOKUP($A10,'Justice Spend Total'!$B:$AY, 12,FALSE),#N/A)</f>
        <v>2021</v>
      </c>
      <c r="E10" s="15">
        <f>IF(ISNUMBER(VLOOKUP($A10,'Justice Spend Total'!$B:$AY, 22,FALSE)),VLOOKUP($A10,'Justice Spend Total'!$B:$AY, 22,FALSE),#N/A)</f>
        <v>3.3586684324843326</v>
      </c>
      <c r="F10" s="15">
        <f>IF(ISNUMBER(VLOOKUP($A10,'Justice Spend Total'!$B:$AY, 23,FALSE)),VLOOKUP($A10,'Justice Spend Total'!$B:$AY, 23,FALSE),#N/A)</f>
        <v>1.8928224922084176</v>
      </c>
      <c r="G10" s="15">
        <f>IF(ISNUMBER(VLOOKUP($A10,'Justice Spend Total'!$B:$AY, 24,FALSE)),VLOOKUP($A10,'Justice Spend Total'!$B:$AY, 24,FALSE),#N/A)</f>
        <v>0.54677336228599871</v>
      </c>
      <c r="H10" s="15">
        <f>IF(ISNUMBER(VLOOKUP($A10,'Justice Spend Total'!$B:$AY, 25,FALSE)),VLOOKUP($A10,'Justice Spend Total'!$B:$AY, 25,FALSE),#N/A)</f>
        <v>0.46710067235289687</v>
      </c>
      <c r="I10" s="15">
        <f>IF(ISNUMBER(VLOOKUP($A10,'Justice Spend Total'!$B:$AY, 26,FALSE)),VLOOKUP($A10,'Justice Spend Total'!$B:$AY, 26,FALSE),#N/A)</f>
        <v>0.32674847243978283</v>
      </c>
      <c r="J10" s="15">
        <f>IF(ISNUMBER(VLOOKUP($A10,'Justice Spend Total'!$B:$AY, 27,FALSE)),VLOOKUP($A10,'Justice Spend Total'!$B:$AY, 27,FALSE),#N/A)</f>
        <v>1.2333233735774406E-3</v>
      </c>
      <c r="K10" s="15">
        <f>IF(ISNUMBER(VLOOKUP($A10,'Justice Spend Total'!$B:$AY, 28,FALSE)),VLOOKUP($A10,'Justice Spend Total'!$B:$AY, 28,FALSE),#N/A)</f>
        <v>0.12390788826541362</v>
      </c>
      <c r="L10" s="4">
        <f t="shared" si="0"/>
        <v>0.56356336752429559</v>
      </c>
      <c r="M10" s="4">
        <f t="shared" si="1"/>
        <v>0.13907317192587326</v>
      </c>
      <c r="N10" s="4">
        <f t="shared" si="2"/>
        <v>9.7285123258830958E-2</v>
      </c>
      <c r="O10" s="4">
        <f t="shared" si="3"/>
        <v>0.16279468285637311</v>
      </c>
      <c r="P10" s="4">
        <f t="shared" si="4"/>
        <v>3.6720605155572878E-4</v>
      </c>
      <c r="Q10" s="4">
        <f t="shared" si="5"/>
        <v>3.6891967979632241E-2</v>
      </c>
      <c r="R10" s="4"/>
    </row>
    <row r="11" spans="1:18">
      <c r="A11" t="s">
        <v>56</v>
      </c>
      <c r="B11" s="15">
        <f>IF(ISNUMBER(VLOOKUP($A11,'Justice Spend Total'!$B:$AY, 10,FALSE)),VLOOKUP($A11,'Justice Spend Total'!$B:$AY, 10,FALSE),#N/A)</f>
        <v>1705.77</v>
      </c>
      <c r="C11" s="15">
        <f>IF(ISNUMBER(VLOOKUP($A11,'Justice Spend Total'!$B:$AY, 11,FALSE)),VLOOKUP($A11,'Justice Spend Total'!$B:$AY, 11,FALSE),#N/A)</f>
        <v>47.772375665850745</v>
      </c>
      <c r="D11">
        <f>IF(ISNUMBER(VLOOKUP($A11,'Justice Spend Total'!$B:$AY, 12,FALSE)),VLOOKUP($A11,'Justice Spend Total'!$B:$AY, 12,FALSE),#N/A)</f>
        <v>2021</v>
      </c>
      <c r="E11" s="15">
        <f>IF(ISNUMBER(VLOOKUP($A11,'Justice Spend Total'!$B:$AY, 22,FALSE)),VLOOKUP($A11,'Justice Spend Total'!$B:$AY, 22,FALSE),#N/A)</f>
        <v>3.5912676468270579</v>
      </c>
      <c r="F11" s="15">
        <f>IF(ISNUMBER(VLOOKUP($A11,'Justice Spend Total'!$B:$AY, 23,FALSE)),VLOOKUP($A11,'Justice Spend Total'!$B:$AY, 23,FALSE),#N/A)</f>
        <v>1.69801225977282</v>
      </c>
      <c r="G11" s="15">
        <f>IF(ISNUMBER(VLOOKUP($A11,'Justice Spend Total'!$B:$AY, 24,FALSE)),VLOOKUP($A11,'Justice Spend Total'!$B:$AY, 24,FALSE),#N/A)</f>
        <v>0.65858036725456848</v>
      </c>
      <c r="H11" s="15">
        <f>IF(ISNUMBER(VLOOKUP($A11,'Justice Spend Total'!$B:$AY, 25,FALSE)),VLOOKUP($A11,'Justice Spend Total'!$B:$AY, 25,FALSE),#N/A)</f>
        <v>0.8287110388143365</v>
      </c>
      <c r="I11" s="15">
        <f>IF(ISNUMBER(VLOOKUP($A11,'Justice Spend Total'!$B:$AY, 26,FALSE)),VLOOKUP($A11,'Justice Spend Total'!$B:$AY, 26,FALSE),#N/A)</f>
        <v>0.20680480244039132</v>
      </c>
      <c r="J11" s="15">
        <f>IF(ISNUMBER(VLOOKUP($A11,'Justice Spend Total'!$B:$AY, 27,FALSE)),VLOOKUP($A11,'Justice Spend Total'!$B:$AY, 27,FALSE),#N/A)</f>
        <v>1.9891054036947774E-3</v>
      </c>
      <c r="K11" s="15">
        <f>IF(ISNUMBER(VLOOKUP($A11,'Justice Spend Total'!$B:$AY, 28,FALSE)),VLOOKUP($A11,'Justice Spend Total'!$B:$AY, 28,FALSE),#N/A)</f>
        <v>0.19717007314124468</v>
      </c>
      <c r="L11" s="4">
        <f t="shared" si="0"/>
        <v>0.47281696235395904</v>
      </c>
      <c r="M11" s="4">
        <f t="shared" si="1"/>
        <v>0.2307572479446125</v>
      </c>
      <c r="N11" s="4">
        <f t="shared" si="2"/>
        <v>5.7585460839463372E-2</v>
      </c>
      <c r="O11" s="4">
        <f t="shared" si="3"/>
        <v>0.18338381652964092</v>
      </c>
      <c r="P11" s="4">
        <f t="shared" si="4"/>
        <v>5.538727823453046E-4</v>
      </c>
      <c r="Q11" s="4">
        <f t="shared" si="5"/>
        <v>5.4902639549978288E-2</v>
      </c>
      <c r="R11" s="4"/>
    </row>
    <row r="12" spans="1:18">
      <c r="A12" t="s">
        <v>57</v>
      </c>
      <c r="B12" s="15">
        <f>IF(ISNUMBER(VLOOKUP($A12,'Justice Spend Total'!$B:$AY, 10,FALSE)),VLOOKUP($A12,'Justice Spend Total'!$B:$AY, 10,FALSE),#N/A)</f>
        <v>191417.7</v>
      </c>
      <c r="C12" s="15">
        <f>IF(ISNUMBER(VLOOKUP($A12,'Justice Spend Total'!$B:$AY, 11,FALSE)),VLOOKUP($A12,'Justice Spend Total'!$B:$AY, 11,FALSE),#N/A)</f>
        <v>35.569224056843062</v>
      </c>
      <c r="D12">
        <f>IF(ISNUMBER(VLOOKUP($A12,'Justice Spend Total'!$B:$AY, 12,FALSE)),VLOOKUP($A12,'Justice Spend Total'!$B:$AY, 12,FALSE),#N/A)</f>
        <v>2020</v>
      </c>
      <c r="E12" s="15">
        <f>IF(ISNUMBER(VLOOKUP($A12,'Justice Spend Total'!$B:$AY, 22,FALSE)),VLOOKUP($A12,'Justice Spend Total'!$B:$AY, 22,FALSE),#N/A)</f>
        <v>3.6215735478668494</v>
      </c>
      <c r="F12" s="15">
        <f>IF(ISNUMBER(VLOOKUP($A12,'Justice Spend Total'!$B:$AY, 23,FALSE)),VLOOKUP($A12,'Justice Spend Total'!$B:$AY, 23,FALSE),#N/A)</f>
        <v>1.8790513894598453</v>
      </c>
      <c r="G12" s="15">
        <f>IF(ISNUMBER(VLOOKUP($A12,'Justice Spend Total'!$B:$AY, 24,FALSE)),VLOOKUP($A12,'Justice Spend Total'!$B:$AY, 24,FALSE),#N/A)</f>
        <v>1.0571099292720003</v>
      </c>
      <c r="H12" s="15">
        <f>IF(ISNUMBER(VLOOKUP($A12,'Justice Spend Total'!$B:$AY, 25,FALSE)),VLOOKUP($A12,'Justice Spend Total'!$B:$AY, 25,FALSE),#N/A)</f>
        <v>0.29482172256023442</v>
      </c>
      <c r="I12" s="15">
        <f>IF(ISNUMBER(VLOOKUP($A12,'Justice Spend Total'!$B:$AY, 26,FALSE)),VLOOKUP($A12,'Justice Spend Total'!$B:$AY, 26,FALSE),#N/A)</f>
        <v>0.13224964506419412</v>
      </c>
      <c r="J12" s="15">
        <f>IF(ISNUMBER(VLOOKUP($A12,'Justice Spend Total'!$B:$AY, 27,FALSE)),VLOOKUP($A12,'Justice Spend Total'!$B:$AY, 27,FALSE),#N/A)</f>
        <v>1.3569418988433502E-3</v>
      </c>
      <c r="K12" s="15">
        <f>IF(ISNUMBER(VLOOKUP($A12,'Justice Spend Total'!$B:$AY, 28,FALSE)),VLOOKUP($A12,'Justice Spend Total'!$B:$AY, 28,FALSE),#N/A)</f>
        <v>0.25693172953868504</v>
      </c>
      <c r="L12" s="4">
        <f t="shared" si="0"/>
        <v>0.51884943509338066</v>
      </c>
      <c r="M12" s="4">
        <f t="shared" si="1"/>
        <v>8.1407078625778007E-2</v>
      </c>
      <c r="N12" s="4">
        <f t="shared" si="2"/>
        <v>3.6517177772653758E-2</v>
      </c>
      <c r="O12" s="4">
        <f t="shared" si="3"/>
        <v>0.29189243716854812</v>
      </c>
      <c r="P12" s="4">
        <f t="shared" si="4"/>
        <v>3.7468296057182254E-4</v>
      </c>
      <c r="Q12" s="4">
        <f t="shared" si="5"/>
        <v>7.0944777495964687E-2</v>
      </c>
      <c r="R12" s="4"/>
    </row>
    <row r="13" spans="1:18">
      <c r="A13" t="s">
        <v>58</v>
      </c>
      <c r="B13" s="15">
        <f>IF(ISNUMBER(VLOOKUP($A13,'Justice Spend Total'!$B:$AY, 10,FALSE)),VLOOKUP($A13,'Justice Spend Total'!$B:$AY, 10,FALSE),#N/A)</f>
        <v>228.97800000000001</v>
      </c>
      <c r="C13" s="15">
        <f>IF(ISNUMBER(VLOOKUP($A13,'Justice Spend Total'!$B:$AY, 11,FALSE)),VLOOKUP($A13,'Justice Spend Total'!$B:$AY, 11,FALSE),#N/A)</f>
        <v>50.116219516999571</v>
      </c>
      <c r="D13">
        <f>IF(ISNUMBER(VLOOKUP($A13,'Justice Spend Total'!$B:$AY, 12,FALSE)),VLOOKUP($A13,'Justice Spend Total'!$B:$AY, 12,FALSE),#N/A)</f>
        <v>2020</v>
      </c>
      <c r="E13" s="15">
        <f>IF(ISNUMBER(VLOOKUP($A13,'Justice Spend Total'!$B:$AY, 22,FALSE)),VLOOKUP($A13,'Justice Spend Total'!$B:$AY, 22,FALSE),#N/A)</f>
        <v>3.6316378268193934</v>
      </c>
      <c r="F13" s="15">
        <f>IF(ISNUMBER(VLOOKUP($A13,'Justice Spend Total'!$B:$AY, 23,FALSE)),VLOOKUP($A13,'Justice Spend Total'!$B:$AY, 23,FALSE),#N/A)</f>
        <v>2.1813885743343491</v>
      </c>
      <c r="G13" s="15">
        <f>IF(ISNUMBER(VLOOKUP($A13,'Justice Spend Total'!$B:$AY, 24,FALSE)),VLOOKUP($A13,'Justice Spend Total'!$B:$AY, 24,FALSE),#N/A)</f>
        <v>0.41054720086663304</v>
      </c>
      <c r="H13" s="15">
        <f>IF(ISNUMBER(VLOOKUP($A13,'Justice Spend Total'!$B:$AY, 25,FALSE)),VLOOKUP($A13,'Justice Spend Total'!$B:$AY, 25,FALSE),#N/A)</f>
        <v>0.5308411130025007</v>
      </c>
      <c r="I13" s="15">
        <f>IF(ISNUMBER(VLOOKUP($A13,'Justice Spend Total'!$B:$AY, 26,FALSE)),VLOOKUP($A13,'Justice Spend Total'!$B:$AY, 26,FALSE),#N/A)</f>
        <v>0.28056785977571125</v>
      </c>
      <c r="J13" s="15">
        <f>IF(ISNUMBER(VLOOKUP($A13,'Justice Spend Total'!$B:$AY, 27,FALSE)),VLOOKUP($A13,'Justice Spend Total'!$B:$AY, 27,FALSE),#N/A)</f>
        <v>8.0490779443851534E-3</v>
      </c>
      <c r="K13" s="15">
        <f>IF(ISNUMBER(VLOOKUP($A13,'Justice Spend Total'!$B:$AY, 28,FALSE)),VLOOKUP($A13,'Justice Spend Total'!$B:$AY, 28,FALSE),#N/A)</f>
        <v>0.2202882265988039</v>
      </c>
      <c r="L13" s="4">
        <f t="shared" si="0"/>
        <v>0.60066247747089363</v>
      </c>
      <c r="M13" s="4">
        <f t="shared" si="1"/>
        <v>0.14617126991085838</v>
      </c>
      <c r="N13" s="4">
        <f t="shared" si="2"/>
        <v>7.725656388523576E-2</v>
      </c>
      <c r="O13" s="4">
        <f t="shared" si="3"/>
        <v>0.11304739636611626</v>
      </c>
      <c r="P13" s="4">
        <f t="shared" si="4"/>
        <v>2.2163768327731559E-3</v>
      </c>
      <c r="Q13" s="4">
        <f t="shared" si="5"/>
        <v>6.0658093428807972E-2</v>
      </c>
      <c r="R13" s="4"/>
    </row>
    <row r="14" spans="1:18">
      <c r="A14" t="s">
        <v>59</v>
      </c>
      <c r="B14" s="15">
        <f>IF(ISNUMBER(VLOOKUP($A14,'Justice Spend Total'!$B:$AY, 10,FALSE)),VLOOKUP($A14,'Justice Spend Total'!$B:$AY, 10,FALSE),#N/A)</f>
        <v>1231.6099999999999</v>
      </c>
      <c r="C14" s="15">
        <f>IF(ISNUMBER(VLOOKUP($A14,'Justice Spend Total'!$B:$AY, 11,FALSE)),VLOOKUP($A14,'Justice Spend Total'!$B:$AY, 11,FALSE),#N/A)</f>
        <v>42.056432198383455</v>
      </c>
      <c r="D14">
        <f>IF(ISNUMBER(VLOOKUP($A14,'Justice Spend Total'!$B:$AY, 12,FALSE)),VLOOKUP($A14,'Justice Spend Total'!$B:$AY, 12,FALSE),#N/A)</f>
        <v>2020</v>
      </c>
      <c r="E14" s="15">
        <f>IF(ISNUMBER(VLOOKUP($A14,'Justice Spend Total'!$B:$AY, 22,FALSE)),VLOOKUP($A14,'Justice Spend Total'!$B:$AY, 22,FALSE),#N/A)</f>
        <v>3.7817087899709736</v>
      </c>
      <c r="F14" s="15">
        <f>IF(ISNUMBER(VLOOKUP($A14,'Justice Spend Total'!$B:$AY, 23,FALSE)),VLOOKUP($A14,'Justice Spend Total'!$B:$AY, 23,FALSE),#N/A)</f>
        <v>2.1155731072844337</v>
      </c>
      <c r="G14" s="15">
        <f>IF(ISNUMBER(VLOOKUP($A14,'Justice Spend Total'!$B:$AY, 24,FALSE)),VLOOKUP($A14,'Justice Spend Total'!$B:$AY, 24,FALSE),#N/A)</f>
        <v>0.23695000335615893</v>
      </c>
      <c r="H14" s="15">
        <f>IF(ISNUMBER(VLOOKUP($A14,'Justice Spend Total'!$B:$AY, 25,FALSE)),VLOOKUP($A14,'Justice Spend Total'!$B:$AY, 25,FALSE),#N/A)</f>
        <v>0.59163518228178669</v>
      </c>
      <c r="I14" s="15">
        <f>IF(ISNUMBER(VLOOKUP($A14,'Justice Spend Total'!$B:$AY, 26,FALSE)),VLOOKUP($A14,'Justice Spend Total'!$B:$AY, 26,FALSE),#N/A)</f>
        <v>0.18249562869120178</v>
      </c>
      <c r="J14" s="15">
        <f>IF(ISNUMBER(VLOOKUP($A14,'Justice Spend Total'!$B:$AY, 27,FALSE)),VLOOKUP($A14,'Justice Spend Total'!$B:$AY, 27,FALSE),#N/A)</f>
        <v>0</v>
      </c>
      <c r="K14" s="15">
        <f>IF(ISNUMBER(VLOOKUP($A14,'Justice Spend Total'!$B:$AY, 28,FALSE)),VLOOKUP($A14,'Justice Spend Total'!$B:$AY, 28,FALSE),#N/A)</f>
        <v>0.65505486835739546</v>
      </c>
      <c r="L14" s="4">
        <f t="shared" si="0"/>
        <v>0.5594225321883316</v>
      </c>
      <c r="M14" s="4">
        <f t="shared" si="1"/>
        <v>0.15644652064452794</v>
      </c>
      <c r="N14" s="4">
        <f t="shared" si="2"/>
        <v>4.8257451545496322E-2</v>
      </c>
      <c r="O14" s="4">
        <f t="shared" si="3"/>
        <v>6.2656861359749919E-2</v>
      </c>
      <c r="P14" s="4">
        <f t="shared" si="4"/>
        <v>0</v>
      </c>
      <c r="Q14" s="4">
        <f t="shared" si="5"/>
        <v>0.17321663426189496</v>
      </c>
      <c r="R14" s="4"/>
    </row>
    <row r="15" spans="1:18">
      <c r="A15" t="s">
        <v>60</v>
      </c>
      <c r="B15" s="15">
        <f>IF(ISNUMBER(VLOOKUP($A15,'Justice Spend Total'!$B:$AY, 10,FALSE)),VLOOKUP($A15,'Justice Spend Total'!$B:$AY, 10,FALSE),#N/A)</f>
        <v>22.843</v>
      </c>
      <c r="C15" s="15">
        <f>IF(ISNUMBER(VLOOKUP($A15,'Justice Spend Total'!$B:$AY, 11,FALSE)),VLOOKUP($A15,'Justice Spend Total'!$B:$AY, 11,FALSE),#N/A)</f>
        <v>43.9119569396386</v>
      </c>
      <c r="D15">
        <f>IF(ISNUMBER(VLOOKUP($A15,'Justice Spend Total'!$B:$AY, 12,FALSE)),VLOOKUP($A15,'Justice Spend Total'!$B:$AY, 12,FALSE),#N/A)</f>
        <v>2021</v>
      </c>
      <c r="E15" s="15">
        <f>IF(ISNUMBER(VLOOKUP($A15,'Justice Spend Total'!$B:$AY, 22,FALSE)),VLOOKUP($A15,'Justice Spend Total'!$B:$AY, 22,FALSE),#N/A)</f>
        <v>3.9926879257798338</v>
      </c>
      <c r="F15" s="15">
        <f>IF(ISNUMBER(VLOOKUP($A15,'Justice Spend Total'!$B:$AY, 23,FALSE)),VLOOKUP($A15,'Justice Spend Total'!$B:$AY, 23,FALSE),#N/A)</f>
        <v>2.0380765355266757</v>
      </c>
      <c r="G15" s="15">
        <f>IF(ISNUMBER(VLOOKUP($A15,'Justice Spend Total'!$B:$AY, 24,FALSE)),VLOOKUP($A15,'Justice Spend Total'!$B:$AY, 24,FALSE),#N/A)</f>
        <v>0.35724596548161741</v>
      </c>
      <c r="H15" s="15">
        <f>IF(ISNUMBER(VLOOKUP($A15,'Justice Spend Total'!$B:$AY, 25,FALSE)),VLOOKUP($A15,'Justice Spend Total'!$B:$AY, 25,FALSE),#N/A)</f>
        <v>1.1029669464965985</v>
      </c>
      <c r="I15" s="15">
        <f>IF(ISNUMBER(VLOOKUP($A15,'Justice Spend Total'!$B:$AY, 26,FALSE)),VLOOKUP($A15,'Justice Spend Total'!$B:$AY, 26,FALSE),#N/A)</f>
        <v>0.23177158362154199</v>
      </c>
      <c r="J15" s="15">
        <f>IF(ISNUMBER(VLOOKUP($A15,'Justice Spend Total'!$B:$AY, 27,FALSE)),VLOOKUP($A15,'Justice Spend Total'!$B:$AY, 27,FALSE),#N/A)</f>
        <v>3.4607262491290081E-3</v>
      </c>
      <c r="K15" s="15">
        <f>IF(ISNUMBER(VLOOKUP($A15,'Justice Spend Total'!$B:$AY, 28,FALSE)),VLOOKUP($A15,'Justice Spend Total'!$B:$AY, 28,FALSE),#N/A)</f>
        <v>0.25916616840426704</v>
      </c>
      <c r="L15" s="4">
        <f t="shared" si="0"/>
        <v>0.51045225006625272</v>
      </c>
      <c r="M15" s="4">
        <f t="shared" si="1"/>
        <v>0.27624672075545997</v>
      </c>
      <c r="N15" s="4">
        <f t="shared" si="2"/>
        <v>5.8049010573816236E-2</v>
      </c>
      <c r="O15" s="4">
        <f t="shared" si="3"/>
        <v>8.9475053428284587E-2</v>
      </c>
      <c r="P15" s="4">
        <f t="shared" si="4"/>
        <v>8.6676602666186959E-4</v>
      </c>
      <c r="Q15" s="4">
        <f t="shared" si="5"/>
        <v>6.4910199149523534E-2</v>
      </c>
      <c r="R15" s="4"/>
    </row>
    <row r="16" spans="1:18">
      <c r="A16" t="s">
        <v>61</v>
      </c>
      <c r="B16" s="15">
        <f>IF(ISNUMBER(VLOOKUP($A16,'Justice Spend Total'!$B:$AY, 10,FALSE)),VLOOKUP($A16,'Justice Spend Total'!$B:$AY, 10,FALSE),#N/A)</f>
        <v>83.616</v>
      </c>
      <c r="C16" s="15">
        <f>IF(ISNUMBER(VLOOKUP($A16,'Justice Spend Total'!$B:$AY, 11,FALSE)),VLOOKUP($A16,'Justice Spend Total'!$B:$AY, 11,FALSE),#N/A)</f>
        <v>22.425033993171866</v>
      </c>
      <c r="D16">
        <f>IF(ISNUMBER(VLOOKUP($A16,'Justice Spend Total'!$B:$AY, 12,FALSE)),VLOOKUP($A16,'Justice Spend Total'!$B:$AY, 12,FALSE),#N/A)</f>
        <v>2020</v>
      </c>
      <c r="E16" s="15">
        <f>IF(ISNUMBER(VLOOKUP($A16,'Justice Spend Total'!$B:$AY, 22,FALSE)),VLOOKUP($A16,'Justice Spend Total'!$B:$AY, 22,FALSE),#N/A)</f>
        <v>4.1719395809414452</v>
      </c>
      <c r="F16" s="15">
        <f>IF(ISNUMBER(VLOOKUP($A16,'Justice Spend Total'!$B:$AY, 23,FALSE)),VLOOKUP($A16,'Justice Spend Total'!$B:$AY, 23,FALSE),#N/A)</f>
        <v>2.3501746077305796</v>
      </c>
      <c r="G16" s="15">
        <f>IF(ISNUMBER(VLOOKUP($A16,'Justice Spend Total'!$B:$AY, 24,FALSE)),VLOOKUP($A16,'Justice Spend Total'!$B:$AY, 24,FALSE),#N/A)</f>
        <v>0.44465174129353219</v>
      </c>
      <c r="H16" s="15">
        <f>IF(ISNUMBER(VLOOKUP($A16,'Justice Spend Total'!$B:$AY, 25,FALSE)),VLOOKUP($A16,'Justice Spend Total'!$B:$AY, 25,FALSE),#N/A)</f>
        <v>0.88441207424416324</v>
      </c>
      <c r="I16" s="15">
        <f>IF(ISNUMBER(VLOOKUP($A16,'Justice Spend Total'!$B:$AY, 26,FALSE)),VLOOKUP($A16,'Justice Spend Total'!$B:$AY, 26,FALSE),#N/A)</f>
        <v>0.24872512437810923</v>
      </c>
      <c r="J16" s="15">
        <f>IF(ISNUMBER(VLOOKUP($A16,'Justice Spend Total'!$B:$AY, 27,FALSE)),VLOOKUP($A16,'Justice Spend Total'!$B:$AY, 27,FALSE),#N/A)</f>
        <v>9.3881553769613281E-4</v>
      </c>
      <c r="K16" s="15">
        <f>IF(ISNUMBER(VLOOKUP($A16,'Justice Spend Total'!$B:$AY, 28,FALSE)),VLOOKUP($A16,'Justice Spend Total'!$B:$AY, 28,FALSE),#N/A)</f>
        <v>0.24303721775736711</v>
      </c>
      <c r="L16" s="4">
        <f t="shared" si="0"/>
        <v>0.56332901331237306</v>
      </c>
      <c r="M16" s="4">
        <f t="shared" si="1"/>
        <v>0.21199062380586672</v>
      </c>
      <c r="N16" s="4">
        <f t="shared" si="2"/>
        <v>5.9618582568729719E-2</v>
      </c>
      <c r="O16" s="4">
        <f t="shared" si="3"/>
        <v>0.10658153903398368</v>
      </c>
      <c r="P16" s="4">
        <f t="shared" si="4"/>
        <v>2.2503095250585544E-4</v>
      </c>
      <c r="Q16" s="4">
        <f t="shared" si="5"/>
        <v>5.8255210326541455E-2</v>
      </c>
      <c r="R16" s="4"/>
    </row>
    <row r="17" spans="1:18">
      <c r="A17" t="s">
        <v>62</v>
      </c>
      <c r="B17" s="15">
        <f>IF(ISNUMBER(VLOOKUP($A17,'Justice Spend Total'!$B:$AY, 10,FALSE)),VLOOKUP($A17,'Justice Spend Total'!$B:$AY, 10,FALSE),#N/A)</f>
        <v>95.75</v>
      </c>
      <c r="C17" s="15">
        <f>IF(ISNUMBER(VLOOKUP($A17,'Justice Spend Total'!$B:$AY, 11,FALSE)),VLOOKUP($A17,'Justice Spend Total'!$B:$AY, 11,FALSE),#N/A)</f>
        <v>45.319436950368711</v>
      </c>
      <c r="D17">
        <f>IF(ISNUMBER(VLOOKUP($A17,'Justice Spend Total'!$B:$AY, 12,FALSE)),VLOOKUP($A17,'Justice Spend Total'!$B:$AY, 12,FALSE),#N/A)</f>
        <v>2021</v>
      </c>
      <c r="E17" s="15">
        <f>IF(ISNUMBER(VLOOKUP($A17,'Justice Spend Total'!$B:$AY, 22,FALSE)),VLOOKUP($A17,'Justice Spend Total'!$B:$AY, 22,FALSE),#N/A)</f>
        <v>4.2070412482048241</v>
      </c>
      <c r="F17" s="15">
        <f>IF(ISNUMBER(VLOOKUP($A17,'Justice Spend Total'!$B:$AY, 23,FALSE)),VLOOKUP($A17,'Justice Spend Total'!$B:$AY, 23,FALSE),#N/A)</f>
        <v>2.4984380619043374</v>
      </c>
      <c r="G17" s="15">
        <f>IF(ISNUMBER(VLOOKUP($A17,'Justice Spend Total'!$B:$AY, 24,FALSE)),VLOOKUP($A17,'Justice Spend Total'!$B:$AY, 24,FALSE),#N/A)</f>
        <v>0.29198187522846625</v>
      </c>
      <c r="H17" s="15">
        <f>IF(ISNUMBER(VLOOKUP($A17,'Justice Spend Total'!$B:$AY, 25,FALSE)),VLOOKUP($A17,'Justice Spend Total'!$B:$AY, 25,FALSE),#N/A)</f>
        <v>0.7991711494908309</v>
      </c>
      <c r="I17" s="15">
        <f>IF(ISNUMBER(VLOOKUP($A17,'Justice Spend Total'!$B:$AY, 26,FALSE)),VLOOKUP($A17,'Justice Spend Total'!$B:$AY, 26,FALSE),#N/A)</f>
        <v>0.3272779751607181</v>
      </c>
      <c r="J17" s="15">
        <f>IF(ISNUMBER(VLOOKUP($A17,'Justice Spend Total'!$B:$AY, 27,FALSE)),VLOOKUP($A17,'Justice Spend Total'!$B:$AY, 27,FALSE),#N/A)</f>
        <v>1.4361716847394212E-2</v>
      </c>
      <c r="K17" s="15">
        <f>IF(ISNUMBER(VLOOKUP($A17,'Justice Spend Total'!$B:$AY, 28,FALSE)),VLOOKUP($A17,'Justice Spend Total'!$B:$AY, 28,FALSE),#N/A)</f>
        <v>0.2758104695730737</v>
      </c>
      <c r="L17" s="4">
        <f t="shared" si="0"/>
        <v>0.59387058849742436</v>
      </c>
      <c r="M17" s="4">
        <f t="shared" si="1"/>
        <v>0.18996037888429149</v>
      </c>
      <c r="N17" s="4">
        <f t="shared" si="2"/>
        <v>7.7792908567361929E-2</v>
      </c>
      <c r="O17" s="4">
        <f t="shared" si="3"/>
        <v>6.9403140592704457E-2</v>
      </c>
      <c r="P17" s="4">
        <f t="shared" si="4"/>
        <v>3.4137333104405534E-3</v>
      </c>
      <c r="Q17" s="4">
        <f t="shared" si="5"/>
        <v>6.5559250147776443E-2</v>
      </c>
      <c r="R17" s="4"/>
    </row>
    <row r="18" spans="1:18">
      <c r="A18" t="s">
        <v>63</v>
      </c>
      <c r="B18" s="15">
        <f>IF(ISNUMBER(VLOOKUP($A18,'Justice Spend Total'!$B:$AY, 10,FALSE)),VLOOKUP($A18,'Justice Spend Total'!$B:$AY, 10,FALSE),#N/A)</f>
        <v>785.39800000000002</v>
      </c>
      <c r="C18" s="15">
        <f>IF(ISNUMBER(VLOOKUP($A18,'Justice Spend Total'!$B:$AY, 11,FALSE)),VLOOKUP($A18,'Justice Spend Total'!$B:$AY, 11,FALSE),#N/A)</f>
        <v>47.399937234453461</v>
      </c>
      <c r="D18">
        <f>IF(ISNUMBER(VLOOKUP($A18,'Justice Spend Total'!$B:$AY, 12,FALSE)),VLOOKUP($A18,'Justice Spend Total'!$B:$AY, 12,FALSE),#N/A)</f>
        <v>2020</v>
      </c>
      <c r="E18" s="15">
        <f>IF(ISNUMBER(VLOOKUP($A18,'Justice Spend Total'!$B:$AY, 22,FALSE)),VLOOKUP($A18,'Justice Spend Total'!$B:$AY, 22,FALSE),#N/A)</f>
        <v>4.2647744835080026</v>
      </c>
      <c r="F18" s="15">
        <f>IF(ISNUMBER(VLOOKUP($A18,'Justice Spend Total'!$B:$AY, 23,FALSE)),VLOOKUP($A18,'Justice Spend Total'!$B:$AY, 23,FALSE),#N/A)</f>
        <v>2.6164487898192252</v>
      </c>
      <c r="G18" s="15">
        <f>IF(ISNUMBER(VLOOKUP($A18,'Justice Spend Total'!$B:$AY, 24,FALSE)),VLOOKUP($A18,'Justice Spend Total'!$B:$AY, 24,FALSE),#N/A)</f>
        <v>0.45129685956311694</v>
      </c>
      <c r="H18" s="15">
        <f>IF(ISNUMBER(VLOOKUP($A18,'Justice Spend Total'!$B:$AY, 25,FALSE)),VLOOKUP($A18,'Justice Spend Total'!$B:$AY, 25,FALSE),#N/A)</f>
        <v>0.72695455074262627</v>
      </c>
      <c r="I18" s="15">
        <f>IF(ISNUMBER(VLOOKUP($A18,'Justice Spend Total'!$B:$AY, 26,FALSE)),VLOOKUP($A18,'Justice Spend Total'!$B:$AY, 26,FALSE),#N/A)</f>
        <v>0.45231876017916867</v>
      </c>
      <c r="J18" s="15">
        <f>IF(ISNUMBER(VLOOKUP($A18,'Justice Spend Total'!$B:$AY, 27,FALSE)),VLOOKUP($A18,'Justice Spend Total'!$B:$AY, 27,FALSE),#N/A)</f>
        <v>0</v>
      </c>
      <c r="K18" s="15">
        <f>IF(ISNUMBER(VLOOKUP($A18,'Justice Spend Total'!$B:$AY, 28,FALSE)),VLOOKUP($A18,'Justice Spend Total'!$B:$AY, 28,FALSE),#N/A)</f>
        <v>1.7755523203870169E-2</v>
      </c>
      <c r="L18" s="4">
        <f t="shared" si="0"/>
        <v>0.61350226135921204</v>
      </c>
      <c r="M18" s="4">
        <f t="shared" si="1"/>
        <v>0.17045556653787416</v>
      </c>
      <c r="N18" s="4">
        <f t="shared" si="2"/>
        <v>0.10605924461616845</v>
      </c>
      <c r="O18" s="4">
        <f t="shared" si="3"/>
        <v>0.10581963039506403</v>
      </c>
      <c r="P18" s="4">
        <f t="shared" si="4"/>
        <v>0</v>
      </c>
      <c r="Q18" s="4">
        <f t="shared" si="5"/>
        <v>4.1632970916823985E-3</v>
      </c>
      <c r="R18" s="4"/>
    </row>
    <row r="19" spans="1:18">
      <c r="A19" t="s">
        <v>64</v>
      </c>
      <c r="B19" s="15">
        <f>IF(ISNUMBER(VLOOKUP($A19,'Justice Spend Total'!$B:$AY, 10,FALSE)),VLOOKUP($A19,'Justice Spend Total'!$B:$AY, 10,FALSE),#N/A)</f>
        <v>1023.74</v>
      </c>
      <c r="C19" s="15">
        <f>IF(ISNUMBER(VLOOKUP($A19,'Justice Spend Total'!$B:$AY, 11,FALSE)),VLOOKUP($A19,'Justice Spend Total'!$B:$AY, 11,FALSE),#N/A)</f>
        <v>41.012431044359957</v>
      </c>
      <c r="D19">
        <f>IF(ISNUMBER(VLOOKUP($A19,'Justice Spend Total'!$B:$AY, 12,FALSE)),VLOOKUP($A19,'Justice Spend Total'!$B:$AY, 12,FALSE),#N/A)</f>
        <v>2021</v>
      </c>
      <c r="E19" s="15">
        <f>IF(ISNUMBER(VLOOKUP($A19,'Justice Spend Total'!$B:$AY, 22,FALSE)),VLOOKUP($A19,'Justice Spend Total'!$B:$AY, 22,FALSE),#N/A)</f>
        <v>4.5190995076261862</v>
      </c>
      <c r="F19" s="15">
        <f>IF(ISNUMBER(VLOOKUP($A19,'Justice Spend Total'!$B:$AY, 23,FALSE)),VLOOKUP($A19,'Justice Spend Total'!$B:$AY, 23,FALSE),#N/A)</f>
        <v>2.0775703677724975</v>
      </c>
      <c r="G19" s="15">
        <f>IF(ISNUMBER(VLOOKUP($A19,'Justice Spend Total'!$B:$AY, 24,FALSE)),VLOOKUP($A19,'Justice Spend Total'!$B:$AY, 24,FALSE),#N/A)</f>
        <v>0.58615703882535275</v>
      </c>
      <c r="H19" s="15">
        <f>IF(ISNUMBER(VLOOKUP($A19,'Justice Spend Total'!$B:$AY, 25,FALSE)),VLOOKUP($A19,'Justice Spend Total'!$B:$AY, 25,FALSE),#N/A)</f>
        <v>0.62725985097295445</v>
      </c>
      <c r="I19" s="15">
        <f>IF(ISNUMBER(VLOOKUP($A19,'Justice Spend Total'!$B:$AY, 26,FALSE)),VLOOKUP($A19,'Justice Spend Total'!$B:$AY, 26,FALSE),#N/A)</f>
        <v>0.61267498214638538</v>
      </c>
      <c r="J19" s="15" t="e">
        <f>IF(ISNUMBER(VLOOKUP($A19,'Justice Spend Total'!$B:$AY, 27,FALSE)),VLOOKUP($A19,'Justice Spend Total'!$B:$AY, 27,FALSE),#N/A)</f>
        <v>#N/A</v>
      </c>
      <c r="K19" s="15">
        <f>IF(ISNUMBER(VLOOKUP($A19,'Justice Spend Total'!$B:$AY, 28,FALSE)),VLOOKUP($A19,'Justice Spend Total'!$B:$AY, 28,FALSE),#N/A)</f>
        <v>0.61543726790899389</v>
      </c>
      <c r="L19" s="4">
        <f t="shared" si="0"/>
        <v>0.45973105134474312</v>
      </c>
      <c r="M19" s="4">
        <f t="shared" si="1"/>
        <v>0.13880195599021994</v>
      </c>
      <c r="N19" s="4">
        <f t="shared" si="2"/>
        <v>0.13557457212713914</v>
      </c>
      <c r="O19" s="4">
        <f t="shared" si="3"/>
        <v>0.12970660146699273</v>
      </c>
      <c r="P19" s="4" t="e">
        <f t="shared" si="4"/>
        <v>#N/A</v>
      </c>
      <c r="Q19" s="4">
        <f t="shared" si="5"/>
        <v>0.1361858190709046</v>
      </c>
      <c r="R19" s="4"/>
    </row>
    <row r="20" spans="1:18">
      <c r="A20" t="s">
        <v>65</v>
      </c>
      <c r="B20" s="15">
        <f>IF(ISNUMBER(VLOOKUP($A20,'Justice Spend Total'!$B:$AY, 10,FALSE)),VLOOKUP($A20,'Justice Spend Total'!$B:$AY, 10,FALSE),#N/A)</f>
        <v>89.81</v>
      </c>
      <c r="C20" s="15">
        <f>IF(ISNUMBER(VLOOKUP($A20,'Justice Spend Total'!$B:$AY, 11,FALSE)),VLOOKUP($A20,'Justice Spend Total'!$B:$AY, 11,FALSE),#N/A)</f>
        <v>49.122135316961106</v>
      </c>
      <c r="D20">
        <f>IF(ISNUMBER(VLOOKUP($A20,'Justice Spend Total'!$B:$AY, 12,FALSE)),VLOOKUP($A20,'Justice Spend Total'!$B:$AY, 12,FALSE),#N/A)</f>
        <v>2021</v>
      </c>
      <c r="E20" s="15">
        <f>IF(ISNUMBER(VLOOKUP($A20,'Justice Spend Total'!$B:$AY, 22,FALSE)),VLOOKUP($A20,'Justice Spend Total'!$B:$AY, 22,FALSE),#N/A)</f>
        <v>4.814678045888118</v>
      </c>
      <c r="F20" s="15">
        <f>IF(ISNUMBER(VLOOKUP($A20,'Justice Spend Total'!$B:$AY, 23,FALSE)),VLOOKUP($A20,'Justice Spend Total'!$B:$AY, 23,FALSE),#N/A)</f>
        <v>3.0837509564688887</v>
      </c>
      <c r="G20" s="15">
        <f>IF(ISNUMBER(VLOOKUP($A20,'Justice Spend Total'!$B:$AY, 24,FALSE)),VLOOKUP($A20,'Justice Spend Total'!$B:$AY, 24,FALSE),#N/A)</f>
        <v>0.70219169868638531</v>
      </c>
      <c r="H20" s="15">
        <f>IF(ISNUMBER(VLOOKUP($A20,'Justice Spend Total'!$B:$AY, 25,FALSE)),VLOOKUP($A20,'Justice Spend Total'!$B:$AY, 25,FALSE),#N/A)</f>
        <v>0.81267640652165651</v>
      </c>
      <c r="I20" s="15">
        <f>IF(ISNUMBER(VLOOKUP($A20,'Justice Spend Total'!$B:$AY, 26,FALSE)),VLOOKUP($A20,'Justice Spend Total'!$B:$AY, 26,FALSE),#N/A)</f>
        <v>0.17677553253643272</v>
      </c>
      <c r="J20" s="15">
        <f>IF(ISNUMBER(VLOOKUP($A20,'Justice Spend Total'!$B:$AY, 27,FALSE)),VLOOKUP($A20,'Justice Spend Total'!$B:$AY, 27,FALSE),#N/A)</f>
        <v>0</v>
      </c>
      <c r="K20" s="15">
        <f>IF(ISNUMBER(VLOOKUP($A20,'Justice Spend Total'!$B:$AY, 28,FALSE)),VLOOKUP($A20,'Justice Spend Total'!$B:$AY, 28,FALSE),#N/A)</f>
        <v>3.9283451674762784E-2</v>
      </c>
      <c r="L20" s="4">
        <f t="shared" si="0"/>
        <v>0.64048954614992504</v>
      </c>
      <c r="M20" s="4">
        <f t="shared" si="1"/>
        <v>0.16879143294237647</v>
      </c>
      <c r="N20" s="4">
        <f t="shared" si="2"/>
        <v>3.6715961244263136E-2</v>
      </c>
      <c r="O20" s="4">
        <f t="shared" si="3"/>
        <v>0.14584395716471188</v>
      </c>
      <c r="P20" s="4">
        <f t="shared" si="4"/>
        <v>0</v>
      </c>
      <c r="Q20" s="4">
        <f t="shared" si="5"/>
        <v>8.1591024987251338E-3</v>
      </c>
      <c r="R20" s="4"/>
    </row>
    <row r="21" spans="1:18">
      <c r="A21" t="s">
        <v>66</v>
      </c>
      <c r="B21" s="15">
        <f>IF(ISNUMBER(VLOOKUP($A21,'Justice Spend Total'!$B:$AY, 10,FALSE)),VLOOKUP($A21,'Justice Spend Total'!$B:$AY, 10,FALSE),#N/A)</f>
        <v>328.59800000000001</v>
      </c>
      <c r="C21" s="15">
        <f>IF(ISNUMBER(VLOOKUP($A21,'Justice Spend Total'!$B:$AY, 11,FALSE)),VLOOKUP($A21,'Justice Spend Total'!$B:$AY, 11,FALSE),#N/A)</f>
        <v>41.069872952586884</v>
      </c>
      <c r="D21">
        <f>IF(ISNUMBER(VLOOKUP($A21,'Justice Spend Total'!$B:$AY, 12,FALSE)),VLOOKUP($A21,'Justice Spend Total'!$B:$AY, 12,FALSE),#N/A)</f>
        <v>2020</v>
      </c>
      <c r="E21" s="15">
        <f>IF(ISNUMBER(VLOOKUP($A21,'Justice Spend Total'!$B:$AY, 22,FALSE)),VLOOKUP($A21,'Justice Spend Total'!$B:$AY, 22,FALSE),#N/A)</f>
        <v>4.8244359369198815</v>
      </c>
      <c r="F21" s="15">
        <f>IF(ISNUMBER(VLOOKUP($A21,'Justice Spend Total'!$B:$AY, 23,FALSE)),VLOOKUP($A21,'Justice Spend Total'!$B:$AY, 23,FALSE),#N/A)</f>
        <v>2.1953876773443532</v>
      </c>
      <c r="G21" s="15">
        <f>IF(ISNUMBER(VLOOKUP($A21,'Justice Spend Total'!$B:$AY, 24,FALSE)),VLOOKUP($A21,'Justice Spend Total'!$B:$AY, 24,FALSE),#N/A)</f>
        <v>0.50913273970018047</v>
      </c>
      <c r="H21" s="15">
        <f>IF(ISNUMBER(VLOOKUP($A21,'Justice Spend Total'!$B:$AY, 25,FALSE)),VLOOKUP($A21,'Justice Spend Total'!$B:$AY, 25,FALSE),#N/A)</f>
        <v>0.70785579948751853</v>
      </c>
      <c r="I21" s="15">
        <f>IF(ISNUMBER(VLOOKUP($A21,'Justice Spend Total'!$B:$AY, 26,FALSE)),VLOOKUP($A21,'Justice Spend Total'!$B:$AY, 26,FALSE),#N/A)</f>
        <v>0.8767551841459772</v>
      </c>
      <c r="J21" s="15">
        <f>IF(ISNUMBER(VLOOKUP($A21,'Justice Spend Total'!$B:$AY, 27,FALSE)),VLOOKUP($A21,'Justice Spend Total'!$B:$AY, 27,FALSE),#N/A)</f>
        <v>5.3560885945745151E-2</v>
      </c>
      <c r="K21" s="15">
        <f>IF(ISNUMBER(VLOOKUP($A21,'Justice Spend Total'!$B:$AY, 28,FALSE)),VLOOKUP($A21,'Justice Spend Total'!$B:$AY, 28,FALSE),#N/A)</f>
        <v>0.48174365029610561</v>
      </c>
      <c r="L21" s="4">
        <f t="shared" si="0"/>
        <v>0.45505582539582423</v>
      </c>
      <c r="M21" s="4">
        <f t="shared" si="1"/>
        <v>0.14672301772535148</v>
      </c>
      <c r="N21" s="4">
        <f t="shared" si="2"/>
        <v>0.18173216425913075</v>
      </c>
      <c r="O21" s="4">
        <f t="shared" si="3"/>
        <v>0.10553207594777013</v>
      </c>
      <c r="P21" s="4">
        <f t="shared" si="4"/>
        <v>1.1101999621522723E-2</v>
      </c>
      <c r="Q21" s="4">
        <f t="shared" si="5"/>
        <v>9.9854917050400421E-2</v>
      </c>
      <c r="R21" s="4"/>
    </row>
    <row r="22" spans="1:18">
      <c r="A22" t="s">
        <v>67</v>
      </c>
      <c r="B22" s="15">
        <f>IF(ISNUMBER(VLOOKUP($A22,'Justice Spend Total'!$B:$AY, 10,FALSE)),VLOOKUP($A22,'Justice Spend Total'!$B:$AY, 10,FALSE),#N/A)</f>
        <v>238.78700000000001</v>
      </c>
      <c r="C22" s="15">
        <f>IF(ISNUMBER(VLOOKUP($A22,'Justice Spend Total'!$B:$AY, 11,FALSE)),VLOOKUP($A22,'Justice Spend Total'!$B:$AY, 11,FALSE),#N/A)</f>
        <v>32.806540782343951</v>
      </c>
      <c r="D22">
        <f>IF(ISNUMBER(VLOOKUP($A22,'Justice Spend Total'!$B:$AY, 12,FALSE)),VLOOKUP($A22,'Justice Spend Total'!$B:$AY, 12,FALSE),#N/A)</f>
        <v>2019</v>
      </c>
      <c r="E22" s="15">
        <f>IF(ISNUMBER(VLOOKUP($A22,'Justice Spend Total'!$B:$AY, 22,FALSE)),VLOOKUP($A22,'Justice Spend Total'!$B:$AY, 22,FALSE),#N/A)</f>
        <v>4.917265226815668</v>
      </c>
      <c r="F22" s="15">
        <f>IF(ISNUMBER(VLOOKUP($A22,'Justice Spend Total'!$B:$AY, 23,FALSE)),VLOOKUP($A22,'Justice Spend Total'!$B:$AY, 23,FALSE),#N/A)</f>
        <v>2.0488886818484255</v>
      </c>
      <c r="G22" s="15">
        <f>IF(ISNUMBER(VLOOKUP($A22,'Justice Spend Total'!$B:$AY, 24,FALSE)),VLOOKUP($A22,'Justice Spend Total'!$B:$AY, 24,FALSE),#N/A)</f>
        <v>0.3295003279241917</v>
      </c>
      <c r="H22" s="15">
        <f>IF(ISNUMBER(VLOOKUP($A22,'Justice Spend Total'!$B:$AY, 25,FALSE)),VLOOKUP($A22,'Justice Spend Total'!$B:$AY, 25,FALSE),#N/A)</f>
        <v>0.90042950420487888</v>
      </c>
      <c r="I22" s="15">
        <f>IF(ISNUMBER(VLOOKUP($A22,'Justice Spend Total'!$B:$AY, 26,FALSE)),VLOOKUP($A22,'Justice Spend Total'!$B:$AY, 26,FALSE),#N/A)</f>
        <v>0.59833396399787186</v>
      </c>
      <c r="J22" s="15">
        <f>IF(ISNUMBER(VLOOKUP($A22,'Justice Spend Total'!$B:$AY, 27,FALSE)),VLOOKUP($A22,'Justice Spend Total'!$B:$AY, 27,FALSE),#N/A)</f>
        <v>0</v>
      </c>
      <c r="K22" s="15">
        <f>IF(ISNUMBER(VLOOKUP($A22,'Justice Spend Total'!$B:$AY, 28,FALSE)),VLOOKUP($A22,'Justice Spend Total'!$B:$AY, 28,FALSE),#N/A)</f>
        <v>1.0401127488402917</v>
      </c>
      <c r="L22" s="4">
        <f t="shared" si="0"/>
        <v>0.416672395598081</v>
      </c>
      <c r="M22" s="4">
        <f t="shared" si="1"/>
        <v>0.18311591152222242</v>
      </c>
      <c r="N22" s="4">
        <f t="shared" si="2"/>
        <v>0.12168023004635488</v>
      </c>
      <c r="O22" s="4">
        <f t="shared" si="3"/>
        <v>6.700885812042523E-2</v>
      </c>
      <c r="P22" s="4">
        <f t="shared" si="4"/>
        <v>0</v>
      </c>
      <c r="Q22" s="4">
        <f t="shared" si="5"/>
        <v>0.21152260471291476</v>
      </c>
      <c r="R22" s="4"/>
    </row>
    <row r="23" spans="1:18">
      <c r="A23" t="s">
        <v>68</v>
      </c>
      <c r="B23" s="15">
        <f>IF(ISNUMBER(VLOOKUP($A23,'Justice Spend Total'!$B:$AY, 10,FALSE)),VLOOKUP($A23,'Justice Spend Total'!$B:$AY, 10,FALSE),#N/A)</f>
        <v>20774.79</v>
      </c>
      <c r="C23" s="15">
        <f>IF(ISNUMBER(VLOOKUP($A23,'Justice Spend Total'!$B:$AY, 11,FALSE)),VLOOKUP($A23,'Justice Spend Total'!$B:$AY, 11,FALSE),#N/A)</f>
        <v>43.291202388573261</v>
      </c>
      <c r="D23">
        <f>IF(ISNUMBER(VLOOKUP($A23,'Justice Spend Total'!$B:$AY, 12,FALSE)),VLOOKUP($A23,'Justice Spend Total'!$B:$AY, 12,FALSE),#N/A)</f>
        <v>2020</v>
      </c>
      <c r="E23" s="15">
        <f>IF(ISNUMBER(VLOOKUP($A23,'Justice Spend Total'!$B:$AY, 22,FALSE)),VLOOKUP($A23,'Justice Spend Total'!$B:$AY, 22,FALSE),#N/A)</f>
        <v>4.9827226697495757</v>
      </c>
      <c r="F23" s="15">
        <f>IF(ISNUMBER(VLOOKUP($A23,'Justice Spend Total'!$B:$AY, 23,FALSE)),VLOOKUP($A23,'Justice Spend Total'!$B:$AY, 23,FALSE),#N/A)</f>
        <v>2.7951416358141477</v>
      </c>
      <c r="G23" s="15">
        <f>IF(ISNUMBER(VLOOKUP($A23,'Justice Spend Total'!$B:$AY, 24,FALSE)),VLOOKUP($A23,'Justice Spend Total'!$B:$AY, 24,FALSE),#N/A)</f>
        <v>0.49973583123590376</v>
      </c>
      <c r="H23" s="15">
        <f>IF(ISNUMBER(VLOOKUP($A23,'Justice Spend Total'!$B:$AY, 25,FALSE)),VLOOKUP($A23,'Justice Spend Total'!$B:$AY, 25,FALSE),#N/A)</f>
        <v>0.97480153299556327</v>
      </c>
      <c r="I23" s="15">
        <f>IF(ISNUMBER(VLOOKUP($A23,'Justice Spend Total'!$B:$AY, 26,FALSE)),VLOOKUP($A23,'Justice Spend Total'!$B:$AY, 26,FALSE),#N/A)</f>
        <v>0.67260091381224452</v>
      </c>
      <c r="J23" s="15">
        <f>IF(ISNUMBER(VLOOKUP($A23,'Justice Spend Total'!$B:$AY, 27,FALSE)),VLOOKUP($A23,'Justice Spend Total'!$B:$AY, 27,FALSE),#N/A)</f>
        <v>1.0644103715971594E-4</v>
      </c>
      <c r="K23" s="15">
        <f>IF(ISNUMBER(VLOOKUP($A23,'Justice Spend Total'!$B:$AY, 28,FALSE)),VLOOKUP($A23,'Justice Spend Total'!$B:$AY, 28,FALSE),#N/A)</f>
        <v>4.03363148545706E-2</v>
      </c>
      <c r="L23" s="4">
        <f t="shared" si="0"/>
        <v>0.56096672864890296</v>
      </c>
      <c r="M23" s="4">
        <f t="shared" si="1"/>
        <v>0.19563632126540878</v>
      </c>
      <c r="N23" s="4">
        <f t="shared" si="2"/>
        <v>0.13498662446048768</v>
      </c>
      <c r="O23" s="4">
        <f t="shared" si="3"/>
        <v>0.10029372781869471</v>
      </c>
      <c r="P23" s="4">
        <f t="shared" si="4"/>
        <v>2.1362023177795186E-5</v>
      </c>
      <c r="Q23" s="4">
        <f t="shared" si="5"/>
        <v>8.0952357833308525E-3</v>
      </c>
      <c r="R23" s="4"/>
    </row>
    <row r="24" spans="1:18">
      <c r="A24" t="s">
        <v>69</v>
      </c>
      <c r="B24" s="15">
        <f>IF(ISNUMBER(VLOOKUP($A24,'Justice Spend Total'!$B:$AY, 10,FALSE)),VLOOKUP($A24,'Justice Spend Total'!$B:$AY, 10,FALSE),#N/A)</f>
        <v>465.37900000000002</v>
      </c>
      <c r="C24" s="15">
        <f>IF(ISNUMBER(VLOOKUP($A24,'Justice Spend Total'!$B:$AY, 11,FALSE)),VLOOKUP($A24,'Justice Spend Total'!$B:$AY, 11,FALSE),#N/A)</f>
        <v>41.479477695084448</v>
      </c>
      <c r="D24">
        <f>IF(ISNUMBER(VLOOKUP($A24,'Justice Spend Total'!$B:$AY, 12,FALSE)),VLOOKUP($A24,'Justice Spend Total'!$B:$AY, 12,FALSE),#N/A)</f>
        <v>2020</v>
      </c>
      <c r="E24" s="15">
        <f>IF(ISNUMBER(VLOOKUP($A24,'Justice Spend Total'!$B:$AY, 22,FALSE)),VLOOKUP($A24,'Justice Spend Total'!$B:$AY, 22,FALSE),#N/A)</f>
        <v>5.0253753800642604</v>
      </c>
      <c r="F24" s="15">
        <f>IF(ISNUMBER(VLOOKUP($A24,'Justice Spend Total'!$B:$AY, 23,FALSE)),VLOOKUP($A24,'Justice Spend Total'!$B:$AY, 23,FALSE),#N/A)</f>
        <v>3.1655975584344604</v>
      </c>
      <c r="G24" s="15">
        <f>IF(ISNUMBER(VLOOKUP($A24,'Justice Spend Total'!$B:$AY, 24,FALSE)),VLOOKUP($A24,'Justice Spend Total'!$B:$AY, 24,FALSE),#N/A)</f>
        <v>0.4527500716549962</v>
      </c>
      <c r="H24" s="15">
        <f>IF(ISNUMBER(VLOOKUP($A24,'Justice Spend Total'!$B:$AY, 25,FALSE)),VLOOKUP($A24,'Justice Spend Total'!$B:$AY, 25,FALSE),#N/A)</f>
        <v>0.94740155003648474</v>
      </c>
      <c r="I24" s="15">
        <f>IF(ISNUMBER(VLOOKUP($A24,'Justice Spend Total'!$B:$AY, 26,FALSE)),VLOOKUP($A24,'Justice Spend Total'!$B:$AY, 26,FALSE),#N/A)</f>
        <v>0.40311302060976345</v>
      </c>
      <c r="J24" s="15">
        <f>IF(ISNUMBER(VLOOKUP($A24,'Justice Spend Total'!$B:$AY, 27,FALSE)),VLOOKUP($A24,'Justice Spend Total'!$B:$AY, 27,FALSE),#N/A)</f>
        <v>2.1487900885381827E-4</v>
      </c>
      <c r="K24" s="15">
        <f>IF(ISNUMBER(VLOOKUP($A24,'Justice Spend Total'!$B:$AY, 28,FALSE)),VLOOKUP($A24,'Justice Spend Total'!$B:$AY, 28,FALSE),#N/A)</f>
        <v>5.6298300319700435E-2</v>
      </c>
      <c r="L24" s="4">
        <f t="shared" si="0"/>
        <v>0.62992260657630339</v>
      </c>
      <c r="M24" s="4">
        <f t="shared" si="1"/>
        <v>0.18852353871809077</v>
      </c>
      <c r="N24" s="4">
        <f t="shared" si="2"/>
        <v>8.0215504340017826E-2</v>
      </c>
      <c r="O24" s="4">
        <f t="shared" si="3"/>
        <v>9.0092786590841065E-2</v>
      </c>
      <c r="P24" s="4">
        <f t="shared" si="4"/>
        <v>4.2758797622610748E-5</v>
      </c>
      <c r="Q24" s="4">
        <f t="shared" si="5"/>
        <v>1.1202804977124024E-2</v>
      </c>
      <c r="R24" s="4"/>
    </row>
    <row r="25" spans="1:18">
      <c r="A25" t="s">
        <v>70</v>
      </c>
      <c r="B25" s="15">
        <f>IF(ISNUMBER(VLOOKUP($A25,'Justice Spend Total'!$B:$AY, 10,FALSE)),VLOOKUP($A25,'Justice Spend Total'!$B:$AY, 10,FALSE),#N/A)</f>
        <v>2371.1</v>
      </c>
      <c r="C25" s="15">
        <f>IF(ISNUMBER(VLOOKUP($A25,'Justice Spend Total'!$B:$AY, 11,FALSE)),VLOOKUP($A25,'Justice Spend Total'!$B:$AY, 11,FALSE),#N/A)</f>
        <v>41.639227379930063</v>
      </c>
      <c r="D25">
        <f>IF(ISNUMBER(VLOOKUP($A25,'Justice Spend Total'!$B:$AY, 12,FALSE)),VLOOKUP($A25,'Justice Spend Total'!$B:$AY, 12,FALSE),#N/A)</f>
        <v>2020</v>
      </c>
      <c r="E25" s="15">
        <f>IF(ISNUMBER(VLOOKUP($A25,'Justice Spend Total'!$B:$AY, 22,FALSE)),VLOOKUP($A25,'Justice Spend Total'!$B:$AY, 22,FALSE),#N/A)</f>
        <v>5.1339470741581055</v>
      </c>
      <c r="F25" s="15">
        <f>IF(ISNUMBER(VLOOKUP($A25,'Justice Spend Total'!$B:$AY, 23,FALSE)),VLOOKUP($A25,'Justice Spend Total'!$B:$AY, 23,FALSE),#N/A)</f>
        <v>2.4676987834107256</v>
      </c>
      <c r="G25" s="15">
        <f>IF(ISNUMBER(VLOOKUP($A25,'Justice Spend Total'!$B:$AY, 24,FALSE)),VLOOKUP($A25,'Justice Spend Total'!$B:$AY, 24,FALSE),#N/A)</f>
        <v>0.71600967195452736</v>
      </c>
      <c r="H25" s="15">
        <f>IF(ISNUMBER(VLOOKUP($A25,'Justice Spend Total'!$B:$AY, 25,FALSE)),VLOOKUP($A25,'Justice Spend Total'!$B:$AY, 25,FALSE),#N/A)</f>
        <v>0.78588998921384312</v>
      </c>
      <c r="I25" s="15">
        <f>IF(ISNUMBER(VLOOKUP($A25,'Justice Spend Total'!$B:$AY, 26,FALSE)),VLOOKUP($A25,'Justice Spend Total'!$B:$AY, 26,FALSE),#N/A)</f>
        <v>0.47975768807602098</v>
      </c>
      <c r="J25" s="15">
        <f>IF(ISNUMBER(VLOOKUP($A25,'Justice Spend Total'!$B:$AY, 27,FALSE)),VLOOKUP($A25,'Justice Spend Total'!$B:$AY, 27,FALSE),#N/A)</f>
        <v>3.120786648877087E-3</v>
      </c>
      <c r="K25" s="15">
        <f>IF(ISNUMBER(VLOOKUP($A25,'Justice Spend Total'!$B:$AY, 28,FALSE)),VLOOKUP($A25,'Justice Spend Total'!$B:$AY, 28,FALSE),#N/A)</f>
        <v>0.68147015485411877</v>
      </c>
      <c r="L25" s="4">
        <f t="shared" si="0"/>
        <v>0.48066307419333754</v>
      </c>
      <c r="M25" s="4">
        <f t="shared" si="1"/>
        <v>0.15307715055530016</v>
      </c>
      <c r="N25" s="4">
        <f t="shared" si="2"/>
        <v>9.3448117237300204E-2</v>
      </c>
      <c r="O25" s="4">
        <f t="shared" si="3"/>
        <v>0.1394657291187488</v>
      </c>
      <c r="P25" s="4">
        <f t="shared" si="4"/>
        <v>6.0787277387133016E-4</v>
      </c>
      <c r="Q25" s="4">
        <f t="shared" si="5"/>
        <v>0.1327380561214434</v>
      </c>
      <c r="R25" s="4"/>
    </row>
    <row r="26" spans="1:18">
      <c r="A26" t="s">
        <v>71</v>
      </c>
      <c r="B26" s="15">
        <f>IF(ISNUMBER(VLOOKUP($A26,'Justice Spend Total'!$B:$AY, 10,FALSE)),VLOOKUP($A26,'Justice Spend Total'!$B:$AY, 10,FALSE),#N/A)</f>
        <v>122.033</v>
      </c>
      <c r="C26" s="15">
        <f>IF(ISNUMBER(VLOOKUP($A26,'Justice Spend Total'!$B:$AY, 11,FALSE)),VLOOKUP($A26,'Justice Spend Total'!$B:$AY, 11,FALSE),#N/A)</f>
        <v>37.648238415499478</v>
      </c>
      <c r="D26">
        <f>IF(ISNUMBER(VLOOKUP($A26,'Justice Spend Total'!$B:$AY, 12,FALSE)),VLOOKUP($A26,'Justice Spend Total'!$B:$AY, 12,FALSE),#N/A)</f>
        <v>2020</v>
      </c>
      <c r="E26" s="15">
        <f>IF(ISNUMBER(VLOOKUP($A26,'Justice Spend Total'!$B:$AY, 22,FALSE)),VLOOKUP($A26,'Justice Spend Total'!$B:$AY, 22,FALSE),#N/A)</f>
        <v>5.1822363589645422</v>
      </c>
      <c r="F26" s="15" t="e">
        <f>IF(ISNUMBER(VLOOKUP($A26,'Justice Spend Total'!$B:$AY, 23,FALSE)),VLOOKUP($A26,'Justice Spend Total'!$B:$AY, 23,FALSE),#N/A)</f>
        <v>#N/A</v>
      </c>
      <c r="G26" s="15" t="e">
        <f>IF(ISNUMBER(VLOOKUP($A26,'Justice Spend Total'!$B:$AY, 24,FALSE)),VLOOKUP($A26,'Justice Spend Total'!$B:$AY, 24,FALSE),#N/A)</f>
        <v>#N/A</v>
      </c>
      <c r="H26" s="15" t="e">
        <f>IF(ISNUMBER(VLOOKUP($A26,'Justice Spend Total'!$B:$AY, 25,FALSE)),VLOOKUP($A26,'Justice Spend Total'!$B:$AY, 25,FALSE),#N/A)</f>
        <v>#N/A</v>
      </c>
      <c r="I26" s="15" t="e">
        <f>IF(ISNUMBER(VLOOKUP($A26,'Justice Spend Total'!$B:$AY, 26,FALSE)),VLOOKUP($A26,'Justice Spend Total'!$B:$AY, 26,FALSE),#N/A)</f>
        <v>#N/A</v>
      </c>
      <c r="J26" s="15" t="e">
        <f>IF(ISNUMBER(VLOOKUP($A26,'Justice Spend Total'!$B:$AY, 27,FALSE)),VLOOKUP($A26,'Justice Spend Total'!$B:$AY, 27,FALSE),#N/A)</f>
        <v>#N/A</v>
      </c>
      <c r="K26" s="15" t="e">
        <f>IF(ISNUMBER(VLOOKUP($A26,'Justice Spend Total'!$B:$AY, 28,FALSE)),VLOOKUP($A26,'Justice Spend Total'!$B:$AY, 28,FALSE),#N/A)</f>
        <v>#N/A</v>
      </c>
      <c r="L26" s="4" t="e">
        <f t="shared" si="0"/>
        <v>#N/A</v>
      </c>
      <c r="M26" s="4" t="e">
        <f t="shared" si="1"/>
        <v>#N/A</v>
      </c>
      <c r="N26" s="4" t="e">
        <f t="shared" si="2"/>
        <v>#N/A</v>
      </c>
      <c r="O26" s="4" t="e">
        <f t="shared" si="3"/>
        <v>#N/A</v>
      </c>
      <c r="P26" s="4" t="e">
        <f t="shared" si="4"/>
        <v>#N/A</v>
      </c>
      <c r="Q26" s="4" t="e">
        <f t="shared" si="5"/>
        <v>#N/A</v>
      </c>
      <c r="R26" s="4"/>
    </row>
    <row r="27" spans="1:18">
      <c r="A27" t="s">
        <v>72</v>
      </c>
      <c r="B27" s="15">
        <f>IF(ISNUMBER(VLOOKUP($A27,'Justice Spend Total'!$B:$AY, 10,FALSE)),VLOOKUP($A27,'Justice Spend Total'!$B:$AY, 10,FALSE),#N/A)</f>
        <v>854.72199999999998</v>
      </c>
      <c r="C27" s="15">
        <f>IF(ISNUMBER(VLOOKUP($A27,'Justice Spend Total'!$B:$AY, 11,FALSE)),VLOOKUP($A27,'Justice Spend Total'!$B:$AY, 11,FALSE),#N/A)</f>
        <v>36.888370988973044</v>
      </c>
      <c r="D27">
        <f>IF(ISNUMBER(VLOOKUP($A27,'Justice Spend Total'!$B:$AY, 12,FALSE)),VLOOKUP($A27,'Justice Spend Total'!$B:$AY, 12,FALSE),#N/A)</f>
        <v>2021</v>
      </c>
      <c r="E27" s="15">
        <f>IF(ISNUMBER(VLOOKUP($A27,'Justice Spend Total'!$B:$AY, 22,FALSE)),VLOOKUP($A27,'Justice Spend Total'!$B:$AY, 22,FALSE),#N/A)</f>
        <v>5.4670681658715186</v>
      </c>
      <c r="F27" s="15">
        <f>IF(ISNUMBER(VLOOKUP($A27,'Justice Spend Total'!$B:$AY, 23,FALSE)),VLOOKUP($A27,'Justice Spend Total'!$B:$AY, 23,FALSE),#N/A)</f>
        <v>2.9748858481849183</v>
      </c>
      <c r="G27" s="15">
        <f>IF(ISNUMBER(VLOOKUP($A27,'Justice Spend Total'!$B:$AY, 24,FALSE)),VLOOKUP($A27,'Justice Spend Total'!$B:$AY, 24,FALSE),#N/A)</f>
        <v>0.44614463160973195</v>
      </c>
      <c r="H27" s="15">
        <f>IF(ISNUMBER(VLOOKUP($A27,'Justice Spend Total'!$B:$AY, 25,FALSE)),VLOOKUP($A27,'Justice Spend Total'!$B:$AY, 25,FALSE),#N/A)</f>
        <v>1.1123990475626662</v>
      </c>
      <c r="I27" s="15">
        <f>IF(ISNUMBER(VLOOKUP($A27,'Justice Spend Total'!$B:$AY, 26,FALSE)),VLOOKUP($A27,'Justice Spend Total'!$B:$AY, 26,FALSE),#N/A)</f>
        <v>0.60801230806830764</v>
      </c>
      <c r="J27" s="15">
        <f>IF(ISNUMBER(VLOOKUP($A27,'Justice Spend Total'!$B:$AY, 27,FALSE)),VLOOKUP($A27,'Justice Spend Total'!$B:$AY, 27,FALSE),#N/A)</f>
        <v>8.3203011263753446E-3</v>
      </c>
      <c r="K27" s="15">
        <f>IF(ISNUMBER(VLOOKUP($A27,'Justice Spend Total'!$B:$AY, 28,FALSE)),VLOOKUP($A27,'Justice Spend Total'!$B:$AY, 28,FALSE),#N/A)</f>
        <v>0.31730602931949525</v>
      </c>
      <c r="L27" s="4">
        <f t="shared" si="0"/>
        <v>0.54414647081882228</v>
      </c>
      <c r="M27" s="4">
        <f t="shared" si="1"/>
        <v>0.20347268660502169</v>
      </c>
      <c r="N27" s="4">
        <f t="shared" si="2"/>
        <v>0.11121359559111751</v>
      </c>
      <c r="O27" s="4">
        <f t="shared" si="3"/>
        <v>8.1605829317222531E-2</v>
      </c>
      <c r="P27" s="4">
        <f t="shared" si="4"/>
        <v>1.5218945280973985E-3</v>
      </c>
      <c r="Q27" s="4">
        <f t="shared" si="5"/>
        <v>5.8039523139714271E-2</v>
      </c>
      <c r="R27" s="4"/>
    </row>
    <row r="28" spans="1:18">
      <c r="A28" t="s">
        <v>73</v>
      </c>
      <c r="B28" s="15">
        <f>IF(ISNUMBER(VLOOKUP($A28,'Justice Spend Total'!$B:$AY, 10,FALSE)),VLOOKUP($A28,'Justice Spend Total'!$B:$AY, 10,FALSE),#N/A)</f>
        <v>441148</v>
      </c>
      <c r="C28" s="15">
        <f>IF(ISNUMBER(VLOOKUP($A28,'Justice Spend Total'!$B:$AY, 11,FALSE)),VLOOKUP($A28,'Justice Spend Total'!$B:$AY, 11,FALSE),#N/A)</f>
        <v>22.92275699948766</v>
      </c>
      <c r="D28">
        <f>IF(ISNUMBER(VLOOKUP($A28,'Justice Spend Total'!$B:$AY, 12,FALSE)),VLOOKUP($A28,'Justice Spend Total'!$B:$AY, 12,FALSE),#N/A)</f>
        <v>2019</v>
      </c>
      <c r="E28" s="15">
        <f>'COFOG_OECD DAC_HIST'!W120</f>
        <v>5.5826616010953236</v>
      </c>
      <c r="F28" s="15" t="e">
        <f>IF(ISNUMBER(VLOOKUP($A28,'Justice Spend Total'!$B:$AY, 23,FALSE)),VLOOKUP($A28,'Justice Spend Total'!$B:$AY, 23,FALSE),#N/A)</f>
        <v>#N/A</v>
      </c>
      <c r="G28" s="15" t="e">
        <f>IF(ISNUMBER(VLOOKUP($A28,'Justice Spend Total'!$B:$AY, 24,FALSE)),VLOOKUP($A28,'Justice Spend Total'!$B:$AY, 24,FALSE),#N/A)</f>
        <v>#N/A</v>
      </c>
      <c r="H28" s="15" t="e">
        <f>IF(ISNUMBER(VLOOKUP($A28,'Justice Spend Total'!$B:$AY, 25,FALSE)),VLOOKUP($A28,'Justice Spend Total'!$B:$AY, 25,FALSE),#N/A)</f>
        <v>#N/A</v>
      </c>
      <c r="I28" s="15" t="e">
        <f>IF(ISNUMBER(VLOOKUP($A28,'Justice Spend Total'!$B:$AY, 26,FALSE)),VLOOKUP($A28,'Justice Spend Total'!$B:$AY, 26,FALSE),#N/A)</f>
        <v>#N/A</v>
      </c>
      <c r="J28" s="15" t="e">
        <f>IF(ISNUMBER(VLOOKUP($A28,'Justice Spend Total'!$B:$AY, 27,FALSE)),VLOOKUP($A28,'Justice Spend Total'!$B:$AY, 27,FALSE),#N/A)</f>
        <v>#N/A</v>
      </c>
      <c r="K28" s="15" t="e">
        <f>IF(ISNUMBER(VLOOKUP($A28,'Justice Spend Total'!$B:$AY, 28,FALSE)),VLOOKUP($A28,'Justice Spend Total'!$B:$AY, 28,FALSE),#N/A)</f>
        <v>#N/A</v>
      </c>
      <c r="L28" s="4" t="e">
        <f t="shared" si="0"/>
        <v>#N/A</v>
      </c>
      <c r="M28" s="4" t="e">
        <f t="shared" si="1"/>
        <v>#N/A</v>
      </c>
      <c r="N28" s="4" t="e">
        <f t="shared" si="2"/>
        <v>#N/A</v>
      </c>
      <c r="O28" s="4" t="e">
        <f t="shared" si="3"/>
        <v>#N/A</v>
      </c>
      <c r="P28" s="4" t="e">
        <f t="shared" si="4"/>
        <v>#N/A</v>
      </c>
      <c r="Q28" s="4" t="e">
        <f t="shared" si="5"/>
        <v>#N/A</v>
      </c>
      <c r="R28" s="4"/>
    </row>
    <row r="29" spans="1:18">
      <c r="A29" t="s">
        <v>74</v>
      </c>
      <c r="B29" s="15">
        <f>IF(ISNUMBER(VLOOKUP($A29,'Justice Spend Total'!$B:$AY, 10,FALSE)),VLOOKUP($A29,'Justice Spend Total'!$B:$AY, 10,FALSE),#N/A)</f>
        <v>709.49699999999996</v>
      </c>
      <c r="C29" s="15">
        <f>IF(ISNUMBER(VLOOKUP($A29,'Justice Spend Total'!$B:$AY, 11,FALSE)),VLOOKUP($A29,'Justice Spend Total'!$B:$AY, 11,FALSE),#N/A)</f>
        <v>36.089820542036293</v>
      </c>
      <c r="D29">
        <f>IF(ISNUMBER(VLOOKUP($A29,'Justice Spend Total'!$B:$AY, 12,FALSE)),VLOOKUP($A29,'Justice Spend Total'!$B:$AY, 12,FALSE),#N/A)</f>
        <v>2020</v>
      </c>
      <c r="E29" s="15">
        <f>IF(ISNUMBER(VLOOKUP($A29,'Justice Spend Total'!$B:$AY, 22,FALSE)),VLOOKUP($A29,'Justice Spend Total'!$B:$AY, 22,FALSE),#N/A)</f>
        <v>5.5920195991271333</v>
      </c>
      <c r="F29" s="15">
        <f>IF(ISNUMBER(VLOOKUP($A29,'Justice Spend Total'!$B:$AY, 23,FALSE)),VLOOKUP($A29,'Justice Spend Total'!$B:$AY, 23,FALSE),#N/A)</f>
        <v>1.8677125912320978</v>
      </c>
      <c r="G29" s="15">
        <f>IF(ISNUMBER(VLOOKUP($A29,'Justice Spend Total'!$B:$AY, 24,FALSE)),VLOOKUP($A29,'Justice Spend Total'!$B:$AY, 24,FALSE),#N/A)</f>
        <v>0.75941354398978167</v>
      </c>
      <c r="H29" s="15">
        <f>IF(ISNUMBER(VLOOKUP($A29,'Justice Spend Total'!$B:$AY, 25,FALSE)),VLOOKUP($A29,'Justice Spend Total'!$B:$AY, 25,FALSE),#N/A)</f>
        <v>1.1253281500634362</v>
      </c>
      <c r="I29" s="15">
        <f>IF(ISNUMBER(VLOOKUP($A29,'Justice Spend Total'!$B:$AY, 26,FALSE)),VLOOKUP($A29,'Justice Spend Total'!$B:$AY, 26,FALSE),#N/A)</f>
        <v>0.9619332048128556</v>
      </c>
      <c r="J29" s="15">
        <f>IF(ISNUMBER(VLOOKUP($A29,'Justice Spend Total'!$B:$AY, 27,FALSE)),VLOOKUP($A29,'Justice Spend Total'!$B:$AY, 27,FALSE),#N/A)</f>
        <v>4.5035643824449566E-3</v>
      </c>
      <c r="K29" s="15">
        <f>IF(ISNUMBER(VLOOKUP($A29,'Justice Spend Total'!$B:$AY, 28,FALSE)),VLOOKUP($A29,'Justice Spend Total'!$B:$AY, 28,FALSE),#N/A)</f>
        <v>0.87312854464651912</v>
      </c>
      <c r="L29" s="4">
        <f t="shared" si="0"/>
        <v>0.33399607389137759</v>
      </c>
      <c r="M29" s="4">
        <f t="shared" si="1"/>
        <v>0.20123823425781454</v>
      </c>
      <c r="N29" s="4">
        <f t="shared" si="2"/>
        <v>0.17201892585694892</v>
      </c>
      <c r="O29" s="4">
        <f t="shared" si="3"/>
        <v>0.13580309055217182</v>
      </c>
      <c r="P29" s="4">
        <f t="shared" si="4"/>
        <v>8.0535561483867564E-4</v>
      </c>
      <c r="Q29" s="4">
        <f t="shared" si="5"/>
        <v>0.15613831982684878</v>
      </c>
      <c r="R29" s="4"/>
    </row>
    <row r="30" spans="1:18">
      <c r="A30" t="s">
        <v>75</v>
      </c>
      <c r="B30" s="15">
        <f>IF(ISNUMBER(VLOOKUP($A30,'Justice Spend Total'!$B:$AY, 10,FALSE)),VLOOKUP($A30,'Justice Spend Total'!$B:$AY, 10,FALSE),#N/A)</f>
        <v>966.27499999999998</v>
      </c>
      <c r="C30" s="15">
        <f>IF(ISNUMBER(VLOOKUP($A30,'Justice Spend Total'!$B:$AY, 11,FALSE)),VLOOKUP($A30,'Justice Spend Total'!$B:$AY, 11,FALSE),#N/A)</f>
        <v>41.530563124822713</v>
      </c>
      <c r="D30">
        <f>IF(ISNUMBER(VLOOKUP($A30,'Justice Spend Total'!$B:$AY, 12,FALSE)),VLOOKUP($A30,'Justice Spend Total'!$B:$AY, 12,FALSE),#N/A)</f>
        <v>2020</v>
      </c>
      <c r="E30" s="15">
        <f>IF(ISNUMBER(VLOOKUP($A30,'Justice Spend Total'!$B:$AY, 22,FALSE)),VLOOKUP($A30,'Justice Spend Total'!$B:$AY, 22,FALSE),#N/A)</f>
        <v>5.6499465673918348</v>
      </c>
      <c r="F30" s="15">
        <f>IF(ISNUMBER(VLOOKUP($A30,'Justice Spend Total'!$B:$AY, 23,FALSE)),VLOOKUP($A30,'Justice Spend Total'!$B:$AY, 23,FALSE),#N/A)</f>
        <v>2.758189876067398</v>
      </c>
      <c r="G30" s="15">
        <f>IF(ISNUMBER(VLOOKUP($A30,'Justice Spend Total'!$B:$AY, 24,FALSE)),VLOOKUP($A30,'Justice Spend Total'!$B:$AY, 24,FALSE),#N/A)</f>
        <v>0.51608750061904918</v>
      </c>
      <c r="H30" s="15">
        <f>IF(ISNUMBER(VLOOKUP($A30,'Justice Spend Total'!$B:$AY, 25,FALSE)),VLOOKUP($A30,'Justice Spend Total'!$B:$AY, 25,FALSE),#N/A)</f>
        <v>1.3441087297140182</v>
      </c>
      <c r="I30" s="15">
        <f>IF(ISNUMBER(VLOOKUP($A30,'Justice Spend Total'!$B:$AY, 26,FALSE)),VLOOKUP($A30,'Justice Spend Total'!$B:$AY, 26,FALSE),#N/A)</f>
        <v>0.57846255854828732</v>
      </c>
      <c r="J30" s="15">
        <f>IF(ISNUMBER(VLOOKUP($A30,'Justice Spend Total'!$B:$AY, 27,FALSE)),VLOOKUP($A30,'Justice Spend Total'!$B:$AY, 27,FALSE),#N/A)</f>
        <v>2.7286996117312043E-2</v>
      </c>
      <c r="K30" s="15">
        <f>IF(ISNUMBER(VLOOKUP($A30,'Justice Spend Total'!$B:$AY, 28,FALSE)),VLOOKUP($A30,'Justice Spend Total'!$B:$AY, 28,FALSE),#N/A)</f>
        <v>0.42581090632578777</v>
      </c>
      <c r="L30" s="4">
        <f t="shared" si="0"/>
        <v>0.48817981606871225</v>
      </c>
      <c r="M30" s="4">
        <f t="shared" si="1"/>
        <v>0.23789760021296882</v>
      </c>
      <c r="N30" s="4">
        <f t="shared" si="2"/>
        <v>0.10238372197833386</v>
      </c>
      <c r="O30" s="4">
        <f t="shared" si="3"/>
        <v>9.1343784310740639E-2</v>
      </c>
      <c r="P30" s="4">
        <f t="shared" si="4"/>
        <v>4.8296025089505307E-3</v>
      </c>
      <c r="Q30" s="4">
        <f t="shared" si="5"/>
        <v>7.5365474920297063E-2</v>
      </c>
      <c r="R30" s="4"/>
    </row>
    <row r="31" spans="1:18">
      <c r="A31" t="s">
        <v>76</v>
      </c>
      <c r="B31" s="15">
        <f>IF(ISNUMBER(VLOOKUP($A31,'Justice Spend Total'!$B:$AY, 10,FALSE)),VLOOKUP($A31,'Justice Spend Total'!$B:$AY, 10,FALSE),#N/A)</f>
        <v>36.881999999999998</v>
      </c>
      <c r="C31" s="15">
        <f>IF(ISNUMBER(VLOOKUP($A31,'Justice Spend Total'!$B:$AY, 11,FALSE)),VLOOKUP($A31,'Justice Spend Total'!$B:$AY, 11,FALSE),#N/A)</f>
        <v>40.054735607467499</v>
      </c>
      <c r="D31">
        <f>IF(ISNUMBER(VLOOKUP($A31,'Justice Spend Total'!$B:$AY, 12,FALSE)),VLOOKUP($A31,'Justice Spend Total'!$B:$AY, 12,FALSE),#N/A)</f>
        <v>2020</v>
      </c>
      <c r="E31" s="15">
        <f>IF(ISNUMBER(VLOOKUP($A31,'Justice Spend Total'!$B:$AY, 22,FALSE)),VLOOKUP($A31,'Justice Spend Total'!$B:$AY, 22,FALSE),#N/A)</f>
        <v>6.2488653886606258</v>
      </c>
      <c r="F31" s="15">
        <f>IF(ISNUMBER(VLOOKUP($A31,'Justice Spend Total'!$B:$AY, 23,FALSE)),VLOOKUP($A31,'Justice Spend Total'!$B:$AY, 23,FALSE),#N/A)</f>
        <v>2.8113473867083587</v>
      </c>
      <c r="G31" s="15">
        <f>IF(ISNUMBER(VLOOKUP($A31,'Justice Spend Total'!$B:$AY, 24,FALSE)),VLOOKUP($A31,'Justice Spend Total'!$B:$AY, 24,FALSE),#N/A)</f>
        <v>0.61248179932390046</v>
      </c>
      <c r="H31" s="15">
        <f>IF(ISNUMBER(VLOOKUP($A31,'Justice Spend Total'!$B:$AY, 25,FALSE)),VLOOKUP($A31,'Justice Spend Total'!$B:$AY, 25,FALSE),#N/A)</f>
        <v>0.81697143969368924</v>
      </c>
      <c r="I31" s="15">
        <f>IF(ISNUMBER(VLOOKUP($A31,'Justice Spend Total'!$B:$AY, 26,FALSE)),VLOOKUP($A31,'Justice Spend Total'!$B:$AY, 26,FALSE),#N/A)</f>
        <v>0.54633100541888924</v>
      </c>
      <c r="J31" s="15">
        <f>IF(ISNUMBER(VLOOKUP($A31,'Justice Spend Total'!$B:$AY, 27,FALSE)),VLOOKUP($A31,'Justice Spend Total'!$B:$AY, 27,FALSE),#N/A)</f>
        <v>5.8082027708344984E-4</v>
      </c>
      <c r="K31" s="15">
        <f>IF(ISNUMBER(VLOOKUP($A31,'Justice Spend Total'!$B:$AY, 28,FALSE)),VLOOKUP($A31,'Justice Spend Total'!$B:$AY, 28,FALSE),#N/A)</f>
        <v>1.4611529372386929</v>
      </c>
      <c r="L31" s="4">
        <f t="shared" si="0"/>
        <v>0.44989725523771273</v>
      </c>
      <c r="M31" s="4">
        <f t="shared" si="1"/>
        <v>0.13073916445314848</v>
      </c>
      <c r="N31" s="4">
        <f t="shared" si="2"/>
        <v>8.7428832506182233E-2</v>
      </c>
      <c r="O31" s="4">
        <f t="shared" si="3"/>
        <v>9.8014881299143986E-2</v>
      </c>
      <c r="P31" s="4">
        <f t="shared" si="4"/>
        <v>9.294811793152455E-5</v>
      </c>
      <c r="Q31" s="4">
        <f t="shared" si="5"/>
        <v>0.2338269183858791</v>
      </c>
      <c r="R31" s="4"/>
    </row>
    <row r="32" spans="1:18">
      <c r="A32" t="s">
        <v>77</v>
      </c>
      <c r="B32" s="15">
        <f>IF(ISNUMBER(VLOOKUP($A32,'Justice Spend Total'!$B:$AY, 10,FALSE)),VLOOKUP($A32,'Justice Spend Total'!$B:$AY, 10,FALSE),#N/A)</f>
        <v>6436.15</v>
      </c>
      <c r="C32" s="15">
        <f>IF(ISNUMBER(VLOOKUP($A32,'Justice Spend Total'!$B:$AY, 11,FALSE)),VLOOKUP($A32,'Justice Spend Total'!$B:$AY, 11,FALSE),#N/A)</f>
        <v>30.804187855219862</v>
      </c>
      <c r="D32">
        <f>IF(ISNUMBER(VLOOKUP($A32,'Justice Spend Total'!$B:$AY, 12,FALSE)),VLOOKUP($A32,'Justice Spend Total'!$B:$AY, 12,FALSE),#N/A)</f>
        <v>2020</v>
      </c>
      <c r="E32" s="15">
        <f>'COFOG_OECD DAC_HIST'!X133</f>
        <v>6.3624993202457985</v>
      </c>
      <c r="F32" s="15">
        <f>'COFOG_OECD DAC_HIST'!AU133</f>
        <v>2.9645051777848557</v>
      </c>
      <c r="G32" s="15">
        <f>'COFOG_OECD DAC_HIST'!BQ133</f>
        <v>0.99438328814586363</v>
      </c>
      <c r="H32" s="15">
        <f>'COFOG_OECD DAC_HIST'!CM133</f>
        <v>0.98039977315631244</v>
      </c>
      <c r="I32" s="15">
        <f>'COFOG_OECD DAC_HIST'!DI133</f>
        <v>1.4232110811587673</v>
      </c>
      <c r="J32" s="15">
        <v>0</v>
      </c>
      <c r="K32" s="15">
        <f>E32-(SUM(F32:I32))</f>
        <v>0</v>
      </c>
      <c r="L32" s="4">
        <f t="shared" si="0"/>
        <v>0.46593406593406594</v>
      </c>
      <c r="M32" s="4">
        <f t="shared" si="1"/>
        <v>0.15409035409035413</v>
      </c>
      <c r="N32" s="4">
        <f t="shared" si="2"/>
        <v>0.2236874236874237</v>
      </c>
      <c r="O32" s="4">
        <f t="shared" si="3"/>
        <v>0.15628815628815632</v>
      </c>
      <c r="P32" s="4">
        <f t="shared" si="4"/>
        <v>0</v>
      </c>
      <c r="Q32" s="4">
        <f t="shared" si="5"/>
        <v>0</v>
      </c>
      <c r="R32" s="4"/>
    </row>
    <row r="33" spans="1:18">
      <c r="A33" t="s">
        <v>87</v>
      </c>
      <c r="C33" s="15" cm="1">
        <f t="array" ref="C33">AVERAGE(IF(ISNUMBER(C4:C32),(C4:C32)))</f>
        <v>42.059762632173161</v>
      </c>
      <c r="L33" s="11" cm="1">
        <f t="array" ref="L33">AVERAGE(IF(ISNUMBER(L4:L32),(L4:L32)))</f>
        <v>0.51412839697961432</v>
      </c>
      <c r="M33" s="11" cm="1">
        <f t="array" ref="M33">AVERAGE(IF(ISNUMBER(M4:M32),(M4:M32)))</f>
        <v>0.17697402663506079</v>
      </c>
      <c r="N33" s="11" cm="1">
        <f t="array" ref="N33">AVERAGE(IF(ISNUMBER(N4:N32),(N4:N32)))</f>
        <v>0.10608395073248955</v>
      </c>
      <c r="O33" s="11" cm="1">
        <f t="array" ref="O33">AVERAGE(IF(ISNUMBER(O4:O32),(O4:O32)))</f>
        <v>0.13000983310823605</v>
      </c>
      <c r="P33" s="11" cm="1">
        <f t="array" ref="P33">AVERAGE(IF(ISNUMBER(P4:P32),(P4:P32)))</f>
        <v>3.158245942294267E-3</v>
      </c>
      <c r="Q33" s="11" cm="1">
        <f t="array" ref="Q33">AVERAGE(IF(ISNUMBER(Q4:Q32),(Q4:Q32)))</f>
        <v>6.9761484715184868E-2</v>
      </c>
      <c r="R33" s="11"/>
    </row>
    <row r="36" spans="1:18">
      <c r="A36" t="s">
        <v>47</v>
      </c>
      <c r="B36" t="s">
        <v>88</v>
      </c>
      <c r="C36" s="15" t="s">
        <v>89</v>
      </c>
      <c r="D36" s="15" t="s">
        <v>90</v>
      </c>
      <c r="E36" t="s">
        <v>91</v>
      </c>
      <c r="F36" t="s">
        <v>92</v>
      </c>
    </row>
    <row r="37" spans="1:18">
      <c r="A37" t="s">
        <v>93</v>
      </c>
      <c r="B37">
        <f>IF(ISNUMBER(VLOOKUP($A37,'Justice Spend Total'!$B:$AQ,8,FALSE)), VLOOKUP($A37,'Justice Spend Total'!$B:$AQ,8,FALSE), #N/A)</f>
        <v>240</v>
      </c>
      <c r="C37" s="15" t="e">
        <f>IF(ISNUMBER(VLOOKUP($A37,'Justice Spend Total'!$B:$AQ,33,FALSE)), VLOOKUP($A37,'Justice Spend Total'!$B:$AQ,33,FALSE), #N/A)</f>
        <v>#N/A</v>
      </c>
      <c r="D37" s="15">
        <f>IF(ISNUMBER(VLOOKUP($A37,'Justice Spend Total'!$B:$AQ,34,FALSE)), VLOOKUP($A37,'Justice Spend Total'!$B:$AQ,34,FALSE), #N/A)</f>
        <v>15.622320649234567</v>
      </c>
      <c r="E37">
        <f>IF(ISNUMBER(VLOOKUP($A37,'Justice Spend Total'!$B:$AQ,34,FALSE)), VLOOKUP($A37,'Justice Spend Total'!$B:$AQ,35,FALSE), #N/A)</f>
        <v>3.4893621176130223</v>
      </c>
      <c r="F37" t="str">
        <f>IF(ISNUMBER(VLOOKUP($A37,'Justice Spend Total'!$B:$AQ,34,FALSE)), VLOOKUP($A37,'Justice Spend Total'!$B:$AQ,36,FALSE), #N/A)</f>
        <v/>
      </c>
    </row>
    <row r="38" spans="1:18">
      <c r="A38" t="s">
        <v>94</v>
      </c>
      <c r="B38">
        <f>IF(ISNUMBER(VLOOKUP($A38,'Justice Spend Total'!$B:$AQ,8,FALSE)), VLOOKUP($A38,'Justice Spend Total'!$B:$AQ,8,FALSE), #N/A)</f>
        <v>450</v>
      </c>
      <c r="C38" s="15" t="e">
        <f>IF(ISNUMBER(VLOOKUP($A38,'Justice Spend Total'!$B:$AQ,33,FALSE)), VLOOKUP($A38,'Justice Spend Total'!$B:$AQ,33,FALSE), #N/A)</f>
        <v>#N/A</v>
      </c>
      <c r="D38" s="15" t="e">
        <f>IF(ISNUMBER(VLOOKUP($A38,'Justice Spend Total'!$B:$AQ,34,FALSE)), VLOOKUP($A38,'Justice Spend Total'!$B:$AQ,34,FALSE), #N/A)</f>
        <v>#N/A</v>
      </c>
      <c r="E38" t="e">
        <f>IF(ISNUMBER(VLOOKUP($A38,'Justice Spend Total'!$B:$AQ,34,FALSE)), VLOOKUP($A38,'Justice Spend Total'!$B:$AQ,35,FALSE), #N/A)</f>
        <v>#N/A</v>
      </c>
      <c r="F38" t="e">
        <f>IF(ISNUMBER(VLOOKUP($A38,'Justice Spend Total'!$B:$AQ,34,FALSE)), VLOOKUP($A38,'Justice Spend Total'!$B:$AQ,36,FALSE), #N/A)</f>
        <v>#N/A</v>
      </c>
    </row>
    <row r="39" spans="1:18">
      <c r="A39" t="s">
        <v>95</v>
      </c>
      <c r="B39">
        <f>IF(ISNUMBER(VLOOKUP($A39,'Justice Spend Total'!$B:$AQ,8,FALSE)), VLOOKUP($A39,'Justice Spend Total'!$B:$AQ,8,FALSE), #N/A)</f>
        <v>480</v>
      </c>
      <c r="C39" s="15">
        <f>IF(ISNUMBER(VLOOKUP($A39,'Justice Spend Total'!$B:$AQ,33,FALSE)), VLOOKUP($A39,'Justice Spend Total'!$B:$AQ,33,FALSE), #N/A)</f>
        <v>2021</v>
      </c>
      <c r="D39" s="15">
        <f>IF(ISNUMBER(VLOOKUP($A39,'Justice Spend Total'!$B:$AQ,34,FALSE)), VLOOKUP($A39,'Justice Spend Total'!$B:$AQ,34,FALSE), #N/A)</f>
        <v>14.806539728742408</v>
      </c>
      <c r="E39">
        <f>IF(ISNUMBER(VLOOKUP($A39,'Justice Spend Total'!$B:$AQ,34,FALSE)), VLOOKUP($A39,'Justice Spend Total'!$B:$AQ,35,FALSE), #N/A)</f>
        <v>4.1550069727278602</v>
      </c>
      <c r="F39">
        <f>IF(ISNUMBER(VLOOKUP($A39,'Justice Spend Total'!$B:$AQ,34,FALSE)), VLOOKUP($A39,'Justice Spend Total'!$B:$AQ,36,FALSE), #N/A)</f>
        <v>1.5559098538397698E-2</v>
      </c>
    </row>
    <row r="40" spans="1:18">
      <c r="A40" t="s">
        <v>96</v>
      </c>
      <c r="B40">
        <f>IF(ISNUMBER(VLOOKUP($A40,'Justice Spend Total'!$B:$AQ,8,FALSE)), VLOOKUP($A40,'Justice Spend Total'!$B:$AQ,8,FALSE), #N/A)</f>
        <v>500</v>
      </c>
      <c r="C40" s="15" t="e">
        <f>IF(ISNUMBER(VLOOKUP($A40,'Justice Spend Total'!$B:$AQ,33,FALSE)), VLOOKUP($A40,'Justice Spend Total'!$B:$AQ,33,FALSE), #N/A)</f>
        <v>#N/A</v>
      </c>
      <c r="D40" s="15" t="e">
        <f>IF(ISNUMBER(VLOOKUP($A40,'Justice Spend Total'!$B:$AQ,34,FALSE)), VLOOKUP($A40,'Justice Spend Total'!$B:$AQ,34,FALSE), #N/A)</f>
        <v>#N/A</v>
      </c>
      <c r="E40" t="e">
        <f>IF(ISNUMBER(VLOOKUP($A40,'Justice Spend Total'!$B:$AQ,34,FALSE)), VLOOKUP($A40,'Justice Spend Total'!$B:$AQ,35,FALSE), #N/A)</f>
        <v>#N/A</v>
      </c>
      <c r="F40" t="e">
        <f>IF(ISNUMBER(VLOOKUP($A40,'Justice Spend Total'!$B:$AQ,34,FALSE)), VLOOKUP($A40,'Justice Spend Total'!$B:$AQ,36,FALSE), #N/A)</f>
        <v>#N/A</v>
      </c>
    </row>
    <row r="41" spans="1:18">
      <c r="A41" t="s">
        <v>97</v>
      </c>
      <c r="B41">
        <f>IF(ISNUMBER(VLOOKUP($A41,'Justice Spend Total'!$B:$AQ,8,FALSE)), VLOOKUP($A41,'Justice Spend Total'!$B:$AQ,8,FALSE), #N/A)</f>
        <v>500</v>
      </c>
      <c r="C41" s="15">
        <f>IF(ISNUMBER(VLOOKUP($A41,'Justice Spend Total'!$B:$AQ,33,FALSE)), VLOOKUP($A41,'Justice Spend Total'!$B:$AQ,33,FALSE), #N/A)</f>
        <v>2021</v>
      </c>
      <c r="D41" s="15">
        <f>IF(ISNUMBER(VLOOKUP($A41,'Justice Spend Total'!$B:$AQ,34,FALSE)), VLOOKUP($A41,'Justice Spend Total'!$B:$AQ,34,FALSE), #N/A)</f>
        <v>11.773836910501457</v>
      </c>
      <c r="E41">
        <f>IF(ISNUMBER(VLOOKUP($A41,'Justice Spend Total'!$B:$AQ,34,FALSE)), VLOOKUP($A41,'Justice Spend Total'!$B:$AQ,35,FALSE), #N/A)</f>
        <v>1.4592298034384816</v>
      </c>
      <c r="F41">
        <f>IF(ISNUMBER(VLOOKUP($A41,'Justice Spend Total'!$B:$AQ,34,FALSE)), VLOOKUP($A41,'Justice Spend Total'!$B:$AQ,36,FALSE), #N/A)</f>
        <v>2.4592725423572341</v>
      </c>
    </row>
    <row r="42" spans="1:18">
      <c r="A42" t="s">
        <v>98</v>
      </c>
      <c r="B42">
        <f>IF(ISNUMBER(VLOOKUP($A42,'Justice Spend Total'!$B:$AQ,8,FALSE)), VLOOKUP($A42,'Justice Spend Total'!$B:$AQ,8,FALSE), #N/A)</f>
        <v>510</v>
      </c>
      <c r="C42" s="15" t="e">
        <f>IF(ISNUMBER(VLOOKUP($A42,'Justice Spend Total'!$B:$AQ,33,FALSE)), VLOOKUP($A42,'Justice Spend Total'!$B:$AQ,33,FALSE), #N/A)</f>
        <v>#N/A</v>
      </c>
      <c r="D42" s="15">
        <f>IF(ISNUMBER(VLOOKUP($A42,'Justice Spend Total'!$B:$AQ,34,FALSE)), VLOOKUP($A42,'Justice Spend Total'!$B:$AQ,34,FALSE), #N/A)</f>
        <v>8.5446280214440229</v>
      </c>
      <c r="E42">
        <f>IF(ISNUMBER(VLOOKUP($A42,'Justice Spend Total'!$B:$AQ,34,FALSE)), VLOOKUP($A42,'Justice Spend Total'!$B:$AQ,35,FALSE), #N/A)</f>
        <v>1.7060664173306321</v>
      </c>
      <c r="F42">
        <f>IF(ISNUMBER(VLOOKUP($A42,'Justice Spend Total'!$B:$AQ,34,FALSE)), VLOOKUP($A42,'Justice Spend Total'!$B:$AQ,36,FALSE), #N/A)</f>
        <v>5.145712762955764</v>
      </c>
    </row>
    <row r="43" spans="1:18">
      <c r="A43" t="s">
        <v>99</v>
      </c>
      <c r="B43">
        <f>IF(ISNUMBER(VLOOKUP($A43,'Justice Spend Total'!$B:$AQ,8,FALSE)), VLOOKUP($A43,'Justice Spend Total'!$B:$AQ,8,FALSE), #N/A)</f>
        <v>530</v>
      </c>
      <c r="C43" s="15">
        <f>IF(ISNUMBER(VLOOKUP($A43,'Justice Spend Total'!$B:$AQ,33,FALSE)), VLOOKUP($A43,'Justice Spend Total'!$B:$AQ,33,FALSE), #N/A)</f>
        <v>2021</v>
      </c>
      <c r="D43" s="15">
        <f>IF(ISNUMBER(VLOOKUP($A43,'Justice Spend Total'!$B:$AQ,34,FALSE)), VLOOKUP($A43,'Justice Spend Total'!$B:$AQ,34,FALSE), #N/A)</f>
        <v>6.6046458821047134</v>
      </c>
      <c r="E43">
        <f>IF(ISNUMBER(VLOOKUP($A43,'Justice Spend Total'!$B:$AQ,34,FALSE)), VLOOKUP($A43,'Justice Spend Total'!$B:$AQ,35,FALSE), #N/A)</f>
        <v>1.4368284384084631</v>
      </c>
      <c r="F43" t="str">
        <f>IF(ISNUMBER(VLOOKUP($A43,'Justice Spend Total'!$B:$AQ,34,FALSE)), VLOOKUP($A43,'Justice Spend Total'!$B:$AQ,36,FALSE), #N/A)</f>
        <v/>
      </c>
    </row>
    <row r="44" spans="1:18">
      <c r="A44" t="s">
        <v>100</v>
      </c>
      <c r="B44">
        <f>IF(ISNUMBER(VLOOKUP($A44,'Justice Spend Total'!$B:$AQ,8,FALSE)), VLOOKUP($A44,'Justice Spend Total'!$B:$AQ,8,FALSE), #N/A)</f>
        <v>580</v>
      </c>
      <c r="C44" s="15">
        <f>IF(ISNUMBER(VLOOKUP($A44,'Justice Spend Total'!$B:$AQ,33,FALSE)), VLOOKUP($A44,'Justice Spend Total'!$B:$AQ,33,FALSE), #N/A)</f>
        <v>2020</v>
      </c>
      <c r="D44" s="15">
        <f>IF(ISNUMBER(VLOOKUP($A44,'Justice Spend Total'!$B:$AQ,34,FALSE)), VLOOKUP($A44,'Justice Spend Total'!$B:$AQ,34,FALSE), #N/A)</f>
        <v>9.9122587063871759</v>
      </c>
      <c r="E44">
        <f>IF(ISNUMBER(VLOOKUP($A44,'Justice Spend Total'!$B:$AQ,34,FALSE)), VLOOKUP($A44,'Justice Spend Total'!$B:$AQ,35,FALSE), #N/A)</f>
        <v>0.88731598655593391</v>
      </c>
      <c r="F44">
        <f>IF(ISNUMBER(VLOOKUP($A44,'Justice Spend Total'!$B:$AQ,34,FALSE)), VLOOKUP($A44,'Justice Spend Total'!$B:$AQ,36,FALSE), #N/A)</f>
        <v>4.8050119652311363</v>
      </c>
    </row>
    <row r="45" spans="1:18">
      <c r="A45" t="s">
        <v>101</v>
      </c>
      <c r="B45">
        <f>IF(ISNUMBER(VLOOKUP($A45,'Justice Spend Total'!$B:$AQ,8,FALSE)), VLOOKUP($A45,'Justice Spend Total'!$B:$AQ,8,FALSE), #N/A)</f>
        <v>590</v>
      </c>
      <c r="C45" s="15" t="e">
        <f>IF(ISNUMBER(VLOOKUP($A45,'Justice Spend Total'!$B:$AQ,33,FALSE)), VLOOKUP($A45,'Justice Spend Total'!$B:$AQ,33,FALSE), #N/A)</f>
        <v>#N/A</v>
      </c>
      <c r="D45" s="15" t="e">
        <f>IF(ISNUMBER(VLOOKUP($A45,'Justice Spend Total'!$B:$AQ,34,FALSE)), VLOOKUP($A45,'Justice Spend Total'!$B:$AQ,34,FALSE), #N/A)</f>
        <v>#N/A</v>
      </c>
      <c r="E45" t="e">
        <f>IF(ISNUMBER(VLOOKUP($A45,'Justice Spend Total'!$B:$AQ,34,FALSE)), VLOOKUP($A45,'Justice Spend Total'!$B:$AQ,35,FALSE), #N/A)</f>
        <v>#N/A</v>
      </c>
      <c r="F45" t="e">
        <f>IF(ISNUMBER(VLOOKUP($A45,'Justice Spend Total'!$B:$AQ,34,FALSE)), VLOOKUP($A45,'Justice Spend Total'!$B:$AQ,36,FALSE), #N/A)</f>
        <v>#N/A</v>
      </c>
    </row>
    <row r="46" spans="1:18">
      <c r="A46" t="s">
        <v>102</v>
      </c>
      <c r="B46">
        <f>IF(ISNUMBER(VLOOKUP($A46,'Justice Spend Total'!$B:$AQ,8,FALSE)), VLOOKUP($A46,'Justice Spend Total'!$B:$AQ,8,FALSE), #N/A)</f>
        <v>600</v>
      </c>
      <c r="C46" s="15" t="e">
        <f>IF(ISNUMBER(VLOOKUP($A46,'Justice Spend Total'!$B:$AQ,33,FALSE)), VLOOKUP($A46,'Justice Spend Total'!$B:$AQ,33,FALSE), #N/A)</f>
        <v>#N/A</v>
      </c>
      <c r="D46" s="15" t="e">
        <f>IF(ISNUMBER(VLOOKUP($A46,'Justice Spend Total'!$B:$AQ,34,FALSE)), VLOOKUP($A46,'Justice Spend Total'!$B:$AQ,34,FALSE), #N/A)</f>
        <v>#N/A</v>
      </c>
      <c r="E46" t="e">
        <f>IF(ISNUMBER(VLOOKUP($A46,'Justice Spend Total'!$B:$AQ,34,FALSE)), VLOOKUP($A46,'Justice Spend Total'!$B:$AQ,35,FALSE), #N/A)</f>
        <v>#N/A</v>
      </c>
      <c r="F46" t="e">
        <f>IF(ISNUMBER(VLOOKUP($A46,'Justice Spend Total'!$B:$AQ,34,FALSE)), VLOOKUP($A46,'Justice Spend Total'!$B:$AQ,36,FALSE), #N/A)</f>
        <v>#N/A</v>
      </c>
    </row>
    <row r="47" spans="1:18">
      <c r="A47" t="s">
        <v>103</v>
      </c>
      <c r="B47">
        <f>IF(ISNUMBER(VLOOKUP($A47,'Justice Spend Total'!$B:$AQ,8,FALSE)), VLOOKUP($A47,'Justice Spend Total'!$B:$AQ,8,FALSE), #N/A)</f>
        <v>620</v>
      </c>
      <c r="C47" s="15" t="e">
        <f>IF(ISNUMBER(VLOOKUP($A47,'Justice Spend Total'!$B:$AQ,33,FALSE)), VLOOKUP($A47,'Justice Spend Total'!$B:$AQ,33,FALSE), #N/A)</f>
        <v>#N/A</v>
      </c>
      <c r="D47" s="15">
        <f>IF(ISNUMBER(VLOOKUP($A47,'Justice Spend Total'!$B:$AQ,34,FALSE)), VLOOKUP($A47,'Justice Spend Total'!$B:$AQ,34,FALSE), #N/A)</f>
        <v>9.4417222105263168</v>
      </c>
      <c r="E47">
        <f>IF(ISNUMBER(VLOOKUP($A47,'Justice Spend Total'!$B:$AQ,34,FALSE)), VLOOKUP($A47,'Justice Spend Total'!$B:$AQ,35,FALSE), #N/A)</f>
        <v>2.9534527823510048</v>
      </c>
      <c r="F47" t="str">
        <f>IF(ISNUMBER(VLOOKUP($A47,'Justice Spend Total'!$B:$AQ,34,FALSE)), VLOOKUP($A47,'Justice Spend Total'!$B:$AQ,36,FALSE), #N/A)</f>
        <v/>
      </c>
    </row>
    <row r="48" spans="1:18">
      <c r="A48" t="s">
        <v>104</v>
      </c>
      <c r="B48">
        <f>IF(ISNUMBER(VLOOKUP($A48,'Justice Spend Total'!$B:$AQ,8,FALSE)), VLOOKUP($A48,'Justice Spend Total'!$B:$AQ,8,FALSE), #N/A)</f>
        <v>630</v>
      </c>
      <c r="C48" s="15" t="e">
        <f>IF(ISNUMBER(VLOOKUP($A48,'Justice Spend Total'!$B:$AQ,33,FALSE)), VLOOKUP($A48,'Justice Spend Total'!$B:$AQ,33,FALSE), #N/A)</f>
        <v>#N/A</v>
      </c>
      <c r="D48" s="15">
        <f>IF(ISNUMBER(VLOOKUP($A48,'Justice Spend Total'!$B:$AQ,34,FALSE)), VLOOKUP($A48,'Justice Spend Total'!$B:$AQ,34,FALSE), #N/A)</f>
        <v>5.9198582358868865</v>
      </c>
      <c r="E48">
        <f>IF(ISNUMBER(VLOOKUP($A48,'Justice Spend Total'!$B:$AQ,34,FALSE)), VLOOKUP($A48,'Justice Spend Total'!$B:$AQ,35,FALSE), #N/A)</f>
        <v>0.87487245997510388</v>
      </c>
      <c r="F48">
        <f>IF(ISNUMBER(VLOOKUP($A48,'Justice Spend Total'!$B:$AQ,34,FALSE)), VLOOKUP($A48,'Justice Spend Total'!$B:$AQ,36,FALSE), #N/A)</f>
        <v>4.0482216138604912</v>
      </c>
    </row>
    <row r="49" spans="1:6">
      <c r="A49" t="s">
        <v>105</v>
      </c>
      <c r="B49">
        <f>IF(ISNUMBER(VLOOKUP($A49,'Justice Spend Total'!$B:$AQ,8,FALSE)), VLOOKUP($A49,'Justice Spend Total'!$B:$AQ,8,FALSE), #N/A)</f>
        <v>650</v>
      </c>
      <c r="C49" s="15" t="e">
        <f>IF(ISNUMBER(VLOOKUP($A49,'Justice Spend Total'!$B:$AQ,33,FALSE)), VLOOKUP($A49,'Justice Spend Total'!$B:$AQ,33,FALSE), #N/A)</f>
        <v>#N/A</v>
      </c>
      <c r="D49" s="15" t="e">
        <f>IF(ISNUMBER(VLOOKUP($A49,'Justice Spend Total'!$B:$AQ,34,FALSE)), VLOOKUP($A49,'Justice Spend Total'!$B:$AQ,34,FALSE), #N/A)</f>
        <v>#N/A</v>
      </c>
      <c r="E49" t="e">
        <f>IF(ISNUMBER(VLOOKUP($A49,'Justice Spend Total'!$B:$AQ,34,FALSE)), VLOOKUP($A49,'Justice Spend Total'!$B:$AQ,35,FALSE), #N/A)</f>
        <v>#N/A</v>
      </c>
      <c r="F49" t="e">
        <f>IF(ISNUMBER(VLOOKUP($A49,'Justice Spend Total'!$B:$AQ,34,FALSE)), VLOOKUP($A49,'Justice Spend Total'!$B:$AQ,36,FALSE), #N/A)</f>
        <v>#N/A</v>
      </c>
    </row>
    <row r="50" spans="1:6">
      <c r="A50" t="s">
        <v>106</v>
      </c>
      <c r="B50">
        <f>IF(ISNUMBER(VLOOKUP($A50,'Justice Spend Total'!$B:$AQ,8,FALSE)), VLOOKUP($A50,'Justice Spend Total'!$B:$AQ,8,FALSE), #N/A)</f>
        <v>670</v>
      </c>
      <c r="C50" s="15" t="e">
        <f>IF(ISNUMBER(VLOOKUP($A50,'Justice Spend Total'!$B:$AQ,33,FALSE)), VLOOKUP($A50,'Justice Spend Total'!$B:$AQ,33,FALSE), #N/A)</f>
        <v>#N/A</v>
      </c>
      <c r="D50" s="15">
        <f>IF(ISNUMBER(VLOOKUP($A50,'Justice Spend Total'!$B:$AQ,34,FALSE)), VLOOKUP($A50,'Justice Spend Total'!$B:$AQ,34,FALSE), #N/A)</f>
        <v>7.3551871389098205</v>
      </c>
      <c r="E50">
        <f>IF(ISNUMBER(VLOOKUP($A50,'Justice Spend Total'!$B:$AQ,34,FALSE)), VLOOKUP($A50,'Justice Spend Total'!$B:$AQ,35,FALSE), #N/A)</f>
        <v>0.57703658085971177</v>
      </c>
      <c r="F50" t="str">
        <f>IF(ISNUMBER(VLOOKUP($A50,'Justice Spend Total'!$B:$AQ,34,FALSE)), VLOOKUP($A50,'Justice Spend Total'!$B:$AQ,36,FALSE), #N/A)</f>
        <v/>
      </c>
    </row>
    <row r="51" spans="1:6">
      <c r="A51" t="s">
        <v>107</v>
      </c>
      <c r="B51">
        <f>IF(ISNUMBER(VLOOKUP($A51,'Justice Spend Total'!$B:$AQ,8,FALSE)), VLOOKUP($A51,'Justice Spend Total'!$B:$AQ,8,FALSE), #N/A)</f>
        <v>670</v>
      </c>
      <c r="C51" s="15" t="e">
        <f>IF(ISNUMBER(VLOOKUP($A51,'Justice Spend Total'!$B:$AQ,33,FALSE)), VLOOKUP($A51,'Justice Spend Total'!$B:$AQ,33,FALSE), #N/A)</f>
        <v>#N/A</v>
      </c>
      <c r="D51" s="15" t="e">
        <f>IF(ISNUMBER(VLOOKUP($A51,'Justice Spend Total'!$B:$AQ,34,FALSE)), VLOOKUP($A51,'Justice Spend Total'!$B:$AQ,34,FALSE), #N/A)</f>
        <v>#N/A</v>
      </c>
      <c r="E51" t="e">
        <f>IF(ISNUMBER(VLOOKUP($A51,'Justice Spend Total'!$B:$AQ,34,FALSE)), VLOOKUP($A51,'Justice Spend Total'!$B:$AQ,35,FALSE), #N/A)</f>
        <v>#N/A</v>
      </c>
      <c r="F51" t="e">
        <f>IF(ISNUMBER(VLOOKUP($A51,'Justice Spend Total'!$B:$AQ,34,FALSE)), VLOOKUP($A51,'Justice Spend Total'!$B:$AQ,36,FALSE), #N/A)</f>
        <v>#N/A</v>
      </c>
    </row>
    <row r="52" spans="1:6">
      <c r="A52" t="s">
        <v>108</v>
      </c>
      <c r="B52">
        <f>IF(ISNUMBER(VLOOKUP($A52,'Justice Spend Total'!$B:$AQ,8,FALSE)), VLOOKUP($A52,'Justice Spend Total'!$B:$AQ,8,FALSE), #N/A)</f>
        <v>780</v>
      </c>
      <c r="C52" s="15" t="e">
        <f>IF(ISNUMBER(VLOOKUP($A52,'Justice Spend Total'!$B:$AQ,33,FALSE)), VLOOKUP($A52,'Justice Spend Total'!$B:$AQ,33,FALSE), #N/A)</f>
        <v>#N/A</v>
      </c>
      <c r="D52" s="15" t="e">
        <f>IF(ISNUMBER(VLOOKUP($A52,'Justice Spend Total'!$B:$AQ,34,FALSE)), VLOOKUP($A52,'Justice Spend Total'!$B:$AQ,34,FALSE), #N/A)</f>
        <v>#N/A</v>
      </c>
      <c r="E52" t="e">
        <f>IF(ISNUMBER(VLOOKUP($A52,'Justice Spend Total'!$B:$AQ,34,FALSE)), VLOOKUP($A52,'Justice Spend Total'!$B:$AQ,35,FALSE), #N/A)</f>
        <v>#N/A</v>
      </c>
      <c r="F52" t="e">
        <f>IF(ISNUMBER(VLOOKUP($A52,'Justice Spend Total'!$B:$AQ,34,FALSE)), VLOOKUP($A52,'Justice Spend Total'!$B:$AQ,36,FALSE), #N/A)</f>
        <v>#N/A</v>
      </c>
    </row>
    <row r="53" spans="1:6">
      <c r="A53" t="s">
        <v>109</v>
      </c>
      <c r="B53">
        <f>IF(ISNUMBER(VLOOKUP($A53,'Justice Spend Total'!$B:$AQ,8,FALSE)), VLOOKUP($A53,'Justice Spend Total'!$B:$AQ,8,FALSE), #N/A)</f>
        <v>800</v>
      </c>
      <c r="C53" s="15">
        <f>IF(ISNUMBER(VLOOKUP($A53,'Justice Spend Total'!$B:$AQ,33,FALSE)), VLOOKUP($A53,'Justice Spend Total'!$B:$AQ,33,FALSE), #N/A)</f>
        <v>2020</v>
      </c>
      <c r="D53" s="15">
        <f>IF(ISNUMBER(VLOOKUP($A53,'Justice Spend Total'!$B:$AQ,34,FALSE)), VLOOKUP($A53,'Justice Spend Total'!$B:$AQ,34,FALSE), #N/A)</f>
        <v>5.5622493705119833</v>
      </c>
      <c r="E53">
        <f>IF(ISNUMBER(VLOOKUP($A53,'Justice Spend Total'!$B:$AQ,34,FALSE)), VLOOKUP($A53,'Justice Spend Total'!$B:$AQ,35,FALSE), #N/A)</f>
        <v>1.2654000784987642</v>
      </c>
      <c r="F53">
        <f>IF(ISNUMBER(VLOOKUP($A53,'Justice Spend Total'!$B:$AQ,34,FALSE)), VLOOKUP($A53,'Justice Spend Total'!$B:$AQ,36,FALSE), #N/A)</f>
        <v>0.59341135876154061</v>
      </c>
    </row>
    <row r="54" spans="1:6">
      <c r="A54" t="s">
        <v>110</v>
      </c>
      <c r="B54">
        <f>IF(ISNUMBER(VLOOKUP($A54,'Justice Spend Total'!$B:$AQ,8,FALSE)), VLOOKUP($A54,'Justice Spend Total'!$B:$AQ,8,FALSE), #N/A)</f>
        <v>840</v>
      </c>
      <c r="C54" s="15" t="e">
        <f>IF(ISNUMBER(VLOOKUP($A54,'Justice Spend Total'!$B:$AQ,33,FALSE)), VLOOKUP($A54,'Justice Spend Total'!$B:$AQ,33,FALSE), #N/A)</f>
        <v>#N/A</v>
      </c>
      <c r="D54" s="15">
        <f>IF(ISNUMBER(VLOOKUP($A54,'Justice Spend Total'!$B:$AQ,34,FALSE)), VLOOKUP($A54,'Justice Spend Total'!$B:$AQ,34,FALSE), #N/A)</f>
        <v>9.2859942129042068</v>
      </c>
      <c r="E54">
        <f>IF(ISNUMBER(VLOOKUP($A54,'Justice Spend Total'!$B:$AQ,34,FALSE)), VLOOKUP($A54,'Justice Spend Total'!$B:$AQ,35,FALSE), #N/A)</f>
        <v>1.2948228265639818</v>
      </c>
      <c r="F54">
        <f>IF(ISNUMBER(VLOOKUP($A54,'Justice Spend Total'!$B:$AQ,34,FALSE)), VLOOKUP($A54,'Justice Spend Total'!$B:$AQ,36,FALSE), #N/A)</f>
        <v>0</v>
      </c>
    </row>
    <row r="55" spans="1:6">
      <c r="A55" t="s">
        <v>111</v>
      </c>
      <c r="B55">
        <f>IF(ISNUMBER(VLOOKUP($A55,'Justice Spend Total'!$B:$AQ,8,FALSE)), VLOOKUP($A55,'Justice Spend Total'!$B:$AQ,8,FALSE), #N/A)</f>
        <v>850</v>
      </c>
      <c r="C55" s="15" t="e">
        <f>IF(ISNUMBER(VLOOKUP($A55,'Justice Spend Total'!$B:$AQ,33,FALSE)), VLOOKUP($A55,'Justice Spend Total'!$B:$AQ,33,FALSE), #N/A)</f>
        <v>#N/A</v>
      </c>
      <c r="D55" s="15">
        <f>IF(ISNUMBER(VLOOKUP($A55,'Justice Spend Total'!$B:$AQ,34,FALSE)), VLOOKUP($A55,'Justice Spend Total'!$B:$AQ,34,FALSE), #N/A)</f>
        <v>6.7482845078752964</v>
      </c>
      <c r="E55">
        <f>IF(ISNUMBER(VLOOKUP($A55,'Justice Spend Total'!$B:$AQ,34,FALSE)), VLOOKUP($A55,'Justice Spend Total'!$B:$AQ,35,FALSE), #N/A)</f>
        <v>1.5592413039506174</v>
      </c>
      <c r="F55">
        <f>IF(ISNUMBER(VLOOKUP($A55,'Justice Spend Total'!$B:$AQ,34,FALSE)), VLOOKUP($A55,'Justice Spend Total'!$B:$AQ,36,FALSE), #N/A)</f>
        <v>3.2860722637178834</v>
      </c>
    </row>
    <row r="56" spans="1:6">
      <c r="A56" t="s">
        <v>112</v>
      </c>
      <c r="B56">
        <f>IF(ISNUMBER(VLOOKUP($A56,'Justice Spend Total'!$B:$AQ,8,FALSE)), VLOOKUP($A56,'Justice Spend Total'!$B:$AQ,8,FALSE), #N/A)</f>
        <v>860</v>
      </c>
      <c r="C56" s="15" t="e">
        <f>IF(ISNUMBER(VLOOKUP($A56,'Justice Spend Total'!$B:$AQ,33,FALSE)), VLOOKUP($A56,'Justice Spend Total'!$B:$AQ,33,FALSE), #N/A)</f>
        <v>#N/A</v>
      </c>
      <c r="D56" s="15" t="e">
        <f>IF(ISNUMBER(VLOOKUP($A56,'Justice Spend Total'!$B:$AQ,34,FALSE)), VLOOKUP($A56,'Justice Spend Total'!$B:$AQ,34,FALSE), #N/A)</f>
        <v>#N/A</v>
      </c>
      <c r="E56" t="e">
        <f>IF(ISNUMBER(VLOOKUP($A56,'Justice Spend Total'!$B:$AQ,34,FALSE)), VLOOKUP($A56,'Justice Spend Total'!$B:$AQ,35,FALSE), #N/A)</f>
        <v>#N/A</v>
      </c>
      <c r="F56" t="e">
        <f>IF(ISNUMBER(VLOOKUP($A56,'Justice Spend Total'!$B:$AQ,34,FALSE)), VLOOKUP($A56,'Justice Spend Total'!$B:$AQ,36,FALSE), #N/A)</f>
        <v>#N/A</v>
      </c>
    </row>
    <row r="57" spans="1:6">
      <c r="A57" t="s">
        <v>113</v>
      </c>
      <c r="B57">
        <f>IF(ISNUMBER(VLOOKUP($A57,'Justice Spend Total'!$B:$AQ,8,FALSE)), VLOOKUP($A57,'Justice Spend Total'!$B:$AQ,8,FALSE), #N/A)</f>
        <v>870</v>
      </c>
      <c r="C57" s="15">
        <f>IF(ISNUMBER(VLOOKUP($A57,'Justice Spend Total'!$B:$AQ,33,FALSE)), VLOOKUP($A57,'Justice Spend Total'!$B:$AQ,33,FALSE), #N/A)</f>
        <v>2020</v>
      </c>
      <c r="D57" s="15">
        <f>IF(ISNUMBER(VLOOKUP($A57,'Justice Spend Total'!$B:$AQ,34,FALSE)), VLOOKUP($A57,'Justice Spend Total'!$B:$AQ,34,FALSE), #N/A)</f>
        <v>7.7393825058666526</v>
      </c>
      <c r="E57">
        <f>IF(ISNUMBER(VLOOKUP($A57,'Justice Spend Total'!$B:$AQ,34,FALSE)), VLOOKUP($A57,'Justice Spend Total'!$B:$AQ,35,FALSE), #N/A)</f>
        <v>1.6612805094856944</v>
      </c>
      <c r="F57">
        <f>IF(ISNUMBER(VLOOKUP($A57,'Justice Spend Total'!$B:$AQ,34,FALSE)), VLOOKUP($A57,'Justice Spend Total'!$B:$AQ,36,FALSE), #N/A)</f>
        <v>2.7147655638890167</v>
      </c>
    </row>
    <row r="58" spans="1:6">
      <c r="A58" t="s">
        <v>114</v>
      </c>
      <c r="B58">
        <f>IF(ISNUMBER(VLOOKUP($A58,'Justice Spend Total'!$B:$AQ,8,FALSE)), VLOOKUP($A58,'Justice Spend Total'!$B:$AQ,8,FALSE), #N/A)</f>
        <v>930</v>
      </c>
      <c r="C58" s="15" t="e">
        <f>IF(ISNUMBER(VLOOKUP($A58,'Justice Spend Total'!$B:$AQ,33,FALSE)), VLOOKUP($A58,'Justice Spend Total'!$B:$AQ,33,FALSE), #N/A)</f>
        <v>#N/A</v>
      </c>
      <c r="D58" s="15" t="e">
        <f>IF(ISNUMBER(VLOOKUP($A58,'Justice Spend Total'!$B:$AQ,34,FALSE)), VLOOKUP($A58,'Justice Spend Total'!$B:$AQ,34,FALSE), #N/A)</f>
        <v>#N/A</v>
      </c>
      <c r="E58" t="e">
        <f>IF(ISNUMBER(VLOOKUP($A58,'Justice Spend Total'!$B:$AQ,34,FALSE)), VLOOKUP($A58,'Justice Spend Total'!$B:$AQ,35,FALSE), #N/A)</f>
        <v>#N/A</v>
      </c>
      <c r="F58" t="e">
        <f>IF(ISNUMBER(VLOOKUP($A58,'Justice Spend Total'!$B:$AQ,34,FALSE)), VLOOKUP($A58,'Justice Spend Total'!$B:$AQ,36,FALSE), #N/A)</f>
        <v>#N/A</v>
      </c>
    </row>
    <row r="59" spans="1:6">
      <c r="A59" t="s">
        <v>115</v>
      </c>
      <c r="B59">
        <f>IF(ISNUMBER(VLOOKUP($A59,'Justice Spend Total'!$B:$AQ,8,FALSE)), VLOOKUP($A59,'Justice Spend Total'!$B:$AQ,8,FALSE), #N/A)</f>
        <v>960</v>
      </c>
      <c r="C59" s="15" t="e">
        <f>IF(ISNUMBER(VLOOKUP($A59,'Justice Spend Total'!$B:$AQ,33,FALSE)), VLOOKUP($A59,'Justice Spend Total'!$B:$AQ,33,FALSE), #N/A)</f>
        <v>#N/A</v>
      </c>
      <c r="D59" s="15" t="e">
        <f>IF(ISNUMBER(VLOOKUP($A59,'Justice Spend Total'!$B:$AQ,34,FALSE)), VLOOKUP($A59,'Justice Spend Total'!$B:$AQ,34,FALSE), #N/A)</f>
        <v>#N/A</v>
      </c>
      <c r="E59" t="e">
        <f>IF(ISNUMBER(VLOOKUP($A59,'Justice Spend Total'!$B:$AQ,34,FALSE)), VLOOKUP($A59,'Justice Spend Total'!$B:$AQ,35,FALSE), #N/A)</f>
        <v>#N/A</v>
      </c>
      <c r="F59" t="e">
        <f>IF(ISNUMBER(VLOOKUP($A59,'Justice Spend Total'!$B:$AQ,34,FALSE)), VLOOKUP($A59,'Justice Spend Total'!$B:$AQ,36,FALSE), #N/A)</f>
        <v>#N/A</v>
      </c>
    </row>
    <row r="60" spans="1:6">
      <c r="A60" t="s">
        <v>116</v>
      </c>
      <c r="B60">
        <f>IF(ISNUMBER(VLOOKUP($A60,'Justice Spend Total'!$B:$AQ,8,FALSE)), VLOOKUP($A60,'Justice Spend Total'!$B:$AQ,8,FALSE), #N/A)</f>
        <v>980</v>
      </c>
      <c r="C60" s="15">
        <f>IF(ISNUMBER(VLOOKUP($A60,'Justice Spend Total'!$B:$AQ,33,FALSE)), VLOOKUP($A60,'Justice Spend Total'!$B:$AQ,33,FALSE), #N/A)</f>
        <v>2021</v>
      </c>
      <c r="D60" s="15">
        <f>IF(ISNUMBER(VLOOKUP($A60,'Justice Spend Total'!$B:$AQ,34,FALSE)), VLOOKUP($A60,'Justice Spend Total'!$B:$AQ,34,FALSE), #N/A)</f>
        <v>3.7638283356616098</v>
      </c>
      <c r="E60">
        <f>IF(ISNUMBER(VLOOKUP($A60,'Justice Spend Total'!$B:$AQ,34,FALSE)), VLOOKUP($A60,'Justice Spend Total'!$B:$AQ,35,FALSE), #N/A)</f>
        <v>0.61117955892977971</v>
      </c>
      <c r="F60" t="str">
        <f>IF(ISNUMBER(VLOOKUP($A60,'Justice Spend Total'!$B:$AQ,34,FALSE)), VLOOKUP($A60,'Justice Spend Total'!$B:$AQ,36,FALSE), #N/A)</f>
        <v/>
      </c>
    </row>
    <row r="61" spans="1:6">
      <c r="A61" t="s">
        <v>117</v>
      </c>
      <c r="B61">
        <f>IF(ISNUMBER(VLOOKUP($A61,'Justice Spend Total'!$B:$AQ,8,FALSE)), VLOOKUP($A61,'Justice Spend Total'!$B:$AQ,8,FALSE), #N/A)</f>
        <v>1010</v>
      </c>
      <c r="C61" s="15">
        <f>IF(ISNUMBER(VLOOKUP($A61,'Justice Spend Total'!$B:$AQ,33,FALSE)), VLOOKUP($A61,'Justice Spend Total'!$B:$AQ,33,FALSE), #N/A)</f>
        <v>2021</v>
      </c>
      <c r="D61" s="15">
        <f>IF(ISNUMBER(VLOOKUP($A61,'Justice Spend Total'!$B:$AQ,34,FALSE)), VLOOKUP($A61,'Justice Spend Total'!$B:$AQ,34,FALSE), #N/A)</f>
        <v>3.1633198566082625</v>
      </c>
      <c r="E61">
        <f>IF(ISNUMBER(VLOOKUP($A61,'Justice Spend Total'!$B:$AQ,34,FALSE)), VLOOKUP($A61,'Justice Spend Total'!$B:$AQ,35,FALSE), #N/A)</f>
        <v>0.39809932387072727</v>
      </c>
      <c r="F61" t="str">
        <f>IF(ISNUMBER(VLOOKUP($A61,'Justice Spend Total'!$B:$AQ,34,FALSE)), VLOOKUP($A61,'Justice Spend Total'!$B:$AQ,36,FALSE), #N/A)</f>
        <v/>
      </c>
    </row>
    <row r="62" spans="1:6">
      <c r="A62" t="s">
        <v>118</v>
      </c>
      <c r="B62">
        <f>IF(ISNUMBER(VLOOKUP($A62,'Justice Spend Total'!$B:$AQ,8,FALSE)), VLOOKUP($A62,'Justice Spend Total'!$B:$AQ,8,FALSE), #N/A)</f>
        <v>1040</v>
      </c>
      <c r="C62" s="15">
        <f>IF(ISNUMBER(VLOOKUP($A62,'Justice Spend Total'!$B:$AQ,33,FALSE)), VLOOKUP($A62,'Justice Spend Total'!$B:$AQ,33,FALSE), #N/A)</f>
        <v>2021</v>
      </c>
      <c r="D62" s="15">
        <f>IF(ISNUMBER(VLOOKUP($A62,'Justice Spend Total'!$B:$AQ,34,FALSE)), VLOOKUP($A62,'Justice Spend Total'!$B:$AQ,34,FALSE), #N/A)</f>
        <v>2.8744483824346863</v>
      </c>
      <c r="E62">
        <f>IF(ISNUMBER(VLOOKUP($A62,'Justice Spend Total'!$B:$AQ,34,FALSE)), VLOOKUP($A62,'Justice Spend Total'!$B:$AQ,35,FALSE), #N/A)</f>
        <v>0.68459345042809316</v>
      </c>
      <c r="F62">
        <f>IF(ISNUMBER(VLOOKUP($A62,'Justice Spend Total'!$B:$AQ,34,FALSE)), VLOOKUP($A62,'Justice Spend Total'!$B:$AQ,36,FALSE), #N/A)</f>
        <v>1.7319544033524283</v>
      </c>
    </row>
    <row r="63" spans="1:6">
      <c r="A63" t="s">
        <v>119</v>
      </c>
      <c r="B63">
        <f>IF(ISNUMBER(VLOOKUP($A63,'Justice Spend Total'!$B:$AQ,8,FALSE)), VLOOKUP($A63,'Justice Spend Total'!$B:$AQ,8,FALSE), #N/A)</f>
        <v>1090</v>
      </c>
      <c r="C63" s="15" t="e">
        <f>IF(ISNUMBER(VLOOKUP($A63,'Justice Spend Total'!$B:$AQ,33,FALSE)), VLOOKUP($A63,'Justice Spend Total'!$B:$AQ,33,FALSE), #N/A)</f>
        <v>#N/A</v>
      </c>
      <c r="D63" s="15">
        <f>IF(ISNUMBER(VLOOKUP($A63,'Justice Spend Total'!$B:$AQ,34,FALSE)), VLOOKUP($A63,'Justice Spend Total'!$B:$AQ,34,FALSE), #N/A)</f>
        <v>4.161804473527118</v>
      </c>
      <c r="E63">
        <f>IF(ISNUMBER(VLOOKUP($A63,'Justice Spend Total'!$B:$AQ,34,FALSE)), VLOOKUP($A63,'Justice Spend Total'!$B:$AQ,35,FALSE), #N/A)</f>
        <v>1.5177587357706992</v>
      </c>
      <c r="F63">
        <f>IF(ISNUMBER(VLOOKUP($A63,'Justice Spend Total'!$B:$AQ,34,FALSE)), VLOOKUP($A63,'Justice Spend Total'!$B:$AQ,36,FALSE), #N/A)</f>
        <v>2.2159842836126162</v>
      </c>
    </row>
    <row r="64" spans="1:6">
      <c r="A64" t="s">
        <v>120</v>
      </c>
      <c r="B64">
        <f>IF(ISNUMBER(VLOOKUP($A64,'Justice Spend Total'!$B:$AQ,8,FALSE)), VLOOKUP($A64,'Justice Spend Total'!$B:$AQ,8,FALSE), #N/A)</f>
        <v>1140</v>
      </c>
      <c r="C64" s="15" t="e">
        <f>IF(ISNUMBER(VLOOKUP($A64,'Justice Spend Total'!$B:$AQ,33,FALSE)), VLOOKUP($A64,'Justice Spend Total'!$B:$AQ,33,FALSE), #N/A)</f>
        <v>#N/A</v>
      </c>
      <c r="D64" s="15" t="e">
        <f>IF(ISNUMBER(VLOOKUP($A64,'Justice Spend Total'!$B:$AQ,34,FALSE)), VLOOKUP($A64,'Justice Spend Total'!$B:$AQ,34,FALSE), #N/A)</f>
        <v>#N/A</v>
      </c>
      <c r="E64" t="e">
        <f>IF(ISNUMBER(VLOOKUP($A64,'Justice Spend Total'!$B:$AQ,34,FALSE)), VLOOKUP($A64,'Justice Spend Total'!$B:$AQ,35,FALSE), #N/A)</f>
        <v>#N/A</v>
      </c>
      <c r="F64" t="e">
        <f>IF(ISNUMBER(VLOOKUP($A64,'Justice Spend Total'!$B:$AQ,34,FALSE)), VLOOKUP($A64,'Justice Spend Total'!$B:$AQ,36,FALSE), #N/A)</f>
        <v>#N/A</v>
      </c>
    </row>
    <row r="65" spans="1:6">
      <c r="A65" t="s">
        <v>121</v>
      </c>
      <c r="B65">
        <f>IF(ISNUMBER(VLOOKUP($A65,'Justice Spend Total'!$B:$AQ,8,FALSE)), VLOOKUP($A65,'Justice Spend Total'!$B:$AQ,8,FALSE), #N/A)</f>
        <v>1140</v>
      </c>
      <c r="C65" s="15" t="e">
        <f>IF(ISNUMBER(VLOOKUP($A65,'Justice Spend Total'!$B:$AQ,33,FALSE)), VLOOKUP($A65,'Justice Spend Total'!$B:$AQ,33,FALSE), #N/A)</f>
        <v>#N/A</v>
      </c>
      <c r="D65" s="15">
        <f>IF(ISNUMBER(VLOOKUP($A65,'Justice Spend Total'!$B:$AQ,34,FALSE)), VLOOKUP($A65,'Justice Spend Total'!$B:$AQ,34,FALSE), #N/A)</f>
        <v>5.0542729215615552</v>
      </c>
      <c r="E65">
        <f>IF(ISNUMBER(VLOOKUP($A65,'Justice Spend Total'!$B:$AQ,34,FALSE)), VLOOKUP($A65,'Justice Spend Total'!$B:$AQ,35,FALSE), #N/A)</f>
        <v>0.73897919170120019</v>
      </c>
      <c r="F65" t="str">
        <f>IF(ISNUMBER(VLOOKUP($A65,'Justice Spend Total'!$B:$AQ,34,FALSE)), VLOOKUP($A65,'Justice Spend Total'!$B:$AQ,36,FALSE), #N/A)</f>
        <v/>
      </c>
    </row>
    <row r="66" spans="1:6">
      <c r="A66" t="s">
        <v>122</v>
      </c>
      <c r="B66">
        <f>IF(ISNUMBER(VLOOKUP($A66,'Justice Spend Total'!$B:$AQ,8,FALSE)), VLOOKUP($A66,'Justice Spend Total'!$B:$AQ,8,FALSE), #N/A)</f>
        <v>1150</v>
      </c>
      <c r="C66" s="15" t="e">
        <f>IF(ISNUMBER(VLOOKUP($A66,'Justice Spend Total'!$B:$AQ,33,FALSE)), VLOOKUP($A66,'Justice Spend Total'!$B:$AQ,33,FALSE), #N/A)</f>
        <v>#N/A</v>
      </c>
      <c r="D66" s="15" t="e">
        <f>IF(ISNUMBER(VLOOKUP($A66,'Justice Spend Total'!$B:$AQ,34,FALSE)), VLOOKUP($A66,'Justice Spend Total'!$B:$AQ,34,FALSE), #N/A)</f>
        <v>#N/A</v>
      </c>
      <c r="E66" t="e">
        <f>IF(ISNUMBER(VLOOKUP($A66,'Justice Spend Total'!$B:$AQ,34,FALSE)), VLOOKUP($A66,'Justice Spend Total'!$B:$AQ,35,FALSE), #N/A)</f>
        <v>#N/A</v>
      </c>
      <c r="F66" t="e">
        <f>IF(ISNUMBER(VLOOKUP($A66,'Justice Spend Total'!$B:$AQ,34,FALSE)), VLOOKUP($A66,'Justice Spend Total'!$B:$AQ,36,FALSE), #N/A)</f>
        <v>#N/A</v>
      </c>
    </row>
    <row r="67" spans="1:6">
      <c r="A67" t="s">
        <v>123</v>
      </c>
      <c r="B67">
        <f>IF(ISNUMBER(VLOOKUP($A67,'Justice Spend Total'!$B:$AQ,8,FALSE)), VLOOKUP($A67,'Justice Spend Total'!$B:$AQ,8,FALSE), #N/A)</f>
        <v>1180</v>
      </c>
      <c r="C67" s="15">
        <f>IF(ISNUMBER(VLOOKUP($A67,'Justice Spend Total'!$B:$AQ,33,FALSE)), VLOOKUP($A67,'Justice Spend Total'!$B:$AQ,33,FALSE), #N/A)</f>
        <v>2019</v>
      </c>
      <c r="D67" s="15">
        <f>IF(ISNUMBER(VLOOKUP($A67,'Justice Spend Total'!$B:$AQ,34,FALSE)), VLOOKUP($A67,'Justice Spend Total'!$B:$AQ,34,FALSE), #N/A)</f>
        <v>5.0470867520410456</v>
      </c>
      <c r="E67">
        <f>IF(ISNUMBER(VLOOKUP($A67,'Justice Spend Total'!$B:$AQ,34,FALSE)), VLOOKUP($A67,'Justice Spend Total'!$B:$AQ,35,FALSE), #N/A)</f>
        <v>1.7140797818348776</v>
      </c>
      <c r="F67" t="str">
        <f>IF(ISNUMBER(VLOOKUP($A67,'Justice Spend Total'!$B:$AQ,34,FALSE)), VLOOKUP($A67,'Justice Spend Total'!$B:$AQ,36,FALSE), #N/A)</f>
        <v/>
      </c>
    </row>
    <row r="68" spans="1:6">
      <c r="A68" t="s">
        <v>124</v>
      </c>
      <c r="B68">
        <f>IF(ISNUMBER(VLOOKUP($A68,'Justice Spend Total'!$B:$AQ,8,FALSE)), VLOOKUP($A68,'Justice Spend Total'!$B:$AQ,8,FALSE), #N/A)</f>
        <v>1230</v>
      </c>
      <c r="C68" s="15" t="e">
        <f>IF(ISNUMBER(VLOOKUP($A68,'Justice Spend Total'!$B:$AQ,33,FALSE)), VLOOKUP($A68,'Justice Spend Total'!$B:$AQ,33,FALSE), #N/A)</f>
        <v>#N/A</v>
      </c>
      <c r="D68" s="15" t="e">
        <f>IF(ISNUMBER(VLOOKUP($A68,'Justice Spend Total'!$B:$AQ,34,FALSE)), VLOOKUP($A68,'Justice Spend Total'!$B:$AQ,34,FALSE), #N/A)</f>
        <v>#N/A</v>
      </c>
      <c r="E68" t="e">
        <f>IF(ISNUMBER(VLOOKUP($A68,'Justice Spend Total'!$B:$AQ,34,FALSE)), VLOOKUP($A68,'Justice Spend Total'!$B:$AQ,35,FALSE), #N/A)</f>
        <v>#N/A</v>
      </c>
      <c r="F68" t="e">
        <f>IF(ISNUMBER(VLOOKUP($A68,'Justice Spend Total'!$B:$AQ,34,FALSE)), VLOOKUP($A68,'Justice Spend Total'!$B:$AQ,36,FALSE), #N/A)</f>
        <v>#N/A</v>
      </c>
    </row>
    <row r="69" spans="1:6">
      <c r="A69" t="s">
        <v>125</v>
      </c>
      <c r="B69">
        <f>IF(ISNUMBER(VLOOKUP($A69,'Justice Spend Total'!$B:$AQ,8,FALSE)), VLOOKUP($A69,'Justice Spend Total'!$B:$AQ,8,FALSE), #N/A)</f>
        <v>1270</v>
      </c>
      <c r="C69" s="15" t="e">
        <f>IF(ISNUMBER(VLOOKUP($A69,'Justice Spend Total'!$B:$AQ,33,FALSE)), VLOOKUP($A69,'Justice Spend Total'!$B:$AQ,33,FALSE), #N/A)</f>
        <v>#N/A</v>
      </c>
      <c r="D69" s="15">
        <f>IF(ISNUMBER(VLOOKUP($A69,'Justice Spend Total'!$B:$AQ,34,FALSE)), VLOOKUP($A69,'Justice Spend Total'!$B:$AQ,34,FALSE), #N/A)</f>
        <v>7.2660882762281052</v>
      </c>
      <c r="E69">
        <f>IF(ISNUMBER(VLOOKUP($A69,'Justice Spend Total'!$B:$AQ,34,FALSE)), VLOOKUP($A69,'Justice Spend Total'!$B:$AQ,35,FALSE), #N/A)</f>
        <v>3.3622884131532258</v>
      </c>
      <c r="F69" t="str">
        <f>IF(ISNUMBER(VLOOKUP($A69,'Justice Spend Total'!$B:$AQ,34,FALSE)), VLOOKUP($A69,'Justice Spend Total'!$B:$AQ,36,FALSE), #N/A)</f>
        <v/>
      </c>
    </row>
    <row r="70" spans="1:6">
      <c r="A70" t="s">
        <v>126</v>
      </c>
      <c r="B70">
        <f>IF(ISNUMBER(VLOOKUP($A70,'Justice Spend Total'!$B:$AQ,8,FALSE)), VLOOKUP($A70,'Justice Spend Total'!$B:$AQ,8,FALSE), #N/A)</f>
        <v>1370</v>
      </c>
      <c r="C70" s="15">
        <f>IF(ISNUMBER(VLOOKUP($A70,'Justice Spend Total'!$B:$AQ,33,FALSE)), VLOOKUP($A70,'Justice Spend Total'!$B:$AQ,33,FALSE), #N/A)</f>
        <v>2020</v>
      </c>
      <c r="D70" s="15">
        <f>IF(ISNUMBER(VLOOKUP($A70,'Justice Spend Total'!$B:$AQ,34,FALSE)), VLOOKUP($A70,'Justice Spend Total'!$B:$AQ,34,FALSE), #N/A)</f>
        <v>7.8511923826011687</v>
      </c>
      <c r="E70">
        <f>IF(ISNUMBER(VLOOKUP($A70,'Justice Spend Total'!$B:$AQ,34,FALSE)), VLOOKUP($A70,'Justice Spend Total'!$B:$AQ,35,FALSE), #N/A)</f>
        <v>1.1250782244118052</v>
      </c>
      <c r="F70" t="str">
        <f>IF(ISNUMBER(VLOOKUP($A70,'Justice Spend Total'!$B:$AQ,34,FALSE)), VLOOKUP($A70,'Justice Spend Total'!$B:$AQ,36,FALSE), #N/A)</f>
        <v/>
      </c>
    </row>
    <row r="71" spans="1:6">
      <c r="A71" t="s">
        <v>127</v>
      </c>
      <c r="B71">
        <f>IF(ISNUMBER(VLOOKUP($A71,'Justice Spend Total'!$B:$AQ,8,FALSE)), VLOOKUP($A71,'Justice Spend Total'!$B:$AQ,8,FALSE), #N/A)</f>
        <v>1400</v>
      </c>
      <c r="C71" s="15">
        <f>IF(ISNUMBER(VLOOKUP($A71,'Justice Spend Total'!$B:$AQ,33,FALSE)), VLOOKUP($A71,'Justice Spend Total'!$B:$AQ,33,FALSE), #N/A)</f>
        <v>2022</v>
      </c>
      <c r="D71" s="15">
        <f>IF(ISNUMBER(VLOOKUP($A71,'Justice Spend Total'!$B:$AQ,34,FALSE)), VLOOKUP($A71,'Justice Spend Total'!$B:$AQ,34,FALSE), #N/A)</f>
        <v>9.8152941176470581</v>
      </c>
      <c r="E71">
        <f>IF(ISNUMBER(VLOOKUP($A71,'Justice Spend Total'!$B:$AQ,34,FALSE)), VLOOKUP($A71,'Justice Spend Total'!$B:$AQ,35,FALSE), #N/A)</f>
        <v>1.2030559471990618</v>
      </c>
      <c r="F71" t="str">
        <f>IF(ISNUMBER(VLOOKUP($A71,'Justice Spend Total'!$B:$AQ,34,FALSE)), VLOOKUP($A71,'Justice Spend Total'!$B:$AQ,36,FALSE), #N/A)</f>
        <v/>
      </c>
    </row>
    <row r="72" spans="1:6">
      <c r="A72" t="s">
        <v>128</v>
      </c>
      <c r="B72">
        <f>IF(ISNUMBER(VLOOKUP($A72,'Justice Spend Total'!$B:$AQ,8,FALSE)), VLOOKUP($A72,'Justice Spend Total'!$B:$AQ,8,FALSE), #N/A)</f>
        <v>1420</v>
      </c>
      <c r="C72" s="15" t="e">
        <f>IF(ISNUMBER(VLOOKUP($A72,'Justice Spend Total'!$B:$AQ,33,FALSE)), VLOOKUP($A72,'Justice Spend Total'!$B:$AQ,33,FALSE), #N/A)</f>
        <v>#N/A</v>
      </c>
      <c r="D72" s="15">
        <f>IF(ISNUMBER(VLOOKUP($A72,'Justice Spend Total'!$B:$AQ,34,FALSE)), VLOOKUP($A72,'Justice Spend Total'!$B:$AQ,34,FALSE), #N/A)</f>
        <v>17.816601534233381</v>
      </c>
      <c r="E72">
        <f>IF(ISNUMBER(VLOOKUP($A72,'Justice Spend Total'!$B:$AQ,34,FALSE)), VLOOKUP($A72,'Justice Spend Total'!$B:$AQ,35,FALSE), #N/A)</f>
        <v>1.4802832912941897</v>
      </c>
      <c r="F72" t="str">
        <f>IF(ISNUMBER(VLOOKUP($A72,'Justice Spend Total'!$B:$AQ,34,FALSE)), VLOOKUP($A72,'Justice Spend Total'!$B:$AQ,36,FALSE), #N/A)</f>
        <v/>
      </c>
    </row>
    <row r="73" spans="1:6">
      <c r="A73" t="s">
        <v>129</v>
      </c>
      <c r="B73">
        <f>IF(ISNUMBER(VLOOKUP($A73,'Justice Spend Total'!$B:$AQ,8,FALSE)), VLOOKUP($A73,'Justice Spend Total'!$B:$AQ,8,FALSE), #N/A)</f>
        <v>1460</v>
      </c>
      <c r="C73" s="15" t="e">
        <f>IF(ISNUMBER(VLOOKUP($A73,'Justice Spend Total'!$B:$AQ,33,FALSE)), VLOOKUP($A73,'Justice Spend Total'!$B:$AQ,33,FALSE), #N/A)</f>
        <v>#N/A</v>
      </c>
      <c r="D73" s="15" t="e">
        <f>IF(ISNUMBER(VLOOKUP($A73,'Justice Spend Total'!$B:$AQ,34,FALSE)), VLOOKUP($A73,'Justice Spend Total'!$B:$AQ,34,FALSE), #N/A)</f>
        <v>#N/A</v>
      </c>
      <c r="E73" t="e">
        <f>IF(ISNUMBER(VLOOKUP($A73,'Justice Spend Total'!$B:$AQ,34,FALSE)), VLOOKUP($A73,'Justice Spend Total'!$B:$AQ,35,FALSE), #N/A)</f>
        <v>#N/A</v>
      </c>
      <c r="F73" t="e">
        <f>IF(ISNUMBER(VLOOKUP($A73,'Justice Spend Total'!$B:$AQ,34,FALSE)), VLOOKUP($A73,'Justice Spend Total'!$B:$AQ,36,FALSE), #N/A)</f>
        <v>#N/A</v>
      </c>
    </row>
    <row r="74" spans="1:6">
      <c r="A74" t="s">
        <v>130</v>
      </c>
      <c r="B74">
        <f>IF(ISNUMBER(VLOOKUP($A74,'Justice Spend Total'!$B:$AQ,8,FALSE)), VLOOKUP($A74,'Justice Spend Total'!$B:$AQ,8,FALSE), #N/A)</f>
        <v>1500</v>
      </c>
      <c r="C74" s="15" t="e">
        <f>IF(ISNUMBER(VLOOKUP($A74,'Justice Spend Total'!$B:$AQ,33,FALSE)), VLOOKUP($A74,'Justice Spend Total'!$B:$AQ,33,FALSE), #N/A)</f>
        <v>#N/A</v>
      </c>
      <c r="D74" s="15">
        <f>IF(ISNUMBER(VLOOKUP($A74,'Justice Spend Total'!$B:$AQ,34,FALSE)), VLOOKUP($A74,'Justice Spend Total'!$B:$AQ,34,FALSE), #N/A)</f>
        <v>2.8356336080008888</v>
      </c>
      <c r="E74">
        <f>IF(ISNUMBER(VLOOKUP($A74,'Justice Spend Total'!$B:$AQ,34,FALSE)), VLOOKUP($A74,'Justice Spend Total'!$B:$AQ,35,FALSE), #N/A)</f>
        <v>0.35431258032140639</v>
      </c>
      <c r="F74">
        <f>IF(ISNUMBER(VLOOKUP($A74,'Justice Spend Total'!$B:$AQ,34,FALSE)), VLOOKUP($A74,'Justice Spend Total'!$B:$AQ,36,FALSE), #N/A)</f>
        <v>2.598731038779905</v>
      </c>
    </row>
    <row r="75" spans="1:6">
      <c r="A75" t="s">
        <v>131</v>
      </c>
      <c r="B75">
        <f>IF(ISNUMBER(VLOOKUP($A75,'Justice Spend Total'!$B:$AQ,8,FALSE)), VLOOKUP($A75,'Justice Spend Total'!$B:$AQ,8,FALSE), #N/A)</f>
        <v>1540</v>
      </c>
      <c r="C75" s="15">
        <f>IF(ISNUMBER(VLOOKUP($A75,'Justice Spend Total'!$B:$AQ,33,FALSE)), VLOOKUP($A75,'Justice Spend Total'!$B:$AQ,33,FALSE), #N/A)</f>
        <v>2021</v>
      </c>
      <c r="D75" s="15">
        <f>IF(ISNUMBER(VLOOKUP($A75,'Justice Spend Total'!$B:$AQ,34,FALSE)), VLOOKUP($A75,'Justice Spend Total'!$B:$AQ,34,FALSE), #N/A)</f>
        <v>5.966313259786677</v>
      </c>
      <c r="E75">
        <f>IF(ISNUMBER(VLOOKUP($A75,'Justice Spend Total'!$B:$AQ,34,FALSE)), VLOOKUP($A75,'Justice Spend Total'!$B:$AQ,35,FALSE), #N/A)</f>
        <v>1.2027573026593859</v>
      </c>
      <c r="F75" t="str">
        <f>IF(ISNUMBER(VLOOKUP($A75,'Justice Spend Total'!$B:$AQ,34,FALSE)), VLOOKUP($A75,'Justice Spend Total'!$B:$AQ,36,FALSE), #N/A)</f>
        <v/>
      </c>
    </row>
    <row r="76" spans="1:6">
      <c r="A76" t="s">
        <v>132</v>
      </c>
      <c r="B76">
        <f>IF(ISNUMBER(VLOOKUP($A76,'Justice Spend Total'!$B:$AQ,8,FALSE)), VLOOKUP($A76,'Justice Spend Total'!$B:$AQ,8,FALSE), #N/A)</f>
        <v>1550</v>
      </c>
      <c r="C76" s="15">
        <f>IF(ISNUMBER(VLOOKUP($A76,'Justice Spend Total'!$B:$AQ,33,FALSE)), VLOOKUP($A76,'Justice Spend Total'!$B:$AQ,33,FALSE), #N/A)</f>
        <v>2022</v>
      </c>
      <c r="D76" s="15">
        <f>IF(ISNUMBER(VLOOKUP($A76,'Justice Spend Total'!$B:$AQ,34,FALSE)), VLOOKUP($A76,'Justice Spend Total'!$B:$AQ,34,FALSE), #N/A)</f>
        <v>5.9769169855292441</v>
      </c>
      <c r="E76">
        <f>IF(ISNUMBER(VLOOKUP($A76,'Justice Spend Total'!$B:$AQ,34,FALSE)), VLOOKUP($A76,'Justice Spend Total'!$B:$AQ,35,FALSE), #N/A)</f>
        <v>1.6006035592726564</v>
      </c>
      <c r="F76" t="str">
        <f>IF(ISNUMBER(VLOOKUP($A76,'Justice Spend Total'!$B:$AQ,34,FALSE)), VLOOKUP($A76,'Justice Spend Total'!$B:$AQ,36,FALSE), #N/A)</f>
        <v/>
      </c>
    </row>
    <row r="77" spans="1:6">
      <c r="A77" t="s">
        <v>133</v>
      </c>
      <c r="B77">
        <f>IF(ISNUMBER(VLOOKUP($A77,'Justice Spend Total'!$B:$AQ,8,FALSE)), VLOOKUP($A77,'Justice Spend Total'!$B:$AQ,8,FALSE), #N/A)</f>
        <v>1590</v>
      </c>
      <c r="C77" s="15" t="e">
        <f>IF(ISNUMBER(VLOOKUP($A77,'Justice Spend Total'!$B:$AQ,33,FALSE)), VLOOKUP($A77,'Justice Spend Total'!$B:$AQ,33,FALSE), #N/A)</f>
        <v>#N/A</v>
      </c>
      <c r="D77" s="15" t="e">
        <f>IF(ISNUMBER(VLOOKUP($A77,'Justice Spend Total'!$B:$AQ,34,FALSE)), VLOOKUP($A77,'Justice Spend Total'!$B:$AQ,34,FALSE), #N/A)</f>
        <v>#N/A</v>
      </c>
      <c r="E77" t="e">
        <f>IF(ISNUMBER(VLOOKUP($A77,'Justice Spend Total'!$B:$AQ,34,FALSE)), VLOOKUP($A77,'Justice Spend Total'!$B:$AQ,35,FALSE), #N/A)</f>
        <v>#N/A</v>
      </c>
      <c r="F77" t="e">
        <f>IF(ISNUMBER(VLOOKUP($A77,'Justice Spend Total'!$B:$AQ,34,FALSE)), VLOOKUP($A77,'Justice Spend Total'!$B:$AQ,36,FALSE), #N/A)</f>
        <v>#N/A</v>
      </c>
    </row>
    <row r="78" spans="1:6">
      <c r="A78" t="s">
        <v>134</v>
      </c>
      <c r="B78">
        <f>IF(ISNUMBER(VLOOKUP($A78,'Justice Spend Total'!$B:$AQ,8,FALSE)), VLOOKUP($A78,'Justice Spend Total'!$B:$AQ,8,FALSE), #N/A)</f>
        <v>1630</v>
      </c>
      <c r="C78" s="15">
        <f>IF(ISNUMBER(VLOOKUP($A78,'Justice Spend Total'!$B:$AQ,33,FALSE)), VLOOKUP($A78,'Justice Spend Total'!$B:$AQ,33,FALSE), #N/A)</f>
        <v>2020</v>
      </c>
      <c r="D78" s="15">
        <f>IF(ISNUMBER(VLOOKUP($A78,'Justice Spend Total'!$B:$AQ,34,FALSE)), VLOOKUP($A78,'Justice Spend Total'!$B:$AQ,34,FALSE), #N/A)</f>
        <v>2.2666616728765296</v>
      </c>
      <c r="E78">
        <f>IF(ISNUMBER(VLOOKUP($A78,'Justice Spend Total'!$B:$AQ,34,FALSE)), VLOOKUP($A78,'Justice Spend Total'!$B:$AQ,35,FALSE), #N/A)</f>
        <v>0.50418283598079672</v>
      </c>
      <c r="F78" t="str">
        <f>IF(ISNUMBER(VLOOKUP($A78,'Justice Spend Total'!$B:$AQ,34,FALSE)), VLOOKUP($A78,'Justice Spend Total'!$B:$AQ,36,FALSE), #N/A)</f>
        <v/>
      </c>
    </row>
    <row r="79" spans="1:6">
      <c r="A79" t="s">
        <v>135</v>
      </c>
      <c r="B79">
        <f>IF(ISNUMBER(VLOOKUP($A79,'Justice Spend Total'!$B:$AQ,8,FALSE)), VLOOKUP($A79,'Justice Spend Total'!$B:$AQ,8,FALSE), #N/A)</f>
        <v>1730</v>
      </c>
      <c r="C79" s="15">
        <f>IF(ISNUMBER(VLOOKUP($A79,'Justice Spend Total'!$B:$AQ,33,FALSE)), VLOOKUP($A79,'Justice Spend Total'!$B:$AQ,33,FALSE), #N/A)</f>
        <v>2021</v>
      </c>
      <c r="D79" s="15">
        <f>IF(ISNUMBER(VLOOKUP($A79,'Justice Spend Total'!$B:$AQ,34,FALSE)), VLOOKUP($A79,'Justice Spend Total'!$B:$AQ,34,FALSE), #N/A)</f>
        <v>5.3690922482514285</v>
      </c>
      <c r="E79">
        <f>IF(ISNUMBER(VLOOKUP($A79,'Justice Spend Total'!$B:$AQ,34,FALSE)), VLOOKUP($A79,'Justice Spend Total'!$B:$AQ,35,FALSE), #N/A)</f>
        <v>1.1942664250362618</v>
      </c>
      <c r="F79">
        <f>IF(ISNUMBER(VLOOKUP($A79,'Justice Spend Total'!$B:$AQ,34,FALSE)), VLOOKUP($A79,'Justice Spend Total'!$B:$AQ,36,FALSE), #N/A)</f>
        <v>2.7629219266363281</v>
      </c>
    </row>
    <row r="80" spans="1:6">
      <c r="A80" t="s">
        <v>136</v>
      </c>
      <c r="B80">
        <f>IF(ISNUMBER(VLOOKUP($A80,'Justice Spend Total'!$B:$AQ,8,FALSE)), VLOOKUP($A80,'Justice Spend Total'!$B:$AQ,8,FALSE), #N/A)</f>
        <v>1770</v>
      </c>
      <c r="C80" s="15" t="e">
        <f>IF(ISNUMBER(VLOOKUP($A80,'Justice Spend Total'!$B:$AQ,33,FALSE)), VLOOKUP($A80,'Justice Spend Total'!$B:$AQ,33,FALSE), #N/A)</f>
        <v>#N/A</v>
      </c>
      <c r="D80" s="15" t="e">
        <f>IF(ISNUMBER(VLOOKUP($A80,'Justice Spend Total'!$B:$AQ,34,FALSE)), VLOOKUP($A80,'Justice Spend Total'!$B:$AQ,34,FALSE), #N/A)</f>
        <v>#N/A</v>
      </c>
      <c r="E80" t="e">
        <f>IF(ISNUMBER(VLOOKUP($A80,'Justice Spend Total'!$B:$AQ,34,FALSE)), VLOOKUP($A80,'Justice Spend Total'!$B:$AQ,35,FALSE), #N/A)</f>
        <v>#N/A</v>
      </c>
      <c r="F80" t="e">
        <f>IF(ISNUMBER(VLOOKUP($A80,'Justice Spend Total'!$B:$AQ,34,FALSE)), VLOOKUP($A80,'Justice Spend Total'!$B:$AQ,36,FALSE), #N/A)</f>
        <v>#N/A</v>
      </c>
    </row>
    <row r="81" spans="1:6">
      <c r="A81" t="s">
        <v>137</v>
      </c>
      <c r="B81">
        <f>IF(ISNUMBER(VLOOKUP($A81,'Justice Spend Total'!$B:$AQ,8,FALSE)), VLOOKUP($A81,'Justice Spend Total'!$B:$AQ,8,FALSE), #N/A)</f>
        <v>1940</v>
      </c>
      <c r="C81" s="15">
        <f>IF(ISNUMBER(VLOOKUP($A81,'Justice Spend Total'!$B:$AQ,33,FALSE)), VLOOKUP($A81,'Justice Spend Total'!$B:$AQ,33,FALSE), #N/A)</f>
        <v>2021</v>
      </c>
      <c r="D81" s="15">
        <f>IF(ISNUMBER(VLOOKUP($A81,'Justice Spend Total'!$B:$AQ,34,FALSE)), VLOOKUP($A81,'Justice Spend Total'!$B:$AQ,34,FALSE), #N/A)</f>
        <v>13.415927189988624</v>
      </c>
      <c r="E81">
        <f>IF(ISNUMBER(VLOOKUP($A81,'Justice Spend Total'!$B:$AQ,34,FALSE)), VLOOKUP($A81,'Justice Spend Total'!$B:$AQ,35,FALSE), #N/A)</f>
        <v>6.9205399061032873</v>
      </c>
      <c r="F81" t="str">
        <f>IF(ISNUMBER(VLOOKUP($A81,'Justice Spend Total'!$B:$AQ,34,FALSE)), VLOOKUP($A81,'Justice Spend Total'!$B:$AQ,36,FALSE), #N/A)</f>
        <v/>
      </c>
    </row>
    <row r="82" spans="1:6">
      <c r="A82" t="s">
        <v>138</v>
      </c>
      <c r="B82">
        <f>IF(ISNUMBER(VLOOKUP($A82,'Justice Spend Total'!$B:$AQ,8,FALSE)), VLOOKUP($A82,'Justice Spend Total'!$B:$AQ,8,FALSE), #N/A)</f>
        <v>1960</v>
      </c>
      <c r="C82" s="15">
        <f>IF(ISNUMBER(VLOOKUP($A82,'Justice Spend Total'!$B:$AQ,33,FALSE)), VLOOKUP($A82,'Justice Spend Total'!$B:$AQ,33,FALSE), #N/A)</f>
        <v>2020</v>
      </c>
      <c r="D82" s="15">
        <f>IF(ISNUMBER(VLOOKUP($A82,'Justice Spend Total'!$B:$AQ,34,FALSE)), VLOOKUP($A82,'Justice Spend Total'!$B:$AQ,34,FALSE), #N/A)</f>
        <v>0.30481225623991504</v>
      </c>
      <c r="E82">
        <f>IF(ISNUMBER(VLOOKUP($A82,'Justice Spend Total'!$B:$AQ,34,FALSE)), VLOOKUP($A82,'Justice Spend Total'!$B:$AQ,35,FALSE), #N/A)</f>
        <v>7.9200890513140929E-2</v>
      </c>
      <c r="F82" t="str">
        <f>IF(ISNUMBER(VLOOKUP($A82,'Justice Spend Total'!$B:$AQ,34,FALSE)), VLOOKUP($A82,'Justice Spend Total'!$B:$AQ,36,FALSE), #N/A)</f>
        <v/>
      </c>
    </row>
    <row r="83" spans="1:6">
      <c r="A83" t="s">
        <v>139</v>
      </c>
      <c r="B83">
        <f>IF(ISNUMBER(VLOOKUP($A83,'Justice Spend Total'!$B:$AQ,8,FALSE)), VLOOKUP($A83,'Justice Spend Total'!$B:$AQ,8,FALSE), #N/A)</f>
        <v>2010</v>
      </c>
      <c r="C83" s="15" t="e">
        <f>IF(ISNUMBER(VLOOKUP($A83,'Justice Spend Total'!$B:$AQ,33,FALSE)), VLOOKUP($A83,'Justice Spend Total'!$B:$AQ,33,FALSE), #N/A)</f>
        <v>#N/A</v>
      </c>
      <c r="D83" s="15">
        <f>IF(ISNUMBER(VLOOKUP($A83,'Justice Spend Total'!$B:$AQ,34,FALSE)), VLOOKUP($A83,'Justice Spend Total'!$B:$AQ,34,FALSE), #N/A)</f>
        <v>10.530883069325224</v>
      </c>
      <c r="E83">
        <f>IF(ISNUMBER(VLOOKUP($A83,'Justice Spend Total'!$B:$AQ,34,FALSE)), VLOOKUP($A83,'Justice Spend Total'!$B:$AQ,35,FALSE), #N/A)</f>
        <v>1.7490409644201288</v>
      </c>
      <c r="F83">
        <f>IF(ISNUMBER(VLOOKUP($A83,'Justice Spend Total'!$B:$AQ,34,FALSE)), VLOOKUP($A83,'Justice Spend Total'!$B:$AQ,36,FALSE), #N/A)</f>
        <v>6.4303859258652718</v>
      </c>
    </row>
    <row r="84" spans="1:6">
      <c r="A84" t="s">
        <v>140</v>
      </c>
      <c r="B84">
        <f>IF(ISNUMBER(VLOOKUP($A84,'Justice Spend Total'!$B:$AQ,8,FALSE)), VLOOKUP($A84,'Justice Spend Total'!$B:$AQ,8,FALSE), #N/A)</f>
        <v>2010</v>
      </c>
      <c r="C84" s="15" t="e">
        <f>IF(ISNUMBER(VLOOKUP($A84,'Justice Spend Total'!$B:$AQ,33,FALSE)), VLOOKUP($A84,'Justice Spend Total'!$B:$AQ,33,FALSE), #N/A)</f>
        <v>#N/A</v>
      </c>
      <c r="D84" s="15" t="e">
        <f>IF(ISNUMBER(VLOOKUP($A84,'Justice Spend Total'!$B:$AQ,34,FALSE)), VLOOKUP($A84,'Justice Spend Total'!$B:$AQ,34,FALSE), #N/A)</f>
        <v>#N/A</v>
      </c>
      <c r="E84" t="e">
        <f>IF(ISNUMBER(VLOOKUP($A84,'Justice Spend Total'!$B:$AQ,34,FALSE)), VLOOKUP($A84,'Justice Spend Total'!$B:$AQ,35,FALSE), #N/A)</f>
        <v>#N/A</v>
      </c>
      <c r="F84" t="e">
        <f>IF(ISNUMBER(VLOOKUP($A84,'Justice Spend Total'!$B:$AQ,34,FALSE)), VLOOKUP($A84,'Justice Spend Total'!$B:$AQ,36,FALSE), #N/A)</f>
        <v>#N/A</v>
      </c>
    </row>
    <row r="85" spans="1:6">
      <c r="A85" t="s">
        <v>141</v>
      </c>
      <c r="B85">
        <f>IF(ISNUMBER(VLOOKUP($A85,'Justice Spend Total'!$B:$AQ,8,FALSE)), VLOOKUP($A85,'Justice Spend Total'!$B:$AQ,8,FALSE), #N/A)</f>
        <v>2100</v>
      </c>
      <c r="C85" s="15">
        <f>IF(ISNUMBER(VLOOKUP($A85,'Justice Spend Total'!$B:$AQ,33,FALSE)), VLOOKUP($A85,'Justice Spend Total'!$B:$AQ,33,FALSE), #N/A)</f>
        <v>2022</v>
      </c>
      <c r="D85" s="15">
        <f>IF(ISNUMBER(VLOOKUP($A85,'Justice Spend Total'!$B:$AQ,34,FALSE)), VLOOKUP($A85,'Justice Spend Total'!$B:$AQ,34,FALSE), #N/A)</f>
        <v>8.5336919981642545</v>
      </c>
      <c r="E85">
        <f>IF(ISNUMBER(VLOOKUP($A85,'Justice Spend Total'!$B:$AQ,34,FALSE)), VLOOKUP($A85,'Justice Spend Total'!$B:$AQ,35,FALSE), #N/A)</f>
        <v>0.53944293308327551</v>
      </c>
      <c r="F85">
        <f>IF(ISNUMBER(VLOOKUP($A85,'Justice Spend Total'!$B:$AQ,34,FALSE)), VLOOKUP($A85,'Justice Spend Total'!$B:$AQ,36,FALSE), #N/A)</f>
        <v>5.6966954279853956</v>
      </c>
    </row>
    <row r="86" spans="1:6">
      <c r="A86" t="s">
        <v>142</v>
      </c>
      <c r="B86">
        <f>IF(ISNUMBER(VLOOKUP($A86,'Justice Spend Total'!$B:$AQ,8,FALSE)), VLOOKUP($A86,'Justice Spend Total'!$B:$AQ,8,FALSE), #N/A)</f>
        <v>2170</v>
      </c>
      <c r="C86" s="15" t="e">
        <f>IF(ISNUMBER(VLOOKUP($A86,'Justice Spend Total'!$B:$AQ,33,FALSE)), VLOOKUP($A86,'Justice Spend Total'!$B:$AQ,33,FALSE), #N/A)</f>
        <v>#N/A</v>
      </c>
      <c r="D86" s="15">
        <f>IF(ISNUMBER(VLOOKUP($A86,'Justice Spend Total'!$B:$AQ,34,FALSE)), VLOOKUP($A86,'Justice Spend Total'!$B:$AQ,34,FALSE), #N/A)</f>
        <v>6.2854468431273407</v>
      </c>
      <c r="E86">
        <f>IF(ISNUMBER(VLOOKUP($A86,'Justice Spend Total'!$B:$AQ,34,FALSE)), VLOOKUP($A86,'Justice Spend Total'!$B:$AQ,35,FALSE), #N/A)</f>
        <v>1.1499483755963744</v>
      </c>
      <c r="F86">
        <f>IF(ISNUMBER(VLOOKUP($A86,'Justice Spend Total'!$B:$AQ,34,FALSE)), VLOOKUP($A86,'Justice Spend Total'!$B:$AQ,36,FALSE), #N/A)</f>
        <v>5.8202650009606209</v>
      </c>
    </row>
    <row r="87" spans="1:6">
      <c r="A87" t="s">
        <v>143</v>
      </c>
      <c r="B87">
        <f>IF(ISNUMBER(VLOOKUP($A87,'Justice Spend Total'!$B:$AQ,8,FALSE)), VLOOKUP($A87,'Justice Spend Total'!$B:$AQ,8,FALSE), #N/A)</f>
        <v>2280</v>
      </c>
      <c r="C87" s="15" t="e">
        <f>IF(ISNUMBER(VLOOKUP($A87,'Justice Spend Total'!$B:$AQ,33,FALSE)), VLOOKUP($A87,'Justice Spend Total'!$B:$AQ,33,FALSE), #N/A)</f>
        <v>#N/A</v>
      </c>
      <c r="D87" s="15" t="e">
        <f>IF(ISNUMBER(VLOOKUP($A87,'Justice Spend Total'!$B:$AQ,34,FALSE)), VLOOKUP($A87,'Justice Spend Total'!$B:$AQ,34,FALSE), #N/A)</f>
        <v>#N/A</v>
      </c>
      <c r="E87" t="e">
        <f>IF(ISNUMBER(VLOOKUP($A87,'Justice Spend Total'!$B:$AQ,34,FALSE)), VLOOKUP($A87,'Justice Spend Total'!$B:$AQ,35,FALSE), #N/A)</f>
        <v>#N/A</v>
      </c>
      <c r="F87" t="e">
        <f>IF(ISNUMBER(VLOOKUP($A87,'Justice Spend Total'!$B:$AQ,34,FALSE)), VLOOKUP($A87,'Justice Spend Total'!$B:$AQ,36,FALSE), #N/A)</f>
        <v>#N/A</v>
      </c>
    </row>
    <row r="88" spans="1:6">
      <c r="A88" t="s">
        <v>144</v>
      </c>
      <c r="B88">
        <f>IF(ISNUMBER(VLOOKUP($A88,'Justice Spend Total'!$B:$AQ,8,FALSE)), VLOOKUP($A88,'Justice Spend Total'!$B:$AQ,8,FALSE), #N/A)</f>
        <v>2300</v>
      </c>
      <c r="C88" s="15">
        <f>IF(ISNUMBER(VLOOKUP($A88,'Justice Spend Total'!$B:$AQ,33,FALSE)), VLOOKUP($A88,'Justice Spend Total'!$B:$AQ,33,FALSE), #N/A)</f>
        <v>2020</v>
      </c>
      <c r="D88" s="15">
        <f>IF(ISNUMBER(VLOOKUP($A88,'Justice Spend Total'!$B:$AQ,34,FALSE)), VLOOKUP($A88,'Justice Spend Total'!$B:$AQ,34,FALSE), #N/A)</f>
        <v>8.4423684921763869</v>
      </c>
      <c r="E88">
        <f>IF(ISNUMBER(VLOOKUP($A88,'Justice Spend Total'!$B:$AQ,34,FALSE)), VLOOKUP($A88,'Justice Spend Total'!$B:$AQ,35,FALSE), #N/A)</f>
        <v>2.8045924470347332</v>
      </c>
      <c r="F88">
        <f>IF(ISNUMBER(VLOOKUP($A88,'Justice Spend Total'!$B:$AQ,34,FALSE)), VLOOKUP($A88,'Justice Spend Total'!$B:$AQ,36,FALSE), #N/A)</f>
        <v>4.6715045155152488</v>
      </c>
    </row>
    <row r="89" spans="1:6">
      <c r="A89" t="s">
        <v>145</v>
      </c>
      <c r="B89">
        <f>IF(ISNUMBER(VLOOKUP($A89,'Justice Spend Total'!$B:$AQ,8,FALSE)), VLOOKUP($A89,'Justice Spend Total'!$B:$AQ,8,FALSE), #N/A)</f>
        <v>2360</v>
      </c>
      <c r="C89" s="15">
        <f>IF(ISNUMBER(VLOOKUP($A89,'Justice Spend Total'!$B:$AQ,33,FALSE)), VLOOKUP($A89,'Justice Spend Total'!$B:$AQ,33,FALSE), #N/A)</f>
        <v>2022</v>
      </c>
      <c r="D89" s="15">
        <f>IF(ISNUMBER(VLOOKUP($A89,'Justice Spend Total'!$B:$AQ,34,FALSE)), VLOOKUP($A89,'Justice Spend Total'!$B:$AQ,34,FALSE), #N/A)</f>
        <v>10.977701900144751</v>
      </c>
      <c r="E89">
        <f>IF(ISNUMBER(VLOOKUP($A89,'Justice Spend Total'!$B:$AQ,34,FALSE)), VLOOKUP($A89,'Justice Spend Total'!$B:$AQ,35,FALSE), #N/A)</f>
        <v>1.548291145770885</v>
      </c>
      <c r="F89">
        <f>IF(ISNUMBER(VLOOKUP($A89,'Justice Spend Total'!$B:$AQ,34,FALSE)), VLOOKUP($A89,'Justice Spend Total'!$B:$AQ,36,FALSE), #N/A)</f>
        <v>7.1639195344989997</v>
      </c>
    </row>
    <row r="90" spans="1:6">
      <c r="A90" t="s">
        <v>146</v>
      </c>
      <c r="B90">
        <f>IF(ISNUMBER(VLOOKUP($A90,'Justice Spend Total'!$B:$AQ,8,FALSE)), VLOOKUP($A90,'Justice Spend Total'!$B:$AQ,8,FALSE), #N/A)</f>
        <v>2450</v>
      </c>
      <c r="C90" s="15" t="e">
        <f>IF(ISNUMBER(VLOOKUP($A90,'Justice Spend Total'!$B:$AQ,33,FALSE)), VLOOKUP($A90,'Justice Spend Total'!$B:$AQ,33,FALSE), #N/A)</f>
        <v>#N/A</v>
      </c>
      <c r="D90" s="15" t="e">
        <f>IF(ISNUMBER(VLOOKUP($A90,'Justice Spend Total'!$B:$AQ,34,FALSE)), VLOOKUP($A90,'Justice Spend Total'!$B:$AQ,34,FALSE), #N/A)</f>
        <v>#N/A</v>
      </c>
      <c r="E90" t="e">
        <f>IF(ISNUMBER(VLOOKUP($A90,'Justice Spend Total'!$B:$AQ,34,FALSE)), VLOOKUP($A90,'Justice Spend Total'!$B:$AQ,35,FALSE), #N/A)</f>
        <v>#N/A</v>
      </c>
      <c r="F90" t="e">
        <f>IF(ISNUMBER(VLOOKUP($A90,'Justice Spend Total'!$B:$AQ,34,FALSE)), VLOOKUP($A90,'Justice Spend Total'!$B:$AQ,36,FALSE), #N/A)</f>
        <v>#N/A</v>
      </c>
    </row>
    <row r="91" spans="1:6">
      <c r="A91" t="s">
        <v>147</v>
      </c>
      <c r="B91">
        <f>IF(ISNUMBER(VLOOKUP($A91,'Justice Spend Total'!$B:$AQ,8,FALSE)), VLOOKUP($A91,'Justice Spend Total'!$B:$AQ,8,FALSE), #N/A)</f>
        <v>2520</v>
      </c>
      <c r="C91" s="15">
        <f>IF(ISNUMBER(VLOOKUP($A91,'Justice Spend Total'!$B:$AQ,33,FALSE)), VLOOKUP($A91,'Justice Spend Total'!$B:$AQ,33,FALSE), #N/A)</f>
        <v>2022</v>
      </c>
      <c r="D91" s="15">
        <f>IF(ISNUMBER(VLOOKUP($A91,'Justice Spend Total'!$B:$AQ,34,FALSE)), VLOOKUP($A91,'Justice Spend Total'!$B:$AQ,34,FALSE), #N/A)</f>
        <v>1.9645703775836318</v>
      </c>
      <c r="E91">
        <f>IF(ISNUMBER(VLOOKUP($A91,'Justice Spend Total'!$B:$AQ,34,FALSE)), VLOOKUP($A91,'Justice Spend Total'!$B:$AQ,35,FALSE), #N/A)</f>
        <v>0.25501851876794557</v>
      </c>
      <c r="F91" t="str">
        <f>IF(ISNUMBER(VLOOKUP($A91,'Justice Spend Total'!$B:$AQ,34,FALSE)), VLOOKUP($A91,'Justice Spend Total'!$B:$AQ,36,FALSE), #N/A)</f>
        <v/>
      </c>
    </row>
    <row r="92" spans="1:6">
      <c r="A92" t="s">
        <v>148</v>
      </c>
      <c r="B92">
        <f>IF(ISNUMBER(VLOOKUP($A92,'Justice Spend Total'!$B:$AQ,8,FALSE)), VLOOKUP($A92,'Justice Spend Total'!$B:$AQ,8,FALSE), #N/A)</f>
        <v>2540</v>
      </c>
      <c r="C92" s="15">
        <f>IF(ISNUMBER(VLOOKUP($A92,'Justice Spend Total'!$B:$AQ,33,FALSE)), VLOOKUP($A92,'Justice Spend Total'!$B:$AQ,33,FALSE), #N/A)</f>
        <v>2021</v>
      </c>
      <c r="D92" s="15">
        <f>IF(ISNUMBER(VLOOKUP($A92,'Justice Spend Total'!$B:$AQ,34,FALSE)), VLOOKUP($A92,'Justice Spend Total'!$B:$AQ,34,FALSE), #N/A)</f>
        <v>7.5061289107669449</v>
      </c>
      <c r="E92">
        <f>IF(ISNUMBER(VLOOKUP($A92,'Justice Spend Total'!$B:$AQ,34,FALSE)), VLOOKUP($A92,'Justice Spend Total'!$B:$AQ,35,FALSE), #N/A)</f>
        <v>1.8781539763855586</v>
      </c>
      <c r="F92">
        <f>IF(ISNUMBER(VLOOKUP($A92,'Justice Spend Total'!$B:$AQ,34,FALSE)), VLOOKUP($A92,'Justice Spend Total'!$B:$AQ,36,FALSE), #N/A)</f>
        <v>4.9756543777083149</v>
      </c>
    </row>
    <row r="93" spans="1:6">
      <c r="A93" t="s">
        <v>149</v>
      </c>
      <c r="B93">
        <f>IF(ISNUMBER(VLOOKUP($A93,'Justice Spend Total'!$B:$AQ,8,FALSE)), VLOOKUP($A93,'Justice Spend Total'!$B:$AQ,8,FALSE), #N/A)</f>
        <v>2620</v>
      </c>
      <c r="C93" s="15" t="e">
        <f>IF(ISNUMBER(VLOOKUP($A93,'Justice Spend Total'!$B:$AQ,33,FALSE)), VLOOKUP($A93,'Justice Spend Total'!$B:$AQ,33,FALSE), #N/A)</f>
        <v>#N/A</v>
      </c>
      <c r="D93" s="15">
        <f>IF(ISNUMBER(VLOOKUP($A93,'Justice Spend Total'!$B:$AQ,34,FALSE)), VLOOKUP($A93,'Justice Spend Total'!$B:$AQ,34,FALSE), #N/A)</f>
        <v>9.2123163714881251</v>
      </c>
      <c r="E93">
        <f>IF(ISNUMBER(VLOOKUP($A93,'Justice Spend Total'!$B:$AQ,34,FALSE)), VLOOKUP($A93,'Justice Spend Total'!$B:$AQ,35,FALSE), #N/A)</f>
        <v>0.87091993499270803</v>
      </c>
      <c r="F93">
        <f>IF(ISNUMBER(VLOOKUP($A93,'Justice Spend Total'!$B:$AQ,34,FALSE)), VLOOKUP($A93,'Justice Spend Total'!$B:$AQ,36,FALSE), #N/A)</f>
        <v>9.7056211003685373</v>
      </c>
    </row>
    <row r="94" spans="1:6">
      <c r="A94" t="s">
        <v>150</v>
      </c>
      <c r="B94">
        <f>IF(ISNUMBER(VLOOKUP($A94,'Justice Spend Total'!$B:$AQ,8,FALSE)), VLOOKUP($A94,'Justice Spend Total'!$B:$AQ,8,FALSE), #N/A)</f>
        <v>2790</v>
      </c>
      <c r="C94" s="15">
        <f>IF(ISNUMBER(VLOOKUP($A94,'Justice Spend Total'!$B:$AQ,33,FALSE)), VLOOKUP($A94,'Justice Spend Total'!$B:$AQ,33,FALSE), #N/A)</f>
        <v>2022</v>
      </c>
      <c r="D94" s="15">
        <f>IF(ISNUMBER(VLOOKUP($A94,'Justice Spend Total'!$B:$AQ,34,FALSE)), VLOOKUP($A94,'Justice Spend Total'!$B:$AQ,34,FALSE), #N/A)</f>
        <v>11.458695112875219</v>
      </c>
      <c r="E94">
        <f>IF(ISNUMBER(VLOOKUP($A94,'Justice Spend Total'!$B:$AQ,34,FALSE)), VLOOKUP($A94,'Justice Spend Total'!$B:$AQ,35,FALSE), #N/A)</f>
        <v>1.6237593597300182</v>
      </c>
      <c r="F94">
        <f>IF(ISNUMBER(VLOOKUP($A94,'Justice Spend Total'!$B:$AQ,34,FALSE)), VLOOKUP($A94,'Justice Spend Total'!$B:$AQ,36,FALSE), #N/A)</f>
        <v>4.3937904853470569</v>
      </c>
    </row>
    <row r="95" spans="1:6">
      <c r="A95" t="s">
        <v>151</v>
      </c>
      <c r="B95">
        <f>IF(ISNUMBER(VLOOKUP($A95,'Justice Spend Total'!$B:$AQ,8,FALSE)), VLOOKUP($A95,'Justice Spend Total'!$B:$AQ,8,FALSE), #N/A)</f>
        <v>2840</v>
      </c>
      <c r="C95" s="15" t="e">
        <f>IF(ISNUMBER(VLOOKUP($A95,'Justice Spend Total'!$B:$AQ,33,FALSE)), VLOOKUP($A95,'Justice Spend Total'!$B:$AQ,33,FALSE), #N/A)</f>
        <v>#N/A</v>
      </c>
      <c r="D95" s="15">
        <f>IF(ISNUMBER(VLOOKUP($A95,'Justice Spend Total'!$B:$AQ,34,FALSE)), VLOOKUP($A95,'Justice Spend Total'!$B:$AQ,34,FALSE), #N/A)</f>
        <v>6.3679090726346823</v>
      </c>
      <c r="E95">
        <f>IF(ISNUMBER(VLOOKUP($A95,'Justice Spend Total'!$B:$AQ,34,FALSE)), VLOOKUP($A95,'Justice Spend Total'!$B:$AQ,35,FALSE), #N/A)</f>
        <v>2.1516757136145714</v>
      </c>
      <c r="F95" t="str">
        <f>IF(ISNUMBER(VLOOKUP($A95,'Justice Spend Total'!$B:$AQ,34,FALSE)), VLOOKUP($A95,'Justice Spend Total'!$B:$AQ,36,FALSE), #N/A)</f>
        <v/>
      </c>
    </row>
    <row r="96" spans="1:6">
      <c r="A96" t="s">
        <v>152</v>
      </c>
      <c r="B96">
        <f>IF(ISNUMBER(VLOOKUP($A96,'Justice Spend Total'!$B:$AQ,8,FALSE)), VLOOKUP($A96,'Justice Spend Total'!$B:$AQ,8,FALSE), #N/A)</f>
        <v>2910</v>
      </c>
      <c r="C96" s="15" t="e">
        <f>IF(ISNUMBER(VLOOKUP($A96,'Justice Spend Total'!$B:$AQ,33,FALSE)), VLOOKUP($A96,'Justice Spend Total'!$B:$AQ,33,FALSE), #N/A)</f>
        <v>#N/A</v>
      </c>
      <c r="D96" s="15" t="e">
        <f>IF(ISNUMBER(VLOOKUP($A96,'Justice Spend Total'!$B:$AQ,34,FALSE)), VLOOKUP($A96,'Justice Spend Total'!$B:$AQ,34,FALSE), #N/A)</f>
        <v>#N/A</v>
      </c>
      <c r="E96" t="e">
        <f>IF(ISNUMBER(VLOOKUP($A96,'Justice Spend Total'!$B:$AQ,34,FALSE)), VLOOKUP($A96,'Justice Spend Total'!$B:$AQ,35,FALSE), #N/A)</f>
        <v>#N/A</v>
      </c>
      <c r="F96" t="e">
        <f>IF(ISNUMBER(VLOOKUP($A96,'Justice Spend Total'!$B:$AQ,34,FALSE)), VLOOKUP($A96,'Justice Spend Total'!$B:$AQ,36,FALSE), #N/A)</f>
        <v>#N/A</v>
      </c>
    </row>
    <row r="97" spans="1:6">
      <c r="A97" t="s">
        <v>153</v>
      </c>
      <c r="B97">
        <f>IF(ISNUMBER(VLOOKUP($A97,'Justice Spend Total'!$B:$AQ,8,FALSE)), VLOOKUP($A97,'Justice Spend Total'!$B:$AQ,8,FALSE), #N/A)</f>
        <v>3140</v>
      </c>
      <c r="C97" s="15">
        <f>IF(ISNUMBER(VLOOKUP($A97,'Justice Spend Total'!$B:$AQ,33,FALSE)), VLOOKUP($A97,'Justice Spend Total'!$B:$AQ,33,FALSE), #N/A)</f>
        <v>2021</v>
      </c>
      <c r="D97" s="15">
        <f>IF(ISNUMBER(VLOOKUP($A97,'Justice Spend Total'!$B:$AQ,34,FALSE)), VLOOKUP($A97,'Justice Spend Total'!$B:$AQ,34,FALSE), #N/A)</f>
        <v>3.5660555312737228</v>
      </c>
      <c r="E97">
        <f>IF(ISNUMBER(VLOOKUP($A97,'Justice Spend Total'!$B:$AQ,34,FALSE)), VLOOKUP($A97,'Justice Spend Total'!$B:$AQ,35,FALSE), #N/A)</f>
        <v>1.4981251691213422</v>
      </c>
      <c r="F97" t="str">
        <f>IF(ISNUMBER(VLOOKUP($A97,'Justice Spend Total'!$B:$AQ,34,FALSE)), VLOOKUP($A97,'Justice Spend Total'!$B:$AQ,36,FALSE), #N/A)</f>
        <v/>
      </c>
    </row>
    <row r="98" spans="1:6">
      <c r="A98" t="s">
        <v>154</v>
      </c>
      <c r="B98">
        <f>IF(ISNUMBER(VLOOKUP($A98,'Justice Spend Total'!$B:$AQ,8,FALSE)), VLOOKUP($A98,'Justice Spend Total'!$B:$AQ,8,FALSE), #N/A)</f>
        <v>3300</v>
      </c>
      <c r="C98" s="15" t="e">
        <f>IF(ISNUMBER(VLOOKUP($A98,'Justice Spend Total'!$B:$AQ,33,FALSE)), VLOOKUP($A98,'Justice Spend Total'!$B:$AQ,33,FALSE), #N/A)</f>
        <v>#N/A</v>
      </c>
      <c r="D98" s="15" t="e">
        <f>IF(ISNUMBER(VLOOKUP($A98,'Justice Spend Total'!$B:$AQ,34,FALSE)), VLOOKUP($A98,'Justice Spend Total'!$B:$AQ,34,FALSE), #N/A)</f>
        <v>#N/A</v>
      </c>
      <c r="E98" t="e">
        <f>IF(ISNUMBER(VLOOKUP($A98,'Justice Spend Total'!$B:$AQ,34,FALSE)), VLOOKUP($A98,'Justice Spend Total'!$B:$AQ,35,FALSE), #N/A)</f>
        <v>#N/A</v>
      </c>
      <c r="F98" t="e">
        <f>IF(ISNUMBER(VLOOKUP($A98,'Justice Spend Total'!$B:$AQ,34,FALSE)), VLOOKUP($A98,'Justice Spend Total'!$B:$AQ,36,FALSE), #N/A)</f>
        <v>#N/A</v>
      </c>
    </row>
    <row r="99" spans="1:6">
      <c r="A99" t="s">
        <v>155</v>
      </c>
      <c r="B99">
        <f>IF(ISNUMBER(VLOOKUP($A99,'Justice Spend Total'!$B:$AQ,8,FALSE)), VLOOKUP($A99,'Justice Spend Total'!$B:$AQ,8,FALSE), #N/A)</f>
        <v>3330</v>
      </c>
      <c r="C99" s="15" t="e">
        <f>IF(ISNUMBER(VLOOKUP($A99,'Justice Spend Total'!$B:$AQ,33,FALSE)), VLOOKUP($A99,'Justice Spend Total'!$B:$AQ,33,FALSE), #N/A)</f>
        <v>#N/A</v>
      </c>
      <c r="D99" s="15" t="e">
        <f>IF(ISNUMBER(VLOOKUP($A99,'Justice Spend Total'!$B:$AQ,34,FALSE)), VLOOKUP($A99,'Justice Spend Total'!$B:$AQ,34,FALSE), #N/A)</f>
        <v>#N/A</v>
      </c>
      <c r="E99" t="e">
        <f>IF(ISNUMBER(VLOOKUP($A99,'Justice Spend Total'!$B:$AQ,34,FALSE)), VLOOKUP($A99,'Justice Spend Total'!$B:$AQ,35,FALSE), #N/A)</f>
        <v>#N/A</v>
      </c>
      <c r="F99" t="e">
        <f>IF(ISNUMBER(VLOOKUP($A99,'Justice Spend Total'!$B:$AQ,34,FALSE)), VLOOKUP($A99,'Justice Spend Total'!$B:$AQ,36,FALSE), #N/A)</f>
        <v>#N/A</v>
      </c>
    </row>
    <row r="100" spans="1:6">
      <c r="A100" t="s">
        <v>156</v>
      </c>
      <c r="B100">
        <f>IF(ISNUMBER(VLOOKUP($A100,'Justice Spend Total'!$B:$AQ,8,FALSE)), VLOOKUP($A100,'Justice Spend Total'!$B:$AQ,8,FALSE), #N/A)</f>
        <v>3350</v>
      </c>
      <c r="C100" s="15">
        <f>IF(ISNUMBER(VLOOKUP($A100,'Justice Spend Total'!$B:$AQ,33,FALSE)), VLOOKUP($A100,'Justice Spend Total'!$B:$AQ,33,FALSE), #N/A)</f>
        <v>2022</v>
      </c>
      <c r="D100" s="15">
        <f>IF(ISNUMBER(VLOOKUP($A100,'Justice Spend Total'!$B:$AQ,34,FALSE)), VLOOKUP($A100,'Justice Spend Total'!$B:$AQ,34,FALSE), #N/A)</f>
        <v>14.333665437879844</v>
      </c>
      <c r="E100">
        <f>IF(ISNUMBER(VLOOKUP($A100,'Justice Spend Total'!$B:$AQ,34,FALSE)), VLOOKUP($A100,'Justice Spend Total'!$B:$AQ,35,FALSE), #N/A)</f>
        <v>4.0934328878772304</v>
      </c>
      <c r="F100" t="str">
        <f>IF(ISNUMBER(VLOOKUP($A100,'Justice Spend Total'!$B:$AQ,34,FALSE)), VLOOKUP($A100,'Justice Spend Total'!$B:$AQ,36,FALSE), #N/A)</f>
        <v/>
      </c>
    </row>
    <row r="101" spans="1:6">
      <c r="A101" t="s">
        <v>157</v>
      </c>
      <c r="B101">
        <f>IF(ISNUMBER(VLOOKUP($A101,'Justice Spend Total'!$B:$AQ,8,FALSE)), VLOOKUP($A101,'Justice Spend Total'!$B:$AQ,8,FALSE), #N/A)</f>
        <v>3360</v>
      </c>
      <c r="C101" s="15" t="e">
        <f>IF(ISNUMBER(VLOOKUP($A101,'Justice Spend Total'!$B:$AQ,33,FALSE)), VLOOKUP($A101,'Justice Spend Total'!$B:$AQ,33,FALSE), #N/A)</f>
        <v>#N/A</v>
      </c>
      <c r="D101" s="15" t="e">
        <f>IF(ISNUMBER(VLOOKUP($A101,'Justice Spend Total'!$B:$AQ,34,FALSE)), VLOOKUP($A101,'Justice Spend Total'!$B:$AQ,34,FALSE), #N/A)</f>
        <v>#N/A</v>
      </c>
      <c r="E101" t="e">
        <f>IF(ISNUMBER(VLOOKUP($A101,'Justice Spend Total'!$B:$AQ,34,FALSE)), VLOOKUP($A101,'Justice Spend Total'!$B:$AQ,35,FALSE), #N/A)</f>
        <v>#N/A</v>
      </c>
      <c r="F101" t="e">
        <f>IF(ISNUMBER(VLOOKUP($A101,'Justice Spend Total'!$B:$AQ,34,FALSE)), VLOOKUP($A101,'Justice Spend Total'!$B:$AQ,36,FALSE), #N/A)</f>
        <v>#N/A</v>
      </c>
    </row>
    <row r="102" spans="1:6">
      <c r="A102" t="s">
        <v>158</v>
      </c>
      <c r="B102">
        <f>IF(ISNUMBER(VLOOKUP($A102,'Justice Spend Total'!$B:$AQ,8,FALSE)), VLOOKUP($A102,'Justice Spend Total'!$B:$AQ,8,FALSE), #N/A)</f>
        <v>3370</v>
      </c>
      <c r="C102" s="15" t="e">
        <f>IF(ISNUMBER(VLOOKUP($A102,'Justice Spend Total'!$B:$AQ,33,FALSE)), VLOOKUP($A102,'Justice Spend Total'!$B:$AQ,33,FALSE), #N/A)</f>
        <v>#N/A</v>
      </c>
      <c r="D102" s="15" t="e">
        <f>IF(ISNUMBER(VLOOKUP($A102,'Justice Spend Total'!$B:$AQ,34,FALSE)), VLOOKUP($A102,'Justice Spend Total'!$B:$AQ,34,FALSE), #N/A)</f>
        <v>#N/A</v>
      </c>
      <c r="E102" t="e">
        <f>IF(ISNUMBER(VLOOKUP($A102,'Justice Spend Total'!$B:$AQ,34,FALSE)), VLOOKUP($A102,'Justice Spend Total'!$B:$AQ,35,FALSE), #N/A)</f>
        <v>#N/A</v>
      </c>
      <c r="F102" t="e">
        <f>IF(ISNUMBER(VLOOKUP($A102,'Justice Spend Total'!$B:$AQ,34,FALSE)), VLOOKUP($A102,'Justice Spend Total'!$B:$AQ,36,FALSE), #N/A)</f>
        <v>#N/A</v>
      </c>
    </row>
    <row r="103" spans="1:6">
      <c r="A103" t="s">
        <v>159</v>
      </c>
      <c r="B103">
        <f>IF(ISNUMBER(VLOOKUP($A103,'Justice Spend Total'!$B:$AQ,8,FALSE)), VLOOKUP($A103,'Justice Spend Total'!$B:$AQ,8,FALSE), #N/A)</f>
        <v>3450</v>
      </c>
      <c r="C103" s="15" t="e">
        <f>IF(ISNUMBER(VLOOKUP($A103,'Justice Spend Total'!$B:$AQ,33,FALSE)), VLOOKUP($A103,'Justice Spend Total'!$B:$AQ,33,FALSE), #N/A)</f>
        <v>#N/A</v>
      </c>
      <c r="D103" s="15" t="e">
        <f>IF(ISNUMBER(VLOOKUP($A103,'Justice Spend Total'!$B:$AQ,34,FALSE)), VLOOKUP($A103,'Justice Spend Total'!$B:$AQ,34,FALSE), #N/A)</f>
        <v>#N/A</v>
      </c>
      <c r="E103" t="e">
        <f>IF(ISNUMBER(VLOOKUP($A103,'Justice Spend Total'!$B:$AQ,34,FALSE)), VLOOKUP($A103,'Justice Spend Total'!$B:$AQ,35,FALSE), #N/A)</f>
        <v>#N/A</v>
      </c>
      <c r="F103" t="e">
        <f>IF(ISNUMBER(VLOOKUP($A103,'Justice Spend Total'!$B:$AQ,34,FALSE)), VLOOKUP($A103,'Justice Spend Total'!$B:$AQ,36,FALSE), #N/A)</f>
        <v>#N/A</v>
      </c>
    </row>
    <row r="104" spans="1:6">
      <c r="A104" t="s">
        <v>160</v>
      </c>
      <c r="B104">
        <f>IF(ISNUMBER(VLOOKUP($A104,'Justice Spend Total'!$B:$AQ,8,FALSE)), VLOOKUP($A104,'Justice Spend Total'!$B:$AQ,8,FALSE), #N/A)</f>
        <v>3510</v>
      </c>
      <c r="C104" s="15" t="e">
        <f>IF(ISNUMBER(VLOOKUP($A104,'Justice Spend Total'!$B:$AQ,33,FALSE)), VLOOKUP($A104,'Justice Spend Total'!$B:$AQ,33,FALSE), #N/A)</f>
        <v>#N/A</v>
      </c>
      <c r="D104" s="15">
        <f>IF(ISNUMBER(VLOOKUP($A104,'Justice Spend Total'!$B:$AQ,34,FALSE)), VLOOKUP($A104,'Justice Spend Total'!$B:$AQ,34,FALSE), #N/A)</f>
        <v>5.5291385602123189</v>
      </c>
      <c r="E104">
        <f>IF(ISNUMBER(VLOOKUP($A104,'Justice Spend Total'!$B:$AQ,34,FALSE)), VLOOKUP($A104,'Justice Spend Total'!$B:$AQ,35,FALSE), #N/A)</f>
        <v>1.1039268254218577</v>
      </c>
      <c r="F104" t="str">
        <f>IF(ISNUMBER(VLOOKUP($A104,'Justice Spend Total'!$B:$AQ,34,FALSE)), VLOOKUP($A104,'Justice Spend Total'!$B:$AQ,36,FALSE), #N/A)</f>
        <v/>
      </c>
    </row>
    <row r="105" spans="1:6">
      <c r="A105" t="s">
        <v>161</v>
      </c>
      <c r="B105">
        <f>IF(ISNUMBER(VLOOKUP($A105,'Justice Spend Total'!$B:$AQ,8,FALSE)), VLOOKUP($A105,'Justice Spend Total'!$B:$AQ,8,FALSE), #N/A)</f>
        <v>3560</v>
      </c>
      <c r="C105" s="15" t="e">
        <f>IF(ISNUMBER(VLOOKUP($A105,'Justice Spend Total'!$B:$AQ,33,FALSE)), VLOOKUP($A105,'Justice Spend Total'!$B:$AQ,33,FALSE), #N/A)</f>
        <v>#N/A</v>
      </c>
      <c r="D105" s="15" t="e">
        <f>IF(ISNUMBER(VLOOKUP($A105,'Justice Spend Total'!$B:$AQ,34,FALSE)), VLOOKUP($A105,'Justice Spend Total'!$B:$AQ,34,FALSE), #N/A)</f>
        <v>#N/A</v>
      </c>
      <c r="E105" t="e">
        <f>IF(ISNUMBER(VLOOKUP($A105,'Justice Spend Total'!$B:$AQ,34,FALSE)), VLOOKUP($A105,'Justice Spend Total'!$B:$AQ,35,FALSE), #N/A)</f>
        <v>#N/A</v>
      </c>
      <c r="F105" t="e">
        <f>IF(ISNUMBER(VLOOKUP($A105,'Justice Spend Total'!$B:$AQ,34,FALSE)), VLOOKUP($A105,'Justice Spend Total'!$B:$AQ,36,FALSE), #N/A)</f>
        <v>#N/A</v>
      </c>
    </row>
    <row r="106" spans="1:6">
      <c r="A106" t="s">
        <v>162</v>
      </c>
      <c r="B106">
        <f>IF(ISNUMBER(VLOOKUP($A106,'Justice Spend Total'!$B:$AQ,8,FALSE)), VLOOKUP($A106,'Justice Spend Total'!$B:$AQ,8,FALSE), #N/A)</f>
        <v>3630</v>
      </c>
      <c r="C106" s="15" t="e">
        <f>IF(ISNUMBER(VLOOKUP($A106,'Justice Spend Total'!$B:$AQ,33,FALSE)), VLOOKUP($A106,'Justice Spend Total'!$B:$AQ,33,FALSE), #N/A)</f>
        <v>#N/A</v>
      </c>
      <c r="D106" s="15" t="e">
        <f>IF(ISNUMBER(VLOOKUP($A106,'Justice Spend Total'!$B:$AQ,34,FALSE)), VLOOKUP($A106,'Justice Spend Total'!$B:$AQ,34,FALSE), #N/A)</f>
        <v>#N/A</v>
      </c>
      <c r="E106" t="e">
        <f>IF(ISNUMBER(VLOOKUP($A106,'Justice Spend Total'!$B:$AQ,34,FALSE)), VLOOKUP($A106,'Justice Spend Total'!$B:$AQ,35,FALSE), #N/A)</f>
        <v>#N/A</v>
      </c>
      <c r="F106" t="e">
        <f>IF(ISNUMBER(VLOOKUP($A106,'Justice Spend Total'!$B:$AQ,34,FALSE)), VLOOKUP($A106,'Justice Spend Total'!$B:$AQ,36,FALSE), #N/A)</f>
        <v>#N/A</v>
      </c>
    </row>
    <row r="107" spans="1:6">
      <c r="A107" t="s">
        <v>163</v>
      </c>
      <c r="B107">
        <f>IF(ISNUMBER(VLOOKUP($A107,'Justice Spend Total'!$B:$AQ,8,FALSE)), VLOOKUP($A107,'Justice Spend Total'!$B:$AQ,8,FALSE), #N/A)</f>
        <v>3640</v>
      </c>
      <c r="C107" s="15" t="e">
        <f>IF(ISNUMBER(VLOOKUP($A107,'Justice Spend Total'!$B:$AQ,33,FALSE)), VLOOKUP($A107,'Justice Spend Total'!$B:$AQ,33,FALSE), #N/A)</f>
        <v>#N/A</v>
      </c>
      <c r="D107" s="15" t="e">
        <f>IF(ISNUMBER(VLOOKUP($A107,'Justice Spend Total'!$B:$AQ,34,FALSE)), VLOOKUP($A107,'Justice Spend Total'!$B:$AQ,34,FALSE), #N/A)</f>
        <v>#N/A</v>
      </c>
      <c r="E107" t="e">
        <f>IF(ISNUMBER(VLOOKUP($A107,'Justice Spend Total'!$B:$AQ,34,FALSE)), VLOOKUP($A107,'Justice Spend Total'!$B:$AQ,35,FALSE), #N/A)</f>
        <v>#N/A</v>
      </c>
      <c r="F107" t="e">
        <f>IF(ISNUMBER(VLOOKUP($A107,'Justice Spend Total'!$B:$AQ,34,FALSE)), VLOOKUP($A107,'Justice Spend Total'!$B:$AQ,36,FALSE), #N/A)</f>
        <v>#N/A</v>
      </c>
    </row>
    <row r="108" spans="1:6">
      <c r="A108" t="s">
        <v>164</v>
      </c>
      <c r="B108">
        <f>IF(ISNUMBER(VLOOKUP($A108,'Justice Spend Total'!$B:$AQ,8,FALSE)), VLOOKUP($A108,'Justice Spend Total'!$B:$AQ,8,FALSE), #N/A)</f>
        <v>3660</v>
      </c>
      <c r="C108" s="15">
        <f>IF(ISNUMBER(VLOOKUP($A108,'Justice Spend Total'!$B:$AQ,33,FALSE)), VLOOKUP($A108,'Justice Spend Total'!$B:$AQ,33,FALSE), #N/A)</f>
        <v>2021</v>
      </c>
      <c r="D108" s="15">
        <f>IF(ISNUMBER(VLOOKUP($A108,'Justice Spend Total'!$B:$AQ,34,FALSE)), VLOOKUP($A108,'Justice Spend Total'!$B:$AQ,34,FALSE), #N/A)</f>
        <v>1.6358097941123289</v>
      </c>
      <c r="E108">
        <f>IF(ISNUMBER(VLOOKUP($A108,'Justice Spend Total'!$B:$AQ,34,FALSE)), VLOOKUP($A108,'Justice Spend Total'!$B:$AQ,35,FALSE), #N/A)</f>
        <v>0.49283012791411862</v>
      </c>
      <c r="F108" t="str">
        <f>IF(ISNUMBER(VLOOKUP($A108,'Justice Spend Total'!$B:$AQ,34,FALSE)), VLOOKUP($A108,'Justice Spend Total'!$B:$AQ,36,FALSE), #N/A)</f>
        <v/>
      </c>
    </row>
    <row r="109" spans="1:6">
      <c r="A109" t="s">
        <v>165</v>
      </c>
      <c r="B109">
        <f>IF(ISNUMBER(VLOOKUP($A109,'Justice Spend Total'!$B:$AQ,8,FALSE)), VLOOKUP($A109,'Justice Spend Total'!$B:$AQ,8,FALSE), #N/A)</f>
        <v>3680</v>
      </c>
      <c r="C109" s="15" t="e">
        <f>IF(ISNUMBER(VLOOKUP($A109,'Justice Spend Total'!$B:$AQ,33,FALSE)), VLOOKUP($A109,'Justice Spend Total'!$B:$AQ,33,FALSE), #N/A)</f>
        <v>#N/A</v>
      </c>
      <c r="D109" s="15">
        <f>IF(ISNUMBER(VLOOKUP($A109,'Justice Spend Total'!$B:$AQ,34,FALSE)), VLOOKUP($A109,'Justice Spend Total'!$B:$AQ,34,FALSE), #N/A)</f>
        <v>9.8110889320796346</v>
      </c>
      <c r="E109">
        <f>IF(ISNUMBER(VLOOKUP($A109,'Justice Spend Total'!$B:$AQ,34,FALSE)), VLOOKUP($A109,'Justice Spend Total'!$B:$AQ,35,FALSE), #N/A)</f>
        <v>2.8544702897664753</v>
      </c>
      <c r="F109" t="str">
        <f>IF(ISNUMBER(VLOOKUP($A109,'Justice Spend Total'!$B:$AQ,34,FALSE)), VLOOKUP($A109,'Justice Spend Total'!$B:$AQ,36,FALSE), #N/A)</f>
        <v/>
      </c>
    </row>
    <row r="110" spans="1:6">
      <c r="A110" t="s">
        <v>166</v>
      </c>
      <c r="B110">
        <f>IF(ISNUMBER(VLOOKUP($A110,'Justice Spend Total'!$B:$AQ,8,FALSE)), VLOOKUP($A110,'Justice Spend Total'!$B:$AQ,8,FALSE), #N/A)</f>
        <v>3760</v>
      </c>
      <c r="C110" s="15" t="e">
        <f>IF(ISNUMBER(VLOOKUP($A110,'Justice Spend Total'!$B:$AQ,33,FALSE)), VLOOKUP($A110,'Justice Spend Total'!$B:$AQ,33,FALSE), #N/A)</f>
        <v>#N/A</v>
      </c>
      <c r="D110" s="15" t="e">
        <f>IF(ISNUMBER(VLOOKUP($A110,'Justice Spend Total'!$B:$AQ,34,FALSE)), VLOOKUP($A110,'Justice Spend Total'!$B:$AQ,34,FALSE), #N/A)</f>
        <v>#N/A</v>
      </c>
      <c r="E110" t="e">
        <f>IF(ISNUMBER(VLOOKUP($A110,'Justice Spend Total'!$B:$AQ,34,FALSE)), VLOOKUP($A110,'Justice Spend Total'!$B:$AQ,35,FALSE), #N/A)</f>
        <v>#N/A</v>
      </c>
      <c r="F110" t="e">
        <f>IF(ISNUMBER(VLOOKUP($A110,'Justice Spend Total'!$B:$AQ,34,FALSE)), VLOOKUP($A110,'Justice Spend Total'!$B:$AQ,36,FALSE), #N/A)</f>
        <v>#N/A</v>
      </c>
    </row>
    <row r="111" spans="1:6">
      <c r="A111" t="s">
        <v>167</v>
      </c>
      <c r="B111">
        <f>IF(ISNUMBER(VLOOKUP($A111,'Justice Spend Total'!$B:$AQ,8,FALSE)), VLOOKUP($A111,'Justice Spend Total'!$B:$AQ,8,FALSE), #N/A)</f>
        <v>3820</v>
      </c>
      <c r="C111" s="15" t="e">
        <f>IF(ISNUMBER(VLOOKUP($A111,'Justice Spend Total'!$B:$AQ,33,FALSE)), VLOOKUP($A111,'Justice Spend Total'!$B:$AQ,33,FALSE), #N/A)</f>
        <v>#N/A</v>
      </c>
      <c r="D111" s="15" t="e">
        <f>IF(ISNUMBER(VLOOKUP($A111,'Justice Spend Total'!$B:$AQ,34,FALSE)), VLOOKUP($A111,'Justice Spend Total'!$B:$AQ,34,FALSE), #N/A)</f>
        <v>#N/A</v>
      </c>
      <c r="E111" t="e">
        <f>IF(ISNUMBER(VLOOKUP($A111,'Justice Spend Total'!$B:$AQ,34,FALSE)), VLOOKUP($A111,'Justice Spend Total'!$B:$AQ,35,FALSE), #N/A)</f>
        <v>#N/A</v>
      </c>
      <c r="F111" t="e">
        <f>IF(ISNUMBER(VLOOKUP($A111,'Justice Spend Total'!$B:$AQ,34,FALSE)), VLOOKUP($A111,'Justice Spend Total'!$B:$AQ,36,FALSE), #N/A)</f>
        <v>#N/A</v>
      </c>
    </row>
    <row r="112" spans="1:6">
      <c r="A112" t="s">
        <v>168</v>
      </c>
      <c r="B112">
        <f>IF(ISNUMBER(VLOOKUP($A112,'Justice Spend Total'!$B:$AQ,8,FALSE)), VLOOKUP($A112,'Justice Spend Total'!$B:$AQ,8,FALSE), #N/A)</f>
        <v>3860</v>
      </c>
      <c r="C112" s="15" t="e">
        <f>IF(ISNUMBER(VLOOKUP($A112,'Justice Spend Total'!$B:$AQ,33,FALSE)), VLOOKUP($A112,'Justice Spend Total'!$B:$AQ,33,FALSE), #N/A)</f>
        <v>#N/A</v>
      </c>
      <c r="D112" s="15" t="e">
        <f>IF(ISNUMBER(VLOOKUP($A112,'Justice Spend Total'!$B:$AQ,34,FALSE)), VLOOKUP($A112,'Justice Spend Total'!$B:$AQ,34,FALSE), #N/A)</f>
        <v>#N/A</v>
      </c>
      <c r="E112" t="e">
        <f>IF(ISNUMBER(VLOOKUP($A112,'Justice Spend Total'!$B:$AQ,34,FALSE)), VLOOKUP($A112,'Justice Spend Total'!$B:$AQ,35,FALSE), #N/A)</f>
        <v>#N/A</v>
      </c>
      <c r="F112" t="e">
        <f>IF(ISNUMBER(VLOOKUP($A112,'Justice Spend Total'!$B:$AQ,34,FALSE)), VLOOKUP($A112,'Justice Spend Total'!$B:$AQ,36,FALSE), #N/A)</f>
        <v>#N/A</v>
      </c>
    </row>
    <row r="113" spans="1:6">
      <c r="A113" t="s">
        <v>169</v>
      </c>
      <c r="B113">
        <f>IF(ISNUMBER(VLOOKUP($A113,'Justice Spend Total'!$B:$AQ,8,FALSE)), VLOOKUP($A113,'Justice Spend Total'!$B:$AQ,8,FALSE), #N/A)</f>
        <v>3880</v>
      </c>
      <c r="C113" s="15" t="e">
        <f>IF(ISNUMBER(VLOOKUP($A113,'Justice Spend Total'!$B:$AQ,33,FALSE)), VLOOKUP($A113,'Justice Spend Total'!$B:$AQ,33,FALSE), #N/A)</f>
        <v>#N/A</v>
      </c>
      <c r="D113" s="15" t="e">
        <f>IF(ISNUMBER(VLOOKUP($A113,'Justice Spend Total'!$B:$AQ,34,FALSE)), VLOOKUP($A113,'Justice Spend Total'!$B:$AQ,34,FALSE), #N/A)</f>
        <v>#N/A</v>
      </c>
      <c r="E113" t="e">
        <f>IF(ISNUMBER(VLOOKUP($A113,'Justice Spend Total'!$B:$AQ,34,FALSE)), VLOOKUP($A113,'Justice Spend Total'!$B:$AQ,35,FALSE), #N/A)</f>
        <v>#N/A</v>
      </c>
      <c r="F113" t="e">
        <f>IF(ISNUMBER(VLOOKUP($A113,'Justice Spend Total'!$B:$AQ,34,FALSE)), VLOOKUP($A113,'Justice Spend Total'!$B:$AQ,36,FALSE), #N/A)</f>
        <v>#N/A</v>
      </c>
    </row>
    <row r="114" spans="1:6">
      <c r="A114" t="s">
        <v>170</v>
      </c>
      <c r="B114">
        <f>IF(ISNUMBER(VLOOKUP($A114,'Justice Spend Total'!$B:$AQ,8,FALSE)), VLOOKUP($A114,'Justice Spend Total'!$B:$AQ,8,FALSE), #N/A)</f>
        <v>4120</v>
      </c>
      <c r="C114" s="15" t="e">
        <f>IF(ISNUMBER(VLOOKUP($A114,'Justice Spend Total'!$B:$AQ,33,FALSE)), VLOOKUP($A114,'Justice Spend Total'!$B:$AQ,33,FALSE), #N/A)</f>
        <v>#N/A</v>
      </c>
      <c r="D114" s="15" t="e">
        <f>IF(ISNUMBER(VLOOKUP($A114,'Justice Spend Total'!$B:$AQ,34,FALSE)), VLOOKUP($A114,'Justice Spend Total'!$B:$AQ,34,FALSE), #N/A)</f>
        <v>#N/A</v>
      </c>
      <c r="E114" t="e">
        <f>IF(ISNUMBER(VLOOKUP($A114,'Justice Spend Total'!$B:$AQ,34,FALSE)), VLOOKUP($A114,'Justice Spend Total'!$B:$AQ,35,FALSE), #N/A)</f>
        <v>#N/A</v>
      </c>
      <c r="F114" t="e">
        <f>IF(ISNUMBER(VLOOKUP($A114,'Justice Spend Total'!$B:$AQ,34,FALSE)), VLOOKUP($A114,'Justice Spend Total'!$B:$AQ,36,FALSE), #N/A)</f>
        <v>#N/A</v>
      </c>
    </row>
    <row r="115" spans="1:6">
      <c r="A115" t="s">
        <v>171</v>
      </c>
      <c r="B115">
        <f>IF(ISNUMBER(VLOOKUP($A115,'Justice Spend Total'!$B:$AQ,8,FALSE)), VLOOKUP($A115,'Justice Spend Total'!$B:$AQ,8,FALSE), #N/A)</f>
        <v>4140</v>
      </c>
      <c r="C115" s="15" t="e">
        <f>IF(ISNUMBER(VLOOKUP($A115,'Justice Spend Total'!$B:$AQ,33,FALSE)), VLOOKUP($A115,'Justice Spend Total'!$B:$AQ,33,FALSE), #N/A)</f>
        <v>#N/A</v>
      </c>
      <c r="D115" s="15" t="e">
        <f>IF(ISNUMBER(VLOOKUP($A115,'Justice Spend Total'!$B:$AQ,34,FALSE)), VLOOKUP($A115,'Justice Spend Total'!$B:$AQ,34,FALSE), #N/A)</f>
        <v>#N/A</v>
      </c>
      <c r="E115" t="e">
        <f>IF(ISNUMBER(VLOOKUP($A115,'Justice Spend Total'!$B:$AQ,34,FALSE)), VLOOKUP($A115,'Justice Spend Total'!$B:$AQ,35,FALSE), #N/A)</f>
        <v>#N/A</v>
      </c>
      <c r="F115" t="e">
        <f>IF(ISNUMBER(VLOOKUP($A115,'Justice Spend Total'!$B:$AQ,34,FALSE)), VLOOKUP($A115,'Justice Spend Total'!$B:$AQ,36,FALSE), #N/A)</f>
        <v>#N/A</v>
      </c>
    </row>
    <row r="116" spans="1:6">
      <c r="A116" t="s">
        <v>172</v>
      </c>
      <c r="B116">
        <f>IF(ISNUMBER(VLOOKUP($A116,'Justice Spend Total'!$B:$AQ,8,FALSE)), VLOOKUP($A116,'Justice Spend Total'!$B:$AQ,8,FALSE), #N/A)</f>
        <v>4140</v>
      </c>
      <c r="C116" s="15" t="e">
        <f>IF(ISNUMBER(VLOOKUP($A116,'Justice Spend Total'!$B:$AQ,33,FALSE)), VLOOKUP($A116,'Justice Spend Total'!$B:$AQ,33,FALSE), #N/A)</f>
        <v>#N/A</v>
      </c>
      <c r="D116" s="15" t="e">
        <f>IF(ISNUMBER(VLOOKUP($A116,'Justice Spend Total'!$B:$AQ,34,FALSE)), VLOOKUP($A116,'Justice Spend Total'!$B:$AQ,34,FALSE), #N/A)</f>
        <v>#N/A</v>
      </c>
      <c r="E116" t="e">
        <f>IF(ISNUMBER(VLOOKUP($A116,'Justice Spend Total'!$B:$AQ,34,FALSE)), VLOOKUP($A116,'Justice Spend Total'!$B:$AQ,35,FALSE), #N/A)</f>
        <v>#N/A</v>
      </c>
      <c r="F116" t="e">
        <f>IF(ISNUMBER(VLOOKUP($A116,'Justice Spend Total'!$B:$AQ,34,FALSE)), VLOOKUP($A116,'Justice Spend Total'!$B:$AQ,36,FALSE), #N/A)</f>
        <v>#N/A</v>
      </c>
    </row>
    <row r="117" spans="1:6">
      <c r="A117" t="s">
        <v>173</v>
      </c>
      <c r="B117">
        <f>IF(ISNUMBER(VLOOKUP($A117,'Justice Spend Total'!$B:$AQ,8,FALSE)), VLOOKUP($A117,'Justice Spend Total'!$B:$AQ,8,FALSE), #N/A)</f>
        <v>4220</v>
      </c>
      <c r="C117" s="15" t="e">
        <f>IF(ISNUMBER(VLOOKUP($A117,'Justice Spend Total'!$B:$AQ,33,FALSE)), VLOOKUP($A117,'Justice Spend Total'!$B:$AQ,33,FALSE), #N/A)</f>
        <v>#N/A</v>
      </c>
      <c r="D117" s="15" t="e">
        <f>IF(ISNUMBER(VLOOKUP($A117,'Justice Spend Total'!$B:$AQ,34,FALSE)), VLOOKUP($A117,'Justice Spend Total'!$B:$AQ,34,FALSE), #N/A)</f>
        <v>#N/A</v>
      </c>
      <c r="E117" t="e">
        <f>IF(ISNUMBER(VLOOKUP($A117,'Justice Spend Total'!$B:$AQ,34,FALSE)), VLOOKUP($A117,'Justice Spend Total'!$B:$AQ,35,FALSE), #N/A)</f>
        <v>#N/A</v>
      </c>
      <c r="F117" t="e">
        <f>IF(ISNUMBER(VLOOKUP($A117,'Justice Spend Total'!$B:$AQ,34,FALSE)), VLOOKUP($A117,'Justice Spend Total'!$B:$AQ,36,FALSE), #N/A)</f>
        <v>#N/A</v>
      </c>
    </row>
    <row r="118" spans="1:6">
      <c r="A118" t="s">
        <v>174</v>
      </c>
      <c r="B118">
        <f>IF(ISNUMBER(VLOOKUP($A118,'Justice Spend Total'!$B:$AQ,8,FALSE)), VLOOKUP($A118,'Justice Spend Total'!$B:$AQ,8,FALSE), #N/A)</f>
        <v>4290</v>
      </c>
      <c r="C118" s="15" t="e">
        <f>IF(ISNUMBER(VLOOKUP($A118,'Justice Spend Total'!$B:$AQ,33,FALSE)), VLOOKUP($A118,'Justice Spend Total'!$B:$AQ,33,FALSE), #N/A)</f>
        <v>#N/A</v>
      </c>
      <c r="D118" s="15" t="e">
        <f>IF(ISNUMBER(VLOOKUP($A118,'Justice Spend Total'!$B:$AQ,34,FALSE)), VLOOKUP($A118,'Justice Spend Total'!$B:$AQ,34,FALSE), #N/A)</f>
        <v>#N/A</v>
      </c>
      <c r="E118" t="e">
        <f>IF(ISNUMBER(VLOOKUP($A118,'Justice Spend Total'!$B:$AQ,34,FALSE)), VLOOKUP($A118,'Justice Spend Total'!$B:$AQ,35,FALSE), #N/A)</f>
        <v>#N/A</v>
      </c>
      <c r="F118" t="e">
        <f>IF(ISNUMBER(VLOOKUP($A118,'Justice Spend Total'!$B:$AQ,34,FALSE)), VLOOKUP($A118,'Justice Spend Total'!$B:$AQ,36,FALSE), #N/A)</f>
        <v>#N/A</v>
      </c>
    </row>
    <row r="119" spans="1:6">
      <c r="A119" t="s">
        <v>175</v>
      </c>
      <c r="B119">
        <f>IF(ISNUMBER(VLOOKUP($A119,'Justice Spend Total'!$B:$AQ,8,FALSE)), VLOOKUP($A119,'Justice Spend Total'!$B:$AQ,8,FALSE), #N/A)</f>
        <v>4440</v>
      </c>
      <c r="C119" s="15" t="e">
        <f>IF(ISNUMBER(VLOOKUP($A119,'Justice Spend Total'!$B:$AQ,33,FALSE)), VLOOKUP($A119,'Justice Spend Total'!$B:$AQ,33,FALSE), #N/A)</f>
        <v>#N/A</v>
      </c>
      <c r="D119" s="15" t="e">
        <f>IF(ISNUMBER(VLOOKUP($A119,'Justice Spend Total'!$B:$AQ,34,FALSE)), VLOOKUP($A119,'Justice Spend Total'!$B:$AQ,34,FALSE), #N/A)</f>
        <v>#N/A</v>
      </c>
      <c r="E119" t="e">
        <f>IF(ISNUMBER(VLOOKUP($A119,'Justice Spend Total'!$B:$AQ,34,FALSE)), VLOOKUP($A119,'Justice Spend Total'!$B:$AQ,35,FALSE), #N/A)</f>
        <v>#N/A</v>
      </c>
      <c r="F119" t="e">
        <f>IF(ISNUMBER(VLOOKUP($A119,'Justice Spend Total'!$B:$AQ,34,FALSE)), VLOOKUP($A119,'Justice Spend Total'!$B:$AQ,36,FALSE), #N/A)</f>
        <v>#N/A</v>
      </c>
    </row>
    <row r="120" spans="1:6">
      <c r="A120" t="s">
        <v>176</v>
      </c>
      <c r="B120">
        <f>IF(ISNUMBER(VLOOKUP($A120,'Justice Spend Total'!$B:$AQ,8,FALSE)), VLOOKUP($A120,'Justice Spend Total'!$B:$AQ,8,FALSE), #N/A)</f>
        <v>4480</v>
      </c>
      <c r="C120" s="15" t="e">
        <f>IF(ISNUMBER(VLOOKUP($A120,'Justice Spend Total'!$B:$AQ,33,FALSE)), VLOOKUP($A120,'Justice Spend Total'!$B:$AQ,33,FALSE), #N/A)</f>
        <v>#N/A</v>
      </c>
      <c r="D120" s="15" t="e">
        <f>IF(ISNUMBER(VLOOKUP($A120,'Justice Spend Total'!$B:$AQ,34,FALSE)), VLOOKUP($A120,'Justice Spend Total'!$B:$AQ,34,FALSE), #N/A)</f>
        <v>#N/A</v>
      </c>
      <c r="E120" t="e">
        <f>IF(ISNUMBER(VLOOKUP($A120,'Justice Spend Total'!$B:$AQ,34,FALSE)), VLOOKUP($A120,'Justice Spend Total'!$B:$AQ,35,FALSE), #N/A)</f>
        <v>#N/A</v>
      </c>
      <c r="F120" t="e">
        <f>IF(ISNUMBER(VLOOKUP($A120,'Justice Spend Total'!$B:$AQ,34,FALSE)), VLOOKUP($A120,'Justice Spend Total'!$B:$AQ,36,FALSE), #N/A)</f>
        <v>#N/A</v>
      </c>
    </row>
    <row r="121" spans="1:6">
      <c r="A121" t="s">
        <v>177</v>
      </c>
      <c r="B121">
        <f>IF(ISNUMBER(VLOOKUP($A121,'Justice Spend Total'!$B:$AQ,8,FALSE)), VLOOKUP($A121,'Justice Spend Total'!$B:$AQ,8,FALSE), #N/A)</f>
        <v>4550</v>
      </c>
      <c r="C121" s="15" t="e">
        <f>IF(ISNUMBER(VLOOKUP($A121,'Justice Spend Total'!$B:$AQ,33,FALSE)), VLOOKUP($A121,'Justice Spend Total'!$B:$AQ,33,FALSE), #N/A)</f>
        <v>#N/A</v>
      </c>
      <c r="D121" s="15" t="e">
        <f>IF(ISNUMBER(VLOOKUP($A121,'Justice Spend Total'!$B:$AQ,34,FALSE)), VLOOKUP($A121,'Justice Spend Total'!$B:$AQ,34,FALSE), #N/A)</f>
        <v>#N/A</v>
      </c>
      <c r="E121" t="e">
        <f>IF(ISNUMBER(VLOOKUP($A121,'Justice Spend Total'!$B:$AQ,34,FALSE)), VLOOKUP($A121,'Justice Spend Total'!$B:$AQ,35,FALSE), #N/A)</f>
        <v>#N/A</v>
      </c>
      <c r="F121" t="e">
        <f>IF(ISNUMBER(VLOOKUP($A121,'Justice Spend Total'!$B:$AQ,34,FALSE)), VLOOKUP($A121,'Justice Spend Total'!$B:$AQ,36,FALSE), #N/A)</f>
        <v>#N/A</v>
      </c>
    </row>
    <row r="122" spans="1:6">
      <c r="A122" t="s">
        <v>178</v>
      </c>
      <c r="B122">
        <f>IF(ISNUMBER(VLOOKUP($A122,'Justice Spend Total'!$B:$AQ,8,FALSE)), VLOOKUP($A122,'Justice Spend Total'!$B:$AQ,8,FALSE), #N/A)</f>
        <v>4560</v>
      </c>
      <c r="C122" s="15" t="e">
        <f>IF(ISNUMBER(VLOOKUP($A122,'Justice Spend Total'!$B:$AQ,33,FALSE)), VLOOKUP($A122,'Justice Spend Total'!$B:$AQ,33,FALSE), #N/A)</f>
        <v>#N/A</v>
      </c>
      <c r="D122" s="15" t="e">
        <f>IF(ISNUMBER(VLOOKUP($A122,'Justice Spend Total'!$B:$AQ,34,FALSE)), VLOOKUP($A122,'Justice Spend Total'!$B:$AQ,34,FALSE), #N/A)</f>
        <v>#N/A</v>
      </c>
      <c r="E122" t="e">
        <f>IF(ISNUMBER(VLOOKUP($A122,'Justice Spend Total'!$B:$AQ,34,FALSE)), VLOOKUP($A122,'Justice Spend Total'!$B:$AQ,35,FALSE), #N/A)</f>
        <v>#N/A</v>
      </c>
      <c r="F122" t="e">
        <f>IF(ISNUMBER(VLOOKUP($A122,'Justice Spend Total'!$B:$AQ,34,FALSE)), VLOOKUP($A122,'Justice Spend Total'!$B:$AQ,36,FALSE), #N/A)</f>
        <v>#N/A</v>
      </c>
    </row>
    <row r="123" spans="1:6">
      <c r="A123" t="s">
        <v>179</v>
      </c>
      <c r="B123">
        <f>IF(ISNUMBER(VLOOKUP($A123,'Justice Spend Total'!$B:$AQ,8,FALSE)), VLOOKUP($A123,'Justice Spend Total'!$B:$AQ,8,FALSE), #N/A)</f>
        <v>4740</v>
      </c>
      <c r="C123" s="15" t="e">
        <f>IF(ISNUMBER(VLOOKUP($A123,'Justice Spend Total'!$B:$AQ,33,FALSE)), VLOOKUP($A123,'Justice Spend Total'!$B:$AQ,33,FALSE), #N/A)</f>
        <v>#N/A</v>
      </c>
      <c r="D123" s="15" t="e">
        <f>IF(ISNUMBER(VLOOKUP($A123,'Justice Spend Total'!$B:$AQ,34,FALSE)), VLOOKUP($A123,'Justice Spend Total'!$B:$AQ,34,FALSE), #N/A)</f>
        <v>#N/A</v>
      </c>
      <c r="E123" t="e">
        <f>IF(ISNUMBER(VLOOKUP($A123,'Justice Spend Total'!$B:$AQ,34,FALSE)), VLOOKUP($A123,'Justice Spend Total'!$B:$AQ,35,FALSE), #N/A)</f>
        <v>#N/A</v>
      </c>
      <c r="F123" t="e">
        <f>IF(ISNUMBER(VLOOKUP($A123,'Justice Spend Total'!$B:$AQ,34,FALSE)), VLOOKUP($A123,'Justice Spend Total'!$B:$AQ,36,FALSE), #N/A)</f>
        <v>#N/A</v>
      </c>
    </row>
    <row r="124" spans="1:6">
      <c r="A124" t="s">
        <v>180</v>
      </c>
      <c r="B124">
        <f>IF(ISNUMBER(VLOOKUP($A124,'Justice Spend Total'!$B:$AQ,8,FALSE)), VLOOKUP($A124,'Justice Spend Total'!$B:$AQ,8,FALSE), #N/A)</f>
        <v>4800</v>
      </c>
      <c r="C124" s="15" t="e">
        <f>IF(ISNUMBER(VLOOKUP($A124,'Justice Spend Total'!$B:$AQ,33,FALSE)), VLOOKUP($A124,'Justice Spend Total'!$B:$AQ,33,FALSE), #N/A)</f>
        <v>#N/A</v>
      </c>
      <c r="D124" s="15" t="e">
        <f>IF(ISNUMBER(VLOOKUP($A124,'Justice Spend Total'!$B:$AQ,34,FALSE)), VLOOKUP($A124,'Justice Spend Total'!$B:$AQ,34,FALSE), #N/A)</f>
        <v>#N/A</v>
      </c>
      <c r="E124" t="e">
        <f>IF(ISNUMBER(VLOOKUP($A124,'Justice Spend Total'!$B:$AQ,34,FALSE)), VLOOKUP($A124,'Justice Spend Total'!$B:$AQ,35,FALSE), #N/A)</f>
        <v>#N/A</v>
      </c>
      <c r="F124" t="e">
        <f>IF(ISNUMBER(VLOOKUP($A124,'Justice Spend Total'!$B:$AQ,34,FALSE)), VLOOKUP($A124,'Justice Spend Total'!$B:$AQ,36,FALSE), #N/A)</f>
        <v>#N/A</v>
      </c>
    </row>
    <row r="125" spans="1:6">
      <c r="A125" t="s">
        <v>181</v>
      </c>
      <c r="B125">
        <f>IF(ISNUMBER(VLOOKUP($A125,'Justice Spend Total'!$B:$AQ,8,FALSE)), VLOOKUP($A125,'Justice Spend Total'!$B:$AQ,8,FALSE), #N/A)</f>
        <v>4860</v>
      </c>
      <c r="C125" s="15" t="e">
        <f>IF(ISNUMBER(VLOOKUP($A125,'Justice Spend Total'!$B:$AQ,33,FALSE)), VLOOKUP($A125,'Justice Spend Total'!$B:$AQ,33,FALSE), #N/A)</f>
        <v>#N/A</v>
      </c>
      <c r="D125" s="15" t="e">
        <f>IF(ISNUMBER(VLOOKUP($A125,'Justice Spend Total'!$B:$AQ,34,FALSE)), VLOOKUP($A125,'Justice Spend Total'!$B:$AQ,34,FALSE), #N/A)</f>
        <v>#N/A</v>
      </c>
      <c r="E125" t="e">
        <f>IF(ISNUMBER(VLOOKUP($A125,'Justice Spend Total'!$B:$AQ,34,FALSE)), VLOOKUP($A125,'Justice Spend Total'!$B:$AQ,35,FALSE), #N/A)</f>
        <v>#N/A</v>
      </c>
      <c r="F125" t="e">
        <f>IF(ISNUMBER(VLOOKUP($A125,'Justice Spend Total'!$B:$AQ,34,FALSE)), VLOOKUP($A125,'Justice Spend Total'!$B:$AQ,36,FALSE), #N/A)</f>
        <v>#N/A</v>
      </c>
    </row>
    <row r="126" spans="1:6">
      <c r="A126" t="s">
        <v>182</v>
      </c>
      <c r="B126">
        <f>IF(ISNUMBER(VLOOKUP($A126,'Justice Spend Total'!$B:$AQ,8,FALSE)), VLOOKUP($A126,'Justice Spend Total'!$B:$AQ,8,FALSE), #N/A)</f>
        <v>4880</v>
      </c>
      <c r="C126" s="15" t="e">
        <f>IF(ISNUMBER(VLOOKUP($A126,'Justice Spend Total'!$B:$AQ,33,FALSE)), VLOOKUP($A126,'Justice Spend Total'!$B:$AQ,33,FALSE), #N/A)</f>
        <v>#N/A</v>
      </c>
      <c r="D126" s="15" t="e">
        <f>IF(ISNUMBER(VLOOKUP($A126,'Justice Spend Total'!$B:$AQ,34,FALSE)), VLOOKUP($A126,'Justice Spend Total'!$B:$AQ,34,FALSE), #N/A)</f>
        <v>#N/A</v>
      </c>
      <c r="E126" t="e">
        <f>IF(ISNUMBER(VLOOKUP($A126,'Justice Spend Total'!$B:$AQ,34,FALSE)), VLOOKUP($A126,'Justice Spend Total'!$B:$AQ,35,FALSE), #N/A)</f>
        <v>#N/A</v>
      </c>
      <c r="F126" t="e">
        <f>IF(ISNUMBER(VLOOKUP($A126,'Justice Spend Total'!$B:$AQ,34,FALSE)), VLOOKUP($A126,'Justice Spend Total'!$B:$AQ,36,FALSE), #N/A)</f>
        <v>#N/A</v>
      </c>
    </row>
    <row r="127" spans="1:6">
      <c r="A127" t="s">
        <v>183</v>
      </c>
      <c r="B127">
        <f>IF(ISNUMBER(VLOOKUP($A127,'Justice Spend Total'!$B:$AQ,8,FALSE)), VLOOKUP($A127,'Justice Spend Total'!$B:$AQ,8,FALSE), #N/A)</f>
        <v>4940</v>
      </c>
      <c r="C127" s="15" t="e">
        <f>IF(ISNUMBER(VLOOKUP($A127,'Justice Spend Total'!$B:$AQ,33,FALSE)), VLOOKUP($A127,'Justice Spend Total'!$B:$AQ,33,FALSE), #N/A)</f>
        <v>#N/A</v>
      </c>
      <c r="D127" s="15" t="e">
        <f>IF(ISNUMBER(VLOOKUP($A127,'Justice Spend Total'!$B:$AQ,34,FALSE)), VLOOKUP($A127,'Justice Spend Total'!$B:$AQ,34,FALSE), #N/A)</f>
        <v>#N/A</v>
      </c>
      <c r="E127" t="e">
        <f>IF(ISNUMBER(VLOOKUP($A127,'Justice Spend Total'!$B:$AQ,34,FALSE)), VLOOKUP($A127,'Justice Spend Total'!$B:$AQ,35,FALSE), #N/A)</f>
        <v>#N/A</v>
      </c>
      <c r="F127" t="e">
        <f>IF(ISNUMBER(VLOOKUP($A127,'Justice Spend Total'!$B:$AQ,34,FALSE)), VLOOKUP($A127,'Justice Spend Total'!$B:$AQ,36,FALSE), #N/A)</f>
        <v>#N/A</v>
      </c>
    </row>
    <row r="128" spans="1:6">
      <c r="A128" t="s">
        <v>184</v>
      </c>
      <c r="B128">
        <f>IF(ISNUMBER(VLOOKUP($A128,'Justice Spend Total'!$B:$AQ,8,FALSE)), VLOOKUP($A128,'Justice Spend Total'!$B:$AQ,8,FALSE), #N/A)</f>
        <v>4970</v>
      </c>
      <c r="C128" s="15" t="e">
        <f>IF(ISNUMBER(VLOOKUP($A128,'Justice Spend Total'!$B:$AQ,33,FALSE)), VLOOKUP($A128,'Justice Spend Total'!$B:$AQ,33,FALSE), #N/A)</f>
        <v>#N/A</v>
      </c>
      <c r="D128" s="15" t="e">
        <f>IF(ISNUMBER(VLOOKUP($A128,'Justice Spend Total'!$B:$AQ,34,FALSE)), VLOOKUP($A128,'Justice Spend Total'!$B:$AQ,34,FALSE), #N/A)</f>
        <v>#N/A</v>
      </c>
      <c r="E128" t="e">
        <f>IF(ISNUMBER(VLOOKUP($A128,'Justice Spend Total'!$B:$AQ,34,FALSE)), VLOOKUP($A128,'Justice Spend Total'!$B:$AQ,35,FALSE), #N/A)</f>
        <v>#N/A</v>
      </c>
      <c r="F128" t="e">
        <f>IF(ISNUMBER(VLOOKUP($A128,'Justice Spend Total'!$B:$AQ,34,FALSE)), VLOOKUP($A128,'Justice Spend Total'!$B:$AQ,36,FALSE), #N/A)</f>
        <v>#N/A</v>
      </c>
    </row>
    <row r="129" spans="1:6">
      <c r="A129" t="s">
        <v>185</v>
      </c>
      <c r="B129">
        <f>IF(ISNUMBER(VLOOKUP($A129,'Justice Spend Total'!$B:$AQ,8,FALSE)), VLOOKUP($A129,'Justice Spend Total'!$B:$AQ,8,FALSE), #N/A)</f>
        <v>5040</v>
      </c>
      <c r="C129" s="15" t="e">
        <f>IF(ISNUMBER(VLOOKUP($A129,'Justice Spend Total'!$B:$AQ,33,FALSE)), VLOOKUP($A129,'Justice Spend Total'!$B:$AQ,33,FALSE), #N/A)</f>
        <v>#N/A</v>
      </c>
      <c r="D129" s="15" t="e">
        <f>IF(ISNUMBER(VLOOKUP($A129,'Justice Spend Total'!$B:$AQ,34,FALSE)), VLOOKUP($A129,'Justice Spend Total'!$B:$AQ,34,FALSE), #N/A)</f>
        <v>#N/A</v>
      </c>
      <c r="E129" t="e">
        <f>IF(ISNUMBER(VLOOKUP($A129,'Justice Spend Total'!$B:$AQ,34,FALSE)), VLOOKUP($A129,'Justice Spend Total'!$B:$AQ,35,FALSE), #N/A)</f>
        <v>#N/A</v>
      </c>
      <c r="F129" t="e">
        <f>IF(ISNUMBER(VLOOKUP($A129,'Justice Spend Total'!$B:$AQ,34,FALSE)), VLOOKUP($A129,'Justice Spend Total'!$B:$AQ,36,FALSE), #N/A)</f>
        <v>#N/A</v>
      </c>
    </row>
    <row r="130" spans="1:6">
      <c r="A130" t="s">
        <v>186</v>
      </c>
      <c r="B130">
        <f>IF(ISNUMBER(VLOOKUP($A130,'Justice Spend Total'!$B:$AQ,8,FALSE)), VLOOKUP($A130,'Justice Spend Total'!$B:$AQ,8,FALSE), #N/A)</f>
        <v>5050</v>
      </c>
      <c r="C130" s="15" t="e">
        <f>IF(ISNUMBER(VLOOKUP($A130,'Justice Spend Total'!$B:$AQ,33,FALSE)), VLOOKUP($A130,'Justice Spend Total'!$B:$AQ,33,FALSE), #N/A)</f>
        <v>#N/A</v>
      </c>
      <c r="D130" s="15" t="e">
        <f>IF(ISNUMBER(VLOOKUP($A130,'Justice Spend Total'!$B:$AQ,34,FALSE)), VLOOKUP($A130,'Justice Spend Total'!$B:$AQ,34,FALSE), #N/A)</f>
        <v>#N/A</v>
      </c>
      <c r="E130" t="e">
        <f>IF(ISNUMBER(VLOOKUP($A130,'Justice Spend Total'!$B:$AQ,34,FALSE)), VLOOKUP($A130,'Justice Spend Total'!$B:$AQ,35,FALSE), #N/A)</f>
        <v>#N/A</v>
      </c>
      <c r="F130" t="e">
        <f>IF(ISNUMBER(VLOOKUP($A130,'Justice Spend Total'!$B:$AQ,34,FALSE)), VLOOKUP($A130,'Justice Spend Total'!$B:$AQ,36,FALSE), #N/A)</f>
        <v>#N/A</v>
      </c>
    </row>
    <row r="131" spans="1:6">
      <c r="A131" t="s">
        <v>187</v>
      </c>
      <c r="B131">
        <f>IF(ISNUMBER(VLOOKUP($A131,'Justice Spend Total'!$B:$AQ,8,FALSE)), VLOOKUP($A131,'Justice Spend Total'!$B:$AQ,8,FALSE), #N/A)</f>
        <v>5190</v>
      </c>
      <c r="C131" s="15" t="e">
        <f>IF(ISNUMBER(VLOOKUP($A131,'Justice Spend Total'!$B:$AQ,33,FALSE)), VLOOKUP($A131,'Justice Spend Total'!$B:$AQ,33,FALSE), #N/A)</f>
        <v>#N/A</v>
      </c>
      <c r="D131" s="15" t="e">
        <f>IF(ISNUMBER(VLOOKUP($A131,'Justice Spend Total'!$B:$AQ,34,FALSE)), VLOOKUP($A131,'Justice Spend Total'!$B:$AQ,34,FALSE), #N/A)</f>
        <v>#N/A</v>
      </c>
      <c r="E131" t="e">
        <f>IF(ISNUMBER(VLOOKUP($A131,'Justice Spend Total'!$B:$AQ,34,FALSE)), VLOOKUP($A131,'Justice Spend Total'!$B:$AQ,35,FALSE), #N/A)</f>
        <v>#N/A</v>
      </c>
      <c r="F131" t="e">
        <f>IF(ISNUMBER(VLOOKUP($A131,'Justice Spend Total'!$B:$AQ,34,FALSE)), VLOOKUP($A131,'Justice Spend Total'!$B:$AQ,36,FALSE), #N/A)</f>
        <v>#N/A</v>
      </c>
    </row>
    <row r="132" spans="1:6">
      <c r="A132" t="s">
        <v>188</v>
      </c>
      <c r="B132">
        <f>IF(ISNUMBER(VLOOKUP($A132,'Justice Spend Total'!$B:$AQ,8,FALSE)), VLOOKUP($A132,'Justice Spend Total'!$B:$AQ,8,FALSE), #N/A)</f>
        <v>5340</v>
      </c>
      <c r="C132" s="15" t="e">
        <f>IF(ISNUMBER(VLOOKUP($A132,'Justice Spend Total'!$B:$AQ,33,FALSE)), VLOOKUP($A132,'Justice Spend Total'!$B:$AQ,33,FALSE), #N/A)</f>
        <v>#N/A</v>
      </c>
      <c r="D132" s="15" t="e">
        <f>IF(ISNUMBER(VLOOKUP($A132,'Justice Spend Total'!$B:$AQ,34,FALSE)), VLOOKUP($A132,'Justice Spend Total'!$B:$AQ,34,FALSE), #N/A)</f>
        <v>#N/A</v>
      </c>
      <c r="E132" t="e">
        <f>IF(ISNUMBER(VLOOKUP($A132,'Justice Spend Total'!$B:$AQ,34,FALSE)), VLOOKUP($A132,'Justice Spend Total'!$B:$AQ,35,FALSE), #N/A)</f>
        <v>#N/A</v>
      </c>
      <c r="F132" t="e">
        <f>IF(ISNUMBER(VLOOKUP($A132,'Justice Spend Total'!$B:$AQ,34,FALSE)), VLOOKUP($A132,'Justice Spend Total'!$B:$AQ,36,FALSE), #N/A)</f>
        <v>#N/A</v>
      </c>
    </row>
    <row r="133" spans="1:6">
      <c r="A133" t="s">
        <v>189</v>
      </c>
      <c r="B133">
        <f>IF(ISNUMBER(VLOOKUP($A133,'Justice Spend Total'!$B:$AQ,8,FALSE)), VLOOKUP($A133,'Justice Spend Total'!$B:$AQ,8,FALSE), #N/A)</f>
        <v>5460</v>
      </c>
      <c r="C133" s="15" t="e">
        <f>IF(ISNUMBER(VLOOKUP($A133,'Justice Spend Total'!$B:$AQ,33,FALSE)), VLOOKUP($A133,'Justice Spend Total'!$B:$AQ,33,FALSE), #N/A)</f>
        <v>#N/A</v>
      </c>
      <c r="D133" s="15" t="e">
        <f>IF(ISNUMBER(VLOOKUP($A133,'Justice Spend Total'!$B:$AQ,34,FALSE)), VLOOKUP($A133,'Justice Spend Total'!$B:$AQ,34,FALSE), #N/A)</f>
        <v>#N/A</v>
      </c>
      <c r="E133" t="e">
        <f>IF(ISNUMBER(VLOOKUP($A133,'Justice Spend Total'!$B:$AQ,34,FALSE)), VLOOKUP($A133,'Justice Spend Total'!$B:$AQ,35,FALSE), #N/A)</f>
        <v>#N/A</v>
      </c>
      <c r="F133" t="e">
        <f>IF(ISNUMBER(VLOOKUP($A133,'Justice Spend Total'!$B:$AQ,34,FALSE)), VLOOKUP($A133,'Justice Spend Total'!$B:$AQ,36,FALSE), #N/A)</f>
        <v>#N/A</v>
      </c>
    </row>
    <row r="134" spans="1:6">
      <c r="A134" t="s">
        <v>190</v>
      </c>
      <c r="B134">
        <f>IF(ISNUMBER(VLOOKUP($A134,'Justice Spend Total'!$B:$AQ,8,FALSE)), VLOOKUP($A134,'Justice Spend Total'!$B:$AQ,8,FALSE), #N/A)</f>
        <v>5810</v>
      </c>
      <c r="C134" s="15" t="e">
        <f>IF(ISNUMBER(VLOOKUP($A134,'Justice Spend Total'!$B:$AQ,33,FALSE)), VLOOKUP($A134,'Justice Spend Total'!$B:$AQ,33,FALSE), #N/A)</f>
        <v>#N/A</v>
      </c>
      <c r="D134" s="15" t="e">
        <f>IF(ISNUMBER(VLOOKUP($A134,'Justice Spend Total'!$B:$AQ,34,FALSE)), VLOOKUP($A134,'Justice Spend Total'!$B:$AQ,34,FALSE), #N/A)</f>
        <v>#N/A</v>
      </c>
      <c r="E134" t="e">
        <f>IF(ISNUMBER(VLOOKUP($A134,'Justice Spend Total'!$B:$AQ,34,FALSE)), VLOOKUP($A134,'Justice Spend Total'!$B:$AQ,35,FALSE), #N/A)</f>
        <v>#N/A</v>
      </c>
      <c r="F134" t="e">
        <f>IF(ISNUMBER(VLOOKUP($A134,'Justice Spend Total'!$B:$AQ,34,FALSE)), VLOOKUP($A134,'Justice Spend Total'!$B:$AQ,36,FALSE), #N/A)</f>
        <v>#N/A</v>
      </c>
    </row>
    <row r="135" spans="1:6">
      <c r="A135" t="s">
        <v>191</v>
      </c>
      <c r="B135">
        <f>IF(ISNUMBER(VLOOKUP($A135,'Justice Spend Total'!$B:$AQ,8,FALSE)), VLOOKUP($A135,'Justice Spend Total'!$B:$AQ,8,FALSE), #N/A)</f>
        <v>5930</v>
      </c>
      <c r="C135" s="15" t="e">
        <f>IF(ISNUMBER(VLOOKUP($A135,'Justice Spend Total'!$B:$AQ,33,FALSE)), VLOOKUP($A135,'Justice Spend Total'!$B:$AQ,33,FALSE), #N/A)</f>
        <v>#N/A</v>
      </c>
      <c r="D135" s="15" t="e">
        <f>IF(ISNUMBER(VLOOKUP($A135,'Justice Spend Total'!$B:$AQ,34,FALSE)), VLOOKUP($A135,'Justice Spend Total'!$B:$AQ,34,FALSE), #N/A)</f>
        <v>#N/A</v>
      </c>
      <c r="E135" t="e">
        <f>IF(ISNUMBER(VLOOKUP($A135,'Justice Spend Total'!$B:$AQ,34,FALSE)), VLOOKUP($A135,'Justice Spend Total'!$B:$AQ,35,FALSE), #N/A)</f>
        <v>#N/A</v>
      </c>
      <c r="F135" t="e">
        <f>IF(ISNUMBER(VLOOKUP($A135,'Justice Spend Total'!$B:$AQ,34,FALSE)), VLOOKUP($A135,'Justice Spend Total'!$B:$AQ,36,FALSE), #N/A)</f>
        <v>#N/A</v>
      </c>
    </row>
    <row r="136" spans="1:6">
      <c r="A136" t="s">
        <v>192</v>
      </c>
      <c r="B136">
        <f>IF(ISNUMBER(VLOOKUP($A136,'Justice Spend Total'!$B:$AQ,8,FALSE)), VLOOKUP($A136,'Justice Spend Total'!$B:$AQ,8,FALSE), #N/A)</f>
        <v>6110</v>
      </c>
      <c r="C136" s="15" t="e">
        <f>IF(ISNUMBER(VLOOKUP($A136,'Justice Spend Total'!$B:$AQ,33,FALSE)), VLOOKUP($A136,'Justice Spend Total'!$B:$AQ,33,FALSE), #N/A)</f>
        <v>#N/A</v>
      </c>
      <c r="D136" s="15" t="e">
        <f>IF(ISNUMBER(VLOOKUP($A136,'Justice Spend Total'!$B:$AQ,34,FALSE)), VLOOKUP($A136,'Justice Spend Total'!$B:$AQ,34,FALSE), #N/A)</f>
        <v>#N/A</v>
      </c>
      <c r="E136" t="e">
        <f>IF(ISNUMBER(VLOOKUP($A136,'Justice Spend Total'!$B:$AQ,34,FALSE)), VLOOKUP($A136,'Justice Spend Total'!$B:$AQ,35,FALSE), #N/A)</f>
        <v>#N/A</v>
      </c>
      <c r="F136" t="e">
        <f>IF(ISNUMBER(VLOOKUP($A136,'Justice Spend Total'!$B:$AQ,34,FALSE)), VLOOKUP($A136,'Justice Spend Total'!$B:$AQ,36,FALSE), #N/A)</f>
        <v>#N/A</v>
      </c>
    </row>
    <row r="137" spans="1:6">
      <c r="A137" t="s">
        <v>193</v>
      </c>
      <c r="B137">
        <f>IF(ISNUMBER(VLOOKUP($A137,'Justice Spend Total'!$B:$AQ,8,FALSE)), VLOOKUP($A137,'Justice Spend Total'!$B:$AQ,8,FALSE), #N/A)</f>
        <v>6130</v>
      </c>
      <c r="C137" s="15" t="e">
        <f>IF(ISNUMBER(VLOOKUP($A137,'Justice Spend Total'!$B:$AQ,33,FALSE)), VLOOKUP($A137,'Justice Spend Total'!$B:$AQ,33,FALSE), #N/A)</f>
        <v>#N/A</v>
      </c>
      <c r="D137" s="15" t="e">
        <f>IF(ISNUMBER(VLOOKUP($A137,'Justice Spend Total'!$B:$AQ,34,FALSE)), VLOOKUP($A137,'Justice Spend Total'!$B:$AQ,34,FALSE), #N/A)</f>
        <v>#N/A</v>
      </c>
      <c r="E137" t="e">
        <f>IF(ISNUMBER(VLOOKUP($A137,'Justice Spend Total'!$B:$AQ,34,FALSE)), VLOOKUP($A137,'Justice Spend Total'!$B:$AQ,35,FALSE), #N/A)</f>
        <v>#N/A</v>
      </c>
      <c r="F137" t="e">
        <f>IF(ISNUMBER(VLOOKUP($A137,'Justice Spend Total'!$B:$AQ,34,FALSE)), VLOOKUP($A137,'Justice Spend Total'!$B:$AQ,36,FALSE), #N/A)</f>
        <v>#N/A</v>
      </c>
    </row>
    <row r="138" spans="1:6">
      <c r="A138" t="s">
        <v>194</v>
      </c>
      <c r="B138">
        <f>IF(ISNUMBER(VLOOKUP($A138,'Justice Spend Total'!$B:$AQ,8,FALSE)), VLOOKUP($A138,'Justice Spend Total'!$B:$AQ,8,FALSE), #N/A)</f>
        <v>6160</v>
      </c>
      <c r="C138" s="15" t="e">
        <f>IF(ISNUMBER(VLOOKUP($A138,'Justice Spend Total'!$B:$AQ,33,FALSE)), VLOOKUP($A138,'Justice Spend Total'!$B:$AQ,33,FALSE), #N/A)</f>
        <v>#N/A</v>
      </c>
      <c r="D138" s="15" t="e">
        <f>IF(ISNUMBER(VLOOKUP($A138,'Justice Spend Total'!$B:$AQ,34,FALSE)), VLOOKUP($A138,'Justice Spend Total'!$B:$AQ,34,FALSE), #N/A)</f>
        <v>#N/A</v>
      </c>
      <c r="E138" t="e">
        <f>IF(ISNUMBER(VLOOKUP($A138,'Justice Spend Total'!$B:$AQ,34,FALSE)), VLOOKUP($A138,'Justice Spend Total'!$B:$AQ,35,FALSE), #N/A)</f>
        <v>#N/A</v>
      </c>
      <c r="F138" t="e">
        <f>IF(ISNUMBER(VLOOKUP($A138,'Justice Spend Total'!$B:$AQ,34,FALSE)), VLOOKUP($A138,'Justice Spend Total'!$B:$AQ,36,FALSE), #N/A)</f>
        <v>#N/A</v>
      </c>
    </row>
    <row r="139" spans="1:6">
      <c r="A139" t="s">
        <v>195</v>
      </c>
      <c r="B139">
        <f>IF(ISNUMBER(VLOOKUP($A139,'Justice Spend Total'!$B:$AQ,8,FALSE)), VLOOKUP($A139,'Justice Spend Total'!$B:$AQ,8,FALSE), #N/A)</f>
        <v>6440</v>
      </c>
      <c r="C139" s="15" t="e">
        <f>IF(ISNUMBER(VLOOKUP($A139,'Justice Spend Total'!$B:$AQ,33,FALSE)), VLOOKUP($A139,'Justice Spend Total'!$B:$AQ,33,FALSE), #N/A)</f>
        <v>#N/A</v>
      </c>
      <c r="D139" s="15" t="e">
        <f>IF(ISNUMBER(VLOOKUP($A139,'Justice Spend Total'!$B:$AQ,34,FALSE)), VLOOKUP($A139,'Justice Spend Total'!$B:$AQ,34,FALSE), #N/A)</f>
        <v>#N/A</v>
      </c>
      <c r="E139" t="e">
        <f>IF(ISNUMBER(VLOOKUP($A139,'Justice Spend Total'!$B:$AQ,34,FALSE)), VLOOKUP($A139,'Justice Spend Total'!$B:$AQ,35,FALSE), #N/A)</f>
        <v>#N/A</v>
      </c>
      <c r="F139" t="e">
        <f>IF(ISNUMBER(VLOOKUP($A139,'Justice Spend Total'!$B:$AQ,34,FALSE)), VLOOKUP($A139,'Justice Spend Total'!$B:$AQ,36,FALSE), #N/A)</f>
        <v>#N/A</v>
      </c>
    </row>
    <row r="140" spans="1:6">
      <c r="A140" t="s">
        <v>196</v>
      </c>
      <c r="B140">
        <f>IF(ISNUMBER(VLOOKUP($A140,'Justice Spend Total'!$B:$AQ,8,FALSE)), VLOOKUP($A140,'Justice Spend Total'!$B:$AQ,8,FALSE), #N/A)</f>
        <v>6520</v>
      </c>
      <c r="C140" s="15" t="e">
        <f>IF(ISNUMBER(VLOOKUP($A140,'Justice Spend Total'!$B:$AQ,33,FALSE)), VLOOKUP($A140,'Justice Spend Total'!$B:$AQ,33,FALSE), #N/A)</f>
        <v>#N/A</v>
      </c>
      <c r="D140" s="15" t="e">
        <f>IF(ISNUMBER(VLOOKUP($A140,'Justice Spend Total'!$B:$AQ,34,FALSE)), VLOOKUP($A140,'Justice Spend Total'!$B:$AQ,34,FALSE), #N/A)</f>
        <v>#N/A</v>
      </c>
      <c r="E140" t="e">
        <f>IF(ISNUMBER(VLOOKUP($A140,'Justice Spend Total'!$B:$AQ,34,FALSE)), VLOOKUP($A140,'Justice Spend Total'!$B:$AQ,35,FALSE), #N/A)</f>
        <v>#N/A</v>
      </c>
      <c r="F140" t="e">
        <f>IF(ISNUMBER(VLOOKUP($A140,'Justice Spend Total'!$B:$AQ,34,FALSE)), VLOOKUP($A140,'Justice Spend Total'!$B:$AQ,36,FALSE), #N/A)</f>
        <v>#N/A</v>
      </c>
    </row>
    <row r="141" spans="1:6">
      <c r="A141" t="s">
        <v>197</v>
      </c>
      <c r="B141">
        <f>IF(ISNUMBER(VLOOKUP($A141,'Justice Spend Total'!$B:$AQ,8,FALSE)), VLOOKUP($A141,'Justice Spend Total'!$B:$AQ,8,FALSE), #N/A)</f>
        <v>6760</v>
      </c>
      <c r="C141" s="15" t="e">
        <f>IF(ISNUMBER(VLOOKUP($A141,'Justice Spend Total'!$B:$AQ,33,FALSE)), VLOOKUP($A141,'Justice Spend Total'!$B:$AQ,33,FALSE), #N/A)</f>
        <v>#N/A</v>
      </c>
      <c r="D141" s="15" t="e">
        <f>IF(ISNUMBER(VLOOKUP($A141,'Justice Spend Total'!$B:$AQ,34,FALSE)), VLOOKUP($A141,'Justice Spend Total'!$B:$AQ,34,FALSE), #N/A)</f>
        <v>#N/A</v>
      </c>
      <c r="E141" t="e">
        <f>IF(ISNUMBER(VLOOKUP($A141,'Justice Spend Total'!$B:$AQ,34,FALSE)), VLOOKUP($A141,'Justice Spend Total'!$B:$AQ,35,FALSE), #N/A)</f>
        <v>#N/A</v>
      </c>
      <c r="F141" t="e">
        <f>IF(ISNUMBER(VLOOKUP($A141,'Justice Spend Total'!$B:$AQ,34,FALSE)), VLOOKUP($A141,'Justice Spend Total'!$B:$AQ,36,FALSE), #N/A)</f>
        <v>#N/A</v>
      </c>
    </row>
    <row r="142" spans="1:6">
      <c r="A142" t="s">
        <v>198</v>
      </c>
      <c r="B142">
        <f>IF(ISNUMBER(VLOOKUP($A142,'Justice Spend Total'!$B:$AQ,8,FALSE)), VLOOKUP($A142,'Justice Spend Total'!$B:$AQ,8,FALSE), #N/A)</f>
        <v>6770</v>
      </c>
      <c r="C142" s="15" t="e">
        <f>IF(ISNUMBER(VLOOKUP($A142,'Justice Spend Total'!$B:$AQ,33,FALSE)), VLOOKUP($A142,'Justice Spend Total'!$B:$AQ,33,FALSE), #N/A)</f>
        <v>#N/A</v>
      </c>
      <c r="D142" s="15" t="e">
        <f>IF(ISNUMBER(VLOOKUP($A142,'Justice Spend Total'!$B:$AQ,34,FALSE)), VLOOKUP($A142,'Justice Spend Total'!$B:$AQ,34,FALSE), #N/A)</f>
        <v>#N/A</v>
      </c>
      <c r="E142" t="e">
        <f>IF(ISNUMBER(VLOOKUP($A142,'Justice Spend Total'!$B:$AQ,34,FALSE)), VLOOKUP($A142,'Justice Spend Total'!$B:$AQ,35,FALSE), #N/A)</f>
        <v>#N/A</v>
      </c>
      <c r="F142" t="e">
        <f>IF(ISNUMBER(VLOOKUP($A142,'Justice Spend Total'!$B:$AQ,34,FALSE)), VLOOKUP($A142,'Justice Spend Total'!$B:$AQ,36,FALSE), #N/A)</f>
        <v>#N/A</v>
      </c>
    </row>
    <row r="143" spans="1:6">
      <c r="A143" t="s">
        <v>199</v>
      </c>
      <c r="B143">
        <f>IF(ISNUMBER(VLOOKUP($A143,'Justice Spend Total'!$B:$AQ,8,FALSE)), VLOOKUP($A143,'Justice Spend Total'!$B:$AQ,8,FALSE), #N/A)</f>
        <v>6940</v>
      </c>
      <c r="C143" s="15" t="e">
        <f>IF(ISNUMBER(VLOOKUP($A143,'Justice Spend Total'!$B:$AQ,33,FALSE)), VLOOKUP($A143,'Justice Spend Total'!$B:$AQ,33,FALSE), #N/A)</f>
        <v>#N/A</v>
      </c>
      <c r="D143" s="15" t="e">
        <f>IF(ISNUMBER(VLOOKUP($A143,'Justice Spend Total'!$B:$AQ,34,FALSE)), VLOOKUP($A143,'Justice Spend Total'!$B:$AQ,34,FALSE), #N/A)</f>
        <v>#N/A</v>
      </c>
      <c r="E143" t="e">
        <f>IF(ISNUMBER(VLOOKUP($A143,'Justice Spend Total'!$B:$AQ,34,FALSE)), VLOOKUP($A143,'Justice Spend Total'!$B:$AQ,35,FALSE), #N/A)</f>
        <v>#N/A</v>
      </c>
      <c r="F143" t="e">
        <f>IF(ISNUMBER(VLOOKUP($A143,'Justice Spend Total'!$B:$AQ,34,FALSE)), VLOOKUP($A143,'Justice Spend Total'!$B:$AQ,36,FALSE), #N/A)</f>
        <v>#N/A</v>
      </c>
    </row>
    <row r="144" spans="1:6">
      <c r="A144" t="s">
        <v>200</v>
      </c>
      <c r="B144">
        <f>IF(ISNUMBER(VLOOKUP($A144,'Justice Spend Total'!$B:$AQ,8,FALSE)), VLOOKUP($A144,'Justice Spend Total'!$B:$AQ,8,FALSE), #N/A)</f>
        <v>6950</v>
      </c>
      <c r="C144" s="15" t="e">
        <f>IF(ISNUMBER(VLOOKUP($A144,'Justice Spend Total'!$B:$AQ,33,FALSE)), VLOOKUP($A144,'Justice Spend Total'!$B:$AQ,33,FALSE), #N/A)</f>
        <v>#N/A</v>
      </c>
      <c r="D144" s="15" t="e">
        <f>IF(ISNUMBER(VLOOKUP($A144,'Justice Spend Total'!$B:$AQ,34,FALSE)), VLOOKUP($A144,'Justice Spend Total'!$B:$AQ,34,FALSE), #N/A)</f>
        <v>#N/A</v>
      </c>
      <c r="E144" t="e">
        <f>IF(ISNUMBER(VLOOKUP($A144,'Justice Spend Total'!$B:$AQ,34,FALSE)), VLOOKUP($A144,'Justice Spend Total'!$B:$AQ,35,FALSE), #N/A)</f>
        <v>#N/A</v>
      </c>
      <c r="F144" t="e">
        <f>IF(ISNUMBER(VLOOKUP($A144,'Justice Spend Total'!$B:$AQ,34,FALSE)), VLOOKUP($A144,'Justice Spend Total'!$B:$AQ,36,FALSE), #N/A)</f>
        <v>#N/A</v>
      </c>
    </row>
    <row r="145" spans="1:6">
      <c r="A145" t="s">
        <v>201</v>
      </c>
      <c r="B145">
        <f>IF(ISNUMBER(VLOOKUP($A145,'Justice Spend Total'!$B:$AQ,8,FALSE)), VLOOKUP($A145,'Justice Spend Total'!$B:$AQ,8,FALSE), #N/A)</f>
        <v>7100</v>
      </c>
      <c r="C145" s="15" t="e">
        <f>IF(ISNUMBER(VLOOKUP($A145,'Justice Spend Total'!$B:$AQ,33,FALSE)), VLOOKUP($A145,'Justice Spend Total'!$B:$AQ,33,FALSE), #N/A)</f>
        <v>#N/A</v>
      </c>
      <c r="D145" s="15" t="e">
        <f>IF(ISNUMBER(VLOOKUP($A145,'Justice Spend Total'!$B:$AQ,34,FALSE)), VLOOKUP($A145,'Justice Spend Total'!$B:$AQ,34,FALSE), #N/A)</f>
        <v>#N/A</v>
      </c>
      <c r="E145" t="e">
        <f>IF(ISNUMBER(VLOOKUP($A145,'Justice Spend Total'!$B:$AQ,34,FALSE)), VLOOKUP($A145,'Justice Spend Total'!$B:$AQ,35,FALSE), #N/A)</f>
        <v>#N/A</v>
      </c>
      <c r="F145" t="e">
        <f>IF(ISNUMBER(VLOOKUP($A145,'Justice Spend Total'!$B:$AQ,34,FALSE)), VLOOKUP($A145,'Justice Spend Total'!$B:$AQ,36,FALSE), #N/A)</f>
        <v>#N/A</v>
      </c>
    </row>
    <row r="146" spans="1:6">
      <c r="A146" t="s">
        <v>202</v>
      </c>
      <c r="B146">
        <f>IF(ISNUMBER(VLOOKUP($A146,'Justice Spend Total'!$B:$AQ,8,FALSE)), VLOOKUP($A146,'Justice Spend Total'!$B:$AQ,8,FALSE), #N/A)</f>
        <v>7220</v>
      </c>
      <c r="C146" s="15" t="e">
        <f>IF(ISNUMBER(VLOOKUP($A146,'Justice Spend Total'!$B:$AQ,33,FALSE)), VLOOKUP($A146,'Justice Spend Total'!$B:$AQ,33,FALSE), #N/A)</f>
        <v>#N/A</v>
      </c>
      <c r="D146" s="15" t="e">
        <f>IF(ISNUMBER(VLOOKUP($A146,'Justice Spend Total'!$B:$AQ,34,FALSE)), VLOOKUP($A146,'Justice Spend Total'!$B:$AQ,34,FALSE), #N/A)</f>
        <v>#N/A</v>
      </c>
      <c r="E146" t="e">
        <f>IF(ISNUMBER(VLOOKUP($A146,'Justice Spend Total'!$B:$AQ,34,FALSE)), VLOOKUP($A146,'Justice Spend Total'!$B:$AQ,35,FALSE), #N/A)</f>
        <v>#N/A</v>
      </c>
      <c r="F146" t="e">
        <f>IF(ISNUMBER(VLOOKUP($A146,'Justice Spend Total'!$B:$AQ,34,FALSE)), VLOOKUP($A146,'Justice Spend Total'!$B:$AQ,36,FALSE), #N/A)</f>
        <v>#N/A</v>
      </c>
    </row>
    <row r="147" spans="1:6">
      <c r="A147" t="s">
        <v>203</v>
      </c>
      <c r="B147">
        <f>IF(ISNUMBER(VLOOKUP($A147,'Justice Spend Total'!$B:$AQ,8,FALSE)), VLOOKUP($A147,'Justice Spend Total'!$B:$AQ,8,FALSE), #N/A)</f>
        <v>7260</v>
      </c>
      <c r="C147" s="15" t="e">
        <f>IF(ISNUMBER(VLOOKUP($A147,'Justice Spend Total'!$B:$AQ,33,FALSE)), VLOOKUP($A147,'Justice Spend Total'!$B:$AQ,33,FALSE), #N/A)</f>
        <v>#N/A</v>
      </c>
      <c r="D147" s="15" t="e">
        <f>IF(ISNUMBER(VLOOKUP($A147,'Justice Spend Total'!$B:$AQ,34,FALSE)), VLOOKUP($A147,'Justice Spend Total'!$B:$AQ,34,FALSE), #N/A)</f>
        <v>#N/A</v>
      </c>
      <c r="E147" t="e">
        <f>IF(ISNUMBER(VLOOKUP($A147,'Justice Spend Total'!$B:$AQ,34,FALSE)), VLOOKUP($A147,'Justice Spend Total'!$B:$AQ,35,FALSE), #N/A)</f>
        <v>#N/A</v>
      </c>
      <c r="F147" t="e">
        <f>IF(ISNUMBER(VLOOKUP($A147,'Justice Spend Total'!$B:$AQ,34,FALSE)), VLOOKUP($A147,'Justice Spend Total'!$B:$AQ,36,FALSE), #N/A)</f>
        <v>#N/A</v>
      </c>
    </row>
    <row r="148" spans="1:6">
      <c r="A148" t="s">
        <v>204</v>
      </c>
      <c r="B148">
        <f>IF(ISNUMBER(VLOOKUP($A148,'Justice Spend Total'!$B:$AQ,8,FALSE)), VLOOKUP($A148,'Justice Spend Total'!$B:$AQ,8,FALSE), #N/A)</f>
        <v>7720</v>
      </c>
      <c r="C148" s="15" t="e">
        <f>IF(ISNUMBER(VLOOKUP($A148,'Justice Spend Total'!$B:$AQ,33,FALSE)), VLOOKUP($A148,'Justice Spend Total'!$B:$AQ,33,FALSE), #N/A)</f>
        <v>#N/A</v>
      </c>
      <c r="D148" s="15" t="e">
        <f>IF(ISNUMBER(VLOOKUP($A148,'Justice Spend Total'!$B:$AQ,34,FALSE)), VLOOKUP($A148,'Justice Spend Total'!$B:$AQ,34,FALSE), #N/A)</f>
        <v>#N/A</v>
      </c>
      <c r="E148" t="e">
        <f>IF(ISNUMBER(VLOOKUP($A148,'Justice Spend Total'!$B:$AQ,34,FALSE)), VLOOKUP($A148,'Justice Spend Total'!$B:$AQ,35,FALSE), #N/A)</f>
        <v>#N/A</v>
      </c>
      <c r="F148" t="e">
        <f>IF(ISNUMBER(VLOOKUP($A148,'Justice Spend Total'!$B:$AQ,34,FALSE)), VLOOKUP($A148,'Justice Spend Total'!$B:$AQ,36,FALSE), #N/A)</f>
        <v>#N/A</v>
      </c>
    </row>
    <row r="149" spans="1:6">
      <c r="A149" t="s">
        <v>205</v>
      </c>
      <c r="B149">
        <f>IF(ISNUMBER(VLOOKUP($A149,'Justice Spend Total'!$B:$AQ,8,FALSE)), VLOOKUP($A149,'Justice Spend Total'!$B:$AQ,8,FALSE), #N/A)</f>
        <v>7760</v>
      </c>
      <c r="C149" s="15" t="e">
        <f>IF(ISNUMBER(VLOOKUP($A149,'Justice Spend Total'!$B:$AQ,33,FALSE)), VLOOKUP($A149,'Justice Spend Total'!$B:$AQ,33,FALSE), #N/A)</f>
        <v>#N/A</v>
      </c>
      <c r="D149" s="15" t="e">
        <f>IF(ISNUMBER(VLOOKUP($A149,'Justice Spend Total'!$B:$AQ,34,FALSE)), VLOOKUP($A149,'Justice Spend Total'!$B:$AQ,34,FALSE), #N/A)</f>
        <v>#N/A</v>
      </c>
      <c r="E149" t="e">
        <f>IF(ISNUMBER(VLOOKUP($A149,'Justice Spend Total'!$B:$AQ,34,FALSE)), VLOOKUP($A149,'Justice Spend Total'!$B:$AQ,35,FALSE), #N/A)</f>
        <v>#N/A</v>
      </c>
      <c r="F149" t="e">
        <f>IF(ISNUMBER(VLOOKUP($A149,'Justice Spend Total'!$B:$AQ,34,FALSE)), VLOOKUP($A149,'Justice Spend Total'!$B:$AQ,36,FALSE), #N/A)</f>
        <v>#N/A</v>
      </c>
    </row>
    <row r="150" spans="1:6">
      <c r="A150" t="s">
        <v>206</v>
      </c>
      <c r="B150">
        <f>IF(ISNUMBER(VLOOKUP($A150,'Justice Spend Total'!$B:$AQ,8,FALSE)), VLOOKUP($A150,'Justice Spend Total'!$B:$AQ,8,FALSE), #N/A)</f>
        <v>8100</v>
      </c>
      <c r="C150" s="15" t="e">
        <f>IF(ISNUMBER(VLOOKUP($A150,'Justice Spend Total'!$B:$AQ,33,FALSE)), VLOOKUP($A150,'Justice Spend Total'!$B:$AQ,33,FALSE), #N/A)</f>
        <v>#N/A</v>
      </c>
      <c r="D150" s="15" t="e">
        <f>IF(ISNUMBER(VLOOKUP($A150,'Justice Spend Total'!$B:$AQ,34,FALSE)), VLOOKUP($A150,'Justice Spend Total'!$B:$AQ,34,FALSE), #N/A)</f>
        <v>#N/A</v>
      </c>
      <c r="E150" t="e">
        <f>IF(ISNUMBER(VLOOKUP($A150,'Justice Spend Total'!$B:$AQ,34,FALSE)), VLOOKUP($A150,'Justice Spend Total'!$B:$AQ,35,FALSE), #N/A)</f>
        <v>#N/A</v>
      </c>
      <c r="F150" t="e">
        <f>IF(ISNUMBER(VLOOKUP($A150,'Justice Spend Total'!$B:$AQ,34,FALSE)), VLOOKUP($A150,'Justice Spend Total'!$B:$AQ,36,FALSE), #N/A)</f>
        <v>#N/A</v>
      </c>
    </row>
    <row r="151" spans="1:6">
      <c r="A151" t="s">
        <v>207</v>
      </c>
      <c r="B151">
        <f>IF(ISNUMBER(VLOOKUP($A151,'Justice Spend Total'!$B:$AQ,8,FALSE)), VLOOKUP($A151,'Justice Spend Total'!$B:$AQ,8,FALSE), #N/A)</f>
        <v>8220</v>
      </c>
      <c r="C151" s="15" t="e">
        <f>IF(ISNUMBER(VLOOKUP($A151,'Justice Spend Total'!$B:$AQ,33,FALSE)), VLOOKUP($A151,'Justice Spend Total'!$B:$AQ,33,FALSE), #N/A)</f>
        <v>#N/A</v>
      </c>
      <c r="D151" s="15" t="e">
        <f>IF(ISNUMBER(VLOOKUP($A151,'Justice Spend Total'!$B:$AQ,34,FALSE)), VLOOKUP($A151,'Justice Spend Total'!$B:$AQ,34,FALSE), #N/A)</f>
        <v>#N/A</v>
      </c>
      <c r="E151" t="e">
        <f>IF(ISNUMBER(VLOOKUP($A151,'Justice Spend Total'!$B:$AQ,34,FALSE)), VLOOKUP($A151,'Justice Spend Total'!$B:$AQ,35,FALSE), #N/A)</f>
        <v>#N/A</v>
      </c>
      <c r="F151" t="e">
        <f>IF(ISNUMBER(VLOOKUP($A151,'Justice Spend Total'!$B:$AQ,34,FALSE)), VLOOKUP($A151,'Justice Spend Total'!$B:$AQ,36,FALSE), #N/A)</f>
        <v>#N/A</v>
      </c>
    </row>
    <row r="152" spans="1:6">
      <c r="A152" t="s">
        <v>208</v>
      </c>
      <c r="B152">
        <f>IF(ISNUMBER(VLOOKUP($A152,'Justice Spend Total'!$B:$AQ,8,FALSE)), VLOOKUP($A152,'Justice Spend Total'!$B:$AQ,8,FALSE), #N/A)</f>
        <v>8400</v>
      </c>
      <c r="C152" s="15" t="e">
        <f>IF(ISNUMBER(VLOOKUP($A152,'Justice Spend Total'!$B:$AQ,33,FALSE)), VLOOKUP($A152,'Justice Spend Total'!$B:$AQ,33,FALSE), #N/A)</f>
        <v>#N/A</v>
      </c>
      <c r="D152" s="15" t="e">
        <f>IF(ISNUMBER(VLOOKUP($A152,'Justice Spend Total'!$B:$AQ,34,FALSE)), VLOOKUP($A152,'Justice Spend Total'!$B:$AQ,34,FALSE), #N/A)</f>
        <v>#N/A</v>
      </c>
      <c r="E152" t="e">
        <f>IF(ISNUMBER(VLOOKUP($A152,'Justice Spend Total'!$B:$AQ,34,FALSE)), VLOOKUP($A152,'Justice Spend Total'!$B:$AQ,35,FALSE), #N/A)</f>
        <v>#N/A</v>
      </c>
      <c r="F152" t="e">
        <f>IF(ISNUMBER(VLOOKUP($A152,'Justice Spend Total'!$B:$AQ,34,FALSE)), VLOOKUP($A152,'Justice Spend Total'!$B:$AQ,36,FALSE), #N/A)</f>
        <v>#N/A</v>
      </c>
    </row>
    <row r="153" spans="1:6">
      <c r="A153" t="s">
        <v>209</v>
      </c>
      <c r="B153">
        <f>IF(ISNUMBER(VLOOKUP($A153,'Justice Spend Total'!$B:$AQ,8,FALSE)), VLOOKUP($A153,'Justice Spend Total'!$B:$AQ,8,FALSE), #N/A)</f>
        <v>8430</v>
      </c>
      <c r="C153" s="15" t="e">
        <f>IF(ISNUMBER(VLOOKUP($A153,'Justice Spend Total'!$B:$AQ,33,FALSE)), VLOOKUP($A153,'Justice Spend Total'!$B:$AQ,33,FALSE), #N/A)</f>
        <v>#N/A</v>
      </c>
      <c r="D153" s="15" t="e">
        <f>IF(ISNUMBER(VLOOKUP($A153,'Justice Spend Total'!$B:$AQ,34,FALSE)), VLOOKUP($A153,'Justice Spend Total'!$B:$AQ,34,FALSE), #N/A)</f>
        <v>#N/A</v>
      </c>
      <c r="E153" t="e">
        <f>IF(ISNUMBER(VLOOKUP($A153,'Justice Spend Total'!$B:$AQ,34,FALSE)), VLOOKUP($A153,'Justice Spend Total'!$B:$AQ,35,FALSE), #N/A)</f>
        <v>#N/A</v>
      </c>
      <c r="F153" t="e">
        <f>IF(ISNUMBER(VLOOKUP($A153,'Justice Spend Total'!$B:$AQ,34,FALSE)), VLOOKUP($A153,'Justice Spend Total'!$B:$AQ,36,FALSE), #N/A)</f>
        <v>#N/A</v>
      </c>
    </row>
    <row r="154" spans="1:6">
      <c r="A154" t="s">
        <v>210</v>
      </c>
      <c r="B154">
        <f>IF(ISNUMBER(VLOOKUP($A154,'Justice Spend Total'!$B:$AQ,8,FALSE)), VLOOKUP($A154,'Justice Spend Total'!$B:$AQ,8,FALSE), #N/A)</f>
        <v>8440</v>
      </c>
      <c r="C154" s="15" t="e">
        <f>IF(ISNUMBER(VLOOKUP($A154,'Justice Spend Total'!$B:$AQ,33,FALSE)), VLOOKUP($A154,'Justice Spend Total'!$B:$AQ,33,FALSE), #N/A)</f>
        <v>#N/A</v>
      </c>
      <c r="D154" s="15" t="e">
        <f>IF(ISNUMBER(VLOOKUP($A154,'Justice Spend Total'!$B:$AQ,34,FALSE)), VLOOKUP($A154,'Justice Spend Total'!$B:$AQ,34,FALSE), #N/A)</f>
        <v>#N/A</v>
      </c>
      <c r="E154" t="e">
        <f>IF(ISNUMBER(VLOOKUP($A154,'Justice Spend Total'!$B:$AQ,34,FALSE)), VLOOKUP($A154,'Justice Spend Total'!$B:$AQ,35,FALSE), #N/A)</f>
        <v>#N/A</v>
      </c>
      <c r="F154" t="e">
        <f>IF(ISNUMBER(VLOOKUP($A154,'Justice Spend Total'!$B:$AQ,34,FALSE)), VLOOKUP($A154,'Justice Spend Total'!$B:$AQ,36,FALSE), #N/A)</f>
        <v>#N/A</v>
      </c>
    </row>
    <row r="155" spans="1:6">
      <c r="A155" t="s">
        <v>211</v>
      </c>
      <c r="B155">
        <f>IF(ISNUMBER(VLOOKUP($A155,'Justice Spend Total'!$B:$AQ,8,FALSE)), VLOOKUP($A155,'Justice Spend Total'!$B:$AQ,8,FALSE), #N/A)</f>
        <v>8630</v>
      </c>
      <c r="C155" s="15" t="e">
        <f>IF(ISNUMBER(VLOOKUP($A155,'Justice Spend Total'!$B:$AQ,33,FALSE)), VLOOKUP($A155,'Justice Spend Total'!$B:$AQ,33,FALSE), #N/A)</f>
        <v>#N/A</v>
      </c>
      <c r="D155" s="15" t="e">
        <f>IF(ISNUMBER(VLOOKUP($A155,'Justice Spend Total'!$B:$AQ,34,FALSE)), VLOOKUP($A155,'Justice Spend Total'!$B:$AQ,34,FALSE), #N/A)</f>
        <v>#N/A</v>
      </c>
      <c r="E155" t="e">
        <f>IF(ISNUMBER(VLOOKUP($A155,'Justice Spend Total'!$B:$AQ,34,FALSE)), VLOOKUP($A155,'Justice Spend Total'!$B:$AQ,35,FALSE), #N/A)</f>
        <v>#N/A</v>
      </c>
      <c r="F155" t="e">
        <f>IF(ISNUMBER(VLOOKUP($A155,'Justice Spend Total'!$B:$AQ,34,FALSE)), VLOOKUP($A155,'Justice Spend Total'!$B:$AQ,36,FALSE), #N/A)</f>
        <v>#N/A</v>
      </c>
    </row>
    <row r="156" spans="1:6">
      <c r="A156" t="s">
        <v>212</v>
      </c>
      <c r="B156">
        <f>IF(ISNUMBER(VLOOKUP($A156,'Justice Spend Total'!$B:$AQ,8,FALSE)), VLOOKUP($A156,'Justice Spend Total'!$B:$AQ,8,FALSE), #N/A)</f>
        <v>8720</v>
      </c>
      <c r="C156" s="15" t="e">
        <f>IF(ISNUMBER(VLOOKUP($A156,'Justice Spend Total'!$B:$AQ,33,FALSE)), VLOOKUP($A156,'Justice Spend Total'!$B:$AQ,33,FALSE), #N/A)</f>
        <v>#N/A</v>
      </c>
      <c r="D156" s="15" t="e">
        <f>IF(ISNUMBER(VLOOKUP($A156,'Justice Spend Total'!$B:$AQ,34,FALSE)), VLOOKUP($A156,'Justice Spend Total'!$B:$AQ,34,FALSE), #N/A)</f>
        <v>#N/A</v>
      </c>
      <c r="E156" t="e">
        <f>IF(ISNUMBER(VLOOKUP($A156,'Justice Spend Total'!$B:$AQ,34,FALSE)), VLOOKUP($A156,'Justice Spend Total'!$B:$AQ,35,FALSE), #N/A)</f>
        <v>#N/A</v>
      </c>
      <c r="F156" t="e">
        <f>IF(ISNUMBER(VLOOKUP($A156,'Justice Spend Total'!$B:$AQ,34,FALSE)), VLOOKUP($A156,'Justice Spend Total'!$B:$AQ,36,FALSE), #N/A)</f>
        <v>#N/A</v>
      </c>
    </row>
    <row r="157" spans="1:6">
      <c r="A157" t="s">
        <v>213</v>
      </c>
      <c r="B157">
        <f>IF(ISNUMBER(VLOOKUP($A157,'Justice Spend Total'!$B:$AQ,8,FALSE)), VLOOKUP($A157,'Justice Spend Total'!$B:$AQ,8,FALSE), #N/A)</f>
        <v>9300</v>
      </c>
      <c r="C157" s="15" t="e">
        <f>IF(ISNUMBER(VLOOKUP($A157,'Justice Spend Total'!$B:$AQ,33,FALSE)), VLOOKUP($A157,'Justice Spend Total'!$B:$AQ,33,FALSE), #N/A)</f>
        <v>#N/A</v>
      </c>
      <c r="D157" s="15" t="e">
        <f>IF(ISNUMBER(VLOOKUP($A157,'Justice Spend Total'!$B:$AQ,34,FALSE)), VLOOKUP($A157,'Justice Spend Total'!$B:$AQ,34,FALSE), #N/A)</f>
        <v>#N/A</v>
      </c>
      <c r="E157" t="e">
        <f>IF(ISNUMBER(VLOOKUP($A157,'Justice Spend Total'!$B:$AQ,34,FALSE)), VLOOKUP($A157,'Justice Spend Total'!$B:$AQ,35,FALSE), #N/A)</f>
        <v>#N/A</v>
      </c>
      <c r="F157" t="e">
        <f>IF(ISNUMBER(VLOOKUP($A157,'Justice Spend Total'!$B:$AQ,34,FALSE)), VLOOKUP($A157,'Justice Spend Total'!$B:$AQ,36,FALSE), #N/A)</f>
        <v>#N/A</v>
      </c>
    </row>
    <row r="158" spans="1:6">
      <c r="A158" t="s">
        <v>214</v>
      </c>
      <c r="B158">
        <f>IF(ISNUMBER(VLOOKUP($A158,'Justice Spend Total'!$B:$AQ,8,FALSE)), VLOOKUP($A158,'Justice Spend Total'!$B:$AQ,8,FALSE), #N/A)</f>
        <v>9380</v>
      </c>
      <c r="C158" s="15" t="e">
        <f>IF(ISNUMBER(VLOOKUP($A158,'Justice Spend Total'!$B:$AQ,33,FALSE)), VLOOKUP($A158,'Justice Spend Total'!$B:$AQ,33,FALSE), #N/A)</f>
        <v>#N/A</v>
      </c>
      <c r="D158" s="15" t="e">
        <f>IF(ISNUMBER(VLOOKUP($A158,'Justice Spend Total'!$B:$AQ,34,FALSE)), VLOOKUP($A158,'Justice Spend Total'!$B:$AQ,34,FALSE), #N/A)</f>
        <v>#N/A</v>
      </c>
      <c r="E158" t="e">
        <f>IF(ISNUMBER(VLOOKUP($A158,'Justice Spend Total'!$B:$AQ,34,FALSE)), VLOOKUP($A158,'Justice Spend Total'!$B:$AQ,35,FALSE), #N/A)</f>
        <v>#N/A</v>
      </c>
      <c r="F158" t="e">
        <f>IF(ISNUMBER(VLOOKUP($A158,'Justice Spend Total'!$B:$AQ,34,FALSE)), VLOOKUP($A158,'Justice Spend Total'!$B:$AQ,36,FALSE), #N/A)</f>
        <v>#N/A</v>
      </c>
    </row>
    <row r="159" spans="1:6">
      <c r="A159" t="s">
        <v>215</v>
      </c>
      <c r="B159">
        <f>IF(ISNUMBER(VLOOKUP($A159,'Justice Spend Total'!$B:$AQ,8,FALSE)), VLOOKUP($A159,'Justice Spend Total'!$B:$AQ,8,FALSE), #N/A)</f>
        <v>9380</v>
      </c>
      <c r="C159" s="15" t="e">
        <f>IF(ISNUMBER(VLOOKUP($A159,'Justice Spend Total'!$B:$AQ,33,FALSE)), VLOOKUP($A159,'Justice Spend Total'!$B:$AQ,33,FALSE), #N/A)</f>
        <v>#N/A</v>
      </c>
      <c r="D159" s="15" t="e">
        <f>IF(ISNUMBER(VLOOKUP($A159,'Justice Spend Total'!$B:$AQ,34,FALSE)), VLOOKUP($A159,'Justice Spend Total'!$B:$AQ,34,FALSE), #N/A)</f>
        <v>#N/A</v>
      </c>
      <c r="E159" t="e">
        <f>IF(ISNUMBER(VLOOKUP($A159,'Justice Spend Total'!$B:$AQ,34,FALSE)), VLOOKUP($A159,'Justice Spend Total'!$B:$AQ,35,FALSE), #N/A)</f>
        <v>#N/A</v>
      </c>
      <c r="F159" t="e">
        <f>IF(ISNUMBER(VLOOKUP($A159,'Justice Spend Total'!$B:$AQ,34,FALSE)), VLOOKUP($A159,'Justice Spend Total'!$B:$AQ,36,FALSE), #N/A)</f>
        <v>#N/A</v>
      </c>
    </row>
    <row r="160" spans="1:6">
      <c r="A160" t="s">
        <v>216</v>
      </c>
      <c r="B160">
        <f>IF(ISNUMBER(VLOOKUP($A160,'Justice Spend Total'!$B:$AQ,8,FALSE)), VLOOKUP($A160,'Justice Spend Total'!$B:$AQ,8,FALSE), #N/A)</f>
        <v>9630</v>
      </c>
      <c r="C160" s="15" t="e">
        <f>IF(ISNUMBER(VLOOKUP($A160,'Justice Spend Total'!$B:$AQ,33,FALSE)), VLOOKUP($A160,'Justice Spend Total'!$B:$AQ,33,FALSE), #N/A)</f>
        <v>#N/A</v>
      </c>
      <c r="D160" s="15" t="e">
        <f>IF(ISNUMBER(VLOOKUP($A160,'Justice Spend Total'!$B:$AQ,34,FALSE)), VLOOKUP($A160,'Justice Spend Total'!$B:$AQ,34,FALSE), #N/A)</f>
        <v>#N/A</v>
      </c>
      <c r="E160" t="e">
        <f>IF(ISNUMBER(VLOOKUP($A160,'Justice Spend Total'!$B:$AQ,34,FALSE)), VLOOKUP($A160,'Justice Spend Total'!$B:$AQ,35,FALSE), #N/A)</f>
        <v>#N/A</v>
      </c>
      <c r="F160" t="e">
        <f>IF(ISNUMBER(VLOOKUP($A160,'Justice Spend Total'!$B:$AQ,34,FALSE)), VLOOKUP($A160,'Justice Spend Total'!$B:$AQ,36,FALSE), #N/A)</f>
        <v>#N/A</v>
      </c>
    </row>
    <row r="161" spans="1:6">
      <c r="A161" t="s">
        <v>217</v>
      </c>
      <c r="B161">
        <f>IF(ISNUMBER(VLOOKUP($A161,'Justice Spend Total'!$B:$AQ,8,FALSE)), VLOOKUP($A161,'Justice Spend Total'!$B:$AQ,8,FALSE), #N/A)</f>
        <v>9680</v>
      </c>
      <c r="C161" s="15" t="e">
        <f>IF(ISNUMBER(VLOOKUP($A161,'Justice Spend Total'!$B:$AQ,33,FALSE)), VLOOKUP($A161,'Justice Spend Total'!$B:$AQ,33,FALSE), #N/A)</f>
        <v>#N/A</v>
      </c>
      <c r="D161" s="15" t="e">
        <f>IF(ISNUMBER(VLOOKUP($A161,'Justice Spend Total'!$B:$AQ,34,FALSE)), VLOOKUP($A161,'Justice Spend Total'!$B:$AQ,34,FALSE), #N/A)</f>
        <v>#N/A</v>
      </c>
      <c r="E161" t="e">
        <f>IF(ISNUMBER(VLOOKUP($A161,'Justice Spend Total'!$B:$AQ,34,FALSE)), VLOOKUP($A161,'Justice Spend Total'!$B:$AQ,35,FALSE), #N/A)</f>
        <v>#N/A</v>
      </c>
      <c r="F161" t="e">
        <f>IF(ISNUMBER(VLOOKUP($A161,'Justice Spend Total'!$B:$AQ,34,FALSE)), VLOOKUP($A161,'Justice Spend Total'!$B:$AQ,36,FALSE), #N/A)</f>
        <v>#N/A</v>
      </c>
    </row>
    <row r="162" spans="1:6">
      <c r="A162" t="s">
        <v>218</v>
      </c>
      <c r="B162">
        <f>IF(ISNUMBER(VLOOKUP($A162,'Justice Spend Total'!$B:$AQ,8,FALSE)), VLOOKUP($A162,'Justice Spend Total'!$B:$AQ,8,FALSE), #N/A)</f>
        <v>9830</v>
      </c>
      <c r="C162" s="15" t="e">
        <f>IF(ISNUMBER(VLOOKUP($A162,'Justice Spend Total'!$B:$AQ,33,FALSE)), VLOOKUP($A162,'Justice Spend Total'!$B:$AQ,33,FALSE), #N/A)</f>
        <v>#N/A</v>
      </c>
      <c r="D162" s="15" t="e">
        <f>IF(ISNUMBER(VLOOKUP($A162,'Justice Spend Total'!$B:$AQ,34,FALSE)), VLOOKUP($A162,'Justice Spend Total'!$B:$AQ,34,FALSE), #N/A)</f>
        <v>#N/A</v>
      </c>
      <c r="E162" t="e">
        <f>IF(ISNUMBER(VLOOKUP($A162,'Justice Spend Total'!$B:$AQ,34,FALSE)), VLOOKUP($A162,'Justice Spend Total'!$B:$AQ,35,FALSE), #N/A)</f>
        <v>#N/A</v>
      </c>
      <c r="F162" t="e">
        <f>IF(ISNUMBER(VLOOKUP($A162,'Justice Spend Total'!$B:$AQ,34,FALSE)), VLOOKUP($A162,'Justice Spend Total'!$B:$AQ,36,FALSE), #N/A)</f>
        <v>#N/A</v>
      </c>
    </row>
    <row r="163" spans="1:6">
      <c r="A163" t="s">
        <v>219</v>
      </c>
      <c r="B163">
        <f>IF(ISNUMBER(VLOOKUP($A163,'Justice Spend Total'!$B:$AQ,8,FALSE)), VLOOKUP($A163,'Justice Spend Total'!$B:$AQ,8,FALSE), #N/A)</f>
        <v>10050</v>
      </c>
      <c r="C163" s="15" t="e">
        <f>IF(ISNUMBER(VLOOKUP($A163,'Justice Spend Total'!$B:$AQ,33,FALSE)), VLOOKUP($A163,'Justice Spend Total'!$B:$AQ,33,FALSE), #N/A)</f>
        <v>#N/A</v>
      </c>
      <c r="D163" s="15" t="e">
        <f>IF(ISNUMBER(VLOOKUP($A163,'Justice Spend Total'!$B:$AQ,34,FALSE)), VLOOKUP($A163,'Justice Spend Total'!$B:$AQ,34,FALSE), #N/A)</f>
        <v>#N/A</v>
      </c>
      <c r="E163" t="e">
        <f>IF(ISNUMBER(VLOOKUP($A163,'Justice Spend Total'!$B:$AQ,34,FALSE)), VLOOKUP($A163,'Justice Spend Total'!$B:$AQ,35,FALSE), #N/A)</f>
        <v>#N/A</v>
      </c>
      <c r="F163" t="e">
        <f>IF(ISNUMBER(VLOOKUP($A163,'Justice Spend Total'!$B:$AQ,34,FALSE)), VLOOKUP($A163,'Justice Spend Total'!$B:$AQ,36,FALSE), #N/A)</f>
        <v>#N/A</v>
      </c>
    </row>
    <row r="164" spans="1:6">
      <c r="A164" t="s">
        <v>220</v>
      </c>
      <c r="B164">
        <f>IF(ISNUMBER(VLOOKUP($A164,'Justice Spend Total'!$B:$AQ,8,FALSE)), VLOOKUP($A164,'Justice Spend Total'!$B:$AQ,8,FALSE), #N/A)</f>
        <v>10720</v>
      </c>
      <c r="C164" s="15" t="e">
        <f>IF(ISNUMBER(VLOOKUP($A164,'Justice Spend Total'!$B:$AQ,33,FALSE)), VLOOKUP($A164,'Justice Spend Total'!$B:$AQ,33,FALSE), #N/A)</f>
        <v>#N/A</v>
      </c>
      <c r="D164" s="15" t="e">
        <f>IF(ISNUMBER(VLOOKUP($A164,'Justice Spend Total'!$B:$AQ,34,FALSE)), VLOOKUP($A164,'Justice Spend Total'!$B:$AQ,34,FALSE), #N/A)</f>
        <v>#N/A</v>
      </c>
      <c r="E164" t="e">
        <f>IF(ISNUMBER(VLOOKUP($A164,'Justice Spend Total'!$B:$AQ,34,FALSE)), VLOOKUP($A164,'Justice Spend Total'!$B:$AQ,35,FALSE), #N/A)</f>
        <v>#N/A</v>
      </c>
      <c r="F164" t="e">
        <f>IF(ISNUMBER(VLOOKUP($A164,'Justice Spend Total'!$B:$AQ,34,FALSE)), VLOOKUP($A164,'Justice Spend Total'!$B:$AQ,36,FALSE), #N/A)</f>
        <v>#N/A</v>
      </c>
    </row>
    <row r="165" spans="1:6">
      <c r="A165" t="s">
        <v>221</v>
      </c>
      <c r="B165">
        <f>IF(ISNUMBER(VLOOKUP($A165,'Justice Spend Total'!$B:$AQ,8,FALSE)), VLOOKUP($A165,'Justice Spend Total'!$B:$AQ,8,FALSE), #N/A)</f>
        <v>10860</v>
      </c>
      <c r="C165" s="15" t="e">
        <f>IF(ISNUMBER(VLOOKUP($A165,'Justice Spend Total'!$B:$AQ,33,FALSE)), VLOOKUP($A165,'Justice Spend Total'!$B:$AQ,33,FALSE), #N/A)</f>
        <v>#N/A</v>
      </c>
      <c r="D165" s="15" t="e">
        <f>IF(ISNUMBER(VLOOKUP($A165,'Justice Spend Total'!$B:$AQ,34,FALSE)), VLOOKUP($A165,'Justice Spend Total'!$B:$AQ,34,FALSE), #N/A)</f>
        <v>#N/A</v>
      </c>
      <c r="E165" t="e">
        <f>IF(ISNUMBER(VLOOKUP($A165,'Justice Spend Total'!$B:$AQ,34,FALSE)), VLOOKUP($A165,'Justice Spend Total'!$B:$AQ,35,FALSE), #N/A)</f>
        <v>#N/A</v>
      </c>
      <c r="F165" t="e">
        <f>IF(ISNUMBER(VLOOKUP($A165,'Justice Spend Total'!$B:$AQ,34,FALSE)), VLOOKUP($A165,'Justice Spend Total'!$B:$AQ,36,FALSE), #N/A)</f>
        <v>#N/A</v>
      </c>
    </row>
    <row r="166" spans="1:6">
      <c r="A166" t="s">
        <v>222</v>
      </c>
      <c r="B166">
        <f>IF(ISNUMBER(VLOOKUP($A166,'Justice Spend Total'!$B:$AQ,8,FALSE)), VLOOKUP($A166,'Justice Spend Total'!$B:$AQ,8,FALSE), #N/A)</f>
        <v>10930</v>
      </c>
      <c r="C166" s="15" t="e">
        <f>IF(ISNUMBER(VLOOKUP($A166,'Justice Spend Total'!$B:$AQ,33,FALSE)), VLOOKUP($A166,'Justice Spend Total'!$B:$AQ,33,FALSE), #N/A)</f>
        <v>#N/A</v>
      </c>
      <c r="D166" s="15" t="e">
        <f>IF(ISNUMBER(VLOOKUP($A166,'Justice Spend Total'!$B:$AQ,34,FALSE)), VLOOKUP($A166,'Justice Spend Total'!$B:$AQ,34,FALSE), #N/A)</f>
        <v>#N/A</v>
      </c>
      <c r="E166" t="e">
        <f>IF(ISNUMBER(VLOOKUP($A166,'Justice Spend Total'!$B:$AQ,34,FALSE)), VLOOKUP($A166,'Justice Spend Total'!$B:$AQ,35,FALSE), #N/A)</f>
        <v>#N/A</v>
      </c>
      <c r="F166" t="e">
        <f>IF(ISNUMBER(VLOOKUP($A166,'Justice Spend Total'!$B:$AQ,34,FALSE)), VLOOKUP($A166,'Justice Spend Total'!$B:$AQ,36,FALSE), #N/A)</f>
        <v>#N/A</v>
      </c>
    </row>
    <row r="167" spans="1:6">
      <c r="A167" t="s">
        <v>223</v>
      </c>
      <c r="B167">
        <f>IF(ISNUMBER(VLOOKUP($A167,'Justice Spend Total'!$B:$AQ,8,FALSE)), VLOOKUP($A167,'Justice Spend Total'!$B:$AQ,8,FALSE), #N/A)</f>
        <v>11600</v>
      </c>
      <c r="C167" s="15" t="e">
        <f>IF(ISNUMBER(VLOOKUP($A167,'Justice Spend Total'!$B:$AQ,33,FALSE)), VLOOKUP($A167,'Justice Spend Total'!$B:$AQ,33,FALSE), #N/A)</f>
        <v>#N/A</v>
      </c>
      <c r="D167" s="15" t="e">
        <f>IF(ISNUMBER(VLOOKUP($A167,'Justice Spend Total'!$B:$AQ,34,FALSE)), VLOOKUP($A167,'Justice Spend Total'!$B:$AQ,34,FALSE), #N/A)</f>
        <v>#N/A</v>
      </c>
      <c r="E167" t="e">
        <f>IF(ISNUMBER(VLOOKUP($A167,'Justice Spend Total'!$B:$AQ,34,FALSE)), VLOOKUP($A167,'Justice Spend Total'!$B:$AQ,35,FALSE), #N/A)</f>
        <v>#N/A</v>
      </c>
      <c r="F167" t="e">
        <f>IF(ISNUMBER(VLOOKUP($A167,'Justice Spend Total'!$B:$AQ,34,FALSE)), VLOOKUP($A167,'Justice Spend Total'!$B:$AQ,36,FALSE), #N/A)</f>
        <v>#N/A</v>
      </c>
    </row>
    <row r="168" spans="1:6">
      <c r="A168" t="s">
        <v>224</v>
      </c>
      <c r="B168">
        <f>IF(ISNUMBER(VLOOKUP($A168,'Justice Spend Total'!$B:$AQ,8,FALSE)), VLOOKUP($A168,'Justice Spend Total'!$B:$AQ,8,FALSE), #N/A)</f>
        <v>11890</v>
      </c>
      <c r="C168" s="15" t="e">
        <f>IF(ISNUMBER(VLOOKUP($A168,'Justice Spend Total'!$B:$AQ,33,FALSE)), VLOOKUP($A168,'Justice Spend Total'!$B:$AQ,33,FALSE), #N/A)</f>
        <v>#N/A</v>
      </c>
      <c r="D168" s="15" t="e">
        <f>IF(ISNUMBER(VLOOKUP($A168,'Justice Spend Total'!$B:$AQ,34,FALSE)), VLOOKUP($A168,'Justice Spend Total'!$B:$AQ,34,FALSE), #N/A)</f>
        <v>#N/A</v>
      </c>
      <c r="E168" t="e">
        <f>IF(ISNUMBER(VLOOKUP($A168,'Justice Spend Total'!$B:$AQ,34,FALSE)), VLOOKUP($A168,'Justice Spend Total'!$B:$AQ,35,FALSE), #N/A)</f>
        <v>#N/A</v>
      </c>
      <c r="F168" t="e">
        <f>IF(ISNUMBER(VLOOKUP($A168,'Justice Spend Total'!$B:$AQ,34,FALSE)), VLOOKUP($A168,'Justice Spend Total'!$B:$AQ,36,FALSE), #N/A)</f>
        <v>#N/A</v>
      </c>
    </row>
    <row r="169" spans="1:6">
      <c r="A169" t="s">
        <v>225</v>
      </c>
      <c r="B169">
        <f>IF(ISNUMBER(VLOOKUP($A169,'Justice Spend Total'!$B:$AQ,8,FALSE)), VLOOKUP($A169,'Justice Spend Total'!$B:$AQ,8,FALSE), #N/A)</f>
        <v>12310</v>
      </c>
      <c r="C169" s="15" t="e">
        <f>IF(ISNUMBER(VLOOKUP($A169,'Justice Spend Total'!$B:$AQ,33,FALSE)), VLOOKUP($A169,'Justice Spend Total'!$B:$AQ,33,FALSE), #N/A)</f>
        <v>#N/A</v>
      </c>
      <c r="D169" s="15" t="e">
        <f>IF(ISNUMBER(VLOOKUP($A169,'Justice Spend Total'!$B:$AQ,34,FALSE)), VLOOKUP($A169,'Justice Spend Total'!$B:$AQ,34,FALSE), #N/A)</f>
        <v>#N/A</v>
      </c>
      <c r="E169" t="e">
        <f>IF(ISNUMBER(VLOOKUP($A169,'Justice Spend Total'!$B:$AQ,34,FALSE)), VLOOKUP($A169,'Justice Spend Total'!$B:$AQ,35,FALSE), #N/A)</f>
        <v>#N/A</v>
      </c>
      <c r="F169" t="e">
        <f>IF(ISNUMBER(VLOOKUP($A169,'Justice Spend Total'!$B:$AQ,34,FALSE)), VLOOKUP($A169,'Justice Spend Total'!$B:$AQ,36,FALSE), #N/A)</f>
        <v>#N/A</v>
      </c>
    </row>
    <row r="170" spans="1:6">
      <c r="A170" t="s">
        <v>226</v>
      </c>
      <c r="B170">
        <f>IF(ISNUMBER(VLOOKUP($A170,'Justice Spend Total'!$B:$AQ,8,FALSE)), VLOOKUP($A170,'Justice Spend Total'!$B:$AQ,8,FALSE), #N/A)</f>
        <v>13080</v>
      </c>
      <c r="C170" s="15" t="e">
        <f>IF(ISNUMBER(VLOOKUP($A170,'Justice Spend Total'!$B:$AQ,33,FALSE)), VLOOKUP($A170,'Justice Spend Total'!$B:$AQ,33,FALSE), #N/A)</f>
        <v>#N/A</v>
      </c>
      <c r="D170" s="15" t="e">
        <f>IF(ISNUMBER(VLOOKUP($A170,'Justice Spend Total'!$B:$AQ,34,FALSE)), VLOOKUP($A170,'Justice Spend Total'!$B:$AQ,34,FALSE), #N/A)</f>
        <v>#N/A</v>
      </c>
      <c r="E170" t="e">
        <f>IF(ISNUMBER(VLOOKUP($A170,'Justice Spend Total'!$B:$AQ,34,FALSE)), VLOOKUP($A170,'Justice Spend Total'!$B:$AQ,35,FALSE), #N/A)</f>
        <v>#N/A</v>
      </c>
      <c r="F170" t="e">
        <f>IF(ISNUMBER(VLOOKUP($A170,'Justice Spend Total'!$B:$AQ,34,FALSE)), VLOOKUP($A170,'Justice Spend Total'!$B:$AQ,36,FALSE), #N/A)</f>
        <v>#N/A</v>
      </c>
    </row>
    <row r="171" spans="1:6">
      <c r="A171" t="s">
        <v>227</v>
      </c>
      <c r="B171">
        <f>IF(ISNUMBER(VLOOKUP($A171,'Justice Spend Total'!$B:$AQ,8,FALSE)), VLOOKUP($A171,'Justice Spend Total'!$B:$AQ,8,FALSE), #N/A)</f>
        <v>13260</v>
      </c>
      <c r="C171" s="15" t="e">
        <f>IF(ISNUMBER(VLOOKUP($A171,'Justice Spend Total'!$B:$AQ,33,FALSE)), VLOOKUP($A171,'Justice Spend Total'!$B:$AQ,33,FALSE), #N/A)</f>
        <v>#N/A</v>
      </c>
      <c r="D171" s="15" t="e">
        <f>IF(ISNUMBER(VLOOKUP($A171,'Justice Spend Total'!$B:$AQ,34,FALSE)), VLOOKUP($A171,'Justice Spend Total'!$B:$AQ,34,FALSE), #N/A)</f>
        <v>#N/A</v>
      </c>
      <c r="E171" t="e">
        <f>IF(ISNUMBER(VLOOKUP($A171,'Justice Spend Total'!$B:$AQ,34,FALSE)), VLOOKUP($A171,'Justice Spend Total'!$B:$AQ,35,FALSE), #N/A)</f>
        <v>#N/A</v>
      </c>
      <c r="F171" t="e">
        <f>IF(ISNUMBER(VLOOKUP($A171,'Justice Spend Total'!$B:$AQ,34,FALSE)), VLOOKUP($A171,'Justice Spend Total'!$B:$AQ,36,FALSE), #N/A)</f>
        <v>#N/A</v>
      </c>
    </row>
    <row r="172" spans="1:6">
      <c r="A172" t="s">
        <v>228</v>
      </c>
      <c r="B172">
        <f>IF(ISNUMBER(VLOOKUP($A172,'Justice Spend Total'!$B:$AQ,8,FALSE)), VLOOKUP($A172,'Justice Spend Total'!$B:$AQ,8,FALSE), #N/A)</f>
        <v>14010</v>
      </c>
      <c r="C172" s="15" t="e">
        <f>IF(ISNUMBER(VLOOKUP($A172,'Justice Spend Total'!$B:$AQ,33,FALSE)), VLOOKUP($A172,'Justice Spend Total'!$B:$AQ,33,FALSE), #N/A)</f>
        <v>#N/A</v>
      </c>
      <c r="D172" s="15" t="e">
        <f>IF(ISNUMBER(VLOOKUP($A172,'Justice Spend Total'!$B:$AQ,34,FALSE)), VLOOKUP($A172,'Justice Spend Total'!$B:$AQ,34,FALSE), #N/A)</f>
        <v>#N/A</v>
      </c>
      <c r="E172" t="e">
        <f>IF(ISNUMBER(VLOOKUP($A172,'Justice Spend Total'!$B:$AQ,34,FALSE)), VLOOKUP($A172,'Justice Spend Total'!$B:$AQ,35,FALSE), #N/A)</f>
        <v>#N/A</v>
      </c>
      <c r="F172" t="e">
        <f>IF(ISNUMBER(VLOOKUP($A172,'Justice Spend Total'!$B:$AQ,34,FALSE)), VLOOKUP($A172,'Justice Spend Total'!$B:$AQ,36,FALSE), #N/A)</f>
        <v>#N/A</v>
      </c>
    </row>
    <row r="173" spans="1:6">
      <c r="A173" t="s">
        <v>229</v>
      </c>
      <c r="B173">
        <f>IF(ISNUMBER(VLOOKUP($A173,'Justice Spend Total'!$B:$AQ,8,FALSE)), VLOOKUP($A173,'Justice Spend Total'!$B:$AQ,8,FALSE), #N/A)</f>
        <v>14170</v>
      </c>
      <c r="C173" s="15" t="e">
        <f>IF(ISNUMBER(VLOOKUP($A173,'Justice Spend Total'!$B:$AQ,33,FALSE)), VLOOKUP($A173,'Justice Spend Total'!$B:$AQ,33,FALSE), #N/A)</f>
        <v>#N/A</v>
      </c>
      <c r="D173" s="15" t="e">
        <f>IF(ISNUMBER(VLOOKUP($A173,'Justice Spend Total'!$B:$AQ,34,FALSE)), VLOOKUP($A173,'Justice Spend Total'!$B:$AQ,34,FALSE), #N/A)</f>
        <v>#N/A</v>
      </c>
      <c r="E173" t="e">
        <f>IF(ISNUMBER(VLOOKUP($A173,'Justice Spend Total'!$B:$AQ,34,FALSE)), VLOOKUP($A173,'Justice Spend Total'!$B:$AQ,35,FALSE), #N/A)</f>
        <v>#N/A</v>
      </c>
      <c r="F173" t="e">
        <f>IF(ISNUMBER(VLOOKUP($A173,'Justice Spend Total'!$B:$AQ,34,FALSE)), VLOOKUP($A173,'Justice Spend Total'!$B:$AQ,36,FALSE), #N/A)</f>
        <v>#N/A</v>
      </c>
    </row>
    <row r="174" spans="1:6">
      <c r="A174" t="s">
        <v>230</v>
      </c>
      <c r="B174">
        <f>IF(ISNUMBER(VLOOKUP($A174,'Justice Spend Total'!$B:$AQ,8,FALSE)), VLOOKUP($A174,'Justice Spend Total'!$B:$AQ,8,FALSE), #N/A)</f>
        <v>14390</v>
      </c>
      <c r="C174" s="15" t="e">
        <f>IF(ISNUMBER(VLOOKUP($A174,'Justice Spend Total'!$B:$AQ,33,FALSE)), VLOOKUP($A174,'Justice Spend Total'!$B:$AQ,33,FALSE), #N/A)</f>
        <v>#N/A</v>
      </c>
      <c r="D174" s="15" t="e">
        <f>IF(ISNUMBER(VLOOKUP($A174,'Justice Spend Total'!$B:$AQ,34,FALSE)), VLOOKUP($A174,'Justice Spend Total'!$B:$AQ,34,FALSE), #N/A)</f>
        <v>#N/A</v>
      </c>
      <c r="E174" t="e">
        <f>IF(ISNUMBER(VLOOKUP($A174,'Justice Spend Total'!$B:$AQ,34,FALSE)), VLOOKUP($A174,'Justice Spend Total'!$B:$AQ,35,FALSE), #N/A)</f>
        <v>#N/A</v>
      </c>
      <c r="F174" t="e">
        <f>IF(ISNUMBER(VLOOKUP($A174,'Justice Spend Total'!$B:$AQ,34,FALSE)), VLOOKUP($A174,'Justice Spend Total'!$B:$AQ,36,FALSE), #N/A)</f>
        <v>#N/A</v>
      </c>
    </row>
    <row r="175" spans="1:6">
      <c r="A175" t="s">
        <v>231</v>
      </c>
      <c r="B175">
        <f>IF(ISNUMBER(VLOOKUP($A175,'Justice Spend Total'!$B:$AQ,8,FALSE)), VLOOKUP($A175,'Justice Spend Total'!$B:$AQ,8,FALSE), #N/A)</f>
        <v>14900</v>
      </c>
      <c r="C175" s="15" t="e">
        <f>IF(ISNUMBER(VLOOKUP($A175,'Justice Spend Total'!$B:$AQ,33,FALSE)), VLOOKUP($A175,'Justice Spend Total'!$B:$AQ,33,FALSE), #N/A)</f>
        <v>#N/A</v>
      </c>
      <c r="D175" s="15" t="e">
        <f>IF(ISNUMBER(VLOOKUP($A175,'Justice Spend Total'!$B:$AQ,34,FALSE)), VLOOKUP($A175,'Justice Spend Total'!$B:$AQ,34,FALSE), #N/A)</f>
        <v>#N/A</v>
      </c>
      <c r="E175" t="e">
        <f>IF(ISNUMBER(VLOOKUP($A175,'Justice Spend Total'!$B:$AQ,34,FALSE)), VLOOKUP($A175,'Justice Spend Total'!$B:$AQ,35,FALSE), #N/A)</f>
        <v>#N/A</v>
      </c>
      <c r="F175" t="e">
        <f>IF(ISNUMBER(VLOOKUP($A175,'Justice Spend Total'!$B:$AQ,34,FALSE)), VLOOKUP($A175,'Justice Spend Total'!$B:$AQ,36,FALSE), #N/A)</f>
        <v>#N/A</v>
      </c>
    </row>
    <row r="176" spans="1:6">
      <c r="A176" t="s">
        <v>232</v>
      </c>
      <c r="B176">
        <f>IF(ISNUMBER(VLOOKUP($A176,'Justice Spend Total'!$B:$AQ,8,FALSE)), VLOOKUP($A176,'Justice Spend Total'!$B:$AQ,8,FALSE), #N/A)</f>
        <v>15000</v>
      </c>
      <c r="C176" s="15" t="e">
        <f>IF(ISNUMBER(VLOOKUP($A176,'Justice Spend Total'!$B:$AQ,33,FALSE)), VLOOKUP($A176,'Justice Spend Total'!$B:$AQ,33,FALSE), #N/A)</f>
        <v>#N/A</v>
      </c>
      <c r="D176" s="15" t="e">
        <f>IF(ISNUMBER(VLOOKUP($A176,'Justice Spend Total'!$B:$AQ,34,FALSE)), VLOOKUP($A176,'Justice Spend Total'!$B:$AQ,34,FALSE), #N/A)</f>
        <v>#N/A</v>
      </c>
      <c r="E176" t="e">
        <f>IF(ISNUMBER(VLOOKUP($A176,'Justice Spend Total'!$B:$AQ,34,FALSE)), VLOOKUP($A176,'Justice Spend Total'!$B:$AQ,35,FALSE), #N/A)</f>
        <v>#N/A</v>
      </c>
      <c r="F176" t="e">
        <f>IF(ISNUMBER(VLOOKUP($A176,'Justice Spend Total'!$B:$AQ,34,FALSE)), VLOOKUP($A176,'Justice Spend Total'!$B:$AQ,36,FALSE), #N/A)</f>
        <v>#N/A</v>
      </c>
    </row>
    <row r="177" spans="1:6">
      <c r="A177" t="s">
        <v>233</v>
      </c>
      <c r="B177">
        <f>IF(ISNUMBER(VLOOKUP($A177,'Justice Spend Total'!$B:$AQ,8,FALSE)), VLOOKUP($A177,'Justice Spend Total'!$B:$AQ,8,FALSE), #N/A)</f>
        <v>15030</v>
      </c>
      <c r="C177" s="15" t="e">
        <f>IF(ISNUMBER(VLOOKUP($A177,'Justice Spend Total'!$B:$AQ,33,FALSE)), VLOOKUP($A177,'Justice Spend Total'!$B:$AQ,33,FALSE), #N/A)</f>
        <v>#N/A</v>
      </c>
      <c r="D177" s="15" t="e">
        <f>IF(ISNUMBER(VLOOKUP($A177,'Justice Spend Total'!$B:$AQ,34,FALSE)), VLOOKUP($A177,'Justice Spend Total'!$B:$AQ,34,FALSE), #N/A)</f>
        <v>#N/A</v>
      </c>
      <c r="E177" t="e">
        <f>IF(ISNUMBER(VLOOKUP($A177,'Justice Spend Total'!$B:$AQ,34,FALSE)), VLOOKUP($A177,'Justice Spend Total'!$B:$AQ,35,FALSE), #N/A)</f>
        <v>#N/A</v>
      </c>
      <c r="F177" t="e">
        <f>IF(ISNUMBER(VLOOKUP($A177,'Justice Spend Total'!$B:$AQ,34,FALSE)), VLOOKUP($A177,'Justice Spend Total'!$B:$AQ,36,FALSE), #N/A)</f>
        <v>#N/A</v>
      </c>
    </row>
    <row r="178" spans="1:6">
      <c r="A178" t="s">
        <v>234</v>
      </c>
      <c r="B178">
        <f>IF(ISNUMBER(VLOOKUP($A178,'Justice Spend Total'!$B:$AQ,8,FALSE)), VLOOKUP($A178,'Justice Spend Total'!$B:$AQ,8,FALSE), #N/A)</f>
        <v>15070</v>
      </c>
      <c r="C178" s="15" t="e">
        <f>IF(ISNUMBER(VLOOKUP($A178,'Justice Spend Total'!$B:$AQ,33,FALSE)), VLOOKUP($A178,'Justice Spend Total'!$B:$AQ,33,FALSE), #N/A)</f>
        <v>#N/A</v>
      </c>
      <c r="D178" s="15" t="e">
        <f>IF(ISNUMBER(VLOOKUP($A178,'Justice Spend Total'!$B:$AQ,34,FALSE)), VLOOKUP($A178,'Justice Spend Total'!$B:$AQ,34,FALSE), #N/A)</f>
        <v>#N/A</v>
      </c>
      <c r="E178" t="e">
        <f>IF(ISNUMBER(VLOOKUP($A178,'Justice Spend Total'!$B:$AQ,34,FALSE)), VLOOKUP($A178,'Justice Spend Total'!$B:$AQ,35,FALSE), #N/A)</f>
        <v>#N/A</v>
      </c>
      <c r="F178" t="e">
        <f>IF(ISNUMBER(VLOOKUP($A178,'Justice Spend Total'!$B:$AQ,34,FALSE)), VLOOKUP($A178,'Justice Spend Total'!$B:$AQ,36,FALSE), #N/A)</f>
        <v>#N/A</v>
      </c>
    </row>
    <row r="179" spans="1:6">
      <c r="A179" t="s">
        <v>235</v>
      </c>
      <c r="B179">
        <f>IF(ISNUMBER(VLOOKUP($A179,'Justice Spend Total'!$B:$AQ,8,FALSE)), VLOOKUP($A179,'Justice Spend Total'!$B:$AQ,8,FALSE), #N/A)</f>
        <v>15800</v>
      </c>
      <c r="C179" s="15" t="e">
        <f>IF(ISNUMBER(VLOOKUP($A179,'Justice Spend Total'!$B:$AQ,33,FALSE)), VLOOKUP($A179,'Justice Spend Total'!$B:$AQ,33,FALSE), #N/A)</f>
        <v>#N/A</v>
      </c>
      <c r="D179" s="15" t="e">
        <f>IF(ISNUMBER(VLOOKUP($A179,'Justice Spend Total'!$B:$AQ,34,FALSE)), VLOOKUP($A179,'Justice Spend Total'!$B:$AQ,34,FALSE), #N/A)</f>
        <v>#N/A</v>
      </c>
      <c r="E179" t="e">
        <f>IF(ISNUMBER(VLOOKUP($A179,'Justice Spend Total'!$B:$AQ,34,FALSE)), VLOOKUP($A179,'Justice Spend Total'!$B:$AQ,35,FALSE), #N/A)</f>
        <v>#N/A</v>
      </c>
      <c r="F179" t="e">
        <f>IF(ISNUMBER(VLOOKUP($A179,'Justice Spend Total'!$B:$AQ,34,FALSE)), VLOOKUP($A179,'Justice Spend Total'!$B:$AQ,36,FALSE), #N/A)</f>
        <v>#N/A</v>
      </c>
    </row>
    <row r="180" spans="1:6">
      <c r="A180" t="s">
        <v>236</v>
      </c>
      <c r="B180">
        <f>IF(ISNUMBER(VLOOKUP($A180,'Justice Spend Total'!$B:$AQ,8,FALSE)), VLOOKUP($A180,'Justice Spend Total'!$B:$AQ,8,FALSE), #N/A)</f>
        <v>16560</v>
      </c>
      <c r="C180" s="15" t="e">
        <f>IF(ISNUMBER(VLOOKUP($A180,'Justice Spend Total'!$B:$AQ,33,FALSE)), VLOOKUP($A180,'Justice Spend Total'!$B:$AQ,33,FALSE), #N/A)</f>
        <v>#N/A</v>
      </c>
      <c r="D180" s="15" t="e">
        <f>IF(ISNUMBER(VLOOKUP($A180,'Justice Spend Total'!$B:$AQ,34,FALSE)), VLOOKUP($A180,'Justice Spend Total'!$B:$AQ,34,FALSE), #N/A)</f>
        <v>#N/A</v>
      </c>
      <c r="E180" t="e">
        <f>IF(ISNUMBER(VLOOKUP($A180,'Justice Spend Total'!$B:$AQ,34,FALSE)), VLOOKUP($A180,'Justice Spend Total'!$B:$AQ,35,FALSE), #N/A)</f>
        <v>#N/A</v>
      </c>
      <c r="F180" t="e">
        <f>IF(ISNUMBER(VLOOKUP($A180,'Justice Spend Total'!$B:$AQ,34,FALSE)), VLOOKUP($A180,'Justice Spend Total'!$B:$AQ,36,FALSE), #N/A)</f>
        <v>#N/A</v>
      </c>
    </row>
    <row r="181" spans="1:6">
      <c r="A181" t="s">
        <v>75</v>
      </c>
      <c r="B181">
        <f>IF(ISNUMBER(VLOOKUP($A181,'Justice Spend Total'!$B:$AQ,8,FALSE)), VLOOKUP($A181,'Justice Spend Total'!$B:$AQ,8,FALSE), #N/A)</f>
        <v>16670</v>
      </c>
      <c r="C181" s="15" t="e">
        <f>IF(ISNUMBER(VLOOKUP($A181,'Justice Spend Total'!$B:$AQ,33,FALSE)), VLOOKUP($A181,'Justice Spend Total'!$B:$AQ,33,FALSE), #N/A)</f>
        <v>#N/A</v>
      </c>
      <c r="D181" s="15" t="e">
        <f>IF(ISNUMBER(VLOOKUP($A181,'Justice Spend Total'!$B:$AQ,34,FALSE)), VLOOKUP($A181,'Justice Spend Total'!$B:$AQ,34,FALSE), #N/A)</f>
        <v>#N/A</v>
      </c>
      <c r="E181" t="e">
        <f>IF(ISNUMBER(VLOOKUP($A181,'Justice Spend Total'!$B:$AQ,34,FALSE)), VLOOKUP($A181,'Justice Spend Total'!$B:$AQ,35,FALSE), #N/A)</f>
        <v>#N/A</v>
      </c>
      <c r="F181" t="e">
        <f>IF(ISNUMBER(VLOOKUP($A181,'Justice Spend Total'!$B:$AQ,34,FALSE)), VLOOKUP($A181,'Justice Spend Total'!$B:$AQ,36,FALSE), #N/A)</f>
        <v>#N/A</v>
      </c>
    </row>
    <row r="182" spans="1:6">
      <c r="A182" t="s">
        <v>237</v>
      </c>
      <c r="B182">
        <f>IF(ISNUMBER(VLOOKUP($A182,'Justice Spend Total'!$B:$AQ,8,FALSE)), VLOOKUP($A182,'Justice Spend Total'!$B:$AQ,8,FALSE), #N/A)</f>
        <v>16720</v>
      </c>
      <c r="C182" s="15" t="e">
        <f>IF(ISNUMBER(VLOOKUP($A182,'Justice Spend Total'!$B:$AQ,33,FALSE)), VLOOKUP($A182,'Justice Spend Total'!$B:$AQ,33,FALSE), #N/A)</f>
        <v>#N/A</v>
      </c>
      <c r="D182" s="15" t="e">
        <f>IF(ISNUMBER(VLOOKUP($A182,'Justice Spend Total'!$B:$AQ,34,FALSE)), VLOOKUP($A182,'Justice Spend Total'!$B:$AQ,34,FALSE), #N/A)</f>
        <v>#N/A</v>
      </c>
      <c r="E182" t="e">
        <f>IF(ISNUMBER(VLOOKUP($A182,'Justice Spend Total'!$B:$AQ,34,FALSE)), VLOOKUP($A182,'Justice Spend Total'!$B:$AQ,35,FALSE), #N/A)</f>
        <v>#N/A</v>
      </c>
      <c r="F182" t="e">
        <f>IF(ISNUMBER(VLOOKUP($A182,'Justice Spend Total'!$B:$AQ,34,FALSE)), VLOOKUP($A182,'Justice Spend Total'!$B:$AQ,36,FALSE), #N/A)</f>
        <v>#N/A</v>
      </c>
    </row>
    <row r="183" spans="1:6">
      <c r="A183" t="s">
        <v>238</v>
      </c>
      <c r="B183">
        <f>IF(ISNUMBER(VLOOKUP($A183,'Justice Spend Total'!$B:$AQ,8,FALSE)), VLOOKUP($A183,'Justice Spend Total'!$B:$AQ,8,FALSE), #N/A)</f>
        <v>17150</v>
      </c>
      <c r="C183" s="15" t="e">
        <f>IF(ISNUMBER(VLOOKUP($A183,'Justice Spend Total'!$B:$AQ,33,FALSE)), VLOOKUP($A183,'Justice Spend Total'!$B:$AQ,33,FALSE), #N/A)</f>
        <v>#N/A</v>
      </c>
      <c r="D183" s="15" t="e">
        <f>IF(ISNUMBER(VLOOKUP($A183,'Justice Spend Total'!$B:$AQ,34,FALSE)), VLOOKUP($A183,'Justice Spend Total'!$B:$AQ,34,FALSE), #N/A)</f>
        <v>#N/A</v>
      </c>
      <c r="E183" t="e">
        <f>IF(ISNUMBER(VLOOKUP($A183,'Justice Spend Total'!$B:$AQ,34,FALSE)), VLOOKUP($A183,'Justice Spend Total'!$B:$AQ,35,FALSE), #N/A)</f>
        <v>#N/A</v>
      </c>
      <c r="F183" t="e">
        <f>IF(ISNUMBER(VLOOKUP($A183,'Justice Spend Total'!$B:$AQ,34,FALSE)), VLOOKUP($A183,'Justice Spend Total'!$B:$AQ,36,FALSE), #N/A)</f>
        <v>#N/A</v>
      </c>
    </row>
    <row r="184" spans="1:6">
      <c r="A184" t="s">
        <v>68</v>
      </c>
      <c r="B184">
        <f>IF(ISNUMBER(VLOOKUP($A184,'Justice Spend Total'!$B:$AQ,8,FALSE)), VLOOKUP($A184,'Justice Spend Total'!$B:$AQ,8,FALSE), #N/A)</f>
        <v>17740</v>
      </c>
      <c r="C184" s="15" t="e">
        <f>IF(ISNUMBER(VLOOKUP($A184,'Justice Spend Total'!$B:$AQ,33,FALSE)), VLOOKUP($A184,'Justice Spend Total'!$B:$AQ,33,FALSE), #N/A)</f>
        <v>#N/A</v>
      </c>
      <c r="D184" s="15" t="e">
        <f>IF(ISNUMBER(VLOOKUP($A184,'Justice Spend Total'!$B:$AQ,34,FALSE)), VLOOKUP($A184,'Justice Spend Total'!$B:$AQ,34,FALSE), #N/A)</f>
        <v>#N/A</v>
      </c>
      <c r="E184" t="e">
        <f>IF(ISNUMBER(VLOOKUP($A184,'Justice Spend Total'!$B:$AQ,34,FALSE)), VLOOKUP($A184,'Justice Spend Total'!$B:$AQ,35,FALSE), #N/A)</f>
        <v>#N/A</v>
      </c>
      <c r="F184" t="e">
        <f>IF(ISNUMBER(VLOOKUP($A184,'Justice Spend Total'!$B:$AQ,34,FALSE)), VLOOKUP($A184,'Justice Spend Total'!$B:$AQ,36,FALSE), #N/A)</f>
        <v>#N/A</v>
      </c>
    </row>
    <row r="185" spans="1:6">
      <c r="A185" t="s">
        <v>239</v>
      </c>
      <c r="B185">
        <f>IF(ISNUMBER(VLOOKUP($A185,'Justice Spend Total'!$B:$AQ,8,FALSE)), VLOOKUP($A185,'Justice Spend Total'!$B:$AQ,8,FALSE), #N/A)</f>
        <v>18560</v>
      </c>
      <c r="C185" s="15" t="e">
        <f>IF(ISNUMBER(VLOOKUP($A185,'Justice Spend Total'!$B:$AQ,33,FALSE)), VLOOKUP($A185,'Justice Spend Total'!$B:$AQ,33,FALSE), #N/A)</f>
        <v>#N/A</v>
      </c>
      <c r="D185" s="15" t="e">
        <f>IF(ISNUMBER(VLOOKUP($A185,'Justice Spend Total'!$B:$AQ,34,FALSE)), VLOOKUP($A185,'Justice Spend Total'!$B:$AQ,34,FALSE), #N/A)</f>
        <v>#N/A</v>
      </c>
      <c r="E185" t="e">
        <f>IF(ISNUMBER(VLOOKUP($A185,'Justice Spend Total'!$B:$AQ,34,FALSE)), VLOOKUP($A185,'Justice Spend Total'!$B:$AQ,35,FALSE), #N/A)</f>
        <v>#N/A</v>
      </c>
      <c r="F185" t="e">
        <f>IF(ISNUMBER(VLOOKUP($A185,'Justice Spend Total'!$B:$AQ,34,FALSE)), VLOOKUP($A185,'Justice Spend Total'!$B:$AQ,36,FALSE), #N/A)</f>
        <v>#N/A</v>
      </c>
    </row>
    <row r="186" spans="1:6">
      <c r="A186" t="s">
        <v>240</v>
      </c>
      <c r="B186">
        <f>IF(ISNUMBER(VLOOKUP($A186,'Justice Spend Total'!$B:$AQ,8,FALSE)), VLOOKUP($A186,'Justice Spend Total'!$B:$AQ,8,FALSE), #N/A)</f>
        <v>19370</v>
      </c>
      <c r="C186" s="15" t="e">
        <f>IF(ISNUMBER(VLOOKUP($A186,'Justice Spend Total'!$B:$AQ,33,FALSE)), VLOOKUP($A186,'Justice Spend Total'!$B:$AQ,33,FALSE), #N/A)</f>
        <v>#N/A</v>
      </c>
      <c r="D186" s="15" t="e">
        <f>IF(ISNUMBER(VLOOKUP($A186,'Justice Spend Total'!$B:$AQ,34,FALSE)), VLOOKUP($A186,'Justice Spend Total'!$B:$AQ,34,FALSE), #N/A)</f>
        <v>#N/A</v>
      </c>
      <c r="E186" t="e">
        <f>IF(ISNUMBER(VLOOKUP($A186,'Justice Spend Total'!$B:$AQ,34,FALSE)), VLOOKUP($A186,'Justice Spend Total'!$B:$AQ,35,FALSE), #N/A)</f>
        <v>#N/A</v>
      </c>
      <c r="F186" t="e">
        <f>IF(ISNUMBER(VLOOKUP($A186,'Justice Spend Total'!$B:$AQ,34,FALSE)), VLOOKUP($A186,'Justice Spend Total'!$B:$AQ,36,FALSE), #N/A)</f>
        <v>#N/A</v>
      </c>
    </row>
    <row r="187" spans="1:6">
      <c r="A187" t="s">
        <v>241</v>
      </c>
      <c r="B187">
        <f>IF(ISNUMBER(VLOOKUP($A187,'Justice Spend Total'!$B:$AQ,8,FALSE)), VLOOKUP($A187,'Justice Spend Total'!$B:$AQ,8,FALSE), #N/A)</f>
        <v>19470</v>
      </c>
      <c r="C187" s="15" t="e">
        <f>IF(ISNUMBER(VLOOKUP($A187,'Justice Spend Total'!$B:$AQ,33,FALSE)), VLOOKUP($A187,'Justice Spend Total'!$B:$AQ,33,FALSE), #N/A)</f>
        <v>#N/A</v>
      </c>
      <c r="D187" s="15" t="e">
        <f>IF(ISNUMBER(VLOOKUP($A187,'Justice Spend Total'!$B:$AQ,34,FALSE)), VLOOKUP($A187,'Justice Spend Total'!$B:$AQ,34,FALSE), #N/A)</f>
        <v>#N/A</v>
      </c>
      <c r="E187" t="e">
        <f>IF(ISNUMBER(VLOOKUP($A187,'Justice Spend Total'!$B:$AQ,34,FALSE)), VLOOKUP($A187,'Justice Spend Total'!$B:$AQ,35,FALSE), #N/A)</f>
        <v>#N/A</v>
      </c>
      <c r="F187" t="e">
        <f>IF(ISNUMBER(VLOOKUP($A187,'Justice Spend Total'!$B:$AQ,34,FALSE)), VLOOKUP($A187,'Justice Spend Total'!$B:$AQ,36,FALSE), #N/A)</f>
        <v>#N/A</v>
      </c>
    </row>
    <row r="188" spans="1:6">
      <c r="A188" t="s">
        <v>242</v>
      </c>
      <c r="B188">
        <f>IF(ISNUMBER(VLOOKUP($A188,'Justice Spend Total'!$B:$AQ,8,FALSE)), VLOOKUP($A188,'Justice Spend Total'!$B:$AQ,8,FALSE), #N/A)</f>
        <v>19930</v>
      </c>
      <c r="C188" s="15" t="e">
        <f>IF(ISNUMBER(VLOOKUP($A188,'Justice Spend Total'!$B:$AQ,33,FALSE)), VLOOKUP($A188,'Justice Spend Total'!$B:$AQ,33,FALSE), #N/A)</f>
        <v>#N/A</v>
      </c>
      <c r="D188" s="15" t="e">
        <f>IF(ISNUMBER(VLOOKUP($A188,'Justice Spend Total'!$B:$AQ,34,FALSE)), VLOOKUP($A188,'Justice Spend Total'!$B:$AQ,34,FALSE), #N/A)</f>
        <v>#N/A</v>
      </c>
      <c r="E188" t="e">
        <f>IF(ISNUMBER(VLOOKUP($A188,'Justice Spend Total'!$B:$AQ,34,FALSE)), VLOOKUP($A188,'Justice Spend Total'!$B:$AQ,35,FALSE), #N/A)</f>
        <v>#N/A</v>
      </c>
      <c r="F188" t="e">
        <f>IF(ISNUMBER(VLOOKUP($A188,'Justice Spend Total'!$B:$AQ,34,FALSE)), VLOOKUP($A188,'Justice Spend Total'!$B:$AQ,36,FALSE), #N/A)</f>
        <v>#N/A</v>
      </c>
    </row>
    <row r="189" spans="1:6">
      <c r="A189" t="s">
        <v>65</v>
      </c>
      <c r="B189">
        <f>IF(ISNUMBER(VLOOKUP($A189,'Justice Spend Total'!$B:$AQ,8,FALSE)), VLOOKUP($A189,'Justice Spend Total'!$B:$AQ,8,FALSE), #N/A)</f>
        <v>20140</v>
      </c>
      <c r="C189" s="15" t="e">
        <f>IF(ISNUMBER(VLOOKUP($A189,'Justice Spend Total'!$B:$AQ,33,FALSE)), VLOOKUP($A189,'Justice Spend Total'!$B:$AQ,33,FALSE), #N/A)</f>
        <v>#N/A</v>
      </c>
      <c r="D189" s="15" t="e">
        <f>IF(ISNUMBER(VLOOKUP($A189,'Justice Spend Total'!$B:$AQ,34,FALSE)), VLOOKUP($A189,'Justice Spend Total'!$B:$AQ,34,FALSE), #N/A)</f>
        <v>#N/A</v>
      </c>
      <c r="E189" t="e">
        <f>IF(ISNUMBER(VLOOKUP($A189,'Justice Spend Total'!$B:$AQ,34,FALSE)), VLOOKUP($A189,'Justice Spend Total'!$B:$AQ,35,FALSE), #N/A)</f>
        <v>#N/A</v>
      </c>
      <c r="F189" t="e">
        <f>IF(ISNUMBER(VLOOKUP($A189,'Justice Spend Total'!$B:$AQ,34,FALSE)), VLOOKUP($A189,'Justice Spend Total'!$B:$AQ,36,FALSE), #N/A)</f>
        <v>#N/A</v>
      </c>
    </row>
    <row r="190" spans="1:6">
      <c r="A190" t="s">
        <v>76</v>
      </c>
      <c r="B190">
        <f>IF(ISNUMBER(VLOOKUP($A190,'Justice Spend Total'!$B:$AQ,8,FALSE)), VLOOKUP($A190,'Justice Spend Total'!$B:$AQ,8,FALSE), #N/A)</f>
        <v>20250</v>
      </c>
      <c r="C190" s="15" t="e">
        <f>IF(ISNUMBER(VLOOKUP($A190,'Justice Spend Total'!$B:$AQ,33,FALSE)), VLOOKUP($A190,'Justice Spend Total'!$B:$AQ,33,FALSE), #N/A)</f>
        <v>#N/A</v>
      </c>
      <c r="D190" s="15" t="e">
        <f>IF(ISNUMBER(VLOOKUP($A190,'Justice Spend Total'!$B:$AQ,34,FALSE)), VLOOKUP($A190,'Justice Spend Total'!$B:$AQ,34,FALSE), #N/A)</f>
        <v>#N/A</v>
      </c>
      <c r="E190" t="e">
        <f>IF(ISNUMBER(VLOOKUP($A190,'Justice Spend Total'!$B:$AQ,34,FALSE)), VLOOKUP($A190,'Justice Spend Total'!$B:$AQ,35,FALSE), #N/A)</f>
        <v>#N/A</v>
      </c>
      <c r="F190" t="e">
        <f>IF(ISNUMBER(VLOOKUP($A190,'Justice Spend Total'!$B:$AQ,34,FALSE)), VLOOKUP($A190,'Justice Spend Total'!$B:$AQ,36,FALSE), #N/A)</f>
        <v>#N/A</v>
      </c>
    </row>
    <row r="191" spans="1:6">
      <c r="A191" t="s">
        <v>243</v>
      </c>
      <c r="B191">
        <f>IF(ISNUMBER(VLOOKUP($A191,'Justice Spend Total'!$B:$AQ,8,FALSE)), VLOOKUP($A191,'Justice Spend Total'!$B:$AQ,8,FALSE), #N/A)</f>
        <v>21160</v>
      </c>
      <c r="C191" s="15" t="e">
        <f>IF(ISNUMBER(VLOOKUP($A191,'Justice Spend Total'!$B:$AQ,33,FALSE)), VLOOKUP($A191,'Justice Spend Total'!$B:$AQ,33,FALSE), #N/A)</f>
        <v>#N/A</v>
      </c>
      <c r="D191" s="15" t="e">
        <f>IF(ISNUMBER(VLOOKUP($A191,'Justice Spend Total'!$B:$AQ,34,FALSE)), VLOOKUP($A191,'Justice Spend Total'!$B:$AQ,34,FALSE), #N/A)</f>
        <v>#N/A</v>
      </c>
      <c r="E191" t="e">
        <f>IF(ISNUMBER(VLOOKUP($A191,'Justice Spend Total'!$B:$AQ,34,FALSE)), VLOOKUP($A191,'Justice Spend Total'!$B:$AQ,35,FALSE), #N/A)</f>
        <v>#N/A</v>
      </c>
      <c r="F191" t="e">
        <f>IF(ISNUMBER(VLOOKUP($A191,'Justice Spend Total'!$B:$AQ,34,FALSE)), VLOOKUP($A191,'Justice Spend Total'!$B:$AQ,36,FALSE), #N/A)</f>
        <v>#N/A</v>
      </c>
    </row>
    <row r="192" spans="1:6">
      <c r="A192" t="s">
        <v>244</v>
      </c>
      <c r="B192">
        <f>IF(ISNUMBER(VLOOKUP($A192,'Justice Spend Total'!$B:$AQ,8,FALSE)), VLOOKUP($A192,'Justice Spend Total'!$B:$AQ,8,FALSE), #N/A)</f>
        <v>21610</v>
      </c>
      <c r="C192" s="15" t="e">
        <f>IF(ISNUMBER(VLOOKUP($A192,'Justice Spend Total'!$B:$AQ,33,FALSE)), VLOOKUP($A192,'Justice Spend Total'!$B:$AQ,33,FALSE), #N/A)</f>
        <v>#N/A</v>
      </c>
      <c r="D192" s="15" t="e">
        <f>IF(ISNUMBER(VLOOKUP($A192,'Justice Spend Total'!$B:$AQ,34,FALSE)), VLOOKUP($A192,'Justice Spend Total'!$B:$AQ,34,FALSE), #N/A)</f>
        <v>#N/A</v>
      </c>
      <c r="E192" t="e">
        <f>IF(ISNUMBER(VLOOKUP($A192,'Justice Spend Total'!$B:$AQ,34,FALSE)), VLOOKUP($A192,'Justice Spend Total'!$B:$AQ,35,FALSE), #N/A)</f>
        <v>#N/A</v>
      </c>
      <c r="F192" t="e">
        <f>IF(ISNUMBER(VLOOKUP($A192,'Justice Spend Total'!$B:$AQ,34,FALSE)), VLOOKUP($A192,'Justice Spend Total'!$B:$AQ,36,FALSE), #N/A)</f>
        <v>#N/A</v>
      </c>
    </row>
    <row r="193" spans="1:6">
      <c r="A193" t="s">
        <v>245</v>
      </c>
      <c r="B193">
        <f>IF(ISNUMBER(VLOOKUP($A193,'Justice Spend Total'!$B:$AQ,8,FALSE)), VLOOKUP($A193,'Justice Spend Total'!$B:$AQ,8,FALSE), #N/A)</f>
        <v>22270</v>
      </c>
      <c r="C193" s="15" t="e">
        <f>IF(ISNUMBER(VLOOKUP($A193,'Justice Spend Total'!$B:$AQ,33,FALSE)), VLOOKUP($A193,'Justice Spend Total'!$B:$AQ,33,FALSE), #N/A)</f>
        <v>#N/A</v>
      </c>
      <c r="D193" s="15" t="e">
        <f>IF(ISNUMBER(VLOOKUP($A193,'Justice Spend Total'!$B:$AQ,34,FALSE)), VLOOKUP($A193,'Justice Spend Total'!$B:$AQ,34,FALSE), #N/A)</f>
        <v>#N/A</v>
      </c>
      <c r="E193" t="e">
        <f>IF(ISNUMBER(VLOOKUP($A193,'Justice Spend Total'!$B:$AQ,34,FALSE)), VLOOKUP($A193,'Justice Spend Total'!$B:$AQ,35,FALSE), #N/A)</f>
        <v>#N/A</v>
      </c>
      <c r="F193" t="e">
        <f>IF(ISNUMBER(VLOOKUP($A193,'Justice Spend Total'!$B:$AQ,34,FALSE)), VLOOKUP($A193,'Justice Spend Total'!$B:$AQ,36,FALSE), #N/A)</f>
        <v>#N/A</v>
      </c>
    </row>
    <row r="194" spans="1:6">
      <c r="A194" t="s">
        <v>246</v>
      </c>
      <c r="B194">
        <f>IF(ISNUMBER(VLOOKUP($A194,'Justice Spend Total'!$B:$AQ,8,FALSE)), VLOOKUP($A194,'Justice Spend Total'!$B:$AQ,8,FALSE), #N/A)</f>
        <v>23070</v>
      </c>
      <c r="C194" s="15" t="e">
        <f>IF(ISNUMBER(VLOOKUP($A194,'Justice Spend Total'!$B:$AQ,33,FALSE)), VLOOKUP($A194,'Justice Spend Total'!$B:$AQ,33,FALSE), #N/A)</f>
        <v>#N/A</v>
      </c>
      <c r="D194" s="15" t="e">
        <f>IF(ISNUMBER(VLOOKUP($A194,'Justice Spend Total'!$B:$AQ,34,FALSE)), VLOOKUP($A194,'Justice Spend Total'!$B:$AQ,34,FALSE), #N/A)</f>
        <v>#N/A</v>
      </c>
      <c r="E194" t="e">
        <f>IF(ISNUMBER(VLOOKUP($A194,'Justice Spend Total'!$B:$AQ,34,FALSE)), VLOOKUP($A194,'Justice Spend Total'!$B:$AQ,35,FALSE), #N/A)</f>
        <v>#N/A</v>
      </c>
      <c r="F194" t="e">
        <f>IF(ISNUMBER(VLOOKUP($A194,'Justice Spend Total'!$B:$AQ,34,FALSE)), VLOOKUP($A194,'Justice Spend Total'!$B:$AQ,36,FALSE), #N/A)</f>
        <v>#N/A</v>
      </c>
    </row>
    <row r="195" spans="1:6">
      <c r="A195" t="s">
        <v>247</v>
      </c>
      <c r="B195">
        <f>IF(ISNUMBER(VLOOKUP($A195,'Justice Spend Total'!$B:$AQ,8,FALSE)), VLOOKUP($A195,'Justice Spend Total'!$B:$AQ,8,FALSE), #N/A)</f>
        <v>23600</v>
      </c>
      <c r="C195" s="15" t="e">
        <f>IF(ISNUMBER(VLOOKUP($A195,'Justice Spend Total'!$B:$AQ,33,FALSE)), VLOOKUP($A195,'Justice Spend Total'!$B:$AQ,33,FALSE), #N/A)</f>
        <v>#N/A</v>
      </c>
      <c r="D195" s="15" t="e">
        <f>IF(ISNUMBER(VLOOKUP($A195,'Justice Spend Total'!$B:$AQ,34,FALSE)), VLOOKUP($A195,'Justice Spend Total'!$B:$AQ,34,FALSE), #N/A)</f>
        <v>#N/A</v>
      </c>
      <c r="E195" t="e">
        <f>IF(ISNUMBER(VLOOKUP($A195,'Justice Spend Total'!$B:$AQ,34,FALSE)), VLOOKUP($A195,'Justice Spend Total'!$B:$AQ,35,FALSE), #N/A)</f>
        <v>#N/A</v>
      </c>
      <c r="F195" t="e">
        <f>IF(ISNUMBER(VLOOKUP($A195,'Justice Spend Total'!$B:$AQ,34,FALSE)), VLOOKUP($A195,'Justice Spend Total'!$B:$AQ,36,FALSE), #N/A)</f>
        <v>#N/A</v>
      </c>
    </row>
    <row r="196" spans="1:6">
      <c r="A196" t="s">
        <v>62</v>
      </c>
      <c r="B196">
        <f>IF(ISNUMBER(VLOOKUP($A196,'Justice Spend Total'!$B:$AQ,8,FALSE)), VLOOKUP($A196,'Justice Spend Total'!$B:$AQ,8,FALSE), #N/A)</f>
        <v>23730</v>
      </c>
      <c r="C196" s="15" t="e">
        <f>IF(ISNUMBER(VLOOKUP($A196,'Justice Spend Total'!$B:$AQ,33,FALSE)), VLOOKUP($A196,'Justice Spend Total'!$B:$AQ,33,FALSE), #N/A)</f>
        <v>#N/A</v>
      </c>
      <c r="D196" s="15" t="e">
        <f>IF(ISNUMBER(VLOOKUP($A196,'Justice Spend Total'!$B:$AQ,34,FALSE)), VLOOKUP($A196,'Justice Spend Total'!$B:$AQ,34,FALSE), #N/A)</f>
        <v>#N/A</v>
      </c>
      <c r="E196" t="e">
        <f>IF(ISNUMBER(VLOOKUP($A196,'Justice Spend Total'!$B:$AQ,34,FALSE)), VLOOKUP($A196,'Justice Spend Total'!$B:$AQ,35,FALSE), #N/A)</f>
        <v>#N/A</v>
      </c>
      <c r="F196" t="e">
        <f>IF(ISNUMBER(VLOOKUP($A196,'Justice Spend Total'!$B:$AQ,34,FALSE)), VLOOKUP($A196,'Justice Spend Total'!$B:$AQ,36,FALSE), #N/A)</f>
        <v>#N/A</v>
      </c>
    </row>
    <row r="197" spans="1:6">
      <c r="A197" t="s">
        <v>70</v>
      </c>
      <c r="B197">
        <f>IF(ISNUMBER(VLOOKUP($A197,'Justice Spend Total'!$B:$AQ,8,FALSE)), VLOOKUP($A197,'Justice Spend Total'!$B:$AQ,8,FALSE), #N/A)</f>
        <v>24070</v>
      </c>
      <c r="C197" s="15" t="e">
        <f>IF(ISNUMBER(VLOOKUP($A197,'Justice Spend Total'!$B:$AQ,33,FALSE)), VLOOKUP($A197,'Justice Spend Total'!$B:$AQ,33,FALSE), #N/A)</f>
        <v>#N/A</v>
      </c>
      <c r="D197" s="15" t="e">
        <f>IF(ISNUMBER(VLOOKUP($A197,'Justice Spend Total'!$B:$AQ,34,FALSE)), VLOOKUP($A197,'Justice Spend Total'!$B:$AQ,34,FALSE), #N/A)</f>
        <v>#N/A</v>
      </c>
      <c r="E197" t="e">
        <f>IF(ISNUMBER(VLOOKUP($A197,'Justice Spend Total'!$B:$AQ,34,FALSE)), VLOOKUP($A197,'Justice Spend Total'!$B:$AQ,35,FALSE), #N/A)</f>
        <v>#N/A</v>
      </c>
      <c r="F197" t="e">
        <f>IF(ISNUMBER(VLOOKUP($A197,'Justice Spend Total'!$B:$AQ,34,FALSE)), VLOOKUP($A197,'Justice Spend Total'!$B:$AQ,36,FALSE), #N/A)</f>
        <v>#N/A</v>
      </c>
    </row>
    <row r="198" spans="1:6">
      <c r="A198" t="s">
        <v>248</v>
      </c>
      <c r="B198">
        <f>IF(ISNUMBER(VLOOKUP($A198,'Justice Spend Total'!$B:$AQ,8,FALSE)), VLOOKUP($A198,'Justice Spend Total'!$B:$AQ,8,FALSE), #N/A)</f>
        <v>25970</v>
      </c>
      <c r="C198" s="15" t="e">
        <f>IF(ISNUMBER(VLOOKUP($A198,'Justice Spend Total'!$B:$AQ,33,FALSE)), VLOOKUP($A198,'Justice Spend Total'!$B:$AQ,33,FALSE), #N/A)</f>
        <v>#N/A</v>
      </c>
      <c r="D198" s="15" t="e">
        <f>IF(ISNUMBER(VLOOKUP($A198,'Justice Spend Total'!$B:$AQ,34,FALSE)), VLOOKUP($A198,'Justice Spend Total'!$B:$AQ,34,FALSE), #N/A)</f>
        <v>#N/A</v>
      </c>
      <c r="E198" t="e">
        <f>IF(ISNUMBER(VLOOKUP($A198,'Justice Spend Total'!$B:$AQ,34,FALSE)), VLOOKUP($A198,'Justice Spend Total'!$B:$AQ,35,FALSE), #N/A)</f>
        <v>#N/A</v>
      </c>
      <c r="F198" t="e">
        <f>IF(ISNUMBER(VLOOKUP($A198,'Justice Spend Total'!$B:$AQ,34,FALSE)), VLOOKUP($A198,'Justice Spend Total'!$B:$AQ,36,FALSE), #N/A)</f>
        <v>#N/A</v>
      </c>
    </row>
    <row r="199" spans="1:6">
      <c r="A199" t="s">
        <v>249</v>
      </c>
      <c r="B199">
        <f>IF(ISNUMBER(VLOOKUP($A199,'Justice Spend Total'!$B:$AQ,8,FALSE)), VLOOKUP($A199,'Justice Spend Total'!$B:$AQ,8,FALSE), #N/A)</f>
        <v>27220</v>
      </c>
      <c r="C199" s="15" t="e">
        <f>IF(ISNUMBER(VLOOKUP($A199,'Justice Spend Total'!$B:$AQ,33,FALSE)), VLOOKUP($A199,'Justice Spend Total'!$B:$AQ,33,FALSE), #N/A)</f>
        <v>#N/A</v>
      </c>
      <c r="D199" s="15" t="e">
        <f>IF(ISNUMBER(VLOOKUP($A199,'Justice Spend Total'!$B:$AQ,34,FALSE)), VLOOKUP($A199,'Justice Spend Total'!$B:$AQ,34,FALSE), #N/A)</f>
        <v>#N/A</v>
      </c>
      <c r="E199" t="e">
        <f>IF(ISNUMBER(VLOOKUP($A199,'Justice Spend Total'!$B:$AQ,34,FALSE)), VLOOKUP($A199,'Justice Spend Total'!$B:$AQ,35,FALSE), #N/A)</f>
        <v>#N/A</v>
      </c>
      <c r="F199" t="e">
        <f>IF(ISNUMBER(VLOOKUP($A199,'Justice Spend Total'!$B:$AQ,34,FALSE)), VLOOKUP($A199,'Justice Spend Total'!$B:$AQ,36,FALSE), #N/A)</f>
        <v>#N/A</v>
      </c>
    </row>
    <row r="200" spans="1:6">
      <c r="A200" t="s">
        <v>250</v>
      </c>
      <c r="B200">
        <f>IF(ISNUMBER(VLOOKUP($A200,'Justice Spend Total'!$B:$AQ,8,FALSE)), VLOOKUP($A200,'Justice Spend Total'!$B:$AQ,8,FALSE), #N/A)</f>
        <v>27510</v>
      </c>
      <c r="C200" s="15" t="e">
        <f>IF(ISNUMBER(VLOOKUP($A200,'Justice Spend Total'!$B:$AQ,33,FALSE)), VLOOKUP($A200,'Justice Spend Total'!$B:$AQ,33,FALSE), #N/A)</f>
        <v>#N/A</v>
      </c>
      <c r="D200" s="15" t="e">
        <f>IF(ISNUMBER(VLOOKUP($A200,'Justice Spend Total'!$B:$AQ,34,FALSE)), VLOOKUP($A200,'Justice Spend Total'!$B:$AQ,34,FALSE), #N/A)</f>
        <v>#N/A</v>
      </c>
      <c r="E200" t="e">
        <f>IF(ISNUMBER(VLOOKUP($A200,'Justice Spend Total'!$B:$AQ,34,FALSE)), VLOOKUP($A200,'Justice Spend Total'!$B:$AQ,35,FALSE), #N/A)</f>
        <v>#N/A</v>
      </c>
      <c r="F200" t="e">
        <f>IF(ISNUMBER(VLOOKUP($A200,'Justice Spend Total'!$B:$AQ,34,FALSE)), VLOOKUP($A200,'Justice Spend Total'!$B:$AQ,36,FALSE), #N/A)</f>
        <v>#N/A</v>
      </c>
    </row>
    <row r="201" spans="1:6">
      <c r="A201" t="s">
        <v>251</v>
      </c>
      <c r="B201">
        <f>IF(ISNUMBER(VLOOKUP($A201,'Justice Spend Total'!$B:$AQ,8,FALSE)), VLOOKUP($A201,'Justice Spend Total'!$B:$AQ,8,FALSE), #N/A)</f>
        <v>28130</v>
      </c>
      <c r="C201" s="15" t="e">
        <f>IF(ISNUMBER(VLOOKUP($A201,'Justice Spend Total'!$B:$AQ,33,FALSE)), VLOOKUP($A201,'Justice Spend Total'!$B:$AQ,33,FALSE), #N/A)</f>
        <v>#N/A</v>
      </c>
      <c r="D201" s="15" t="e">
        <f>IF(ISNUMBER(VLOOKUP($A201,'Justice Spend Total'!$B:$AQ,34,FALSE)), VLOOKUP($A201,'Justice Spend Total'!$B:$AQ,34,FALSE), #N/A)</f>
        <v>#N/A</v>
      </c>
      <c r="E201" t="e">
        <f>IF(ISNUMBER(VLOOKUP($A201,'Justice Spend Total'!$B:$AQ,34,FALSE)), VLOOKUP($A201,'Justice Spend Total'!$B:$AQ,35,FALSE), #N/A)</f>
        <v>#N/A</v>
      </c>
      <c r="F201" t="e">
        <f>IF(ISNUMBER(VLOOKUP($A201,'Justice Spend Total'!$B:$AQ,34,FALSE)), VLOOKUP($A201,'Justice Spend Total'!$B:$AQ,36,FALSE), #N/A)</f>
        <v>#N/A</v>
      </c>
    </row>
    <row r="202" spans="1:6">
      <c r="A202" t="s">
        <v>60</v>
      </c>
      <c r="B202">
        <f>IF(ISNUMBER(VLOOKUP($A202,'Justice Spend Total'!$B:$AQ,8,FALSE)), VLOOKUP($A202,'Justice Spend Total'!$B:$AQ,8,FALSE), #N/A)</f>
        <v>28240</v>
      </c>
      <c r="C202" s="15" t="e">
        <f>IF(ISNUMBER(VLOOKUP($A202,'Justice Spend Total'!$B:$AQ,33,FALSE)), VLOOKUP($A202,'Justice Spend Total'!$B:$AQ,33,FALSE), #N/A)</f>
        <v>#N/A</v>
      </c>
      <c r="D202" s="15" t="e">
        <f>IF(ISNUMBER(VLOOKUP($A202,'Justice Spend Total'!$B:$AQ,34,FALSE)), VLOOKUP($A202,'Justice Spend Total'!$B:$AQ,34,FALSE), #N/A)</f>
        <v>#N/A</v>
      </c>
      <c r="E202" t="e">
        <f>IF(ISNUMBER(VLOOKUP($A202,'Justice Spend Total'!$B:$AQ,34,FALSE)), VLOOKUP($A202,'Justice Spend Total'!$B:$AQ,35,FALSE), #N/A)</f>
        <v>#N/A</v>
      </c>
      <c r="F202" t="e">
        <f>IF(ISNUMBER(VLOOKUP($A202,'Justice Spend Total'!$B:$AQ,34,FALSE)), VLOOKUP($A202,'Justice Spend Total'!$B:$AQ,36,FALSE), #N/A)</f>
        <v>#N/A</v>
      </c>
    </row>
    <row r="203" spans="1:6">
      <c r="A203" t="s">
        <v>69</v>
      </c>
      <c r="B203">
        <f>IF(ISNUMBER(VLOOKUP($A203,'Justice Spend Total'!$B:$AQ,8,FALSE)), VLOOKUP($A203,'Justice Spend Total'!$B:$AQ,8,FALSE), #N/A)</f>
        <v>29740</v>
      </c>
      <c r="C203" s="15" t="e">
        <f>IF(ISNUMBER(VLOOKUP($A203,'Justice Spend Total'!$B:$AQ,33,FALSE)), VLOOKUP($A203,'Justice Spend Total'!$B:$AQ,33,FALSE), #N/A)</f>
        <v>#N/A</v>
      </c>
      <c r="D203" s="15" t="e">
        <f>IF(ISNUMBER(VLOOKUP($A203,'Justice Spend Total'!$B:$AQ,34,FALSE)), VLOOKUP($A203,'Justice Spend Total'!$B:$AQ,34,FALSE), #N/A)</f>
        <v>#N/A</v>
      </c>
      <c r="E203" t="e">
        <f>IF(ISNUMBER(VLOOKUP($A203,'Justice Spend Total'!$B:$AQ,34,FALSE)), VLOOKUP($A203,'Justice Spend Total'!$B:$AQ,35,FALSE), #N/A)</f>
        <v>#N/A</v>
      </c>
      <c r="F203" t="e">
        <f>IF(ISNUMBER(VLOOKUP($A203,'Justice Spend Total'!$B:$AQ,34,FALSE)), VLOOKUP($A203,'Justice Spend Total'!$B:$AQ,36,FALSE), #N/A)</f>
        <v>#N/A</v>
      </c>
    </row>
    <row r="204" spans="1:6">
      <c r="A204" t="s">
        <v>252</v>
      </c>
      <c r="B204">
        <f>IF(ISNUMBER(VLOOKUP($A204,'Justice Spend Total'!$B:$AQ,8,FALSE)), VLOOKUP($A204,'Justice Spend Total'!$B:$AQ,8,FALSE), #N/A)</f>
        <v>30560</v>
      </c>
      <c r="C204" s="15" t="e">
        <f>IF(ISNUMBER(VLOOKUP($A204,'Justice Spend Total'!$B:$AQ,33,FALSE)), VLOOKUP($A204,'Justice Spend Total'!$B:$AQ,33,FALSE), #N/A)</f>
        <v>#N/A</v>
      </c>
      <c r="D204" s="15" t="e">
        <f>IF(ISNUMBER(VLOOKUP($A204,'Justice Spend Total'!$B:$AQ,34,FALSE)), VLOOKUP($A204,'Justice Spend Total'!$B:$AQ,34,FALSE), #N/A)</f>
        <v>#N/A</v>
      </c>
      <c r="E204" t="e">
        <f>IF(ISNUMBER(VLOOKUP($A204,'Justice Spend Total'!$B:$AQ,34,FALSE)), VLOOKUP($A204,'Justice Spend Total'!$B:$AQ,35,FALSE), #N/A)</f>
        <v>#N/A</v>
      </c>
      <c r="F204" t="e">
        <f>IF(ISNUMBER(VLOOKUP($A204,'Justice Spend Total'!$B:$AQ,34,FALSE)), VLOOKUP($A204,'Justice Spend Total'!$B:$AQ,36,FALSE), #N/A)</f>
        <v>#N/A</v>
      </c>
    </row>
    <row r="205" spans="1:6">
      <c r="A205" t="s">
        <v>253</v>
      </c>
      <c r="B205">
        <f>IF(ISNUMBER(VLOOKUP($A205,'Justice Spend Total'!$B:$AQ,8,FALSE)), VLOOKUP($A205,'Justice Spend Total'!$B:$AQ,8,FALSE), #N/A)</f>
        <v>31510</v>
      </c>
      <c r="C205" s="15" t="e">
        <f>IF(ISNUMBER(VLOOKUP($A205,'Justice Spend Total'!$B:$AQ,33,FALSE)), VLOOKUP($A205,'Justice Spend Total'!$B:$AQ,33,FALSE), #N/A)</f>
        <v>#N/A</v>
      </c>
      <c r="D205" s="15" t="e">
        <f>IF(ISNUMBER(VLOOKUP($A205,'Justice Spend Total'!$B:$AQ,34,FALSE)), VLOOKUP($A205,'Justice Spend Total'!$B:$AQ,34,FALSE), #N/A)</f>
        <v>#N/A</v>
      </c>
      <c r="E205" t="e">
        <f>IF(ISNUMBER(VLOOKUP($A205,'Justice Spend Total'!$B:$AQ,34,FALSE)), VLOOKUP($A205,'Justice Spend Total'!$B:$AQ,35,FALSE), #N/A)</f>
        <v>#N/A</v>
      </c>
      <c r="F205" t="e">
        <f>IF(ISNUMBER(VLOOKUP($A205,'Justice Spend Total'!$B:$AQ,34,FALSE)), VLOOKUP($A205,'Justice Spend Total'!$B:$AQ,36,FALSE), #N/A)</f>
        <v>#N/A</v>
      </c>
    </row>
    <row r="206" spans="1:6">
      <c r="A206" t="s">
        <v>73</v>
      </c>
      <c r="B206">
        <f>IF(ISNUMBER(VLOOKUP($A206,'Justice Spend Total'!$B:$AQ,8,FALSE)), VLOOKUP($A206,'Justice Spend Total'!$B:$AQ,8,FALSE), #N/A)</f>
        <v>34980</v>
      </c>
      <c r="C206" s="15" t="e">
        <f>IF(ISNUMBER(VLOOKUP($A206,'Justice Spend Total'!$B:$AQ,33,FALSE)), VLOOKUP($A206,'Justice Spend Total'!$B:$AQ,33,FALSE), #N/A)</f>
        <v>#N/A</v>
      </c>
      <c r="D206" s="15" t="e">
        <f>IF(ISNUMBER(VLOOKUP($A206,'Justice Spend Total'!$B:$AQ,34,FALSE)), VLOOKUP($A206,'Justice Spend Total'!$B:$AQ,34,FALSE), #N/A)</f>
        <v>#N/A</v>
      </c>
      <c r="E206" t="e">
        <f>IF(ISNUMBER(VLOOKUP($A206,'Justice Spend Total'!$B:$AQ,34,FALSE)), VLOOKUP($A206,'Justice Spend Total'!$B:$AQ,35,FALSE), #N/A)</f>
        <v>#N/A</v>
      </c>
      <c r="F206" t="e">
        <f>IF(ISNUMBER(VLOOKUP($A206,'Justice Spend Total'!$B:$AQ,34,FALSE)), VLOOKUP($A206,'Justice Spend Total'!$B:$AQ,36,FALSE), #N/A)</f>
        <v>#N/A</v>
      </c>
    </row>
    <row r="207" spans="1:6">
      <c r="A207" t="s">
        <v>63</v>
      </c>
      <c r="B207">
        <f>IF(ISNUMBER(VLOOKUP($A207,'Justice Spend Total'!$B:$AQ,8,FALSE)), VLOOKUP($A207,'Justice Spend Total'!$B:$AQ,8,FALSE), #N/A)</f>
        <v>35710</v>
      </c>
      <c r="C207" s="15" t="e">
        <f>IF(ISNUMBER(VLOOKUP($A207,'Justice Spend Total'!$B:$AQ,33,FALSE)), VLOOKUP($A207,'Justice Spend Total'!$B:$AQ,33,FALSE), #N/A)</f>
        <v>#N/A</v>
      </c>
      <c r="D207" s="15" t="e">
        <f>IF(ISNUMBER(VLOOKUP($A207,'Justice Spend Total'!$B:$AQ,34,FALSE)), VLOOKUP($A207,'Justice Spend Total'!$B:$AQ,34,FALSE), #N/A)</f>
        <v>#N/A</v>
      </c>
      <c r="E207" t="e">
        <f>IF(ISNUMBER(VLOOKUP($A207,'Justice Spend Total'!$B:$AQ,34,FALSE)), VLOOKUP($A207,'Justice Spend Total'!$B:$AQ,35,FALSE), #N/A)</f>
        <v>#N/A</v>
      </c>
      <c r="F207" t="e">
        <f>IF(ISNUMBER(VLOOKUP($A207,'Justice Spend Total'!$B:$AQ,34,FALSE)), VLOOKUP($A207,'Justice Spend Total'!$B:$AQ,36,FALSE), #N/A)</f>
        <v>#N/A</v>
      </c>
    </row>
    <row r="208" spans="1:6">
      <c r="A208" t="s">
        <v>254</v>
      </c>
      <c r="B208">
        <f>IF(ISNUMBER(VLOOKUP($A208,'Justice Spend Total'!$B:$AQ,8,FALSE)), VLOOKUP($A208,'Justice Spend Total'!$B:$AQ,8,FALSE), #N/A)</f>
        <v>36200</v>
      </c>
      <c r="C208" s="15" t="e">
        <f>IF(ISNUMBER(VLOOKUP($A208,'Justice Spend Total'!$B:$AQ,33,FALSE)), VLOOKUP($A208,'Justice Spend Total'!$B:$AQ,33,FALSE), #N/A)</f>
        <v>#N/A</v>
      </c>
      <c r="D208" s="15" t="e">
        <f>IF(ISNUMBER(VLOOKUP($A208,'Justice Spend Total'!$B:$AQ,34,FALSE)), VLOOKUP($A208,'Justice Spend Total'!$B:$AQ,34,FALSE), #N/A)</f>
        <v>#N/A</v>
      </c>
      <c r="E208" t="e">
        <f>IF(ISNUMBER(VLOOKUP($A208,'Justice Spend Total'!$B:$AQ,34,FALSE)), VLOOKUP($A208,'Justice Spend Total'!$B:$AQ,35,FALSE), #N/A)</f>
        <v>#N/A</v>
      </c>
      <c r="F208" t="e">
        <f>IF(ISNUMBER(VLOOKUP($A208,'Justice Spend Total'!$B:$AQ,34,FALSE)), VLOOKUP($A208,'Justice Spend Total'!$B:$AQ,36,FALSE), #N/A)</f>
        <v>#N/A</v>
      </c>
    </row>
    <row r="209" spans="1:6">
      <c r="A209" t="s">
        <v>255</v>
      </c>
      <c r="B209">
        <f>IF(ISNUMBER(VLOOKUP($A209,'Justice Spend Total'!$B:$AQ,8,FALSE)), VLOOKUP($A209,'Justice Spend Total'!$B:$AQ,8,FALSE), #N/A)</f>
        <v>39410</v>
      </c>
      <c r="C209" s="15" t="e">
        <f>IF(ISNUMBER(VLOOKUP($A209,'Justice Spend Total'!$B:$AQ,33,FALSE)), VLOOKUP($A209,'Justice Spend Total'!$B:$AQ,33,FALSE), #N/A)</f>
        <v>#N/A</v>
      </c>
      <c r="D209" s="15" t="e">
        <f>IF(ISNUMBER(VLOOKUP($A209,'Justice Spend Total'!$B:$AQ,34,FALSE)), VLOOKUP($A209,'Justice Spend Total'!$B:$AQ,34,FALSE), #N/A)</f>
        <v>#N/A</v>
      </c>
      <c r="E209" t="e">
        <f>IF(ISNUMBER(VLOOKUP($A209,'Justice Spend Total'!$B:$AQ,34,FALSE)), VLOOKUP($A209,'Justice Spend Total'!$B:$AQ,35,FALSE), #N/A)</f>
        <v>#N/A</v>
      </c>
      <c r="F209" t="e">
        <f>IF(ISNUMBER(VLOOKUP($A209,'Justice Spend Total'!$B:$AQ,34,FALSE)), VLOOKUP($A209,'Justice Spend Total'!$B:$AQ,36,FALSE), #N/A)</f>
        <v>#N/A</v>
      </c>
    </row>
    <row r="210" spans="1:6">
      <c r="A210" t="s">
        <v>57</v>
      </c>
      <c r="B210">
        <f>IF(ISNUMBER(VLOOKUP($A210,'Justice Spend Total'!$B:$AQ,8,FALSE)), VLOOKUP($A210,'Justice Spend Total'!$B:$AQ,8,FALSE), #N/A)</f>
        <v>42620</v>
      </c>
      <c r="C210" s="15" t="e">
        <f>IF(ISNUMBER(VLOOKUP($A210,'Justice Spend Total'!$B:$AQ,33,FALSE)), VLOOKUP($A210,'Justice Spend Total'!$B:$AQ,33,FALSE), #N/A)</f>
        <v>#N/A</v>
      </c>
      <c r="D210" s="15" t="e">
        <f>IF(ISNUMBER(VLOOKUP($A210,'Justice Spend Total'!$B:$AQ,34,FALSE)), VLOOKUP($A210,'Justice Spend Total'!$B:$AQ,34,FALSE), #N/A)</f>
        <v>#N/A</v>
      </c>
      <c r="E210" t="e">
        <f>IF(ISNUMBER(VLOOKUP($A210,'Justice Spend Total'!$B:$AQ,34,FALSE)), VLOOKUP($A210,'Justice Spend Total'!$B:$AQ,35,FALSE), #N/A)</f>
        <v>#N/A</v>
      </c>
      <c r="F210" t="e">
        <f>IF(ISNUMBER(VLOOKUP($A210,'Justice Spend Total'!$B:$AQ,34,FALSE)), VLOOKUP($A210,'Justice Spend Total'!$B:$AQ,36,FALSE), #N/A)</f>
        <v>#N/A</v>
      </c>
    </row>
    <row r="211" spans="1:6">
      <c r="A211" t="s">
        <v>55</v>
      </c>
      <c r="B211">
        <f>IF(ISNUMBER(VLOOKUP($A211,'Justice Spend Total'!$B:$AQ,8,FALSE)), VLOOKUP($A211,'Justice Spend Total'!$B:$AQ,8,FALSE), #N/A)</f>
        <v>43880</v>
      </c>
      <c r="C211" s="15" t="e">
        <f>IF(ISNUMBER(VLOOKUP($A211,'Justice Spend Total'!$B:$AQ,33,FALSE)), VLOOKUP($A211,'Justice Spend Total'!$B:$AQ,33,FALSE), #N/A)</f>
        <v>#N/A</v>
      </c>
      <c r="D211" s="15" t="e">
        <f>IF(ISNUMBER(VLOOKUP($A211,'Justice Spend Total'!$B:$AQ,34,FALSE)), VLOOKUP($A211,'Justice Spend Total'!$B:$AQ,34,FALSE), #N/A)</f>
        <v>#N/A</v>
      </c>
      <c r="E211" t="e">
        <f>IF(ISNUMBER(VLOOKUP($A211,'Justice Spend Total'!$B:$AQ,34,FALSE)), VLOOKUP($A211,'Justice Spend Total'!$B:$AQ,35,FALSE), #N/A)</f>
        <v>#N/A</v>
      </c>
      <c r="F211" t="e">
        <f>IF(ISNUMBER(VLOOKUP($A211,'Justice Spend Total'!$B:$AQ,34,FALSE)), VLOOKUP($A211,'Justice Spend Total'!$B:$AQ,36,FALSE), #N/A)</f>
        <v>#N/A</v>
      </c>
    </row>
    <row r="212" spans="1:6">
      <c r="A212" t="s">
        <v>71</v>
      </c>
      <c r="B212">
        <f>IF(ISNUMBER(VLOOKUP($A212,'Justice Spend Total'!$B:$AQ,8,FALSE)), VLOOKUP($A212,'Justice Spend Total'!$B:$AQ,8,FALSE), #N/A)</f>
        <v>45340</v>
      </c>
      <c r="C212" s="15" t="e">
        <f>IF(ISNUMBER(VLOOKUP($A212,'Justice Spend Total'!$B:$AQ,33,FALSE)), VLOOKUP($A212,'Justice Spend Total'!$B:$AQ,33,FALSE), #N/A)</f>
        <v>#N/A</v>
      </c>
      <c r="D212" s="15" t="e">
        <f>IF(ISNUMBER(VLOOKUP($A212,'Justice Spend Total'!$B:$AQ,34,FALSE)), VLOOKUP($A212,'Justice Spend Total'!$B:$AQ,34,FALSE), #N/A)</f>
        <v>#N/A</v>
      </c>
      <c r="E212" t="e">
        <f>IF(ISNUMBER(VLOOKUP($A212,'Justice Spend Total'!$B:$AQ,34,FALSE)), VLOOKUP($A212,'Justice Spend Total'!$B:$AQ,35,FALSE), #N/A)</f>
        <v>#N/A</v>
      </c>
      <c r="F212" t="e">
        <f>IF(ISNUMBER(VLOOKUP($A212,'Justice Spend Total'!$B:$AQ,34,FALSE)), VLOOKUP($A212,'Justice Spend Total'!$B:$AQ,36,FALSE), #N/A)</f>
        <v>#N/A</v>
      </c>
    </row>
    <row r="213" spans="1:6">
      <c r="A213" t="s">
        <v>72</v>
      </c>
      <c r="B213">
        <f>IF(ISNUMBER(VLOOKUP($A213,'Justice Spend Total'!$B:$AQ,8,FALSE)), VLOOKUP($A213,'Justice Spend Total'!$B:$AQ,8,FALSE), #N/A)</f>
        <v>45380</v>
      </c>
      <c r="C213" s="15" t="e">
        <f>IF(ISNUMBER(VLOOKUP($A213,'Justice Spend Total'!$B:$AQ,33,FALSE)), VLOOKUP($A213,'Justice Spend Total'!$B:$AQ,33,FALSE), #N/A)</f>
        <v>#N/A</v>
      </c>
      <c r="D213" s="15" t="e">
        <f>IF(ISNUMBER(VLOOKUP($A213,'Justice Spend Total'!$B:$AQ,34,FALSE)), VLOOKUP($A213,'Justice Spend Total'!$B:$AQ,34,FALSE), #N/A)</f>
        <v>#N/A</v>
      </c>
      <c r="E213" t="e">
        <f>IF(ISNUMBER(VLOOKUP($A213,'Justice Spend Total'!$B:$AQ,34,FALSE)), VLOOKUP($A213,'Justice Spend Total'!$B:$AQ,35,FALSE), #N/A)</f>
        <v>#N/A</v>
      </c>
      <c r="F213" t="e">
        <f>IF(ISNUMBER(VLOOKUP($A213,'Justice Spend Total'!$B:$AQ,34,FALSE)), VLOOKUP($A213,'Justice Spend Total'!$B:$AQ,36,FALSE), #N/A)</f>
        <v>#N/A</v>
      </c>
    </row>
    <row r="214" spans="1:6">
      <c r="A214" t="s">
        <v>256</v>
      </c>
      <c r="B214">
        <f>IF(ISNUMBER(VLOOKUP($A214,'Justice Spend Total'!$B:$AQ,8,FALSE)), VLOOKUP($A214,'Justice Spend Total'!$B:$AQ,8,FALSE), #N/A)</f>
        <v>46040</v>
      </c>
      <c r="C214" s="15" t="e">
        <f>IF(ISNUMBER(VLOOKUP($A214,'Justice Spend Total'!$B:$AQ,33,FALSE)), VLOOKUP($A214,'Justice Spend Total'!$B:$AQ,33,FALSE), #N/A)</f>
        <v>#N/A</v>
      </c>
      <c r="D214" s="15" t="e">
        <f>IF(ISNUMBER(VLOOKUP($A214,'Justice Spend Total'!$B:$AQ,34,FALSE)), VLOOKUP($A214,'Justice Spend Total'!$B:$AQ,34,FALSE), #N/A)</f>
        <v>#N/A</v>
      </c>
      <c r="E214" t="e">
        <f>IF(ISNUMBER(VLOOKUP($A214,'Justice Spend Total'!$B:$AQ,34,FALSE)), VLOOKUP($A214,'Justice Spend Total'!$B:$AQ,35,FALSE), #N/A)</f>
        <v>#N/A</v>
      </c>
      <c r="F214" t="e">
        <f>IF(ISNUMBER(VLOOKUP($A214,'Justice Spend Total'!$B:$AQ,34,FALSE)), VLOOKUP($A214,'Justice Spend Total'!$B:$AQ,36,FALSE), #N/A)</f>
        <v>#N/A</v>
      </c>
    </row>
    <row r="215" spans="1:6">
      <c r="A215" t="s">
        <v>257</v>
      </c>
      <c r="B215">
        <f>IF(ISNUMBER(VLOOKUP($A215,'Justice Spend Total'!$B:$AQ,8,FALSE)), VLOOKUP($A215,'Justice Spend Total'!$B:$AQ,8,FALSE), #N/A)</f>
        <v>46730</v>
      </c>
      <c r="C215" s="15" t="e">
        <f>IF(ISNUMBER(VLOOKUP($A215,'Justice Spend Total'!$B:$AQ,33,FALSE)), VLOOKUP($A215,'Justice Spend Total'!$B:$AQ,33,FALSE), #N/A)</f>
        <v>#N/A</v>
      </c>
      <c r="D215" s="15" t="e">
        <f>IF(ISNUMBER(VLOOKUP($A215,'Justice Spend Total'!$B:$AQ,34,FALSE)), VLOOKUP($A215,'Justice Spend Total'!$B:$AQ,34,FALSE), #N/A)</f>
        <v>#N/A</v>
      </c>
      <c r="E215" t="e">
        <f>IF(ISNUMBER(VLOOKUP($A215,'Justice Spend Total'!$B:$AQ,34,FALSE)), VLOOKUP($A215,'Justice Spend Total'!$B:$AQ,35,FALSE), #N/A)</f>
        <v>#N/A</v>
      </c>
      <c r="F215" t="e">
        <f>IF(ISNUMBER(VLOOKUP($A215,'Justice Spend Total'!$B:$AQ,34,FALSE)), VLOOKUP($A215,'Justice Spend Total'!$B:$AQ,36,FALSE), #N/A)</f>
        <v>#N/A</v>
      </c>
    </row>
    <row r="216" spans="1:6">
      <c r="A216" t="s">
        <v>64</v>
      </c>
      <c r="B216">
        <f>IF(ISNUMBER(VLOOKUP($A216,'Justice Spend Total'!$B:$AQ,8,FALSE)), VLOOKUP($A216,'Justice Spend Total'!$B:$AQ,8,FALSE), #N/A)</f>
        <v>48310</v>
      </c>
      <c r="C216" s="15" t="e">
        <f>IF(ISNUMBER(VLOOKUP($A216,'Justice Spend Total'!$B:$AQ,33,FALSE)), VLOOKUP($A216,'Justice Spend Total'!$B:$AQ,33,FALSE), #N/A)</f>
        <v>#N/A</v>
      </c>
      <c r="D216" s="15" t="e">
        <f>IF(ISNUMBER(VLOOKUP($A216,'Justice Spend Total'!$B:$AQ,34,FALSE)), VLOOKUP($A216,'Justice Spend Total'!$B:$AQ,34,FALSE), #N/A)</f>
        <v>#N/A</v>
      </c>
      <c r="E216" t="e">
        <f>IF(ISNUMBER(VLOOKUP($A216,'Justice Spend Total'!$B:$AQ,34,FALSE)), VLOOKUP($A216,'Justice Spend Total'!$B:$AQ,35,FALSE), #N/A)</f>
        <v>#N/A</v>
      </c>
      <c r="F216" t="e">
        <f>IF(ISNUMBER(VLOOKUP($A216,'Justice Spend Total'!$B:$AQ,34,FALSE)), VLOOKUP($A216,'Justice Spend Total'!$B:$AQ,36,FALSE), #N/A)</f>
        <v>#N/A</v>
      </c>
    </row>
    <row r="217" spans="1:6">
      <c r="A217" t="s">
        <v>258</v>
      </c>
      <c r="B217">
        <f>IF(ISNUMBER(VLOOKUP($A217,'Justice Spend Total'!$B:$AQ,8,FALSE)), VLOOKUP($A217,'Justice Spend Total'!$B:$AQ,8,FALSE), #N/A)</f>
        <v>49560</v>
      </c>
      <c r="C217" s="15" t="e">
        <f>IF(ISNUMBER(VLOOKUP($A217,'Justice Spend Total'!$B:$AQ,33,FALSE)), VLOOKUP($A217,'Justice Spend Total'!$B:$AQ,33,FALSE), #N/A)</f>
        <v>#N/A</v>
      </c>
      <c r="D217" s="15" t="e">
        <f>IF(ISNUMBER(VLOOKUP($A217,'Justice Spend Total'!$B:$AQ,34,FALSE)), VLOOKUP($A217,'Justice Spend Total'!$B:$AQ,34,FALSE), #N/A)</f>
        <v>#N/A</v>
      </c>
      <c r="E217" t="e">
        <f>IF(ISNUMBER(VLOOKUP($A217,'Justice Spend Total'!$B:$AQ,34,FALSE)), VLOOKUP($A217,'Justice Spend Total'!$B:$AQ,35,FALSE), #N/A)</f>
        <v>#N/A</v>
      </c>
      <c r="F217" t="e">
        <f>IF(ISNUMBER(VLOOKUP($A217,'Justice Spend Total'!$B:$AQ,34,FALSE)), VLOOKUP($A217,'Justice Spend Total'!$B:$AQ,36,FALSE), #N/A)</f>
        <v>#N/A</v>
      </c>
    </row>
    <row r="218" spans="1:6">
      <c r="A218" t="s">
        <v>58</v>
      </c>
      <c r="B218">
        <f>IF(ISNUMBER(VLOOKUP($A218,'Justice Spend Total'!$B:$AQ,8,FALSE)), VLOOKUP($A218,'Justice Spend Total'!$B:$AQ,8,FALSE), #N/A)</f>
        <v>50510</v>
      </c>
      <c r="C218" s="15" t="e">
        <f>IF(ISNUMBER(VLOOKUP($A218,'Justice Spend Total'!$B:$AQ,33,FALSE)), VLOOKUP($A218,'Justice Spend Total'!$B:$AQ,33,FALSE), #N/A)</f>
        <v>#N/A</v>
      </c>
      <c r="D218" s="15" t="e">
        <f>IF(ISNUMBER(VLOOKUP($A218,'Justice Spend Total'!$B:$AQ,34,FALSE)), VLOOKUP($A218,'Justice Spend Total'!$B:$AQ,34,FALSE), #N/A)</f>
        <v>#N/A</v>
      </c>
      <c r="E218" t="e">
        <f>IF(ISNUMBER(VLOOKUP($A218,'Justice Spend Total'!$B:$AQ,34,FALSE)), VLOOKUP($A218,'Justice Spend Total'!$B:$AQ,35,FALSE), #N/A)</f>
        <v>#N/A</v>
      </c>
      <c r="F218" t="e">
        <f>IF(ISNUMBER(VLOOKUP($A218,'Justice Spend Total'!$B:$AQ,34,FALSE)), VLOOKUP($A218,'Justice Spend Total'!$B:$AQ,36,FALSE), #N/A)</f>
        <v>#N/A</v>
      </c>
    </row>
    <row r="219" spans="1:6">
      <c r="A219" t="s">
        <v>56</v>
      </c>
      <c r="B219">
        <f>IF(ISNUMBER(VLOOKUP($A219,'Justice Spend Total'!$B:$AQ,8,FALSE)), VLOOKUP($A219,'Justice Spend Total'!$B:$AQ,8,FALSE), #N/A)</f>
        <v>51040</v>
      </c>
      <c r="C219" s="15" t="e">
        <f>IF(ISNUMBER(VLOOKUP($A219,'Justice Spend Total'!$B:$AQ,33,FALSE)), VLOOKUP($A219,'Justice Spend Total'!$B:$AQ,33,FALSE), #N/A)</f>
        <v>#N/A</v>
      </c>
      <c r="D219" s="15" t="e">
        <f>IF(ISNUMBER(VLOOKUP($A219,'Justice Spend Total'!$B:$AQ,34,FALSE)), VLOOKUP($A219,'Justice Spend Total'!$B:$AQ,34,FALSE), #N/A)</f>
        <v>#N/A</v>
      </c>
      <c r="E219" t="e">
        <f>IF(ISNUMBER(VLOOKUP($A219,'Justice Spend Total'!$B:$AQ,34,FALSE)), VLOOKUP($A219,'Justice Spend Total'!$B:$AQ,35,FALSE), #N/A)</f>
        <v>#N/A</v>
      </c>
      <c r="F219" t="e">
        <f>IF(ISNUMBER(VLOOKUP($A219,'Justice Spend Total'!$B:$AQ,34,FALSE)), VLOOKUP($A219,'Justice Spend Total'!$B:$AQ,36,FALSE), #N/A)</f>
        <v>#N/A</v>
      </c>
    </row>
    <row r="220" spans="1:6">
      <c r="A220" t="s">
        <v>53</v>
      </c>
      <c r="B220">
        <f>IF(ISNUMBER(VLOOKUP($A220,'Justice Spend Total'!$B:$AQ,8,FALSE)), VLOOKUP($A220,'Justice Spend Total'!$B:$AQ,8,FALSE), #N/A)</f>
        <v>52210</v>
      </c>
      <c r="C220" s="15" t="e">
        <f>IF(ISNUMBER(VLOOKUP($A220,'Justice Spend Total'!$B:$AQ,33,FALSE)), VLOOKUP($A220,'Justice Spend Total'!$B:$AQ,33,FALSE), #N/A)</f>
        <v>#N/A</v>
      </c>
      <c r="D220" s="15" t="e">
        <f>IF(ISNUMBER(VLOOKUP($A220,'Justice Spend Total'!$B:$AQ,34,FALSE)), VLOOKUP($A220,'Justice Spend Total'!$B:$AQ,34,FALSE), #N/A)</f>
        <v>#N/A</v>
      </c>
      <c r="E220" t="e">
        <f>IF(ISNUMBER(VLOOKUP($A220,'Justice Spend Total'!$B:$AQ,34,FALSE)), VLOOKUP($A220,'Justice Spend Total'!$B:$AQ,35,FALSE), #N/A)</f>
        <v>#N/A</v>
      </c>
      <c r="F220" t="e">
        <f>IF(ISNUMBER(VLOOKUP($A220,'Justice Spend Total'!$B:$AQ,34,FALSE)), VLOOKUP($A220,'Justice Spend Total'!$B:$AQ,36,FALSE), #N/A)</f>
        <v>#N/A</v>
      </c>
    </row>
    <row r="221" spans="1:6">
      <c r="A221" t="s">
        <v>50</v>
      </c>
      <c r="B221">
        <f>IF(ISNUMBER(VLOOKUP($A221,'Justice Spend Total'!$B:$AQ,8,FALSE)), VLOOKUP($A221,'Justice Spend Total'!$B:$AQ,8,FALSE), #N/A)</f>
        <v>53660</v>
      </c>
      <c r="C221" s="15" t="e">
        <f>IF(ISNUMBER(VLOOKUP($A221,'Justice Spend Total'!$B:$AQ,33,FALSE)), VLOOKUP($A221,'Justice Spend Total'!$B:$AQ,33,FALSE), #N/A)</f>
        <v>#N/A</v>
      </c>
      <c r="D221" s="15" t="e">
        <f>IF(ISNUMBER(VLOOKUP($A221,'Justice Spend Total'!$B:$AQ,34,FALSE)), VLOOKUP($A221,'Justice Spend Total'!$B:$AQ,34,FALSE), #N/A)</f>
        <v>#N/A</v>
      </c>
      <c r="E221" t="e">
        <f>IF(ISNUMBER(VLOOKUP($A221,'Justice Spend Total'!$B:$AQ,34,FALSE)), VLOOKUP($A221,'Justice Spend Total'!$B:$AQ,35,FALSE), #N/A)</f>
        <v>#N/A</v>
      </c>
      <c r="F221" t="e">
        <f>IF(ISNUMBER(VLOOKUP($A221,'Justice Spend Total'!$B:$AQ,34,FALSE)), VLOOKUP($A221,'Justice Spend Total'!$B:$AQ,36,FALSE), #N/A)</f>
        <v>#N/A</v>
      </c>
    </row>
    <row r="222" spans="1:6">
      <c r="A222" t="s">
        <v>259</v>
      </c>
      <c r="B222">
        <f>IF(ISNUMBER(VLOOKUP($A222,'Justice Spend Total'!$B:$AQ,8,FALSE)), VLOOKUP($A222,'Justice Spend Total'!$B:$AQ,8,FALSE), #N/A)</f>
        <v>54450</v>
      </c>
      <c r="C222" s="15" t="e">
        <f>IF(ISNUMBER(VLOOKUP($A222,'Justice Spend Total'!$B:$AQ,33,FALSE)), VLOOKUP($A222,'Justice Spend Total'!$B:$AQ,33,FALSE), #N/A)</f>
        <v>#N/A</v>
      </c>
      <c r="D222" s="15" t="e">
        <f>IF(ISNUMBER(VLOOKUP($A222,'Justice Spend Total'!$B:$AQ,34,FALSE)), VLOOKUP($A222,'Justice Spend Total'!$B:$AQ,34,FALSE), #N/A)</f>
        <v>#N/A</v>
      </c>
      <c r="E222" t="e">
        <f>IF(ISNUMBER(VLOOKUP($A222,'Justice Spend Total'!$B:$AQ,34,FALSE)), VLOOKUP($A222,'Justice Spend Total'!$B:$AQ,35,FALSE), #N/A)</f>
        <v>#N/A</v>
      </c>
      <c r="F222" t="e">
        <f>IF(ISNUMBER(VLOOKUP($A222,'Justice Spend Total'!$B:$AQ,34,FALSE)), VLOOKUP($A222,'Justice Spend Total'!$B:$AQ,36,FALSE), #N/A)</f>
        <v>#N/A</v>
      </c>
    </row>
    <row r="223" spans="1:6">
      <c r="A223" t="s">
        <v>66</v>
      </c>
      <c r="B223">
        <f>IF(ISNUMBER(VLOOKUP($A223,'Justice Spend Total'!$B:$AQ,8,FALSE)), VLOOKUP($A223,'Justice Spend Total'!$B:$AQ,8,FALSE), #N/A)</f>
        <v>56370</v>
      </c>
      <c r="C223" s="15" t="e">
        <f>IF(ISNUMBER(VLOOKUP($A223,'Justice Spend Total'!$B:$AQ,33,FALSE)), VLOOKUP($A223,'Justice Spend Total'!$B:$AQ,33,FALSE), #N/A)</f>
        <v>#N/A</v>
      </c>
      <c r="D223" s="15" t="e">
        <f>IF(ISNUMBER(VLOOKUP($A223,'Justice Spend Total'!$B:$AQ,34,FALSE)), VLOOKUP($A223,'Justice Spend Total'!$B:$AQ,34,FALSE), #N/A)</f>
        <v>#N/A</v>
      </c>
      <c r="E223" t="e">
        <f>IF(ISNUMBER(VLOOKUP($A223,'Justice Spend Total'!$B:$AQ,34,FALSE)), VLOOKUP($A223,'Justice Spend Total'!$B:$AQ,35,FALSE), #N/A)</f>
        <v>#N/A</v>
      </c>
      <c r="F223" t="e">
        <f>IF(ISNUMBER(VLOOKUP($A223,'Justice Spend Total'!$B:$AQ,34,FALSE)), VLOOKUP($A223,'Justice Spend Total'!$B:$AQ,36,FALSE), #N/A)</f>
        <v>#N/A</v>
      </c>
    </row>
    <row r="224" spans="1:6">
      <c r="A224" t="s">
        <v>74</v>
      </c>
      <c r="B224">
        <f>IF(ISNUMBER(VLOOKUP($A224,'Justice Spend Total'!$B:$AQ,8,FALSE)), VLOOKUP($A224,'Justice Spend Total'!$B:$AQ,8,FALSE), #N/A)</f>
        <v>56760</v>
      </c>
      <c r="C224" s="15" t="e">
        <f>IF(ISNUMBER(VLOOKUP($A224,'Justice Spend Total'!$B:$AQ,33,FALSE)), VLOOKUP($A224,'Justice Spend Total'!$B:$AQ,33,FALSE), #N/A)</f>
        <v>#N/A</v>
      </c>
      <c r="D224" s="15" t="e">
        <f>IF(ISNUMBER(VLOOKUP($A224,'Justice Spend Total'!$B:$AQ,34,FALSE)), VLOOKUP($A224,'Justice Spend Total'!$B:$AQ,34,FALSE), #N/A)</f>
        <v>#N/A</v>
      </c>
      <c r="E224" t="e">
        <f>IF(ISNUMBER(VLOOKUP($A224,'Justice Spend Total'!$B:$AQ,34,FALSE)), VLOOKUP($A224,'Justice Spend Total'!$B:$AQ,35,FALSE), #N/A)</f>
        <v>#N/A</v>
      </c>
      <c r="F224" t="e">
        <f>IF(ISNUMBER(VLOOKUP($A224,'Justice Spend Total'!$B:$AQ,34,FALSE)), VLOOKUP($A224,'Justice Spend Total'!$B:$AQ,36,FALSE), #N/A)</f>
        <v>#N/A</v>
      </c>
    </row>
    <row r="225" spans="1:6">
      <c r="A225" t="s">
        <v>260</v>
      </c>
      <c r="B225">
        <f>IF(ISNUMBER(VLOOKUP($A225,'Justice Spend Total'!$B:$AQ,8,FALSE)), VLOOKUP($A225,'Justice Spend Total'!$B:$AQ,8,FALSE), #N/A)</f>
        <v>57120</v>
      </c>
      <c r="C225" s="15" t="e">
        <f>IF(ISNUMBER(VLOOKUP($A225,'Justice Spend Total'!$B:$AQ,33,FALSE)), VLOOKUP($A225,'Justice Spend Total'!$B:$AQ,33,FALSE), #N/A)</f>
        <v>#N/A</v>
      </c>
      <c r="D225" s="15" t="e">
        <f>IF(ISNUMBER(VLOOKUP($A225,'Justice Spend Total'!$B:$AQ,34,FALSE)), VLOOKUP($A225,'Justice Spend Total'!$B:$AQ,34,FALSE), #N/A)</f>
        <v>#N/A</v>
      </c>
      <c r="E225" t="e">
        <f>IF(ISNUMBER(VLOOKUP($A225,'Justice Spend Total'!$B:$AQ,34,FALSE)), VLOOKUP($A225,'Justice Spend Total'!$B:$AQ,35,FALSE), #N/A)</f>
        <v>#N/A</v>
      </c>
      <c r="F225" t="e">
        <f>IF(ISNUMBER(VLOOKUP($A225,'Justice Spend Total'!$B:$AQ,34,FALSE)), VLOOKUP($A225,'Justice Spend Total'!$B:$AQ,36,FALSE), #N/A)</f>
        <v>#N/A</v>
      </c>
    </row>
    <row r="226" spans="1:6">
      <c r="A226" t="s">
        <v>52</v>
      </c>
      <c r="B226">
        <f>IF(ISNUMBER(VLOOKUP($A226,'Justice Spend Total'!$B:$AQ,8,FALSE)), VLOOKUP($A226,'Justice Spend Total'!$B:$AQ,8,FALSE), #N/A)</f>
        <v>58890</v>
      </c>
      <c r="C226" s="15" t="e">
        <f>IF(ISNUMBER(VLOOKUP($A226,'Justice Spend Total'!$B:$AQ,33,FALSE)), VLOOKUP($A226,'Justice Spend Total'!$B:$AQ,33,FALSE), #N/A)</f>
        <v>#N/A</v>
      </c>
      <c r="D226" s="15" t="e">
        <f>IF(ISNUMBER(VLOOKUP($A226,'Justice Spend Total'!$B:$AQ,34,FALSE)), VLOOKUP($A226,'Justice Spend Total'!$B:$AQ,34,FALSE), #N/A)</f>
        <v>#N/A</v>
      </c>
      <c r="E226" t="e">
        <f>IF(ISNUMBER(VLOOKUP($A226,'Justice Spend Total'!$B:$AQ,34,FALSE)), VLOOKUP($A226,'Justice Spend Total'!$B:$AQ,35,FALSE), #N/A)</f>
        <v>#N/A</v>
      </c>
      <c r="F226" t="e">
        <f>IF(ISNUMBER(VLOOKUP($A226,'Justice Spend Total'!$B:$AQ,34,FALSE)), VLOOKUP($A226,'Justice Spend Total'!$B:$AQ,36,FALSE), #N/A)</f>
        <v>#N/A</v>
      </c>
    </row>
    <row r="227" spans="1:6">
      <c r="A227" t="s">
        <v>261</v>
      </c>
      <c r="B227">
        <f>IF(ISNUMBER(VLOOKUP($A227,'Justice Spend Total'!$B:$AQ,8,FALSE)), VLOOKUP($A227,'Justice Spend Total'!$B:$AQ,8,FALSE), #N/A)</f>
        <v>63370</v>
      </c>
      <c r="C227" s="15" t="e">
        <f>IF(ISNUMBER(VLOOKUP($A227,'Justice Spend Total'!$B:$AQ,33,FALSE)), VLOOKUP($A227,'Justice Spend Total'!$B:$AQ,33,FALSE), #N/A)</f>
        <v>#N/A</v>
      </c>
      <c r="D227" s="15" t="e">
        <f>IF(ISNUMBER(VLOOKUP($A227,'Justice Spend Total'!$B:$AQ,34,FALSE)), VLOOKUP($A227,'Justice Spend Total'!$B:$AQ,34,FALSE), #N/A)</f>
        <v>#N/A</v>
      </c>
      <c r="E227" t="e">
        <f>IF(ISNUMBER(VLOOKUP($A227,'Justice Spend Total'!$B:$AQ,34,FALSE)), VLOOKUP($A227,'Justice Spend Total'!$B:$AQ,35,FALSE), #N/A)</f>
        <v>#N/A</v>
      </c>
      <c r="F227" t="e">
        <f>IF(ISNUMBER(VLOOKUP($A227,'Justice Spend Total'!$B:$AQ,34,FALSE)), VLOOKUP($A227,'Justice Spend Total'!$B:$AQ,36,FALSE), #N/A)</f>
        <v>#N/A</v>
      </c>
    </row>
    <row r="228" spans="1:6">
      <c r="A228" t="s">
        <v>262</v>
      </c>
      <c r="B228">
        <f>IF(ISNUMBER(VLOOKUP($A228,'Justice Spend Total'!$B:$AQ,8,FALSE)), VLOOKUP($A228,'Justice Spend Total'!$B:$AQ,8,FALSE), #N/A)</f>
        <v>64010</v>
      </c>
      <c r="C228" s="15" t="e">
        <f>IF(ISNUMBER(VLOOKUP($A228,'Justice Spend Total'!$B:$AQ,33,FALSE)), VLOOKUP($A228,'Justice Spend Total'!$B:$AQ,33,FALSE), #N/A)</f>
        <v>#N/A</v>
      </c>
      <c r="D228" s="15" t="e">
        <f>IF(ISNUMBER(VLOOKUP($A228,'Justice Spend Total'!$B:$AQ,34,FALSE)), VLOOKUP($A228,'Justice Spend Total'!$B:$AQ,34,FALSE), #N/A)</f>
        <v>#N/A</v>
      </c>
      <c r="E228" t="e">
        <f>IF(ISNUMBER(VLOOKUP($A228,'Justice Spend Total'!$B:$AQ,34,FALSE)), VLOOKUP($A228,'Justice Spend Total'!$B:$AQ,35,FALSE), #N/A)</f>
        <v>#N/A</v>
      </c>
      <c r="F228" t="e">
        <f>IF(ISNUMBER(VLOOKUP($A228,'Justice Spend Total'!$B:$AQ,34,FALSE)), VLOOKUP($A228,'Justice Spend Total'!$B:$AQ,36,FALSE), #N/A)</f>
        <v>#N/A</v>
      </c>
    </row>
    <row r="229" spans="1:6">
      <c r="A229" t="s">
        <v>59</v>
      </c>
      <c r="B229">
        <f>IF(ISNUMBER(VLOOKUP($A229,'Justice Spend Total'!$B:$AQ,8,FALSE)), VLOOKUP($A229,'Justice Spend Total'!$B:$AQ,8,FALSE), #N/A)</f>
        <v>64410</v>
      </c>
      <c r="C229" s="15" t="e">
        <f>IF(ISNUMBER(VLOOKUP($A229,'Justice Spend Total'!$B:$AQ,33,FALSE)), VLOOKUP($A229,'Justice Spend Total'!$B:$AQ,33,FALSE), #N/A)</f>
        <v>#N/A</v>
      </c>
      <c r="D229" s="15" t="e">
        <f>IF(ISNUMBER(VLOOKUP($A229,'Justice Spend Total'!$B:$AQ,34,FALSE)), VLOOKUP($A229,'Justice Spend Total'!$B:$AQ,34,FALSE), #N/A)</f>
        <v>#N/A</v>
      </c>
      <c r="E229" t="e">
        <f>IF(ISNUMBER(VLOOKUP($A229,'Justice Spend Total'!$B:$AQ,34,FALSE)), VLOOKUP($A229,'Justice Spend Total'!$B:$AQ,35,FALSE), #N/A)</f>
        <v>#N/A</v>
      </c>
      <c r="F229" t="e">
        <f>IF(ISNUMBER(VLOOKUP($A229,'Justice Spend Total'!$B:$AQ,34,FALSE)), VLOOKUP($A229,'Justice Spend Total'!$B:$AQ,36,FALSE), #N/A)</f>
        <v>#N/A</v>
      </c>
    </row>
    <row r="230" spans="1:6">
      <c r="A230" t="s">
        <v>49</v>
      </c>
      <c r="B230">
        <f>IF(ISNUMBER(VLOOKUP($A230,'Justice Spend Total'!$B:$AQ,8,FALSE)), VLOOKUP($A230,'Justice Spend Total'!$B:$AQ,8,FALSE), #N/A)</f>
        <v>68110</v>
      </c>
      <c r="C230" s="15" t="e">
        <f>IF(ISNUMBER(VLOOKUP($A230,'Justice Spend Total'!$B:$AQ,33,FALSE)), VLOOKUP($A230,'Justice Spend Total'!$B:$AQ,33,FALSE), #N/A)</f>
        <v>#N/A</v>
      </c>
      <c r="D230" s="15" t="e">
        <f>IF(ISNUMBER(VLOOKUP($A230,'Justice Spend Total'!$B:$AQ,34,FALSE)), VLOOKUP($A230,'Justice Spend Total'!$B:$AQ,34,FALSE), #N/A)</f>
        <v>#N/A</v>
      </c>
      <c r="E230" t="e">
        <f>IF(ISNUMBER(VLOOKUP($A230,'Justice Spend Total'!$B:$AQ,34,FALSE)), VLOOKUP($A230,'Justice Spend Total'!$B:$AQ,35,FALSE), #N/A)</f>
        <v>#N/A</v>
      </c>
      <c r="F230" t="e">
        <f>IF(ISNUMBER(VLOOKUP($A230,'Justice Spend Total'!$B:$AQ,34,FALSE)), VLOOKUP($A230,'Justice Spend Total'!$B:$AQ,36,FALSE), #N/A)</f>
        <v>#N/A</v>
      </c>
    </row>
    <row r="231" spans="1:6">
      <c r="A231" t="s">
        <v>77</v>
      </c>
      <c r="B231">
        <f>IF(ISNUMBER(VLOOKUP($A231,'Justice Spend Total'!$B:$AQ,8,FALSE)), VLOOKUP($A231,'Justice Spend Total'!$B:$AQ,8,FALSE), #N/A)</f>
        <v>70430</v>
      </c>
      <c r="C231" s="15" t="e">
        <f>IF(ISNUMBER(VLOOKUP($A231,'Justice Spend Total'!$B:$AQ,33,FALSE)), VLOOKUP($A231,'Justice Spend Total'!$B:$AQ,33,FALSE), #N/A)</f>
        <v>#N/A</v>
      </c>
      <c r="D231" s="15" t="e">
        <f>IF(ISNUMBER(VLOOKUP($A231,'Justice Spend Total'!$B:$AQ,34,FALSE)), VLOOKUP($A231,'Justice Spend Total'!$B:$AQ,34,FALSE), #N/A)</f>
        <v>#N/A</v>
      </c>
      <c r="E231" t="e">
        <f>IF(ISNUMBER(VLOOKUP($A231,'Justice Spend Total'!$B:$AQ,34,FALSE)), VLOOKUP($A231,'Justice Spend Total'!$B:$AQ,35,FALSE), #N/A)</f>
        <v>#N/A</v>
      </c>
      <c r="F231" t="e">
        <f>IF(ISNUMBER(VLOOKUP($A231,'Justice Spend Total'!$B:$AQ,34,FALSE)), VLOOKUP($A231,'Justice Spend Total'!$B:$AQ,36,FALSE), #N/A)</f>
        <v>#N/A</v>
      </c>
    </row>
    <row r="232" spans="1:6">
      <c r="A232" t="s">
        <v>61</v>
      </c>
      <c r="B232">
        <f>IF(ISNUMBER(VLOOKUP($A232,'Justice Spend Total'!$B:$AQ,8,FALSE)), VLOOKUP($A232,'Justice Spend Total'!$B:$AQ,8,FALSE), #N/A)</f>
        <v>74520</v>
      </c>
      <c r="C232" s="15" t="e">
        <f>IF(ISNUMBER(VLOOKUP($A232,'Justice Spend Total'!$B:$AQ,33,FALSE)), VLOOKUP($A232,'Justice Spend Total'!$B:$AQ,33,FALSE), #N/A)</f>
        <v>#N/A</v>
      </c>
      <c r="D232" s="15" t="e">
        <f>IF(ISNUMBER(VLOOKUP($A232,'Justice Spend Total'!$B:$AQ,34,FALSE)), VLOOKUP($A232,'Justice Spend Total'!$B:$AQ,34,FALSE), #N/A)</f>
        <v>#N/A</v>
      </c>
      <c r="E232" t="e">
        <f>IF(ISNUMBER(VLOOKUP($A232,'Justice Spend Total'!$B:$AQ,34,FALSE)), VLOOKUP($A232,'Justice Spend Total'!$B:$AQ,35,FALSE), #N/A)</f>
        <v>#N/A</v>
      </c>
      <c r="F232" t="e">
        <f>IF(ISNUMBER(VLOOKUP($A232,'Justice Spend Total'!$B:$AQ,34,FALSE)), VLOOKUP($A232,'Justice Spend Total'!$B:$AQ,36,FALSE), #N/A)</f>
        <v>#N/A</v>
      </c>
    </row>
    <row r="233" spans="1:6">
      <c r="A233" t="s">
        <v>54</v>
      </c>
      <c r="B233">
        <f>IF(ISNUMBER(VLOOKUP($A233,'Justice Spend Total'!$B:$AQ,8,FALSE)), VLOOKUP($A233,'Justice Spend Total'!$B:$AQ,8,FALSE), #N/A)</f>
        <v>81110</v>
      </c>
      <c r="C233" s="15" t="e">
        <f>IF(ISNUMBER(VLOOKUP($A233,'Justice Spend Total'!$B:$AQ,33,FALSE)), VLOOKUP($A233,'Justice Spend Total'!$B:$AQ,33,FALSE), #N/A)</f>
        <v>#N/A</v>
      </c>
      <c r="D233" s="15" t="e">
        <f>IF(ISNUMBER(VLOOKUP($A233,'Justice Spend Total'!$B:$AQ,34,FALSE)), VLOOKUP($A233,'Justice Spend Total'!$B:$AQ,34,FALSE), #N/A)</f>
        <v>#N/A</v>
      </c>
      <c r="E233" t="e">
        <f>IF(ISNUMBER(VLOOKUP($A233,'Justice Spend Total'!$B:$AQ,34,FALSE)), VLOOKUP($A233,'Justice Spend Total'!$B:$AQ,35,FALSE), #N/A)</f>
        <v>#N/A</v>
      </c>
      <c r="F233" t="e">
        <f>IF(ISNUMBER(VLOOKUP($A233,'Justice Spend Total'!$B:$AQ,34,FALSE)), VLOOKUP($A233,'Justice Spend Total'!$B:$AQ,36,FALSE), #N/A)</f>
        <v>#N/A</v>
      </c>
    </row>
    <row r="234" spans="1:6">
      <c r="A234" t="s">
        <v>263</v>
      </c>
      <c r="B234">
        <f>IF(ISNUMBER(VLOOKUP($A234,'Justice Spend Total'!$B:$AQ,8,FALSE)), VLOOKUP($A234,'Justice Spend Total'!$B:$AQ,8,FALSE), #N/A)</f>
        <v>83920</v>
      </c>
      <c r="C234" s="15" t="e">
        <f>IF(ISNUMBER(VLOOKUP($A234,'Justice Spend Total'!$B:$AQ,33,FALSE)), VLOOKUP($A234,'Justice Spend Total'!$B:$AQ,33,FALSE), #N/A)</f>
        <v>#N/A</v>
      </c>
      <c r="D234" s="15" t="e">
        <f>IF(ISNUMBER(VLOOKUP($A234,'Justice Spend Total'!$B:$AQ,34,FALSE)), VLOOKUP($A234,'Justice Spend Total'!$B:$AQ,34,FALSE), #N/A)</f>
        <v>#N/A</v>
      </c>
      <c r="E234" t="e">
        <f>IF(ISNUMBER(VLOOKUP($A234,'Justice Spend Total'!$B:$AQ,34,FALSE)), VLOOKUP($A234,'Justice Spend Total'!$B:$AQ,35,FALSE), #N/A)</f>
        <v>#N/A</v>
      </c>
      <c r="F234" t="e">
        <f>IF(ISNUMBER(VLOOKUP($A234,'Justice Spend Total'!$B:$AQ,34,FALSE)), VLOOKUP($A234,'Justice Spend Total'!$B:$AQ,36,FALSE), #N/A)</f>
        <v>#N/A</v>
      </c>
    </row>
    <row r="235" spans="1:6">
      <c r="A235" t="s">
        <v>51</v>
      </c>
      <c r="B235">
        <f>IF(ISNUMBER(VLOOKUP($A235,'Justice Spend Total'!$B:$AQ,8,FALSE)), VLOOKUP($A235,'Justice Spend Total'!$B:$AQ,8,FALSE), #N/A)</f>
        <v>84090</v>
      </c>
      <c r="C235" s="15" t="e">
        <f>IF(ISNUMBER(VLOOKUP($A235,'Justice Spend Total'!$B:$AQ,33,FALSE)), VLOOKUP($A235,'Justice Spend Total'!$B:$AQ,33,FALSE), #N/A)</f>
        <v>#N/A</v>
      </c>
      <c r="D235" s="15" t="e">
        <f>IF(ISNUMBER(VLOOKUP($A235,'Justice Spend Total'!$B:$AQ,34,FALSE)), VLOOKUP($A235,'Justice Spend Total'!$B:$AQ,34,FALSE), #N/A)</f>
        <v>#N/A</v>
      </c>
      <c r="E235" t="e">
        <f>IF(ISNUMBER(VLOOKUP($A235,'Justice Spend Total'!$B:$AQ,34,FALSE)), VLOOKUP($A235,'Justice Spend Total'!$B:$AQ,35,FALSE), #N/A)</f>
        <v>#N/A</v>
      </c>
      <c r="F235" t="e">
        <f>IF(ISNUMBER(VLOOKUP($A235,'Justice Spend Total'!$B:$AQ,34,FALSE)), VLOOKUP($A235,'Justice Spend Total'!$B:$AQ,36,FALSE), #N/A)</f>
        <v>#N/A</v>
      </c>
    </row>
    <row r="236" spans="1:6">
      <c r="A236" t="s">
        <v>67</v>
      </c>
      <c r="B236">
        <f>IF(ISNUMBER(VLOOKUP($A236,'Justice Spend Total'!$B:$AQ,8,FALSE)), VLOOKUP($A236,'Justice Spend Total'!$B:$AQ,8,FALSE), #N/A)</f>
        <v>90360</v>
      </c>
      <c r="C236" s="15" t="e">
        <f>IF(ISNUMBER(VLOOKUP($A236,'Justice Spend Total'!$B:$AQ,33,FALSE)), VLOOKUP($A236,'Justice Spend Total'!$B:$AQ,33,FALSE), #N/A)</f>
        <v>#N/A</v>
      </c>
      <c r="D236" s="15" t="e">
        <f>IF(ISNUMBER(VLOOKUP($A236,'Justice Spend Total'!$B:$AQ,34,FALSE)), VLOOKUP($A236,'Justice Spend Total'!$B:$AQ,34,FALSE), #N/A)</f>
        <v>#N/A</v>
      </c>
      <c r="E236" t="e">
        <f>IF(ISNUMBER(VLOOKUP($A236,'Justice Spend Total'!$B:$AQ,34,FALSE)), VLOOKUP($A236,'Justice Spend Total'!$B:$AQ,35,FALSE), #N/A)</f>
        <v>#N/A</v>
      </c>
      <c r="F236" t="e">
        <f>IF(ISNUMBER(VLOOKUP($A236,'Justice Spend Total'!$B:$AQ,34,FALSE)), VLOOKUP($A236,'Justice Spend Total'!$B:$AQ,36,FALSE), #N/A)</f>
        <v>#N/A</v>
      </c>
    </row>
    <row r="237" spans="1:6">
      <c r="A237" t="s">
        <v>264</v>
      </c>
      <c r="B237">
        <f>IF(ISNUMBER(VLOOKUP($A237,'Justice Spend Total'!$B:$AQ,8,FALSE)), VLOOKUP($A237,'Justice Spend Total'!$B:$AQ,8,FALSE), #N/A)</f>
        <v>116540</v>
      </c>
      <c r="C237" s="15" t="e">
        <f>IF(ISNUMBER(VLOOKUP($A237,'Justice Spend Total'!$B:$AQ,33,FALSE)), VLOOKUP($A237,'Justice Spend Total'!$B:$AQ,33,FALSE), #N/A)</f>
        <v>#N/A</v>
      </c>
      <c r="D237" s="15" t="e">
        <f>IF(ISNUMBER(VLOOKUP($A237,'Justice Spend Total'!$B:$AQ,34,FALSE)), VLOOKUP($A237,'Justice Spend Total'!$B:$AQ,34,FALSE), #N/A)</f>
        <v>#N/A</v>
      </c>
      <c r="E237" t="e">
        <f>IF(ISNUMBER(VLOOKUP($A237,'Justice Spend Total'!$B:$AQ,34,FALSE)), VLOOKUP($A237,'Justice Spend Total'!$B:$AQ,35,FALSE), #N/A)</f>
        <v>#N/A</v>
      </c>
      <c r="F237" t="e">
        <f>IF(ISNUMBER(VLOOKUP($A237,'Justice Spend Total'!$B:$AQ,34,FALSE)), VLOOKUP($A237,'Justice Spend Total'!$B:$AQ,36,FALSE), #N/A)</f>
        <v>#N/A</v>
      </c>
    </row>
    <row r="238" spans="1:6">
      <c r="A238" t="s">
        <v>265</v>
      </c>
      <c r="B238" t="e">
        <f>IF(ISNUMBER(VLOOKUP($A238,'Justice Spend Total'!$B:$AQ,8,FALSE)), VLOOKUP($A238,'Justice Spend Total'!$B:$AQ,8,FALSE), #N/A)</f>
        <v>#N/A</v>
      </c>
      <c r="C238" s="15" t="e">
        <f>IF(ISNUMBER(VLOOKUP($A238,'Justice Spend Total'!$B:$AQ,33,FALSE)), VLOOKUP($A238,'Justice Spend Total'!$B:$AQ,33,FALSE), #N/A)</f>
        <v>#N/A</v>
      </c>
      <c r="D238" s="15" t="e">
        <f>IF(ISNUMBER(VLOOKUP($A238,'Justice Spend Total'!$B:$AQ,34,FALSE)), VLOOKUP($A238,'Justice Spend Total'!$B:$AQ,34,FALSE), #N/A)</f>
        <v>#N/A</v>
      </c>
      <c r="E238" t="e">
        <f>IF(ISNUMBER(VLOOKUP($A238,'Justice Spend Total'!$B:$AQ,34,FALSE)), VLOOKUP($A238,'Justice Spend Total'!$B:$AQ,35,FALSE), #N/A)</f>
        <v>#N/A</v>
      </c>
      <c r="F238" t="e">
        <f>IF(ISNUMBER(VLOOKUP($A238,'Justice Spend Total'!$B:$AQ,34,FALSE)), VLOOKUP($A238,'Justice Spend Total'!$B:$AQ,36,FALSE), #N/A)</f>
        <v>#N/A</v>
      </c>
    </row>
    <row r="239" spans="1:6">
      <c r="A239" t="s">
        <v>266</v>
      </c>
      <c r="B239" t="e">
        <f>IF(ISNUMBER(VLOOKUP($A239,'Justice Spend Total'!$B:$AQ,8,FALSE)), VLOOKUP($A239,'Justice Spend Total'!$B:$AQ,8,FALSE), #N/A)</f>
        <v>#N/A</v>
      </c>
      <c r="C239" s="15" t="e">
        <f>IF(ISNUMBER(VLOOKUP($A239,'Justice Spend Total'!$B:$AQ,33,FALSE)), VLOOKUP($A239,'Justice Spend Total'!$B:$AQ,33,FALSE), #N/A)</f>
        <v>#N/A</v>
      </c>
      <c r="D239" s="15" t="e">
        <f>IF(ISNUMBER(VLOOKUP($A239,'Justice Spend Total'!$B:$AQ,34,FALSE)), VLOOKUP($A239,'Justice Spend Total'!$B:$AQ,34,FALSE), #N/A)</f>
        <v>#N/A</v>
      </c>
      <c r="E239" t="e">
        <f>IF(ISNUMBER(VLOOKUP($A239,'Justice Spend Total'!$B:$AQ,34,FALSE)), VLOOKUP($A239,'Justice Spend Total'!$B:$AQ,35,FALSE), #N/A)</f>
        <v>#N/A</v>
      </c>
      <c r="F239" t="e">
        <f>IF(ISNUMBER(VLOOKUP($A239,'Justice Spend Total'!$B:$AQ,34,FALSE)), VLOOKUP($A239,'Justice Spend Total'!$B:$AQ,36,FALSE), #N/A)</f>
        <v>#N/A</v>
      </c>
    </row>
  </sheetData>
  <sortState xmlns:xlrd2="http://schemas.microsoft.com/office/spreadsheetml/2017/richdata2" ref="A4:Q32">
    <sortCondition ref="E4:E32"/>
  </sortState>
  <pageMargins left="0.7" right="0.7" top="0.75" bottom="0.75" header="0.3" footer="0.3"/>
  <pageSetup paperSize="9" orientation="portrait" horizontalDpi="4294967292"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18AC2-2135-4F81-A454-F8E5BC68B290}">
  <dimension ref="A1:D19"/>
  <sheetViews>
    <sheetView workbookViewId="0"/>
  </sheetViews>
  <sheetFormatPr defaultColWidth="8.85546875" defaultRowHeight="14.45"/>
  <cols>
    <col min="2" max="2" width="16.28515625" bestFit="1" customWidth="1"/>
    <col min="3" max="3" width="18.42578125" bestFit="1" customWidth="1"/>
  </cols>
  <sheetData>
    <row r="1" spans="1:4">
      <c r="B1" t="s">
        <v>92</v>
      </c>
      <c r="C1" t="s">
        <v>822</v>
      </c>
    </row>
    <row r="2" spans="1:4">
      <c r="C2" t="s">
        <v>823</v>
      </c>
    </row>
    <row r="3" spans="1:4">
      <c r="B3" t="s">
        <v>824</v>
      </c>
      <c r="C3" s="31" t="s">
        <v>825</v>
      </c>
    </row>
    <row r="5" spans="1:4">
      <c r="C5" t="s">
        <v>826</v>
      </c>
    </row>
    <row r="6" spans="1:4">
      <c r="A6" t="s">
        <v>827</v>
      </c>
      <c r="B6" t="s">
        <v>828</v>
      </c>
      <c r="C6" s="17">
        <v>22336365281</v>
      </c>
    </row>
    <row r="7" spans="1:4">
      <c r="B7" t="s">
        <v>829</v>
      </c>
      <c r="C7" s="17">
        <v>1077785532</v>
      </c>
    </row>
    <row r="8" spans="1:4">
      <c r="B8" t="s">
        <v>830</v>
      </c>
      <c r="C8" s="17">
        <v>2681717498</v>
      </c>
    </row>
    <row r="9" spans="1:4">
      <c r="B9" t="s">
        <v>801</v>
      </c>
      <c r="C9" s="17">
        <v>315000000</v>
      </c>
    </row>
    <row r="10" spans="1:4">
      <c r="B10" t="s">
        <v>831</v>
      </c>
      <c r="C10" s="17">
        <v>179830322204</v>
      </c>
      <c r="D10" t="s">
        <v>832</v>
      </c>
    </row>
    <row r="12" spans="1:4">
      <c r="B12" t="s">
        <v>764</v>
      </c>
    </row>
    <row r="14" spans="1:4">
      <c r="B14" t="s">
        <v>828</v>
      </c>
      <c r="C14" s="37">
        <f>C6/1000000000</f>
        <v>22.336365280999999</v>
      </c>
    </row>
    <row r="15" spans="1:4">
      <c r="B15" t="s">
        <v>829</v>
      </c>
      <c r="C15" s="37">
        <f t="shared" ref="C15:C18" si="0">C7/1000000000</f>
        <v>1.077785532</v>
      </c>
    </row>
    <row r="16" spans="1:4">
      <c r="B16" t="s">
        <v>830</v>
      </c>
      <c r="C16" s="37">
        <f t="shared" si="0"/>
        <v>2.6817174979999998</v>
      </c>
    </row>
    <row r="17" spans="2:3">
      <c r="B17" t="s">
        <v>801</v>
      </c>
      <c r="C17" s="37">
        <f t="shared" si="0"/>
        <v>0.315</v>
      </c>
    </row>
    <row r="18" spans="2:3">
      <c r="B18" t="s">
        <v>831</v>
      </c>
      <c r="C18" s="37">
        <f t="shared" si="0"/>
        <v>179.830322204</v>
      </c>
    </row>
    <row r="19" spans="2:3">
      <c r="B19" s="1" t="s">
        <v>478</v>
      </c>
      <c r="C19" s="37">
        <f>SUM(C14:C18)</f>
        <v>206.241190515</v>
      </c>
    </row>
  </sheetData>
  <hyperlinks>
    <hyperlink ref="C3" r:id="rId1" xr:uid="{EEC2C52D-13E8-48E7-ABD7-E308746D6E3D}"/>
  </hyperlinks>
  <pageMargins left="0.7" right="0.7" top="0.75" bottom="0.75" header="0.3" footer="0.3"/>
  <pageSetup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EAC6A-E203-4018-885D-D23351BE7221}">
  <dimension ref="A1:F10"/>
  <sheetViews>
    <sheetView workbookViewId="0">
      <selection activeCell="B7" sqref="B7"/>
    </sheetView>
  </sheetViews>
  <sheetFormatPr defaultColWidth="8.85546875" defaultRowHeight="14.45"/>
  <cols>
    <col min="2" max="2" width="24.5703125" customWidth="1"/>
    <col min="3" max="3" width="15.42578125" customWidth="1"/>
    <col min="4" max="4" width="17.140625" customWidth="1"/>
  </cols>
  <sheetData>
    <row r="1" spans="1:6">
      <c r="A1" t="s">
        <v>99</v>
      </c>
    </row>
    <row r="2" spans="1:6">
      <c r="C2" t="s">
        <v>833</v>
      </c>
      <c r="D2" t="s">
        <v>834</v>
      </c>
    </row>
    <row r="3" spans="1:6">
      <c r="B3" t="s">
        <v>835</v>
      </c>
    </row>
    <row r="4" spans="1:6">
      <c r="C4" s="167" t="s">
        <v>836</v>
      </c>
      <c r="D4" s="167"/>
      <c r="E4" s="167" t="s">
        <v>837</v>
      </c>
      <c r="F4" s="167"/>
    </row>
    <row r="5" spans="1:6">
      <c r="C5">
        <v>2021</v>
      </c>
      <c r="D5">
        <v>2022</v>
      </c>
      <c r="E5">
        <v>2021</v>
      </c>
      <c r="F5">
        <v>2022</v>
      </c>
    </row>
    <row r="6" spans="1:6">
      <c r="B6" t="s">
        <v>838</v>
      </c>
      <c r="C6">
        <v>555340</v>
      </c>
      <c r="D6">
        <v>641521</v>
      </c>
      <c r="E6" s="15">
        <f>C6/(10^6)</f>
        <v>0.55533999999999994</v>
      </c>
      <c r="F6" s="15">
        <f>D6/(10^6)</f>
        <v>0.64152100000000001</v>
      </c>
    </row>
    <row r="7" spans="1:6">
      <c r="B7" t="s">
        <v>839</v>
      </c>
      <c r="C7">
        <v>30000</v>
      </c>
      <c r="D7">
        <v>28750</v>
      </c>
      <c r="E7" s="15">
        <f t="shared" ref="E7:E10" si="0">C7/(10^6)</f>
        <v>0.03</v>
      </c>
      <c r="F7" s="15">
        <f t="shared" ref="F7:F10" si="1">D7/(10^6)</f>
        <v>2.8750000000000001E-2</v>
      </c>
    </row>
    <row r="8" spans="1:6">
      <c r="B8" t="s">
        <v>840</v>
      </c>
      <c r="C8">
        <v>6203636</v>
      </c>
      <c r="D8">
        <v>3698393</v>
      </c>
      <c r="E8" s="15">
        <f t="shared" si="0"/>
        <v>6.2036360000000004</v>
      </c>
      <c r="F8" s="15">
        <f t="shared" si="1"/>
        <v>3.6983929999999998</v>
      </c>
    </row>
    <row r="9" spans="1:6">
      <c r="B9" t="s">
        <v>841</v>
      </c>
      <c r="C9">
        <v>12931638</v>
      </c>
      <c r="D9">
        <v>9679116</v>
      </c>
      <c r="E9" s="15">
        <f t="shared" si="0"/>
        <v>12.931638</v>
      </c>
      <c r="F9" s="15">
        <f t="shared" si="1"/>
        <v>9.6791160000000005</v>
      </c>
    </row>
    <row r="10" spans="1:6">
      <c r="B10" t="s">
        <v>478</v>
      </c>
      <c r="C10">
        <f>SUM(C6:C9)</f>
        <v>19720614</v>
      </c>
      <c r="D10">
        <f>SUM(D6:D9)</f>
        <v>14047780</v>
      </c>
      <c r="E10" s="75">
        <f t="shared" si="0"/>
        <v>19.720614000000001</v>
      </c>
      <c r="F10" s="15">
        <f t="shared" si="1"/>
        <v>14.047779999999999</v>
      </c>
    </row>
  </sheetData>
  <mergeCells count="2">
    <mergeCell ref="C4:D4"/>
    <mergeCell ref="E4:F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4687C-F457-4EA3-98EF-05BDD6F2768B}">
  <dimension ref="A1:F12"/>
  <sheetViews>
    <sheetView workbookViewId="0">
      <selection activeCell="G13" sqref="G13"/>
    </sheetView>
  </sheetViews>
  <sheetFormatPr defaultColWidth="8.85546875" defaultRowHeight="14.45"/>
  <cols>
    <col min="2" max="2" width="35.42578125" bestFit="1" customWidth="1"/>
    <col min="3" max="3" width="12.5703125" bestFit="1" customWidth="1"/>
    <col min="4" max="4" width="9.28515625" bestFit="1" customWidth="1"/>
  </cols>
  <sheetData>
    <row r="1" spans="1:6">
      <c r="B1" t="s">
        <v>767</v>
      </c>
      <c r="C1" t="s">
        <v>842</v>
      </c>
    </row>
    <row r="2" spans="1:6">
      <c r="C2" t="s">
        <v>843</v>
      </c>
    </row>
    <row r="3" spans="1:6">
      <c r="B3" t="s">
        <v>844</v>
      </c>
      <c r="C3" t="s">
        <v>845</v>
      </c>
    </row>
    <row r="6" spans="1:6">
      <c r="B6" s="1" t="s">
        <v>846</v>
      </c>
      <c r="C6" t="s">
        <v>847</v>
      </c>
    </row>
    <row r="7" spans="1:6">
      <c r="A7" t="s">
        <v>848</v>
      </c>
      <c r="B7" t="s">
        <v>849</v>
      </c>
      <c r="C7" s="17">
        <v>1692510</v>
      </c>
      <c r="D7" s="37">
        <f>C7/(10^3)</f>
        <v>1692.51</v>
      </c>
    </row>
    <row r="8" spans="1:6">
      <c r="B8" t="s">
        <v>850</v>
      </c>
      <c r="C8" s="17">
        <v>39195.800000000003</v>
      </c>
      <c r="D8" s="37">
        <f t="shared" ref="D8:D11" si="0">C8/(10^3)</f>
        <v>39.195800000000006</v>
      </c>
      <c r="E8" s="13"/>
      <c r="F8" s="13"/>
    </row>
    <row r="9" spans="1:6">
      <c r="B9" t="s">
        <v>851</v>
      </c>
      <c r="C9" s="17">
        <v>7368</v>
      </c>
      <c r="D9" s="37">
        <f t="shared" si="0"/>
        <v>7.3680000000000003</v>
      </c>
    </row>
    <row r="10" spans="1:6">
      <c r="B10" t="s">
        <v>852</v>
      </c>
      <c r="C10" s="17">
        <v>17017</v>
      </c>
      <c r="D10" s="37">
        <f t="shared" si="0"/>
        <v>17.016999999999999</v>
      </c>
    </row>
    <row r="11" spans="1:6">
      <c r="B11" t="s">
        <v>853</v>
      </c>
      <c r="C11" s="17">
        <v>4798</v>
      </c>
      <c r="D11" s="37">
        <f t="shared" si="0"/>
        <v>4.798</v>
      </c>
    </row>
    <row r="12" spans="1:6">
      <c r="B12" t="s">
        <v>854</v>
      </c>
      <c r="C12" s="47">
        <f>SUM(C7:C11)</f>
        <v>1760888.8</v>
      </c>
      <c r="D12" s="47">
        <f>SUM(D7:D11)</f>
        <v>1760.8887999999999</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FCD49-3E18-46BD-ABED-B71F3F59A84A}">
  <dimension ref="A1:E12"/>
  <sheetViews>
    <sheetView workbookViewId="0">
      <selection activeCell="D12" sqref="D12:E12"/>
    </sheetView>
  </sheetViews>
  <sheetFormatPr defaultColWidth="8.85546875" defaultRowHeight="14.45"/>
  <cols>
    <col min="2" max="2" width="19.28515625" bestFit="1" customWidth="1"/>
    <col min="3" max="5" width="17.42578125" bestFit="1" customWidth="1"/>
  </cols>
  <sheetData>
    <row r="1" spans="1:5">
      <c r="B1" t="s">
        <v>855</v>
      </c>
      <c r="C1" t="s">
        <v>856</v>
      </c>
    </row>
    <row r="2" spans="1:5">
      <c r="C2" t="s">
        <v>857</v>
      </c>
    </row>
    <row r="3" spans="1:5">
      <c r="C3" t="s">
        <v>858</v>
      </c>
    </row>
    <row r="5" spans="1:5">
      <c r="C5" t="s">
        <v>859</v>
      </c>
    </row>
    <row r="6" spans="1:5">
      <c r="A6" t="s">
        <v>860</v>
      </c>
      <c r="C6">
        <v>2020</v>
      </c>
      <c r="D6">
        <v>2021</v>
      </c>
      <c r="E6">
        <v>2022</v>
      </c>
    </row>
    <row r="7" spans="1:5">
      <c r="B7" t="s">
        <v>861</v>
      </c>
      <c r="C7" s="17">
        <v>29930814058</v>
      </c>
      <c r="D7" s="17">
        <v>31436872580</v>
      </c>
      <c r="E7" s="17">
        <v>32315093814</v>
      </c>
    </row>
    <row r="11" spans="1:5">
      <c r="B11" t="s">
        <v>818</v>
      </c>
    </row>
    <row r="12" spans="1:5">
      <c r="C12" s="37">
        <f>C7/(10^9)</f>
        <v>29.930814057999999</v>
      </c>
      <c r="D12" s="37">
        <f t="shared" ref="D12:E12" si="0">D7/(10^9)</f>
        <v>31.436872579999999</v>
      </c>
      <c r="E12" s="37">
        <f t="shared" si="0"/>
        <v>32.315093814000001</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7CC9B-4094-41FC-A08A-E607BB2FF035}">
  <dimension ref="A1:C21"/>
  <sheetViews>
    <sheetView topLeftCell="A4" workbookViewId="0">
      <selection activeCell="B11" sqref="B11"/>
    </sheetView>
  </sheetViews>
  <sheetFormatPr defaultColWidth="8.85546875" defaultRowHeight="14.45"/>
  <sheetData>
    <row r="1" spans="1:3">
      <c r="B1" t="s">
        <v>92</v>
      </c>
      <c r="C1" t="s">
        <v>862</v>
      </c>
    </row>
    <row r="2" spans="1:3">
      <c r="C2" t="s">
        <v>863</v>
      </c>
    </row>
    <row r="3" spans="1:3">
      <c r="B3" t="s">
        <v>864</v>
      </c>
      <c r="C3" t="s">
        <v>865</v>
      </c>
    </row>
    <row r="5" spans="1:3">
      <c r="A5" t="s">
        <v>866</v>
      </c>
      <c r="B5" t="s">
        <v>867</v>
      </c>
    </row>
    <row r="7" spans="1:3">
      <c r="C7" t="s">
        <v>868</v>
      </c>
    </row>
    <row r="8" spans="1:3">
      <c r="B8" t="s">
        <v>869</v>
      </c>
      <c r="C8">
        <v>585.79999999999995</v>
      </c>
    </row>
    <row r="9" spans="1:3">
      <c r="A9" s="12" t="s">
        <v>870</v>
      </c>
      <c r="B9" t="s">
        <v>871</v>
      </c>
      <c r="C9">
        <v>349.4</v>
      </c>
    </row>
    <row r="10" spans="1:3">
      <c r="B10" t="s">
        <v>872</v>
      </c>
      <c r="C10">
        <v>165.4</v>
      </c>
    </row>
    <row r="11" spans="1:3">
      <c r="B11" t="s">
        <v>289</v>
      </c>
      <c r="C11">
        <v>71</v>
      </c>
    </row>
    <row r="13" spans="1:3">
      <c r="B13" t="s">
        <v>873</v>
      </c>
      <c r="C13">
        <f>C11+C10</f>
        <v>236.4</v>
      </c>
    </row>
    <row r="16" spans="1:3">
      <c r="A16" t="s">
        <v>874</v>
      </c>
      <c r="B16" t="s">
        <v>875</v>
      </c>
    </row>
    <row r="18" spans="1:3">
      <c r="C18" t="s">
        <v>868</v>
      </c>
    </row>
    <row r="19" spans="1:3">
      <c r="B19" t="s">
        <v>876</v>
      </c>
      <c r="C19">
        <v>236.4</v>
      </c>
    </row>
    <row r="20" spans="1:3">
      <c r="A20" s="12" t="s">
        <v>870</v>
      </c>
      <c r="B20" t="s">
        <v>877</v>
      </c>
      <c r="C20">
        <v>165.4</v>
      </c>
    </row>
    <row r="21" spans="1:3">
      <c r="B21" t="s">
        <v>268</v>
      </c>
      <c r="C21">
        <v>71</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D3A82-3D67-490C-958D-01CCB4E3B071}">
  <dimension ref="A1:D16"/>
  <sheetViews>
    <sheetView workbookViewId="0">
      <selection activeCell="B10" sqref="B10"/>
    </sheetView>
  </sheetViews>
  <sheetFormatPr defaultColWidth="8.85546875" defaultRowHeight="14.45"/>
  <cols>
    <col min="2" max="2" width="22.28515625" customWidth="1"/>
    <col min="3" max="3" width="18.42578125" bestFit="1" customWidth="1"/>
  </cols>
  <sheetData>
    <row r="1" spans="1:4">
      <c r="B1" t="s">
        <v>878</v>
      </c>
      <c r="C1" t="s">
        <v>879</v>
      </c>
    </row>
    <row r="2" spans="1:4">
      <c r="C2" t="s">
        <v>880</v>
      </c>
    </row>
    <row r="5" spans="1:4">
      <c r="A5" t="s">
        <v>881</v>
      </c>
      <c r="B5" t="s">
        <v>882</v>
      </c>
    </row>
    <row r="7" spans="1:4">
      <c r="C7" t="s">
        <v>854</v>
      </c>
      <c r="D7" t="s">
        <v>883</v>
      </c>
    </row>
    <row r="8" spans="1:4">
      <c r="B8" t="s">
        <v>884</v>
      </c>
      <c r="C8" s="17">
        <v>800190873494</v>
      </c>
      <c r="D8" s="37">
        <f>C8/1000000000</f>
        <v>800.19087349400002</v>
      </c>
    </row>
    <row r="9" spans="1:4">
      <c r="A9" s="12" t="s">
        <v>782</v>
      </c>
      <c r="B9" t="s">
        <v>885</v>
      </c>
      <c r="C9" s="17">
        <v>387896122922</v>
      </c>
      <c r="D9" s="37">
        <f t="shared" ref="D9:D15" si="0">C9/1000000000</f>
        <v>387.89612292200002</v>
      </c>
    </row>
    <row r="10" spans="1:4">
      <c r="B10" t="s">
        <v>877</v>
      </c>
      <c r="C10" s="17">
        <v>35336060846</v>
      </c>
      <c r="D10" s="37">
        <f t="shared" si="0"/>
        <v>35.336060846000002</v>
      </c>
    </row>
    <row r="11" spans="1:4">
      <c r="B11" t="s">
        <v>886</v>
      </c>
      <c r="C11" s="17">
        <v>26985456207</v>
      </c>
      <c r="D11" s="37">
        <f t="shared" si="0"/>
        <v>26.985456206999999</v>
      </c>
    </row>
    <row r="12" spans="1:4">
      <c r="B12" t="s">
        <v>268</v>
      </c>
      <c r="C12" s="17">
        <v>195895572839</v>
      </c>
      <c r="D12" s="37">
        <f t="shared" si="0"/>
        <v>195.89557283900001</v>
      </c>
    </row>
    <row r="13" spans="1:4">
      <c r="B13" t="s">
        <v>887</v>
      </c>
      <c r="C13" s="17">
        <v>618728855</v>
      </c>
      <c r="D13" s="37">
        <f t="shared" si="0"/>
        <v>0.61872885499999997</v>
      </c>
    </row>
    <row r="14" spans="1:4">
      <c r="B14" t="s">
        <v>888</v>
      </c>
      <c r="C14" s="17">
        <v>124039203801</v>
      </c>
      <c r="D14" s="37">
        <f t="shared" si="0"/>
        <v>124.039203801</v>
      </c>
    </row>
    <row r="15" spans="1:4">
      <c r="B15" t="s">
        <v>640</v>
      </c>
      <c r="C15" s="17">
        <v>29419728024</v>
      </c>
      <c r="D15" s="37">
        <f t="shared" si="0"/>
        <v>29.419728024000001</v>
      </c>
    </row>
    <row r="16" spans="1:4">
      <c r="C16" s="47"/>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218CD-195E-42F6-B09B-6D6845564F01}">
  <dimension ref="B1:E9"/>
  <sheetViews>
    <sheetView workbookViewId="0"/>
  </sheetViews>
  <sheetFormatPr defaultColWidth="8.85546875" defaultRowHeight="14.45"/>
  <cols>
    <col min="3" max="3" width="26.5703125" customWidth="1"/>
  </cols>
  <sheetData>
    <row r="1" spans="2:5">
      <c r="B1" t="s">
        <v>92</v>
      </c>
      <c r="C1" t="s">
        <v>889</v>
      </c>
    </row>
    <row r="2" spans="2:5">
      <c r="C2" t="s">
        <v>890</v>
      </c>
    </row>
    <row r="4" spans="2:5">
      <c r="D4" s="168" t="s">
        <v>891</v>
      </c>
      <c r="E4" s="168"/>
    </row>
    <row r="5" spans="2:5" ht="43.5">
      <c r="B5" t="s">
        <v>892</v>
      </c>
      <c r="D5" s="34" t="s">
        <v>893</v>
      </c>
      <c r="E5" s="34" t="s">
        <v>894</v>
      </c>
    </row>
    <row r="6" spans="2:5">
      <c r="C6" t="s">
        <v>895</v>
      </c>
      <c r="D6">
        <v>70</v>
      </c>
      <c r="E6">
        <v>80</v>
      </c>
    </row>
    <row r="8" spans="2:5">
      <c r="C8" t="s">
        <v>514</v>
      </c>
    </row>
    <row r="9" spans="2:5">
      <c r="C9" t="s">
        <v>896</v>
      </c>
    </row>
  </sheetData>
  <mergeCells count="1">
    <mergeCell ref="D4:E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63F42-5E91-4FEA-ABA9-40A05F7F20AD}">
  <dimension ref="A1:C16"/>
  <sheetViews>
    <sheetView workbookViewId="0">
      <selection activeCell="C16" sqref="C16"/>
    </sheetView>
  </sheetViews>
  <sheetFormatPr defaultColWidth="8.85546875" defaultRowHeight="14.45"/>
  <cols>
    <col min="3" max="3" width="12.5703125" bestFit="1" customWidth="1"/>
  </cols>
  <sheetData>
    <row r="1" spans="1:3">
      <c r="B1" t="s">
        <v>767</v>
      </c>
      <c r="C1" t="s">
        <v>897</v>
      </c>
    </row>
    <row r="2" spans="1:3">
      <c r="C2" t="s">
        <v>898</v>
      </c>
    </row>
    <row r="5" spans="1:3">
      <c r="A5" t="s">
        <v>899</v>
      </c>
      <c r="B5" t="s">
        <v>900</v>
      </c>
    </row>
    <row r="7" spans="1:3">
      <c r="B7" t="s">
        <v>267</v>
      </c>
      <c r="C7" s="17">
        <v>1029994</v>
      </c>
    </row>
    <row r="8" spans="1:3">
      <c r="B8" t="s">
        <v>745</v>
      </c>
      <c r="C8" s="17">
        <v>93582</v>
      </c>
    </row>
    <row r="9" spans="1:3">
      <c r="B9" t="s">
        <v>747</v>
      </c>
      <c r="C9" s="17">
        <v>73750</v>
      </c>
    </row>
    <row r="10" spans="1:3">
      <c r="B10" t="s">
        <v>901</v>
      </c>
      <c r="C10" s="17">
        <v>512761</v>
      </c>
    </row>
    <row r="12" spans="1:3">
      <c r="A12" t="s">
        <v>902</v>
      </c>
      <c r="B12" t="s">
        <v>903</v>
      </c>
    </row>
    <row r="13" spans="1:3">
      <c r="B13" t="s">
        <v>904</v>
      </c>
      <c r="C13" s="17">
        <v>157650</v>
      </c>
    </row>
    <row r="15" spans="1:3">
      <c r="B15" t="s">
        <v>478</v>
      </c>
      <c r="C15" s="47">
        <f>C13+SUM(C7:C10)</f>
        <v>1867737</v>
      </c>
    </row>
    <row r="16" spans="1:3">
      <c r="B16" t="s">
        <v>821</v>
      </c>
      <c r="C16" s="37">
        <f>C15/(10^6)</f>
        <v>1.867737</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7AA-D9C7-4D0D-BAF4-0FB2C5534008}">
  <dimension ref="A1:E31"/>
  <sheetViews>
    <sheetView topLeftCell="A14" workbookViewId="0"/>
  </sheetViews>
  <sheetFormatPr defaultColWidth="8.85546875" defaultRowHeight="14.45"/>
  <cols>
    <col min="2" max="2" width="20.28515625" customWidth="1"/>
    <col min="3" max="3" width="13.28515625" customWidth="1"/>
    <col min="4" max="4" width="14.5703125" customWidth="1"/>
    <col min="5" max="5" width="16.28515625" customWidth="1"/>
  </cols>
  <sheetData>
    <row r="1" spans="1:5">
      <c r="B1" t="s">
        <v>92</v>
      </c>
      <c r="C1" t="s">
        <v>905</v>
      </c>
    </row>
    <row r="2" spans="1:5">
      <c r="C2" t="s">
        <v>906</v>
      </c>
    </row>
    <row r="3" spans="1:5">
      <c r="B3">
        <v>2022</v>
      </c>
      <c r="C3" t="s">
        <v>907</v>
      </c>
    </row>
    <row r="4" spans="1:5">
      <c r="B4">
        <v>2021</v>
      </c>
      <c r="C4" t="s">
        <v>908</v>
      </c>
    </row>
    <row r="6" spans="1:5">
      <c r="B6" t="s">
        <v>909</v>
      </c>
    </row>
    <row r="7" spans="1:5">
      <c r="C7" s="162" t="s">
        <v>910</v>
      </c>
      <c r="D7" s="162"/>
      <c r="E7" s="162"/>
    </row>
    <row r="8" spans="1:5" ht="29.1">
      <c r="A8" t="s">
        <v>911</v>
      </c>
      <c r="C8" s="158" t="s">
        <v>912</v>
      </c>
      <c r="D8" s="158" t="s">
        <v>913</v>
      </c>
      <c r="E8" s="158" t="s">
        <v>914</v>
      </c>
    </row>
    <row r="9" spans="1:5">
      <c r="B9" t="s">
        <v>915</v>
      </c>
      <c r="C9" s="6">
        <v>154565</v>
      </c>
      <c r="D9" s="6">
        <v>181772</v>
      </c>
      <c r="E9" s="6">
        <v>245238</v>
      </c>
    </row>
    <row r="10" spans="1:5">
      <c r="B10" t="s">
        <v>828</v>
      </c>
      <c r="C10" s="17">
        <v>183201</v>
      </c>
      <c r="D10" s="17">
        <v>146544</v>
      </c>
      <c r="E10" s="17">
        <v>113458</v>
      </c>
    </row>
    <row r="11" spans="1:5">
      <c r="B11" t="s">
        <v>916</v>
      </c>
      <c r="C11" s="17">
        <v>1047793</v>
      </c>
      <c r="D11" s="17">
        <v>1037283</v>
      </c>
      <c r="E11" s="17">
        <v>1180324</v>
      </c>
    </row>
    <row r="12" spans="1:5">
      <c r="C12" s="6">
        <f>SUM(C9:C11)</f>
        <v>1385559</v>
      </c>
      <c r="D12" s="6">
        <f t="shared" ref="D12:E12" si="0">SUM(D9:D11)</f>
        <v>1365599</v>
      </c>
      <c r="E12" s="6">
        <f t="shared" si="0"/>
        <v>1539020</v>
      </c>
    </row>
    <row r="15" spans="1:5" ht="29.1" customHeight="1">
      <c r="C15" s="169" t="s">
        <v>917</v>
      </c>
      <c r="D15" s="169"/>
      <c r="E15" s="169"/>
    </row>
    <row r="16" spans="1:5" ht="29.1" customHeight="1">
      <c r="C16" s="158" t="s">
        <v>912</v>
      </c>
      <c r="D16" s="158" t="s">
        <v>913</v>
      </c>
      <c r="E16" s="158" t="s">
        <v>914</v>
      </c>
    </row>
    <row r="17" spans="1:5">
      <c r="A17" t="s">
        <v>918</v>
      </c>
      <c r="B17" t="s">
        <v>919</v>
      </c>
      <c r="C17" s="6">
        <v>1192880</v>
      </c>
      <c r="D17" s="6">
        <v>1219223</v>
      </c>
      <c r="E17" s="6">
        <v>1419247</v>
      </c>
    </row>
    <row r="18" spans="1:5">
      <c r="A18" s="12" t="s">
        <v>782</v>
      </c>
      <c r="B18" t="s">
        <v>920</v>
      </c>
      <c r="C18" s="6">
        <v>127263</v>
      </c>
      <c r="D18" s="6">
        <v>135242</v>
      </c>
      <c r="E18" s="6">
        <v>161314</v>
      </c>
    </row>
    <row r="19" spans="1:5">
      <c r="B19" t="s">
        <v>921</v>
      </c>
      <c r="C19" s="6">
        <v>253287</v>
      </c>
      <c r="D19" s="6">
        <v>289940</v>
      </c>
      <c r="E19" s="6">
        <v>388922</v>
      </c>
    </row>
    <row r="20" spans="1:5">
      <c r="B20" t="s">
        <v>885</v>
      </c>
      <c r="C20" s="6">
        <v>125257</v>
      </c>
      <c r="D20" s="6">
        <v>143047</v>
      </c>
      <c r="E20" s="6">
        <v>145203</v>
      </c>
    </row>
    <row r="21" spans="1:5">
      <c r="B21" t="s">
        <v>477</v>
      </c>
      <c r="C21" s="6">
        <v>86199</v>
      </c>
      <c r="D21" s="6">
        <v>99658</v>
      </c>
      <c r="E21" s="6">
        <v>117434</v>
      </c>
    </row>
    <row r="22" spans="1:5">
      <c r="B22" t="s">
        <v>272</v>
      </c>
      <c r="C22" s="6">
        <v>600875</v>
      </c>
      <c r="D22" s="6">
        <v>551336</v>
      </c>
      <c r="E22" s="6">
        <v>606374</v>
      </c>
    </row>
    <row r="23" spans="1:5">
      <c r="C23" s="6"/>
      <c r="D23" s="6"/>
      <c r="E23" s="6"/>
    </row>
    <row r="24" spans="1:5">
      <c r="C24" s="170" t="s">
        <v>883</v>
      </c>
      <c r="D24" s="170"/>
      <c r="E24" s="170"/>
    </row>
    <row r="25" spans="1:5" ht="29.1">
      <c r="C25" s="158" t="s">
        <v>912</v>
      </c>
      <c r="D25" s="158" t="s">
        <v>913</v>
      </c>
      <c r="E25" s="158" t="s">
        <v>914</v>
      </c>
    </row>
    <row r="26" spans="1:5">
      <c r="B26" t="s">
        <v>919</v>
      </c>
      <c r="C26" s="35">
        <f>C17/1000000</f>
        <v>1.1928799999999999</v>
      </c>
      <c r="D26" s="35">
        <f t="shared" ref="D26:E26" si="1">D17/1000000</f>
        <v>1.2192229999999999</v>
      </c>
      <c r="E26" s="35">
        <f t="shared" si="1"/>
        <v>1.4192469999999999</v>
      </c>
    </row>
    <row r="27" spans="1:5">
      <c r="B27" t="s">
        <v>920</v>
      </c>
      <c r="C27" s="35">
        <f t="shared" ref="C27:E31" si="2">C18/1000000</f>
        <v>0.12726299999999999</v>
      </c>
      <c r="D27" s="35">
        <f t="shared" si="2"/>
        <v>0.135242</v>
      </c>
      <c r="E27" s="35">
        <f t="shared" si="2"/>
        <v>0.16131400000000001</v>
      </c>
    </row>
    <row r="28" spans="1:5">
      <c r="B28" t="s">
        <v>921</v>
      </c>
      <c r="C28" s="35">
        <f t="shared" si="2"/>
        <v>0.25328699999999998</v>
      </c>
      <c r="D28" s="35">
        <f t="shared" si="2"/>
        <v>0.28993999999999998</v>
      </c>
      <c r="E28" s="35">
        <f t="shared" si="2"/>
        <v>0.38892199999999999</v>
      </c>
    </row>
    <row r="29" spans="1:5">
      <c r="B29" t="s">
        <v>885</v>
      </c>
      <c r="C29" s="35">
        <f t="shared" si="2"/>
        <v>0.12525700000000001</v>
      </c>
      <c r="D29" s="35">
        <f t="shared" si="2"/>
        <v>0.14304700000000001</v>
      </c>
      <c r="E29" s="35">
        <f t="shared" si="2"/>
        <v>0.145203</v>
      </c>
    </row>
    <row r="30" spans="1:5">
      <c r="B30" t="s">
        <v>477</v>
      </c>
      <c r="C30" s="35">
        <f t="shared" si="2"/>
        <v>8.6198999999999998E-2</v>
      </c>
      <c r="D30" s="35">
        <f t="shared" si="2"/>
        <v>9.9657999999999997E-2</v>
      </c>
      <c r="E30" s="35">
        <f t="shared" si="2"/>
        <v>0.117434</v>
      </c>
    </row>
    <row r="31" spans="1:5">
      <c r="B31" t="s">
        <v>272</v>
      </c>
      <c r="C31" s="35">
        <f t="shared" si="2"/>
        <v>0.60087500000000005</v>
      </c>
      <c r="D31" s="35">
        <f t="shared" si="2"/>
        <v>0.55133600000000005</v>
      </c>
      <c r="E31" s="35">
        <f t="shared" si="2"/>
        <v>0.60637399999999997</v>
      </c>
    </row>
  </sheetData>
  <mergeCells count="3">
    <mergeCell ref="C7:E7"/>
    <mergeCell ref="C15:E15"/>
    <mergeCell ref="C24:E24"/>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3994-BA7E-4EB0-B606-6C02422CF36C}">
  <dimension ref="A1:D16"/>
  <sheetViews>
    <sheetView workbookViewId="0">
      <selection activeCell="D13" sqref="D13"/>
    </sheetView>
  </sheetViews>
  <sheetFormatPr defaultColWidth="8.85546875" defaultRowHeight="14.45"/>
  <cols>
    <col min="2" max="2" width="45.5703125" bestFit="1" customWidth="1"/>
    <col min="3" max="3" width="16.28515625" bestFit="1" customWidth="1"/>
    <col min="4" max="4" width="12.28515625" bestFit="1" customWidth="1"/>
  </cols>
  <sheetData>
    <row r="1" spans="1:4">
      <c r="A1" t="s">
        <v>92</v>
      </c>
      <c r="B1" t="s">
        <v>922</v>
      </c>
    </row>
    <row r="2" spans="1:4">
      <c r="B2" t="s">
        <v>923</v>
      </c>
    </row>
    <row r="5" spans="1:4">
      <c r="B5" t="s">
        <v>924</v>
      </c>
    </row>
    <row r="6" spans="1:4">
      <c r="C6" t="s">
        <v>925</v>
      </c>
      <c r="D6" t="s">
        <v>926</v>
      </c>
    </row>
    <row r="7" spans="1:4">
      <c r="B7" t="s">
        <v>927</v>
      </c>
      <c r="C7" s="17">
        <v>60852000</v>
      </c>
      <c r="D7" s="37">
        <f t="shared" ref="D7:D15" si="0">C7/1000000000</f>
        <v>6.0852000000000003E-2</v>
      </c>
    </row>
    <row r="8" spans="1:4">
      <c r="B8" t="s">
        <v>928</v>
      </c>
      <c r="C8" s="17">
        <v>118611000</v>
      </c>
      <c r="D8" s="37">
        <f t="shared" si="0"/>
        <v>0.11861099999999999</v>
      </c>
    </row>
    <row r="9" spans="1:4">
      <c r="B9" t="s">
        <v>929</v>
      </c>
      <c r="C9" s="17">
        <v>576412000</v>
      </c>
      <c r="D9" s="37">
        <f t="shared" si="0"/>
        <v>0.57641200000000004</v>
      </c>
    </row>
    <row r="10" spans="1:4">
      <c r="B10" t="s">
        <v>930</v>
      </c>
      <c r="C10" s="17">
        <v>20362000</v>
      </c>
      <c r="D10" s="37">
        <f t="shared" si="0"/>
        <v>2.0362000000000002E-2</v>
      </c>
    </row>
    <row r="11" spans="1:4">
      <c r="B11" t="s">
        <v>931</v>
      </c>
      <c r="C11" s="17">
        <v>195539000</v>
      </c>
      <c r="D11" s="37">
        <f t="shared" si="0"/>
        <v>0.19553899999999999</v>
      </c>
    </row>
    <row r="12" spans="1:4">
      <c r="B12" t="s">
        <v>932</v>
      </c>
      <c r="C12" s="17">
        <v>5167809000</v>
      </c>
      <c r="D12" s="37">
        <f t="shared" si="0"/>
        <v>5.1678090000000001</v>
      </c>
    </row>
    <row r="13" spans="1:4">
      <c r="B13" s="12" t="s">
        <v>933</v>
      </c>
      <c r="C13" s="62">
        <v>3117952699</v>
      </c>
      <c r="D13" s="37">
        <f t="shared" si="0"/>
        <v>3.1179526989999999</v>
      </c>
    </row>
    <row r="14" spans="1:4">
      <c r="B14" s="12" t="s">
        <v>934</v>
      </c>
      <c r="C14" s="62">
        <v>517592499</v>
      </c>
      <c r="D14" s="37">
        <f t="shared" si="0"/>
        <v>0.51759249900000004</v>
      </c>
    </row>
    <row r="15" spans="1:4">
      <c r="B15" t="s">
        <v>935</v>
      </c>
      <c r="C15" s="17">
        <v>170504000</v>
      </c>
      <c r="D15" s="37">
        <f t="shared" si="0"/>
        <v>0.17050399999999999</v>
      </c>
    </row>
    <row r="16" spans="1:4">
      <c r="B16" t="s">
        <v>936</v>
      </c>
      <c r="C16" s="47">
        <f>SUM(C7:C11,C13:C15)</f>
        <v>4777825198</v>
      </c>
      <c r="D16" s="37">
        <f>C16/1000000000</f>
        <v>4.7778251980000004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89FF8-2217-48AF-B7D2-E9DF22D7D3E0}">
  <dimension ref="A2:U33"/>
  <sheetViews>
    <sheetView topLeftCell="G9" workbookViewId="0">
      <selection activeCell="Q16" sqref="Q16"/>
    </sheetView>
  </sheetViews>
  <sheetFormatPr defaultColWidth="8.85546875" defaultRowHeight="14.45"/>
  <cols>
    <col min="2" max="2" width="11.140625" customWidth="1"/>
    <col min="4" max="4" width="15.28515625" customWidth="1"/>
    <col min="5" max="5" width="15.42578125" customWidth="1"/>
  </cols>
  <sheetData>
    <row r="2" spans="1:21">
      <c r="G2" t="s">
        <v>78</v>
      </c>
    </row>
    <row r="3" spans="1:21" ht="87">
      <c r="A3" t="s">
        <v>47</v>
      </c>
      <c r="B3" t="s">
        <v>20</v>
      </c>
      <c r="C3" t="s">
        <v>79</v>
      </c>
      <c r="D3" t="s">
        <v>80</v>
      </c>
      <c r="E3" s="34" t="s">
        <v>48</v>
      </c>
      <c r="F3" s="34" t="s">
        <v>81</v>
      </c>
      <c r="G3" s="34" t="s">
        <v>82</v>
      </c>
      <c r="H3" s="34" t="s">
        <v>83</v>
      </c>
      <c r="I3" s="34" t="s">
        <v>84</v>
      </c>
      <c r="J3" s="34" t="s">
        <v>85</v>
      </c>
      <c r="K3" s="34" t="s">
        <v>86</v>
      </c>
      <c r="L3" s="34" t="s">
        <v>267</v>
      </c>
      <c r="M3" s="34" t="s">
        <v>268</v>
      </c>
      <c r="N3" s="34" t="s">
        <v>269</v>
      </c>
      <c r="O3" s="34" t="s">
        <v>270</v>
      </c>
      <c r="P3" s="34" t="s">
        <v>271</v>
      </c>
      <c r="Q3" s="34" t="s">
        <v>272</v>
      </c>
      <c r="R3" s="34"/>
      <c r="S3" s="34"/>
      <c r="T3" s="34"/>
      <c r="U3" s="34"/>
    </row>
    <row r="4" spans="1:21">
      <c r="A4" t="s">
        <v>75</v>
      </c>
      <c r="B4" s="15">
        <f>IF(ISNUMBER(VLOOKUP($A4,'Justice Spend Total'!$B:$AY, 10,FALSE)),VLOOKUP($A4,'Justice Spend Total'!$B:$AY, 10,FALSE),#N/A)</f>
        <v>966.27499999999998</v>
      </c>
      <c r="C4" s="15">
        <f>IF(ISNUMBER(VLOOKUP($A4,'Justice Spend Total'!$B:$AY, 11,FALSE)),VLOOKUP($A4,'Justice Spend Total'!$B:$AY, 11,FALSE),#N/A)</f>
        <v>41.530563124822713</v>
      </c>
      <c r="D4">
        <f>IF(ISNUMBER(VLOOKUP($A4,'Justice Spend Total'!$B:$AY, 12,FALSE)),VLOOKUP($A4,'Justice Spend Total'!$B:$AY, 12,FALSE),#N/A)</f>
        <v>2020</v>
      </c>
      <c r="E4" s="15">
        <f>IF(ISNUMBER(VLOOKUP($A4,'Justice Spend Total'!$B:$AY, 22,FALSE)),VLOOKUP($A4,'Justice Spend Total'!$B:$AY, 22,FALSE),#N/A)</f>
        <v>5.6499465673918348</v>
      </c>
      <c r="F4" s="15">
        <f>IF(ISNUMBER(VLOOKUP($A4,'Justice Spend Total'!$B:$AY, 23,FALSE)),VLOOKUP($A4,'Justice Spend Total'!$B:$AY, 23,FALSE),#N/A)</f>
        <v>2.758189876067398</v>
      </c>
      <c r="G4" s="15">
        <f>IF(ISNUMBER(VLOOKUP($A4,'Justice Spend Total'!$B:$AY, 24,FALSE)),VLOOKUP($A4,'Justice Spend Total'!$B:$AY, 24,FALSE),#N/A)</f>
        <v>0.51608750061904918</v>
      </c>
      <c r="H4" s="15">
        <f>IF(ISNUMBER(VLOOKUP($A4,'Justice Spend Total'!$B:$AY, 25,FALSE)),VLOOKUP($A4,'Justice Spend Total'!$B:$AY, 25,FALSE),#N/A)</f>
        <v>1.3441087297140182</v>
      </c>
      <c r="I4" s="15">
        <f>IF(ISNUMBER(VLOOKUP($A4,'Justice Spend Total'!$B:$AY, 26,FALSE)),VLOOKUP($A4,'Justice Spend Total'!$B:$AY, 26,FALSE),#N/A)</f>
        <v>0.57846255854828732</v>
      </c>
      <c r="J4" s="15">
        <f>IF(ISNUMBER(VLOOKUP($A4,'Justice Spend Total'!$B:$AY, 27,FALSE)),VLOOKUP($A4,'Justice Spend Total'!$B:$AY, 27,FALSE),#N/A)</f>
        <v>2.7286996117312043E-2</v>
      </c>
      <c r="K4" s="15">
        <f>IF(ISNUMBER(VLOOKUP($A4,'Justice Spend Total'!$B:$AY, 28,FALSE)),VLOOKUP($A4,'Justice Spend Total'!$B:$AY, 28,FALSE),#N/A)</f>
        <v>0.42581090632578777</v>
      </c>
      <c r="L4" s="4">
        <f t="shared" ref="L4:L19" si="0">F4/$E4</f>
        <v>0.48817981606871225</v>
      </c>
      <c r="M4" s="4">
        <f t="shared" ref="M4:M32" si="1">H4/$E4</f>
        <v>0.23789760021296882</v>
      </c>
      <c r="N4" s="4">
        <f t="shared" ref="N4:N32" si="2">I4/$E4</f>
        <v>0.10238372197833386</v>
      </c>
      <c r="O4" s="4">
        <f t="shared" ref="O4:O32" si="3">G4/$E4</f>
        <v>9.1343784310740639E-2</v>
      </c>
      <c r="P4" s="4">
        <f t="shared" ref="P4:P32" si="4">J4/$E4</f>
        <v>4.8296025089505307E-3</v>
      </c>
      <c r="Q4" s="4">
        <f t="shared" ref="Q4:Q32" si="5">K4/$E4</f>
        <v>7.5365474920297063E-2</v>
      </c>
      <c r="R4" s="4"/>
    </row>
    <row r="5" spans="1:21">
      <c r="A5" t="s">
        <v>68</v>
      </c>
      <c r="B5" s="15">
        <f>IF(ISNUMBER(VLOOKUP($A5,'Justice Spend Total'!$B:$AY, 10,FALSE)),VLOOKUP($A5,'Justice Spend Total'!$B:$AY, 10,FALSE),#N/A)</f>
        <v>20774.79</v>
      </c>
      <c r="C5" s="15">
        <f>IF(ISNUMBER(VLOOKUP($A5,'Justice Spend Total'!$B:$AY, 11,FALSE)),VLOOKUP($A5,'Justice Spend Total'!$B:$AY, 11,FALSE),#N/A)</f>
        <v>43.291202388573261</v>
      </c>
      <c r="D5">
        <f>IF(ISNUMBER(VLOOKUP($A5,'Justice Spend Total'!$B:$AY, 12,FALSE)),VLOOKUP($A5,'Justice Spend Total'!$B:$AY, 12,FALSE),#N/A)</f>
        <v>2020</v>
      </c>
      <c r="E5" s="15">
        <f>IF(ISNUMBER(VLOOKUP($A5,'Justice Spend Total'!$B:$AY, 22,FALSE)),VLOOKUP($A5,'Justice Spend Total'!$B:$AY, 22,FALSE),#N/A)</f>
        <v>4.9827226697495757</v>
      </c>
      <c r="F5" s="15">
        <f>IF(ISNUMBER(VLOOKUP($A5,'Justice Spend Total'!$B:$AY, 23,FALSE)),VLOOKUP($A5,'Justice Spend Total'!$B:$AY, 23,FALSE),#N/A)</f>
        <v>2.7951416358141477</v>
      </c>
      <c r="G5" s="15">
        <f>IF(ISNUMBER(VLOOKUP($A5,'Justice Spend Total'!$B:$AY, 24,FALSE)),VLOOKUP($A5,'Justice Spend Total'!$B:$AY, 24,FALSE),#N/A)</f>
        <v>0.49973583123590376</v>
      </c>
      <c r="H5" s="15">
        <f>IF(ISNUMBER(VLOOKUP($A5,'Justice Spend Total'!$B:$AY, 25,FALSE)),VLOOKUP($A5,'Justice Spend Total'!$B:$AY, 25,FALSE),#N/A)</f>
        <v>0.97480153299556327</v>
      </c>
      <c r="I5" s="15">
        <f>IF(ISNUMBER(VLOOKUP($A5,'Justice Spend Total'!$B:$AY, 26,FALSE)),VLOOKUP($A5,'Justice Spend Total'!$B:$AY, 26,FALSE),#N/A)</f>
        <v>0.67260091381224452</v>
      </c>
      <c r="J5" s="15">
        <f>IF(ISNUMBER(VLOOKUP($A5,'Justice Spend Total'!$B:$AY, 27,FALSE)),VLOOKUP($A5,'Justice Spend Total'!$B:$AY, 27,FALSE),#N/A)</f>
        <v>1.0644103715971594E-4</v>
      </c>
      <c r="K5" s="15">
        <f>IF(ISNUMBER(VLOOKUP($A5,'Justice Spend Total'!$B:$AY, 28,FALSE)),VLOOKUP($A5,'Justice Spend Total'!$B:$AY, 28,FALSE),#N/A)</f>
        <v>4.03363148545706E-2</v>
      </c>
      <c r="L5" s="4">
        <f t="shared" si="0"/>
        <v>0.56096672864890296</v>
      </c>
      <c r="M5" s="4">
        <f t="shared" si="1"/>
        <v>0.19563632126540878</v>
      </c>
      <c r="N5" s="4">
        <f t="shared" si="2"/>
        <v>0.13498662446048768</v>
      </c>
      <c r="O5" s="4">
        <f t="shared" si="3"/>
        <v>0.10029372781869471</v>
      </c>
      <c r="P5" s="4">
        <f t="shared" si="4"/>
        <v>2.1362023177795186E-5</v>
      </c>
      <c r="Q5" s="4">
        <f t="shared" si="5"/>
        <v>8.0952357833308525E-3</v>
      </c>
      <c r="R5" s="4"/>
    </row>
    <row r="6" spans="1:21">
      <c r="A6" t="s">
        <v>65</v>
      </c>
      <c r="B6" s="15">
        <f>IF(ISNUMBER(VLOOKUP($A6,'Justice Spend Total'!$B:$AY, 10,FALSE)),VLOOKUP($A6,'Justice Spend Total'!$B:$AY, 10,FALSE),#N/A)</f>
        <v>89.81</v>
      </c>
      <c r="C6" s="15">
        <f>IF(ISNUMBER(VLOOKUP($A6,'Justice Spend Total'!$B:$AY, 11,FALSE)),VLOOKUP($A6,'Justice Spend Total'!$B:$AY, 11,FALSE),#N/A)</f>
        <v>49.122135316961106</v>
      </c>
      <c r="D6">
        <f>IF(ISNUMBER(VLOOKUP($A6,'Justice Spend Total'!$B:$AY, 12,FALSE)),VLOOKUP($A6,'Justice Spend Total'!$B:$AY, 12,FALSE),#N/A)</f>
        <v>2021</v>
      </c>
      <c r="E6" s="15">
        <f>IF(ISNUMBER(VLOOKUP($A6,'Justice Spend Total'!$B:$AY, 22,FALSE)),VLOOKUP($A6,'Justice Spend Total'!$B:$AY, 22,FALSE),#N/A)</f>
        <v>4.814678045888118</v>
      </c>
      <c r="F6" s="15">
        <f>IF(ISNUMBER(VLOOKUP($A6,'Justice Spend Total'!$B:$AY, 23,FALSE)),VLOOKUP($A6,'Justice Spend Total'!$B:$AY, 23,FALSE),#N/A)</f>
        <v>3.0837509564688887</v>
      </c>
      <c r="G6" s="15">
        <f>IF(ISNUMBER(VLOOKUP($A6,'Justice Spend Total'!$B:$AY, 24,FALSE)),VLOOKUP($A6,'Justice Spend Total'!$B:$AY, 24,FALSE),#N/A)</f>
        <v>0.70219169868638531</v>
      </c>
      <c r="H6" s="15">
        <f>IF(ISNUMBER(VLOOKUP($A6,'Justice Spend Total'!$B:$AY, 25,FALSE)),VLOOKUP($A6,'Justice Spend Total'!$B:$AY, 25,FALSE),#N/A)</f>
        <v>0.81267640652165651</v>
      </c>
      <c r="I6" s="15">
        <f>IF(ISNUMBER(VLOOKUP($A6,'Justice Spend Total'!$B:$AY, 26,FALSE)),VLOOKUP($A6,'Justice Spend Total'!$B:$AY, 26,FALSE),#N/A)</f>
        <v>0.17677553253643272</v>
      </c>
      <c r="J6" s="15">
        <f>IF(ISNUMBER(VLOOKUP($A6,'Justice Spend Total'!$B:$AY, 27,FALSE)),VLOOKUP($A6,'Justice Spend Total'!$B:$AY, 27,FALSE),#N/A)</f>
        <v>0</v>
      </c>
      <c r="K6" s="15">
        <f>IF(ISNUMBER(VLOOKUP($A6,'Justice Spend Total'!$B:$AY, 28,FALSE)),VLOOKUP($A6,'Justice Spend Total'!$B:$AY, 28,FALSE),#N/A)</f>
        <v>3.9283451674762784E-2</v>
      </c>
      <c r="L6" s="4">
        <f t="shared" si="0"/>
        <v>0.64048954614992504</v>
      </c>
      <c r="M6" s="4">
        <f t="shared" si="1"/>
        <v>0.16879143294237647</v>
      </c>
      <c r="N6" s="4">
        <f t="shared" si="2"/>
        <v>3.6715961244263136E-2</v>
      </c>
      <c r="O6" s="4">
        <f t="shared" si="3"/>
        <v>0.14584395716471188</v>
      </c>
      <c r="P6" s="4">
        <f t="shared" si="4"/>
        <v>0</v>
      </c>
      <c r="Q6" s="4">
        <f t="shared" si="5"/>
        <v>8.1591024987251338E-3</v>
      </c>
      <c r="R6" s="4"/>
    </row>
    <row r="7" spans="1:21">
      <c r="A7" t="s">
        <v>76</v>
      </c>
      <c r="B7" s="15">
        <f>IF(ISNUMBER(VLOOKUP($A7,'Justice Spend Total'!$B:$AY, 10,FALSE)),VLOOKUP($A7,'Justice Spend Total'!$B:$AY, 10,FALSE),#N/A)</f>
        <v>36.881999999999998</v>
      </c>
      <c r="C7" s="15">
        <f>IF(ISNUMBER(VLOOKUP($A7,'Justice Spend Total'!$B:$AY, 11,FALSE)),VLOOKUP($A7,'Justice Spend Total'!$B:$AY, 11,FALSE),#N/A)</f>
        <v>40.054735607467499</v>
      </c>
      <c r="D7">
        <f>IF(ISNUMBER(VLOOKUP($A7,'Justice Spend Total'!$B:$AY, 12,FALSE)),VLOOKUP($A7,'Justice Spend Total'!$B:$AY, 12,FALSE),#N/A)</f>
        <v>2020</v>
      </c>
      <c r="E7" s="15">
        <f>IF(ISNUMBER(VLOOKUP($A7,'Justice Spend Total'!$B:$AY, 22,FALSE)),VLOOKUP($A7,'Justice Spend Total'!$B:$AY, 22,FALSE),#N/A)</f>
        <v>6.2488653886606258</v>
      </c>
      <c r="F7" s="15">
        <f>IF(ISNUMBER(VLOOKUP($A7,'Justice Spend Total'!$B:$AY, 23,FALSE)),VLOOKUP($A7,'Justice Spend Total'!$B:$AY, 23,FALSE),#N/A)</f>
        <v>2.8113473867083587</v>
      </c>
      <c r="G7" s="15">
        <f>IF(ISNUMBER(VLOOKUP($A7,'Justice Spend Total'!$B:$AY, 24,FALSE)),VLOOKUP($A7,'Justice Spend Total'!$B:$AY, 24,FALSE),#N/A)</f>
        <v>0.61248179932390046</v>
      </c>
      <c r="H7" s="15">
        <f>IF(ISNUMBER(VLOOKUP($A7,'Justice Spend Total'!$B:$AY, 25,FALSE)),VLOOKUP($A7,'Justice Spend Total'!$B:$AY, 25,FALSE),#N/A)</f>
        <v>0.81697143969368924</v>
      </c>
      <c r="I7" s="15">
        <f>IF(ISNUMBER(VLOOKUP($A7,'Justice Spend Total'!$B:$AY, 26,FALSE)),VLOOKUP($A7,'Justice Spend Total'!$B:$AY, 26,FALSE),#N/A)</f>
        <v>0.54633100541888924</v>
      </c>
      <c r="J7" s="15">
        <f>IF(ISNUMBER(VLOOKUP($A7,'Justice Spend Total'!$B:$AY, 27,FALSE)),VLOOKUP($A7,'Justice Spend Total'!$B:$AY, 27,FALSE),#N/A)</f>
        <v>5.8082027708344984E-4</v>
      </c>
      <c r="K7" s="15">
        <f>IF(ISNUMBER(VLOOKUP($A7,'Justice Spend Total'!$B:$AY, 28,FALSE)),VLOOKUP($A7,'Justice Spend Total'!$B:$AY, 28,FALSE),#N/A)</f>
        <v>1.4611529372386929</v>
      </c>
      <c r="L7" s="4">
        <f t="shared" si="0"/>
        <v>0.44989725523771273</v>
      </c>
      <c r="M7" s="4">
        <f t="shared" si="1"/>
        <v>0.13073916445314848</v>
      </c>
      <c r="N7" s="4">
        <f t="shared" si="2"/>
        <v>8.7428832506182233E-2</v>
      </c>
      <c r="O7" s="4">
        <f t="shared" si="3"/>
        <v>9.8014881299143986E-2</v>
      </c>
      <c r="P7" s="4">
        <f t="shared" si="4"/>
        <v>9.294811793152455E-5</v>
      </c>
      <c r="Q7" s="4">
        <f t="shared" si="5"/>
        <v>0.2338269183858791</v>
      </c>
      <c r="R7" s="4"/>
    </row>
    <row r="8" spans="1:21">
      <c r="A8" t="s">
        <v>62</v>
      </c>
      <c r="B8" s="15">
        <f>IF(ISNUMBER(VLOOKUP($A8,'Justice Spend Total'!$B:$AY, 10,FALSE)),VLOOKUP($A8,'Justice Spend Total'!$B:$AY, 10,FALSE),#N/A)</f>
        <v>95.75</v>
      </c>
      <c r="C8" s="15">
        <f>IF(ISNUMBER(VLOOKUP($A8,'Justice Spend Total'!$B:$AY, 11,FALSE)),VLOOKUP($A8,'Justice Spend Total'!$B:$AY, 11,FALSE),#N/A)</f>
        <v>45.319436950368711</v>
      </c>
      <c r="D8">
        <f>IF(ISNUMBER(VLOOKUP($A8,'Justice Spend Total'!$B:$AY, 12,FALSE)),VLOOKUP($A8,'Justice Spend Total'!$B:$AY, 12,FALSE),#N/A)</f>
        <v>2021</v>
      </c>
      <c r="E8" s="15">
        <f>IF(ISNUMBER(VLOOKUP($A8,'Justice Spend Total'!$B:$AY, 22,FALSE)),VLOOKUP($A8,'Justice Spend Total'!$B:$AY, 22,FALSE),#N/A)</f>
        <v>4.2070412482048241</v>
      </c>
      <c r="F8" s="15">
        <f>IF(ISNUMBER(VLOOKUP($A8,'Justice Spend Total'!$B:$AY, 23,FALSE)),VLOOKUP($A8,'Justice Spend Total'!$B:$AY, 23,FALSE),#N/A)</f>
        <v>2.4984380619043374</v>
      </c>
      <c r="G8" s="15">
        <f>IF(ISNUMBER(VLOOKUP($A8,'Justice Spend Total'!$B:$AY, 24,FALSE)),VLOOKUP($A8,'Justice Spend Total'!$B:$AY, 24,FALSE),#N/A)</f>
        <v>0.29198187522846625</v>
      </c>
      <c r="H8" s="15">
        <f>IF(ISNUMBER(VLOOKUP($A8,'Justice Spend Total'!$B:$AY, 25,FALSE)),VLOOKUP($A8,'Justice Spend Total'!$B:$AY, 25,FALSE),#N/A)</f>
        <v>0.7991711494908309</v>
      </c>
      <c r="I8" s="15">
        <f>IF(ISNUMBER(VLOOKUP($A8,'Justice Spend Total'!$B:$AY, 26,FALSE)),VLOOKUP($A8,'Justice Spend Total'!$B:$AY, 26,FALSE),#N/A)</f>
        <v>0.3272779751607181</v>
      </c>
      <c r="J8" s="15">
        <f>IF(ISNUMBER(VLOOKUP($A8,'Justice Spend Total'!$B:$AY, 27,FALSE)),VLOOKUP($A8,'Justice Spend Total'!$B:$AY, 27,FALSE),#N/A)</f>
        <v>1.4361716847394212E-2</v>
      </c>
      <c r="K8" s="15">
        <f>IF(ISNUMBER(VLOOKUP($A8,'Justice Spend Total'!$B:$AY, 28,FALSE)),VLOOKUP($A8,'Justice Spend Total'!$B:$AY, 28,FALSE),#N/A)</f>
        <v>0.2758104695730737</v>
      </c>
      <c r="L8" s="4">
        <f t="shared" si="0"/>
        <v>0.59387058849742436</v>
      </c>
      <c r="M8" s="4">
        <f t="shared" si="1"/>
        <v>0.18996037888429149</v>
      </c>
      <c r="N8" s="4">
        <f t="shared" si="2"/>
        <v>7.7792908567361929E-2</v>
      </c>
      <c r="O8" s="4">
        <f t="shared" si="3"/>
        <v>6.9403140592704457E-2</v>
      </c>
      <c r="P8" s="4">
        <f t="shared" si="4"/>
        <v>3.4137333104405534E-3</v>
      </c>
      <c r="Q8" s="4">
        <f t="shared" si="5"/>
        <v>6.5559250147776443E-2</v>
      </c>
      <c r="R8" s="4"/>
    </row>
    <row r="9" spans="1:21">
      <c r="A9" t="s">
        <v>70</v>
      </c>
      <c r="B9" s="15">
        <f>IF(ISNUMBER(VLOOKUP($A9,'Justice Spend Total'!$B:$AY, 10,FALSE)),VLOOKUP($A9,'Justice Spend Total'!$B:$AY, 10,FALSE),#N/A)</f>
        <v>2371.1</v>
      </c>
      <c r="C9" s="15">
        <f>IF(ISNUMBER(VLOOKUP($A9,'Justice Spend Total'!$B:$AY, 11,FALSE)),VLOOKUP($A9,'Justice Spend Total'!$B:$AY, 11,FALSE),#N/A)</f>
        <v>41.639227379930063</v>
      </c>
      <c r="D9">
        <f>IF(ISNUMBER(VLOOKUP($A9,'Justice Spend Total'!$B:$AY, 12,FALSE)),VLOOKUP($A9,'Justice Spend Total'!$B:$AY, 12,FALSE),#N/A)</f>
        <v>2020</v>
      </c>
      <c r="E9" s="15">
        <f>IF(ISNUMBER(VLOOKUP($A9,'Justice Spend Total'!$B:$AY, 22,FALSE)),VLOOKUP($A9,'Justice Spend Total'!$B:$AY, 22,FALSE),#N/A)</f>
        <v>5.1339470741581055</v>
      </c>
      <c r="F9" s="15">
        <f>IF(ISNUMBER(VLOOKUP($A9,'Justice Spend Total'!$B:$AY, 23,FALSE)),VLOOKUP($A9,'Justice Spend Total'!$B:$AY, 23,FALSE),#N/A)</f>
        <v>2.4676987834107256</v>
      </c>
      <c r="G9" s="15">
        <f>IF(ISNUMBER(VLOOKUP($A9,'Justice Spend Total'!$B:$AY, 24,FALSE)),VLOOKUP($A9,'Justice Spend Total'!$B:$AY, 24,FALSE),#N/A)</f>
        <v>0.71600967195452736</v>
      </c>
      <c r="H9" s="15">
        <f>IF(ISNUMBER(VLOOKUP($A9,'Justice Spend Total'!$B:$AY, 25,FALSE)),VLOOKUP($A9,'Justice Spend Total'!$B:$AY, 25,FALSE),#N/A)</f>
        <v>0.78588998921384312</v>
      </c>
      <c r="I9" s="15">
        <f>IF(ISNUMBER(VLOOKUP($A9,'Justice Spend Total'!$B:$AY, 26,FALSE)),VLOOKUP($A9,'Justice Spend Total'!$B:$AY, 26,FALSE),#N/A)</f>
        <v>0.47975768807602098</v>
      </c>
      <c r="J9" s="15">
        <f>IF(ISNUMBER(VLOOKUP($A9,'Justice Spend Total'!$B:$AY, 27,FALSE)),VLOOKUP($A9,'Justice Spend Total'!$B:$AY, 27,FALSE),#N/A)</f>
        <v>3.120786648877087E-3</v>
      </c>
      <c r="K9" s="15">
        <f>IF(ISNUMBER(VLOOKUP($A9,'Justice Spend Total'!$B:$AY, 28,FALSE)),VLOOKUP($A9,'Justice Spend Total'!$B:$AY, 28,FALSE),#N/A)</f>
        <v>0.68147015485411877</v>
      </c>
      <c r="L9" s="4">
        <f t="shared" si="0"/>
        <v>0.48066307419333754</v>
      </c>
      <c r="M9" s="4">
        <f t="shared" si="1"/>
        <v>0.15307715055530016</v>
      </c>
      <c r="N9" s="4">
        <f t="shared" si="2"/>
        <v>9.3448117237300204E-2</v>
      </c>
      <c r="O9" s="4">
        <f t="shared" si="3"/>
        <v>0.1394657291187488</v>
      </c>
      <c r="P9" s="4">
        <f t="shared" si="4"/>
        <v>6.0787277387133016E-4</v>
      </c>
      <c r="Q9" s="4">
        <f t="shared" si="5"/>
        <v>0.1327380561214434</v>
      </c>
      <c r="R9" s="4"/>
    </row>
    <row r="10" spans="1:21">
      <c r="A10" t="s">
        <v>60</v>
      </c>
      <c r="B10" s="15">
        <f>IF(ISNUMBER(VLOOKUP($A10,'Justice Spend Total'!$B:$AY, 10,FALSE)),VLOOKUP($A10,'Justice Spend Total'!$B:$AY, 10,FALSE),#N/A)</f>
        <v>22.843</v>
      </c>
      <c r="C10" s="15">
        <f>IF(ISNUMBER(VLOOKUP($A10,'Justice Spend Total'!$B:$AY, 11,FALSE)),VLOOKUP($A10,'Justice Spend Total'!$B:$AY, 11,FALSE),#N/A)</f>
        <v>43.9119569396386</v>
      </c>
      <c r="D10">
        <f>IF(ISNUMBER(VLOOKUP($A10,'Justice Spend Total'!$B:$AY, 12,FALSE)),VLOOKUP($A10,'Justice Spend Total'!$B:$AY, 12,FALSE),#N/A)</f>
        <v>2021</v>
      </c>
      <c r="E10" s="15">
        <f>IF(ISNUMBER(VLOOKUP($A10,'Justice Spend Total'!$B:$AY, 22,FALSE)),VLOOKUP($A10,'Justice Spend Total'!$B:$AY, 22,FALSE),#N/A)</f>
        <v>3.9926879257798338</v>
      </c>
      <c r="F10" s="15">
        <f>IF(ISNUMBER(VLOOKUP($A10,'Justice Spend Total'!$B:$AY, 23,FALSE)),VLOOKUP($A10,'Justice Spend Total'!$B:$AY, 23,FALSE),#N/A)</f>
        <v>2.0380765355266757</v>
      </c>
      <c r="G10" s="15">
        <f>IF(ISNUMBER(VLOOKUP($A10,'Justice Spend Total'!$B:$AY, 24,FALSE)),VLOOKUP($A10,'Justice Spend Total'!$B:$AY, 24,FALSE),#N/A)</f>
        <v>0.35724596548161741</v>
      </c>
      <c r="H10" s="15">
        <f>IF(ISNUMBER(VLOOKUP($A10,'Justice Spend Total'!$B:$AY, 25,FALSE)),VLOOKUP($A10,'Justice Spend Total'!$B:$AY, 25,FALSE),#N/A)</f>
        <v>1.1029669464965985</v>
      </c>
      <c r="I10" s="15">
        <f>IF(ISNUMBER(VLOOKUP($A10,'Justice Spend Total'!$B:$AY, 26,FALSE)),VLOOKUP($A10,'Justice Spend Total'!$B:$AY, 26,FALSE),#N/A)</f>
        <v>0.23177158362154199</v>
      </c>
      <c r="J10" s="15">
        <f>IF(ISNUMBER(VLOOKUP($A10,'Justice Spend Total'!$B:$AY, 27,FALSE)),VLOOKUP($A10,'Justice Spend Total'!$B:$AY, 27,FALSE),#N/A)</f>
        <v>3.4607262491290081E-3</v>
      </c>
      <c r="K10" s="15">
        <f>IF(ISNUMBER(VLOOKUP($A10,'Justice Spend Total'!$B:$AY, 28,FALSE)),VLOOKUP($A10,'Justice Spend Total'!$B:$AY, 28,FALSE),#N/A)</f>
        <v>0.25916616840426704</v>
      </c>
      <c r="L10" s="4">
        <f t="shared" si="0"/>
        <v>0.51045225006625272</v>
      </c>
      <c r="M10" s="4">
        <f t="shared" si="1"/>
        <v>0.27624672075545997</v>
      </c>
      <c r="N10" s="4">
        <f t="shared" si="2"/>
        <v>5.8049010573816236E-2</v>
      </c>
      <c r="O10" s="4">
        <f t="shared" si="3"/>
        <v>8.9475053428284587E-2</v>
      </c>
      <c r="P10" s="4">
        <f t="shared" si="4"/>
        <v>8.6676602666186959E-4</v>
      </c>
      <c r="Q10" s="4">
        <f t="shared" si="5"/>
        <v>6.4910199149523534E-2</v>
      </c>
      <c r="R10" s="4"/>
    </row>
    <row r="11" spans="1:21">
      <c r="A11" t="s">
        <v>69</v>
      </c>
      <c r="B11" s="15">
        <f>IF(ISNUMBER(VLOOKUP($A11,'Justice Spend Total'!$B:$AY, 10,FALSE)),VLOOKUP($A11,'Justice Spend Total'!$B:$AY, 10,FALSE),#N/A)</f>
        <v>465.37900000000002</v>
      </c>
      <c r="C11" s="15">
        <f>IF(ISNUMBER(VLOOKUP($A11,'Justice Spend Total'!$B:$AY, 11,FALSE)),VLOOKUP($A11,'Justice Spend Total'!$B:$AY, 11,FALSE),#N/A)</f>
        <v>41.479477695084448</v>
      </c>
      <c r="D11">
        <f>IF(ISNUMBER(VLOOKUP($A11,'Justice Spend Total'!$B:$AY, 12,FALSE)),VLOOKUP($A11,'Justice Spend Total'!$B:$AY, 12,FALSE),#N/A)</f>
        <v>2020</v>
      </c>
      <c r="E11" s="15">
        <f>IF(ISNUMBER(VLOOKUP($A11,'Justice Spend Total'!$B:$AY, 22,FALSE)),VLOOKUP($A11,'Justice Spend Total'!$B:$AY, 22,FALSE),#N/A)</f>
        <v>5.0253753800642604</v>
      </c>
      <c r="F11" s="15">
        <f>IF(ISNUMBER(VLOOKUP($A11,'Justice Spend Total'!$B:$AY, 23,FALSE)),VLOOKUP($A11,'Justice Spend Total'!$B:$AY, 23,FALSE),#N/A)</f>
        <v>3.1655975584344604</v>
      </c>
      <c r="G11" s="15">
        <f>IF(ISNUMBER(VLOOKUP($A11,'Justice Spend Total'!$B:$AY, 24,FALSE)),VLOOKUP($A11,'Justice Spend Total'!$B:$AY, 24,FALSE),#N/A)</f>
        <v>0.4527500716549962</v>
      </c>
      <c r="H11" s="15">
        <f>IF(ISNUMBER(VLOOKUP($A11,'Justice Spend Total'!$B:$AY, 25,FALSE)),VLOOKUP($A11,'Justice Spend Total'!$B:$AY, 25,FALSE),#N/A)</f>
        <v>0.94740155003648474</v>
      </c>
      <c r="I11" s="15">
        <f>IF(ISNUMBER(VLOOKUP($A11,'Justice Spend Total'!$B:$AY, 26,FALSE)),VLOOKUP($A11,'Justice Spend Total'!$B:$AY, 26,FALSE),#N/A)</f>
        <v>0.40311302060976345</v>
      </c>
      <c r="J11" s="15">
        <f>IF(ISNUMBER(VLOOKUP($A11,'Justice Spend Total'!$B:$AY, 27,FALSE)),VLOOKUP($A11,'Justice Spend Total'!$B:$AY, 27,FALSE),#N/A)</f>
        <v>2.1487900885381827E-4</v>
      </c>
      <c r="K11" s="15">
        <f>IF(ISNUMBER(VLOOKUP($A11,'Justice Spend Total'!$B:$AY, 28,FALSE)),VLOOKUP($A11,'Justice Spend Total'!$B:$AY, 28,FALSE),#N/A)</f>
        <v>5.6298300319700435E-2</v>
      </c>
      <c r="L11" s="4">
        <f t="shared" si="0"/>
        <v>0.62992260657630339</v>
      </c>
      <c r="M11" s="4">
        <f t="shared" si="1"/>
        <v>0.18852353871809077</v>
      </c>
      <c r="N11" s="4">
        <f t="shared" si="2"/>
        <v>8.0215504340017826E-2</v>
      </c>
      <c r="O11" s="4">
        <f t="shared" si="3"/>
        <v>9.0092786590841065E-2</v>
      </c>
      <c r="P11" s="4">
        <f t="shared" si="4"/>
        <v>4.2758797622610748E-5</v>
      </c>
      <c r="Q11" s="4">
        <f t="shared" si="5"/>
        <v>1.1202804977124024E-2</v>
      </c>
      <c r="R11" s="4"/>
    </row>
    <row r="12" spans="1:21">
      <c r="A12" t="s">
        <v>73</v>
      </c>
      <c r="B12" s="15">
        <f>IF(ISNUMBER(VLOOKUP($A12,'Justice Spend Total'!$B:$AY, 10,FALSE)),VLOOKUP($A12,'Justice Spend Total'!$B:$AY, 10,FALSE),#N/A)</f>
        <v>441148</v>
      </c>
      <c r="C12" s="15">
        <f>IF(ISNUMBER(VLOOKUP($A12,'Justice Spend Total'!$B:$AY, 11,FALSE)),VLOOKUP($A12,'Justice Spend Total'!$B:$AY, 11,FALSE),#N/A)</f>
        <v>22.92275699948766</v>
      </c>
      <c r="D12">
        <f>IF(ISNUMBER(VLOOKUP($A12,'Justice Spend Total'!$B:$AY, 12,FALSE)),VLOOKUP($A12,'Justice Spend Total'!$B:$AY, 12,FALSE),#N/A)</f>
        <v>2019</v>
      </c>
      <c r="E12" s="15">
        <f>'COFOG_OECD DAC_HIST'!W120</f>
        <v>5.5826616010953236</v>
      </c>
      <c r="F12" s="15" t="e">
        <f>IF(ISNUMBER(VLOOKUP($A12,'Justice Spend Total'!$B:$AY, 23,FALSE)),VLOOKUP($A12,'Justice Spend Total'!$B:$AY, 23,FALSE),#N/A)</f>
        <v>#N/A</v>
      </c>
      <c r="G12" s="15" t="e">
        <f>IF(ISNUMBER(VLOOKUP($A12,'Justice Spend Total'!$B:$AY, 24,FALSE)),VLOOKUP($A12,'Justice Spend Total'!$B:$AY, 24,FALSE),#N/A)</f>
        <v>#N/A</v>
      </c>
      <c r="H12" s="15" t="e">
        <f>IF(ISNUMBER(VLOOKUP($A12,'Justice Spend Total'!$B:$AY, 25,FALSE)),VLOOKUP($A12,'Justice Spend Total'!$B:$AY, 25,FALSE),#N/A)</f>
        <v>#N/A</v>
      </c>
      <c r="I12" s="15" t="e">
        <f>IF(ISNUMBER(VLOOKUP($A12,'Justice Spend Total'!$B:$AY, 26,FALSE)),VLOOKUP($A12,'Justice Spend Total'!$B:$AY, 26,FALSE),#N/A)</f>
        <v>#N/A</v>
      </c>
      <c r="J12" s="15" t="e">
        <f>IF(ISNUMBER(VLOOKUP($A12,'Justice Spend Total'!$B:$AY, 27,FALSE)),VLOOKUP($A12,'Justice Spend Total'!$B:$AY, 27,FALSE),#N/A)</f>
        <v>#N/A</v>
      </c>
      <c r="K12" s="15" t="e">
        <f>IF(ISNUMBER(VLOOKUP($A12,'Justice Spend Total'!$B:$AY, 28,FALSE)),VLOOKUP($A12,'Justice Spend Total'!$B:$AY, 28,FALSE),#N/A)</f>
        <v>#N/A</v>
      </c>
      <c r="L12" s="4" t="e">
        <f t="shared" si="0"/>
        <v>#N/A</v>
      </c>
      <c r="M12" s="4" t="e">
        <f t="shared" si="1"/>
        <v>#N/A</v>
      </c>
      <c r="N12" s="4" t="e">
        <f t="shared" si="2"/>
        <v>#N/A</v>
      </c>
      <c r="O12" s="4" t="e">
        <f t="shared" si="3"/>
        <v>#N/A</v>
      </c>
      <c r="P12" s="4" t="e">
        <f t="shared" si="4"/>
        <v>#N/A</v>
      </c>
      <c r="Q12" s="4" t="e">
        <f t="shared" si="5"/>
        <v>#N/A</v>
      </c>
      <c r="R12" s="4"/>
    </row>
    <row r="13" spans="1:21">
      <c r="A13" t="s">
        <v>63</v>
      </c>
      <c r="B13" s="15">
        <f>IF(ISNUMBER(VLOOKUP($A13,'Justice Spend Total'!$B:$AY, 10,FALSE)),VLOOKUP($A13,'Justice Spend Total'!$B:$AY, 10,FALSE),#N/A)</f>
        <v>785.39800000000002</v>
      </c>
      <c r="C13" s="15">
        <f>IF(ISNUMBER(VLOOKUP($A13,'Justice Spend Total'!$B:$AY, 11,FALSE)),VLOOKUP($A13,'Justice Spend Total'!$B:$AY, 11,FALSE),#N/A)</f>
        <v>47.399937234453461</v>
      </c>
      <c r="D13">
        <f>IF(ISNUMBER(VLOOKUP($A13,'Justice Spend Total'!$B:$AY, 12,FALSE)),VLOOKUP($A13,'Justice Spend Total'!$B:$AY, 12,FALSE),#N/A)</f>
        <v>2020</v>
      </c>
      <c r="E13" s="15">
        <f>IF(ISNUMBER(VLOOKUP($A13,'Justice Spend Total'!$B:$AY, 22,FALSE)),VLOOKUP($A13,'Justice Spend Total'!$B:$AY, 22,FALSE),#N/A)</f>
        <v>4.2647744835080026</v>
      </c>
      <c r="F13" s="15">
        <f>IF(ISNUMBER(VLOOKUP($A13,'Justice Spend Total'!$B:$AY, 23,FALSE)),VLOOKUP($A13,'Justice Spend Total'!$B:$AY, 23,FALSE),#N/A)</f>
        <v>2.6164487898192252</v>
      </c>
      <c r="G13" s="15">
        <f>IF(ISNUMBER(VLOOKUP($A13,'Justice Spend Total'!$B:$AY, 24,FALSE)),VLOOKUP($A13,'Justice Spend Total'!$B:$AY, 24,FALSE),#N/A)</f>
        <v>0.45129685956311694</v>
      </c>
      <c r="H13" s="15">
        <f>IF(ISNUMBER(VLOOKUP($A13,'Justice Spend Total'!$B:$AY, 25,FALSE)),VLOOKUP($A13,'Justice Spend Total'!$B:$AY, 25,FALSE),#N/A)</f>
        <v>0.72695455074262627</v>
      </c>
      <c r="I13" s="15">
        <f>IF(ISNUMBER(VLOOKUP($A13,'Justice Spend Total'!$B:$AY, 26,FALSE)),VLOOKUP($A13,'Justice Spend Total'!$B:$AY, 26,FALSE),#N/A)</f>
        <v>0.45231876017916867</v>
      </c>
      <c r="J13" s="15">
        <f>IF(ISNUMBER(VLOOKUP($A13,'Justice Spend Total'!$B:$AY, 27,FALSE)),VLOOKUP($A13,'Justice Spend Total'!$B:$AY, 27,FALSE),#N/A)</f>
        <v>0</v>
      </c>
      <c r="K13" s="15">
        <f>IF(ISNUMBER(VLOOKUP($A13,'Justice Spend Total'!$B:$AY, 28,FALSE)),VLOOKUP($A13,'Justice Spend Total'!$B:$AY, 28,FALSE),#N/A)</f>
        <v>1.7755523203870169E-2</v>
      </c>
      <c r="L13" s="4">
        <f t="shared" si="0"/>
        <v>0.61350226135921204</v>
      </c>
      <c r="M13" s="4">
        <f t="shared" si="1"/>
        <v>0.17045556653787416</v>
      </c>
      <c r="N13" s="4">
        <f t="shared" si="2"/>
        <v>0.10605924461616845</v>
      </c>
      <c r="O13" s="4">
        <f t="shared" si="3"/>
        <v>0.10581963039506403</v>
      </c>
      <c r="P13" s="4">
        <f t="shared" si="4"/>
        <v>0</v>
      </c>
      <c r="Q13" s="4">
        <f t="shared" si="5"/>
        <v>4.1632970916823985E-3</v>
      </c>
      <c r="R13" s="4"/>
    </row>
    <row r="14" spans="1:21">
      <c r="A14" t="s">
        <v>57</v>
      </c>
      <c r="B14" s="15">
        <f>IF(ISNUMBER(VLOOKUP($A14,'Justice Spend Total'!$B:$AY, 10,FALSE)),VLOOKUP($A14,'Justice Spend Total'!$B:$AY, 10,FALSE),#N/A)</f>
        <v>191417.7</v>
      </c>
      <c r="C14" s="15">
        <f>IF(ISNUMBER(VLOOKUP($A14,'Justice Spend Total'!$B:$AY, 11,FALSE)),VLOOKUP($A14,'Justice Spend Total'!$B:$AY, 11,FALSE),#N/A)</f>
        <v>35.569224056843062</v>
      </c>
      <c r="D14">
        <f>IF(ISNUMBER(VLOOKUP($A14,'Justice Spend Total'!$B:$AY, 12,FALSE)),VLOOKUP($A14,'Justice Spend Total'!$B:$AY, 12,FALSE),#N/A)</f>
        <v>2020</v>
      </c>
      <c r="E14" s="15">
        <f>IF(ISNUMBER(VLOOKUP($A14,'Justice Spend Total'!$B:$AY, 22,FALSE)),VLOOKUP($A14,'Justice Spend Total'!$B:$AY, 22,FALSE),#N/A)</f>
        <v>3.6215735478668494</v>
      </c>
      <c r="F14" s="15">
        <f>IF(ISNUMBER(VLOOKUP($A14,'Justice Spend Total'!$B:$AY, 23,FALSE)),VLOOKUP($A14,'Justice Spend Total'!$B:$AY, 23,FALSE),#N/A)</f>
        <v>1.8790513894598453</v>
      </c>
      <c r="G14" s="15">
        <f>IF(ISNUMBER(VLOOKUP($A14,'Justice Spend Total'!$B:$AY, 24,FALSE)),VLOOKUP($A14,'Justice Spend Total'!$B:$AY, 24,FALSE),#N/A)</f>
        <v>1.0571099292720003</v>
      </c>
      <c r="H14" s="15">
        <f>IF(ISNUMBER(VLOOKUP($A14,'Justice Spend Total'!$B:$AY, 25,FALSE)),VLOOKUP($A14,'Justice Spend Total'!$B:$AY, 25,FALSE),#N/A)</f>
        <v>0.29482172256023442</v>
      </c>
      <c r="I14" s="15">
        <f>IF(ISNUMBER(VLOOKUP($A14,'Justice Spend Total'!$B:$AY, 26,FALSE)),VLOOKUP($A14,'Justice Spend Total'!$B:$AY, 26,FALSE),#N/A)</f>
        <v>0.13224964506419412</v>
      </c>
      <c r="J14" s="15">
        <f>IF(ISNUMBER(VLOOKUP($A14,'Justice Spend Total'!$B:$AY, 27,FALSE)),VLOOKUP($A14,'Justice Spend Total'!$B:$AY, 27,FALSE),#N/A)</f>
        <v>1.3569418988433502E-3</v>
      </c>
      <c r="K14" s="15">
        <f>IF(ISNUMBER(VLOOKUP($A14,'Justice Spend Total'!$B:$AY, 28,FALSE)),VLOOKUP($A14,'Justice Spend Total'!$B:$AY, 28,FALSE),#N/A)</f>
        <v>0.25693172953868504</v>
      </c>
      <c r="L14" s="4">
        <f t="shared" si="0"/>
        <v>0.51884943509338066</v>
      </c>
      <c r="M14" s="4">
        <f t="shared" si="1"/>
        <v>8.1407078625778007E-2</v>
      </c>
      <c r="N14" s="4">
        <f t="shared" si="2"/>
        <v>3.6517177772653758E-2</v>
      </c>
      <c r="O14" s="4">
        <f t="shared" si="3"/>
        <v>0.29189243716854812</v>
      </c>
      <c r="P14" s="4">
        <f t="shared" si="4"/>
        <v>3.7468296057182254E-4</v>
      </c>
      <c r="Q14" s="4">
        <f t="shared" si="5"/>
        <v>7.0944777495964687E-2</v>
      </c>
      <c r="R14" s="4"/>
    </row>
    <row r="15" spans="1:21">
      <c r="A15" t="s">
        <v>55</v>
      </c>
      <c r="B15" s="15">
        <f>IF(ISNUMBER(VLOOKUP($A15,'Justice Spend Total'!$B:$AY, 10,FALSE)),VLOOKUP($A15,'Justice Spend Total'!$B:$AY, 10,FALSE),#N/A)</f>
        <v>1310.6199999999999</v>
      </c>
      <c r="C15" s="15">
        <f>IF(ISNUMBER(VLOOKUP($A15,'Justice Spend Total'!$B:$AY, 11,FALSE)),VLOOKUP($A15,'Justice Spend Total'!$B:$AY, 11,FALSE),#N/A)</f>
        <v>52.81372023581654</v>
      </c>
      <c r="D15">
        <f>IF(ISNUMBER(VLOOKUP($A15,'Justice Spend Total'!$B:$AY, 12,FALSE)),VLOOKUP($A15,'Justice Spend Total'!$B:$AY, 12,FALSE),#N/A)</f>
        <v>2021</v>
      </c>
      <c r="E15" s="15">
        <f>IF(ISNUMBER(VLOOKUP($A15,'Justice Spend Total'!$B:$AY, 22,FALSE)),VLOOKUP($A15,'Justice Spend Total'!$B:$AY, 22,FALSE),#N/A)</f>
        <v>3.3586684324843326</v>
      </c>
      <c r="F15" s="15">
        <f>IF(ISNUMBER(VLOOKUP($A15,'Justice Spend Total'!$B:$AY, 23,FALSE)),VLOOKUP($A15,'Justice Spend Total'!$B:$AY, 23,FALSE),#N/A)</f>
        <v>1.8928224922084176</v>
      </c>
      <c r="G15" s="15">
        <f>IF(ISNUMBER(VLOOKUP($A15,'Justice Spend Total'!$B:$AY, 24,FALSE)),VLOOKUP($A15,'Justice Spend Total'!$B:$AY, 24,FALSE),#N/A)</f>
        <v>0.54677336228599871</v>
      </c>
      <c r="H15" s="15">
        <f>IF(ISNUMBER(VLOOKUP($A15,'Justice Spend Total'!$B:$AY, 25,FALSE)),VLOOKUP($A15,'Justice Spend Total'!$B:$AY, 25,FALSE),#N/A)</f>
        <v>0.46710067235289687</v>
      </c>
      <c r="I15" s="15">
        <f>IF(ISNUMBER(VLOOKUP($A15,'Justice Spend Total'!$B:$AY, 26,FALSE)),VLOOKUP($A15,'Justice Spend Total'!$B:$AY, 26,FALSE),#N/A)</f>
        <v>0.32674847243978283</v>
      </c>
      <c r="J15" s="15">
        <f>IF(ISNUMBER(VLOOKUP($A15,'Justice Spend Total'!$B:$AY, 27,FALSE)),VLOOKUP($A15,'Justice Spend Total'!$B:$AY, 27,FALSE),#N/A)</f>
        <v>1.2333233735774406E-3</v>
      </c>
      <c r="K15" s="15">
        <f>IF(ISNUMBER(VLOOKUP($A15,'Justice Spend Total'!$B:$AY, 28,FALSE)),VLOOKUP($A15,'Justice Spend Total'!$B:$AY, 28,FALSE),#N/A)</f>
        <v>0.12390788826541362</v>
      </c>
      <c r="L15" s="4">
        <f t="shared" si="0"/>
        <v>0.56356336752429559</v>
      </c>
      <c r="M15" s="4">
        <f t="shared" si="1"/>
        <v>0.13907317192587326</v>
      </c>
      <c r="N15" s="4">
        <f t="shared" si="2"/>
        <v>9.7285123258830958E-2</v>
      </c>
      <c r="O15" s="4">
        <f t="shared" si="3"/>
        <v>0.16279468285637311</v>
      </c>
      <c r="P15" s="4">
        <f t="shared" si="4"/>
        <v>3.6720605155572878E-4</v>
      </c>
      <c r="Q15" s="4">
        <f t="shared" si="5"/>
        <v>3.6891967979632241E-2</v>
      </c>
      <c r="R15" s="4"/>
    </row>
    <row r="16" spans="1:21">
      <c r="A16" t="s">
        <v>71</v>
      </c>
      <c r="B16" s="15">
        <f>IF(ISNUMBER(VLOOKUP($A16,'Justice Spend Total'!$B:$AY, 10,FALSE)),VLOOKUP($A16,'Justice Spend Total'!$B:$AY, 10,FALSE),#N/A)</f>
        <v>122.033</v>
      </c>
      <c r="C16" s="15">
        <f>IF(ISNUMBER(VLOOKUP($A16,'Justice Spend Total'!$B:$AY, 11,FALSE)),VLOOKUP($A16,'Justice Spend Total'!$B:$AY, 11,FALSE),#N/A)</f>
        <v>37.648238415499478</v>
      </c>
      <c r="D16">
        <f>IF(ISNUMBER(VLOOKUP($A16,'Justice Spend Total'!$B:$AY, 12,FALSE)),VLOOKUP($A16,'Justice Spend Total'!$B:$AY, 12,FALSE),#N/A)</f>
        <v>2020</v>
      </c>
      <c r="E16" s="15">
        <f>IF(ISNUMBER(VLOOKUP($A16,'Justice Spend Total'!$B:$AY, 22,FALSE)),VLOOKUP($A16,'Justice Spend Total'!$B:$AY, 22,FALSE),#N/A)</f>
        <v>5.1822363589645422</v>
      </c>
      <c r="F16" s="15" t="e">
        <f>IF(ISNUMBER(VLOOKUP($A16,'Justice Spend Total'!$B:$AY, 23,FALSE)),VLOOKUP($A16,'Justice Spend Total'!$B:$AY, 23,FALSE),#N/A)</f>
        <v>#N/A</v>
      </c>
      <c r="G16" s="15" t="e">
        <f>IF(ISNUMBER(VLOOKUP($A16,'Justice Spend Total'!$B:$AY, 24,FALSE)),VLOOKUP($A16,'Justice Spend Total'!$B:$AY, 24,FALSE),#N/A)</f>
        <v>#N/A</v>
      </c>
      <c r="H16" s="15" t="e">
        <f>IF(ISNUMBER(VLOOKUP($A16,'Justice Spend Total'!$B:$AY, 25,FALSE)),VLOOKUP($A16,'Justice Spend Total'!$B:$AY, 25,FALSE),#N/A)</f>
        <v>#N/A</v>
      </c>
      <c r="I16" s="15" t="e">
        <f>IF(ISNUMBER(VLOOKUP($A16,'Justice Spend Total'!$B:$AY, 26,FALSE)),VLOOKUP($A16,'Justice Spend Total'!$B:$AY, 26,FALSE),#N/A)</f>
        <v>#N/A</v>
      </c>
      <c r="J16" s="15" t="e">
        <f>IF(ISNUMBER(VLOOKUP($A16,'Justice Spend Total'!$B:$AY, 27,FALSE)),VLOOKUP($A16,'Justice Spend Total'!$B:$AY, 27,FALSE),#N/A)</f>
        <v>#N/A</v>
      </c>
      <c r="K16" s="15" t="e">
        <f>IF(ISNUMBER(VLOOKUP($A16,'Justice Spend Total'!$B:$AY, 28,FALSE)),VLOOKUP($A16,'Justice Spend Total'!$B:$AY, 28,FALSE),#N/A)</f>
        <v>#N/A</v>
      </c>
      <c r="L16" s="4" t="e">
        <f t="shared" si="0"/>
        <v>#N/A</v>
      </c>
      <c r="M16" s="4" t="e">
        <f t="shared" si="1"/>
        <v>#N/A</v>
      </c>
      <c r="N16" s="4" t="e">
        <f t="shared" si="2"/>
        <v>#N/A</v>
      </c>
      <c r="O16" s="4" t="e">
        <f t="shared" si="3"/>
        <v>#N/A</v>
      </c>
      <c r="P16" s="4" t="e">
        <f t="shared" si="4"/>
        <v>#N/A</v>
      </c>
      <c r="Q16" s="4" t="e">
        <f t="shared" si="5"/>
        <v>#N/A</v>
      </c>
      <c r="R16" s="4"/>
    </row>
    <row r="17" spans="1:18">
      <c r="A17" t="s">
        <v>72</v>
      </c>
      <c r="B17" s="15">
        <f>IF(ISNUMBER(VLOOKUP($A17,'Justice Spend Total'!$B:$AY, 10,FALSE)),VLOOKUP($A17,'Justice Spend Total'!$B:$AY, 10,FALSE),#N/A)</f>
        <v>854.72199999999998</v>
      </c>
      <c r="C17" s="15">
        <f>IF(ISNUMBER(VLOOKUP($A17,'Justice Spend Total'!$B:$AY, 11,FALSE)),VLOOKUP($A17,'Justice Spend Total'!$B:$AY, 11,FALSE),#N/A)</f>
        <v>36.888370988973044</v>
      </c>
      <c r="D17">
        <f>IF(ISNUMBER(VLOOKUP($A17,'Justice Spend Total'!$B:$AY, 12,FALSE)),VLOOKUP($A17,'Justice Spend Total'!$B:$AY, 12,FALSE),#N/A)</f>
        <v>2021</v>
      </c>
      <c r="E17" s="15">
        <f>IF(ISNUMBER(VLOOKUP($A17,'Justice Spend Total'!$B:$AY, 22,FALSE)),VLOOKUP($A17,'Justice Spend Total'!$B:$AY, 22,FALSE),#N/A)</f>
        <v>5.4670681658715186</v>
      </c>
      <c r="F17" s="15">
        <f>IF(ISNUMBER(VLOOKUP($A17,'Justice Spend Total'!$B:$AY, 23,FALSE)),VLOOKUP($A17,'Justice Spend Total'!$B:$AY, 23,FALSE),#N/A)</f>
        <v>2.9748858481849183</v>
      </c>
      <c r="G17" s="15">
        <f>IF(ISNUMBER(VLOOKUP($A17,'Justice Spend Total'!$B:$AY, 24,FALSE)),VLOOKUP($A17,'Justice Spend Total'!$B:$AY, 24,FALSE),#N/A)</f>
        <v>0.44614463160973195</v>
      </c>
      <c r="H17" s="15">
        <f>IF(ISNUMBER(VLOOKUP($A17,'Justice Spend Total'!$B:$AY, 25,FALSE)),VLOOKUP($A17,'Justice Spend Total'!$B:$AY, 25,FALSE),#N/A)</f>
        <v>1.1123990475626662</v>
      </c>
      <c r="I17" s="15">
        <f>IF(ISNUMBER(VLOOKUP($A17,'Justice Spend Total'!$B:$AY, 26,FALSE)),VLOOKUP($A17,'Justice Spend Total'!$B:$AY, 26,FALSE),#N/A)</f>
        <v>0.60801230806830764</v>
      </c>
      <c r="J17" s="15">
        <f>IF(ISNUMBER(VLOOKUP($A17,'Justice Spend Total'!$B:$AY, 27,FALSE)),VLOOKUP($A17,'Justice Spend Total'!$B:$AY, 27,FALSE),#N/A)</f>
        <v>8.3203011263753446E-3</v>
      </c>
      <c r="K17" s="15">
        <f>IF(ISNUMBER(VLOOKUP($A17,'Justice Spend Total'!$B:$AY, 28,FALSE)),VLOOKUP($A17,'Justice Spend Total'!$B:$AY, 28,FALSE),#N/A)</f>
        <v>0.31730602931949525</v>
      </c>
      <c r="L17" s="4">
        <f t="shared" si="0"/>
        <v>0.54414647081882228</v>
      </c>
      <c r="M17" s="4">
        <f t="shared" si="1"/>
        <v>0.20347268660502169</v>
      </c>
      <c r="N17" s="4">
        <f t="shared" si="2"/>
        <v>0.11121359559111751</v>
      </c>
      <c r="O17" s="4">
        <f t="shared" si="3"/>
        <v>8.1605829317222531E-2</v>
      </c>
      <c r="P17" s="4">
        <f t="shared" si="4"/>
        <v>1.5218945280973985E-3</v>
      </c>
      <c r="Q17" s="4">
        <f t="shared" si="5"/>
        <v>5.8039523139714271E-2</v>
      </c>
      <c r="R17" s="4"/>
    </row>
    <row r="18" spans="1:18">
      <c r="A18" t="s">
        <v>64</v>
      </c>
      <c r="B18" s="15">
        <f>IF(ISNUMBER(VLOOKUP($A18,'Justice Spend Total'!$B:$AY, 10,FALSE)),VLOOKUP($A18,'Justice Spend Total'!$B:$AY, 10,FALSE),#N/A)</f>
        <v>1023.74</v>
      </c>
      <c r="C18" s="15">
        <f>IF(ISNUMBER(VLOOKUP($A18,'Justice Spend Total'!$B:$AY, 11,FALSE)),VLOOKUP($A18,'Justice Spend Total'!$B:$AY, 11,FALSE),#N/A)</f>
        <v>41.012431044359957</v>
      </c>
      <c r="D18">
        <f>IF(ISNUMBER(VLOOKUP($A18,'Justice Spend Total'!$B:$AY, 12,FALSE)),VLOOKUP($A18,'Justice Spend Total'!$B:$AY, 12,FALSE),#N/A)</f>
        <v>2021</v>
      </c>
      <c r="E18" s="15">
        <f>IF(ISNUMBER(VLOOKUP($A18,'Justice Spend Total'!$B:$AY, 22,FALSE)),VLOOKUP($A18,'Justice Spend Total'!$B:$AY, 22,FALSE),#N/A)</f>
        <v>4.5190995076261862</v>
      </c>
      <c r="F18" s="15">
        <f>IF(ISNUMBER(VLOOKUP($A18,'Justice Spend Total'!$B:$AY, 23,FALSE)),VLOOKUP($A18,'Justice Spend Total'!$B:$AY, 23,FALSE),#N/A)</f>
        <v>2.0775703677724975</v>
      </c>
      <c r="G18" s="15">
        <f>IF(ISNUMBER(VLOOKUP($A18,'Justice Spend Total'!$B:$AY, 24,FALSE)),VLOOKUP($A18,'Justice Spend Total'!$B:$AY, 24,FALSE),#N/A)</f>
        <v>0.58615703882535275</v>
      </c>
      <c r="H18" s="15">
        <f>IF(ISNUMBER(VLOOKUP($A18,'Justice Spend Total'!$B:$AY, 25,FALSE)),VLOOKUP($A18,'Justice Spend Total'!$B:$AY, 25,FALSE),#N/A)</f>
        <v>0.62725985097295445</v>
      </c>
      <c r="I18" s="15">
        <f>IF(ISNUMBER(VLOOKUP($A18,'Justice Spend Total'!$B:$AY, 26,FALSE)),VLOOKUP($A18,'Justice Spend Total'!$B:$AY, 26,FALSE),#N/A)</f>
        <v>0.61267498214638538</v>
      </c>
      <c r="J18" s="15" t="e">
        <f>IF(ISNUMBER(VLOOKUP($A18,'Justice Spend Total'!$B:$AY, 27,FALSE)),VLOOKUP($A18,'Justice Spend Total'!$B:$AY, 27,FALSE),#N/A)</f>
        <v>#N/A</v>
      </c>
      <c r="K18" s="15">
        <f>IF(ISNUMBER(VLOOKUP($A18,'Justice Spend Total'!$B:$AY, 28,FALSE)),VLOOKUP($A18,'Justice Spend Total'!$B:$AY, 28,FALSE),#N/A)</f>
        <v>0.61543726790899389</v>
      </c>
      <c r="L18" s="4">
        <f t="shared" si="0"/>
        <v>0.45973105134474312</v>
      </c>
      <c r="M18" s="4">
        <f t="shared" si="1"/>
        <v>0.13880195599021994</v>
      </c>
      <c r="N18" s="4">
        <f t="shared" si="2"/>
        <v>0.13557457212713914</v>
      </c>
      <c r="O18" s="4">
        <f t="shared" si="3"/>
        <v>0.12970660146699273</v>
      </c>
      <c r="P18" s="4" t="e">
        <f t="shared" si="4"/>
        <v>#N/A</v>
      </c>
      <c r="Q18" s="4">
        <f t="shared" si="5"/>
        <v>0.1361858190709046</v>
      </c>
      <c r="R18" s="4"/>
    </row>
    <row r="19" spans="1:18">
      <c r="A19" t="s">
        <v>58</v>
      </c>
      <c r="B19" s="15">
        <f>IF(ISNUMBER(VLOOKUP($A19,'Justice Spend Total'!$B:$AY, 10,FALSE)),VLOOKUP($A19,'Justice Spend Total'!$B:$AY, 10,FALSE),#N/A)</f>
        <v>228.97800000000001</v>
      </c>
      <c r="C19" s="15">
        <f>IF(ISNUMBER(VLOOKUP($A19,'Justice Spend Total'!$B:$AY, 11,FALSE)),VLOOKUP($A19,'Justice Spend Total'!$B:$AY, 11,FALSE),#N/A)</f>
        <v>50.116219516999571</v>
      </c>
      <c r="D19">
        <f>IF(ISNUMBER(VLOOKUP($A19,'Justice Spend Total'!$B:$AY, 12,FALSE)),VLOOKUP($A19,'Justice Spend Total'!$B:$AY, 12,FALSE),#N/A)</f>
        <v>2020</v>
      </c>
      <c r="E19" s="15">
        <f>IF(ISNUMBER(VLOOKUP($A19,'Justice Spend Total'!$B:$AY, 22,FALSE)),VLOOKUP($A19,'Justice Spend Total'!$B:$AY, 22,FALSE),#N/A)</f>
        <v>3.6316378268193934</v>
      </c>
      <c r="F19" s="15">
        <f>IF(ISNUMBER(VLOOKUP($A19,'Justice Spend Total'!$B:$AY, 23,FALSE)),VLOOKUP($A19,'Justice Spend Total'!$B:$AY, 23,FALSE),#N/A)</f>
        <v>2.1813885743343491</v>
      </c>
      <c r="G19" s="15">
        <f>IF(ISNUMBER(VLOOKUP($A19,'Justice Spend Total'!$B:$AY, 24,FALSE)),VLOOKUP($A19,'Justice Spend Total'!$B:$AY, 24,FALSE),#N/A)</f>
        <v>0.41054720086663304</v>
      </c>
      <c r="H19" s="15">
        <f>IF(ISNUMBER(VLOOKUP($A19,'Justice Spend Total'!$B:$AY, 25,FALSE)),VLOOKUP($A19,'Justice Spend Total'!$B:$AY, 25,FALSE),#N/A)</f>
        <v>0.5308411130025007</v>
      </c>
      <c r="I19" s="15">
        <f>IF(ISNUMBER(VLOOKUP($A19,'Justice Spend Total'!$B:$AY, 26,FALSE)),VLOOKUP($A19,'Justice Spend Total'!$B:$AY, 26,FALSE),#N/A)</f>
        <v>0.28056785977571125</v>
      </c>
      <c r="J19" s="15">
        <f>IF(ISNUMBER(VLOOKUP($A19,'Justice Spend Total'!$B:$AY, 27,FALSE)),VLOOKUP($A19,'Justice Spend Total'!$B:$AY, 27,FALSE),#N/A)</f>
        <v>8.0490779443851534E-3</v>
      </c>
      <c r="K19" s="15">
        <f>IF(ISNUMBER(VLOOKUP($A19,'Justice Spend Total'!$B:$AY, 28,FALSE)),VLOOKUP($A19,'Justice Spend Total'!$B:$AY, 28,FALSE),#N/A)</f>
        <v>0.2202882265988039</v>
      </c>
      <c r="L19" s="4">
        <f t="shared" si="0"/>
        <v>0.60066247747089363</v>
      </c>
      <c r="M19" s="4">
        <f t="shared" si="1"/>
        <v>0.14617126991085838</v>
      </c>
      <c r="N19" s="4">
        <f t="shared" si="2"/>
        <v>7.725656388523576E-2</v>
      </c>
      <c r="O19" s="4">
        <f t="shared" si="3"/>
        <v>0.11304739636611626</v>
      </c>
      <c r="P19" s="4">
        <f t="shared" si="4"/>
        <v>2.2163768327731559E-3</v>
      </c>
      <c r="Q19" s="4">
        <f t="shared" si="5"/>
        <v>6.0658093428807972E-2</v>
      </c>
      <c r="R19" s="4"/>
    </row>
    <row r="20" spans="1:18">
      <c r="A20" t="s">
        <v>56</v>
      </c>
      <c r="B20" s="15">
        <f>IF(ISNUMBER(VLOOKUP($A20,'Justice Spend Total'!$B:$AY, 10,FALSE)),VLOOKUP($A20,'Justice Spend Total'!$B:$AY, 10,FALSE),#N/A)</f>
        <v>1705.77</v>
      </c>
      <c r="C20" s="15">
        <f>IF(ISNUMBER(VLOOKUP($A20,'Justice Spend Total'!$B:$AY, 11,FALSE)),VLOOKUP($A20,'Justice Spend Total'!$B:$AY, 11,FALSE),#N/A)</f>
        <v>47.772375665850745</v>
      </c>
      <c r="D20">
        <f>IF(ISNUMBER(VLOOKUP($A20,'Justice Spend Total'!$B:$AY, 12,FALSE)),VLOOKUP($A20,'Justice Spend Total'!$B:$AY, 12,FALSE),#N/A)</f>
        <v>2021</v>
      </c>
      <c r="E20" s="15">
        <f>IF(ISNUMBER(VLOOKUP($A20,'Justice Spend Total'!$B:$AY, 22,FALSE)),VLOOKUP($A20,'Justice Spend Total'!$B:$AY, 22,FALSE),#N/A)</f>
        <v>3.5912676468270579</v>
      </c>
      <c r="F20" s="15">
        <f>IF(ISNUMBER(VLOOKUP($A20,'Justice Spend Total'!$B:$AY, 23,FALSE)),VLOOKUP($A20,'Justice Spend Total'!$B:$AY, 23,FALSE),#N/A)</f>
        <v>1.69801225977282</v>
      </c>
      <c r="G20" s="15">
        <f>IF(ISNUMBER(VLOOKUP($A20,'Justice Spend Total'!$B:$AY, 24,FALSE)),VLOOKUP($A20,'Justice Spend Total'!$B:$AY, 24,FALSE),#N/A)</f>
        <v>0.65858036725456848</v>
      </c>
      <c r="H20" s="15">
        <f>IF(ISNUMBER(VLOOKUP($A20,'Justice Spend Total'!$B:$AY, 25,FALSE)),VLOOKUP($A20,'Justice Spend Total'!$B:$AY, 25,FALSE),#N/A)</f>
        <v>0.8287110388143365</v>
      </c>
      <c r="I20" s="15">
        <f>IF(ISNUMBER(VLOOKUP($A20,'Justice Spend Total'!$B:$AY, 26,FALSE)),VLOOKUP($A20,'Justice Spend Total'!$B:$AY, 26,FALSE),#N/A)</f>
        <v>0.20680480244039132</v>
      </c>
      <c r="J20" s="15">
        <f>IF(ISNUMBER(VLOOKUP($A20,'Justice Spend Total'!$B:$AY, 27,FALSE)),VLOOKUP($A20,'Justice Spend Total'!$B:$AY, 27,FALSE),#N/A)</f>
        <v>1.9891054036947774E-3</v>
      </c>
      <c r="K20" s="15">
        <f>IF(ISNUMBER(VLOOKUP($A20,'Justice Spend Total'!$B:$AY, 28,FALSE)),VLOOKUP($A20,'Justice Spend Total'!$B:$AY, 28,FALSE),#N/A)</f>
        <v>0.19717007314124468</v>
      </c>
      <c r="L20" s="4">
        <f t="shared" ref="L20:L32" si="6">F20/$E20</f>
        <v>0.47281696235395904</v>
      </c>
      <c r="M20" s="4">
        <f t="shared" si="1"/>
        <v>0.2307572479446125</v>
      </c>
      <c r="N20" s="4">
        <f t="shared" si="2"/>
        <v>5.7585460839463372E-2</v>
      </c>
      <c r="O20" s="4">
        <f t="shared" si="3"/>
        <v>0.18338381652964092</v>
      </c>
      <c r="P20" s="4">
        <f t="shared" si="4"/>
        <v>5.538727823453046E-4</v>
      </c>
      <c r="Q20" s="4">
        <f t="shared" si="5"/>
        <v>5.4902639549978288E-2</v>
      </c>
      <c r="R20" s="4"/>
    </row>
    <row r="21" spans="1:18">
      <c r="A21" t="s">
        <v>53</v>
      </c>
      <c r="B21" s="15">
        <f>IF(ISNUMBER(VLOOKUP($A21,'Justice Spend Total'!$B:$AY, 10,FALSE)),VLOOKUP($A21,'Justice Spend Total'!$B:$AY, 10,FALSE),#N/A)</f>
        <v>184.91499999999999</v>
      </c>
      <c r="C21" s="15">
        <f>IF(ISNUMBER(VLOOKUP($A21,'Justice Spend Total'!$B:$AY, 11,FALSE)),VLOOKUP($A21,'Justice Spend Total'!$B:$AY, 11,FALSE),#N/A)</f>
        <v>48.748948779529734</v>
      </c>
      <c r="D21">
        <f>IF(ISNUMBER(VLOOKUP($A21,'Justice Spend Total'!$B:$AY, 12,FALSE)),VLOOKUP($A21,'Justice Spend Total'!$B:$AY, 12,FALSE),#N/A)</f>
        <v>2020</v>
      </c>
      <c r="E21" s="15">
        <f>IF(ISNUMBER(VLOOKUP($A21,'Justice Spend Total'!$B:$AY, 22,FALSE)),VLOOKUP($A21,'Justice Spend Total'!$B:$AY, 22,FALSE),#N/A)</f>
        <v>2.9337578452132038</v>
      </c>
      <c r="F21" s="15">
        <f>IF(ISNUMBER(VLOOKUP($A21,'Justice Spend Total'!$B:$AY, 23,FALSE)),VLOOKUP($A21,'Justice Spend Total'!$B:$AY, 23,FALSE),#N/A)</f>
        <v>1.4895610408931321</v>
      </c>
      <c r="G21" s="15">
        <f>IF(ISNUMBER(VLOOKUP($A21,'Justice Spend Total'!$B:$AY, 24,FALSE)),VLOOKUP($A21,'Justice Spend Total'!$B:$AY, 24,FALSE),#N/A)</f>
        <v>0.35834012096966933</v>
      </c>
      <c r="H21" s="15">
        <f>IF(ISNUMBER(VLOOKUP($A21,'Justice Spend Total'!$B:$AY, 25,FALSE)),VLOOKUP($A21,'Justice Spend Total'!$B:$AY, 25,FALSE),#N/A)</f>
        <v>0.58526955878447229</v>
      </c>
      <c r="I21" s="15">
        <f>IF(ISNUMBER(VLOOKUP($A21,'Justice Spend Total'!$B:$AY, 26,FALSE)),VLOOKUP($A21,'Justice Spend Total'!$B:$AY, 26,FALSE),#N/A)</f>
        <v>0.31439402423458473</v>
      </c>
      <c r="J21" s="15">
        <f>IF(ISNUMBER(VLOOKUP($A21,'Justice Spend Total'!$B:$AY, 27,FALSE)),VLOOKUP($A21,'Justice Spend Total'!$B:$AY, 27,FALSE),#N/A)</f>
        <v>5.7337233983833072E-2</v>
      </c>
      <c r="K21" s="15">
        <f>IF(ISNUMBER(VLOOKUP($A21,'Justice Spend Total'!$B:$AY, 28,FALSE)),VLOOKUP($A21,'Justice Spend Total'!$B:$AY, 28,FALSE),#N/A)</f>
        <v>0.12885586634750601</v>
      </c>
      <c r="L21" s="4">
        <f t="shared" si="6"/>
        <v>0.50773142143396022</v>
      </c>
      <c r="M21" s="4">
        <f t="shared" si="1"/>
        <v>0.1994948423365662</v>
      </c>
      <c r="N21" s="4">
        <f t="shared" si="2"/>
        <v>0.10716427217998181</v>
      </c>
      <c r="O21" s="4">
        <f t="shared" si="3"/>
        <v>0.12214372824067482</v>
      </c>
      <c r="P21" s="4">
        <f t="shared" si="4"/>
        <v>1.9543955912171146E-2</v>
      </c>
      <c r="Q21" s="4">
        <f t="shared" si="5"/>
        <v>4.3921779896643691E-2</v>
      </c>
      <c r="R21" s="4"/>
    </row>
    <row r="22" spans="1:18">
      <c r="A22" t="s">
        <v>50</v>
      </c>
      <c r="B22" s="15">
        <f>IF(ISNUMBER(VLOOKUP($A22,'Justice Spend Total'!$B:$AY, 10,FALSE)),VLOOKUP($A22,'Justice Spend Total'!$B:$AY, 10,FALSE),#N/A)</f>
        <v>122.492</v>
      </c>
      <c r="C22" s="15">
        <f>IF(ISNUMBER(VLOOKUP($A22,'Justice Spend Total'!$B:$AY, 11,FALSE)),VLOOKUP($A22,'Justice Spend Total'!$B:$AY, 11,FALSE),#N/A)</f>
        <v>51.468308157734413</v>
      </c>
      <c r="D22">
        <f>IF(ISNUMBER(VLOOKUP($A22,'Justice Spend Total'!$B:$AY, 12,FALSE)),VLOOKUP($A22,'Justice Spend Total'!$B:$AY, 12,FALSE),#N/A)</f>
        <v>2020</v>
      </c>
      <c r="E22" s="15">
        <f>IF(ISNUMBER(VLOOKUP($A22,'Justice Spend Total'!$B:$AY, 22,FALSE)),VLOOKUP($A22,'Justice Spend Total'!$B:$AY, 22,FALSE),#N/A)</f>
        <v>2.2688017089777439</v>
      </c>
      <c r="F22" s="15">
        <f>IF(ISNUMBER(VLOOKUP($A22,'Justice Spend Total'!$B:$AY, 23,FALSE)),VLOOKUP($A22,'Justice Spend Total'!$B:$AY, 23,FALSE),#N/A)</f>
        <v>1.0381536463850289</v>
      </c>
      <c r="G22" s="15">
        <f>IF(ISNUMBER(VLOOKUP($A22,'Justice Spend Total'!$B:$AY, 24,FALSE)),VLOOKUP($A22,'Justice Spend Total'!$B:$AY, 24,FALSE),#N/A)</f>
        <v>0.48946229762210269</v>
      </c>
      <c r="H22" s="15">
        <f>IF(ISNUMBER(VLOOKUP($A22,'Justice Spend Total'!$B:$AY, 25,FALSE)),VLOOKUP($A22,'Justice Spend Total'!$B:$AY, 25,FALSE),#N/A)</f>
        <v>0.46560615202371308</v>
      </c>
      <c r="I22" s="15">
        <f>IF(ISNUMBER(VLOOKUP($A22,'Justice Spend Total'!$B:$AY, 26,FALSE)),VLOOKUP($A22,'Justice Spend Total'!$B:$AY, 26,FALSE),#N/A)</f>
        <v>0.18591341052536986</v>
      </c>
      <c r="J22" s="15">
        <f>IF(ISNUMBER(VLOOKUP($A22,'Justice Spend Total'!$B:$AY, 27,FALSE)),VLOOKUP($A22,'Justice Spend Total'!$B:$AY, 27,FALSE),#N/A)</f>
        <v>2.467877130867734E-3</v>
      </c>
      <c r="K22" s="15">
        <f>IF(ISNUMBER(VLOOKUP($A22,'Justice Spend Total'!$B:$AY, 28,FALSE)),VLOOKUP($A22,'Justice Spend Total'!$B:$AY, 28,FALSE),#N/A)</f>
        <v>8.71983252906601E-2</v>
      </c>
      <c r="L22" s="4">
        <f t="shared" si="6"/>
        <v>0.45757795503988347</v>
      </c>
      <c r="M22" s="4">
        <f t="shared" si="1"/>
        <v>0.20522117476432158</v>
      </c>
      <c r="N22" s="4">
        <f t="shared" si="2"/>
        <v>8.1943437273386502E-2</v>
      </c>
      <c r="O22" s="4">
        <f t="shared" si="3"/>
        <v>0.21573604060913731</v>
      </c>
      <c r="P22" s="4">
        <f t="shared" si="4"/>
        <v>1.0877447425670741E-3</v>
      </c>
      <c r="Q22" s="4">
        <f t="shared" si="5"/>
        <v>3.8433647570703361E-2</v>
      </c>
      <c r="R22" s="4"/>
    </row>
    <row r="23" spans="1:18">
      <c r="A23" t="s">
        <v>66</v>
      </c>
      <c r="B23" s="15">
        <f>IF(ISNUMBER(VLOOKUP($A23,'Justice Spend Total'!$B:$AY, 10,FALSE)),VLOOKUP($A23,'Justice Spend Total'!$B:$AY, 10,FALSE),#N/A)</f>
        <v>328.59800000000001</v>
      </c>
      <c r="C23" s="15">
        <f>IF(ISNUMBER(VLOOKUP($A23,'Justice Spend Total'!$B:$AY, 11,FALSE)),VLOOKUP($A23,'Justice Spend Total'!$B:$AY, 11,FALSE),#N/A)</f>
        <v>41.069872952586884</v>
      </c>
      <c r="D23">
        <f>IF(ISNUMBER(VLOOKUP($A23,'Justice Spend Total'!$B:$AY, 12,FALSE)),VLOOKUP($A23,'Justice Spend Total'!$B:$AY, 12,FALSE),#N/A)</f>
        <v>2020</v>
      </c>
      <c r="E23" s="15">
        <f>IF(ISNUMBER(VLOOKUP($A23,'Justice Spend Total'!$B:$AY, 22,FALSE)),VLOOKUP($A23,'Justice Spend Total'!$B:$AY, 22,FALSE),#N/A)</f>
        <v>4.8244359369198815</v>
      </c>
      <c r="F23" s="15">
        <f>IF(ISNUMBER(VLOOKUP($A23,'Justice Spend Total'!$B:$AY, 23,FALSE)),VLOOKUP($A23,'Justice Spend Total'!$B:$AY, 23,FALSE),#N/A)</f>
        <v>2.1953876773443532</v>
      </c>
      <c r="G23" s="15">
        <f>IF(ISNUMBER(VLOOKUP($A23,'Justice Spend Total'!$B:$AY, 24,FALSE)),VLOOKUP($A23,'Justice Spend Total'!$B:$AY, 24,FALSE),#N/A)</f>
        <v>0.50913273970018047</v>
      </c>
      <c r="H23" s="15">
        <f>IF(ISNUMBER(VLOOKUP($A23,'Justice Spend Total'!$B:$AY, 25,FALSE)),VLOOKUP($A23,'Justice Spend Total'!$B:$AY, 25,FALSE),#N/A)</f>
        <v>0.70785579948751853</v>
      </c>
      <c r="I23" s="15">
        <f>IF(ISNUMBER(VLOOKUP($A23,'Justice Spend Total'!$B:$AY, 26,FALSE)),VLOOKUP($A23,'Justice Spend Total'!$B:$AY, 26,FALSE),#N/A)</f>
        <v>0.8767551841459772</v>
      </c>
      <c r="J23" s="15">
        <f>IF(ISNUMBER(VLOOKUP($A23,'Justice Spend Total'!$B:$AY, 27,FALSE)),VLOOKUP($A23,'Justice Spend Total'!$B:$AY, 27,FALSE),#N/A)</f>
        <v>5.3560885945745151E-2</v>
      </c>
      <c r="K23" s="15">
        <f>IF(ISNUMBER(VLOOKUP($A23,'Justice Spend Total'!$B:$AY, 28,FALSE)),VLOOKUP($A23,'Justice Spend Total'!$B:$AY, 28,FALSE),#N/A)</f>
        <v>0.48174365029610561</v>
      </c>
      <c r="L23" s="4">
        <f t="shared" si="6"/>
        <v>0.45505582539582423</v>
      </c>
      <c r="M23" s="4">
        <f t="shared" si="1"/>
        <v>0.14672301772535148</v>
      </c>
      <c r="N23" s="4">
        <f t="shared" si="2"/>
        <v>0.18173216425913075</v>
      </c>
      <c r="O23" s="4">
        <f t="shared" si="3"/>
        <v>0.10553207594777013</v>
      </c>
      <c r="P23" s="4">
        <f t="shared" si="4"/>
        <v>1.1101999621522723E-2</v>
      </c>
      <c r="Q23" s="4">
        <f t="shared" si="5"/>
        <v>9.9854917050400421E-2</v>
      </c>
      <c r="R23" s="4"/>
    </row>
    <row r="24" spans="1:18">
      <c r="A24" t="s">
        <v>74</v>
      </c>
      <c r="B24" s="15">
        <f>IF(ISNUMBER(VLOOKUP($A24,'Justice Spend Total'!$B:$AY, 10,FALSE)),VLOOKUP($A24,'Justice Spend Total'!$B:$AY, 10,FALSE),#N/A)</f>
        <v>709.49699999999996</v>
      </c>
      <c r="C24" s="15">
        <f>IF(ISNUMBER(VLOOKUP($A24,'Justice Spend Total'!$B:$AY, 11,FALSE)),VLOOKUP($A24,'Justice Spend Total'!$B:$AY, 11,FALSE),#N/A)</f>
        <v>36.089820542036293</v>
      </c>
      <c r="D24">
        <f>IF(ISNUMBER(VLOOKUP($A24,'Justice Spend Total'!$B:$AY, 12,FALSE)),VLOOKUP($A24,'Justice Spend Total'!$B:$AY, 12,FALSE),#N/A)</f>
        <v>2020</v>
      </c>
      <c r="E24" s="15">
        <f>IF(ISNUMBER(VLOOKUP($A24,'Justice Spend Total'!$B:$AY, 22,FALSE)),VLOOKUP($A24,'Justice Spend Total'!$B:$AY, 22,FALSE),#N/A)</f>
        <v>5.5920195991271333</v>
      </c>
      <c r="F24" s="15">
        <f>IF(ISNUMBER(VLOOKUP($A24,'Justice Spend Total'!$B:$AY, 23,FALSE)),VLOOKUP($A24,'Justice Spend Total'!$B:$AY, 23,FALSE),#N/A)</f>
        <v>1.8677125912320978</v>
      </c>
      <c r="G24" s="15">
        <f>IF(ISNUMBER(VLOOKUP($A24,'Justice Spend Total'!$B:$AY, 24,FALSE)),VLOOKUP($A24,'Justice Spend Total'!$B:$AY, 24,FALSE),#N/A)</f>
        <v>0.75941354398978167</v>
      </c>
      <c r="H24" s="15">
        <f>IF(ISNUMBER(VLOOKUP($A24,'Justice Spend Total'!$B:$AY, 25,FALSE)),VLOOKUP($A24,'Justice Spend Total'!$B:$AY, 25,FALSE),#N/A)</f>
        <v>1.1253281500634362</v>
      </c>
      <c r="I24" s="15">
        <f>IF(ISNUMBER(VLOOKUP($A24,'Justice Spend Total'!$B:$AY, 26,FALSE)),VLOOKUP($A24,'Justice Spend Total'!$B:$AY, 26,FALSE),#N/A)</f>
        <v>0.9619332048128556</v>
      </c>
      <c r="J24" s="15">
        <f>IF(ISNUMBER(VLOOKUP($A24,'Justice Spend Total'!$B:$AY, 27,FALSE)),VLOOKUP($A24,'Justice Spend Total'!$B:$AY, 27,FALSE),#N/A)</f>
        <v>4.5035643824449566E-3</v>
      </c>
      <c r="K24" s="15">
        <f>IF(ISNUMBER(VLOOKUP($A24,'Justice Spend Total'!$B:$AY, 28,FALSE)),VLOOKUP($A24,'Justice Spend Total'!$B:$AY, 28,FALSE),#N/A)</f>
        <v>0.87312854464651912</v>
      </c>
      <c r="L24" s="4">
        <f t="shared" si="6"/>
        <v>0.33399607389137759</v>
      </c>
      <c r="M24" s="4">
        <f t="shared" si="1"/>
        <v>0.20123823425781454</v>
      </c>
      <c r="N24" s="4">
        <f t="shared" si="2"/>
        <v>0.17201892585694892</v>
      </c>
      <c r="O24" s="4">
        <f t="shared" si="3"/>
        <v>0.13580309055217182</v>
      </c>
      <c r="P24" s="4">
        <f t="shared" si="4"/>
        <v>8.0535561483867564E-4</v>
      </c>
      <c r="Q24" s="4">
        <f t="shared" si="5"/>
        <v>0.15613831982684878</v>
      </c>
      <c r="R24" s="4"/>
    </row>
    <row r="25" spans="1:18">
      <c r="A25" t="s">
        <v>52</v>
      </c>
      <c r="B25" s="15">
        <f>IF(ISNUMBER(VLOOKUP($A25,'Justice Spend Total'!$B:$AY, 10,FALSE)),VLOOKUP($A25,'Justice Spend Total'!$B:$AY, 10,FALSE),#N/A)</f>
        <v>2424.83</v>
      </c>
      <c r="C25" s="15">
        <f>IF(ISNUMBER(VLOOKUP($A25,'Justice Spend Total'!$B:$AY, 11,FALSE)),VLOOKUP($A25,'Justice Spend Total'!$B:$AY, 11,FALSE),#N/A)</f>
        <v>48.620484995769218</v>
      </c>
      <c r="D25">
        <f>IF(ISNUMBER(VLOOKUP($A25,'Justice Spend Total'!$B:$AY, 12,FALSE)),VLOOKUP($A25,'Justice Spend Total'!$B:$AY, 12,FALSE),#N/A)</f>
        <v>2020</v>
      </c>
      <c r="E25" s="15">
        <f>IF(ISNUMBER(VLOOKUP($A25,'Justice Spend Total'!$B:$AY, 22,FALSE)),VLOOKUP($A25,'Justice Spend Total'!$B:$AY, 22,FALSE),#N/A)</f>
        <v>2.8760157631548267</v>
      </c>
      <c r="F25" s="15">
        <f>IF(ISNUMBER(VLOOKUP($A25,'Justice Spend Total'!$B:$AY, 23,FALSE)),VLOOKUP($A25,'Justice Spend Total'!$B:$AY, 23,FALSE),#N/A)</f>
        <v>1.4622759670595156</v>
      </c>
      <c r="G25" s="15">
        <f>IF(ISNUMBER(VLOOKUP($A25,'Justice Spend Total'!$B:$AY, 24,FALSE)),VLOOKUP($A25,'Justice Spend Total'!$B:$AY, 24,FALSE),#N/A)</f>
        <v>0.39328331047445941</v>
      </c>
      <c r="H25" s="15">
        <f>IF(ISNUMBER(VLOOKUP($A25,'Justice Spend Total'!$B:$AY, 25,FALSE)),VLOOKUP($A25,'Justice Spend Total'!$B:$AY, 25,FALSE),#N/A)</f>
        <v>0.55374983488674978</v>
      </c>
      <c r="I25" s="15">
        <f>IF(ISNUMBER(VLOOKUP($A25,'Justice Spend Total'!$B:$AY, 26,FALSE)),VLOOKUP($A25,'Justice Spend Total'!$B:$AY, 26,FALSE),#N/A)</f>
        <v>0.44371800513285037</v>
      </c>
      <c r="J25" s="15">
        <f>IF(ISNUMBER(VLOOKUP($A25,'Justice Spend Total'!$B:$AY, 27,FALSE)),VLOOKUP($A25,'Justice Spend Total'!$B:$AY, 27,FALSE),#N/A)</f>
        <v>0</v>
      </c>
      <c r="K25" s="15">
        <f>IF(ISNUMBER(VLOOKUP($A25,'Justice Spend Total'!$B:$AY, 28,FALSE)),VLOOKUP($A25,'Justice Spend Total'!$B:$AY, 28,FALSE),#N/A)</f>
        <v>2.2988645601246058E-2</v>
      </c>
      <c r="L25" s="4">
        <f t="shared" si="6"/>
        <v>0.50843809195798062</v>
      </c>
      <c r="M25" s="4">
        <f t="shared" si="1"/>
        <v>0.19254061190517174</v>
      </c>
      <c r="N25" s="4">
        <f t="shared" si="2"/>
        <v>0.15428218816371048</v>
      </c>
      <c r="O25" s="4">
        <f t="shared" si="3"/>
        <v>0.13674588140749613</v>
      </c>
      <c r="P25" s="4">
        <f t="shared" si="4"/>
        <v>0</v>
      </c>
      <c r="Q25" s="4">
        <f t="shared" si="5"/>
        <v>7.9932265656391301E-3</v>
      </c>
      <c r="R25" s="4"/>
    </row>
    <row r="26" spans="1:18">
      <c r="A26" t="s">
        <v>59</v>
      </c>
      <c r="B26" s="15">
        <f>IF(ISNUMBER(VLOOKUP($A26,'Justice Spend Total'!$B:$AY, 10,FALSE)),VLOOKUP($A26,'Justice Spend Total'!$B:$AY, 10,FALSE),#N/A)</f>
        <v>1231.6099999999999</v>
      </c>
      <c r="C26" s="15">
        <f>IF(ISNUMBER(VLOOKUP($A26,'Justice Spend Total'!$B:$AY, 11,FALSE)),VLOOKUP($A26,'Justice Spend Total'!$B:$AY, 11,FALSE),#N/A)</f>
        <v>42.056432198383455</v>
      </c>
      <c r="D26">
        <f>IF(ISNUMBER(VLOOKUP($A26,'Justice Spend Total'!$B:$AY, 12,FALSE)),VLOOKUP($A26,'Justice Spend Total'!$B:$AY, 12,FALSE),#N/A)</f>
        <v>2020</v>
      </c>
      <c r="E26" s="15">
        <f>IF(ISNUMBER(VLOOKUP($A26,'Justice Spend Total'!$B:$AY, 22,FALSE)),VLOOKUP($A26,'Justice Spend Total'!$B:$AY, 22,FALSE),#N/A)</f>
        <v>3.7817087899709736</v>
      </c>
      <c r="F26" s="15">
        <f>IF(ISNUMBER(VLOOKUP($A26,'Justice Spend Total'!$B:$AY, 23,FALSE)),VLOOKUP($A26,'Justice Spend Total'!$B:$AY, 23,FALSE),#N/A)</f>
        <v>2.1155731072844337</v>
      </c>
      <c r="G26" s="15">
        <f>IF(ISNUMBER(VLOOKUP($A26,'Justice Spend Total'!$B:$AY, 24,FALSE)),VLOOKUP($A26,'Justice Spend Total'!$B:$AY, 24,FALSE),#N/A)</f>
        <v>0.23695000335615893</v>
      </c>
      <c r="H26" s="15">
        <f>IF(ISNUMBER(VLOOKUP($A26,'Justice Spend Total'!$B:$AY, 25,FALSE)),VLOOKUP($A26,'Justice Spend Total'!$B:$AY, 25,FALSE),#N/A)</f>
        <v>0.59163518228178669</v>
      </c>
      <c r="I26" s="15">
        <f>IF(ISNUMBER(VLOOKUP($A26,'Justice Spend Total'!$B:$AY, 26,FALSE)),VLOOKUP($A26,'Justice Spend Total'!$B:$AY, 26,FALSE),#N/A)</f>
        <v>0.18249562869120178</v>
      </c>
      <c r="J26" s="15">
        <f>IF(ISNUMBER(VLOOKUP($A26,'Justice Spend Total'!$B:$AY, 27,FALSE)),VLOOKUP($A26,'Justice Spend Total'!$B:$AY, 27,FALSE),#N/A)</f>
        <v>0</v>
      </c>
      <c r="K26" s="15">
        <f>IF(ISNUMBER(VLOOKUP($A26,'Justice Spend Total'!$B:$AY, 28,FALSE)),VLOOKUP($A26,'Justice Spend Total'!$B:$AY, 28,FALSE),#N/A)</f>
        <v>0.65505486835739546</v>
      </c>
      <c r="L26" s="4">
        <f t="shared" si="6"/>
        <v>0.5594225321883316</v>
      </c>
      <c r="M26" s="4">
        <f t="shared" si="1"/>
        <v>0.15644652064452794</v>
      </c>
      <c r="N26" s="4">
        <f t="shared" si="2"/>
        <v>4.8257451545496322E-2</v>
      </c>
      <c r="O26" s="4">
        <f t="shared" si="3"/>
        <v>6.2656861359749919E-2</v>
      </c>
      <c r="P26" s="4">
        <f t="shared" si="4"/>
        <v>0</v>
      </c>
      <c r="Q26" s="4">
        <f t="shared" si="5"/>
        <v>0.17321663426189496</v>
      </c>
      <c r="R26" s="4"/>
    </row>
    <row r="27" spans="1:18">
      <c r="A27" t="s">
        <v>49</v>
      </c>
      <c r="B27" s="15">
        <f>IF(ISNUMBER(VLOOKUP($A27,'Justice Spend Total'!$B:$AY, 10,FALSE)),VLOOKUP($A27,'Justice Spend Total'!$B:$AY, 10,FALSE),#N/A)</f>
        <v>1240.52</v>
      </c>
      <c r="C27" s="15">
        <f>IF(ISNUMBER(VLOOKUP($A27,'Justice Spend Total'!$B:$AY, 11,FALSE)),VLOOKUP($A27,'Justice Spend Total'!$B:$AY, 11,FALSE),#N/A)</f>
        <v>53.251257748244306</v>
      </c>
      <c r="D27">
        <f>IF(ISNUMBER(VLOOKUP($A27,'Justice Spend Total'!$B:$AY, 12,FALSE)),VLOOKUP($A27,'Justice Spend Total'!$B:$AY, 12,FALSE),#N/A)</f>
        <v>2020</v>
      </c>
      <c r="E27" s="15">
        <f>IF(ISNUMBER(VLOOKUP($A27,'Justice Spend Total'!$B:$AY, 22,FALSE)),VLOOKUP($A27,'Justice Spend Total'!$B:$AY, 22,FALSE),#N/A)</f>
        <v>1.8717948950808341</v>
      </c>
      <c r="F27" s="15">
        <f>IF(ISNUMBER(VLOOKUP($A27,'Justice Spend Total'!$B:$AY, 23,FALSE)),VLOOKUP($A27,'Justice Spend Total'!$B:$AY, 23,FALSE),#N/A)</f>
        <v>1.0926864686830617</v>
      </c>
      <c r="G27" s="15">
        <f>IF(ISNUMBER(VLOOKUP($A27,'Justice Spend Total'!$B:$AY, 24,FALSE)),VLOOKUP($A27,'Justice Spend Total'!$B:$AY, 24,FALSE),#N/A)</f>
        <v>0.11591908092705601</v>
      </c>
      <c r="H27" s="15">
        <f>IF(ISNUMBER(VLOOKUP($A27,'Justice Spend Total'!$B:$AY, 25,FALSE)),VLOOKUP($A27,'Justice Spend Total'!$B:$AY, 25,FALSE),#N/A)</f>
        <v>0.31019236676447148</v>
      </c>
      <c r="I27" s="15">
        <f>IF(ISNUMBER(VLOOKUP($A27,'Justice Spend Total'!$B:$AY, 26,FALSE)),VLOOKUP($A27,'Justice Spend Total'!$B:$AY, 26,FALSE),#N/A)</f>
        <v>0.31567393665532012</v>
      </c>
      <c r="J27" s="15">
        <f>IF(ISNUMBER(VLOOKUP($A27,'Justice Spend Total'!$B:$AY, 27,FALSE)),VLOOKUP($A27,'Justice Spend Total'!$B:$AY, 27,FALSE),#N/A)</f>
        <v>0</v>
      </c>
      <c r="K27" s="15">
        <f>IF(ISNUMBER(VLOOKUP($A27,'Justice Spend Total'!$B:$AY, 28,FALSE)),VLOOKUP($A27,'Justice Spend Total'!$B:$AY, 28,FALSE),#N/A)</f>
        <v>3.7323042050922788E-2</v>
      </c>
      <c r="L27" s="4">
        <f t="shared" si="6"/>
        <v>0.58376399655469391</v>
      </c>
      <c r="M27" s="4">
        <f t="shared" si="1"/>
        <v>0.16571920757967221</v>
      </c>
      <c r="N27" s="4">
        <f t="shared" si="2"/>
        <v>0.16864771748492649</v>
      </c>
      <c r="O27" s="4">
        <f t="shared" si="3"/>
        <v>6.1929371231696839E-2</v>
      </c>
      <c r="P27" s="4">
        <f t="shared" si="4"/>
        <v>0</v>
      </c>
      <c r="Q27" s="4">
        <f t="shared" si="5"/>
        <v>1.9939707149009497E-2</v>
      </c>
      <c r="R27" s="4"/>
    </row>
    <row r="28" spans="1:18">
      <c r="A28" t="s">
        <v>77</v>
      </c>
      <c r="B28" s="15">
        <f>IF(ISNUMBER(VLOOKUP($A28,'Justice Spend Total'!$B:$AY, 10,FALSE)),VLOOKUP($A28,'Justice Spend Total'!$B:$AY, 10,FALSE),#N/A)</f>
        <v>6436.15</v>
      </c>
      <c r="C28" s="15">
        <f>IF(ISNUMBER(VLOOKUP($A28,'Justice Spend Total'!$B:$AY, 11,FALSE)),VLOOKUP($A28,'Justice Spend Total'!$B:$AY, 11,FALSE),#N/A)</f>
        <v>30.804187855219862</v>
      </c>
      <c r="D28">
        <f>IF(ISNUMBER(VLOOKUP($A28,'Justice Spend Total'!$B:$AY, 12,FALSE)),VLOOKUP($A28,'Justice Spend Total'!$B:$AY, 12,FALSE),#N/A)</f>
        <v>2020</v>
      </c>
      <c r="E28" s="15">
        <f>'COFOG_OECD DAC_HIST'!X133</f>
        <v>6.3624993202457985</v>
      </c>
      <c r="F28" s="15">
        <f>'COFOG_OECD DAC_HIST'!AU133</f>
        <v>2.9645051777848557</v>
      </c>
      <c r="G28" s="15">
        <f>'COFOG_OECD DAC_HIST'!BQ133</f>
        <v>0.99438328814586363</v>
      </c>
      <c r="H28" s="15">
        <f>'COFOG_OECD DAC_HIST'!CM133</f>
        <v>0.98039977315631244</v>
      </c>
      <c r="I28" s="15">
        <f>'COFOG_OECD DAC_HIST'!DI133</f>
        <v>1.4232110811587673</v>
      </c>
      <c r="J28" s="15">
        <v>0</v>
      </c>
      <c r="K28" s="15">
        <f>E28-(SUM(F28:I28))</f>
        <v>0</v>
      </c>
      <c r="L28" s="4">
        <f t="shared" si="6"/>
        <v>0.46593406593406594</v>
      </c>
      <c r="M28" s="4">
        <f t="shared" si="1"/>
        <v>0.15409035409035413</v>
      </c>
      <c r="N28" s="4">
        <f t="shared" si="2"/>
        <v>0.2236874236874237</v>
      </c>
      <c r="O28" s="4">
        <f t="shared" si="3"/>
        <v>0.15628815628815632</v>
      </c>
      <c r="P28" s="4">
        <f t="shared" si="4"/>
        <v>0</v>
      </c>
      <c r="Q28" s="4">
        <f t="shared" si="5"/>
        <v>0</v>
      </c>
      <c r="R28" s="4"/>
    </row>
    <row r="29" spans="1:18">
      <c r="A29" t="s">
        <v>61</v>
      </c>
      <c r="B29" s="15">
        <f>IF(ISNUMBER(VLOOKUP($A29,'Justice Spend Total'!$B:$AY, 10,FALSE)),VLOOKUP($A29,'Justice Spend Total'!$B:$AY, 10,FALSE),#N/A)</f>
        <v>83.616</v>
      </c>
      <c r="C29" s="15">
        <f>IF(ISNUMBER(VLOOKUP($A29,'Justice Spend Total'!$B:$AY, 11,FALSE)),VLOOKUP($A29,'Justice Spend Total'!$B:$AY, 11,FALSE),#N/A)</f>
        <v>22.425033993171866</v>
      </c>
      <c r="D29">
        <f>IF(ISNUMBER(VLOOKUP($A29,'Justice Spend Total'!$B:$AY, 12,FALSE)),VLOOKUP($A29,'Justice Spend Total'!$B:$AY, 12,FALSE),#N/A)</f>
        <v>2020</v>
      </c>
      <c r="E29" s="15">
        <f>IF(ISNUMBER(VLOOKUP($A29,'Justice Spend Total'!$B:$AY, 22,FALSE)),VLOOKUP($A29,'Justice Spend Total'!$B:$AY, 22,FALSE),#N/A)</f>
        <v>4.1719395809414452</v>
      </c>
      <c r="F29" s="15">
        <f>IF(ISNUMBER(VLOOKUP($A29,'Justice Spend Total'!$B:$AY, 23,FALSE)),VLOOKUP($A29,'Justice Spend Total'!$B:$AY, 23,FALSE),#N/A)</f>
        <v>2.3501746077305796</v>
      </c>
      <c r="G29" s="15">
        <f>IF(ISNUMBER(VLOOKUP($A29,'Justice Spend Total'!$B:$AY, 24,FALSE)),VLOOKUP($A29,'Justice Spend Total'!$B:$AY, 24,FALSE),#N/A)</f>
        <v>0.44465174129353219</v>
      </c>
      <c r="H29" s="15">
        <f>IF(ISNUMBER(VLOOKUP($A29,'Justice Spend Total'!$B:$AY, 25,FALSE)),VLOOKUP($A29,'Justice Spend Total'!$B:$AY, 25,FALSE),#N/A)</f>
        <v>0.88441207424416324</v>
      </c>
      <c r="I29" s="15">
        <f>IF(ISNUMBER(VLOOKUP($A29,'Justice Spend Total'!$B:$AY, 26,FALSE)),VLOOKUP($A29,'Justice Spend Total'!$B:$AY, 26,FALSE),#N/A)</f>
        <v>0.24872512437810923</v>
      </c>
      <c r="J29" s="15">
        <f>IF(ISNUMBER(VLOOKUP($A29,'Justice Spend Total'!$B:$AY, 27,FALSE)),VLOOKUP($A29,'Justice Spend Total'!$B:$AY, 27,FALSE),#N/A)</f>
        <v>9.3881553769613281E-4</v>
      </c>
      <c r="K29" s="15">
        <f>IF(ISNUMBER(VLOOKUP($A29,'Justice Spend Total'!$B:$AY, 28,FALSE)),VLOOKUP($A29,'Justice Spend Total'!$B:$AY, 28,FALSE),#N/A)</f>
        <v>0.24303721775736711</v>
      </c>
      <c r="L29" s="4">
        <f t="shared" si="6"/>
        <v>0.56332901331237306</v>
      </c>
      <c r="M29" s="4">
        <f t="shared" si="1"/>
        <v>0.21199062380586672</v>
      </c>
      <c r="N29" s="4">
        <f t="shared" si="2"/>
        <v>5.9618582568729719E-2</v>
      </c>
      <c r="O29" s="4">
        <f t="shared" si="3"/>
        <v>0.10658153903398368</v>
      </c>
      <c r="P29" s="4">
        <f t="shared" si="4"/>
        <v>2.2503095250585544E-4</v>
      </c>
      <c r="Q29" s="4">
        <f t="shared" si="5"/>
        <v>5.8255210326541455E-2</v>
      </c>
      <c r="R29" s="4"/>
    </row>
    <row r="30" spans="1:18">
      <c r="A30" t="s">
        <v>54</v>
      </c>
      <c r="B30" s="15">
        <f>IF(ISNUMBER(VLOOKUP($A30,'Justice Spend Total'!$B:$AY, 10,FALSE)),VLOOKUP($A30,'Justice Spend Total'!$B:$AY, 10,FALSE),#N/A)</f>
        <v>28.202999999999999</v>
      </c>
      <c r="C30" s="15">
        <f>IF(ISNUMBER(VLOOKUP($A30,'Justice Spend Total'!$B:$AY, 11,FALSE)),VLOOKUP($A30,'Justice Spend Total'!$B:$AY, 11,FALSE),#N/A)</f>
        <v>43.915541645256226</v>
      </c>
      <c r="D30">
        <f>IF(ISNUMBER(VLOOKUP($A30,'Justice Spend Total'!$B:$AY, 12,FALSE)),VLOOKUP($A30,'Justice Spend Total'!$B:$AY, 12,FALSE),#N/A)</f>
        <v>2020</v>
      </c>
      <c r="E30" s="15">
        <f>IF(ISNUMBER(VLOOKUP($A30,'Justice Spend Total'!$B:$AY, 22,FALSE)),VLOOKUP($A30,'Justice Spend Total'!$B:$AY, 22,FALSE),#N/A)</f>
        <v>2.9497514856108795</v>
      </c>
      <c r="F30" s="15">
        <f>IF(ISNUMBER(VLOOKUP($A30,'Justice Spend Total'!$B:$AY, 23,FALSE)),VLOOKUP($A30,'Justice Spend Total'!$B:$AY, 23,FALSE),#N/A)</f>
        <v>1.2163161309693518</v>
      </c>
      <c r="G30" s="15">
        <f>IF(ISNUMBER(VLOOKUP($A30,'Justice Spend Total'!$B:$AY, 24,FALSE)),VLOOKUP($A30,'Justice Spend Total'!$B:$AY, 24,FALSE),#N/A)</f>
        <v>0.64924438168179743</v>
      </c>
      <c r="H30" s="15">
        <f>IF(ISNUMBER(VLOOKUP($A30,'Justice Spend Total'!$B:$AY, 25,FALSE)),VLOOKUP($A30,'Justice Spend Total'!$B:$AY, 25,FALSE),#N/A)</f>
        <v>0.53735441633848069</v>
      </c>
      <c r="I30" s="15">
        <f>IF(ISNUMBER(VLOOKUP($A30,'Justice Spend Total'!$B:$AY, 26,FALSE)),VLOOKUP($A30,'Justice Spend Total'!$B:$AY, 26,FALSE),#N/A)</f>
        <v>0.40855208996668901</v>
      </c>
      <c r="J30" s="15">
        <f>IF(ISNUMBER(VLOOKUP($A30,'Justice Spend Total'!$B:$AY, 27,FALSE)),VLOOKUP($A30,'Justice Spend Total'!$B:$AY, 27,FALSE),#N/A)</f>
        <v>3.883381975031814E-2</v>
      </c>
      <c r="K30" s="15">
        <f>IF(ISNUMBER(VLOOKUP($A30,'Justice Spend Total'!$B:$AY, 28,FALSE)),VLOOKUP($A30,'Justice Spend Total'!$B:$AY, 28,FALSE),#N/A)</f>
        <v>9.9447096870432516E-2</v>
      </c>
      <c r="L30" s="4">
        <f t="shared" si="6"/>
        <v>0.41234528973123258</v>
      </c>
      <c r="M30" s="4">
        <f t="shared" si="1"/>
        <v>0.18216938578037437</v>
      </c>
      <c r="N30" s="4">
        <f t="shared" si="2"/>
        <v>0.13850390175566937</v>
      </c>
      <c r="O30" s="4">
        <f t="shared" si="3"/>
        <v>0.22010138306527272</v>
      </c>
      <c r="P30" s="4">
        <f t="shared" si="4"/>
        <v>1.3165115752887176E-2</v>
      </c>
      <c r="Q30" s="4">
        <f t="shared" si="5"/>
        <v>3.3713720411886659E-2</v>
      </c>
      <c r="R30" s="4"/>
    </row>
    <row r="31" spans="1:18">
      <c r="A31" t="s">
        <v>51</v>
      </c>
      <c r="B31" s="15">
        <f>IF(ISNUMBER(VLOOKUP($A31,'Justice Spend Total'!$B:$AY, 10,FALSE)),VLOOKUP($A31,'Justice Spend Total'!$B:$AY, 10,FALSE),#N/A)</f>
        <v>2071.4299999999998</v>
      </c>
      <c r="C31" s="15">
        <f>IF(ISNUMBER(VLOOKUP($A31,'Justice Spend Total'!$B:$AY, 11,FALSE)),VLOOKUP($A31,'Justice Spend Total'!$B:$AY, 11,FALSE),#N/A)</f>
        <v>49.984677121615391</v>
      </c>
      <c r="D31">
        <f>IF(ISNUMBER(VLOOKUP($A31,'Justice Spend Total'!$B:$AY, 12,FALSE)),VLOOKUP($A31,'Justice Spend Total'!$B:$AY, 12,FALSE),#N/A)</f>
        <v>2021</v>
      </c>
      <c r="E31" s="15">
        <f>IF(ISNUMBER(VLOOKUP($A31,'Justice Spend Total'!$B:$AY, 22,FALSE)),VLOOKUP($A31,'Justice Spend Total'!$B:$AY, 22,FALSE),#N/A)</f>
        <v>2.59494485451527</v>
      </c>
      <c r="F31" s="15">
        <f>IF(ISNUMBER(VLOOKUP($A31,'Justice Spend Total'!$B:$AY, 23,FALSE)),VLOOKUP($A31,'Justice Spend Total'!$B:$AY, 23,FALSE),#N/A)</f>
        <v>1.2701896078386221</v>
      </c>
      <c r="G31" s="15">
        <f>IF(ISNUMBER(VLOOKUP($A31,'Justice Spend Total'!$B:$AY, 24,FALSE)),VLOOKUP($A31,'Justice Spend Total'!$B:$AY, 24,FALSE),#N/A)</f>
        <v>0.5904928155672825</v>
      </c>
      <c r="H31" s="15">
        <f>IF(ISNUMBER(VLOOKUP($A31,'Justice Spend Total'!$B:$AY, 25,FALSE)),VLOOKUP($A31,'Justice Spend Total'!$B:$AY, 25,FALSE),#N/A)</f>
        <v>0.33354785244599555</v>
      </c>
      <c r="I31" s="15">
        <f>IF(ISNUMBER(VLOOKUP($A31,'Justice Spend Total'!$B:$AY, 26,FALSE)),VLOOKUP($A31,'Justice Spend Total'!$B:$AY, 26,FALSE),#N/A)</f>
        <v>0.29638929710409445</v>
      </c>
      <c r="J31" s="15">
        <f>IF(ISNUMBER(VLOOKUP($A31,'Justice Spend Total'!$B:$AY, 27,FALSE)),VLOOKUP($A31,'Justice Spend Total'!$B:$AY, 27,FALSE),#N/A)</f>
        <v>5.5210345634181486E-2</v>
      </c>
      <c r="K31" s="15">
        <f>IF(ISNUMBER(VLOOKUP($A31,'Justice Spend Total'!$B:$AY, 28,FALSE)),VLOOKUP($A31,'Justice Spend Total'!$B:$AY, 28,FALSE),#N/A)</f>
        <v>4.9114935925099967E-2</v>
      </c>
      <c r="L31" s="4">
        <f t="shared" si="6"/>
        <v>0.48948616600790568</v>
      </c>
      <c r="M31" s="4">
        <f t="shared" si="1"/>
        <v>0.12853754940711506</v>
      </c>
      <c r="N31" s="4">
        <f t="shared" si="2"/>
        <v>0.11421795595708692</v>
      </c>
      <c r="O31" s="4">
        <f t="shared" si="3"/>
        <v>0.22755505364201092</v>
      </c>
      <c r="P31" s="4">
        <f t="shared" si="4"/>
        <v>2.1276115189158677E-2</v>
      </c>
      <c r="Q31" s="4">
        <f t="shared" si="5"/>
        <v>1.8927159796725056E-2</v>
      </c>
      <c r="R31" s="4"/>
    </row>
    <row r="32" spans="1:18">
      <c r="A32" t="s">
        <v>67</v>
      </c>
      <c r="B32" s="15">
        <f>IF(ISNUMBER(VLOOKUP($A32,'Justice Spend Total'!$B:$AY, 10,FALSE)),VLOOKUP($A32,'Justice Spend Total'!$B:$AY, 10,FALSE),#N/A)</f>
        <v>238.78700000000001</v>
      </c>
      <c r="C32" s="15">
        <f>IF(ISNUMBER(VLOOKUP($A32,'Justice Spend Total'!$B:$AY, 11,FALSE)),VLOOKUP($A32,'Justice Spend Total'!$B:$AY, 11,FALSE),#N/A)</f>
        <v>32.806540782343951</v>
      </c>
      <c r="D32">
        <f>IF(ISNUMBER(VLOOKUP($A32,'Justice Spend Total'!$B:$AY, 12,FALSE)),VLOOKUP($A32,'Justice Spend Total'!$B:$AY, 12,FALSE),#N/A)</f>
        <v>2019</v>
      </c>
      <c r="E32" s="15">
        <f>IF(ISNUMBER(VLOOKUP($A32,'Justice Spend Total'!$B:$AY, 22,FALSE)),VLOOKUP($A32,'Justice Spend Total'!$B:$AY, 22,FALSE),#N/A)</f>
        <v>4.917265226815668</v>
      </c>
      <c r="F32" s="15">
        <f>IF(ISNUMBER(VLOOKUP($A32,'Justice Spend Total'!$B:$AY, 23,FALSE)),VLOOKUP($A32,'Justice Spend Total'!$B:$AY, 23,FALSE),#N/A)</f>
        <v>2.0488886818484255</v>
      </c>
      <c r="G32" s="15">
        <f>IF(ISNUMBER(VLOOKUP($A32,'Justice Spend Total'!$B:$AY, 24,FALSE)),VLOOKUP($A32,'Justice Spend Total'!$B:$AY, 24,FALSE),#N/A)</f>
        <v>0.3295003279241917</v>
      </c>
      <c r="H32" s="15">
        <f>IF(ISNUMBER(VLOOKUP($A32,'Justice Spend Total'!$B:$AY, 25,FALSE)),VLOOKUP($A32,'Justice Spend Total'!$B:$AY, 25,FALSE),#N/A)</f>
        <v>0.90042950420487888</v>
      </c>
      <c r="I32" s="15">
        <f>IF(ISNUMBER(VLOOKUP($A32,'Justice Spend Total'!$B:$AY, 26,FALSE)),VLOOKUP($A32,'Justice Spend Total'!$B:$AY, 26,FALSE),#N/A)</f>
        <v>0.59833396399787186</v>
      </c>
      <c r="J32" s="15">
        <f>IF(ISNUMBER(VLOOKUP($A32,'Justice Spend Total'!$B:$AY, 27,FALSE)),VLOOKUP($A32,'Justice Spend Total'!$B:$AY, 27,FALSE),#N/A)</f>
        <v>0</v>
      </c>
      <c r="K32" s="15">
        <f>IF(ISNUMBER(VLOOKUP($A32,'Justice Spend Total'!$B:$AY, 28,FALSE)),VLOOKUP($A32,'Justice Spend Total'!$B:$AY, 28,FALSE),#N/A)</f>
        <v>1.0401127488402917</v>
      </c>
      <c r="L32" s="4">
        <f t="shared" si="6"/>
        <v>0.416672395598081</v>
      </c>
      <c r="M32" s="4">
        <f t="shared" si="1"/>
        <v>0.18311591152222242</v>
      </c>
      <c r="N32" s="4">
        <f t="shared" si="2"/>
        <v>0.12168023004635488</v>
      </c>
      <c r="O32" s="4">
        <f t="shared" si="3"/>
        <v>6.700885812042523E-2</v>
      </c>
      <c r="P32" s="4">
        <f t="shared" si="4"/>
        <v>0</v>
      </c>
      <c r="Q32" s="4">
        <f t="shared" si="5"/>
        <v>0.21152260471291476</v>
      </c>
      <c r="R32" s="4"/>
    </row>
    <row r="33" spans="1:18">
      <c r="A33" t="s">
        <v>87</v>
      </c>
      <c r="C33" s="15" cm="1">
        <f t="array" ref="C33">AVERAGE(IF(ISNUMBER(C4:C32),(C4:C32)))</f>
        <v>42.059762632173161</v>
      </c>
      <c r="L33" s="11" cm="1">
        <f t="array" ref="L33">AVERAGE(IF(ISNUMBER(L4:L32),(L4:L32)))</f>
        <v>0.51412839697961432</v>
      </c>
      <c r="M33" s="11" cm="1">
        <f t="array" ref="M33">AVERAGE(IF(ISNUMBER(M4:M32),(M4:M32)))</f>
        <v>0.17697402663506079</v>
      </c>
      <c r="N33" s="11" cm="1">
        <f t="array" ref="N33">AVERAGE(IF(ISNUMBER(N4:N32),(N4:N32)))</f>
        <v>0.10608395073248955</v>
      </c>
      <c r="O33" s="11" cm="1">
        <f t="array" ref="O33">AVERAGE(IF(ISNUMBER(O4:O32),(O4:O32)))</f>
        <v>0.13000983310823602</v>
      </c>
      <c r="P33" s="11" cm="1">
        <f t="array" ref="P33">AVERAGE(IF(ISNUMBER(P4:P32),(P4:P32)))</f>
        <v>3.158245942294267E-3</v>
      </c>
      <c r="Q33" s="11" cm="1">
        <f t="array" ref="Q33">AVERAGE(IF(ISNUMBER(Q4:Q32),(Q4:Q32)))</f>
        <v>6.9761484715184896E-2</v>
      </c>
      <c r="R33" s="11"/>
    </row>
  </sheetData>
  <pageMargins left="0.7" right="0.7" top="0.75" bottom="0.75" header="0.3" footer="0.3"/>
  <pageSetup paperSize="9" orientation="landscape"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3661D-512E-4903-A914-65CF197DBD8C}">
  <dimension ref="A1:F24"/>
  <sheetViews>
    <sheetView workbookViewId="0">
      <selection activeCell="F11" sqref="F11"/>
    </sheetView>
  </sheetViews>
  <sheetFormatPr defaultColWidth="8.85546875" defaultRowHeight="14.45"/>
  <cols>
    <col min="2" max="2" width="22.28515625" customWidth="1"/>
    <col min="3" max="3" width="10.28515625" bestFit="1" customWidth="1"/>
  </cols>
  <sheetData>
    <row r="1" spans="1:6">
      <c r="B1" t="s">
        <v>92</v>
      </c>
      <c r="C1" t="s">
        <v>937</v>
      </c>
      <c r="D1" t="s">
        <v>938</v>
      </c>
    </row>
    <row r="2" spans="1:6">
      <c r="B2" t="s">
        <v>939</v>
      </c>
      <c r="C2" s="31" t="s">
        <v>940</v>
      </c>
    </row>
    <row r="3" spans="1:6">
      <c r="B3" t="s">
        <v>941</v>
      </c>
      <c r="C3" t="s">
        <v>942</v>
      </c>
    </row>
    <row r="5" spans="1:6">
      <c r="B5" t="s">
        <v>943</v>
      </c>
    </row>
    <row r="7" spans="1:6">
      <c r="A7" t="s">
        <v>944</v>
      </c>
      <c r="B7" t="s">
        <v>945</v>
      </c>
    </row>
    <row r="8" spans="1:6">
      <c r="C8" s="167" t="s">
        <v>946</v>
      </c>
      <c r="D8" s="167"/>
      <c r="E8" t="s">
        <v>947</v>
      </c>
    </row>
    <row r="9" spans="1:6">
      <c r="C9" t="s">
        <v>948</v>
      </c>
      <c r="D9" t="s">
        <v>949</v>
      </c>
      <c r="E9" t="s">
        <v>948</v>
      </c>
      <c r="F9" t="s">
        <v>949</v>
      </c>
    </row>
    <row r="10" spans="1:6">
      <c r="B10" s="1" t="s">
        <v>950</v>
      </c>
      <c r="C10" s="92">
        <v>888.09</v>
      </c>
      <c r="D10" s="19">
        <v>683.44</v>
      </c>
      <c r="E10" s="37">
        <f>C10/C12*100</f>
        <v>0.56936145659699966</v>
      </c>
      <c r="F10" s="37">
        <f>D10/C12*100</f>
        <v>0.43815873829978202</v>
      </c>
    </row>
    <row r="12" spans="1:6">
      <c r="B12" t="s">
        <v>951</v>
      </c>
      <c r="C12">
        <v>155980</v>
      </c>
    </row>
    <row r="24" spans="3:3">
      <c r="C24" s="47"/>
    </row>
  </sheetData>
  <mergeCells count="1">
    <mergeCell ref="C8:D8"/>
  </mergeCells>
  <hyperlinks>
    <hyperlink ref="C2" r:id="rId1" xr:uid="{13C94883-8A46-486D-8E0C-7C0130727047}"/>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97F27-1EA3-45C8-B76C-671DE48DBBFE}">
  <dimension ref="A1:D10"/>
  <sheetViews>
    <sheetView workbookViewId="0">
      <selection activeCell="A5" sqref="A5"/>
    </sheetView>
  </sheetViews>
  <sheetFormatPr defaultColWidth="8.85546875" defaultRowHeight="14.45"/>
  <cols>
    <col min="1" max="1" width="23.42578125" customWidth="1"/>
    <col min="2" max="2" width="62.5703125" customWidth="1"/>
    <col min="3" max="3" width="15.85546875" customWidth="1"/>
  </cols>
  <sheetData>
    <row r="1" spans="1:4">
      <c r="B1" t="s">
        <v>878</v>
      </c>
      <c r="C1" t="s">
        <v>952</v>
      </c>
      <c r="D1" s="95" t="s">
        <v>953</v>
      </c>
    </row>
    <row r="2" spans="1:4">
      <c r="C2" t="s">
        <v>954</v>
      </c>
    </row>
    <row r="3" spans="1:4">
      <c r="C3" t="s">
        <v>955</v>
      </c>
    </row>
    <row r="4" spans="1:4" ht="43.5">
      <c r="C4" s="34" t="s">
        <v>956</v>
      </c>
      <c r="D4" t="s">
        <v>957</v>
      </c>
    </row>
    <row r="5" spans="1:4">
      <c r="A5" t="s">
        <v>958</v>
      </c>
      <c r="B5" t="s">
        <v>959</v>
      </c>
      <c r="C5" s="6">
        <v>17913298901</v>
      </c>
      <c r="D5" s="15">
        <f>C5/(10^9)</f>
        <v>17.913298901000001</v>
      </c>
    </row>
    <row r="6" spans="1:4">
      <c r="A6" t="s">
        <v>746</v>
      </c>
      <c r="B6" t="s">
        <v>960</v>
      </c>
      <c r="C6" s="6">
        <v>3234986404</v>
      </c>
      <c r="D6" s="15">
        <f t="shared" ref="D6:D10" si="0">C6/(10^9)</f>
        <v>3.2349864039999998</v>
      </c>
    </row>
    <row r="7" spans="1:4">
      <c r="A7" t="s">
        <v>961</v>
      </c>
      <c r="B7" t="s">
        <v>962</v>
      </c>
      <c r="C7" s="6">
        <v>2244634201</v>
      </c>
      <c r="D7" s="15">
        <f t="shared" si="0"/>
        <v>2.2446342010000002</v>
      </c>
    </row>
    <row r="8" spans="1:4">
      <c r="A8" t="s">
        <v>829</v>
      </c>
      <c r="B8" t="s">
        <v>963</v>
      </c>
      <c r="C8" s="6">
        <v>880101104</v>
      </c>
      <c r="D8" s="15">
        <f t="shared" si="0"/>
        <v>0.88010110399999997</v>
      </c>
    </row>
    <row r="9" spans="1:4">
      <c r="A9" t="s">
        <v>964</v>
      </c>
      <c r="B9" t="s">
        <v>965</v>
      </c>
      <c r="C9" s="6">
        <v>880101104</v>
      </c>
      <c r="D9" s="15">
        <f t="shared" si="0"/>
        <v>0.88010110399999997</v>
      </c>
    </row>
    <row r="10" spans="1:4">
      <c r="B10" t="s">
        <v>966</v>
      </c>
      <c r="C10" s="6">
        <f>SUM(C5:C9)</f>
        <v>25153121714</v>
      </c>
      <c r="D10" s="15">
        <f t="shared" si="0"/>
        <v>25.153121714000001</v>
      </c>
    </row>
  </sheetData>
  <hyperlinks>
    <hyperlink ref="D1" r:id="rId1" xr:uid="{08C873C5-71FA-45EF-B1CE-B4DEBAA8760B}"/>
  </hyperlinks>
  <pageMargins left="0.7" right="0.7" top="0.75" bottom="0.75" header="0.3" footer="0.3"/>
  <pageSetup paperSize="9" orientation="portrait" horizontalDpi="4294967292" verticalDpi="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6488A-0ECA-49D9-BEFB-F1E71F311980}">
  <dimension ref="A1:I30"/>
  <sheetViews>
    <sheetView topLeftCell="A7" zoomScale="85" zoomScaleNormal="85" workbookViewId="0">
      <selection activeCell="C31" sqref="C31"/>
    </sheetView>
  </sheetViews>
  <sheetFormatPr defaultColWidth="8.85546875" defaultRowHeight="14.45"/>
  <cols>
    <col min="1" max="1" width="20.5703125" customWidth="1"/>
    <col min="2" max="2" width="46.5703125" customWidth="1"/>
    <col min="3" max="3" width="20.5703125" customWidth="1"/>
    <col min="4" max="4" width="20.140625" customWidth="1"/>
    <col min="5" max="5" width="14.85546875" customWidth="1"/>
    <col min="6" max="6" width="18" customWidth="1"/>
    <col min="7" max="7" width="15.85546875" customWidth="1"/>
    <col min="8" max="8" width="16.85546875" customWidth="1"/>
    <col min="9" max="9" width="15.42578125" customWidth="1"/>
  </cols>
  <sheetData>
    <row r="1" spans="1:4">
      <c r="B1" t="s">
        <v>92</v>
      </c>
      <c r="C1" t="s">
        <v>967</v>
      </c>
    </row>
    <row r="2" spans="1:4">
      <c r="C2" t="s">
        <v>968</v>
      </c>
    </row>
    <row r="3" spans="1:4">
      <c r="C3" t="s">
        <v>969</v>
      </c>
    </row>
    <row r="5" spans="1:4">
      <c r="B5" t="s">
        <v>970</v>
      </c>
    </row>
    <row r="6" spans="1:4">
      <c r="A6" t="s">
        <v>971</v>
      </c>
      <c r="B6" t="s">
        <v>972</v>
      </c>
    </row>
    <row r="8" spans="1:4">
      <c r="C8" t="s">
        <v>973</v>
      </c>
      <c r="D8" t="s">
        <v>883</v>
      </c>
    </row>
    <row r="9" spans="1:4">
      <c r="B9" t="s">
        <v>974</v>
      </c>
      <c r="C9" s="6">
        <v>6333456341</v>
      </c>
      <c r="D9">
        <f>C9/1000000000</f>
        <v>6.3334563409999998</v>
      </c>
    </row>
    <row r="10" spans="1:4">
      <c r="B10" t="s">
        <v>975</v>
      </c>
      <c r="C10" s="6">
        <v>393421557</v>
      </c>
      <c r="D10">
        <f t="shared" ref="D10:D12" si="0">C10/1000000000</f>
        <v>0.39342155699999998</v>
      </c>
    </row>
    <row r="11" spans="1:4">
      <c r="B11" t="s">
        <v>976</v>
      </c>
      <c r="C11" s="6">
        <v>1033411281</v>
      </c>
      <c r="D11">
        <f t="shared" si="0"/>
        <v>1.033411281</v>
      </c>
    </row>
    <row r="12" spans="1:4">
      <c r="B12" t="s">
        <v>977</v>
      </c>
      <c r="C12" s="6">
        <v>5170368973</v>
      </c>
      <c r="D12">
        <f t="shared" si="0"/>
        <v>5.1703689730000004</v>
      </c>
    </row>
    <row r="13" spans="1:4">
      <c r="B13" t="s">
        <v>478</v>
      </c>
      <c r="C13" s="47">
        <f>SUM(C9:C12)</f>
        <v>12930658152</v>
      </c>
      <c r="D13" s="37">
        <f>SUM(D9:D12)</f>
        <v>12.930658151999999</v>
      </c>
    </row>
    <row r="16" spans="1:4">
      <c r="A16" t="s">
        <v>148</v>
      </c>
      <c r="B16" s="7"/>
    </row>
    <row r="17" spans="1:9">
      <c r="A17" t="s">
        <v>767</v>
      </c>
      <c r="B17" s="7" t="s">
        <v>978</v>
      </c>
      <c r="C17" t="s">
        <v>979</v>
      </c>
    </row>
    <row r="18" spans="1:9">
      <c r="B18" s="7"/>
    </row>
    <row r="19" spans="1:9">
      <c r="A19" t="s">
        <v>980</v>
      </c>
      <c r="B19" s="7" t="s">
        <v>981</v>
      </c>
      <c r="C19">
        <v>2020</v>
      </c>
      <c r="D19" s="167">
        <v>2021</v>
      </c>
      <c r="E19" s="167"/>
      <c r="F19" s="167"/>
      <c r="G19" s="167"/>
      <c r="H19" s="167"/>
    </row>
    <row r="20" spans="1:9">
      <c r="B20" s="7"/>
      <c r="C20" t="s">
        <v>982</v>
      </c>
      <c r="D20" t="s">
        <v>983</v>
      </c>
      <c r="E20" t="s">
        <v>984</v>
      </c>
      <c r="F20" t="s">
        <v>985</v>
      </c>
      <c r="G20" t="s">
        <v>982</v>
      </c>
      <c r="H20" t="s">
        <v>986</v>
      </c>
    </row>
    <row r="21" spans="1:9">
      <c r="A21" t="s">
        <v>987</v>
      </c>
      <c r="B21" t="s">
        <v>988</v>
      </c>
      <c r="C21" s="6">
        <v>21119676992</v>
      </c>
      <c r="D21" s="6">
        <v>23031217661</v>
      </c>
      <c r="E21" s="6">
        <v>23657354249</v>
      </c>
      <c r="F21" s="6">
        <v>23237717141</v>
      </c>
      <c r="G21" s="6">
        <v>23237717141</v>
      </c>
      <c r="H21" s="6">
        <v>21662952838</v>
      </c>
      <c r="I21" s="90"/>
    </row>
    <row r="22" spans="1:9">
      <c r="A22" t="s">
        <v>989</v>
      </c>
      <c r="B22" t="s">
        <v>990</v>
      </c>
      <c r="C22" s="6">
        <v>7710024607</v>
      </c>
      <c r="D22" s="6">
        <v>7762315955</v>
      </c>
      <c r="E22" s="6">
        <v>8324476305</v>
      </c>
      <c r="F22" s="6">
        <v>8324281657</v>
      </c>
      <c r="G22" s="6">
        <v>8324281657</v>
      </c>
      <c r="H22" s="6">
        <v>7260436125</v>
      </c>
      <c r="I22" s="90"/>
    </row>
    <row r="23" spans="1:9">
      <c r="A23" t="s">
        <v>991</v>
      </c>
      <c r="B23" t="s">
        <v>992</v>
      </c>
      <c r="C23" s="6">
        <v>581420499</v>
      </c>
      <c r="D23" s="6">
        <v>493403992</v>
      </c>
      <c r="E23" s="6">
        <v>516533618</v>
      </c>
      <c r="F23" s="6">
        <v>509735645</v>
      </c>
      <c r="G23" s="6">
        <v>509735645</v>
      </c>
      <c r="H23" s="6">
        <v>467809724</v>
      </c>
      <c r="I23" s="90"/>
    </row>
    <row r="24" spans="1:9">
      <c r="A24" t="s">
        <v>993</v>
      </c>
      <c r="B24" t="s">
        <v>994</v>
      </c>
      <c r="C24" s="6">
        <v>5784611480</v>
      </c>
      <c r="D24" s="6">
        <v>6994402219</v>
      </c>
      <c r="E24" s="6">
        <v>7045857154</v>
      </c>
      <c r="F24" s="6">
        <v>6690206538</v>
      </c>
      <c r="G24" s="6">
        <v>6690206538</v>
      </c>
      <c r="H24" s="6">
        <v>6333456341</v>
      </c>
      <c r="I24" s="90"/>
    </row>
    <row r="25" spans="1:9">
      <c r="A25" t="s">
        <v>995</v>
      </c>
      <c r="B25" t="s">
        <v>996</v>
      </c>
      <c r="C25" s="6">
        <v>295244316</v>
      </c>
      <c r="D25" s="6">
        <v>394848925</v>
      </c>
      <c r="E25" s="6">
        <v>404090822</v>
      </c>
      <c r="F25" s="6">
        <v>402569153</v>
      </c>
      <c r="G25" s="6">
        <v>402569153</v>
      </c>
      <c r="H25" s="6">
        <v>393421557</v>
      </c>
      <c r="I25" s="90"/>
    </row>
    <row r="26" spans="1:9">
      <c r="A26" t="s">
        <v>269</v>
      </c>
      <c r="B26" t="s">
        <v>997</v>
      </c>
      <c r="C26" s="6">
        <v>1135486478</v>
      </c>
      <c r="D26" s="6">
        <v>1185444389</v>
      </c>
      <c r="E26" s="6">
        <v>1090460872</v>
      </c>
      <c r="F26" s="6">
        <v>1090460825</v>
      </c>
      <c r="G26" s="6">
        <v>1090460825</v>
      </c>
      <c r="H26" s="6">
        <v>1033411281</v>
      </c>
      <c r="I26" s="90"/>
    </row>
    <row r="27" spans="1:9">
      <c r="A27" t="s">
        <v>998</v>
      </c>
      <c r="B27" t="s">
        <v>999</v>
      </c>
      <c r="C27" s="6">
        <v>4827898110</v>
      </c>
      <c r="D27" s="6">
        <v>5120349992</v>
      </c>
      <c r="E27" s="6">
        <v>5175170162</v>
      </c>
      <c r="F27" s="6">
        <v>5175170159</v>
      </c>
      <c r="G27" s="6">
        <v>5175170159</v>
      </c>
      <c r="H27" s="6">
        <v>5170368973</v>
      </c>
    </row>
    <row r="28" spans="1:9">
      <c r="A28" t="s">
        <v>1000</v>
      </c>
      <c r="B28" t="s">
        <v>1001</v>
      </c>
      <c r="C28" s="6">
        <v>784991502</v>
      </c>
      <c r="D28" s="6">
        <v>1080452189</v>
      </c>
      <c r="E28" s="6">
        <v>1100765316</v>
      </c>
      <c r="F28" s="6">
        <v>1045293165</v>
      </c>
      <c r="G28" s="6">
        <v>1045293165</v>
      </c>
      <c r="H28" s="6">
        <v>1004048838</v>
      </c>
    </row>
    <row r="30" spans="1:9">
      <c r="B30" t="s">
        <v>1002</v>
      </c>
      <c r="C30" s="6">
        <f>C24+C25+C26+C27</f>
        <v>12043240384</v>
      </c>
      <c r="D30" s="6">
        <f t="shared" ref="D30:H30" si="1">D24+D25+D26+D27</f>
        <v>13695045525</v>
      </c>
      <c r="E30" s="6">
        <f t="shared" si="1"/>
        <v>13715579010</v>
      </c>
      <c r="F30" s="6">
        <f t="shared" si="1"/>
        <v>13358406675</v>
      </c>
      <c r="G30" s="6">
        <f t="shared" si="1"/>
        <v>13358406675</v>
      </c>
      <c r="H30" s="6">
        <f t="shared" si="1"/>
        <v>12930658152</v>
      </c>
    </row>
  </sheetData>
  <mergeCells count="1">
    <mergeCell ref="D19:H1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106DD-750F-41FA-958B-FDA4C8A9665C}">
  <dimension ref="B1:L61"/>
  <sheetViews>
    <sheetView workbookViewId="0">
      <selection activeCell="J14" sqref="J14"/>
    </sheetView>
  </sheetViews>
  <sheetFormatPr defaultColWidth="8.85546875" defaultRowHeight="14.45"/>
  <cols>
    <col min="2" max="2" width="23.28515625" bestFit="1" customWidth="1"/>
    <col min="3" max="3" width="9.28515625" bestFit="1" customWidth="1"/>
    <col min="4" max="4" width="9" bestFit="1" customWidth="1"/>
    <col min="5" max="5" width="14.85546875" bestFit="1" customWidth="1"/>
    <col min="6" max="6" width="18.42578125" bestFit="1" customWidth="1"/>
    <col min="7" max="7" width="17.42578125" bestFit="1" customWidth="1"/>
    <col min="8" max="8" width="9.28515625" bestFit="1" customWidth="1"/>
    <col min="10" max="10" width="9.28515625" bestFit="1" customWidth="1"/>
    <col min="11" max="11" width="16.5703125" bestFit="1" customWidth="1"/>
  </cols>
  <sheetData>
    <row r="1" spans="2:12">
      <c r="B1" t="s">
        <v>767</v>
      </c>
      <c r="C1" s="1" t="s">
        <v>1003</v>
      </c>
    </row>
    <row r="2" spans="2:12">
      <c r="B2" t="s">
        <v>1004</v>
      </c>
      <c r="C2" t="s">
        <v>1005</v>
      </c>
      <c r="K2" t="s">
        <v>1006</v>
      </c>
      <c r="L2" t="s">
        <v>1007</v>
      </c>
    </row>
    <row r="3" spans="2:12">
      <c r="B3" t="s">
        <v>1008</v>
      </c>
      <c r="C3" t="s">
        <v>1009</v>
      </c>
    </row>
    <row r="4" spans="2:12">
      <c r="B4" t="s">
        <v>267</v>
      </c>
      <c r="C4" t="s">
        <v>1010</v>
      </c>
    </row>
    <row r="5" spans="2:12">
      <c r="B5" t="s">
        <v>1011</v>
      </c>
      <c r="C5" t="s">
        <v>1012</v>
      </c>
    </row>
    <row r="6" spans="2:12">
      <c r="G6" t="s">
        <v>1013</v>
      </c>
    </row>
    <row r="7" spans="2:12">
      <c r="C7" t="s">
        <v>1014</v>
      </c>
      <c r="H7" t="s">
        <v>1015</v>
      </c>
      <c r="K7" t="s">
        <v>1016</v>
      </c>
    </row>
    <row r="8" spans="2:12">
      <c r="C8" t="s">
        <v>1017</v>
      </c>
      <c r="D8" t="s">
        <v>1018</v>
      </c>
      <c r="E8" t="s">
        <v>1019</v>
      </c>
      <c r="G8" t="s">
        <v>1020</v>
      </c>
      <c r="H8">
        <f>C17</f>
        <v>0.01</v>
      </c>
    </row>
    <row r="9" spans="2:12">
      <c r="B9" t="s">
        <v>1020</v>
      </c>
      <c r="C9">
        <v>1</v>
      </c>
      <c r="D9">
        <v>1.25</v>
      </c>
      <c r="E9">
        <v>1.51</v>
      </c>
      <c r="G9" t="s">
        <v>1021</v>
      </c>
      <c r="H9">
        <f>C18</f>
        <v>0.47360000000000002</v>
      </c>
    </row>
    <row r="10" spans="2:12">
      <c r="B10" t="s">
        <v>1021</v>
      </c>
      <c r="C10">
        <v>47.36</v>
      </c>
      <c r="D10">
        <v>62.33</v>
      </c>
      <c r="E10">
        <v>75.61</v>
      </c>
      <c r="G10" t="s">
        <v>872</v>
      </c>
      <c r="H10" s="37">
        <f>C19+F61</f>
        <v>2108.4829567850002</v>
      </c>
    </row>
    <row r="11" spans="2:12">
      <c r="B11" t="s">
        <v>872</v>
      </c>
      <c r="C11">
        <v>93187.35</v>
      </c>
      <c r="D11">
        <v>10144.879999999999</v>
      </c>
      <c r="E11">
        <v>119034.34</v>
      </c>
      <c r="G11" t="s">
        <v>1011</v>
      </c>
      <c r="H11" s="37">
        <f>C20+G61</f>
        <v>168.03587219799999</v>
      </c>
    </row>
    <row r="12" spans="2:12">
      <c r="B12" t="s">
        <v>1011</v>
      </c>
      <c r="C12">
        <v>1717.52</v>
      </c>
      <c r="D12">
        <v>4391</v>
      </c>
      <c r="E12">
        <v>3593.48</v>
      </c>
      <c r="G12" t="s">
        <v>478</v>
      </c>
      <c r="H12">
        <f>SUM(H8:H11)</f>
        <v>2277.0024289830003</v>
      </c>
    </row>
    <row r="13" spans="2:12">
      <c r="B13" t="s">
        <v>478</v>
      </c>
      <c r="C13">
        <f>SUM(C9:C12)</f>
        <v>94953.23000000001</v>
      </c>
      <c r="D13">
        <f t="shared" ref="D13:E13" si="0">SUM(D9:D12)</f>
        <v>14599.46</v>
      </c>
      <c r="E13">
        <f t="shared" si="0"/>
        <v>122704.93999999999</v>
      </c>
    </row>
    <row r="14" spans="2:12">
      <c r="J14" s="47"/>
    </row>
    <row r="15" spans="2:12">
      <c r="C15" t="s">
        <v>764</v>
      </c>
    </row>
    <row r="16" spans="2:12">
      <c r="C16" t="s">
        <v>1017</v>
      </c>
      <c r="D16" t="s">
        <v>1018</v>
      </c>
      <c r="E16" t="s">
        <v>1019</v>
      </c>
    </row>
    <row r="17" spans="2:7">
      <c r="B17" t="s">
        <v>1020</v>
      </c>
      <c r="C17">
        <f>C9/100</f>
        <v>0.01</v>
      </c>
      <c r="D17">
        <f t="shared" ref="D17:E17" si="1">D9/100</f>
        <v>1.2500000000000001E-2</v>
      </c>
      <c r="E17">
        <f t="shared" si="1"/>
        <v>1.5100000000000001E-2</v>
      </c>
    </row>
    <row r="18" spans="2:7">
      <c r="B18" t="s">
        <v>1021</v>
      </c>
      <c r="C18">
        <f t="shared" ref="C18:E21" si="2">C10/100</f>
        <v>0.47360000000000002</v>
      </c>
      <c r="D18">
        <f t="shared" si="2"/>
        <v>0.62329999999999997</v>
      </c>
      <c r="E18">
        <f t="shared" si="2"/>
        <v>0.75609999999999999</v>
      </c>
    </row>
    <row r="19" spans="2:7">
      <c r="B19" t="s">
        <v>872</v>
      </c>
      <c r="C19">
        <f t="shared" si="2"/>
        <v>931.87350000000004</v>
      </c>
      <c r="D19">
        <f t="shared" si="2"/>
        <v>101.44879999999999</v>
      </c>
      <c r="E19">
        <f t="shared" si="2"/>
        <v>1190.3434</v>
      </c>
    </row>
    <row r="20" spans="2:7">
      <c r="B20" t="s">
        <v>1011</v>
      </c>
      <c r="C20">
        <f t="shared" si="2"/>
        <v>17.1752</v>
      </c>
      <c r="D20">
        <f t="shared" si="2"/>
        <v>43.91</v>
      </c>
      <c r="E20">
        <f t="shared" si="2"/>
        <v>35.934800000000003</v>
      </c>
    </row>
    <row r="21" spans="2:7">
      <c r="B21" t="s">
        <v>478</v>
      </c>
      <c r="C21">
        <f t="shared" si="2"/>
        <v>949.53230000000008</v>
      </c>
      <c r="D21">
        <f t="shared" si="2"/>
        <v>145.99459999999999</v>
      </c>
      <c r="E21">
        <f t="shared" si="2"/>
        <v>1227.0493999999999</v>
      </c>
    </row>
    <row r="24" spans="2:7">
      <c r="C24" t="s">
        <v>1022</v>
      </c>
    </row>
    <row r="25" spans="2:7">
      <c r="B25" t="s">
        <v>855</v>
      </c>
      <c r="C25" t="s">
        <v>1023</v>
      </c>
    </row>
    <row r="26" spans="2:7">
      <c r="C26" t="s">
        <v>1024</v>
      </c>
    </row>
    <row r="29" spans="2:7">
      <c r="C29" s="167" t="s">
        <v>1025</v>
      </c>
      <c r="D29" s="167"/>
      <c r="E29" s="157">
        <v>2019</v>
      </c>
      <c r="F29" s="167" t="s">
        <v>1026</v>
      </c>
      <c r="G29" s="167"/>
    </row>
    <row r="30" spans="2:7">
      <c r="B30" t="s">
        <v>1027</v>
      </c>
      <c r="C30" t="s">
        <v>267</v>
      </c>
      <c r="D30" t="s">
        <v>747</v>
      </c>
      <c r="E30" t="s">
        <v>1028</v>
      </c>
      <c r="F30" t="s">
        <v>267</v>
      </c>
      <c r="G30" t="s">
        <v>915</v>
      </c>
    </row>
    <row r="31" spans="2:7">
      <c r="B31" t="s">
        <v>1029</v>
      </c>
      <c r="C31" s="17">
        <v>898</v>
      </c>
      <c r="D31" s="17">
        <v>121</v>
      </c>
      <c r="E31" s="17">
        <v>53903393</v>
      </c>
      <c r="F31" s="17">
        <v>48405246914</v>
      </c>
      <c r="G31" s="17">
        <v>6522310553</v>
      </c>
    </row>
    <row r="32" spans="2:7">
      <c r="B32" t="s">
        <v>1030</v>
      </c>
      <c r="C32" s="17">
        <v>500</v>
      </c>
      <c r="D32" s="17">
        <v>67</v>
      </c>
      <c r="E32" s="17">
        <v>124799926</v>
      </c>
      <c r="F32" s="17">
        <v>62399963000</v>
      </c>
      <c r="G32" s="17">
        <v>8361595042</v>
      </c>
    </row>
    <row r="33" spans="2:7">
      <c r="B33" t="s">
        <v>1031</v>
      </c>
      <c r="C33" s="17">
        <v>1080</v>
      </c>
      <c r="D33" s="17">
        <v>82</v>
      </c>
      <c r="E33" s="17">
        <v>29436231</v>
      </c>
      <c r="F33" s="17">
        <v>31791129480</v>
      </c>
      <c r="G33" s="17">
        <v>2413770942</v>
      </c>
    </row>
    <row r="34" spans="2:7">
      <c r="B34" t="s">
        <v>1032</v>
      </c>
      <c r="C34" s="17">
        <v>701</v>
      </c>
      <c r="D34" s="17">
        <v>130</v>
      </c>
      <c r="E34" s="17">
        <v>63872399</v>
      </c>
      <c r="F34" s="17">
        <v>44774551699</v>
      </c>
      <c r="G34" s="17">
        <v>8303411870</v>
      </c>
    </row>
    <row r="35" spans="2:7">
      <c r="B35" t="s">
        <v>1033</v>
      </c>
      <c r="C35" s="17">
        <v>1320</v>
      </c>
      <c r="D35" s="17">
        <v>230</v>
      </c>
      <c r="E35" s="17">
        <v>28204692</v>
      </c>
      <c r="F35" s="17">
        <v>37230193440</v>
      </c>
      <c r="G35" s="17">
        <v>6487079160</v>
      </c>
    </row>
    <row r="36" spans="2:7">
      <c r="B36" t="s">
        <v>1034</v>
      </c>
      <c r="C36" s="17">
        <v>1152</v>
      </c>
      <c r="D36" s="17">
        <v>100</v>
      </c>
      <c r="E36" s="17">
        <v>38593948</v>
      </c>
      <c r="F36" s="17">
        <v>44460228096</v>
      </c>
      <c r="G36" s="17">
        <v>3859394800</v>
      </c>
    </row>
    <row r="37" spans="2:7">
      <c r="B37" t="s">
        <v>1035</v>
      </c>
      <c r="C37" s="17">
        <v>696</v>
      </c>
      <c r="D37" s="17">
        <v>126</v>
      </c>
      <c r="E37" s="17">
        <v>67562686</v>
      </c>
      <c r="F37" s="17">
        <v>47023629456</v>
      </c>
      <c r="G37" s="17">
        <v>8512898436</v>
      </c>
    </row>
    <row r="38" spans="2:7">
      <c r="B38" t="s">
        <v>1036</v>
      </c>
      <c r="C38" s="17">
        <v>1005</v>
      </c>
      <c r="D38" s="17">
        <v>228</v>
      </c>
      <c r="E38" s="17">
        <v>35699443</v>
      </c>
      <c r="F38" s="17">
        <v>35877940215</v>
      </c>
      <c r="G38" s="17">
        <v>8139473004</v>
      </c>
    </row>
    <row r="39" spans="2:7">
      <c r="B39" t="s">
        <v>1037</v>
      </c>
      <c r="C39" s="17">
        <v>673</v>
      </c>
      <c r="D39" s="17">
        <v>96</v>
      </c>
      <c r="E39" s="17">
        <v>85358965</v>
      </c>
      <c r="F39" s="17">
        <v>57446583445</v>
      </c>
      <c r="G39" s="17">
        <v>8194460640</v>
      </c>
    </row>
    <row r="40" spans="2:7">
      <c r="B40" t="s">
        <v>1038</v>
      </c>
      <c r="C40" s="17">
        <v>930</v>
      </c>
      <c r="D40" s="17">
        <v>135</v>
      </c>
      <c r="E40" s="17">
        <v>123144223</v>
      </c>
      <c r="F40" s="17">
        <v>114524127390</v>
      </c>
      <c r="G40" s="17">
        <v>16624470105</v>
      </c>
    </row>
    <row r="41" spans="2:7">
      <c r="B41" t="s">
        <v>1039</v>
      </c>
      <c r="C41" s="17">
        <v>680</v>
      </c>
      <c r="D41" s="17">
        <v>96</v>
      </c>
      <c r="E41" s="17">
        <v>46356334</v>
      </c>
      <c r="F41" s="17">
        <v>31522307120</v>
      </c>
      <c r="G41" s="17">
        <v>4450208064</v>
      </c>
    </row>
    <row r="42" spans="2:7">
      <c r="B42" t="s">
        <v>1040</v>
      </c>
      <c r="C42" s="17">
        <v>1786</v>
      </c>
      <c r="D42" s="17">
        <v>203</v>
      </c>
      <c r="E42" s="17">
        <v>30141373</v>
      </c>
      <c r="F42" s="17">
        <v>53832492178</v>
      </c>
      <c r="G42" s="17">
        <v>6118698719</v>
      </c>
    </row>
    <row r="43" spans="2:7">
      <c r="B43" t="s">
        <v>1041</v>
      </c>
      <c r="C43" s="17">
        <v>621</v>
      </c>
      <c r="D43" s="17">
        <v>109</v>
      </c>
      <c r="E43" s="17">
        <v>81032689</v>
      </c>
      <c r="F43" s="17">
        <v>50321299869</v>
      </c>
      <c r="G43" s="17">
        <v>8832563101</v>
      </c>
    </row>
    <row r="44" spans="2:7">
      <c r="B44" t="s">
        <v>1042</v>
      </c>
      <c r="C44" s="17">
        <v>794</v>
      </c>
      <c r="D44" s="17">
        <v>135</v>
      </c>
      <c r="E44" s="17">
        <v>77841267</v>
      </c>
      <c r="F44" s="17">
        <v>61805965998</v>
      </c>
      <c r="G44" s="17">
        <v>10508571045</v>
      </c>
    </row>
    <row r="45" spans="2:7">
      <c r="B45" t="s">
        <v>1043</v>
      </c>
      <c r="C45" s="17">
        <v>1430</v>
      </c>
      <c r="D45" s="17">
        <v>140</v>
      </c>
      <c r="E45" s="17">
        <v>39362732</v>
      </c>
      <c r="F45" s="17">
        <v>56288706760</v>
      </c>
      <c r="G45" s="17">
        <v>5510782480</v>
      </c>
    </row>
    <row r="46" spans="2:7">
      <c r="B46" t="s">
        <v>1044</v>
      </c>
      <c r="C46" s="17">
        <v>645</v>
      </c>
      <c r="D46" s="17">
        <v>81</v>
      </c>
      <c r="E46" s="17">
        <v>237882725</v>
      </c>
      <c r="F46" s="17">
        <v>153434357625</v>
      </c>
      <c r="G46" s="17">
        <v>19268500725</v>
      </c>
    </row>
    <row r="47" spans="2:7">
      <c r="B47" t="s">
        <v>1045</v>
      </c>
      <c r="C47" s="17">
        <v>1455</v>
      </c>
      <c r="D47" s="17">
        <v>158</v>
      </c>
      <c r="E47" s="17">
        <v>11250858</v>
      </c>
      <c r="F47" s="17">
        <v>16369998390</v>
      </c>
      <c r="G47" s="17">
        <v>1777635564</v>
      </c>
    </row>
    <row r="48" spans="2:7">
      <c r="B48" t="s">
        <v>1046</v>
      </c>
      <c r="C48" s="17">
        <v>570</v>
      </c>
      <c r="D48" s="17">
        <v>58</v>
      </c>
      <c r="E48" s="17">
        <v>99609303</v>
      </c>
      <c r="F48" s="17">
        <v>56777302710</v>
      </c>
      <c r="G48" s="17">
        <v>5777339574</v>
      </c>
    </row>
    <row r="49" spans="2:7">
      <c r="B49" t="s">
        <v>1047</v>
      </c>
      <c r="C49" s="17">
        <v>5826</v>
      </c>
      <c r="D49" s="17">
        <v>119</v>
      </c>
      <c r="E49" s="17">
        <v>1570458</v>
      </c>
      <c r="F49" s="17">
        <v>9149488308</v>
      </c>
      <c r="G49" s="17">
        <v>186884502</v>
      </c>
    </row>
    <row r="50" spans="2:7">
      <c r="B50" t="s">
        <v>1048</v>
      </c>
      <c r="C50" s="17">
        <v>3174</v>
      </c>
      <c r="D50" s="17">
        <v>444</v>
      </c>
      <c r="E50" s="17">
        <v>1586250</v>
      </c>
      <c r="F50" s="17">
        <v>5034757500</v>
      </c>
      <c r="G50" s="17">
        <v>704295000</v>
      </c>
    </row>
    <row r="51" spans="2:7">
      <c r="B51" t="s">
        <v>1049</v>
      </c>
      <c r="C51" s="17">
        <v>1497</v>
      </c>
      <c r="D51" s="17">
        <v>269</v>
      </c>
      <c r="E51" s="17">
        <v>7451955</v>
      </c>
      <c r="F51" s="17">
        <v>11155576635</v>
      </c>
      <c r="G51" s="17">
        <v>2004575895</v>
      </c>
    </row>
    <row r="52" spans="2:7">
      <c r="B52" t="s">
        <v>1050</v>
      </c>
      <c r="C52" s="17">
        <v>2047</v>
      </c>
      <c r="D52" s="17">
        <v>140</v>
      </c>
      <c r="E52" s="17">
        <v>3366710</v>
      </c>
      <c r="F52" s="17">
        <v>6891655370</v>
      </c>
      <c r="G52" s="17">
        <v>471339400</v>
      </c>
    </row>
    <row r="53" spans="2:7">
      <c r="B53" t="s">
        <v>1051</v>
      </c>
      <c r="C53" s="17">
        <v>4259</v>
      </c>
      <c r="D53" s="17">
        <v>275</v>
      </c>
      <c r="E53" s="17">
        <v>1239244</v>
      </c>
      <c r="F53" s="17">
        <v>5277940196</v>
      </c>
      <c r="G53" s="17">
        <v>340792100</v>
      </c>
    </row>
    <row r="54" spans="2:7">
      <c r="B54" t="s">
        <v>1052</v>
      </c>
      <c r="C54" s="17">
        <v>4368</v>
      </c>
      <c r="D54" s="17">
        <v>496</v>
      </c>
      <c r="E54" s="17">
        <v>690251</v>
      </c>
      <c r="F54" s="17">
        <v>3015016368</v>
      </c>
      <c r="G54" s="17">
        <v>342364496</v>
      </c>
    </row>
    <row r="55" spans="2:7">
      <c r="B55" t="s">
        <v>1053</v>
      </c>
      <c r="C55" s="17">
        <v>2895</v>
      </c>
      <c r="D55" s="17">
        <v>304</v>
      </c>
      <c r="E55" s="17">
        <v>4169794</v>
      </c>
      <c r="F55" s="17">
        <v>12071553630</v>
      </c>
      <c r="G55" s="17">
        <v>1267617376</v>
      </c>
    </row>
    <row r="56" spans="2:7">
      <c r="B56" t="s">
        <v>1054</v>
      </c>
      <c r="C56" s="17">
        <v>1107</v>
      </c>
      <c r="D56" s="17">
        <v>80</v>
      </c>
      <c r="E56" s="17">
        <v>35607039</v>
      </c>
      <c r="F56" s="17">
        <v>39416992173</v>
      </c>
      <c r="G56" s="17">
        <v>2848563120</v>
      </c>
    </row>
    <row r="57" spans="2:7">
      <c r="B57" t="s">
        <v>1055</v>
      </c>
      <c r="C57" s="17">
        <v>3839</v>
      </c>
      <c r="D57" s="17">
        <v>145</v>
      </c>
      <c r="E57" s="17">
        <v>13606320</v>
      </c>
      <c r="F57" s="17">
        <v>52234662480</v>
      </c>
      <c r="G57" s="17">
        <v>1972916400</v>
      </c>
    </row>
    <row r="58" spans="2:7">
      <c r="B58" t="s">
        <v>1056</v>
      </c>
      <c r="C58" s="17">
        <v>4163</v>
      </c>
      <c r="D58" s="17">
        <v>180</v>
      </c>
      <c r="E58" s="17">
        <v>3091545</v>
      </c>
      <c r="F58" s="17">
        <v>12870101835</v>
      </c>
      <c r="G58" s="17">
        <v>556478100</v>
      </c>
    </row>
    <row r="59" spans="2:7">
      <c r="B59" t="s">
        <v>1057</v>
      </c>
      <c r="C59" s="17">
        <v>6759</v>
      </c>
      <c r="D59" s="17">
        <v>223</v>
      </c>
      <c r="E59" s="17">
        <v>2249695</v>
      </c>
      <c r="F59" s="17">
        <v>15205688505</v>
      </c>
      <c r="G59" s="17">
        <v>501681985</v>
      </c>
    </row>
    <row r="60" spans="2:7">
      <c r="B60" s="1" t="s">
        <v>478</v>
      </c>
      <c r="F60" s="47">
        <f>SUM(F31:F59)</f>
        <v>1176609456785</v>
      </c>
      <c r="G60" s="47">
        <f>SUM(G31:G59)</f>
        <v>150860672198</v>
      </c>
    </row>
    <row r="61" spans="2:7">
      <c r="B61" s="1" t="s">
        <v>821</v>
      </c>
      <c r="F61" s="37">
        <f>F60/1000000000</f>
        <v>1176.609456785</v>
      </c>
      <c r="G61" s="37">
        <f>G60/1000000000</f>
        <v>150.860672198</v>
      </c>
    </row>
  </sheetData>
  <mergeCells count="2">
    <mergeCell ref="C29:D29"/>
    <mergeCell ref="F29:G29"/>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DA35E-A95E-4882-9903-6AD478719881}">
  <dimension ref="A1:G67"/>
  <sheetViews>
    <sheetView topLeftCell="A40" workbookViewId="0">
      <selection activeCell="C5" sqref="C5"/>
    </sheetView>
  </sheetViews>
  <sheetFormatPr defaultColWidth="8.85546875" defaultRowHeight="14.45"/>
  <cols>
    <col min="1" max="1" width="11.42578125" bestFit="1" customWidth="1"/>
    <col min="3" max="3" width="38" customWidth="1"/>
    <col min="4" max="4" width="17" bestFit="1" customWidth="1"/>
  </cols>
  <sheetData>
    <row r="1" spans="1:5">
      <c r="C1" s="1" t="s">
        <v>1058</v>
      </c>
    </row>
    <row r="2" spans="1:5">
      <c r="B2" t="s">
        <v>767</v>
      </c>
      <c r="C2" t="s">
        <v>1059</v>
      </c>
    </row>
    <row r="4" spans="1:5">
      <c r="C4" t="s">
        <v>1060</v>
      </c>
      <c r="D4" t="s">
        <v>1061</v>
      </c>
    </row>
    <row r="5" spans="1:5">
      <c r="B5" t="s">
        <v>665</v>
      </c>
      <c r="C5" s="17">
        <f>D12+D23+D34+D45+D63</f>
        <v>188.07419999999999</v>
      </c>
    </row>
    <row r="7" spans="1:5">
      <c r="A7" s="1" t="s">
        <v>1062</v>
      </c>
    </row>
    <row r="8" spans="1:5">
      <c r="A8" t="s">
        <v>1063</v>
      </c>
      <c r="C8" s="1" t="s">
        <v>1064</v>
      </c>
    </row>
    <row r="9" spans="1:5">
      <c r="C9" s="1" t="s">
        <v>1065</v>
      </c>
      <c r="D9" s="1" t="s">
        <v>1066</v>
      </c>
      <c r="E9" s="1" t="s">
        <v>1067</v>
      </c>
    </row>
    <row r="10" spans="1:5">
      <c r="B10" t="s">
        <v>1068</v>
      </c>
      <c r="C10">
        <v>23.4</v>
      </c>
      <c r="D10">
        <v>23.1</v>
      </c>
      <c r="E10" s="5">
        <f>D10/C10</f>
        <v>0.98717948717948734</v>
      </c>
    </row>
    <row r="11" spans="1:5">
      <c r="B11" t="s">
        <v>1069</v>
      </c>
      <c r="C11">
        <v>26.6</v>
      </c>
      <c r="D11">
        <v>24.8</v>
      </c>
      <c r="E11" s="5">
        <f t="shared" ref="E11:E12" si="0">D11/C11</f>
        <v>0.93233082706766912</v>
      </c>
    </row>
    <row r="12" spans="1:5">
      <c r="B12" t="s">
        <v>665</v>
      </c>
      <c r="C12">
        <v>32.9</v>
      </c>
      <c r="D12">
        <v>31.6</v>
      </c>
      <c r="E12" s="5">
        <f t="shared" si="0"/>
        <v>0.96048632218844998</v>
      </c>
    </row>
    <row r="13" spans="1:5">
      <c r="B13" t="s">
        <v>662</v>
      </c>
      <c r="C13" s="8">
        <f>27124584838/1000000000</f>
        <v>27.124584838000001</v>
      </c>
    </row>
    <row r="14" spans="1:5">
      <c r="B14" t="s">
        <v>663</v>
      </c>
      <c r="C14" s="8">
        <f>29658225368/1000000000</f>
        <v>29.658225368</v>
      </c>
    </row>
    <row r="15" spans="1:5">
      <c r="B15" t="s">
        <v>678</v>
      </c>
      <c r="C15" s="8">
        <f>31346340000/1000000000</f>
        <v>31.346340000000001</v>
      </c>
    </row>
    <row r="16" spans="1:5">
      <c r="B16" t="s">
        <v>1070</v>
      </c>
      <c r="C16" s="8">
        <f>33281800000/1000000000</f>
        <v>33.281799999999997</v>
      </c>
    </row>
    <row r="17" spans="1:5">
      <c r="B17" s="2"/>
      <c r="C17" s="3"/>
    </row>
    <row r="19" spans="1:5">
      <c r="A19" t="s">
        <v>1071</v>
      </c>
      <c r="C19" s="1" t="s">
        <v>1072</v>
      </c>
    </row>
    <row r="20" spans="1:5">
      <c r="C20" s="1" t="s">
        <v>1065</v>
      </c>
      <c r="D20" s="1" t="s">
        <v>1066</v>
      </c>
      <c r="E20" s="1" t="s">
        <v>1067</v>
      </c>
    </row>
    <row r="21" spans="1:5">
      <c r="B21" t="s">
        <v>1068</v>
      </c>
      <c r="C21">
        <v>4.7</v>
      </c>
      <c r="D21">
        <v>4.3</v>
      </c>
      <c r="E21" s="4">
        <f>D21/C21</f>
        <v>0.91489361702127647</v>
      </c>
    </row>
    <row r="22" spans="1:5">
      <c r="B22" t="s">
        <v>1069</v>
      </c>
      <c r="C22">
        <v>4.8</v>
      </c>
      <c r="D22">
        <v>4.3</v>
      </c>
      <c r="E22" s="4">
        <f t="shared" ref="E22:E23" si="1">D22/C22</f>
        <v>0.89583333333333337</v>
      </c>
    </row>
    <row r="23" spans="1:5">
      <c r="B23" t="s">
        <v>665</v>
      </c>
      <c r="C23">
        <v>4.8</v>
      </c>
      <c r="D23">
        <v>4.5</v>
      </c>
      <c r="E23" s="4">
        <f t="shared" si="1"/>
        <v>0.9375</v>
      </c>
    </row>
    <row r="24" spans="1:5">
      <c r="B24" t="s">
        <v>662</v>
      </c>
      <c r="C24" s="9">
        <v>4.9000000000000004</v>
      </c>
      <c r="E24" s="4"/>
    </row>
    <row r="25" spans="1:5">
      <c r="B25" t="s">
        <v>663</v>
      </c>
      <c r="C25" s="8">
        <f>5159651336/1000000000</f>
        <v>5.1596513359999996</v>
      </c>
      <c r="E25" s="4"/>
    </row>
    <row r="26" spans="1:5">
      <c r="B26" t="s">
        <v>678</v>
      </c>
      <c r="C26" s="8">
        <f>5225571336/1000000000</f>
        <v>5.2255713359999998</v>
      </c>
      <c r="E26" s="4"/>
    </row>
    <row r="27" spans="1:5">
      <c r="B27" t="s">
        <v>1070</v>
      </c>
      <c r="C27" s="8">
        <f>5380901336/1000000000</f>
        <v>5.380901336</v>
      </c>
      <c r="E27" s="4"/>
    </row>
    <row r="30" spans="1:5">
      <c r="A30" t="s">
        <v>1073</v>
      </c>
      <c r="C30" s="1" t="s">
        <v>1074</v>
      </c>
    </row>
    <row r="31" spans="1:5">
      <c r="C31" s="1" t="s">
        <v>1065</v>
      </c>
      <c r="D31" s="1" t="s">
        <v>1066</v>
      </c>
      <c r="E31" s="1" t="s">
        <v>1067</v>
      </c>
    </row>
    <row r="32" spans="1:5">
      <c r="B32" t="s">
        <v>1068</v>
      </c>
      <c r="C32">
        <v>14.7</v>
      </c>
      <c r="D32">
        <f>C32*0.94</f>
        <v>13.817999999999998</v>
      </c>
      <c r="E32" s="11">
        <v>0.94</v>
      </c>
    </row>
    <row r="33" spans="1:7">
      <c r="B33" t="s">
        <v>1069</v>
      </c>
      <c r="C33">
        <v>16.3</v>
      </c>
      <c r="D33">
        <f>C33*0.94</f>
        <v>15.321999999999999</v>
      </c>
      <c r="E33" s="11">
        <v>0.94</v>
      </c>
    </row>
    <row r="34" spans="1:7">
      <c r="B34" t="s">
        <v>665</v>
      </c>
      <c r="C34">
        <v>17</v>
      </c>
      <c r="D34">
        <f>C34*0.95</f>
        <v>16.149999999999999</v>
      </c>
      <c r="E34" s="11">
        <v>0.95</v>
      </c>
    </row>
    <row r="35" spans="1:7">
      <c r="B35" t="s">
        <v>662</v>
      </c>
      <c r="C35">
        <v>17.100000000000001</v>
      </c>
    </row>
    <row r="36" spans="1:7">
      <c r="B36" t="s">
        <v>663</v>
      </c>
      <c r="C36" s="8">
        <f>17336400000/1000000000</f>
        <v>17.336400000000001</v>
      </c>
    </row>
    <row r="37" spans="1:7">
      <c r="B37" t="s">
        <v>678</v>
      </c>
      <c r="C37" s="10">
        <f>18399492235/1000000000</f>
        <v>18.399492235</v>
      </c>
    </row>
    <row r="38" spans="1:7">
      <c r="B38" t="s">
        <v>1070</v>
      </c>
      <c r="C38" s="10">
        <f>19006381363/1000000000</f>
        <v>19.006381362999999</v>
      </c>
    </row>
    <row r="41" spans="1:7">
      <c r="A41" t="s">
        <v>1075</v>
      </c>
      <c r="C41" s="1" t="s">
        <v>1076</v>
      </c>
      <c r="G41" s="1" t="s">
        <v>1077</v>
      </c>
    </row>
    <row r="42" spans="1:7">
      <c r="C42" s="1" t="s">
        <v>1065</v>
      </c>
      <c r="D42" s="1" t="s">
        <v>1066</v>
      </c>
      <c r="E42" s="1" t="s">
        <v>1067</v>
      </c>
      <c r="G42" t="s">
        <v>1078</v>
      </c>
    </row>
    <row r="43" spans="1:7">
      <c r="B43" t="s">
        <v>1068</v>
      </c>
      <c r="C43">
        <v>131.6</v>
      </c>
      <c r="D43">
        <v>124.6</v>
      </c>
      <c r="E43" s="4">
        <f>D43/C43</f>
        <v>0.94680851063829785</v>
      </c>
      <c r="G43" t="s">
        <v>1079</v>
      </c>
    </row>
    <row r="44" spans="1:7">
      <c r="B44" t="s">
        <v>1069</v>
      </c>
      <c r="C44">
        <v>144.4</v>
      </c>
      <c r="D44">
        <v>140.4</v>
      </c>
      <c r="E44" s="4">
        <f t="shared" ref="E44:E45" si="2">D44/C44</f>
        <v>0.97229916897506929</v>
      </c>
      <c r="G44" t="s">
        <v>1080</v>
      </c>
    </row>
    <row r="45" spans="1:7">
      <c r="B45" t="s">
        <v>665</v>
      </c>
      <c r="C45">
        <v>138.1</v>
      </c>
      <c r="D45">
        <v>135.19999999999999</v>
      </c>
      <c r="E45" s="4">
        <f t="shared" si="2"/>
        <v>0.97900072411296157</v>
      </c>
      <c r="G45" t="s">
        <v>1081</v>
      </c>
    </row>
    <row r="46" spans="1:7">
      <c r="B46" t="s">
        <v>662</v>
      </c>
      <c r="C46" s="8">
        <f>133424711852/1000000000</f>
        <v>133.424711852</v>
      </c>
      <c r="G46" t="s">
        <v>1082</v>
      </c>
    </row>
    <row r="47" spans="1:7">
      <c r="B47" t="s">
        <v>663</v>
      </c>
      <c r="C47" s="8">
        <f>138589104121/1000000000</f>
        <v>138.58910412099999</v>
      </c>
      <c r="G47" t="s">
        <v>1083</v>
      </c>
    </row>
    <row r="48" spans="1:7">
      <c r="B48" t="s">
        <v>678</v>
      </c>
      <c r="C48" s="8">
        <f>140656342473/1000000000</f>
        <v>140.656342473</v>
      </c>
      <c r="G48" t="s">
        <v>1084</v>
      </c>
    </row>
    <row r="49" spans="1:6">
      <c r="B49" t="s">
        <v>1070</v>
      </c>
      <c r="C49" s="8">
        <f>145117634527/1000000000</f>
        <v>145.11763452700001</v>
      </c>
    </row>
    <row r="51" spans="1:6">
      <c r="A51" t="s">
        <v>1085</v>
      </c>
      <c r="C51" s="1" t="s">
        <v>1076</v>
      </c>
      <c r="D51" s="12" t="s">
        <v>1086</v>
      </c>
      <c r="F51" s="32" t="s">
        <v>1087</v>
      </c>
    </row>
    <row r="52" spans="1:6">
      <c r="C52" s="1" t="s">
        <v>1065</v>
      </c>
      <c r="D52" s="1"/>
      <c r="E52" s="1"/>
    </row>
    <row r="53" spans="1:6">
      <c r="B53" t="s">
        <v>662</v>
      </c>
      <c r="C53" s="8">
        <f>96636645615/1000000000</f>
        <v>96.636645615000006</v>
      </c>
    </row>
    <row r="54" spans="1:6">
      <c r="B54" t="s">
        <v>663</v>
      </c>
      <c r="C54" s="8">
        <f>100571945708/1000000000</f>
        <v>100.571945708</v>
      </c>
    </row>
    <row r="55" spans="1:6">
      <c r="B55" t="s">
        <v>678</v>
      </c>
      <c r="C55" s="8">
        <f>102129614293/1000000000</f>
        <v>102.129614293</v>
      </c>
    </row>
    <row r="56" spans="1:6">
      <c r="B56" t="s">
        <v>1070</v>
      </c>
      <c r="C56" s="8">
        <f>105798840452/1000000000</f>
        <v>105.79884045199999</v>
      </c>
    </row>
    <row r="59" spans="1:6">
      <c r="A59" t="s">
        <v>1088</v>
      </c>
      <c r="C59" s="1" t="s">
        <v>1089</v>
      </c>
    </row>
    <row r="60" spans="1:6">
      <c r="C60" s="1" t="s">
        <v>1065</v>
      </c>
      <c r="D60" s="1" t="s">
        <v>1066</v>
      </c>
      <c r="E60" s="1" t="s">
        <v>1067</v>
      </c>
    </row>
    <row r="61" spans="1:6">
      <c r="B61" t="s">
        <v>1068</v>
      </c>
      <c r="C61" s="14">
        <f>547.6/1000</f>
        <v>0.54759999999999998</v>
      </c>
      <c r="D61" s="14">
        <f>447.5/1000</f>
        <v>0.44750000000000001</v>
      </c>
      <c r="E61" s="4">
        <f>D61/C61</f>
        <v>0.81720233747260784</v>
      </c>
    </row>
    <row r="62" spans="1:6">
      <c r="B62" t="s">
        <v>1069</v>
      </c>
      <c r="C62" s="14">
        <f>699.8/1000</f>
        <v>0.69979999999999998</v>
      </c>
      <c r="D62" s="14">
        <f>611/1000</f>
        <v>0.61099999999999999</v>
      </c>
      <c r="E62" s="4">
        <f t="shared" ref="E62:E63" si="3">D62/C62</f>
        <v>0.87310660188625322</v>
      </c>
    </row>
    <row r="63" spans="1:6">
      <c r="B63" t="s">
        <v>665</v>
      </c>
      <c r="C63" s="14">
        <f>645.5/1000</f>
        <v>0.64549999999999996</v>
      </c>
      <c r="D63" s="14">
        <f>624.2/1000</f>
        <v>0.62420000000000009</v>
      </c>
      <c r="E63" s="4">
        <f t="shared" si="3"/>
        <v>0.96700232378001572</v>
      </c>
    </row>
    <row r="64" spans="1:6">
      <c r="B64" t="s">
        <v>662</v>
      </c>
      <c r="C64" s="14">
        <f>645.2/1000</f>
        <v>0.6452</v>
      </c>
      <c r="D64" s="14"/>
    </row>
    <row r="65" spans="2:4">
      <c r="B65" t="s">
        <v>663</v>
      </c>
      <c r="C65" s="14">
        <f>794089102/1000000000</f>
        <v>0.79408910200000005</v>
      </c>
      <c r="D65" s="14"/>
    </row>
    <row r="66" spans="2:4">
      <c r="B66" t="s">
        <v>678</v>
      </c>
      <c r="C66" s="14">
        <f>775270000/1000000000</f>
        <v>0.77527000000000001</v>
      </c>
      <c r="D66" s="14"/>
    </row>
    <row r="67" spans="2:4">
      <c r="B67" t="s">
        <v>1070</v>
      </c>
      <c r="C67" s="14">
        <f>805950000/1000000000</f>
        <v>0.80595000000000006</v>
      </c>
      <c r="D67" s="14"/>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0FBB-D2FA-4C69-8B0B-3377CAAFCB30}">
  <dimension ref="A1:G16"/>
  <sheetViews>
    <sheetView workbookViewId="0">
      <selection activeCell="E8" sqref="E8"/>
    </sheetView>
  </sheetViews>
  <sheetFormatPr defaultColWidth="8.85546875" defaultRowHeight="14.45"/>
  <cols>
    <col min="2" max="2" width="24.5703125" customWidth="1"/>
    <col min="3" max="5" width="11.28515625" bestFit="1" customWidth="1"/>
  </cols>
  <sheetData>
    <row r="1" spans="1:7">
      <c r="B1" t="s">
        <v>767</v>
      </c>
      <c r="C1" t="s">
        <v>1090</v>
      </c>
    </row>
    <row r="2" spans="1:7">
      <c r="A2">
        <v>23</v>
      </c>
      <c r="C2" t="s">
        <v>1091</v>
      </c>
    </row>
    <row r="3" spans="1:7">
      <c r="A3">
        <v>43</v>
      </c>
      <c r="C3" t="s">
        <v>1092</v>
      </c>
    </row>
    <row r="5" spans="1:7">
      <c r="A5" t="s">
        <v>1093</v>
      </c>
      <c r="B5" t="s">
        <v>1091</v>
      </c>
    </row>
    <row r="6" spans="1:7">
      <c r="B6" t="s">
        <v>1094</v>
      </c>
    </row>
    <row r="7" spans="1:7">
      <c r="C7" s="1">
        <v>2017</v>
      </c>
      <c r="D7" s="1">
        <v>2018</v>
      </c>
      <c r="E7" s="1">
        <v>2019</v>
      </c>
      <c r="G7" t="s">
        <v>1095</v>
      </c>
    </row>
    <row r="8" spans="1:7">
      <c r="B8" t="s">
        <v>1096</v>
      </c>
      <c r="C8">
        <v>12.5</v>
      </c>
      <c r="D8">
        <v>13.3</v>
      </c>
      <c r="E8">
        <v>8.3000000000000007</v>
      </c>
      <c r="G8" t="s">
        <v>1097</v>
      </c>
    </row>
    <row r="9" spans="1:7">
      <c r="B9" t="s">
        <v>1098</v>
      </c>
      <c r="C9" s="17">
        <v>163.06800000000001</v>
      </c>
      <c r="D9" s="17">
        <v>147.624</v>
      </c>
      <c r="E9" s="17">
        <v>149.33600000000001</v>
      </c>
    </row>
    <row r="10" spans="1:7">
      <c r="B10" t="s">
        <v>1099</v>
      </c>
      <c r="C10" s="47">
        <f t="shared" ref="C10:D10" si="0">C9*(C8/100)</f>
        <v>20.383500000000002</v>
      </c>
      <c r="D10" s="47">
        <f t="shared" si="0"/>
        <v>19.633991999999999</v>
      </c>
      <c r="E10" s="47">
        <f>E9*(E8/100)</f>
        <v>12.394888000000002</v>
      </c>
    </row>
    <row r="11" spans="1:7">
      <c r="C11" s="90"/>
    </row>
    <row r="12" spans="1:7">
      <c r="C12" s="37"/>
    </row>
    <row r="13" spans="1:7">
      <c r="A13" t="s">
        <v>1100</v>
      </c>
      <c r="B13" t="s">
        <v>1092</v>
      </c>
    </row>
    <row r="14" spans="1:7">
      <c r="B14" t="s">
        <v>1101</v>
      </c>
    </row>
    <row r="15" spans="1:7">
      <c r="C15">
        <v>2018</v>
      </c>
      <c r="E15" t="s">
        <v>1102</v>
      </c>
    </row>
    <row r="16" spans="1:7">
      <c r="B16" t="s">
        <v>1103</v>
      </c>
      <c r="C16">
        <v>10.9</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2378-A288-45C6-A576-047AE9D52AE3}">
  <dimension ref="B1:D11"/>
  <sheetViews>
    <sheetView workbookViewId="0">
      <selection activeCell="C11" sqref="C11:D11"/>
    </sheetView>
  </sheetViews>
  <sheetFormatPr defaultColWidth="8.85546875" defaultRowHeight="14.45"/>
  <cols>
    <col min="3" max="3" width="11.28515625" bestFit="1" customWidth="1"/>
  </cols>
  <sheetData>
    <row r="1" spans="2:4">
      <c r="B1" t="s">
        <v>767</v>
      </c>
      <c r="C1" t="s">
        <v>1104</v>
      </c>
    </row>
    <row r="2" spans="2:4">
      <c r="C2" t="s">
        <v>1105</v>
      </c>
    </row>
    <row r="3" spans="2:4">
      <c r="B3" t="s">
        <v>1106</v>
      </c>
      <c r="C3" t="s">
        <v>1107</v>
      </c>
    </row>
    <row r="6" spans="2:4">
      <c r="C6" t="s">
        <v>1108</v>
      </c>
      <c r="D6" t="s">
        <v>883</v>
      </c>
    </row>
    <row r="7" spans="2:4">
      <c r="B7" t="s">
        <v>1109</v>
      </c>
      <c r="C7" s="17">
        <v>75564.649999999994</v>
      </c>
      <c r="D7" s="37">
        <f>C7/(10^3)</f>
        <v>75.56465</v>
      </c>
    </row>
    <row r="8" spans="2:4">
      <c r="B8" t="s">
        <v>1110</v>
      </c>
      <c r="C8" s="17">
        <v>146421.54</v>
      </c>
      <c r="D8" s="37">
        <f>C8/(10^3)</f>
        <v>146.42154000000002</v>
      </c>
    </row>
    <row r="9" spans="2:4">
      <c r="B9" t="s">
        <v>1111</v>
      </c>
      <c r="C9" s="17">
        <v>106976.62</v>
      </c>
      <c r="D9" s="37">
        <f t="shared" ref="D9:D10" si="0">C9/(10^3)</f>
        <v>106.97662</v>
      </c>
    </row>
    <row r="10" spans="2:4">
      <c r="B10" t="s">
        <v>1112</v>
      </c>
      <c r="C10" s="17">
        <v>98937.71</v>
      </c>
      <c r="D10" s="37">
        <f t="shared" si="0"/>
        <v>98.93771000000001</v>
      </c>
    </row>
    <row r="11" spans="2:4">
      <c r="B11" t="s">
        <v>478</v>
      </c>
      <c r="C11" s="47">
        <f>SUM(C7:C10)</f>
        <v>427900.52</v>
      </c>
      <c r="D11" s="47">
        <f>SUM(D7:D10)</f>
        <v>427.90052000000003</v>
      </c>
    </row>
  </sheetData>
  <pageMargins left="0.7" right="0.7" top="0.75" bottom="0.75" header="0.3" footer="0.3"/>
  <pageSetup paperSize="9" orientation="portrait" horizontalDpi="4294967293"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43207-9725-4AE7-AB92-DB93542DA261}">
  <dimension ref="A1:I22"/>
  <sheetViews>
    <sheetView workbookViewId="0">
      <selection activeCell="C21" sqref="C21"/>
    </sheetView>
  </sheetViews>
  <sheetFormatPr defaultColWidth="8.85546875" defaultRowHeight="14.45"/>
  <cols>
    <col min="1" max="1" width="14.85546875" bestFit="1" customWidth="1"/>
    <col min="2" max="2" width="37.28515625" bestFit="1" customWidth="1"/>
    <col min="3" max="3" width="20.28515625" customWidth="1"/>
    <col min="4" max="4" width="20.42578125" bestFit="1" customWidth="1"/>
    <col min="7" max="7" width="37.28515625" bestFit="1" customWidth="1"/>
    <col min="8" max="9" width="13.85546875" bestFit="1" customWidth="1"/>
  </cols>
  <sheetData>
    <row r="1" spans="1:9">
      <c r="B1" t="s">
        <v>92</v>
      </c>
      <c r="C1" t="s">
        <v>1113</v>
      </c>
    </row>
    <row r="2" spans="1:9">
      <c r="B2" t="s">
        <v>1114</v>
      </c>
      <c r="C2" t="s">
        <v>1115</v>
      </c>
    </row>
    <row r="3" spans="1:9">
      <c r="B3" t="s">
        <v>1116</v>
      </c>
      <c r="C3" t="s">
        <v>1117</v>
      </c>
    </row>
    <row r="5" spans="1:9">
      <c r="A5" t="s">
        <v>1118</v>
      </c>
      <c r="B5" s="167" t="s">
        <v>1119</v>
      </c>
      <c r="C5" s="167"/>
      <c r="D5" s="167"/>
      <c r="F5" t="s">
        <v>1120</v>
      </c>
    </row>
    <row r="6" spans="1:9">
      <c r="C6" t="s">
        <v>1121</v>
      </c>
      <c r="D6" t="s">
        <v>1122</v>
      </c>
      <c r="H6" t="s">
        <v>1121</v>
      </c>
      <c r="I6" t="s">
        <v>1122</v>
      </c>
    </row>
    <row r="7" spans="1:9">
      <c r="A7" t="s">
        <v>1123</v>
      </c>
      <c r="B7" t="s">
        <v>1124</v>
      </c>
      <c r="C7" s="17">
        <v>237887237</v>
      </c>
      <c r="D7" s="17">
        <v>244565079</v>
      </c>
      <c r="F7" t="s">
        <v>1125</v>
      </c>
      <c r="G7" t="s">
        <v>1124</v>
      </c>
      <c r="H7" s="17">
        <v>28427334</v>
      </c>
      <c r="I7" s="17">
        <v>23198772</v>
      </c>
    </row>
    <row r="8" spans="1:9">
      <c r="A8" s="12" t="s">
        <v>870</v>
      </c>
      <c r="B8" s="12" t="s">
        <v>1126</v>
      </c>
      <c r="C8" s="62">
        <v>7400069</v>
      </c>
      <c r="D8" s="62">
        <v>6385292</v>
      </c>
      <c r="G8" t="s">
        <v>747</v>
      </c>
      <c r="H8" s="17">
        <v>9000000</v>
      </c>
      <c r="I8" s="17">
        <v>1186365</v>
      </c>
    </row>
    <row r="9" spans="1:9">
      <c r="B9" s="12" t="s">
        <v>1127</v>
      </c>
      <c r="C9" s="62">
        <v>6285354</v>
      </c>
      <c r="D9" s="62">
        <v>5400089</v>
      </c>
      <c r="G9" t="s">
        <v>1128</v>
      </c>
      <c r="H9" s="17">
        <v>63974697</v>
      </c>
      <c r="I9" s="17">
        <v>38479774</v>
      </c>
    </row>
    <row r="10" spans="1:9">
      <c r="B10" s="12" t="s">
        <v>1129</v>
      </c>
      <c r="C10" s="62">
        <v>210608238</v>
      </c>
      <c r="D10" s="62">
        <v>217882420</v>
      </c>
    </row>
    <row r="11" spans="1:9">
      <c r="C11" s="17"/>
      <c r="D11" s="17"/>
    </row>
    <row r="12" spans="1:9">
      <c r="A12" t="s">
        <v>866</v>
      </c>
      <c r="B12" t="s">
        <v>1130</v>
      </c>
      <c r="C12" s="17">
        <v>96060684</v>
      </c>
      <c r="D12" s="17">
        <v>96621830</v>
      </c>
    </row>
    <row r="13" spans="1:9">
      <c r="A13" s="12" t="s">
        <v>870</v>
      </c>
      <c r="B13" s="12" t="s">
        <v>1131</v>
      </c>
      <c r="C13" s="17">
        <v>81972072</v>
      </c>
      <c r="D13" s="17">
        <v>81975109</v>
      </c>
    </row>
    <row r="14" spans="1:9">
      <c r="C14" s="17"/>
      <c r="D14" s="17"/>
    </row>
    <row r="15" spans="1:9">
      <c r="A15" t="s">
        <v>1132</v>
      </c>
      <c r="B15" t="s">
        <v>1133</v>
      </c>
      <c r="C15" s="17">
        <v>7482523</v>
      </c>
      <c r="D15" s="17">
        <v>9230644</v>
      </c>
    </row>
    <row r="16" spans="1:9">
      <c r="C16" s="17"/>
      <c r="D16" s="17"/>
    </row>
    <row r="17" spans="1:4">
      <c r="A17" t="s">
        <v>1134</v>
      </c>
      <c r="B17" t="s">
        <v>915</v>
      </c>
      <c r="C17" s="17">
        <v>107420436</v>
      </c>
      <c r="D17" s="17">
        <v>118207678</v>
      </c>
    </row>
    <row r="18" spans="1:4">
      <c r="A18" t="s">
        <v>1135</v>
      </c>
      <c r="B18" t="s">
        <v>1128</v>
      </c>
      <c r="C18" s="17">
        <v>681857678</v>
      </c>
      <c r="D18" s="17">
        <v>733484051</v>
      </c>
    </row>
    <row r="21" spans="1:4">
      <c r="B21" t="s">
        <v>1136</v>
      </c>
      <c r="C21" s="47">
        <f>C7+C12+C15+C17+C18+SUM(H7:H9)</f>
        <v>1232110589</v>
      </c>
    </row>
    <row r="22" spans="1:4">
      <c r="B22" t="s">
        <v>1137</v>
      </c>
      <c r="C22" s="37">
        <f>C21/1000000000</f>
        <v>1.2321105889999999</v>
      </c>
    </row>
  </sheetData>
  <mergeCells count="1">
    <mergeCell ref="B5:D5"/>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6F555-A0D9-43C2-8358-33DCFA4EDF44}">
  <dimension ref="A1:J26"/>
  <sheetViews>
    <sheetView topLeftCell="A2" workbookViewId="0">
      <selection activeCell="J16" sqref="J16"/>
    </sheetView>
  </sheetViews>
  <sheetFormatPr defaultColWidth="8.85546875" defaultRowHeight="14.45"/>
  <cols>
    <col min="3" max="3" width="25.5703125" customWidth="1"/>
    <col min="4" max="4" width="9.5703125" customWidth="1"/>
    <col min="5" max="5" width="11.28515625" customWidth="1"/>
    <col min="6" max="6" width="12.140625" customWidth="1"/>
    <col min="7" max="7" width="12.42578125" customWidth="1"/>
  </cols>
  <sheetData>
    <row r="1" spans="1:10">
      <c r="C1" t="s">
        <v>1138</v>
      </c>
    </row>
    <row r="2" spans="1:10">
      <c r="C2" t="s">
        <v>1139</v>
      </c>
      <c r="D2" t="s">
        <v>1140</v>
      </c>
    </row>
    <row r="3" spans="1:10">
      <c r="C3" t="s">
        <v>1141</v>
      </c>
      <c r="D3" t="s">
        <v>1142</v>
      </c>
    </row>
    <row r="5" spans="1:10" ht="29.1">
      <c r="D5" s="158" t="s">
        <v>1143</v>
      </c>
      <c r="E5" s="158" t="s">
        <v>1144</v>
      </c>
      <c r="F5" s="158" t="s">
        <v>1145</v>
      </c>
      <c r="G5" s="158" t="s">
        <v>1146</v>
      </c>
      <c r="J5" s="48" t="s">
        <v>1147</v>
      </c>
    </row>
    <row r="6" spans="1:10" ht="29.1">
      <c r="C6" s="34" t="s">
        <v>1148</v>
      </c>
      <c r="D6" s="6">
        <v>89696361</v>
      </c>
      <c r="E6" s="6">
        <v>102041667</v>
      </c>
      <c r="F6" s="6">
        <v>86021745</v>
      </c>
      <c r="G6" s="6">
        <v>99659936</v>
      </c>
      <c r="J6" t="s">
        <v>1149</v>
      </c>
    </row>
    <row r="7" spans="1:10">
      <c r="A7" t="s">
        <v>1150</v>
      </c>
      <c r="B7" s="2" t="s">
        <v>782</v>
      </c>
      <c r="C7" s="49" t="s">
        <v>1151</v>
      </c>
      <c r="D7" s="6">
        <v>786829</v>
      </c>
      <c r="E7" s="6">
        <v>699639</v>
      </c>
      <c r="F7" s="6">
        <v>631914</v>
      </c>
      <c r="G7" s="6">
        <v>711122</v>
      </c>
      <c r="J7" t="s">
        <v>1152</v>
      </c>
    </row>
    <row r="8" spans="1:10">
      <c r="C8" s="49" t="s">
        <v>915</v>
      </c>
      <c r="D8" s="6">
        <v>17523371</v>
      </c>
      <c r="E8" s="6">
        <v>18980928</v>
      </c>
      <c r="F8" s="6">
        <v>16719355</v>
      </c>
      <c r="G8" s="6">
        <v>17281629</v>
      </c>
      <c r="J8" t="s">
        <v>1153</v>
      </c>
    </row>
    <row r="9" spans="1:10">
      <c r="C9" s="49" t="s">
        <v>828</v>
      </c>
      <c r="D9" s="6">
        <v>34600638</v>
      </c>
      <c r="E9" s="6">
        <v>40381274</v>
      </c>
      <c r="F9" s="6">
        <v>36044388</v>
      </c>
      <c r="G9" s="6">
        <v>39618477</v>
      </c>
      <c r="J9" t="s">
        <v>1154</v>
      </c>
    </row>
    <row r="10" spans="1:10">
      <c r="C10" s="49" t="s">
        <v>1155</v>
      </c>
      <c r="D10" s="6">
        <v>14412445</v>
      </c>
      <c r="E10" s="6">
        <v>18695921</v>
      </c>
      <c r="F10" s="6">
        <v>16028035</v>
      </c>
      <c r="G10" s="6">
        <v>17690232</v>
      </c>
      <c r="J10" t="s">
        <v>1156</v>
      </c>
    </row>
    <row r="11" spans="1:10">
      <c r="C11" s="49" t="s">
        <v>1157</v>
      </c>
      <c r="D11" s="6">
        <v>11277512</v>
      </c>
      <c r="E11" s="6">
        <v>11076724</v>
      </c>
      <c r="F11" s="6">
        <v>6317794</v>
      </c>
      <c r="G11" s="6">
        <v>11883652</v>
      </c>
    </row>
    <row r="12" spans="1:10">
      <c r="C12" s="49" t="s">
        <v>1158</v>
      </c>
      <c r="D12" s="6">
        <v>9323370</v>
      </c>
      <c r="E12" s="6">
        <v>10350116</v>
      </c>
      <c r="F12" s="6">
        <v>8481144</v>
      </c>
      <c r="G12" s="6">
        <v>10667020</v>
      </c>
    </row>
    <row r="13" spans="1:10">
      <c r="C13" s="49" t="s">
        <v>1159</v>
      </c>
      <c r="D13" s="6">
        <v>1138896</v>
      </c>
      <c r="E13" s="6">
        <v>1073971</v>
      </c>
      <c r="F13" s="6">
        <v>1048447</v>
      </c>
      <c r="G13" s="6">
        <v>1078299</v>
      </c>
    </row>
    <row r="14" spans="1:10">
      <c r="C14" s="49" t="s">
        <v>1160</v>
      </c>
      <c r="D14" s="6">
        <v>633300</v>
      </c>
      <c r="E14" s="6">
        <v>783094</v>
      </c>
      <c r="F14" s="6">
        <v>750668</v>
      </c>
      <c r="G14" s="6">
        <v>729505</v>
      </c>
    </row>
    <row r="15" spans="1:10">
      <c r="D15" s="6"/>
      <c r="E15" s="6"/>
      <c r="F15" s="6"/>
      <c r="G15" s="6"/>
    </row>
    <row r="17" spans="2:7" ht="29.1">
      <c r="C17" s="49" t="s">
        <v>764</v>
      </c>
      <c r="D17" s="158" t="s">
        <v>1143</v>
      </c>
      <c r="E17" s="158" t="s">
        <v>1144</v>
      </c>
      <c r="F17" s="158" t="s">
        <v>1145</v>
      </c>
      <c r="G17" s="158" t="s">
        <v>1146</v>
      </c>
    </row>
    <row r="18" spans="2:7" ht="29.1">
      <c r="C18" s="34" t="s">
        <v>1148</v>
      </c>
      <c r="D18">
        <f>D6/1000000000</f>
        <v>8.9696361000000002E-2</v>
      </c>
      <c r="E18">
        <f t="shared" ref="E18:G18" si="0">E6/1000000000</f>
        <v>0.102041667</v>
      </c>
      <c r="F18">
        <f t="shared" si="0"/>
        <v>8.6021744999999997E-2</v>
      </c>
      <c r="G18">
        <f t="shared" si="0"/>
        <v>9.9659936000000005E-2</v>
      </c>
    </row>
    <row r="19" spans="2:7">
      <c r="B19" s="2" t="s">
        <v>782</v>
      </c>
      <c r="C19" s="49" t="s">
        <v>1151</v>
      </c>
      <c r="D19">
        <f t="shared" ref="D19:G26" si="1">D7/1000000000</f>
        <v>7.8682899999999996E-4</v>
      </c>
      <c r="E19">
        <f t="shared" si="1"/>
        <v>6.9963899999999995E-4</v>
      </c>
      <c r="F19">
        <f t="shared" si="1"/>
        <v>6.3191400000000002E-4</v>
      </c>
      <c r="G19">
        <f t="shared" si="1"/>
        <v>7.1112200000000001E-4</v>
      </c>
    </row>
    <row r="20" spans="2:7">
      <c r="C20" s="49" t="s">
        <v>915</v>
      </c>
      <c r="D20">
        <f t="shared" si="1"/>
        <v>1.7523370999999999E-2</v>
      </c>
      <c r="E20">
        <f t="shared" si="1"/>
        <v>1.8980928000000001E-2</v>
      </c>
      <c r="F20">
        <f t="shared" si="1"/>
        <v>1.6719355000000002E-2</v>
      </c>
      <c r="G20">
        <f t="shared" si="1"/>
        <v>1.7281629E-2</v>
      </c>
    </row>
    <row r="21" spans="2:7">
      <c r="C21" s="49" t="s">
        <v>828</v>
      </c>
      <c r="D21">
        <f t="shared" si="1"/>
        <v>3.4600638000000003E-2</v>
      </c>
      <c r="E21">
        <f t="shared" si="1"/>
        <v>4.0381274000000002E-2</v>
      </c>
      <c r="F21">
        <f t="shared" si="1"/>
        <v>3.6044387999999997E-2</v>
      </c>
      <c r="G21">
        <f t="shared" si="1"/>
        <v>3.9618476999999999E-2</v>
      </c>
    </row>
    <row r="22" spans="2:7">
      <c r="C22" s="49" t="s">
        <v>1155</v>
      </c>
      <c r="D22">
        <f t="shared" si="1"/>
        <v>1.4412444999999999E-2</v>
      </c>
      <c r="E22">
        <f t="shared" si="1"/>
        <v>1.8695921000000001E-2</v>
      </c>
      <c r="F22">
        <f t="shared" si="1"/>
        <v>1.6028035E-2</v>
      </c>
      <c r="G22">
        <f t="shared" si="1"/>
        <v>1.7690232E-2</v>
      </c>
    </row>
    <row r="23" spans="2:7">
      <c r="C23" s="49" t="s">
        <v>1157</v>
      </c>
      <c r="D23">
        <f t="shared" si="1"/>
        <v>1.1277512E-2</v>
      </c>
      <c r="E23">
        <f t="shared" si="1"/>
        <v>1.1076724E-2</v>
      </c>
      <c r="F23">
        <f t="shared" si="1"/>
        <v>6.3177939999999998E-3</v>
      </c>
      <c r="G23">
        <f t="shared" si="1"/>
        <v>1.1883652E-2</v>
      </c>
    </row>
    <row r="24" spans="2:7">
      <c r="C24" s="49" t="s">
        <v>1158</v>
      </c>
      <c r="D24">
        <f t="shared" si="1"/>
        <v>9.3233699999999992E-3</v>
      </c>
      <c r="E24">
        <f t="shared" si="1"/>
        <v>1.0350115999999999E-2</v>
      </c>
      <c r="F24">
        <f t="shared" si="1"/>
        <v>8.4811439999999995E-3</v>
      </c>
      <c r="G24">
        <f t="shared" si="1"/>
        <v>1.0667019999999999E-2</v>
      </c>
    </row>
    <row r="25" spans="2:7">
      <c r="C25" s="49" t="s">
        <v>1159</v>
      </c>
      <c r="D25">
        <f t="shared" si="1"/>
        <v>1.1388959999999999E-3</v>
      </c>
      <c r="E25">
        <f t="shared" si="1"/>
        <v>1.073971E-3</v>
      </c>
      <c r="F25">
        <f t="shared" si="1"/>
        <v>1.0484470000000001E-3</v>
      </c>
      <c r="G25">
        <f t="shared" si="1"/>
        <v>1.078299E-3</v>
      </c>
    </row>
    <row r="26" spans="2:7">
      <c r="C26" s="49" t="s">
        <v>1160</v>
      </c>
      <c r="D26">
        <f t="shared" si="1"/>
        <v>6.3330000000000005E-4</v>
      </c>
      <c r="E26">
        <f t="shared" si="1"/>
        <v>7.8309400000000002E-4</v>
      </c>
      <c r="F26">
        <f t="shared" si="1"/>
        <v>7.5066800000000002E-4</v>
      </c>
      <c r="G26">
        <f t="shared" si="1"/>
        <v>7.2950499999999998E-4</v>
      </c>
    </row>
  </sheetData>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FB56-58D1-48CA-A96A-971C22FB8610}">
  <dimension ref="A1:E31"/>
  <sheetViews>
    <sheetView workbookViewId="0">
      <selection activeCell="C24" sqref="C24"/>
    </sheetView>
  </sheetViews>
  <sheetFormatPr defaultColWidth="8.85546875" defaultRowHeight="14.45"/>
  <cols>
    <col min="2" max="2" width="21" customWidth="1"/>
    <col min="3" max="5" width="17.42578125" bestFit="1" customWidth="1"/>
  </cols>
  <sheetData>
    <row r="1" spans="1:5">
      <c r="B1" t="s">
        <v>92</v>
      </c>
      <c r="C1" t="s">
        <v>1161</v>
      </c>
    </row>
    <row r="2" spans="1:5">
      <c r="C2" t="s">
        <v>1162</v>
      </c>
    </row>
    <row r="3" spans="1:5">
      <c r="C3" t="s">
        <v>1163</v>
      </c>
    </row>
    <row r="5" spans="1:5">
      <c r="B5" t="s">
        <v>1164</v>
      </c>
    </row>
    <row r="7" spans="1:5">
      <c r="C7" t="s">
        <v>1165</v>
      </c>
      <c r="D7" t="s">
        <v>1166</v>
      </c>
      <c r="E7" t="s">
        <v>1167</v>
      </c>
    </row>
    <row r="8" spans="1:5">
      <c r="A8" t="s">
        <v>866</v>
      </c>
      <c r="B8" t="s">
        <v>1074</v>
      </c>
      <c r="C8" s="17">
        <v>11338829567</v>
      </c>
      <c r="D8" s="17">
        <v>11130725164</v>
      </c>
      <c r="E8" s="17">
        <v>11311842698</v>
      </c>
    </row>
    <row r="9" spans="1:5">
      <c r="A9" t="s">
        <v>1168</v>
      </c>
      <c r="B9" t="s">
        <v>1169</v>
      </c>
      <c r="C9" s="6">
        <v>41090582563</v>
      </c>
      <c r="D9" s="6">
        <v>58250265624</v>
      </c>
      <c r="E9" s="6">
        <v>51613860674</v>
      </c>
    </row>
    <row r="10" spans="1:5">
      <c r="A10" t="s">
        <v>1168</v>
      </c>
      <c r="B10" t="s">
        <v>1170</v>
      </c>
      <c r="C10" s="6">
        <v>9172616797</v>
      </c>
      <c r="D10" s="6">
        <v>9925425794</v>
      </c>
      <c r="E10" s="6">
        <v>10118247316</v>
      </c>
    </row>
    <row r="11" spans="1:5">
      <c r="A11" t="s">
        <v>1171</v>
      </c>
      <c r="B11" t="s">
        <v>745</v>
      </c>
      <c r="C11" s="6">
        <v>1040302623</v>
      </c>
      <c r="D11" s="6">
        <v>1048724573</v>
      </c>
      <c r="E11" s="6">
        <v>1208255364</v>
      </c>
    </row>
    <row r="12" spans="1:5">
      <c r="A12" t="s">
        <v>1171</v>
      </c>
      <c r="B12" t="s">
        <v>1172</v>
      </c>
      <c r="C12" s="6">
        <v>1295185378</v>
      </c>
      <c r="D12" s="6">
        <v>1352146885</v>
      </c>
      <c r="E12" s="6">
        <v>1301058174</v>
      </c>
    </row>
    <row r="13" spans="1:5">
      <c r="A13" t="s">
        <v>1173</v>
      </c>
      <c r="B13" t="s">
        <v>1174</v>
      </c>
      <c r="C13" s="6">
        <v>789064516</v>
      </c>
      <c r="D13" s="6">
        <v>762836706</v>
      </c>
      <c r="E13" s="6">
        <v>1100000000</v>
      </c>
    </row>
    <row r="14" spans="1:5">
      <c r="A14" t="s">
        <v>1175</v>
      </c>
      <c r="B14" t="s">
        <v>1176</v>
      </c>
      <c r="C14" s="6">
        <v>1028373309</v>
      </c>
      <c r="D14" s="6">
        <v>1144982909</v>
      </c>
      <c r="E14" s="6">
        <v>1250204458</v>
      </c>
    </row>
    <row r="15" spans="1:5">
      <c r="A15" t="s">
        <v>1175</v>
      </c>
      <c r="B15" t="s">
        <v>1177</v>
      </c>
      <c r="C15" s="6">
        <v>630624554</v>
      </c>
      <c r="D15" s="6">
        <v>621042688</v>
      </c>
      <c r="E15" s="6">
        <v>618203084</v>
      </c>
    </row>
    <row r="16" spans="1:5">
      <c r="A16" t="s">
        <v>1175</v>
      </c>
      <c r="B16" t="s">
        <v>1178</v>
      </c>
      <c r="C16" s="6">
        <v>963779080</v>
      </c>
      <c r="D16" s="6">
        <v>945281799</v>
      </c>
      <c r="E16" s="6">
        <v>1229960082</v>
      </c>
    </row>
    <row r="17" spans="1:5">
      <c r="B17" s="1" t="s">
        <v>478</v>
      </c>
      <c r="C17" s="47">
        <f>SUM(C8:C16)</f>
        <v>67349358387</v>
      </c>
      <c r="D17" s="47">
        <f t="shared" ref="D17:E17" si="0">SUM(D8:D16)</f>
        <v>85181432142</v>
      </c>
      <c r="E17" s="47">
        <f t="shared" si="0"/>
        <v>79751631850</v>
      </c>
    </row>
    <row r="20" spans="1:5">
      <c r="B20" t="s">
        <v>764</v>
      </c>
    </row>
    <row r="21" spans="1:5">
      <c r="C21" t="s">
        <v>1165</v>
      </c>
      <c r="D21" t="s">
        <v>1166</v>
      </c>
      <c r="E21" t="s">
        <v>1167</v>
      </c>
    </row>
    <row r="22" spans="1:5">
      <c r="A22" t="s">
        <v>866</v>
      </c>
      <c r="B22" t="s">
        <v>1074</v>
      </c>
      <c r="C22" s="37">
        <f>C8/1000000000</f>
        <v>11.338829566999999</v>
      </c>
      <c r="D22" s="37">
        <f t="shared" ref="D22:E22" si="1">D8/1000000000</f>
        <v>11.130725163999999</v>
      </c>
      <c r="E22" s="37">
        <f t="shared" si="1"/>
        <v>11.311842698</v>
      </c>
    </row>
    <row r="23" spans="1:5">
      <c r="A23" t="s">
        <v>1168</v>
      </c>
      <c r="B23" t="s">
        <v>1169</v>
      </c>
      <c r="C23" s="37">
        <f t="shared" ref="C23:E23" si="2">C9/1000000000</f>
        <v>41.090582562999998</v>
      </c>
      <c r="D23" s="37">
        <f t="shared" si="2"/>
        <v>58.250265624000001</v>
      </c>
      <c r="E23" s="37">
        <f t="shared" si="2"/>
        <v>51.613860674000001</v>
      </c>
    </row>
    <row r="24" spans="1:5">
      <c r="A24" t="s">
        <v>1168</v>
      </c>
      <c r="B24" t="s">
        <v>1170</v>
      </c>
      <c r="C24" s="37">
        <f t="shared" ref="C24:E24" si="3">C10/1000000000</f>
        <v>9.1726167969999999</v>
      </c>
      <c r="D24" s="37">
        <f t="shared" si="3"/>
        <v>9.9254257940000006</v>
      </c>
      <c r="E24" s="37">
        <f t="shared" si="3"/>
        <v>10.118247316</v>
      </c>
    </row>
    <row r="25" spans="1:5">
      <c r="A25" t="s">
        <v>1171</v>
      </c>
      <c r="B25" t="s">
        <v>745</v>
      </c>
      <c r="C25" s="37">
        <f t="shared" ref="C25:E25" si="4">C11/1000000000</f>
        <v>1.0403026230000001</v>
      </c>
      <c r="D25" s="37">
        <f t="shared" si="4"/>
        <v>1.0487245730000001</v>
      </c>
      <c r="E25" s="37">
        <f t="shared" si="4"/>
        <v>1.208255364</v>
      </c>
    </row>
    <row r="26" spans="1:5">
      <c r="A26" t="s">
        <v>1171</v>
      </c>
      <c r="B26" t="s">
        <v>1172</v>
      </c>
      <c r="C26" s="37">
        <f t="shared" ref="C26:E26" si="5">C12/1000000000</f>
        <v>1.295185378</v>
      </c>
      <c r="D26" s="37">
        <f t="shared" si="5"/>
        <v>1.352146885</v>
      </c>
      <c r="E26" s="37">
        <f t="shared" si="5"/>
        <v>1.301058174</v>
      </c>
    </row>
    <row r="27" spans="1:5">
      <c r="A27" t="s">
        <v>1173</v>
      </c>
      <c r="B27" t="s">
        <v>1174</v>
      </c>
      <c r="C27" s="37">
        <f t="shared" ref="C27:E27" si="6">C13/1000000000</f>
        <v>0.78906451600000005</v>
      </c>
      <c r="D27" s="37">
        <f t="shared" si="6"/>
        <v>0.76283670599999998</v>
      </c>
      <c r="E27" s="37">
        <f t="shared" si="6"/>
        <v>1.1000000000000001</v>
      </c>
    </row>
    <row r="28" spans="1:5">
      <c r="A28" t="s">
        <v>1175</v>
      </c>
      <c r="B28" t="s">
        <v>1176</v>
      </c>
      <c r="C28" s="37">
        <f t="shared" ref="C28:E28" si="7">C14/1000000000</f>
        <v>1.028373309</v>
      </c>
      <c r="D28" s="37">
        <f t="shared" si="7"/>
        <v>1.1449829090000001</v>
      </c>
      <c r="E28" s="37">
        <f t="shared" si="7"/>
        <v>1.250204458</v>
      </c>
    </row>
    <row r="29" spans="1:5">
      <c r="A29" t="s">
        <v>1175</v>
      </c>
      <c r="B29" t="s">
        <v>1177</v>
      </c>
      <c r="C29" s="37">
        <f t="shared" ref="C29:E29" si="8">C15/1000000000</f>
        <v>0.63062455399999995</v>
      </c>
      <c r="D29" s="37">
        <f t="shared" si="8"/>
        <v>0.62104268799999995</v>
      </c>
      <c r="E29" s="37">
        <f t="shared" si="8"/>
        <v>0.61820308400000001</v>
      </c>
    </row>
    <row r="30" spans="1:5">
      <c r="A30" t="s">
        <v>1175</v>
      </c>
      <c r="B30" t="s">
        <v>1178</v>
      </c>
      <c r="C30" s="37">
        <f t="shared" ref="C30:E30" si="9">C16/1000000000</f>
        <v>0.96377908000000001</v>
      </c>
      <c r="D30" s="37">
        <f t="shared" si="9"/>
        <v>0.94528179899999998</v>
      </c>
      <c r="E30" s="37">
        <f t="shared" si="9"/>
        <v>1.2299600820000001</v>
      </c>
    </row>
    <row r="31" spans="1:5">
      <c r="B31" s="1" t="s">
        <v>478</v>
      </c>
      <c r="C31" s="37">
        <f t="shared" ref="C31:E31" si="10">C17/1000000000</f>
        <v>67.349358386999995</v>
      </c>
      <c r="D31" s="37">
        <f t="shared" si="10"/>
        <v>85.181432142000006</v>
      </c>
      <c r="E31" s="37">
        <f t="shared" si="10"/>
        <v>79.751631849999995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CC28-74F2-495D-B5F9-390091CA5452}">
  <dimension ref="B1:M25"/>
  <sheetViews>
    <sheetView topLeftCell="E1" workbookViewId="0">
      <selection activeCell="K2" sqref="K2"/>
    </sheetView>
  </sheetViews>
  <sheetFormatPr defaultColWidth="8.85546875" defaultRowHeight="14.45"/>
  <cols>
    <col min="2" max="2" width="11.140625" customWidth="1"/>
    <col min="4" max="7" width="15.28515625" customWidth="1"/>
    <col min="8" max="9" width="15.42578125" customWidth="1"/>
  </cols>
  <sheetData>
    <row r="1" spans="2:13">
      <c r="D1" t="s">
        <v>273</v>
      </c>
      <c r="E1" t="s">
        <v>274</v>
      </c>
      <c r="F1" t="s">
        <v>275</v>
      </c>
      <c r="G1" t="s">
        <v>276</v>
      </c>
      <c r="H1" t="s">
        <v>277</v>
      </c>
      <c r="I1" t="s">
        <v>278</v>
      </c>
      <c r="J1" t="s">
        <v>275</v>
      </c>
      <c r="K1" t="s">
        <v>279</v>
      </c>
      <c r="L1" t="s">
        <v>280</v>
      </c>
      <c r="M1" t="s">
        <v>281</v>
      </c>
    </row>
    <row r="2" spans="2:13">
      <c r="B2" t="s">
        <v>282</v>
      </c>
      <c r="D2">
        <v>8</v>
      </c>
      <c r="E2">
        <v>4</v>
      </c>
      <c r="F2">
        <f>D2-E2</f>
        <v>4</v>
      </c>
      <c r="G2">
        <f>17-E2</f>
        <v>13</v>
      </c>
      <c r="H2">
        <f>'Justice Spend Total'!E239</f>
        <v>28</v>
      </c>
      <c r="I2" s="4">
        <f>D2/H2</f>
        <v>0.2857142857142857</v>
      </c>
      <c r="J2" s="4">
        <f>F2/H2</f>
        <v>0.14285714285714285</v>
      </c>
      <c r="K2" s="4">
        <f>E2/H2</f>
        <v>0.14285714285714285</v>
      </c>
      <c r="L2" s="4">
        <f>G2/H2</f>
        <v>0.4642857142857143</v>
      </c>
      <c r="M2" s="11">
        <f>SUM(J2:L2)</f>
        <v>0.75</v>
      </c>
    </row>
    <row r="3" spans="2:13">
      <c r="B3" t="s">
        <v>283</v>
      </c>
      <c r="D3">
        <v>23</v>
      </c>
      <c r="E3">
        <v>4</v>
      </c>
      <c r="F3">
        <f>D3-E3</f>
        <v>19</v>
      </c>
      <c r="G3">
        <f>25-E3</f>
        <v>21</v>
      </c>
      <c r="H3">
        <f>'Justice Spend Total'!E240</f>
        <v>54</v>
      </c>
      <c r="I3" s="4">
        <f t="shared" ref="I3:I5" si="0">D3/H3</f>
        <v>0.42592592592592593</v>
      </c>
      <c r="J3" s="4">
        <f t="shared" ref="J3:J5" si="1">F3/H3</f>
        <v>0.35185185185185186</v>
      </c>
      <c r="K3" s="4">
        <f t="shared" ref="K3:K5" si="2">E3/H3</f>
        <v>7.407407407407407E-2</v>
      </c>
      <c r="L3" s="4">
        <f t="shared" ref="L3:L5" si="3">G3/H3</f>
        <v>0.3888888888888889</v>
      </c>
      <c r="M3" s="11">
        <f t="shared" ref="M3:M5" si="4">SUM(J3:L3)</f>
        <v>0.81481481481481488</v>
      </c>
    </row>
    <row r="4" spans="2:13">
      <c r="B4" t="s">
        <v>284</v>
      </c>
      <c r="D4">
        <f>'Justice Spend Total'!D241</f>
        <v>26</v>
      </c>
      <c r="E4">
        <v>0</v>
      </c>
      <c r="F4">
        <f t="shared" ref="F4:F5" si="5">D4-E4</f>
        <v>26</v>
      </c>
      <c r="G4">
        <v>0</v>
      </c>
      <c r="H4">
        <f>'Justice Spend Total'!E241</f>
        <v>54</v>
      </c>
      <c r="I4" s="4">
        <f t="shared" si="0"/>
        <v>0.48148148148148145</v>
      </c>
      <c r="J4" s="4">
        <f t="shared" si="1"/>
        <v>0.48148148148148145</v>
      </c>
      <c r="K4" s="4">
        <f t="shared" si="2"/>
        <v>0</v>
      </c>
      <c r="L4" s="4">
        <f t="shared" si="3"/>
        <v>0</v>
      </c>
      <c r="M4" s="11">
        <f t="shared" si="4"/>
        <v>0.48148148148148145</v>
      </c>
    </row>
    <row r="5" spans="2:13">
      <c r="B5" t="s">
        <v>285</v>
      </c>
      <c r="D5">
        <v>29</v>
      </c>
      <c r="E5">
        <v>0</v>
      </c>
      <c r="F5">
        <f t="shared" si="5"/>
        <v>29</v>
      </c>
      <c r="G5">
        <v>0</v>
      </c>
      <c r="H5">
        <f>'Justice Spend Total'!E243</f>
        <v>29</v>
      </c>
      <c r="I5" s="4">
        <f t="shared" si="0"/>
        <v>1</v>
      </c>
      <c r="J5" s="4">
        <f t="shared" si="1"/>
        <v>1</v>
      </c>
      <c r="K5" s="4">
        <f t="shared" si="2"/>
        <v>0</v>
      </c>
      <c r="L5" s="4">
        <f t="shared" si="3"/>
        <v>0</v>
      </c>
      <c r="M5" s="11">
        <f t="shared" si="4"/>
        <v>1</v>
      </c>
    </row>
    <row r="6" spans="2:13">
      <c r="B6" t="s">
        <v>286</v>
      </c>
      <c r="E6">
        <f>SUM(E2:E5)</f>
        <v>8</v>
      </c>
      <c r="G6">
        <f>SUM(G2:G5)</f>
        <v>34</v>
      </c>
      <c r="M6">
        <f>SUM(M2:M5)</f>
        <v>3.0462962962962963</v>
      </c>
    </row>
    <row r="7" spans="2:13">
      <c r="B7" t="s">
        <v>287</v>
      </c>
    </row>
    <row r="24" spans="2:13">
      <c r="B24" t="s">
        <v>288</v>
      </c>
      <c r="M24">
        <v>46</v>
      </c>
    </row>
    <row r="25" spans="2:13">
      <c r="B25">
        <f>23/54</f>
        <v>0.42592592592592593</v>
      </c>
    </row>
  </sheetData>
  <pageMargins left="0.7" right="0.7" top="0.75" bottom="0.75" header="0.3" footer="0.3"/>
  <pageSetup paperSize="9" orientation="portrait" horizontalDpi="4294967292"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A8EF-E2AD-4D3A-8E61-A37526600443}">
  <dimension ref="A1:F19"/>
  <sheetViews>
    <sheetView workbookViewId="0">
      <selection activeCell="F22" sqref="F22"/>
    </sheetView>
  </sheetViews>
  <sheetFormatPr defaultColWidth="8.85546875" defaultRowHeight="14.45"/>
  <cols>
    <col min="2" max="2" width="26.28515625" customWidth="1"/>
  </cols>
  <sheetData>
    <row r="1" spans="1:6">
      <c r="B1" t="s">
        <v>878</v>
      </c>
      <c r="C1" t="s">
        <v>1179</v>
      </c>
    </row>
    <row r="2" spans="1:6">
      <c r="C2" t="s">
        <v>1180</v>
      </c>
    </row>
    <row r="3" spans="1:6">
      <c r="C3" t="s">
        <v>1181</v>
      </c>
    </row>
    <row r="5" spans="1:6">
      <c r="A5" t="s">
        <v>1182</v>
      </c>
      <c r="B5" t="s">
        <v>1183</v>
      </c>
    </row>
    <row r="8" spans="1:6">
      <c r="B8" s="1" t="s">
        <v>919</v>
      </c>
      <c r="C8">
        <v>2020</v>
      </c>
      <c r="D8">
        <v>2021</v>
      </c>
      <c r="E8">
        <v>2022</v>
      </c>
      <c r="F8">
        <v>2023</v>
      </c>
    </row>
    <row r="9" spans="1:6">
      <c r="A9" s="12" t="s">
        <v>782</v>
      </c>
      <c r="B9" t="s">
        <v>1184</v>
      </c>
      <c r="C9">
        <v>22.6</v>
      </c>
      <c r="D9">
        <v>22</v>
      </c>
      <c r="E9">
        <v>24.3</v>
      </c>
      <c r="F9">
        <v>25.6</v>
      </c>
    </row>
    <row r="10" spans="1:6">
      <c r="B10" t="s">
        <v>1185</v>
      </c>
      <c r="C10">
        <v>7.6</v>
      </c>
      <c r="D10">
        <v>7.1</v>
      </c>
      <c r="E10">
        <v>7.4</v>
      </c>
      <c r="F10">
        <v>7.9</v>
      </c>
    </row>
    <row r="11" spans="1:6">
      <c r="B11" t="s">
        <v>885</v>
      </c>
      <c r="C11">
        <v>59</v>
      </c>
      <c r="D11">
        <v>58.1</v>
      </c>
      <c r="E11">
        <v>63.8</v>
      </c>
      <c r="F11">
        <v>67.599999999999994</v>
      </c>
    </row>
    <row r="12" spans="1:6">
      <c r="B12" t="s">
        <v>877</v>
      </c>
      <c r="C12">
        <v>34.5</v>
      </c>
      <c r="D12">
        <v>30.6</v>
      </c>
      <c r="E12">
        <v>33.4</v>
      </c>
      <c r="F12">
        <v>35.5</v>
      </c>
    </row>
    <row r="13" spans="1:6">
      <c r="B13" t="s">
        <v>1186</v>
      </c>
      <c r="C13">
        <v>44.5</v>
      </c>
      <c r="D13">
        <v>41.4</v>
      </c>
      <c r="E13">
        <v>45.1</v>
      </c>
      <c r="F13">
        <v>46.7</v>
      </c>
    </row>
    <row r="14" spans="1:6">
      <c r="B14" t="s">
        <v>1187</v>
      </c>
      <c r="C14">
        <f>SUM(C9:C13)</f>
        <v>168.2</v>
      </c>
      <c r="D14">
        <f t="shared" ref="D14:F14" si="0">SUM(D9:D13)</f>
        <v>159.20000000000002</v>
      </c>
      <c r="E14">
        <f t="shared" si="0"/>
        <v>174</v>
      </c>
      <c r="F14">
        <f t="shared" si="0"/>
        <v>183.3</v>
      </c>
    </row>
    <row r="17" spans="1:2">
      <c r="A17" t="s">
        <v>1188</v>
      </c>
      <c r="B17" t="s">
        <v>1189</v>
      </c>
    </row>
    <row r="18" spans="1:2">
      <c r="B18" t="s">
        <v>1190</v>
      </c>
    </row>
    <row r="19" spans="1:2">
      <c r="B19" t="s">
        <v>1191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B59D8-73C3-45A1-B44F-C2CF9181B666}">
  <dimension ref="A1:F16"/>
  <sheetViews>
    <sheetView zoomScaleNormal="100" workbookViewId="0">
      <selection activeCell="C12" sqref="C12"/>
    </sheetView>
  </sheetViews>
  <sheetFormatPr defaultColWidth="8.85546875" defaultRowHeight="14.45"/>
  <cols>
    <col min="3" max="3" width="72.85546875" customWidth="1"/>
    <col min="4" max="4" width="17.5703125" style="17" customWidth="1"/>
  </cols>
  <sheetData>
    <row r="1" spans="1:6">
      <c r="A1" t="s">
        <v>97</v>
      </c>
    </row>
    <row r="2" spans="1:6">
      <c r="A2" t="s">
        <v>767</v>
      </c>
      <c r="C2" s="7" t="s">
        <v>1192</v>
      </c>
      <c r="D2" s="91" t="s">
        <v>1193</v>
      </c>
    </row>
    <row r="3" spans="1:6">
      <c r="C3" t="s">
        <v>1194</v>
      </c>
    </row>
    <row r="4" spans="1:6">
      <c r="C4" s="1" t="s">
        <v>1195</v>
      </c>
    </row>
    <row r="5" spans="1:6">
      <c r="D5" s="17" t="s">
        <v>1196</v>
      </c>
      <c r="E5" t="s">
        <v>1197</v>
      </c>
      <c r="F5" t="s">
        <v>947</v>
      </c>
    </row>
    <row r="6" spans="1:6">
      <c r="C6" t="s">
        <v>1198</v>
      </c>
      <c r="D6" s="17">
        <v>9117831</v>
      </c>
      <c r="E6" s="37">
        <f>D6/10^6</f>
        <v>9.1178310000000007</v>
      </c>
      <c r="F6" s="37">
        <f>E6/E$15*100</f>
        <v>1.6264414912593651E-2</v>
      </c>
    </row>
    <row r="7" spans="1:6">
      <c r="C7" t="s">
        <v>1199</v>
      </c>
      <c r="D7" s="17">
        <v>201403000</v>
      </c>
      <c r="E7" s="37">
        <f t="shared" ref="E7:E14" si="0">D7/10^6</f>
        <v>201.40299999999999</v>
      </c>
      <c r="F7" s="37">
        <f t="shared" ref="F7:F12" si="1">E7/E$15*100</f>
        <v>0.35926328933285762</v>
      </c>
    </row>
    <row r="8" spans="1:6">
      <c r="C8" t="s">
        <v>1200</v>
      </c>
      <c r="D8" s="17">
        <v>194961570</v>
      </c>
      <c r="E8" s="37">
        <f t="shared" si="0"/>
        <v>194.96156999999999</v>
      </c>
      <c r="F8" s="37">
        <f t="shared" si="1"/>
        <v>0.34777304673564036</v>
      </c>
    </row>
    <row r="9" spans="1:6">
      <c r="C9" s="53" t="s">
        <v>1201</v>
      </c>
      <c r="D9" s="17">
        <v>309486372</v>
      </c>
      <c r="E9" s="37">
        <f t="shared" si="0"/>
        <v>309.48637200000002</v>
      </c>
      <c r="F9" s="37">
        <f t="shared" si="1"/>
        <v>0.55206273992151278</v>
      </c>
    </row>
    <row r="10" spans="1:6">
      <c r="C10" s="53" t="s">
        <v>1202</v>
      </c>
      <c r="D10" s="17">
        <v>1805290</v>
      </c>
      <c r="E10" s="37">
        <f t="shared" si="0"/>
        <v>1.8052900000000001</v>
      </c>
      <c r="F10" s="37">
        <f t="shared" si="1"/>
        <v>3.2202818408847665E-3</v>
      </c>
    </row>
    <row r="11" spans="1:6">
      <c r="C11" s="53" t="s">
        <v>1203</v>
      </c>
      <c r="D11" s="17">
        <v>1160665</v>
      </c>
      <c r="E11" s="37">
        <f t="shared" si="0"/>
        <v>1.1606650000000001</v>
      </c>
      <c r="F11" s="37">
        <f t="shared" si="1"/>
        <v>2.0703977880841959E-3</v>
      </c>
    </row>
    <row r="12" spans="1:6">
      <c r="C12" s="53" t="s">
        <v>839</v>
      </c>
      <c r="D12" s="17">
        <v>3701397</v>
      </c>
      <c r="E12" s="37">
        <f t="shared" si="0"/>
        <v>3.701397</v>
      </c>
      <c r="F12" s="37">
        <f t="shared" si="1"/>
        <v>6.6025633250089187E-3</v>
      </c>
    </row>
    <row r="13" spans="1:6">
      <c r="E13" s="37"/>
    </row>
    <row r="14" spans="1:6">
      <c r="C14" s="53" t="s">
        <v>854</v>
      </c>
      <c r="D14" s="17">
        <f>SUM(D6:D12)</f>
        <v>721636125</v>
      </c>
      <c r="E14" s="37">
        <f t="shared" si="0"/>
        <v>721.63612499999999</v>
      </c>
      <c r="F14" s="37">
        <f>E14/E$15*100</f>
        <v>1.2872567338565823</v>
      </c>
    </row>
    <row r="15" spans="1:6">
      <c r="C15" s="7" t="s">
        <v>1204</v>
      </c>
      <c r="E15">
        <v>56060</v>
      </c>
    </row>
    <row r="16" spans="1:6">
      <c r="C16" s="53" t="s">
        <v>1205</v>
      </c>
    </row>
  </sheetData>
  <hyperlinks>
    <hyperlink ref="D2" r:id="rId1" xr:uid="{90B51881-7C81-40F1-BF9B-1063169454F8}"/>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C33BF-FB30-45E9-A76D-2B3BF4591898}">
  <dimension ref="A1:H21"/>
  <sheetViews>
    <sheetView workbookViewId="0">
      <selection activeCell="D9" sqref="D9"/>
    </sheetView>
  </sheetViews>
  <sheetFormatPr defaultColWidth="8.85546875" defaultRowHeight="14.45"/>
  <cols>
    <col min="1" max="1" width="24" customWidth="1"/>
    <col min="2" max="2" width="63.140625" customWidth="1"/>
    <col min="3" max="3" width="18.5703125" customWidth="1"/>
  </cols>
  <sheetData>
    <row r="1" spans="1:8">
      <c r="A1" s="1" t="s">
        <v>135</v>
      </c>
      <c r="B1" s="7"/>
      <c r="D1" s="90"/>
      <c r="E1" s="61"/>
    </row>
    <row r="2" spans="1:8">
      <c r="A2" t="s">
        <v>92</v>
      </c>
      <c r="B2" s="7" t="s">
        <v>1206</v>
      </c>
      <c r="C2" t="s">
        <v>1207</v>
      </c>
      <c r="D2" s="90"/>
      <c r="E2" s="61"/>
    </row>
    <row r="3" spans="1:8">
      <c r="B3" t="s">
        <v>1208</v>
      </c>
      <c r="D3" s="90"/>
      <c r="E3" s="61"/>
    </row>
    <row r="4" spans="1:8">
      <c r="D4" s="90"/>
      <c r="E4" s="61"/>
    </row>
    <row r="5" spans="1:8">
      <c r="D5" s="90"/>
      <c r="E5" s="61"/>
    </row>
    <row r="6" spans="1:8">
      <c r="B6" s="1" t="s">
        <v>1209</v>
      </c>
      <c r="D6" s="90"/>
      <c r="E6" s="61"/>
    </row>
    <row r="7" spans="1:8">
      <c r="B7" s="24" t="s">
        <v>1210</v>
      </c>
      <c r="D7" s="90"/>
      <c r="E7" s="61"/>
    </row>
    <row r="8" spans="1:8">
      <c r="A8" t="s">
        <v>1211</v>
      </c>
      <c r="B8" s="24" t="s">
        <v>1212</v>
      </c>
      <c r="C8" t="s">
        <v>1213</v>
      </c>
      <c r="D8" s="90" t="s">
        <v>1214</v>
      </c>
      <c r="E8" s="61" t="s">
        <v>1215</v>
      </c>
      <c r="H8" t="s">
        <v>1216</v>
      </c>
    </row>
    <row r="9" spans="1:8">
      <c r="A9" t="s">
        <v>478</v>
      </c>
      <c r="B9" t="s">
        <v>1216</v>
      </c>
      <c r="C9">
        <v>3515788986</v>
      </c>
      <c r="D9" s="15">
        <f>C9/(10^9)</f>
        <v>3.515788986</v>
      </c>
      <c r="E9" s="61">
        <f>C9/C$21</f>
        <v>1.1653187997866075E-2</v>
      </c>
      <c r="H9" t="s">
        <v>1217</v>
      </c>
    </row>
    <row r="10" spans="1:8">
      <c r="A10" t="s">
        <v>1218</v>
      </c>
      <c r="B10" t="s">
        <v>1219</v>
      </c>
      <c r="C10" s="7">
        <v>1809216536</v>
      </c>
      <c r="D10" s="15">
        <f t="shared" ref="D10:D21" si="0">C10/(10^9)</f>
        <v>1.8092165360000001</v>
      </c>
      <c r="E10" s="61">
        <f t="shared" ref="E10:E19" si="1">C10/C$21</f>
        <v>5.9967024490974489E-3</v>
      </c>
      <c r="H10" t="s">
        <v>1220</v>
      </c>
    </row>
    <row r="11" spans="1:8">
      <c r="B11" t="s">
        <v>1221</v>
      </c>
      <c r="C11" s="7">
        <v>1809216536</v>
      </c>
      <c r="D11" s="15">
        <f t="shared" si="0"/>
        <v>1.8092165360000001</v>
      </c>
      <c r="E11" s="61">
        <f t="shared" si="1"/>
        <v>5.9967024490974489E-3</v>
      </c>
    </row>
    <row r="12" spans="1:8">
      <c r="A12" t="s">
        <v>1222</v>
      </c>
      <c r="B12" t="s">
        <v>1223</v>
      </c>
      <c r="C12" s="7">
        <v>423860229</v>
      </c>
      <c r="D12" s="15">
        <f t="shared" si="0"/>
        <v>0.42386022899999998</v>
      </c>
      <c r="E12" s="61">
        <f t="shared" si="1"/>
        <v>1.4048974364002306E-3</v>
      </c>
    </row>
    <row r="13" spans="1:8">
      <c r="A13" t="s">
        <v>1224</v>
      </c>
      <c r="B13" t="s">
        <v>1225</v>
      </c>
      <c r="C13" s="7">
        <v>309012281</v>
      </c>
      <c r="D13" s="15">
        <f t="shared" si="0"/>
        <v>0.309012281</v>
      </c>
      <c r="E13" s="61">
        <f t="shared" si="1"/>
        <v>1.0242304695991841E-3</v>
      </c>
    </row>
    <row r="14" spans="1:8">
      <c r="A14" t="s">
        <v>1226</v>
      </c>
      <c r="B14" t="s">
        <v>1227</v>
      </c>
      <c r="C14" s="7">
        <v>96004309</v>
      </c>
      <c r="D14" s="15">
        <f t="shared" si="0"/>
        <v>9.6004308999999996E-2</v>
      </c>
      <c r="E14" s="61">
        <f t="shared" si="1"/>
        <v>3.1820916040102359E-4</v>
      </c>
    </row>
    <row r="15" spans="1:8">
      <c r="A15" t="s">
        <v>1228</v>
      </c>
      <c r="B15" t="s">
        <v>1229</v>
      </c>
      <c r="C15" s="7">
        <v>18843639</v>
      </c>
      <c r="D15" s="15">
        <f t="shared" si="0"/>
        <v>1.8843638999999999E-2</v>
      </c>
      <c r="E15" s="61">
        <f t="shared" si="1"/>
        <v>6.2457806400022971E-5</v>
      </c>
    </row>
    <row r="16" spans="1:8">
      <c r="A16" t="s">
        <v>1230</v>
      </c>
      <c r="B16" t="s">
        <v>1231</v>
      </c>
      <c r="C16" s="7">
        <v>90766300</v>
      </c>
      <c r="D16" s="15">
        <f t="shared" si="0"/>
        <v>9.0766299999999994E-2</v>
      </c>
      <c r="E16" s="61">
        <f t="shared" si="1"/>
        <v>3.0084762253439505E-4</v>
      </c>
    </row>
    <row r="17" spans="1:5">
      <c r="B17" t="s">
        <v>1232</v>
      </c>
      <c r="C17" s="7">
        <v>90766300</v>
      </c>
      <c r="D17" s="15">
        <f t="shared" si="0"/>
        <v>9.0766299999999994E-2</v>
      </c>
      <c r="E17" s="61">
        <f t="shared" si="1"/>
        <v>3.0084762253439505E-4</v>
      </c>
    </row>
    <row r="18" spans="1:5">
      <c r="A18" t="s">
        <v>1233</v>
      </c>
      <c r="B18" t="s">
        <v>1234</v>
      </c>
      <c r="C18" s="7">
        <v>1191945921</v>
      </c>
      <c r="D18" s="15">
        <f t="shared" si="0"/>
        <v>1.1919459210000001</v>
      </c>
      <c r="E18" s="61">
        <f t="shared" si="1"/>
        <v>3.9507404898340009E-3</v>
      </c>
    </row>
    <row r="19" spans="1:5">
      <c r="B19" t="s">
        <v>1235</v>
      </c>
      <c r="C19" s="7">
        <v>1191945921</v>
      </c>
      <c r="D19" s="15">
        <f t="shared" si="0"/>
        <v>1.1919459210000001</v>
      </c>
      <c r="E19" s="61">
        <f t="shared" si="1"/>
        <v>3.9507404898340009E-3</v>
      </c>
    </row>
    <row r="20" spans="1:5">
      <c r="B20" s="7"/>
      <c r="C20" s="7"/>
      <c r="D20" s="15"/>
    </row>
    <row r="21" spans="1:5">
      <c r="B21" s="7" t="s">
        <v>1236</v>
      </c>
      <c r="C21" s="7">
        <v>301701902230</v>
      </c>
      <c r="D21" s="15">
        <f t="shared" si="0"/>
        <v>301.70190222999997</v>
      </c>
    </row>
  </sheetData>
  <pageMargins left="0.7" right="0.7" top="0.75" bottom="0.75" header="0.3" footer="0.3"/>
  <pageSetup paperSize="9" orientation="portrait" horizontalDpi="4294967292"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718F-1296-4102-88C1-A7C58B50A911}">
  <dimension ref="A1:E6"/>
  <sheetViews>
    <sheetView workbookViewId="0">
      <selection activeCell="B5" sqref="B5"/>
    </sheetView>
  </sheetViews>
  <sheetFormatPr defaultColWidth="8.85546875" defaultRowHeight="14.45"/>
  <cols>
    <col min="2" max="2" width="29.28515625" customWidth="1"/>
    <col min="3" max="3" width="19.140625" customWidth="1"/>
    <col min="4" max="4" width="20.140625" customWidth="1"/>
    <col min="5" max="5" width="17" customWidth="1"/>
  </cols>
  <sheetData>
    <row r="1" spans="1:5">
      <c r="A1" s="1" t="s">
        <v>156</v>
      </c>
    </row>
    <row r="2" spans="1:5">
      <c r="A2" t="s">
        <v>92</v>
      </c>
      <c r="B2" s="7" t="s">
        <v>1237</v>
      </c>
      <c r="C2" t="s">
        <v>1238</v>
      </c>
    </row>
    <row r="3" spans="1:5">
      <c r="B3" s="24" t="s">
        <v>1239</v>
      </c>
    </row>
    <row r="4" spans="1:5">
      <c r="B4" s="7"/>
      <c r="C4" t="s">
        <v>1240</v>
      </c>
      <c r="D4" t="s">
        <v>1241</v>
      </c>
    </row>
    <row r="5" spans="1:5">
      <c r="B5" s="7" t="s">
        <v>1242</v>
      </c>
      <c r="C5">
        <v>44598770000</v>
      </c>
      <c r="D5" s="15">
        <f>C5/(10^9)</f>
        <v>44.598770000000002</v>
      </c>
      <c r="E5" s="4">
        <f>C5/C6</f>
        <v>3.7477957983193276E-2</v>
      </c>
    </row>
    <row r="6" spans="1:5">
      <c r="B6" s="7" t="s">
        <v>1243</v>
      </c>
      <c r="C6">
        <f>1.19*10^12</f>
        <v>1190000000000</v>
      </c>
      <c r="D6" s="9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5CBDC-5B5D-4719-98CD-252591DC2628}">
  <dimension ref="A1:J8"/>
  <sheetViews>
    <sheetView workbookViewId="0"/>
  </sheetViews>
  <sheetFormatPr defaultColWidth="8.85546875" defaultRowHeight="14.45"/>
  <cols>
    <col min="1" max="1" width="13.5703125" customWidth="1"/>
    <col min="2" max="2" width="25.85546875" customWidth="1"/>
  </cols>
  <sheetData>
    <row r="1" spans="1:10">
      <c r="A1" t="s">
        <v>95</v>
      </c>
    </row>
    <row r="2" spans="1:10">
      <c r="A2" t="s">
        <v>767</v>
      </c>
      <c r="B2" t="s">
        <v>1244</v>
      </c>
      <c r="C2" t="s">
        <v>1245</v>
      </c>
      <c r="D2" t="s">
        <v>1246</v>
      </c>
    </row>
    <row r="3" spans="1:10">
      <c r="B3" t="s">
        <v>1247</v>
      </c>
    </row>
    <row r="4" spans="1:10" s="34" customFormat="1" ht="60" customHeight="1">
      <c r="A4" s="34" t="s">
        <v>980</v>
      </c>
      <c r="B4" s="34" t="s">
        <v>1248</v>
      </c>
    </row>
    <row r="5" spans="1:10" s="34" customFormat="1" ht="17.25" customHeight="1">
      <c r="C5" s="168" t="s">
        <v>1249</v>
      </c>
      <c r="D5" s="168"/>
      <c r="E5" s="168"/>
      <c r="F5" s="168"/>
      <c r="G5" s="168" t="s">
        <v>1250</v>
      </c>
      <c r="H5" s="168"/>
      <c r="I5" s="168"/>
      <c r="J5" s="168"/>
    </row>
    <row r="6" spans="1:10" s="34" customFormat="1">
      <c r="A6" s="34" t="s">
        <v>1251</v>
      </c>
      <c r="B6" s="34" t="s">
        <v>1249</v>
      </c>
      <c r="C6" s="168">
        <v>2020</v>
      </c>
      <c r="D6" s="168"/>
      <c r="E6" s="168">
        <v>2021</v>
      </c>
      <c r="F6" s="168"/>
      <c r="G6" s="168">
        <v>2020</v>
      </c>
      <c r="H6" s="168"/>
      <c r="I6" s="168">
        <v>2021</v>
      </c>
      <c r="J6" s="168"/>
    </row>
    <row r="7" spans="1:10" s="34" customFormat="1" ht="29.1">
      <c r="C7" s="34" t="s">
        <v>676</v>
      </c>
      <c r="D7" s="34" t="s">
        <v>1252</v>
      </c>
      <c r="E7" s="34" t="s">
        <v>676</v>
      </c>
      <c r="F7" s="34" t="s">
        <v>1252</v>
      </c>
      <c r="G7" s="34" t="s">
        <v>676</v>
      </c>
      <c r="H7" s="34" t="s">
        <v>1252</v>
      </c>
      <c r="I7" s="34" t="s">
        <v>676</v>
      </c>
      <c r="J7" s="34" t="s">
        <v>1252</v>
      </c>
    </row>
    <row r="8" spans="1:10" s="34" customFormat="1" ht="29.1">
      <c r="A8" s="34" t="s">
        <v>1211</v>
      </c>
      <c r="B8" s="34" t="s">
        <v>1253</v>
      </c>
      <c r="C8" s="93">
        <v>41039</v>
      </c>
      <c r="D8" s="94">
        <v>40677.599999999999</v>
      </c>
      <c r="E8" s="93">
        <v>40501</v>
      </c>
      <c r="F8" s="93">
        <v>40491</v>
      </c>
      <c r="G8" s="34">
        <f>C8/1000</f>
        <v>41.039000000000001</v>
      </c>
      <c r="H8" s="34">
        <f t="shared" ref="H8:J8" si="0">D8/1000</f>
        <v>40.677599999999998</v>
      </c>
      <c r="I8" s="34">
        <f t="shared" si="0"/>
        <v>40.500999999999998</v>
      </c>
      <c r="J8" s="34">
        <f t="shared" si="0"/>
        <v>40.491</v>
      </c>
    </row>
  </sheetData>
  <mergeCells count="6">
    <mergeCell ref="C6:D6"/>
    <mergeCell ref="E6:F6"/>
    <mergeCell ref="C5:F5"/>
    <mergeCell ref="G5:J5"/>
    <mergeCell ref="G6:H6"/>
    <mergeCell ref="I6:J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F1583-6DB6-4115-BFCE-21B1043781F5}">
  <dimension ref="A1:C13"/>
  <sheetViews>
    <sheetView workbookViewId="0">
      <selection activeCell="C12" sqref="C12"/>
    </sheetView>
  </sheetViews>
  <sheetFormatPr defaultColWidth="8.85546875" defaultRowHeight="14.45"/>
  <cols>
    <col min="2" max="2" width="27.5703125" bestFit="1" customWidth="1"/>
    <col min="3" max="3" width="18.42578125" bestFit="1" customWidth="1"/>
  </cols>
  <sheetData>
    <row r="1" spans="1:3">
      <c r="B1" t="s">
        <v>92</v>
      </c>
      <c r="C1" t="s">
        <v>1254</v>
      </c>
    </row>
    <row r="2" spans="1:3">
      <c r="C2" t="s">
        <v>1255</v>
      </c>
    </row>
    <row r="4" spans="1:3">
      <c r="C4" t="s">
        <v>1256</v>
      </c>
    </row>
    <row r="5" spans="1:3">
      <c r="A5" t="s">
        <v>1257</v>
      </c>
      <c r="B5" t="s">
        <v>1258</v>
      </c>
      <c r="C5" s="17">
        <v>555473377792</v>
      </c>
    </row>
    <row r="6" spans="1:3">
      <c r="B6" t="s">
        <v>1259</v>
      </c>
      <c r="C6" s="17"/>
    </row>
    <row r="7" spans="1:3">
      <c r="A7" s="12" t="s">
        <v>870</v>
      </c>
      <c r="B7" t="s">
        <v>1260</v>
      </c>
      <c r="C7" s="6">
        <v>93472724468</v>
      </c>
    </row>
    <row r="8" spans="1:3">
      <c r="B8" t="s">
        <v>1261</v>
      </c>
      <c r="C8" s="6">
        <v>969006683</v>
      </c>
    </row>
    <row r="9" spans="1:3">
      <c r="B9" t="s">
        <v>1262</v>
      </c>
      <c r="C9" s="6">
        <v>1158657748</v>
      </c>
    </row>
    <row r="10" spans="1:3">
      <c r="A10" t="s">
        <v>1263</v>
      </c>
      <c r="B10" t="s">
        <v>747</v>
      </c>
      <c r="C10" s="6">
        <v>120000000000</v>
      </c>
    </row>
    <row r="11" spans="1:3">
      <c r="B11" t="s">
        <v>1264</v>
      </c>
      <c r="C11" s="6">
        <v>61029472666</v>
      </c>
    </row>
    <row r="12" spans="1:3">
      <c r="B12" t="s">
        <v>478</v>
      </c>
      <c r="C12" s="47">
        <f>SUM(C5:C11)</f>
        <v>832103239357</v>
      </c>
    </row>
    <row r="13" spans="1:3">
      <c r="B13" t="s">
        <v>821</v>
      </c>
      <c r="C13" s="37">
        <f>C12/1000000000</f>
        <v>832.10323935700001</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59A18-BC05-4F07-A518-8F316FDA3155}">
  <dimension ref="A1:I24"/>
  <sheetViews>
    <sheetView topLeftCell="A2" workbookViewId="0">
      <selection activeCell="C22" sqref="C22"/>
    </sheetView>
  </sheetViews>
  <sheetFormatPr defaultColWidth="8.85546875" defaultRowHeight="14.45"/>
  <cols>
    <col min="2" max="2" width="31" bestFit="1" customWidth="1"/>
    <col min="3" max="3" width="20.42578125" customWidth="1"/>
    <col min="4" max="4" width="19.28515625" customWidth="1"/>
    <col min="7" max="7" width="26.140625" bestFit="1" customWidth="1"/>
    <col min="8" max="8" width="20" customWidth="1"/>
    <col min="9" max="9" width="19.5703125" bestFit="1" customWidth="1"/>
  </cols>
  <sheetData>
    <row r="1" spans="1:9">
      <c r="B1" t="s">
        <v>92</v>
      </c>
      <c r="C1" t="s">
        <v>1265</v>
      </c>
    </row>
    <row r="2" spans="1:9">
      <c r="C2" t="s">
        <v>1266</v>
      </c>
    </row>
    <row r="4" spans="1:9">
      <c r="C4" s="167" t="s">
        <v>1108</v>
      </c>
      <c r="D4" s="167"/>
    </row>
    <row r="5" spans="1:9">
      <c r="C5" s="167" t="s">
        <v>1267</v>
      </c>
      <c r="D5" s="167"/>
      <c r="H5" s="167" t="s">
        <v>1268</v>
      </c>
      <c r="I5" s="167"/>
    </row>
    <row r="6" spans="1:9">
      <c r="C6" t="s">
        <v>1269</v>
      </c>
      <c r="D6" t="s">
        <v>1270</v>
      </c>
      <c r="H6" t="s">
        <v>1269</v>
      </c>
      <c r="I6" t="s">
        <v>1270</v>
      </c>
    </row>
    <row r="7" spans="1:9">
      <c r="A7" t="s">
        <v>1271</v>
      </c>
      <c r="B7" t="s">
        <v>1272</v>
      </c>
      <c r="C7" s="17">
        <v>191491</v>
      </c>
      <c r="D7" s="6">
        <v>209161</v>
      </c>
      <c r="F7" t="s">
        <v>1273</v>
      </c>
      <c r="G7" t="s">
        <v>1272</v>
      </c>
      <c r="H7" s="6">
        <v>5110</v>
      </c>
      <c r="I7" s="6">
        <v>4245</v>
      </c>
    </row>
    <row r="8" spans="1:9">
      <c r="A8" s="12" t="s">
        <v>870</v>
      </c>
      <c r="B8" t="s">
        <v>1274</v>
      </c>
      <c r="C8" s="6">
        <v>8398</v>
      </c>
      <c r="D8" s="6">
        <v>9256</v>
      </c>
      <c r="G8" t="s">
        <v>1274</v>
      </c>
      <c r="H8" s="6">
        <v>2390</v>
      </c>
      <c r="I8" s="6">
        <v>1814</v>
      </c>
    </row>
    <row r="9" spans="1:9">
      <c r="B9" t="s">
        <v>1275</v>
      </c>
      <c r="C9" s="6">
        <v>177553</v>
      </c>
      <c r="D9" s="6">
        <v>190265</v>
      </c>
      <c r="G9" t="s">
        <v>1275</v>
      </c>
      <c r="H9" s="6">
        <v>2623</v>
      </c>
      <c r="I9" s="6">
        <v>2268</v>
      </c>
    </row>
    <row r="10" spans="1:9">
      <c r="B10" t="s">
        <v>995</v>
      </c>
      <c r="C10">
        <v>290</v>
      </c>
      <c r="D10">
        <v>309</v>
      </c>
      <c r="G10" t="s">
        <v>1276</v>
      </c>
      <c r="H10">
        <v>96</v>
      </c>
      <c r="I10">
        <v>162</v>
      </c>
    </row>
    <row r="11" spans="1:9">
      <c r="B11" t="s">
        <v>1277</v>
      </c>
      <c r="C11">
        <v>44</v>
      </c>
      <c r="D11" s="6">
        <v>44</v>
      </c>
    </row>
    <row r="12" spans="1:9">
      <c r="B12" t="s">
        <v>1278</v>
      </c>
      <c r="C12">
        <v>65</v>
      </c>
      <c r="D12" s="6">
        <v>56</v>
      </c>
    </row>
    <row r="13" spans="1:9">
      <c r="B13" t="s">
        <v>1276</v>
      </c>
      <c r="C13" s="17">
        <v>5142</v>
      </c>
      <c r="D13" s="6">
        <v>9231</v>
      </c>
    </row>
    <row r="15" spans="1:9">
      <c r="B15" t="s">
        <v>478</v>
      </c>
      <c r="C15" s="47">
        <f t="shared" ref="C15:D17" si="0">C7+H7</f>
        <v>196601</v>
      </c>
      <c r="D15" s="47">
        <f t="shared" si="0"/>
        <v>213406</v>
      </c>
    </row>
    <row r="16" spans="1:9">
      <c r="A16" s="12" t="s">
        <v>870</v>
      </c>
      <c r="B16" t="s">
        <v>1274</v>
      </c>
      <c r="C16" s="47">
        <f t="shared" si="0"/>
        <v>10788</v>
      </c>
      <c r="D16" s="47">
        <f t="shared" si="0"/>
        <v>11070</v>
      </c>
    </row>
    <row r="17" spans="2:4">
      <c r="B17" t="s">
        <v>1275</v>
      </c>
      <c r="C17" s="47">
        <f t="shared" si="0"/>
        <v>180176</v>
      </c>
      <c r="D17" s="47">
        <f t="shared" si="0"/>
        <v>192533</v>
      </c>
    </row>
    <row r="18" spans="2:4">
      <c r="B18" t="s">
        <v>995</v>
      </c>
      <c r="C18" s="47">
        <f t="shared" ref="C18:D20" si="1">C10</f>
        <v>290</v>
      </c>
      <c r="D18" s="47">
        <f t="shared" si="1"/>
        <v>309</v>
      </c>
    </row>
    <row r="19" spans="2:4">
      <c r="B19" t="s">
        <v>1277</v>
      </c>
      <c r="C19" s="47">
        <f t="shared" si="1"/>
        <v>44</v>
      </c>
      <c r="D19" s="47">
        <f t="shared" si="1"/>
        <v>44</v>
      </c>
    </row>
    <row r="20" spans="2:4">
      <c r="B20" t="s">
        <v>1278</v>
      </c>
      <c r="C20" s="47">
        <f t="shared" si="1"/>
        <v>65</v>
      </c>
      <c r="D20" s="47">
        <f t="shared" si="1"/>
        <v>56</v>
      </c>
    </row>
    <row r="21" spans="2:4">
      <c r="B21" t="s">
        <v>1276</v>
      </c>
      <c r="C21" s="47">
        <f>C13+H10</f>
        <v>5238</v>
      </c>
      <c r="D21" s="47">
        <f>D13+I10</f>
        <v>9393</v>
      </c>
    </row>
    <row r="22" spans="2:4">
      <c r="B22" t="s">
        <v>821</v>
      </c>
      <c r="C22" s="37">
        <f>C15/1000</f>
        <v>196.601</v>
      </c>
      <c r="D22" s="37">
        <f>D15/1000</f>
        <v>213.40600000000001</v>
      </c>
    </row>
    <row r="24" spans="2:4">
      <c r="C24" s="47"/>
      <c r="D24" s="47"/>
    </row>
  </sheetData>
  <mergeCells count="3">
    <mergeCell ref="C4:D4"/>
    <mergeCell ref="H5:I5"/>
    <mergeCell ref="C5:D5"/>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01C23-DAC6-4708-B42E-94FC2335A8EC}">
  <dimension ref="A1:E22"/>
  <sheetViews>
    <sheetView workbookViewId="0">
      <selection activeCell="C13" sqref="C13"/>
    </sheetView>
  </sheetViews>
  <sheetFormatPr defaultColWidth="8.85546875" defaultRowHeight="14.45"/>
  <cols>
    <col min="2" max="2" width="39.85546875" bestFit="1" customWidth="1"/>
  </cols>
  <sheetData>
    <row r="1" spans="1:5">
      <c r="B1" t="s">
        <v>92</v>
      </c>
      <c r="C1" t="s">
        <v>1279</v>
      </c>
    </row>
    <row r="2" spans="1:5">
      <c r="C2" t="s">
        <v>1280</v>
      </c>
    </row>
    <row r="4" spans="1:5">
      <c r="C4" s="167" t="s">
        <v>1108</v>
      </c>
      <c r="D4" s="167"/>
      <c r="E4" s="167"/>
    </row>
    <row r="5" spans="1:5">
      <c r="C5" t="s">
        <v>673</v>
      </c>
      <c r="D5" s="167" t="s">
        <v>1281</v>
      </c>
      <c r="E5" s="167"/>
    </row>
    <row r="6" spans="1:5">
      <c r="C6">
        <v>2020</v>
      </c>
      <c r="D6">
        <v>2021</v>
      </c>
      <c r="E6">
        <v>2022</v>
      </c>
    </row>
    <row r="7" spans="1:5">
      <c r="A7" t="s">
        <v>1282</v>
      </c>
      <c r="B7" t="s">
        <v>1283</v>
      </c>
      <c r="C7" s="13">
        <v>1444.5</v>
      </c>
      <c r="D7" s="13">
        <v>1268.8</v>
      </c>
      <c r="E7" s="13">
        <v>1385.7</v>
      </c>
    </row>
    <row r="8" spans="1:5">
      <c r="A8" s="12" t="s">
        <v>1284</v>
      </c>
      <c r="B8" t="s">
        <v>1285</v>
      </c>
      <c r="C8">
        <v>9.5</v>
      </c>
      <c r="D8">
        <v>14.8</v>
      </c>
      <c r="E8">
        <v>19.2</v>
      </c>
    </row>
    <row r="9" spans="1:5">
      <c r="B9" t="s">
        <v>1286</v>
      </c>
      <c r="C9">
        <v>14.4</v>
      </c>
      <c r="D9">
        <v>14.3</v>
      </c>
      <c r="E9">
        <v>17.5</v>
      </c>
    </row>
    <row r="10" spans="1:5">
      <c r="B10" t="s">
        <v>1287</v>
      </c>
      <c r="C10">
        <v>296.2</v>
      </c>
      <c r="D10">
        <v>223.9</v>
      </c>
      <c r="E10">
        <v>206.9</v>
      </c>
    </row>
    <row r="11" spans="1:5">
      <c r="B11" t="s">
        <v>1288</v>
      </c>
      <c r="C11">
        <v>45.2</v>
      </c>
      <c r="D11">
        <v>42.2</v>
      </c>
      <c r="E11">
        <v>51.2</v>
      </c>
    </row>
    <row r="12" spans="1:5">
      <c r="B12" t="s">
        <v>1289</v>
      </c>
      <c r="C12">
        <v>148.80000000000001</v>
      </c>
      <c r="D12">
        <v>149.30000000000001</v>
      </c>
      <c r="E12">
        <v>172.7</v>
      </c>
    </row>
    <row r="13" spans="1:5">
      <c r="B13" t="s">
        <v>1290</v>
      </c>
      <c r="C13">
        <v>157.30000000000001</v>
      </c>
      <c r="D13">
        <v>137.30000000000001</v>
      </c>
      <c r="E13">
        <v>159.6</v>
      </c>
    </row>
    <row r="14" spans="1:5">
      <c r="B14" t="s">
        <v>1291</v>
      </c>
      <c r="C14">
        <v>406.9</v>
      </c>
      <c r="D14">
        <v>338.3</v>
      </c>
      <c r="E14">
        <v>360.2</v>
      </c>
    </row>
    <row r="15" spans="1:5">
      <c r="B15" t="s">
        <v>1292</v>
      </c>
      <c r="C15">
        <v>5.9</v>
      </c>
      <c r="D15">
        <v>6.1</v>
      </c>
      <c r="E15">
        <v>11.3</v>
      </c>
    </row>
    <row r="16" spans="1:5">
      <c r="B16" t="s">
        <v>1293</v>
      </c>
      <c r="C16">
        <v>324.5</v>
      </c>
      <c r="D16">
        <v>310.3</v>
      </c>
      <c r="E16">
        <v>353.8</v>
      </c>
    </row>
    <row r="17" spans="2:5">
      <c r="B17" t="s">
        <v>1294</v>
      </c>
      <c r="C17">
        <v>28.5</v>
      </c>
      <c r="D17">
        <v>25.6</v>
      </c>
      <c r="E17">
        <v>25.6</v>
      </c>
    </row>
    <row r="18" spans="2:5">
      <c r="B18" t="s">
        <v>1295</v>
      </c>
      <c r="C18">
        <v>2.6</v>
      </c>
      <c r="D18">
        <v>3.1</v>
      </c>
      <c r="E18">
        <v>3.1</v>
      </c>
    </row>
    <row r="19" spans="2:5">
      <c r="B19" t="s">
        <v>1296</v>
      </c>
      <c r="C19">
        <v>3.3</v>
      </c>
    </row>
    <row r="20" spans="2:5">
      <c r="B20" t="s">
        <v>1297</v>
      </c>
      <c r="C20">
        <v>1.5</v>
      </c>
      <c r="D20">
        <v>3.6</v>
      </c>
      <c r="E20">
        <v>4.5999999999999996</v>
      </c>
    </row>
    <row r="22" spans="2:5">
      <c r="B22" t="s">
        <v>821</v>
      </c>
      <c r="C22">
        <f>C7/1000</f>
        <v>1.4444999999999999</v>
      </c>
      <c r="D22">
        <f>D7/1000</f>
        <v>1.2687999999999999</v>
      </c>
      <c r="E22">
        <f>E7/1000</f>
        <v>1.3857000000000002</v>
      </c>
    </row>
  </sheetData>
  <mergeCells count="2">
    <mergeCell ref="D5:E5"/>
    <mergeCell ref="C4:E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5A155-7E9C-481A-BB34-3E28BB1F68F8}">
  <dimension ref="A1:G24"/>
  <sheetViews>
    <sheetView topLeftCell="A4" workbookViewId="0">
      <selection activeCell="C4" sqref="C4"/>
    </sheetView>
  </sheetViews>
  <sheetFormatPr defaultColWidth="8.85546875" defaultRowHeight="14.45"/>
  <cols>
    <col min="1" max="1" width="11.42578125" bestFit="1" customWidth="1"/>
    <col min="2" max="2" width="58" bestFit="1" customWidth="1"/>
    <col min="3" max="3" width="8.28515625" customWidth="1"/>
  </cols>
  <sheetData>
    <row r="1" spans="1:7">
      <c r="C1" s="1" t="s">
        <v>1298</v>
      </c>
    </row>
    <row r="2" spans="1:7">
      <c r="B2" s="22" t="s">
        <v>855</v>
      </c>
      <c r="C2" t="s">
        <v>1299</v>
      </c>
    </row>
    <row r="4" spans="1:7">
      <c r="B4" t="s">
        <v>1300</v>
      </c>
      <c r="C4" s="7">
        <f>C9+C20+C22+C24</f>
        <v>145.24332746300001</v>
      </c>
      <c r="D4" s="7"/>
      <c r="E4" s="7"/>
    </row>
    <row r="6" spans="1:7">
      <c r="A6" s="1" t="s">
        <v>1301</v>
      </c>
    </row>
    <row r="7" spans="1:7">
      <c r="A7" t="s">
        <v>1302</v>
      </c>
      <c r="C7" s="1" t="s">
        <v>1303</v>
      </c>
    </row>
    <row r="8" spans="1:7">
      <c r="C8" t="s">
        <v>663</v>
      </c>
      <c r="D8" t="s">
        <v>678</v>
      </c>
      <c r="E8" t="s">
        <v>1070</v>
      </c>
    </row>
    <row r="9" spans="1:7">
      <c r="B9" s="1" t="s">
        <v>1304</v>
      </c>
      <c r="C9" s="24">
        <v>116.995417777</v>
      </c>
      <c r="D9" s="24">
        <v>109.384206707</v>
      </c>
      <c r="E9" s="24">
        <v>115.909954795</v>
      </c>
      <c r="G9" s="32" t="s">
        <v>1305</v>
      </c>
    </row>
    <row r="10" spans="1:7">
      <c r="A10" s="25" t="s">
        <v>870</v>
      </c>
      <c r="B10" s="1"/>
      <c r="C10" s="24"/>
      <c r="D10" s="24"/>
      <c r="E10" s="24"/>
      <c r="G10" t="s">
        <v>1306</v>
      </c>
    </row>
    <row r="11" spans="1:7">
      <c r="B11" t="s">
        <v>1307</v>
      </c>
      <c r="C11" s="7">
        <v>70.726133332000003</v>
      </c>
      <c r="D11" s="7">
        <v>64.237601636999997</v>
      </c>
      <c r="E11" s="7">
        <v>69.067723911000002</v>
      </c>
      <c r="G11" t="s">
        <v>1308</v>
      </c>
    </row>
    <row r="12" spans="1:7">
      <c r="B12" t="s">
        <v>1309</v>
      </c>
      <c r="C12" s="7">
        <v>21.367403525</v>
      </c>
      <c r="D12" s="7">
        <v>21.629104137999999</v>
      </c>
      <c r="E12" s="7">
        <v>22.665601765000002</v>
      </c>
    </row>
    <row r="13" spans="1:7">
      <c r="B13" t="s">
        <v>1310</v>
      </c>
      <c r="C13" s="7">
        <v>6.9810784139999997</v>
      </c>
      <c r="D13" s="7">
        <v>6.1401989869999998</v>
      </c>
      <c r="E13" s="7">
        <v>6.1959609499999999</v>
      </c>
    </row>
    <row r="14" spans="1:7">
      <c r="B14" t="s">
        <v>1311</v>
      </c>
      <c r="C14" s="7">
        <v>0.25</v>
      </c>
      <c r="D14" s="7">
        <v>0.2525</v>
      </c>
      <c r="E14" s="7">
        <v>0.25483</v>
      </c>
    </row>
    <row r="15" spans="1:7">
      <c r="B15" t="s">
        <v>1312</v>
      </c>
      <c r="C15" s="7">
        <v>1.313897074</v>
      </c>
      <c r="D15" s="7">
        <v>1.212064228</v>
      </c>
      <c r="E15" s="7">
        <v>1.2221000399999999</v>
      </c>
    </row>
    <row r="16" spans="1:7">
      <c r="B16" t="s">
        <v>1313</v>
      </c>
      <c r="C16" s="7">
        <v>1.4102495850000001</v>
      </c>
      <c r="D16" s="7">
        <v>1.5106059890000001</v>
      </c>
      <c r="E16" s="7">
        <v>1.56343857</v>
      </c>
    </row>
    <row r="17" spans="1:5">
      <c r="B17" t="s">
        <v>1314</v>
      </c>
      <c r="C17" s="7">
        <v>14.488584648</v>
      </c>
      <c r="D17" s="7">
        <v>14.402131728000001</v>
      </c>
      <c r="E17" s="7">
        <v>14.940299559</v>
      </c>
    </row>
    <row r="18" spans="1:5">
      <c r="B18" t="s">
        <v>1315</v>
      </c>
      <c r="C18" s="15">
        <v>0.45807119899999998</v>
      </c>
      <c r="D18" s="7">
        <v>0</v>
      </c>
      <c r="E18" s="7">
        <v>0</v>
      </c>
    </row>
    <row r="19" spans="1:5">
      <c r="C19" s="7"/>
    </row>
    <row r="20" spans="1:5">
      <c r="A20" t="s">
        <v>1316</v>
      </c>
      <c r="B20" t="s">
        <v>1317</v>
      </c>
      <c r="C20" s="7">
        <v>14.557717102</v>
      </c>
      <c r="D20" s="7">
        <v>13.750304672</v>
      </c>
      <c r="E20" s="7">
        <v>13.874678941999999</v>
      </c>
    </row>
    <row r="22" spans="1:5">
      <c r="A22" t="s">
        <v>1318</v>
      </c>
      <c r="B22" t="s">
        <v>1319</v>
      </c>
      <c r="C22" s="16">
        <v>6.2202922980000004</v>
      </c>
      <c r="D22" s="16">
        <v>6.4664425369999998</v>
      </c>
      <c r="E22" s="16">
        <v>6.5250454590000002</v>
      </c>
    </row>
    <row r="23" spans="1:5">
      <c r="C23" s="16"/>
      <c r="D23" s="16"/>
      <c r="E23" s="16"/>
    </row>
    <row r="24" spans="1:5">
      <c r="A24" t="s">
        <v>1316</v>
      </c>
      <c r="B24" t="s">
        <v>1320</v>
      </c>
      <c r="C24" s="16">
        <v>7.4699002859999997</v>
      </c>
      <c r="D24" s="16">
        <v>5.5427924109999998</v>
      </c>
      <c r="E24" s="16">
        <v>5.7575741069999999</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D1D7-0DB3-4BD8-8F33-F369726CB07D}">
  <dimension ref="A1:C8"/>
  <sheetViews>
    <sheetView workbookViewId="0">
      <selection activeCell="C8" sqref="C8"/>
    </sheetView>
  </sheetViews>
  <sheetFormatPr defaultColWidth="8.85546875" defaultRowHeight="14.45"/>
  <cols>
    <col min="2" max="3" width="18.42578125" bestFit="1" customWidth="1"/>
  </cols>
  <sheetData>
    <row r="1" spans="1:3">
      <c r="B1" t="s">
        <v>767</v>
      </c>
      <c r="C1" t="s">
        <v>1321</v>
      </c>
    </row>
    <row r="2" spans="1:3">
      <c r="C2" t="s">
        <v>1322</v>
      </c>
    </row>
    <row r="3" spans="1:3">
      <c r="C3" t="s">
        <v>1323</v>
      </c>
    </row>
    <row r="4" spans="1:3">
      <c r="B4" t="s">
        <v>1324</v>
      </c>
      <c r="C4" t="s">
        <v>1325</v>
      </c>
    </row>
    <row r="6" spans="1:3">
      <c r="B6" t="s">
        <v>1326</v>
      </c>
    </row>
    <row r="7" spans="1:3">
      <c r="B7" t="s">
        <v>1327</v>
      </c>
      <c r="C7" t="s">
        <v>1328</v>
      </c>
    </row>
    <row r="8" spans="1:3">
      <c r="A8" t="s">
        <v>1329</v>
      </c>
      <c r="B8" s="17">
        <v>169600807248</v>
      </c>
      <c r="C8" s="37">
        <f>B8/1000000000</f>
        <v>169.600807248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468F8-BA64-4A42-B588-16396564109B}">
  <dimension ref="A1:D204"/>
  <sheetViews>
    <sheetView workbookViewId="0">
      <selection activeCell="F81" sqref="F81"/>
    </sheetView>
  </sheetViews>
  <sheetFormatPr defaultColWidth="8.85546875" defaultRowHeight="14.45"/>
  <cols>
    <col min="2" max="2" width="11.140625" customWidth="1"/>
    <col min="4" max="4" width="15.28515625" customWidth="1"/>
    <col min="5" max="5" width="15.42578125" customWidth="1"/>
  </cols>
  <sheetData>
    <row r="1" spans="1:4">
      <c r="A1" t="s">
        <v>47</v>
      </c>
      <c r="B1" t="s">
        <v>88</v>
      </c>
      <c r="C1" s="15" t="s">
        <v>289</v>
      </c>
      <c r="D1" s="15" t="s">
        <v>290</v>
      </c>
    </row>
    <row r="2" spans="1:4">
      <c r="A2" t="s">
        <v>112</v>
      </c>
      <c r="B2">
        <f>IF(ISNUMBER(VLOOKUP($A2,'Justice Spend Total'!$B:$AQ,8,FALSE)), VLOOKUP($A2,'Justice Spend Total'!$B:$AQ,8,FALSE), #N/A)</f>
        <v>860</v>
      </c>
      <c r="C2" s="15">
        <f>IF(ISNUMBER(VLOOKUP($A2,'Justice Spend Total'!$B:$AQ,39,FALSE)), VLOOKUP($A2,'Justice Spend Total'!$B:$AQ,39,FALSE), #N/A)</f>
        <v>1.7010389421096062</v>
      </c>
      <c r="D2" s="15">
        <v>4.3</v>
      </c>
    </row>
    <row r="3" spans="1:4">
      <c r="A3" t="s">
        <v>147</v>
      </c>
      <c r="B3">
        <f>IF(ISNUMBER(VLOOKUP($A3,'Justice Spend Total'!$B:$AQ,8,FALSE)), VLOOKUP($A3,'Justice Spend Total'!$B:$AQ,8,FALSE), #N/A)</f>
        <v>2520</v>
      </c>
      <c r="C3" s="15">
        <f>IF(ISNUMBER(VLOOKUP($A3,'Justice Spend Total'!$B:$AQ,39,FALSE)), VLOOKUP($A3,'Justice Spend Total'!$B:$AQ,39,FALSE), #N/A)</f>
        <v>1.9645703775836318</v>
      </c>
      <c r="D3" s="15">
        <v>4.3</v>
      </c>
    </row>
    <row r="4" spans="1:4">
      <c r="A4" t="s">
        <v>169</v>
      </c>
      <c r="B4">
        <f>IF(ISNUMBER(VLOOKUP($A4,'Justice Spend Total'!$B:$AQ,8,FALSE)), VLOOKUP($A4,'Justice Spend Total'!$B:$AQ,8,FALSE), #N/A)</f>
        <v>3880</v>
      </c>
      <c r="C4" s="15">
        <f>IF(ISNUMBER(VLOOKUP($A4,'Justice Spend Total'!$B:$AQ,39,FALSE)), VLOOKUP($A4,'Justice Spend Total'!$B:$AQ,39,FALSE), #N/A)</f>
        <v>2.0585992931719943</v>
      </c>
      <c r="D4" s="15">
        <v>4.3</v>
      </c>
    </row>
    <row r="5" spans="1:4">
      <c r="A5" t="s">
        <v>115</v>
      </c>
      <c r="B5">
        <f>IF(ISNUMBER(VLOOKUP($A5,'Justice Spend Total'!$B:$AQ,8,FALSE)), VLOOKUP($A5,'Justice Spend Total'!$B:$AQ,8,FALSE), #N/A)</f>
        <v>960</v>
      </c>
      <c r="C5" s="15">
        <f>IF(ISNUMBER(VLOOKUP($A5,'Justice Spend Total'!$B:$AQ,39,FALSE)), VLOOKUP($A5,'Justice Spend Total'!$B:$AQ,39,FALSE), #N/A)</f>
        <v>2.1822794133400376</v>
      </c>
      <c r="D5" s="15">
        <v>4.3</v>
      </c>
    </row>
    <row r="6" spans="1:4">
      <c r="A6" t="s">
        <v>130</v>
      </c>
      <c r="B6">
        <f>IF(ISNUMBER(VLOOKUP($A6,'Justice Spend Total'!$B:$AQ,8,FALSE)), VLOOKUP($A6,'Justice Spend Total'!$B:$AQ,8,FALSE), #N/A)</f>
        <v>1500</v>
      </c>
      <c r="C6" s="15">
        <f>IF(ISNUMBER(VLOOKUP($A6,'Justice Spend Total'!$B:$AQ,39,FALSE)), VLOOKUP($A6,'Justice Spend Total'!$B:$AQ,39,FALSE), #N/A)</f>
        <v>2.8356336080008888</v>
      </c>
      <c r="D6" s="15">
        <v>4.3</v>
      </c>
    </row>
    <row r="7" spans="1:4">
      <c r="A7" t="s">
        <v>118</v>
      </c>
      <c r="B7">
        <f>IF(ISNUMBER(VLOOKUP($A7,'Justice Spend Total'!$B:$AQ,8,FALSE)), VLOOKUP($A7,'Justice Spend Total'!$B:$AQ,8,FALSE), #N/A)</f>
        <v>1040</v>
      </c>
      <c r="C7" s="15">
        <f>IF(ISNUMBER(VLOOKUP($A7,'Justice Spend Total'!$B:$AQ,39,FALSE)), VLOOKUP($A7,'Justice Spend Total'!$B:$AQ,39,FALSE), #N/A)</f>
        <v>2.8744483824346863</v>
      </c>
      <c r="D7" s="15">
        <v>4.3</v>
      </c>
    </row>
    <row r="8" spans="1:4">
      <c r="A8" t="s">
        <v>219</v>
      </c>
      <c r="B8">
        <f>IF(ISNUMBER(VLOOKUP($A8,'Justice Spend Total'!$B:$AQ,8,FALSE)), VLOOKUP($A8,'Justice Spend Total'!$B:$AQ,8,FALSE), #N/A)</f>
        <v>10050</v>
      </c>
      <c r="C8" s="15">
        <f>IF(ISNUMBER(VLOOKUP($A8,'Justice Spend Total'!$B:$AQ,39,FALSE)), VLOOKUP($A8,'Justice Spend Total'!$B:$AQ,39,FALSE), #N/A)</f>
        <v>2.8755995341126996</v>
      </c>
      <c r="D8" s="15">
        <v>4.3</v>
      </c>
    </row>
    <row r="9" spans="1:4">
      <c r="A9" t="s">
        <v>117</v>
      </c>
      <c r="B9">
        <f>IF(ISNUMBER(VLOOKUP($A9,'Justice Spend Total'!$B:$AQ,8,FALSE)), VLOOKUP($A9,'Justice Spend Total'!$B:$AQ,8,FALSE), #N/A)</f>
        <v>1010</v>
      </c>
      <c r="C9" s="15">
        <f>IF(ISNUMBER(VLOOKUP($A9,'Justice Spend Total'!$B:$AQ,39,FALSE)), VLOOKUP($A9,'Justice Spend Total'!$B:$AQ,39,FALSE), #N/A)</f>
        <v>3.1633198566082625</v>
      </c>
      <c r="D9" s="15">
        <v>4.3</v>
      </c>
    </row>
    <row r="10" spans="1:4">
      <c r="A10" t="s">
        <v>120</v>
      </c>
      <c r="B10">
        <f>IF(ISNUMBER(VLOOKUP($A10,'Justice Spend Total'!$B:$AQ,8,FALSE)), VLOOKUP($A10,'Justice Spend Total'!$B:$AQ,8,FALSE), #N/A)</f>
        <v>1140</v>
      </c>
      <c r="C10" s="15">
        <f>IF(ISNUMBER(VLOOKUP($A10,'Justice Spend Total'!$B:$AQ,39,FALSE)), VLOOKUP($A10,'Justice Spend Total'!$B:$AQ,39,FALSE), #N/A)</f>
        <v>3.5156234228405929</v>
      </c>
      <c r="D10" s="15">
        <v>4.3</v>
      </c>
    </row>
    <row r="11" spans="1:4">
      <c r="A11" t="s">
        <v>153</v>
      </c>
      <c r="B11">
        <f>IF(ISNUMBER(VLOOKUP($A11,'Justice Spend Total'!$B:$AQ,8,FALSE)), VLOOKUP($A11,'Justice Spend Total'!$B:$AQ,8,FALSE), #N/A)</f>
        <v>3140</v>
      </c>
      <c r="C11" s="15">
        <f>IF(ISNUMBER(VLOOKUP($A11,'Justice Spend Total'!$B:$AQ,39,FALSE)), VLOOKUP($A11,'Justice Spend Total'!$B:$AQ,39,FALSE), #N/A)</f>
        <v>3.5660555312737228</v>
      </c>
      <c r="D11" s="15">
        <v>4.3</v>
      </c>
    </row>
    <row r="12" spans="1:4">
      <c r="A12" t="s">
        <v>204</v>
      </c>
      <c r="B12">
        <f>IF(ISNUMBER(VLOOKUP($A12,'Justice Spend Total'!$B:$AQ,8,FALSE)), VLOOKUP($A12,'Justice Spend Total'!$B:$AQ,8,FALSE), #N/A)</f>
        <v>7720</v>
      </c>
      <c r="C12" s="15">
        <f>IF(ISNUMBER(VLOOKUP($A12,'Justice Spend Total'!$B:$AQ,39,FALSE)), VLOOKUP($A12,'Justice Spend Total'!$B:$AQ,39,FALSE), #N/A)</f>
        <v>3.6720610239801097</v>
      </c>
      <c r="D12" s="15">
        <v>4.3</v>
      </c>
    </row>
    <row r="13" spans="1:4">
      <c r="A13" t="s">
        <v>116</v>
      </c>
      <c r="B13">
        <f>IF(ISNUMBER(VLOOKUP($A13,'Justice Spend Total'!$B:$AQ,8,FALSE)), VLOOKUP($A13,'Justice Spend Total'!$B:$AQ,8,FALSE), #N/A)</f>
        <v>980</v>
      </c>
      <c r="C13" s="15">
        <f>IF(ISNUMBER(VLOOKUP($A13,'Justice Spend Total'!$B:$AQ,39,FALSE)), VLOOKUP($A13,'Justice Spend Total'!$B:$AQ,39,FALSE), #N/A)</f>
        <v>3.7638283356616098</v>
      </c>
      <c r="D13" s="15">
        <v>4.3</v>
      </c>
    </row>
    <row r="14" spans="1:4">
      <c r="A14" t="s">
        <v>152</v>
      </c>
      <c r="B14">
        <f>IF(ISNUMBER(VLOOKUP($A14,'Justice Spend Total'!$B:$AQ,8,FALSE)), VLOOKUP($A14,'Justice Spend Total'!$B:$AQ,8,FALSE), #N/A)</f>
        <v>2910</v>
      </c>
      <c r="C14" s="15">
        <f>IF(ISNUMBER(VLOOKUP($A14,'Justice Spend Total'!$B:$AQ,39,FALSE)), VLOOKUP($A14,'Justice Spend Total'!$B:$AQ,39,FALSE), #N/A)</f>
        <v>4.0841156451358946</v>
      </c>
      <c r="D14" s="15">
        <v>4.3</v>
      </c>
    </row>
    <row r="15" spans="1:4">
      <c r="A15" t="s">
        <v>119</v>
      </c>
      <c r="B15">
        <f>IF(ISNUMBER(VLOOKUP($A15,'Justice Spend Total'!$B:$AQ,8,FALSE)), VLOOKUP($A15,'Justice Spend Total'!$B:$AQ,8,FALSE), #N/A)</f>
        <v>1090</v>
      </c>
      <c r="C15" s="15">
        <f>IF(ISNUMBER(VLOOKUP($A15,'Justice Spend Total'!$B:$AQ,39,FALSE)), VLOOKUP($A15,'Justice Spend Total'!$B:$AQ,39,FALSE), #N/A)</f>
        <v>4.161804473527118</v>
      </c>
      <c r="D15" s="15">
        <v>4.3</v>
      </c>
    </row>
    <row r="16" spans="1:4">
      <c r="A16" t="s">
        <v>186</v>
      </c>
      <c r="B16">
        <f>IF(ISNUMBER(VLOOKUP($A16,'Justice Spend Total'!$B:$AQ,8,FALSE)), VLOOKUP($A16,'Justice Spend Total'!$B:$AQ,8,FALSE), #N/A)</f>
        <v>5050</v>
      </c>
      <c r="C16" s="15">
        <f>IF(ISNUMBER(VLOOKUP($A16,'Justice Spend Total'!$B:$AQ,39,FALSE)), VLOOKUP($A16,'Justice Spend Total'!$B:$AQ,39,FALSE), #N/A)</f>
        <v>4.9891233164721704</v>
      </c>
      <c r="D16" s="15">
        <v>4.3</v>
      </c>
    </row>
    <row r="17" spans="1:4">
      <c r="A17" t="s">
        <v>212</v>
      </c>
      <c r="B17">
        <f>IF(ISNUMBER(VLOOKUP($A17,'Justice Spend Total'!$B:$AQ,8,FALSE)), VLOOKUP($A17,'Justice Spend Total'!$B:$AQ,8,FALSE), #N/A)</f>
        <v>8720</v>
      </c>
      <c r="C17" s="15">
        <f>IF(ISNUMBER(VLOOKUP($A17,'Justice Spend Total'!$B:$AQ,39,FALSE)), VLOOKUP($A17,'Justice Spend Total'!$B:$AQ,39,FALSE), #N/A)</f>
        <v>4.9920464788473904</v>
      </c>
      <c r="D17" s="15">
        <v>4.3</v>
      </c>
    </row>
    <row r="18" spans="1:4">
      <c r="A18" t="s">
        <v>123</v>
      </c>
      <c r="B18">
        <f>IF(ISNUMBER(VLOOKUP($A18,'Justice Spend Total'!$B:$AQ,8,FALSE)), VLOOKUP($A18,'Justice Spend Total'!$B:$AQ,8,FALSE), #N/A)</f>
        <v>1180</v>
      </c>
      <c r="C18" s="15">
        <f>IF(ISNUMBER(VLOOKUP($A18,'Justice Spend Total'!$B:$AQ,39,FALSE)), VLOOKUP($A18,'Justice Spend Total'!$B:$AQ,39,FALSE), #N/A)</f>
        <v>5.0470867520410456</v>
      </c>
      <c r="D18" s="15">
        <v>4.3</v>
      </c>
    </row>
    <row r="19" spans="1:4">
      <c r="A19" t="s">
        <v>121</v>
      </c>
      <c r="B19">
        <f>IF(ISNUMBER(VLOOKUP($A19,'Justice Spend Total'!$B:$AQ,8,FALSE)), VLOOKUP($A19,'Justice Spend Total'!$B:$AQ,8,FALSE), #N/A)</f>
        <v>1140</v>
      </c>
      <c r="C19" s="15">
        <f>IF(ISNUMBER(VLOOKUP($A19,'Justice Spend Total'!$B:$AQ,39,FALSE)), VLOOKUP($A19,'Justice Spend Total'!$B:$AQ,39,FALSE), #N/A)</f>
        <v>5.0542729215615552</v>
      </c>
      <c r="D19" s="15">
        <v>4.3</v>
      </c>
    </row>
    <row r="20" spans="1:4">
      <c r="A20" t="s">
        <v>224</v>
      </c>
      <c r="B20">
        <f>IF(ISNUMBER(VLOOKUP($A20,'Justice Spend Total'!$B:$AQ,8,FALSE)), VLOOKUP($A20,'Justice Spend Total'!$B:$AQ,8,FALSE), #N/A)</f>
        <v>11890</v>
      </c>
      <c r="C20" s="15">
        <f>IF(ISNUMBER(VLOOKUP($A20,'Justice Spend Total'!$B:$AQ,39,FALSE)), VLOOKUP($A20,'Justice Spend Total'!$B:$AQ,39,FALSE), #N/A)</f>
        <v>5.2624841560543532</v>
      </c>
      <c r="D20" s="15">
        <v>4.3</v>
      </c>
    </row>
    <row r="21" spans="1:4">
      <c r="A21" t="s">
        <v>135</v>
      </c>
      <c r="B21">
        <f>IF(ISNUMBER(VLOOKUP($A21,'Justice Spend Total'!$B:$AQ,8,FALSE)), VLOOKUP($A21,'Justice Spend Total'!$B:$AQ,8,FALSE), #N/A)</f>
        <v>1730</v>
      </c>
      <c r="C21" s="15">
        <f>IF(ISNUMBER(VLOOKUP($A21,'Justice Spend Total'!$B:$AQ,39,FALSE)), VLOOKUP($A21,'Justice Spend Total'!$B:$AQ,39,FALSE), #N/A)</f>
        <v>5.3690922482514285</v>
      </c>
      <c r="D21" s="15">
        <v>4.3</v>
      </c>
    </row>
    <row r="22" spans="1:4">
      <c r="A22" t="s">
        <v>160</v>
      </c>
      <c r="B22">
        <f>IF(ISNUMBER(VLOOKUP($A22,'Justice Spend Total'!$B:$AQ,8,FALSE)), VLOOKUP($A22,'Justice Spend Total'!$B:$AQ,8,FALSE), #N/A)</f>
        <v>3510</v>
      </c>
      <c r="C22" s="15">
        <f>IF(ISNUMBER(VLOOKUP($A22,'Justice Spend Total'!$B:$AQ,39,FALSE)), VLOOKUP($A22,'Justice Spend Total'!$B:$AQ,39,FALSE), #N/A)</f>
        <v>5.5291385602123189</v>
      </c>
      <c r="D22" s="15">
        <v>4.3</v>
      </c>
    </row>
    <row r="23" spans="1:4">
      <c r="A23" t="s">
        <v>109</v>
      </c>
      <c r="B23">
        <f>IF(ISNUMBER(VLOOKUP($A23,'Justice Spend Total'!$B:$AQ,8,FALSE)), VLOOKUP($A23,'Justice Spend Total'!$B:$AQ,8,FALSE), #N/A)</f>
        <v>800</v>
      </c>
      <c r="C23" s="15">
        <f>IF(ISNUMBER(VLOOKUP($A23,'Justice Spend Total'!$B:$AQ,39,FALSE)), VLOOKUP($A23,'Justice Spend Total'!$B:$AQ,39,FALSE), #N/A)</f>
        <v>5.5622493705119833</v>
      </c>
      <c r="D23" s="15">
        <v>4.3</v>
      </c>
    </row>
    <row r="24" spans="1:4">
      <c r="A24" t="s">
        <v>222</v>
      </c>
      <c r="B24">
        <f>IF(ISNUMBER(VLOOKUP($A24,'Justice Spend Total'!$B:$AQ,8,FALSE)), VLOOKUP($A24,'Justice Spend Total'!$B:$AQ,8,FALSE), #N/A)</f>
        <v>10930</v>
      </c>
      <c r="C24" s="15">
        <f>IF(ISNUMBER(VLOOKUP($A24,'Justice Spend Total'!$B:$AQ,39,FALSE)), VLOOKUP($A24,'Justice Spend Total'!$B:$AQ,39,FALSE), #N/A)</f>
        <v>5.5892660773992198</v>
      </c>
      <c r="D24" s="15">
        <v>4.3</v>
      </c>
    </row>
    <row r="25" spans="1:4">
      <c r="A25" t="s">
        <v>182</v>
      </c>
      <c r="B25">
        <f>IF(ISNUMBER(VLOOKUP($A25,'Justice Spend Total'!$B:$AQ,8,FALSE)), VLOOKUP($A25,'Justice Spend Total'!$B:$AQ,8,FALSE), #N/A)</f>
        <v>4880</v>
      </c>
      <c r="C25" s="15">
        <f>IF(ISNUMBER(VLOOKUP($A25,'Justice Spend Total'!$B:$AQ,39,FALSE)), VLOOKUP($A25,'Justice Spend Total'!$B:$AQ,39,FALSE), #N/A)</f>
        <v>5.732971595393332</v>
      </c>
      <c r="D25" s="15">
        <v>4.3</v>
      </c>
    </row>
    <row r="26" spans="1:4">
      <c r="A26" t="s">
        <v>166</v>
      </c>
      <c r="B26">
        <f>IF(ISNUMBER(VLOOKUP($A26,'Justice Spend Total'!$B:$AQ,8,FALSE)), VLOOKUP($A26,'Justice Spend Total'!$B:$AQ,8,FALSE), #N/A)</f>
        <v>3760</v>
      </c>
      <c r="C26" s="15">
        <f>IF(ISNUMBER(VLOOKUP($A26,'Justice Spend Total'!$B:$AQ,39,FALSE)), VLOOKUP($A26,'Justice Spend Total'!$B:$AQ,39,FALSE), #N/A)</f>
        <v>5.741427106532826</v>
      </c>
      <c r="D26" s="15">
        <v>4.3</v>
      </c>
    </row>
    <row r="27" spans="1:4">
      <c r="A27" t="s">
        <v>104</v>
      </c>
      <c r="B27">
        <f>IF(ISNUMBER(VLOOKUP($A27,'Justice Spend Total'!$B:$AQ,8,FALSE)), VLOOKUP($A27,'Justice Spend Total'!$B:$AQ,8,FALSE), #N/A)</f>
        <v>630</v>
      </c>
      <c r="C27" s="15">
        <f>IF(ISNUMBER(VLOOKUP($A27,'Justice Spend Total'!$B:$AQ,39,FALSE)), VLOOKUP($A27,'Justice Spend Total'!$B:$AQ,39,FALSE), #N/A)</f>
        <v>5.9198582358868865</v>
      </c>
      <c r="D27" s="15">
        <v>4.3</v>
      </c>
    </row>
    <row r="28" spans="1:4">
      <c r="A28" t="s">
        <v>131</v>
      </c>
      <c r="B28">
        <f>IF(ISNUMBER(VLOOKUP($A28,'Justice Spend Total'!$B:$AQ,8,FALSE)), VLOOKUP($A28,'Justice Spend Total'!$B:$AQ,8,FALSE), #N/A)</f>
        <v>1540</v>
      </c>
      <c r="C28" s="15">
        <f>IF(ISNUMBER(VLOOKUP($A28,'Justice Spend Total'!$B:$AQ,39,FALSE)), VLOOKUP($A28,'Justice Spend Total'!$B:$AQ,39,FALSE), #N/A)</f>
        <v>5.966313259786677</v>
      </c>
      <c r="D28" s="15">
        <v>4.3</v>
      </c>
    </row>
    <row r="29" spans="1:4">
      <c r="A29" t="s">
        <v>132</v>
      </c>
      <c r="B29">
        <f>IF(ISNUMBER(VLOOKUP($A29,'Justice Spend Total'!$B:$AQ,8,FALSE)), VLOOKUP($A29,'Justice Spend Total'!$B:$AQ,8,FALSE), #N/A)</f>
        <v>1550</v>
      </c>
      <c r="C29" s="15">
        <f>IF(ISNUMBER(VLOOKUP($A29,'Justice Spend Total'!$B:$AQ,39,FALSE)), VLOOKUP($A29,'Justice Spend Total'!$B:$AQ,39,FALSE), #N/A)</f>
        <v>5.9769169855292441</v>
      </c>
      <c r="D29" s="15">
        <v>4.3</v>
      </c>
    </row>
    <row r="30" spans="1:4">
      <c r="A30" t="s">
        <v>142</v>
      </c>
      <c r="B30">
        <f>IF(ISNUMBER(VLOOKUP($A30,'Justice Spend Total'!$B:$AQ,8,FALSE)), VLOOKUP($A30,'Justice Spend Total'!$B:$AQ,8,FALSE), #N/A)</f>
        <v>2170</v>
      </c>
      <c r="C30" s="15">
        <f>IF(ISNUMBER(VLOOKUP($A30,'Justice Spend Total'!$B:$AQ,39,FALSE)), VLOOKUP($A30,'Justice Spend Total'!$B:$AQ,39,FALSE), #N/A)</f>
        <v>6.2854468431273407</v>
      </c>
      <c r="D30" s="15">
        <v>4.3</v>
      </c>
    </row>
    <row r="31" spans="1:4">
      <c r="A31" t="s">
        <v>223</v>
      </c>
      <c r="B31">
        <f>IF(ISNUMBER(VLOOKUP($A31,'Justice Spend Total'!$B:$AQ,8,FALSE)), VLOOKUP($A31,'Justice Spend Total'!$B:$AQ,8,FALSE), #N/A)</f>
        <v>11600</v>
      </c>
      <c r="C31" s="15">
        <f>IF(ISNUMBER(VLOOKUP($A31,'Justice Spend Total'!$B:$AQ,39,FALSE)), VLOOKUP($A31,'Justice Spend Total'!$B:$AQ,39,FALSE), #N/A)</f>
        <v>6.3197202475278988</v>
      </c>
      <c r="D31" s="15">
        <v>4.3</v>
      </c>
    </row>
    <row r="32" spans="1:4">
      <c r="A32" t="s">
        <v>151</v>
      </c>
      <c r="B32">
        <f>IF(ISNUMBER(VLOOKUP($A32,'Justice Spend Total'!$B:$AQ,8,FALSE)), VLOOKUP($A32,'Justice Spend Total'!$B:$AQ,8,FALSE), #N/A)</f>
        <v>2840</v>
      </c>
      <c r="C32" s="15">
        <f>IF(ISNUMBER(VLOOKUP($A32,'Justice Spend Total'!$B:$AQ,39,FALSE)), VLOOKUP($A32,'Justice Spend Total'!$B:$AQ,39,FALSE), #N/A)</f>
        <v>6.3679090726346823</v>
      </c>
      <c r="D32" s="15">
        <v>4.3</v>
      </c>
    </row>
    <row r="33" spans="1:4">
      <c r="A33" t="s">
        <v>203</v>
      </c>
      <c r="B33">
        <f>IF(ISNUMBER(VLOOKUP($A33,'Justice Spend Total'!$B:$AQ,8,FALSE)), VLOOKUP($A33,'Justice Spend Total'!$B:$AQ,8,FALSE), #N/A)</f>
        <v>7260</v>
      </c>
      <c r="C33" s="15">
        <f>IF(ISNUMBER(VLOOKUP($A33,'Justice Spend Total'!$B:$AQ,39,FALSE)), VLOOKUP($A33,'Justice Spend Total'!$B:$AQ,39,FALSE), #N/A)</f>
        <v>6.369857992540612</v>
      </c>
      <c r="D33" s="15">
        <v>4.3</v>
      </c>
    </row>
    <row r="34" spans="1:4">
      <c r="A34" t="s">
        <v>168</v>
      </c>
      <c r="B34">
        <f>IF(ISNUMBER(VLOOKUP($A34,'Justice Spend Total'!$B:$AQ,8,FALSE)), VLOOKUP($A34,'Justice Spend Total'!$B:$AQ,8,FALSE), #N/A)</f>
        <v>3860</v>
      </c>
      <c r="C34" s="15">
        <f>IF(ISNUMBER(VLOOKUP($A34,'Justice Spend Total'!$B:$AQ,39,FALSE)), VLOOKUP($A34,'Justice Spend Total'!$B:$AQ,39,FALSE), #N/A)</f>
        <v>6.4914035505065417</v>
      </c>
      <c r="D34" s="15">
        <v>4.3</v>
      </c>
    </row>
    <row r="35" spans="1:4">
      <c r="A35" t="s">
        <v>124</v>
      </c>
      <c r="B35">
        <f>IF(ISNUMBER(VLOOKUP($A35,'Justice Spend Total'!$B:$AQ,8,FALSE)), VLOOKUP($A35,'Justice Spend Total'!$B:$AQ,8,FALSE), #N/A)</f>
        <v>1230</v>
      </c>
      <c r="C35" s="15">
        <f>IF(ISNUMBER(VLOOKUP($A35,'Justice Spend Total'!$B:$AQ,39,FALSE)), VLOOKUP($A35,'Justice Spend Total'!$B:$AQ,39,FALSE), #N/A)</f>
        <v>6.5903818984189302</v>
      </c>
      <c r="D35" s="15">
        <v>4.3</v>
      </c>
    </row>
    <row r="36" spans="1:4">
      <c r="A36" t="s">
        <v>167</v>
      </c>
      <c r="B36">
        <f>IF(ISNUMBER(VLOOKUP($A36,'Justice Spend Total'!$B:$AQ,8,FALSE)), VLOOKUP($A36,'Justice Spend Total'!$B:$AQ,8,FALSE), #N/A)</f>
        <v>3820</v>
      </c>
      <c r="C36" s="15">
        <f>IF(ISNUMBER(VLOOKUP($A36,'Justice Spend Total'!$B:$AQ,39,FALSE)), VLOOKUP($A36,'Justice Spend Total'!$B:$AQ,39,FALSE), #N/A)</f>
        <v>6.5945076793827102</v>
      </c>
      <c r="D36" s="15">
        <v>4.3</v>
      </c>
    </row>
    <row r="37" spans="1:4">
      <c r="A37" t="s">
        <v>99</v>
      </c>
      <c r="B37">
        <f>IF(ISNUMBER(VLOOKUP($A37,'Justice Spend Total'!$B:$AQ,8,FALSE)), VLOOKUP($A37,'Justice Spend Total'!$B:$AQ,8,FALSE), #N/A)</f>
        <v>530</v>
      </c>
      <c r="C37" s="15">
        <f>IF(ISNUMBER(VLOOKUP($A37,'Justice Spend Total'!$B:$AQ,39,FALSE)), VLOOKUP($A37,'Justice Spend Total'!$B:$AQ,39,FALSE), #N/A)</f>
        <v>6.6046458821047134</v>
      </c>
      <c r="D37" s="15">
        <v>4.3</v>
      </c>
    </row>
    <row r="38" spans="1:4">
      <c r="A38" t="s">
        <v>163</v>
      </c>
      <c r="B38">
        <f>IF(ISNUMBER(VLOOKUP($A38,'Justice Spend Total'!$B:$AQ,8,FALSE)), VLOOKUP($A38,'Justice Spend Total'!$B:$AQ,8,FALSE), #N/A)</f>
        <v>3640</v>
      </c>
      <c r="C38" s="15">
        <f>IF(ISNUMBER(VLOOKUP($A38,'Justice Spend Total'!$B:$AQ,39,FALSE)), VLOOKUP($A38,'Justice Spend Total'!$B:$AQ,39,FALSE), #N/A)</f>
        <v>6.7211417188083269</v>
      </c>
      <c r="D38" s="15">
        <v>4.3</v>
      </c>
    </row>
    <row r="39" spans="1:4">
      <c r="A39" t="s">
        <v>207</v>
      </c>
      <c r="B39">
        <f>IF(ISNUMBER(VLOOKUP($A39,'Justice Spend Total'!$B:$AQ,8,FALSE)), VLOOKUP($A39,'Justice Spend Total'!$B:$AQ,8,FALSE), #N/A)</f>
        <v>8220</v>
      </c>
      <c r="C39" s="15">
        <f>IF(ISNUMBER(VLOOKUP($A39,'Justice Spend Total'!$B:$AQ,39,FALSE)), VLOOKUP($A39,'Justice Spend Total'!$B:$AQ,39,FALSE), #N/A)</f>
        <v>6.7215292248574476</v>
      </c>
      <c r="D39" s="15">
        <v>4.3</v>
      </c>
    </row>
    <row r="40" spans="1:4">
      <c r="A40" t="s">
        <v>111</v>
      </c>
      <c r="B40">
        <f>IF(ISNUMBER(VLOOKUP($A40,'Justice Spend Total'!$B:$AQ,8,FALSE)), VLOOKUP($A40,'Justice Spend Total'!$B:$AQ,8,FALSE), #N/A)</f>
        <v>850</v>
      </c>
      <c r="C40" s="15">
        <f>IF(ISNUMBER(VLOOKUP($A40,'Justice Spend Total'!$B:$AQ,39,FALSE)), VLOOKUP($A40,'Justice Spend Total'!$B:$AQ,39,FALSE), #N/A)</f>
        <v>6.7482845078752964</v>
      </c>
      <c r="D40" s="15">
        <v>4.3</v>
      </c>
    </row>
    <row r="41" spans="1:4">
      <c r="A41" t="s">
        <v>200</v>
      </c>
      <c r="B41">
        <f>IF(ISNUMBER(VLOOKUP($A41,'Justice Spend Total'!$B:$AQ,8,FALSE)), VLOOKUP($A41,'Justice Spend Total'!$B:$AQ,8,FALSE), #N/A)</f>
        <v>6950</v>
      </c>
      <c r="C41" s="15">
        <f>IF(ISNUMBER(VLOOKUP($A41,'Justice Spend Total'!$B:$AQ,39,FALSE)), VLOOKUP($A41,'Justice Spend Total'!$B:$AQ,39,FALSE), #N/A)</f>
        <v>6.7488466916679455</v>
      </c>
      <c r="D41" s="15">
        <v>4.3</v>
      </c>
    </row>
    <row r="42" spans="1:4">
      <c r="A42" t="s">
        <v>125</v>
      </c>
      <c r="B42">
        <f>IF(ISNUMBER(VLOOKUP($A42,'Justice Spend Total'!$B:$AQ,8,FALSE)), VLOOKUP($A42,'Justice Spend Total'!$B:$AQ,8,FALSE), #N/A)</f>
        <v>1270</v>
      </c>
      <c r="C42" s="15">
        <f>IF(ISNUMBER(VLOOKUP($A42,'Justice Spend Total'!$B:$AQ,39,FALSE)), VLOOKUP($A42,'Justice Spend Total'!$B:$AQ,39,FALSE), #N/A)</f>
        <v>7.2660882762281052</v>
      </c>
      <c r="D42" s="15">
        <v>4.3</v>
      </c>
    </row>
    <row r="43" spans="1:4">
      <c r="A43" t="s">
        <v>173</v>
      </c>
      <c r="B43">
        <f>IF(ISNUMBER(VLOOKUP($A43,'Justice Spend Total'!$B:$AQ,8,FALSE)), VLOOKUP($A43,'Justice Spend Total'!$B:$AQ,8,FALSE), #N/A)</f>
        <v>4220</v>
      </c>
      <c r="C43" s="15">
        <f>IF(ISNUMBER(VLOOKUP($A43,'Justice Spend Total'!$B:$AQ,39,FALSE)), VLOOKUP($A43,'Justice Spend Total'!$B:$AQ,39,FALSE), #N/A)</f>
        <v>7.3448317479129557</v>
      </c>
      <c r="D43" s="15">
        <v>4.3</v>
      </c>
    </row>
    <row r="44" spans="1:4">
      <c r="A44" t="s">
        <v>106</v>
      </c>
      <c r="B44">
        <f>IF(ISNUMBER(VLOOKUP($A44,'Justice Spend Total'!$B:$AQ,8,FALSE)), VLOOKUP($A44,'Justice Spend Total'!$B:$AQ,8,FALSE), #N/A)</f>
        <v>670</v>
      </c>
      <c r="C44" s="15">
        <f>IF(ISNUMBER(VLOOKUP($A44,'Justice Spend Total'!$B:$AQ,39,FALSE)), VLOOKUP($A44,'Justice Spend Total'!$B:$AQ,39,FALSE), #N/A)</f>
        <v>7.3551871389098205</v>
      </c>
      <c r="D44" s="15">
        <v>4.3</v>
      </c>
    </row>
    <row r="45" spans="1:4">
      <c r="A45" t="s">
        <v>220</v>
      </c>
      <c r="B45">
        <f>IF(ISNUMBER(VLOOKUP($A45,'Justice Spend Total'!$B:$AQ,8,FALSE)), VLOOKUP($A45,'Justice Spend Total'!$B:$AQ,8,FALSE), #N/A)</f>
        <v>10720</v>
      </c>
      <c r="C45" s="15">
        <f>IF(ISNUMBER(VLOOKUP($A45,'Justice Spend Total'!$B:$AQ,39,FALSE)), VLOOKUP($A45,'Justice Spend Total'!$B:$AQ,39,FALSE), #N/A)</f>
        <v>7.3808149367373277</v>
      </c>
      <c r="D45" s="15">
        <v>4.3</v>
      </c>
    </row>
    <row r="46" spans="1:4">
      <c r="A46" t="s">
        <v>189</v>
      </c>
      <c r="B46">
        <f>IF(ISNUMBER(VLOOKUP($A46,'Justice Spend Total'!$B:$AQ,8,FALSE)), VLOOKUP($A46,'Justice Spend Total'!$B:$AQ,8,FALSE), #N/A)</f>
        <v>5460</v>
      </c>
      <c r="C46" s="15">
        <f>IF(ISNUMBER(VLOOKUP($A46,'Justice Spend Total'!$B:$AQ,39,FALSE)), VLOOKUP($A46,'Justice Spend Total'!$B:$AQ,39,FALSE), #N/A)</f>
        <v>7.4861736496858624</v>
      </c>
      <c r="D46" s="15">
        <v>4.3</v>
      </c>
    </row>
    <row r="47" spans="1:4">
      <c r="A47" t="s">
        <v>140</v>
      </c>
      <c r="B47">
        <f>IF(ISNUMBER(VLOOKUP($A47,'Justice Spend Total'!$B:$AQ,8,FALSE)), VLOOKUP($A47,'Justice Spend Total'!$B:$AQ,8,FALSE), #N/A)</f>
        <v>2010</v>
      </c>
      <c r="C47" s="15">
        <f>IF(ISNUMBER(VLOOKUP($A47,'Justice Spend Total'!$B:$AQ,39,FALSE)), VLOOKUP($A47,'Justice Spend Total'!$B:$AQ,39,FALSE), #N/A)</f>
        <v>7.4880644866092094</v>
      </c>
      <c r="D47" s="15">
        <v>4.3</v>
      </c>
    </row>
    <row r="48" spans="1:4">
      <c r="A48" t="s">
        <v>113</v>
      </c>
      <c r="B48">
        <f>IF(ISNUMBER(VLOOKUP($A48,'Justice Spend Total'!$B:$AQ,8,FALSE)), VLOOKUP($A48,'Justice Spend Total'!$B:$AQ,8,FALSE), #N/A)</f>
        <v>870</v>
      </c>
      <c r="C48" s="15">
        <f>IF(ISNUMBER(VLOOKUP($A48,'Justice Spend Total'!$B:$AQ,39,FALSE)), VLOOKUP($A48,'Justice Spend Total'!$B:$AQ,39,FALSE), #N/A)</f>
        <v>7.7393825058666526</v>
      </c>
      <c r="D48" s="15">
        <v>4.3</v>
      </c>
    </row>
    <row r="49" spans="1:4">
      <c r="A49" t="s">
        <v>192</v>
      </c>
      <c r="B49">
        <f>IF(ISNUMBER(VLOOKUP($A49,'Justice Spend Total'!$B:$AQ,8,FALSE)), VLOOKUP($A49,'Justice Spend Total'!$B:$AQ,8,FALSE), #N/A)</f>
        <v>6110</v>
      </c>
      <c r="C49" s="15">
        <f>IF(ISNUMBER(VLOOKUP($A49,'Justice Spend Total'!$B:$AQ,39,FALSE)), VLOOKUP($A49,'Justice Spend Total'!$B:$AQ,39,FALSE), #N/A)</f>
        <v>7.7628589284695115</v>
      </c>
      <c r="D49" s="15">
        <v>4.3</v>
      </c>
    </row>
    <row r="50" spans="1:4">
      <c r="A50" t="s">
        <v>126</v>
      </c>
      <c r="B50">
        <f>IF(ISNUMBER(VLOOKUP($A50,'Justice Spend Total'!$B:$AQ,8,FALSE)), VLOOKUP($A50,'Justice Spend Total'!$B:$AQ,8,FALSE), #N/A)</f>
        <v>1370</v>
      </c>
      <c r="C50" s="15">
        <f>IF(ISNUMBER(VLOOKUP($A50,'Justice Spend Total'!$B:$AQ,39,FALSE)), VLOOKUP($A50,'Justice Spend Total'!$B:$AQ,39,FALSE), #N/A)</f>
        <v>7.8511923826011687</v>
      </c>
      <c r="D50" s="15">
        <v>4.3</v>
      </c>
    </row>
    <row r="51" spans="1:4">
      <c r="A51" t="s">
        <v>218</v>
      </c>
      <c r="B51">
        <f>IF(ISNUMBER(VLOOKUP($A51,'Justice Spend Total'!$B:$AQ,8,FALSE)), VLOOKUP($A51,'Justice Spend Total'!$B:$AQ,8,FALSE), #N/A)</f>
        <v>9830</v>
      </c>
      <c r="C51" s="15">
        <f>IF(ISNUMBER(VLOOKUP($A51,'Justice Spend Total'!$B:$AQ,39,FALSE)), VLOOKUP($A51,'Justice Spend Total'!$B:$AQ,39,FALSE), #N/A)</f>
        <v>7.9948456128853733</v>
      </c>
      <c r="D51" s="15">
        <v>4.3</v>
      </c>
    </row>
    <row r="52" spans="1:4">
      <c r="A52" t="s">
        <v>171</v>
      </c>
      <c r="B52">
        <f>IF(ISNUMBER(VLOOKUP($A52,'Justice Spend Total'!$B:$AQ,8,FALSE)), VLOOKUP($A52,'Justice Spend Total'!$B:$AQ,8,FALSE), #N/A)</f>
        <v>4140</v>
      </c>
      <c r="C52" s="15">
        <f>IF(ISNUMBER(VLOOKUP($A52,'Justice Spend Total'!$B:$AQ,39,FALSE)), VLOOKUP($A52,'Justice Spend Total'!$B:$AQ,39,FALSE), #N/A)</f>
        <v>8.2684142285504016</v>
      </c>
      <c r="D52" s="15">
        <v>4.3</v>
      </c>
    </row>
    <row r="53" spans="1:4">
      <c r="A53" t="s">
        <v>141</v>
      </c>
      <c r="B53">
        <f>IF(ISNUMBER(VLOOKUP($A53,'Justice Spend Total'!$B:$AQ,8,FALSE)), VLOOKUP($A53,'Justice Spend Total'!$B:$AQ,8,FALSE), #N/A)</f>
        <v>2100</v>
      </c>
      <c r="C53" s="15">
        <f>IF(ISNUMBER(VLOOKUP($A53,'Justice Spend Total'!$B:$AQ,39,FALSE)), VLOOKUP($A53,'Justice Spend Total'!$B:$AQ,39,FALSE), #N/A)</f>
        <v>8.5336919981642545</v>
      </c>
      <c r="D53" s="15">
        <v>4.3</v>
      </c>
    </row>
    <row r="54" spans="1:4">
      <c r="A54" t="s">
        <v>98</v>
      </c>
      <c r="B54">
        <f>IF(ISNUMBER(VLOOKUP($A54,'Justice Spend Total'!$B:$AQ,8,FALSE)), VLOOKUP($A54,'Justice Spend Total'!$B:$AQ,8,FALSE), #N/A)</f>
        <v>510</v>
      </c>
      <c r="C54" s="15">
        <f>IF(ISNUMBER(VLOOKUP($A54,'Justice Spend Total'!$B:$AQ,39,FALSE)), VLOOKUP($A54,'Justice Spend Total'!$B:$AQ,39,FALSE), #N/A)</f>
        <v>8.5446280214440229</v>
      </c>
      <c r="D54" s="15">
        <v>4.3</v>
      </c>
    </row>
    <row r="55" spans="1:4">
      <c r="A55" t="s">
        <v>149</v>
      </c>
      <c r="B55">
        <f>IF(ISNUMBER(VLOOKUP($A55,'Justice Spend Total'!$B:$AQ,8,FALSE)), VLOOKUP($A55,'Justice Spend Total'!$B:$AQ,8,FALSE), #N/A)</f>
        <v>2620</v>
      </c>
      <c r="C55" s="15">
        <f>IF(ISNUMBER(VLOOKUP($A55,'Justice Spend Total'!$B:$AQ,39,FALSE)), VLOOKUP($A55,'Justice Spend Total'!$B:$AQ,39,FALSE), #N/A)</f>
        <v>9.2123163714881251</v>
      </c>
      <c r="D55" s="15">
        <v>4.3</v>
      </c>
    </row>
    <row r="56" spans="1:4">
      <c r="A56" t="s">
        <v>199</v>
      </c>
      <c r="B56">
        <f>IF(ISNUMBER(VLOOKUP($A56,'Justice Spend Total'!$B:$AQ,8,FALSE)), VLOOKUP($A56,'Justice Spend Total'!$B:$AQ,8,FALSE), #N/A)</f>
        <v>6940</v>
      </c>
      <c r="C56" s="15">
        <f>IF(ISNUMBER(VLOOKUP($A56,'Justice Spend Total'!$B:$AQ,39,FALSE)), VLOOKUP($A56,'Justice Spend Total'!$B:$AQ,39,FALSE), #N/A)</f>
        <v>9.2846466192784192</v>
      </c>
      <c r="D56" s="15">
        <v>4.3</v>
      </c>
    </row>
    <row r="57" spans="1:4">
      <c r="A57" t="s">
        <v>110</v>
      </c>
      <c r="B57">
        <f>IF(ISNUMBER(VLOOKUP($A57,'Justice Spend Total'!$B:$AQ,8,FALSE)), VLOOKUP($A57,'Justice Spend Total'!$B:$AQ,8,FALSE), #N/A)</f>
        <v>840</v>
      </c>
      <c r="C57" s="15">
        <f>IF(ISNUMBER(VLOOKUP($A57,'Justice Spend Total'!$B:$AQ,39,FALSE)), VLOOKUP($A57,'Justice Spend Total'!$B:$AQ,39,FALSE), #N/A)</f>
        <v>9.2859942129042068</v>
      </c>
      <c r="D57" s="15">
        <v>4.3</v>
      </c>
    </row>
    <row r="58" spans="1:4">
      <c r="A58" t="s">
        <v>184</v>
      </c>
      <c r="B58">
        <f>IF(ISNUMBER(VLOOKUP($A58,'Justice Spend Total'!$B:$AQ,8,FALSE)), VLOOKUP($A58,'Justice Spend Total'!$B:$AQ,8,FALSE), #N/A)</f>
        <v>4970</v>
      </c>
      <c r="C58" s="15">
        <f>IF(ISNUMBER(VLOOKUP($A58,'Justice Spend Total'!$B:$AQ,39,FALSE)), VLOOKUP($A58,'Justice Spend Total'!$B:$AQ,39,FALSE), #N/A)</f>
        <v>9.4105946106878555</v>
      </c>
      <c r="D58" s="15">
        <v>4.3</v>
      </c>
    </row>
    <row r="59" spans="1:4">
      <c r="A59" t="s">
        <v>103</v>
      </c>
      <c r="B59">
        <f>IF(ISNUMBER(VLOOKUP($A59,'Justice Spend Total'!$B:$AQ,8,FALSE)), VLOOKUP($A59,'Justice Spend Total'!$B:$AQ,8,FALSE), #N/A)</f>
        <v>620</v>
      </c>
      <c r="C59" s="15">
        <f>IF(ISNUMBER(VLOOKUP($A59,'Justice Spend Total'!$B:$AQ,39,FALSE)), VLOOKUP($A59,'Justice Spend Total'!$B:$AQ,39,FALSE), #N/A)</f>
        <v>9.4417222105263168</v>
      </c>
      <c r="D59" s="15">
        <v>4.3</v>
      </c>
    </row>
    <row r="60" spans="1:4">
      <c r="A60" t="s">
        <v>136</v>
      </c>
      <c r="B60">
        <f>IF(ISNUMBER(VLOOKUP($A60,'Justice Spend Total'!$B:$AQ,8,FALSE)), VLOOKUP($A60,'Justice Spend Total'!$B:$AQ,8,FALSE), #N/A)</f>
        <v>1770</v>
      </c>
      <c r="C60" s="15">
        <f>IF(ISNUMBER(VLOOKUP($A60,'Justice Spend Total'!$B:$AQ,39,FALSE)), VLOOKUP($A60,'Justice Spend Total'!$B:$AQ,39,FALSE), #N/A)</f>
        <v>9.4822313304155088</v>
      </c>
      <c r="D60" s="15">
        <v>4.3</v>
      </c>
    </row>
    <row r="61" spans="1:4">
      <c r="A61" t="s">
        <v>178</v>
      </c>
      <c r="B61">
        <f>IF(ISNUMBER(VLOOKUP($A61,'Justice Spend Total'!$B:$AQ,8,FALSE)), VLOOKUP($A61,'Justice Spend Total'!$B:$AQ,8,FALSE), #N/A)</f>
        <v>4560</v>
      </c>
      <c r="C61" s="15">
        <f>IF(ISNUMBER(VLOOKUP($A61,'Justice Spend Total'!$B:$AQ,39,FALSE)), VLOOKUP($A61,'Justice Spend Total'!$B:$AQ,39,FALSE), #N/A)</f>
        <v>9.7017207449999034</v>
      </c>
      <c r="D61" s="15">
        <v>4.3</v>
      </c>
    </row>
    <row r="62" spans="1:4">
      <c r="A62" t="s">
        <v>165</v>
      </c>
      <c r="B62">
        <f>IF(ISNUMBER(VLOOKUP($A62,'Justice Spend Total'!$B:$AQ,8,FALSE)), VLOOKUP($A62,'Justice Spend Total'!$B:$AQ,8,FALSE), #N/A)</f>
        <v>3680</v>
      </c>
      <c r="C62" s="15">
        <f>IF(ISNUMBER(VLOOKUP($A62,'Justice Spend Total'!$B:$AQ,39,FALSE)), VLOOKUP($A62,'Justice Spend Total'!$B:$AQ,39,FALSE), #N/A)</f>
        <v>9.8110889320796346</v>
      </c>
      <c r="D62" s="15">
        <v>4.3</v>
      </c>
    </row>
    <row r="63" spans="1:4">
      <c r="A63" t="s">
        <v>127</v>
      </c>
      <c r="B63">
        <f>IF(ISNUMBER(VLOOKUP($A63,'Justice Spend Total'!$B:$AQ,8,FALSE)), VLOOKUP($A63,'Justice Spend Total'!$B:$AQ,8,FALSE), #N/A)</f>
        <v>1400</v>
      </c>
      <c r="C63" s="15">
        <f>IF(ISNUMBER(VLOOKUP($A63,'Justice Spend Total'!$B:$AQ,39,FALSE)), VLOOKUP($A63,'Justice Spend Total'!$B:$AQ,39,FALSE), #N/A)</f>
        <v>9.8152941176470581</v>
      </c>
      <c r="D63" s="15">
        <v>4.3</v>
      </c>
    </row>
    <row r="64" spans="1:4">
      <c r="A64" t="s">
        <v>139</v>
      </c>
      <c r="B64">
        <f>IF(ISNUMBER(VLOOKUP($A64,'Justice Spend Total'!$B:$AQ,8,FALSE)), VLOOKUP($A64,'Justice Spend Total'!$B:$AQ,8,FALSE), #N/A)</f>
        <v>2010</v>
      </c>
      <c r="C64" s="15">
        <f>IF(ISNUMBER(VLOOKUP($A64,'Justice Spend Total'!$B:$AQ,39,FALSE)), VLOOKUP($A64,'Justice Spend Total'!$B:$AQ,39,FALSE), #N/A)</f>
        <v>9.8828966175336799</v>
      </c>
      <c r="D64" s="15">
        <v>4.3</v>
      </c>
    </row>
    <row r="65" spans="1:4">
      <c r="A65" t="s">
        <v>100</v>
      </c>
      <c r="B65">
        <f>IF(ISNUMBER(VLOOKUP($A65,'Justice Spend Total'!$B:$AQ,8,FALSE)), VLOOKUP($A65,'Justice Spend Total'!$B:$AQ,8,FALSE), #N/A)</f>
        <v>580</v>
      </c>
      <c r="C65" s="15">
        <f>IF(ISNUMBER(VLOOKUP($A65,'Justice Spend Total'!$B:$AQ,39,FALSE)), VLOOKUP($A65,'Justice Spend Total'!$B:$AQ,39,FALSE), #N/A)</f>
        <v>9.9122587063871759</v>
      </c>
      <c r="D65" s="15">
        <v>4.3</v>
      </c>
    </row>
    <row r="66" spans="1:4">
      <c r="A66" t="s">
        <v>170</v>
      </c>
      <c r="B66">
        <f>IF(ISNUMBER(VLOOKUP($A66,'Justice Spend Total'!$B:$AQ,8,FALSE)), VLOOKUP($A66,'Justice Spend Total'!$B:$AQ,8,FALSE), #N/A)</f>
        <v>4120</v>
      </c>
      <c r="C66" s="15">
        <f>IF(ISNUMBER(VLOOKUP($A66,'Justice Spend Total'!$B:$AQ,39,FALSE)), VLOOKUP($A66,'Justice Spend Total'!$B:$AQ,39,FALSE), #N/A)</f>
        <v>10.404548691131007</v>
      </c>
      <c r="D66" s="15">
        <v>4.3</v>
      </c>
    </row>
    <row r="67" spans="1:4">
      <c r="A67" t="s">
        <v>159</v>
      </c>
      <c r="B67">
        <f>IF(ISNUMBER(VLOOKUP($A67,'Justice Spend Total'!$B:$AQ,8,FALSE)), VLOOKUP($A67,'Justice Spend Total'!$B:$AQ,8,FALSE), #N/A)</f>
        <v>3450</v>
      </c>
      <c r="C67" s="15">
        <f>IF(ISNUMBER(VLOOKUP($A67,'Justice Spend Total'!$B:$AQ,39,FALSE)), VLOOKUP($A67,'Justice Spend Total'!$B:$AQ,39,FALSE), #N/A)</f>
        <v>10.510120990502802</v>
      </c>
      <c r="D67" s="15">
        <v>4.3</v>
      </c>
    </row>
    <row r="68" spans="1:4">
      <c r="A68" t="s">
        <v>221</v>
      </c>
      <c r="B68">
        <f>IF(ISNUMBER(VLOOKUP($A68,'Justice Spend Total'!$B:$AQ,8,FALSE)), VLOOKUP($A68,'Justice Spend Total'!$B:$AQ,8,FALSE), #N/A)</f>
        <v>10860</v>
      </c>
      <c r="C68" s="15">
        <f>IF(ISNUMBER(VLOOKUP($A68,'Justice Spend Total'!$B:$AQ,39,FALSE)), VLOOKUP($A68,'Justice Spend Total'!$B:$AQ,39,FALSE), #N/A)</f>
        <v>10.554366064873475</v>
      </c>
      <c r="D68" s="15">
        <v>4.3</v>
      </c>
    </row>
    <row r="69" spans="1:4">
      <c r="A69" t="s">
        <v>148</v>
      </c>
      <c r="B69">
        <f>IF(ISNUMBER(VLOOKUP($A69,'Justice Spend Total'!$B:$AQ,8,FALSE)), VLOOKUP($A69,'Justice Spend Total'!$B:$AQ,8,FALSE), #N/A)</f>
        <v>2540</v>
      </c>
      <c r="C69" s="15">
        <f>IF(ISNUMBER(VLOOKUP($A69,'Justice Spend Total'!$B:$AQ,39,FALSE)), VLOOKUP($A69,'Justice Spend Total'!$B:$AQ,39,FALSE), #N/A)</f>
        <v>10.611992546944284</v>
      </c>
      <c r="D69" s="15">
        <v>4.3</v>
      </c>
    </row>
    <row r="70" spans="1:4">
      <c r="A70" t="s">
        <v>144</v>
      </c>
      <c r="B70">
        <f>IF(ISNUMBER(VLOOKUP($A70,'Justice Spend Total'!$B:$AQ,8,FALSE)), VLOOKUP($A70,'Justice Spend Total'!$B:$AQ,8,FALSE), #N/A)</f>
        <v>2300</v>
      </c>
      <c r="C70" s="15">
        <f>IF(ISNUMBER(VLOOKUP($A70,'Justice Spend Total'!$B:$AQ,39,FALSE)), VLOOKUP($A70,'Justice Spend Total'!$B:$AQ,39,FALSE), #N/A)</f>
        <v>10.618260250382619</v>
      </c>
      <c r="D70" s="15">
        <v>4.3</v>
      </c>
    </row>
    <row r="71" spans="1:4">
      <c r="A71" t="s">
        <v>145</v>
      </c>
      <c r="B71">
        <f>IF(ISNUMBER(VLOOKUP($A71,'Justice Spend Total'!$B:$AQ,8,FALSE)), VLOOKUP($A71,'Justice Spend Total'!$B:$AQ,8,FALSE), #N/A)</f>
        <v>2360</v>
      </c>
      <c r="C71" s="15">
        <f>IF(ISNUMBER(VLOOKUP($A71,'Justice Spend Total'!$B:$AQ,39,FALSE)), VLOOKUP($A71,'Justice Spend Total'!$B:$AQ,39,FALSE), #N/A)</f>
        <v>10.977701900144751</v>
      </c>
      <c r="D71" s="15">
        <v>4.3</v>
      </c>
    </row>
    <row r="72" spans="1:4">
      <c r="A72" t="s">
        <v>150</v>
      </c>
      <c r="B72">
        <f>IF(ISNUMBER(VLOOKUP($A72,'Justice Spend Total'!$B:$AQ,8,FALSE)), VLOOKUP($A72,'Justice Spend Total'!$B:$AQ,8,FALSE), #N/A)</f>
        <v>2790</v>
      </c>
      <c r="C72" s="15">
        <f>IF(ISNUMBER(VLOOKUP($A72,'Justice Spend Total'!$B:$AQ,39,FALSE)), VLOOKUP($A72,'Justice Spend Total'!$B:$AQ,39,FALSE), #N/A)</f>
        <v>11.458695112875219</v>
      </c>
      <c r="D72" s="15">
        <v>4.3</v>
      </c>
    </row>
    <row r="73" spans="1:4">
      <c r="A73" t="s">
        <v>97</v>
      </c>
      <c r="B73">
        <f>IF(ISNUMBER(VLOOKUP($A73,'Justice Spend Total'!$B:$AQ,8,FALSE)), VLOOKUP($A73,'Justice Spend Total'!$B:$AQ,8,FALSE), #N/A)</f>
        <v>500</v>
      </c>
      <c r="C73" s="15">
        <f>IF(ISNUMBER(VLOOKUP($A73,'Justice Spend Total'!$B:$AQ,39,FALSE)), VLOOKUP($A73,'Justice Spend Total'!$B:$AQ,39,FALSE), #N/A)</f>
        <v>11.773836910501457</v>
      </c>
      <c r="D73" s="15">
        <v>4.3</v>
      </c>
    </row>
    <row r="74" spans="1:4">
      <c r="A74" t="s">
        <v>179</v>
      </c>
      <c r="B74">
        <f>IF(ISNUMBER(VLOOKUP($A74,'Justice Spend Total'!$B:$AQ,8,FALSE)), VLOOKUP($A74,'Justice Spend Total'!$B:$AQ,8,FALSE), #N/A)</f>
        <v>4740</v>
      </c>
      <c r="C74" s="15">
        <f>IF(ISNUMBER(VLOOKUP($A74,'Justice Spend Total'!$B:$AQ,39,FALSE)), VLOOKUP($A74,'Justice Spend Total'!$B:$AQ,39,FALSE), #N/A)</f>
        <v>11.874177688065121</v>
      </c>
      <c r="D74" s="15">
        <v>4.3</v>
      </c>
    </row>
    <row r="75" spans="1:4">
      <c r="A75" t="s">
        <v>195</v>
      </c>
      <c r="B75">
        <f>IF(ISNUMBER(VLOOKUP($A75,'Justice Spend Total'!$B:$AQ,8,FALSE)), VLOOKUP($A75,'Justice Spend Total'!$B:$AQ,8,FALSE), #N/A)</f>
        <v>6440</v>
      </c>
      <c r="C75" s="15">
        <f>IF(ISNUMBER(VLOOKUP($A75,'Justice Spend Total'!$B:$AQ,39,FALSE)), VLOOKUP($A75,'Justice Spend Total'!$B:$AQ,39,FALSE), #N/A)</f>
        <v>13.35145145515299</v>
      </c>
      <c r="D75" s="15">
        <v>4.3</v>
      </c>
    </row>
    <row r="76" spans="1:4">
      <c r="A76" t="s">
        <v>137</v>
      </c>
      <c r="B76">
        <f>IF(ISNUMBER(VLOOKUP($A76,'Justice Spend Total'!$B:$AQ,8,FALSE)), VLOOKUP($A76,'Justice Spend Total'!$B:$AQ,8,FALSE), #N/A)</f>
        <v>1940</v>
      </c>
      <c r="C76" s="15">
        <f>IF(ISNUMBER(VLOOKUP($A76,'Justice Spend Total'!$B:$AQ,39,FALSE)), VLOOKUP($A76,'Justice Spend Total'!$B:$AQ,39,FALSE), #N/A)</f>
        <v>13.415927189988624</v>
      </c>
      <c r="D76" s="15">
        <v>4.3</v>
      </c>
    </row>
    <row r="77" spans="1:4">
      <c r="A77" t="s">
        <v>155</v>
      </c>
      <c r="B77">
        <f>IF(ISNUMBER(VLOOKUP($A77,'Justice Spend Total'!$B:$AQ,8,FALSE)), VLOOKUP($A77,'Justice Spend Total'!$B:$AQ,8,FALSE), #N/A)</f>
        <v>3330</v>
      </c>
      <c r="C77" s="15">
        <f>IF(ISNUMBER(VLOOKUP($A77,'Justice Spend Total'!$B:$AQ,39,FALSE)), VLOOKUP($A77,'Justice Spend Total'!$B:$AQ,39,FALSE), #N/A)</f>
        <v>13.473230999861412</v>
      </c>
      <c r="D77" s="15">
        <v>4.3</v>
      </c>
    </row>
    <row r="78" spans="1:4">
      <c r="A78" t="s">
        <v>172</v>
      </c>
      <c r="B78">
        <f>IF(ISNUMBER(VLOOKUP($A78,'Justice Spend Total'!$B:$AQ,8,FALSE)), VLOOKUP($A78,'Justice Spend Total'!$B:$AQ,8,FALSE), #N/A)</f>
        <v>4140</v>
      </c>
      <c r="C78" s="15">
        <f>IF(ISNUMBER(VLOOKUP($A78,'Justice Spend Total'!$B:$AQ,39,FALSE)), VLOOKUP($A78,'Justice Spend Total'!$B:$AQ,39,FALSE), #N/A)</f>
        <v>13.553025108417636</v>
      </c>
      <c r="D78" s="15">
        <v>4.3</v>
      </c>
    </row>
    <row r="79" spans="1:4">
      <c r="A79" t="s">
        <v>156</v>
      </c>
      <c r="B79">
        <f>IF(ISNUMBER(VLOOKUP($A79,'Justice Spend Total'!$B:$AQ,8,FALSE)), VLOOKUP($A79,'Justice Spend Total'!$B:$AQ,8,FALSE), #N/A)</f>
        <v>3350</v>
      </c>
      <c r="C79" s="15">
        <f>IF(ISNUMBER(VLOOKUP($A79,'Justice Spend Total'!$B:$AQ,39,FALSE)), VLOOKUP($A79,'Justice Spend Total'!$B:$AQ,39,FALSE), #N/A)</f>
        <v>14.333665437879844</v>
      </c>
      <c r="D79" s="15">
        <v>4.3</v>
      </c>
    </row>
    <row r="80" spans="1:4">
      <c r="A80" t="s">
        <v>95</v>
      </c>
      <c r="B80">
        <f>IF(ISNUMBER(VLOOKUP($A80,'Justice Spend Total'!$B:$AQ,8,FALSE)), VLOOKUP($A80,'Justice Spend Total'!$B:$AQ,8,FALSE), #N/A)</f>
        <v>480</v>
      </c>
      <c r="C80" s="15">
        <f>IF(ISNUMBER(VLOOKUP($A80,'Justice Spend Total'!$B:$AQ,39,FALSE)), VLOOKUP($A80,'Justice Spend Total'!$B:$AQ,39,FALSE), #N/A)</f>
        <v>14.806539728742408</v>
      </c>
      <c r="D80" s="15">
        <v>4.3</v>
      </c>
    </row>
    <row r="81" spans="1:4">
      <c r="A81" t="s">
        <v>183</v>
      </c>
      <c r="B81">
        <f>IF(ISNUMBER(VLOOKUP($A81,'Justice Spend Total'!$B:$AQ,8,FALSE)), VLOOKUP($A81,'Justice Spend Total'!$B:$AQ,8,FALSE), #N/A)</f>
        <v>4940</v>
      </c>
      <c r="C81" s="15">
        <f>IF(ISNUMBER(VLOOKUP($A81,'Justice Spend Total'!$B:$AQ,39,FALSE)), VLOOKUP($A81,'Justice Spend Total'!$B:$AQ,39,FALSE), #N/A)</f>
        <v>14.929194840439303</v>
      </c>
      <c r="D81" s="15">
        <v>4.3</v>
      </c>
    </row>
    <row r="82" spans="1:4">
      <c r="A82" t="s">
        <v>225</v>
      </c>
      <c r="B82">
        <f>IF(ISNUMBER(VLOOKUP($A82,'Justice Spend Total'!$B:$AQ,8,FALSE)), VLOOKUP($A82,'Justice Spend Total'!$B:$AQ,8,FALSE), #N/A)</f>
        <v>12310</v>
      </c>
      <c r="C82" s="15">
        <f>IF(ISNUMBER(VLOOKUP($A82,'Justice Spend Total'!$B:$AQ,39,FALSE)), VLOOKUP($A82,'Justice Spend Total'!$B:$AQ,39,FALSE), #N/A)</f>
        <v>15.191325655425752</v>
      </c>
      <c r="D82" s="15">
        <v>4.3</v>
      </c>
    </row>
    <row r="83" spans="1:4">
      <c r="A83" t="s">
        <v>93</v>
      </c>
      <c r="B83">
        <f>IF(ISNUMBER(VLOOKUP($A83,'Justice Spend Total'!$B:$AQ,8,FALSE)), VLOOKUP($A83,'Justice Spend Total'!$B:$AQ,8,FALSE), #N/A)</f>
        <v>240</v>
      </c>
      <c r="C83" s="15">
        <f>IF(ISNUMBER(VLOOKUP($A83,'Justice Spend Total'!$B:$AQ,39,FALSE)), VLOOKUP($A83,'Justice Spend Total'!$B:$AQ,39,FALSE), #N/A)</f>
        <v>15.622320649234567</v>
      </c>
      <c r="D83" s="15">
        <v>4.3</v>
      </c>
    </row>
    <row r="84" spans="1:4">
      <c r="A84" t="s">
        <v>128</v>
      </c>
      <c r="B84">
        <f>IF(ISNUMBER(VLOOKUP($A84,'Justice Spend Total'!$B:$AQ,8,FALSE)), VLOOKUP($A84,'Justice Spend Total'!$B:$AQ,8,FALSE), #N/A)</f>
        <v>1420</v>
      </c>
      <c r="C84" s="15">
        <f>IF(ISNUMBER(VLOOKUP($A84,'Justice Spend Total'!$B:$AQ,39,FALSE)), VLOOKUP($A84,'Justice Spend Total'!$B:$AQ,39,FALSE), #N/A)</f>
        <v>17.816601534233381</v>
      </c>
      <c r="D84" s="15">
        <v>4.3</v>
      </c>
    </row>
    <row r="85" spans="1:4">
      <c r="A85" t="s">
        <v>176</v>
      </c>
      <c r="B85">
        <f>IF(ISNUMBER(VLOOKUP($A85,'Justice Spend Total'!$B:$AQ,8,FALSE)), VLOOKUP($A85,'Justice Spend Total'!$B:$AQ,8,FALSE), #N/A)</f>
        <v>4480</v>
      </c>
      <c r="C85" s="15">
        <f>IF(ISNUMBER(VLOOKUP($A85,'Justice Spend Total'!$B:$AQ,39,FALSE)), VLOOKUP($A85,'Justice Spend Total'!$B:$AQ,39,FALSE), #N/A)</f>
        <v>20.352648406310909</v>
      </c>
      <c r="D85" s="15">
        <v>4.3</v>
      </c>
    </row>
    <row r="86" spans="1:4">
      <c r="A86" t="s">
        <v>94</v>
      </c>
      <c r="B86">
        <f>IF(ISNUMBER(VLOOKUP($A86,'Justice Spend Total'!$B:$AQ,8,FALSE)), VLOOKUP($A86,'Justice Spend Total'!$B:$AQ,8,FALSE), #N/A)</f>
        <v>450</v>
      </c>
      <c r="C86" s="15">
        <f>IF(ISNUMBER(VLOOKUP($A86,'Justice Spend Total'!$B:$AQ,39,FALSE)), VLOOKUP($A86,'Justice Spend Total'!$B:$AQ,39,FALSE), #N/A)</f>
        <v>21.027975161403319</v>
      </c>
      <c r="D86" s="15">
        <v>4.3</v>
      </c>
    </row>
    <row r="87" spans="1:4">
      <c r="A87" t="s">
        <v>177</v>
      </c>
      <c r="B87">
        <f>IF(ISNUMBER(VLOOKUP($A87,'Justice Spend Total'!$B:$AQ,8,FALSE)), VLOOKUP($A87,'Justice Spend Total'!$B:$AQ,8,FALSE), #N/A)</f>
        <v>4550</v>
      </c>
      <c r="C87" s="15">
        <f>IF(ISNUMBER(VLOOKUP($A87,'Justice Spend Total'!$B:$AQ,39,FALSE)), VLOOKUP($A87,'Justice Spend Total'!$B:$AQ,39,FALSE), #N/A)</f>
        <v>21.332191660194656</v>
      </c>
      <c r="D87" s="15">
        <v>4.3</v>
      </c>
    </row>
    <row r="88" spans="1:4">
      <c r="A88" t="s">
        <v>96</v>
      </c>
      <c r="B88">
        <f>IF(ISNUMBER(VLOOKUP($A88,'Justice Spend Total'!$B:$AQ,8,FALSE)), VLOOKUP($A88,'Justice Spend Total'!$B:$AQ,8,FALSE), #N/A)</f>
        <v>500</v>
      </c>
      <c r="C88" s="15">
        <f>IF(ISNUMBER(VLOOKUP($A88,'Justice Spend Total'!$B:$AQ,39,FALSE)), VLOOKUP($A88,'Justice Spend Total'!$B:$AQ,39,FALSE), #N/A)</f>
        <v>34.231205732872709</v>
      </c>
      <c r="D88" s="15">
        <v>4.3</v>
      </c>
    </row>
    <row r="89" spans="1:4">
      <c r="C89" s="15"/>
      <c r="D89" s="15"/>
    </row>
    <row r="90" spans="1:4">
      <c r="C90" s="15"/>
      <c r="D90" s="15"/>
    </row>
    <row r="91" spans="1:4">
      <c r="C91" s="15"/>
      <c r="D91" s="15"/>
    </row>
    <row r="92" spans="1:4">
      <c r="C92" s="15"/>
      <c r="D92" s="15"/>
    </row>
    <row r="93" spans="1:4">
      <c r="C93" s="15"/>
      <c r="D93" s="15"/>
    </row>
    <row r="94" spans="1:4">
      <c r="C94" s="15"/>
      <c r="D94" s="15"/>
    </row>
    <row r="95" spans="1:4">
      <c r="C95" s="15"/>
      <c r="D95" s="15"/>
    </row>
    <row r="96" spans="1:4">
      <c r="C96" s="15"/>
      <c r="D96" s="15"/>
    </row>
    <row r="97" spans="3:4">
      <c r="C97" s="15"/>
      <c r="D97" s="15"/>
    </row>
    <row r="98" spans="3:4">
      <c r="C98" s="15"/>
      <c r="D98" s="15"/>
    </row>
    <row r="99" spans="3:4">
      <c r="C99" s="15"/>
      <c r="D99" s="15"/>
    </row>
    <row r="100" spans="3:4">
      <c r="C100" s="15"/>
      <c r="D100" s="15"/>
    </row>
    <row r="101" spans="3:4">
      <c r="C101" s="15"/>
      <c r="D101" s="15"/>
    </row>
    <row r="102" spans="3:4">
      <c r="C102" s="15"/>
      <c r="D102" s="15"/>
    </row>
    <row r="103" spans="3:4">
      <c r="C103" s="15"/>
      <c r="D103" s="15"/>
    </row>
    <row r="104" spans="3:4">
      <c r="C104" s="15"/>
      <c r="D104" s="15"/>
    </row>
    <row r="105" spans="3:4">
      <c r="C105" s="15"/>
      <c r="D105" s="15"/>
    </row>
    <row r="106" spans="3:4">
      <c r="C106" s="15"/>
      <c r="D106" s="15"/>
    </row>
    <row r="107" spans="3:4">
      <c r="C107" s="15"/>
      <c r="D107" s="15"/>
    </row>
    <row r="108" spans="3:4">
      <c r="C108" s="15"/>
      <c r="D108" s="15"/>
    </row>
    <row r="109" spans="3:4">
      <c r="C109" s="15"/>
      <c r="D109" s="15"/>
    </row>
    <row r="110" spans="3:4">
      <c r="C110" s="15"/>
      <c r="D110" s="15"/>
    </row>
    <row r="111" spans="3:4">
      <c r="C111" s="15"/>
      <c r="D111" s="15"/>
    </row>
    <row r="112" spans="3:4">
      <c r="C112" s="15"/>
      <c r="D112" s="15"/>
    </row>
    <row r="113" spans="3:4">
      <c r="C113" s="15"/>
      <c r="D113" s="15"/>
    </row>
    <row r="114" spans="3:4">
      <c r="C114" s="15"/>
      <c r="D114" s="15"/>
    </row>
    <row r="115" spans="3:4">
      <c r="C115" s="15"/>
      <c r="D115" s="15"/>
    </row>
    <row r="116" spans="3:4">
      <c r="C116" s="15"/>
      <c r="D116" s="15"/>
    </row>
    <row r="117" spans="3:4">
      <c r="C117" s="15"/>
      <c r="D117" s="15"/>
    </row>
    <row r="118" spans="3:4">
      <c r="C118" s="15"/>
      <c r="D118" s="15"/>
    </row>
    <row r="119" spans="3:4">
      <c r="C119" s="15"/>
      <c r="D119" s="15"/>
    </row>
    <row r="120" spans="3:4">
      <c r="C120" s="15"/>
      <c r="D120" s="15"/>
    </row>
    <row r="121" spans="3:4">
      <c r="C121" s="15"/>
      <c r="D121" s="15"/>
    </row>
    <row r="122" spans="3:4">
      <c r="C122" s="15"/>
      <c r="D122" s="15"/>
    </row>
    <row r="123" spans="3:4">
      <c r="C123" s="15"/>
      <c r="D123" s="15"/>
    </row>
    <row r="124" spans="3:4">
      <c r="C124" s="15"/>
      <c r="D124" s="15"/>
    </row>
    <row r="125" spans="3:4">
      <c r="C125" s="15"/>
      <c r="D125" s="15"/>
    </row>
    <row r="126" spans="3:4">
      <c r="C126" s="15"/>
      <c r="D126" s="15"/>
    </row>
    <row r="127" spans="3:4">
      <c r="C127" s="15"/>
      <c r="D127" s="15"/>
    </row>
    <row r="128" spans="3:4">
      <c r="C128" s="15"/>
      <c r="D128" s="15"/>
    </row>
    <row r="129" spans="3:4">
      <c r="C129" s="15"/>
      <c r="D129" s="15"/>
    </row>
    <row r="130" spans="3:4">
      <c r="C130" s="15"/>
      <c r="D130" s="15"/>
    </row>
    <row r="131" spans="3:4">
      <c r="C131" s="15"/>
      <c r="D131" s="15"/>
    </row>
    <row r="132" spans="3:4">
      <c r="C132" s="15"/>
      <c r="D132" s="15"/>
    </row>
    <row r="133" spans="3:4">
      <c r="C133" s="15"/>
      <c r="D133" s="15"/>
    </row>
    <row r="134" spans="3:4">
      <c r="C134" s="15"/>
      <c r="D134" s="15"/>
    </row>
    <row r="135" spans="3:4">
      <c r="C135" s="15"/>
      <c r="D135" s="15"/>
    </row>
    <row r="136" spans="3:4">
      <c r="C136" s="15"/>
      <c r="D136" s="15"/>
    </row>
    <row r="137" spans="3:4">
      <c r="C137" s="15"/>
      <c r="D137" s="15"/>
    </row>
    <row r="138" spans="3:4">
      <c r="C138" s="15"/>
      <c r="D138" s="15"/>
    </row>
    <row r="139" spans="3:4">
      <c r="C139" s="15"/>
      <c r="D139" s="15"/>
    </row>
    <row r="140" spans="3:4">
      <c r="C140" s="15"/>
      <c r="D140" s="15"/>
    </row>
    <row r="141" spans="3:4">
      <c r="C141" s="15"/>
      <c r="D141" s="15"/>
    </row>
    <row r="142" spans="3:4">
      <c r="C142" s="15"/>
      <c r="D142" s="15"/>
    </row>
    <row r="143" spans="3:4">
      <c r="C143" s="15"/>
      <c r="D143" s="15"/>
    </row>
    <row r="144" spans="3:4">
      <c r="C144" s="15"/>
      <c r="D144" s="15"/>
    </row>
    <row r="145" spans="3:4">
      <c r="C145" s="15"/>
      <c r="D145" s="15"/>
    </row>
    <row r="146" spans="3:4">
      <c r="C146" s="15"/>
      <c r="D146" s="15"/>
    </row>
    <row r="147" spans="3:4">
      <c r="C147" s="15"/>
      <c r="D147" s="15"/>
    </row>
    <row r="148" spans="3:4">
      <c r="C148" s="15"/>
      <c r="D148" s="15"/>
    </row>
    <row r="149" spans="3:4">
      <c r="C149" s="15"/>
      <c r="D149" s="15"/>
    </row>
    <row r="150" spans="3:4">
      <c r="C150" s="15"/>
      <c r="D150" s="15"/>
    </row>
    <row r="151" spans="3:4">
      <c r="C151" s="15"/>
      <c r="D151" s="15"/>
    </row>
    <row r="152" spans="3:4">
      <c r="C152" s="15"/>
      <c r="D152" s="15"/>
    </row>
    <row r="153" spans="3:4">
      <c r="C153" s="15"/>
      <c r="D153" s="15"/>
    </row>
    <row r="154" spans="3:4">
      <c r="C154" s="15"/>
      <c r="D154" s="15"/>
    </row>
    <row r="155" spans="3:4">
      <c r="C155" s="15"/>
      <c r="D155" s="15"/>
    </row>
    <row r="156" spans="3:4">
      <c r="C156" s="15"/>
      <c r="D156" s="15"/>
    </row>
    <row r="157" spans="3:4">
      <c r="C157" s="15"/>
      <c r="D157" s="15"/>
    </row>
    <row r="158" spans="3:4">
      <c r="C158" s="15"/>
      <c r="D158" s="15"/>
    </row>
    <row r="159" spans="3:4">
      <c r="C159" s="15"/>
      <c r="D159" s="15"/>
    </row>
    <row r="160" spans="3:4">
      <c r="C160" s="15"/>
      <c r="D160" s="15"/>
    </row>
    <row r="161" spans="3:4">
      <c r="C161" s="15"/>
      <c r="D161" s="15"/>
    </row>
    <row r="162" spans="3:4">
      <c r="C162" s="15"/>
      <c r="D162" s="15"/>
    </row>
    <row r="163" spans="3:4">
      <c r="C163" s="15"/>
      <c r="D163" s="15"/>
    </row>
    <row r="164" spans="3:4">
      <c r="C164" s="115"/>
      <c r="D164" s="15"/>
    </row>
    <row r="165" spans="3:4">
      <c r="C165" s="15"/>
      <c r="D165" s="15"/>
    </row>
    <row r="166" spans="3:4">
      <c r="C166" s="15"/>
      <c r="D166" s="15"/>
    </row>
    <row r="167" spans="3:4">
      <c r="C167" s="15"/>
      <c r="D167" s="15"/>
    </row>
    <row r="168" spans="3:4">
      <c r="C168" s="15"/>
      <c r="D168" s="15"/>
    </row>
    <row r="169" spans="3:4">
      <c r="C169" s="15"/>
      <c r="D169" s="15"/>
    </row>
    <row r="170" spans="3:4">
      <c r="C170" s="15"/>
      <c r="D170" s="15"/>
    </row>
    <row r="171" spans="3:4">
      <c r="C171" s="15"/>
      <c r="D171" s="15"/>
    </row>
    <row r="172" spans="3:4">
      <c r="C172" s="15"/>
      <c r="D172" s="15"/>
    </row>
    <row r="173" spans="3:4">
      <c r="C173" s="15"/>
      <c r="D173" s="15"/>
    </row>
    <row r="174" spans="3:4">
      <c r="C174" s="15"/>
      <c r="D174" s="15"/>
    </row>
    <row r="175" spans="3:4">
      <c r="C175" s="15"/>
      <c r="D175" s="15"/>
    </row>
    <row r="176" spans="3:4">
      <c r="C176" s="15"/>
      <c r="D176" s="15"/>
    </row>
    <row r="177" spans="3:4">
      <c r="C177" s="15"/>
      <c r="D177" s="15"/>
    </row>
    <row r="178" spans="3:4">
      <c r="C178" s="15"/>
      <c r="D178" s="15"/>
    </row>
    <row r="179" spans="3:4">
      <c r="C179" s="15"/>
      <c r="D179" s="15"/>
    </row>
    <row r="180" spans="3:4">
      <c r="C180" s="115"/>
      <c r="D180" s="15"/>
    </row>
    <row r="181" spans="3:4">
      <c r="C181" s="15"/>
      <c r="D181" s="15"/>
    </row>
    <row r="182" spans="3:4">
      <c r="C182" s="15"/>
      <c r="D182" s="15"/>
    </row>
    <row r="183" spans="3:4">
      <c r="C183" s="15"/>
      <c r="D183" s="15"/>
    </row>
    <row r="184" spans="3:4">
      <c r="C184" s="15"/>
      <c r="D184" s="15"/>
    </row>
    <row r="185" spans="3:4">
      <c r="C185" s="15"/>
      <c r="D185" s="15"/>
    </row>
    <row r="186" spans="3:4">
      <c r="C186" s="15"/>
      <c r="D186" s="15"/>
    </row>
    <row r="187" spans="3:4">
      <c r="C187" s="115"/>
      <c r="D187" s="15"/>
    </row>
    <row r="188" spans="3:4">
      <c r="C188" s="15"/>
      <c r="D188" s="15"/>
    </row>
    <row r="189" spans="3:4">
      <c r="C189" s="15"/>
      <c r="D189" s="15"/>
    </row>
    <row r="190" spans="3:4">
      <c r="C190" s="15"/>
      <c r="D190" s="15"/>
    </row>
    <row r="191" spans="3:4">
      <c r="C191" s="15"/>
      <c r="D191" s="15"/>
    </row>
    <row r="192" spans="3:4">
      <c r="C192" s="15"/>
      <c r="D192" s="15"/>
    </row>
    <row r="193" spans="3:4">
      <c r="C193" s="15"/>
      <c r="D193" s="15"/>
    </row>
    <row r="194" spans="3:4">
      <c r="C194" s="15"/>
      <c r="D194" s="15"/>
    </row>
    <row r="195" spans="3:4">
      <c r="C195" s="15"/>
      <c r="D195" s="15"/>
    </row>
    <row r="196" spans="3:4">
      <c r="C196" s="15"/>
      <c r="D196" s="15"/>
    </row>
    <row r="197" spans="3:4">
      <c r="C197" s="15"/>
      <c r="D197" s="15"/>
    </row>
    <row r="198" spans="3:4">
      <c r="C198" s="15"/>
      <c r="D198" s="15"/>
    </row>
    <row r="199" spans="3:4">
      <c r="C199" s="15"/>
      <c r="D199" s="15"/>
    </row>
    <row r="200" spans="3:4">
      <c r="C200" s="15"/>
      <c r="D200" s="15"/>
    </row>
    <row r="201" spans="3:4">
      <c r="C201" s="15"/>
      <c r="D201" s="15"/>
    </row>
    <row r="202" spans="3:4">
      <c r="C202" s="15"/>
      <c r="D202" s="15"/>
    </row>
    <row r="203" spans="3:4">
      <c r="C203" s="15"/>
      <c r="D203" s="15"/>
    </row>
    <row r="204" spans="3:4">
      <c r="C204" s="15"/>
      <c r="D204" s="15"/>
    </row>
  </sheetData>
  <sortState xmlns:xlrd2="http://schemas.microsoft.com/office/spreadsheetml/2017/richdata2" ref="A2:C134">
    <sortCondition ref="C2:C134"/>
  </sortState>
  <pageMargins left="0.7" right="0.7" top="0.75" bottom="0.75" header="0.3" footer="0.3"/>
  <pageSetup paperSize="9" orientation="portrait" horizontalDpi="4294967292"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A0E4-3762-464D-A119-3C2F8A7067FF}">
  <dimension ref="B1:F24"/>
  <sheetViews>
    <sheetView workbookViewId="0"/>
  </sheetViews>
  <sheetFormatPr defaultColWidth="8.85546875" defaultRowHeight="14.45"/>
  <cols>
    <col min="2" max="2" width="35.28515625" bestFit="1" customWidth="1"/>
  </cols>
  <sheetData>
    <row r="1" spans="2:6">
      <c r="C1" t="s">
        <v>1330</v>
      </c>
    </row>
    <row r="2" spans="2:6">
      <c r="B2" s="22" t="s">
        <v>15</v>
      </c>
      <c r="C2" s="31" t="s">
        <v>1331</v>
      </c>
    </row>
    <row r="3" spans="2:6">
      <c r="C3" s="31" t="s">
        <v>1332</v>
      </c>
    </row>
    <row r="5" spans="2:6">
      <c r="C5" s="167" t="s">
        <v>1333</v>
      </c>
      <c r="D5" s="167"/>
      <c r="E5" s="167"/>
    </row>
    <row r="6" spans="2:6">
      <c r="C6" t="s">
        <v>1334</v>
      </c>
      <c r="D6" t="s">
        <v>1335</v>
      </c>
      <c r="E6" t="s">
        <v>668</v>
      </c>
    </row>
    <row r="7" spans="2:6">
      <c r="B7" t="s">
        <v>802</v>
      </c>
      <c r="C7" s="7">
        <v>12.984999999999999</v>
      </c>
      <c r="D7" s="16">
        <v>9.2460000000000004</v>
      </c>
      <c r="E7" s="16">
        <v>32.353000000000002</v>
      </c>
    </row>
    <row r="8" spans="2:6">
      <c r="B8" t="s">
        <v>1336</v>
      </c>
      <c r="C8" s="7">
        <v>0.124</v>
      </c>
      <c r="D8" s="16">
        <v>0.158</v>
      </c>
      <c r="E8" s="16">
        <v>0</v>
      </c>
    </row>
    <row r="9" spans="2:6">
      <c r="B9" t="s">
        <v>1337</v>
      </c>
      <c r="C9" s="7">
        <v>19.463000000000001</v>
      </c>
      <c r="D9" s="16">
        <v>17.427</v>
      </c>
      <c r="E9" s="16">
        <v>0.16</v>
      </c>
    </row>
    <row r="10" spans="2:6">
      <c r="B10" t="s">
        <v>1338</v>
      </c>
      <c r="C10" s="7">
        <v>37.228999999999999</v>
      </c>
      <c r="D10" s="16">
        <v>51.09</v>
      </c>
      <c r="E10" s="16">
        <v>77.364000000000004</v>
      </c>
    </row>
    <row r="11" spans="2:6">
      <c r="B11" t="s">
        <v>1339</v>
      </c>
      <c r="C11" s="7">
        <v>0.115</v>
      </c>
      <c r="D11" s="16">
        <v>-0.115</v>
      </c>
      <c r="E11" s="16">
        <v>5.2039999999999997</v>
      </c>
    </row>
    <row r="12" spans="2:6">
      <c r="B12" t="s">
        <v>1340</v>
      </c>
      <c r="C12" s="7">
        <v>2.1850000000000001</v>
      </c>
      <c r="D12" s="16">
        <v>2.0379999999999998</v>
      </c>
      <c r="E12" s="16">
        <v>2.4350000000000001</v>
      </c>
    </row>
    <row r="13" spans="2:6">
      <c r="B13" t="s">
        <v>1341</v>
      </c>
      <c r="C13" s="7">
        <v>0.252</v>
      </c>
      <c r="D13" s="16">
        <v>0</v>
      </c>
      <c r="E13" s="16">
        <v>0</v>
      </c>
    </row>
    <row r="14" spans="2:6">
      <c r="B14" t="s">
        <v>1342</v>
      </c>
      <c r="C14" s="7">
        <v>14.452999999999999</v>
      </c>
      <c r="D14" s="16">
        <v>15.792</v>
      </c>
      <c r="E14" s="16">
        <v>18.581</v>
      </c>
    </row>
    <row r="15" spans="2:6">
      <c r="B15" t="s">
        <v>1343</v>
      </c>
      <c r="C15" s="7">
        <v>3.052</v>
      </c>
      <c r="D15" s="16">
        <v>3.96</v>
      </c>
      <c r="E15" s="16">
        <v>4.6020000000000003</v>
      </c>
    </row>
    <row r="16" spans="2:6">
      <c r="B16" t="s">
        <v>1344</v>
      </c>
      <c r="C16" s="7">
        <v>281.041</v>
      </c>
      <c r="D16" s="7">
        <v>276.30599999999998</v>
      </c>
      <c r="E16" s="7">
        <v>410.33199999999999</v>
      </c>
      <c r="F16" s="4">
        <f>E16/D16-1</f>
        <v>0.48506366130304812</v>
      </c>
    </row>
    <row r="17" spans="2:6">
      <c r="B17" t="s">
        <v>1345</v>
      </c>
      <c r="C17" s="7">
        <v>104.93600000000001</v>
      </c>
      <c r="D17" s="7">
        <v>89.185000000000002</v>
      </c>
      <c r="E17" s="7">
        <v>105.702</v>
      </c>
    </row>
    <row r="18" spans="2:6">
      <c r="B18" t="s">
        <v>1346</v>
      </c>
      <c r="C18" s="7">
        <v>11.194000000000001</v>
      </c>
      <c r="D18" s="16">
        <v>10.446999999999999</v>
      </c>
      <c r="E18" s="16">
        <v>12.305999999999999</v>
      </c>
    </row>
    <row r="19" spans="2:6">
      <c r="B19" t="s">
        <v>1347</v>
      </c>
      <c r="C19" s="7">
        <v>12.573</v>
      </c>
      <c r="D19" s="16">
        <v>30.646999999999998</v>
      </c>
      <c r="E19" s="16">
        <v>37.076999999999998</v>
      </c>
    </row>
    <row r="20" spans="2:6">
      <c r="B20" t="s">
        <v>1348</v>
      </c>
      <c r="C20" s="7">
        <v>20.634</v>
      </c>
      <c r="D20" s="16">
        <v>22.074000000000002</v>
      </c>
      <c r="E20" s="16">
        <v>19.815999999999999</v>
      </c>
    </row>
    <row r="21" spans="2:6">
      <c r="B21" t="s">
        <v>1349</v>
      </c>
      <c r="C21" s="7">
        <v>8.0020000000000007</v>
      </c>
      <c r="D21" s="16">
        <v>10.452999999999999</v>
      </c>
      <c r="E21" s="16">
        <v>11.074999999999999</v>
      </c>
    </row>
    <row r="22" spans="2:6">
      <c r="B22" t="s">
        <v>1350</v>
      </c>
      <c r="C22" s="7">
        <v>1.2090000000000001</v>
      </c>
      <c r="D22" s="16">
        <v>0.80200000000000005</v>
      </c>
      <c r="E22" s="16">
        <v>1.256</v>
      </c>
    </row>
    <row r="23" spans="2:6">
      <c r="C23" s="16">
        <f t="shared" ref="C23:D23" si="0">SUM(C7:C22)-C19-C20</f>
        <v>496.2399999999999</v>
      </c>
      <c r="D23" s="16">
        <f t="shared" si="0"/>
        <v>486.78899999999999</v>
      </c>
      <c r="E23" s="16">
        <f>SUM(E7:E22)-E19-E20</f>
        <v>681.37</v>
      </c>
      <c r="F23" s="32" t="s">
        <v>1351</v>
      </c>
    </row>
    <row r="24" spans="2:6">
      <c r="C24" s="16"/>
      <c r="D24" s="16"/>
      <c r="E24" s="16"/>
    </row>
  </sheetData>
  <mergeCells count="1">
    <mergeCell ref="C5:E5"/>
  </mergeCells>
  <hyperlinks>
    <hyperlink ref="C2" r:id="rId1" xr:uid="{3AD9F40D-A66E-439B-B666-0D494F07863A}"/>
    <hyperlink ref="C3" r:id="rId2" xr:uid="{B0F6279C-D8F5-45BA-9059-C4AB176964D6}"/>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5C484-E2A3-4A69-8F27-5FEFEBA82350}">
  <dimension ref="A1:E74"/>
  <sheetViews>
    <sheetView workbookViewId="0"/>
  </sheetViews>
  <sheetFormatPr defaultColWidth="8.85546875" defaultRowHeight="14.45"/>
  <cols>
    <col min="3" max="3" width="52.85546875" bestFit="1" customWidth="1"/>
    <col min="5" max="5" width="14.5703125" bestFit="1" customWidth="1"/>
    <col min="7" max="7" width="11.42578125" bestFit="1" customWidth="1"/>
  </cols>
  <sheetData>
    <row r="1" spans="1:5">
      <c r="C1" s="1" t="s">
        <v>1352</v>
      </c>
    </row>
    <row r="2" spans="1:5">
      <c r="B2" t="s">
        <v>767</v>
      </c>
      <c r="C2" t="s">
        <v>1353</v>
      </c>
    </row>
    <row r="4" spans="1:5">
      <c r="C4" s="1" t="s">
        <v>854</v>
      </c>
      <c r="E4" s="6">
        <f>E14+E30+E34+E38+E43+E47+E59+E66+E74</f>
        <v>698.71981380000011</v>
      </c>
    </row>
    <row r="6" spans="1:5">
      <c r="A6" s="1" t="s">
        <v>1354</v>
      </c>
    </row>
    <row r="7" spans="1:5">
      <c r="A7" t="s">
        <v>1355</v>
      </c>
      <c r="C7" s="1" t="s">
        <v>1074</v>
      </c>
      <c r="E7" t="s">
        <v>1333</v>
      </c>
    </row>
    <row r="8" spans="1:5">
      <c r="C8" s="1" t="s">
        <v>1356</v>
      </c>
      <c r="E8" s="6">
        <v>102.21</v>
      </c>
    </row>
    <row r="9" spans="1:5">
      <c r="C9" t="s">
        <v>1357</v>
      </c>
      <c r="E9" s="6">
        <v>88.11</v>
      </c>
    </row>
    <row r="10" spans="1:5">
      <c r="C10" t="s">
        <v>1358</v>
      </c>
      <c r="E10" s="6">
        <v>9.5</v>
      </c>
    </row>
    <row r="11" spans="1:5">
      <c r="C11" t="s">
        <v>1359</v>
      </c>
      <c r="E11" s="6">
        <v>0.4</v>
      </c>
    </row>
    <row r="12" spans="1:5">
      <c r="C12" t="s">
        <v>1360</v>
      </c>
      <c r="E12" s="6">
        <v>3.7</v>
      </c>
    </row>
    <row r="13" spans="1:5">
      <c r="C13" t="s">
        <v>1361</v>
      </c>
      <c r="E13" s="6">
        <v>0.5</v>
      </c>
    </row>
    <row r="14" spans="1:5">
      <c r="C14" s="1" t="s">
        <v>1362</v>
      </c>
      <c r="E14" s="6">
        <f>SUM(E9:E13)</f>
        <v>102.21000000000001</v>
      </c>
    </row>
    <row r="15" spans="1:5">
      <c r="E15" s="6"/>
    </row>
    <row r="16" spans="1:5">
      <c r="A16" t="s">
        <v>1363</v>
      </c>
      <c r="C16" s="1" t="s">
        <v>1364</v>
      </c>
    </row>
    <row r="17" spans="1:5">
      <c r="C17" s="1" t="s">
        <v>1365</v>
      </c>
      <c r="E17" s="26">
        <v>28.769932000000001</v>
      </c>
    </row>
    <row r="18" spans="1:5">
      <c r="C18" t="s">
        <v>1366</v>
      </c>
      <c r="E18" s="6">
        <v>25.269932000000001</v>
      </c>
    </row>
    <row r="19" spans="1:5">
      <c r="C19" t="s">
        <v>1367</v>
      </c>
      <c r="E19" s="6">
        <v>1.6</v>
      </c>
    </row>
    <row r="20" spans="1:5">
      <c r="C20" t="s">
        <v>1368</v>
      </c>
      <c r="E20" s="6">
        <v>0.45</v>
      </c>
    </row>
    <row r="21" spans="1:5">
      <c r="C21" t="s">
        <v>1369</v>
      </c>
      <c r="E21" s="6">
        <v>1.45</v>
      </c>
    </row>
    <row r="22" spans="1:5">
      <c r="C22" s="1" t="s">
        <v>1370</v>
      </c>
      <c r="E22" s="26">
        <v>3.2170675000000002</v>
      </c>
    </row>
    <row r="23" spans="1:5">
      <c r="C23" t="s">
        <v>1371</v>
      </c>
      <c r="E23" s="6">
        <v>3.2170675000000002</v>
      </c>
    </row>
    <row r="24" spans="1:5">
      <c r="C24" s="1" t="s">
        <v>1372</v>
      </c>
      <c r="E24" s="26">
        <v>2.9999842999999999</v>
      </c>
    </row>
    <row r="25" spans="1:5">
      <c r="C25" t="s">
        <v>1371</v>
      </c>
      <c r="E25" s="6">
        <v>2.9999842999999999</v>
      </c>
    </row>
    <row r="26" spans="1:5">
      <c r="C26" s="1" t="s">
        <v>1373</v>
      </c>
      <c r="E26" s="26">
        <v>13.503800099999999</v>
      </c>
    </row>
    <row r="27" spans="1:5">
      <c r="C27" t="s">
        <v>1371</v>
      </c>
      <c r="E27" s="6">
        <v>13.503800099999999</v>
      </c>
    </row>
    <row r="28" spans="1:5">
      <c r="C28" s="1" t="s">
        <v>1374</v>
      </c>
      <c r="E28" s="26">
        <v>10.5293323</v>
      </c>
    </row>
    <row r="29" spans="1:5">
      <c r="C29" t="s">
        <v>1371</v>
      </c>
      <c r="E29" s="6">
        <v>10.5293323</v>
      </c>
    </row>
    <row r="30" spans="1:5">
      <c r="C30" s="1" t="s">
        <v>1362</v>
      </c>
      <c r="E30" s="6">
        <f>E28+E26+E24+E22+E17</f>
        <v>59.020116200000004</v>
      </c>
    </row>
    <row r="32" spans="1:5">
      <c r="A32" t="s">
        <v>1375</v>
      </c>
      <c r="C32" s="1" t="s">
        <v>1376</v>
      </c>
    </row>
    <row r="33" spans="1:5">
      <c r="C33" t="s">
        <v>1377</v>
      </c>
      <c r="E33" s="13">
        <v>0.49395729999999999</v>
      </c>
    </row>
    <row r="34" spans="1:5">
      <c r="C34" s="1" t="s">
        <v>1362</v>
      </c>
      <c r="E34" s="13">
        <f>E33</f>
        <v>0.49395729999999999</v>
      </c>
    </row>
    <row r="36" spans="1:5">
      <c r="A36" t="s">
        <v>1378</v>
      </c>
      <c r="C36" s="1" t="s">
        <v>1340</v>
      </c>
    </row>
    <row r="37" spans="1:5">
      <c r="C37" t="s">
        <v>1379</v>
      </c>
      <c r="E37" s="8">
        <v>3.0865586999999999</v>
      </c>
    </row>
    <row r="38" spans="1:5">
      <c r="C38" s="1" t="s">
        <v>1362</v>
      </c>
      <c r="E38" s="8">
        <f>E37</f>
        <v>3.0865586999999999</v>
      </c>
    </row>
    <row r="40" spans="1:5">
      <c r="A40" t="s">
        <v>1380</v>
      </c>
      <c r="C40" s="1" t="s">
        <v>1381</v>
      </c>
    </row>
    <row r="41" spans="1:5">
      <c r="C41" s="1" t="s">
        <v>1382</v>
      </c>
      <c r="E41" s="13">
        <v>0.46619290000000002</v>
      </c>
    </row>
    <row r="42" spans="1:5">
      <c r="C42" t="s">
        <v>1379</v>
      </c>
      <c r="E42" s="13">
        <v>0.46619290000000002</v>
      </c>
    </row>
    <row r="43" spans="1:5">
      <c r="C43" s="1" t="s">
        <v>1362</v>
      </c>
      <c r="E43" s="13">
        <f>E42</f>
        <v>0.46619290000000002</v>
      </c>
    </row>
    <row r="45" spans="1:5">
      <c r="A45" t="s">
        <v>1383</v>
      </c>
      <c r="C45" s="1" t="s">
        <v>1384</v>
      </c>
    </row>
    <row r="46" spans="1:5">
      <c r="C46" t="s">
        <v>1379</v>
      </c>
      <c r="E46" s="8">
        <v>19.7777067</v>
      </c>
    </row>
    <row r="47" spans="1:5">
      <c r="C47" s="1" t="s">
        <v>1362</v>
      </c>
      <c r="E47" s="8">
        <f>E46</f>
        <v>19.7777067</v>
      </c>
    </row>
    <row r="49" spans="1:5">
      <c r="A49" t="s">
        <v>1385</v>
      </c>
      <c r="C49" s="1" t="s">
        <v>1344</v>
      </c>
    </row>
    <row r="50" spans="1:5">
      <c r="C50" s="1" t="s">
        <v>1386</v>
      </c>
      <c r="E50" s="26">
        <v>288.66372730000001</v>
      </c>
    </row>
    <row r="51" spans="1:5">
      <c r="C51" t="s">
        <v>1387</v>
      </c>
      <c r="E51" s="6">
        <v>281.90074950000002</v>
      </c>
    </row>
    <row r="52" spans="1:5">
      <c r="C52" t="s">
        <v>1388</v>
      </c>
      <c r="E52" s="13">
        <v>6.7629777999999998</v>
      </c>
    </row>
    <row r="53" spans="1:5">
      <c r="C53" s="1" t="s">
        <v>1389</v>
      </c>
      <c r="E53" s="26">
        <v>106.2949753</v>
      </c>
    </row>
    <row r="54" spans="1:5">
      <c r="C54" t="s">
        <v>1390</v>
      </c>
      <c r="E54" s="6">
        <v>106.2949753</v>
      </c>
    </row>
    <row r="55" spans="1:5">
      <c r="C55" s="1" t="s">
        <v>1391</v>
      </c>
      <c r="E55" s="28">
        <v>0.8</v>
      </c>
    </row>
    <row r="56" spans="1:5">
      <c r="C56" t="s">
        <v>1392</v>
      </c>
      <c r="E56" s="13">
        <v>0.8</v>
      </c>
    </row>
    <row r="57" spans="1:5">
      <c r="C57" s="1" t="s">
        <v>1393</v>
      </c>
      <c r="E57" s="28">
        <v>0.5</v>
      </c>
    </row>
    <row r="58" spans="1:5">
      <c r="C58" t="s">
        <v>1394</v>
      </c>
      <c r="E58" s="13">
        <v>0.5</v>
      </c>
    </row>
    <row r="59" spans="1:5">
      <c r="C59" s="1" t="s">
        <v>1362</v>
      </c>
      <c r="E59" s="6">
        <f>E57+E55+E53+E50</f>
        <v>396.25870259999999</v>
      </c>
    </row>
    <row r="61" spans="1:5">
      <c r="A61" t="s">
        <v>1134</v>
      </c>
      <c r="C61" s="1" t="s">
        <v>1345</v>
      </c>
    </row>
    <row r="62" spans="1:5">
      <c r="C62" s="1" t="s">
        <v>1395</v>
      </c>
      <c r="E62" s="27">
        <v>59.492593599999999</v>
      </c>
    </row>
    <row r="63" spans="1:5">
      <c r="C63" t="s">
        <v>1396</v>
      </c>
      <c r="E63" s="8">
        <v>58.622292000000002</v>
      </c>
    </row>
    <row r="64" spans="1:5">
      <c r="C64" t="s">
        <v>1397</v>
      </c>
      <c r="E64" s="13">
        <v>0.87030160000000001</v>
      </c>
    </row>
    <row r="65" spans="1:5">
      <c r="C65" s="1" t="s">
        <v>1398</v>
      </c>
      <c r="E65" s="27">
        <v>43.110033000000001</v>
      </c>
    </row>
    <row r="66" spans="1:5">
      <c r="C66" s="1" t="s">
        <v>1362</v>
      </c>
      <c r="E66" s="6">
        <f>E65+E62</f>
        <v>102.60262660000001</v>
      </c>
    </row>
    <row r="68" spans="1:5">
      <c r="A68" t="s">
        <v>881</v>
      </c>
      <c r="C68" s="1" t="s">
        <v>1346</v>
      </c>
    </row>
    <row r="69" spans="1:5">
      <c r="C69" s="1" t="s">
        <v>1346</v>
      </c>
      <c r="E69" s="8">
        <v>14.803952799999999</v>
      </c>
    </row>
    <row r="70" spans="1:5">
      <c r="C70" t="s">
        <v>1399</v>
      </c>
      <c r="E70" s="13">
        <v>8.8218189999999996</v>
      </c>
    </row>
    <row r="71" spans="1:5">
      <c r="C71" t="s">
        <v>1400</v>
      </c>
      <c r="E71" s="13">
        <v>3.8494692019999999</v>
      </c>
    </row>
    <row r="72" spans="1:5">
      <c r="C72" t="s">
        <v>1401</v>
      </c>
      <c r="E72" s="13">
        <v>1.412588416</v>
      </c>
    </row>
    <row r="73" spans="1:5">
      <c r="C73" t="s">
        <v>1402</v>
      </c>
      <c r="E73" s="13">
        <v>0.72007618200000001</v>
      </c>
    </row>
    <row r="74" spans="1:5">
      <c r="C74" s="1" t="s">
        <v>1362</v>
      </c>
      <c r="E74" s="8">
        <f>SUM(E70:E73)</f>
        <v>14.803952799999999</v>
      </c>
    </row>
  </sheetData>
  <pageMargins left="0.7" right="0.7" top="0.75" bottom="0.75" header="0.3" footer="0.3"/>
  <pageSetup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8C3B1-F392-4D8E-8181-BB71E97A6D63}">
  <dimension ref="A1:E39"/>
  <sheetViews>
    <sheetView workbookViewId="0">
      <selection activeCell="C11" sqref="C11"/>
    </sheetView>
  </sheetViews>
  <sheetFormatPr defaultColWidth="8.85546875" defaultRowHeight="14.45"/>
  <cols>
    <col min="1" max="1" width="11.5703125" customWidth="1"/>
    <col min="2" max="2" width="36.42578125" customWidth="1"/>
    <col min="3" max="3" width="11.5703125" customWidth="1"/>
    <col min="4" max="5" width="19.28515625" customWidth="1"/>
  </cols>
  <sheetData>
    <row r="1" spans="1:5">
      <c r="A1" t="s">
        <v>1403</v>
      </c>
    </row>
    <row r="2" spans="1:5">
      <c r="B2" t="s">
        <v>1404</v>
      </c>
      <c r="C2" t="s">
        <v>1405</v>
      </c>
    </row>
    <row r="3" spans="1:5">
      <c r="C3" t="s">
        <v>1406</v>
      </c>
    </row>
    <row r="5" spans="1:5">
      <c r="A5" t="s">
        <v>1407</v>
      </c>
      <c r="C5" s="162" t="s">
        <v>1108</v>
      </c>
      <c r="D5" s="162"/>
      <c r="E5" s="162"/>
    </row>
    <row r="6" spans="1:5">
      <c r="C6" s="1" t="s">
        <v>1408</v>
      </c>
      <c r="D6" s="1" t="s">
        <v>1409</v>
      </c>
      <c r="E6" s="1" t="s">
        <v>1410</v>
      </c>
    </row>
    <row r="7" spans="1:5">
      <c r="B7" t="s">
        <v>1411</v>
      </c>
      <c r="C7" s="16">
        <f>C15+C36</f>
        <v>293.590711</v>
      </c>
      <c r="D7" s="16">
        <f>D15+D36</f>
        <v>292.35000000000002</v>
      </c>
      <c r="E7" s="16">
        <f>E15+E36</f>
        <v>306.73</v>
      </c>
    </row>
    <row r="8" spans="1:5">
      <c r="B8" t="s">
        <v>1412</v>
      </c>
      <c r="C8" s="16">
        <f>C19+C37</f>
        <v>31.208392</v>
      </c>
      <c r="D8" s="16">
        <f t="shared" ref="D8:E8" si="0">D19+D37</f>
        <v>37.799999999999997</v>
      </c>
      <c r="E8" s="16">
        <f t="shared" si="0"/>
        <v>43.9</v>
      </c>
    </row>
    <row r="9" spans="1:5">
      <c r="B9" t="s">
        <v>1413</v>
      </c>
      <c r="C9" s="16">
        <f>C25+C38</f>
        <v>31.3</v>
      </c>
      <c r="D9" s="16">
        <f t="shared" ref="D9:E9" si="1">D25+D38</f>
        <v>38.1</v>
      </c>
      <c r="E9" s="16">
        <f t="shared" si="1"/>
        <v>36.1</v>
      </c>
    </row>
    <row r="10" spans="1:5">
      <c r="B10" t="s">
        <v>1414</v>
      </c>
      <c r="C10" s="16">
        <f>SUM(C7:C9)</f>
        <v>356.09910300000001</v>
      </c>
      <c r="D10" s="16">
        <f>SUM(D7:D9)</f>
        <v>368.25000000000006</v>
      </c>
      <c r="E10" s="16">
        <f>SUM(E7:E9)</f>
        <v>386.73</v>
      </c>
    </row>
    <row r="11" spans="1:5">
      <c r="B11" t="s">
        <v>821</v>
      </c>
      <c r="C11" s="35">
        <f>C10/1000</f>
        <v>0.35609910300000003</v>
      </c>
      <c r="D11" s="35">
        <f t="shared" ref="D11:E11" si="2">D10/1000</f>
        <v>0.36825000000000008</v>
      </c>
      <c r="E11" s="35">
        <f t="shared" si="2"/>
        <v>0.38673000000000002</v>
      </c>
    </row>
    <row r="12" spans="1:5">
      <c r="A12" s="1" t="s">
        <v>1415</v>
      </c>
    </row>
    <row r="13" spans="1:5">
      <c r="C13" s="162" t="s">
        <v>1108</v>
      </c>
      <c r="D13" s="162"/>
      <c r="E13" s="162"/>
    </row>
    <row r="14" spans="1:5">
      <c r="C14" s="1" t="s">
        <v>1408</v>
      </c>
      <c r="D14" s="1" t="s">
        <v>1409</v>
      </c>
      <c r="E14" s="1" t="s">
        <v>1410</v>
      </c>
    </row>
    <row r="15" spans="1:5">
      <c r="A15" t="s">
        <v>1416</v>
      </c>
      <c r="B15" s="1" t="s">
        <v>1411</v>
      </c>
      <c r="C15" s="1">
        <v>290.3</v>
      </c>
      <c r="D15" s="1">
        <v>280.60000000000002</v>
      </c>
      <c r="E15" s="1">
        <v>285.10000000000002</v>
      </c>
    </row>
    <row r="16" spans="1:5">
      <c r="B16" s="25" t="s">
        <v>782</v>
      </c>
    </row>
    <row r="17" spans="1:5">
      <c r="A17" t="s">
        <v>1417</v>
      </c>
      <c r="B17" s="25" t="s">
        <v>1418</v>
      </c>
      <c r="C17" s="29">
        <v>196.9</v>
      </c>
      <c r="D17" s="29">
        <v>181.04900000000001</v>
      </c>
      <c r="E17" s="29">
        <v>183.96199999999999</v>
      </c>
    </row>
    <row r="18" spans="1:5">
      <c r="A18" t="s">
        <v>1419</v>
      </c>
      <c r="B18" s="25" t="s">
        <v>1420</v>
      </c>
      <c r="C18" s="30">
        <v>80.577547999999993</v>
      </c>
      <c r="D18" s="30">
        <v>82.171467000000007</v>
      </c>
      <c r="E18" s="30">
        <v>84.131238999999994</v>
      </c>
    </row>
    <row r="19" spans="1:5">
      <c r="A19" t="s">
        <v>1416</v>
      </c>
      <c r="B19" s="1" t="s">
        <v>1412</v>
      </c>
      <c r="C19" s="1">
        <v>30.5</v>
      </c>
      <c r="D19" s="1">
        <v>36.799999999999997</v>
      </c>
      <c r="E19" s="1">
        <v>40.9</v>
      </c>
    </row>
    <row r="20" spans="1:5">
      <c r="B20" s="25" t="s">
        <v>782</v>
      </c>
    </row>
    <row r="21" spans="1:5">
      <c r="A21" t="s">
        <v>1421</v>
      </c>
      <c r="B21" s="25" t="s">
        <v>1422</v>
      </c>
      <c r="C21">
        <v>5.6207440000000002</v>
      </c>
      <c r="D21">
        <v>5.8112630000000003</v>
      </c>
      <c r="E21">
        <v>6.5297510000000001</v>
      </c>
    </row>
    <row r="22" spans="1:5">
      <c r="A22" t="s">
        <v>1423</v>
      </c>
      <c r="B22" s="25" t="s">
        <v>1424</v>
      </c>
      <c r="C22">
        <v>7.325615</v>
      </c>
      <c r="D22">
        <v>8.3598689999999998</v>
      </c>
      <c r="E22">
        <v>7.8411819999999999</v>
      </c>
    </row>
    <row r="23" spans="1:5">
      <c r="A23" t="s">
        <v>1425</v>
      </c>
      <c r="B23" s="25" t="s">
        <v>1426</v>
      </c>
      <c r="C23">
        <v>4.3540049999999999</v>
      </c>
      <c r="D23">
        <v>5.2925269999999998</v>
      </c>
      <c r="E23">
        <v>7.4106899999999998</v>
      </c>
    </row>
    <row r="24" spans="1:5">
      <c r="A24" t="s">
        <v>1427</v>
      </c>
      <c r="B24" s="25" t="s">
        <v>1428</v>
      </c>
      <c r="C24">
        <v>1.1943189999999999</v>
      </c>
      <c r="D24">
        <v>1.584263</v>
      </c>
      <c r="E24">
        <v>1.53024</v>
      </c>
    </row>
    <row r="25" spans="1:5">
      <c r="A25" t="s">
        <v>1416</v>
      </c>
      <c r="B25" s="1" t="s">
        <v>1413</v>
      </c>
      <c r="C25" s="1">
        <v>31.3</v>
      </c>
      <c r="D25" s="1">
        <v>33.1</v>
      </c>
      <c r="E25" s="1">
        <v>31.1</v>
      </c>
    </row>
    <row r="26" spans="1:5">
      <c r="A26" t="s">
        <v>1429</v>
      </c>
      <c r="B26" s="25" t="s">
        <v>1430</v>
      </c>
    </row>
    <row r="27" spans="1:5">
      <c r="B27" s="25" t="s">
        <v>1431</v>
      </c>
    </row>
    <row r="28" spans="1:5">
      <c r="B28" s="25" t="s">
        <v>1432</v>
      </c>
    </row>
    <row r="29" spans="1:5">
      <c r="B29" s="25" t="s">
        <v>1336</v>
      </c>
    </row>
    <row r="30" spans="1:5">
      <c r="B30" s="25" t="s">
        <v>1433</v>
      </c>
    </row>
    <row r="31" spans="1:5">
      <c r="B31" s="25" t="s">
        <v>1434</v>
      </c>
    </row>
    <row r="33" spans="1:5">
      <c r="A33" s="1" t="s">
        <v>1435</v>
      </c>
    </row>
    <row r="34" spans="1:5">
      <c r="C34" s="162" t="s">
        <v>1108</v>
      </c>
      <c r="D34" s="162"/>
      <c r="E34" s="162"/>
    </row>
    <row r="35" spans="1:5">
      <c r="C35" s="1" t="s">
        <v>1408</v>
      </c>
      <c r="D35" s="1" t="s">
        <v>1409</v>
      </c>
      <c r="E35" s="1" t="s">
        <v>1410</v>
      </c>
    </row>
    <row r="36" spans="1:5">
      <c r="A36" t="s">
        <v>1436</v>
      </c>
      <c r="B36" t="s">
        <v>1411</v>
      </c>
      <c r="C36" s="15">
        <v>3.2907109999999999</v>
      </c>
      <c r="D36" s="6">
        <v>11.75</v>
      </c>
      <c r="E36" s="6">
        <v>21.63</v>
      </c>
    </row>
    <row r="37" spans="1:5">
      <c r="A37" t="s">
        <v>1436</v>
      </c>
      <c r="B37" t="s">
        <v>1412</v>
      </c>
      <c r="C37" s="15">
        <v>0.70839200000000002</v>
      </c>
      <c r="D37" s="6">
        <v>1</v>
      </c>
      <c r="E37" s="6">
        <v>3</v>
      </c>
    </row>
    <row r="38" spans="1:5">
      <c r="A38" t="s">
        <v>1436</v>
      </c>
      <c r="B38" t="s">
        <v>1413</v>
      </c>
      <c r="C38">
        <v>0</v>
      </c>
      <c r="D38" s="6">
        <v>5</v>
      </c>
      <c r="E38" s="6">
        <v>5</v>
      </c>
    </row>
    <row r="39" spans="1:5">
      <c r="C39" s="15"/>
    </row>
  </sheetData>
  <mergeCells count="3">
    <mergeCell ref="C5:E5"/>
    <mergeCell ref="C13:E13"/>
    <mergeCell ref="C34:E34"/>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EA4E-7B7B-4A99-B20F-8E0A8687AC65}">
  <dimension ref="A1:E35"/>
  <sheetViews>
    <sheetView topLeftCell="A16" workbookViewId="0"/>
  </sheetViews>
  <sheetFormatPr defaultColWidth="8.85546875" defaultRowHeight="14.45"/>
  <cols>
    <col min="2" max="2" width="39.140625" bestFit="1" customWidth="1"/>
    <col min="3" max="3" width="13.5703125" customWidth="1"/>
    <col min="4" max="5" width="14.5703125" bestFit="1" customWidth="1"/>
  </cols>
  <sheetData>
    <row r="1" spans="1:5">
      <c r="B1" t="s">
        <v>855</v>
      </c>
      <c r="C1" t="s">
        <v>1437</v>
      </c>
    </row>
    <row r="2" spans="1:5">
      <c r="C2" t="s">
        <v>1438</v>
      </c>
    </row>
    <row r="3" spans="1:5">
      <c r="C3" t="s">
        <v>1439</v>
      </c>
    </row>
    <row r="5" spans="1:5">
      <c r="B5" t="s">
        <v>1440</v>
      </c>
    </row>
    <row r="6" spans="1:5">
      <c r="A6" t="s">
        <v>1441</v>
      </c>
    </row>
    <row r="7" spans="1:5">
      <c r="B7" s="1" t="s">
        <v>1442</v>
      </c>
      <c r="C7" t="s">
        <v>1443</v>
      </c>
      <c r="D7" t="s">
        <v>1444</v>
      </c>
      <c r="E7" t="s">
        <v>1445</v>
      </c>
    </row>
    <row r="8" spans="1:5">
      <c r="B8" t="s">
        <v>1446</v>
      </c>
    </row>
    <row r="9" spans="1:5">
      <c r="B9" t="s">
        <v>1447</v>
      </c>
    </row>
    <row r="10" spans="1:5">
      <c r="B10" t="s">
        <v>1448</v>
      </c>
      <c r="C10" s="17">
        <v>74799350</v>
      </c>
      <c r="D10" s="17">
        <v>10029996</v>
      </c>
      <c r="E10" s="17">
        <v>102942614</v>
      </c>
    </row>
    <row r="11" spans="1:5">
      <c r="A11" t="s">
        <v>1449</v>
      </c>
      <c r="B11" t="s">
        <v>1450</v>
      </c>
      <c r="C11" s="17">
        <v>1078374982</v>
      </c>
      <c r="D11" s="17">
        <v>2850740704</v>
      </c>
      <c r="E11" s="17">
        <v>3801642576</v>
      </c>
    </row>
    <row r="12" spans="1:5">
      <c r="B12" t="s">
        <v>1451</v>
      </c>
      <c r="C12" s="17">
        <v>125389248</v>
      </c>
      <c r="D12" s="17">
        <v>153600356</v>
      </c>
      <c r="E12" s="17">
        <v>331736676</v>
      </c>
    </row>
    <row r="13" spans="1:5">
      <c r="B13" t="s">
        <v>1452</v>
      </c>
      <c r="C13" s="17"/>
      <c r="D13" s="17"/>
      <c r="E13" s="17"/>
    </row>
    <row r="14" spans="1:5">
      <c r="B14" t="s">
        <v>1453</v>
      </c>
      <c r="C14" s="17"/>
      <c r="D14" s="17"/>
      <c r="E14" s="17"/>
    </row>
    <row r="15" spans="1:5">
      <c r="B15" t="s">
        <v>1454</v>
      </c>
      <c r="C15" s="17">
        <v>191832044</v>
      </c>
      <c r="D15" s="17">
        <v>159576311</v>
      </c>
      <c r="E15" s="17">
        <v>1797705009</v>
      </c>
    </row>
    <row r="16" spans="1:5">
      <c r="B16" t="s">
        <v>1455</v>
      </c>
      <c r="C16" s="17"/>
      <c r="D16" s="17"/>
      <c r="E16" s="17">
        <v>11311198</v>
      </c>
    </row>
    <row r="17" spans="2:5">
      <c r="B17" t="s">
        <v>1456</v>
      </c>
      <c r="C17" s="17">
        <v>3557818803</v>
      </c>
      <c r="D17" s="17">
        <v>6793299260</v>
      </c>
      <c r="E17" s="17">
        <v>7568604321</v>
      </c>
    </row>
    <row r="18" spans="2:5">
      <c r="B18" t="s">
        <v>1457</v>
      </c>
      <c r="C18" s="17">
        <v>1622825055</v>
      </c>
      <c r="D18" s="17">
        <v>2791139549</v>
      </c>
      <c r="E18" s="17">
        <v>4125880876</v>
      </c>
    </row>
    <row r="19" spans="2:5">
      <c r="B19" s="1" t="s">
        <v>478</v>
      </c>
      <c r="C19" s="17">
        <f>SUM(C8:C18)</f>
        <v>6651039482</v>
      </c>
      <c r="D19" s="17">
        <f t="shared" ref="D19:E19" si="0">SUM(D8:D18)</f>
        <v>12758386176</v>
      </c>
      <c r="E19" s="17">
        <f t="shared" si="0"/>
        <v>17739823270</v>
      </c>
    </row>
    <row r="21" spans="2:5">
      <c r="B21" t="s">
        <v>883</v>
      </c>
    </row>
    <row r="23" spans="2:5">
      <c r="B23" s="1" t="s">
        <v>1442</v>
      </c>
      <c r="C23" t="s">
        <v>1443</v>
      </c>
      <c r="D23" t="s">
        <v>1444</v>
      </c>
      <c r="E23" t="s">
        <v>1445</v>
      </c>
    </row>
    <row r="24" spans="2:5">
      <c r="B24" t="s">
        <v>1446</v>
      </c>
      <c r="C24" s="37">
        <f t="shared" ref="C24:E24" si="1">C8/1000000000</f>
        <v>0</v>
      </c>
      <c r="D24" s="37">
        <f t="shared" si="1"/>
        <v>0</v>
      </c>
      <c r="E24" s="37">
        <f t="shared" si="1"/>
        <v>0</v>
      </c>
    </row>
    <row r="25" spans="2:5">
      <c r="B25" t="s">
        <v>1447</v>
      </c>
      <c r="C25" s="37">
        <f t="shared" ref="C25:E25" si="2">C9/1000000000</f>
        <v>0</v>
      </c>
      <c r="D25" s="37">
        <f t="shared" si="2"/>
        <v>0</v>
      </c>
      <c r="E25" s="37">
        <f t="shared" si="2"/>
        <v>0</v>
      </c>
    </row>
    <row r="26" spans="2:5">
      <c r="B26" t="s">
        <v>1448</v>
      </c>
      <c r="C26" s="37">
        <f>C10/1000000000</f>
        <v>7.4799350000000001E-2</v>
      </c>
      <c r="D26" s="37">
        <f t="shared" ref="D26:E26" si="3">D10/1000000000</f>
        <v>1.0029995999999999E-2</v>
      </c>
      <c r="E26" s="37">
        <f t="shared" si="3"/>
        <v>0.102942614</v>
      </c>
    </row>
    <row r="27" spans="2:5">
      <c r="B27" t="s">
        <v>1450</v>
      </c>
      <c r="C27" s="37">
        <f t="shared" ref="C27:E27" si="4">C11/1000000000</f>
        <v>1.0783749819999999</v>
      </c>
      <c r="D27" s="37">
        <f t="shared" si="4"/>
        <v>2.8507407040000001</v>
      </c>
      <c r="E27" s="37">
        <f t="shared" si="4"/>
        <v>3.8016425759999999</v>
      </c>
    </row>
    <row r="28" spans="2:5">
      <c r="B28" t="s">
        <v>1451</v>
      </c>
      <c r="C28" s="37">
        <f t="shared" ref="C28:E28" si="5">C12/1000000000</f>
        <v>0.12538924800000001</v>
      </c>
      <c r="D28" s="37">
        <f t="shared" si="5"/>
        <v>0.15360035599999999</v>
      </c>
      <c r="E28" s="37">
        <f t="shared" si="5"/>
        <v>0.33173667600000001</v>
      </c>
    </row>
    <row r="29" spans="2:5">
      <c r="B29" t="s">
        <v>1452</v>
      </c>
      <c r="C29" s="37">
        <f t="shared" ref="C29:E29" si="6">C13/1000000000</f>
        <v>0</v>
      </c>
      <c r="D29" s="37">
        <f t="shared" si="6"/>
        <v>0</v>
      </c>
      <c r="E29" s="37">
        <f t="shared" si="6"/>
        <v>0</v>
      </c>
    </row>
    <row r="30" spans="2:5">
      <c r="B30" t="s">
        <v>1453</v>
      </c>
      <c r="C30" s="37">
        <f t="shared" ref="C30:E30" si="7">C14/1000000000</f>
        <v>0</v>
      </c>
      <c r="D30" s="37">
        <f t="shared" si="7"/>
        <v>0</v>
      </c>
      <c r="E30" s="37">
        <f t="shared" si="7"/>
        <v>0</v>
      </c>
    </row>
    <row r="31" spans="2:5">
      <c r="B31" t="s">
        <v>1454</v>
      </c>
      <c r="C31" s="37">
        <f t="shared" ref="C31:E31" si="8">C15/1000000000</f>
        <v>0.19183204400000001</v>
      </c>
      <c r="D31" s="37">
        <f t="shared" si="8"/>
        <v>0.159576311</v>
      </c>
      <c r="E31" s="37">
        <f t="shared" si="8"/>
        <v>1.797705009</v>
      </c>
    </row>
    <row r="32" spans="2:5">
      <c r="B32" t="s">
        <v>1455</v>
      </c>
      <c r="C32" s="37">
        <f t="shared" ref="C32:E32" si="9">C16/1000000000</f>
        <v>0</v>
      </c>
      <c r="D32" s="37">
        <f t="shared" si="9"/>
        <v>0</v>
      </c>
      <c r="E32" s="37">
        <f t="shared" si="9"/>
        <v>1.1311198E-2</v>
      </c>
    </row>
    <row r="33" spans="2:5">
      <c r="B33" t="s">
        <v>1456</v>
      </c>
      <c r="C33" s="37">
        <f t="shared" ref="C33:E33" si="10">C17/1000000000</f>
        <v>3.557818803</v>
      </c>
      <c r="D33" s="37">
        <f t="shared" si="10"/>
        <v>6.7932992600000004</v>
      </c>
      <c r="E33" s="37">
        <f t="shared" si="10"/>
        <v>7.5686043209999996</v>
      </c>
    </row>
    <row r="34" spans="2:5">
      <c r="B34" t="s">
        <v>1457</v>
      </c>
      <c r="C34" s="37">
        <f t="shared" ref="C34:E34" si="11">C18/1000000000</f>
        <v>1.6228250550000001</v>
      </c>
      <c r="D34" s="37">
        <f t="shared" si="11"/>
        <v>2.7911395489999999</v>
      </c>
      <c r="E34" s="37">
        <f t="shared" si="11"/>
        <v>4.1258808760000001</v>
      </c>
    </row>
    <row r="35" spans="2:5">
      <c r="B35" s="1" t="s">
        <v>478</v>
      </c>
      <c r="C35" s="37">
        <f t="shared" ref="C35:E35" si="12">C19/1000000000</f>
        <v>6.6510394819999998</v>
      </c>
      <c r="D35" s="37">
        <f t="shared" si="12"/>
        <v>12.758386176</v>
      </c>
      <c r="E35" s="37">
        <f t="shared" si="12"/>
        <v>17.739823269999999</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81C6C-66F5-4267-AA7E-373CBC702C2A}">
  <dimension ref="A1:D29"/>
  <sheetViews>
    <sheetView workbookViewId="0"/>
  </sheetViews>
  <sheetFormatPr defaultColWidth="8.85546875" defaultRowHeight="14.45"/>
  <cols>
    <col min="2" max="2" width="26.5703125" customWidth="1"/>
    <col min="3" max="3" width="17.5703125" customWidth="1"/>
  </cols>
  <sheetData>
    <row r="1" spans="1:4">
      <c r="B1" t="s">
        <v>767</v>
      </c>
      <c r="C1" t="s">
        <v>1458</v>
      </c>
    </row>
    <row r="2" spans="1:4">
      <c r="C2" t="s">
        <v>1459</v>
      </c>
    </row>
    <row r="4" spans="1:4">
      <c r="B4" t="s">
        <v>1460</v>
      </c>
    </row>
    <row r="5" spans="1:4">
      <c r="B5" t="s">
        <v>1461</v>
      </c>
    </row>
    <row r="8" spans="1:4">
      <c r="A8" t="s">
        <v>1462</v>
      </c>
      <c r="C8" t="s">
        <v>1463</v>
      </c>
      <c r="D8" t="s">
        <v>818</v>
      </c>
    </row>
    <row r="9" spans="1:4">
      <c r="B9" t="s">
        <v>1464</v>
      </c>
      <c r="C9" s="13">
        <v>11712.4</v>
      </c>
      <c r="D9">
        <f>C9/1000</f>
        <v>11.712399999999999</v>
      </c>
    </row>
    <row r="10" spans="1:4">
      <c r="A10" s="12" t="s">
        <v>870</v>
      </c>
      <c r="B10" t="s">
        <v>885</v>
      </c>
      <c r="C10" s="13">
        <v>5304.13</v>
      </c>
      <c r="D10">
        <f t="shared" ref="D10:D17" si="0">C10/1000</f>
        <v>5.3041299999999998</v>
      </c>
    </row>
    <row r="11" spans="1:4">
      <c r="B11" t="s">
        <v>1259</v>
      </c>
      <c r="C11" s="13">
        <v>5304.13</v>
      </c>
      <c r="D11">
        <f t="shared" si="0"/>
        <v>5.3041299999999998</v>
      </c>
    </row>
    <row r="12" spans="1:4">
      <c r="B12" t="s">
        <v>268</v>
      </c>
      <c r="C12" s="13">
        <v>6403.27</v>
      </c>
      <c r="D12">
        <f t="shared" si="0"/>
        <v>6.40327</v>
      </c>
    </row>
    <row r="13" spans="1:4">
      <c r="B13" t="s">
        <v>1465</v>
      </c>
      <c r="C13" s="13">
        <v>6000</v>
      </c>
      <c r="D13">
        <f t="shared" si="0"/>
        <v>6</v>
      </c>
    </row>
    <row r="14" spans="1:4">
      <c r="B14" t="s">
        <v>1466</v>
      </c>
      <c r="C14">
        <v>3</v>
      </c>
      <c r="D14">
        <f t="shared" si="0"/>
        <v>3.0000000000000001E-3</v>
      </c>
    </row>
    <row r="15" spans="1:4">
      <c r="B15" t="s">
        <v>1467</v>
      </c>
      <c r="C15" s="13">
        <v>400.27</v>
      </c>
      <c r="D15">
        <f t="shared" si="0"/>
        <v>0.40026999999999996</v>
      </c>
    </row>
    <row r="16" spans="1:4">
      <c r="B16" t="s">
        <v>1468</v>
      </c>
      <c r="C16" s="13">
        <v>5</v>
      </c>
      <c r="D16">
        <f t="shared" si="0"/>
        <v>5.0000000000000001E-3</v>
      </c>
    </row>
    <row r="17" spans="1:4">
      <c r="B17" t="s">
        <v>1469</v>
      </c>
      <c r="C17" s="13">
        <v>5</v>
      </c>
      <c r="D17">
        <f t="shared" si="0"/>
        <v>5.0000000000000001E-3</v>
      </c>
    </row>
    <row r="18" spans="1:4">
      <c r="C18" s="13"/>
    </row>
    <row r="19" spans="1:4">
      <c r="A19" t="s">
        <v>1470</v>
      </c>
      <c r="B19" t="s">
        <v>1471</v>
      </c>
    </row>
    <row r="21" spans="1:4">
      <c r="C21" t="s">
        <v>1472</v>
      </c>
    </row>
    <row r="22" spans="1:4">
      <c r="B22" t="s">
        <v>1464</v>
      </c>
      <c r="C22" s="13">
        <v>62965.17</v>
      </c>
      <c r="D22" s="13"/>
    </row>
    <row r="23" spans="1:4">
      <c r="A23" s="12" t="s">
        <v>870</v>
      </c>
      <c r="B23" t="s">
        <v>476</v>
      </c>
      <c r="C23" s="13">
        <v>46329.18</v>
      </c>
      <c r="D23" s="13"/>
    </row>
    <row r="24" spans="1:4">
      <c r="B24" t="s">
        <v>268</v>
      </c>
      <c r="C24" s="13">
        <v>16199.46</v>
      </c>
    </row>
    <row r="25" spans="1:4">
      <c r="B25" t="s">
        <v>1465</v>
      </c>
      <c r="C25" s="13">
        <v>10700</v>
      </c>
    </row>
    <row r="26" spans="1:4">
      <c r="B26" t="s">
        <v>1473</v>
      </c>
      <c r="C26">
        <v>40</v>
      </c>
    </row>
    <row r="27" spans="1:4">
      <c r="B27" t="s">
        <v>1474</v>
      </c>
      <c r="C27" s="13">
        <v>40.5</v>
      </c>
    </row>
    <row r="28" spans="1:4">
      <c r="B28" t="s">
        <v>801</v>
      </c>
      <c r="C28" s="13">
        <v>76.41</v>
      </c>
    </row>
    <row r="29" spans="1:4">
      <c r="B29" t="s">
        <v>1467</v>
      </c>
      <c r="C29" s="13">
        <v>2367.6999999999998</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321A-E179-4EF9-AEC2-857AC5A28D47}">
  <dimension ref="A1:E18"/>
  <sheetViews>
    <sheetView workbookViewId="0">
      <selection activeCell="D18" sqref="D18"/>
    </sheetView>
  </sheetViews>
  <sheetFormatPr defaultColWidth="8.85546875" defaultRowHeight="14.45"/>
  <cols>
    <col min="2" max="2" width="28.140625" bestFit="1" customWidth="1"/>
    <col min="3" max="3" width="12.5703125" bestFit="1" customWidth="1"/>
    <col min="4" max="4" width="12.5703125" customWidth="1"/>
    <col min="5" max="5" width="13.42578125" customWidth="1"/>
  </cols>
  <sheetData>
    <row r="1" spans="1:5">
      <c r="C1" t="s">
        <v>767</v>
      </c>
      <c r="D1" t="s">
        <v>1475</v>
      </c>
    </row>
    <row r="3" spans="1:5">
      <c r="B3" s="51" t="s">
        <v>1476</v>
      </c>
    </row>
    <row r="4" spans="1:5">
      <c r="C4" t="s">
        <v>1477</v>
      </c>
      <c r="D4" t="s">
        <v>687</v>
      </c>
      <c r="E4" t="s">
        <v>1478</v>
      </c>
    </row>
    <row r="5" spans="1:5">
      <c r="A5" t="s">
        <v>1479</v>
      </c>
      <c r="B5" t="s">
        <v>1480</v>
      </c>
      <c r="C5" s="17">
        <v>3073203.41</v>
      </c>
      <c r="D5" s="17">
        <v>3204589.27</v>
      </c>
      <c r="E5" s="17">
        <v>3370518.03</v>
      </c>
    </row>
    <row r="6" spans="1:5">
      <c r="A6" s="12" t="s">
        <v>870</v>
      </c>
      <c r="B6" s="12" t="s">
        <v>1481</v>
      </c>
      <c r="C6" s="17">
        <v>1922889.55</v>
      </c>
      <c r="D6" s="17">
        <v>2005097.09</v>
      </c>
      <c r="E6" s="17">
        <v>2108917.9700000002</v>
      </c>
    </row>
    <row r="7" spans="1:5">
      <c r="B7" s="12" t="s">
        <v>1482</v>
      </c>
      <c r="C7" s="17">
        <v>950737.94</v>
      </c>
      <c r="D7" s="17">
        <v>991383.98</v>
      </c>
      <c r="E7" s="17">
        <v>1042716.33</v>
      </c>
    </row>
    <row r="8" spans="1:5">
      <c r="B8" s="12" t="s">
        <v>1274</v>
      </c>
      <c r="C8" s="17">
        <v>199575.92</v>
      </c>
      <c r="D8" s="17">
        <v>208108.2</v>
      </c>
      <c r="E8" s="17">
        <v>218883.73</v>
      </c>
    </row>
    <row r="9" spans="1:5">
      <c r="C9" s="47"/>
      <c r="D9" s="47"/>
      <c r="E9" s="47"/>
    </row>
    <row r="11" spans="1:5">
      <c r="B11" t="s">
        <v>1483</v>
      </c>
    </row>
    <row r="13" spans="1:5">
      <c r="C13" t="s">
        <v>1477</v>
      </c>
      <c r="D13" t="s">
        <v>687</v>
      </c>
      <c r="E13" t="s">
        <v>1478</v>
      </c>
    </row>
    <row r="14" spans="1:5">
      <c r="B14" t="s">
        <v>1480</v>
      </c>
      <c r="C14" s="50">
        <f>C5/1000</f>
        <v>3073.2034100000001</v>
      </c>
      <c r="D14" s="50">
        <f>D5/1000</f>
        <v>3204.5892699999999</v>
      </c>
      <c r="E14" s="50">
        <f>E5/1000</f>
        <v>3370.5180299999997</v>
      </c>
    </row>
    <row r="15" spans="1:5">
      <c r="B15" s="12" t="s">
        <v>1481</v>
      </c>
      <c r="C15" s="50">
        <f t="shared" ref="C15:E15" si="0">C6/1000</f>
        <v>1922.8895500000001</v>
      </c>
      <c r="D15" s="50">
        <f t="shared" si="0"/>
        <v>2005.09709</v>
      </c>
      <c r="E15" s="50">
        <f t="shared" si="0"/>
        <v>2108.9179700000004</v>
      </c>
    </row>
    <row r="16" spans="1:5">
      <c r="B16" s="12" t="s">
        <v>1482</v>
      </c>
      <c r="C16" s="50">
        <f t="shared" ref="C16:E16" si="1">C7/1000</f>
        <v>950.73793999999998</v>
      </c>
      <c r="D16" s="50">
        <f t="shared" si="1"/>
        <v>991.38397999999995</v>
      </c>
      <c r="E16" s="50">
        <f t="shared" si="1"/>
        <v>1042.71633</v>
      </c>
    </row>
    <row r="17" spans="2:5">
      <c r="B17" s="12" t="s">
        <v>1274</v>
      </c>
      <c r="C17" s="50">
        <f t="shared" ref="C17:E17" si="2">C8/1000</f>
        <v>199.57592000000002</v>
      </c>
      <c r="D17" s="50">
        <f t="shared" si="2"/>
        <v>208.10820000000001</v>
      </c>
      <c r="E17" s="50">
        <f t="shared" si="2"/>
        <v>218.88373000000001</v>
      </c>
    </row>
    <row r="18" spans="2:5">
      <c r="B18" s="12" t="s">
        <v>1484</v>
      </c>
      <c r="C18" s="37">
        <f>C17+C16</f>
        <v>1150.31386</v>
      </c>
      <c r="D18" s="37">
        <f t="shared" ref="D18:E18" si="3">D17+D16</f>
        <v>1199.49218</v>
      </c>
      <c r="E18" s="37">
        <f t="shared" si="3"/>
        <v>1261.60006</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DB9E-A6ED-41ED-8BB1-A7BD664979A2}">
  <dimension ref="A1:G7"/>
  <sheetViews>
    <sheetView workbookViewId="0">
      <selection activeCell="D8" sqref="D8"/>
    </sheetView>
  </sheetViews>
  <sheetFormatPr defaultColWidth="8.85546875" defaultRowHeight="14.45"/>
  <cols>
    <col min="2" max="2" width="23" customWidth="1"/>
    <col min="3" max="3" width="11.28515625" bestFit="1" customWidth="1"/>
  </cols>
  <sheetData>
    <row r="1" spans="1:7">
      <c r="B1" t="s">
        <v>855</v>
      </c>
      <c r="C1" t="s">
        <v>1485</v>
      </c>
    </row>
    <row r="2" spans="1:7">
      <c r="C2" t="s">
        <v>1486</v>
      </c>
    </row>
    <row r="3" spans="1:7">
      <c r="B3" t="s">
        <v>1487</v>
      </c>
    </row>
    <row r="4" spans="1:7">
      <c r="C4" t="s">
        <v>1488</v>
      </c>
    </row>
    <row r="5" spans="1:7">
      <c r="G5" s="31"/>
    </row>
    <row r="6" spans="1:7">
      <c r="C6" t="s">
        <v>1489</v>
      </c>
      <c r="D6" t="s">
        <v>1490</v>
      </c>
    </row>
    <row r="7" spans="1:7">
      <c r="A7" t="s">
        <v>1491</v>
      </c>
      <c r="B7" t="s">
        <v>1492</v>
      </c>
      <c r="C7" s="35">
        <v>117926</v>
      </c>
      <c r="D7" s="37">
        <f>C7/(10^6)</f>
        <v>0.117926</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C0B13-A4DE-4584-8DC5-E5CA19BD5ADA}">
  <dimension ref="A1:E16"/>
  <sheetViews>
    <sheetView workbookViewId="0">
      <selection activeCell="E17" sqref="E17"/>
    </sheetView>
  </sheetViews>
  <sheetFormatPr defaultColWidth="8.85546875" defaultRowHeight="14.45"/>
  <cols>
    <col min="3" max="5" width="13.85546875" bestFit="1" customWidth="1"/>
  </cols>
  <sheetData>
    <row r="1" spans="1:5">
      <c r="B1" t="s">
        <v>878</v>
      </c>
      <c r="C1" t="s">
        <v>1493</v>
      </c>
    </row>
    <row r="2" spans="1:5">
      <c r="C2" t="s">
        <v>1494</v>
      </c>
    </row>
    <row r="4" spans="1:5">
      <c r="C4" s="167" t="s">
        <v>1495</v>
      </c>
      <c r="D4" s="167"/>
      <c r="E4" s="167"/>
    </row>
    <row r="5" spans="1:5">
      <c r="C5">
        <v>2021</v>
      </c>
      <c r="D5">
        <v>2022</v>
      </c>
      <c r="E5">
        <v>2023</v>
      </c>
    </row>
    <row r="6" spans="1:5">
      <c r="A6" t="s">
        <v>1123</v>
      </c>
      <c r="B6" t="s">
        <v>1496</v>
      </c>
      <c r="C6" s="17">
        <v>1294154</v>
      </c>
      <c r="D6" s="17">
        <v>282274</v>
      </c>
      <c r="E6" s="17">
        <v>284894</v>
      </c>
    </row>
    <row r="7" spans="1:5">
      <c r="B7" t="s">
        <v>1497</v>
      </c>
      <c r="C7" s="17">
        <v>484935</v>
      </c>
      <c r="D7" s="17">
        <v>494100</v>
      </c>
      <c r="E7" s="17">
        <v>503519</v>
      </c>
    </row>
    <row r="8" spans="1:5">
      <c r="B8" t="s">
        <v>1498</v>
      </c>
      <c r="C8" s="17">
        <v>82834</v>
      </c>
      <c r="D8" s="17">
        <v>83807</v>
      </c>
      <c r="E8" s="17">
        <v>85222</v>
      </c>
    </row>
    <row r="9" spans="1:5">
      <c r="B9" t="s">
        <v>1499</v>
      </c>
      <c r="C9" s="17">
        <v>1355665</v>
      </c>
      <c r="D9" s="17">
        <v>1728678</v>
      </c>
      <c r="E9" s="17">
        <v>1936480</v>
      </c>
    </row>
    <row r="10" spans="1:5">
      <c r="B10" t="s">
        <v>1500</v>
      </c>
      <c r="C10" s="17">
        <v>5640795</v>
      </c>
      <c r="D10" s="17">
        <v>5760490</v>
      </c>
      <c r="E10" s="17">
        <v>5883788</v>
      </c>
    </row>
    <row r="11" spans="1:5">
      <c r="B11" t="s">
        <v>1501</v>
      </c>
      <c r="C11" s="17">
        <v>69906</v>
      </c>
      <c r="D11" s="17">
        <v>70524</v>
      </c>
      <c r="E11" s="17">
        <v>71153</v>
      </c>
    </row>
    <row r="12" spans="1:5">
      <c r="B12" t="s">
        <v>1502</v>
      </c>
      <c r="C12" s="17">
        <v>16929288</v>
      </c>
      <c r="D12" s="17">
        <v>17145362</v>
      </c>
      <c r="E12" s="17">
        <v>17759806</v>
      </c>
    </row>
    <row r="13" spans="1:5">
      <c r="A13" t="s">
        <v>1503</v>
      </c>
      <c r="B13" t="s">
        <v>1504</v>
      </c>
      <c r="C13" s="17">
        <v>438255</v>
      </c>
      <c r="D13" s="17">
        <v>448085</v>
      </c>
      <c r="E13" s="17">
        <v>460554</v>
      </c>
    </row>
    <row r="14" spans="1:5">
      <c r="B14" t="s">
        <v>1505</v>
      </c>
      <c r="C14" s="17">
        <v>350680</v>
      </c>
      <c r="D14" s="17">
        <v>350680</v>
      </c>
      <c r="E14" s="17">
        <v>350680</v>
      </c>
    </row>
    <row r="15" spans="1:5">
      <c r="B15" t="s">
        <v>478</v>
      </c>
      <c r="C15" s="47">
        <f>SUM(C6:C14)</f>
        <v>26646512</v>
      </c>
      <c r="D15" s="47">
        <f t="shared" ref="D15:E15" si="0">SUM(D6:D14)</f>
        <v>26364000</v>
      </c>
      <c r="E15" s="47">
        <f t="shared" si="0"/>
        <v>27336096</v>
      </c>
    </row>
    <row r="16" spans="1:5">
      <c r="B16" t="s">
        <v>1137</v>
      </c>
      <c r="C16" s="37">
        <f>C15/(10^6)</f>
        <v>26.646512000000001</v>
      </c>
      <c r="D16" s="37">
        <f>D15/(10^6)</f>
        <v>26.364000000000001</v>
      </c>
      <c r="E16" s="37">
        <f>E15/(10^6)</f>
        <v>27.336096000000001</v>
      </c>
    </row>
  </sheetData>
  <mergeCells count="1">
    <mergeCell ref="C4:E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358A1-3A58-4ECA-A6AE-415485A36528}">
  <dimension ref="B1:K30"/>
  <sheetViews>
    <sheetView topLeftCell="A8" workbookViewId="0">
      <selection activeCell="J23" sqref="J23"/>
    </sheetView>
  </sheetViews>
  <sheetFormatPr defaultColWidth="8.85546875" defaultRowHeight="14.45"/>
  <cols>
    <col min="2" max="2" width="42" customWidth="1"/>
    <col min="3" max="3" width="9.5703125" customWidth="1"/>
    <col min="4" max="4" width="9.42578125" bestFit="1" customWidth="1"/>
    <col min="5" max="5" width="12" bestFit="1" customWidth="1"/>
    <col min="6" max="6" width="12.42578125" bestFit="1" customWidth="1"/>
    <col min="7" max="7" width="9.28515625" bestFit="1" customWidth="1"/>
    <col min="9" max="10" width="9.28515625" bestFit="1" customWidth="1"/>
  </cols>
  <sheetData>
    <row r="1" spans="2:10">
      <c r="C1" s="1" t="s">
        <v>1506</v>
      </c>
    </row>
    <row r="2" spans="2:10">
      <c r="B2" s="22" t="s">
        <v>855</v>
      </c>
      <c r="C2" t="s">
        <v>1507</v>
      </c>
    </row>
    <row r="4" spans="2:10">
      <c r="B4" s="1" t="s">
        <v>1508</v>
      </c>
      <c r="C4" s="1"/>
      <c r="D4" s="1"/>
      <c r="E4" s="1"/>
      <c r="F4" s="1"/>
    </row>
    <row r="5" spans="2:10">
      <c r="B5" s="1"/>
      <c r="C5" s="1" t="s">
        <v>1509</v>
      </c>
      <c r="D5" s="1" t="s">
        <v>1510</v>
      </c>
      <c r="E5" s="1" t="s">
        <v>1511</v>
      </c>
      <c r="F5" s="1" t="s">
        <v>478</v>
      </c>
    </row>
    <row r="6" spans="2:10">
      <c r="B6" t="s">
        <v>1068</v>
      </c>
      <c r="C6" s="17">
        <v>369.24</v>
      </c>
      <c r="D6" s="17">
        <v>636.78</v>
      </c>
      <c r="E6" s="17">
        <v>331.26</v>
      </c>
      <c r="F6" s="17">
        <f>SUM(C6:E6)</f>
        <v>1337.28</v>
      </c>
    </row>
    <row r="7" spans="2:10">
      <c r="B7" t="s">
        <v>1069</v>
      </c>
      <c r="C7" s="17">
        <v>444.2</v>
      </c>
      <c r="D7" s="17">
        <v>684.9</v>
      </c>
      <c r="E7" s="17">
        <v>413.61</v>
      </c>
      <c r="F7" s="17">
        <f t="shared" ref="F7:F9" si="0">SUM(C7:E7)</f>
        <v>1542.71</v>
      </c>
    </row>
    <row r="8" spans="2:10">
      <c r="B8" t="s">
        <v>665</v>
      </c>
      <c r="C8" s="17">
        <v>495.23500000000001</v>
      </c>
      <c r="D8" s="17">
        <v>881.31</v>
      </c>
      <c r="E8" s="17">
        <v>435.46</v>
      </c>
      <c r="F8" s="17">
        <f t="shared" si="0"/>
        <v>1812.0050000000001</v>
      </c>
    </row>
    <row r="9" spans="2:10">
      <c r="B9" t="s">
        <v>662</v>
      </c>
      <c r="C9" s="17">
        <v>592.08000000000004</v>
      </c>
      <c r="D9" s="17">
        <v>958.47</v>
      </c>
      <c r="E9" s="17">
        <v>454.43</v>
      </c>
      <c r="F9" s="17">
        <f t="shared" si="0"/>
        <v>2004.9800000000002</v>
      </c>
    </row>
    <row r="12" spans="2:10" ht="29.1">
      <c r="C12" s="160" t="s">
        <v>1512</v>
      </c>
      <c r="D12" s="169" t="s">
        <v>1513</v>
      </c>
      <c r="E12" s="169"/>
      <c r="F12" s="169"/>
      <c r="G12" s="169"/>
      <c r="H12" s="160" t="s">
        <v>1514</v>
      </c>
      <c r="I12" s="23" t="s">
        <v>1515</v>
      </c>
      <c r="J12" s="23" t="s">
        <v>1516</v>
      </c>
    </row>
    <row r="13" spans="2:10">
      <c r="C13" s="160"/>
      <c r="D13" s="1" t="s">
        <v>1509</v>
      </c>
      <c r="E13" s="1" t="s">
        <v>1510</v>
      </c>
      <c r="F13" s="1" t="s">
        <v>1435</v>
      </c>
      <c r="G13" s="1" t="s">
        <v>478</v>
      </c>
      <c r="H13" s="160"/>
      <c r="I13" s="1" t="s">
        <v>478</v>
      </c>
      <c r="J13" s="1" t="s">
        <v>478</v>
      </c>
    </row>
    <row r="14" spans="2:10">
      <c r="B14" t="s">
        <v>745</v>
      </c>
      <c r="C14" t="s">
        <v>1517</v>
      </c>
      <c r="D14" s="17">
        <v>8.82</v>
      </c>
      <c r="E14" s="17">
        <v>56.82</v>
      </c>
      <c r="F14" s="17">
        <v>74.73</v>
      </c>
      <c r="G14" s="17">
        <f>SUM(D14:F14)</f>
        <v>140.37</v>
      </c>
      <c r="H14" s="4">
        <f>G14/$G$28</f>
        <v>7.0010324241018648E-2</v>
      </c>
      <c r="I14" s="17">
        <v>104.18600000000001</v>
      </c>
      <c r="J14" s="17">
        <v>100.456</v>
      </c>
    </row>
    <row r="15" spans="2:10">
      <c r="B15" t="s">
        <v>746</v>
      </c>
      <c r="C15" t="s">
        <v>1518</v>
      </c>
      <c r="D15" s="17">
        <v>2.2999999999999998</v>
      </c>
      <c r="E15" s="17">
        <v>43.1</v>
      </c>
      <c r="F15" s="17">
        <v>7.43</v>
      </c>
      <c r="G15" s="17">
        <f t="shared" ref="G15:G27" si="1">SUM(D15:F15)</f>
        <v>52.83</v>
      </c>
      <c r="H15" s="4">
        <f t="shared" ref="H15:H27" si="2">G15/$G$28</f>
        <v>2.634925859979351E-2</v>
      </c>
      <c r="I15" s="17">
        <v>51.533999999999999</v>
      </c>
      <c r="J15" s="17">
        <v>50.817999999999998</v>
      </c>
    </row>
    <row r="16" spans="2:10">
      <c r="B16" t="s">
        <v>747</v>
      </c>
      <c r="C16" t="s">
        <v>747</v>
      </c>
      <c r="D16" s="17">
        <v>58.42</v>
      </c>
      <c r="E16" s="17">
        <v>136.31</v>
      </c>
      <c r="F16" s="17">
        <v>21.01</v>
      </c>
      <c r="G16" s="33">
        <f t="shared" si="1"/>
        <v>215.74</v>
      </c>
      <c r="H16" s="4">
        <f t="shared" si="2"/>
        <v>0.10760153417224025</v>
      </c>
      <c r="I16" s="17">
        <v>199.595</v>
      </c>
      <c r="J16" s="17">
        <v>192.38499999999999</v>
      </c>
    </row>
    <row r="17" spans="2:11">
      <c r="B17" t="s">
        <v>748</v>
      </c>
      <c r="C17" t="s">
        <v>1519</v>
      </c>
      <c r="D17" s="17">
        <v>4.07</v>
      </c>
      <c r="E17" s="17">
        <v>4.5999999999999996</v>
      </c>
      <c r="F17" s="17">
        <v>0.2</v>
      </c>
      <c r="G17" s="17">
        <f t="shared" si="1"/>
        <v>8.8699999999999992</v>
      </c>
      <c r="H17" s="4">
        <f t="shared" si="2"/>
        <v>4.4239622142753822E-3</v>
      </c>
      <c r="I17" s="17">
        <v>8.6029999999999998</v>
      </c>
      <c r="J17" s="17">
        <v>7.7380000000000004</v>
      </c>
    </row>
    <row r="18" spans="2:11">
      <c r="B18" t="s">
        <v>749</v>
      </c>
      <c r="C18" t="s">
        <v>1520</v>
      </c>
      <c r="D18" s="17">
        <v>6.59</v>
      </c>
      <c r="E18" s="17">
        <v>12.63</v>
      </c>
      <c r="F18" s="17">
        <v>0.05</v>
      </c>
      <c r="G18" s="18">
        <f t="shared" si="1"/>
        <v>19.27</v>
      </c>
      <c r="H18" s="4">
        <f t="shared" si="2"/>
        <v>9.6110205038429097E-3</v>
      </c>
      <c r="I18" s="17">
        <v>18.902999999999999</v>
      </c>
      <c r="J18" s="17">
        <v>16.565999999999999</v>
      </c>
    </row>
    <row r="19" spans="2:11">
      <c r="B19" t="s">
        <v>750</v>
      </c>
      <c r="C19" t="s">
        <v>1521</v>
      </c>
      <c r="D19" s="17">
        <v>8.25</v>
      </c>
      <c r="E19" s="17">
        <v>15.25</v>
      </c>
      <c r="F19" s="17">
        <v>4.47</v>
      </c>
      <c r="G19" s="18">
        <f t="shared" si="1"/>
        <v>27.97</v>
      </c>
      <c r="H19" s="4">
        <f t="shared" si="2"/>
        <v>1.3950194265308054E-2</v>
      </c>
      <c r="I19" s="17">
        <v>24.759</v>
      </c>
      <c r="J19" s="17">
        <v>24.449000000000002</v>
      </c>
    </row>
    <row r="20" spans="2:11">
      <c r="B20" t="s">
        <v>751</v>
      </c>
      <c r="C20" t="s">
        <v>1522</v>
      </c>
      <c r="D20" s="17">
        <v>8.98</v>
      </c>
      <c r="E20" s="17">
        <v>17.47</v>
      </c>
      <c r="F20" s="17">
        <v>0.41</v>
      </c>
      <c r="G20" s="18">
        <f t="shared" si="1"/>
        <v>26.86</v>
      </c>
      <c r="H20" s="4">
        <f t="shared" si="2"/>
        <v>1.3396575544017674E-2</v>
      </c>
      <c r="I20" s="17">
        <v>23.067</v>
      </c>
      <c r="J20" s="17">
        <v>22.734999999999999</v>
      </c>
    </row>
    <row r="21" spans="2:11">
      <c r="B21" t="s">
        <v>752</v>
      </c>
      <c r="C21" t="s">
        <v>1523</v>
      </c>
      <c r="D21" s="17">
        <v>4.42</v>
      </c>
      <c r="E21" s="17">
        <v>90.22</v>
      </c>
      <c r="F21" s="17">
        <v>10.24</v>
      </c>
      <c r="G21" s="18">
        <f t="shared" si="1"/>
        <v>104.88</v>
      </c>
      <c r="H21" s="4">
        <f t="shared" si="2"/>
        <v>5.2309487827869455E-2</v>
      </c>
      <c r="I21" s="17">
        <v>101.794</v>
      </c>
      <c r="J21" s="17">
        <v>98.853999999999999</v>
      </c>
    </row>
    <row r="22" spans="2:11">
      <c r="B22" t="s">
        <v>753</v>
      </c>
      <c r="C22" t="s">
        <v>1524</v>
      </c>
      <c r="D22" s="17">
        <v>16.88</v>
      </c>
      <c r="E22" s="17">
        <v>27.18</v>
      </c>
      <c r="F22" s="17">
        <v>8.5</v>
      </c>
      <c r="G22" s="18">
        <f t="shared" si="1"/>
        <v>52.56</v>
      </c>
      <c r="H22" s="4">
        <f t="shared" si="2"/>
        <v>2.6214594586506663E-2</v>
      </c>
      <c r="I22" s="17">
        <v>50.243000000000002</v>
      </c>
      <c r="J22" s="17">
        <v>49.079000000000001</v>
      </c>
    </row>
    <row r="23" spans="2:11">
      <c r="B23" t="s">
        <v>754</v>
      </c>
      <c r="C23" t="s">
        <v>1525</v>
      </c>
      <c r="D23" s="17">
        <v>369.69</v>
      </c>
      <c r="E23" s="17">
        <v>319.93</v>
      </c>
      <c r="F23" s="17">
        <v>267.76</v>
      </c>
      <c r="G23" s="17">
        <f t="shared" si="1"/>
        <v>957.38</v>
      </c>
      <c r="H23" s="4">
        <f t="shared" si="2"/>
        <v>0.47749864089097693</v>
      </c>
      <c r="I23" s="17">
        <v>927.63400000000001</v>
      </c>
      <c r="J23" s="17">
        <v>924.32899999999995</v>
      </c>
    </row>
    <row r="24" spans="2:11">
      <c r="B24" t="s">
        <v>755</v>
      </c>
      <c r="C24" t="s">
        <v>1526</v>
      </c>
      <c r="D24" s="17">
        <v>80.81</v>
      </c>
      <c r="E24" s="17">
        <v>173.02</v>
      </c>
      <c r="F24" s="17">
        <v>37.28</v>
      </c>
      <c r="G24" s="17">
        <f t="shared" si="1"/>
        <v>291.11</v>
      </c>
      <c r="H24" s="4">
        <f t="shared" si="2"/>
        <v>0.14519274410346186</v>
      </c>
      <c r="I24" s="17">
        <v>267.91300000000001</v>
      </c>
      <c r="J24" s="17">
        <v>263.53399999999999</v>
      </c>
    </row>
    <row r="25" spans="2:11">
      <c r="B25" t="s">
        <v>756</v>
      </c>
      <c r="C25" t="s">
        <v>1527</v>
      </c>
      <c r="D25" s="17">
        <v>2.68</v>
      </c>
      <c r="E25" s="17">
        <v>7.74</v>
      </c>
      <c r="F25" s="17">
        <v>0.24</v>
      </c>
      <c r="G25" s="17">
        <f t="shared" si="1"/>
        <v>10.66</v>
      </c>
      <c r="H25" s="4">
        <f t="shared" si="2"/>
        <v>5.3167347468067163E-3</v>
      </c>
      <c r="I25" s="17">
        <v>10.657999999999999</v>
      </c>
      <c r="J25" s="17">
        <v>10.194000000000001</v>
      </c>
    </row>
    <row r="26" spans="2:11">
      <c r="B26" t="s">
        <v>757</v>
      </c>
      <c r="C26" t="s">
        <v>1528</v>
      </c>
      <c r="D26" s="17">
        <v>1.33</v>
      </c>
      <c r="E26" s="17">
        <v>8.81</v>
      </c>
      <c r="F26" s="17">
        <v>15.94</v>
      </c>
      <c r="G26" s="17">
        <f t="shared" si="1"/>
        <v>26.08</v>
      </c>
      <c r="H26" s="4">
        <f t="shared" si="2"/>
        <v>1.3007546172300108E-2</v>
      </c>
      <c r="I26" s="17">
        <v>24.684000000000001</v>
      </c>
      <c r="J26" s="17">
        <v>15.629</v>
      </c>
    </row>
    <row r="27" spans="2:11">
      <c r="B27" t="s">
        <v>758</v>
      </c>
      <c r="C27" t="s">
        <v>1529</v>
      </c>
      <c r="D27" s="17">
        <v>18.829999999999998</v>
      </c>
      <c r="E27" s="17">
        <v>45.41</v>
      </c>
      <c r="F27" s="17">
        <v>6.17</v>
      </c>
      <c r="G27" s="17">
        <f t="shared" si="1"/>
        <v>70.41</v>
      </c>
      <c r="H27" s="4">
        <f t="shared" si="2"/>
        <v>3.5117382131581699E-2</v>
      </c>
      <c r="I27" s="17">
        <v>54.886000000000003</v>
      </c>
      <c r="J27" s="17">
        <v>52.481999999999999</v>
      </c>
    </row>
    <row r="28" spans="2:11">
      <c r="C28" s="1" t="s">
        <v>478</v>
      </c>
      <c r="D28" s="19">
        <f>SUM(D14:D27)</f>
        <v>592.07000000000005</v>
      </c>
      <c r="E28" s="19">
        <f t="shared" ref="E28:H28" si="3">SUM(E14:E27)</f>
        <v>958.49</v>
      </c>
      <c r="F28" s="19">
        <f t="shared" si="3"/>
        <v>454.42999999999995</v>
      </c>
      <c r="G28" s="20">
        <f>SUM(G14:G27)</f>
        <v>2004.9900000000002</v>
      </c>
      <c r="H28" s="21">
        <f t="shared" si="3"/>
        <v>0.99999999999999989</v>
      </c>
      <c r="I28" s="19">
        <f>SUM(I14:I27)</f>
        <v>1868.4590000000001</v>
      </c>
      <c r="J28" s="19">
        <f>SUM(J14:J27)</f>
        <v>1829.2479999999996</v>
      </c>
      <c r="K28" s="36">
        <f>J28/G28</f>
        <v>0.91234769250719427</v>
      </c>
    </row>
    <row r="30" spans="2:11">
      <c r="C30" t="s">
        <v>1530</v>
      </c>
    </row>
  </sheetData>
  <mergeCells count="3">
    <mergeCell ref="D12:G12"/>
    <mergeCell ref="H12:H13"/>
    <mergeCell ref="C12:C13"/>
  </mergeCells>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849C7-A9EB-42CA-B126-E05C6B26C98E}">
  <dimension ref="A1:D14"/>
  <sheetViews>
    <sheetView workbookViewId="0">
      <selection activeCell="A11" sqref="A11:XFD11"/>
    </sheetView>
  </sheetViews>
  <sheetFormatPr defaultColWidth="8.85546875" defaultRowHeight="14.45"/>
  <cols>
    <col min="2" max="2" width="42.42578125" bestFit="1" customWidth="1"/>
    <col min="3" max="3" width="10.140625" bestFit="1" customWidth="1"/>
    <col min="4" max="4" width="10.28515625" customWidth="1"/>
  </cols>
  <sheetData>
    <row r="1" spans="1:4">
      <c r="B1" t="s">
        <v>767</v>
      </c>
      <c r="C1" t="s">
        <v>1531</v>
      </c>
    </row>
    <row r="2" spans="1:4">
      <c r="C2" t="s">
        <v>1532</v>
      </c>
    </row>
    <row r="4" spans="1:4">
      <c r="C4" s="167" t="s">
        <v>1533</v>
      </c>
      <c r="D4" s="167"/>
    </row>
    <row r="5" spans="1:4">
      <c r="C5" t="s">
        <v>1534</v>
      </c>
      <c r="D5" t="s">
        <v>1535</v>
      </c>
    </row>
    <row r="6" spans="1:4">
      <c r="A6" t="s">
        <v>1536</v>
      </c>
      <c r="B6" t="s">
        <v>1537</v>
      </c>
      <c r="C6">
        <v>130.4</v>
      </c>
      <c r="D6">
        <v>128.5</v>
      </c>
    </row>
    <row r="7" spans="1:4">
      <c r="A7" t="s">
        <v>1538</v>
      </c>
      <c r="B7" t="s">
        <v>1539</v>
      </c>
      <c r="C7">
        <v>448.9</v>
      </c>
      <c r="D7">
        <v>432.1</v>
      </c>
    </row>
    <row r="8" spans="1:4">
      <c r="B8" t="s">
        <v>1540</v>
      </c>
      <c r="C8">
        <v>3.8</v>
      </c>
      <c r="D8">
        <v>3.6</v>
      </c>
    </row>
    <row r="9" spans="1:4">
      <c r="B9" t="s">
        <v>1541</v>
      </c>
      <c r="C9">
        <v>18.7</v>
      </c>
      <c r="D9">
        <v>17.600000000000001</v>
      </c>
    </row>
    <row r="10" spans="1:4">
      <c r="B10" t="s">
        <v>478</v>
      </c>
      <c r="C10">
        <f>SUM(C6:C9)</f>
        <v>601.79999999999995</v>
      </c>
      <c r="D10">
        <f>SUM(D6:D9)</f>
        <v>581.80000000000007</v>
      </c>
    </row>
    <row r="11" spans="1:4">
      <c r="C11" s="13"/>
      <c r="D11" s="13"/>
    </row>
    <row r="12" spans="1:4">
      <c r="C12" s="13"/>
      <c r="D12" s="13"/>
    </row>
    <row r="13" spans="1:4">
      <c r="B13" t="s">
        <v>1542</v>
      </c>
    </row>
    <row r="14" spans="1:4">
      <c r="B14" s="31" t="s">
        <v>1543</v>
      </c>
    </row>
  </sheetData>
  <mergeCells count="1">
    <mergeCell ref="C4:D4"/>
  </mergeCells>
  <hyperlinks>
    <hyperlink ref="B14" r:id="rId1" xr:uid="{5DBB1AF3-8574-4928-961D-7858AD0B4A2B}"/>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EF38B-FA12-42C8-97E1-02EDC1C4F251}">
  <dimension ref="A1:E2"/>
  <sheetViews>
    <sheetView topLeftCell="C8" workbookViewId="0">
      <selection activeCell="M15" sqref="M15"/>
    </sheetView>
  </sheetViews>
  <sheetFormatPr defaultRowHeight="14.45"/>
  <sheetData>
    <row r="1" spans="1:5" ht="38.1" thickBot="1">
      <c r="A1" s="146"/>
      <c r="B1" s="147" t="s">
        <v>291</v>
      </c>
      <c r="C1" s="147" t="s">
        <v>292</v>
      </c>
      <c r="D1" s="147" t="s">
        <v>293</v>
      </c>
      <c r="E1" s="147" t="s">
        <v>294</v>
      </c>
    </row>
    <row r="2" spans="1:5" ht="25.5" thickBot="1">
      <c r="A2" s="148" t="s">
        <v>295</v>
      </c>
      <c r="B2" s="149">
        <v>7.4</v>
      </c>
      <c r="C2" s="149">
        <v>7.3</v>
      </c>
      <c r="D2" s="149">
        <v>7.5</v>
      </c>
      <c r="E2" s="149">
        <v>4.3</v>
      </c>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7EDA2-B440-41A0-8BA0-BF68F70E6968}">
  <dimension ref="A1:H23"/>
  <sheetViews>
    <sheetView workbookViewId="0">
      <selection activeCell="D5" sqref="D5"/>
    </sheetView>
  </sheetViews>
  <sheetFormatPr defaultColWidth="8.85546875" defaultRowHeight="14.45"/>
  <cols>
    <col min="1" max="1" width="10.85546875" bestFit="1" customWidth="1"/>
    <col min="3" max="3" width="26.5703125" customWidth="1"/>
  </cols>
  <sheetData>
    <row r="1" spans="1:8">
      <c r="B1" t="s">
        <v>767</v>
      </c>
      <c r="C1" t="s">
        <v>1544</v>
      </c>
    </row>
    <row r="4" spans="1:8">
      <c r="D4" t="s">
        <v>1108</v>
      </c>
    </row>
    <row r="5" spans="1:8">
      <c r="D5" t="s">
        <v>1545</v>
      </c>
      <c r="E5" s="167" t="s">
        <v>1546</v>
      </c>
      <c r="F5" s="167"/>
      <c r="G5" s="167"/>
      <c r="H5" s="167"/>
    </row>
    <row r="6" spans="1:8">
      <c r="C6" s="1" t="s">
        <v>1547</v>
      </c>
      <c r="D6" s="1">
        <v>2021</v>
      </c>
      <c r="E6" s="1">
        <v>2022</v>
      </c>
      <c r="F6" s="1">
        <v>2023</v>
      </c>
      <c r="G6" s="1">
        <v>2024</v>
      </c>
      <c r="H6" s="1">
        <v>2025</v>
      </c>
    </row>
    <row r="7" spans="1:8">
      <c r="A7" t="s">
        <v>1548</v>
      </c>
      <c r="C7" t="s">
        <v>747</v>
      </c>
      <c r="D7">
        <v>313.60000000000002</v>
      </c>
      <c r="E7">
        <v>320.5</v>
      </c>
      <c r="F7">
        <v>327.60000000000002</v>
      </c>
      <c r="G7">
        <v>334.8</v>
      </c>
      <c r="H7">
        <v>342.1</v>
      </c>
    </row>
    <row r="8" spans="1:8">
      <c r="C8" t="s">
        <v>1549</v>
      </c>
      <c r="D8">
        <v>105.3</v>
      </c>
      <c r="E8">
        <v>107.2</v>
      </c>
      <c r="F8">
        <v>109.2</v>
      </c>
      <c r="G8">
        <v>111.2</v>
      </c>
      <c r="H8">
        <v>113.3</v>
      </c>
    </row>
    <row r="9" spans="1:8">
      <c r="C9" t="s">
        <v>1550</v>
      </c>
      <c r="D9">
        <v>83.4</v>
      </c>
      <c r="E9">
        <v>85.1</v>
      </c>
      <c r="F9">
        <v>82.7</v>
      </c>
      <c r="G9">
        <v>84.4</v>
      </c>
      <c r="H9">
        <v>86.1</v>
      </c>
    </row>
    <row r="10" spans="1:8">
      <c r="C10" t="s">
        <v>1551</v>
      </c>
      <c r="D10">
        <v>261.89999999999998</v>
      </c>
      <c r="E10">
        <v>205.3</v>
      </c>
      <c r="F10">
        <v>193.4</v>
      </c>
      <c r="G10">
        <v>197.5</v>
      </c>
      <c r="H10">
        <v>201.8</v>
      </c>
    </row>
    <row r="11" spans="1:8">
      <c r="C11" t="s">
        <v>1552</v>
      </c>
      <c r="D11">
        <v>1.9</v>
      </c>
      <c r="E11">
        <v>2</v>
      </c>
      <c r="F11">
        <v>2</v>
      </c>
      <c r="G11">
        <v>2</v>
      </c>
      <c r="H11">
        <v>2.1</v>
      </c>
    </row>
    <row r="12" spans="1:8">
      <c r="C12" t="s">
        <v>1553</v>
      </c>
      <c r="D12">
        <v>214.2</v>
      </c>
      <c r="E12">
        <v>218.7</v>
      </c>
      <c r="F12">
        <v>223.3</v>
      </c>
      <c r="G12">
        <v>228</v>
      </c>
      <c r="H12">
        <v>232.8</v>
      </c>
    </row>
    <row r="13" spans="1:8">
      <c r="A13" t="s">
        <v>1554</v>
      </c>
      <c r="C13" s="1" t="s">
        <v>1555</v>
      </c>
    </row>
    <row r="14" spans="1:8">
      <c r="B14" s="99" t="s">
        <v>870</v>
      </c>
      <c r="C14" t="s">
        <v>1262</v>
      </c>
      <c r="D14">
        <v>13.4</v>
      </c>
      <c r="E14">
        <v>13.7</v>
      </c>
      <c r="F14">
        <v>14</v>
      </c>
      <c r="G14">
        <v>14.3</v>
      </c>
      <c r="H14">
        <v>14.6</v>
      </c>
    </row>
    <row r="15" spans="1:8">
      <c r="A15" t="s">
        <v>1556</v>
      </c>
      <c r="C15" s="1" t="s">
        <v>1557</v>
      </c>
    </row>
    <row r="16" spans="1:8">
      <c r="B16" s="99" t="s">
        <v>870</v>
      </c>
      <c r="C16" t="s">
        <v>1558</v>
      </c>
      <c r="D16">
        <v>153.6</v>
      </c>
      <c r="E16">
        <v>156.69999999999999</v>
      </c>
      <c r="F16">
        <v>152.6</v>
      </c>
      <c r="G16">
        <v>155.9</v>
      </c>
      <c r="H16">
        <v>159.19999999999999</v>
      </c>
    </row>
    <row r="17" spans="3:8">
      <c r="C17" t="s">
        <v>1559</v>
      </c>
      <c r="D17">
        <v>32</v>
      </c>
      <c r="E17">
        <v>32.700000000000003</v>
      </c>
      <c r="F17">
        <v>33.4</v>
      </c>
      <c r="G17">
        <v>34.1</v>
      </c>
      <c r="H17">
        <v>34.9</v>
      </c>
    </row>
    <row r="18" spans="3:8">
      <c r="C18" t="s">
        <v>1560</v>
      </c>
      <c r="D18">
        <v>272.7</v>
      </c>
      <c r="E18">
        <v>278.7</v>
      </c>
      <c r="F18">
        <v>284.8</v>
      </c>
      <c r="G18">
        <v>291.10000000000002</v>
      </c>
      <c r="H18">
        <v>297.5</v>
      </c>
    </row>
    <row r="19" spans="3:8">
      <c r="C19" t="s">
        <v>1561</v>
      </c>
      <c r="D19">
        <v>59.8</v>
      </c>
      <c r="E19">
        <v>61</v>
      </c>
      <c r="F19">
        <v>62.3</v>
      </c>
      <c r="G19">
        <v>63.7</v>
      </c>
      <c r="H19">
        <v>65</v>
      </c>
    </row>
    <row r="20" spans="3:8">
      <c r="C20" t="s">
        <v>1178</v>
      </c>
      <c r="D20">
        <v>38.4</v>
      </c>
      <c r="E20">
        <v>39</v>
      </c>
      <c r="F20">
        <v>26.8</v>
      </c>
      <c r="G20">
        <v>27.4</v>
      </c>
      <c r="H20">
        <v>28</v>
      </c>
    </row>
    <row r="22" spans="3:8">
      <c r="C22" t="s">
        <v>1414</v>
      </c>
      <c r="D22">
        <f>SUM(D7:D20)</f>
        <v>1550.2</v>
      </c>
      <c r="E22">
        <f t="shared" ref="E22:H22" si="0">SUM(E7:E20)</f>
        <v>1520.6000000000001</v>
      </c>
      <c r="F22">
        <f t="shared" si="0"/>
        <v>1512.1</v>
      </c>
      <c r="G22">
        <f t="shared" si="0"/>
        <v>1544.3999999999999</v>
      </c>
      <c r="H22">
        <f t="shared" si="0"/>
        <v>1577.4</v>
      </c>
    </row>
    <row r="23" spans="3:8">
      <c r="C23" t="s">
        <v>821</v>
      </c>
      <c r="D23">
        <f>D22/(10^3)</f>
        <v>1.5502</v>
      </c>
      <c r="E23">
        <f t="shared" ref="E23:H23" si="1">E22/(10^3)</f>
        <v>1.5206000000000002</v>
      </c>
      <c r="F23">
        <f t="shared" si="1"/>
        <v>1.5121</v>
      </c>
      <c r="G23">
        <f t="shared" si="1"/>
        <v>1.5443999999999998</v>
      </c>
      <c r="H23">
        <f t="shared" si="1"/>
        <v>1.5774000000000001</v>
      </c>
    </row>
  </sheetData>
  <mergeCells count="1">
    <mergeCell ref="E5:H5"/>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02C7-A603-4801-949C-9C2FEE063325}">
  <dimension ref="A1:E18"/>
  <sheetViews>
    <sheetView workbookViewId="0"/>
  </sheetViews>
  <sheetFormatPr defaultColWidth="8.85546875" defaultRowHeight="14.45"/>
  <cols>
    <col min="2" max="2" width="46.5703125" bestFit="1" customWidth="1"/>
    <col min="3" max="3" width="12.28515625" bestFit="1" customWidth="1"/>
    <col min="4" max="4" width="19.5703125" bestFit="1" customWidth="1"/>
  </cols>
  <sheetData>
    <row r="1" spans="1:5">
      <c r="B1" t="s">
        <v>1562</v>
      </c>
      <c r="C1" t="s">
        <v>1563</v>
      </c>
    </row>
    <row r="2" spans="1:5">
      <c r="B2" t="s">
        <v>1564</v>
      </c>
      <c r="C2" t="s">
        <v>1565</v>
      </c>
    </row>
    <row r="5" spans="1:5">
      <c r="C5" t="s">
        <v>1566</v>
      </c>
      <c r="D5" t="s">
        <v>1567</v>
      </c>
    </row>
    <row r="6" spans="1:5">
      <c r="A6" t="s">
        <v>1568</v>
      </c>
      <c r="B6" t="s">
        <v>1569</v>
      </c>
      <c r="C6" s="6">
        <v>9072681</v>
      </c>
      <c r="D6" s="6">
        <v>13590010</v>
      </c>
      <c r="E6" t="s">
        <v>1570</v>
      </c>
    </row>
    <row r="7" spans="1:5">
      <c r="A7" t="s">
        <v>1571</v>
      </c>
      <c r="B7" t="s">
        <v>1572</v>
      </c>
      <c r="C7" s="6">
        <v>1584574523</v>
      </c>
      <c r="D7" s="6">
        <v>1591247741</v>
      </c>
    </row>
    <row r="8" spans="1:5">
      <c r="A8" t="s">
        <v>1573</v>
      </c>
      <c r="B8" t="s">
        <v>1574</v>
      </c>
      <c r="C8" s="6">
        <v>8590342</v>
      </c>
      <c r="D8" s="6">
        <v>19307550</v>
      </c>
    </row>
    <row r="10" spans="1:5">
      <c r="A10" t="s">
        <v>1575</v>
      </c>
      <c r="B10" t="s">
        <v>1576</v>
      </c>
      <c r="C10" s="6">
        <v>511020565</v>
      </c>
      <c r="D10" s="6">
        <v>617041765</v>
      </c>
    </row>
    <row r="11" spans="1:5">
      <c r="A11" t="s">
        <v>1577</v>
      </c>
      <c r="B11" t="s">
        <v>1578</v>
      </c>
      <c r="C11" s="6">
        <v>380365665</v>
      </c>
      <c r="D11" s="6">
        <v>628924130</v>
      </c>
    </row>
    <row r="12" spans="1:5">
      <c r="A12" t="s">
        <v>1579</v>
      </c>
      <c r="B12" t="s">
        <v>1580</v>
      </c>
      <c r="C12" s="6">
        <v>329338081</v>
      </c>
      <c r="D12" s="6">
        <v>624605610</v>
      </c>
    </row>
    <row r="13" spans="1:5">
      <c r="A13" t="s">
        <v>1581</v>
      </c>
      <c r="B13" t="s">
        <v>1582</v>
      </c>
      <c r="C13" s="6">
        <v>17181044</v>
      </c>
      <c r="D13" s="6">
        <v>21199507</v>
      </c>
    </row>
    <row r="14" spans="1:5">
      <c r="A14" t="s">
        <v>1583</v>
      </c>
      <c r="B14" t="s">
        <v>1584</v>
      </c>
      <c r="C14" s="6">
        <v>3980051</v>
      </c>
      <c r="D14" s="6">
        <v>5401913</v>
      </c>
    </row>
    <row r="15" spans="1:5">
      <c r="B15" t="s">
        <v>478</v>
      </c>
      <c r="C15" s="6">
        <f>SUM(C6:C14)</f>
        <v>2844122952</v>
      </c>
      <c r="D15" s="6">
        <f>SUM(D6:D14)</f>
        <v>3521318226</v>
      </c>
    </row>
    <row r="16" spans="1:5">
      <c r="B16" t="s">
        <v>821</v>
      </c>
      <c r="C16">
        <f>C15/1000000000</f>
        <v>2.8441229520000002</v>
      </c>
      <c r="D16">
        <f>D15/1000000000</f>
        <v>3.521318226</v>
      </c>
    </row>
    <row r="18" spans="2:3">
      <c r="B18" t="s">
        <v>1585</v>
      </c>
      <c r="C18" t="s">
        <v>1586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0B74A-0C09-4BE7-AF97-E237EDA72EDB}">
  <dimension ref="A1:L24"/>
  <sheetViews>
    <sheetView workbookViewId="0">
      <selection activeCell="B24" sqref="B24"/>
    </sheetView>
  </sheetViews>
  <sheetFormatPr defaultColWidth="8.85546875" defaultRowHeight="14.45"/>
  <cols>
    <col min="2" max="2" width="11.28515625" bestFit="1" customWidth="1"/>
    <col min="8" max="8" width="33.28515625" bestFit="1" customWidth="1"/>
    <col min="9" max="9" width="9.28515625" bestFit="1" customWidth="1"/>
    <col min="10" max="12" width="10.28515625" bestFit="1" customWidth="1"/>
  </cols>
  <sheetData>
    <row r="1" spans="1:12">
      <c r="B1" t="s">
        <v>767</v>
      </c>
      <c r="C1" t="s">
        <v>1587</v>
      </c>
    </row>
    <row r="2" spans="1:12">
      <c r="C2" t="s">
        <v>1588</v>
      </c>
    </row>
    <row r="3" spans="1:12">
      <c r="C3" t="s">
        <v>1589</v>
      </c>
    </row>
    <row r="4" spans="1:12">
      <c r="G4" t="s">
        <v>1590</v>
      </c>
    </row>
    <row r="5" spans="1:12">
      <c r="A5" t="s">
        <v>1591</v>
      </c>
      <c r="B5" t="s">
        <v>1592</v>
      </c>
      <c r="G5" t="s">
        <v>1591</v>
      </c>
    </row>
    <row r="6" spans="1:12">
      <c r="B6" s="17">
        <v>968269</v>
      </c>
      <c r="I6">
        <v>2021</v>
      </c>
      <c r="J6">
        <v>2022</v>
      </c>
      <c r="K6">
        <v>2023</v>
      </c>
      <c r="L6">
        <v>2024</v>
      </c>
    </row>
    <row r="7" spans="1:12">
      <c r="H7" t="s">
        <v>1593</v>
      </c>
      <c r="I7" s="17">
        <v>7340</v>
      </c>
      <c r="J7" s="17">
        <v>22705</v>
      </c>
      <c r="K7" s="17">
        <v>27874</v>
      </c>
      <c r="L7" s="17">
        <v>33369</v>
      </c>
    </row>
    <row r="8" spans="1:12">
      <c r="A8" t="s">
        <v>1594</v>
      </c>
      <c r="B8" t="s">
        <v>1595</v>
      </c>
      <c r="H8" t="s">
        <v>1552</v>
      </c>
      <c r="I8" s="17">
        <v>2487</v>
      </c>
      <c r="J8" s="17">
        <v>5446</v>
      </c>
      <c r="K8" s="17">
        <v>7261</v>
      </c>
      <c r="L8" s="17">
        <v>9522</v>
      </c>
    </row>
    <row r="9" spans="1:12">
      <c r="B9" s="11">
        <v>0.09</v>
      </c>
      <c r="H9" t="s">
        <v>1596</v>
      </c>
      <c r="I9" s="17">
        <v>610</v>
      </c>
      <c r="J9" s="17">
        <v>1629</v>
      </c>
      <c r="K9" s="17">
        <v>2183</v>
      </c>
      <c r="L9" s="17">
        <v>2991</v>
      </c>
    </row>
    <row r="10" spans="1:12">
      <c r="H10" t="s">
        <v>1597</v>
      </c>
      <c r="I10" s="17">
        <v>317</v>
      </c>
      <c r="J10" s="17">
        <v>914</v>
      </c>
      <c r="K10" s="17">
        <v>1384</v>
      </c>
      <c r="L10" s="17">
        <v>2289</v>
      </c>
    </row>
    <row r="11" spans="1:12">
      <c r="B11" t="s">
        <v>1598</v>
      </c>
      <c r="H11" t="s">
        <v>1021</v>
      </c>
      <c r="I11" s="17">
        <v>148</v>
      </c>
      <c r="J11" s="17">
        <v>404</v>
      </c>
      <c r="K11" s="17">
        <v>716</v>
      </c>
      <c r="L11" s="17">
        <v>1367</v>
      </c>
    </row>
    <row r="12" spans="1:12">
      <c r="B12" s="37">
        <f>B6*B9</f>
        <v>87144.209999999992</v>
      </c>
      <c r="H12" t="s">
        <v>1414</v>
      </c>
      <c r="I12" s="47">
        <f>SUM(I7:I11)</f>
        <v>10902</v>
      </c>
      <c r="J12" s="47">
        <f t="shared" ref="J12:L12" si="0">SUM(J7:J11)</f>
        <v>31098</v>
      </c>
      <c r="K12" s="47">
        <f t="shared" si="0"/>
        <v>39418</v>
      </c>
      <c r="L12" s="47">
        <f t="shared" si="0"/>
        <v>49538</v>
      </c>
    </row>
    <row r="13" spans="1:12">
      <c r="H13" t="s">
        <v>883</v>
      </c>
      <c r="I13" s="37">
        <f>I12/1000</f>
        <v>10.901999999999999</v>
      </c>
      <c r="J13" s="37">
        <f t="shared" ref="J13:L13" si="1">J12/1000</f>
        <v>31.097999999999999</v>
      </c>
      <c r="K13" s="37">
        <f t="shared" si="1"/>
        <v>39.417999999999999</v>
      </c>
      <c r="L13" s="37">
        <f t="shared" si="1"/>
        <v>49.537999999999997</v>
      </c>
    </row>
    <row r="14" spans="1:12">
      <c r="B14" t="s">
        <v>818</v>
      </c>
    </row>
    <row r="15" spans="1:12">
      <c r="B15" s="37">
        <f>B12/(10^3)</f>
        <v>87.144209999999987</v>
      </c>
    </row>
    <row r="16" spans="1:12">
      <c r="A16" t="s">
        <v>1599</v>
      </c>
      <c r="B16" t="s">
        <v>1600</v>
      </c>
    </row>
    <row r="17" spans="1:3">
      <c r="B17">
        <v>927</v>
      </c>
      <c r="C17" t="s">
        <v>1601</v>
      </c>
    </row>
    <row r="18" spans="1:3">
      <c r="B18" t="s">
        <v>1602</v>
      </c>
    </row>
    <row r="19" spans="1:3">
      <c r="B19">
        <v>850</v>
      </c>
      <c r="C19" t="s">
        <v>1601</v>
      </c>
    </row>
    <row r="21" spans="1:3">
      <c r="A21" t="s">
        <v>1603</v>
      </c>
      <c r="B21" t="s">
        <v>1604</v>
      </c>
    </row>
    <row r="23" spans="1:3">
      <c r="B23" t="s">
        <v>1605</v>
      </c>
    </row>
    <row r="24" spans="1:3">
      <c r="B24" s="15">
        <f>B9*(B17/B19)*100</f>
        <v>9.8152941176470581</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8034-8352-433E-9002-F040DFEB8FC1}">
  <dimension ref="A1:CK258"/>
  <sheetViews>
    <sheetView workbookViewId="0">
      <selection activeCell="C5" sqref="C5"/>
    </sheetView>
  </sheetViews>
  <sheetFormatPr defaultColWidth="8.85546875" defaultRowHeight="14.45"/>
  <sheetData>
    <row r="1" spans="1:8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row>
    <row r="2" spans="1:88">
      <c r="A2" t="s">
        <v>1606</v>
      </c>
    </row>
    <row r="3" spans="1:88">
      <c r="C3" s="167">
        <v>2016</v>
      </c>
      <c r="D3" s="167"/>
      <c r="E3" s="167"/>
      <c r="F3" s="167"/>
      <c r="G3" s="167"/>
      <c r="H3" s="167"/>
      <c r="I3" s="167"/>
      <c r="J3" s="167"/>
      <c r="K3" s="167"/>
      <c r="L3" s="167"/>
      <c r="M3" s="167"/>
      <c r="N3" s="167"/>
      <c r="O3" s="167"/>
      <c r="P3" s="167"/>
      <c r="Q3" s="167">
        <v>2017</v>
      </c>
      <c r="R3" s="167"/>
      <c r="S3" s="167"/>
      <c r="T3" s="167"/>
      <c r="U3" s="167"/>
      <c r="V3" s="167"/>
      <c r="W3" s="167"/>
      <c r="X3" s="167"/>
      <c r="Y3" s="167"/>
      <c r="Z3" s="167"/>
      <c r="AA3" s="167"/>
      <c r="AB3" s="167"/>
      <c r="AC3" s="167"/>
      <c r="AD3" s="167"/>
      <c r="AE3" s="167">
        <v>2018</v>
      </c>
      <c r="AF3" s="167"/>
      <c r="AG3" s="167"/>
      <c r="AH3" s="167"/>
      <c r="AI3" s="167"/>
      <c r="AJ3" s="167"/>
      <c r="AK3" s="167"/>
      <c r="AL3" s="167"/>
      <c r="AM3" s="167"/>
      <c r="AN3" s="167"/>
      <c r="AO3" s="167"/>
      <c r="AP3" s="167"/>
      <c r="AQ3" s="167"/>
      <c r="AR3" s="167"/>
      <c r="AS3" s="167">
        <v>2019</v>
      </c>
      <c r="AT3" s="167"/>
      <c r="AU3" s="167"/>
      <c r="AV3" s="167"/>
      <c r="AW3" s="167"/>
      <c r="AX3" s="167"/>
      <c r="AY3" s="167"/>
      <c r="AZ3" s="167"/>
      <c r="BA3" s="167"/>
      <c r="BB3" s="167"/>
      <c r="BC3" s="167"/>
      <c r="BD3" s="167"/>
      <c r="BE3" s="167"/>
      <c r="BF3" s="167"/>
      <c r="BG3" s="167">
        <v>2020</v>
      </c>
      <c r="BH3" s="167"/>
      <c r="BI3" s="167"/>
      <c r="BJ3" s="167"/>
      <c r="BK3" s="167"/>
      <c r="BL3" s="167"/>
      <c r="BM3" s="167"/>
      <c r="BN3" s="167"/>
      <c r="BO3" s="167"/>
      <c r="BP3" s="167"/>
      <c r="BQ3" s="167"/>
      <c r="BR3" s="167"/>
      <c r="BS3" s="167"/>
      <c r="BT3" s="167"/>
      <c r="BU3" s="167">
        <v>2021</v>
      </c>
      <c r="BV3" s="167"/>
      <c r="BW3" s="167"/>
      <c r="BX3" s="167"/>
      <c r="BY3" s="167"/>
      <c r="BZ3" s="167"/>
      <c r="CA3" s="167"/>
    </row>
    <row r="4" spans="1:88">
      <c r="C4" s="167" t="s">
        <v>1607</v>
      </c>
      <c r="D4" s="167"/>
      <c r="E4" s="167"/>
      <c r="F4" s="167"/>
      <c r="G4" s="167"/>
      <c r="H4" s="167"/>
      <c r="I4" s="167"/>
      <c r="J4" s="167" t="s">
        <v>1608</v>
      </c>
      <c r="K4" s="167"/>
      <c r="L4" s="167"/>
      <c r="M4" s="167"/>
      <c r="N4" s="167"/>
      <c r="O4" s="167"/>
      <c r="P4" s="167"/>
      <c r="Q4" s="167" t="s">
        <v>1607</v>
      </c>
      <c r="R4" s="167"/>
      <c r="S4" s="167"/>
      <c r="T4" s="167"/>
      <c r="U4" s="167"/>
      <c r="V4" s="167"/>
      <c r="W4" s="167"/>
      <c r="X4" s="167" t="s">
        <v>1608</v>
      </c>
      <c r="Y4" s="167"/>
      <c r="Z4" s="167"/>
      <c r="AA4" s="167"/>
      <c r="AB4" s="167"/>
      <c r="AC4" s="167"/>
      <c r="AD4" s="167"/>
      <c r="AE4" s="167" t="s">
        <v>1607</v>
      </c>
      <c r="AF4" s="167"/>
      <c r="AG4" s="167"/>
      <c r="AH4" s="167"/>
      <c r="AI4" s="167"/>
      <c r="AJ4" s="167"/>
      <c r="AK4" s="167"/>
      <c r="AL4" s="167" t="s">
        <v>1608</v>
      </c>
      <c r="AM4" s="167"/>
      <c r="AN4" s="167"/>
      <c r="AO4" s="167"/>
      <c r="AP4" s="167"/>
      <c r="AQ4" s="167"/>
      <c r="AR4" s="167"/>
      <c r="AS4" s="167" t="s">
        <v>1607</v>
      </c>
      <c r="AT4" s="167"/>
      <c r="AU4" s="167"/>
      <c r="AV4" s="167"/>
      <c r="AW4" s="167"/>
      <c r="AX4" s="167"/>
      <c r="AY4" s="167"/>
      <c r="AZ4" s="167" t="s">
        <v>1608</v>
      </c>
      <c r="BA4" s="167"/>
      <c r="BB4" s="167"/>
      <c r="BC4" s="167"/>
      <c r="BD4" s="167"/>
      <c r="BE4" s="167"/>
      <c r="BF4" s="167"/>
      <c r="BG4" s="167" t="s">
        <v>1607</v>
      </c>
      <c r="BH4" s="167"/>
      <c r="BI4" s="167"/>
      <c r="BJ4" s="167"/>
      <c r="BK4" s="167"/>
      <c r="BL4" s="167"/>
      <c r="BM4" s="167"/>
      <c r="BN4" s="167" t="s">
        <v>1608</v>
      </c>
      <c r="BO4" s="167"/>
      <c r="BP4" s="167"/>
      <c r="BQ4" s="167"/>
      <c r="BR4" s="167"/>
      <c r="BS4" s="167"/>
      <c r="BT4" s="167"/>
      <c r="BU4" s="167" t="s">
        <v>1607</v>
      </c>
      <c r="BV4" s="167"/>
      <c r="BW4" s="167"/>
      <c r="BX4" s="167"/>
      <c r="BY4" s="167"/>
      <c r="BZ4" s="167"/>
      <c r="CA4" s="167"/>
      <c r="CB4" s="167" t="s">
        <v>1609</v>
      </c>
      <c r="CC4" s="167"/>
      <c r="CD4" s="167"/>
      <c r="CE4" s="167"/>
      <c r="CF4" s="167"/>
      <c r="CG4" s="167"/>
      <c r="CH4" s="167"/>
      <c r="CI4" t="s">
        <v>1610</v>
      </c>
      <c r="CJ4" t="s">
        <v>607</v>
      </c>
    </row>
    <row r="5" spans="1:88">
      <c r="B5" t="s">
        <v>657</v>
      </c>
      <c r="C5" t="s">
        <v>48</v>
      </c>
      <c r="D5" t="s">
        <v>81</v>
      </c>
      <c r="E5" t="s">
        <v>82</v>
      </c>
      <c r="F5" t="s">
        <v>83</v>
      </c>
      <c r="G5" t="s">
        <v>84</v>
      </c>
      <c r="H5" t="s">
        <v>85</v>
      </c>
      <c r="I5" t="s">
        <v>86</v>
      </c>
      <c r="J5" t="s">
        <v>48</v>
      </c>
      <c r="K5" t="s">
        <v>81</v>
      </c>
      <c r="L5" t="s">
        <v>82</v>
      </c>
      <c r="M5" t="s">
        <v>83</v>
      </c>
      <c r="N5" t="s">
        <v>84</v>
      </c>
      <c r="O5" t="s">
        <v>85</v>
      </c>
      <c r="P5" t="s">
        <v>86</v>
      </c>
      <c r="Q5" t="s">
        <v>48</v>
      </c>
      <c r="R5" t="s">
        <v>81</v>
      </c>
      <c r="S5" t="s">
        <v>82</v>
      </c>
      <c r="T5" t="s">
        <v>83</v>
      </c>
      <c r="U5" t="s">
        <v>84</v>
      </c>
      <c r="V5" t="s">
        <v>85</v>
      </c>
      <c r="W5" t="s">
        <v>86</v>
      </c>
      <c r="X5" t="s">
        <v>48</v>
      </c>
      <c r="Y5" t="s">
        <v>81</v>
      </c>
      <c r="Z5" t="s">
        <v>82</v>
      </c>
      <c r="AA5" t="s">
        <v>83</v>
      </c>
      <c r="AB5" t="s">
        <v>84</v>
      </c>
      <c r="AC5" t="s">
        <v>85</v>
      </c>
      <c r="AD5" t="s">
        <v>86</v>
      </c>
      <c r="AE5" t="s">
        <v>48</v>
      </c>
      <c r="AF5" t="s">
        <v>81</v>
      </c>
      <c r="AG5" t="s">
        <v>82</v>
      </c>
      <c r="AH5" t="s">
        <v>83</v>
      </c>
      <c r="AI5" t="s">
        <v>84</v>
      </c>
      <c r="AJ5" t="s">
        <v>85</v>
      </c>
      <c r="AK5" t="s">
        <v>86</v>
      </c>
      <c r="AL5" t="s">
        <v>48</v>
      </c>
      <c r="AM5" t="s">
        <v>81</v>
      </c>
      <c r="AN5" t="s">
        <v>82</v>
      </c>
      <c r="AO5" t="s">
        <v>83</v>
      </c>
      <c r="AP5" t="s">
        <v>84</v>
      </c>
      <c r="AQ5" t="s">
        <v>85</v>
      </c>
      <c r="AR5" t="s">
        <v>86</v>
      </c>
      <c r="AS5" t="s">
        <v>48</v>
      </c>
      <c r="AT5" t="s">
        <v>81</v>
      </c>
      <c r="AU5" t="s">
        <v>82</v>
      </c>
      <c r="AV5" t="s">
        <v>83</v>
      </c>
      <c r="AW5" t="s">
        <v>84</v>
      </c>
      <c r="AX5" t="s">
        <v>85</v>
      </c>
      <c r="AY5" t="s">
        <v>86</v>
      </c>
      <c r="AZ5" t="s">
        <v>48</v>
      </c>
      <c r="BA5" t="s">
        <v>81</v>
      </c>
      <c r="BB5" t="s">
        <v>82</v>
      </c>
      <c r="BC5" t="s">
        <v>83</v>
      </c>
      <c r="BD5" t="s">
        <v>84</v>
      </c>
      <c r="BE5" t="s">
        <v>85</v>
      </c>
      <c r="BF5" t="s">
        <v>86</v>
      </c>
      <c r="BG5" t="s">
        <v>48</v>
      </c>
      <c r="BH5" t="s">
        <v>81</v>
      </c>
      <c r="BI5" t="s">
        <v>82</v>
      </c>
      <c r="BJ5" t="s">
        <v>83</v>
      </c>
      <c r="BK5" t="s">
        <v>84</v>
      </c>
      <c r="BL5" t="s">
        <v>85</v>
      </c>
      <c r="BM5" t="s">
        <v>86</v>
      </c>
      <c r="BN5" t="s">
        <v>48</v>
      </c>
      <c r="BO5" t="s">
        <v>81</v>
      </c>
      <c r="BP5" t="s">
        <v>82</v>
      </c>
      <c r="BQ5" t="s">
        <v>83</v>
      </c>
      <c r="BR5" t="s">
        <v>84</v>
      </c>
      <c r="BS5" t="s">
        <v>85</v>
      </c>
      <c r="BT5" t="s">
        <v>86</v>
      </c>
      <c r="BU5" t="s">
        <v>48</v>
      </c>
      <c r="BV5" t="s">
        <v>81</v>
      </c>
      <c r="BW5" t="s">
        <v>82</v>
      </c>
      <c r="BX5" t="s">
        <v>83</v>
      </c>
      <c r="BY5" t="s">
        <v>84</v>
      </c>
      <c r="BZ5" t="s">
        <v>85</v>
      </c>
      <c r="CA5" t="s">
        <v>86</v>
      </c>
      <c r="CB5" t="s">
        <v>48</v>
      </c>
      <c r="CC5" t="s">
        <v>81</v>
      </c>
      <c r="CD5" t="s">
        <v>82</v>
      </c>
      <c r="CE5" t="s">
        <v>83</v>
      </c>
      <c r="CF5" t="s">
        <v>84</v>
      </c>
      <c r="CG5" t="s">
        <v>85</v>
      </c>
      <c r="CH5" t="s">
        <v>86</v>
      </c>
      <c r="CI5" t="s">
        <v>1610</v>
      </c>
      <c r="CJ5" t="s">
        <v>607</v>
      </c>
    </row>
    <row r="6" spans="1:88">
      <c r="A6" t="s">
        <v>1611</v>
      </c>
      <c r="B6" t="s">
        <v>309</v>
      </c>
      <c r="C6" s="15">
        <v>8.9596861695667798</v>
      </c>
      <c r="D6" s="15">
        <v>8.3011904008209108</v>
      </c>
      <c r="E6" s="15">
        <v>5.8894506704617003E-2</v>
      </c>
      <c r="F6" s="15">
        <v>0.57654319706525803</v>
      </c>
      <c r="G6" s="15">
        <v>2.13850692171447E-3</v>
      </c>
      <c r="H6" s="15">
        <v>1.1255289007991399E-3</v>
      </c>
      <c r="I6" s="15">
        <v>1.9794029153475501E-2</v>
      </c>
      <c r="J6" s="15">
        <v>5.0934819162637703</v>
      </c>
      <c r="K6" s="15">
        <v>4.5809815444764297</v>
      </c>
      <c r="L6" s="15">
        <v>5.3688008335478002E-2</v>
      </c>
      <c r="M6" s="15">
        <v>0.458812363451857</v>
      </c>
      <c r="N6" s="15">
        <v>0</v>
      </c>
      <c r="O6" s="15">
        <v>0</v>
      </c>
      <c r="P6" s="15">
        <v>0</v>
      </c>
      <c r="Q6" s="15">
        <v>8.7954391717026592</v>
      </c>
      <c r="R6" s="15">
        <v>7.9054081458038103</v>
      </c>
      <c r="S6" s="15">
        <v>5.5776101530658602E-2</v>
      </c>
      <c r="T6" s="15">
        <v>0.607013763147078</v>
      </c>
      <c r="U6" s="15">
        <v>0.209106812733276</v>
      </c>
      <c r="V6" s="15">
        <v>1.6734680872687699E-3</v>
      </c>
      <c r="W6" s="15">
        <v>1.6460880400538301E-2</v>
      </c>
      <c r="X6" s="15">
        <v>4.7908874109489403</v>
      </c>
      <c r="Y6" s="15">
        <v>4.0201311733926897</v>
      </c>
      <c r="Z6" s="15">
        <v>5.5776101530658602E-2</v>
      </c>
      <c r="AA6" s="15">
        <v>0.50587332329231605</v>
      </c>
      <c r="AB6" s="15">
        <v>0.209106812733276</v>
      </c>
      <c r="AC6" s="15">
        <v>0</v>
      </c>
      <c r="AD6" s="15">
        <v>0</v>
      </c>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f>IF(ISNUMBER(BU6),BU6, IF(ISNUMBER(BG6),BG6,IF(ISNUMBER(AS6),AS6,IF(ISNUMBER(AE6),AE6,IF(ISNUMBER(Q6),Q6,IF(ISNUMBER(C6),C6,IF(ISNUMBER(BN6),BN6,IF(ISNUMBER(AZ6),AZ6,IF(ISNUMBER(AL6),AL6,IF(ISNUMBER(X6),X6,IF(ISNUMBER(J6),J6, " ")))))))))))</f>
        <v>8.7954391717026592</v>
      </c>
      <c r="CC6" s="15">
        <f t="shared" ref="CC6:CH21" si="0">IF(ISNUMBER(BV6),BV6, IF(ISNUMBER(BH6),BH6,IF(ISNUMBER(AT6),AT6,IF(ISNUMBER(AF6),AF6,IF(ISNUMBER(R6),R6,IF(ISNUMBER(D6),D6,IF(ISNUMBER(BO6),BO6,IF(ISNUMBER(BA6),BA6,IF(ISNUMBER(AM6),AM6,IF(ISNUMBER(Y6),Y6,IF(ISNUMBER(K6),K6, " ")))))))))))</f>
        <v>7.9054081458038103</v>
      </c>
      <c r="CD6" s="15">
        <f t="shared" si="0"/>
        <v>5.5776101530658602E-2</v>
      </c>
      <c r="CE6" s="15">
        <f t="shared" si="0"/>
        <v>0.607013763147078</v>
      </c>
      <c r="CF6" s="15">
        <f t="shared" si="0"/>
        <v>0.209106812733276</v>
      </c>
      <c r="CG6" s="15">
        <f t="shared" si="0"/>
        <v>1.6734680872687699E-3</v>
      </c>
      <c r="CH6" s="15">
        <f t="shared" si="0"/>
        <v>1.6460880400538301E-2</v>
      </c>
      <c r="CI6">
        <f>IF(ISNUMBER(BU6),BU$3, IF(ISNUMBER(BG6),BG$3,IF(ISNUMBER(AS6),AS$3,IF(ISNUMBER(AE6),AE$3,IF(ISNUMBER(Q6),Q$3,IF(ISNUMBER(C6),C$3,IF(ISNUMBER(BN6),BG$3,IF(ISNUMBER(AZ6),AS$3,IF(ISNUMBER(AL6),AE$3,IF(ISNUMBER(X6),Q$3,IF(ISNUMBER(J6),C$3, " ")))))))))))</f>
        <v>2017</v>
      </c>
      <c r="CJ6" t="str">
        <f>IF(ISNUMBER(BU6),BU$4, IF(ISNUMBER(BG6),BG$4,IF(ISNUMBER(AS6),AS$4,IF(ISNUMBER(AE6),AE$4,IF(ISNUMBER(Q6),Q$4,IF(ISNUMBER(C6),C$4,IF(ISNUMBER(BN6),BN$4,IF(ISNUMBER(AZ6),AZ$4,IF(ISNUMBER(AL6),AL$4,IF(ISNUMBER(X6),X$4,IF(ISNUMBER(J6),J$4, " ")))))))))))</f>
        <v>General government</v>
      </c>
    </row>
    <row r="7" spans="1:88">
      <c r="A7" t="s">
        <v>192</v>
      </c>
      <c r="B7" t="s">
        <v>407</v>
      </c>
      <c r="C7" s="15">
        <v>1.7282059710189399</v>
      </c>
      <c r="D7" s="15">
        <v>1.1046683857630599</v>
      </c>
      <c r="E7" s="15">
        <v>0</v>
      </c>
      <c r="F7" s="15">
        <v>0.170894797141419</v>
      </c>
      <c r="G7" s="15">
        <v>0.35921666794568902</v>
      </c>
      <c r="H7" s="15">
        <v>9.3426120168776605E-2</v>
      </c>
      <c r="I7" s="15">
        <v>0</v>
      </c>
      <c r="J7" s="15">
        <v>1.71199725089458</v>
      </c>
      <c r="K7" s="15">
        <v>1.08845966563869</v>
      </c>
      <c r="L7" s="15">
        <v>0</v>
      </c>
      <c r="M7" s="15">
        <v>0.170894797141419</v>
      </c>
      <c r="N7" s="15">
        <v>0.35921666794568902</v>
      </c>
      <c r="O7" s="15">
        <v>9.3426120168776605E-2</v>
      </c>
      <c r="P7" s="15">
        <v>0</v>
      </c>
      <c r="Q7" s="15">
        <v>1.7238241352313799</v>
      </c>
      <c r="R7" s="15">
        <v>1.1271811877114399</v>
      </c>
      <c r="S7" s="15">
        <v>0</v>
      </c>
      <c r="T7" s="15">
        <v>0.16729027772941099</v>
      </c>
      <c r="U7" s="15">
        <v>0.333678350829267</v>
      </c>
      <c r="V7" s="15">
        <v>9.5674318961258706E-2</v>
      </c>
      <c r="W7" s="15">
        <v>0</v>
      </c>
      <c r="X7" s="15">
        <v>1.70465663987783</v>
      </c>
      <c r="Y7" s="15">
        <v>1.10801369235789</v>
      </c>
      <c r="Z7" s="15">
        <v>0</v>
      </c>
      <c r="AA7" s="15">
        <v>0.16729027772941099</v>
      </c>
      <c r="AB7" s="15">
        <v>0.333678350829267</v>
      </c>
      <c r="AC7" s="15">
        <v>9.5674318961258706E-2</v>
      </c>
      <c r="AD7" s="15">
        <v>0</v>
      </c>
      <c r="AE7" s="15">
        <v>1.7439535615923301</v>
      </c>
      <c r="AF7" s="15">
        <v>1.1284135683783501</v>
      </c>
      <c r="AG7" s="15">
        <v>0</v>
      </c>
      <c r="AH7" s="15">
        <v>0.174760273030448</v>
      </c>
      <c r="AI7" s="15">
        <v>0.35150561069623998</v>
      </c>
      <c r="AJ7" s="15">
        <v>8.9085201272837894E-2</v>
      </c>
      <c r="AK7" s="15">
        <v>1.8890821445056099E-4</v>
      </c>
      <c r="AL7" s="15">
        <v>1.74061251501637</v>
      </c>
      <c r="AM7" s="15">
        <v>1.12526143001684</v>
      </c>
      <c r="AN7" s="15">
        <v>0</v>
      </c>
      <c r="AO7" s="15">
        <v>0.174760273030448</v>
      </c>
      <c r="AP7" s="15">
        <v>0.35150561069623998</v>
      </c>
      <c r="AQ7" s="15">
        <v>8.9085201272837894E-2</v>
      </c>
      <c r="AR7" s="15">
        <v>0</v>
      </c>
      <c r="AS7" s="15">
        <v>1.8406142753269801</v>
      </c>
      <c r="AT7" s="15">
        <v>1.1202169782051099</v>
      </c>
      <c r="AU7" s="15">
        <v>6.7845290180658394E-2</v>
      </c>
      <c r="AV7" s="15">
        <v>0.20997685272029701</v>
      </c>
      <c r="AW7" s="15">
        <v>0.34800776776733899</v>
      </c>
      <c r="AX7" s="15">
        <v>9.4067162245935199E-2</v>
      </c>
      <c r="AY7" s="15">
        <v>5.0022420763592295E-4</v>
      </c>
      <c r="AZ7" s="15">
        <v>1.8232285065865801</v>
      </c>
      <c r="BA7" s="15">
        <v>1.1035743997160601</v>
      </c>
      <c r="BB7" s="15">
        <v>6.7602324136949499E-2</v>
      </c>
      <c r="BC7" s="15">
        <v>0.20997685272029701</v>
      </c>
      <c r="BD7" s="15">
        <v>0.34800776776733899</v>
      </c>
      <c r="BE7" s="15">
        <v>9.4067162245935199E-2</v>
      </c>
      <c r="BF7" s="15">
        <v>0</v>
      </c>
      <c r="BG7" s="15">
        <v>2.0110020161967399</v>
      </c>
      <c r="BH7" s="15">
        <v>1.1533130428401399</v>
      </c>
      <c r="BI7" s="15">
        <v>0.177894224920988</v>
      </c>
      <c r="BJ7" s="15">
        <v>0.226757455636831</v>
      </c>
      <c r="BK7" s="15">
        <v>0.34746308718154101</v>
      </c>
      <c r="BL7" s="15">
        <v>0.104847827520028</v>
      </c>
      <c r="BM7" s="15">
        <v>7.2637809721277295E-4</v>
      </c>
      <c r="BN7" s="15">
        <v>1.8593805387884701</v>
      </c>
      <c r="BO7" s="15">
        <v>1.10884912604526</v>
      </c>
      <c r="BP7" s="15">
        <v>7.1463042404808996E-2</v>
      </c>
      <c r="BQ7" s="15">
        <v>0.226757455636831</v>
      </c>
      <c r="BR7" s="15">
        <v>0.34746308718154101</v>
      </c>
      <c r="BS7" s="15">
        <v>0.104847827520028</v>
      </c>
      <c r="BT7" s="15">
        <v>0</v>
      </c>
      <c r="BU7" s="15"/>
      <c r="BV7" s="15"/>
      <c r="BW7" s="15"/>
      <c r="BX7" s="15"/>
      <c r="BY7" s="15"/>
      <c r="BZ7" s="15"/>
      <c r="CA7" s="15"/>
      <c r="CB7" s="15">
        <f t="shared" ref="CB7:CH56" si="1">IF(ISNUMBER(BU7),BU7, IF(ISNUMBER(BG7),BG7,IF(ISNUMBER(AS7),AS7,IF(ISNUMBER(AE7),AE7,IF(ISNUMBER(Q7),Q7,IF(ISNUMBER(C7),C7,IF(ISNUMBER(BN7),BN7,IF(ISNUMBER(AZ7),AZ7,IF(ISNUMBER(AL7),AL7,IF(ISNUMBER(X7),X7,IF(ISNUMBER(J7),J7, " ")))))))))))</f>
        <v>2.0110020161967399</v>
      </c>
      <c r="CC7" s="15">
        <f t="shared" si="0"/>
        <v>1.1533130428401399</v>
      </c>
      <c r="CD7" s="15">
        <f t="shared" si="0"/>
        <v>0.177894224920988</v>
      </c>
      <c r="CE7" s="15">
        <f t="shared" si="0"/>
        <v>0.226757455636831</v>
      </c>
      <c r="CF7" s="15">
        <f t="shared" si="0"/>
        <v>0.34746308718154101</v>
      </c>
      <c r="CG7" s="15">
        <f t="shared" si="0"/>
        <v>0.104847827520028</v>
      </c>
      <c r="CH7" s="15">
        <f t="shared" si="0"/>
        <v>7.2637809721277295E-4</v>
      </c>
      <c r="CI7">
        <f t="shared" ref="CI7:CI70" si="2">IF(ISNUMBER(BU7),BU$3, IF(ISNUMBER(BG7),BG$3,IF(ISNUMBER(AS7),AS$3,IF(ISNUMBER(AE7),AE$3,IF(ISNUMBER(Q7),Q$3,IF(ISNUMBER(C7),C$3,IF(ISNUMBER(BN7),BG$3,IF(ISNUMBER(AZ7),AS$3,IF(ISNUMBER(AL7),AE$3,IF(ISNUMBER(X7),Q$3,IF(ISNUMBER(J7),C$3, " ")))))))))))</f>
        <v>2020</v>
      </c>
      <c r="CJ7" t="str">
        <f t="shared" ref="CJ7:CJ70" si="3">IF(ISNUMBER(BU7),BU$4, IF(ISNUMBER(BG7),BG$4,IF(ISNUMBER(AS7),AS$4,IF(ISNUMBER(AE7),AE$4,IF(ISNUMBER(Q7),Q$4,IF(ISNUMBER(C7),C$4,IF(ISNUMBER(BN7),BN$4,IF(ISNUMBER(AZ7),AZ$4,IF(ISNUMBER(AL7),AL$4,IF(ISNUMBER(X7),X$4,IF(ISNUMBER(J7),J$4, " ")))))))))))</f>
        <v>General government</v>
      </c>
    </row>
    <row r="8" spans="1:88">
      <c r="A8" t="s">
        <v>136</v>
      </c>
      <c r="B8" t="s">
        <v>350</v>
      </c>
      <c r="C8" s="15"/>
      <c r="D8" s="15"/>
      <c r="E8" s="15"/>
      <c r="F8" s="15"/>
      <c r="G8" s="15"/>
      <c r="H8" s="15"/>
      <c r="I8" s="15"/>
      <c r="J8" s="15">
        <v>2.8263109514550102</v>
      </c>
      <c r="K8" s="15">
        <v>2.3300885181895001</v>
      </c>
      <c r="L8" s="15">
        <v>1.0469088008975701E-3</v>
      </c>
      <c r="M8" s="15">
        <v>0.11116598270146499</v>
      </c>
      <c r="N8" s="15">
        <v>8.3878859466014494E-3</v>
      </c>
      <c r="O8" s="15">
        <v>0.36818993339345601</v>
      </c>
      <c r="P8" s="15">
        <v>7.4317224230909303E-3</v>
      </c>
      <c r="Q8" s="15"/>
      <c r="R8" s="15"/>
      <c r="S8" s="15"/>
      <c r="T8" s="15"/>
      <c r="U8" s="15"/>
      <c r="V8" s="15"/>
      <c r="W8" s="15"/>
      <c r="X8" s="15">
        <v>2.4886121091671201</v>
      </c>
      <c r="Y8" s="15">
        <v>2.14595949845345</v>
      </c>
      <c r="Z8" s="15">
        <v>1.8640977329447701E-3</v>
      </c>
      <c r="AA8" s="15">
        <v>6.2135140387673796E-4</v>
      </c>
      <c r="AB8" s="15">
        <v>2.7728509903638698E-3</v>
      </c>
      <c r="AC8" s="15">
        <v>0.328288517676603</v>
      </c>
      <c r="AD8" s="15">
        <v>9.1057929098884004E-3</v>
      </c>
      <c r="AE8" s="15"/>
      <c r="AF8" s="15"/>
      <c r="AG8" s="15"/>
      <c r="AH8" s="15"/>
      <c r="AI8" s="15"/>
      <c r="AJ8" s="15"/>
      <c r="AK8" s="15"/>
      <c r="AL8" s="15">
        <v>1.87026821107138</v>
      </c>
      <c r="AM8" s="15">
        <v>1.6369234163167199</v>
      </c>
      <c r="AN8" s="15">
        <v>3.9637330664697001E-3</v>
      </c>
      <c r="AO8" s="15">
        <v>2.6740991324282498E-4</v>
      </c>
      <c r="AP8" s="15">
        <v>2.2953058035933599E-3</v>
      </c>
      <c r="AQ8" s="15">
        <v>0.226818345971355</v>
      </c>
      <c r="AR8" s="15">
        <v>0</v>
      </c>
      <c r="AS8" s="15"/>
      <c r="AT8" s="15"/>
      <c r="AU8" s="15"/>
      <c r="AV8" s="15"/>
      <c r="AW8" s="15"/>
      <c r="AX8" s="15"/>
      <c r="AY8" s="15"/>
      <c r="AZ8" s="15">
        <v>1.98529231681903</v>
      </c>
      <c r="BA8" s="15">
        <v>1.7023528645068</v>
      </c>
      <c r="BB8" s="15">
        <v>2.29129953496718E-3</v>
      </c>
      <c r="BC8" s="15">
        <v>0</v>
      </c>
      <c r="BD8" s="15">
        <v>7.4675530262403996E-4</v>
      </c>
      <c r="BE8" s="15">
        <v>0.27990139747464199</v>
      </c>
      <c r="BF8" s="15">
        <v>0</v>
      </c>
      <c r="BG8" s="15"/>
      <c r="BH8" s="15"/>
      <c r="BI8" s="15"/>
      <c r="BJ8" s="15"/>
      <c r="BK8" s="15"/>
      <c r="BL8" s="15"/>
      <c r="BM8" s="15"/>
      <c r="BN8" s="15"/>
      <c r="BO8" s="15"/>
      <c r="BP8" s="15"/>
      <c r="BQ8" s="15"/>
      <c r="BR8" s="15"/>
      <c r="BS8" s="15"/>
      <c r="BT8" s="15"/>
      <c r="BU8" s="15"/>
      <c r="BV8" s="15"/>
      <c r="BW8" s="15"/>
      <c r="BX8" s="15"/>
      <c r="BY8" s="15"/>
      <c r="BZ8" s="15"/>
      <c r="CA8" s="15"/>
      <c r="CB8" s="15">
        <f t="shared" si="1"/>
        <v>1.98529231681903</v>
      </c>
      <c r="CC8" s="15">
        <f t="shared" si="0"/>
        <v>1.7023528645068</v>
      </c>
      <c r="CD8" s="15">
        <f t="shared" si="0"/>
        <v>2.29129953496718E-3</v>
      </c>
      <c r="CE8" s="15">
        <f t="shared" si="0"/>
        <v>0</v>
      </c>
      <c r="CF8" s="15">
        <f t="shared" si="0"/>
        <v>7.4675530262403996E-4</v>
      </c>
      <c r="CG8" s="15">
        <f t="shared" si="0"/>
        <v>0.27990139747464199</v>
      </c>
      <c r="CH8" s="15">
        <f t="shared" si="0"/>
        <v>0</v>
      </c>
      <c r="CI8">
        <f t="shared" si="2"/>
        <v>2019</v>
      </c>
      <c r="CJ8" t="str">
        <f t="shared" si="3"/>
        <v>Budgetary central government</v>
      </c>
    </row>
    <row r="9" spans="1:88">
      <c r="A9" t="s">
        <v>219</v>
      </c>
      <c r="B9" t="s">
        <v>434</v>
      </c>
      <c r="C9" s="15"/>
      <c r="D9" s="15"/>
      <c r="E9" s="15"/>
      <c r="F9" s="15"/>
      <c r="G9" s="15"/>
      <c r="H9" s="15"/>
      <c r="I9" s="15"/>
      <c r="J9" s="15">
        <v>1.2417211817434901</v>
      </c>
      <c r="K9" s="15">
        <v>0.71168162994603101</v>
      </c>
      <c r="L9" s="15">
        <v>0.38933007807316999</v>
      </c>
      <c r="M9" s="15">
        <v>9.51196917420008E-2</v>
      </c>
      <c r="N9" s="15">
        <v>0</v>
      </c>
      <c r="O9" s="15">
        <v>0</v>
      </c>
      <c r="P9" s="15">
        <v>4.5589781982290301E-2</v>
      </c>
      <c r="Q9" s="15"/>
      <c r="R9" s="15"/>
      <c r="S9" s="15"/>
      <c r="T9" s="15"/>
      <c r="U9" s="15"/>
      <c r="V9" s="15"/>
      <c r="W9" s="15"/>
      <c r="X9" s="15">
        <v>1.13348696309251</v>
      </c>
      <c r="Y9" s="15">
        <v>0.58584673064429804</v>
      </c>
      <c r="Z9" s="15"/>
      <c r="AA9" s="15">
        <v>0.40235535383307103</v>
      </c>
      <c r="AB9" s="15">
        <v>0.102869277386665</v>
      </c>
      <c r="AC9" s="15"/>
      <c r="AD9" s="15">
        <v>4.2415601228471801E-2</v>
      </c>
      <c r="AE9" s="15"/>
      <c r="AF9" s="15"/>
      <c r="AG9" s="15"/>
      <c r="AH9" s="15"/>
      <c r="AI9" s="15"/>
      <c r="AJ9" s="15"/>
      <c r="AK9" s="15"/>
      <c r="AL9" s="15">
        <v>1.00410377090176</v>
      </c>
      <c r="AM9" s="15">
        <v>0.50650701216955396</v>
      </c>
      <c r="AN9" s="15">
        <v>0</v>
      </c>
      <c r="AO9" s="15">
        <v>0.37098679125630801</v>
      </c>
      <c r="AP9" s="15">
        <v>8.9397553420942799E-2</v>
      </c>
      <c r="AQ9" s="15">
        <v>0</v>
      </c>
      <c r="AR9" s="15">
        <v>3.7212414054953603E-2</v>
      </c>
      <c r="AS9" s="15"/>
      <c r="AT9" s="15"/>
      <c r="AU9" s="15"/>
      <c r="AV9" s="15"/>
      <c r="AW9" s="15"/>
      <c r="AX9" s="15"/>
      <c r="AY9" s="15"/>
      <c r="AZ9" s="15">
        <v>0.93823346401381402</v>
      </c>
      <c r="BA9" s="15">
        <v>0.441289897390299</v>
      </c>
      <c r="BB9" s="15"/>
      <c r="BC9" s="15">
        <v>0.37531647745563801</v>
      </c>
      <c r="BD9" s="15">
        <v>8.61223012561778E-2</v>
      </c>
      <c r="BE9" s="15"/>
      <c r="BF9" s="15">
        <v>3.5504787911698803E-2</v>
      </c>
      <c r="BG9" s="15"/>
      <c r="BH9" s="15"/>
      <c r="BI9" s="15"/>
      <c r="BJ9" s="15"/>
      <c r="BK9" s="15"/>
      <c r="BL9" s="15"/>
      <c r="BM9" s="15"/>
      <c r="BN9" s="15">
        <v>0.96359496051669302</v>
      </c>
      <c r="BO9" s="15">
        <v>0.45192927001642702</v>
      </c>
      <c r="BP9" s="15"/>
      <c r="BQ9" s="15">
        <v>0.391518552682173</v>
      </c>
      <c r="BR9" s="15">
        <v>8.6929039525411603E-2</v>
      </c>
      <c r="BS9" s="15"/>
      <c r="BT9" s="15">
        <v>3.3218098292682401E-2</v>
      </c>
      <c r="BU9" s="15"/>
      <c r="BV9" s="15"/>
      <c r="BW9" s="15"/>
      <c r="BX9" s="15"/>
      <c r="BY9" s="15"/>
      <c r="BZ9" s="15"/>
      <c r="CA9" s="15"/>
      <c r="CB9" s="15">
        <f t="shared" si="1"/>
        <v>0.96359496051669302</v>
      </c>
      <c r="CC9" s="15">
        <f t="shared" si="0"/>
        <v>0.45192927001642702</v>
      </c>
      <c r="CD9" s="15">
        <f t="shared" si="0"/>
        <v>0</v>
      </c>
      <c r="CE9" s="15">
        <f t="shared" si="0"/>
        <v>0.391518552682173</v>
      </c>
      <c r="CF9" s="15">
        <f t="shared" si="0"/>
        <v>8.6929039525411603E-2</v>
      </c>
      <c r="CG9" s="15">
        <f t="shared" si="0"/>
        <v>0</v>
      </c>
      <c r="CH9" s="15">
        <f t="shared" si="0"/>
        <v>3.3218098292682401E-2</v>
      </c>
      <c r="CI9">
        <f t="shared" si="2"/>
        <v>2020</v>
      </c>
      <c r="CJ9" t="str">
        <f t="shared" si="3"/>
        <v>Budgetary central government</v>
      </c>
    </row>
    <row r="10" spans="1:88">
      <c r="A10" t="s">
        <v>1612</v>
      </c>
      <c r="B10" t="s">
        <v>393</v>
      </c>
      <c r="C10" s="15"/>
      <c r="D10" s="15"/>
      <c r="E10" s="15"/>
      <c r="F10" s="15"/>
      <c r="G10" s="15"/>
      <c r="H10" s="15"/>
      <c r="I10" s="15"/>
      <c r="J10" s="15">
        <v>2.3205848852054798</v>
      </c>
      <c r="K10" s="15">
        <v>1.22923177984461</v>
      </c>
      <c r="L10" s="15">
        <v>0.147363021699848</v>
      </c>
      <c r="M10" s="15">
        <v>0.20615215282082999</v>
      </c>
      <c r="N10" s="15">
        <v>0.167484946155181</v>
      </c>
      <c r="O10" s="15">
        <v>0</v>
      </c>
      <c r="P10" s="15">
        <v>0.57035298468502005</v>
      </c>
      <c r="Q10" s="15">
        <v>2.2025864279502301</v>
      </c>
      <c r="R10" s="15">
        <v>1.0747082569045401</v>
      </c>
      <c r="S10" s="15">
        <v>0.154337126616722</v>
      </c>
      <c r="T10" s="15">
        <v>0.21310197336386399</v>
      </c>
      <c r="U10" s="15">
        <v>0.14803918822222301</v>
      </c>
      <c r="V10" s="15">
        <v>0</v>
      </c>
      <c r="W10" s="15">
        <v>0.61239988284288205</v>
      </c>
      <c r="X10" s="15">
        <v>2.20218471662101</v>
      </c>
      <c r="Y10" s="15">
        <v>1.0892285116059</v>
      </c>
      <c r="Z10" s="15">
        <v>0.15432693700969999</v>
      </c>
      <c r="AA10" s="15">
        <v>0.213099978573072</v>
      </c>
      <c r="AB10" s="15">
        <v>0.14803918822222301</v>
      </c>
      <c r="AC10" s="15">
        <v>0</v>
      </c>
      <c r="AD10" s="15">
        <v>0.59749010121011403</v>
      </c>
      <c r="AE10" s="15">
        <v>2.0462693956020099</v>
      </c>
      <c r="AF10" s="15">
        <v>1.00218632325767</v>
      </c>
      <c r="AG10" s="15">
        <v>0.14438417661575301</v>
      </c>
      <c r="AH10" s="15">
        <v>0.20138872463302199</v>
      </c>
      <c r="AI10" s="15">
        <v>0.13366355892350401</v>
      </c>
      <c r="AJ10" s="15">
        <v>0</v>
      </c>
      <c r="AK10" s="15">
        <v>0.56464661217205403</v>
      </c>
      <c r="AL10" s="15">
        <v>2.0457914500815999</v>
      </c>
      <c r="AM10" s="15">
        <v>1.0071347220970199</v>
      </c>
      <c r="AN10" s="15">
        <v>0.144312997869781</v>
      </c>
      <c r="AO10" s="15">
        <v>0.20138872463302199</v>
      </c>
      <c r="AP10" s="15">
        <v>0.13366355892350401</v>
      </c>
      <c r="AQ10" s="15">
        <v>0</v>
      </c>
      <c r="AR10" s="15">
        <v>0.55929144655826502</v>
      </c>
      <c r="AS10" s="15">
        <v>2.18695952087787</v>
      </c>
      <c r="AT10" s="15">
        <v>0.96034178740644704</v>
      </c>
      <c r="AU10" s="15">
        <v>0.17950263423943799</v>
      </c>
      <c r="AV10" s="15">
        <v>0.22783401426584901</v>
      </c>
      <c r="AW10" s="15">
        <v>0.157839868858584</v>
      </c>
      <c r="AX10" s="15">
        <v>0</v>
      </c>
      <c r="AY10" s="15">
        <v>0.66144121610755702</v>
      </c>
      <c r="AZ10" s="15">
        <v>2.1871997343961298</v>
      </c>
      <c r="BA10" s="15">
        <v>0.960341178488614</v>
      </c>
      <c r="BB10" s="15">
        <v>0.179447542398492</v>
      </c>
      <c r="BC10" s="15">
        <v>0.22783096967668401</v>
      </c>
      <c r="BD10" s="15">
        <v>0.15841712296431901</v>
      </c>
      <c r="BE10" s="15">
        <v>0</v>
      </c>
      <c r="BF10" s="15">
        <v>0.66116292086802197</v>
      </c>
      <c r="BG10" s="15">
        <v>2.4493562405392</v>
      </c>
      <c r="BH10" s="15">
        <v>1.00693695003872</v>
      </c>
      <c r="BI10" s="15">
        <v>0.19884158324131901</v>
      </c>
      <c r="BJ10" s="15">
        <v>0.23779817256609101</v>
      </c>
      <c r="BK10" s="15">
        <v>0.19049469964150001</v>
      </c>
      <c r="BL10" s="15">
        <v>0</v>
      </c>
      <c r="BM10" s="15">
        <v>0.81528483505157801</v>
      </c>
      <c r="BN10" s="15">
        <v>2.4488810484188899</v>
      </c>
      <c r="BO10" s="15">
        <v>1.00692078506961</v>
      </c>
      <c r="BP10" s="15">
        <v>0.198786924506441</v>
      </c>
      <c r="BQ10" s="15">
        <v>0.23779332113478699</v>
      </c>
      <c r="BR10" s="15">
        <v>0.19045350937258501</v>
      </c>
      <c r="BS10" s="15">
        <v>0</v>
      </c>
      <c r="BT10" s="15">
        <v>0.81492650833546199</v>
      </c>
      <c r="BU10" s="15"/>
      <c r="BV10" s="15"/>
      <c r="BW10" s="15"/>
      <c r="BX10" s="15"/>
      <c r="BY10" s="15"/>
      <c r="BZ10" s="15"/>
      <c r="CA10" s="15"/>
      <c r="CB10" s="15">
        <f t="shared" si="1"/>
        <v>2.4493562405392</v>
      </c>
      <c r="CC10" s="15">
        <f t="shared" si="0"/>
        <v>1.00693695003872</v>
      </c>
      <c r="CD10" s="15">
        <f t="shared" si="0"/>
        <v>0.19884158324131901</v>
      </c>
      <c r="CE10" s="15">
        <f t="shared" si="0"/>
        <v>0.23779817256609101</v>
      </c>
      <c r="CF10" s="15">
        <f t="shared" si="0"/>
        <v>0.19049469964150001</v>
      </c>
      <c r="CG10" s="15">
        <f t="shared" si="0"/>
        <v>0</v>
      </c>
      <c r="CH10" s="15">
        <f t="shared" si="0"/>
        <v>0.81528483505157801</v>
      </c>
      <c r="CI10">
        <f t="shared" si="2"/>
        <v>2020</v>
      </c>
      <c r="CJ10" t="str">
        <f t="shared" si="3"/>
        <v>General government</v>
      </c>
    </row>
    <row r="11" spans="1:88">
      <c r="A11" t="s">
        <v>74</v>
      </c>
      <c r="B11" t="s">
        <v>461</v>
      </c>
      <c r="C11" s="15">
        <v>1.7460655952466999</v>
      </c>
      <c r="D11" s="15">
        <v>0.61161055487899096</v>
      </c>
      <c r="E11" s="15">
        <v>0.22353070418927701</v>
      </c>
      <c r="F11" s="15">
        <v>0.35218569556234303</v>
      </c>
      <c r="G11" s="15">
        <v>0.26823684502713202</v>
      </c>
      <c r="H11" s="15">
        <v>1.29242457087098E-3</v>
      </c>
      <c r="I11" s="15">
        <v>0.28920937101808403</v>
      </c>
      <c r="J11" s="15">
        <v>0.29508402815840701</v>
      </c>
      <c r="K11" s="15">
        <v>6.4621228543549096E-3</v>
      </c>
      <c r="L11" s="15">
        <v>1.40991771367744E-3</v>
      </c>
      <c r="M11" s="15">
        <v>7.6781768824016994E-2</v>
      </c>
      <c r="N11" s="15">
        <v>0</v>
      </c>
      <c r="O11" s="15">
        <v>0</v>
      </c>
      <c r="P11" s="15">
        <v>0.21043021876635701</v>
      </c>
      <c r="Q11" s="15">
        <v>1.7405248975380301</v>
      </c>
      <c r="R11" s="15">
        <v>0.61681992600153701</v>
      </c>
      <c r="S11" s="15">
        <v>0.208023807046018</v>
      </c>
      <c r="T11" s="15">
        <v>0.35095022263750703</v>
      </c>
      <c r="U11" s="15">
        <v>0.28535463686062301</v>
      </c>
      <c r="V11" s="15">
        <v>1.3285181929495501E-3</v>
      </c>
      <c r="W11" s="15">
        <v>0.27804778679940001</v>
      </c>
      <c r="X11" s="15">
        <v>0.29221864752419602</v>
      </c>
      <c r="Y11" s="15">
        <v>6.6979458894540003E-3</v>
      </c>
      <c r="Z11" s="15">
        <v>1.3838731176557899E-3</v>
      </c>
      <c r="AA11" s="15">
        <v>8.2977032134640902E-2</v>
      </c>
      <c r="AB11" s="15">
        <v>0</v>
      </c>
      <c r="AC11" s="15">
        <v>0</v>
      </c>
      <c r="AD11" s="15">
        <v>0.20110444145773901</v>
      </c>
      <c r="AE11" s="15">
        <v>1.8152618643938401</v>
      </c>
      <c r="AF11" s="15">
        <v>0.60243785994280397</v>
      </c>
      <c r="AG11" s="15">
        <v>0.21376148092859101</v>
      </c>
      <c r="AH11" s="15">
        <v>0.36798978408563898</v>
      </c>
      <c r="AI11" s="15">
        <v>0.33040650474975802</v>
      </c>
      <c r="AJ11" s="15">
        <v>1.57912938386056E-3</v>
      </c>
      <c r="AK11" s="15">
        <v>0.29908710530318999</v>
      </c>
      <c r="AL11" s="15">
        <v>0.30292965347058398</v>
      </c>
      <c r="AM11" s="15">
        <v>9.4747763031633597E-3</v>
      </c>
      <c r="AN11" s="15">
        <v>1.15802821483108E-3</v>
      </c>
      <c r="AO11" s="15">
        <v>7.3166328118872706E-2</v>
      </c>
      <c r="AP11" s="15">
        <v>0</v>
      </c>
      <c r="AQ11" s="15">
        <v>0</v>
      </c>
      <c r="AR11" s="15">
        <v>0.21913052083371701</v>
      </c>
      <c r="AS11" s="15">
        <v>1.8528837489861301</v>
      </c>
      <c r="AT11" s="15">
        <v>0.609398652366405</v>
      </c>
      <c r="AU11" s="15">
        <v>0.23628315797838001</v>
      </c>
      <c r="AV11" s="15">
        <v>0.391856227095701</v>
      </c>
      <c r="AW11" s="15">
        <v>0.31134603938352501</v>
      </c>
      <c r="AX11" s="15">
        <v>1.5492339038345501E-3</v>
      </c>
      <c r="AY11" s="15">
        <v>0.30240046297106099</v>
      </c>
      <c r="AZ11" s="15">
        <v>0.29985172332281701</v>
      </c>
      <c r="BA11" s="15">
        <v>5.5972321686925796E-3</v>
      </c>
      <c r="BB11" s="15">
        <v>1.7991103399369001E-3</v>
      </c>
      <c r="BC11" s="15">
        <v>6.9265748087570703E-2</v>
      </c>
      <c r="BD11" s="15">
        <v>0</v>
      </c>
      <c r="BE11" s="15">
        <v>0</v>
      </c>
      <c r="BF11" s="15">
        <v>0.22318963272661699</v>
      </c>
      <c r="BG11" s="15">
        <v>2.0181498380004799</v>
      </c>
      <c r="BH11" s="15">
        <v>0.67405412241667995</v>
      </c>
      <c r="BI11" s="15">
        <v>0.27407098519783002</v>
      </c>
      <c r="BJ11" s="15">
        <v>0.40612890986691103</v>
      </c>
      <c r="BK11" s="15">
        <v>0.34715996735121801</v>
      </c>
      <c r="BL11" s="15">
        <v>1.62532830361945E-3</v>
      </c>
      <c r="BM11" s="15">
        <v>0.31511052486422197</v>
      </c>
      <c r="BN11" s="15">
        <v>0.33725562300103701</v>
      </c>
      <c r="BO11" s="15">
        <v>1.4424788694622701E-2</v>
      </c>
      <c r="BP11" s="15">
        <v>1.16820471822648E-3</v>
      </c>
      <c r="BQ11" s="15">
        <v>8.9697805755998603E-2</v>
      </c>
      <c r="BR11" s="15">
        <v>0</v>
      </c>
      <c r="BS11" s="15">
        <v>0</v>
      </c>
      <c r="BT11" s="15">
        <v>0.231964823832189</v>
      </c>
      <c r="BU11" s="15"/>
      <c r="BV11" s="15"/>
      <c r="BW11" s="15"/>
      <c r="BX11" s="15"/>
      <c r="BY11" s="15"/>
      <c r="BZ11" s="15"/>
      <c r="CA11" s="15"/>
      <c r="CB11" s="15">
        <f t="shared" si="1"/>
        <v>2.0181498380004799</v>
      </c>
      <c r="CC11" s="15">
        <f t="shared" si="0"/>
        <v>0.67405412241667995</v>
      </c>
      <c r="CD11" s="15">
        <f t="shared" si="0"/>
        <v>0.27407098519783002</v>
      </c>
      <c r="CE11" s="15">
        <f t="shared" si="0"/>
        <v>0.40612890986691103</v>
      </c>
      <c r="CF11" s="15">
        <f t="shared" si="0"/>
        <v>0.34715996735121801</v>
      </c>
      <c r="CG11" s="15">
        <f t="shared" si="0"/>
        <v>1.62532830361945E-3</v>
      </c>
      <c r="CH11" s="15">
        <f t="shared" si="0"/>
        <v>0.31511052486422197</v>
      </c>
      <c r="CI11">
        <f t="shared" si="2"/>
        <v>2020</v>
      </c>
      <c r="CJ11" t="str">
        <f t="shared" si="3"/>
        <v>General government</v>
      </c>
    </row>
    <row r="12" spans="1:88">
      <c r="A12" t="s">
        <v>53</v>
      </c>
      <c r="B12" t="s">
        <v>458</v>
      </c>
      <c r="C12" s="15">
        <v>1.34376747723765</v>
      </c>
      <c r="D12" s="15">
        <v>0.680197311022125</v>
      </c>
      <c r="E12" s="15">
        <v>0.169632670410058</v>
      </c>
      <c r="F12" s="15">
        <v>0.28493210442719402</v>
      </c>
      <c r="G12" s="15">
        <v>0.13201606228048601</v>
      </c>
      <c r="H12" s="15">
        <v>2.2390438692646699E-2</v>
      </c>
      <c r="I12" s="15">
        <v>5.4598890405136297E-2</v>
      </c>
      <c r="J12" s="15"/>
      <c r="K12" s="15"/>
      <c r="L12" s="15"/>
      <c r="M12" s="15"/>
      <c r="N12" s="15"/>
      <c r="O12" s="15"/>
      <c r="P12" s="15"/>
      <c r="Q12" s="15">
        <v>1.36438031706717</v>
      </c>
      <c r="R12" s="15">
        <v>0.69272783736885102</v>
      </c>
      <c r="S12" s="15">
        <v>0.16847019274584199</v>
      </c>
      <c r="T12" s="15">
        <v>0.28356157299495099</v>
      </c>
      <c r="U12" s="15">
        <v>0.13954031135971001</v>
      </c>
      <c r="V12" s="15">
        <v>2.5569845560190499E-2</v>
      </c>
      <c r="W12" s="15">
        <v>5.4510557037623503E-2</v>
      </c>
      <c r="X12" s="15"/>
      <c r="Y12" s="15"/>
      <c r="Z12" s="15"/>
      <c r="AA12" s="15"/>
      <c r="AB12" s="15"/>
      <c r="AC12" s="15"/>
      <c r="AD12" s="15"/>
      <c r="AE12" s="15">
        <v>1.35621606598888</v>
      </c>
      <c r="AF12" s="15">
        <v>0.68726825355594301</v>
      </c>
      <c r="AG12" s="15">
        <v>0.16986629970425199</v>
      </c>
      <c r="AH12" s="15">
        <v>0.276311695577586</v>
      </c>
      <c r="AI12" s="15">
        <v>0.138778638988442</v>
      </c>
      <c r="AJ12" s="15">
        <v>2.5300892485738701E-2</v>
      </c>
      <c r="AK12" s="15">
        <v>5.8690285676918197E-2</v>
      </c>
      <c r="AL12" s="15"/>
      <c r="AM12" s="15"/>
      <c r="AN12" s="15"/>
      <c r="AO12" s="15"/>
      <c r="AP12" s="15"/>
      <c r="AQ12" s="15"/>
      <c r="AR12" s="15"/>
      <c r="AS12" s="15">
        <v>1.3328817628052401</v>
      </c>
      <c r="AT12" s="15">
        <v>0.67962705942067803</v>
      </c>
      <c r="AU12" s="15">
        <v>0.162756548820677</v>
      </c>
      <c r="AV12" s="15">
        <v>0.27060778911371303</v>
      </c>
      <c r="AW12" s="15">
        <v>0.13586605207465099</v>
      </c>
      <c r="AX12" s="15">
        <v>2.56555108791942E-2</v>
      </c>
      <c r="AY12" s="15">
        <v>5.8366287250166897E-2</v>
      </c>
      <c r="AZ12" s="15"/>
      <c r="BA12" s="15"/>
      <c r="BB12" s="15"/>
      <c r="BC12" s="15"/>
      <c r="BD12" s="15"/>
      <c r="BE12" s="15"/>
      <c r="BF12" s="15"/>
      <c r="BG12" s="15">
        <v>1.43017610927842</v>
      </c>
      <c r="BH12" s="15">
        <v>0.72614534886482296</v>
      </c>
      <c r="BI12" s="15">
        <v>0.174687042028009</v>
      </c>
      <c r="BJ12" s="15">
        <v>0.28531275743402201</v>
      </c>
      <c r="BK12" s="15">
        <v>0.15326378184002001</v>
      </c>
      <c r="BL12" s="15">
        <v>2.79512988263779E-2</v>
      </c>
      <c r="BM12" s="15">
        <v>6.2815880285164993E-2</v>
      </c>
      <c r="BN12" s="15"/>
      <c r="BO12" s="15"/>
      <c r="BP12" s="15"/>
      <c r="BQ12" s="15"/>
      <c r="BR12" s="15"/>
      <c r="BS12" s="15"/>
      <c r="BT12" s="15"/>
      <c r="BU12" s="15"/>
      <c r="BV12" s="15"/>
      <c r="BW12" s="15"/>
      <c r="BX12" s="15"/>
      <c r="BY12" s="15"/>
      <c r="BZ12" s="15"/>
      <c r="CA12" s="15"/>
      <c r="CB12" s="15">
        <f t="shared" si="1"/>
        <v>1.43017610927842</v>
      </c>
      <c r="CC12" s="15">
        <f t="shared" si="0"/>
        <v>0.72614534886482296</v>
      </c>
      <c r="CD12" s="15">
        <f t="shared" si="0"/>
        <v>0.174687042028009</v>
      </c>
      <c r="CE12" s="15">
        <f t="shared" si="0"/>
        <v>0.28531275743402201</v>
      </c>
      <c r="CF12" s="15">
        <f t="shared" si="0"/>
        <v>0.15326378184002001</v>
      </c>
      <c r="CG12" s="15">
        <f t="shared" si="0"/>
        <v>2.79512988263779E-2</v>
      </c>
      <c r="CH12" s="15">
        <f t="shared" si="0"/>
        <v>6.2815880285164993E-2</v>
      </c>
      <c r="CI12">
        <f t="shared" si="2"/>
        <v>2020</v>
      </c>
      <c r="CJ12" t="str">
        <f t="shared" si="3"/>
        <v>General government</v>
      </c>
    </row>
    <row r="13" spans="1:88">
      <c r="A13" t="s">
        <v>1613</v>
      </c>
      <c r="B13" t="s">
        <v>397</v>
      </c>
      <c r="C13" s="15">
        <v>2.1173285318046098</v>
      </c>
      <c r="D13" s="15">
        <v>1.5240330193363001</v>
      </c>
      <c r="E13" s="15">
        <v>0</v>
      </c>
      <c r="F13" s="15">
        <v>0.185022143079377</v>
      </c>
      <c r="G13" s="15">
        <v>0</v>
      </c>
      <c r="H13" s="15">
        <v>0</v>
      </c>
      <c r="I13" s="15">
        <v>0.40827336938893</v>
      </c>
      <c r="J13" s="15">
        <v>2.0316027088036099</v>
      </c>
      <c r="K13" s="15">
        <v>1.4621383131541099</v>
      </c>
      <c r="L13" s="15">
        <v>0</v>
      </c>
      <c r="M13" s="15">
        <v>0.173934054003959</v>
      </c>
      <c r="N13" s="15">
        <v>0</v>
      </c>
      <c r="O13" s="15">
        <v>0</v>
      </c>
      <c r="P13" s="15">
        <v>0.39553034164553902</v>
      </c>
      <c r="Q13" s="15">
        <v>1.89912109847052</v>
      </c>
      <c r="R13" s="15">
        <v>1.3456491388698499</v>
      </c>
      <c r="S13" s="15">
        <v>0</v>
      </c>
      <c r="T13" s="15">
        <v>0.161364159811652</v>
      </c>
      <c r="U13" s="15">
        <v>0</v>
      </c>
      <c r="V13" s="15">
        <v>0</v>
      </c>
      <c r="W13" s="15">
        <v>0.392107799789018</v>
      </c>
      <c r="X13" s="15">
        <v>1.8313055000298599</v>
      </c>
      <c r="Y13" s="15">
        <v>1.29375669981148</v>
      </c>
      <c r="Z13" s="15">
        <v>0</v>
      </c>
      <c r="AA13" s="15">
        <v>0.15198086946137099</v>
      </c>
      <c r="AB13" s="15">
        <v>0</v>
      </c>
      <c r="AC13" s="15">
        <v>0</v>
      </c>
      <c r="AD13" s="15">
        <v>0.38556793075700402</v>
      </c>
      <c r="AE13" s="15">
        <v>1.8923238275982599</v>
      </c>
      <c r="AF13" s="15">
        <v>1.3248514208660001</v>
      </c>
      <c r="AG13" s="15">
        <v>0</v>
      </c>
      <c r="AH13" s="15">
        <v>0.14807970833541401</v>
      </c>
      <c r="AI13" s="15">
        <v>0</v>
      </c>
      <c r="AJ13" s="15">
        <v>0</v>
      </c>
      <c r="AK13" s="15">
        <v>0.41939269839684401</v>
      </c>
      <c r="AL13" s="15">
        <v>1.8328921739999</v>
      </c>
      <c r="AM13" s="15">
        <v>1.2801528242521101</v>
      </c>
      <c r="AN13" s="15">
        <v>0</v>
      </c>
      <c r="AO13" s="15">
        <v>0.139839184937322</v>
      </c>
      <c r="AP13" s="15">
        <v>0</v>
      </c>
      <c r="AQ13" s="15">
        <v>0</v>
      </c>
      <c r="AR13" s="15">
        <v>0.41290016481046798</v>
      </c>
      <c r="AS13" s="15">
        <v>2.09277109316427</v>
      </c>
      <c r="AT13" s="15">
        <v>1.4517157084211501</v>
      </c>
      <c r="AU13" s="15">
        <v>0</v>
      </c>
      <c r="AV13" s="15">
        <v>0.163255437981249</v>
      </c>
      <c r="AW13" s="15">
        <v>0</v>
      </c>
      <c r="AX13" s="15">
        <v>0</v>
      </c>
      <c r="AY13" s="15">
        <v>0.47779994676187698</v>
      </c>
      <c r="AZ13" s="15">
        <v>2.0330613630424899</v>
      </c>
      <c r="BA13" s="15">
        <v>1.40568182650721</v>
      </c>
      <c r="BB13" s="15">
        <v>0</v>
      </c>
      <c r="BC13" s="15">
        <v>0.155929090727042</v>
      </c>
      <c r="BD13" s="15">
        <v>0</v>
      </c>
      <c r="BE13" s="15">
        <v>0</v>
      </c>
      <c r="BF13" s="15">
        <v>0.47145044580822998</v>
      </c>
      <c r="BG13" s="15"/>
      <c r="BH13" s="15"/>
      <c r="BI13" s="15"/>
      <c r="BJ13" s="15"/>
      <c r="BK13" s="15"/>
      <c r="BL13" s="15"/>
      <c r="BM13" s="15"/>
      <c r="BN13" s="15">
        <v>2.9060279820300901</v>
      </c>
      <c r="BO13" s="15">
        <v>2.3656605763734899</v>
      </c>
      <c r="BP13" s="15">
        <v>0</v>
      </c>
      <c r="BQ13" s="15">
        <v>0.24519481666993401</v>
      </c>
      <c r="BR13" s="15">
        <v>0</v>
      </c>
      <c r="BS13" s="15">
        <v>0</v>
      </c>
      <c r="BT13" s="15">
        <v>0.29517258898666598</v>
      </c>
      <c r="BU13" s="15"/>
      <c r="BV13" s="15"/>
      <c r="BW13" s="15"/>
      <c r="BX13" s="15"/>
      <c r="BY13" s="15"/>
      <c r="BZ13" s="15"/>
      <c r="CA13" s="15"/>
      <c r="CB13" s="15">
        <f t="shared" si="1"/>
        <v>2.09277109316427</v>
      </c>
      <c r="CC13" s="15">
        <f t="shared" si="0"/>
        <v>1.4517157084211501</v>
      </c>
      <c r="CD13" s="15">
        <f t="shared" si="0"/>
        <v>0</v>
      </c>
      <c r="CE13" s="15">
        <f t="shared" si="0"/>
        <v>0.163255437981249</v>
      </c>
      <c r="CF13" s="15">
        <f t="shared" si="0"/>
        <v>0</v>
      </c>
      <c r="CG13" s="15">
        <f t="shared" si="0"/>
        <v>0</v>
      </c>
      <c r="CH13" s="15">
        <f t="shared" si="0"/>
        <v>0.47779994676187698</v>
      </c>
      <c r="CI13">
        <f t="shared" si="2"/>
        <v>2019</v>
      </c>
      <c r="CJ13" t="str">
        <f t="shared" si="3"/>
        <v>General government</v>
      </c>
    </row>
    <row r="14" spans="1:88">
      <c r="A14" t="s">
        <v>249</v>
      </c>
      <c r="B14" t="s">
        <v>499</v>
      </c>
      <c r="C14" s="15"/>
      <c r="D14" s="15"/>
      <c r="E14" s="15"/>
      <c r="F14" s="15"/>
      <c r="G14" s="15"/>
      <c r="H14" s="15"/>
      <c r="I14" s="15"/>
      <c r="J14" s="15">
        <v>1.6952491328331301</v>
      </c>
      <c r="K14" s="15">
        <v>1.2213627941484699</v>
      </c>
      <c r="L14" s="15">
        <v>0</v>
      </c>
      <c r="M14" s="15">
        <v>0.26590659672213601</v>
      </c>
      <c r="N14" s="15">
        <v>0.207979741962527</v>
      </c>
      <c r="O14" s="15">
        <v>0</v>
      </c>
      <c r="P14" s="15">
        <v>0</v>
      </c>
      <c r="Q14" s="15"/>
      <c r="R14" s="15"/>
      <c r="S14" s="15"/>
      <c r="T14" s="15"/>
      <c r="U14" s="15"/>
      <c r="V14" s="15"/>
      <c r="W14" s="15"/>
      <c r="X14" s="15">
        <v>1.7062552106767399</v>
      </c>
      <c r="Y14" s="15">
        <v>1.2287796145932599</v>
      </c>
      <c r="Z14" s="15">
        <v>0</v>
      </c>
      <c r="AA14" s="15">
        <v>0.29151923471062502</v>
      </c>
      <c r="AB14" s="15">
        <v>0.18595636137286101</v>
      </c>
      <c r="AC14" s="15">
        <v>0</v>
      </c>
      <c r="AD14" s="15">
        <v>0</v>
      </c>
      <c r="AE14" s="15"/>
      <c r="AF14" s="15"/>
      <c r="AG14" s="15"/>
      <c r="AH14" s="15"/>
      <c r="AI14" s="15"/>
      <c r="AJ14" s="15"/>
      <c r="AK14" s="15"/>
      <c r="AL14" s="15">
        <v>1.6522267851575401</v>
      </c>
      <c r="AM14" s="15">
        <v>1.2021580047764999</v>
      </c>
      <c r="AN14" s="15">
        <v>0</v>
      </c>
      <c r="AO14" s="15">
        <v>0.261475977300128</v>
      </c>
      <c r="AP14" s="15">
        <v>0.188592803080916</v>
      </c>
      <c r="AQ14" s="15">
        <v>0</v>
      </c>
      <c r="AR14" s="15">
        <v>0</v>
      </c>
      <c r="AS14" s="15"/>
      <c r="AT14" s="15"/>
      <c r="AU14" s="15"/>
      <c r="AV14" s="15"/>
      <c r="AW14" s="15"/>
      <c r="AX14" s="15"/>
      <c r="AY14" s="15"/>
      <c r="AZ14" s="15">
        <v>1.6746503151972201</v>
      </c>
      <c r="BA14" s="15">
        <v>1.23433450673108</v>
      </c>
      <c r="BB14" s="15">
        <v>0</v>
      </c>
      <c r="BC14" s="15">
        <v>0.239452072348072</v>
      </c>
      <c r="BD14" s="15">
        <v>0.20086373611806599</v>
      </c>
      <c r="BE14" s="15">
        <v>0</v>
      </c>
      <c r="BF14" s="15">
        <v>0</v>
      </c>
      <c r="BG14" s="15"/>
      <c r="BH14" s="15"/>
      <c r="BI14" s="15"/>
      <c r="BJ14" s="15"/>
      <c r="BK14" s="15"/>
      <c r="BL14" s="15"/>
      <c r="BM14" s="15"/>
      <c r="BN14" s="15">
        <v>2.2073975841614</v>
      </c>
      <c r="BO14" s="15">
        <v>1.66210225649401</v>
      </c>
      <c r="BP14" s="15">
        <v>0</v>
      </c>
      <c r="BQ14" s="15">
        <v>0.311857155836399</v>
      </c>
      <c r="BR14" s="15">
        <v>0.23343817183099499</v>
      </c>
      <c r="BS14" s="15">
        <v>0</v>
      </c>
      <c r="BT14" s="15">
        <v>0</v>
      </c>
      <c r="BU14" s="15"/>
      <c r="BV14" s="15"/>
      <c r="BW14" s="15"/>
      <c r="BX14" s="15"/>
      <c r="BY14" s="15"/>
      <c r="BZ14" s="15"/>
      <c r="CA14" s="15"/>
      <c r="CB14" s="15">
        <f t="shared" si="1"/>
        <v>2.2073975841614</v>
      </c>
      <c r="CC14" s="15">
        <f t="shared" si="0"/>
        <v>1.66210225649401</v>
      </c>
      <c r="CD14" s="15">
        <f t="shared" si="0"/>
        <v>0</v>
      </c>
      <c r="CE14" s="15">
        <f t="shared" si="0"/>
        <v>0.311857155836399</v>
      </c>
      <c r="CF14" s="15">
        <f t="shared" si="0"/>
        <v>0.23343817183099499</v>
      </c>
      <c r="CG14" s="15">
        <f t="shared" si="0"/>
        <v>0</v>
      </c>
      <c r="CH14" s="15">
        <f t="shared" si="0"/>
        <v>0</v>
      </c>
      <c r="CI14">
        <f t="shared" si="2"/>
        <v>2020</v>
      </c>
      <c r="CJ14" t="str">
        <f t="shared" si="3"/>
        <v>Budgetary central government</v>
      </c>
    </row>
    <row r="15" spans="1:88">
      <c r="A15" t="s">
        <v>1614</v>
      </c>
      <c r="B15" t="s">
        <v>500</v>
      </c>
      <c r="C15" s="15"/>
      <c r="D15" s="15"/>
      <c r="E15" s="15"/>
      <c r="F15" s="15"/>
      <c r="G15" s="15"/>
      <c r="H15" s="15"/>
      <c r="I15" s="15"/>
      <c r="J15" s="15">
        <v>4.1603175620341002</v>
      </c>
      <c r="K15" s="15"/>
      <c r="L15" s="15"/>
      <c r="M15" s="15"/>
      <c r="N15" s="15"/>
      <c r="O15" s="15"/>
      <c r="P15" s="15"/>
      <c r="Q15" s="15"/>
      <c r="R15" s="15"/>
      <c r="S15" s="15"/>
      <c r="T15" s="15"/>
      <c r="U15" s="15"/>
      <c r="V15" s="15"/>
      <c r="W15" s="15"/>
      <c r="X15" s="15">
        <v>3.5056638374344802</v>
      </c>
      <c r="Y15" s="15"/>
      <c r="Z15" s="15"/>
      <c r="AA15" s="15"/>
      <c r="AB15" s="15"/>
      <c r="AC15" s="15"/>
      <c r="AD15" s="15"/>
      <c r="AE15" s="15"/>
      <c r="AF15" s="15"/>
      <c r="AG15" s="15"/>
      <c r="AH15" s="15"/>
      <c r="AI15" s="15"/>
      <c r="AJ15" s="15"/>
      <c r="AK15" s="15"/>
      <c r="AL15" s="15">
        <v>3.2959539643972402</v>
      </c>
      <c r="AM15" s="15"/>
      <c r="AN15" s="15"/>
      <c r="AO15" s="15"/>
      <c r="AP15" s="15"/>
      <c r="AQ15" s="15"/>
      <c r="AR15" s="15"/>
      <c r="AS15" s="15"/>
      <c r="AT15" s="15"/>
      <c r="AU15" s="15"/>
      <c r="AV15" s="15"/>
      <c r="AW15" s="15"/>
      <c r="AX15" s="15"/>
      <c r="AY15" s="15"/>
      <c r="AZ15" s="15">
        <v>3.1358401370236102</v>
      </c>
      <c r="BA15" s="15"/>
      <c r="BB15" s="15"/>
      <c r="BC15" s="15"/>
      <c r="BD15" s="15"/>
      <c r="BE15" s="15"/>
      <c r="BF15" s="15"/>
      <c r="BG15" s="15"/>
      <c r="BH15" s="15"/>
      <c r="BI15" s="15"/>
      <c r="BJ15" s="15"/>
      <c r="BK15" s="15"/>
      <c r="BL15" s="15"/>
      <c r="BM15" s="15"/>
      <c r="BN15" s="15">
        <v>3.4954884879086698</v>
      </c>
      <c r="BO15" s="15"/>
      <c r="BP15" s="15"/>
      <c r="BQ15" s="15"/>
      <c r="BR15" s="15"/>
      <c r="BS15" s="15"/>
      <c r="BT15" s="15"/>
      <c r="BU15" s="15"/>
      <c r="BV15" s="15"/>
      <c r="BW15" s="15"/>
      <c r="BX15" s="15"/>
      <c r="BY15" s="15"/>
      <c r="BZ15" s="15"/>
      <c r="CA15" s="15"/>
      <c r="CB15" s="15">
        <f t="shared" si="1"/>
        <v>3.4954884879086698</v>
      </c>
      <c r="CC15" s="15" t="str">
        <f t="shared" si="0"/>
        <v xml:space="preserve"> </v>
      </c>
      <c r="CD15" s="15" t="str">
        <f t="shared" si="0"/>
        <v xml:space="preserve"> </v>
      </c>
      <c r="CE15" s="15" t="str">
        <f t="shared" si="0"/>
        <v xml:space="preserve"> </v>
      </c>
      <c r="CF15" s="15" t="str">
        <f t="shared" si="0"/>
        <v xml:space="preserve"> </v>
      </c>
      <c r="CG15" s="15" t="str">
        <f t="shared" si="0"/>
        <v xml:space="preserve"> </v>
      </c>
      <c r="CH15" s="15" t="str">
        <f t="shared" si="0"/>
        <v xml:space="preserve"> </v>
      </c>
      <c r="CI15">
        <f t="shared" si="2"/>
        <v>2020</v>
      </c>
      <c r="CJ15" t="str">
        <f t="shared" si="3"/>
        <v>Budgetary central government</v>
      </c>
    </row>
    <row r="16" spans="1:88">
      <c r="A16" t="s">
        <v>149</v>
      </c>
      <c r="B16" t="s">
        <v>363</v>
      </c>
      <c r="C16" s="15"/>
      <c r="D16" s="15"/>
      <c r="E16" s="15"/>
      <c r="F16" s="15"/>
      <c r="G16" s="15"/>
      <c r="H16" s="15"/>
      <c r="I16" s="15"/>
      <c r="J16" s="15">
        <v>1.1045300331468699</v>
      </c>
      <c r="K16" s="15">
        <v>0.91755629712827402</v>
      </c>
      <c r="L16" s="15">
        <v>6.34787375371762E-2</v>
      </c>
      <c r="M16" s="15">
        <v>0.123494998481415</v>
      </c>
      <c r="N16" s="15">
        <v>5.30913077583655E-2</v>
      </c>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f t="shared" si="1"/>
        <v>1.1045300331468699</v>
      </c>
      <c r="CC16" s="15">
        <f t="shared" si="0"/>
        <v>0.91755629712827402</v>
      </c>
      <c r="CD16" s="15">
        <f t="shared" si="0"/>
        <v>6.34787375371762E-2</v>
      </c>
      <c r="CE16" s="15">
        <f t="shared" si="0"/>
        <v>0.123494998481415</v>
      </c>
      <c r="CF16" s="15">
        <f t="shared" si="0"/>
        <v>5.30913077583655E-2</v>
      </c>
      <c r="CG16" s="15" t="str">
        <f t="shared" si="0"/>
        <v xml:space="preserve"> </v>
      </c>
      <c r="CH16" s="15" t="str">
        <f t="shared" si="0"/>
        <v xml:space="preserve"> </v>
      </c>
      <c r="CI16">
        <f t="shared" si="2"/>
        <v>2016</v>
      </c>
      <c r="CJ16" t="str">
        <f t="shared" si="3"/>
        <v>Budgetary central government</v>
      </c>
    </row>
    <row r="17" spans="1:88">
      <c r="A17" t="s">
        <v>1615</v>
      </c>
      <c r="B17" t="s">
        <v>415</v>
      </c>
      <c r="C17" s="15">
        <v>1.8969442121560001</v>
      </c>
      <c r="D17" s="15">
        <v>0.64134233114619399</v>
      </c>
      <c r="E17" s="15">
        <v>0.30527830730181499</v>
      </c>
      <c r="F17" s="15">
        <v>0.14437435886633901</v>
      </c>
      <c r="G17" s="15">
        <v>0.18481506914238199</v>
      </c>
      <c r="H17" s="15">
        <v>6.0807380804431895E-4</v>
      </c>
      <c r="I17" s="15">
        <v>0.62052607189122599</v>
      </c>
      <c r="J17" s="15">
        <v>1.7989048331209401</v>
      </c>
      <c r="K17" s="15">
        <v>0.64134233114619399</v>
      </c>
      <c r="L17" s="15">
        <v>0.22830037177853399</v>
      </c>
      <c r="M17" s="15">
        <v>0.14437435886633901</v>
      </c>
      <c r="N17" s="15">
        <v>0.18481506914238199</v>
      </c>
      <c r="O17" s="15">
        <v>6.0807380804431895E-4</v>
      </c>
      <c r="P17" s="15">
        <v>0.59946462837944603</v>
      </c>
      <c r="Q17" s="15">
        <v>2.3141587484231398</v>
      </c>
      <c r="R17" s="15">
        <v>0.988263642804322</v>
      </c>
      <c r="S17" s="15">
        <v>0.30437634337983999</v>
      </c>
      <c r="T17" s="15">
        <v>0.19957937507210499</v>
      </c>
      <c r="U17" s="15">
        <v>0.18935321126978999</v>
      </c>
      <c r="V17" s="15">
        <v>8.8128231024263296E-4</v>
      </c>
      <c r="W17" s="15">
        <v>0.63170489358684101</v>
      </c>
      <c r="X17" s="15">
        <v>2.2210926809628901</v>
      </c>
      <c r="Y17" s="15">
        <v>0.988263642804322</v>
      </c>
      <c r="Z17" s="15">
        <v>0.232448472049642</v>
      </c>
      <c r="AA17" s="15">
        <v>0.19957937507210499</v>
      </c>
      <c r="AB17" s="15">
        <v>0.18935321126978999</v>
      </c>
      <c r="AC17" s="15">
        <v>8.8128231024263296E-4</v>
      </c>
      <c r="AD17" s="15">
        <v>0.61056669745678904</v>
      </c>
      <c r="AE17" s="15">
        <v>2.5266277904295098</v>
      </c>
      <c r="AF17" s="15">
        <v>1.0552316782824001</v>
      </c>
      <c r="AG17" s="15">
        <v>0.34293173886136102</v>
      </c>
      <c r="AH17" s="15">
        <v>0.25988532108074203</v>
      </c>
      <c r="AI17" s="15">
        <v>0.184418409389493</v>
      </c>
      <c r="AJ17" s="15">
        <v>6.9583400711414401E-4</v>
      </c>
      <c r="AK17" s="15">
        <v>0.683464808808393</v>
      </c>
      <c r="AL17" s="15">
        <v>2.40971891491722</v>
      </c>
      <c r="AM17" s="15">
        <v>1.0552316782824001</v>
      </c>
      <c r="AN17" s="15">
        <v>0.24903727473988199</v>
      </c>
      <c r="AO17" s="15">
        <v>0.25988532108074203</v>
      </c>
      <c r="AP17" s="15">
        <v>0.184418409389493</v>
      </c>
      <c r="AQ17" s="15">
        <v>6.9583400711414401E-4</v>
      </c>
      <c r="AR17" s="15">
        <v>0.66045039741758704</v>
      </c>
      <c r="AS17" s="15">
        <v>2.2743208586966301</v>
      </c>
      <c r="AT17" s="15">
        <v>0.989407358172254</v>
      </c>
      <c r="AU17" s="15">
        <v>0.29165426592475002</v>
      </c>
      <c r="AV17" s="15">
        <v>0.115610403482169</v>
      </c>
      <c r="AW17" s="15">
        <v>0.166339117077519</v>
      </c>
      <c r="AX17" s="15">
        <v>1.1344567775608001E-3</v>
      </c>
      <c r="AY17" s="15">
        <v>0.71017525726237496</v>
      </c>
      <c r="AZ17" s="15">
        <v>2.1835731353775398</v>
      </c>
      <c r="BA17" s="15">
        <v>0.989407358172254</v>
      </c>
      <c r="BB17" s="15">
        <v>0.221202153258206</v>
      </c>
      <c r="BC17" s="15">
        <v>0.115610403482169</v>
      </c>
      <c r="BD17" s="15">
        <v>0.166339117077519</v>
      </c>
      <c r="BE17" s="15">
        <v>1.1344567775608001E-3</v>
      </c>
      <c r="BF17" s="15">
        <v>0.68987964660982803</v>
      </c>
      <c r="BG17" s="15">
        <v>2.3738905174958802</v>
      </c>
      <c r="BH17" s="15">
        <v>1.00820871836524</v>
      </c>
      <c r="BI17" s="15">
        <v>0.33561050454403202</v>
      </c>
      <c r="BJ17" s="15">
        <v>0.18392103655633099</v>
      </c>
      <c r="BK17" s="15">
        <v>0.189590060460117</v>
      </c>
      <c r="BL17" s="15">
        <v>1.28394159422064E-3</v>
      </c>
      <c r="BM17" s="15">
        <v>0.65527625597594696</v>
      </c>
      <c r="BN17" s="15">
        <v>2.2730588809708401</v>
      </c>
      <c r="BO17" s="15">
        <v>1.00820871836524</v>
      </c>
      <c r="BP17" s="15">
        <v>0.25153073563664102</v>
      </c>
      <c r="BQ17" s="15">
        <v>0.18392103655633099</v>
      </c>
      <c r="BR17" s="15">
        <v>0.189590060460117</v>
      </c>
      <c r="BS17" s="15">
        <v>1.28394159422064E-3</v>
      </c>
      <c r="BT17" s="15">
        <v>0.63852438835829795</v>
      </c>
      <c r="BU17" s="15"/>
      <c r="BV17" s="15"/>
      <c r="BW17" s="15"/>
      <c r="BX17" s="15"/>
      <c r="BY17" s="15"/>
      <c r="BZ17" s="15"/>
      <c r="CA17" s="15"/>
      <c r="CB17" s="15">
        <f t="shared" si="1"/>
        <v>2.3738905174958802</v>
      </c>
      <c r="CC17" s="15">
        <f t="shared" si="0"/>
        <v>1.00820871836524</v>
      </c>
      <c r="CD17" s="15">
        <f t="shared" si="0"/>
        <v>0.33561050454403202</v>
      </c>
      <c r="CE17" s="15">
        <f t="shared" si="0"/>
        <v>0.18392103655633099</v>
      </c>
      <c r="CF17" s="15">
        <f t="shared" si="0"/>
        <v>0.189590060460117</v>
      </c>
      <c r="CG17" s="15">
        <f t="shared" si="0"/>
        <v>1.28394159422064E-3</v>
      </c>
      <c r="CH17" s="15">
        <f t="shared" si="0"/>
        <v>0.65527625597594696</v>
      </c>
      <c r="CI17">
        <f t="shared" si="2"/>
        <v>2020</v>
      </c>
      <c r="CJ17" t="str">
        <f t="shared" si="3"/>
        <v>General government</v>
      </c>
    </row>
    <row r="18" spans="1:88">
      <c r="A18" t="s">
        <v>58</v>
      </c>
      <c r="B18" t="s">
        <v>456</v>
      </c>
      <c r="C18" s="15">
        <v>1.69687387376914</v>
      </c>
      <c r="D18" s="15">
        <v>1.01565969517653</v>
      </c>
      <c r="E18" s="15">
        <v>0.16924561423904599</v>
      </c>
      <c r="F18" s="15">
        <v>0.26369206087168801</v>
      </c>
      <c r="G18" s="15">
        <v>0.141762674820094</v>
      </c>
      <c r="H18" s="15">
        <v>3.4179290140321102E-3</v>
      </c>
      <c r="I18" s="15">
        <v>0.103095899647744</v>
      </c>
      <c r="J18" s="15"/>
      <c r="K18" s="15"/>
      <c r="L18" s="15"/>
      <c r="M18" s="15"/>
      <c r="N18" s="15"/>
      <c r="O18" s="15"/>
      <c r="P18" s="15"/>
      <c r="Q18" s="15">
        <v>1.6881024603977099</v>
      </c>
      <c r="R18" s="15">
        <v>1.00321312212111</v>
      </c>
      <c r="S18" s="15">
        <v>0.18838332771598701</v>
      </c>
      <c r="T18" s="15">
        <v>0.25642062689585399</v>
      </c>
      <c r="U18" s="15">
        <v>0.139130434782609</v>
      </c>
      <c r="V18" s="15">
        <v>3.4827547466576799E-3</v>
      </c>
      <c r="W18" s="15">
        <v>9.7449724750028097E-2</v>
      </c>
      <c r="X18" s="15"/>
      <c r="Y18" s="15"/>
      <c r="Z18" s="15"/>
      <c r="AA18" s="15"/>
      <c r="AB18" s="15"/>
      <c r="AC18" s="15"/>
      <c r="AD18" s="15"/>
      <c r="AE18" s="15">
        <v>1.71312205400004</v>
      </c>
      <c r="AF18" s="15">
        <v>1.0242413710711</v>
      </c>
      <c r="AG18" s="15">
        <v>0.19356170037143999</v>
      </c>
      <c r="AH18" s="15">
        <v>0.252709776918566</v>
      </c>
      <c r="AI18" s="15">
        <v>0.132871386059039</v>
      </c>
      <c r="AJ18" s="15">
        <v>3.1930838238807902E-3</v>
      </c>
      <c r="AK18" s="15">
        <v>0.106544735756022</v>
      </c>
      <c r="AL18" s="15"/>
      <c r="AM18" s="15"/>
      <c r="AN18" s="15"/>
      <c r="AO18" s="15"/>
      <c r="AP18" s="15"/>
      <c r="AQ18" s="15"/>
      <c r="AR18" s="15"/>
      <c r="AS18" s="15">
        <v>1.6768798953695101</v>
      </c>
      <c r="AT18" s="15">
        <v>1.0081810796002</v>
      </c>
      <c r="AU18" s="15">
        <v>0.187721872684179</v>
      </c>
      <c r="AV18" s="15">
        <v>0.24602019973002601</v>
      </c>
      <c r="AW18" s="15">
        <v>0.13208969167175799</v>
      </c>
      <c r="AX18" s="15">
        <v>3.21197120562284E-3</v>
      </c>
      <c r="AY18" s="15">
        <v>9.9676073753576705E-2</v>
      </c>
      <c r="AZ18" s="15"/>
      <c r="BA18" s="15"/>
      <c r="BB18" s="15"/>
      <c r="BC18" s="15"/>
      <c r="BD18" s="15"/>
      <c r="BE18" s="15"/>
      <c r="BF18" s="15"/>
      <c r="BG18" s="15">
        <v>1.8200395853511999</v>
      </c>
      <c r="BH18" s="15">
        <v>1.0932294864321499</v>
      </c>
      <c r="BI18" s="15">
        <v>0.205750736407219</v>
      </c>
      <c r="BJ18" s="15">
        <v>0.266037497478817</v>
      </c>
      <c r="BK18" s="15">
        <v>0.14061000449934299</v>
      </c>
      <c r="BL18" s="15">
        <v>4.0338935717024599E-3</v>
      </c>
      <c r="BM18" s="15">
        <v>0.110400131212362</v>
      </c>
      <c r="BN18" s="15"/>
      <c r="BO18" s="15"/>
      <c r="BP18" s="15"/>
      <c r="BQ18" s="15"/>
      <c r="BR18" s="15"/>
      <c r="BS18" s="15"/>
      <c r="BT18" s="15"/>
      <c r="BU18" s="15"/>
      <c r="BV18" s="15"/>
      <c r="BW18" s="15"/>
      <c r="BX18" s="15"/>
      <c r="BY18" s="15"/>
      <c r="BZ18" s="15"/>
      <c r="CA18" s="15"/>
      <c r="CB18" s="15">
        <f t="shared" si="1"/>
        <v>1.8200395853511999</v>
      </c>
      <c r="CC18" s="15">
        <f t="shared" si="0"/>
        <v>1.0932294864321499</v>
      </c>
      <c r="CD18" s="15">
        <f t="shared" si="0"/>
        <v>0.205750736407219</v>
      </c>
      <c r="CE18" s="15">
        <f t="shared" si="0"/>
        <v>0.266037497478817</v>
      </c>
      <c r="CF18" s="15">
        <f t="shared" si="0"/>
        <v>0.14061000449934299</v>
      </c>
      <c r="CG18" s="15">
        <f t="shared" si="0"/>
        <v>4.0338935717024599E-3</v>
      </c>
      <c r="CH18" s="15">
        <f t="shared" si="0"/>
        <v>0.110400131212362</v>
      </c>
      <c r="CI18">
        <f t="shared" si="2"/>
        <v>2020</v>
      </c>
      <c r="CJ18" t="str">
        <f t="shared" si="3"/>
        <v>General government</v>
      </c>
    </row>
    <row r="19" spans="1:88">
      <c r="A19" t="s">
        <v>151</v>
      </c>
      <c r="B19" t="s">
        <v>365</v>
      </c>
      <c r="C19" s="15"/>
      <c r="D19" s="15"/>
      <c r="E19" s="15"/>
      <c r="F19" s="15"/>
      <c r="G19" s="15"/>
      <c r="H19" s="15"/>
      <c r="I19" s="15"/>
      <c r="J19" s="15">
        <v>1.7006256361082199</v>
      </c>
      <c r="K19" s="15"/>
      <c r="L19" s="15"/>
      <c r="M19" s="15"/>
      <c r="N19" s="15"/>
      <c r="O19" s="15"/>
      <c r="P19" s="15"/>
      <c r="Q19" s="15"/>
      <c r="R19" s="15"/>
      <c r="S19" s="15"/>
      <c r="T19" s="15"/>
      <c r="U19" s="15"/>
      <c r="V19" s="15"/>
      <c r="W19" s="15"/>
      <c r="X19" s="15">
        <v>1.7441194434004501</v>
      </c>
      <c r="Y19" s="15"/>
      <c r="Z19" s="15"/>
      <c r="AA19" s="15"/>
      <c r="AB19" s="15"/>
      <c r="AC19" s="15"/>
      <c r="AD19" s="15"/>
      <c r="AE19" s="15"/>
      <c r="AF19" s="15"/>
      <c r="AG19" s="15"/>
      <c r="AH19" s="15"/>
      <c r="AI19" s="15"/>
      <c r="AJ19" s="15"/>
      <c r="AK19" s="15"/>
      <c r="AL19" s="15">
        <v>1.6498078993735299</v>
      </c>
      <c r="AM19" s="15"/>
      <c r="AN19" s="15"/>
      <c r="AO19" s="15"/>
      <c r="AP19" s="15"/>
      <c r="AQ19" s="15"/>
      <c r="AR19" s="15"/>
      <c r="AS19" s="15"/>
      <c r="AT19" s="15"/>
      <c r="AU19" s="15"/>
      <c r="AV19" s="15"/>
      <c r="AW19" s="15"/>
      <c r="AX19" s="15"/>
      <c r="AY19" s="15"/>
      <c r="AZ19" s="15">
        <v>1.3760643439705</v>
      </c>
      <c r="BA19" s="15"/>
      <c r="BB19" s="15"/>
      <c r="BC19" s="15"/>
      <c r="BD19" s="15"/>
      <c r="BE19" s="15"/>
      <c r="BF19" s="15"/>
      <c r="BG19" s="15"/>
      <c r="BH19" s="15"/>
      <c r="BI19" s="15"/>
      <c r="BJ19" s="15"/>
      <c r="BK19" s="15"/>
      <c r="BL19" s="15"/>
      <c r="BM19" s="15"/>
      <c r="BN19" s="15">
        <v>1.8460267982284</v>
      </c>
      <c r="BO19" s="15"/>
      <c r="BP19" s="15"/>
      <c r="BQ19" s="15"/>
      <c r="BR19" s="15"/>
      <c r="BS19" s="15"/>
      <c r="BT19" s="15"/>
      <c r="BU19" s="15"/>
      <c r="BV19" s="15"/>
      <c r="BW19" s="15"/>
      <c r="BX19" s="15"/>
      <c r="BY19" s="15"/>
      <c r="BZ19" s="15"/>
      <c r="CA19" s="15"/>
      <c r="CB19" s="15">
        <f t="shared" si="1"/>
        <v>1.8460267982284</v>
      </c>
      <c r="CC19" s="15" t="str">
        <f t="shared" si="0"/>
        <v xml:space="preserve"> </v>
      </c>
      <c r="CD19" s="15" t="str">
        <f t="shared" si="0"/>
        <v xml:space="preserve"> </v>
      </c>
      <c r="CE19" s="15" t="str">
        <f t="shared" si="0"/>
        <v xml:space="preserve"> </v>
      </c>
      <c r="CF19" s="15" t="str">
        <f t="shared" si="0"/>
        <v xml:space="preserve"> </v>
      </c>
      <c r="CG19" s="15" t="str">
        <f t="shared" si="0"/>
        <v xml:space="preserve"> </v>
      </c>
      <c r="CH19" s="15" t="str">
        <f t="shared" si="0"/>
        <v xml:space="preserve"> </v>
      </c>
      <c r="CI19">
        <f t="shared" si="2"/>
        <v>2020</v>
      </c>
      <c r="CJ19" t="str">
        <f t="shared" si="3"/>
        <v>Budgetary central government</v>
      </c>
    </row>
    <row r="20" spans="1:88">
      <c r="A20" t="s">
        <v>199</v>
      </c>
      <c r="B20" t="s">
        <v>414</v>
      </c>
      <c r="C20" s="15"/>
      <c r="D20" s="15"/>
      <c r="E20" s="15"/>
      <c r="F20" s="15"/>
      <c r="G20" s="15"/>
      <c r="H20" s="15"/>
      <c r="I20" s="15"/>
      <c r="J20" s="15"/>
      <c r="K20" s="15"/>
      <c r="L20" s="15"/>
      <c r="M20" s="15"/>
      <c r="N20" s="15"/>
      <c r="O20" s="15"/>
      <c r="P20" s="15"/>
      <c r="Q20" s="15"/>
      <c r="R20" s="15"/>
      <c r="S20" s="15"/>
      <c r="T20" s="15"/>
      <c r="U20" s="15"/>
      <c r="V20" s="15"/>
      <c r="W20" s="15"/>
      <c r="X20" s="15">
        <v>1.93174901067097</v>
      </c>
      <c r="Y20" s="15">
        <v>1.31826995237595</v>
      </c>
      <c r="Z20" s="15">
        <v>0</v>
      </c>
      <c r="AA20" s="15">
        <v>0.388380155433032</v>
      </c>
      <c r="AB20" s="15">
        <v>0.225098902861991</v>
      </c>
      <c r="AC20" s="15">
        <v>0</v>
      </c>
      <c r="AD20" s="15">
        <v>0</v>
      </c>
      <c r="AE20" s="15"/>
      <c r="AF20" s="15"/>
      <c r="AG20" s="15"/>
      <c r="AH20" s="15"/>
      <c r="AI20" s="15"/>
      <c r="AJ20" s="15"/>
      <c r="AK20" s="15"/>
      <c r="AL20" s="15">
        <v>2.4524235712540698</v>
      </c>
      <c r="AM20" s="15">
        <v>1.42526380361837</v>
      </c>
      <c r="AN20" s="15">
        <v>0</v>
      </c>
      <c r="AO20" s="15">
        <v>0.77669788479938995</v>
      </c>
      <c r="AP20" s="15">
        <v>0.25046188283631698</v>
      </c>
      <c r="AQ20" s="15">
        <v>0</v>
      </c>
      <c r="AR20" s="15">
        <v>0</v>
      </c>
      <c r="AS20" s="15"/>
      <c r="AT20" s="15"/>
      <c r="AU20" s="15"/>
      <c r="AV20" s="15"/>
      <c r="AW20" s="15"/>
      <c r="AX20" s="15"/>
      <c r="AY20" s="15"/>
      <c r="AZ20" s="15">
        <v>2.6564146245788902</v>
      </c>
      <c r="BA20" s="15">
        <v>1.75908930851953</v>
      </c>
      <c r="BB20" s="15">
        <v>0</v>
      </c>
      <c r="BC20" s="15">
        <v>0.55738326678665795</v>
      </c>
      <c r="BD20" s="15">
        <v>0.339942049272702</v>
      </c>
      <c r="BE20" s="15">
        <v>0</v>
      </c>
      <c r="BF20" s="15">
        <v>0</v>
      </c>
      <c r="BG20" s="15"/>
      <c r="BH20" s="15"/>
      <c r="BI20" s="15"/>
      <c r="BJ20" s="15"/>
      <c r="BK20" s="15"/>
      <c r="BL20" s="15"/>
      <c r="BM20" s="15"/>
      <c r="BN20" s="15">
        <v>2.9385686895816501</v>
      </c>
      <c r="BO20" s="15">
        <v>1.7212802999689101</v>
      </c>
      <c r="BP20" s="15">
        <v>0</v>
      </c>
      <c r="BQ20" s="15">
        <v>0.84056798323324899</v>
      </c>
      <c r="BR20" s="15">
        <v>0.376720406379491</v>
      </c>
      <c r="BS20" s="15">
        <v>0</v>
      </c>
      <c r="BT20" s="15">
        <v>0</v>
      </c>
      <c r="BU20" s="15"/>
      <c r="BV20" s="15"/>
      <c r="BW20" s="15"/>
      <c r="BX20" s="15"/>
      <c r="BY20" s="15"/>
      <c r="BZ20" s="15"/>
      <c r="CA20" s="15"/>
      <c r="CB20" s="15">
        <f t="shared" si="1"/>
        <v>2.9385686895816501</v>
      </c>
      <c r="CC20" s="15">
        <f t="shared" si="0"/>
        <v>1.7212802999689101</v>
      </c>
      <c r="CD20" s="15">
        <f t="shared" si="0"/>
        <v>0</v>
      </c>
      <c r="CE20" s="15">
        <f t="shared" si="0"/>
        <v>0.84056798323324899</v>
      </c>
      <c r="CF20" s="15">
        <f t="shared" si="0"/>
        <v>0.376720406379491</v>
      </c>
      <c r="CG20" s="15">
        <f t="shared" si="0"/>
        <v>0</v>
      </c>
      <c r="CH20" s="15">
        <f t="shared" si="0"/>
        <v>0</v>
      </c>
      <c r="CI20">
        <f t="shared" si="2"/>
        <v>2020</v>
      </c>
      <c r="CJ20" t="str">
        <f t="shared" si="3"/>
        <v>Budgetary central government</v>
      </c>
    </row>
    <row r="21" spans="1:88">
      <c r="A21" t="s">
        <v>204</v>
      </c>
      <c r="B21" t="s">
        <v>419</v>
      </c>
      <c r="C21" s="15"/>
      <c r="D21" s="15"/>
      <c r="E21" s="15"/>
      <c r="F21" s="15"/>
      <c r="G21" s="15"/>
      <c r="H21" s="15"/>
      <c r="I21" s="15"/>
      <c r="J21" s="15">
        <v>1.13038176730169</v>
      </c>
      <c r="K21" s="15">
        <v>0.272618285546948</v>
      </c>
      <c r="L21" s="15">
        <v>1.5861823668804099E-2</v>
      </c>
      <c r="M21" s="15">
        <v>0.79977888224185401</v>
      </c>
      <c r="N21" s="15">
        <v>2.3317500520550101E-2</v>
      </c>
      <c r="O21" s="15">
        <v>8.0910652149206695E-4</v>
      </c>
      <c r="P21" s="15">
        <v>1.79961688020434E-2</v>
      </c>
      <c r="Q21" s="15"/>
      <c r="R21" s="15"/>
      <c r="S21" s="15"/>
      <c r="T21" s="15"/>
      <c r="U21" s="15"/>
      <c r="V21" s="15"/>
      <c r="W21" s="15"/>
      <c r="X21" s="15">
        <v>1.1005329633896399</v>
      </c>
      <c r="Y21" s="15">
        <v>0.235533705281882</v>
      </c>
      <c r="Z21" s="15">
        <v>1.5188076987224901E-2</v>
      </c>
      <c r="AA21" s="15">
        <v>0.81768589886801202</v>
      </c>
      <c r="AB21" s="15">
        <v>2.0368346875701701E-2</v>
      </c>
      <c r="AC21" s="15">
        <v>6.8418707736678198E-4</v>
      </c>
      <c r="AD21" s="15">
        <v>1.1072748299453801E-2</v>
      </c>
      <c r="AE21" s="15"/>
      <c r="AF21" s="15"/>
      <c r="AG21" s="15"/>
      <c r="AH21" s="15"/>
      <c r="AI21" s="15"/>
      <c r="AJ21" s="15"/>
      <c r="AK21" s="15"/>
      <c r="AL21" s="15">
        <v>1.08153911270001</v>
      </c>
      <c r="AM21" s="15">
        <v>0.240515860218041</v>
      </c>
      <c r="AN21" s="15">
        <v>1.5228339413610899E-2</v>
      </c>
      <c r="AO21" s="15">
        <v>0.80830155141050097</v>
      </c>
      <c r="AP21" s="15">
        <v>6.7297044196560898E-3</v>
      </c>
      <c r="AQ21" s="15">
        <v>5.9736113190339004E-4</v>
      </c>
      <c r="AR21" s="15">
        <v>1.01662961062983E-2</v>
      </c>
      <c r="AS21" s="15"/>
      <c r="AT21" s="15"/>
      <c r="AU21" s="15"/>
      <c r="AV21" s="15"/>
      <c r="AW21" s="15"/>
      <c r="AX21" s="15"/>
      <c r="AY21" s="15"/>
      <c r="AZ21" s="15">
        <v>1.09421406538761</v>
      </c>
      <c r="BA21" s="15">
        <v>0.24027426489989401</v>
      </c>
      <c r="BB21" s="15">
        <v>1.44242681055752E-2</v>
      </c>
      <c r="BC21" s="15">
        <v>0.82302279609533302</v>
      </c>
      <c r="BD21" s="15">
        <v>5.8176607943357401E-3</v>
      </c>
      <c r="BE21" s="15">
        <v>6.1302846979918897E-4</v>
      </c>
      <c r="BF21" s="15">
        <v>1.0062047022672301E-2</v>
      </c>
      <c r="BG21" s="15"/>
      <c r="BH21" s="15"/>
      <c r="BI21" s="15"/>
      <c r="BJ21" s="15"/>
      <c r="BK21" s="15"/>
      <c r="BL21" s="15"/>
      <c r="BM21" s="15"/>
      <c r="BN21" s="15">
        <v>1.08453753557885</v>
      </c>
      <c r="BO21" s="15">
        <v>0.24756552675877</v>
      </c>
      <c r="BP21" s="15">
        <v>1.4517668115907699E-2</v>
      </c>
      <c r="BQ21" s="15">
        <v>0.80633218865937595</v>
      </c>
      <c r="BR21" s="15">
        <v>4.9541645177142097E-3</v>
      </c>
      <c r="BS21" s="15">
        <v>5.7807309573730905E-4</v>
      </c>
      <c r="BT21" s="15">
        <v>1.05899144313421E-2</v>
      </c>
      <c r="BU21" s="15"/>
      <c r="BV21" s="15"/>
      <c r="BW21" s="15"/>
      <c r="BX21" s="15"/>
      <c r="BY21" s="15"/>
      <c r="BZ21" s="15"/>
      <c r="CA21" s="15"/>
      <c r="CB21" s="15">
        <f t="shared" si="1"/>
        <v>1.08453753557885</v>
      </c>
      <c r="CC21" s="15">
        <f t="shared" si="0"/>
        <v>0.24756552675877</v>
      </c>
      <c r="CD21" s="15">
        <f t="shared" si="0"/>
        <v>1.4517668115907699E-2</v>
      </c>
      <c r="CE21" s="15">
        <f t="shared" si="0"/>
        <v>0.80633218865937595</v>
      </c>
      <c r="CF21" s="15">
        <f t="shared" si="0"/>
        <v>4.9541645177142097E-3</v>
      </c>
      <c r="CG21" s="15">
        <f t="shared" si="0"/>
        <v>5.7807309573730905E-4</v>
      </c>
      <c r="CH21" s="15">
        <f t="shared" si="0"/>
        <v>1.05899144313421E-2</v>
      </c>
      <c r="CI21">
        <f t="shared" si="2"/>
        <v>2020</v>
      </c>
      <c r="CJ21" t="str">
        <f t="shared" si="3"/>
        <v>Budgetary central government</v>
      </c>
    </row>
    <row r="22" spans="1:88">
      <c r="A22" t="s">
        <v>220</v>
      </c>
      <c r="B22" t="s">
        <v>435</v>
      </c>
      <c r="C22" s="15">
        <v>2.2891480017100698</v>
      </c>
      <c r="D22" s="15">
        <v>1.0634087310927001</v>
      </c>
      <c r="E22" s="15">
        <v>0.26052082721236097</v>
      </c>
      <c r="F22" s="15">
        <v>0.61761626833177397</v>
      </c>
      <c r="G22" s="15">
        <v>0.13751938256663801</v>
      </c>
      <c r="H22" s="15">
        <v>8.2696848616202207E-3</v>
      </c>
      <c r="I22" s="15">
        <v>0.20181205645839101</v>
      </c>
      <c r="J22" s="15"/>
      <c r="K22" s="15"/>
      <c r="L22" s="15"/>
      <c r="M22" s="15"/>
      <c r="N22" s="15"/>
      <c r="O22" s="15"/>
      <c r="P22" s="15"/>
      <c r="Q22" s="15">
        <v>2.4783127324721099</v>
      </c>
      <c r="R22" s="15">
        <v>1.20999375114038</v>
      </c>
      <c r="S22" s="15">
        <v>0.27878821016827798</v>
      </c>
      <c r="T22" s="15">
        <v>0.63349898012678196</v>
      </c>
      <c r="U22" s="15">
        <v>0.14340602264843699</v>
      </c>
      <c r="V22" s="15">
        <v>7.8059448176274696E-3</v>
      </c>
      <c r="W22" s="15">
        <v>0.2048198235706</v>
      </c>
      <c r="X22" s="15"/>
      <c r="Y22" s="15"/>
      <c r="Z22" s="15"/>
      <c r="AA22" s="15"/>
      <c r="AB22" s="15"/>
      <c r="AC22" s="15"/>
      <c r="AD22" s="15"/>
      <c r="AE22" s="15">
        <v>2.4558933024170799</v>
      </c>
      <c r="AF22" s="15">
        <v>1.2126546108249101</v>
      </c>
      <c r="AG22" s="15">
        <v>0.29794329164331201</v>
      </c>
      <c r="AH22" s="15">
        <v>0.60720116232628396</v>
      </c>
      <c r="AI22" s="15">
        <v>0.14369068884135799</v>
      </c>
      <c r="AJ22" s="15">
        <v>9.3964676698865997E-3</v>
      </c>
      <c r="AK22" s="15">
        <v>0.18500708111133499</v>
      </c>
      <c r="AL22" s="15"/>
      <c r="AM22" s="15"/>
      <c r="AN22" s="15"/>
      <c r="AO22" s="15"/>
      <c r="AP22" s="15"/>
      <c r="AQ22" s="15"/>
      <c r="AR22" s="15"/>
      <c r="AS22" s="15">
        <v>2.66653753269226</v>
      </c>
      <c r="AT22" s="15">
        <v>1.31507673939498</v>
      </c>
      <c r="AU22" s="15">
        <v>0.30532114074837902</v>
      </c>
      <c r="AV22" s="15">
        <v>0.67909553339776096</v>
      </c>
      <c r="AW22" s="15">
        <v>0.15425693347165101</v>
      </c>
      <c r="AX22" s="15">
        <v>9.5364326878721907E-3</v>
      </c>
      <c r="AY22" s="15">
        <v>0.20325075299161499</v>
      </c>
      <c r="AZ22" s="15"/>
      <c r="BA22" s="15"/>
      <c r="BB22" s="15"/>
      <c r="BC22" s="15"/>
      <c r="BD22" s="15"/>
      <c r="BE22" s="15"/>
      <c r="BF22" s="15"/>
      <c r="BG22" s="15">
        <v>2.76591513761826</v>
      </c>
      <c r="BH22" s="15">
        <v>1.37295715440868</v>
      </c>
      <c r="BI22" s="15">
        <v>0.24760827075837399</v>
      </c>
      <c r="BJ22" s="15">
        <v>0.72954544908424501</v>
      </c>
      <c r="BK22" s="15">
        <v>0.17397483421558199</v>
      </c>
      <c r="BL22" s="15">
        <v>7.1362876220694904E-3</v>
      </c>
      <c r="BM22" s="15">
        <v>0.234692298395132</v>
      </c>
      <c r="BN22" s="15"/>
      <c r="BO22" s="15"/>
      <c r="BP22" s="15"/>
      <c r="BQ22" s="15"/>
      <c r="BR22" s="15"/>
      <c r="BS22" s="15"/>
      <c r="BT22" s="15"/>
      <c r="BU22" s="15"/>
      <c r="BV22" s="15"/>
      <c r="BW22" s="15"/>
      <c r="BX22" s="15"/>
      <c r="BY22" s="15"/>
      <c r="BZ22" s="15"/>
      <c r="CA22" s="15"/>
      <c r="CB22" s="15">
        <f t="shared" si="1"/>
        <v>2.76591513761826</v>
      </c>
      <c r="CC22" s="15">
        <f t="shared" si="1"/>
        <v>1.37295715440868</v>
      </c>
      <c r="CD22" s="15">
        <f t="shared" si="1"/>
        <v>0.24760827075837399</v>
      </c>
      <c r="CE22" s="15">
        <f t="shared" si="1"/>
        <v>0.72954544908424501</v>
      </c>
      <c r="CF22" s="15">
        <f t="shared" si="1"/>
        <v>0.17397483421558199</v>
      </c>
      <c r="CG22" s="15">
        <f t="shared" si="1"/>
        <v>7.1362876220694904E-3</v>
      </c>
      <c r="CH22" s="15">
        <f t="shared" si="1"/>
        <v>0.234692298395132</v>
      </c>
      <c r="CI22">
        <f t="shared" si="2"/>
        <v>2020</v>
      </c>
      <c r="CJ22" t="str">
        <f t="shared" si="3"/>
        <v>General government</v>
      </c>
    </row>
    <row r="23" spans="1:88">
      <c r="A23" t="s">
        <v>112</v>
      </c>
      <c r="B23" t="s">
        <v>325</v>
      </c>
      <c r="C23" s="15"/>
      <c r="D23" s="15"/>
      <c r="E23" s="15"/>
      <c r="F23" s="15"/>
      <c r="G23" s="15"/>
      <c r="H23" s="15"/>
      <c r="I23" s="15"/>
      <c r="J23" s="15"/>
      <c r="K23" s="15"/>
      <c r="L23" s="15"/>
      <c r="M23" s="15"/>
      <c r="N23" s="15"/>
      <c r="O23" s="15"/>
      <c r="P23" s="15"/>
      <c r="Q23" s="15"/>
      <c r="R23" s="15"/>
      <c r="S23" s="15"/>
      <c r="T23" s="15"/>
      <c r="U23" s="15"/>
      <c r="V23" s="15"/>
      <c r="W23" s="15"/>
      <c r="X23" s="15">
        <v>0.191294570749107</v>
      </c>
      <c r="Y23" s="15">
        <v>5.1315073470032002E-2</v>
      </c>
      <c r="Z23" s="15">
        <v>3.7294986424009198E-2</v>
      </c>
      <c r="AA23" s="15">
        <v>9.0079879343019295E-2</v>
      </c>
      <c r="AB23" s="15">
        <v>1.09196633281241E-2</v>
      </c>
      <c r="AC23" s="15">
        <v>0</v>
      </c>
      <c r="AD23" s="15">
        <v>1.68496818392297E-3</v>
      </c>
      <c r="AE23" s="15"/>
      <c r="AF23" s="15"/>
      <c r="AG23" s="15"/>
      <c r="AH23" s="15"/>
      <c r="AI23" s="15"/>
      <c r="AJ23" s="15"/>
      <c r="AK23" s="15"/>
      <c r="AL23" s="15">
        <v>0.38068084884375603</v>
      </c>
      <c r="AM23" s="15">
        <v>0.223806185938802</v>
      </c>
      <c r="AN23" s="15">
        <v>5.6983815444593598E-2</v>
      </c>
      <c r="AO23" s="15">
        <v>8.3584201240516506E-2</v>
      </c>
      <c r="AP23" s="15">
        <v>7.8426014845694308E-3</v>
      </c>
      <c r="AQ23" s="15">
        <v>0</v>
      </c>
      <c r="AR23" s="15">
        <v>8.4640447352744199E-3</v>
      </c>
      <c r="AS23" s="15"/>
      <c r="AT23" s="15"/>
      <c r="AU23" s="15"/>
      <c r="AV23" s="15"/>
      <c r="AW23" s="15"/>
      <c r="AX23" s="15"/>
      <c r="AY23" s="15"/>
      <c r="AZ23" s="15">
        <v>0.36296330081854</v>
      </c>
      <c r="BA23" s="15">
        <v>0.21157988844363801</v>
      </c>
      <c r="BB23" s="15">
        <v>5.3473349726710001E-2</v>
      </c>
      <c r="BC23" s="15">
        <v>8.2975766226439193E-2</v>
      </c>
      <c r="BD23" s="15">
        <v>8.7489990842997602E-3</v>
      </c>
      <c r="BE23" s="15">
        <v>0</v>
      </c>
      <c r="BF23" s="15">
        <v>6.1852973374533701E-3</v>
      </c>
      <c r="BG23" s="15"/>
      <c r="BH23" s="15"/>
      <c r="BI23" s="15"/>
      <c r="BJ23" s="15"/>
      <c r="BK23" s="15"/>
      <c r="BL23" s="15"/>
      <c r="BM23" s="15"/>
      <c r="BN23" s="15">
        <v>0.336404264550351</v>
      </c>
      <c r="BO23" s="15">
        <v>0.23082780757974</v>
      </c>
      <c r="BP23" s="15">
        <v>5.2113646787481101E-2</v>
      </c>
      <c r="BQ23" s="15">
        <v>3.9689874556752297E-2</v>
      </c>
      <c r="BR23" s="15">
        <v>4.6546272362186E-3</v>
      </c>
      <c r="BS23" s="15">
        <v>0</v>
      </c>
      <c r="BT23" s="15">
        <v>9.1183083901589593E-3</v>
      </c>
      <c r="BU23" s="15"/>
      <c r="BV23" s="15"/>
      <c r="BW23" s="15"/>
      <c r="BX23" s="15"/>
      <c r="BY23" s="15"/>
      <c r="BZ23" s="15"/>
      <c r="CA23" s="15"/>
      <c r="CB23" s="15">
        <f t="shared" si="1"/>
        <v>0.336404264550351</v>
      </c>
      <c r="CC23" s="15">
        <f t="shared" si="1"/>
        <v>0.23082780757974</v>
      </c>
      <c r="CD23" s="15">
        <f t="shared" si="1"/>
        <v>5.2113646787481101E-2</v>
      </c>
      <c r="CE23" s="15">
        <f t="shared" si="1"/>
        <v>3.9689874556752297E-2</v>
      </c>
      <c r="CF23" s="15">
        <f t="shared" si="1"/>
        <v>4.6546272362186E-3</v>
      </c>
      <c r="CG23" s="15">
        <f t="shared" si="1"/>
        <v>0</v>
      </c>
      <c r="CH23" s="15">
        <f t="shared" si="1"/>
        <v>9.1183083901589593E-3</v>
      </c>
      <c r="CI23">
        <f t="shared" si="2"/>
        <v>2020</v>
      </c>
      <c r="CJ23" t="str">
        <f t="shared" si="3"/>
        <v>Budgetary central government</v>
      </c>
    </row>
    <row r="24" spans="1:88">
      <c r="A24" t="s">
        <v>155</v>
      </c>
      <c r="B24" t="s">
        <v>369</v>
      </c>
      <c r="C24" s="15"/>
      <c r="D24" s="15"/>
      <c r="E24" s="15"/>
      <c r="F24" s="15"/>
      <c r="G24" s="15"/>
      <c r="H24" s="15"/>
      <c r="I24" s="15"/>
      <c r="J24" s="15">
        <v>0.63746853261266501</v>
      </c>
      <c r="K24" s="15">
        <v>3.3794712576542601E-3</v>
      </c>
      <c r="L24" s="15">
        <v>0</v>
      </c>
      <c r="M24" s="15">
        <v>0.29564877943853801</v>
      </c>
      <c r="N24" s="15">
        <v>0.11611045483909101</v>
      </c>
      <c r="O24" s="15">
        <v>8.0933030893633504E-2</v>
      </c>
      <c r="P24" s="15">
        <v>0.14139679618374801</v>
      </c>
      <c r="Q24" s="15"/>
      <c r="R24" s="15"/>
      <c r="S24" s="15"/>
      <c r="T24" s="15"/>
      <c r="U24" s="15"/>
      <c r="V24" s="15"/>
      <c r="W24" s="15"/>
      <c r="X24" s="15">
        <v>0.95733082112718104</v>
      </c>
      <c r="Y24" s="15">
        <v>2.80122998216004E-2</v>
      </c>
      <c r="Z24" s="15">
        <v>0</v>
      </c>
      <c r="AA24" s="15">
        <v>0.48763575032303902</v>
      </c>
      <c r="AB24" s="15">
        <v>0.20819076979652401</v>
      </c>
      <c r="AC24" s="15">
        <v>6.0830929457292897E-2</v>
      </c>
      <c r="AD24" s="15">
        <v>0.172661071728725</v>
      </c>
      <c r="AE24" s="15"/>
      <c r="AF24" s="15"/>
      <c r="AG24" s="15"/>
      <c r="AH24" s="15"/>
      <c r="AI24" s="15"/>
      <c r="AJ24" s="15"/>
      <c r="AK24" s="15"/>
      <c r="AL24" s="15">
        <v>2.58059705804579</v>
      </c>
      <c r="AM24" s="15"/>
      <c r="AN24" s="15"/>
      <c r="AO24" s="15"/>
      <c r="AP24" s="15"/>
      <c r="AQ24" s="15"/>
      <c r="AR24" s="15"/>
      <c r="AS24" s="15"/>
      <c r="AT24" s="15"/>
      <c r="AU24" s="15"/>
      <c r="AV24" s="15"/>
      <c r="AW24" s="15"/>
      <c r="AX24" s="15"/>
      <c r="AY24" s="15"/>
      <c r="AZ24" s="15">
        <v>2.77566908143528</v>
      </c>
      <c r="BA24" s="15"/>
      <c r="BB24" s="15"/>
      <c r="BC24" s="15"/>
      <c r="BD24" s="15"/>
      <c r="BE24" s="15"/>
      <c r="BF24" s="15"/>
      <c r="BG24" s="15"/>
      <c r="BH24" s="15"/>
      <c r="BI24" s="15"/>
      <c r="BJ24" s="15"/>
      <c r="BK24" s="15"/>
      <c r="BL24" s="15"/>
      <c r="BM24" s="15"/>
      <c r="BN24" s="15">
        <v>3.5744573101547901</v>
      </c>
      <c r="BO24" s="15"/>
      <c r="BP24" s="15"/>
      <c r="BQ24" s="15"/>
      <c r="BR24" s="15"/>
      <c r="BS24" s="15"/>
      <c r="BT24" s="15"/>
      <c r="BU24" s="15"/>
      <c r="BV24" s="15"/>
      <c r="BW24" s="15"/>
      <c r="BX24" s="15"/>
      <c r="BY24" s="15"/>
      <c r="BZ24" s="15"/>
      <c r="CA24" s="15"/>
      <c r="CB24" s="15">
        <f t="shared" si="1"/>
        <v>3.5744573101547901</v>
      </c>
      <c r="CC24" s="15">
        <f t="shared" si="1"/>
        <v>2.80122998216004E-2</v>
      </c>
      <c r="CD24" s="15">
        <f t="shared" si="1"/>
        <v>0</v>
      </c>
      <c r="CE24" s="15">
        <f t="shared" si="1"/>
        <v>0.48763575032303902</v>
      </c>
      <c r="CF24" s="15">
        <f t="shared" si="1"/>
        <v>0.20819076979652401</v>
      </c>
      <c r="CG24" s="15">
        <f t="shared" si="1"/>
        <v>6.0830929457292897E-2</v>
      </c>
      <c r="CH24" s="15">
        <f t="shared" si="1"/>
        <v>0.172661071728725</v>
      </c>
      <c r="CI24">
        <f t="shared" si="2"/>
        <v>2020</v>
      </c>
      <c r="CJ24" t="str">
        <f t="shared" si="3"/>
        <v>Budgetary central government</v>
      </c>
    </row>
    <row r="25" spans="1:88">
      <c r="A25" t="s">
        <v>64</v>
      </c>
      <c r="B25" t="s">
        <v>455</v>
      </c>
      <c r="C25" s="15">
        <v>1.7132263821656999</v>
      </c>
      <c r="D25" s="15">
        <v>0.81163741924972899</v>
      </c>
      <c r="E25" s="15">
        <v>0.23544396912420701</v>
      </c>
      <c r="F25" s="15">
        <v>0.29108359026133801</v>
      </c>
      <c r="G25" s="15">
        <v>0.21209211393533101</v>
      </c>
      <c r="H25" s="15"/>
      <c r="I25" s="15">
        <v>0.16296928959509499</v>
      </c>
      <c r="J25" s="15"/>
      <c r="K25" s="15"/>
      <c r="L25" s="15"/>
      <c r="M25" s="15"/>
      <c r="N25" s="15"/>
      <c r="O25" s="15"/>
      <c r="P25" s="15"/>
      <c r="Q25" s="15">
        <v>1.69780920761585</v>
      </c>
      <c r="R25" s="15">
        <v>0.81059832078335403</v>
      </c>
      <c r="S25" s="15">
        <v>0.225493205072686</v>
      </c>
      <c r="T25" s="15">
        <v>0.28454093890568299</v>
      </c>
      <c r="U25" s="15">
        <v>0.22423190063163301</v>
      </c>
      <c r="V25" s="15"/>
      <c r="W25" s="15">
        <v>0.15294484222249299</v>
      </c>
      <c r="X25" s="15"/>
      <c r="Y25" s="15"/>
      <c r="Z25" s="15"/>
      <c r="AA25" s="15"/>
      <c r="AB25" s="15"/>
      <c r="AC25" s="15"/>
      <c r="AD25" s="15"/>
      <c r="AE25" s="15">
        <v>1.6832052959397099</v>
      </c>
      <c r="AF25" s="15">
        <v>0.78544511165531705</v>
      </c>
      <c r="AG25" s="15">
        <v>0.22082816151721499</v>
      </c>
      <c r="AH25" s="15">
        <v>0.24721840160130601</v>
      </c>
      <c r="AI25" s="15">
        <v>0.21344784013776599</v>
      </c>
      <c r="AJ25" s="15"/>
      <c r="AK25" s="15">
        <v>0.21626578102810101</v>
      </c>
      <c r="AL25" s="15"/>
      <c r="AM25" s="15"/>
      <c r="AN25" s="15"/>
      <c r="AO25" s="15"/>
      <c r="AP25" s="15"/>
      <c r="AQ25" s="15"/>
      <c r="AR25" s="15"/>
      <c r="AS25" s="15">
        <v>1.76489879695097</v>
      </c>
      <c r="AT25" s="15">
        <v>0.84705796839346303</v>
      </c>
      <c r="AU25" s="15">
        <v>0.215290655364484</v>
      </c>
      <c r="AV25" s="15">
        <v>0.24613917571715199</v>
      </c>
      <c r="AW25" s="15">
        <v>0.22169399479252699</v>
      </c>
      <c r="AX25" s="15"/>
      <c r="AY25" s="15">
        <v>0.234717002683345</v>
      </c>
      <c r="AZ25" s="15"/>
      <c r="BA25" s="15"/>
      <c r="BB25" s="15"/>
      <c r="BC25" s="15"/>
      <c r="BD25" s="15"/>
      <c r="BE25" s="15"/>
      <c r="BF25" s="15"/>
      <c r="BG25" s="15">
        <v>1.8533925693911999</v>
      </c>
      <c r="BH25" s="15">
        <v>0.85206211448075098</v>
      </c>
      <c r="BI25" s="15">
        <v>0.24039725135991</v>
      </c>
      <c r="BJ25" s="15">
        <v>0.25725451384923798</v>
      </c>
      <c r="BK25" s="15">
        <v>0.251272904578831</v>
      </c>
      <c r="BL25" s="15"/>
      <c r="BM25" s="15">
        <v>0.25240578512246897</v>
      </c>
      <c r="BN25" s="15"/>
      <c r="BO25" s="15"/>
      <c r="BP25" s="15"/>
      <c r="BQ25" s="15"/>
      <c r="BR25" s="15"/>
      <c r="BS25" s="15"/>
      <c r="BT25" s="15"/>
      <c r="BU25" s="15"/>
      <c r="BV25" s="15"/>
      <c r="BW25" s="15"/>
      <c r="BX25" s="15"/>
      <c r="BY25" s="15"/>
      <c r="BZ25" s="15"/>
      <c r="CA25" s="15"/>
      <c r="CB25" s="15">
        <f t="shared" si="1"/>
        <v>1.8533925693911999</v>
      </c>
      <c r="CC25" s="15">
        <f t="shared" si="1"/>
        <v>0.85206211448075098</v>
      </c>
      <c r="CD25" s="15">
        <f t="shared" si="1"/>
        <v>0.24039725135991</v>
      </c>
      <c r="CE25" s="15">
        <f t="shared" si="1"/>
        <v>0.25725451384923798</v>
      </c>
      <c r="CF25" s="15">
        <f t="shared" si="1"/>
        <v>0.251272904578831</v>
      </c>
      <c r="CG25" s="15" t="str">
        <f t="shared" si="1"/>
        <v xml:space="preserve"> </v>
      </c>
      <c r="CH25" s="15">
        <f t="shared" si="1"/>
        <v>0.25240578512246897</v>
      </c>
      <c r="CI25">
        <f t="shared" si="2"/>
        <v>2020</v>
      </c>
      <c r="CJ25" t="str">
        <f t="shared" si="3"/>
        <v>General government</v>
      </c>
    </row>
    <row r="26" spans="1:88">
      <c r="A26" t="s">
        <v>232</v>
      </c>
      <c r="B26" t="s">
        <v>507</v>
      </c>
      <c r="C26" s="15"/>
      <c r="D26" s="15"/>
      <c r="E26" s="15"/>
      <c r="F26" s="15"/>
      <c r="G26" s="15"/>
      <c r="H26" s="15"/>
      <c r="I26" s="15"/>
      <c r="J26" s="15">
        <v>1.6821179071910799</v>
      </c>
      <c r="K26" s="15">
        <v>0.79009628475201998</v>
      </c>
      <c r="L26" s="15">
        <v>2.5143840480403998E-2</v>
      </c>
      <c r="M26" s="15">
        <v>0.57938750079978396</v>
      </c>
      <c r="N26" s="15">
        <v>0.25991820095853702</v>
      </c>
      <c r="O26" s="15">
        <v>0</v>
      </c>
      <c r="P26" s="15">
        <v>2.7572080200330001E-2</v>
      </c>
      <c r="Q26" s="15"/>
      <c r="R26" s="15"/>
      <c r="S26" s="15"/>
      <c r="T26" s="15"/>
      <c r="U26" s="15"/>
      <c r="V26" s="15"/>
      <c r="W26" s="15"/>
      <c r="X26" s="15">
        <v>1.6444935553626501</v>
      </c>
      <c r="Y26" s="15">
        <v>0.78312179767201495</v>
      </c>
      <c r="Z26" s="15">
        <v>2.04384639248078E-2</v>
      </c>
      <c r="AA26" s="15">
        <v>0.53576212277319002</v>
      </c>
      <c r="AB26" s="15">
        <v>0.28392685558346498</v>
      </c>
      <c r="AC26" s="15">
        <v>0</v>
      </c>
      <c r="AD26" s="15">
        <v>2.1244315409167901E-2</v>
      </c>
      <c r="AE26" s="15"/>
      <c r="AF26" s="15"/>
      <c r="AG26" s="15"/>
      <c r="AH26" s="15"/>
      <c r="AI26" s="15"/>
      <c r="AJ26" s="15"/>
      <c r="AK26" s="15"/>
      <c r="AL26" s="15">
        <v>1.6185224015122801</v>
      </c>
      <c r="AM26" s="15">
        <v>0.77196209382222303</v>
      </c>
      <c r="AN26" s="15">
        <v>2.15733891147342E-2</v>
      </c>
      <c r="AO26" s="15">
        <v>0.52884172681755903</v>
      </c>
      <c r="AP26" s="15">
        <v>0.27966029557849698</v>
      </c>
      <c r="AQ26" s="15">
        <v>0</v>
      </c>
      <c r="AR26" s="15">
        <v>1.64848961792694E-2</v>
      </c>
      <c r="AS26" s="15"/>
      <c r="AT26" s="15"/>
      <c r="AU26" s="15"/>
      <c r="AV26" s="15"/>
      <c r="AW26" s="15"/>
      <c r="AX26" s="15"/>
      <c r="AY26" s="15"/>
      <c r="AZ26" s="15">
        <v>1.6586432163912299</v>
      </c>
      <c r="BA26" s="15">
        <v>0.79379724636615401</v>
      </c>
      <c r="BB26" s="15">
        <v>2.2981405641361499E-2</v>
      </c>
      <c r="BC26" s="15">
        <v>0.53283420102277601</v>
      </c>
      <c r="BD26" s="15">
        <v>0.29129462838805198</v>
      </c>
      <c r="BE26" s="15">
        <v>0</v>
      </c>
      <c r="BF26" s="15">
        <v>1.77357349728854E-2</v>
      </c>
      <c r="BG26" s="15"/>
      <c r="BH26" s="15"/>
      <c r="BI26" s="15"/>
      <c r="BJ26" s="15"/>
      <c r="BK26" s="15"/>
      <c r="BL26" s="15"/>
      <c r="BM26" s="15"/>
      <c r="BN26" s="15">
        <v>1.6139792756486899</v>
      </c>
      <c r="BO26" s="15">
        <v>0.76276738760823404</v>
      </c>
      <c r="BP26" s="15">
        <v>2.3121444965757E-2</v>
      </c>
      <c r="BQ26" s="15">
        <v>0.52027016523474001</v>
      </c>
      <c r="BR26" s="15">
        <v>0.28799069235562902</v>
      </c>
      <c r="BS26" s="15">
        <v>0</v>
      </c>
      <c r="BT26" s="15">
        <v>1.98295854843271E-2</v>
      </c>
      <c r="BU26" s="15"/>
      <c r="BV26" s="15"/>
      <c r="BW26" s="15"/>
      <c r="BX26" s="15"/>
      <c r="BY26" s="15"/>
      <c r="BZ26" s="15"/>
      <c r="CA26" s="15"/>
      <c r="CB26" s="15">
        <f t="shared" si="1"/>
        <v>1.6139792756486899</v>
      </c>
      <c r="CC26" s="15">
        <f t="shared" si="1"/>
        <v>0.76276738760823404</v>
      </c>
      <c r="CD26" s="15">
        <f t="shared" si="1"/>
        <v>2.3121444965757E-2</v>
      </c>
      <c r="CE26" s="15">
        <f t="shared" si="1"/>
        <v>0.52027016523474001</v>
      </c>
      <c r="CF26" s="15">
        <f t="shared" si="1"/>
        <v>0.28799069235562902</v>
      </c>
      <c r="CG26" s="15">
        <f t="shared" si="1"/>
        <v>0</v>
      </c>
      <c r="CH26" s="15">
        <f t="shared" si="1"/>
        <v>1.98295854843271E-2</v>
      </c>
      <c r="CI26">
        <f t="shared" si="2"/>
        <v>2020</v>
      </c>
      <c r="CJ26" t="str">
        <f t="shared" si="3"/>
        <v>Budgetary central government</v>
      </c>
    </row>
    <row r="27" spans="1:88">
      <c r="A27" t="s">
        <v>1616</v>
      </c>
      <c r="B27" t="s">
        <v>520</v>
      </c>
      <c r="C27" s="15">
        <v>1.8108100946037899</v>
      </c>
      <c r="D27" s="15">
        <v>0.74279349778647497</v>
      </c>
      <c r="E27" s="15">
        <v>0.23287579930603</v>
      </c>
      <c r="F27" s="15">
        <v>0.18870969943764501</v>
      </c>
      <c r="G27" s="15">
        <v>0.15658889953336499</v>
      </c>
      <c r="H27" s="15">
        <v>0</v>
      </c>
      <c r="I27" s="15">
        <v>0.48984219854027</v>
      </c>
      <c r="J27" s="15"/>
      <c r="K27" s="15"/>
      <c r="L27" s="15"/>
      <c r="M27" s="15"/>
      <c r="N27" s="15"/>
      <c r="O27" s="15"/>
      <c r="P27" s="15"/>
      <c r="Q27" s="15">
        <v>1.8348547964345201</v>
      </c>
      <c r="R27" s="15">
        <v>0.74822972231653395</v>
      </c>
      <c r="S27" s="15">
        <v>0.23311679790766399</v>
      </c>
      <c r="T27" s="15">
        <v>0.19551731437417</v>
      </c>
      <c r="U27" s="15">
        <v>0.15415788248732601</v>
      </c>
      <c r="V27" s="15">
        <v>0</v>
      </c>
      <c r="W27" s="15">
        <v>0.50383307934882204</v>
      </c>
      <c r="X27" s="15"/>
      <c r="Y27" s="15"/>
      <c r="Z27" s="15"/>
      <c r="AA27" s="15"/>
      <c r="AB27" s="15"/>
      <c r="AC27" s="15"/>
      <c r="AD27" s="15"/>
      <c r="AE27" s="15">
        <v>1.89742010820938</v>
      </c>
      <c r="AF27" s="15">
        <v>0.74768227312339697</v>
      </c>
      <c r="AG27" s="15">
        <v>0.24334941908261501</v>
      </c>
      <c r="AH27" s="15">
        <v>0.19397417463107</v>
      </c>
      <c r="AI27" s="15">
        <v>0.151652536529746</v>
      </c>
      <c r="AJ27" s="15">
        <v>0</v>
      </c>
      <c r="AK27" s="15">
        <v>0.56076170484254795</v>
      </c>
      <c r="AL27" s="15"/>
      <c r="AM27" s="15"/>
      <c r="AN27" s="15"/>
      <c r="AO27" s="15"/>
      <c r="AP27" s="15"/>
      <c r="AQ27" s="15"/>
      <c r="AR27" s="15"/>
      <c r="AS27" s="15">
        <v>2.0317465673852699</v>
      </c>
      <c r="AT27" s="15">
        <v>0.84363179268592303</v>
      </c>
      <c r="AU27" s="15">
        <v>0.24605927286672799</v>
      </c>
      <c r="AV27" s="15">
        <v>0.20036255076290699</v>
      </c>
      <c r="AW27" s="15">
        <v>0.15466582865908601</v>
      </c>
      <c r="AX27" s="15">
        <v>0</v>
      </c>
      <c r="AY27" s="15">
        <v>0.58702712241062205</v>
      </c>
      <c r="AZ27" s="15"/>
      <c r="BA27" s="15"/>
      <c r="BB27" s="15"/>
      <c r="BC27" s="15"/>
      <c r="BD27" s="15"/>
      <c r="BE27" s="15"/>
      <c r="BF27" s="15"/>
      <c r="BG27" s="15">
        <v>3.1884107809401101</v>
      </c>
      <c r="BH27" s="15">
        <v>1.5549576610446501</v>
      </c>
      <c r="BI27" s="15">
        <v>0.38873941526116201</v>
      </c>
      <c r="BJ27" s="15">
        <v>0.26912728748849701</v>
      </c>
      <c r="BK27" s="15">
        <v>0.23548637655243501</v>
      </c>
      <c r="BL27" s="15">
        <v>0</v>
      </c>
      <c r="BM27" s="15">
        <v>0.74010004059336598</v>
      </c>
      <c r="BN27" s="15"/>
      <c r="BO27" s="15"/>
      <c r="BP27" s="15"/>
      <c r="BQ27" s="15"/>
      <c r="BR27" s="15"/>
      <c r="BS27" s="15"/>
      <c r="BT27" s="15"/>
      <c r="BU27" s="15"/>
      <c r="BV27" s="15"/>
      <c r="BW27" s="15"/>
      <c r="BX27" s="15"/>
      <c r="BY27" s="15"/>
      <c r="BZ27" s="15"/>
      <c r="CA27" s="15"/>
      <c r="CB27" s="15">
        <f t="shared" si="1"/>
        <v>3.1884107809401101</v>
      </c>
      <c r="CC27" s="15">
        <f t="shared" si="1"/>
        <v>1.5549576610446501</v>
      </c>
      <c r="CD27" s="15">
        <f t="shared" si="1"/>
        <v>0.38873941526116201</v>
      </c>
      <c r="CE27" s="15">
        <f t="shared" si="1"/>
        <v>0.26912728748849701</v>
      </c>
      <c r="CF27" s="15">
        <f t="shared" si="1"/>
        <v>0.23548637655243501</v>
      </c>
      <c r="CG27" s="15">
        <f t="shared" si="1"/>
        <v>0</v>
      </c>
      <c r="CH27" s="15">
        <f t="shared" si="1"/>
        <v>0.74010004059336598</v>
      </c>
      <c r="CI27">
        <f t="shared" si="2"/>
        <v>2020</v>
      </c>
      <c r="CJ27" t="str">
        <f t="shared" si="3"/>
        <v>General government</v>
      </c>
    </row>
    <row r="28" spans="1:88">
      <c r="A28" t="s">
        <v>1617</v>
      </c>
      <c r="B28" t="s">
        <v>537</v>
      </c>
      <c r="C28" s="15">
        <v>2.62477702863008</v>
      </c>
      <c r="D28" s="15"/>
      <c r="E28" s="15"/>
      <c r="F28" s="15"/>
      <c r="G28" s="15"/>
      <c r="H28" s="15"/>
      <c r="I28" s="15"/>
      <c r="J28" s="15">
        <v>2.3398437778172299</v>
      </c>
      <c r="K28" s="15"/>
      <c r="L28" s="15"/>
      <c r="M28" s="15"/>
      <c r="N28" s="15"/>
      <c r="O28" s="15"/>
      <c r="P28" s="15"/>
      <c r="Q28" s="15">
        <v>3.1971818101050502</v>
      </c>
      <c r="R28" s="15"/>
      <c r="S28" s="15"/>
      <c r="T28" s="15"/>
      <c r="U28" s="15"/>
      <c r="V28" s="15"/>
      <c r="W28" s="15"/>
      <c r="X28" s="15">
        <v>2.9340307691855601</v>
      </c>
      <c r="Y28" s="15"/>
      <c r="Z28" s="15"/>
      <c r="AA28" s="15"/>
      <c r="AB28" s="15"/>
      <c r="AC28" s="15"/>
      <c r="AD28" s="15"/>
      <c r="AE28" s="15">
        <v>3.4398952412970498</v>
      </c>
      <c r="AF28" s="15"/>
      <c r="AG28" s="15"/>
      <c r="AH28" s="15"/>
      <c r="AI28" s="15"/>
      <c r="AJ28" s="15"/>
      <c r="AK28" s="15"/>
      <c r="AL28" s="15">
        <v>3.1856360135161501</v>
      </c>
      <c r="AM28" s="15"/>
      <c r="AN28" s="15"/>
      <c r="AO28" s="15"/>
      <c r="AP28" s="15"/>
      <c r="AQ28" s="15"/>
      <c r="AR28" s="15"/>
      <c r="AS28" s="15">
        <v>2.6436670103185902</v>
      </c>
      <c r="AT28" s="15"/>
      <c r="AU28" s="15"/>
      <c r="AV28" s="15"/>
      <c r="AW28" s="15"/>
      <c r="AX28" s="15"/>
      <c r="AY28" s="15"/>
      <c r="AZ28" s="15">
        <v>2.32521338364797</v>
      </c>
      <c r="BA28" s="15"/>
      <c r="BB28" s="15"/>
      <c r="BC28" s="15"/>
      <c r="BD28" s="15"/>
      <c r="BE28" s="15"/>
      <c r="BF28" s="15"/>
      <c r="BG28" s="15">
        <v>6.3745799688217</v>
      </c>
      <c r="BH28" s="15"/>
      <c r="BI28" s="15"/>
      <c r="BJ28" s="15"/>
      <c r="BK28" s="15"/>
      <c r="BL28" s="15"/>
      <c r="BM28" s="15"/>
      <c r="BN28" s="15">
        <v>5.6531832519624698</v>
      </c>
      <c r="BO28" s="15"/>
      <c r="BP28" s="15"/>
      <c r="BQ28" s="15"/>
      <c r="BR28" s="15"/>
      <c r="BS28" s="15"/>
      <c r="BT28" s="15"/>
      <c r="BU28" s="15"/>
      <c r="BV28" s="15"/>
      <c r="BW28" s="15"/>
      <c r="BX28" s="15"/>
      <c r="BY28" s="15"/>
      <c r="BZ28" s="15"/>
      <c r="CA28" s="15"/>
      <c r="CB28" s="15">
        <f t="shared" si="1"/>
        <v>6.3745799688217</v>
      </c>
      <c r="CC28" s="15" t="str">
        <f t="shared" si="1"/>
        <v xml:space="preserve"> </v>
      </c>
      <c r="CD28" s="15" t="str">
        <f t="shared" si="1"/>
        <v xml:space="preserve"> </v>
      </c>
      <c r="CE28" s="15" t="str">
        <f t="shared" si="1"/>
        <v xml:space="preserve"> </v>
      </c>
      <c r="CF28" s="15" t="str">
        <f t="shared" si="1"/>
        <v xml:space="preserve"> </v>
      </c>
      <c r="CG28" s="15" t="str">
        <f t="shared" si="1"/>
        <v xml:space="preserve"> </v>
      </c>
      <c r="CH28" s="15" t="str">
        <f t="shared" si="1"/>
        <v xml:space="preserve"> </v>
      </c>
      <c r="CI28">
        <f t="shared" si="2"/>
        <v>2020</v>
      </c>
      <c r="CJ28" t="str">
        <f t="shared" si="3"/>
        <v>General government</v>
      </c>
    </row>
    <row r="29" spans="1:88">
      <c r="A29" t="s">
        <v>1618</v>
      </c>
      <c r="B29" t="s">
        <v>439</v>
      </c>
      <c r="C29" s="15">
        <v>1.4788575873990999</v>
      </c>
      <c r="D29" s="15"/>
      <c r="E29" s="15"/>
      <c r="F29" s="15"/>
      <c r="G29" s="15"/>
      <c r="H29" s="15"/>
      <c r="I29" s="15"/>
      <c r="J29" s="15">
        <v>0.23350797062329301</v>
      </c>
      <c r="K29" s="15"/>
      <c r="L29" s="15"/>
      <c r="M29" s="15"/>
      <c r="N29" s="15"/>
      <c r="O29" s="15"/>
      <c r="P29" s="15"/>
      <c r="Q29" s="15">
        <v>1.5031999023987901</v>
      </c>
      <c r="R29" s="15"/>
      <c r="S29" s="15"/>
      <c r="T29" s="15"/>
      <c r="U29" s="15"/>
      <c r="V29" s="15"/>
      <c r="W29" s="15"/>
      <c r="X29" s="15">
        <v>0.22303631383457301</v>
      </c>
      <c r="Y29" s="15"/>
      <c r="Z29" s="15"/>
      <c r="AA29" s="15"/>
      <c r="AB29" s="15"/>
      <c r="AC29" s="15"/>
      <c r="AD29" s="15"/>
      <c r="AE29" s="15">
        <v>1.50484351837612</v>
      </c>
      <c r="AF29" s="15"/>
      <c r="AG29" s="15"/>
      <c r="AH29" s="15"/>
      <c r="AI29" s="15"/>
      <c r="AJ29" s="15"/>
      <c r="AK29" s="15"/>
      <c r="AL29" s="15">
        <v>0.22287151848921199</v>
      </c>
      <c r="AM29" s="15"/>
      <c r="AN29" s="15"/>
      <c r="AO29" s="15"/>
      <c r="AP29" s="15"/>
      <c r="AQ29" s="15"/>
      <c r="AR29" s="15"/>
      <c r="AS29" s="15">
        <v>1.4032308261942501</v>
      </c>
      <c r="AT29" s="15"/>
      <c r="AU29" s="15"/>
      <c r="AV29" s="15"/>
      <c r="AW29" s="15"/>
      <c r="AX29" s="15"/>
      <c r="AY29" s="15"/>
      <c r="AZ29" s="15">
        <v>0.185669638896618</v>
      </c>
      <c r="BA29" s="15"/>
      <c r="BB29" s="15"/>
      <c r="BC29" s="15"/>
      <c r="BD29" s="15"/>
      <c r="BE29" s="15"/>
      <c r="BF29" s="15"/>
      <c r="BG29" s="15">
        <v>1.35164876479629</v>
      </c>
      <c r="BH29" s="15"/>
      <c r="BI29" s="15"/>
      <c r="BJ29" s="15"/>
      <c r="BK29" s="15"/>
      <c r="BL29" s="15"/>
      <c r="BM29" s="15"/>
      <c r="BN29" s="15">
        <v>0.17900305802764399</v>
      </c>
      <c r="BO29" s="15"/>
      <c r="BP29" s="15"/>
      <c r="BQ29" s="15"/>
      <c r="BR29" s="15"/>
      <c r="BS29" s="15"/>
      <c r="BT29" s="15"/>
      <c r="BU29" s="15"/>
      <c r="BV29" s="15"/>
      <c r="BW29" s="15"/>
      <c r="BX29" s="15"/>
      <c r="BY29" s="15"/>
      <c r="BZ29" s="15"/>
      <c r="CA29" s="15"/>
      <c r="CB29" s="15">
        <f t="shared" si="1"/>
        <v>1.35164876479629</v>
      </c>
      <c r="CC29" s="15" t="str">
        <f t="shared" si="1"/>
        <v xml:space="preserve"> </v>
      </c>
      <c r="CD29" s="15" t="str">
        <f t="shared" si="1"/>
        <v xml:space="preserve"> </v>
      </c>
      <c r="CE29" s="15" t="str">
        <f t="shared" si="1"/>
        <v xml:space="preserve"> </v>
      </c>
      <c r="CF29" s="15" t="str">
        <f t="shared" si="1"/>
        <v xml:space="preserve"> </v>
      </c>
      <c r="CG29" s="15" t="str">
        <f t="shared" si="1"/>
        <v xml:space="preserve"> </v>
      </c>
      <c r="CH29" s="15" t="str">
        <f t="shared" si="1"/>
        <v xml:space="preserve"> </v>
      </c>
      <c r="CI29">
        <f t="shared" si="2"/>
        <v>2020</v>
      </c>
      <c r="CJ29" t="str">
        <f t="shared" si="3"/>
        <v>General government</v>
      </c>
    </row>
    <row r="30" spans="1:88">
      <c r="A30" t="s">
        <v>225</v>
      </c>
      <c r="B30" t="s">
        <v>440</v>
      </c>
      <c r="C30" s="15"/>
      <c r="D30" s="15"/>
      <c r="E30" s="15"/>
      <c r="F30" s="15"/>
      <c r="G30" s="15"/>
      <c r="H30" s="15"/>
      <c r="I30" s="15"/>
      <c r="J30" s="15">
        <v>2.4117361422518901</v>
      </c>
      <c r="K30" s="15">
        <v>0</v>
      </c>
      <c r="L30" s="15">
        <v>0</v>
      </c>
      <c r="M30" s="15">
        <v>1.6538842480131899</v>
      </c>
      <c r="N30" s="15">
        <v>0</v>
      </c>
      <c r="O30" s="15">
        <v>0</v>
      </c>
      <c r="P30" s="15">
        <v>0.75785189423869403</v>
      </c>
      <c r="Q30" s="15"/>
      <c r="R30" s="15"/>
      <c r="S30" s="15"/>
      <c r="T30" s="15"/>
      <c r="U30" s="15"/>
      <c r="V30" s="15"/>
      <c r="W30" s="15"/>
      <c r="X30" s="15">
        <v>2.3974728851172502</v>
      </c>
      <c r="Y30" s="15">
        <v>0</v>
      </c>
      <c r="Z30" s="15">
        <v>0</v>
      </c>
      <c r="AA30" s="15">
        <v>1.63763002620372</v>
      </c>
      <c r="AB30" s="15">
        <v>0</v>
      </c>
      <c r="AC30" s="15">
        <v>0</v>
      </c>
      <c r="AD30" s="15">
        <v>0.75984285891352799</v>
      </c>
      <c r="AE30" s="15"/>
      <c r="AF30" s="15"/>
      <c r="AG30" s="15"/>
      <c r="AH30" s="15"/>
      <c r="AI30" s="15"/>
      <c r="AJ30" s="15"/>
      <c r="AK30" s="15"/>
      <c r="AL30" s="15">
        <v>2.3570141552389798</v>
      </c>
      <c r="AM30" s="15">
        <v>0</v>
      </c>
      <c r="AN30" s="15">
        <v>0</v>
      </c>
      <c r="AO30" s="15">
        <v>1.5971465265772</v>
      </c>
      <c r="AP30" s="15">
        <v>0</v>
      </c>
      <c r="AQ30" s="15">
        <v>0</v>
      </c>
      <c r="AR30" s="15">
        <v>0.75986762866177804</v>
      </c>
      <c r="AS30" s="15"/>
      <c r="AT30" s="15"/>
      <c r="AU30" s="15"/>
      <c r="AV30" s="15"/>
      <c r="AW30" s="15"/>
      <c r="AX30" s="15"/>
      <c r="AY30" s="15"/>
      <c r="AZ30" s="15">
        <v>2.32456063019433</v>
      </c>
      <c r="BA30" s="15">
        <v>0</v>
      </c>
      <c r="BB30" s="15">
        <v>0</v>
      </c>
      <c r="BC30" s="15">
        <v>1.56298271161657</v>
      </c>
      <c r="BD30" s="15">
        <v>0</v>
      </c>
      <c r="BE30" s="15">
        <v>0</v>
      </c>
      <c r="BF30" s="15">
        <v>0.76157791857776103</v>
      </c>
      <c r="BG30" s="15"/>
      <c r="BH30" s="15"/>
      <c r="BI30" s="15"/>
      <c r="BJ30" s="15"/>
      <c r="BK30" s="15"/>
      <c r="BL30" s="15"/>
      <c r="BM30" s="15"/>
      <c r="BN30" s="15">
        <v>2.4082744448982898</v>
      </c>
      <c r="BO30" s="15">
        <v>0</v>
      </c>
      <c r="BP30" s="15">
        <v>0</v>
      </c>
      <c r="BQ30" s="15">
        <v>1.61364677443502</v>
      </c>
      <c r="BR30" s="15">
        <v>0</v>
      </c>
      <c r="BS30" s="15">
        <v>0</v>
      </c>
      <c r="BT30" s="15">
        <v>0.79462767046326399</v>
      </c>
      <c r="BU30" s="15"/>
      <c r="BV30" s="15"/>
      <c r="BW30" s="15"/>
      <c r="BX30" s="15"/>
      <c r="BY30" s="15"/>
      <c r="BZ30" s="15"/>
      <c r="CA30" s="15"/>
      <c r="CB30" s="15">
        <f t="shared" si="1"/>
        <v>2.4082744448982898</v>
      </c>
      <c r="CC30" s="15">
        <f t="shared" si="1"/>
        <v>0</v>
      </c>
      <c r="CD30" s="15">
        <f t="shared" si="1"/>
        <v>0</v>
      </c>
      <c r="CE30" s="15">
        <f t="shared" si="1"/>
        <v>1.61364677443502</v>
      </c>
      <c r="CF30" s="15">
        <f t="shared" si="1"/>
        <v>0</v>
      </c>
      <c r="CG30" s="15">
        <f t="shared" si="1"/>
        <v>0</v>
      </c>
      <c r="CH30" s="15">
        <f t="shared" si="1"/>
        <v>0.79462767046326399</v>
      </c>
      <c r="CI30">
        <f t="shared" si="2"/>
        <v>2020</v>
      </c>
      <c r="CJ30" t="str">
        <f t="shared" si="3"/>
        <v>Budgetary central government</v>
      </c>
    </row>
    <row r="31" spans="1:88">
      <c r="A31" t="s">
        <v>1619</v>
      </c>
      <c r="B31" t="s">
        <v>509</v>
      </c>
      <c r="C31" s="15">
        <v>2.3672846448879401</v>
      </c>
      <c r="D31" s="15">
        <v>1.41049234194858</v>
      </c>
      <c r="E31" s="15">
        <v>0.27565596712974699</v>
      </c>
      <c r="F31" s="15">
        <v>0.44975071113528198</v>
      </c>
      <c r="G31" s="15">
        <v>0.12634688595354801</v>
      </c>
      <c r="H31" s="15">
        <v>4.0091230328104601E-4</v>
      </c>
      <c r="I31" s="15">
        <v>0.104637826417501</v>
      </c>
      <c r="J31" s="15"/>
      <c r="K31" s="15"/>
      <c r="L31" s="15"/>
      <c r="M31" s="15"/>
      <c r="N31" s="15"/>
      <c r="O31" s="15"/>
      <c r="P31" s="15"/>
      <c r="Q31" s="15">
        <v>2.24576395710488</v>
      </c>
      <c r="R31" s="15">
        <v>1.3335536501941501</v>
      </c>
      <c r="S31" s="15">
        <v>0.233706302839992</v>
      </c>
      <c r="T31" s="15">
        <v>0.44719198042998498</v>
      </c>
      <c r="U31" s="15">
        <v>0.125069319539267</v>
      </c>
      <c r="V31" s="15">
        <v>1.14829619511239E-3</v>
      </c>
      <c r="W31" s="15">
        <v>0.10509440790637301</v>
      </c>
      <c r="X31" s="15"/>
      <c r="Y31" s="15"/>
      <c r="Z31" s="15"/>
      <c r="AA31" s="15"/>
      <c r="AB31" s="15"/>
      <c r="AC31" s="15"/>
      <c r="AD31" s="15"/>
      <c r="AE31" s="15">
        <v>2.0690476499391499</v>
      </c>
      <c r="AF31" s="15">
        <v>1.159381949436</v>
      </c>
      <c r="AG31" s="15">
        <v>0.23565532613857201</v>
      </c>
      <c r="AH31" s="15">
        <v>0.41333305654521701</v>
      </c>
      <c r="AI31" s="15">
        <v>0.137837886930325</v>
      </c>
      <c r="AJ31" s="15">
        <v>1.6345203218699801E-3</v>
      </c>
      <c r="AK31" s="15">
        <v>0.12120491056716499</v>
      </c>
      <c r="AL31" s="15"/>
      <c r="AM31" s="15"/>
      <c r="AN31" s="15"/>
      <c r="AO31" s="15"/>
      <c r="AP31" s="15"/>
      <c r="AQ31" s="15"/>
      <c r="AR31" s="15"/>
      <c r="AS31" s="15">
        <v>2.1806899242917601</v>
      </c>
      <c r="AT31" s="15">
        <v>1.24943032405912</v>
      </c>
      <c r="AU31" s="15">
        <v>0.24635924381235499</v>
      </c>
      <c r="AV31" s="15">
        <v>0.418904939676985</v>
      </c>
      <c r="AW31" s="15">
        <v>0.14130672525811899</v>
      </c>
      <c r="AX31" s="15">
        <v>1.41921885796378E-3</v>
      </c>
      <c r="AY31" s="15">
        <v>0.123269224077508</v>
      </c>
      <c r="AZ31" s="15"/>
      <c r="BA31" s="15"/>
      <c r="BB31" s="15"/>
      <c r="BC31" s="15"/>
      <c r="BD31" s="15"/>
      <c r="BE31" s="15"/>
      <c r="BF31" s="15"/>
      <c r="BG31" s="15">
        <v>2.4927370557391901</v>
      </c>
      <c r="BH31" s="15">
        <v>1.4048533575942901</v>
      </c>
      <c r="BI31" s="15">
        <v>0.28172245609879498</v>
      </c>
      <c r="BJ31" s="15">
        <v>0.51520311372861505</v>
      </c>
      <c r="BK31" s="15">
        <v>0.156197579646637</v>
      </c>
      <c r="BL31" s="15">
        <v>1.5568643073245801E-3</v>
      </c>
      <c r="BM31" s="15">
        <v>0.133203684363527</v>
      </c>
      <c r="BN31" s="15"/>
      <c r="BO31" s="15"/>
      <c r="BP31" s="15"/>
      <c r="BQ31" s="15"/>
      <c r="BR31" s="15"/>
      <c r="BS31" s="15"/>
      <c r="BT31" s="15"/>
      <c r="BU31" s="15"/>
      <c r="BV31" s="15"/>
      <c r="BW31" s="15"/>
      <c r="BX31" s="15"/>
      <c r="BY31" s="15"/>
      <c r="BZ31" s="15"/>
      <c r="CA31" s="15"/>
      <c r="CB31" s="15">
        <f t="shared" si="1"/>
        <v>2.4927370557391901</v>
      </c>
      <c r="CC31" s="15">
        <f t="shared" si="1"/>
        <v>1.4048533575942901</v>
      </c>
      <c r="CD31" s="15">
        <f t="shared" si="1"/>
        <v>0.28172245609879498</v>
      </c>
      <c r="CE31" s="15">
        <f t="shared" si="1"/>
        <v>0.51520311372861505</v>
      </c>
      <c r="CF31" s="15">
        <f t="shared" si="1"/>
        <v>0.156197579646637</v>
      </c>
      <c r="CG31" s="15">
        <f t="shared" si="1"/>
        <v>1.5568643073245801E-3</v>
      </c>
      <c r="CH31" s="15">
        <f t="shared" si="1"/>
        <v>0.133203684363527</v>
      </c>
      <c r="CI31">
        <f t="shared" si="2"/>
        <v>2020</v>
      </c>
      <c r="CJ31" t="str">
        <f t="shared" si="3"/>
        <v>General government</v>
      </c>
    </row>
    <row r="32" spans="1:88">
      <c r="A32" t="s">
        <v>251</v>
      </c>
      <c r="B32" t="s">
        <v>511</v>
      </c>
      <c r="C32" s="15">
        <v>1.6323899985736401</v>
      </c>
      <c r="D32" s="15">
        <v>1.2842524551885199</v>
      </c>
      <c r="E32" s="15">
        <v>0.138409766869351</v>
      </c>
      <c r="F32" s="15">
        <v>0.121504757175384</v>
      </c>
      <c r="G32" s="15">
        <v>7.5544262069912799E-2</v>
      </c>
      <c r="H32" s="15">
        <v>0</v>
      </c>
      <c r="I32" s="15">
        <v>1.26787572704749E-2</v>
      </c>
      <c r="J32" s="15"/>
      <c r="K32" s="15"/>
      <c r="L32" s="15"/>
      <c r="M32" s="15"/>
      <c r="N32" s="15"/>
      <c r="O32" s="15"/>
      <c r="P32" s="15"/>
      <c r="Q32" s="15">
        <v>1.6366880551096199</v>
      </c>
      <c r="R32" s="15">
        <v>1.2723721290861301</v>
      </c>
      <c r="S32" s="15">
        <v>0.149603129240205</v>
      </c>
      <c r="T32" s="15">
        <v>0.13021933508615799</v>
      </c>
      <c r="U32" s="15">
        <v>7.2564972986943296E-2</v>
      </c>
      <c r="V32" s="15">
        <v>0</v>
      </c>
      <c r="W32" s="15">
        <v>1.1928488710182501E-2</v>
      </c>
      <c r="X32" s="15"/>
      <c r="Y32" s="15"/>
      <c r="Z32" s="15"/>
      <c r="AA32" s="15"/>
      <c r="AB32" s="15"/>
      <c r="AC32" s="15"/>
      <c r="AD32" s="15"/>
      <c r="AE32" s="15">
        <v>1.68808264046359</v>
      </c>
      <c r="AF32" s="15">
        <v>1.26956132247138</v>
      </c>
      <c r="AG32" s="15">
        <v>0.169368158786148</v>
      </c>
      <c r="AH32" s="15">
        <v>0.162369474538787</v>
      </c>
      <c r="AI32" s="15">
        <v>7.4652631971855996E-2</v>
      </c>
      <c r="AJ32" s="15">
        <v>0</v>
      </c>
      <c r="AK32" s="15">
        <v>1.21310526954266E-2</v>
      </c>
      <c r="AL32" s="15"/>
      <c r="AM32" s="15"/>
      <c r="AN32" s="15"/>
      <c r="AO32" s="15"/>
      <c r="AP32" s="15"/>
      <c r="AQ32" s="15"/>
      <c r="AR32" s="15"/>
      <c r="AS32" s="15">
        <v>1.70412480762414</v>
      </c>
      <c r="AT32" s="15">
        <v>1.3115210143984599</v>
      </c>
      <c r="AU32" s="15">
        <v>0.16870745857469099</v>
      </c>
      <c r="AV32" s="15">
        <v>0.13640177501783499</v>
      </c>
      <c r="AW32" s="15">
        <v>7.5828618348730906E-2</v>
      </c>
      <c r="AX32" s="15">
        <v>0</v>
      </c>
      <c r="AY32" s="15">
        <v>1.1665941284420099E-2</v>
      </c>
      <c r="AZ32" s="15"/>
      <c r="BA32" s="15"/>
      <c r="BB32" s="15"/>
      <c r="BC32" s="15"/>
      <c r="BD32" s="15"/>
      <c r="BE32" s="15"/>
      <c r="BF32" s="15"/>
      <c r="BG32" s="15">
        <v>1.9222003099703899</v>
      </c>
      <c r="BH32" s="15">
        <v>1.48891352017926</v>
      </c>
      <c r="BI32" s="15">
        <v>0.172738919518058</v>
      </c>
      <c r="BJ32" s="15">
        <v>0.16074316121819299</v>
      </c>
      <c r="BK32" s="15">
        <v>9.0208102414986099E-2</v>
      </c>
      <c r="BL32" s="15">
        <v>0</v>
      </c>
      <c r="BM32" s="15">
        <v>9.5966066398921294E-3</v>
      </c>
      <c r="BN32" s="15"/>
      <c r="BO32" s="15"/>
      <c r="BP32" s="15"/>
      <c r="BQ32" s="15"/>
      <c r="BR32" s="15"/>
      <c r="BS32" s="15"/>
      <c r="BT32" s="15"/>
      <c r="BU32" s="15"/>
      <c r="BV32" s="15"/>
      <c r="BW32" s="15"/>
      <c r="BX32" s="15"/>
      <c r="BY32" s="15"/>
      <c r="BZ32" s="15"/>
      <c r="CA32" s="15"/>
      <c r="CB32" s="15">
        <f t="shared" si="1"/>
        <v>1.9222003099703899</v>
      </c>
      <c r="CC32" s="15">
        <f t="shared" si="1"/>
        <v>1.48891352017926</v>
      </c>
      <c r="CD32" s="15">
        <f t="shared" si="1"/>
        <v>0.172738919518058</v>
      </c>
      <c r="CE32" s="15">
        <f t="shared" si="1"/>
        <v>0.16074316121819299</v>
      </c>
      <c r="CF32" s="15">
        <f t="shared" si="1"/>
        <v>9.0208102414986099E-2</v>
      </c>
      <c r="CG32" s="15">
        <f t="shared" si="1"/>
        <v>0</v>
      </c>
      <c r="CH32" s="15">
        <f t="shared" si="1"/>
        <v>9.5966066398921294E-3</v>
      </c>
      <c r="CI32">
        <f t="shared" si="2"/>
        <v>2020</v>
      </c>
      <c r="CJ32" t="str">
        <f t="shared" si="3"/>
        <v>General government</v>
      </c>
    </row>
    <row r="33" spans="1:88">
      <c r="A33" t="s">
        <v>1620</v>
      </c>
      <c r="B33" t="s">
        <v>446</v>
      </c>
      <c r="C33" s="15">
        <v>1.7256450191614401</v>
      </c>
      <c r="D33" s="15">
        <v>0.86566811337302496</v>
      </c>
      <c r="E33" s="15">
        <v>0.24232453100175899</v>
      </c>
      <c r="F33" s="15">
        <v>0.309263972592145</v>
      </c>
      <c r="G33" s="15">
        <v>0.16719225211924499</v>
      </c>
      <c r="H33" s="15">
        <v>2.1263852513919001E-3</v>
      </c>
      <c r="I33" s="15">
        <v>0.13906976482387601</v>
      </c>
      <c r="J33" s="15"/>
      <c r="K33" s="15"/>
      <c r="L33" s="15"/>
      <c r="M33" s="15"/>
      <c r="N33" s="15"/>
      <c r="O33" s="15"/>
      <c r="P33" s="15"/>
      <c r="Q33" s="15">
        <v>1.74735845649057</v>
      </c>
      <c r="R33" s="15">
        <v>0.87552827446028902</v>
      </c>
      <c r="S33" s="15">
        <v>0.246382962320743</v>
      </c>
      <c r="T33" s="15">
        <v>0.29837148923356199</v>
      </c>
      <c r="U33" s="15">
        <v>0.17789976917250599</v>
      </c>
      <c r="V33" s="15">
        <v>1.60446338233012E-3</v>
      </c>
      <c r="W33" s="15">
        <v>0.14757149792114399</v>
      </c>
      <c r="X33" s="15"/>
      <c r="Y33" s="15"/>
      <c r="Z33" s="15"/>
      <c r="AA33" s="15"/>
      <c r="AB33" s="15"/>
      <c r="AC33" s="15"/>
      <c r="AD33" s="15"/>
      <c r="AE33" s="15">
        <v>1.85832209573051</v>
      </c>
      <c r="AF33" s="15">
        <v>0.942775569282017</v>
      </c>
      <c r="AG33" s="15">
        <v>0.27988794130505301</v>
      </c>
      <c r="AH33" s="15">
        <v>0.30053616998464799</v>
      </c>
      <c r="AI33" s="15">
        <v>0.18795988291326701</v>
      </c>
      <c r="AJ33" s="15">
        <v>1.27549487814865E-3</v>
      </c>
      <c r="AK33" s="15">
        <v>0.14588703736737901</v>
      </c>
      <c r="AL33" s="15"/>
      <c r="AM33" s="15"/>
      <c r="AN33" s="15"/>
      <c r="AO33" s="15"/>
      <c r="AP33" s="15"/>
      <c r="AQ33" s="15"/>
      <c r="AR33" s="15"/>
      <c r="AS33" s="15">
        <v>1.89140618145921</v>
      </c>
      <c r="AT33" s="15">
        <v>0.97657342874728803</v>
      </c>
      <c r="AU33" s="15">
        <v>0.27167624467475898</v>
      </c>
      <c r="AV33" s="15">
        <v>0.309186943513585</v>
      </c>
      <c r="AW33" s="15">
        <v>0.19017855230808201</v>
      </c>
      <c r="AX33" s="15">
        <v>2.0033338238047201E-3</v>
      </c>
      <c r="AY33" s="15">
        <v>0.14178767839169601</v>
      </c>
      <c r="AZ33" s="15"/>
      <c r="BA33" s="15"/>
      <c r="BB33" s="15"/>
      <c r="BC33" s="15"/>
      <c r="BD33" s="15"/>
      <c r="BE33" s="15"/>
      <c r="BF33" s="15"/>
      <c r="BG33" s="15">
        <v>2.1377358957739601</v>
      </c>
      <c r="BH33" s="15">
        <v>1.0275307074761599</v>
      </c>
      <c r="BI33" s="15">
        <v>0.29814089536743699</v>
      </c>
      <c r="BJ33" s="15">
        <v>0.32723851956486</v>
      </c>
      <c r="BK33" s="15">
        <v>0.19976739461067</v>
      </c>
      <c r="BL33" s="15">
        <v>1.2994714487684299E-3</v>
      </c>
      <c r="BM33" s="15">
        <v>0.28375890730606801</v>
      </c>
      <c r="BN33" s="15"/>
      <c r="BO33" s="15"/>
      <c r="BP33" s="15"/>
      <c r="BQ33" s="15"/>
      <c r="BR33" s="15"/>
      <c r="BS33" s="15"/>
      <c r="BT33" s="15"/>
      <c r="BU33" s="15"/>
      <c r="BV33" s="15"/>
      <c r="BW33" s="15"/>
      <c r="BX33" s="15"/>
      <c r="BY33" s="15"/>
      <c r="BZ33" s="15"/>
      <c r="CA33" s="15"/>
      <c r="CB33" s="15">
        <f t="shared" si="1"/>
        <v>2.1377358957739601</v>
      </c>
      <c r="CC33" s="15">
        <f t="shared" si="1"/>
        <v>1.0275307074761599</v>
      </c>
      <c r="CD33" s="15">
        <f t="shared" si="1"/>
        <v>0.29814089536743699</v>
      </c>
      <c r="CE33" s="15">
        <f t="shared" si="1"/>
        <v>0.32723851956486</v>
      </c>
      <c r="CF33" s="15">
        <f t="shared" si="1"/>
        <v>0.19976739461067</v>
      </c>
      <c r="CG33" s="15">
        <f t="shared" si="1"/>
        <v>1.2994714487684299E-3</v>
      </c>
      <c r="CH33" s="15">
        <f t="shared" si="1"/>
        <v>0.28375890730606801</v>
      </c>
      <c r="CI33">
        <f t="shared" si="2"/>
        <v>2020</v>
      </c>
      <c r="CJ33" t="str">
        <f t="shared" si="3"/>
        <v>General government</v>
      </c>
    </row>
    <row r="34" spans="1:88">
      <c r="A34" t="s">
        <v>49</v>
      </c>
      <c r="B34" t="s">
        <v>464</v>
      </c>
      <c r="C34" s="15">
        <v>0.98054425234924003</v>
      </c>
      <c r="D34" s="15">
        <v>0.547203280752668</v>
      </c>
      <c r="E34" s="15">
        <v>6.8839254410622594E-2</v>
      </c>
      <c r="F34" s="15">
        <v>0.16282310209321599</v>
      </c>
      <c r="G34" s="15">
        <v>0.185785334439695</v>
      </c>
      <c r="H34" s="15">
        <v>0</v>
      </c>
      <c r="I34" s="15">
        <v>1.5845838024223301E-2</v>
      </c>
      <c r="J34" s="15"/>
      <c r="K34" s="15"/>
      <c r="L34" s="15"/>
      <c r="M34" s="15"/>
      <c r="N34" s="15"/>
      <c r="O34" s="15"/>
      <c r="P34" s="15"/>
      <c r="Q34" s="15">
        <v>0.93394316357799501</v>
      </c>
      <c r="R34" s="15">
        <v>0.52850941193637802</v>
      </c>
      <c r="S34" s="15">
        <v>6.5117466802860097E-2</v>
      </c>
      <c r="T34" s="15">
        <v>0.150618342331825</v>
      </c>
      <c r="U34" s="15">
        <v>0.173783379541807</v>
      </c>
      <c r="V34" s="15">
        <v>0</v>
      </c>
      <c r="W34" s="15">
        <v>1.59145629651248E-2</v>
      </c>
      <c r="X34" s="15"/>
      <c r="Y34" s="15"/>
      <c r="Z34" s="15"/>
      <c r="AA34" s="15"/>
      <c r="AB34" s="15"/>
      <c r="AC34" s="15"/>
      <c r="AD34" s="15"/>
      <c r="AE34" s="15">
        <v>0.94003723403075001</v>
      </c>
      <c r="AF34" s="15">
        <v>0.54262275802539806</v>
      </c>
      <c r="AG34" s="15">
        <v>6.0089246288246398E-2</v>
      </c>
      <c r="AH34" s="15">
        <v>0.15244206868547</v>
      </c>
      <c r="AI34" s="15">
        <v>0.166643367660536</v>
      </c>
      <c r="AJ34" s="15">
        <v>0</v>
      </c>
      <c r="AK34" s="15">
        <v>1.8239793371099901E-2</v>
      </c>
      <c r="AL34" s="15"/>
      <c r="AM34" s="15"/>
      <c r="AN34" s="15"/>
      <c r="AO34" s="15"/>
      <c r="AP34" s="15"/>
      <c r="AQ34" s="15"/>
      <c r="AR34" s="15"/>
      <c r="AS34" s="15">
        <v>0.97021538004919705</v>
      </c>
      <c r="AT34" s="15">
        <v>0.56452816644392101</v>
      </c>
      <c r="AU34" s="15">
        <v>5.8195666860220797E-2</v>
      </c>
      <c r="AV34" s="15">
        <v>0.16022142825712399</v>
      </c>
      <c r="AW34" s="15">
        <v>0.16820230177020101</v>
      </c>
      <c r="AX34" s="15">
        <v>0</v>
      </c>
      <c r="AY34" s="15">
        <v>1.9024676860902399E-2</v>
      </c>
      <c r="AZ34" s="15"/>
      <c r="BA34" s="15"/>
      <c r="BB34" s="15"/>
      <c r="BC34" s="15"/>
      <c r="BD34" s="15"/>
      <c r="BE34" s="15"/>
      <c r="BF34" s="15"/>
      <c r="BG34" s="15">
        <v>0.99675432409797404</v>
      </c>
      <c r="BH34" s="15">
        <v>0.58186928781860603</v>
      </c>
      <c r="BI34" s="15">
        <v>6.1728368563862497E-2</v>
      </c>
      <c r="BJ34" s="15">
        <v>0.165181336741128</v>
      </c>
      <c r="BK34" s="15">
        <v>0.16810034165235399</v>
      </c>
      <c r="BL34" s="15">
        <v>0</v>
      </c>
      <c r="BM34" s="15">
        <v>1.9874989322022502E-2</v>
      </c>
      <c r="BN34" s="15"/>
      <c r="BO34" s="15"/>
      <c r="BP34" s="15"/>
      <c r="BQ34" s="15"/>
      <c r="BR34" s="15"/>
      <c r="BS34" s="15"/>
      <c r="BT34" s="15"/>
      <c r="BU34" s="15"/>
      <c r="BV34" s="15"/>
      <c r="BW34" s="15"/>
      <c r="BX34" s="15"/>
      <c r="BY34" s="15"/>
      <c r="BZ34" s="15"/>
      <c r="CA34" s="15"/>
      <c r="CB34" s="15">
        <f t="shared" si="1"/>
        <v>0.99675432409797404</v>
      </c>
      <c r="CC34" s="15">
        <f t="shared" si="1"/>
        <v>0.58186928781860603</v>
      </c>
      <c r="CD34" s="15">
        <f t="shared" si="1"/>
        <v>6.1728368563862497E-2</v>
      </c>
      <c r="CE34" s="15">
        <f t="shared" si="1"/>
        <v>0.165181336741128</v>
      </c>
      <c r="CF34" s="15">
        <f t="shared" si="1"/>
        <v>0.16810034165235399</v>
      </c>
      <c r="CG34" s="15">
        <f t="shared" si="1"/>
        <v>0</v>
      </c>
      <c r="CH34" s="15">
        <f t="shared" si="1"/>
        <v>1.9874989322022502E-2</v>
      </c>
      <c r="CI34">
        <f t="shared" si="2"/>
        <v>2020</v>
      </c>
      <c r="CJ34" t="str">
        <f t="shared" si="3"/>
        <v>General government</v>
      </c>
    </row>
    <row r="35" spans="1:88">
      <c r="A35" t="s">
        <v>1621</v>
      </c>
      <c r="B35" t="s">
        <v>422</v>
      </c>
      <c r="C35" s="15"/>
      <c r="D35" s="15"/>
      <c r="E35" s="15"/>
      <c r="F35" s="15"/>
      <c r="G35" s="15"/>
      <c r="H35" s="15"/>
      <c r="I35" s="15"/>
      <c r="J35" s="15">
        <v>0.718544521025266</v>
      </c>
      <c r="K35" s="15">
        <v>0.29133523829367303</v>
      </c>
      <c r="L35" s="15">
        <v>7.7925907456895599E-3</v>
      </c>
      <c r="M35" s="15">
        <v>0.27288132992935199</v>
      </c>
      <c r="N35" s="15">
        <v>2.2792560228163099E-2</v>
      </c>
      <c r="O35" s="15">
        <v>8.2060806339474296E-2</v>
      </c>
      <c r="P35" s="15">
        <v>4.1681995488913999E-2</v>
      </c>
      <c r="Q35" s="15"/>
      <c r="R35" s="15"/>
      <c r="S35" s="15"/>
      <c r="T35" s="15"/>
      <c r="U35" s="15"/>
      <c r="V35" s="15"/>
      <c r="W35" s="15"/>
      <c r="X35" s="15">
        <v>0.776665862666016</v>
      </c>
      <c r="Y35" s="15">
        <v>0.32369795649090599</v>
      </c>
      <c r="Z35" s="15">
        <v>8.2137074713280207E-3</v>
      </c>
      <c r="AA35" s="15">
        <v>0.31172536563560599</v>
      </c>
      <c r="AB35" s="15">
        <v>2.1771461311845802E-2</v>
      </c>
      <c r="AC35" s="15">
        <v>7.6647465007274304E-2</v>
      </c>
      <c r="AD35" s="15">
        <v>3.4609906749057E-2</v>
      </c>
      <c r="AE35" s="15"/>
      <c r="AF35" s="15"/>
      <c r="AG35" s="15"/>
      <c r="AH35" s="15"/>
      <c r="AI35" s="15"/>
      <c r="AJ35" s="15"/>
      <c r="AK35" s="15"/>
      <c r="AL35" s="15">
        <v>0.76439944620790501</v>
      </c>
      <c r="AM35" s="15">
        <v>0.30447190867555601</v>
      </c>
      <c r="AN35" s="15">
        <v>8.4165793760955492E-3</v>
      </c>
      <c r="AO35" s="15">
        <v>0.298228765287474</v>
      </c>
      <c r="AP35" s="15">
        <v>5.0285813538398103E-2</v>
      </c>
      <c r="AQ35" s="15">
        <v>6.8587638049355901E-2</v>
      </c>
      <c r="AR35" s="15">
        <v>3.4408741281025397E-2</v>
      </c>
      <c r="AS35" s="15"/>
      <c r="AT35" s="15"/>
      <c r="AU35" s="15"/>
      <c r="AV35" s="15"/>
      <c r="AW35" s="15"/>
      <c r="AX35" s="15"/>
      <c r="AY35" s="15"/>
      <c r="AZ35" s="15">
        <v>0.88362525361168198</v>
      </c>
      <c r="BA35" s="15">
        <v>0.33183064113508198</v>
      </c>
      <c r="BB35" s="15">
        <v>1.1925303223710101E-2</v>
      </c>
      <c r="BC35" s="15">
        <v>0.332532592957892</v>
      </c>
      <c r="BD35" s="15">
        <v>8.6052900804908405E-2</v>
      </c>
      <c r="BE35" s="15">
        <v>8.3861812602951294E-2</v>
      </c>
      <c r="BF35" s="15">
        <v>3.7422002887137602E-2</v>
      </c>
      <c r="BG35" s="15"/>
      <c r="BH35" s="15"/>
      <c r="BI35" s="15"/>
      <c r="BJ35" s="15"/>
      <c r="BK35" s="15"/>
      <c r="BL35" s="15"/>
      <c r="BM35" s="15"/>
      <c r="BN35" s="15">
        <v>0.95356170214343705</v>
      </c>
      <c r="BO35" s="15">
        <v>0.34802994373830598</v>
      </c>
      <c r="BP35" s="15">
        <v>1.48595404936109E-2</v>
      </c>
      <c r="BQ35" s="15">
        <v>0.33642202519472297</v>
      </c>
      <c r="BR35" s="15">
        <v>0.13208249891535701</v>
      </c>
      <c r="BS35" s="15">
        <v>9.3628449872240296E-2</v>
      </c>
      <c r="BT35" s="15">
        <v>2.8539243929199602E-2</v>
      </c>
      <c r="BU35" s="15"/>
      <c r="BV35" s="15"/>
      <c r="BW35" s="15"/>
      <c r="BX35" s="15"/>
      <c r="BY35" s="15"/>
      <c r="BZ35" s="15"/>
      <c r="CA35" s="15"/>
      <c r="CB35" s="15">
        <f t="shared" si="1"/>
        <v>0.95356170214343705</v>
      </c>
      <c r="CC35" s="15">
        <f t="shared" si="1"/>
        <v>0.34802994373830598</v>
      </c>
      <c r="CD35" s="15">
        <f t="shared" si="1"/>
        <v>1.48595404936109E-2</v>
      </c>
      <c r="CE35" s="15">
        <f t="shared" si="1"/>
        <v>0.33642202519472297</v>
      </c>
      <c r="CF35" s="15">
        <f t="shared" si="1"/>
        <v>0.13208249891535701</v>
      </c>
      <c r="CG35" s="15">
        <f t="shared" si="1"/>
        <v>9.3628449872240296E-2</v>
      </c>
      <c r="CH35" s="15">
        <f t="shared" si="1"/>
        <v>2.8539243929199602E-2</v>
      </c>
      <c r="CI35">
        <f t="shared" si="2"/>
        <v>2020</v>
      </c>
      <c r="CJ35" t="str">
        <f t="shared" si="3"/>
        <v>Budgetary central government</v>
      </c>
    </row>
    <row r="36" spans="1:88">
      <c r="A36" t="s">
        <v>172</v>
      </c>
      <c r="B36" t="s">
        <v>386</v>
      </c>
      <c r="C36" s="15">
        <v>2.97336701468247</v>
      </c>
      <c r="D36" s="15">
        <v>1.24713586588308</v>
      </c>
      <c r="E36" s="15">
        <v>1.7361520174706501E-2</v>
      </c>
      <c r="F36" s="15">
        <v>1.3823077015290099</v>
      </c>
      <c r="G36" s="15">
        <v>0.30093301636157899</v>
      </c>
      <c r="H36" s="15">
        <v>2.5215541206121302E-2</v>
      </c>
      <c r="I36" s="15">
        <v>4.1336952796920201E-4</v>
      </c>
      <c r="J36" s="15">
        <v>2.9531119078119801</v>
      </c>
      <c r="K36" s="15">
        <v>1.24713586588308</v>
      </c>
      <c r="L36" s="15">
        <v>1.7361520174706501E-2</v>
      </c>
      <c r="M36" s="15">
        <v>1.36205259465852</v>
      </c>
      <c r="N36" s="15">
        <v>0.30093301636157899</v>
      </c>
      <c r="O36" s="15">
        <v>2.5215541206121302E-2</v>
      </c>
      <c r="P36" s="15">
        <v>4.1336952796920201E-4</v>
      </c>
      <c r="Q36" s="15">
        <v>3.2891365616192698</v>
      </c>
      <c r="R36" s="15">
        <v>1.6461696131181101</v>
      </c>
      <c r="S36" s="15">
        <v>2.32193184729695E-2</v>
      </c>
      <c r="T36" s="15">
        <v>1.2654528567768399</v>
      </c>
      <c r="U36" s="15">
        <v>0.31546246477068901</v>
      </c>
      <c r="V36" s="15">
        <v>6.0049961568024602E-3</v>
      </c>
      <c r="W36" s="15">
        <v>3.28273123238534E-2</v>
      </c>
      <c r="X36" s="15">
        <v>2.9264347937483999</v>
      </c>
      <c r="Y36" s="15">
        <v>1.4055694337689</v>
      </c>
      <c r="Z36" s="15">
        <v>1.4411990776325901E-2</v>
      </c>
      <c r="AA36" s="15">
        <v>1.2198148859851401</v>
      </c>
      <c r="AB36" s="15">
        <v>0.28063348706123498</v>
      </c>
      <c r="AC36" s="15">
        <v>6.0049961568024602E-3</v>
      </c>
      <c r="AD36" s="15">
        <v>0</v>
      </c>
      <c r="AE36" s="15">
        <v>3.08291235682155</v>
      </c>
      <c r="AF36" s="15">
        <v>1.53377003441471</v>
      </c>
      <c r="AG36" s="15">
        <v>2.42113535876038E-2</v>
      </c>
      <c r="AH36" s="15">
        <v>1.2267085817719301</v>
      </c>
      <c r="AI36" s="15">
        <v>0.29284208625006503</v>
      </c>
      <c r="AJ36" s="15">
        <v>5.3803007972452899E-3</v>
      </c>
      <c r="AK36" s="15">
        <v>0</v>
      </c>
      <c r="AL36" s="15">
        <v>2.9007507441148199</v>
      </c>
      <c r="AM36" s="15">
        <v>1.4522969080564201</v>
      </c>
      <c r="AN36" s="15">
        <v>1.38350591929164E-2</v>
      </c>
      <c r="AO36" s="15">
        <v>1.20288153538412</v>
      </c>
      <c r="AP36" s="15">
        <v>0.226356940684105</v>
      </c>
      <c r="AQ36" s="15">
        <v>5.3803007972452899E-3</v>
      </c>
      <c r="AR36" s="15">
        <v>0</v>
      </c>
      <c r="AS36" s="15">
        <v>3.0494492624734799</v>
      </c>
      <c r="AT36" s="15">
        <v>1.4986990949805701</v>
      </c>
      <c r="AU36" s="15">
        <v>1.30127681280873E-2</v>
      </c>
      <c r="AV36" s="15">
        <v>1.2585205746735799</v>
      </c>
      <c r="AW36" s="15">
        <v>0.27401171744000902</v>
      </c>
      <c r="AX36" s="15">
        <v>5.2051072512349101E-3</v>
      </c>
      <c r="AY36" s="15">
        <v>0</v>
      </c>
      <c r="AZ36" s="15">
        <v>2.93679586982176</v>
      </c>
      <c r="BA36" s="15">
        <v>1.43177628746469</v>
      </c>
      <c r="BB36" s="15">
        <v>1.30127681280873E-2</v>
      </c>
      <c r="BC36" s="15">
        <v>1.23621297216829</v>
      </c>
      <c r="BD36" s="15">
        <v>0.24984514805927599</v>
      </c>
      <c r="BE36" s="15">
        <v>5.9486940014113303E-3</v>
      </c>
      <c r="BF36" s="15">
        <v>0</v>
      </c>
      <c r="BG36" s="15">
        <v>3.3240363135747302</v>
      </c>
      <c r="BH36" s="15">
        <v>1.5857154917138601</v>
      </c>
      <c r="BI36" s="15">
        <v>2.5569510104421E-2</v>
      </c>
      <c r="BJ36" s="15">
        <v>1.3791300846797201</v>
      </c>
      <c r="BK36" s="15">
        <v>0.32144526988415001</v>
      </c>
      <c r="BL36" s="15">
        <v>1.21759571925814E-2</v>
      </c>
      <c r="BM36" s="15">
        <v>0</v>
      </c>
      <c r="BN36" s="15">
        <v>3.2266286560340798</v>
      </c>
      <c r="BO36" s="15">
        <v>1.5284884929087199</v>
      </c>
      <c r="BP36" s="15">
        <v>1.9075666268377599E-2</v>
      </c>
      <c r="BQ36" s="15">
        <v>1.35437230505481</v>
      </c>
      <c r="BR36" s="15">
        <v>0.31251623460958999</v>
      </c>
      <c r="BS36" s="15">
        <v>1.21759571925814E-2</v>
      </c>
      <c r="BT36" s="15">
        <v>0</v>
      </c>
      <c r="BU36" s="15"/>
      <c r="BV36" s="15"/>
      <c r="BW36" s="15"/>
      <c r="BX36" s="15"/>
      <c r="BY36" s="15"/>
      <c r="BZ36" s="15"/>
      <c r="CA36" s="15"/>
      <c r="CB36" s="15">
        <f t="shared" si="1"/>
        <v>3.3240363135747302</v>
      </c>
      <c r="CC36" s="15">
        <f t="shared" si="1"/>
        <v>1.5857154917138601</v>
      </c>
      <c r="CD36" s="15">
        <f t="shared" si="1"/>
        <v>2.5569510104421E-2</v>
      </c>
      <c r="CE36" s="15">
        <f t="shared" si="1"/>
        <v>1.3791300846797201</v>
      </c>
      <c r="CF36" s="15">
        <f t="shared" si="1"/>
        <v>0.32144526988415001</v>
      </c>
      <c r="CG36" s="15">
        <f t="shared" si="1"/>
        <v>1.21759571925814E-2</v>
      </c>
      <c r="CH36" s="15">
        <f t="shared" si="1"/>
        <v>0</v>
      </c>
      <c r="CI36">
        <f t="shared" si="2"/>
        <v>2020</v>
      </c>
      <c r="CJ36" t="str">
        <f t="shared" si="3"/>
        <v>General government</v>
      </c>
    </row>
    <row r="37" spans="1:88">
      <c r="A37" t="s">
        <v>1622</v>
      </c>
      <c r="B37" t="s">
        <v>515</v>
      </c>
      <c r="C37" s="15">
        <v>1.9123685505267201</v>
      </c>
      <c r="D37" s="15">
        <v>0.98722175474413598</v>
      </c>
      <c r="E37" s="15">
        <v>0.25519705350861499</v>
      </c>
      <c r="F37" s="15">
        <v>0.30669627872116401</v>
      </c>
      <c r="G37" s="15">
        <v>0.177488401178964</v>
      </c>
      <c r="H37" s="15">
        <v>5.0579596190896596E-3</v>
      </c>
      <c r="I37" s="15">
        <v>0.18116691726557499</v>
      </c>
      <c r="J37" s="15"/>
      <c r="K37" s="15"/>
      <c r="L37" s="15"/>
      <c r="M37" s="15"/>
      <c r="N37" s="15"/>
      <c r="O37" s="15"/>
      <c r="P37" s="15"/>
      <c r="Q37" s="15">
        <v>1.9006756419395601</v>
      </c>
      <c r="R37" s="15">
        <v>1.00781962294455</v>
      </c>
      <c r="S37" s="15">
        <v>0.23244465908046699</v>
      </c>
      <c r="T37" s="15">
        <v>0.30503116814350101</v>
      </c>
      <c r="U37" s="15">
        <v>0.16783007875846001</v>
      </c>
      <c r="V37" s="15">
        <v>7.1327783472345599E-3</v>
      </c>
      <c r="W37" s="15">
        <v>0.18083690986224099</v>
      </c>
      <c r="X37" s="15"/>
      <c r="Y37" s="15"/>
      <c r="Z37" s="15"/>
      <c r="AA37" s="15"/>
      <c r="AB37" s="15"/>
      <c r="AC37" s="15"/>
      <c r="AD37" s="15"/>
      <c r="AE37" s="15">
        <v>1.8650010380483499</v>
      </c>
      <c r="AF37" s="15">
        <v>1.04695696902278</v>
      </c>
      <c r="AG37" s="15">
        <v>0.24673014771273</v>
      </c>
      <c r="AH37" s="15">
        <v>0.29708323908267498</v>
      </c>
      <c r="AI37" s="15">
        <v>0.161129892383824</v>
      </c>
      <c r="AJ37" s="15">
        <v>5.8099720811474898E-3</v>
      </c>
      <c r="AK37" s="15">
        <v>0.106903486293114</v>
      </c>
      <c r="AL37" s="15"/>
      <c r="AM37" s="15"/>
      <c r="AN37" s="15"/>
      <c r="AO37" s="15"/>
      <c r="AP37" s="15"/>
      <c r="AQ37" s="15"/>
      <c r="AR37" s="15"/>
      <c r="AS37" s="15">
        <v>1.80187067133655</v>
      </c>
      <c r="AT37" s="15">
        <v>0.94582885149405305</v>
      </c>
      <c r="AU37" s="15">
        <v>0.25421629443511501</v>
      </c>
      <c r="AV37" s="15">
        <v>0.31046841065054498</v>
      </c>
      <c r="AW37" s="15">
        <v>0.15361154812675001</v>
      </c>
      <c r="AX37" s="15">
        <v>3.60590488560447E-3</v>
      </c>
      <c r="AY37" s="15">
        <v>0.13413966174448599</v>
      </c>
      <c r="AZ37" s="15"/>
      <c r="BA37" s="15"/>
      <c r="BB37" s="15"/>
      <c r="BC37" s="15"/>
      <c r="BD37" s="15"/>
      <c r="BE37" s="15"/>
      <c r="BF37" s="15"/>
      <c r="BG37" s="15">
        <v>2.0153146022362201</v>
      </c>
      <c r="BH37" s="15">
        <v>1.07957958629407</v>
      </c>
      <c r="BI37" s="15">
        <v>0.292160992631879</v>
      </c>
      <c r="BJ37" s="15">
        <v>0.322718647473478</v>
      </c>
      <c r="BK37" s="15">
        <v>0.16881241028347099</v>
      </c>
      <c r="BL37" s="15">
        <v>5.5898149100486998E-3</v>
      </c>
      <c r="BM37" s="15">
        <v>0.146080496315939</v>
      </c>
      <c r="BN37" s="15"/>
      <c r="BO37" s="15"/>
      <c r="BP37" s="15"/>
      <c r="BQ37" s="15"/>
      <c r="BR37" s="15"/>
      <c r="BS37" s="15"/>
      <c r="BT37" s="15"/>
      <c r="BU37" s="15"/>
      <c r="BV37" s="15"/>
      <c r="BW37" s="15"/>
      <c r="BX37" s="15"/>
      <c r="BY37" s="15"/>
      <c r="BZ37" s="15"/>
      <c r="CA37" s="15"/>
      <c r="CB37" s="15">
        <f t="shared" si="1"/>
        <v>2.0153146022362201</v>
      </c>
      <c r="CC37" s="15">
        <f t="shared" si="1"/>
        <v>1.07957958629407</v>
      </c>
      <c r="CD37" s="15">
        <f t="shared" si="1"/>
        <v>0.292160992631879</v>
      </c>
      <c r="CE37" s="15">
        <f t="shared" si="1"/>
        <v>0.322718647473478</v>
      </c>
      <c r="CF37" s="15">
        <f t="shared" si="1"/>
        <v>0.16881241028347099</v>
      </c>
      <c r="CG37" s="15">
        <f t="shared" si="1"/>
        <v>5.5898149100486998E-3</v>
      </c>
      <c r="CH37" s="15">
        <f t="shared" si="1"/>
        <v>0.146080496315939</v>
      </c>
      <c r="CI37">
        <f t="shared" si="2"/>
        <v>2020</v>
      </c>
      <c r="CJ37" t="str">
        <f t="shared" si="3"/>
        <v>General government</v>
      </c>
    </row>
    <row r="38" spans="1:88">
      <c r="A38" t="s">
        <v>1623</v>
      </c>
      <c r="B38" t="s">
        <v>328</v>
      </c>
      <c r="C38" s="15"/>
      <c r="D38" s="15"/>
      <c r="E38" s="15"/>
      <c r="F38" s="15"/>
      <c r="G38" s="15"/>
      <c r="H38" s="15"/>
      <c r="I38" s="15"/>
      <c r="J38" s="15">
        <v>0.32600801944483199</v>
      </c>
      <c r="K38" s="15">
        <v>0.126426303105444</v>
      </c>
      <c r="L38" s="15">
        <v>0</v>
      </c>
      <c r="M38" s="15">
        <v>2.9756623184511499E-2</v>
      </c>
      <c r="N38" s="15">
        <v>7.1072214631130101E-2</v>
      </c>
      <c r="O38" s="15">
        <v>2.4330178105748399E-3</v>
      </c>
      <c r="P38" s="15">
        <v>9.6319860713172001E-2</v>
      </c>
      <c r="Q38" s="15"/>
      <c r="R38" s="15"/>
      <c r="S38" s="15"/>
      <c r="T38" s="15"/>
      <c r="U38" s="15"/>
      <c r="V38" s="15"/>
      <c r="W38" s="15"/>
      <c r="X38" s="15">
        <v>0.29863722233758599</v>
      </c>
      <c r="Y38" s="15">
        <v>0.123292206843627</v>
      </c>
      <c r="Z38" s="15">
        <v>0</v>
      </c>
      <c r="AA38" s="15">
        <v>3.3389854326590501E-2</v>
      </c>
      <c r="AB38" s="15">
        <v>5.7114899262852403E-2</v>
      </c>
      <c r="AC38" s="15">
        <v>2.1354389400326502E-3</v>
      </c>
      <c r="AD38" s="15">
        <v>8.2704822964483199E-2</v>
      </c>
      <c r="AE38" s="15"/>
      <c r="AF38" s="15"/>
      <c r="AG38" s="15"/>
      <c r="AH38" s="15"/>
      <c r="AI38" s="15"/>
      <c r="AJ38" s="15"/>
      <c r="AK38" s="15"/>
      <c r="AL38" s="15">
        <v>0.296267743531065</v>
      </c>
      <c r="AM38" s="15">
        <v>0.121442762640518</v>
      </c>
      <c r="AN38" s="15">
        <v>0</v>
      </c>
      <c r="AO38" s="15">
        <v>3.4476066189150202E-2</v>
      </c>
      <c r="AP38" s="15">
        <v>3.6189616237526E-2</v>
      </c>
      <c r="AQ38" s="15">
        <v>2.7747155798171202E-3</v>
      </c>
      <c r="AR38" s="15">
        <v>0.101384582884054</v>
      </c>
      <c r="AS38" s="15"/>
      <c r="AT38" s="15"/>
      <c r="AU38" s="15"/>
      <c r="AV38" s="15"/>
      <c r="AW38" s="15"/>
      <c r="AX38" s="15"/>
      <c r="AY38" s="15"/>
      <c r="AZ38" s="15">
        <v>0.241902040360994</v>
      </c>
      <c r="BA38" s="15">
        <v>0.110198361957823</v>
      </c>
      <c r="BB38" s="15">
        <v>0</v>
      </c>
      <c r="BC38" s="15">
        <v>3.7940607014862002E-2</v>
      </c>
      <c r="BD38" s="15">
        <v>3.3763762354048897E-2</v>
      </c>
      <c r="BE38" s="15">
        <v>1.3717453597591801E-3</v>
      </c>
      <c r="BF38" s="15">
        <v>5.8627563674500199E-2</v>
      </c>
      <c r="BG38" s="15"/>
      <c r="BH38" s="15"/>
      <c r="BI38" s="15"/>
      <c r="BJ38" s="15"/>
      <c r="BK38" s="15"/>
      <c r="BL38" s="15"/>
      <c r="BM38" s="15"/>
      <c r="BN38" s="15">
        <v>0.240721848001581</v>
      </c>
      <c r="BO38" s="15">
        <v>0.111848961526409</v>
      </c>
      <c r="BP38" s="15">
        <v>0</v>
      </c>
      <c r="BQ38" s="15">
        <v>2.3715738666724901E-2</v>
      </c>
      <c r="BR38" s="15">
        <v>3.4722045826395598E-2</v>
      </c>
      <c r="BS38" s="15">
        <v>8.0859989382782195E-3</v>
      </c>
      <c r="BT38" s="15">
        <v>6.2349103043773002E-2</v>
      </c>
      <c r="BU38" s="15"/>
      <c r="BV38" s="15"/>
      <c r="BW38" s="15"/>
      <c r="BX38" s="15"/>
      <c r="BY38" s="15"/>
      <c r="BZ38" s="15"/>
      <c r="CA38" s="15"/>
      <c r="CB38" s="15">
        <f t="shared" si="1"/>
        <v>0.240721848001581</v>
      </c>
      <c r="CC38" s="15">
        <f t="shared" si="1"/>
        <v>0.111848961526409</v>
      </c>
      <c r="CD38" s="15">
        <f t="shared" si="1"/>
        <v>0</v>
      </c>
      <c r="CE38" s="15">
        <f t="shared" si="1"/>
        <v>2.3715738666724901E-2</v>
      </c>
      <c r="CF38" s="15">
        <f t="shared" si="1"/>
        <v>3.4722045826395598E-2</v>
      </c>
      <c r="CG38" s="15">
        <f t="shared" si="1"/>
        <v>8.0859989382782195E-3</v>
      </c>
      <c r="CH38" s="15">
        <f t="shared" si="1"/>
        <v>6.2349103043773002E-2</v>
      </c>
      <c r="CI38">
        <f t="shared" si="2"/>
        <v>2020</v>
      </c>
      <c r="CJ38" t="str">
        <f t="shared" si="3"/>
        <v>Budgetary central government</v>
      </c>
    </row>
    <row r="39" spans="1:88">
      <c r="A39" t="s">
        <v>50</v>
      </c>
      <c r="B39" t="s">
        <v>459</v>
      </c>
      <c r="C39" s="15">
        <v>1.18656846789691</v>
      </c>
      <c r="D39" s="15">
        <v>0.53374893112294197</v>
      </c>
      <c r="E39" s="15">
        <v>0.27308084848150499</v>
      </c>
      <c r="F39" s="15">
        <v>0.23170496234794399</v>
      </c>
      <c r="G39" s="15">
        <v>9.4245073970889798E-2</v>
      </c>
      <c r="H39" s="15">
        <v>1.37919620445205E-3</v>
      </c>
      <c r="I39" s="15">
        <v>5.2409455769177701E-2</v>
      </c>
      <c r="J39" s="15"/>
      <c r="K39" s="15"/>
      <c r="L39" s="15"/>
      <c r="M39" s="15"/>
      <c r="N39" s="15"/>
      <c r="O39" s="15"/>
      <c r="P39" s="15"/>
      <c r="Q39" s="15">
        <v>1.12681782228094</v>
      </c>
      <c r="R39" s="15">
        <v>0.492706616409119</v>
      </c>
      <c r="S39" s="15">
        <v>0.25806337576944</v>
      </c>
      <c r="T39" s="15">
        <v>0.24038780208660099</v>
      </c>
      <c r="U39" s="15">
        <v>9.6331876571468994E-2</v>
      </c>
      <c r="V39" s="15">
        <v>2.6513360524257502E-3</v>
      </c>
      <c r="W39" s="15">
        <v>3.6676815391889599E-2</v>
      </c>
      <c r="X39" s="15"/>
      <c r="Y39" s="15"/>
      <c r="Z39" s="15"/>
      <c r="AA39" s="15"/>
      <c r="AB39" s="15"/>
      <c r="AC39" s="15"/>
      <c r="AD39" s="15"/>
      <c r="AE39" s="15">
        <v>1.10935974094951</v>
      </c>
      <c r="AF39" s="15">
        <v>0.493429506399164</v>
      </c>
      <c r="AG39" s="15">
        <v>0.246714753199582</v>
      </c>
      <c r="AH39" s="15">
        <v>0.23686329604057099</v>
      </c>
      <c r="AI39" s="15">
        <v>9.3374680898452897E-2</v>
      </c>
      <c r="AJ39" s="15">
        <v>1.2849726729144901E-3</v>
      </c>
      <c r="AK39" s="15">
        <v>3.7692531738825003E-2</v>
      </c>
      <c r="AL39" s="15"/>
      <c r="AM39" s="15"/>
      <c r="AN39" s="15"/>
      <c r="AO39" s="15"/>
      <c r="AP39" s="15"/>
      <c r="AQ39" s="15"/>
      <c r="AR39" s="15"/>
      <c r="AS39" s="15">
        <v>1.1728593026984899</v>
      </c>
      <c r="AT39" s="15">
        <v>0.52312190489677102</v>
      </c>
      <c r="AU39" s="15">
        <v>0.25281448747797802</v>
      </c>
      <c r="AV39" s="15">
        <v>0.256979470797219</v>
      </c>
      <c r="AW39" s="15">
        <v>0.100792596325652</v>
      </c>
      <c r="AX39" s="15">
        <v>1.24949499577254E-3</v>
      </c>
      <c r="AY39" s="15">
        <v>3.7901348205100403E-2</v>
      </c>
      <c r="AZ39" s="15"/>
      <c r="BA39" s="15"/>
      <c r="BB39" s="15"/>
      <c r="BC39" s="15"/>
      <c r="BD39" s="15"/>
      <c r="BE39" s="15"/>
      <c r="BF39" s="15"/>
      <c r="BG39" s="15">
        <v>1.16771385506461</v>
      </c>
      <c r="BH39" s="15">
        <v>0.53432011787220302</v>
      </c>
      <c r="BI39" s="15">
        <v>0.251917963656071</v>
      </c>
      <c r="BJ39" s="15">
        <v>0.23963960912493401</v>
      </c>
      <c r="BK39" s="15">
        <v>9.5686487035751194E-2</v>
      </c>
      <c r="BL39" s="15">
        <v>1.27017460666926E-3</v>
      </c>
      <c r="BM39" s="15">
        <v>4.4879502768980603E-2</v>
      </c>
      <c r="BN39" s="15"/>
      <c r="BO39" s="15"/>
      <c r="BP39" s="15"/>
      <c r="BQ39" s="15"/>
      <c r="BR39" s="15"/>
      <c r="BS39" s="15"/>
      <c r="BT39" s="15"/>
      <c r="BU39" s="15"/>
      <c r="BV39" s="15"/>
      <c r="BW39" s="15"/>
      <c r="BX39" s="15"/>
      <c r="BY39" s="15"/>
      <c r="BZ39" s="15"/>
      <c r="CA39" s="15"/>
      <c r="CB39" s="15">
        <f t="shared" si="1"/>
        <v>1.16771385506461</v>
      </c>
      <c r="CC39" s="15">
        <f t="shared" si="1"/>
        <v>0.53432011787220302</v>
      </c>
      <c r="CD39" s="15">
        <f t="shared" si="1"/>
        <v>0.251917963656071</v>
      </c>
      <c r="CE39" s="15">
        <f t="shared" si="1"/>
        <v>0.23963960912493401</v>
      </c>
      <c r="CF39" s="15">
        <f t="shared" si="1"/>
        <v>9.5686487035751194E-2</v>
      </c>
      <c r="CG39" s="15">
        <f t="shared" si="1"/>
        <v>1.27017460666926E-3</v>
      </c>
      <c r="CH39" s="15">
        <f t="shared" si="1"/>
        <v>4.4879502768980603E-2</v>
      </c>
      <c r="CI39">
        <f t="shared" si="2"/>
        <v>2020</v>
      </c>
      <c r="CJ39" t="str">
        <f t="shared" si="3"/>
        <v>General government</v>
      </c>
    </row>
    <row r="40" spans="1:88">
      <c r="A40" t="s">
        <v>55</v>
      </c>
      <c r="B40" t="s">
        <v>452</v>
      </c>
      <c r="C40" s="15">
        <v>1.6292255281588499</v>
      </c>
      <c r="D40" s="15">
        <v>0.93186203661471601</v>
      </c>
      <c r="E40" s="15">
        <v>0.27003812223913698</v>
      </c>
      <c r="F40" s="15">
        <v>0.23154437366866501</v>
      </c>
      <c r="G40" s="15">
        <v>0.154333075663939</v>
      </c>
      <c r="H40" s="15">
        <v>6.2664241858907904E-4</v>
      </c>
      <c r="I40" s="15">
        <v>4.0821277553802798E-2</v>
      </c>
      <c r="J40" s="15"/>
      <c r="K40" s="15"/>
      <c r="L40" s="15"/>
      <c r="M40" s="15"/>
      <c r="N40" s="15"/>
      <c r="O40" s="15"/>
      <c r="P40" s="15"/>
      <c r="Q40" s="15">
        <v>1.6336546171452599</v>
      </c>
      <c r="R40" s="15">
        <v>0.93677548991355697</v>
      </c>
      <c r="S40" s="15">
        <v>0.26749467404827199</v>
      </c>
      <c r="T40" s="15">
        <v>0.22905727824930899</v>
      </c>
      <c r="U40" s="15">
        <v>0.15692730674434799</v>
      </c>
      <c r="V40" s="15">
        <v>6.0942643395863404E-4</v>
      </c>
      <c r="W40" s="15">
        <v>4.2833972215378303E-2</v>
      </c>
      <c r="X40" s="15"/>
      <c r="Y40" s="15"/>
      <c r="Z40" s="15"/>
      <c r="AA40" s="15"/>
      <c r="AB40" s="15"/>
      <c r="AC40" s="15"/>
      <c r="AD40" s="15"/>
      <c r="AE40" s="15">
        <v>1.62314994334208</v>
      </c>
      <c r="AF40" s="15">
        <v>0.93094165546061303</v>
      </c>
      <c r="AG40" s="15">
        <v>0.264333099480135</v>
      </c>
      <c r="AH40" s="15">
        <v>0.23424812529566599</v>
      </c>
      <c r="AI40" s="15">
        <v>0.15139808387064599</v>
      </c>
      <c r="AJ40" s="15">
        <v>6.3470409671874904E-4</v>
      </c>
      <c r="AK40" s="15">
        <v>4.1594275138302002E-2</v>
      </c>
      <c r="AL40" s="15"/>
      <c r="AM40" s="15"/>
      <c r="AN40" s="15"/>
      <c r="AO40" s="15"/>
      <c r="AP40" s="15"/>
      <c r="AQ40" s="15"/>
      <c r="AR40" s="15"/>
      <c r="AS40" s="15">
        <v>1.6372426552785799</v>
      </c>
      <c r="AT40" s="15">
        <v>0.939312079125874</v>
      </c>
      <c r="AU40" s="15">
        <v>0.266323711302143</v>
      </c>
      <c r="AV40" s="15">
        <v>0.23321785254970501</v>
      </c>
      <c r="AW40" s="15">
        <v>0.15605289553193999</v>
      </c>
      <c r="AX40" s="15">
        <v>6.9739727235619802E-4</v>
      </c>
      <c r="AY40" s="15">
        <v>4.1679742865523298E-2</v>
      </c>
      <c r="AZ40" s="15"/>
      <c r="BA40" s="15"/>
      <c r="BB40" s="15"/>
      <c r="BC40" s="15"/>
      <c r="BD40" s="15"/>
      <c r="BE40" s="15"/>
      <c r="BF40" s="15"/>
      <c r="BG40" s="15">
        <v>1.7738377495809601</v>
      </c>
      <c r="BH40" s="15">
        <v>0.99966997559556403</v>
      </c>
      <c r="BI40" s="15">
        <v>0.288771353881695</v>
      </c>
      <c r="BJ40" s="15">
        <v>0.246693242316077</v>
      </c>
      <c r="BK40" s="15">
        <v>0.17256802410915101</v>
      </c>
      <c r="BL40" s="15">
        <v>6.5136395612412396E-4</v>
      </c>
      <c r="BM40" s="15">
        <v>6.5440365458603697E-2</v>
      </c>
      <c r="BN40" s="15"/>
      <c r="BO40" s="15"/>
      <c r="BP40" s="15"/>
      <c r="BQ40" s="15"/>
      <c r="BR40" s="15"/>
      <c r="BS40" s="15"/>
      <c r="BT40" s="15"/>
      <c r="BU40" s="15"/>
      <c r="BV40" s="15"/>
      <c r="BW40" s="15"/>
      <c r="BX40" s="15"/>
      <c r="BY40" s="15"/>
      <c r="BZ40" s="15"/>
      <c r="CA40" s="15"/>
      <c r="CB40" s="15">
        <f t="shared" si="1"/>
        <v>1.7738377495809601</v>
      </c>
      <c r="CC40" s="15">
        <f t="shared" si="1"/>
        <v>0.99966997559556403</v>
      </c>
      <c r="CD40" s="15">
        <f t="shared" si="1"/>
        <v>0.288771353881695</v>
      </c>
      <c r="CE40" s="15">
        <f t="shared" si="1"/>
        <v>0.246693242316077</v>
      </c>
      <c r="CF40" s="15">
        <f t="shared" si="1"/>
        <v>0.17256802410915101</v>
      </c>
      <c r="CG40" s="15">
        <f t="shared" si="1"/>
        <v>6.5136395612412396E-4</v>
      </c>
      <c r="CH40" s="15">
        <f t="shared" si="1"/>
        <v>6.5440365458603697E-2</v>
      </c>
      <c r="CI40">
        <f t="shared" si="2"/>
        <v>2020</v>
      </c>
      <c r="CJ40" t="str">
        <f t="shared" si="3"/>
        <v>General government</v>
      </c>
    </row>
    <row r="41" spans="1:88">
      <c r="A41" t="s">
        <v>179</v>
      </c>
      <c r="B41" t="s">
        <v>394</v>
      </c>
      <c r="C41" s="15">
        <v>3.7562767064929701</v>
      </c>
      <c r="D41" s="15">
        <v>1.9965945943806001</v>
      </c>
      <c r="E41" s="15">
        <v>0.165475974069559</v>
      </c>
      <c r="F41" s="15">
        <v>0.45931442380859</v>
      </c>
      <c r="G41" s="15">
        <v>0.36025207845497598</v>
      </c>
      <c r="H41" s="15">
        <v>0</v>
      </c>
      <c r="I41" s="15">
        <v>0.77463963577925099</v>
      </c>
      <c r="J41" s="15">
        <v>2.5583199498646199</v>
      </c>
      <c r="K41" s="15">
        <v>1.5601621771043901</v>
      </c>
      <c r="L41" s="15">
        <v>9.9341394213765602E-2</v>
      </c>
      <c r="M41" s="15">
        <v>0.16994075583197499</v>
      </c>
      <c r="N41" s="15">
        <v>0.36025207845497598</v>
      </c>
      <c r="O41" s="15">
        <v>0</v>
      </c>
      <c r="P41" s="15">
        <v>0.368623544259507</v>
      </c>
      <c r="Q41" s="15">
        <v>3.4309198433058001</v>
      </c>
      <c r="R41" s="15">
        <v>1.80586349421337</v>
      </c>
      <c r="S41" s="15">
        <v>0.15136771850694899</v>
      </c>
      <c r="T41" s="15">
        <v>0.42417307179661901</v>
      </c>
      <c r="U41" s="15">
        <v>0.32039909298229302</v>
      </c>
      <c r="V41" s="15">
        <v>0</v>
      </c>
      <c r="W41" s="15">
        <v>0.72911646580656597</v>
      </c>
      <c r="X41" s="15">
        <v>2.30044586132846</v>
      </c>
      <c r="Y41" s="15">
        <v>1.40695926359376</v>
      </c>
      <c r="Z41" s="15">
        <v>8.0958423188481399E-2</v>
      </c>
      <c r="AA41" s="15">
        <v>0.13861063364088499</v>
      </c>
      <c r="AB41" s="15">
        <v>0.32039909298229302</v>
      </c>
      <c r="AC41" s="15">
        <v>0</v>
      </c>
      <c r="AD41" s="15">
        <v>0.35351844792303599</v>
      </c>
      <c r="AE41" s="15">
        <v>3.1175347288013602</v>
      </c>
      <c r="AF41" s="15">
        <v>1.67065242119526</v>
      </c>
      <c r="AG41" s="15">
        <v>8.1839771002049505E-2</v>
      </c>
      <c r="AH41" s="15">
        <v>0.33565517038374798</v>
      </c>
      <c r="AI41" s="15">
        <v>0.30852472575019202</v>
      </c>
      <c r="AJ41" s="15">
        <v>0</v>
      </c>
      <c r="AK41" s="15">
        <v>0.72086264047010695</v>
      </c>
      <c r="AL41" s="15">
        <v>2.3029487341425998</v>
      </c>
      <c r="AM41" s="15">
        <v>1.41661280326287</v>
      </c>
      <c r="AN41" s="15">
        <v>0</v>
      </c>
      <c r="AO41" s="15">
        <v>0.109194434186296</v>
      </c>
      <c r="AP41" s="15">
        <v>0.30852472575019202</v>
      </c>
      <c r="AQ41" s="15">
        <v>0</v>
      </c>
      <c r="AR41" s="15">
        <v>0.468616770943242</v>
      </c>
      <c r="AS41" s="15">
        <v>2.9746620443340901</v>
      </c>
      <c r="AT41" s="15">
        <v>1.5800163831143199</v>
      </c>
      <c r="AU41" s="15">
        <v>0.20201957095846201</v>
      </c>
      <c r="AV41" s="15">
        <v>0.31612509746967299</v>
      </c>
      <c r="AW41" s="15">
        <v>0.27978187817161798</v>
      </c>
      <c r="AX41" s="15">
        <v>0</v>
      </c>
      <c r="AY41" s="15">
        <v>0.59671911462001903</v>
      </c>
      <c r="AZ41" s="15">
        <v>2.2648525769262702</v>
      </c>
      <c r="BA41" s="15">
        <v>1.33779593270885</v>
      </c>
      <c r="BB41" s="15">
        <v>0.20201957095846201</v>
      </c>
      <c r="BC41" s="15">
        <v>0.10293861555370901</v>
      </c>
      <c r="BD41" s="15">
        <v>0.27978187817161798</v>
      </c>
      <c r="BE41" s="15">
        <v>0</v>
      </c>
      <c r="BF41" s="15">
        <v>0.34231657953363498</v>
      </c>
      <c r="BG41" s="15">
        <v>3.0188152964759798</v>
      </c>
      <c r="BH41" s="15">
        <v>1.62031083089785</v>
      </c>
      <c r="BI41" s="15">
        <v>0.16701917093660701</v>
      </c>
      <c r="BJ41" s="15">
        <v>0.28579290204329999</v>
      </c>
      <c r="BK41" s="15">
        <v>0.28558847221351202</v>
      </c>
      <c r="BL41" s="15">
        <v>0</v>
      </c>
      <c r="BM41" s="15">
        <v>0.660103920384704</v>
      </c>
      <c r="BN41" s="15">
        <v>2.2824590495804302</v>
      </c>
      <c r="BO41" s="15">
        <v>1.3565963504716301</v>
      </c>
      <c r="BP41" s="15">
        <v>0.16701917093660701</v>
      </c>
      <c r="BQ41" s="15">
        <v>0.10446364302155001</v>
      </c>
      <c r="BR41" s="15">
        <v>0.28558847221351202</v>
      </c>
      <c r="BS41" s="15">
        <v>0</v>
      </c>
      <c r="BT41" s="15">
        <v>0.36879141293713402</v>
      </c>
      <c r="BU41" s="15"/>
      <c r="BV41" s="15"/>
      <c r="BW41" s="15"/>
      <c r="BX41" s="15"/>
      <c r="BY41" s="15"/>
      <c r="BZ41" s="15"/>
      <c r="CA41" s="15"/>
      <c r="CB41" s="15">
        <f t="shared" si="1"/>
        <v>3.0188152964759798</v>
      </c>
      <c r="CC41" s="15">
        <f t="shared" si="1"/>
        <v>1.62031083089785</v>
      </c>
      <c r="CD41" s="15">
        <f t="shared" si="1"/>
        <v>0.16701917093660701</v>
      </c>
      <c r="CE41" s="15">
        <f t="shared" si="1"/>
        <v>0.28579290204329999</v>
      </c>
      <c r="CF41" s="15">
        <f t="shared" si="1"/>
        <v>0.28558847221351202</v>
      </c>
      <c r="CG41" s="15">
        <f t="shared" si="1"/>
        <v>0</v>
      </c>
      <c r="CH41" s="15">
        <f t="shared" si="1"/>
        <v>0.660103920384704</v>
      </c>
      <c r="CI41">
        <f t="shared" si="2"/>
        <v>2020</v>
      </c>
      <c r="CJ41" t="str">
        <f t="shared" si="3"/>
        <v>General government</v>
      </c>
    </row>
    <row r="42" spans="1:88">
      <c r="A42" t="s">
        <v>56</v>
      </c>
      <c r="B42" t="s">
        <v>457</v>
      </c>
      <c r="C42" s="15">
        <v>1.5498255038695401</v>
      </c>
      <c r="D42" s="15">
        <v>0.74341093679220605</v>
      </c>
      <c r="E42" s="15">
        <v>0.24802694960347599</v>
      </c>
      <c r="F42" s="15">
        <v>0.38606072592942298</v>
      </c>
      <c r="G42" s="15">
        <v>9.5382711165838296E-2</v>
      </c>
      <c r="H42" s="15">
        <v>9.5701716888801002E-4</v>
      </c>
      <c r="I42" s="15">
        <v>7.5987163209707997E-2</v>
      </c>
      <c r="J42" s="15"/>
      <c r="K42" s="15"/>
      <c r="L42" s="15"/>
      <c r="M42" s="15"/>
      <c r="N42" s="15"/>
      <c r="O42" s="15"/>
      <c r="P42" s="15"/>
      <c r="Q42" s="15">
        <v>1.55719340344519</v>
      </c>
      <c r="R42" s="15">
        <v>0.75355966649934503</v>
      </c>
      <c r="S42" s="15">
        <v>0.24629953843705199</v>
      </c>
      <c r="T42" s="15">
        <v>0.38299318062170201</v>
      </c>
      <c r="U42" s="15">
        <v>9.5189706044393294E-2</v>
      </c>
      <c r="V42" s="15">
        <v>8.8762105314707605E-4</v>
      </c>
      <c r="W42" s="15">
        <v>7.8263690789554197E-2</v>
      </c>
      <c r="X42" s="15"/>
      <c r="Y42" s="15"/>
      <c r="Z42" s="15"/>
      <c r="AA42" s="15"/>
      <c r="AB42" s="15"/>
      <c r="AC42" s="15"/>
      <c r="AD42" s="15"/>
      <c r="AE42" s="15">
        <v>1.5810336534178999</v>
      </c>
      <c r="AF42" s="15">
        <v>0.76463986032673603</v>
      </c>
      <c r="AG42" s="15">
        <v>0.25107932039930397</v>
      </c>
      <c r="AH42" s="15">
        <v>0.38620964054325302</v>
      </c>
      <c r="AI42" s="15">
        <v>9.6708295475465098E-2</v>
      </c>
      <c r="AJ42" s="15">
        <v>9.2046581508732595E-4</v>
      </c>
      <c r="AK42" s="15">
        <v>8.1476070858052294E-2</v>
      </c>
      <c r="AL42" s="15"/>
      <c r="AM42" s="15"/>
      <c r="AN42" s="15"/>
      <c r="AO42" s="15"/>
      <c r="AP42" s="15"/>
      <c r="AQ42" s="15"/>
      <c r="AR42" s="15"/>
      <c r="AS42" s="15">
        <v>1.5957505002375201</v>
      </c>
      <c r="AT42" s="15">
        <v>0.75679099428505603</v>
      </c>
      <c r="AU42" s="15">
        <v>0.26760908057063099</v>
      </c>
      <c r="AV42" s="15">
        <v>0.38709027307930399</v>
      </c>
      <c r="AW42" s="15">
        <v>9.4087840269480499E-2</v>
      </c>
      <c r="AX42" s="15">
        <v>8.9251011271538998E-4</v>
      </c>
      <c r="AY42" s="15">
        <v>8.9279801920336299E-2</v>
      </c>
      <c r="AZ42" s="15"/>
      <c r="BA42" s="15"/>
      <c r="BB42" s="15"/>
      <c r="BC42" s="15"/>
      <c r="BD42" s="15"/>
      <c r="BE42" s="15"/>
      <c r="BF42" s="15"/>
      <c r="BG42" s="15">
        <v>1.7156338714083801</v>
      </c>
      <c r="BH42" s="15">
        <v>0.81118079559087297</v>
      </c>
      <c r="BI42" s="15">
        <v>0.31461948710639198</v>
      </c>
      <c r="BJ42" s="15">
        <v>0.395894950646759</v>
      </c>
      <c r="BK42" s="15">
        <v>9.8795567116844202E-2</v>
      </c>
      <c r="BL42" s="15">
        <v>9.5024290584280605E-4</v>
      </c>
      <c r="BM42" s="15">
        <v>9.4192828041668106E-2</v>
      </c>
      <c r="BN42" s="15"/>
      <c r="BO42" s="15"/>
      <c r="BP42" s="15"/>
      <c r="BQ42" s="15"/>
      <c r="BR42" s="15"/>
      <c r="BS42" s="15"/>
      <c r="BT42" s="15"/>
      <c r="BU42" s="15"/>
      <c r="BV42" s="15"/>
      <c r="BW42" s="15"/>
      <c r="BX42" s="15"/>
      <c r="BY42" s="15"/>
      <c r="BZ42" s="15"/>
      <c r="CA42" s="15"/>
      <c r="CB42" s="15">
        <f t="shared" si="1"/>
        <v>1.7156338714083801</v>
      </c>
      <c r="CC42" s="15">
        <f t="shared" si="1"/>
        <v>0.81118079559087297</v>
      </c>
      <c r="CD42" s="15">
        <f t="shared" si="1"/>
        <v>0.31461948710639198</v>
      </c>
      <c r="CE42" s="15">
        <f t="shared" si="1"/>
        <v>0.395894950646759</v>
      </c>
      <c r="CF42" s="15">
        <f t="shared" si="1"/>
        <v>9.8795567116844202E-2</v>
      </c>
      <c r="CG42" s="15">
        <f t="shared" si="1"/>
        <v>9.5024290584280605E-4</v>
      </c>
      <c r="CH42" s="15">
        <f t="shared" si="1"/>
        <v>9.4192828041668106E-2</v>
      </c>
      <c r="CI42">
        <f t="shared" si="2"/>
        <v>2020</v>
      </c>
      <c r="CJ42" t="str">
        <f t="shared" si="3"/>
        <v>General government</v>
      </c>
    </row>
    <row r="43" spans="1:88">
      <c r="A43" t="s">
        <v>65</v>
      </c>
      <c r="B43" t="s">
        <v>443</v>
      </c>
      <c r="C43" s="15">
        <v>2.17749387328753</v>
      </c>
      <c r="D43" s="15">
        <v>1.43769693004356</v>
      </c>
      <c r="E43" s="15">
        <v>0.29270476420048602</v>
      </c>
      <c r="F43" s="15">
        <v>0.33460172064486898</v>
      </c>
      <c r="G43" s="15">
        <v>8.8385360170342694E-2</v>
      </c>
      <c r="H43" s="15">
        <v>0</v>
      </c>
      <c r="I43" s="15">
        <v>2.41050982282753E-2</v>
      </c>
      <c r="J43" s="15"/>
      <c r="K43" s="15"/>
      <c r="L43" s="15"/>
      <c r="M43" s="15"/>
      <c r="N43" s="15"/>
      <c r="O43" s="15"/>
      <c r="P43" s="15"/>
      <c r="Q43" s="15">
        <v>2.14674403901734</v>
      </c>
      <c r="R43" s="15">
        <v>1.4089595375722499</v>
      </c>
      <c r="S43" s="15">
        <v>0.28901734104046201</v>
      </c>
      <c r="T43" s="15">
        <v>0.336434248554913</v>
      </c>
      <c r="U43" s="15">
        <v>8.7495484104046201E-2</v>
      </c>
      <c r="V43" s="15">
        <v>0</v>
      </c>
      <c r="W43" s="15">
        <v>2.4837427745664699E-2</v>
      </c>
      <c r="X43" s="15"/>
      <c r="Y43" s="15"/>
      <c r="Z43" s="15"/>
      <c r="AA43" s="15"/>
      <c r="AB43" s="15"/>
      <c r="AC43" s="15"/>
      <c r="AD43" s="15"/>
      <c r="AE43" s="15">
        <v>2.2767864594635201</v>
      </c>
      <c r="AF43" s="15">
        <v>1.48447367396106</v>
      </c>
      <c r="AG43" s="15">
        <v>0.302124889415614</v>
      </c>
      <c r="AH43" s="15">
        <v>0.37334401620235103</v>
      </c>
      <c r="AI43" s="15">
        <v>8.9023908483422107E-2</v>
      </c>
      <c r="AJ43" s="15">
        <v>0</v>
      </c>
      <c r="AK43" s="15">
        <v>2.7819971401069399E-2</v>
      </c>
      <c r="AL43" s="15"/>
      <c r="AM43" s="15"/>
      <c r="AN43" s="15"/>
      <c r="AO43" s="15"/>
      <c r="AP43" s="15"/>
      <c r="AQ43" s="15"/>
      <c r="AR43" s="15"/>
      <c r="AS43" s="15">
        <v>2.0990878509156898</v>
      </c>
      <c r="AT43" s="15">
        <v>1.3597727532944801</v>
      </c>
      <c r="AU43" s="15">
        <v>0.28460359952675102</v>
      </c>
      <c r="AV43" s="15">
        <v>0.36475059019807798</v>
      </c>
      <c r="AW43" s="15">
        <v>8.5599166907471103E-2</v>
      </c>
      <c r="AX43" s="15">
        <v>0</v>
      </c>
      <c r="AY43" s="15">
        <v>4.3617409889157299E-3</v>
      </c>
      <c r="AZ43" s="15"/>
      <c r="BA43" s="15"/>
      <c r="BB43" s="15"/>
      <c r="BC43" s="15"/>
      <c r="BD43" s="15"/>
      <c r="BE43" s="15"/>
      <c r="BF43" s="15"/>
      <c r="BG43" s="15">
        <v>2.36507266477718</v>
      </c>
      <c r="BH43" s="15">
        <v>1.5148043176747299</v>
      </c>
      <c r="BI43" s="15">
        <v>0.34493155641319401</v>
      </c>
      <c r="BJ43" s="15">
        <v>0.39920400410058499</v>
      </c>
      <c r="BK43" s="15">
        <v>8.6835916299825094E-2</v>
      </c>
      <c r="BL43" s="15">
        <v>0</v>
      </c>
      <c r="BM43" s="15">
        <v>1.929687028885E-2</v>
      </c>
      <c r="BN43" s="15"/>
      <c r="BO43" s="15"/>
      <c r="BP43" s="15"/>
      <c r="BQ43" s="15"/>
      <c r="BR43" s="15"/>
      <c r="BS43" s="15"/>
      <c r="BT43" s="15"/>
      <c r="BU43" s="15"/>
      <c r="BV43" s="15"/>
      <c r="BW43" s="15"/>
      <c r="BX43" s="15"/>
      <c r="BY43" s="15"/>
      <c r="BZ43" s="15"/>
      <c r="CA43" s="15"/>
      <c r="CB43" s="15">
        <f t="shared" si="1"/>
        <v>2.36507266477718</v>
      </c>
      <c r="CC43" s="15">
        <f t="shared" si="1"/>
        <v>1.5148043176747299</v>
      </c>
      <c r="CD43" s="15">
        <f t="shared" si="1"/>
        <v>0.34493155641319401</v>
      </c>
      <c r="CE43" s="15">
        <f t="shared" si="1"/>
        <v>0.39920400410058499</v>
      </c>
      <c r="CF43" s="15">
        <f t="shared" si="1"/>
        <v>8.6835916299825094E-2</v>
      </c>
      <c r="CG43" s="15">
        <f t="shared" si="1"/>
        <v>0</v>
      </c>
      <c r="CH43" s="15">
        <f t="shared" si="1"/>
        <v>1.929687028885E-2</v>
      </c>
      <c r="CI43">
        <f t="shared" si="2"/>
        <v>2020</v>
      </c>
      <c r="CJ43" t="str">
        <f t="shared" si="3"/>
        <v>General government</v>
      </c>
    </row>
    <row r="44" spans="1:88">
      <c r="A44" t="s">
        <v>183</v>
      </c>
      <c r="B44" t="s">
        <v>398</v>
      </c>
      <c r="C44" s="15">
        <v>1.73146513289126</v>
      </c>
      <c r="D44" s="15">
        <v>0.71289958755398997</v>
      </c>
      <c r="E44" s="15">
        <v>2.3628193236172799E-2</v>
      </c>
      <c r="F44" s="15">
        <v>0.51565606070532399</v>
      </c>
      <c r="G44" s="15">
        <v>8.8020799760074098E-2</v>
      </c>
      <c r="H44" s="15">
        <v>1.13322801987939E-2</v>
      </c>
      <c r="I44" s="15">
        <v>0.37992821143690803</v>
      </c>
      <c r="J44" s="15">
        <v>1.6440007843200499</v>
      </c>
      <c r="K44" s="15">
        <v>0.65166762151070301</v>
      </c>
      <c r="L44" s="15">
        <v>3.7307443038081797E-2</v>
      </c>
      <c r="M44" s="15">
        <v>0.78872329817231102</v>
      </c>
      <c r="N44" s="15">
        <v>8.8016484037671705E-2</v>
      </c>
      <c r="O44" s="15">
        <v>1.11651094256047E-2</v>
      </c>
      <c r="P44" s="15">
        <v>6.7120828135675006E-2</v>
      </c>
      <c r="Q44" s="15">
        <v>1.5114226593151101</v>
      </c>
      <c r="R44" s="15">
        <v>0.62515073102655305</v>
      </c>
      <c r="S44" s="15">
        <v>2.6401818586736899E-2</v>
      </c>
      <c r="T44" s="15">
        <v>0.470837777104882</v>
      </c>
      <c r="U44" s="15">
        <v>7.12706107211626E-2</v>
      </c>
      <c r="V44" s="15">
        <v>1.6818882578926001E-2</v>
      </c>
      <c r="W44" s="15">
        <v>0.30094283929684601</v>
      </c>
      <c r="X44" s="15">
        <v>1.3342122180885401</v>
      </c>
      <c r="Y44" s="15">
        <v>0.57715435243804603</v>
      </c>
      <c r="Z44" s="15">
        <v>3.4175022842128498E-2</v>
      </c>
      <c r="AA44" s="15">
        <v>0.554833853992035</v>
      </c>
      <c r="AB44" s="15">
        <v>7.1269749384763603E-2</v>
      </c>
      <c r="AC44" s="15">
        <v>1.65247401188542E-2</v>
      </c>
      <c r="AD44" s="15">
        <v>8.0254499312710503E-2</v>
      </c>
      <c r="AE44" s="15">
        <v>1.8355825706430899</v>
      </c>
      <c r="AF44" s="15">
        <v>0.75414944400519701</v>
      </c>
      <c r="AG44" s="15">
        <v>1.93864155604648E-2</v>
      </c>
      <c r="AH44" s="15">
        <v>0.52890373084884401</v>
      </c>
      <c r="AI44" s="15">
        <v>9.4345920872855302E-2</v>
      </c>
      <c r="AJ44" s="15">
        <v>1.39710818110131E-2</v>
      </c>
      <c r="AK44" s="15">
        <v>0.42482597754471901</v>
      </c>
      <c r="AL44" s="15">
        <v>1.77927889710019</v>
      </c>
      <c r="AM44" s="15">
        <v>0.69350120227899903</v>
      </c>
      <c r="AN44" s="15">
        <v>4.6765492751672903E-2</v>
      </c>
      <c r="AO44" s="15">
        <v>0.86135007685060305</v>
      </c>
      <c r="AP44" s="15">
        <v>9.4345920872855302E-2</v>
      </c>
      <c r="AQ44" s="15">
        <v>1.3824310038718301E-2</v>
      </c>
      <c r="AR44" s="15">
        <v>6.9491894307341401E-2</v>
      </c>
      <c r="AS44" s="15">
        <v>1.7727050978838601</v>
      </c>
      <c r="AT44" s="15">
        <v>0.69531704050866205</v>
      </c>
      <c r="AU44" s="15">
        <v>2.4601542298373101E-2</v>
      </c>
      <c r="AV44" s="15">
        <v>0.55305826634590904</v>
      </c>
      <c r="AW44" s="15">
        <v>8.0104799291725995E-2</v>
      </c>
      <c r="AX44" s="15">
        <v>1.28412640067846E-2</v>
      </c>
      <c r="AY44" s="15">
        <v>0.40678218543240102</v>
      </c>
      <c r="AZ44" s="15">
        <v>1.5987460149182799</v>
      </c>
      <c r="BA44" s="15">
        <v>0.63661019944146402</v>
      </c>
      <c r="BB44" s="15">
        <v>4.2754288537382203E-2</v>
      </c>
      <c r="BC44" s="15">
        <v>0.75986247695388198</v>
      </c>
      <c r="BD44" s="15">
        <v>8.0106702125891396E-2</v>
      </c>
      <c r="BE44" s="15">
        <v>1.26791669336693E-2</v>
      </c>
      <c r="BF44" s="15">
        <v>6.6733180925988303E-2</v>
      </c>
      <c r="BG44" s="15">
        <v>1.8505146832955699</v>
      </c>
      <c r="BH44" s="15">
        <v>0.76450137404755802</v>
      </c>
      <c r="BI44" s="15">
        <v>2.6989925872403901E-2</v>
      </c>
      <c r="BJ44" s="15">
        <v>0.56193165544951595</v>
      </c>
      <c r="BK44" s="15">
        <v>8.5945566247026497E-2</v>
      </c>
      <c r="BL44" s="15">
        <v>1.1632723721288801E-2</v>
      </c>
      <c r="BM44" s="15">
        <v>0.399513437957777</v>
      </c>
      <c r="BN44" s="15">
        <v>1.73854918877019</v>
      </c>
      <c r="BO44" s="15">
        <v>0.68730633292978005</v>
      </c>
      <c r="BP44" s="15">
        <v>4.1817926456728202E-2</v>
      </c>
      <c r="BQ44" s="15">
        <v>0.84095116185221197</v>
      </c>
      <c r="BR44" s="15">
        <v>8.5940601532042304E-2</v>
      </c>
      <c r="BS44" s="15">
        <v>1.1191340733110299E-2</v>
      </c>
      <c r="BT44" s="15">
        <v>7.13418252663202E-2</v>
      </c>
      <c r="BU44" s="15"/>
      <c r="BV44" s="15"/>
      <c r="BW44" s="15"/>
      <c r="BX44" s="15"/>
      <c r="BY44" s="15"/>
      <c r="BZ44" s="15"/>
      <c r="CA44" s="15"/>
      <c r="CB44" s="15">
        <f t="shared" si="1"/>
        <v>1.8505146832955699</v>
      </c>
      <c r="CC44" s="15">
        <f t="shared" si="1"/>
        <v>0.76450137404755802</v>
      </c>
      <c r="CD44" s="15">
        <f t="shared" si="1"/>
        <v>2.6989925872403901E-2</v>
      </c>
      <c r="CE44" s="15">
        <f t="shared" si="1"/>
        <v>0.56193165544951595</v>
      </c>
      <c r="CF44" s="15">
        <f t="shared" si="1"/>
        <v>8.5945566247026497E-2</v>
      </c>
      <c r="CG44" s="15">
        <f t="shared" si="1"/>
        <v>1.1632723721288801E-2</v>
      </c>
      <c r="CH44" s="15">
        <f t="shared" si="1"/>
        <v>0.399513437957777</v>
      </c>
      <c r="CI44">
        <f t="shared" si="2"/>
        <v>2020</v>
      </c>
      <c r="CJ44" t="str">
        <f t="shared" si="3"/>
        <v>General government</v>
      </c>
    </row>
    <row r="45" spans="1:88">
      <c r="A45" t="s">
        <v>148</v>
      </c>
      <c r="B45" t="s">
        <v>362</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v>2.6552909277681001</v>
      </c>
      <c r="BO45" s="15">
        <v>1.24498861739616</v>
      </c>
      <c r="BP45" s="15">
        <v>4.5854803423444702E-2</v>
      </c>
      <c r="BQ45" s="15">
        <v>0.95177496274245998</v>
      </c>
      <c r="BR45" s="15">
        <v>0.199065408692151</v>
      </c>
      <c r="BS45" s="15">
        <v>0</v>
      </c>
      <c r="BT45" s="15">
        <v>0.21360713551388499</v>
      </c>
      <c r="BU45" s="15"/>
      <c r="BV45" s="15"/>
      <c r="BW45" s="15"/>
      <c r="BX45" s="15"/>
      <c r="BY45" s="15"/>
      <c r="BZ45" s="15"/>
      <c r="CA45" s="15"/>
      <c r="CB45" s="15">
        <f t="shared" si="1"/>
        <v>2.6552909277681001</v>
      </c>
      <c r="CC45" s="15">
        <f t="shared" si="1"/>
        <v>1.24498861739616</v>
      </c>
      <c r="CD45" s="15">
        <f t="shared" si="1"/>
        <v>4.5854803423444702E-2</v>
      </c>
      <c r="CE45" s="15">
        <f t="shared" si="1"/>
        <v>0.95177496274245998</v>
      </c>
      <c r="CF45" s="15">
        <f t="shared" si="1"/>
        <v>0.199065408692151</v>
      </c>
      <c r="CG45" s="15">
        <f t="shared" si="1"/>
        <v>0</v>
      </c>
      <c r="CH45" s="15">
        <f t="shared" si="1"/>
        <v>0.21360713551388499</v>
      </c>
      <c r="CI45">
        <f t="shared" si="2"/>
        <v>2020</v>
      </c>
      <c r="CJ45" t="str">
        <f t="shared" si="3"/>
        <v>Budgetary central government</v>
      </c>
    </row>
    <row r="46" spans="1:88">
      <c r="A46" t="s">
        <v>68</v>
      </c>
      <c r="B46" t="s">
        <v>442</v>
      </c>
      <c r="C46" s="15">
        <v>2.2711441693170902</v>
      </c>
      <c r="D46" s="15">
        <v>1.27873809637632</v>
      </c>
      <c r="E46" s="15">
        <v>0.243453693020628</v>
      </c>
      <c r="F46" s="15">
        <v>0.40909156638705002</v>
      </c>
      <c r="G46" s="15">
        <v>0.31374617394263299</v>
      </c>
      <c r="H46" s="15">
        <v>0</v>
      </c>
      <c r="I46" s="15">
        <v>2.6114639590462702E-2</v>
      </c>
      <c r="J46" s="15"/>
      <c r="K46" s="15"/>
      <c r="L46" s="15"/>
      <c r="M46" s="15"/>
      <c r="N46" s="15"/>
      <c r="O46" s="15"/>
      <c r="P46" s="15"/>
      <c r="Q46" s="15">
        <v>2.2915635976767801</v>
      </c>
      <c r="R46" s="15">
        <v>1.36007226490266</v>
      </c>
      <c r="S46" s="15">
        <v>0.2273647753969</v>
      </c>
      <c r="T46" s="15">
        <v>0.40565405573767099</v>
      </c>
      <c r="U46" s="15">
        <v>0.27553542986172802</v>
      </c>
      <c r="V46" s="15">
        <v>5.0976934721231403E-6</v>
      </c>
      <c r="W46" s="15">
        <v>2.2931974084345899E-2</v>
      </c>
      <c r="X46" s="15"/>
      <c r="Y46" s="15"/>
      <c r="Z46" s="15"/>
      <c r="AA46" s="15"/>
      <c r="AB46" s="15"/>
      <c r="AC46" s="15"/>
      <c r="AD46" s="15"/>
      <c r="AE46" s="15">
        <v>2.2150615474803601</v>
      </c>
      <c r="AF46" s="15">
        <v>1.3766669904625699</v>
      </c>
      <c r="AG46" s="15">
        <v>0.21279872853630499</v>
      </c>
      <c r="AH46" s="15">
        <v>0.411849010779682</v>
      </c>
      <c r="AI46" s="15">
        <v>0.18957631094722599</v>
      </c>
      <c r="AJ46" s="15">
        <v>1.8454290326078801E-5</v>
      </c>
      <c r="AK46" s="15">
        <v>2.4152052464255599E-2</v>
      </c>
      <c r="AL46" s="15"/>
      <c r="AM46" s="15"/>
      <c r="AN46" s="15"/>
      <c r="AO46" s="15"/>
      <c r="AP46" s="15"/>
      <c r="AQ46" s="15"/>
      <c r="AR46" s="15"/>
      <c r="AS46" s="15">
        <v>2.1294748286080698</v>
      </c>
      <c r="AT46" s="15">
        <v>1.25670053960769</v>
      </c>
      <c r="AU46" s="15">
        <v>0.21884745279387499</v>
      </c>
      <c r="AV46" s="15">
        <v>0.413864826236848</v>
      </c>
      <c r="AW46" s="15">
        <v>0.21159427102587899</v>
      </c>
      <c r="AX46" s="15">
        <v>1.2625207603127299E-5</v>
      </c>
      <c r="AY46" s="15">
        <v>2.84551137361817E-2</v>
      </c>
      <c r="AZ46" s="15"/>
      <c r="BA46" s="15"/>
      <c r="BB46" s="15"/>
      <c r="BC46" s="15"/>
      <c r="BD46" s="15"/>
      <c r="BE46" s="15"/>
      <c r="BF46" s="15"/>
      <c r="BG46" s="15">
        <v>2.1570805554226098</v>
      </c>
      <c r="BH46" s="15">
        <v>1.2100504226075799</v>
      </c>
      <c r="BI46" s="15">
        <v>0.216341650108554</v>
      </c>
      <c r="BJ46" s="15">
        <v>0.42200330453602403</v>
      </c>
      <c r="BK46" s="15">
        <v>0.29117702286585201</v>
      </c>
      <c r="BL46" s="15">
        <v>4.6079604821309101E-5</v>
      </c>
      <c r="BM46" s="15">
        <v>1.74620756997843E-2</v>
      </c>
      <c r="BN46" s="15"/>
      <c r="BO46" s="15"/>
      <c r="BP46" s="15"/>
      <c r="BQ46" s="15"/>
      <c r="BR46" s="15"/>
      <c r="BS46" s="15"/>
      <c r="BT46" s="15"/>
      <c r="BU46" s="15"/>
      <c r="BV46" s="15"/>
      <c r="BW46" s="15"/>
      <c r="BX46" s="15"/>
      <c r="BY46" s="15"/>
      <c r="BZ46" s="15"/>
      <c r="CA46" s="15"/>
      <c r="CB46" s="15">
        <f t="shared" si="1"/>
        <v>2.1570805554226098</v>
      </c>
      <c r="CC46" s="15">
        <f t="shared" si="1"/>
        <v>1.2100504226075799</v>
      </c>
      <c r="CD46" s="15">
        <f t="shared" si="1"/>
        <v>0.216341650108554</v>
      </c>
      <c r="CE46" s="15">
        <f t="shared" si="1"/>
        <v>0.42200330453602403</v>
      </c>
      <c r="CF46" s="15">
        <f t="shared" si="1"/>
        <v>0.29117702286585201</v>
      </c>
      <c r="CG46" s="15">
        <f t="shared" si="1"/>
        <v>4.6079604821309101E-5</v>
      </c>
      <c r="CH46" s="15">
        <f t="shared" si="1"/>
        <v>1.74620756997843E-2</v>
      </c>
      <c r="CI46">
        <f t="shared" si="2"/>
        <v>2020</v>
      </c>
      <c r="CJ46" t="str">
        <f t="shared" si="3"/>
        <v>General government</v>
      </c>
    </row>
    <row r="47" spans="1:88">
      <c r="A47" t="s">
        <v>59</v>
      </c>
      <c r="B47" t="s">
        <v>463</v>
      </c>
      <c r="C47" s="15">
        <v>1.34599505561782</v>
      </c>
      <c r="D47" s="15">
        <v>0.70906954529709898</v>
      </c>
      <c r="E47" s="15">
        <v>8.57744162404174E-2</v>
      </c>
      <c r="F47" s="15">
        <v>0.21675044775463201</v>
      </c>
      <c r="G47" s="15">
        <v>9.3283726036127806E-2</v>
      </c>
      <c r="H47" s="15">
        <v>0</v>
      </c>
      <c r="I47" s="15">
        <v>0.24111692028954099</v>
      </c>
      <c r="J47" s="15">
        <v>1.26469133254996</v>
      </c>
      <c r="K47" s="15">
        <v>0.70906954529709898</v>
      </c>
      <c r="L47" s="15">
        <v>0</v>
      </c>
      <c r="M47" s="15">
        <v>0.21675044775463201</v>
      </c>
      <c r="N47" s="15">
        <v>9.3283726036127806E-2</v>
      </c>
      <c r="O47" s="15">
        <v>0</v>
      </c>
      <c r="P47" s="15">
        <v>0.245587613462103</v>
      </c>
      <c r="Q47" s="15">
        <v>1.47008487399177</v>
      </c>
      <c r="R47" s="15">
        <v>0.77251309358318998</v>
      </c>
      <c r="S47" s="15">
        <v>9.1331281115679702E-2</v>
      </c>
      <c r="T47" s="15">
        <v>0.23151974110677701</v>
      </c>
      <c r="U47" s="15">
        <v>7.6453623455074796E-2</v>
      </c>
      <c r="V47" s="15">
        <v>0</v>
      </c>
      <c r="W47" s="15">
        <v>0.29826713473104399</v>
      </c>
      <c r="X47" s="15">
        <v>1.3965564769408501</v>
      </c>
      <c r="Y47" s="15">
        <v>0.77251324498599305</v>
      </c>
      <c r="Z47" s="15">
        <v>0</v>
      </c>
      <c r="AA47" s="15">
        <v>0.23151974110677701</v>
      </c>
      <c r="AB47" s="15">
        <v>7.6453623455074796E-2</v>
      </c>
      <c r="AC47" s="15">
        <v>0</v>
      </c>
      <c r="AD47" s="15">
        <v>0.31606986739300003</v>
      </c>
      <c r="AE47" s="15">
        <v>1.45225271786136</v>
      </c>
      <c r="AF47" s="15">
        <v>0.76289638282472505</v>
      </c>
      <c r="AG47" s="15">
        <v>0.101442447765715</v>
      </c>
      <c r="AH47" s="15">
        <v>0.246842637090746</v>
      </c>
      <c r="AI47" s="15">
        <v>7.1720618568702599E-2</v>
      </c>
      <c r="AJ47" s="15">
        <v>7.35582582095139E-5</v>
      </c>
      <c r="AK47" s="15">
        <v>0.26927707335326301</v>
      </c>
      <c r="AL47" s="15">
        <v>1.3661507087729301</v>
      </c>
      <c r="AM47" s="15">
        <v>0.76289638282472505</v>
      </c>
      <c r="AN47" s="15">
        <v>1.0563049256555E-5</v>
      </c>
      <c r="AO47" s="15">
        <v>0.246842637090746</v>
      </c>
      <c r="AP47" s="15">
        <v>7.1720618568702599E-2</v>
      </c>
      <c r="AQ47" s="15">
        <v>7.35582582095139E-5</v>
      </c>
      <c r="AR47" s="15">
        <v>0.28460694898128502</v>
      </c>
      <c r="AS47" s="15">
        <v>1.4733252132243899</v>
      </c>
      <c r="AT47" s="15">
        <v>0.80327455276806503</v>
      </c>
      <c r="AU47" s="15">
        <v>9.6128731377552998E-2</v>
      </c>
      <c r="AV47" s="15">
        <v>0.24097975917978701</v>
      </c>
      <c r="AW47" s="15">
        <v>7.4155646416052198E-2</v>
      </c>
      <c r="AX47" s="15">
        <v>4.9403021001599603E-4</v>
      </c>
      <c r="AY47" s="15">
        <v>0.25829249327291198</v>
      </c>
      <c r="AZ47" s="15">
        <v>1.36501355642127</v>
      </c>
      <c r="BA47" s="15">
        <v>0.80328112059118295</v>
      </c>
      <c r="BB47" s="15">
        <v>0</v>
      </c>
      <c r="BC47" s="15">
        <v>0.24097975917978701</v>
      </c>
      <c r="BD47" s="15">
        <v>7.4155646416052198E-2</v>
      </c>
      <c r="BE47" s="15">
        <v>4.9403021001599603E-4</v>
      </c>
      <c r="BF47" s="15">
        <v>0.24610300002423099</v>
      </c>
      <c r="BG47" s="15">
        <v>1.59045179319445</v>
      </c>
      <c r="BH47" s="15">
        <v>0.889734569472312</v>
      </c>
      <c r="BI47" s="15">
        <v>9.9652717505550298E-2</v>
      </c>
      <c r="BJ47" s="15">
        <v>0.248820649298122</v>
      </c>
      <c r="BK47" s="15">
        <v>7.6751150345528901E-2</v>
      </c>
      <c r="BL47" s="15">
        <v>0</v>
      </c>
      <c r="BM47" s="15">
        <v>0.27549270657293801</v>
      </c>
      <c r="BN47" s="15"/>
      <c r="BO47" s="15"/>
      <c r="BP47" s="15"/>
      <c r="BQ47" s="15"/>
      <c r="BR47" s="15"/>
      <c r="BS47" s="15"/>
      <c r="BT47" s="15"/>
      <c r="BU47" s="15"/>
      <c r="BV47" s="15"/>
      <c r="BW47" s="15"/>
      <c r="BX47" s="15"/>
      <c r="BY47" s="15"/>
      <c r="BZ47" s="15"/>
      <c r="CA47" s="15"/>
      <c r="CB47" s="15">
        <f t="shared" si="1"/>
        <v>1.59045179319445</v>
      </c>
      <c r="CC47" s="15">
        <f t="shared" si="1"/>
        <v>0.889734569472312</v>
      </c>
      <c r="CD47" s="15">
        <f t="shared" si="1"/>
        <v>9.9652717505550298E-2</v>
      </c>
      <c r="CE47" s="15">
        <f t="shared" si="1"/>
        <v>0.248820649298122</v>
      </c>
      <c r="CF47" s="15">
        <f t="shared" si="1"/>
        <v>7.6751150345528901E-2</v>
      </c>
      <c r="CG47" s="15">
        <f t="shared" si="1"/>
        <v>0</v>
      </c>
      <c r="CH47" s="15">
        <f t="shared" si="1"/>
        <v>0.27549270657293801</v>
      </c>
      <c r="CI47">
        <f t="shared" si="2"/>
        <v>2020</v>
      </c>
      <c r="CJ47" t="str">
        <f t="shared" si="3"/>
        <v>General government</v>
      </c>
    </row>
    <row r="48" spans="1:88">
      <c r="A48" t="s">
        <v>142</v>
      </c>
      <c r="B48" t="s">
        <v>356</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t="str">
        <f t="shared" si="1"/>
        <v xml:space="preserve"> </v>
      </c>
      <c r="CC48" s="15" t="str">
        <f t="shared" si="1"/>
        <v xml:space="preserve"> </v>
      </c>
      <c r="CD48" s="15" t="str">
        <f t="shared" si="1"/>
        <v xml:space="preserve"> </v>
      </c>
      <c r="CE48" s="15" t="str">
        <f t="shared" si="1"/>
        <v xml:space="preserve"> </v>
      </c>
      <c r="CF48" s="15" t="str">
        <f t="shared" si="1"/>
        <v xml:space="preserve"> </v>
      </c>
      <c r="CG48" s="15" t="str">
        <f t="shared" si="1"/>
        <v xml:space="preserve"> </v>
      </c>
      <c r="CH48" s="15" t="str">
        <f t="shared" si="1"/>
        <v xml:space="preserve"> </v>
      </c>
      <c r="CI48" t="str">
        <f t="shared" si="2"/>
        <v xml:space="preserve"> </v>
      </c>
      <c r="CJ48" t="str">
        <f t="shared" si="3"/>
        <v xml:space="preserve"> </v>
      </c>
    </row>
    <row r="49" spans="1:88">
      <c r="A49" t="s">
        <v>171</v>
      </c>
      <c r="B49" t="s">
        <v>385</v>
      </c>
      <c r="C49" s="15">
        <v>1.3094520030386601</v>
      </c>
      <c r="D49" s="15"/>
      <c r="E49" s="15"/>
      <c r="F49" s="15"/>
      <c r="G49" s="15"/>
      <c r="H49" s="15"/>
      <c r="I49" s="15"/>
      <c r="J49" s="15"/>
      <c r="K49" s="15"/>
      <c r="L49" s="15"/>
      <c r="M49" s="15"/>
      <c r="N49" s="15"/>
      <c r="O49" s="15"/>
      <c r="P49" s="15"/>
      <c r="Q49" s="15">
        <v>1.07889902236095</v>
      </c>
      <c r="R49" s="15"/>
      <c r="S49" s="15"/>
      <c r="T49" s="15"/>
      <c r="U49" s="15"/>
      <c r="V49" s="15"/>
      <c r="W49" s="15"/>
      <c r="X49" s="15"/>
      <c r="Y49" s="15"/>
      <c r="Z49" s="15"/>
      <c r="AA49" s="15"/>
      <c r="AB49" s="15"/>
      <c r="AC49" s="15"/>
      <c r="AD49" s="15"/>
      <c r="AE49" s="15">
        <v>1.0669322267283401</v>
      </c>
      <c r="AF49" s="15"/>
      <c r="AG49" s="15"/>
      <c r="AH49" s="15"/>
      <c r="AI49" s="15"/>
      <c r="AJ49" s="15"/>
      <c r="AK49" s="15"/>
      <c r="AL49" s="15"/>
      <c r="AM49" s="15"/>
      <c r="AN49" s="15"/>
      <c r="AO49" s="15"/>
      <c r="AP49" s="15"/>
      <c r="AQ49" s="15"/>
      <c r="AR49" s="15"/>
      <c r="AS49" s="15">
        <v>1.0427459428068799</v>
      </c>
      <c r="AT49" s="15"/>
      <c r="AU49" s="15"/>
      <c r="AV49" s="15"/>
      <c r="AW49" s="15"/>
      <c r="AX49" s="15"/>
      <c r="AY49" s="15"/>
      <c r="AZ49" s="15"/>
      <c r="BA49" s="15"/>
      <c r="BB49" s="15"/>
      <c r="BC49" s="15"/>
      <c r="BD49" s="15"/>
      <c r="BE49" s="15"/>
      <c r="BF49" s="15"/>
      <c r="BG49" s="15">
        <v>1.1240391713459399</v>
      </c>
      <c r="BH49" s="15"/>
      <c r="BI49" s="15"/>
      <c r="BJ49" s="15"/>
      <c r="BK49" s="15"/>
      <c r="BL49" s="15"/>
      <c r="BM49" s="15"/>
      <c r="BN49" s="15"/>
      <c r="BO49" s="15"/>
      <c r="BP49" s="15"/>
      <c r="BQ49" s="15"/>
      <c r="BR49" s="15"/>
      <c r="BS49" s="15"/>
      <c r="BT49" s="15"/>
      <c r="BU49" s="15"/>
      <c r="BV49" s="15"/>
      <c r="BW49" s="15"/>
      <c r="BX49" s="15"/>
      <c r="BY49" s="15"/>
      <c r="BZ49" s="15"/>
      <c r="CA49" s="15"/>
      <c r="CB49" s="15">
        <f t="shared" si="1"/>
        <v>1.1240391713459399</v>
      </c>
      <c r="CC49" s="15" t="str">
        <f t="shared" si="1"/>
        <v xml:space="preserve"> </v>
      </c>
      <c r="CD49" s="15" t="str">
        <f t="shared" si="1"/>
        <v xml:space="preserve"> </v>
      </c>
      <c r="CE49" s="15" t="str">
        <f t="shared" si="1"/>
        <v xml:space="preserve"> </v>
      </c>
      <c r="CF49" s="15" t="str">
        <f t="shared" si="1"/>
        <v xml:space="preserve"> </v>
      </c>
      <c r="CG49" s="15" t="str">
        <f t="shared" si="1"/>
        <v xml:space="preserve"> </v>
      </c>
      <c r="CH49" s="15" t="str">
        <f t="shared" si="1"/>
        <v xml:space="preserve"> </v>
      </c>
      <c r="CI49">
        <f t="shared" si="2"/>
        <v>2020</v>
      </c>
      <c r="CJ49" t="str">
        <f t="shared" si="3"/>
        <v>General government</v>
      </c>
    </row>
    <row r="50" spans="1:88">
      <c r="A50" t="s">
        <v>61</v>
      </c>
      <c r="B50" t="s">
        <v>466</v>
      </c>
      <c r="C50" s="15">
        <v>1.07682757037377</v>
      </c>
      <c r="D50" s="15">
        <v>0.604462004458302</v>
      </c>
      <c r="E50" s="15">
        <v>0.115907693902791</v>
      </c>
      <c r="F50" s="15">
        <v>0.219228832324908</v>
      </c>
      <c r="G50" s="15">
        <v>6.2915744025357503E-2</v>
      </c>
      <c r="H50" s="15">
        <v>1.9069977560375899E-4</v>
      </c>
      <c r="I50" s="15">
        <v>7.4121855305156706E-2</v>
      </c>
      <c r="J50" s="15"/>
      <c r="K50" s="15"/>
      <c r="L50" s="15"/>
      <c r="M50" s="15"/>
      <c r="N50" s="15"/>
      <c r="O50" s="15"/>
      <c r="P50" s="15"/>
      <c r="Q50" s="15">
        <v>1.0249810558221799</v>
      </c>
      <c r="R50" s="15">
        <v>0.57611686452807898</v>
      </c>
      <c r="S50" s="15">
        <v>0.105509135303528</v>
      </c>
      <c r="T50" s="15">
        <v>0.21238865033257601</v>
      </c>
      <c r="U50" s="15">
        <v>5.98838090426876E-2</v>
      </c>
      <c r="V50" s="15">
        <v>1.8321124863180901E-4</v>
      </c>
      <c r="W50" s="15">
        <v>7.0899048581291604E-2</v>
      </c>
      <c r="X50" s="15"/>
      <c r="Y50" s="15"/>
      <c r="Z50" s="15"/>
      <c r="AA50" s="15"/>
      <c r="AB50" s="15"/>
      <c r="AC50" s="15"/>
      <c r="AD50" s="15"/>
      <c r="AE50" s="15">
        <v>0.99447525165469497</v>
      </c>
      <c r="AF50" s="15">
        <v>0.566559216297287</v>
      </c>
      <c r="AG50" s="15">
        <v>9.9315425620012096E-2</v>
      </c>
      <c r="AH50" s="15">
        <v>0.20685279810576501</v>
      </c>
      <c r="AI50" s="15">
        <v>5.8852540470246198E-2</v>
      </c>
      <c r="AJ50" s="15">
        <v>1.9844069169002801E-4</v>
      </c>
      <c r="AK50" s="15">
        <v>6.2696830469694098E-2</v>
      </c>
      <c r="AL50" s="15"/>
      <c r="AM50" s="15"/>
      <c r="AN50" s="15"/>
      <c r="AO50" s="15"/>
      <c r="AP50" s="15"/>
      <c r="AQ50" s="15"/>
      <c r="AR50" s="15"/>
      <c r="AS50" s="15">
        <v>0.94072449337353603</v>
      </c>
      <c r="AT50" s="15">
        <v>0.52877049295280798</v>
      </c>
      <c r="AU50" s="15">
        <v>9.6983661734801205E-2</v>
      </c>
      <c r="AV50" s="15">
        <v>0.19986789145221201</v>
      </c>
      <c r="AW50" s="15">
        <v>5.7534534745109001E-2</v>
      </c>
      <c r="AX50" s="15">
        <v>2.86094944253559E-4</v>
      </c>
      <c r="AY50" s="15">
        <v>5.7281817544351701E-2</v>
      </c>
      <c r="AZ50" s="15"/>
      <c r="BA50" s="15"/>
      <c r="BB50" s="15"/>
      <c r="BC50" s="15"/>
      <c r="BD50" s="15"/>
      <c r="BE50" s="15"/>
      <c r="BF50" s="15"/>
      <c r="BG50" s="15">
        <v>0.93555886920071096</v>
      </c>
      <c r="BH50" s="15">
        <v>0.52702745468247603</v>
      </c>
      <c r="BI50" s="15">
        <v>9.9713304136305206E-2</v>
      </c>
      <c r="BJ50" s="15">
        <v>0.19832970828897001</v>
      </c>
      <c r="BK50" s="15">
        <v>5.577669369135E-2</v>
      </c>
      <c r="BL50" s="15">
        <v>2.10529703461537E-4</v>
      </c>
      <c r="BM50" s="15">
        <v>5.4501178698148703E-2</v>
      </c>
      <c r="BN50" s="15"/>
      <c r="BO50" s="15"/>
      <c r="BP50" s="15"/>
      <c r="BQ50" s="15"/>
      <c r="BR50" s="15"/>
      <c r="BS50" s="15"/>
      <c r="BT50" s="15"/>
      <c r="BU50" s="15"/>
      <c r="BV50" s="15"/>
      <c r="BW50" s="15"/>
      <c r="BX50" s="15"/>
      <c r="BY50" s="15"/>
      <c r="BZ50" s="15"/>
      <c r="CA50" s="15"/>
      <c r="CB50" s="15">
        <f t="shared" si="1"/>
        <v>0.93555886920071096</v>
      </c>
      <c r="CC50" s="15">
        <f t="shared" si="1"/>
        <v>0.52702745468247603</v>
      </c>
      <c r="CD50" s="15">
        <f t="shared" si="1"/>
        <v>9.9713304136305206E-2</v>
      </c>
      <c r="CE50" s="15">
        <f t="shared" si="1"/>
        <v>0.19832970828897001</v>
      </c>
      <c r="CF50" s="15">
        <f t="shared" si="1"/>
        <v>5.577669369135E-2</v>
      </c>
      <c r="CG50" s="15">
        <f t="shared" si="1"/>
        <v>2.10529703461537E-4</v>
      </c>
      <c r="CH50" s="15">
        <f t="shared" si="1"/>
        <v>5.4501178698148703E-2</v>
      </c>
      <c r="CI50">
        <f t="shared" si="2"/>
        <v>2020</v>
      </c>
      <c r="CJ50" t="str">
        <f t="shared" si="3"/>
        <v>General government</v>
      </c>
    </row>
    <row r="51" spans="1:88">
      <c r="A51" t="s">
        <v>258</v>
      </c>
      <c r="B51" t="s">
        <v>524</v>
      </c>
      <c r="C51" s="15">
        <v>1.570424116978</v>
      </c>
      <c r="D51" s="15">
        <v>0.89168579791931302</v>
      </c>
      <c r="E51" s="15">
        <v>0.10090512543228899</v>
      </c>
      <c r="F51" s="15">
        <v>0.35176977391338798</v>
      </c>
      <c r="G51" s="15">
        <v>0.22446815848025201</v>
      </c>
      <c r="H51" s="15">
        <v>2.5723618349793001E-5</v>
      </c>
      <c r="I51" s="15">
        <v>1.5958115634865601E-3</v>
      </c>
      <c r="J51" s="15">
        <v>1.54610659786598</v>
      </c>
      <c r="K51" s="15">
        <v>0.85655903332752503</v>
      </c>
      <c r="L51" s="15">
        <v>9.9340928371575293E-2</v>
      </c>
      <c r="M51" s="15">
        <v>0.36396196539789999</v>
      </c>
      <c r="N51" s="15">
        <v>0.22446815848025201</v>
      </c>
      <c r="O51" s="15">
        <v>2.5723618349793001E-5</v>
      </c>
      <c r="P51" s="15">
        <v>1.77585865303781E-3</v>
      </c>
      <c r="Q51" s="15">
        <v>1.64345542008776</v>
      </c>
      <c r="R51" s="15">
        <v>0.94957915655937697</v>
      </c>
      <c r="S51" s="15">
        <v>0.10453414646368001</v>
      </c>
      <c r="T51" s="15">
        <v>0.36055915366978603</v>
      </c>
      <c r="U51" s="15">
        <v>0.226627795075522</v>
      </c>
      <c r="V51" s="15">
        <v>3.51273090250014E-5</v>
      </c>
      <c r="W51" s="15">
        <v>2.12493632122609E-3</v>
      </c>
      <c r="X51" s="15">
        <v>1.62093486926069</v>
      </c>
      <c r="Y51" s="15">
        <v>0.91685189746277296</v>
      </c>
      <c r="Z51" s="15">
        <v>0.103099814211385</v>
      </c>
      <c r="AA51" s="15">
        <v>0.37216991232191399</v>
      </c>
      <c r="AB51" s="15">
        <v>0.226627795075522</v>
      </c>
      <c r="AC51" s="15">
        <v>3.51273090250014E-5</v>
      </c>
      <c r="AD51" s="15">
        <v>2.1523788736315099E-3</v>
      </c>
      <c r="AE51" s="15">
        <v>1.66474951635323</v>
      </c>
      <c r="AF51" s="15">
        <v>0.96581851861621504</v>
      </c>
      <c r="AG51" s="15">
        <v>0.102703766940035</v>
      </c>
      <c r="AH51" s="15">
        <v>0.37668973621387403</v>
      </c>
      <c r="AI51" s="15">
        <v>0.21633317461440199</v>
      </c>
      <c r="AJ51" s="15">
        <v>3.7139443040716199E-5</v>
      </c>
      <c r="AK51" s="15">
        <v>3.1612801356267501E-3</v>
      </c>
      <c r="AL51" s="15">
        <v>1.63889173741255</v>
      </c>
      <c r="AM51" s="15">
        <v>0.92943952104199401</v>
      </c>
      <c r="AN51" s="15">
        <v>0.10104269566078</v>
      </c>
      <c r="AO51" s="15">
        <v>0.38751852698959899</v>
      </c>
      <c r="AP51" s="15">
        <v>0.21633317461440199</v>
      </c>
      <c r="AQ51" s="15">
        <v>3.7139443040716199E-5</v>
      </c>
      <c r="AR51" s="15">
        <v>4.5149069346875799E-3</v>
      </c>
      <c r="AS51" s="15">
        <v>1.63626875598995</v>
      </c>
      <c r="AT51" s="15">
        <v>0.96496212799832104</v>
      </c>
      <c r="AU51" s="15">
        <v>0.102865826640911</v>
      </c>
      <c r="AV51" s="15">
        <v>0.36686153251956</v>
      </c>
      <c r="AW51" s="15">
        <v>0.19694793167778801</v>
      </c>
      <c r="AX51" s="15">
        <v>3.01733763064893E-5</v>
      </c>
      <c r="AY51" s="15">
        <v>4.5994219073852401E-3</v>
      </c>
      <c r="AZ51" s="15">
        <v>1.61462715692134</v>
      </c>
      <c r="BA51" s="15">
        <v>0.93192153480087103</v>
      </c>
      <c r="BB51" s="15">
        <v>0.101263052820474</v>
      </c>
      <c r="BC51" s="15">
        <v>0.37894967397803903</v>
      </c>
      <c r="BD51" s="15">
        <v>0.19694793167778801</v>
      </c>
      <c r="BE51" s="15">
        <v>3.01733763064893E-5</v>
      </c>
      <c r="BF51" s="15">
        <v>5.5123598149166E-3</v>
      </c>
      <c r="BG51" s="15">
        <v>1.7224006159276299</v>
      </c>
      <c r="BH51" s="15">
        <v>1.01157708304792</v>
      </c>
      <c r="BI51" s="15">
        <v>0.10350672080038301</v>
      </c>
      <c r="BJ51" s="15">
        <v>0.35606212826963501</v>
      </c>
      <c r="BK51" s="15">
        <v>0.22867477696758301</v>
      </c>
      <c r="BL51" s="15">
        <v>0</v>
      </c>
      <c r="BM51" s="15">
        <v>2.2550179931589E-2</v>
      </c>
      <c r="BN51" s="15">
        <v>1.7000617799434601</v>
      </c>
      <c r="BO51" s="15">
        <v>0.97686788925013202</v>
      </c>
      <c r="BP51" s="15">
        <v>0.101471853843338</v>
      </c>
      <c r="BQ51" s="15">
        <v>0.369741985079242</v>
      </c>
      <c r="BR51" s="15">
        <v>0.22867477696758301</v>
      </c>
      <c r="BS51" s="15">
        <v>0</v>
      </c>
      <c r="BT51" s="15">
        <v>2.32958094886014E-2</v>
      </c>
      <c r="BU51" s="15"/>
      <c r="BV51" s="15"/>
      <c r="BW51" s="15"/>
      <c r="BX51" s="15"/>
      <c r="BY51" s="15"/>
      <c r="BZ51" s="15"/>
      <c r="CA51" s="15"/>
      <c r="CB51" s="15">
        <f t="shared" si="1"/>
        <v>1.7224006159276299</v>
      </c>
      <c r="CC51" s="15">
        <f t="shared" si="1"/>
        <v>1.01157708304792</v>
      </c>
      <c r="CD51" s="15">
        <f t="shared" si="1"/>
        <v>0.10350672080038301</v>
      </c>
      <c r="CE51" s="15">
        <f t="shared" si="1"/>
        <v>0.35606212826963501</v>
      </c>
      <c r="CF51" s="15">
        <f t="shared" si="1"/>
        <v>0.22867477696758301</v>
      </c>
      <c r="CG51" s="15">
        <f t="shared" si="1"/>
        <v>0</v>
      </c>
      <c r="CH51" s="15">
        <f t="shared" si="1"/>
        <v>2.2550179931589E-2</v>
      </c>
      <c r="CI51">
        <f t="shared" si="2"/>
        <v>2020</v>
      </c>
      <c r="CJ51" t="str">
        <f t="shared" si="3"/>
        <v>General government</v>
      </c>
    </row>
    <row r="52" spans="1:88">
      <c r="A52" t="s">
        <v>63</v>
      </c>
      <c r="B52" t="s">
        <v>450</v>
      </c>
      <c r="C52" s="15">
        <v>1.8121969327515799</v>
      </c>
      <c r="D52" s="15">
        <v>1.11682658258378</v>
      </c>
      <c r="E52" s="15">
        <v>0.174963011274411</v>
      </c>
      <c r="F52" s="15">
        <v>0.32138470220611398</v>
      </c>
      <c r="G52" s="15">
        <v>0.191946276271725</v>
      </c>
      <c r="H52" s="15">
        <v>0</v>
      </c>
      <c r="I52" s="15">
        <v>7.07636041554747E-3</v>
      </c>
      <c r="J52" s="15"/>
      <c r="K52" s="15"/>
      <c r="L52" s="15"/>
      <c r="M52" s="15"/>
      <c r="N52" s="15"/>
      <c r="O52" s="15"/>
      <c r="P52" s="15"/>
      <c r="Q52" s="15">
        <v>1.8102111433133701</v>
      </c>
      <c r="R52" s="15">
        <v>1.1110260147311399</v>
      </c>
      <c r="S52" s="15">
        <v>0.17707085079808599</v>
      </c>
      <c r="T52" s="15">
        <v>0.324313181038965</v>
      </c>
      <c r="U52" s="15">
        <v>0.19140927091149201</v>
      </c>
      <c r="V52" s="15">
        <v>0</v>
      </c>
      <c r="W52" s="15">
        <v>6.3918258336869999E-3</v>
      </c>
      <c r="X52" s="15"/>
      <c r="Y52" s="15"/>
      <c r="Z52" s="15"/>
      <c r="AA52" s="15"/>
      <c r="AB52" s="15"/>
      <c r="AC52" s="15"/>
      <c r="AD52" s="15"/>
      <c r="AE52" s="15">
        <v>1.84780019485585</v>
      </c>
      <c r="AF52" s="15">
        <v>1.12476757851528</v>
      </c>
      <c r="AG52" s="15">
        <v>0.19141256944420901</v>
      </c>
      <c r="AH52" s="15">
        <v>0.32841000561085498</v>
      </c>
      <c r="AI52" s="15">
        <v>0.196436373242657</v>
      </c>
      <c r="AJ52" s="15">
        <v>0</v>
      </c>
      <c r="AK52" s="15">
        <v>6.77366804285022E-3</v>
      </c>
      <c r="AL52" s="15"/>
      <c r="AM52" s="15"/>
      <c r="AN52" s="15"/>
      <c r="AO52" s="15"/>
      <c r="AP52" s="15"/>
      <c r="AQ52" s="15"/>
      <c r="AR52" s="15"/>
      <c r="AS52" s="15">
        <v>1.83333686964737</v>
      </c>
      <c r="AT52" s="15">
        <v>1.1065684985890101</v>
      </c>
      <c r="AU52" s="15">
        <v>0.189620881078226</v>
      </c>
      <c r="AV52" s="15">
        <v>0.33245074379851502</v>
      </c>
      <c r="AW52" s="15">
        <v>0.19693546748024199</v>
      </c>
      <c r="AX52" s="15">
        <v>0</v>
      </c>
      <c r="AY52" s="15">
        <v>7.7612787013761498E-3</v>
      </c>
      <c r="AZ52" s="15"/>
      <c r="BA52" s="15"/>
      <c r="BB52" s="15"/>
      <c r="BC52" s="15"/>
      <c r="BD52" s="15"/>
      <c r="BE52" s="15"/>
      <c r="BF52" s="15"/>
      <c r="BG52" s="15">
        <v>2.0215004283737801</v>
      </c>
      <c r="BH52" s="15">
        <v>1.2401950841459299</v>
      </c>
      <c r="BI52" s="15">
        <v>0.21391442817397699</v>
      </c>
      <c r="BJ52" s="15">
        <v>0.344576000775008</v>
      </c>
      <c r="BK52" s="15">
        <v>0.214398808424584</v>
      </c>
      <c r="BL52" s="15">
        <v>0</v>
      </c>
      <c r="BM52" s="15">
        <v>8.4161068542832809E-3</v>
      </c>
      <c r="BN52" s="15"/>
      <c r="BO52" s="15"/>
      <c r="BP52" s="15"/>
      <c r="BQ52" s="15"/>
      <c r="BR52" s="15"/>
      <c r="BS52" s="15"/>
      <c r="BT52" s="15"/>
      <c r="BU52" s="15"/>
      <c r="BV52" s="15"/>
      <c r="BW52" s="15"/>
      <c r="BX52" s="15"/>
      <c r="BY52" s="15"/>
      <c r="BZ52" s="15"/>
      <c r="CA52" s="15"/>
      <c r="CB52" s="15">
        <f t="shared" si="1"/>
        <v>2.0215004283737801</v>
      </c>
      <c r="CC52" s="15">
        <f t="shared" si="1"/>
        <v>1.2401950841459299</v>
      </c>
      <c r="CD52" s="15">
        <f t="shared" si="1"/>
        <v>0.21391442817397699</v>
      </c>
      <c r="CE52" s="15">
        <f t="shared" si="1"/>
        <v>0.344576000775008</v>
      </c>
      <c r="CF52" s="15">
        <f t="shared" si="1"/>
        <v>0.214398808424584</v>
      </c>
      <c r="CG52" s="15">
        <f t="shared" si="1"/>
        <v>0</v>
      </c>
      <c r="CH52" s="15">
        <f t="shared" si="1"/>
        <v>8.4161068542832809E-3</v>
      </c>
      <c r="CI52">
        <f t="shared" si="2"/>
        <v>2020</v>
      </c>
      <c r="CJ52" t="str">
        <f t="shared" si="3"/>
        <v>General government</v>
      </c>
    </row>
    <row r="53" spans="1:88">
      <c r="A53" t="s">
        <v>57</v>
      </c>
      <c r="B53" t="s">
        <v>451</v>
      </c>
      <c r="C53" s="15">
        <v>1.22412441955263</v>
      </c>
      <c r="D53" s="15">
        <v>0.64372297537349099</v>
      </c>
      <c r="E53" s="15">
        <v>0.348994038186906</v>
      </c>
      <c r="F53" s="15">
        <v>0.101714916803921</v>
      </c>
      <c r="G53" s="15">
        <v>4.51351906424481E-2</v>
      </c>
      <c r="H53" s="15">
        <v>5.5110122884552003E-4</v>
      </c>
      <c r="I53" s="15">
        <v>8.4006197317018805E-2</v>
      </c>
      <c r="J53" s="15"/>
      <c r="K53" s="15"/>
      <c r="L53" s="15"/>
      <c r="M53" s="15"/>
      <c r="N53" s="15"/>
      <c r="O53" s="15"/>
      <c r="P53" s="15"/>
      <c r="Q53" s="15">
        <v>1.1919041428527499</v>
      </c>
      <c r="R53" s="15">
        <v>0.63053159347861898</v>
      </c>
      <c r="S53" s="15">
        <v>0.33917764924340899</v>
      </c>
      <c r="T53" s="15">
        <v>0.100619628873584</v>
      </c>
      <c r="U53" s="15">
        <v>4.4297949818559203E-2</v>
      </c>
      <c r="V53" s="15">
        <v>6.3282785455084597E-4</v>
      </c>
      <c r="W53" s="15">
        <v>7.6608331992341003E-2</v>
      </c>
      <c r="X53" s="15"/>
      <c r="Y53" s="15"/>
      <c r="Z53" s="15"/>
      <c r="AA53" s="15"/>
      <c r="AB53" s="15"/>
      <c r="AC53" s="15"/>
      <c r="AD53" s="15"/>
      <c r="AE53" s="15">
        <v>1.21508924294881</v>
      </c>
      <c r="AF53" s="15">
        <v>0.64756694479724197</v>
      </c>
      <c r="AG53" s="15">
        <v>0.34491835158370499</v>
      </c>
      <c r="AH53" s="15">
        <v>0.101997592187988</v>
      </c>
      <c r="AI53" s="15">
        <v>4.4589111339011001E-2</v>
      </c>
      <c r="AJ53" s="15">
        <v>6.65240774009439E-4</v>
      </c>
      <c r="AK53" s="15">
        <v>7.5316043306095606E-2</v>
      </c>
      <c r="AL53" s="15"/>
      <c r="AM53" s="15"/>
      <c r="AN53" s="15"/>
      <c r="AO53" s="15"/>
      <c r="AP53" s="15"/>
      <c r="AQ53" s="15"/>
      <c r="AR53" s="15"/>
      <c r="AS53" s="15">
        <v>1.24059076669388</v>
      </c>
      <c r="AT53" s="15">
        <v>0.65828686803880199</v>
      </c>
      <c r="AU53" s="15">
        <v>0.35376555985284203</v>
      </c>
      <c r="AV53" s="15">
        <v>0.101507102728653</v>
      </c>
      <c r="AW53" s="15">
        <v>4.5707667760447497E-2</v>
      </c>
      <c r="AX53" s="15">
        <v>4.4653837202469302E-4</v>
      </c>
      <c r="AY53" s="15">
        <v>8.0823445336469305E-2</v>
      </c>
      <c r="AZ53" s="15"/>
      <c r="BA53" s="15"/>
      <c r="BB53" s="15"/>
      <c r="BC53" s="15"/>
      <c r="BD53" s="15"/>
      <c r="BE53" s="15"/>
      <c r="BF53" s="15"/>
      <c r="BG53" s="15">
        <v>1.2881656096241201</v>
      </c>
      <c r="BH53" s="15">
        <v>0.66836399886019504</v>
      </c>
      <c r="BI53" s="15">
        <v>0.37600579926989303</v>
      </c>
      <c r="BJ53" s="15">
        <v>0.104865799065694</v>
      </c>
      <c r="BK53" s="15">
        <v>4.7040172567262901E-2</v>
      </c>
      <c r="BL53" s="15">
        <v>4.8265370432077199E-4</v>
      </c>
      <c r="BM53" s="15">
        <v>9.1388622552736901E-2</v>
      </c>
      <c r="BN53" s="15"/>
      <c r="BO53" s="15"/>
      <c r="BP53" s="15"/>
      <c r="BQ53" s="15"/>
      <c r="BR53" s="15"/>
      <c r="BS53" s="15"/>
      <c r="BT53" s="15"/>
      <c r="BU53" s="15"/>
      <c r="BV53" s="15"/>
      <c r="BW53" s="15"/>
      <c r="BX53" s="15"/>
      <c r="BY53" s="15"/>
      <c r="BZ53" s="15"/>
      <c r="CA53" s="15"/>
      <c r="CB53" s="15">
        <f t="shared" si="1"/>
        <v>1.2881656096241201</v>
      </c>
      <c r="CC53" s="15">
        <f t="shared" si="1"/>
        <v>0.66836399886019504</v>
      </c>
      <c r="CD53" s="15">
        <f t="shared" si="1"/>
        <v>0.37600579926989303</v>
      </c>
      <c r="CE53" s="15">
        <f t="shared" si="1"/>
        <v>0.104865799065694</v>
      </c>
      <c r="CF53" s="15">
        <f t="shared" si="1"/>
        <v>4.7040172567262901E-2</v>
      </c>
      <c r="CG53" s="15">
        <f t="shared" si="1"/>
        <v>4.8265370432077199E-4</v>
      </c>
      <c r="CH53" s="15">
        <f t="shared" si="1"/>
        <v>9.1388622552736901E-2</v>
      </c>
      <c r="CI53">
        <f t="shared" si="2"/>
        <v>2020</v>
      </c>
      <c r="CJ53" t="str">
        <f t="shared" si="3"/>
        <v>General government</v>
      </c>
    </row>
    <row r="54" spans="1:88">
      <c r="A54" t="s">
        <v>176</v>
      </c>
      <c r="B54" t="s">
        <v>391</v>
      </c>
      <c r="C54" s="15"/>
      <c r="D54" s="15"/>
      <c r="E54" s="15"/>
      <c r="F54" s="15"/>
      <c r="G54" s="15"/>
      <c r="H54" s="15"/>
      <c r="I54" s="15"/>
      <c r="J54" s="15">
        <v>3.93733712214134</v>
      </c>
      <c r="K54" s="15">
        <v>2.9480599865387598</v>
      </c>
      <c r="L54" s="15">
        <v>0.70117929739712304</v>
      </c>
      <c r="M54" s="15">
        <v>0.21430807327293699</v>
      </c>
      <c r="N54" s="15">
        <v>0</v>
      </c>
      <c r="O54" s="15">
        <v>0</v>
      </c>
      <c r="P54" s="15">
        <v>7.3789764932526994E-2</v>
      </c>
      <c r="Q54" s="15"/>
      <c r="R54" s="15"/>
      <c r="S54" s="15"/>
      <c r="T54" s="15"/>
      <c r="U54" s="15"/>
      <c r="V54" s="15"/>
      <c r="W54" s="15"/>
      <c r="X54" s="15">
        <v>4.0598639455782299</v>
      </c>
      <c r="Y54" s="15">
        <v>3.0438775510204099</v>
      </c>
      <c r="Z54" s="15">
        <v>0.714965986394558</v>
      </c>
      <c r="AA54" s="15">
        <v>0.233333333333333</v>
      </c>
      <c r="AB54" s="15">
        <v>0</v>
      </c>
      <c r="AC54" s="15">
        <v>0</v>
      </c>
      <c r="AD54" s="15">
        <v>6.7687074829931998E-2</v>
      </c>
      <c r="AE54" s="15"/>
      <c r="AF54" s="15"/>
      <c r="AG54" s="15"/>
      <c r="AH54" s="15"/>
      <c r="AI54" s="15"/>
      <c r="AJ54" s="15"/>
      <c r="AK54" s="15"/>
      <c r="AL54" s="15">
        <v>4.2143113187819301</v>
      </c>
      <c r="AM54" s="15">
        <v>3.1379330347305898</v>
      </c>
      <c r="AN54" s="15">
        <v>0.72895841120453497</v>
      </c>
      <c r="AO54" s="15">
        <v>0.27360545227028898</v>
      </c>
      <c r="AP54" s="15">
        <v>0</v>
      </c>
      <c r="AQ54" s="15">
        <v>0</v>
      </c>
      <c r="AR54" s="15">
        <v>7.3814420576516798E-2</v>
      </c>
      <c r="AS54" s="15"/>
      <c r="AT54" s="15"/>
      <c r="AU54" s="15"/>
      <c r="AV54" s="15"/>
      <c r="AW54" s="15"/>
      <c r="AX54" s="15"/>
      <c r="AY54" s="15"/>
      <c r="AZ54" s="15">
        <v>4.3374294026622904</v>
      </c>
      <c r="BA54" s="15">
        <v>3.2325796365408701</v>
      </c>
      <c r="BB54" s="15">
        <v>0.74279071930305596</v>
      </c>
      <c r="BC54" s="15">
        <v>0.29021691078010298</v>
      </c>
      <c r="BD54" s="15">
        <v>0</v>
      </c>
      <c r="BE54" s="15">
        <v>0</v>
      </c>
      <c r="BF54" s="15">
        <v>7.1842136038258994E-2</v>
      </c>
      <c r="BG54" s="15"/>
      <c r="BH54" s="15"/>
      <c r="BI54" s="15"/>
      <c r="BJ54" s="15"/>
      <c r="BK54" s="15"/>
      <c r="BL54" s="15"/>
      <c r="BM54" s="15"/>
      <c r="BN54" s="15">
        <v>4.6110802787416398</v>
      </c>
      <c r="BO54" s="15">
        <v>3.4349421592723099</v>
      </c>
      <c r="BP54" s="15">
        <v>0.80643945599130396</v>
      </c>
      <c r="BQ54" s="15">
        <v>0.30652434957942798</v>
      </c>
      <c r="BR54" s="15">
        <v>0</v>
      </c>
      <c r="BS54" s="15">
        <v>0</v>
      </c>
      <c r="BT54" s="15">
        <v>6.3174313898599302E-2</v>
      </c>
      <c r="BU54" s="15"/>
      <c r="BV54" s="15"/>
      <c r="BW54" s="15"/>
      <c r="BX54" s="15"/>
      <c r="BY54" s="15"/>
      <c r="BZ54" s="15"/>
      <c r="CA54" s="15"/>
      <c r="CB54" s="15">
        <f t="shared" si="1"/>
        <v>4.6110802787416398</v>
      </c>
      <c r="CC54" s="15">
        <f t="shared" si="1"/>
        <v>3.4349421592723099</v>
      </c>
      <c r="CD54" s="15">
        <f t="shared" si="1"/>
        <v>0.80643945599130396</v>
      </c>
      <c r="CE54" s="15">
        <f t="shared" si="1"/>
        <v>0.30652434957942798</v>
      </c>
      <c r="CF54" s="15">
        <f t="shared" si="1"/>
        <v>0</v>
      </c>
      <c r="CG54" s="15">
        <f t="shared" si="1"/>
        <v>0</v>
      </c>
      <c r="CH54" s="15">
        <f t="shared" si="1"/>
        <v>6.3174313898599302E-2</v>
      </c>
      <c r="CI54">
        <f t="shared" si="2"/>
        <v>2020</v>
      </c>
      <c r="CJ54" t="str">
        <f t="shared" si="3"/>
        <v>Budgetary central government</v>
      </c>
    </row>
    <row r="55" spans="1:88">
      <c r="A55" t="s">
        <v>1624</v>
      </c>
      <c r="B55" t="s">
        <v>427</v>
      </c>
      <c r="C55" s="15">
        <v>0.97900470427528397</v>
      </c>
      <c r="D55" s="15">
        <v>0.68694948493277297</v>
      </c>
      <c r="E55" s="15">
        <v>1.6878548525850402E-2</v>
      </c>
      <c r="F55" s="15">
        <v>0.109298505655919</v>
      </c>
      <c r="G55" s="15">
        <v>7.6704921724931194E-2</v>
      </c>
      <c r="H55" s="15">
        <v>1.11557839226845E-5</v>
      </c>
      <c r="I55" s="15">
        <v>8.9162087651888405E-2</v>
      </c>
      <c r="J55" s="15">
        <v>0.70064259203873003</v>
      </c>
      <c r="K55" s="15">
        <v>0.425465921222069</v>
      </c>
      <c r="L55" s="15">
        <v>0</v>
      </c>
      <c r="M55" s="15">
        <v>0.109298505655919</v>
      </c>
      <c r="N55" s="15">
        <v>7.6704921724931194E-2</v>
      </c>
      <c r="O55" s="15">
        <v>1.11557839226845E-5</v>
      </c>
      <c r="P55" s="15">
        <v>8.9162087651888405E-2</v>
      </c>
      <c r="Q55" s="15">
        <v>0.98641342216425598</v>
      </c>
      <c r="R55" s="15">
        <v>0.66576157215423404</v>
      </c>
      <c r="S55" s="15">
        <v>2.10777385575939E-2</v>
      </c>
      <c r="T55" s="15">
        <v>0.10152065126429601</v>
      </c>
      <c r="U55" s="15">
        <v>6.3472525550480496E-2</v>
      </c>
      <c r="V55" s="15">
        <v>9.1083189312905804E-6</v>
      </c>
      <c r="W55" s="15">
        <v>0.13457182631872</v>
      </c>
      <c r="X55" s="15">
        <v>0.67745281320316397</v>
      </c>
      <c r="Y55" s="15">
        <v>0.43863455932645501</v>
      </c>
      <c r="Z55" s="15">
        <v>0</v>
      </c>
      <c r="AA55" s="15">
        <v>0.10152065126429601</v>
      </c>
      <c r="AB55" s="15">
        <v>6.2127604980795802E-2</v>
      </c>
      <c r="AC55" s="15">
        <v>9.1083189312905804E-6</v>
      </c>
      <c r="AD55" s="15">
        <v>7.5160889312685095E-2</v>
      </c>
      <c r="AE55" s="15">
        <v>0.91275636849738795</v>
      </c>
      <c r="AF55" s="15">
        <v>0.66145506310737701</v>
      </c>
      <c r="AG55" s="15">
        <v>2.3498327707711798E-2</v>
      </c>
      <c r="AH55" s="15">
        <v>9.7911323118547999E-2</v>
      </c>
      <c r="AI55" s="15">
        <v>5.5619395565382701E-2</v>
      </c>
      <c r="AJ55" s="15">
        <v>7.7564472333504901E-6</v>
      </c>
      <c r="AK55" s="15">
        <v>7.4264502551135106E-2</v>
      </c>
      <c r="AL55" s="15">
        <v>0.64997400867185395</v>
      </c>
      <c r="AM55" s="15">
        <v>0.42226799250900299</v>
      </c>
      <c r="AN55" s="15">
        <v>0</v>
      </c>
      <c r="AO55" s="15">
        <v>9.7911323118547999E-2</v>
      </c>
      <c r="AP55" s="15">
        <v>5.55224340459343E-2</v>
      </c>
      <c r="AQ55" s="15">
        <v>7.7564472333504901E-6</v>
      </c>
      <c r="AR55" s="15">
        <v>7.4264502551135106E-2</v>
      </c>
      <c r="AS55" s="15">
        <v>0.87320305291948497</v>
      </c>
      <c r="AT55" s="15">
        <v>0.62469130328408395</v>
      </c>
      <c r="AU55" s="15">
        <v>2.2620367830614201E-2</v>
      </c>
      <c r="AV55" s="15">
        <v>0.111217026678985</v>
      </c>
      <c r="AW55" s="15">
        <v>5.3741228155903202E-2</v>
      </c>
      <c r="AX55" s="15">
        <v>0</v>
      </c>
      <c r="AY55" s="15">
        <v>6.0933126969898901E-2</v>
      </c>
      <c r="AZ55" s="15">
        <v>0.62215542778104305</v>
      </c>
      <c r="BA55" s="15">
        <v>0.39776842999711098</v>
      </c>
      <c r="BB55" s="15">
        <v>0</v>
      </c>
      <c r="BC55" s="15">
        <v>0.111217026678985</v>
      </c>
      <c r="BD55" s="15">
        <v>5.3733998780284897E-2</v>
      </c>
      <c r="BE55" s="15">
        <v>0</v>
      </c>
      <c r="BF55" s="15">
        <v>5.9435972324662502E-2</v>
      </c>
      <c r="BG55" s="15">
        <v>0.93362043219370205</v>
      </c>
      <c r="BH55" s="15">
        <v>0.65576849890658295</v>
      </c>
      <c r="BI55" s="15">
        <v>2.1407937896384999E-2</v>
      </c>
      <c r="BJ55" s="15">
        <v>0.12128801277836</v>
      </c>
      <c r="BK55" s="15">
        <v>5.8114243922143899E-2</v>
      </c>
      <c r="BL55" s="15">
        <v>0</v>
      </c>
      <c r="BM55" s="15">
        <v>7.7041738690229705E-2</v>
      </c>
      <c r="BN55" s="15">
        <v>0.65721321269116395</v>
      </c>
      <c r="BO55" s="15">
        <v>0.40076927622787401</v>
      </c>
      <c r="BP55" s="15">
        <v>0</v>
      </c>
      <c r="BQ55" s="15">
        <v>0.12128801277836</v>
      </c>
      <c r="BR55" s="15">
        <v>5.8114184994699801E-2</v>
      </c>
      <c r="BS55" s="15">
        <v>0</v>
      </c>
      <c r="BT55" s="15">
        <v>7.7041738690229705E-2</v>
      </c>
      <c r="BU55" s="15"/>
      <c r="BV55" s="15"/>
      <c r="BW55" s="15"/>
      <c r="BX55" s="15"/>
      <c r="BY55" s="15"/>
      <c r="BZ55" s="15"/>
      <c r="CA55" s="15"/>
      <c r="CB55" s="15">
        <f t="shared" si="1"/>
        <v>0.93362043219370205</v>
      </c>
      <c r="CC55" s="15">
        <f t="shared" si="1"/>
        <v>0.65576849890658295</v>
      </c>
      <c r="CD55" s="15">
        <f t="shared" si="1"/>
        <v>2.1407937896384999E-2</v>
      </c>
      <c r="CE55" s="15">
        <f t="shared" si="1"/>
        <v>0.12128801277836</v>
      </c>
      <c r="CF55" s="15">
        <f t="shared" si="1"/>
        <v>5.8114243922143899E-2</v>
      </c>
      <c r="CG55" s="15">
        <f t="shared" si="1"/>
        <v>0</v>
      </c>
      <c r="CH55" s="15">
        <f t="shared" si="1"/>
        <v>7.7041738690229705E-2</v>
      </c>
      <c r="CI55">
        <f t="shared" si="2"/>
        <v>2020</v>
      </c>
      <c r="CJ55" t="str">
        <f t="shared" si="3"/>
        <v>General government</v>
      </c>
    </row>
    <row r="56" spans="1:88">
      <c r="A56" t="s">
        <v>139</v>
      </c>
      <c r="B56" t="s">
        <v>353</v>
      </c>
      <c r="C56" s="15"/>
      <c r="D56" s="15"/>
      <c r="E56" s="15"/>
      <c r="F56" s="15"/>
      <c r="G56" s="15"/>
      <c r="H56" s="15"/>
      <c r="I56" s="15"/>
      <c r="J56" s="15"/>
      <c r="K56" s="15"/>
      <c r="L56" s="15"/>
      <c r="M56" s="15"/>
      <c r="N56" s="15"/>
      <c r="O56" s="15"/>
      <c r="P56" s="15"/>
      <c r="Q56" s="15"/>
      <c r="R56" s="15"/>
      <c r="S56" s="15"/>
      <c r="T56" s="15"/>
      <c r="U56" s="15"/>
      <c r="V56" s="15"/>
      <c r="W56" s="15"/>
      <c r="X56" s="15">
        <v>1.66832035743845</v>
      </c>
      <c r="Y56" s="15"/>
      <c r="Z56" s="15"/>
      <c r="AA56" s="15"/>
      <c r="AB56" s="15"/>
      <c r="AC56" s="15"/>
      <c r="AD56" s="15"/>
      <c r="AE56" s="15"/>
      <c r="AF56" s="15"/>
      <c r="AG56" s="15"/>
      <c r="AH56" s="15"/>
      <c r="AI56" s="15"/>
      <c r="AJ56" s="15"/>
      <c r="AK56" s="15"/>
      <c r="AL56" s="15">
        <v>1.68739462850598</v>
      </c>
      <c r="AM56" s="15"/>
      <c r="AN56" s="15"/>
      <c r="AO56" s="15"/>
      <c r="AP56" s="15"/>
      <c r="AQ56" s="15"/>
      <c r="AR56" s="15"/>
      <c r="AS56" s="15"/>
      <c r="AT56" s="15"/>
      <c r="AU56" s="15"/>
      <c r="AV56" s="15"/>
      <c r="AW56" s="15"/>
      <c r="AX56" s="15"/>
      <c r="AY56" s="15"/>
      <c r="AZ56" s="15">
        <v>1.7101247600697</v>
      </c>
      <c r="BA56" s="15">
        <v>1.1926275857897199</v>
      </c>
      <c r="BB56" s="15">
        <v>3.6302720036042999E-4</v>
      </c>
      <c r="BC56" s="15">
        <v>0.26580214890570902</v>
      </c>
      <c r="BD56" s="15">
        <v>0.24091181885486601</v>
      </c>
      <c r="BE56" s="15">
        <v>1.5049587644087E-3</v>
      </c>
      <c r="BF56" s="15">
        <v>8.9152205546326902E-3</v>
      </c>
      <c r="BG56" s="15">
        <v>1.6414189500922001</v>
      </c>
      <c r="BH56" s="15">
        <v>1.0680024008746001</v>
      </c>
      <c r="BI56" s="15">
        <v>2.3875363330031099E-3</v>
      </c>
      <c r="BJ56" s="15">
        <v>0.276506480702916</v>
      </c>
      <c r="BK56" s="15">
        <v>0.28576770317443601</v>
      </c>
      <c r="BL56" s="15">
        <v>0</v>
      </c>
      <c r="BM56" s="15">
        <v>8.7548290072448302E-3</v>
      </c>
      <c r="BN56" s="15">
        <v>1.63594862046721</v>
      </c>
      <c r="BO56" s="15">
        <v>1.0680024008746001</v>
      </c>
      <c r="BP56" s="15">
        <v>2.2982141800561101E-4</v>
      </c>
      <c r="BQ56" s="15">
        <v>0.273193865992925</v>
      </c>
      <c r="BR56" s="15">
        <v>0.28576770317443601</v>
      </c>
      <c r="BS56" s="15">
        <v>0</v>
      </c>
      <c r="BT56" s="15">
        <v>8.7548290072448302E-3</v>
      </c>
      <c r="BU56" s="15"/>
      <c r="BV56" s="15"/>
      <c r="BW56" s="15"/>
      <c r="BX56" s="15"/>
      <c r="BY56" s="15"/>
      <c r="BZ56" s="15"/>
      <c r="CA56" s="15"/>
      <c r="CB56" s="15">
        <f t="shared" si="1"/>
        <v>1.6414189500922001</v>
      </c>
      <c r="CC56" s="15">
        <f t="shared" si="1"/>
        <v>1.0680024008746001</v>
      </c>
      <c r="CD56" s="15">
        <f t="shared" ref="CD56:CH106" si="4">IF(ISNUMBER(BW56),BW56, IF(ISNUMBER(BI56),BI56,IF(ISNUMBER(AU56),AU56,IF(ISNUMBER(AG56),AG56,IF(ISNUMBER(S56),S56,IF(ISNUMBER(E56),E56,IF(ISNUMBER(BP56),BP56,IF(ISNUMBER(BB56),BB56,IF(ISNUMBER(AN56),AN56,IF(ISNUMBER(Z56),Z56,IF(ISNUMBER(L56),L56, " ")))))))))))</f>
        <v>2.3875363330031099E-3</v>
      </c>
      <c r="CE56" s="15">
        <f t="shared" si="4"/>
        <v>0.276506480702916</v>
      </c>
      <c r="CF56" s="15">
        <f t="shared" si="4"/>
        <v>0.28576770317443601</v>
      </c>
      <c r="CG56" s="15">
        <f t="shared" si="4"/>
        <v>0</v>
      </c>
      <c r="CH56" s="15">
        <f t="shared" si="4"/>
        <v>8.7548290072448302E-3</v>
      </c>
      <c r="CI56">
        <f t="shared" si="2"/>
        <v>2020</v>
      </c>
      <c r="CJ56" t="str">
        <f t="shared" si="3"/>
        <v>General government</v>
      </c>
    </row>
    <row r="57" spans="1:88">
      <c r="A57" t="s">
        <v>152</v>
      </c>
      <c r="B57" t="s">
        <v>366</v>
      </c>
      <c r="C57" s="15">
        <v>4.6121360926765798</v>
      </c>
      <c r="D57" s="15"/>
      <c r="E57" s="15"/>
      <c r="F57" s="15"/>
      <c r="G57" s="15"/>
      <c r="H57" s="15"/>
      <c r="I57" s="15"/>
      <c r="J57" s="15">
        <v>4.5471320491229203</v>
      </c>
      <c r="K57" s="15"/>
      <c r="L57" s="15"/>
      <c r="M57" s="15"/>
      <c r="N57" s="15"/>
      <c r="O57" s="15"/>
      <c r="P57" s="15"/>
      <c r="Q57" s="15">
        <v>5.1838881785343398</v>
      </c>
      <c r="R57" s="15"/>
      <c r="S57" s="15"/>
      <c r="T57" s="15"/>
      <c r="U57" s="15"/>
      <c r="V57" s="15"/>
      <c r="W57" s="15"/>
      <c r="X57" s="15">
        <v>5.1000557547114198</v>
      </c>
      <c r="Y57" s="15"/>
      <c r="Z57" s="15"/>
      <c r="AA57" s="15"/>
      <c r="AB57" s="15"/>
      <c r="AC57" s="15"/>
      <c r="AD57" s="15"/>
      <c r="AE57" s="15">
        <v>5.6997949770164098</v>
      </c>
      <c r="AF57" s="15"/>
      <c r="AG57" s="15"/>
      <c r="AH57" s="15"/>
      <c r="AI57" s="15"/>
      <c r="AJ57" s="15"/>
      <c r="AK57" s="15"/>
      <c r="AL57" s="15">
        <v>5.6365984033694296</v>
      </c>
      <c r="AM57" s="15"/>
      <c r="AN57" s="15"/>
      <c r="AO57" s="15"/>
      <c r="AP57" s="15"/>
      <c r="AQ57" s="15"/>
      <c r="AR57" s="15"/>
      <c r="AS57" s="15">
        <v>5.8674547454066204</v>
      </c>
      <c r="AT57" s="15"/>
      <c r="AU57" s="15"/>
      <c r="AV57" s="15"/>
      <c r="AW57" s="15"/>
      <c r="AX57" s="15"/>
      <c r="AY57" s="15"/>
      <c r="AZ57" s="15">
        <v>5.6186089337307603</v>
      </c>
      <c r="BA57" s="15"/>
      <c r="BB57" s="15"/>
      <c r="BC57" s="15"/>
      <c r="BD57" s="15"/>
      <c r="BE57" s="15"/>
      <c r="BF57" s="15"/>
      <c r="BG57" s="15">
        <v>4.6586870476835296</v>
      </c>
      <c r="BH57" s="15"/>
      <c r="BI57" s="15"/>
      <c r="BJ57" s="15"/>
      <c r="BK57" s="15"/>
      <c r="BL57" s="15"/>
      <c r="BM57" s="15"/>
      <c r="BN57" s="15">
        <v>4.64890248646042</v>
      </c>
      <c r="BO57" s="15"/>
      <c r="BP57" s="15"/>
      <c r="BQ57" s="15"/>
      <c r="BR57" s="15"/>
      <c r="BS57" s="15"/>
      <c r="BT57" s="15"/>
      <c r="BU57" s="15"/>
      <c r="BV57" s="15"/>
      <c r="BW57" s="15"/>
      <c r="BX57" s="15"/>
      <c r="BY57" s="15"/>
      <c r="BZ57" s="15"/>
      <c r="CA57" s="15"/>
      <c r="CB57" s="15">
        <f t="shared" ref="CB57:CH120" si="5">IF(ISNUMBER(BU57),BU57, IF(ISNUMBER(BG57),BG57,IF(ISNUMBER(AS57),AS57,IF(ISNUMBER(AE57),AE57,IF(ISNUMBER(Q57),Q57,IF(ISNUMBER(C57),C57,IF(ISNUMBER(BN57),BN57,IF(ISNUMBER(AZ57),AZ57,IF(ISNUMBER(AL57),AL57,IF(ISNUMBER(X57),X57,IF(ISNUMBER(J57),J57, " ")))))))))))</f>
        <v>4.6586870476835296</v>
      </c>
      <c r="CC57" s="15" t="str">
        <f t="shared" si="5"/>
        <v xml:space="preserve"> </v>
      </c>
      <c r="CD57" s="15" t="str">
        <f t="shared" si="4"/>
        <v xml:space="preserve"> </v>
      </c>
      <c r="CE57" s="15" t="str">
        <f t="shared" si="4"/>
        <v xml:space="preserve"> </v>
      </c>
      <c r="CF57" s="15" t="str">
        <f t="shared" si="4"/>
        <v xml:space="preserve"> </v>
      </c>
      <c r="CG57" s="15" t="str">
        <f t="shared" si="4"/>
        <v xml:space="preserve"> </v>
      </c>
      <c r="CH57" s="15" t="str">
        <f t="shared" si="4"/>
        <v xml:space="preserve"> </v>
      </c>
      <c r="CI57">
        <f t="shared" si="2"/>
        <v>2020</v>
      </c>
      <c r="CJ57" t="str">
        <f t="shared" si="3"/>
        <v>General government</v>
      </c>
    </row>
    <row r="58" spans="1:88">
      <c r="A58" t="s">
        <v>1625</v>
      </c>
      <c r="B58" t="s">
        <v>399</v>
      </c>
      <c r="C58" s="15">
        <v>2.5652195517863898</v>
      </c>
      <c r="D58" s="15">
        <v>1.44186970996969</v>
      </c>
      <c r="E58" s="15">
        <v>9.0769052390969496E-2</v>
      </c>
      <c r="F58" s="15">
        <v>0.55720272307157204</v>
      </c>
      <c r="G58" s="15">
        <v>0.28058900501880002</v>
      </c>
      <c r="H58" s="15">
        <v>2.8158282676030702E-3</v>
      </c>
      <c r="I58" s="15">
        <v>0.19197323306776201</v>
      </c>
      <c r="J58" s="15"/>
      <c r="K58" s="15"/>
      <c r="L58" s="15"/>
      <c r="M58" s="15"/>
      <c r="N58" s="15"/>
      <c r="O58" s="15"/>
      <c r="P58" s="15"/>
      <c r="Q58" s="15">
        <v>2.4549673562495098</v>
      </c>
      <c r="R58" s="15">
        <v>1.3941634547313799</v>
      </c>
      <c r="S58" s="15">
        <v>9.4863525525053102E-2</v>
      </c>
      <c r="T58" s="15">
        <v>0.53315503814992504</v>
      </c>
      <c r="U58" s="15">
        <v>0.23959726264453701</v>
      </c>
      <c r="V58" s="15">
        <v>4.2476205458979004E-3</v>
      </c>
      <c r="W58" s="15">
        <v>0.188940454652718</v>
      </c>
      <c r="X58" s="15"/>
      <c r="Y58" s="15"/>
      <c r="Z58" s="15"/>
      <c r="AA58" s="15"/>
      <c r="AB58" s="15"/>
      <c r="AC58" s="15"/>
      <c r="AD58" s="15"/>
      <c r="AE58" s="15">
        <v>2.6432189113392801</v>
      </c>
      <c r="AF58" s="15">
        <v>1.3750851096455099</v>
      </c>
      <c r="AG58" s="15">
        <v>0.10169873431762</v>
      </c>
      <c r="AH58" s="15">
        <v>0.70838424267406097</v>
      </c>
      <c r="AI58" s="15">
        <v>0.24264641969572101</v>
      </c>
      <c r="AJ58" s="15">
        <v>1.3221317544780001E-3</v>
      </c>
      <c r="AK58" s="15">
        <v>0.214082273251892</v>
      </c>
      <c r="AL58" s="15"/>
      <c r="AM58" s="15"/>
      <c r="AN58" s="15"/>
      <c r="AO58" s="15"/>
      <c r="AP58" s="15"/>
      <c r="AQ58" s="15"/>
      <c r="AR58" s="15"/>
      <c r="AS58" s="15">
        <v>2.2115292548397201</v>
      </c>
      <c r="AT58" s="15">
        <v>1.2558624453671901</v>
      </c>
      <c r="AU58" s="15">
        <v>8.5452996088546201E-2</v>
      </c>
      <c r="AV58" s="15">
        <v>0.48026568592160102</v>
      </c>
      <c r="AW58" s="15">
        <v>0.21585667526430699</v>
      </c>
      <c r="AX58" s="15">
        <v>3.8442469034324399E-3</v>
      </c>
      <c r="AY58" s="15">
        <v>0.170247205294635</v>
      </c>
      <c r="AZ58" s="15"/>
      <c r="BA58" s="15"/>
      <c r="BB58" s="15"/>
      <c r="BC58" s="15"/>
      <c r="BD58" s="15"/>
      <c r="BE58" s="15"/>
      <c r="BF58" s="15"/>
      <c r="BG58" s="15">
        <v>2.9621374435879302</v>
      </c>
      <c r="BH58" s="15">
        <v>1.6427143081398801</v>
      </c>
      <c r="BI58" s="15">
        <v>0.110796657658456</v>
      </c>
      <c r="BJ58" s="15">
        <v>0.70319602309646201</v>
      </c>
      <c r="BK58" s="15">
        <v>0.25667104096520799</v>
      </c>
      <c r="BL58" s="15">
        <v>0</v>
      </c>
      <c r="BM58" s="15">
        <v>0.24875941372792201</v>
      </c>
      <c r="BN58" s="15"/>
      <c r="BO58" s="15"/>
      <c r="BP58" s="15"/>
      <c r="BQ58" s="15"/>
      <c r="BR58" s="15"/>
      <c r="BS58" s="15"/>
      <c r="BT58" s="15"/>
      <c r="BU58" s="15">
        <v>2.7035281623476699</v>
      </c>
      <c r="BV58" s="15">
        <v>1.4277720039504</v>
      </c>
      <c r="BW58" s="15">
        <v>9.1624884870220802E-2</v>
      </c>
      <c r="BX58" s="15">
        <v>0.74424881417362498</v>
      </c>
      <c r="BY58" s="15">
        <v>0.21258586958301501</v>
      </c>
      <c r="BZ58" s="15">
        <v>0</v>
      </c>
      <c r="CA58" s="15">
        <v>0.22729658977040801</v>
      </c>
      <c r="CB58" s="15">
        <f t="shared" si="5"/>
        <v>2.7035281623476699</v>
      </c>
      <c r="CC58" s="15">
        <f t="shared" si="5"/>
        <v>1.4277720039504</v>
      </c>
      <c r="CD58" s="15">
        <f t="shared" si="4"/>
        <v>9.1624884870220802E-2</v>
      </c>
      <c r="CE58" s="15">
        <f t="shared" si="4"/>
        <v>0.74424881417362498</v>
      </c>
      <c r="CF58" s="15">
        <f t="shared" si="4"/>
        <v>0.21258586958301501</v>
      </c>
      <c r="CG58" s="15">
        <f t="shared" si="4"/>
        <v>0</v>
      </c>
      <c r="CH58" s="15">
        <f t="shared" si="4"/>
        <v>0.22729658977040801</v>
      </c>
      <c r="CI58">
        <f t="shared" si="2"/>
        <v>2021</v>
      </c>
      <c r="CJ58" t="str">
        <f t="shared" si="3"/>
        <v>General government</v>
      </c>
    </row>
    <row r="59" spans="1:88">
      <c r="A59" t="s">
        <v>1626</v>
      </c>
      <c r="B59" t="s">
        <v>337</v>
      </c>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t="str">
        <f t="shared" si="5"/>
        <v xml:space="preserve"> </v>
      </c>
      <c r="CC59" s="15" t="str">
        <f t="shared" si="5"/>
        <v xml:space="preserve"> </v>
      </c>
      <c r="CD59" s="15" t="str">
        <f t="shared" si="4"/>
        <v xml:space="preserve"> </v>
      </c>
      <c r="CE59" s="15" t="str">
        <f t="shared" si="4"/>
        <v xml:space="preserve"> </v>
      </c>
      <c r="CF59" s="15" t="str">
        <f t="shared" si="4"/>
        <v xml:space="preserve"> </v>
      </c>
      <c r="CG59" s="15" t="str">
        <f t="shared" si="4"/>
        <v xml:space="preserve"> </v>
      </c>
      <c r="CH59" s="15" t="str">
        <f t="shared" si="4"/>
        <v xml:space="preserve"> </v>
      </c>
      <c r="CI59" t="str">
        <f t="shared" si="2"/>
        <v xml:space="preserve"> </v>
      </c>
      <c r="CJ59" t="str">
        <f t="shared" si="3"/>
        <v xml:space="preserve"> </v>
      </c>
    </row>
    <row r="60" spans="1:88">
      <c r="A60" t="s">
        <v>240</v>
      </c>
      <c r="B60" t="s">
        <v>534</v>
      </c>
      <c r="C60" s="15">
        <v>2.1302798553154898</v>
      </c>
      <c r="D60" s="15">
        <v>1.15258966155859</v>
      </c>
      <c r="E60" s="15">
        <v>0.218187628268975</v>
      </c>
      <c r="F60" s="15">
        <v>0.40393870998994802</v>
      </c>
      <c r="G60" s="15">
        <v>0.18886618891437501</v>
      </c>
      <c r="H60" s="15">
        <v>0</v>
      </c>
      <c r="I60" s="15">
        <v>0.16669766658360999</v>
      </c>
      <c r="J60" s="15"/>
      <c r="K60" s="15"/>
      <c r="L60" s="15"/>
      <c r="M60" s="15"/>
      <c r="N60" s="15"/>
      <c r="O60" s="15"/>
      <c r="P60" s="15"/>
      <c r="Q60" s="15">
        <v>2.3321667399913601</v>
      </c>
      <c r="R60" s="15">
        <v>1.2972129271330499</v>
      </c>
      <c r="S60" s="15">
        <v>0.24775736579410601</v>
      </c>
      <c r="T60" s="15">
        <v>0.41003230218113002</v>
      </c>
      <c r="U60" s="15">
        <v>0.20209725695903999</v>
      </c>
      <c r="V60" s="15">
        <v>0</v>
      </c>
      <c r="W60" s="15">
        <v>0.17506688792403399</v>
      </c>
      <c r="X60" s="15"/>
      <c r="Y60" s="15"/>
      <c r="Z60" s="15"/>
      <c r="AA60" s="15"/>
      <c r="AB60" s="15"/>
      <c r="AC60" s="15"/>
      <c r="AD60" s="15"/>
      <c r="AE60" s="15">
        <v>2.1995441852044602</v>
      </c>
      <c r="AF60" s="15">
        <v>1.21008678104838</v>
      </c>
      <c r="AG60" s="15">
        <v>0.21754453918872799</v>
      </c>
      <c r="AH60" s="15">
        <v>0.41411286827523403</v>
      </c>
      <c r="AI60" s="15">
        <v>0.191627098504598</v>
      </c>
      <c r="AJ60" s="15">
        <v>0</v>
      </c>
      <c r="AK60" s="15">
        <v>0.16617289818752201</v>
      </c>
      <c r="AL60" s="15"/>
      <c r="AM60" s="15"/>
      <c r="AN60" s="15"/>
      <c r="AO60" s="15"/>
      <c r="AP60" s="15"/>
      <c r="AQ60" s="15"/>
      <c r="AR60" s="15"/>
      <c r="AS60" s="15">
        <v>2.2489345989265699</v>
      </c>
      <c r="AT60" s="15">
        <v>1.2528114682065401</v>
      </c>
      <c r="AU60" s="15">
        <v>0.198978085422613</v>
      </c>
      <c r="AV60" s="15">
        <v>0.42480609900983302</v>
      </c>
      <c r="AW60" s="15">
        <v>0.20091096467834099</v>
      </c>
      <c r="AX60" s="15">
        <v>0</v>
      </c>
      <c r="AY60" s="15">
        <v>0.17142798160924599</v>
      </c>
      <c r="AZ60" s="15"/>
      <c r="BA60" s="15"/>
      <c r="BB60" s="15"/>
      <c r="BC60" s="15"/>
      <c r="BD60" s="15"/>
      <c r="BE60" s="15"/>
      <c r="BF60" s="15"/>
      <c r="BG60" s="15">
        <v>2.28677612507314</v>
      </c>
      <c r="BH60" s="15">
        <v>1.20035096470294</v>
      </c>
      <c r="BI60" s="15">
        <v>0.18743435093279501</v>
      </c>
      <c r="BJ60" s="15">
        <v>0.47823679304059502</v>
      </c>
      <c r="BK60" s="15">
        <v>0.19975452379429701</v>
      </c>
      <c r="BL60" s="15">
        <v>0</v>
      </c>
      <c r="BM60" s="15">
        <v>0.22099949260251001</v>
      </c>
      <c r="BN60" s="15"/>
      <c r="BO60" s="15"/>
      <c r="BP60" s="15"/>
      <c r="BQ60" s="15"/>
      <c r="BR60" s="15"/>
      <c r="BS60" s="15"/>
      <c r="BT60" s="15"/>
      <c r="BU60" s="15"/>
      <c r="BV60" s="15"/>
      <c r="BW60" s="15"/>
      <c r="BX60" s="15"/>
      <c r="BY60" s="15"/>
      <c r="BZ60" s="15"/>
      <c r="CA60" s="15"/>
      <c r="CB60" s="15">
        <f t="shared" si="5"/>
        <v>2.28677612507314</v>
      </c>
      <c r="CC60" s="15">
        <f t="shared" si="5"/>
        <v>1.20035096470294</v>
      </c>
      <c r="CD60" s="15">
        <f t="shared" si="4"/>
        <v>0.18743435093279501</v>
      </c>
      <c r="CE60" s="15">
        <f t="shared" si="4"/>
        <v>0.47823679304059502</v>
      </c>
      <c r="CF60" s="15">
        <f t="shared" si="4"/>
        <v>0.19975452379429701</v>
      </c>
      <c r="CG60" s="15">
        <f t="shared" si="4"/>
        <v>0</v>
      </c>
      <c r="CH60" s="15">
        <f t="shared" si="4"/>
        <v>0.22099949260251001</v>
      </c>
      <c r="CI60">
        <f t="shared" si="2"/>
        <v>2020</v>
      </c>
      <c r="CJ60" t="str">
        <f t="shared" si="3"/>
        <v>General government</v>
      </c>
    </row>
    <row r="61" spans="1:88">
      <c r="A61" t="s">
        <v>159</v>
      </c>
      <c r="B61" t="s">
        <v>373</v>
      </c>
      <c r="C61" s="15"/>
      <c r="D61" s="15"/>
      <c r="E61" s="15"/>
      <c r="F61" s="15"/>
      <c r="G61" s="15"/>
      <c r="H61" s="15"/>
      <c r="I61" s="15"/>
      <c r="J61" s="15">
        <v>1.4953336173178999</v>
      </c>
      <c r="K61" s="15"/>
      <c r="L61" s="15"/>
      <c r="M61" s="15"/>
      <c r="N61" s="15"/>
      <c r="O61" s="15"/>
      <c r="P61" s="15"/>
      <c r="Q61" s="15"/>
      <c r="R61" s="15"/>
      <c r="S61" s="15"/>
      <c r="T61" s="15"/>
      <c r="U61" s="15"/>
      <c r="V61" s="15"/>
      <c r="W61" s="15"/>
      <c r="X61" s="15">
        <v>1.63667446353266</v>
      </c>
      <c r="Y61" s="15"/>
      <c r="Z61" s="15"/>
      <c r="AA61" s="15"/>
      <c r="AB61" s="15"/>
      <c r="AC61" s="15"/>
      <c r="AD61" s="15"/>
      <c r="AE61" s="15"/>
      <c r="AF61" s="15"/>
      <c r="AG61" s="15"/>
      <c r="AH61" s="15"/>
      <c r="AI61" s="15"/>
      <c r="AJ61" s="15"/>
      <c r="AK61" s="15"/>
      <c r="AL61" s="15">
        <v>1.8692921395912601</v>
      </c>
      <c r="AM61" s="15">
        <v>1.14494160496346</v>
      </c>
      <c r="AN61" s="15">
        <v>0.116105562289239</v>
      </c>
      <c r="AO61" s="15">
        <v>0.13666333569345601</v>
      </c>
      <c r="AP61" s="15">
        <v>1.90342989835471E-2</v>
      </c>
      <c r="AQ61" s="15">
        <v>0</v>
      </c>
      <c r="AR61" s="15">
        <v>0.45254733766155802</v>
      </c>
      <c r="AS61" s="15"/>
      <c r="AT61" s="15"/>
      <c r="AU61" s="15"/>
      <c r="AV61" s="15"/>
      <c r="AW61" s="15"/>
      <c r="AX61" s="15"/>
      <c r="AY61" s="15"/>
      <c r="AZ61" s="15">
        <v>1.82971168252081</v>
      </c>
      <c r="BA61" s="15">
        <v>1.1608820662405901</v>
      </c>
      <c r="BB61" s="15">
        <v>6.09306492766548E-2</v>
      </c>
      <c r="BC61" s="15">
        <v>0.14188749380697599</v>
      </c>
      <c r="BD61" s="15">
        <v>2.0526447929052699E-2</v>
      </c>
      <c r="BE61" s="15">
        <v>0</v>
      </c>
      <c r="BF61" s="15">
        <v>0.44548502526753903</v>
      </c>
      <c r="BG61" s="15"/>
      <c r="BH61" s="15"/>
      <c r="BI61" s="15"/>
      <c r="BJ61" s="15"/>
      <c r="BK61" s="15"/>
      <c r="BL61" s="15"/>
      <c r="BM61" s="15"/>
      <c r="BN61" s="15">
        <v>1.4468807882683099</v>
      </c>
      <c r="BO61" s="15">
        <v>0.92942665968582205</v>
      </c>
      <c r="BP61" s="15">
        <v>4.2589441799748898E-2</v>
      </c>
      <c r="BQ61" s="15">
        <v>0.112763347962164</v>
      </c>
      <c r="BR61" s="15">
        <v>1.9789646432020701E-2</v>
      </c>
      <c r="BS61" s="15">
        <v>0</v>
      </c>
      <c r="BT61" s="15">
        <v>0.34231169238855003</v>
      </c>
      <c r="BU61" s="15"/>
      <c r="BV61" s="15"/>
      <c r="BW61" s="15"/>
      <c r="BX61" s="15"/>
      <c r="BY61" s="15"/>
      <c r="BZ61" s="15"/>
      <c r="CA61" s="15"/>
      <c r="CB61" s="15">
        <f t="shared" si="5"/>
        <v>1.4468807882683099</v>
      </c>
      <c r="CC61" s="15">
        <f t="shared" si="5"/>
        <v>0.92942665968582205</v>
      </c>
      <c r="CD61" s="15">
        <f t="shared" si="4"/>
        <v>4.2589441799748898E-2</v>
      </c>
      <c r="CE61" s="15">
        <f t="shared" si="4"/>
        <v>0.112763347962164</v>
      </c>
      <c r="CF61" s="15">
        <f t="shared" si="4"/>
        <v>1.9789646432020701E-2</v>
      </c>
      <c r="CG61" s="15">
        <f t="shared" si="4"/>
        <v>0</v>
      </c>
      <c r="CH61" s="15">
        <f t="shared" si="4"/>
        <v>0.34231169238855003</v>
      </c>
      <c r="CI61">
        <f t="shared" si="2"/>
        <v>2020</v>
      </c>
      <c r="CJ61" t="str">
        <f t="shared" si="3"/>
        <v>Budgetary central government</v>
      </c>
    </row>
    <row r="62" spans="1:88">
      <c r="A62" t="s">
        <v>244</v>
      </c>
      <c r="B62" t="s">
        <v>536</v>
      </c>
      <c r="C62" s="15">
        <v>1.4658201743897501</v>
      </c>
      <c r="D62" s="15">
        <v>0.53412068429077997</v>
      </c>
      <c r="E62" s="15">
        <v>0.24036060776705501</v>
      </c>
      <c r="F62" s="15">
        <v>0.27213492449196303</v>
      </c>
      <c r="G62" s="15">
        <v>0.174508034219682</v>
      </c>
      <c r="H62" s="15">
        <v>1.2188254533953499E-3</v>
      </c>
      <c r="I62" s="15">
        <v>0.24347966952859201</v>
      </c>
      <c r="J62" s="15"/>
      <c r="K62" s="15"/>
      <c r="L62" s="15"/>
      <c r="M62" s="15"/>
      <c r="N62" s="15"/>
      <c r="O62" s="15"/>
      <c r="P62" s="15"/>
      <c r="Q62" s="15">
        <v>1.4697572871798099</v>
      </c>
      <c r="R62" s="15">
        <v>0.51421718551528905</v>
      </c>
      <c r="S62" s="15">
        <v>0.23024011088955301</v>
      </c>
      <c r="T62" s="15">
        <v>0.26114868141251701</v>
      </c>
      <c r="U62" s="15">
        <v>0.171623344521635</v>
      </c>
      <c r="V62" s="15">
        <v>1.2158112228364401E-3</v>
      </c>
      <c r="W62" s="15">
        <v>0.2913097882265</v>
      </c>
      <c r="X62" s="15"/>
      <c r="Y62" s="15"/>
      <c r="Z62" s="15"/>
      <c r="AA62" s="15"/>
      <c r="AB62" s="15"/>
      <c r="AC62" s="15"/>
      <c r="AD62" s="15"/>
      <c r="AE62" s="15">
        <v>1.3703633685784</v>
      </c>
      <c r="AF62" s="15">
        <v>0.491873117759557</v>
      </c>
      <c r="AG62" s="15">
        <v>0.22056230902815899</v>
      </c>
      <c r="AH62" s="15">
        <v>0.25658042250115398</v>
      </c>
      <c r="AI62" s="15">
        <v>0.14627508737992101</v>
      </c>
      <c r="AJ62" s="15">
        <v>1.0177837374425701E-3</v>
      </c>
      <c r="AK62" s="15">
        <v>0.254054648172166</v>
      </c>
      <c r="AL62" s="15"/>
      <c r="AM62" s="15"/>
      <c r="AN62" s="15"/>
      <c r="AO62" s="15"/>
      <c r="AP62" s="15"/>
      <c r="AQ62" s="15"/>
      <c r="AR62" s="15"/>
      <c r="AS62" s="15">
        <v>1.39230996176903</v>
      </c>
      <c r="AT62" s="15">
        <v>0.47338378892244398</v>
      </c>
      <c r="AU62" s="15">
        <v>0.22455059149412199</v>
      </c>
      <c r="AV62" s="15">
        <v>0.258298742434735</v>
      </c>
      <c r="AW62" s="15">
        <v>0.14437824481751199</v>
      </c>
      <c r="AX62" s="15">
        <v>7.0274500805186002E-4</v>
      </c>
      <c r="AY62" s="15">
        <v>0.29099789791143399</v>
      </c>
      <c r="AZ62" s="15"/>
      <c r="BA62" s="15"/>
      <c r="BB62" s="15"/>
      <c r="BC62" s="15"/>
      <c r="BD62" s="15"/>
      <c r="BE62" s="15"/>
      <c r="BF62" s="15"/>
      <c r="BG62" s="15">
        <v>1.5397968922760601</v>
      </c>
      <c r="BH62" s="15">
        <v>0.51924495756156297</v>
      </c>
      <c r="BI62" s="15">
        <v>0.25521922268070302</v>
      </c>
      <c r="BJ62" s="15">
        <v>0.270702661164896</v>
      </c>
      <c r="BK62" s="15">
        <v>0.20513307868227301</v>
      </c>
      <c r="BL62" s="15">
        <v>7.4392444670619295E-4</v>
      </c>
      <c r="BM62" s="15">
        <v>0.288753047739921</v>
      </c>
      <c r="BN62" s="15"/>
      <c r="BO62" s="15"/>
      <c r="BP62" s="15"/>
      <c r="BQ62" s="15"/>
      <c r="BR62" s="15"/>
      <c r="BS62" s="15"/>
      <c r="BT62" s="15"/>
      <c r="BU62" s="15"/>
      <c r="BV62" s="15"/>
      <c r="BW62" s="15"/>
      <c r="BX62" s="15"/>
      <c r="BY62" s="15"/>
      <c r="BZ62" s="15"/>
      <c r="CA62" s="15"/>
      <c r="CB62" s="15">
        <f t="shared" si="5"/>
        <v>1.5397968922760601</v>
      </c>
      <c r="CC62" s="15">
        <f t="shared" si="5"/>
        <v>0.51924495756156297</v>
      </c>
      <c r="CD62" s="15">
        <f t="shared" si="4"/>
        <v>0.25521922268070302</v>
      </c>
      <c r="CE62" s="15">
        <f t="shared" si="4"/>
        <v>0.270702661164896</v>
      </c>
      <c r="CF62" s="15">
        <f t="shared" si="4"/>
        <v>0.20513307868227301</v>
      </c>
      <c r="CG62" s="15">
        <f t="shared" si="4"/>
        <v>7.4392444670619295E-4</v>
      </c>
      <c r="CH62" s="15">
        <f t="shared" si="4"/>
        <v>0.288753047739921</v>
      </c>
      <c r="CI62">
        <f t="shared" si="2"/>
        <v>2020</v>
      </c>
      <c r="CJ62" t="str">
        <f t="shared" si="3"/>
        <v>General government</v>
      </c>
    </row>
    <row r="63" spans="1:88">
      <c r="A63" t="s">
        <v>54</v>
      </c>
      <c r="B63" t="s">
        <v>467</v>
      </c>
      <c r="C63" s="15">
        <v>0.99879162778490604</v>
      </c>
      <c r="D63" s="15">
        <v>0.45851437653096899</v>
      </c>
      <c r="E63" s="15">
        <v>0.106198238656246</v>
      </c>
      <c r="F63" s="15">
        <v>0.216007013297562</v>
      </c>
      <c r="G63" s="15">
        <v>0.12307170768692401</v>
      </c>
      <c r="H63" s="15">
        <v>2.0130424005599001E-2</v>
      </c>
      <c r="I63" s="15">
        <v>7.4869867607605306E-2</v>
      </c>
      <c r="J63" s="15"/>
      <c r="K63" s="15"/>
      <c r="L63" s="15"/>
      <c r="M63" s="15"/>
      <c r="N63" s="15"/>
      <c r="O63" s="15"/>
      <c r="P63" s="15"/>
      <c r="Q63" s="15">
        <v>1.04786647023725</v>
      </c>
      <c r="R63" s="15">
        <v>0.48102326350936297</v>
      </c>
      <c r="S63" s="15">
        <v>0.11419132155108799</v>
      </c>
      <c r="T63" s="15">
        <v>0.21622021216489501</v>
      </c>
      <c r="U63" s="15">
        <v>0.12798010360067799</v>
      </c>
      <c r="V63" s="15">
        <v>2.08838267830458E-2</v>
      </c>
      <c r="W63" s="15">
        <v>8.7567742628176307E-2</v>
      </c>
      <c r="X63" s="15"/>
      <c r="Y63" s="15"/>
      <c r="Z63" s="15"/>
      <c r="AA63" s="15"/>
      <c r="AB63" s="15"/>
      <c r="AC63" s="15"/>
      <c r="AD63" s="15"/>
      <c r="AE63" s="15">
        <v>1.1092849494863699</v>
      </c>
      <c r="AF63" s="15">
        <v>0.47828838144908398</v>
      </c>
      <c r="AG63" s="15">
        <v>0.17773437174767001</v>
      </c>
      <c r="AH63" s="15">
        <v>0.21601382776243</v>
      </c>
      <c r="AI63" s="15">
        <v>0.157488955607621</v>
      </c>
      <c r="AJ63" s="15">
        <v>1.8258840925780701E-2</v>
      </c>
      <c r="AK63" s="15">
        <v>6.1500571993785502E-2</v>
      </c>
      <c r="AL63" s="15"/>
      <c r="AM63" s="15"/>
      <c r="AN63" s="15"/>
      <c r="AO63" s="15"/>
      <c r="AP63" s="15"/>
      <c r="AQ63" s="15"/>
      <c r="AR63" s="15"/>
      <c r="AS63" s="15">
        <v>1.20477545956635</v>
      </c>
      <c r="AT63" s="15">
        <v>0.486482231360719</v>
      </c>
      <c r="AU63" s="15">
        <v>0.26950047546775302</v>
      </c>
      <c r="AV63" s="15">
        <v>0.22429640218904101</v>
      </c>
      <c r="AW63" s="15">
        <v>0.167533109559106</v>
      </c>
      <c r="AX63" s="15">
        <v>1.8081944190791701E-2</v>
      </c>
      <c r="AY63" s="15">
        <v>3.8881296798937003E-2</v>
      </c>
      <c r="AZ63" s="15"/>
      <c r="BA63" s="15"/>
      <c r="BB63" s="15"/>
      <c r="BC63" s="15"/>
      <c r="BD63" s="15"/>
      <c r="BE63" s="15"/>
      <c r="BF63" s="15"/>
      <c r="BG63" s="15">
        <v>1.2953993420950101</v>
      </c>
      <c r="BH63" s="15">
        <v>0.53415181703381498</v>
      </c>
      <c r="BI63" s="15">
        <v>0.28511918681695603</v>
      </c>
      <c r="BJ63" s="15">
        <v>0.23598210248974899</v>
      </c>
      <c r="BK63" s="15">
        <v>0.17941786321188599</v>
      </c>
      <c r="BL63" s="15">
        <v>1.70540822848947E-2</v>
      </c>
      <c r="BM63" s="15">
        <v>4.3672731241133099E-2</v>
      </c>
      <c r="BN63" s="15"/>
      <c r="BO63" s="15"/>
      <c r="BP63" s="15"/>
      <c r="BQ63" s="15"/>
      <c r="BR63" s="15"/>
      <c r="BS63" s="15"/>
      <c r="BT63" s="15"/>
      <c r="BU63" s="15"/>
      <c r="BV63" s="15"/>
      <c r="BW63" s="15"/>
      <c r="BX63" s="15"/>
      <c r="BY63" s="15"/>
      <c r="BZ63" s="15"/>
      <c r="CA63" s="15"/>
      <c r="CB63" s="15">
        <f t="shared" si="5"/>
        <v>1.2953993420950101</v>
      </c>
      <c r="CC63" s="15">
        <f t="shared" si="5"/>
        <v>0.53415181703381498</v>
      </c>
      <c r="CD63" s="15">
        <f t="shared" si="4"/>
        <v>0.28511918681695603</v>
      </c>
      <c r="CE63" s="15">
        <f t="shared" si="4"/>
        <v>0.23598210248974899</v>
      </c>
      <c r="CF63" s="15">
        <f t="shared" si="4"/>
        <v>0.17941786321188599</v>
      </c>
      <c r="CG63" s="15">
        <f t="shared" si="4"/>
        <v>1.70540822848947E-2</v>
      </c>
      <c r="CH63" s="15">
        <f t="shared" si="4"/>
        <v>4.3672731241133099E-2</v>
      </c>
      <c r="CI63">
        <f t="shared" si="2"/>
        <v>2020</v>
      </c>
      <c r="CJ63" t="str">
        <f t="shared" si="3"/>
        <v>General government</v>
      </c>
    </row>
    <row r="64" spans="1:88">
      <c r="A64" t="s">
        <v>1627</v>
      </c>
      <c r="B64" t="s">
        <v>310</v>
      </c>
      <c r="C64" s="15"/>
      <c r="D64" s="15"/>
      <c r="E64" s="15"/>
      <c r="F64" s="15"/>
      <c r="G64" s="15"/>
      <c r="H64" s="15"/>
      <c r="I64" s="15"/>
      <c r="J64" s="15">
        <v>0.544277226032853</v>
      </c>
      <c r="K64" s="15">
        <v>0.25710751799972997</v>
      </c>
      <c r="L64" s="15">
        <v>5.2245507755210897E-2</v>
      </c>
      <c r="M64" s="15">
        <v>0.216030128438611</v>
      </c>
      <c r="N64" s="15">
        <v>1.6305877435394599E-2</v>
      </c>
      <c r="O64" s="15">
        <v>0</v>
      </c>
      <c r="P64" s="15">
        <v>2.58819440390705E-3</v>
      </c>
      <c r="Q64" s="15"/>
      <c r="R64" s="15"/>
      <c r="S64" s="15"/>
      <c r="T64" s="15"/>
      <c r="U64" s="15"/>
      <c r="V64" s="15"/>
      <c r="W64" s="15"/>
      <c r="X64" s="15">
        <v>0.56635038015095496</v>
      </c>
      <c r="Y64" s="15">
        <v>0.26624901073174201</v>
      </c>
      <c r="Z64" s="15">
        <v>5.9275719533891401E-2</v>
      </c>
      <c r="AA64" s="15">
        <v>0.21591528472177801</v>
      </c>
      <c r="AB64" s="15">
        <v>2.1865210167734201E-2</v>
      </c>
      <c r="AC64" s="15">
        <v>0</v>
      </c>
      <c r="AD64" s="15">
        <v>3.0451549958099501E-3</v>
      </c>
      <c r="AE64" s="15"/>
      <c r="AF64" s="15"/>
      <c r="AG64" s="15"/>
      <c r="AH64" s="15"/>
      <c r="AI64" s="15"/>
      <c r="AJ64" s="15"/>
      <c r="AK64" s="15"/>
      <c r="AL64" s="15">
        <v>0.63381365514694599</v>
      </c>
      <c r="AM64" s="15">
        <v>0.30027472776443298</v>
      </c>
      <c r="AN64" s="15">
        <v>7.3474065366413599E-2</v>
      </c>
      <c r="AO64" s="15">
        <v>0.23835341951347899</v>
      </c>
      <c r="AP64" s="15">
        <v>2.17114425026203E-2</v>
      </c>
      <c r="AQ64" s="15">
        <v>0</v>
      </c>
      <c r="AR64" s="15">
        <v>0</v>
      </c>
      <c r="AS64" s="15"/>
      <c r="AT64" s="15"/>
      <c r="AU64" s="15"/>
      <c r="AV64" s="15"/>
      <c r="AW64" s="15"/>
      <c r="AX64" s="15"/>
      <c r="AY64" s="15"/>
      <c r="AZ64" s="15">
        <v>0.60371949727113305</v>
      </c>
      <c r="BA64" s="15">
        <v>0.26976759583358101</v>
      </c>
      <c r="BB64" s="15">
        <v>6.5611853013310906E-2</v>
      </c>
      <c r="BC64" s="15">
        <v>0.23599294142371699</v>
      </c>
      <c r="BD64" s="15">
        <v>3.2347107000523602E-2</v>
      </c>
      <c r="BE64" s="15">
        <v>0</v>
      </c>
      <c r="BF64" s="15">
        <v>0</v>
      </c>
      <c r="BG64" s="15"/>
      <c r="BH64" s="15"/>
      <c r="BI64" s="15"/>
      <c r="BJ64" s="15"/>
      <c r="BK64" s="15"/>
      <c r="BL64" s="15"/>
      <c r="BM64" s="15"/>
      <c r="BN64" s="15">
        <v>0.65139453686778004</v>
      </c>
      <c r="BO64" s="15">
        <v>0.30479815678309402</v>
      </c>
      <c r="BP64" s="15">
        <v>5.14239300494609E-2</v>
      </c>
      <c r="BQ64" s="15">
        <v>0.24842783503198701</v>
      </c>
      <c r="BR64" s="15">
        <v>4.6744615003238801E-2</v>
      </c>
      <c r="BS64" s="15">
        <v>0</v>
      </c>
      <c r="BT64" s="15">
        <v>0</v>
      </c>
      <c r="BU64" s="15"/>
      <c r="BV64" s="15"/>
      <c r="BW64" s="15"/>
      <c r="BX64" s="15"/>
      <c r="BY64" s="15"/>
      <c r="BZ64" s="15"/>
      <c r="CA64" s="15"/>
      <c r="CB64" s="15">
        <f t="shared" si="5"/>
        <v>0.65139453686778004</v>
      </c>
      <c r="CC64" s="15">
        <f t="shared" si="5"/>
        <v>0.30479815678309402</v>
      </c>
      <c r="CD64" s="15">
        <f t="shared" si="4"/>
        <v>5.14239300494609E-2</v>
      </c>
      <c r="CE64" s="15">
        <f t="shared" si="4"/>
        <v>0.24842783503198701</v>
      </c>
      <c r="CF64" s="15">
        <f t="shared" si="4"/>
        <v>4.6744615003238801E-2</v>
      </c>
      <c r="CG64" s="15">
        <f t="shared" si="4"/>
        <v>0</v>
      </c>
      <c r="CH64" s="15">
        <f t="shared" si="4"/>
        <v>0</v>
      </c>
      <c r="CI64">
        <f t="shared" si="2"/>
        <v>2020</v>
      </c>
      <c r="CJ64" t="str">
        <f t="shared" si="3"/>
        <v>Budgetary central government</v>
      </c>
    </row>
    <row r="65" spans="1:88">
      <c r="A65" t="s">
        <v>222</v>
      </c>
      <c r="B65" t="s">
        <v>437</v>
      </c>
      <c r="C65" s="15"/>
      <c r="D65" s="15"/>
      <c r="E65" s="15"/>
      <c r="F65" s="15"/>
      <c r="G65" s="15"/>
      <c r="H65" s="15"/>
      <c r="I65" s="15"/>
      <c r="J65" s="15">
        <v>1.11984633187805</v>
      </c>
      <c r="K65" s="15"/>
      <c r="L65" s="15"/>
      <c r="M65" s="15"/>
      <c r="N65" s="15"/>
      <c r="O65" s="15"/>
      <c r="P65" s="15"/>
      <c r="Q65" s="15"/>
      <c r="R65" s="15"/>
      <c r="S65" s="15"/>
      <c r="T65" s="15"/>
      <c r="U65" s="15"/>
      <c r="V65" s="15"/>
      <c r="W65" s="15"/>
      <c r="X65" s="15">
        <v>1.1178705082882101</v>
      </c>
      <c r="Y65" s="15"/>
      <c r="Z65" s="15"/>
      <c r="AA65" s="15"/>
      <c r="AB65" s="15"/>
      <c r="AC65" s="15"/>
      <c r="AD65" s="15"/>
      <c r="AE65" s="15"/>
      <c r="AF65" s="15"/>
      <c r="AG65" s="15"/>
      <c r="AH65" s="15"/>
      <c r="AI65" s="15"/>
      <c r="AJ65" s="15"/>
      <c r="AK65" s="15"/>
      <c r="AL65" s="15">
        <v>0.87120023826324799</v>
      </c>
      <c r="AM65" s="15"/>
      <c r="AN65" s="15"/>
      <c r="AO65" s="15"/>
      <c r="AP65" s="15"/>
      <c r="AQ65" s="15"/>
      <c r="AR65" s="15"/>
      <c r="AS65" s="15"/>
      <c r="AT65" s="15"/>
      <c r="AU65" s="15"/>
      <c r="AV65" s="15"/>
      <c r="AW65" s="15"/>
      <c r="AX65" s="15"/>
      <c r="AY65" s="15"/>
      <c r="AZ65" s="15">
        <v>1.0228800042850801</v>
      </c>
      <c r="BA65" s="15"/>
      <c r="BB65" s="15"/>
      <c r="BC65" s="15"/>
      <c r="BD65" s="15"/>
      <c r="BE65" s="15"/>
      <c r="BF65" s="15"/>
      <c r="BG65" s="15"/>
      <c r="BH65" s="15"/>
      <c r="BI65" s="15"/>
      <c r="BJ65" s="15"/>
      <c r="BK65" s="15"/>
      <c r="BL65" s="15"/>
      <c r="BM65" s="15"/>
      <c r="BN65" s="15">
        <v>1.1537811398209099</v>
      </c>
      <c r="BO65" s="15"/>
      <c r="BP65" s="15"/>
      <c r="BQ65" s="15"/>
      <c r="BR65" s="15"/>
      <c r="BS65" s="15"/>
      <c r="BT65" s="15"/>
      <c r="BU65" s="15"/>
      <c r="BV65" s="15"/>
      <c r="BW65" s="15"/>
      <c r="BX65" s="15"/>
      <c r="BY65" s="15"/>
      <c r="BZ65" s="15"/>
      <c r="CA65" s="15"/>
      <c r="CB65" s="15">
        <f t="shared" si="5"/>
        <v>1.1537811398209099</v>
      </c>
      <c r="CC65" s="15" t="str">
        <f t="shared" si="5"/>
        <v xml:space="preserve"> </v>
      </c>
      <c r="CD65" s="15" t="str">
        <f t="shared" si="4"/>
        <v xml:space="preserve"> </v>
      </c>
      <c r="CE65" s="15" t="str">
        <f t="shared" si="4"/>
        <v xml:space="preserve"> </v>
      </c>
      <c r="CF65" s="15" t="str">
        <f t="shared" si="4"/>
        <v xml:space="preserve"> </v>
      </c>
      <c r="CG65" s="15" t="str">
        <f t="shared" si="4"/>
        <v xml:space="preserve"> </v>
      </c>
      <c r="CH65" s="15" t="str">
        <f t="shared" si="4"/>
        <v xml:space="preserve"> </v>
      </c>
      <c r="CI65">
        <f t="shared" si="2"/>
        <v>2020</v>
      </c>
      <c r="CJ65" t="str">
        <f t="shared" si="3"/>
        <v>Budgetary central government</v>
      </c>
    </row>
    <row r="66" spans="1:88">
      <c r="A66" t="s">
        <v>252</v>
      </c>
      <c r="B66" t="s">
        <v>540</v>
      </c>
      <c r="C66" s="15">
        <v>1.1103345511706999</v>
      </c>
      <c r="D66" s="15">
        <v>0.63912092363208595</v>
      </c>
      <c r="E66" s="15">
        <v>7.3505578218802797E-2</v>
      </c>
      <c r="F66" s="15">
        <v>0.27129018993436399</v>
      </c>
      <c r="G66" s="15">
        <v>0.125395765597932</v>
      </c>
      <c r="H66" s="15">
        <v>1.01262995614934E-3</v>
      </c>
      <c r="I66" s="15">
        <v>0</v>
      </c>
      <c r="J66" s="15"/>
      <c r="K66" s="15"/>
      <c r="L66" s="15"/>
      <c r="M66" s="15"/>
      <c r="N66" s="15"/>
      <c r="O66" s="15"/>
      <c r="P66" s="15"/>
      <c r="Q66" s="15">
        <v>1.06078882539445</v>
      </c>
      <c r="R66" s="15">
        <v>0.618768396613811</v>
      </c>
      <c r="S66" s="15">
        <v>6.7821116808348805E-2</v>
      </c>
      <c r="T66" s="15">
        <v>0.243841623519303</v>
      </c>
      <c r="U66" s="15">
        <v>0.13036605007507901</v>
      </c>
      <c r="V66" s="15">
        <v>0</v>
      </c>
      <c r="W66" s="15">
        <v>0</v>
      </c>
      <c r="X66" s="15"/>
      <c r="Y66" s="15"/>
      <c r="Z66" s="15"/>
      <c r="AA66" s="15"/>
      <c r="AB66" s="15"/>
      <c r="AC66" s="15"/>
      <c r="AD66" s="15"/>
      <c r="AE66" s="15">
        <v>1.1399327792598</v>
      </c>
      <c r="AF66" s="15">
        <v>0.68904147847106501</v>
      </c>
      <c r="AG66" s="15">
        <v>6.9901865423692894E-2</v>
      </c>
      <c r="AH66" s="15">
        <v>0.243705037703324</v>
      </c>
      <c r="AI66" s="15">
        <v>0.137292102044551</v>
      </c>
      <c r="AJ66" s="15">
        <v>0</v>
      </c>
      <c r="AK66" s="15">
        <v>0</v>
      </c>
      <c r="AL66" s="15"/>
      <c r="AM66" s="15"/>
      <c r="AN66" s="15"/>
      <c r="AO66" s="15"/>
      <c r="AP66" s="15"/>
      <c r="AQ66" s="15"/>
      <c r="AR66" s="15"/>
      <c r="AS66" s="15">
        <v>1.2139790072430101</v>
      </c>
      <c r="AT66" s="15">
        <v>0.69865280257342099</v>
      </c>
      <c r="AU66" s="15">
        <v>7.9102440721754305E-2</v>
      </c>
      <c r="AV66" s="15">
        <v>0.28375651454372303</v>
      </c>
      <c r="AW66" s="15">
        <v>0.15246724940411599</v>
      </c>
      <c r="AX66" s="15">
        <v>0</v>
      </c>
      <c r="AY66" s="15">
        <v>0</v>
      </c>
      <c r="AZ66" s="15"/>
      <c r="BA66" s="15"/>
      <c r="BB66" s="15"/>
      <c r="BC66" s="15"/>
      <c r="BD66" s="15"/>
      <c r="BE66" s="15"/>
      <c r="BF66" s="15"/>
      <c r="BG66" s="15">
        <v>1.4772277164016301</v>
      </c>
      <c r="BH66" s="15">
        <v>0.80433234134514897</v>
      </c>
      <c r="BI66" s="15">
        <v>0.12626650459248101</v>
      </c>
      <c r="BJ66" s="15">
        <v>0.349867908108563</v>
      </c>
      <c r="BK66" s="15">
        <v>0.19544345211581801</v>
      </c>
      <c r="BL66" s="15">
        <v>1.3251701828742499E-3</v>
      </c>
      <c r="BM66" s="15">
        <v>0</v>
      </c>
      <c r="BN66" s="15"/>
      <c r="BO66" s="15"/>
      <c r="BP66" s="15"/>
      <c r="BQ66" s="15"/>
      <c r="BR66" s="15"/>
      <c r="BS66" s="15"/>
      <c r="BT66" s="15"/>
      <c r="BU66" s="15"/>
      <c r="BV66" s="15"/>
      <c r="BW66" s="15"/>
      <c r="BX66" s="15"/>
      <c r="BY66" s="15"/>
      <c r="BZ66" s="15"/>
      <c r="CA66" s="15"/>
      <c r="CB66" s="15">
        <f t="shared" si="5"/>
        <v>1.4772277164016301</v>
      </c>
      <c r="CC66" s="15">
        <f t="shared" si="5"/>
        <v>0.80433234134514897</v>
      </c>
      <c r="CD66" s="15">
        <f t="shared" si="4"/>
        <v>0.12626650459248101</v>
      </c>
      <c r="CE66" s="15">
        <f t="shared" si="4"/>
        <v>0.349867908108563</v>
      </c>
      <c r="CF66" s="15">
        <f t="shared" si="4"/>
        <v>0.19544345211581801</v>
      </c>
      <c r="CG66" s="15">
        <f t="shared" si="4"/>
        <v>1.3251701828742499E-3</v>
      </c>
      <c r="CH66" s="15">
        <f t="shared" si="4"/>
        <v>0</v>
      </c>
      <c r="CI66">
        <f t="shared" si="2"/>
        <v>2020</v>
      </c>
      <c r="CJ66" t="str">
        <f t="shared" si="3"/>
        <v>General government</v>
      </c>
    </row>
    <row r="67" spans="1:88">
      <c r="A67" t="s">
        <v>1628</v>
      </c>
      <c r="B67" t="s">
        <v>401</v>
      </c>
      <c r="C67" s="15"/>
      <c r="D67" s="15"/>
      <c r="E67" s="15"/>
      <c r="F67" s="15"/>
      <c r="G67" s="15"/>
      <c r="H67" s="15"/>
      <c r="I67" s="15"/>
      <c r="J67" s="15">
        <v>3.0099338780025602</v>
      </c>
      <c r="K67" s="15">
        <v>0</v>
      </c>
      <c r="L67" s="15">
        <v>0</v>
      </c>
      <c r="M67" s="15">
        <v>2.6285946731469498</v>
      </c>
      <c r="N67" s="15">
        <v>0</v>
      </c>
      <c r="O67" s="15">
        <v>0</v>
      </c>
      <c r="P67" s="15">
        <v>0.38133920485561301</v>
      </c>
      <c r="Q67" s="15"/>
      <c r="R67" s="15"/>
      <c r="S67" s="15"/>
      <c r="T67" s="15"/>
      <c r="U67" s="15"/>
      <c r="V67" s="15"/>
      <c r="W67" s="15"/>
      <c r="X67" s="15">
        <v>2.8999636973349299</v>
      </c>
      <c r="Y67" s="15">
        <v>0</v>
      </c>
      <c r="Z67" s="15">
        <v>0</v>
      </c>
      <c r="AA67" s="15">
        <v>2.48802769941567</v>
      </c>
      <c r="AB67" s="15">
        <v>0</v>
      </c>
      <c r="AC67" s="15">
        <v>0</v>
      </c>
      <c r="AD67" s="15">
        <v>0.41193599791925201</v>
      </c>
      <c r="AE67" s="15"/>
      <c r="AF67" s="15"/>
      <c r="AG67" s="15"/>
      <c r="AH67" s="15"/>
      <c r="AI67" s="15"/>
      <c r="AJ67" s="15"/>
      <c r="AK67" s="15"/>
      <c r="AL67" s="15">
        <v>3.21267676011627</v>
      </c>
      <c r="AM67" s="15">
        <v>0</v>
      </c>
      <c r="AN67" s="15">
        <v>0</v>
      </c>
      <c r="AO67" s="15">
        <v>2.5565392844482302</v>
      </c>
      <c r="AP67" s="15">
        <v>0</v>
      </c>
      <c r="AQ67" s="15">
        <v>0</v>
      </c>
      <c r="AR67" s="15">
        <v>0.65613747566804004</v>
      </c>
      <c r="AS67" s="15"/>
      <c r="AT67" s="15"/>
      <c r="AU67" s="15"/>
      <c r="AV67" s="15"/>
      <c r="AW67" s="15"/>
      <c r="AX67" s="15"/>
      <c r="AY67" s="15"/>
      <c r="AZ67" s="15">
        <v>3.4964757668718902</v>
      </c>
      <c r="BA67" s="15">
        <v>0</v>
      </c>
      <c r="BB67" s="15">
        <v>0</v>
      </c>
      <c r="BC67" s="15">
        <v>2.79243489648545</v>
      </c>
      <c r="BD67" s="15">
        <v>0</v>
      </c>
      <c r="BE67" s="15">
        <v>0</v>
      </c>
      <c r="BF67" s="15">
        <v>0.70404087038644403</v>
      </c>
      <c r="BG67" s="15"/>
      <c r="BH67" s="15"/>
      <c r="BI67" s="15"/>
      <c r="BJ67" s="15"/>
      <c r="BK67" s="15"/>
      <c r="BL67" s="15"/>
      <c r="BM67" s="15"/>
      <c r="BN67" s="15"/>
      <c r="BO67" s="15"/>
      <c r="BP67" s="15"/>
      <c r="BQ67" s="15"/>
      <c r="BR67" s="15"/>
      <c r="BS67" s="15"/>
      <c r="BT67" s="15"/>
      <c r="BU67" s="15"/>
      <c r="BV67" s="15"/>
      <c r="BW67" s="15"/>
      <c r="BX67" s="15"/>
      <c r="BY67" s="15"/>
      <c r="BZ67" s="15"/>
      <c r="CA67" s="15"/>
      <c r="CB67" s="15">
        <f t="shared" si="5"/>
        <v>3.4964757668718902</v>
      </c>
      <c r="CC67" s="15">
        <f t="shared" si="5"/>
        <v>0</v>
      </c>
      <c r="CD67" s="15">
        <f t="shared" si="4"/>
        <v>0</v>
      </c>
      <c r="CE67" s="15">
        <f t="shared" si="4"/>
        <v>2.79243489648545</v>
      </c>
      <c r="CF67" s="15">
        <f t="shared" si="4"/>
        <v>0</v>
      </c>
      <c r="CG67" s="15">
        <f t="shared" si="4"/>
        <v>0</v>
      </c>
      <c r="CH67" s="15">
        <f t="shared" si="4"/>
        <v>0.70404087038644403</v>
      </c>
      <c r="CI67">
        <f t="shared" si="2"/>
        <v>2019</v>
      </c>
      <c r="CJ67" t="str">
        <f t="shared" si="3"/>
        <v>Budgetary central government</v>
      </c>
    </row>
    <row r="68" spans="1:88">
      <c r="A68" t="s">
        <v>221</v>
      </c>
      <c r="B68" t="s">
        <v>436</v>
      </c>
      <c r="C68" s="15">
        <v>2.1674997257756798</v>
      </c>
      <c r="D68" s="15"/>
      <c r="E68" s="15"/>
      <c r="F68" s="15"/>
      <c r="G68" s="15"/>
      <c r="H68" s="15"/>
      <c r="I68" s="15"/>
      <c r="J68" s="15">
        <v>2.1543408928429399</v>
      </c>
      <c r="K68" s="15"/>
      <c r="L68" s="15"/>
      <c r="M68" s="15"/>
      <c r="N68" s="15"/>
      <c r="O68" s="15"/>
      <c r="P68" s="15"/>
      <c r="Q68" s="15">
        <v>2.2569318227485899</v>
      </c>
      <c r="R68" s="15"/>
      <c r="S68" s="15"/>
      <c r="T68" s="15"/>
      <c r="U68" s="15"/>
      <c r="V68" s="15"/>
      <c r="W68" s="15"/>
      <c r="X68" s="15">
        <v>2.23738724607444</v>
      </c>
      <c r="Y68" s="15"/>
      <c r="Z68" s="15"/>
      <c r="AA68" s="15"/>
      <c r="AB68" s="15"/>
      <c r="AC68" s="15"/>
      <c r="AD68" s="15"/>
      <c r="AE68" s="15">
        <v>2.0773738185175699</v>
      </c>
      <c r="AF68" s="15">
        <v>1.5119314589489199</v>
      </c>
      <c r="AG68" s="15">
        <v>0.12694579198518499</v>
      </c>
      <c r="AH68" s="15">
        <v>0.16927527121126501</v>
      </c>
      <c r="AI68" s="15">
        <v>0.179873144803955</v>
      </c>
      <c r="AJ68" s="15">
        <v>0</v>
      </c>
      <c r="AK68" s="15">
        <v>8.9348151568237305E-2</v>
      </c>
      <c r="AL68" s="15">
        <v>2.0503179023315901</v>
      </c>
      <c r="AM68" s="15">
        <v>1.5119314589489199</v>
      </c>
      <c r="AN68" s="15">
        <v>0.114225383304566</v>
      </c>
      <c r="AO68" s="15">
        <v>0.16499165292910301</v>
      </c>
      <c r="AP68" s="15">
        <v>0.169753258506433</v>
      </c>
      <c r="AQ68" s="15">
        <v>0</v>
      </c>
      <c r="AR68" s="15">
        <v>8.9416148642559506E-2</v>
      </c>
      <c r="AS68" s="15">
        <v>2.1490474294573301</v>
      </c>
      <c r="AT68" s="15">
        <v>1.50994181842141</v>
      </c>
      <c r="AU68" s="15">
        <v>0.13390207069618501</v>
      </c>
      <c r="AV68" s="15">
        <v>0.22100451163966101</v>
      </c>
      <c r="AW68" s="15">
        <v>0.17789949765914601</v>
      </c>
      <c r="AX68" s="15">
        <v>0</v>
      </c>
      <c r="AY68" s="15">
        <v>0.106299531040908</v>
      </c>
      <c r="AZ68" s="15">
        <v>2.1358351312513202</v>
      </c>
      <c r="BA68" s="15">
        <v>1.50994181842141</v>
      </c>
      <c r="BB68" s="15">
        <v>0.12597511805777201</v>
      </c>
      <c r="BC68" s="15">
        <v>0.219080400481722</v>
      </c>
      <c r="BD68" s="15">
        <v>0.17113729315278101</v>
      </c>
      <c r="BE68" s="15">
        <v>0</v>
      </c>
      <c r="BF68" s="15">
        <v>0.109700501137622</v>
      </c>
      <c r="BG68" s="15">
        <v>2.60646178277704</v>
      </c>
      <c r="BH68" s="15">
        <v>1.9096757580594901</v>
      </c>
      <c r="BI68" s="15">
        <v>0.15636282430308199</v>
      </c>
      <c r="BJ68" s="15">
        <v>0.21229556044543699</v>
      </c>
      <c r="BK68" s="15">
        <v>0.20380881411218599</v>
      </c>
      <c r="BL68" s="15">
        <v>0</v>
      </c>
      <c r="BM68" s="15">
        <v>0.124318825856846</v>
      </c>
      <c r="BN68" s="15">
        <v>2.5893154012828501</v>
      </c>
      <c r="BO68" s="15">
        <v>1.90819113651662</v>
      </c>
      <c r="BP68" s="15">
        <v>0.14510164008043</v>
      </c>
      <c r="BQ68" s="15">
        <v>0.21007708837939901</v>
      </c>
      <c r="BR68" s="15">
        <v>0.19588567321824299</v>
      </c>
      <c r="BS68" s="15">
        <v>0</v>
      </c>
      <c r="BT68" s="15">
        <v>0.130059863088165</v>
      </c>
      <c r="BU68" s="15"/>
      <c r="BV68" s="15"/>
      <c r="BW68" s="15"/>
      <c r="BX68" s="15"/>
      <c r="BY68" s="15"/>
      <c r="BZ68" s="15"/>
      <c r="CA68" s="15"/>
      <c r="CB68" s="15">
        <f t="shared" si="5"/>
        <v>2.60646178277704</v>
      </c>
      <c r="CC68" s="15">
        <f t="shared" si="5"/>
        <v>1.9096757580594901</v>
      </c>
      <c r="CD68" s="15">
        <f t="shared" si="4"/>
        <v>0.15636282430308199</v>
      </c>
      <c r="CE68" s="15">
        <f t="shared" si="4"/>
        <v>0.21229556044543699</v>
      </c>
      <c r="CF68" s="15">
        <f t="shared" si="4"/>
        <v>0.20380881411218599</v>
      </c>
      <c r="CG68" s="15">
        <f t="shared" si="4"/>
        <v>0</v>
      </c>
      <c r="CH68" s="15">
        <f t="shared" si="4"/>
        <v>0.124318825856846</v>
      </c>
      <c r="CI68">
        <f t="shared" si="2"/>
        <v>2020</v>
      </c>
      <c r="CJ68" t="str">
        <f t="shared" si="3"/>
        <v>General government</v>
      </c>
    </row>
    <row r="69" spans="1:88">
      <c r="A69" t="s">
        <v>1629</v>
      </c>
      <c r="B69" t="s">
        <v>383</v>
      </c>
      <c r="C69" s="15"/>
      <c r="D69" s="15"/>
      <c r="E69" s="15"/>
      <c r="F69" s="15"/>
      <c r="G69" s="15"/>
      <c r="H69" s="15"/>
      <c r="I69" s="15"/>
      <c r="J69" s="15">
        <v>1.40112703410188</v>
      </c>
      <c r="K69" s="15">
        <v>0</v>
      </c>
      <c r="L69" s="15">
        <v>0</v>
      </c>
      <c r="M69" s="15">
        <v>0</v>
      </c>
      <c r="N69" s="15">
        <v>0</v>
      </c>
      <c r="O69" s="15">
        <v>0</v>
      </c>
      <c r="P69" s="15">
        <v>1.40112703410188</v>
      </c>
      <c r="Q69" s="15"/>
      <c r="R69" s="15"/>
      <c r="S69" s="15"/>
      <c r="T69" s="15"/>
      <c r="U69" s="15"/>
      <c r="V69" s="15"/>
      <c r="W69" s="15"/>
      <c r="X69" s="15">
        <v>1.6720629937732501</v>
      </c>
      <c r="Y69" s="15">
        <v>0</v>
      </c>
      <c r="Z69" s="15">
        <v>0</v>
      </c>
      <c r="AA69" s="15">
        <v>0</v>
      </c>
      <c r="AB69" s="15">
        <v>0</v>
      </c>
      <c r="AC69" s="15">
        <v>0</v>
      </c>
      <c r="AD69" s="15">
        <v>1.6720629937732501</v>
      </c>
      <c r="AE69" s="15"/>
      <c r="AF69" s="15"/>
      <c r="AG69" s="15"/>
      <c r="AH69" s="15"/>
      <c r="AI69" s="15"/>
      <c r="AJ69" s="15"/>
      <c r="AK69" s="15"/>
      <c r="AL69" s="15">
        <v>2.0759585888455701</v>
      </c>
      <c r="AM69" s="15">
        <v>0</v>
      </c>
      <c r="AN69" s="15">
        <v>0</v>
      </c>
      <c r="AO69" s="15">
        <v>0</v>
      </c>
      <c r="AP69" s="15">
        <v>0</v>
      </c>
      <c r="AQ69" s="15">
        <v>0</v>
      </c>
      <c r="AR69" s="15">
        <v>2.0759585888455701</v>
      </c>
      <c r="AS69" s="15"/>
      <c r="AT69" s="15"/>
      <c r="AU69" s="15"/>
      <c r="AV69" s="15"/>
      <c r="AW69" s="15"/>
      <c r="AX69" s="15"/>
      <c r="AY69" s="15"/>
      <c r="AZ69" s="15">
        <v>1.9789471115652599</v>
      </c>
      <c r="BA69" s="15">
        <v>0</v>
      </c>
      <c r="BB69" s="15">
        <v>0</v>
      </c>
      <c r="BC69" s="15">
        <v>0</v>
      </c>
      <c r="BD69" s="15">
        <v>0</v>
      </c>
      <c r="BE69" s="15">
        <v>0</v>
      </c>
      <c r="BF69" s="15">
        <v>1.9789471115652599</v>
      </c>
      <c r="BG69" s="15"/>
      <c r="BH69" s="15"/>
      <c r="BI69" s="15"/>
      <c r="BJ69" s="15"/>
      <c r="BK69" s="15"/>
      <c r="BL69" s="15"/>
      <c r="BM69" s="15"/>
      <c r="BN69" s="15">
        <v>1.63868600451502</v>
      </c>
      <c r="BO69" s="15">
        <v>0</v>
      </c>
      <c r="BP69" s="15">
        <v>0</v>
      </c>
      <c r="BQ69" s="15">
        <v>0</v>
      </c>
      <c r="BR69" s="15">
        <v>0</v>
      </c>
      <c r="BS69" s="15">
        <v>0</v>
      </c>
      <c r="BT69" s="15">
        <v>1.63868600451502</v>
      </c>
      <c r="BU69" s="15"/>
      <c r="BV69" s="15"/>
      <c r="BW69" s="15"/>
      <c r="BX69" s="15"/>
      <c r="BY69" s="15"/>
      <c r="BZ69" s="15"/>
      <c r="CA69" s="15"/>
      <c r="CB69" s="15">
        <f t="shared" si="5"/>
        <v>1.63868600451502</v>
      </c>
      <c r="CC69" s="15">
        <f t="shared" si="5"/>
        <v>0</v>
      </c>
      <c r="CD69" s="15">
        <f t="shared" si="4"/>
        <v>0</v>
      </c>
      <c r="CE69" s="15">
        <f t="shared" si="4"/>
        <v>0</v>
      </c>
      <c r="CF69" s="15">
        <f t="shared" si="4"/>
        <v>0</v>
      </c>
      <c r="CG69" s="15">
        <f t="shared" si="4"/>
        <v>0</v>
      </c>
      <c r="CH69" s="15">
        <f t="shared" si="4"/>
        <v>1.63868600451502</v>
      </c>
      <c r="CI69">
        <f t="shared" si="2"/>
        <v>2020</v>
      </c>
      <c r="CJ69" t="str">
        <f t="shared" si="3"/>
        <v>Budgetary central government</v>
      </c>
    </row>
    <row r="70" spans="1:88">
      <c r="A70" t="s">
        <v>1630</v>
      </c>
      <c r="B70" t="s">
        <v>404</v>
      </c>
      <c r="C70" s="15">
        <v>2.0828959297415301</v>
      </c>
      <c r="D70" s="15">
        <v>1.16569044360326</v>
      </c>
      <c r="E70" s="15">
        <v>0.190530007425605</v>
      </c>
      <c r="F70" s="15">
        <v>0.40245111229063801</v>
      </c>
      <c r="G70" s="15">
        <v>0.24525141947995599</v>
      </c>
      <c r="H70" s="15">
        <v>0</v>
      </c>
      <c r="I70" s="15">
        <v>7.8972946942075101E-2</v>
      </c>
      <c r="J70" s="15">
        <v>2.0761179366575302</v>
      </c>
      <c r="K70" s="15">
        <v>1.16382494091959</v>
      </c>
      <c r="L70" s="15">
        <v>0.18561751702527099</v>
      </c>
      <c r="M70" s="15">
        <v>0.40245111229063801</v>
      </c>
      <c r="N70" s="15">
        <v>0.24525141947995599</v>
      </c>
      <c r="O70" s="15">
        <v>0</v>
      </c>
      <c r="P70" s="15">
        <v>7.8972946942075101E-2</v>
      </c>
      <c r="Q70" s="15">
        <v>2.2593246281062598</v>
      </c>
      <c r="R70" s="15">
        <v>1.29840588426069</v>
      </c>
      <c r="S70" s="15">
        <v>0.16619997821006799</v>
      </c>
      <c r="T70" s="15">
        <v>0.45935594381168199</v>
      </c>
      <c r="U70" s="15">
        <v>0.257881096361603</v>
      </c>
      <c r="V70" s="15">
        <v>5.5903120824106399E-5</v>
      </c>
      <c r="W70" s="15">
        <v>7.7425822341387299E-2</v>
      </c>
      <c r="X70" s="15">
        <v>2.2479203914581398</v>
      </c>
      <c r="Y70" s="15">
        <v>1.2979027561732801</v>
      </c>
      <c r="Z70" s="15">
        <v>0.155354772770192</v>
      </c>
      <c r="AA70" s="15">
        <v>0.459300040690858</v>
      </c>
      <c r="AB70" s="15">
        <v>0.257881096361603</v>
      </c>
      <c r="AC70" s="15">
        <v>5.5903120824106399E-5</v>
      </c>
      <c r="AD70" s="15">
        <v>7.7425822341387299E-2</v>
      </c>
      <c r="AE70" s="15">
        <v>2.3030651415666399</v>
      </c>
      <c r="AF70" s="15">
        <v>1.3420951336829301</v>
      </c>
      <c r="AG70" s="15">
        <v>0.168301319014901</v>
      </c>
      <c r="AH70" s="15">
        <v>0.42580549473094598</v>
      </c>
      <c r="AI70" s="15">
        <v>0.27723932100390802</v>
      </c>
      <c r="AJ70" s="15">
        <v>5.2627054100969702E-4</v>
      </c>
      <c r="AK70" s="15">
        <v>8.9097602592941694E-2</v>
      </c>
      <c r="AL70" s="15">
        <v>2.2932765095038499</v>
      </c>
      <c r="AM70" s="15">
        <v>1.34146360903372</v>
      </c>
      <c r="AN70" s="15">
        <v>0.15924946570953399</v>
      </c>
      <c r="AO70" s="15">
        <v>0.42570024062274398</v>
      </c>
      <c r="AP70" s="15">
        <v>0.27723932100390802</v>
      </c>
      <c r="AQ70" s="15">
        <v>5.2627054100969702E-4</v>
      </c>
      <c r="AR70" s="15">
        <v>8.9097602592941694E-2</v>
      </c>
      <c r="AS70" s="15">
        <v>2.0572221590762299</v>
      </c>
      <c r="AT70" s="15">
        <v>1.1585499184229</v>
      </c>
      <c r="AU70" s="15">
        <v>0.150738572435205</v>
      </c>
      <c r="AV70" s="15">
        <v>0.42046875557076002</v>
      </c>
      <c r="AW70" s="15">
        <v>0.24769293683385099</v>
      </c>
      <c r="AX70" s="15">
        <v>1.90386577120562E-4</v>
      </c>
      <c r="AY70" s="15">
        <v>7.9581589236394704E-2</v>
      </c>
      <c r="AZ70" s="15">
        <v>2.0488451496829199</v>
      </c>
      <c r="BA70" s="15">
        <v>1.1583119352015001</v>
      </c>
      <c r="BB70" s="15">
        <v>0.14274233619614099</v>
      </c>
      <c r="BC70" s="15">
        <v>0.42032596563792002</v>
      </c>
      <c r="BD70" s="15">
        <v>0.24769293683385099</v>
      </c>
      <c r="BE70" s="15">
        <v>1.90386577120562E-4</v>
      </c>
      <c r="BF70" s="15">
        <v>7.9581589236394704E-2</v>
      </c>
      <c r="BG70" s="15">
        <v>2.3947795055924201</v>
      </c>
      <c r="BH70" s="15">
        <v>1.3836849637901201</v>
      </c>
      <c r="BI70" s="15">
        <v>0.18619480937117</v>
      </c>
      <c r="BJ70" s="15">
        <v>0.474146663389242</v>
      </c>
      <c r="BK70" s="15">
        <v>0.27264060655023498</v>
      </c>
      <c r="BL70" s="15">
        <v>8.5341379328926601E-4</v>
      </c>
      <c r="BM70" s="15">
        <v>7.7259048698363503E-2</v>
      </c>
      <c r="BN70" s="15">
        <v>2.3847393433184298</v>
      </c>
      <c r="BO70" s="15">
        <v>1.38283154999683</v>
      </c>
      <c r="BP70" s="15">
        <v>0.177008060890468</v>
      </c>
      <c r="BQ70" s="15">
        <v>0.474146663389242</v>
      </c>
      <c r="BR70" s="15">
        <v>0.27264060655023498</v>
      </c>
      <c r="BS70" s="15">
        <v>8.5341379328926601E-4</v>
      </c>
      <c r="BT70" s="15">
        <v>7.7259048698363503E-2</v>
      </c>
      <c r="BU70" s="15"/>
      <c r="BV70" s="15"/>
      <c r="BW70" s="15"/>
      <c r="BX70" s="15"/>
      <c r="BY70" s="15"/>
      <c r="BZ70" s="15"/>
      <c r="CA70" s="15"/>
      <c r="CB70" s="15">
        <f t="shared" si="5"/>
        <v>2.3947795055924201</v>
      </c>
      <c r="CC70" s="15">
        <f t="shared" si="5"/>
        <v>1.3836849637901201</v>
      </c>
      <c r="CD70" s="15">
        <f t="shared" si="4"/>
        <v>0.18619480937117</v>
      </c>
      <c r="CE70" s="15">
        <f t="shared" si="4"/>
        <v>0.474146663389242</v>
      </c>
      <c r="CF70" s="15">
        <f t="shared" si="4"/>
        <v>0.27264060655023498</v>
      </c>
      <c r="CG70" s="15">
        <f t="shared" si="4"/>
        <v>8.5341379328926601E-4</v>
      </c>
      <c r="CH70" s="15">
        <f t="shared" si="4"/>
        <v>7.7259048698363503E-2</v>
      </c>
      <c r="CI70">
        <f t="shared" si="2"/>
        <v>2020</v>
      </c>
      <c r="CJ70" t="str">
        <f t="shared" si="3"/>
        <v>General government</v>
      </c>
    </row>
    <row r="71" spans="1:88">
      <c r="A71" t="s">
        <v>166</v>
      </c>
      <c r="B71" t="s">
        <v>380</v>
      </c>
      <c r="C71" s="15">
        <v>2.46181016747602</v>
      </c>
      <c r="D71" s="15">
        <v>0.638371444807043</v>
      </c>
      <c r="E71" s="15">
        <v>0.28222548123394298</v>
      </c>
      <c r="F71" s="15">
        <v>0.36049002860618201</v>
      </c>
      <c r="G71" s="15">
        <v>0.25169462642200602</v>
      </c>
      <c r="H71" s="15">
        <v>0.56048961403176001</v>
      </c>
      <c r="I71" s="15">
        <v>0.36853897237508698</v>
      </c>
      <c r="J71" s="15">
        <v>2.46181016747602</v>
      </c>
      <c r="K71" s="15">
        <v>0.638371444807043</v>
      </c>
      <c r="L71" s="15">
        <v>0.28222548123394298</v>
      </c>
      <c r="M71" s="15">
        <v>0.36049002860618201</v>
      </c>
      <c r="N71" s="15">
        <v>0.25169462642200602</v>
      </c>
      <c r="O71" s="15">
        <v>0.56048961403176001</v>
      </c>
      <c r="P71" s="15">
        <v>0.36853897237508698</v>
      </c>
      <c r="Q71" s="15">
        <v>2.3611996260062802</v>
      </c>
      <c r="R71" s="15">
        <v>0.58928170428503002</v>
      </c>
      <c r="S71" s="15">
        <v>0.26660569392447903</v>
      </c>
      <c r="T71" s="15">
        <v>0.336934972579716</v>
      </c>
      <c r="U71" s="15">
        <v>0.31305849717992701</v>
      </c>
      <c r="V71" s="15">
        <v>0.52041033986838103</v>
      </c>
      <c r="W71" s="15">
        <v>0.334908418168752</v>
      </c>
      <c r="X71" s="15">
        <v>2.3611996260062802</v>
      </c>
      <c r="Y71" s="15">
        <v>0.58928170428503002</v>
      </c>
      <c r="Z71" s="15">
        <v>0.26660569392447903</v>
      </c>
      <c r="AA71" s="15">
        <v>0.336934972579716</v>
      </c>
      <c r="AB71" s="15">
        <v>0.31305849717992701</v>
      </c>
      <c r="AC71" s="15">
        <v>0.52041033986838103</v>
      </c>
      <c r="AD71" s="15">
        <v>0.334908418168752</v>
      </c>
      <c r="AE71" s="15">
        <v>2.3694348385738699</v>
      </c>
      <c r="AF71" s="15">
        <v>0.53749257494251801</v>
      </c>
      <c r="AG71" s="15">
        <v>0.28365646825110202</v>
      </c>
      <c r="AH71" s="15">
        <v>0.97341995779520696</v>
      </c>
      <c r="AI71" s="15">
        <v>0.22168415159311999</v>
      </c>
      <c r="AJ71" s="15">
        <v>7.4318550344354306E-2</v>
      </c>
      <c r="AK71" s="15">
        <v>0.27886313564756698</v>
      </c>
      <c r="AL71" s="15">
        <v>2.3692060627899898</v>
      </c>
      <c r="AM71" s="15">
        <v>0.53749257494251801</v>
      </c>
      <c r="AN71" s="15">
        <v>0.28365646825110202</v>
      </c>
      <c r="AO71" s="15">
        <v>0.97341995779520696</v>
      </c>
      <c r="AP71" s="15">
        <v>0.22168415159311999</v>
      </c>
      <c r="AQ71" s="15">
        <v>7.4089774560473901E-2</v>
      </c>
      <c r="AR71" s="15">
        <v>0.27886313564756698</v>
      </c>
      <c r="AS71" s="15">
        <v>1.80060957543753</v>
      </c>
      <c r="AT71" s="15">
        <v>0.61521010711786095</v>
      </c>
      <c r="AU71" s="15">
        <v>0.26168724911959701</v>
      </c>
      <c r="AV71" s="15">
        <v>0.30250854689400902</v>
      </c>
      <c r="AW71" s="15">
        <v>0.19162719840561299</v>
      </c>
      <c r="AX71" s="15">
        <v>0</v>
      </c>
      <c r="AY71" s="15">
        <v>0.429576473900452</v>
      </c>
      <c r="AZ71" s="15">
        <v>1.79565040060786</v>
      </c>
      <c r="BA71" s="15">
        <v>0.61137790777002199</v>
      </c>
      <c r="BB71" s="15">
        <v>0.26056027363776202</v>
      </c>
      <c r="BC71" s="15">
        <v>0.30250854689400902</v>
      </c>
      <c r="BD71" s="15">
        <v>0.19162719840561299</v>
      </c>
      <c r="BE71" s="15">
        <v>0</v>
      </c>
      <c r="BF71" s="15">
        <v>0.429576473900452</v>
      </c>
      <c r="BG71" s="15">
        <v>1.9017025371427101</v>
      </c>
      <c r="BH71" s="15">
        <v>0.67167212658623698</v>
      </c>
      <c r="BI71" s="15">
        <v>0.31827183229663503</v>
      </c>
      <c r="BJ71" s="15">
        <v>0.32652902887892199</v>
      </c>
      <c r="BK71" s="15">
        <v>0.20734705835800599</v>
      </c>
      <c r="BL71" s="15">
        <v>0</v>
      </c>
      <c r="BM71" s="15">
        <v>0.377882491022909</v>
      </c>
      <c r="BN71" s="15">
        <v>1.8955506352897999</v>
      </c>
      <c r="BO71" s="15">
        <v>0.66778169098080997</v>
      </c>
      <c r="BP71" s="15">
        <v>0.31640217597318598</v>
      </c>
      <c r="BQ71" s="15">
        <v>0.32652902887892199</v>
      </c>
      <c r="BR71" s="15">
        <v>0.20734705835800599</v>
      </c>
      <c r="BS71" s="15">
        <v>0</v>
      </c>
      <c r="BT71" s="15">
        <v>0.37749068109887801</v>
      </c>
      <c r="BU71" s="15"/>
      <c r="BV71" s="15"/>
      <c r="BW71" s="15"/>
      <c r="BX71" s="15"/>
      <c r="BY71" s="15"/>
      <c r="BZ71" s="15"/>
      <c r="CA71" s="15"/>
      <c r="CB71" s="15">
        <f t="shared" si="5"/>
        <v>1.9017025371427101</v>
      </c>
      <c r="CC71" s="15">
        <f t="shared" si="5"/>
        <v>0.67167212658623698</v>
      </c>
      <c r="CD71" s="15">
        <f t="shared" si="4"/>
        <v>0.31827183229663503</v>
      </c>
      <c r="CE71" s="15">
        <f t="shared" si="4"/>
        <v>0.32652902887892199</v>
      </c>
      <c r="CF71" s="15">
        <f t="shared" si="4"/>
        <v>0.20734705835800599</v>
      </c>
      <c r="CG71" s="15">
        <f t="shared" si="4"/>
        <v>0</v>
      </c>
      <c r="CH71" s="15">
        <f t="shared" si="4"/>
        <v>0.377882491022909</v>
      </c>
      <c r="CI71">
        <f t="shared" ref="CI71:CI112" si="6">IF(ISNUMBER(BU71),BU$3, IF(ISNUMBER(BG71),BG$3,IF(ISNUMBER(AS71),AS$3,IF(ISNUMBER(AE71),AE$3,IF(ISNUMBER(Q71),Q$3,IF(ISNUMBER(C71),C$3,IF(ISNUMBER(BN71),BG$3,IF(ISNUMBER(AZ71),AS$3,IF(ISNUMBER(AL71),AE$3,IF(ISNUMBER(X71),Q$3,IF(ISNUMBER(J71),C$3, " ")))))))))))</f>
        <v>2020</v>
      </c>
      <c r="CJ71" t="str">
        <f t="shared" ref="CJ71:CJ134" si="7">IF(ISNUMBER(BU71),BU$4, IF(ISNUMBER(BG71),BG$4,IF(ISNUMBER(AS71),AS$4,IF(ISNUMBER(AE71),AE$4,IF(ISNUMBER(Q71),Q$4,IF(ISNUMBER(C71),C$4,IF(ISNUMBER(BN71),BN$4,IF(ISNUMBER(AZ71),AZ$4,IF(ISNUMBER(AL71),AL$4,IF(ISNUMBER(X71),X$4,IF(ISNUMBER(J71),J$4, " ")))))))))))</f>
        <v>General government</v>
      </c>
    </row>
    <row r="72" spans="1:88">
      <c r="A72" t="s">
        <v>1631</v>
      </c>
      <c r="B72" t="s">
        <v>308</v>
      </c>
      <c r="C72" s="15"/>
      <c r="D72" s="15"/>
      <c r="E72" s="15"/>
      <c r="F72" s="15"/>
      <c r="G72" s="15"/>
      <c r="H72" s="15"/>
      <c r="I72" s="15"/>
      <c r="J72" s="15">
        <v>2.4841736836091801</v>
      </c>
      <c r="K72" s="15">
        <v>6.5521281994733597E-3</v>
      </c>
      <c r="L72" s="15">
        <v>0</v>
      </c>
      <c r="M72" s="15">
        <v>0.39435766080068901</v>
      </c>
      <c r="N72" s="15">
        <v>0.20130915023475399</v>
      </c>
      <c r="O72" s="15">
        <v>0</v>
      </c>
      <c r="P72" s="15">
        <v>1.8819547443742699</v>
      </c>
      <c r="Q72" s="15"/>
      <c r="R72" s="15"/>
      <c r="S72" s="15"/>
      <c r="T72" s="15"/>
      <c r="U72" s="15"/>
      <c r="V72" s="15"/>
      <c r="W72" s="15"/>
      <c r="X72" s="15">
        <v>2.5061327656729202</v>
      </c>
      <c r="Y72" s="15">
        <v>7.2448704739651098E-3</v>
      </c>
      <c r="Z72" s="15">
        <v>0</v>
      </c>
      <c r="AA72" s="15">
        <v>0.36163618496036998</v>
      </c>
      <c r="AB72" s="15">
        <v>0.212133133299862</v>
      </c>
      <c r="AC72" s="15">
        <v>0</v>
      </c>
      <c r="AD72" s="15">
        <v>1.92511857693873</v>
      </c>
      <c r="AE72" s="15"/>
      <c r="AF72" s="15"/>
      <c r="AG72" s="15"/>
      <c r="AH72" s="15"/>
      <c r="AI72" s="15"/>
      <c r="AJ72" s="15"/>
      <c r="AK72" s="15"/>
      <c r="AL72" s="15">
        <v>2.7725606236049298</v>
      </c>
      <c r="AM72" s="15">
        <v>6.77905728996267E-3</v>
      </c>
      <c r="AN72" s="15">
        <v>0</v>
      </c>
      <c r="AO72" s="15">
        <v>0.443658598407489</v>
      </c>
      <c r="AP72" s="15">
        <v>0.21158349961532699</v>
      </c>
      <c r="AQ72" s="15">
        <v>2.1584091419179102E-3</v>
      </c>
      <c r="AR72" s="15">
        <v>2.1083810591502399</v>
      </c>
      <c r="AS72" s="15"/>
      <c r="AT72" s="15"/>
      <c r="AU72" s="15"/>
      <c r="AV72" s="15"/>
      <c r="AW72" s="15"/>
      <c r="AX72" s="15"/>
      <c r="AY72" s="15"/>
      <c r="AZ72" s="15">
        <v>2.93820683321889</v>
      </c>
      <c r="BA72" s="15">
        <v>6.2043109385729201E-3</v>
      </c>
      <c r="BB72" s="15">
        <v>0</v>
      </c>
      <c r="BC72" s="15">
        <v>0.58957149283051202</v>
      </c>
      <c r="BD72" s="15">
        <v>0.21321018344706799</v>
      </c>
      <c r="BE72" s="15">
        <v>0</v>
      </c>
      <c r="BF72" s="15">
        <v>2.3424310294497999</v>
      </c>
      <c r="BG72" s="15"/>
      <c r="BH72" s="15"/>
      <c r="BI72" s="15"/>
      <c r="BJ72" s="15"/>
      <c r="BK72" s="15"/>
      <c r="BL72" s="15"/>
      <c r="BM72" s="15"/>
      <c r="BN72" s="15">
        <v>4.1741520619059198</v>
      </c>
      <c r="BO72" s="15">
        <v>4.3661898121211597E-3</v>
      </c>
      <c r="BP72" s="15">
        <v>0</v>
      </c>
      <c r="BQ72" s="15">
        <v>0.71644465788482603</v>
      </c>
      <c r="BR72" s="15">
        <v>0.243679137536672</v>
      </c>
      <c r="BS72" s="15">
        <v>0</v>
      </c>
      <c r="BT72" s="15">
        <v>3.2096620766722999</v>
      </c>
      <c r="BU72" s="15"/>
      <c r="BV72" s="15"/>
      <c r="BW72" s="15"/>
      <c r="BX72" s="15"/>
      <c r="BY72" s="15"/>
      <c r="BZ72" s="15"/>
      <c r="CA72" s="15"/>
      <c r="CB72" s="15">
        <f t="shared" si="5"/>
        <v>4.1741520619059198</v>
      </c>
      <c r="CC72" s="15">
        <f t="shared" si="5"/>
        <v>4.3661898121211597E-3</v>
      </c>
      <c r="CD72" s="15">
        <f t="shared" si="4"/>
        <v>0</v>
      </c>
      <c r="CE72" s="15">
        <f t="shared" si="4"/>
        <v>0.71644465788482603</v>
      </c>
      <c r="CF72" s="15">
        <f t="shared" si="4"/>
        <v>0.243679137536672</v>
      </c>
      <c r="CG72" s="15">
        <f t="shared" si="4"/>
        <v>0</v>
      </c>
      <c r="CH72" s="15">
        <f t="shared" si="4"/>
        <v>3.2096620766722999</v>
      </c>
      <c r="CI72">
        <f t="shared" si="6"/>
        <v>2020</v>
      </c>
      <c r="CJ72" t="str">
        <f t="shared" si="7"/>
        <v>Budgetary central government</v>
      </c>
    </row>
    <row r="73" spans="1:88">
      <c r="A73" t="s">
        <v>120</v>
      </c>
      <c r="B73" t="s">
        <v>333</v>
      </c>
      <c r="C73" s="15">
        <v>0.62932161265791797</v>
      </c>
      <c r="D73" s="15">
        <v>0.38277636656369501</v>
      </c>
      <c r="E73" s="15">
        <v>8.2462118222398906E-2</v>
      </c>
      <c r="F73" s="15">
        <v>0.10463259543545</v>
      </c>
      <c r="G73" s="15">
        <v>5.9450532436373202E-2</v>
      </c>
      <c r="H73" s="15">
        <v>0</v>
      </c>
      <c r="I73" s="15">
        <v>0</v>
      </c>
      <c r="J73" s="15">
        <v>0.535523933612161</v>
      </c>
      <c r="K73" s="15">
        <v>0.37208871946152999</v>
      </c>
      <c r="L73" s="15">
        <v>1.3177330364560799E-2</v>
      </c>
      <c r="M73" s="15">
        <v>9.0807351349696599E-2</v>
      </c>
      <c r="N73" s="15">
        <v>5.9450532436373202E-2</v>
      </c>
      <c r="O73" s="15">
        <v>0</v>
      </c>
      <c r="P73" s="15">
        <v>0</v>
      </c>
      <c r="Q73" s="15">
        <v>0.57571394453628699</v>
      </c>
      <c r="R73" s="15">
        <v>0.34877051353102601</v>
      </c>
      <c r="S73" s="15">
        <v>9.3015692924179494E-2</v>
      </c>
      <c r="T73" s="15">
        <v>6.5879979990719095E-2</v>
      </c>
      <c r="U73" s="15">
        <v>6.8047758090361593E-2</v>
      </c>
      <c r="V73" s="15">
        <v>0</v>
      </c>
      <c r="W73" s="15">
        <v>0</v>
      </c>
      <c r="X73" s="15">
        <v>0.56076801772520901</v>
      </c>
      <c r="Y73" s="15">
        <v>0.34877051353102601</v>
      </c>
      <c r="Z73" s="15">
        <v>9.3015692924179494E-2</v>
      </c>
      <c r="AA73" s="15">
        <v>5.0934053179641399E-2</v>
      </c>
      <c r="AB73" s="15">
        <v>6.8047758090361593E-2</v>
      </c>
      <c r="AC73" s="15">
        <v>0</v>
      </c>
      <c r="AD73" s="15">
        <v>0</v>
      </c>
      <c r="AE73" s="15">
        <v>0.38834393879277601</v>
      </c>
      <c r="AF73" s="15">
        <v>0.210412203467091</v>
      </c>
      <c r="AG73" s="15">
        <v>0.120839361623547</v>
      </c>
      <c r="AH73" s="15">
        <v>2.17735785236793E-2</v>
      </c>
      <c r="AI73" s="15">
        <v>3.5318795178457603E-2</v>
      </c>
      <c r="AJ73" s="15">
        <v>0</v>
      </c>
      <c r="AK73" s="15">
        <v>0</v>
      </c>
      <c r="AL73" s="15">
        <v>0.35262756396747102</v>
      </c>
      <c r="AM73" s="15">
        <v>0.20799244672171099</v>
      </c>
      <c r="AN73" s="15">
        <v>9.2979930539168199E-2</v>
      </c>
      <c r="AO73" s="15">
        <v>1.6336391528133501E-2</v>
      </c>
      <c r="AP73" s="15">
        <v>3.5318795178457603E-2</v>
      </c>
      <c r="AQ73" s="15">
        <v>0</v>
      </c>
      <c r="AR73" s="15">
        <v>0</v>
      </c>
      <c r="AS73" s="15">
        <v>0.56382341290068605</v>
      </c>
      <c r="AT73" s="15">
        <v>0.35486354269005499</v>
      </c>
      <c r="AU73" s="15">
        <v>8.96386920991213E-2</v>
      </c>
      <c r="AV73" s="15">
        <v>4.50541849990743E-2</v>
      </c>
      <c r="AW73" s="15">
        <v>7.4266993112435398E-2</v>
      </c>
      <c r="AX73" s="15">
        <v>0</v>
      </c>
      <c r="AY73" s="15">
        <v>0</v>
      </c>
      <c r="AZ73" s="15">
        <v>0.46689164718376702</v>
      </c>
      <c r="BA73" s="15">
        <v>0.34822630936633397</v>
      </c>
      <c r="BB73" s="15">
        <v>1.3246596377478E-2</v>
      </c>
      <c r="BC73" s="15">
        <v>3.1151748327519602E-2</v>
      </c>
      <c r="BD73" s="15">
        <v>7.4266993112435398E-2</v>
      </c>
      <c r="BE73" s="15">
        <v>0</v>
      </c>
      <c r="BF73" s="15">
        <v>0</v>
      </c>
      <c r="BG73" s="15"/>
      <c r="BH73" s="15"/>
      <c r="BI73" s="15"/>
      <c r="BJ73" s="15"/>
      <c r="BK73" s="15"/>
      <c r="BL73" s="15"/>
      <c r="BM73" s="15"/>
      <c r="BN73" s="15"/>
      <c r="BO73" s="15"/>
      <c r="BP73" s="15"/>
      <c r="BQ73" s="15"/>
      <c r="BR73" s="15"/>
      <c r="BS73" s="15"/>
      <c r="BT73" s="15"/>
      <c r="BU73" s="15"/>
      <c r="BV73" s="15"/>
      <c r="BW73" s="15"/>
      <c r="BX73" s="15"/>
      <c r="BY73" s="15"/>
      <c r="BZ73" s="15"/>
      <c r="CA73" s="15"/>
      <c r="CB73" s="15">
        <f t="shared" si="5"/>
        <v>0.56382341290068605</v>
      </c>
      <c r="CC73" s="15">
        <f t="shared" si="5"/>
        <v>0.35486354269005499</v>
      </c>
      <c r="CD73" s="15">
        <f t="shared" si="4"/>
        <v>8.96386920991213E-2</v>
      </c>
      <c r="CE73" s="15">
        <f t="shared" si="4"/>
        <v>4.50541849990743E-2</v>
      </c>
      <c r="CF73" s="15">
        <f t="shared" si="4"/>
        <v>7.4266993112435398E-2</v>
      </c>
      <c r="CG73" s="15">
        <f t="shared" si="4"/>
        <v>0</v>
      </c>
      <c r="CH73" s="15">
        <f t="shared" si="4"/>
        <v>0</v>
      </c>
      <c r="CI73">
        <f t="shared" si="6"/>
        <v>2019</v>
      </c>
      <c r="CJ73" t="str">
        <f t="shared" si="7"/>
        <v>General government</v>
      </c>
    </row>
    <row r="74" spans="1:88">
      <c r="A74" t="s">
        <v>177</v>
      </c>
      <c r="B74" t="s">
        <v>392</v>
      </c>
      <c r="C74" s="15"/>
      <c r="D74" s="15"/>
      <c r="E74" s="15"/>
      <c r="F74" s="15"/>
      <c r="G74" s="15"/>
      <c r="H74" s="15"/>
      <c r="I74" s="15"/>
      <c r="J74" s="15">
        <v>4.1499993247330798</v>
      </c>
      <c r="K74" s="15">
        <v>3.6076518942507501</v>
      </c>
      <c r="L74" s="15">
        <v>0</v>
      </c>
      <c r="M74" s="15">
        <v>0</v>
      </c>
      <c r="N74" s="15">
        <v>0.20026584654892299</v>
      </c>
      <c r="O74" s="15">
        <v>0</v>
      </c>
      <c r="P74" s="15">
        <v>0.34208158393340499</v>
      </c>
      <c r="Q74" s="15"/>
      <c r="R74" s="15"/>
      <c r="S74" s="15"/>
      <c r="T74" s="15"/>
      <c r="U74" s="15"/>
      <c r="V74" s="15"/>
      <c r="W74" s="15"/>
      <c r="X74" s="15">
        <v>3.74002445426841</v>
      </c>
      <c r="Y74" s="15">
        <v>3.37141093072669</v>
      </c>
      <c r="Z74" s="15">
        <v>0</v>
      </c>
      <c r="AA74" s="15">
        <v>0</v>
      </c>
      <c r="AB74" s="15">
        <v>0.21498112711242701</v>
      </c>
      <c r="AC74" s="15">
        <v>0</v>
      </c>
      <c r="AD74" s="15">
        <v>0.15363239642929499</v>
      </c>
      <c r="AE74" s="15"/>
      <c r="AF74" s="15"/>
      <c r="AG74" s="15"/>
      <c r="AH74" s="15"/>
      <c r="AI74" s="15"/>
      <c r="AJ74" s="15"/>
      <c r="AK74" s="15"/>
      <c r="AL74" s="15">
        <v>3.5441171222148502</v>
      </c>
      <c r="AM74" s="15">
        <v>3.19481205316024</v>
      </c>
      <c r="AN74" s="15">
        <v>0</v>
      </c>
      <c r="AO74" s="15">
        <v>0</v>
      </c>
      <c r="AP74" s="15">
        <v>0.203720136824945</v>
      </c>
      <c r="AQ74" s="15">
        <v>0</v>
      </c>
      <c r="AR74" s="15">
        <v>0.14558493222966701</v>
      </c>
      <c r="AS74" s="15"/>
      <c r="AT74" s="15"/>
      <c r="AU74" s="15"/>
      <c r="AV74" s="15"/>
      <c r="AW74" s="15"/>
      <c r="AX74" s="15"/>
      <c r="AY74" s="15"/>
      <c r="AZ74" s="15">
        <v>3.7436080831312299</v>
      </c>
      <c r="BA74" s="15">
        <v>3.3748157159094099</v>
      </c>
      <c r="BB74" s="15">
        <v>0</v>
      </c>
      <c r="BC74" s="15">
        <v>0</v>
      </c>
      <c r="BD74" s="15">
        <v>0.19641413697169999</v>
      </c>
      <c r="BE74" s="15">
        <v>0</v>
      </c>
      <c r="BF74" s="15">
        <v>0.172378230250118</v>
      </c>
      <c r="BG74" s="15"/>
      <c r="BH74" s="15"/>
      <c r="BI74" s="15"/>
      <c r="BJ74" s="15"/>
      <c r="BK74" s="15"/>
      <c r="BL74" s="15"/>
      <c r="BM74" s="15"/>
      <c r="BN74" s="15">
        <v>7.0783142089488003</v>
      </c>
      <c r="BO74" s="15">
        <v>3.3657137832556998</v>
      </c>
      <c r="BP74" s="15">
        <v>0</v>
      </c>
      <c r="BQ74" s="15">
        <v>0</v>
      </c>
      <c r="BR74" s="15">
        <v>0.209434142761278</v>
      </c>
      <c r="BS74" s="15">
        <v>0</v>
      </c>
      <c r="BT74" s="15">
        <v>3.50316628293182</v>
      </c>
      <c r="BU74" s="15"/>
      <c r="BV74" s="15"/>
      <c r="BW74" s="15"/>
      <c r="BX74" s="15"/>
      <c r="BY74" s="15"/>
      <c r="BZ74" s="15"/>
      <c r="CA74" s="15"/>
      <c r="CB74" s="15">
        <f t="shared" si="5"/>
        <v>7.0783142089488003</v>
      </c>
      <c r="CC74" s="15">
        <f t="shared" si="5"/>
        <v>3.3657137832556998</v>
      </c>
      <c r="CD74" s="15">
        <f t="shared" si="4"/>
        <v>0</v>
      </c>
      <c r="CE74" s="15">
        <f t="shared" si="4"/>
        <v>0</v>
      </c>
      <c r="CF74" s="15">
        <f t="shared" si="4"/>
        <v>0.209434142761278</v>
      </c>
      <c r="CG74" s="15">
        <f t="shared" si="4"/>
        <v>0</v>
      </c>
      <c r="CH74" s="15">
        <f t="shared" si="4"/>
        <v>3.50316628293182</v>
      </c>
      <c r="CI74">
        <f t="shared" si="6"/>
        <v>2020</v>
      </c>
      <c r="CJ74" t="str">
        <f t="shared" si="7"/>
        <v>Budgetary central government</v>
      </c>
    </row>
    <row r="75" spans="1:88">
      <c r="A75" t="s">
        <v>1632</v>
      </c>
      <c r="B75" t="s">
        <v>545</v>
      </c>
      <c r="C75" s="15">
        <v>13.4801856478496</v>
      </c>
      <c r="D75" s="15">
        <v>2.3988968225408498</v>
      </c>
      <c r="E75" s="15">
        <v>0</v>
      </c>
      <c r="F75" s="15">
        <v>5.9175185180278698</v>
      </c>
      <c r="G75" s="15">
        <v>0.29102868594132603</v>
      </c>
      <c r="H75" s="15">
        <v>0</v>
      </c>
      <c r="I75" s="15">
        <v>4.8727416213395802</v>
      </c>
      <c r="J75" s="15">
        <v>13.4801856478496</v>
      </c>
      <c r="K75" s="15">
        <v>2.3988968225408498</v>
      </c>
      <c r="L75" s="15">
        <v>0</v>
      </c>
      <c r="M75" s="15">
        <v>5.9175185180278698</v>
      </c>
      <c r="N75" s="15">
        <v>0.29102868594132603</v>
      </c>
      <c r="O75" s="15">
        <v>0</v>
      </c>
      <c r="P75" s="15">
        <v>4.8727416213395802</v>
      </c>
      <c r="Q75" s="15">
        <v>18.740198546871898</v>
      </c>
      <c r="R75" s="15">
        <v>1.9843768114837701</v>
      </c>
      <c r="S75" s="15">
        <v>0</v>
      </c>
      <c r="T75" s="15">
        <v>3.6335699589011798</v>
      </c>
      <c r="U75" s="15">
        <v>0.43178393072938498</v>
      </c>
      <c r="V75" s="15">
        <v>0</v>
      </c>
      <c r="W75" s="15">
        <v>12.6904678457575</v>
      </c>
      <c r="X75" s="15">
        <v>18.740198546871898</v>
      </c>
      <c r="Y75" s="15">
        <v>1.9843768114837701</v>
      </c>
      <c r="Z75" s="15">
        <v>0</v>
      </c>
      <c r="AA75" s="15">
        <v>3.6335699589011798</v>
      </c>
      <c r="AB75" s="15">
        <v>0.43178393072938498</v>
      </c>
      <c r="AC75" s="15">
        <v>0</v>
      </c>
      <c r="AD75" s="15">
        <v>12.6904678457575</v>
      </c>
      <c r="AE75" s="15">
        <v>16.576395889183299</v>
      </c>
      <c r="AF75" s="15">
        <v>1.76217742008916</v>
      </c>
      <c r="AG75" s="15">
        <v>0</v>
      </c>
      <c r="AH75" s="15">
        <v>3.0870396706054199</v>
      </c>
      <c r="AI75" s="15">
        <v>0.38299311691654703</v>
      </c>
      <c r="AJ75" s="15">
        <v>0</v>
      </c>
      <c r="AK75" s="15">
        <v>11.344185681572201</v>
      </c>
      <c r="AL75" s="15">
        <v>16.576395889183299</v>
      </c>
      <c r="AM75" s="15">
        <v>1.76217742008916</v>
      </c>
      <c r="AN75" s="15">
        <v>0</v>
      </c>
      <c r="AO75" s="15">
        <v>3.0870396706054199</v>
      </c>
      <c r="AP75" s="15">
        <v>0.38299311691654703</v>
      </c>
      <c r="AQ75" s="15">
        <v>0</v>
      </c>
      <c r="AR75" s="15">
        <v>11.344185681572201</v>
      </c>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f t="shared" si="5"/>
        <v>16.576395889183299</v>
      </c>
      <c r="CC75" s="15">
        <f t="shared" si="5"/>
        <v>1.76217742008916</v>
      </c>
      <c r="CD75" s="15">
        <f t="shared" si="4"/>
        <v>0</v>
      </c>
      <c r="CE75" s="15">
        <f t="shared" si="4"/>
        <v>3.0870396706054199</v>
      </c>
      <c r="CF75" s="15">
        <f t="shared" si="4"/>
        <v>0.38299311691654703</v>
      </c>
      <c r="CG75" s="15">
        <f t="shared" si="4"/>
        <v>0</v>
      </c>
      <c r="CH75" s="15">
        <f t="shared" si="4"/>
        <v>11.344185681572201</v>
      </c>
      <c r="CI75">
        <f t="shared" si="6"/>
        <v>2018</v>
      </c>
      <c r="CJ75" t="str">
        <f t="shared" si="7"/>
        <v>General government</v>
      </c>
    </row>
    <row r="76" spans="1:88">
      <c r="A76" t="s">
        <v>124</v>
      </c>
      <c r="B76" t="s">
        <v>338</v>
      </c>
      <c r="C76" s="15"/>
      <c r="D76" s="15"/>
      <c r="E76" s="15"/>
      <c r="F76" s="15"/>
      <c r="G76" s="15"/>
      <c r="H76" s="15"/>
      <c r="I76" s="15"/>
      <c r="J76" s="15">
        <v>1.33405877740513</v>
      </c>
      <c r="K76" s="15"/>
      <c r="L76" s="15"/>
      <c r="M76" s="15"/>
      <c r="N76" s="15"/>
      <c r="O76" s="15"/>
      <c r="P76" s="15"/>
      <c r="Q76" s="15"/>
      <c r="R76" s="15"/>
      <c r="S76" s="15"/>
      <c r="T76" s="15"/>
      <c r="U76" s="15"/>
      <c r="V76" s="15"/>
      <c r="W76" s="15"/>
      <c r="X76" s="15">
        <v>1.85208696679774</v>
      </c>
      <c r="Y76" s="15">
        <v>1.2079184105617999</v>
      </c>
      <c r="Z76" s="15">
        <v>3.0222820971618499E-4</v>
      </c>
      <c r="AA76" s="15">
        <v>0.17849663061151799</v>
      </c>
      <c r="AB76" s="15">
        <v>4.2698671478074698E-2</v>
      </c>
      <c r="AC76" s="15"/>
      <c r="AD76" s="15">
        <v>0.42267102593662798</v>
      </c>
      <c r="AE76" s="15"/>
      <c r="AF76" s="15"/>
      <c r="AG76" s="15"/>
      <c r="AH76" s="15"/>
      <c r="AI76" s="15"/>
      <c r="AJ76" s="15"/>
      <c r="AK76" s="15"/>
      <c r="AL76" s="15">
        <v>1.56024439213021</v>
      </c>
      <c r="AM76" s="15">
        <v>1.15248791194589</v>
      </c>
      <c r="AN76" s="15">
        <v>3.3571716558836401E-4</v>
      </c>
      <c r="AO76" s="15">
        <v>0.16935391179284601</v>
      </c>
      <c r="AP76" s="15">
        <v>5.0192479366026999E-2</v>
      </c>
      <c r="AQ76" s="15"/>
      <c r="AR76" s="15">
        <v>0.187874371859864</v>
      </c>
      <c r="AS76" s="15"/>
      <c r="AT76" s="15"/>
      <c r="AU76" s="15"/>
      <c r="AV76" s="15"/>
      <c r="AW76" s="15"/>
      <c r="AX76" s="15"/>
      <c r="AY76" s="15"/>
      <c r="AZ76" s="15">
        <v>1.2434772073199001</v>
      </c>
      <c r="BA76" s="15">
        <v>0.93900123147080705</v>
      </c>
      <c r="BB76" s="15">
        <v>2.96532945837183E-4</v>
      </c>
      <c r="BC76" s="15">
        <v>0.148121044019523</v>
      </c>
      <c r="BD76" s="15">
        <v>4.4414198269566003E-2</v>
      </c>
      <c r="BE76" s="15">
        <v>0</v>
      </c>
      <c r="BF76" s="15">
        <v>0.111644200614162</v>
      </c>
      <c r="BG76" s="15">
        <v>1.45627625206816</v>
      </c>
      <c r="BH76" s="15">
        <v>1.0079410741606301</v>
      </c>
      <c r="BI76" s="15">
        <v>2.6678920860759999E-3</v>
      </c>
      <c r="BJ76" s="15">
        <v>0.158191440205561</v>
      </c>
      <c r="BK76" s="15">
        <v>4.9540692023872297E-2</v>
      </c>
      <c r="BL76" s="15">
        <v>7.8095362749440497E-2</v>
      </c>
      <c r="BM76" s="15">
        <v>0.15983979084257999</v>
      </c>
      <c r="BN76" s="15">
        <v>1.32484573132157</v>
      </c>
      <c r="BO76" s="15">
        <v>1.0067557984732201</v>
      </c>
      <c r="BP76" s="15">
        <v>3.3310333973986099E-4</v>
      </c>
      <c r="BQ76" s="15">
        <v>0.15647759286891799</v>
      </c>
      <c r="BR76" s="15">
        <v>4.9540692023872297E-2</v>
      </c>
      <c r="BS76" s="15">
        <v>0</v>
      </c>
      <c r="BT76" s="15">
        <v>0.11173854461582</v>
      </c>
      <c r="BU76" s="15"/>
      <c r="BV76" s="15"/>
      <c r="BW76" s="15"/>
      <c r="BX76" s="15"/>
      <c r="BY76" s="15"/>
      <c r="BZ76" s="15"/>
      <c r="CA76" s="15"/>
      <c r="CB76" s="15">
        <f t="shared" si="5"/>
        <v>1.45627625206816</v>
      </c>
      <c r="CC76" s="15">
        <f t="shared" si="5"/>
        <v>1.0079410741606301</v>
      </c>
      <c r="CD76" s="15">
        <f t="shared" si="4"/>
        <v>2.6678920860759999E-3</v>
      </c>
      <c r="CE76" s="15">
        <f t="shared" si="4"/>
        <v>0.158191440205561</v>
      </c>
      <c r="CF76" s="15">
        <f t="shared" si="4"/>
        <v>4.9540692023872297E-2</v>
      </c>
      <c r="CG76" s="15">
        <f t="shared" si="4"/>
        <v>7.8095362749440497E-2</v>
      </c>
      <c r="CH76" s="15">
        <f t="shared" si="4"/>
        <v>0.15983979084257999</v>
      </c>
      <c r="CI76">
        <f t="shared" si="6"/>
        <v>2020</v>
      </c>
      <c r="CJ76" t="str">
        <f t="shared" si="7"/>
        <v>General government</v>
      </c>
    </row>
    <row r="77" spans="1:88">
      <c r="A77" t="s">
        <v>1633</v>
      </c>
      <c r="B77" t="s">
        <v>460</v>
      </c>
      <c r="C77" s="15">
        <v>1.88342554462071</v>
      </c>
      <c r="D77" s="15">
        <v>0.83773683995047599</v>
      </c>
      <c r="E77" s="15">
        <v>0.21741063928610299</v>
      </c>
      <c r="F77" s="15">
        <v>0.27571621982192102</v>
      </c>
      <c r="G77" s="15">
        <v>0.35223347079144501</v>
      </c>
      <c r="H77" s="15">
        <v>1.8635197653094501E-2</v>
      </c>
      <c r="I77" s="15">
        <v>0.181693177117671</v>
      </c>
      <c r="J77" s="15"/>
      <c r="K77" s="15"/>
      <c r="L77" s="15"/>
      <c r="M77" s="15"/>
      <c r="N77" s="15"/>
      <c r="O77" s="15"/>
      <c r="P77" s="15"/>
      <c r="Q77" s="15">
        <v>1.79503783804288</v>
      </c>
      <c r="R77" s="15">
        <v>0.820433897900957</v>
      </c>
      <c r="S77" s="15">
        <v>0.20944366019730501</v>
      </c>
      <c r="T77" s="15">
        <v>0.27433597147447802</v>
      </c>
      <c r="U77" s="15">
        <v>0.29804401839202499</v>
      </c>
      <c r="V77" s="15">
        <v>1.9914759410739901E-2</v>
      </c>
      <c r="W77" s="15">
        <v>0.17286553066737501</v>
      </c>
      <c r="X77" s="15"/>
      <c r="Y77" s="15"/>
      <c r="Z77" s="15"/>
      <c r="AA77" s="15"/>
      <c r="AB77" s="15"/>
      <c r="AC77" s="15"/>
      <c r="AD77" s="15"/>
      <c r="AE77" s="15">
        <v>1.83530214331765</v>
      </c>
      <c r="AF77" s="15">
        <v>0.85414871309207996</v>
      </c>
      <c r="AG77" s="15">
        <v>0.19780693990984299</v>
      </c>
      <c r="AH77" s="15">
        <v>0.27817004678373197</v>
      </c>
      <c r="AI77" s="15">
        <v>0.30478548089308999</v>
      </c>
      <c r="AJ77" s="15">
        <v>2.3256204561575299E-2</v>
      </c>
      <c r="AK77" s="15">
        <v>0.17713475807733201</v>
      </c>
      <c r="AL77" s="15"/>
      <c r="AM77" s="15"/>
      <c r="AN77" s="15"/>
      <c r="AO77" s="15"/>
      <c r="AP77" s="15"/>
      <c r="AQ77" s="15"/>
      <c r="AR77" s="15"/>
      <c r="AS77" s="15">
        <v>1.84636955679505</v>
      </c>
      <c r="AT77" s="15">
        <v>0.85553867819520202</v>
      </c>
      <c r="AU77" s="15">
        <v>0.19445178985431499</v>
      </c>
      <c r="AV77" s="15">
        <v>0.27242929445117497</v>
      </c>
      <c r="AW77" s="15">
        <v>0.31707572058470801</v>
      </c>
      <c r="AX77" s="15">
        <v>2.10317875174496E-2</v>
      </c>
      <c r="AY77" s="15">
        <v>0.185842286192201</v>
      </c>
      <c r="AZ77" s="15"/>
      <c r="BA77" s="15"/>
      <c r="BB77" s="15"/>
      <c r="BC77" s="15"/>
      <c r="BD77" s="15"/>
      <c r="BE77" s="15"/>
      <c r="BF77" s="15"/>
      <c r="BG77" s="15">
        <v>1.98138970997194</v>
      </c>
      <c r="BH77" s="15">
        <v>0.90164292990207395</v>
      </c>
      <c r="BI77" s="15">
        <v>0.20910016935488901</v>
      </c>
      <c r="BJ77" s="15">
        <v>0.29071547753704202</v>
      </c>
      <c r="BK77" s="15">
        <v>0.36008224023397201</v>
      </c>
      <c r="BL77" s="15">
        <v>2.19973878101975E-2</v>
      </c>
      <c r="BM77" s="15">
        <v>0.19785150513376501</v>
      </c>
      <c r="BN77" s="15"/>
      <c r="BO77" s="15"/>
      <c r="BP77" s="15"/>
      <c r="BQ77" s="15"/>
      <c r="BR77" s="15"/>
      <c r="BS77" s="15"/>
      <c r="BT77" s="15"/>
      <c r="BU77" s="15"/>
      <c r="BV77" s="15"/>
      <c r="BW77" s="15"/>
      <c r="BX77" s="15"/>
      <c r="BY77" s="15"/>
      <c r="BZ77" s="15"/>
      <c r="CA77" s="15"/>
      <c r="CB77" s="15">
        <f t="shared" si="5"/>
        <v>1.98138970997194</v>
      </c>
      <c r="CC77" s="15">
        <f t="shared" si="5"/>
        <v>0.90164292990207395</v>
      </c>
      <c r="CD77" s="15">
        <f t="shared" si="4"/>
        <v>0.20910016935488901</v>
      </c>
      <c r="CE77" s="15">
        <f t="shared" si="4"/>
        <v>0.29071547753704202</v>
      </c>
      <c r="CF77" s="15">
        <f t="shared" si="4"/>
        <v>0.36008224023397201</v>
      </c>
      <c r="CG77" s="15">
        <f t="shared" si="4"/>
        <v>2.19973878101975E-2</v>
      </c>
      <c r="CH77" s="15">
        <f t="shared" si="4"/>
        <v>0.19785150513376501</v>
      </c>
      <c r="CI77">
        <f t="shared" si="6"/>
        <v>2020</v>
      </c>
      <c r="CJ77" t="str">
        <f t="shared" si="7"/>
        <v>General government</v>
      </c>
    </row>
    <row r="78" spans="1:88">
      <c r="A78" t="s">
        <v>71</v>
      </c>
      <c r="B78" t="s">
        <v>453</v>
      </c>
      <c r="C78" s="15">
        <v>1.9110892068751</v>
      </c>
      <c r="D78" s="15"/>
      <c r="E78" s="15"/>
      <c r="F78" s="15"/>
      <c r="G78" s="15"/>
      <c r="H78" s="15"/>
      <c r="I78" s="15"/>
      <c r="J78" s="15"/>
      <c r="K78" s="15"/>
      <c r="L78" s="15"/>
      <c r="M78" s="15"/>
      <c r="N78" s="15"/>
      <c r="O78" s="15"/>
      <c r="P78" s="15"/>
      <c r="Q78" s="15">
        <v>1.7258687797324299</v>
      </c>
      <c r="R78" s="15"/>
      <c r="S78" s="15"/>
      <c r="T78" s="15"/>
      <c r="U78" s="15"/>
      <c r="V78" s="15"/>
      <c r="W78" s="15"/>
      <c r="X78" s="15"/>
      <c r="Y78" s="15"/>
      <c r="Z78" s="15"/>
      <c r="AA78" s="15"/>
      <c r="AB78" s="15"/>
      <c r="AC78" s="15"/>
      <c r="AD78" s="15"/>
      <c r="AE78" s="15">
        <v>1.78835674797392</v>
      </c>
      <c r="AF78" s="15"/>
      <c r="AG78" s="15"/>
      <c r="AH78" s="15"/>
      <c r="AI78" s="15"/>
      <c r="AJ78" s="15"/>
      <c r="AK78" s="15"/>
      <c r="AL78" s="15"/>
      <c r="AM78" s="15"/>
      <c r="AN78" s="15"/>
      <c r="AO78" s="15"/>
      <c r="AP78" s="15"/>
      <c r="AQ78" s="15"/>
      <c r="AR78" s="15"/>
      <c r="AS78" s="15">
        <v>1.8925417414102399</v>
      </c>
      <c r="AT78" s="15"/>
      <c r="AU78" s="15"/>
      <c r="AV78" s="15"/>
      <c r="AW78" s="15"/>
      <c r="AX78" s="15"/>
      <c r="AY78" s="15"/>
      <c r="AZ78" s="15"/>
      <c r="BA78" s="15"/>
      <c r="BB78" s="15"/>
      <c r="BC78" s="15"/>
      <c r="BD78" s="15"/>
      <c r="BE78" s="15"/>
      <c r="BF78" s="15"/>
      <c r="BG78" s="15">
        <v>1.95102069967767</v>
      </c>
      <c r="BH78" s="15"/>
      <c r="BI78" s="15"/>
      <c r="BJ78" s="15"/>
      <c r="BK78" s="15"/>
      <c r="BL78" s="15"/>
      <c r="BM78" s="15"/>
      <c r="BN78" s="15"/>
      <c r="BO78" s="15"/>
      <c r="BP78" s="15"/>
      <c r="BQ78" s="15"/>
      <c r="BR78" s="15"/>
      <c r="BS78" s="15"/>
      <c r="BT78" s="15"/>
      <c r="BU78" s="15"/>
      <c r="BV78" s="15"/>
      <c r="BW78" s="15"/>
      <c r="BX78" s="15"/>
      <c r="BY78" s="15"/>
      <c r="BZ78" s="15"/>
      <c r="CA78" s="15"/>
      <c r="CB78" s="15">
        <f t="shared" si="5"/>
        <v>1.95102069967767</v>
      </c>
      <c r="CC78" s="15" t="str">
        <f t="shared" si="5"/>
        <v xml:space="preserve"> </v>
      </c>
      <c r="CD78" s="15" t="str">
        <f t="shared" si="4"/>
        <v xml:space="preserve"> </v>
      </c>
      <c r="CE78" s="15" t="str">
        <f t="shared" si="4"/>
        <v xml:space="preserve"> </v>
      </c>
      <c r="CF78" s="15" t="str">
        <f t="shared" si="4"/>
        <v xml:space="preserve"> </v>
      </c>
      <c r="CG78" s="15" t="str">
        <f t="shared" si="4"/>
        <v xml:space="preserve"> </v>
      </c>
      <c r="CH78" s="15" t="str">
        <f t="shared" si="4"/>
        <v xml:space="preserve"> </v>
      </c>
      <c r="CI78">
        <f t="shared" si="6"/>
        <v>2020</v>
      </c>
      <c r="CJ78" t="str">
        <f t="shared" si="7"/>
        <v>General government</v>
      </c>
    </row>
    <row r="79" spans="1:88">
      <c r="A79" t="s">
        <v>140</v>
      </c>
      <c r="B79" t="s">
        <v>354</v>
      </c>
      <c r="C79" s="15"/>
      <c r="D79" s="15"/>
      <c r="E79" s="15"/>
      <c r="F79" s="15"/>
      <c r="G79" s="15"/>
      <c r="H79" s="15"/>
      <c r="I79" s="15"/>
      <c r="J79" s="15">
        <v>1.9017633607381299</v>
      </c>
      <c r="K79" s="15"/>
      <c r="L79" s="15"/>
      <c r="M79" s="15"/>
      <c r="N79" s="15"/>
      <c r="O79" s="15"/>
      <c r="P79" s="15"/>
      <c r="Q79" s="15"/>
      <c r="R79" s="15"/>
      <c r="S79" s="15"/>
      <c r="T79" s="15"/>
      <c r="U79" s="15"/>
      <c r="V79" s="15"/>
      <c r="W79" s="15"/>
      <c r="X79" s="15">
        <v>1.91240945714843</v>
      </c>
      <c r="Y79" s="15"/>
      <c r="Z79" s="15"/>
      <c r="AA79" s="15"/>
      <c r="AB79" s="15"/>
      <c r="AC79" s="15"/>
      <c r="AD79" s="15"/>
      <c r="AE79" s="15"/>
      <c r="AF79" s="15"/>
      <c r="AG79" s="15"/>
      <c r="AH79" s="15"/>
      <c r="AI79" s="15"/>
      <c r="AJ79" s="15"/>
      <c r="AK79" s="15"/>
      <c r="AL79" s="15">
        <v>2.04188312131908</v>
      </c>
      <c r="AM79" s="15"/>
      <c r="AN79" s="15"/>
      <c r="AO79" s="15"/>
      <c r="AP79" s="15"/>
      <c r="AQ79" s="15"/>
      <c r="AR79" s="15"/>
      <c r="AS79" s="15"/>
      <c r="AT79" s="15"/>
      <c r="AU79" s="15"/>
      <c r="AV79" s="15"/>
      <c r="AW79" s="15"/>
      <c r="AX79" s="15"/>
      <c r="AY79" s="15"/>
      <c r="AZ79" s="15">
        <v>2.0293994854465298</v>
      </c>
      <c r="BA79" s="15"/>
      <c r="BB79" s="15"/>
      <c r="BC79" s="15"/>
      <c r="BD79" s="15"/>
      <c r="BE79" s="15"/>
      <c r="BF79" s="15"/>
      <c r="BG79" s="15"/>
      <c r="BH79" s="15"/>
      <c r="BI79" s="15"/>
      <c r="BJ79" s="15"/>
      <c r="BK79" s="15"/>
      <c r="BL79" s="15"/>
      <c r="BM79" s="15"/>
      <c r="BN79" s="15">
        <v>2.0106699061190101</v>
      </c>
      <c r="BO79" s="15"/>
      <c r="BP79" s="15"/>
      <c r="BQ79" s="15"/>
      <c r="BR79" s="15"/>
      <c r="BS79" s="15"/>
      <c r="BT79" s="15"/>
      <c r="BU79" s="15"/>
      <c r="BV79" s="15"/>
      <c r="BW79" s="15"/>
      <c r="BX79" s="15"/>
      <c r="BY79" s="15"/>
      <c r="BZ79" s="15"/>
      <c r="CA79" s="15"/>
      <c r="CB79" s="15">
        <f t="shared" si="5"/>
        <v>2.0106699061190101</v>
      </c>
      <c r="CC79" s="15" t="str">
        <f t="shared" si="5"/>
        <v xml:space="preserve"> </v>
      </c>
      <c r="CD79" s="15" t="str">
        <f t="shared" si="4"/>
        <v xml:space="preserve"> </v>
      </c>
      <c r="CE79" s="15" t="str">
        <f t="shared" si="4"/>
        <v xml:space="preserve"> </v>
      </c>
      <c r="CF79" s="15" t="str">
        <f t="shared" si="4"/>
        <v xml:space="preserve"> </v>
      </c>
      <c r="CG79" s="15" t="str">
        <f t="shared" si="4"/>
        <v xml:space="preserve"> </v>
      </c>
      <c r="CH79" s="15" t="str">
        <f t="shared" si="4"/>
        <v xml:space="preserve"> </v>
      </c>
      <c r="CI79">
        <f t="shared" si="6"/>
        <v>2020</v>
      </c>
      <c r="CJ79" t="str">
        <f t="shared" si="7"/>
        <v>Budgetary central government</v>
      </c>
    </row>
    <row r="80" spans="1:88">
      <c r="A80" t="s">
        <v>51</v>
      </c>
      <c r="B80" t="s">
        <v>468</v>
      </c>
      <c r="C80" s="15">
        <v>1.1685368161882499</v>
      </c>
      <c r="D80" s="15">
        <v>0.58228335121498398</v>
      </c>
      <c r="E80" s="15">
        <v>0.228104015689373</v>
      </c>
      <c r="F80" s="15">
        <v>0.165163187814139</v>
      </c>
      <c r="G80" s="15">
        <v>0.14779797479010001</v>
      </c>
      <c r="H80" s="15">
        <v>2.0044232877189899E-2</v>
      </c>
      <c r="I80" s="15">
        <v>2.5144053802465201E-2</v>
      </c>
      <c r="J80" s="15"/>
      <c r="K80" s="15"/>
      <c r="L80" s="15"/>
      <c r="M80" s="15"/>
      <c r="N80" s="15"/>
      <c r="O80" s="15"/>
      <c r="P80" s="15"/>
      <c r="Q80" s="15">
        <v>1.1586820587112501</v>
      </c>
      <c r="R80" s="15">
        <v>0.576443034525284</v>
      </c>
      <c r="S80" s="15">
        <v>0.23029196615142</v>
      </c>
      <c r="T80" s="15">
        <v>0.15609722939556001</v>
      </c>
      <c r="U80" s="15">
        <v>0.14587079737645001</v>
      </c>
      <c r="V80" s="15">
        <v>2.4731578918620101E-2</v>
      </c>
      <c r="W80" s="15">
        <v>2.5247452343916399E-2</v>
      </c>
      <c r="X80" s="15"/>
      <c r="Y80" s="15"/>
      <c r="Z80" s="15"/>
      <c r="AA80" s="15"/>
      <c r="AB80" s="15"/>
      <c r="AC80" s="15"/>
      <c r="AD80" s="15"/>
      <c r="AE80" s="15">
        <v>1.1555192886687899</v>
      </c>
      <c r="AF80" s="15">
        <v>0.55949801626382301</v>
      </c>
      <c r="AG80" s="15">
        <v>0.254537268915839</v>
      </c>
      <c r="AH80" s="15">
        <v>0.147528067756549</v>
      </c>
      <c r="AI80" s="15">
        <v>0.14659951039702901</v>
      </c>
      <c r="AJ80" s="15">
        <v>2.43675961619629E-2</v>
      </c>
      <c r="AK80" s="15">
        <v>2.2988829173584E-2</v>
      </c>
      <c r="AL80" s="15"/>
      <c r="AM80" s="15"/>
      <c r="AN80" s="15"/>
      <c r="AO80" s="15"/>
      <c r="AP80" s="15"/>
      <c r="AQ80" s="15"/>
      <c r="AR80" s="15"/>
      <c r="AS80" s="15">
        <v>1.2302966325523199</v>
      </c>
      <c r="AT80" s="15">
        <v>0.61087479882942097</v>
      </c>
      <c r="AU80" s="15">
        <v>0.27428976241765102</v>
      </c>
      <c r="AV80" s="15">
        <v>0.15418290486533701</v>
      </c>
      <c r="AW80" s="15">
        <v>0.14199287149266801</v>
      </c>
      <c r="AX80" s="15">
        <v>2.59493583979102E-2</v>
      </c>
      <c r="AY80" s="15">
        <v>2.3006936549335E-2</v>
      </c>
      <c r="AZ80" s="15"/>
      <c r="BA80" s="15"/>
      <c r="BB80" s="15"/>
      <c r="BC80" s="15"/>
      <c r="BD80" s="15"/>
      <c r="BE80" s="15"/>
      <c r="BF80" s="15"/>
      <c r="BG80" s="15">
        <v>1.2970748070134299</v>
      </c>
      <c r="BH80" s="15">
        <v>0.63490017431044798</v>
      </c>
      <c r="BI80" s="15">
        <v>0.29515592728764201</v>
      </c>
      <c r="BJ80" s="15">
        <v>0.166722817091213</v>
      </c>
      <c r="BK80" s="15">
        <v>0.14814923318050699</v>
      </c>
      <c r="BL80" s="15">
        <v>2.7596713002973498E-2</v>
      </c>
      <c r="BM80" s="15">
        <v>2.4549942140649501E-2</v>
      </c>
      <c r="BN80" s="15"/>
      <c r="BO80" s="15"/>
      <c r="BP80" s="15"/>
      <c r="BQ80" s="15"/>
      <c r="BR80" s="15"/>
      <c r="BS80" s="15"/>
      <c r="BT80" s="15"/>
      <c r="BU80" s="15"/>
      <c r="BV80" s="15"/>
      <c r="BW80" s="15"/>
      <c r="BX80" s="15"/>
      <c r="BY80" s="15"/>
      <c r="BZ80" s="15"/>
      <c r="CA80" s="15"/>
      <c r="CB80" s="15">
        <f t="shared" si="5"/>
        <v>1.2970748070134299</v>
      </c>
      <c r="CC80" s="15">
        <f t="shared" si="5"/>
        <v>0.63490017431044798</v>
      </c>
      <c r="CD80" s="15">
        <f t="shared" si="4"/>
        <v>0.29515592728764201</v>
      </c>
      <c r="CE80" s="15">
        <f t="shared" si="4"/>
        <v>0.166722817091213</v>
      </c>
      <c r="CF80" s="15">
        <f t="shared" si="4"/>
        <v>0.14814923318050699</v>
      </c>
      <c r="CG80" s="15">
        <f t="shared" si="4"/>
        <v>2.7596713002973498E-2</v>
      </c>
      <c r="CH80" s="15">
        <f t="shared" si="4"/>
        <v>2.4549942140649501E-2</v>
      </c>
      <c r="CI80">
        <f t="shared" si="6"/>
        <v>2020</v>
      </c>
      <c r="CJ80" t="str">
        <f t="shared" si="7"/>
        <v>General government</v>
      </c>
    </row>
    <row r="81" spans="1:88">
      <c r="A81" t="s">
        <v>1634</v>
      </c>
      <c r="B81" t="s">
        <v>546</v>
      </c>
      <c r="C81" s="15"/>
      <c r="D81" s="15"/>
      <c r="E81" s="15"/>
      <c r="F81" s="15"/>
      <c r="G81" s="15"/>
      <c r="H81" s="15"/>
      <c r="I81" s="15"/>
      <c r="J81" s="15">
        <v>1.8215414671591501</v>
      </c>
      <c r="K81" s="15">
        <v>1.23853627266218</v>
      </c>
      <c r="L81" s="15">
        <v>0</v>
      </c>
      <c r="M81" s="15">
        <v>0.344647471924306</v>
      </c>
      <c r="N81" s="15">
        <v>0</v>
      </c>
      <c r="O81" s="15">
        <v>0</v>
      </c>
      <c r="P81" s="15">
        <v>0.23835772257266699</v>
      </c>
      <c r="Q81" s="15"/>
      <c r="R81" s="15"/>
      <c r="S81" s="15"/>
      <c r="T81" s="15"/>
      <c r="U81" s="15"/>
      <c r="V81" s="15"/>
      <c r="W81" s="15"/>
      <c r="X81" s="15">
        <v>2.30074811305197</v>
      </c>
      <c r="Y81" s="15">
        <v>1.5444577307738501</v>
      </c>
      <c r="Z81" s="15">
        <v>0</v>
      </c>
      <c r="AA81" s="15">
        <v>0.45549408116899198</v>
      </c>
      <c r="AB81" s="15">
        <v>0</v>
      </c>
      <c r="AC81" s="15">
        <v>0</v>
      </c>
      <c r="AD81" s="15">
        <v>0.30079630110913103</v>
      </c>
      <c r="AE81" s="15"/>
      <c r="AF81" s="15"/>
      <c r="AG81" s="15"/>
      <c r="AH81" s="15"/>
      <c r="AI81" s="15"/>
      <c r="AJ81" s="15"/>
      <c r="AK81" s="15"/>
      <c r="AL81" s="15">
        <v>2.6844712164236699</v>
      </c>
      <c r="AM81" s="15">
        <v>1.5146987464750299</v>
      </c>
      <c r="AN81" s="15">
        <v>0</v>
      </c>
      <c r="AO81" s="15">
        <v>0.623909547653136</v>
      </c>
      <c r="AP81" s="15">
        <v>0</v>
      </c>
      <c r="AQ81" s="15">
        <v>0</v>
      </c>
      <c r="AR81" s="15">
        <v>0.54586292229550903</v>
      </c>
      <c r="AS81" s="15"/>
      <c r="AT81" s="15"/>
      <c r="AU81" s="15"/>
      <c r="AV81" s="15"/>
      <c r="AW81" s="15"/>
      <c r="AX81" s="15"/>
      <c r="AY81" s="15"/>
      <c r="AZ81" s="15">
        <v>4.9992352697621598</v>
      </c>
      <c r="BA81" s="15">
        <v>1.57819959795533</v>
      </c>
      <c r="BB81" s="15">
        <v>0</v>
      </c>
      <c r="BC81" s="15">
        <v>2.8645622117092899</v>
      </c>
      <c r="BD81" s="15">
        <v>0</v>
      </c>
      <c r="BE81" s="15">
        <v>0</v>
      </c>
      <c r="BF81" s="15">
        <v>0.55647346009754295</v>
      </c>
      <c r="BG81" s="15"/>
      <c r="BH81" s="15"/>
      <c r="BI81" s="15"/>
      <c r="BJ81" s="15"/>
      <c r="BK81" s="15"/>
      <c r="BL81" s="15"/>
      <c r="BM81" s="15"/>
      <c r="BN81" s="15"/>
      <c r="BO81" s="15"/>
      <c r="BP81" s="15"/>
      <c r="BQ81" s="15"/>
      <c r="BR81" s="15"/>
      <c r="BS81" s="15"/>
      <c r="BT81" s="15"/>
      <c r="BU81" s="15"/>
      <c r="BV81" s="15"/>
      <c r="BW81" s="15"/>
      <c r="BX81" s="15"/>
      <c r="BY81" s="15"/>
      <c r="BZ81" s="15"/>
      <c r="CA81" s="15"/>
      <c r="CB81" s="15">
        <f t="shared" si="5"/>
        <v>4.9992352697621598</v>
      </c>
      <c r="CC81" s="15">
        <f t="shared" si="5"/>
        <v>1.57819959795533</v>
      </c>
      <c r="CD81" s="15">
        <f t="shared" si="4"/>
        <v>0</v>
      </c>
      <c r="CE81" s="15">
        <f t="shared" si="4"/>
        <v>2.8645622117092899</v>
      </c>
      <c r="CF81" s="15">
        <f t="shared" si="4"/>
        <v>0</v>
      </c>
      <c r="CG81" s="15">
        <f t="shared" si="4"/>
        <v>0</v>
      </c>
      <c r="CH81" s="15">
        <f t="shared" si="4"/>
        <v>0.55647346009754295</v>
      </c>
      <c r="CI81">
        <f t="shared" si="6"/>
        <v>2019</v>
      </c>
      <c r="CJ81" t="str">
        <f t="shared" si="7"/>
        <v>Budgetary central government</v>
      </c>
    </row>
    <row r="82" spans="1:88">
      <c r="A82" t="s">
        <v>228</v>
      </c>
      <c r="B82" t="s">
        <v>547</v>
      </c>
      <c r="C82" s="15"/>
      <c r="D82" s="15"/>
      <c r="E82" s="15"/>
      <c r="F82" s="15"/>
      <c r="G82" s="15"/>
      <c r="H82" s="15"/>
      <c r="I82" s="15"/>
      <c r="J82" s="15">
        <v>1.69263789040151</v>
      </c>
      <c r="K82" s="15">
        <v>0.95762395616662099</v>
      </c>
      <c r="L82" s="15">
        <v>7.2855641088916998E-2</v>
      </c>
      <c r="M82" s="15">
        <v>0.465202532370878</v>
      </c>
      <c r="N82" s="15">
        <v>0.128805525678865</v>
      </c>
      <c r="O82" s="15">
        <v>0</v>
      </c>
      <c r="P82" s="15">
        <v>6.8150235096228501E-2</v>
      </c>
      <c r="Q82" s="15"/>
      <c r="R82" s="15"/>
      <c r="S82" s="15"/>
      <c r="T82" s="15"/>
      <c r="U82" s="15"/>
      <c r="V82" s="15"/>
      <c r="W82" s="15"/>
      <c r="X82" s="15">
        <v>1.7850903579708499</v>
      </c>
      <c r="Y82" s="15">
        <v>0.98931585916404696</v>
      </c>
      <c r="Z82" s="15">
        <v>8.9299359613930596E-2</v>
      </c>
      <c r="AA82" s="15">
        <v>0.50930824662206697</v>
      </c>
      <c r="AB82" s="15">
        <v>0.124180610891395</v>
      </c>
      <c r="AC82" s="15">
        <v>0</v>
      </c>
      <c r="AD82" s="15">
        <v>7.2986281679410098E-2</v>
      </c>
      <c r="AE82" s="15"/>
      <c r="AF82" s="15"/>
      <c r="AG82" s="15"/>
      <c r="AH82" s="15"/>
      <c r="AI82" s="15"/>
      <c r="AJ82" s="15"/>
      <c r="AK82" s="15"/>
      <c r="AL82" s="15">
        <v>1.70254215927876</v>
      </c>
      <c r="AM82" s="15">
        <v>0.85633664405713805</v>
      </c>
      <c r="AN82" s="15">
        <v>9.5754833603288403E-2</v>
      </c>
      <c r="AO82" s="15">
        <v>0.512955008466497</v>
      </c>
      <c r="AP82" s="15">
        <v>9.3231130693207806E-2</v>
      </c>
      <c r="AQ82" s="15">
        <v>0</v>
      </c>
      <c r="AR82" s="15">
        <v>0.144264542458624</v>
      </c>
      <c r="AS82" s="15"/>
      <c r="AT82" s="15"/>
      <c r="AU82" s="15"/>
      <c r="AV82" s="15"/>
      <c r="AW82" s="15"/>
      <c r="AX82" s="15"/>
      <c r="AY82" s="15"/>
      <c r="AZ82" s="15">
        <v>1.7701181455558499</v>
      </c>
      <c r="BA82" s="15">
        <v>0.89524439526351296</v>
      </c>
      <c r="BB82" s="15">
        <v>8.3460844652954197E-2</v>
      </c>
      <c r="BC82" s="15">
        <v>0.53342200916018401</v>
      </c>
      <c r="BD82" s="15">
        <v>0.12723583420524501</v>
      </c>
      <c r="BE82" s="15">
        <v>0</v>
      </c>
      <c r="BF82" s="15">
        <v>0.13075506227394601</v>
      </c>
      <c r="BG82" s="15"/>
      <c r="BH82" s="15"/>
      <c r="BI82" s="15"/>
      <c r="BJ82" s="15"/>
      <c r="BK82" s="15"/>
      <c r="BL82" s="15"/>
      <c r="BM82" s="15"/>
      <c r="BN82" s="15">
        <v>1.9633558415594801</v>
      </c>
      <c r="BO82" s="15">
        <v>1.2842271967402801</v>
      </c>
      <c r="BP82" s="15">
        <v>0</v>
      </c>
      <c r="BQ82" s="15">
        <v>0.48002901489934802</v>
      </c>
      <c r="BR82" s="15">
        <v>0.13357451876015899</v>
      </c>
      <c r="BS82" s="15">
        <v>0</v>
      </c>
      <c r="BT82" s="15">
        <v>6.5525111159697405E-2</v>
      </c>
      <c r="BU82" s="15"/>
      <c r="BV82" s="15"/>
      <c r="BW82" s="15"/>
      <c r="BX82" s="15"/>
      <c r="BY82" s="15"/>
      <c r="BZ82" s="15"/>
      <c r="CA82" s="15"/>
      <c r="CB82" s="15">
        <f t="shared" si="5"/>
        <v>1.9633558415594801</v>
      </c>
      <c r="CC82" s="15">
        <f t="shared" si="5"/>
        <v>1.2842271967402801</v>
      </c>
      <c r="CD82" s="15">
        <f t="shared" si="4"/>
        <v>0</v>
      </c>
      <c r="CE82" s="15">
        <f t="shared" si="4"/>
        <v>0.48002901489934802</v>
      </c>
      <c r="CF82" s="15">
        <f t="shared" si="4"/>
        <v>0.13357451876015899</v>
      </c>
      <c r="CG82" s="15">
        <f t="shared" si="4"/>
        <v>0</v>
      </c>
      <c r="CH82" s="15">
        <f t="shared" si="4"/>
        <v>6.5525111159697405E-2</v>
      </c>
      <c r="CI82">
        <f t="shared" si="6"/>
        <v>2020</v>
      </c>
      <c r="CJ82" t="str">
        <f t="shared" si="7"/>
        <v>Budgetary central government</v>
      </c>
    </row>
    <row r="83" spans="1:88">
      <c r="A83" t="s">
        <v>150</v>
      </c>
      <c r="B83" t="s">
        <v>364</v>
      </c>
      <c r="C83" s="15"/>
      <c r="D83" s="15"/>
      <c r="E83" s="15"/>
      <c r="F83" s="15"/>
      <c r="G83" s="15"/>
      <c r="H83" s="15"/>
      <c r="I83" s="15"/>
      <c r="J83" s="15"/>
      <c r="K83" s="15"/>
      <c r="L83" s="15"/>
      <c r="M83" s="15"/>
      <c r="N83" s="15"/>
      <c r="O83" s="15"/>
      <c r="P83" s="15"/>
      <c r="Q83" s="15"/>
      <c r="R83" s="15"/>
      <c r="S83" s="15"/>
      <c r="T83" s="15"/>
      <c r="U83" s="15"/>
      <c r="V83" s="15"/>
      <c r="W83" s="15"/>
      <c r="X83" s="15">
        <v>1.5795027242303501</v>
      </c>
      <c r="Y83" s="15">
        <v>0.90293039982939205</v>
      </c>
      <c r="Z83" s="15">
        <v>2.4386508407367599E-2</v>
      </c>
      <c r="AA83" s="15">
        <v>0.42622541168207001</v>
      </c>
      <c r="AB83" s="15">
        <v>0.20734078886052701</v>
      </c>
      <c r="AC83" s="15">
        <v>0</v>
      </c>
      <c r="AD83" s="15">
        <v>1.86196154509909E-2</v>
      </c>
      <c r="AE83" s="15"/>
      <c r="AF83" s="15"/>
      <c r="AG83" s="15"/>
      <c r="AH83" s="15"/>
      <c r="AI83" s="15"/>
      <c r="AJ83" s="15"/>
      <c r="AK83" s="15"/>
      <c r="AL83" s="15">
        <v>0.88706603241391402</v>
      </c>
      <c r="AM83" s="15">
        <v>0.41402501135449299</v>
      </c>
      <c r="AN83" s="15">
        <v>2.52417343273387E-2</v>
      </c>
      <c r="AO83" s="15">
        <v>0.266852546369648</v>
      </c>
      <c r="AP83" s="15">
        <v>0.167149526056138</v>
      </c>
      <c r="AQ83" s="15">
        <v>0</v>
      </c>
      <c r="AR83" s="15">
        <v>1.3797214306295401E-2</v>
      </c>
      <c r="AS83" s="15"/>
      <c r="AT83" s="15"/>
      <c r="AU83" s="15"/>
      <c r="AV83" s="15"/>
      <c r="AW83" s="15"/>
      <c r="AX83" s="15"/>
      <c r="AY83" s="15"/>
      <c r="AZ83" s="15">
        <v>1.56401149477263</v>
      </c>
      <c r="BA83" s="15">
        <v>0.64915662790325901</v>
      </c>
      <c r="BB83" s="15">
        <v>4.8891438958083497E-2</v>
      </c>
      <c r="BC83" s="15">
        <v>0.60485109837185602</v>
      </c>
      <c r="BD83" s="15">
        <v>0.235162918911314</v>
      </c>
      <c r="BE83" s="15"/>
      <c r="BF83" s="15">
        <v>2.5949410628114698E-2</v>
      </c>
      <c r="BG83" s="15"/>
      <c r="BH83" s="15"/>
      <c r="BI83" s="15"/>
      <c r="BJ83" s="15"/>
      <c r="BK83" s="15"/>
      <c r="BL83" s="15"/>
      <c r="BM83" s="15"/>
      <c r="BN83" s="15">
        <v>1.5022987952248701</v>
      </c>
      <c r="BO83" s="15">
        <v>0.62262398597712598</v>
      </c>
      <c r="BP83" s="15">
        <v>3.79280212471182E-2</v>
      </c>
      <c r="BQ83" s="15">
        <v>0.62597429022262996</v>
      </c>
      <c r="BR83" s="15">
        <v>0.198585608936901</v>
      </c>
      <c r="BS83" s="15"/>
      <c r="BT83" s="15">
        <v>1.7186888841097401E-2</v>
      </c>
      <c r="BU83" s="15"/>
      <c r="BV83" s="15"/>
      <c r="BW83" s="15"/>
      <c r="BX83" s="15"/>
      <c r="BY83" s="15"/>
      <c r="BZ83" s="15"/>
      <c r="CA83" s="15"/>
      <c r="CB83" s="15">
        <f t="shared" si="5"/>
        <v>1.5022987952248701</v>
      </c>
      <c r="CC83" s="15">
        <f t="shared" si="5"/>
        <v>0.62262398597712598</v>
      </c>
      <c r="CD83" s="15">
        <f t="shared" si="4"/>
        <v>3.79280212471182E-2</v>
      </c>
      <c r="CE83" s="15">
        <f t="shared" si="4"/>
        <v>0.62597429022262996</v>
      </c>
      <c r="CF83" s="15">
        <f t="shared" si="4"/>
        <v>0.198585608936901</v>
      </c>
      <c r="CG83" s="15">
        <f t="shared" si="4"/>
        <v>0</v>
      </c>
      <c r="CH83" s="15">
        <f t="shared" si="4"/>
        <v>1.7186888841097401E-2</v>
      </c>
      <c r="CI83">
        <f t="shared" si="6"/>
        <v>2020</v>
      </c>
      <c r="CJ83" t="str">
        <f t="shared" si="7"/>
        <v>Budgetary central government</v>
      </c>
    </row>
    <row r="84" spans="1:88">
      <c r="A84" t="s">
        <v>163</v>
      </c>
      <c r="B84" t="s">
        <v>377</v>
      </c>
      <c r="C84" s="15"/>
      <c r="D84" s="15"/>
      <c r="E84" s="15"/>
      <c r="F84" s="15"/>
      <c r="G84" s="15"/>
      <c r="H84" s="15"/>
      <c r="I84" s="15"/>
      <c r="J84" s="15">
        <v>1.03471482546502</v>
      </c>
      <c r="K84" s="15">
        <v>0.68098994593184303</v>
      </c>
      <c r="L84" s="15">
        <v>8.6800610769672604E-2</v>
      </c>
      <c r="M84" s="15">
        <v>0.16603466658454699</v>
      </c>
      <c r="N84" s="15">
        <v>6.0988415439155598E-2</v>
      </c>
      <c r="O84" s="15">
        <v>4.4936745583081401E-4</v>
      </c>
      <c r="P84" s="15">
        <v>3.9451819283969999E-2</v>
      </c>
      <c r="Q84" s="15"/>
      <c r="R84" s="15"/>
      <c r="S84" s="15"/>
      <c r="T84" s="15"/>
      <c r="U84" s="15"/>
      <c r="V84" s="15"/>
      <c r="W84" s="15"/>
      <c r="X84" s="15">
        <v>1.3711749495716301</v>
      </c>
      <c r="Y84" s="15">
        <v>0.97930882882051495</v>
      </c>
      <c r="Z84" s="15">
        <v>8.9666062297260499E-2</v>
      </c>
      <c r="AA84" s="15">
        <v>0.16569505511712501</v>
      </c>
      <c r="AB84" s="15">
        <v>8.7030468903403199E-2</v>
      </c>
      <c r="AC84" s="15">
        <v>5.4176415266589905E-4</v>
      </c>
      <c r="AD84" s="15">
        <v>4.8932770280656401E-2</v>
      </c>
      <c r="AE84" s="15"/>
      <c r="AF84" s="15"/>
      <c r="AG84" s="15"/>
      <c r="AH84" s="15"/>
      <c r="AI84" s="15"/>
      <c r="AJ84" s="15"/>
      <c r="AK84" s="15"/>
      <c r="AL84" s="15">
        <v>1.0697462293167399</v>
      </c>
      <c r="AM84" s="15">
        <v>0.66165383104945397</v>
      </c>
      <c r="AN84" s="15">
        <v>8.4569162183959601E-2</v>
      </c>
      <c r="AO84" s="15">
        <v>0.13874726522159</v>
      </c>
      <c r="AP84" s="15">
        <v>9.0977811291434105E-2</v>
      </c>
      <c r="AQ84" s="15">
        <v>4.6162670842040499E-4</v>
      </c>
      <c r="AR84" s="15">
        <v>9.3336532861879207E-2</v>
      </c>
      <c r="AS84" s="15"/>
      <c r="AT84" s="15"/>
      <c r="AU84" s="15"/>
      <c r="AV84" s="15"/>
      <c r="AW84" s="15"/>
      <c r="AX84" s="15"/>
      <c r="AY84" s="15"/>
      <c r="AZ84" s="15">
        <v>1.3270898803270701</v>
      </c>
      <c r="BA84" s="15">
        <v>0.88991550509830397</v>
      </c>
      <c r="BB84" s="15">
        <v>0.102615752420449</v>
      </c>
      <c r="BC84" s="15">
        <v>0.14969550971356299</v>
      </c>
      <c r="BD84" s="15">
        <v>0.117155227641713</v>
      </c>
      <c r="BE84" s="15">
        <v>4.6048584004889102E-4</v>
      </c>
      <c r="BF84" s="15">
        <v>6.7247399612990394E-2</v>
      </c>
      <c r="BG84" s="15"/>
      <c r="BH84" s="15"/>
      <c r="BI84" s="15"/>
      <c r="BJ84" s="15"/>
      <c r="BK84" s="15"/>
      <c r="BL84" s="15"/>
      <c r="BM84" s="15"/>
      <c r="BN84" s="15">
        <v>1.36948669415602</v>
      </c>
      <c r="BO84" s="15">
        <v>0.91638402451386303</v>
      </c>
      <c r="BP84" s="15">
        <v>0.108975240186182</v>
      </c>
      <c r="BQ84" s="15">
        <v>0.16632700217586899</v>
      </c>
      <c r="BR84" s="15">
        <v>0.113689280045738</v>
      </c>
      <c r="BS84" s="15">
        <v>4.7701089450538598E-4</v>
      </c>
      <c r="BT84" s="15">
        <v>6.3634136339858302E-2</v>
      </c>
      <c r="BU84" s="15"/>
      <c r="BV84" s="15"/>
      <c r="BW84" s="15"/>
      <c r="BX84" s="15"/>
      <c r="BY84" s="15"/>
      <c r="BZ84" s="15"/>
      <c r="CA84" s="15"/>
      <c r="CB84" s="15">
        <f t="shared" si="5"/>
        <v>1.36948669415602</v>
      </c>
      <c r="CC84" s="15">
        <f t="shared" si="5"/>
        <v>0.91638402451386303</v>
      </c>
      <c r="CD84" s="15">
        <f t="shared" si="4"/>
        <v>0.108975240186182</v>
      </c>
      <c r="CE84" s="15">
        <f t="shared" si="4"/>
        <v>0.16632700217586899</v>
      </c>
      <c r="CF84" s="15">
        <f t="shared" si="4"/>
        <v>0.113689280045738</v>
      </c>
      <c r="CG84" s="15">
        <f t="shared" si="4"/>
        <v>4.7701089450538598E-4</v>
      </c>
      <c r="CH84" s="15">
        <f t="shared" si="4"/>
        <v>6.3634136339858302E-2</v>
      </c>
      <c r="CI84">
        <f t="shared" si="6"/>
        <v>2020</v>
      </c>
      <c r="CJ84" t="str">
        <f t="shared" si="7"/>
        <v>Budgetary central government</v>
      </c>
    </row>
    <row r="85" spans="1:88">
      <c r="A85" t="s">
        <v>1635</v>
      </c>
      <c r="B85" t="s">
        <v>441</v>
      </c>
      <c r="C85" s="15">
        <v>2.1779225374711499</v>
      </c>
      <c r="D85" s="15">
        <v>1.1419538898799799</v>
      </c>
      <c r="E85" s="15">
        <v>0.184290921728021</v>
      </c>
      <c r="F85" s="15">
        <v>0.51069060430157098</v>
      </c>
      <c r="G85" s="15">
        <v>0.245096987003074</v>
      </c>
      <c r="H85" s="15">
        <v>1.08452606157446E-2</v>
      </c>
      <c r="I85" s="15">
        <v>8.5044873942761501E-2</v>
      </c>
      <c r="J85" s="15"/>
      <c r="K85" s="15"/>
      <c r="L85" s="15"/>
      <c r="M85" s="15"/>
      <c r="N85" s="15"/>
      <c r="O85" s="15"/>
      <c r="P85" s="15"/>
      <c r="Q85" s="15">
        <v>2.1321481192456901</v>
      </c>
      <c r="R85" s="15">
        <v>1.1458502631324201</v>
      </c>
      <c r="S85" s="15">
        <v>0.18786179514619</v>
      </c>
      <c r="T85" s="15">
        <v>0.501632598005885</v>
      </c>
      <c r="U85" s="15">
        <v>0.23930566892343699</v>
      </c>
      <c r="V85" s="15">
        <v>1.0631536912666001E-2</v>
      </c>
      <c r="W85" s="15">
        <v>4.6866257125089697E-2</v>
      </c>
      <c r="X85" s="15"/>
      <c r="Y85" s="15"/>
      <c r="Z85" s="15"/>
      <c r="AA85" s="15"/>
      <c r="AB85" s="15"/>
      <c r="AC85" s="15"/>
      <c r="AD85" s="15"/>
      <c r="AE85" s="15">
        <v>2.1069868563388598</v>
      </c>
      <c r="AF85" s="15">
        <v>1.07718300963209</v>
      </c>
      <c r="AG85" s="15">
        <v>0.197166276622572</v>
      </c>
      <c r="AH85" s="15">
        <v>0.50881721190353302</v>
      </c>
      <c r="AI85" s="15">
        <v>0.235214547819877</v>
      </c>
      <c r="AJ85" s="15">
        <v>9.1519663642941097E-3</v>
      </c>
      <c r="AK85" s="15">
        <v>7.9453843996502599E-2</v>
      </c>
      <c r="AL85" s="15"/>
      <c r="AM85" s="15"/>
      <c r="AN85" s="15"/>
      <c r="AO85" s="15"/>
      <c r="AP85" s="15"/>
      <c r="AQ85" s="15"/>
      <c r="AR85" s="15"/>
      <c r="AS85" s="15">
        <v>2.0899259388401199</v>
      </c>
      <c r="AT85" s="15">
        <v>1.0723924431688101</v>
      </c>
      <c r="AU85" s="15">
        <v>0.19638620158309</v>
      </c>
      <c r="AV85" s="15">
        <v>0.51407729803510804</v>
      </c>
      <c r="AW85" s="15">
        <v>0.23174366048341299</v>
      </c>
      <c r="AX85" s="15">
        <v>9.7551922329646608E-3</v>
      </c>
      <c r="AY85" s="15">
        <v>6.5571143336734805E-2</v>
      </c>
      <c r="AZ85" s="15"/>
      <c r="BA85" s="15"/>
      <c r="BB85" s="15"/>
      <c r="BC85" s="15"/>
      <c r="BD85" s="15"/>
      <c r="BE85" s="15"/>
      <c r="BF85" s="15"/>
      <c r="BG85" s="15">
        <v>2.3464546256894199</v>
      </c>
      <c r="BH85" s="15">
        <v>1.14549178758264</v>
      </c>
      <c r="BI85" s="15">
        <v>0.214334045223914</v>
      </c>
      <c r="BJ85" s="15">
        <v>0.55821592446013302</v>
      </c>
      <c r="BK85" s="15">
        <v>0.24023875803136099</v>
      </c>
      <c r="BL85" s="15">
        <v>1.13324431473682E-2</v>
      </c>
      <c r="BM85" s="15">
        <v>0.17684166724401101</v>
      </c>
      <c r="BN85" s="15"/>
      <c r="BO85" s="15"/>
      <c r="BP85" s="15"/>
      <c r="BQ85" s="15"/>
      <c r="BR85" s="15"/>
      <c r="BS85" s="15"/>
      <c r="BT85" s="15"/>
      <c r="BU85" s="15"/>
      <c r="BV85" s="15"/>
      <c r="BW85" s="15"/>
      <c r="BX85" s="15"/>
      <c r="BY85" s="15"/>
      <c r="BZ85" s="15"/>
      <c r="CA85" s="15"/>
      <c r="CB85" s="15">
        <f t="shared" si="5"/>
        <v>2.3464546256894199</v>
      </c>
      <c r="CC85" s="15">
        <f t="shared" si="5"/>
        <v>1.14549178758264</v>
      </c>
      <c r="CD85" s="15">
        <f t="shared" si="4"/>
        <v>0.214334045223914</v>
      </c>
      <c r="CE85" s="15">
        <f t="shared" si="4"/>
        <v>0.55821592446013302</v>
      </c>
      <c r="CF85" s="15">
        <f t="shared" si="4"/>
        <v>0.24023875803136099</v>
      </c>
      <c r="CG85" s="15">
        <f t="shared" si="4"/>
        <v>1.13324431473682E-2</v>
      </c>
      <c r="CH85" s="15">
        <f t="shared" si="4"/>
        <v>0.17684166724401101</v>
      </c>
      <c r="CI85">
        <f t="shared" si="6"/>
        <v>2020</v>
      </c>
      <c r="CJ85" t="str">
        <f t="shared" si="7"/>
        <v>General government</v>
      </c>
    </row>
    <row r="86" spans="1:88">
      <c r="A86" t="s">
        <v>62</v>
      </c>
      <c r="B86" t="s">
        <v>445</v>
      </c>
      <c r="C86" s="15">
        <v>1.7824905169076299</v>
      </c>
      <c r="D86" s="15">
        <v>1.0444517609006001</v>
      </c>
      <c r="E86" s="15">
        <v>0.13620155096954401</v>
      </c>
      <c r="F86" s="15">
        <v>0.34752356429145198</v>
      </c>
      <c r="G86" s="15">
        <v>0.13703001451017699</v>
      </c>
      <c r="H86" s="15">
        <v>4.6581636100204897E-3</v>
      </c>
      <c r="I86" s="15">
        <v>0.112625462625838</v>
      </c>
      <c r="J86" s="15"/>
      <c r="K86" s="15"/>
      <c r="L86" s="15"/>
      <c r="M86" s="15"/>
      <c r="N86" s="15"/>
      <c r="O86" s="15"/>
      <c r="P86" s="15"/>
      <c r="Q86" s="15">
        <v>1.7029677907966001</v>
      </c>
      <c r="R86" s="15">
        <v>0.97883306259699698</v>
      </c>
      <c r="S86" s="15">
        <v>0.13984284533937999</v>
      </c>
      <c r="T86" s="15">
        <v>0.329486376680237</v>
      </c>
      <c r="U86" s="15">
        <v>0.13463786909834299</v>
      </c>
      <c r="V86" s="15">
        <v>5.7979934380248503E-3</v>
      </c>
      <c r="W86" s="15">
        <v>0.114369643643616</v>
      </c>
      <c r="X86" s="15"/>
      <c r="Y86" s="15"/>
      <c r="Z86" s="15"/>
      <c r="AA86" s="15"/>
      <c r="AB86" s="15"/>
      <c r="AC86" s="15"/>
      <c r="AD86" s="15"/>
      <c r="AE86" s="15">
        <v>1.70752948206026</v>
      </c>
      <c r="AF86" s="15">
        <v>0.93668807670769805</v>
      </c>
      <c r="AG86" s="15">
        <v>0.182543871576794</v>
      </c>
      <c r="AH86" s="15">
        <v>0.33567854429266197</v>
      </c>
      <c r="AI86" s="15">
        <v>0.13475751776087899</v>
      </c>
      <c r="AJ86" s="15">
        <v>5.80405596729961E-3</v>
      </c>
      <c r="AK86" s="15">
        <v>0.11205741575492401</v>
      </c>
      <c r="AL86" s="15"/>
      <c r="AM86" s="15"/>
      <c r="AN86" s="15"/>
      <c r="AO86" s="15"/>
      <c r="AP86" s="15"/>
      <c r="AQ86" s="15"/>
      <c r="AR86" s="15"/>
      <c r="AS86" s="15">
        <v>1.6467162403026101</v>
      </c>
      <c r="AT86" s="15">
        <v>0.954834222508533</v>
      </c>
      <c r="AU86" s="15">
        <v>0.115685293087291</v>
      </c>
      <c r="AV86" s="15">
        <v>0.32329514630224598</v>
      </c>
      <c r="AW86" s="15">
        <v>0.13397429827307</v>
      </c>
      <c r="AX86" s="15">
        <v>5.9162765009117199E-3</v>
      </c>
      <c r="AY86" s="15">
        <v>0.11301100363055901</v>
      </c>
      <c r="AZ86" s="15"/>
      <c r="BA86" s="15"/>
      <c r="BB86" s="15"/>
      <c r="BC86" s="15"/>
      <c r="BD86" s="15"/>
      <c r="BE86" s="15"/>
      <c r="BF86" s="15"/>
      <c r="BG86" s="15">
        <v>1.9066074059561899</v>
      </c>
      <c r="BH86" s="15">
        <v>1.13227806220875</v>
      </c>
      <c r="BI86" s="15">
        <v>0.132324541850669</v>
      </c>
      <c r="BJ86" s="15">
        <v>0.362179865219034</v>
      </c>
      <c r="BK86" s="15">
        <v>0.14832053560540501</v>
      </c>
      <c r="BL86" s="15">
        <v>6.5086492116453003E-3</v>
      </c>
      <c r="BM86" s="15">
        <v>0.124995751860685</v>
      </c>
      <c r="BN86" s="15"/>
      <c r="BO86" s="15"/>
      <c r="BP86" s="15"/>
      <c r="BQ86" s="15"/>
      <c r="BR86" s="15"/>
      <c r="BS86" s="15"/>
      <c r="BT86" s="15"/>
      <c r="BU86" s="15"/>
      <c r="BV86" s="15"/>
      <c r="BW86" s="15"/>
      <c r="BX86" s="15"/>
      <c r="BY86" s="15"/>
      <c r="BZ86" s="15"/>
      <c r="CA86" s="15"/>
      <c r="CB86" s="15">
        <f t="shared" si="5"/>
        <v>1.9066074059561899</v>
      </c>
      <c r="CC86" s="15">
        <f t="shared" si="5"/>
        <v>1.13227806220875</v>
      </c>
      <c r="CD86" s="15">
        <f t="shared" si="4"/>
        <v>0.132324541850669</v>
      </c>
      <c r="CE86" s="15">
        <f t="shared" si="4"/>
        <v>0.362179865219034</v>
      </c>
      <c r="CF86" s="15">
        <f t="shared" si="4"/>
        <v>0.14832053560540501</v>
      </c>
      <c r="CG86" s="15">
        <f t="shared" si="4"/>
        <v>6.5086492116453003E-3</v>
      </c>
      <c r="CH86" s="15">
        <f t="shared" si="4"/>
        <v>0.124995751860685</v>
      </c>
      <c r="CI86">
        <f t="shared" si="6"/>
        <v>2020</v>
      </c>
      <c r="CJ86" t="str">
        <f t="shared" si="7"/>
        <v>General government</v>
      </c>
    </row>
    <row r="87" spans="1:88">
      <c r="A87" t="s">
        <v>229</v>
      </c>
      <c r="B87" t="s">
        <v>549</v>
      </c>
      <c r="C87" s="15">
        <v>2.0390426273730502</v>
      </c>
      <c r="D87" s="15">
        <v>1.0045668677834501</v>
      </c>
      <c r="E87" s="15">
        <v>0.25541722183846699</v>
      </c>
      <c r="F87" s="15">
        <v>0.38619660120277199</v>
      </c>
      <c r="G87" s="15">
        <v>0.13143412743361699</v>
      </c>
      <c r="H87" s="15">
        <v>5.2379845544930399E-5</v>
      </c>
      <c r="I87" s="15">
        <v>0.26137542926920299</v>
      </c>
      <c r="J87" s="15"/>
      <c r="K87" s="15"/>
      <c r="L87" s="15"/>
      <c r="M87" s="15"/>
      <c r="N87" s="15"/>
      <c r="O87" s="15"/>
      <c r="P87" s="15"/>
      <c r="Q87" s="15">
        <v>1.98865666304191</v>
      </c>
      <c r="R87" s="15">
        <v>0.90266217676577698</v>
      </c>
      <c r="S87" s="15">
        <v>0.25043836913974499</v>
      </c>
      <c r="T87" s="15">
        <v>0.48320559247470302</v>
      </c>
      <c r="U87" s="15">
        <v>0.118149560605095</v>
      </c>
      <c r="V87" s="15">
        <v>9.3251429049009095E-5</v>
      </c>
      <c r="W87" s="15">
        <v>0.23410771262753699</v>
      </c>
      <c r="X87" s="15"/>
      <c r="Y87" s="15"/>
      <c r="Z87" s="15"/>
      <c r="AA87" s="15"/>
      <c r="AB87" s="15"/>
      <c r="AC87" s="15"/>
      <c r="AD87" s="15"/>
      <c r="AE87" s="15">
        <v>2.1831856459063701</v>
      </c>
      <c r="AF87" s="15">
        <v>1.12456441096384</v>
      </c>
      <c r="AG87" s="15">
        <v>0.28628962986818202</v>
      </c>
      <c r="AH87" s="15">
        <v>0.40651299188791801</v>
      </c>
      <c r="AI87" s="15">
        <v>0.12837694783754</v>
      </c>
      <c r="AJ87" s="15">
        <v>2.6267995547049399E-4</v>
      </c>
      <c r="AK87" s="15">
        <v>0.237178985393418</v>
      </c>
      <c r="AL87" s="15"/>
      <c r="AM87" s="15"/>
      <c r="AN87" s="15"/>
      <c r="AO87" s="15"/>
      <c r="AP87" s="15"/>
      <c r="AQ87" s="15"/>
      <c r="AR87" s="15"/>
      <c r="AS87" s="15">
        <v>2.24130763625408</v>
      </c>
      <c r="AT87" s="15">
        <v>1.15822267507083</v>
      </c>
      <c r="AU87" s="15">
        <v>0.28516609914114699</v>
      </c>
      <c r="AV87" s="15">
        <v>0.41484976757016201</v>
      </c>
      <c r="AW87" s="15">
        <v>0.12500587087218601</v>
      </c>
      <c r="AX87" s="15">
        <v>2.3625240186004299E-4</v>
      </c>
      <c r="AY87" s="15">
        <v>0.25782697119790299</v>
      </c>
      <c r="AZ87" s="15"/>
      <c r="BA87" s="15"/>
      <c r="BB87" s="15"/>
      <c r="BC87" s="15"/>
      <c r="BD87" s="15"/>
      <c r="BE87" s="15"/>
      <c r="BF87" s="15"/>
      <c r="BG87" s="15">
        <v>2.5398352023137201</v>
      </c>
      <c r="BH87" s="15">
        <v>1.3837541191842599</v>
      </c>
      <c r="BI87" s="15">
        <v>0.31657465765675602</v>
      </c>
      <c r="BJ87" s="15">
        <v>0.42606272680145202</v>
      </c>
      <c r="BK87" s="15">
        <v>0.13242400540837099</v>
      </c>
      <c r="BL87" s="15">
        <v>2.36843621062333E-4</v>
      </c>
      <c r="BM87" s="15">
        <v>0.28078284964181699</v>
      </c>
      <c r="BN87" s="15"/>
      <c r="BO87" s="15"/>
      <c r="BP87" s="15"/>
      <c r="BQ87" s="15"/>
      <c r="BR87" s="15"/>
      <c r="BS87" s="15"/>
      <c r="BT87" s="15"/>
      <c r="BU87" s="15"/>
      <c r="BV87" s="15"/>
      <c r="BW87" s="15"/>
      <c r="BX87" s="15"/>
      <c r="BY87" s="15"/>
      <c r="BZ87" s="15"/>
      <c r="CA87" s="15"/>
      <c r="CB87" s="15">
        <f t="shared" si="5"/>
        <v>2.5398352023137201</v>
      </c>
      <c r="CC87" s="15">
        <f t="shared" si="5"/>
        <v>1.3837541191842599</v>
      </c>
      <c r="CD87" s="15">
        <f t="shared" si="4"/>
        <v>0.31657465765675602</v>
      </c>
      <c r="CE87" s="15">
        <f t="shared" si="4"/>
        <v>0.42606272680145202</v>
      </c>
      <c r="CF87" s="15">
        <f t="shared" si="4"/>
        <v>0.13242400540837099</v>
      </c>
      <c r="CG87" s="15">
        <f t="shared" si="4"/>
        <v>2.36843621062333E-4</v>
      </c>
      <c r="CH87" s="15">
        <f t="shared" si="4"/>
        <v>0.28078284964181699</v>
      </c>
      <c r="CI87">
        <f t="shared" si="6"/>
        <v>2020</v>
      </c>
      <c r="CJ87" t="str">
        <f t="shared" si="7"/>
        <v>General government</v>
      </c>
    </row>
    <row r="88" spans="1:88">
      <c r="A88" t="s">
        <v>223</v>
      </c>
      <c r="B88" t="s">
        <v>438</v>
      </c>
      <c r="C88" s="15">
        <v>2.26353220947929</v>
      </c>
      <c r="D88" s="15">
        <v>1.1073221041369601</v>
      </c>
      <c r="E88" s="15">
        <v>0.19067675355453001</v>
      </c>
      <c r="F88" s="15">
        <v>6.66521834094288E-2</v>
      </c>
      <c r="G88" s="15">
        <v>0.225920124836333</v>
      </c>
      <c r="H88" s="15">
        <v>1.47483942856542E-2</v>
      </c>
      <c r="I88" s="15">
        <v>0.65821264925639</v>
      </c>
      <c r="J88" s="15">
        <v>2.14140798284435</v>
      </c>
      <c r="K88" s="15">
        <v>1.1104687085723399</v>
      </c>
      <c r="L88" s="15">
        <v>0.13591485713551499</v>
      </c>
      <c r="M88" s="15">
        <v>6.2253478025745199E-2</v>
      </c>
      <c r="N88" s="15">
        <v>0.22595983699327599</v>
      </c>
      <c r="O88" s="15">
        <v>1.47483942856542E-2</v>
      </c>
      <c r="P88" s="15">
        <v>0.59206270783182102</v>
      </c>
      <c r="Q88" s="15">
        <v>2.32818020278039</v>
      </c>
      <c r="R88" s="15">
        <v>1.0687661144211</v>
      </c>
      <c r="S88" s="15">
        <v>0.182348829309083</v>
      </c>
      <c r="T88" s="15">
        <v>0.27364159785373299</v>
      </c>
      <c r="U88" s="15">
        <v>0.208447658618167</v>
      </c>
      <c r="V88" s="15">
        <v>1.49755235009233E-2</v>
      </c>
      <c r="W88" s="15">
        <v>0.58000047907738395</v>
      </c>
      <c r="X88" s="15">
        <v>2.1851231228876999</v>
      </c>
      <c r="Y88" s="15">
        <v>1.0717832131284599</v>
      </c>
      <c r="Z88" s="15">
        <v>0.131158322009686</v>
      </c>
      <c r="AA88" s="15">
        <v>0.24464848785756599</v>
      </c>
      <c r="AB88" s="15">
        <v>0.20860226995575101</v>
      </c>
      <c r="AC88" s="15">
        <v>1.49755235009233E-2</v>
      </c>
      <c r="AD88" s="15">
        <v>0.51395530643531595</v>
      </c>
      <c r="AE88" s="15">
        <v>2.20355723043239</v>
      </c>
      <c r="AF88" s="15">
        <v>1.0032495135357899</v>
      </c>
      <c r="AG88" s="15">
        <v>0.17178517201239701</v>
      </c>
      <c r="AH88" s="15">
        <v>0.25995819440660001</v>
      </c>
      <c r="AI88" s="15">
        <v>0.19647569797143699</v>
      </c>
      <c r="AJ88" s="15">
        <v>1.51297350226311E-2</v>
      </c>
      <c r="AK88" s="15">
        <v>0.55695891748353799</v>
      </c>
      <c r="AL88" s="15">
        <v>2.0562161027597301</v>
      </c>
      <c r="AM88" s="15">
        <v>1.00596658826112</v>
      </c>
      <c r="AN88" s="15">
        <v>0.12244648412263601</v>
      </c>
      <c r="AO88" s="15">
        <v>0.231271007503247</v>
      </c>
      <c r="AP88" s="15">
        <v>0.19661241824464601</v>
      </c>
      <c r="AQ88" s="15">
        <v>1.51297350226311E-2</v>
      </c>
      <c r="AR88" s="15">
        <v>0.48478986960544601</v>
      </c>
      <c r="AS88" s="15">
        <v>2.1820452189330499</v>
      </c>
      <c r="AT88" s="15">
        <v>0.96576252001040397</v>
      </c>
      <c r="AU88" s="15">
        <v>0.16517878402684399</v>
      </c>
      <c r="AV88" s="15">
        <v>0.26812292340548699</v>
      </c>
      <c r="AW88" s="15">
        <v>0.19307887304337601</v>
      </c>
      <c r="AX88" s="15">
        <v>1.5684126850390001E-2</v>
      </c>
      <c r="AY88" s="15">
        <v>0.57421799159654596</v>
      </c>
      <c r="AZ88" s="15">
        <v>2.0282654963862199</v>
      </c>
      <c r="BA88" s="15">
        <v>0.96744119597191003</v>
      </c>
      <c r="BB88" s="15">
        <v>0.11500349838634601</v>
      </c>
      <c r="BC88" s="15">
        <v>0.23789301897920401</v>
      </c>
      <c r="BD88" s="15">
        <v>0.193111842129363</v>
      </c>
      <c r="BE88" s="15">
        <v>1.5697863969551199E-2</v>
      </c>
      <c r="BF88" s="15">
        <v>0.499118076949847</v>
      </c>
      <c r="BG88" s="15">
        <v>2.3410539309948901</v>
      </c>
      <c r="BH88" s="15">
        <v>1.0201169533593599</v>
      </c>
      <c r="BI88" s="15">
        <v>0.20197998998185901</v>
      </c>
      <c r="BJ88" s="15">
        <v>0.298182288901438</v>
      </c>
      <c r="BK88" s="15">
        <v>0.19837233342025701</v>
      </c>
      <c r="BL88" s="15">
        <v>2.0233268859526501E-2</v>
      </c>
      <c r="BM88" s="15">
        <v>0.60216909647245098</v>
      </c>
      <c r="BN88" s="15">
        <v>2.17023617674703</v>
      </c>
      <c r="BO88" s="15">
        <v>1.0217012830350101</v>
      </c>
      <c r="BP88" s="15">
        <v>0.147737569718948</v>
      </c>
      <c r="BQ88" s="15">
        <v>0.265157129108329</v>
      </c>
      <c r="BR88" s="15">
        <v>0.19850084328737599</v>
      </c>
      <c r="BS88" s="15">
        <v>2.0233268859526501E-2</v>
      </c>
      <c r="BT88" s="15">
        <v>0.516906082737842</v>
      </c>
      <c r="BU88" s="15"/>
      <c r="BV88" s="15"/>
      <c r="BW88" s="15"/>
      <c r="BX88" s="15"/>
      <c r="BY88" s="15"/>
      <c r="BZ88" s="15"/>
      <c r="CA88" s="15"/>
      <c r="CB88" s="15">
        <f t="shared" si="5"/>
        <v>2.3410539309948901</v>
      </c>
      <c r="CC88" s="15">
        <f t="shared" si="5"/>
        <v>1.0201169533593599</v>
      </c>
      <c r="CD88" s="15">
        <f t="shared" si="4"/>
        <v>0.20197998998185901</v>
      </c>
      <c r="CE88" s="15">
        <f t="shared" si="4"/>
        <v>0.298182288901438</v>
      </c>
      <c r="CF88" s="15">
        <f t="shared" si="4"/>
        <v>0.19837233342025701</v>
      </c>
      <c r="CG88" s="15">
        <f t="shared" si="4"/>
        <v>2.0233268859526501E-2</v>
      </c>
      <c r="CH88" s="15">
        <f t="shared" si="4"/>
        <v>0.60216909647245098</v>
      </c>
      <c r="CI88">
        <f t="shared" si="6"/>
        <v>2020</v>
      </c>
      <c r="CJ88" t="str">
        <f t="shared" si="7"/>
        <v>General government</v>
      </c>
    </row>
    <row r="89" spans="1:88">
      <c r="A89" t="s">
        <v>168</v>
      </c>
      <c r="B89" t="s">
        <v>382</v>
      </c>
      <c r="C89" s="15"/>
      <c r="D89" s="15"/>
      <c r="E89" s="15"/>
      <c r="F89" s="15"/>
      <c r="G89" s="15"/>
      <c r="H89" s="15"/>
      <c r="I89" s="15"/>
      <c r="J89" s="15">
        <v>1.98563403920973</v>
      </c>
      <c r="K89" s="15">
        <v>0.71551555363525199</v>
      </c>
      <c r="L89" s="15">
        <v>0.19400050950601899</v>
      </c>
      <c r="M89" s="15">
        <v>0.53519172252285996</v>
      </c>
      <c r="N89" s="15">
        <v>0.21861372970786599</v>
      </c>
      <c r="O89" s="15">
        <v>0</v>
      </c>
      <c r="P89" s="15">
        <v>0.32231252383773201</v>
      </c>
      <c r="Q89" s="15"/>
      <c r="R89" s="15"/>
      <c r="S89" s="15"/>
      <c r="T89" s="15"/>
      <c r="U89" s="15"/>
      <c r="V89" s="15"/>
      <c r="W89" s="15"/>
      <c r="X89" s="15">
        <v>2.0866333372924002</v>
      </c>
      <c r="Y89" s="15">
        <v>0.70793153722568203</v>
      </c>
      <c r="Z89" s="15">
        <v>0.20453577484198901</v>
      </c>
      <c r="AA89" s="15">
        <v>0.57503754183410705</v>
      </c>
      <c r="AB89" s="15">
        <v>0.23793907731922401</v>
      </c>
      <c r="AC89" s="15">
        <v>0</v>
      </c>
      <c r="AD89" s="15">
        <v>0.36118940607139399</v>
      </c>
      <c r="AE89" s="15"/>
      <c r="AF89" s="15"/>
      <c r="AG89" s="15"/>
      <c r="AH89" s="15"/>
      <c r="AI89" s="15"/>
      <c r="AJ89" s="15"/>
      <c r="AK89" s="15"/>
      <c r="AL89" s="15">
        <v>2.1715611260060901</v>
      </c>
      <c r="AM89" s="15">
        <v>0.67022638206123297</v>
      </c>
      <c r="AN89" s="15">
        <v>0.28730483930578099</v>
      </c>
      <c r="AO89" s="15">
        <v>0.59966922128858602</v>
      </c>
      <c r="AP89" s="15">
        <v>0.24848205224358</v>
      </c>
      <c r="AQ89" s="15">
        <v>0</v>
      </c>
      <c r="AR89" s="15">
        <v>0.36587863110691299</v>
      </c>
      <c r="AS89" s="15"/>
      <c r="AT89" s="15"/>
      <c r="AU89" s="15"/>
      <c r="AV89" s="15"/>
      <c r="AW89" s="15"/>
      <c r="AX89" s="15"/>
      <c r="AY89" s="15"/>
      <c r="AZ89" s="15">
        <v>2.3328036924522699</v>
      </c>
      <c r="BA89" s="15">
        <v>0.68496757926719498</v>
      </c>
      <c r="BB89" s="15">
        <v>0.29133810268313098</v>
      </c>
      <c r="BC89" s="15">
        <v>0.60938027007032602</v>
      </c>
      <c r="BD89" s="15">
        <v>0.298948111733495</v>
      </c>
      <c r="BE89" s="15">
        <v>0</v>
      </c>
      <c r="BF89" s="15">
        <v>0.44816962869812399</v>
      </c>
      <c r="BG89" s="15"/>
      <c r="BH89" s="15"/>
      <c r="BI89" s="15"/>
      <c r="BJ89" s="15"/>
      <c r="BK89" s="15"/>
      <c r="BL89" s="15"/>
      <c r="BM89" s="15"/>
      <c r="BN89" s="15">
        <v>2.53635501332076</v>
      </c>
      <c r="BO89" s="15">
        <v>0.74327149795071001</v>
      </c>
      <c r="BP89" s="15">
        <v>0.32474564472464801</v>
      </c>
      <c r="BQ89" s="15">
        <v>0.69621974096257799</v>
      </c>
      <c r="BR89" s="15">
        <v>0.32055246550160998</v>
      </c>
      <c r="BS89" s="15">
        <v>0</v>
      </c>
      <c r="BT89" s="15">
        <v>0.45156566418120903</v>
      </c>
      <c r="BU89" s="15"/>
      <c r="BV89" s="15"/>
      <c r="BW89" s="15"/>
      <c r="BX89" s="15"/>
      <c r="BY89" s="15"/>
      <c r="BZ89" s="15"/>
      <c r="CA89" s="15"/>
      <c r="CB89" s="15">
        <f t="shared" si="5"/>
        <v>2.53635501332076</v>
      </c>
      <c r="CC89" s="15">
        <f t="shared" si="5"/>
        <v>0.74327149795071001</v>
      </c>
      <c r="CD89" s="15">
        <f t="shared" si="4"/>
        <v>0.32474564472464801</v>
      </c>
      <c r="CE89" s="15">
        <f t="shared" si="4"/>
        <v>0.69621974096257799</v>
      </c>
      <c r="CF89" s="15">
        <f t="shared" si="4"/>
        <v>0.32055246550160998</v>
      </c>
      <c r="CG89" s="15">
        <f t="shared" si="4"/>
        <v>0</v>
      </c>
      <c r="CH89" s="15">
        <f t="shared" si="4"/>
        <v>0.45156566418120903</v>
      </c>
      <c r="CI89">
        <f t="shared" si="6"/>
        <v>2020</v>
      </c>
      <c r="CJ89" t="str">
        <f t="shared" si="7"/>
        <v>Budgetary central government</v>
      </c>
    </row>
    <row r="90" spans="1:88">
      <c r="A90" t="s">
        <v>1636</v>
      </c>
      <c r="B90" t="s">
        <v>551</v>
      </c>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v>1.02658012927511</v>
      </c>
      <c r="AT90" s="15">
        <v>0.72790204910351497</v>
      </c>
      <c r="AU90" s="15">
        <v>2.9746394304213102E-2</v>
      </c>
      <c r="AV90" s="15">
        <v>0.26827817546653498</v>
      </c>
      <c r="AW90" s="15">
        <v>6.5351040085188396E-4</v>
      </c>
      <c r="AX90" s="15">
        <v>0</v>
      </c>
      <c r="AY90" s="15">
        <v>0</v>
      </c>
      <c r="AZ90" s="15">
        <v>1.02658012927511</v>
      </c>
      <c r="BA90" s="15">
        <v>0.72790204910351497</v>
      </c>
      <c r="BB90" s="15">
        <v>2.9746394304213102E-2</v>
      </c>
      <c r="BC90" s="15">
        <v>0.26827817546653498</v>
      </c>
      <c r="BD90" s="15">
        <v>6.5351040085188396E-4</v>
      </c>
      <c r="BE90" s="15">
        <v>0</v>
      </c>
      <c r="BF90" s="15">
        <v>0</v>
      </c>
      <c r="BG90" s="15">
        <v>1.12475207535943</v>
      </c>
      <c r="BH90" s="15">
        <v>0.749068812894507</v>
      </c>
      <c r="BI90" s="15">
        <v>3.2999387118920302E-2</v>
      </c>
      <c r="BJ90" s="15">
        <v>0.279059858915299</v>
      </c>
      <c r="BK90" s="15">
        <v>2.6927093287139399E-3</v>
      </c>
      <c r="BL90" s="15">
        <v>0</v>
      </c>
      <c r="BM90" s="15">
        <v>6.0931307101988297E-2</v>
      </c>
      <c r="BN90" s="15">
        <v>1.12475207535943</v>
      </c>
      <c r="BO90" s="15">
        <v>0.749068812894507</v>
      </c>
      <c r="BP90" s="15">
        <v>3.2999387118920302E-2</v>
      </c>
      <c r="BQ90" s="15">
        <v>0.279059858915299</v>
      </c>
      <c r="BR90" s="15">
        <v>2.6927093287139399E-3</v>
      </c>
      <c r="BS90" s="15">
        <v>0</v>
      </c>
      <c r="BT90" s="15">
        <v>6.0931307101988297E-2</v>
      </c>
      <c r="BU90" s="15"/>
      <c r="BV90" s="15"/>
      <c r="BW90" s="15"/>
      <c r="BX90" s="15"/>
      <c r="BY90" s="15"/>
      <c r="BZ90" s="15"/>
      <c r="CA90" s="15"/>
      <c r="CB90" s="15">
        <f t="shared" si="5"/>
        <v>1.12475207535943</v>
      </c>
      <c r="CC90" s="15">
        <f t="shared" si="5"/>
        <v>0.749068812894507</v>
      </c>
      <c r="CD90" s="15">
        <f t="shared" si="4"/>
        <v>3.2999387118920302E-2</v>
      </c>
      <c r="CE90" s="15">
        <f t="shared" si="4"/>
        <v>0.279059858915299</v>
      </c>
      <c r="CF90" s="15">
        <f t="shared" si="4"/>
        <v>2.6927093287139399E-3</v>
      </c>
      <c r="CG90" s="15">
        <f t="shared" si="4"/>
        <v>0</v>
      </c>
      <c r="CH90" s="15">
        <f t="shared" si="4"/>
        <v>6.0931307101988297E-2</v>
      </c>
      <c r="CI90">
        <f t="shared" si="6"/>
        <v>2020</v>
      </c>
      <c r="CJ90" t="str">
        <f t="shared" si="7"/>
        <v>General government</v>
      </c>
    </row>
    <row r="91" spans="1:88">
      <c r="A91" t="s">
        <v>227</v>
      </c>
      <c r="B91" t="s">
        <v>552</v>
      </c>
      <c r="C91" s="15">
        <v>3.4738418121978798</v>
      </c>
      <c r="D91" s="15">
        <v>0.31167993320508702</v>
      </c>
      <c r="E91" s="15">
        <v>0.22900520738267999</v>
      </c>
      <c r="F91" s="15">
        <v>0.43875259377117398</v>
      </c>
      <c r="G91" s="15">
        <v>0.534935554244933</v>
      </c>
      <c r="H91" s="15">
        <v>0</v>
      </c>
      <c r="I91" s="15">
        <v>1.9594685235940099</v>
      </c>
      <c r="J91" s="15">
        <v>3.4738418121978798</v>
      </c>
      <c r="K91" s="15">
        <v>0.31167993320508702</v>
      </c>
      <c r="L91" s="15">
        <v>0.22900520738267999</v>
      </c>
      <c r="M91" s="15">
        <v>0.43875259377117398</v>
      </c>
      <c r="N91" s="15">
        <v>0.534935554244933</v>
      </c>
      <c r="O91" s="15">
        <v>0</v>
      </c>
      <c r="P91" s="15">
        <v>1.9594685235940099</v>
      </c>
      <c r="Q91" s="15"/>
      <c r="R91" s="15"/>
      <c r="S91" s="15"/>
      <c r="T91" s="15"/>
      <c r="U91" s="15"/>
      <c r="V91" s="15"/>
      <c r="W91" s="15"/>
      <c r="X91" s="15"/>
      <c r="Y91" s="15"/>
      <c r="Z91" s="15"/>
      <c r="AA91" s="15"/>
      <c r="AB91" s="15"/>
      <c r="AC91" s="15"/>
      <c r="AD91" s="15"/>
      <c r="AE91" s="15">
        <v>2.4867677867479401</v>
      </c>
      <c r="AF91" s="15">
        <v>1.7859204281357799</v>
      </c>
      <c r="AG91" s="15">
        <v>0.28806424665494701</v>
      </c>
      <c r="AH91" s="15">
        <v>0</v>
      </c>
      <c r="AI91" s="15">
        <v>0.41278311195721401</v>
      </c>
      <c r="AJ91" s="15">
        <v>0</v>
      </c>
      <c r="AK91" s="15">
        <v>0</v>
      </c>
      <c r="AL91" s="15">
        <v>2.4867677867479401</v>
      </c>
      <c r="AM91" s="15">
        <v>1.7859204281357799</v>
      </c>
      <c r="AN91" s="15">
        <v>0.28806424665494701</v>
      </c>
      <c r="AO91" s="15">
        <v>0</v>
      </c>
      <c r="AP91" s="15">
        <v>0.41278311195721401</v>
      </c>
      <c r="AQ91" s="15">
        <v>0</v>
      </c>
      <c r="AR91" s="15">
        <v>0</v>
      </c>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f t="shared" si="5"/>
        <v>2.4867677867479401</v>
      </c>
      <c r="CC91" s="15">
        <f t="shared" si="5"/>
        <v>1.7859204281357799</v>
      </c>
      <c r="CD91" s="15">
        <f t="shared" si="4"/>
        <v>0.28806424665494701</v>
      </c>
      <c r="CE91" s="15">
        <f t="shared" si="4"/>
        <v>0</v>
      </c>
      <c r="CF91" s="15">
        <f t="shared" si="4"/>
        <v>0.41278311195721401</v>
      </c>
      <c r="CG91" s="15">
        <f t="shared" si="4"/>
        <v>0</v>
      </c>
      <c r="CH91" s="15">
        <f t="shared" si="4"/>
        <v>0</v>
      </c>
      <c r="CI91">
        <f t="shared" si="6"/>
        <v>2018</v>
      </c>
      <c r="CJ91" t="str">
        <f t="shared" si="7"/>
        <v>General government</v>
      </c>
    </row>
    <row r="92" spans="1:88">
      <c r="A92" t="s">
        <v>262</v>
      </c>
      <c r="B92" t="s">
        <v>554</v>
      </c>
      <c r="C92" s="15">
        <v>0.99032204416922798</v>
      </c>
      <c r="D92" s="15"/>
      <c r="E92" s="15"/>
      <c r="F92" s="15"/>
      <c r="G92" s="15"/>
      <c r="H92" s="15"/>
      <c r="I92" s="15"/>
      <c r="J92" s="15">
        <v>0.99032204416922798</v>
      </c>
      <c r="K92" s="15"/>
      <c r="L92" s="15"/>
      <c r="M92" s="15"/>
      <c r="N92" s="15"/>
      <c r="O92" s="15"/>
      <c r="P92" s="15"/>
      <c r="Q92" s="15">
        <v>1.1099203547830501</v>
      </c>
      <c r="R92" s="15">
        <v>0.63855802103750803</v>
      </c>
      <c r="S92" s="15">
        <v>0.12267063419832</v>
      </c>
      <c r="T92" s="15">
        <v>3.3662711860474398E-2</v>
      </c>
      <c r="U92" s="15">
        <v>0.140598770214237</v>
      </c>
      <c r="V92" s="15">
        <v>0</v>
      </c>
      <c r="W92" s="15">
        <v>0.174430217472508</v>
      </c>
      <c r="X92" s="15">
        <v>1.1099203547830501</v>
      </c>
      <c r="Y92" s="15">
        <v>0.63855802103750803</v>
      </c>
      <c r="Z92" s="15">
        <v>0.12267063419832</v>
      </c>
      <c r="AA92" s="15">
        <v>3.3662711860474398E-2</v>
      </c>
      <c r="AB92" s="15">
        <v>0.140598770214237</v>
      </c>
      <c r="AC92" s="15">
        <v>0</v>
      </c>
      <c r="AD92" s="15">
        <v>0.174430217472508</v>
      </c>
      <c r="AE92" s="15">
        <v>1.16975722683451</v>
      </c>
      <c r="AF92" s="15">
        <v>0.69602473227942896</v>
      </c>
      <c r="AG92" s="15">
        <v>0.12882255532227899</v>
      </c>
      <c r="AH92" s="15">
        <v>3.3739728683660902E-2</v>
      </c>
      <c r="AI92" s="15">
        <v>0.12995646921294801</v>
      </c>
      <c r="AJ92" s="15">
        <v>0</v>
      </c>
      <c r="AK92" s="15">
        <v>0.18121374133619</v>
      </c>
      <c r="AL92" s="15">
        <v>1.16975722683451</v>
      </c>
      <c r="AM92" s="15">
        <v>0.69602473227942896</v>
      </c>
      <c r="AN92" s="15">
        <v>0.12882255532227899</v>
      </c>
      <c r="AO92" s="15">
        <v>3.3739728683660902E-2</v>
      </c>
      <c r="AP92" s="15">
        <v>0.12995646921294801</v>
      </c>
      <c r="AQ92" s="15">
        <v>0</v>
      </c>
      <c r="AR92" s="15">
        <v>0.18121374133619</v>
      </c>
      <c r="AS92" s="15">
        <v>1.17242002473226</v>
      </c>
      <c r="AT92" s="15">
        <v>0.68088538424608502</v>
      </c>
      <c r="AU92" s="15">
        <v>0.125765315124512</v>
      </c>
      <c r="AV92" s="15">
        <v>3.54737144538744E-2</v>
      </c>
      <c r="AW92" s="15">
        <v>0.125699755318678</v>
      </c>
      <c r="AX92" s="15">
        <v>0</v>
      </c>
      <c r="AY92" s="15">
        <v>0.204595855589111</v>
      </c>
      <c r="AZ92" s="15">
        <v>1.17242002473226</v>
      </c>
      <c r="BA92" s="15">
        <v>0.68088538424608502</v>
      </c>
      <c r="BB92" s="15">
        <v>0.125765315124512</v>
      </c>
      <c r="BC92" s="15">
        <v>3.54737144538744E-2</v>
      </c>
      <c r="BD92" s="15">
        <v>0.125699755318678</v>
      </c>
      <c r="BE92" s="15">
        <v>0</v>
      </c>
      <c r="BF92" s="15">
        <v>0.204595855589111</v>
      </c>
      <c r="BG92" s="15">
        <v>1.22639990117607</v>
      </c>
      <c r="BH92" s="15">
        <v>0.76376232582953696</v>
      </c>
      <c r="BI92" s="15">
        <v>0.13736434816846599</v>
      </c>
      <c r="BJ92" s="15">
        <v>3.7049825440810702E-2</v>
      </c>
      <c r="BK92" s="15">
        <v>0.1329031726114</v>
      </c>
      <c r="BL92" s="15">
        <v>0</v>
      </c>
      <c r="BM92" s="15">
        <v>0.155320229125857</v>
      </c>
      <c r="BN92" s="15">
        <v>1.22639990117607</v>
      </c>
      <c r="BO92" s="15">
        <v>0.76376232582953696</v>
      </c>
      <c r="BP92" s="15">
        <v>0.13736434816846599</v>
      </c>
      <c r="BQ92" s="15">
        <v>3.7049825440810702E-2</v>
      </c>
      <c r="BR92" s="15">
        <v>0.1329031726114</v>
      </c>
      <c r="BS92" s="15">
        <v>0</v>
      </c>
      <c r="BT92" s="15">
        <v>0.155320229125857</v>
      </c>
      <c r="BU92" s="15"/>
      <c r="BV92" s="15"/>
      <c r="BW92" s="15"/>
      <c r="BX92" s="15"/>
      <c r="BY92" s="15"/>
      <c r="BZ92" s="15"/>
      <c r="CA92" s="15"/>
      <c r="CB92" s="15">
        <f t="shared" si="5"/>
        <v>1.22639990117607</v>
      </c>
      <c r="CC92" s="15">
        <f t="shared" si="5"/>
        <v>0.76376232582953696</v>
      </c>
      <c r="CD92" s="15">
        <f t="shared" si="4"/>
        <v>0.13736434816846599</v>
      </c>
      <c r="CE92" s="15">
        <f t="shared" si="4"/>
        <v>3.7049825440810702E-2</v>
      </c>
      <c r="CF92" s="15">
        <f t="shared" si="4"/>
        <v>0.1329031726114</v>
      </c>
      <c r="CG92" s="15">
        <f t="shared" si="4"/>
        <v>0</v>
      </c>
      <c r="CH92" s="15">
        <f t="shared" si="4"/>
        <v>0.155320229125857</v>
      </c>
      <c r="CI92">
        <f t="shared" si="6"/>
        <v>2020</v>
      </c>
      <c r="CJ92" t="str">
        <f t="shared" si="7"/>
        <v>General government</v>
      </c>
    </row>
    <row r="93" spans="1:88">
      <c r="A93" t="s">
        <v>1637</v>
      </c>
      <c r="B93" t="s">
        <v>444</v>
      </c>
      <c r="C93" s="15">
        <v>2.4518003985120602</v>
      </c>
      <c r="D93" s="15">
        <v>1.11127122878664</v>
      </c>
      <c r="E93" s="15">
        <v>0.187441318174247</v>
      </c>
      <c r="F93" s="15">
        <v>0.26560643541452</v>
      </c>
      <c r="G93" s="15">
        <v>0.203174524839145</v>
      </c>
      <c r="H93" s="15">
        <v>1.23378345866517E-6</v>
      </c>
      <c r="I93" s="15">
        <v>0.68430565751405004</v>
      </c>
      <c r="J93" s="15"/>
      <c r="K93" s="15"/>
      <c r="L93" s="15"/>
      <c r="M93" s="15"/>
      <c r="N93" s="15"/>
      <c r="O93" s="15"/>
      <c r="P93" s="15"/>
      <c r="Q93" s="15">
        <v>2.1540138598744201</v>
      </c>
      <c r="R93" s="15">
        <v>0.95529569112956203</v>
      </c>
      <c r="S93" s="15">
        <v>0.176099705877131</v>
      </c>
      <c r="T93" s="15">
        <v>0.26767548246210998</v>
      </c>
      <c r="U93" s="15">
        <v>0.19013356847381599</v>
      </c>
      <c r="V93" s="15">
        <v>2.5802328127496601E-4</v>
      </c>
      <c r="W93" s="15">
        <v>0.56455138865052601</v>
      </c>
      <c r="X93" s="15"/>
      <c r="Y93" s="15"/>
      <c r="Z93" s="15"/>
      <c r="AA93" s="15"/>
      <c r="AB93" s="15"/>
      <c r="AC93" s="15"/>
      <c r="AD93" s="15"/>
      <c r="AE93" s="15">
        <v>2.2128113648012602</v>
      </c>
      <c r="AF93" s="15">
        <v>1.0469019635930601</v>
      </c>
      <c r="AG93" s="15">
        <v>0.21282143680489199</v>
      </c>
      <c r="AH93" s="15">
        <v>0.28128084551113203</v>
      </c>
      <c r="AI93" s="15">
        <v>0.192479346796991</v>
      </c>
      <c r="AJ93" s="15">
        <v>0</v>
      </c>
      <c r="AK93" s="15">
        <v>0.47932777209517802</v>
      </c>
      <c r="AL93" s="15"/>
      <c r="AM93" s="15"/>
      <c r="AN93" s="15"/>
      <c r="AO93" s="15"/>
      <c r="AP93" s="15"/>
      <c r="AQ93" s="15"/>
      <c r="AR93" s="15"/>
      <c r="AS93" s="15">
        <v>2.3091176298315799</v>
      </c>
      <c r="AT93" s="15">
        <v>1.0242171234445001</v>
      </c>
      <c r="AU93" s="15">
        <v>0.249560971453826</v>
      </c>
      <c r="AV93" s="15">
        <v>0.32920058998620899</v>
      </c>
      <c r="AW93" s="15">
        <v>0.190717834303332</v>
      </c>
      <c r="AX93" s="15">
        <v>9.6911092060212705E-5</v>
      </c>
      <c r="AY93" s="15">
        <v>0.51532419955165298</v>
      </c>
      <c r="AZ93" s="15"/>
      <c r="BA93" s="15"/>
      <c r="BB93" s="15"/>
      <c r="BC93" s="15"/>
      <c r="BD93" s="15"/>
      <c r="BE93" s="15"/>
      <c r="BF93" s="15"/>
      <c r="BG93" s="15">
        <v>2.5029665098945602</v>
      </c>
      <c r="BH93" s="15">
        <v>1.1260777627534799</v>
      </c>
      <c r="BI93" s="15">
        <v>0.24532796536304799</v>
      </c>
      <c r="BJ93" s="15">
        <v>0.32723575015782802</v>
      </c>
      <c r="BK93" s="15">
        <v>0.21883143976215499</v>
      </c>
      <c r="BL93" s="15">
        <v>2.3264602634033601E-4</v>
      </c>
      <c r="BM93" s="15">
        <v>0.58526094583170396</v>
      </c>
      <c r="BN93" s="15"/>
      <c r="BO93" s="15"/>
      <c r="BP93" s="15"/>
      <c r="BQ93" s="15"/>
      <c r="BR93" s="15"/>
      <c r="BS93" s="15"/>
      <c r="BT93" s="15"/>
      <c r="BU93" s="15"/>
      <c r="BV93" s="15"/>
      <c r="BW93" s="15"/>
      <c r="BX93" s="15"/>
      <c r="BY93" s="15"/>
      <c r="BZ93" s="15"/>
      <c r="CA93" s="15"/>
      <c r="CB93" s="15">
        <f t="shared" si="5"/>
        <v>2.5029665098945602</v>
      </c>
      <c r="CC93" s="15">
        <f t="shared" si="5"/>
        <v>1.1260777627534799</v>
      </c>
      <c r="CD93" s="15">
        <f t="shared" si="4"/>
        <v>0.24532796536304799</v>
      </c>
      <c r="CE93" s="15">
        <f t="shared" si="4"/>
        <v>0.32723575015782802</v>
      </c>
      <c r="CF93" s="15">
        <f t="shared" si="4"/>
        <v>0.21883143976215499</v>
      </c>
      <c r="CG93" s="15">
        <f t="shared" si="4"/>
        <v>2.3264602634033601E-4</v>
      </c>
      <c r="CH93" s="15">
        <f t="shared" si="4"/>
        <v>0.58526094583170396</v>
      </c>
      <c r="CI93">
        <f t="shared" si="6"/>
        <v>2020</v>
      </c>
      <c r="CJ93" t="str">
        <f t="shared" si="7"/>
        <v>General government</v>
      </c>
    </row>
    <row r="94" spans="1:88">
      <c r="A94" t="s">
        <v>1638</v>
      </c>
      <c r="B94" t="s">
        <v>447</v>
      </c>
      <c r="C94" s="15">
        <v>1.7014002388540901</v>
      </c>
      <c r="D94" s="15">
        <v>0.89092576978520399</v>
      </c>
      <c r="E94" s="15">
        <v>0.13732626826331301</v>
      </c>
      <c r="F94" s="15">
        <v>0.49184656962497902</v>
      </c>
      <c r="G94" s="15">
        <v>7.8500411689509497E-2</v>
      </c>
      <c r="H94" s="15">
        <v>2.4701370567538098E-3</v>
      </c>
      <c r="I94" s="15">
        <v>0.100328609824667</v>
      </c>
      <c r="J94" s="15"/>
      <c r="K94" s="15"/>
      <c r="L94" s="15"/>
      <c r="M94" s="15"/>
      <c r="N94" s="15"/>
      <c r="O94" s="15"/>
      <c r="P94" s="15"/>
      <c r="Q94" s="15">
        <v>1.6042435360009999</v>
      </c>
      <c r="R94" s="15">
        <v>0.78757907805623195</v>
      </c>
      <c r="S94" s="15">
        <v>0.15597994015526201</v>
      </c>
      <c r="T94" s="15">
        <v>0.46082773596706</v>
      </c>
      <c r="U94" s="15">
        <v>8.5161341321931705E-2</v>
      </c>
      <c r="V94" s="15">
        <v>2.4853933733693201E-3</v>
      </c>
      <c r="W94" s="15">
        <v>0.112212372097565</v>
      </c>
      <c r="X94" s="15"/>
      <c r="Y94" s="15"/>
      <c r="Z94" s="15"/>
      <c r="AA94" s="15"/>
      <c r="AB94" s="15"/>
      <c r="AC94" s="15"/>
      <c r="AD94" s="15"/>
      <c r="AE94" s="15">
        <v>1.5307211288979199</v>
      </c>
      <c r="AF94" s="15">
        <v>0.75144448175265199</v>
      </c>
      <c r="AG94" s="15">
        <v>0.13434443422102599</v>
      </c>
      <c r="AH94" s="15">
        <v>0.45259483431521802</v>
      </c>
      <c r="AI94" s="15">
        <v>8.4159322521705396E-2</v>
      </c>
      <c r="AJ94" s="15">
        <v>2.56627173263678E-3</v>
      </c>
      <c r="AK94" s="15">
        <v>0.10561178435468201</v>
      </c>
      <c r="AL94" s="15"/>
      <c r="AM94" s="15"/>
      <c r="AN94" s="15"/>
      <c r="AO94" s="15"/>
      <c r="AP94" s="15"/>
      <c r="AQ94" s="15"/>
      <c r="AR94" s="15"/>
      <c r="AS94" s="15">
        <v>1.6029468890505201</v>
      </c>
      <c r="AT94" s="15">
        <v>0.806361164374504</v>
      </c>
      <c r="AU94" s="15">
        <v>0.13788721568368201</v>
      </c>
      <c r="AV94" s="15">
        <v>0.455040415895266</v>
      </c>
      <c r="AW94" s="15">
        <v>9.4588898439566194E-2</v>
      </c>
      <c r="AX94" s="15">
        <v>1.53729172176673E-3</v>
      </c>
      <c r="AY94" s="15">
        <v>0.10753190293573101</v>
      </c>
      <c r="AZ94" s="15"/>
      <c r="BA94" s="15"/>
      <c r="BB94" s="15"/>
      <c r="BC94" s="15"/>
      <c r="BD94" s="15"/>
      <c r="BE94" s="15"/>
      <c r="BF94" s="15"/>
      <c r="BG94" s="15">
        <v>1.7532674027025901</v>
      </c>
      <c r="BH94" s="15">
        <v>0.89495929067735203</v>
      </c>
      <c r="BI94" s="15">
        <v>0.15687369453088401</v>
      </c>
      <c r="BJ94" s="15">
        <v>0.484334370604033</v>
      </c>
      <c r="BK94" s="15">
        <v>0.10177543799821</v>
      </c>
      <c r="BL94" s="15">
        <v>1.5196726203163E-3</v>
      </c>
      <c r="BM94" s="15">
        <v>0.113804936271793</v>
      </c>
      <c r="BN94" s="15"/>
      <c r="BO94" s="15"/>
      <c r="BP94" s="15"/>
      <c r="BQ94" s="15"/>
      <c r="BR94" s="15"/>
      <c r="BS94" s="15"/>
      <c r="BT94" s="15"/>
      <c r="BU94" s="15"/>
      <c r="BV94" s="15"/>
      <c r="BW94" s="15"/>
      <c r="BX94" s="15"/>
      <c r="BY94" s="15"/>
      <c r="BZ94" s="15"/>
      <c r="CA94" s="15"/>
      <c r="CB94" s="15">
        <f t="shared" si="5"/>
        <v>1.7532674027025901</v>
      </c>
      <c r="CC94" s="15">
        <f t="shared" si="5"/>
        <v>0.89495929067735203</v>
      </c>
      <c r="CD94" s="15">
        <f t="shared" si="4"/>
        <v>0.15687369453088401</v>
      </c>
      <c r="CE94" s="15">
        <f t="shared" si="4"/>
        <v>0.484334370604033</v>
      </c>
      <c r="CF94" s="15">
        <f t="shared" si="4"/>
        <v>0.10177543799821</v>
      </c>
      <c r="CG94" s="15">
        <f t="shared" si="4"/>
        <v>1.5196726203163E-3</v>
      </c>
      <c r="CH94" s="15">
        <f t="shared" si="4"/>
        <v>0.113804936271793</v>
      </c>
      <c r="CI94">
        <f t="shared" si="6"/>
        <v>2020</v>
      </c>
      <c r="CJ94" t="str">
        <f t="shared" si="7"/>
        <v>General government</v>
      </c>
    </row>
    <row r="95" spans="1:88">
      <c r="A95" t="s">
        <v>144</v>
      </c>
      <c r="B95" t="s">
        <v>358</v>
      </c>
      <c r="C95" s="15"/>
      <c r="D95" s="15"/>
      <c r="E95" s="15"/>
      <c r="F95" s="15"/>
      <c r="G95" s="15"/>
      <c r="H95" s="15"/>
      <c r="I95" s="15"/>
      <c r="J95" s="15">
        <v>3.6645005951781302</v>
      </c>
      <c r="K95" s="15">
        <v>1.53818467923609</v>
      </c>
      <c r="L95" s="15">
        <v>0</v>
      </c>
      <c r="M95" s="15">
        <v>0.64560842380275796</v>
      </c>
      <c r="N95" s="15">
        <v>0.66187625763721702</v>
      </c>
      <c r="O95" s="15">
        <v>0</v>
      </c>
      <c r="P95" s="15">
        <v>0.81883123450207296</v>
      </c>
      <c r="Q95" s="15"/>
      <c r="R95" s="15"/>
      <c r="S95" s="15"/>
      <c r="T95" s="15"/>
      <c r="U95" s="15"/>
      <c r="V95" s="15"/>
      <c r="W95" s="15"/>
      <c r="X95" s="15">
        <v>3.6999690951637398</v>
      </c>
      <c r="Y95" s="15">
        <v>1.5530726842606</v>
      </c>
      <c r="Z95" s="15">
        <v>0</v>
      </c>
      <c r="AA95" s="15">
        <v>0.65185723227627401</v>
      </c>
      <c r="AB95" s="15">
        <v>0.66828252158089596</v>
      </c>
      <c r="AC95" s="15">
        <v>0</v>
      </c>
      <c r="AD95" s="15">
        <v>0.82675665704597101</v>
      </c>
      <c r="AE95" s="15"/>
      <c r="AF95" s="15"/>
      <c r="AG95" s="15"/>
      <c r="AH95" s="15"/>
      <c r="AI95" s="15"/>
      <c r="AJ95" s="15"/>
      <c r="AK95" s="15"/>
      <c r="AL95" s="15">
        <v>3.3019245295091699</v>
      </c>
      <c r="AM95" s="15">
        <v>1.38599233138832</v>
      </c>
      <c r="AN95" s="15">
        <v>0</v>
      </c>
      <c r="AO95" s="15">
        <v>0.581730098179572</v>
      </c>
      <c r="AP95" s="15">
        <v>0.59638834646875505</v>
      </c>
      <c r="AQ95" s="15">
        <v>0</v>
      </c>
      <c r="AR95" s="15">
        <v>0.73781375347252198</v>
      </c>
      <c r="AS95" s="15"/>
      <c r="AT95" s="15"/>
      <c r="AU95" s="15"/>
      <c r="AV95" s="15"/>
      <c r="AW95" s="15"/>
      <c r="AX95" s="15"/>
      <c r="AY95" s="15"/>
      <c r="AZ95" s="15">
        <v>3.4008895755750599</v>
      </c>
      <c r="BA95" s="15">
        <v>1.4275331945113201</v>
      </c>
      <c r="BB95" s="15">
        <v>0</v>
      </c>
      <c r="BC95" s="15">
        <v>0.59916567111582297</v>
      </c>
      <c r="BD95" s="15">
        <v>0.61426325537535198</v>
      </c>
      <c r="BE95" s="15">
        <v>0</v>
      </c>
      <c r="BF95" s="15">
        <v>0.75992745457255995</v>
      </c>
      <c r="BG95" s="15"/>
      <c r="BH95" s="15"/>
      <c r="BI95" s="15"/>
      <c r="BJ95" s="15"/>
      <c r="BK95" s="15"/>
      <c r="BL95" s="15"/>
      <c r="BM95" s="15"/>
      <c r="BN95" s="15">
        <v>3.5274333886834599</v>
      </c>
      <c r="BO95" s="15">
        <v>1.5518946244343801</v>
      </c>
      <c r="BP95" s="15">
        <v>0</v>
      </c>
      <c r="BQ95" s="15">
        <v>0.58330382899160205</v>
      </c>
      <c r="BR95" s="15">
        <v>1.13838176514955</v>
      </c>
      <c r="BS95" s="15">
        <v>0</v>
      </c>
      <c r="BT95" s="15">
        <v>0.25385317010793201</v>
      </c>
      <c r="BU95" s="15"/>
      <c r="BV95" s="15"/>
      <c r="BW95" s="15"/>
      <c r="BX95" s="15"/>
      <c r="BY95" s="15"/>
      <c r="BZ95" s="15"/>
      <c r="CA95" s="15"/>
      <c r="CB95" s="15">
        <f t="shared" si="5"/>
        <v>3.5274333886834599</v>
      </c>
      <c r="CC95" s="15">
        <f t="shared" si="5"/>
        <v>1.5518946244343801</v>
      </c>
      <c r="CD95" s="15">
        <f t="shared" si="4"/>
        <v>0</v>
      </c>
      <c r="CE95" s="15">
        <f t="shared" si="4"/>
        <v>0.58330382899160205</v>
      </c>
      <c r="CF95" s="15">
        <f t="shared" si="4"/>
        <v>1.13838176514955</v>
      </c>
      <c r="CG95" s="15">
        <f t="shared" si="4"/>
        <v>0</v>
      </c>
      <c r="CH95" s="15">
        <f t="shared" si="4"/>
        <v>0.25385317010793201</v>
      </c>
      <c r="CI95">
        <f t="shared" si="6"/>
        <v>2020</v>
      </c>
      <c r="CJ95" t="str">
        <f t="shared" si="7"/>
        <v>Budgetary central government</v>
      </c>
    </row>
    <row r="96" spans="1:88">
      <c r="A96" t="s">
        <v>94</v>
      </c>
      <c r="B96" t="s">
        <v>307</v>
      </c>
      <c r="C96" s="15"/>
      <c r="D96" s="15"/>
      <c r="E96" s="15"/>
      <c r="F96" s="15"/>
      <c r="G96" s="15"/>
      <c r="H96" s="15"/>
      <c r="I96" s="15"/>
      <c r="J96" s="15"/>
      <c r="K96" s="15"/>
      <c r="L96" s="15"/>
      <c r="M96" s="15"/>
      <c r="N96" s="15"/>
      <c r="O96" s="15"/>
      <c r="P96" s="15"/>
      <c r="Q96" s="15">
        <v>1.40773764093613</v>
      </c>
      <c r="R96" s="15">
        <v>1.03291521735777</v>
      </c>
      <c r="S96" s="15">
        <v>0</v>
      </c>
      <c r="T96" s="15">
        <v>0.22282799173246001</v>
      </c>
      <c r="U96" s="15">
        <v>0.121983447536973</v>
      </c>
      <c r="V96" s="15">
        <v>0</v>
      </c>
      <c r="W96" s="15">
        <v>3.0010984308921101E-2</v>
      </c>
      <c r="X96" s="15">
        <v>1.1641607760947901</v>
      </c>
      <c r="Y96" s="15">
        <v>0.89976716577895299</v>
      </c>
      <c r="Z96" s="15">
        <v>0</v>
      </c>
      <c r="AA96" s="15">
        <v>0.14241016277886301</v>
      </c>
      <c r="AB96" s="15">
        <v>0.121983447536973</v>
      </c>
      <c r="AC96" s="15">
        <v>0</v>
      </c>
      <c r="AD96" s="15">
        <v>0</v>
      </c>
      <c r="AE96" s="15">
        <v>1.3285714835989799</v>
      </c>
      <c r="AF96" s="15">
        <v>0.93613690266356397</v>
      </c>
      <c r="AG96" s="15">
        <v>0</v>
      </c>
      <c r="AH96" s="15">
        <v>0.238894506272985</v>
      </c>
      <c r="AI96" s="15">
        <v>0.12418656449645001</v>
      </c>
      <c r="AJ96" s="15">
        <v>0</v>
      </c>
      <c r="AK96" s="15">
        <v>2.93535101659817E-2</v>
      </c>
      <c r="AL96" s="15">
        <v>1.14056721800382</v>
      </c>
      <c r="AM96" s="15">
        <v>0.85010144392084797</v>
      </c>
      <c r="AN96" s="15">
        <v>0</v>
      </c>
      <c r="AO96" s="15">
        <v>0.16627920958652101</v>
      </c>
      <c r="AP96" s="15">
        <v>0.12418656449645001</v>
      </c>
      <c r="AQ96" s="15">
        <v>0</v>
      </c>
      <c r="AR96" s="15">
        <v>0</v>
      </c>
      <c r="AS96" s="15">
        <v>1.5004886798589301</v>
      </c>
      <c r="AT96" s="15">
        <v>1.20749233013832</v>
      </c>
      <c r="AU96" s="15">
        <v>0</v>
      </c>
      <c r="AV96" s="15">
        <v>0.202856394851328</v>
      </c>
      <c r="AW96" s="15">
        <v>0</v>
      </c>
      <c r="AX96" s="15">
        <v>0</v>
      </c>
      <c r="AY96" s="15">
        <v>9.0139954869281599E-2</v>
      </c>
      <c r="AZ96" s="15">
        <v>1.45296535922176</v>
      </c>
      <c r="BA96" s="15">
        <v>1.1814791887424001</v>
      </c>
      <c r="BB96" s="15">
        <v>0</v>
      </c>
      <c r="BC96" s="15">
        <v>0.18529184804537399</v>
      </c>
      <c r="BD96" s="15">
        <v>0</v>
      </c>
      <c r="BE96" s="15">
        <v>0</v>
      </c>
      <c r="BF96" s="15">
        <v>8.6194322433986101E-2</v>
      </c>
      <c r="BG96" s="15"/>
      <c r="BH96" s="15"/>
      <c r="BI96" s="15"/>
      <c r="BJ96" s="15"/>
      <c r="BK96" s="15"/>
      <c r="BL96" s="15"/>
      <c r="BM96" s="15"/>
      <c r="BN96" s="15"/>
      <c r="BO96" s="15"/>
      <c r="BP96" s="15"/>
      <c r="BQ96" s="15"/>
      <c r="BR96" s="15"/>
      <c r="BS96" s="15"/>
      <c r="BT96" s="15"/>
      <c r="BU96" s="15"/>
      <c r="BV96" s="15"/>
      <c r="BW96" s="15"/>
      <c r="BX96" s="15"/>
      <c r="BY96" s="15"/>
      <c r="BZ96" s="15"/>
      <c r="CA96" s="15"/>
      <c r="CB96" s="15">
        <f t="shared" si="5"/>
        <v>1.5004886798589301</v>
      </c>
      <c r="CC96" s="15">
        <f t="shared" si="5"/>
        <v>1.20749233013832</v>
      </c>
      <c r="CD96" s="15">
        <f t="shared" si="4"/>
        <v>0</v>
      </c>
      <c r="CE96" s="15">
        <f t="shared" si="4"/>
        <v>0.202856394851328</v>
      </c>
      <c r="CF96" s="15">
        <f t="shared" si="4"/>
        <v>0</v>
      </c>
      <c r="CG96" s="15">
        <f t="shared" si="4"/>
        <v>0</v>
      </c>
      <c r="CH96" s="15">
        <f t="shared" si="4"/>
        <v>9.0139954869281599E-2</v>
      </c>
      <c r="CI96">
        <f t="shared" si="6"/>
        <v>2019</v>
      </c>
      <c r="CJ96" t="str">
        <f t="shared" si="7"/>
        <v>General government</v>
      </c>
    </row>
    <row r="97" spans="1:88">
      <c r="A97" t="s">
        <v>195</v>
      </c>
      <c r="B97" t="s">
        <v>410</v>
      </c>
      <c r="C97" s="15">
        <v>3.2653316090679998</v>
      </c>
      <c r="D97" s="15">
        <v>2.1571805099621799</v>
      </c>
      <c r="E97" s="15">
        <v>0.188505035832156</v>
      </c>
      <c r="F97" s="15">
        <v>0.41028116846794799</v>
      </c>
      <c r="G97" s="15">
        <v>0.43388514210542201</v>
      </c>
      <c r="H97" s="15">
        <v>1.67032438125907E-3</v>
      </c>
      <c r="I97" s="15">
        <v>7.3809428319032894E-2</v>
      </c>
      <c r="J97" s="15">
        <v>2.5192903846997701</v>
      </c>
      <c r="K97" s="15">
        <v>1.72182079708883</v>
      </c>
      <c r="L97" s="15">
        <v>0</v>
      </c>
      <c r="M97" s="15">
        <v>0.36261796850503503</v>
      </c>
      <c r="N97" s="15">
        <v>0.43388514210542201</v>
      </c>
      <c r="O97" s="15">
        <v>9.6647700047694702E-4</v>
      </c>
      <c r="P97" s="15">
        <v>0</v>
      </c>
      <c r="Q97" s="15">
        <v>3.3155877487734702</v>
      </c>
      <c r="R97" s="15">
        <v>2.185599035239</v>
      </c>
      <c r="S97" s="15">
        <v>0.16551173006071501</v>
      </c>
      <c r="T97" s="15">
        <v>0.47062859709426103</v>
      </c>
      <c r="U97" s="15">
        <v>0.43105296030568302</v>
      </c>
      <c r="V97" s="15">
        <v>2.2226620444595999E-3</v>
      </c>
      <c r="W97" s="15">
        <v>6.0572764029358503E-2</v>
      </c>
      <c r="X97" s="15">
        <v>2.5831598059013601</v>
      </c>
      <c r="Y97" s="15">
        <v>1.74573049287266</v>
      </c>
      <c r="Z97" s="15">
        <v>0</v>
      </c>
      <c r="AA97" s="15">
        <v>0.40485472786953097</v>
      </c>
      <c r="AB97" s="15">
        <v>0.43105296030568302</v>
      </c>
      <c r="AC97" s="15">
        <v>1.5216248534826299E-3</v>
      </c>
      <c r="AD97" s="15">
        <v>0</v>
      </c>
      <c r="AE97" s="15">
        <v>3.3024562320635802</v>
      </c>
      <c r="AF97" s="15">
        <v>2.15382799311045</v>
      </c>
      <c r="AG97" s="15">
        <v>0.153696158452401</v>
      </c>
      <c r="AH97" s="15">
        <v>0.46130489526985102</v>
      </c>
      <c r="AI97" s="15">
        <v>0.427681154776202</v>
      </c>
      <c r="AJ97" s="15">
        <v>3.6278846055904398E-3</v>
      </c>
      <c r="AK97" s="15">
        <v>0.102318145849085</v>
      </c>
      <c r="AL97" s="15">
        <v>2.5582530877673202</v>
      </c>
      <c r="AM97" s="15">
        <v>1.72921763064722</v>
      </c>
      <c r="AN97" s="15">
        <v>0</v>
      </c>
      <c r="AO97" s="15">
        <v>0.39849362119578502</v>
      </c>
      <c r="AP97" s="15">
        <v>0.427681154776202</v>
      </c>
      <c r="AQ97" s="15">
        <v>2.86068114810396E-3</v>
      </c>
      <c r="AR97" s="15">
        <v>0</v>
      </c>
      <c r="AS97" s="15">
        <v>3.3608939811440499</v>
      </c>
      <c r="AT97" s="15">
        <v>2.1951434404522701</v>
      </c>
      <c r="AU97" s="15">
        <v>0.153019609736365</v>
      </c>
      <c r="AV97" s="15">
        <v>0.46634654605894299</v>
      </c>
      <c r="AW97" s="15">
        <v>0.43327593430289202</v>
      </c>
      <c r="AX97" s="15">
        <v>6.0334336242854301E-3</v>
      </c>
      <c r="AY97" s="15">
        <v>0.107075016969297</v>
      </c>
      <c r="AZ97" s="15">
        <v>2.59486596484872</v>
      </c>
      <c r="BA97" s="15">
        <v>1.75602459768854</v>
      </c>
      <c r="BB97" s="15">
        <v>0</v>
      </c>
      <c r="BC97" s="15">
        <v>0.40023442138957799</v>
      </c>
      <c r="BD97" s="15">
        <v>0.43327593430289202</v>
      </c>
      <c r="BE97" s="15">
        <v>5.3310114677109204E-3</v>
      </c>
      <c r="BF97" s="15">
        <v>0</v>
      </c>
      <c r="BG97" s="15">
        <v>3.5709641361228801</v>
      </c>
      <c r="BH97" s="15">
        <v>2.3462580407182099</v>
      </c>
      <c r="BI97" s="15">
        <v>0.15224261933545699</v>
      </c>
      <c r="BJ97" s="15">
        <v>0.50303005166785597</v>
      </c>
      <c r="BK97" s="15">
        <v>0.47498627373934099</v>
      </c>
      <c r="BL97" s="15">
        <v>6.5450134803533896E-3</v>
      </c>
      <c r="BM97" s="15">
        <v>8.7902137181674694E-2</v>
      </c>
      <c r="BN97" s="15">
        <v>2.8446669152755302</v>
      </c>
      <c r="BO97" s="15">
        <v>1.92507248664222</v>
      </c>
      <c r="BP97" s="15">
        <v>0</v>
      </c>
      <c r="BQ97" s="15">
        <v>0.438763940914286</v>
      </c>
      <c r="BR97" s="15">
        <v>0.47498627373934099</v>
      </c>
      <c r="BS97" s="15">
        <v>5.84421397967498E-3</v>
      </c>
      <c r="BT97" s="15">
        <v>0</v>
      </c>
      <c r="BU97" s="15"/>
      <c r="BV97" s="15"/>
      <c r="BW97" s="15"/>
      <c r="BX97" s="15"/>
      <c r="BY97" s="15"/>
      <c r="BZ97" s="15"/>
      <c r="CA97" s="15"/>
      <c r="CB97" s="15">
        <f t="shared" si="5"/>
        <v>3.5709641361228801</v>
      </c>
      <c r="CC97" s="15">
        <f t="shared" si="5"/>
        <v>2.3462580407182099</v>
      </c>
      <c r="CD97" s="15">
        <f t="shared" si="4"/>
        <v>0.15224261933545699</v>
      </c>
      <c r="CE97" s="15">
        <f t="shared" si="4"/>
        <v>0.50303005166785597</v>
      </c>
      <c r="CF97" s="15">
        <f t="shared" si="4"/>
        <v>0.47498627373934099</v>
      </c>
      <c r="CG97" s="15">
        <f t="shared" si="4"/>
        <v>6.5450134803533896E-3</v>
      </c>
      <c r="CH97" s="15">
        <f t="shared" si="4"/>
        <v>8.7902137181674694E-2</v>
      </c>
      <c r="CI97">
        <f t="shared" si="6"/>
        <v>2020</v>
      </c>
      <c r="CJ97" t="str">
        <f t="shared" si="7"/>
        <v>General government</v>
      </c>
    </row>
    <row r="98" spans="1:88">
      <c r="A98" t="s">
        <v>69</v>
      </c>
      <c r="B98" t="s">
        <v>448</v>
      </c>
      <c r="C98" s="15">
        <v>1.9015298427063101</v>
      </c>
      <c r="D98" s="15">
        <v>1.21462687639158</v>
      </c>
      <c r="E98" s="15">
        <v>0.16178266178266201</v>
      </c>
      <c r="F98" s="15">
        <v>0.34735689147453902</v>
      </c>
      <c r="G98" s="15">
        <v>0.16007685125332199</v>
      </c>
      <c r="H98" s="15">
        <v>0</v>
      </c>
      <c r="I98" s="15">
        <v>1.7686561804208901E-2</v>
      </c>
      <c r="J98" s="15">
        <v>1.0107376283846901</v>
      </c>
      <c r="K98" s="15">
        <v>0.72030094088917596</v>
      </c>
      <c r="L98" s="15">
        <v>8.97795015442074E-4</v>
      </c>
      <c r="M98" s="15">
        <v>0.157742584213172</v>
      </c>
      <c r="N98" s="15">
        <v>0.126229979171156</v>
      </c>
      <c r="O98" s="15">
        <v>0</v>
      </c>
      <c r="P98" s="15">
        <v>5.5663290957408598E-3</v>
      </c>
      <c r="Q98" s="15">
        <v>1.82697331105884</v>
      </c>
      <c r="R98" s="15">
        <v>1.16132052980246</v>
      </c>
      <c r="S98" s="15">
        <v>0.15810759751331299</v>
      </c>
      <c r="T98" s="15">
        <v>0.33997006542056901</v>
      </c>
      <c r="U98" s="15">
        <v>0.151910674801849</v>
      </c>
      <c r="V98" s="15">
        <v>0</v>
      </c>
      <c r="W98" s="15">
        <v>1.56644435206439E-2</v>
      </c>
      <c r="X98" s="15">
        <v>0.88779524678814403</v>
      </c>
      <c r="Y98" s="15">
        <v>0.62657774082575701</v>
      </c>
      <c r="Z98" s="15">
        <v>8.6068370992549101E-4</v>
      </c>
      <c r="AA98" s="15">
        <v>0.156386230093462</v>
      </c>
      <c r="AB98" s="15">
        <v>9.9839310351356902E-2</v>
      </c>
      <c r="AC98" s="15">
        <v>0</v>
      </c>
      <c r="AD98" s="15">
        <v>4.1312818076423598E-3</v>
      </c>
      <c r="AE98" s="15">
        <v>1.78756194634738</v>
      </c>
      <c r="AF98" s="15">
        <v>1.1197921644467199</v>
      </c>
      <c r="AG98" s="15">
        <v>0.16189365714281001</v>
      </c>
      <c r="AH98" s="15">
        <v>0.34123991592832498</v>
      </c>
      <c r="AI98" s="15">
        <v>0.14909508260482601</v>
      </c>
      <c r="AJ98" s="15">
        <v>8.3107626870025495E-5</v>
      </c>
      <c r="AK98" s="15">
        <v>1.54580185978247E-2</v>
      </c>
      <c r="AL98" s="15">
        <v>0.890248899031713</v>
      </c>
      <c r="AM98" s="15">
        <v>0.63485916166012502</v>
      </c>
      <c r="AN98" s="15">
        <v>8.3107626870025501E-4</v>
      </c>
      <c r="AO98" s="15">
        <v>0.15158831141092599</v>
      </c>
      <c r="AP98" s="15">
        <v>9.8981183602200304E-2</v>
      </c>
      <c r="AQ98" s="15">
        <v>0</v>
      </c>
      <c r="AR98" s="15">
        <v>3.9891660897612199E-3</v>
      </c>
      <c r="AS98" s="15">
        <v>1.81994977398292</v>
      </c>
      <c r="AT98" s="15">
        <v>1.14201908588649</v>
      </c>
      <c r="AU98" s="15">
        <v>0.16908086388749399</v>
      </c>
      <c r="AV98" s="15">
        <v>0.34113510798593699</v>
      </c>
      <c r="AW98" s="15">
        <v>0.14690105474635901</v>
      </c>
      <c r="AX98" s="15">
        <v>8.0361627322953294E-5</v>
      </c>
      <c r="AY98" s="15">
        <v>2.0733299849321998E-2</v>
      </c>
      <c r="AZ98" s="15">
        <v>0.89860371672526396</v>
      </c>
      <c r="BA98" s="15">
        <v>0.64779507785032697</v>
      </c>
      <c r="BB98" s="15">
        <v>7.2325464590657996E-4</v>
      </c>
      <c r="BC98" s="15">
        <v>0.14874937217478701</v>
      </c>
      <c r="BD98" s="15">
        <v>9.7719738824711203E-2</v>
      </c>
      <c r="BE98" s="15">
        <v>0</v>
      </c>
      <c r="BF98" s="15">
        <v>3.6162732295329002E-3</v>
      </c>
      <c r="BG98" s="15">
        <v>2.0844994598680202</v>
      </c>
      <c r="BH98" s="15">
        <v>1.31307333316696</v>
      </c>
      <c r="BI98" s="15">
        <v>0.18779836498661301</v>
      </c>
      <c r="BJ98" s="15">
        <v>0.39297721463026802</v>
      </c>
      <c r="BK98" s="15">
        <v>0.16720917546980801</v>
      </c>
      <c r="BL98" s="15">
        <v>8.9130690548938095E-5</v>
      </c>
      <c r="BM98" s="15">
        <v>2.33522409238218E-2</v>
      </c>
      <c r="BN98" s="15">
        <v>1.0447008239241</v>
      </c>
      <c r="BO98" s="15">
        <v>0.75725434690377802</v>
      </c>
      <c r="BP98" s="15">
        <v>8.0217621494044298E-4</v>
      </c>
      <c r="BQ98" s="15">
        <v>0.170774403091765</v>
      </c>
      <c r="BR98" s="15">
        <v>0.11176988594836799</v>
      </c>
      <c r="BS98" s="15">
        <v>0</v>
      </c>
      <c r="BT98" s="15">
        <v>4.1000117652511504E-3</v>
      </c>
      <c r="BU98" s="15"/>
      <c r="BV98" s="15"/>
      <c r="BW98" s="15"/>
      <c r="BX98" s="15"/>
      <c r="BY98" s="15"/>
      <c r="BZ98" s="15"/>
      <c r="CA98" s="15"/>
      <c r="CB98" s="15">
        <f t="shared" si="5"/>
        <v>2.0844994598680202</v>
      </c>
      <c r="CC98" s="15">
        <f t="shared" si="5"/>
        <v>1.31307333316696</v>
      </c>
      <c r="CD98" s="15">
        <f t="shared" si="4"/>
        <v>0.18779836498661301</v>
      </c>
      <c r="CE98" s="15">
        <f t="shared" si="4"/>
        <v>0.39297721463026802</v>
      </c>
      <c r="CF98" s="15">
        <f t="shared" si="4"/>
        <v>0.16720917546980801</v>
      </c>
      <c r="CG98" s="15">
        <f t="shared" si="4"/>
        <v>8.9130690548938095E-5</v>
      </c>
      <c r="CH98" s="15">
        <f t="shared" si="4"/>
        <v>2.33522409238218E-2</v>
      </c>
      <c r="CI98">
        <f t="shared" si="6"/>
        <v>2020</v>
      </c>
      <c r="CJ98" t="str">
        <f t="shared" si="7"/>
        <v>General government</v>
      </c>
    </row>
    <row r="99" spans="1:88">
      <c r="A99" t="s">
        <v>167</v>
      </c>
      <c r="B99" t="s">
        <v>381</v>
      </c>
      <c r="C99" s="15"/>
      <c r="D99" s="15"/>
      <c r="E99" s="15"/>
      <c r="F99" s="15"/>
      <c r="G99" s="15"/>
      <c r="H99" s="15"/>
      <c r="I99" s="15"/>
      <c r="J99" s="15">
        <v>0.697884732374915</v>
      </c>
      <c r="K99" s="15">
        <v>0.697884732374915</v>
      </c>
      <c r="L99" s="15">
        <v>0</v>
      </c>
      <c r="M99" s="15">
        <v>0</v>
      </c>
      <c r="N99" s="15">
        <v>0</v>
      </c>
      <c r="O99" s="15">
        <v>0</v>
      </c>
      <c r="P99" s="15">
        <v>0</v>
      </c>
      <c r="Q99" s="15"/>
      <c r="R99" s="15"/>
      <c r="S99" s="15"/>
      <c r="T99" s="15"/>
      <c r="U99" s="15"/>
      <c r="V99" s="15"/>
      <c r="W99" s="15"/>
      <c r="X99" s="15">
        <v>0.66606012373899004</v>
      </c>
      <c r="Y99" s="15">
        <v>0.66606012373899004</v>
      </c>
      <c r="Z99" s="15">
        <v>0</v>
      </c>
      <c r="AA99" s="15">
        <v>0</v>
      </c>
      <c r="AB99" s="15">
        <v>0</v>
      </c>
      <c r="AC99" s="15">
        <v>0</v>
      </c>
      <c r="AD99" s="15">
        <v>0</v>
      </c>
      <c r="AE99" s="15"/>
      <c r="AF99" s="15"/>
      <c r="AG99" s="15"/>
      <c r="AH99" s="15"/>
      <c r="AI99" s="15"/>
      <c r="AJ99" s="15"/>
      <c r="AK99" s="15"/>
      <c r="AL99" s="15">
        <v>0.64611603902887105</v>
      </c>
      <c r="AM99" s="15">
        <v>0.64611603902887105</v>
      </c>
      <c r="AN99" s="15">
        <v>0</v>
      </c>
      <c r="AO99" s="15">
        <v>0</v>
      </c>
      <c r="AP99" s="15">
        <v>0</v>
      </c>
      <c r="AQ99" s="15">
        <v>0</v>
      </c>
      <c r="AR99" s="15">
        <v>0</v>
      </c>
      <c r="AS99" s="15"/>
      <c r="AT99" s="15"/>
      <c r="AU99" s="15"/>
      <c r="AV99" s="15"/>
      <c r="AW99" s="15"/>
      <c r="AX99" s="15"/>
      <c r="AY99" s="15"/>
      <c r="AZ99" s="15">
        <v>0.60484267612367804</v>
      </c>
      <c r="BA99" s="15">
        <v>0.60484267612367804</v>
      </c>
      <c r="BB99" s="15">
        <v>0</v>
      </c>
      <c r="BC99" s="15">
        <v>0</v>
      </c>
      <c r="BD99" s="15">
        <v>0</v>
      </c>
      <c r="BE99" s="15">
        <v>0</v>
      </c>
      <c r="BF99" s="15">
        <v>0</v>
      </c>
      <c r="BG99" s="15"/>
      <c r="BH99" s="15"/>
      <c r="BI99" s="15"/>
      <c r="BJ99" s="15"/>
      <c r="BK99" s="15"/>
      <c r="BL99" s="15"/>
      <c r="BM99" s="15"/>
      <c r="BN99" s="15"/>
      <c r="BO99" s="15"/>
      <c r="BP99" s="15"/>
      <c r="BQ99" s="15"/>
      <c r="BR99" s="15"/>
      <c r="BS99" s="15"/>
      <c r="BT99" s="15"/>
      <c r="BU99" s="15"/>
      <c r="BV99" s="15"/>
      <c r="BW99" s="15"/>
      <c r="BX99" s="15"/>
      <c r="BY99" s="15"/>
      <c r="BZ99" s="15"/>
      <c r="CA99" s="15"/>
      <c r="CB99" s="15">
        <f t="shared" si="5"/>
        <v>0.60484267612367804</v>
      </c>
      <c r="CC99" s="15">
        <f t="shared" si="5"/>
        <v>0.60484267612367804</v>
      </c>
      <c r="CD99" s="15">
        <f t="shared" si="4"/>
        <v>0</v>
      </c>
      <c r="CE99" s="15">
        <f t="shared" si="4"/>
        <v>0</v>
      </c>
      <c r="CF99" s="15">
        <f t="shared" si="4"/>
        <v>0</v>
      </c>
      <c r="CG99" s="15">
        <f t="shared" si="4"/>
        <v>0</v>
      </c>
      <c r="CH99" s="15">
        <f t="shared" si="4"/>
        <v>0</v>
      </c>
      <c r="CI99">
        <f t="shared" si="6"/>
        <v>2019</v>
      </c>
      <c r="CJ99" t="str">
        <f t="shared" si="7"/>
        <v>Budgetary central government</v>
      </c>
    </row>
    <row r="100" spans="1:88">
      <c r="A100" t="s">
        <v>52</v>
      </c>
      <c r="B100" t="s">
        <v>462</v>
      </c>
      <c r="C100" s="15">
        <v>1.2756195822860601</v>
      </c>
      <c r="D100" s="15">
        <v>0.59360851599909503</v>
      </c>
      <c r="E100" s="15">
        <v>0.19204848165279001</v>
      </c>
      <c r="F100" s="15">
        <v>0.27401846102552802</v>
      </c>
      <c r="G100" s="15">
        <v>0.20500422307340499</v>
      </c>
      <c r="H100" s="15">
        <v>0</v>
      </c>
      <c r="I100" s="15">
        <v>1.09399005352397E-2</v>
      </c>
      <c r="J100" s="15"/>
      <c r="K100" s="15"/>
      <c r="L100" s="15"/>
      <c r="M100" s="15"/>
      <c r="N100" s="15"/>
      <c r="O100" s="15"/>
      <c r="P100" s="15"/>
      <c r="Q100" s="15">
        <v>1.2742443721143799</v>
      </c>
      <c r="R100" s="15">
        <v>0.59830135344276203</v>
      </c>
      <c r="S100" s="15">
        <v>0.18583406088611401</v>
      </c>
      <c r="T100" s="15">
        <v>0.271453942341496</v>
      </c>
      <c r="U100" s="15">
        <v>0.205379609581989</v>
      </c>
      <c r="V100" s="15">
        <v>0</v>
      </c>
      <c r="W100" s="15">
        <v>1.3275405862021399E-2</v>
      </c>
      <c r="X100" s="15"/>
      <c r="Y100" s="15"/>
      <c r="Z100" s="15"/>
      <c r="AA100" s="15"/>
      <c r="AB100" s="15"/>
      <c r="AC100" s="15"/>
      <c r="AD100" s="15"/>
      <c r="AE100" s="15">
        <v>1.2950711905997701</v>
      </c>
      <c r="AF100" s="15">
        <v>0.60139104688062395</v>
      </c>
      <c r="AG100" s="15">
        <v>0.20446094344476101</v>
      </c>
      <c r="AH100" s="15">
        <v>0.26785791952705601</v>
      </c>
      <c r="AI100" s="15">
        <v>0.20450236584011</v>
      </c>
      <c r="AJ100" s="15">
        <v>0</v>
      </c>
      <c r="AK100" s="15">
        <v>1.6858914907215899E-2</v>
      </c>
      <c r="AL100" s="15"/>
      <c r="AM100" s="15"/>
      <c r="AN100" s="15"/>
      <c r="AO100" s="15"/>
      <c r="AP100" s="15"/>
      <c r="AQ100" s="15"/>
      <c r="AR100" s="15"/>
      <c r="AS100" s="15">
        <v>1.3024150930991001</v>
      </c>
      <c r="AT100" s="15">
        <v>0.63796892399208704</v>
      </c>
      <c r="AU100" s="15">
        <v>0.189202393289474</v>
      </c>
      <c r="AV100" s="15">
        <v>0.26508930673779502</v>
      </c>
      <c r="AW100" s="15">
        <v>0.19813376019062001</v>
      </c>
      <c r="AX100" s="15">
        <v>0</v>
      </c>
      <c r="AY100" s="15">
        <v>1.2020708889126101E-2</v>
      </c>
      <c r="AZ100" s="15"/>
      <c r="BA100" s="15"/>
      <c r="BB100" s="15"/>
      <c r="BC100" s="15"/>
      <c r="BD100" s="15"/>
      <c r="BE100" s="15"/>
      <c r="BF100" s="15"/>
      <c r="BG100" s="15">
        <v>1.39833281260065</v>
      </c>
      <c r="BH100" s="15">
        <v>0.71096566716091103</v>
      </c>
      <c r="BI100" s="15">
        <v>0.191216252960099</v>
      </c>
      <c r="BJ100" s="15">
        <v>0.269235855385209</v>
      </c>
      <c r="BK100" s="15">
        <v>0.21573784610914401</v>
      </c>
      <c r="BL100" s="15">
        <v>0</v>
      </c>
      <c r="BM100" s="15">
        <v>1.1177190985284399E-2</v>
      </c>
      <c r="BN100" s="15"/>
      <c r="BO100" s="15"/>
      <c r="BP100" s="15"/>
      <c r="BQ100" s="15"/>
      <c r="BR100" s="15"/>
      <c r="BS100" s="15"/>
      <c r="BT100" s="15"/>
      <c r="BU100" s="15"/>
      <c r="BV100" s="15"/>
      <c r="BW100" s="15"/>
      <c r="BX100" s="15"/>
      <c r="BY100" s="15"/>
      <c r="BZ100" s="15"/>
      <c r="CA100" s="15"/>
      <c r="CB100" s="15">
        <f t="shared" si="5"/>
        <v>1.39833281260065</v>
      </c>
      <c r="CC100" s="15">
        <f t="shared" si="5"/>
        <v>0.71096566716091103</v>
      </c>
      <c r="CD100" s="15">
        <f t="shared" si="4"/>
        <v>0.191216252960099</v>
      </c>
      <c r="CE100" s="15">
        <f t="shared" si="4"/>
        <v>0.269235855385209</v>
      </c>
      <c r="CF100" s="15">
        <f t="shared" si="4"/>
        <v>0.21573784610914401</v>
      </c>
      <c r="CG100" s="15">
        <f t="shared" si="4"/>
        <v>0</v>
      </c>
      <c r="CH100" s="15">
        <f t="shared" si="4"/>
        <v>1.1177190985284399E-2</v>
      </c>
      <c r="CI100">
        <f t="shared" si="6"/>
        <v>2020</v>
      </c>
      <c r="CJ100" t="str">
        <f t="shared" si="7"/>
        <v>General government</v>
      </c>
    </row>
    <row r="101" spans="1:88">
      <c r="A101" t="s">
        <v>67</v>
      </c>
      <c r="B101" t="s">
        <v>469</v>
      </c>
      <c r="C101" s="15">
        <v>1.5354707904046601</v>
      </c>
      <c r="D101" s="15">
        <v>0.62621114596739902</v>
      </c>
      <c r="E101" s="15">
        <v>0.106773219037338</v>
      </c>
      <c r="F101" s="15">
        <v>0.27712214019678399</v>
      </c>
      <c r="G101" s="15">
        <v>0.18634223220617699</v>
      </c>
      <c r="H101" s="15">
        <v>2.2322368202170299E-4</v>
      </c>
      <c r="I101" s="15">
        <v>0.33879882931494498</v>
      </c>
      <c r="J101" s="15"/>
      <c r="K101" s="15"/>
      <c r="L101" s="15"/>
      <c r="M101" s="15"/>
      <c r="N101" s="15"/>
      <c r="O101" s="15"/>
      <c r="P101" s="15"/>
      <c r="Q101" s="15">
        <v>1.5485049473647201</v>
      </c>
      <c r="R101" s="15">
        <v>0.63734460678298799</v>
      </c>
      <c r="S101" s="15">
        <v>0.107875394698315</v>
      </c>
      <c r="T101" s="15">
        <v>0.27824044990138103</v>
      </c>
      <c r="U101" s="15">
        <v>0.186747260544636</v>
      </c>
      <c r="V101" s="15">
        <v>2.18924593563648E-4</v>
      </c>
      <c r="W101" s="15">
        <v>0.33807831084383599</v>
      </c>
      <c r="X101" s="15"/>
      <c r="Y101" s="15"/>
      <c r="Z101" s="15"/>
      <c r="AA101" s="15"/>
      <c r="AB101" s="15"/>
      <c r="AC101" s="15"/>
      <c r="AD101" s="15"/>
      <c r="AE101" s="15">
        <v>1.5350440770136</v>
      </c>
      <c r="AF101" s="15">
        <v>0.62740809033730005</v>
      </c>
      <c r="AG101" s="15">
        <v>0.10714330192440299</v>
      </c>
      <c r="AH101" s="15">
        <v>0.273946813684179</v>
      </c>
      <c r="AI101" s="15">
        <v>0.18424630948884599</v>
      </c>
      <c r="AJ101" s="15">
        <v>0</v>
      </c>
      <c r="AK101" s="15">
        <v>0.34229956157887498</v>
      </c>
      <c r="AL101" s="15"/>
      <c r="AM101" s="15"/>
      <c r="AN101" s="15"/>
      <c r="AO101" s="15"/>
      <c r="AP101" s="15"/>
      <c r="AQ101" s="15"/>
      <c r="AR101" s="15"/>
      <c r="AS101" s="15">
        <v>1.5490735973901</v>
      </c>
      <c r="AT101" s="15">
        <v>0.63564460767157505</v>
      </c>
      <c r="AU101" s="15">
        <v>0.10315071696575</v>
      </c>
      <c r="AV101" s="15">
        <v>0.280544513042294</v>
      </c>
      <c r="AW101" s="15">
        <v>0.18896999479404999</v>
      </c>
      <c r="AX101" s="15">
        <v>0</v>
      </c>
      <c r="AY101" s="15">
        <v>0.34076376491642901</v>
      </c>
      <c r="AZ101" s="15"/>
      <c r="BA101" s="15"/>
      <c r="BB101" s="15"/>
      <c r="BC101" s="15"/>
      <c r="BD101" s="15"/>
      <c r="BE101" s="15"/>
      <c r="BF101" s="15"/>
      <c r="BG101" s="15">
        <v>1.6131846220113</v>
      </c>
      <c r="BH101" s="15">
        <v>0.67216950099543304</v>
      </c>
      <c r="BI101" s="15">
        <v>0.10809765945840701</v>
      </c>
      <c r="BJ101" s="15">
        <v>0.29539977251323102</v>
      </c>
      <c r="BK101" s="15">
        <v>0.19629267591357699</v>
      </c>
      <c r="BL101" s="15">
        <v>0</v>
      </c>
      <c r="BM101" s="15">
        <v>0.34122501313064901</v>
      </c>
      <c r="BN101" s="15"/>
      <c r="BO101" s="15"/>
      <c r="BP101" s="15"/>
      <c r="BQ101" s="15"/>
      <c r="BR101" s="15"/>
      <c r="BS101" s="15"/>
      <c r="BT101" s="15"/>
      <c r="BU101" s="15"/>
      <c r="BV101" s="15"/>
      <c r="BW101" s="15"/>
      <c r="BX101" s="15"/>
      <c r="BY101" s="15"/>
      <c r="BZ101" s="15"/>
      <c r="CA101" s="15"/>
      <c r="CB101" s="15">
        <f t="shared" si="5"/>
        <v>1.6131846220113</v>
      </c>
      <c r="CC101" s="15">
        <f t="shared" si="5"/>
        <v>0.67216950099543304</v>
      </c>
      <c r="CD101" s="15">
        <f t="shared" si="4"/>
        <v>0.10809765945840701</v>
      </c>
      <c r="CE101" s="15">
        <f t="shared" si="4"/>
        <v>0.29539977251323102</v>
      </c>
      <c r="CF101" s="15">
        <f t="shared" si="4"/>
        <v>0.19629267591357699</v>
      </c>
      <c r="CG101" s="15">
        <f t="shared" si="4"/>
        <v>0</v>
      </c>
      <c r="CH101" s="15">
        <f t="shared" si="4"/>
        <v>0.34122501313064901</v>
      </c>
      <c r="CI101">
        <f t="shared" si="6"/>
        <v>2020</v>
      </c>
      <c r="CJ101" t="str">
        <f t="shared" si="7"/>
        <v>General government</v>
      </c>
    </row>
    <row r="102" spans="1:88">
      <c r="A102" t="s">
        <v>1639</v>
      </c>
      <c r="B102" t="s">
        <v>335</v>
      </c>
      <c r="C102" s="15"/>
      <c r="D102" s="15"/>
      <c r="E102" s="15"/>
      <c r="F102" s="15"/>
      <c r="G102" s="15"/>
      <c r="H102" s="15"/>
      <c r="I102" s="15"/>
      <c r="J102" s="15"/>
      <c r="K102" s="15"/>
      <c r="L102" s="15"/>
      <c r="M102" s="15"/>
      <c r="N102" s="15"/>
      <c r="O102" s="15"/>
      <c r="P102" s="15"/>
      <c r="Q102" s="15"/>
      <c r="R102" s="15"/>
      <c r="S102" s="15"/>
      <c r="T102" s="15"/>
      <c r="U102" s="15"/>
      <c r="V102" s="15"/>
      <c r="W102" s="15"/>
      <c r="X102" s="15">
        <v>0.341469280423988</v>
      </c>
      <c r="Y102" s="15"/>
      <c r="Z102" s="15"/>
      <c r="AA102" s="15"/>
      <c r="AB102" s="15"/>
      <c r="AC102" s="15"/>
      <c r="AD102" s="15"/>
      <c r="AE102" s="15"/>
      <c r="AF102" s="15"/>
      <c r="AG102" s="15"/>
      <c r="AH102" s="15"/>
      <c r="AI102" s="15"/>
      <c r="AJ102" s="15"/>
      <c r="AK102" s="15"/>
      <c r="AL102" s="15">
        <v>0.85297758531096701</v>
      </c>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f t="shared" si="5"/>
        <v>0.85297758531096701</v>
      </c>
      <c r="CC102" s="15" t="str">
        <f t="shared" si="5"/>
        <v xml:space="preserve"> </v>
      </c>
      <c r="CD102" s="15" t="str">
        <f t="shared" si="4"/>
        <v xml:space="preserve"> </v>
      </c>
      <c r="CE102" s="15" t="str">
        <f t="shared" si="4"/>
        <v xml:space="preserve"> </v>
      </c>
      <c r="CF102" s="15" t="str">
        <f t="shared" si="4"/>
        <v xml:space="preserve"> </v>
      </c>
      <c r="CG102" s="15" t="str">
        <f t="shared" si="4"/>
        <v xml:space="preserve"> </v>
      </c>
      <c r="CH102" s="15" t="str">
        <f t="shared" si="4"/>
        <v xml:space="preserve"> </v>
      </c>
      <c r="CI102">
        <f t="shared" si="6"/>
        <v>2018</v>
      </c>
      <c r="CJ102" t="str">
        <f t="shared" si="7"/>
        <v>Budgetary central government</v>
      </c>
    </row>
    <row r="103" spans="1:88">
      <c r="A103" t="s">
        <v>203</v>
      </c>
      <c r="B103" t="s">
        <v>418</v>
      </c>
      <c r="C103" s="15">
        <v>1.23697169924855</v>
      </c>
      <c r="D103" s="15">
        <v>0.74014956371960405</v>
      </c>
      <c r="E103" s="15">
        <v>0</v>
      </c>
      <c r="F103" s="15">
        <v>0.266664502158312</v>
      </c>
      <c r="G103" s="15">
        <v>7.58378644715334E-2</v>
      </c>
      <c r="H103" s="15">
        <v>8.0642647253452795E-4</v>
      </c>
      <c r="I103" s="15">
        <v>0.153513342426566</v>
      </c>
      <c r="J103" s="15">
        <v>1.23697169924855</v>
      </c>
      <c r="K103" s="15">
        <v>0.74014956371960405</v>
      </c>
      <c r="L103" s="15">
        <v>0</v>
      </c>
      <c r="M103" s="15">
        <v>0.266664502158312</v>
      </c>
      <c r="N103" s="15">
        <v>7.58378644715334E-2</v>
      </c>
      <c r="O103" s="15">
        <v>8.0642647253452795E-4</v>
      </c>
      <c r="P103" s="15">
        <v>0.153513342426566</v>
      </c>
      <c r="Q103" s="15">
        <v>1.1438187511873801</v>
      </c>
      <c r="R103" s="15">
        <v>0.72099010878471503</v>
      </c>
      <c r="S103" s="15">
        <v>9.7645881953595907E-3</v>
      </c>
      <c r="T103" s="15">
        <v>0.21642822512155099</v>
      </c>
      <c r="U103" s="15">
        <v>7.1017743388679E-2</v>
      </c>
      <c r="V103" s="15">
        <v>6.6608479827059302E-4</v>
      </c>
      <c r="W103" s="15">
        <v>0.124952000898806</v>
      </c>
      <c r="X103" s="15">
        <v>1.1438187511873801</v>
      </c>
      <c r="Y103" s="15">
        <v>0.72099010878471503</v>
      </c>
      <c r="Z103" s="15">
        <v>9.7645881953595907E-3</v>
      </c>
      <c r="AA103" s="15">
        <v>0.21642822512155099</v>
      </c>
      <c r="AB103" s="15">
        <v>7.1017743388679E-2</v>
      </c>
      <c r="AC103" s="15">
        <v>6.6608479827059302E-4</v>
      </c>
      <c r="AD103" s="15">
        <v>0.124952000898806</v>
      </c>
      <c r="AE103" s="15">
        <v>1.16314148919815</v>
      </c>
      <c r="AF103" s="15">
        <v>0.74404630535386895</v>
      </c>
      <c r="AG103" s="15">
        <v>1.5824984106149301E-2</v>
      </c>
      <c r="AH103" s="15">
        <v>0.225375847692664</v>
      </c>
      <c r="AI103" s="15">
        <v>7.50280774823983E-2</v>
      </c>
      <c r="AJ103" s="15">
        <v>5.9501128568896998E-4</v>
      </c>
      <c r="AK103" s="15">
        <v>0.10227126327738301</v>
      </c>
      <c r="AL103" s="15">
        <v>1.16314148919815</v>
      </c>
      <c r="AM103" s="15">
        <v>0.74404630535386895</v>
      </c>
      <c r="AN103" s="15">
        <v>1.5824984106149301E-2</v>
      </c>
      <c r="AO103" s="15">
        <v>0.225375847692664</v>
      </c>
      <c r="AP103" s="15">
        <v>7.50280774823983E-2</v>
      </c>
      <c r="AQ103" s="15">
        <v>5.9501128568896998E-4</v>
      </c>
      <c r="AR103" s="15">
        <v>0.10227126327738301</v>
      </c>
      <c r="AS103" s="15">
        <v>1.1800691923676301</v>
      </c>
      <c r="AT103" s="15">
        <v>0.73373369657689003</v>
      </c>
      <c r="AU103" s="15">
        <v>3.39416362290509E-2</v>
      </c>
      <c r="AV103" s="15">
        <v>0.25391908194394902</v>
      </c>
      <c r="AW103" s="15">
        <v>7.9956967249870198E-2</v>
      </c>
      <c r="AX103" s="15">
        <v>4.3254747143314602E-4</v>
      </c>
      <c r="AY103" s="15">
        <v>7.8085262896439606E-2</v>
      </c>
      <c r="AZ103" s="15">
        <v>1.1800691923676301</v>
      </c>
      <c r="BA103" s="15">
        <v>0.73373369657689003</v>
      </c>
      <c r="BB103" s="15">
        <v>3.39416362290509E-2</v>
      </c>
      <c r="BC103" s="15">
        <v>0.25391908194394902</v>
      </c>
      <c r="BD103" s="15">
        <v>7.9956967249870198E-2</v>
      </c>
      <c r="BE103" s="15">
        <v>4.3254747143314602E-4</v>
      </c>
      <c r="BF103" s="15">
        <v>7.8085262896439606E-2</v>
      </c>
      <c r="BG103" s="15">
        <v>1.33310666552716</v>
      </c>
      <c r="BH103" s="15">
        <v>0.82991303171453401</v>
      </c>
      <c r="BI103" s="15">
        <v>4.3834644563106699E-2</v>
      </c>
      <c r="BJ103" s="15">
        <v>0.27636900727936398</v>
      </c>
      <c r="BK103" s="15">
        <v>9.0173579270447404E-2</v>
      </c>
      <c r="BL103" s="15">
        <v>4.71865592741677E-4</v>
      </c>
      <c r="BM103" s="15">
        <v>9.2344537106968105E-2</v>
      </c>
      <c r="BN103" s="15">
        <v>1.33310666552716</v>
      </c>
      <c r="BO103" s="15">
        <v>0.82991303171453401</v>
      </c>
      <c r="BP103" s="15">
        <v>4.3834644563106699E-2</v>
      </c>
      <c r="BQ103" s="15">
        <v>0.27636900727936398</v>
      </c>
      <c r="BR103" s="15">
        <v>9.0173579270447404E-2</v>
      </c>
      <c r="BS103" s="15">
        <v>4.71865592741677E-4</v>
      </c>
      <c r="BT103" s="15">
        <v>9.2344537106968105E-2</v>
      </c>
      <c r="BU103" s="15"/>
      <c r="BV103" s="15"/>
      <c r="BW103" s="15"/>
      <c r="BX103" s="15"/>
      <c r="BY103" s="15"/>
      <c r="BZ103" s="15"/>
      <c r="CA103" s="15"/>
      <c r="CB103" s="15">
        <f t="shared" si="5"/>
        <v>1.33310666552716</v>
      </c>
      <c r="CC103" s="15">
        <f t="shared" si="5"/>
        <v>0.82991303171453401</v>
      </c>
      <c r="CD103" s="15">
        <f t="shared" si="4"/>
        <v>4.3834644563106699E-2</v>
      </c>
      <c r="CE103" s="15">
        <f t="shared" si="4"/>
        <v>0.27636900727936398</v>
      </c>
      <c r="CF103" s="15">
        <f t="shared" si="4"/>
        <v>9.0173579270447404E-2</v>
      </c>
      <c r="CG103" s="15">
        <f t="shared" si="4"/>
        <v>4.71865592741677E-4</v>
      </c>
      <c r="CH103" s="15">
        <f t="shared" si="4"/>
        <v>9.2344537106968105E-2</v>
      </c>
      <c r="CI103">
        <f t="shared" si="6"/>
        <v>2020</v>
      </c>
      <c r="CJ103" t="str">
        <f t="shared" si="7"/>
        <v>General government</v>
      </c>
    </row>
    <row r="104" spans="1:88">
      <c r="A104" t="s">
        <v>653</v>
      </c>
      <c r="B104" t="s">
        <v>433</v>
      </c>
      <c r="C104" s="15">
        <v>2.0813249741122402</v>
      </c>
      <c r="D104" s="15">
        <v>1.3639329745534099</v>
      </c>
      <c r="E104" s="15">
        <v>6.2040871152471602E-2</v>
      </c>
      <c r="F104" s="15">
        <v>0.27250402081527503</v>
      </c>
      <c r="G104" s="15">
        <v>0.25534668928618498</v>
      </c>
      <c r="H104" s="15">
        <v>4.0817069629082298E-4</v>
      </c>
      <c r="I104" s="15">
        <v>0.12709224760860199</v>
      </c>
      <c r="J104" s="15">
        <v>1.90507850981702</v>
      </c>
      <c r="K104" s="15">
        <v>1.3079757117833399</v>
      </c>
      <c r="L104" s="15">
        <v>1.3369674939658799E-6</v>
      </c>
      <c r="M104" s="15">
        <v>0.27070010466939698</v>
      </c>
      <c r="N104" s="15">
        <v>0.25534831454030299</v>
      </c>
      <c r="O104" s="15">
        <v>6.2902276830334198E-5</v>
      </c>
      <c r="P104" s="15">
        <v>7.0990139579655206E-2</v>
      </c>
      <c r="Q104" s="15">
        <v>2.0123814335088599</v>
      </c>
      <c r="R104" s="15">
        <v>1.2698116516845299</v>
      </c>
      <c r="S104" s="15">
        <v>5.29792840236245E-2</v>
      </c>
      <c r="T104" s="15">
        <v>0.25797949058317599</v>
      </c>
      <c r="U104" s="15">
        <v>0.28615303251561602</v>
      </c>
      <c r="V104" s="15">
        <v>3.5966298593296397E-4</v>
      </c>
      <c r="W104" s="15">
        <v>0.145098311715983</v>
      </c>
      <c r="X104" s="15">
        <v>1.8397243005902899</v>
      </c>
      <c r="Y104" s="15">
        <v>1.2059974326338101</v>
      </c>
      <c r="Z104" s="15">
        <v>3.1126278010676102E-6</v>
      </c>
      <c r="AA104" s="15">
        <v>0.25672290020148503</v>
      </c>
      <c r="AB104" s="15">
        <v>0.28615303251561602</v>
      </c>
      <c r="AC104" s="15">
        <v>5.2757870844204701E-5</v>
      </c>
      <c r="AD104" s="15">
        <v>9.0795064740732095E-2</v>
      </c>
      <c r="AE104" s="15">
        <v>2.0701546836733402</v>
      </c>
      <c r="AF104" s="15">
        <v>1.3382094236379001</v>
      </c>
      <c r="AG104" s="15">
        <v>4.44578446276441E-2</v>
      </c>
      <c r="AH104" s="15">
        <v>0.263576877958003</v>
      </c>
      <c r="AI104" s="15">
        <v>0.27411159655567202</v>
      </c>
      <c r="AJ104" s="15">
        <v>3.0733402241507298E-4</v>
      </c>
      <c r="AK104" s="15">
        <v>0.14949160687170801</v>
      </c>
      <c r="AL104" s="15">
        <v>1.9262565360433499</v>
      </c>
      <c r="AM104" s="15">
        <v>1.2891750891540401</v>
      </c>
      <c r="AN104" s="15">
        <v>2.3372063147799201E-6</v>
      </c>
      <c r="AO104" s="15">
        <v>0.26195687486496899</v>
      </c>
      <c r="AP104" s="15">
        <v>0.274148926919906</v>
      </c>
      <c r="AQ104" s="15">
        <v>3.6722134050040198E-5</v>
      </c>
      <c r="AR104" s="15">
        <v>0.10093658576407399</v>
      </c>
      <c r="AS104" s="15">
        <v>2.1510603689074999</v>
      </c>
      <c r="AT104" s="15">
        <v>1.4179397227677799</v>
      </c>
      <c r="AU104" s="15">
        <v>4.3933857698552403E-2</v>
      </c>
      <c r="AV104" s="15">
        <v>0.28984464311304098</v>
      </c>
      <c r="AW104" s="15">
        <v>0.26394875456556799</v>
      </c>
      <c r="AX104" s="15">
        <v>2.7699184718728298E-4</v>
      </c>
      <c r="AY104" s="15">
        <v>0.135116398915371</v>
      </c>
      <c r="AZ104" s="15">
        <v>2.00842389724663</v>
      </c>
      <c r="BA104" s="15">
        <v>1.37078541258461</v>
      </c>
      <c r="BB104" s="15">
        <v>3.0940234559940999E-6</v>
      </c>
      <c r="BC104" s="15">
        <v>0.28832241118582203</v>
      </c>
      <c r="BD104" s="15">
        <v>0.26394875456556799</v>
      </c>
      <c r="BE104" s="15">
        <v>4.71060622471566E-5</v>
      </c>
      <c r="BF104" s="15">
        <v>8.5317118824924598E-2</v>
      </c>
      <c r="BG104" s="15">
        <v>2.2417793496787302</v>
      </c>
      <c r="BH104" s="15">
        <v>1.4669880424204</v>
      </c>
      <c r="BI104" s="15">
        <v>3.8843294513619397E-2</v>
      </c>
      <c r="BJ104" s="15">
        <v>0.30295487308979002</v>
      </c>
      <c r="BK104" s="15">
        <v>0.285792161286196</v>
      </c>
      <c r="BL104" s="15">
        <v>2.5935066212984497E-4</v>
      </c>
      <c r="BM104" s="15">
        <v>0.146941627706591</v>
      </c>
      <c r="BN104" s="15">
        <v>2.1089854203651299</v>
      </c>
      <c r="BO104" s="15">
        <v>1.41927598844124</v>
      </c>
      <c r="BP104" s="15">
        <v>0</v>
      </c>
      <c r="BQ104" s="15">
        <v>0.30146577158972798</v>
      </c>
      <c r="BR104" s="15">
        <v>0.28582579967521898</v>
      </c>
      <c r="BS104" s="15">
        <v>5.1392576583579303E-6</v>
      </c>
      <c r="BT104" s="15">
        <v>0.102412721401267</v>
      </c>
      <c r="BU104" s="15"/>
      <c r="BV104" s="15"/>
      <c r="BW104" s="15"/>
      <c r="BX104" s="15"/>
      <c r="BY104" s="15"/>
      <c r="BZ104" s="15"/>
      <c r="CA104" s="15"/>
      <c r="CB104" s="15">
        <f t="shared" si="5"/>
        <v>2.2417793496787302</v>
      </c>
      <c r="CC104" s="15">
        <f t="shared" si="5"/>
        <v>1.4669880424204</v>
      </c>
      <c r="CD104" s="15">
        <f t="shared" si="4"/>
        <v>3.8843294513619397E-2</v>
      </c>
      <c r="CE104" s="15">
        <f t="shared" si="4"/>
        <v>0.30295487308979002</v>
      </c>
      <c r="CF104" s="15">
        <f t="shared" si="4"/>
        <v>0.285792161286196</v>
      </c>
      <c r="CG104" s="15">
        <f t="shared" si="4"/>
        <v>2.5935066212984497E-4</v>
      </c>
      <c r="CH104" s="15">
        <f t="shared" si="4"/>
        <v>0.146941627706591</v>
      </c>
      <c r="CI104">
        <f t="shared" si="6"/>
        <v>2020</v>
      </c>
      <c r="CJ104" t="str">
        <f t="shared" si="7"/>
        <v>General government</v>
      </c>
    </row>
    <row r="105" spans="1:88">
      <c r="A105" t="s">
        <v>110</v>
      </c>
      <c r="B105" t="s">
        <v>323</v>
      </c>
      <c r="C105" s="15"/>
      <c r="D105" s="15"/>
      <c r="E105" s="15"/>
      <c r="F105" s="15"/>
      <c r="G105" s="15"/>
      <c r="H105" s="15"/>
      <c r="I105" s="15"/>
      <c r="J105" s="15">
        <v>1.1361561587032101</v>
      </c>
      <c r="K105" s="15">
        <v>0.73655024074984699</v>
      </c>
      <c r="L105" s="15">
        <v>0</v>
      </c>
      <c r="M105" s="15">
        <v>0.26178033008026003</v>
      </c>
      <c r="N105" s="15">
        <v>0.12644637318995899</v>
      </c>
      <c r="O105" s="15">
        <v>0</v>
      </c>
      <c r="P105" s="15">
        <v>1.13792146831471E-2</v>
      </c>
      <c r="Q105" s="15"/>
      <c r="R105" s="15"/>
      <c r="S105" s="15"/>
      <c r="T105" s="15"/>
      <c r="U105" s="15"/>
      <c r="V105" s="15"/>
      <c r="W105" s="15"/>
      <c r="X105" s="15">
        <v>0.97376785172459701</v>
      </c>
      <c r="Y105" s="15">
        <v>0.97376785172459701</v>
      </c>
      <c r="Z105" s="15">
        <v>0</v>
      </c>
      <c r="AA105" s="15">
        <v>0</v>
      </c>
      <c r="AB105" s="15">
        <v>0</v>
      </c>
      <c r="AC105" s="15">
        <v>0</v>
      </c>
      <c r="AD105" s="15">
        <v>0</v>
      </c>
      <c r="AE105" s="15"/>
      <c r="AF105" s="15"/>
      <c r="AG105" s="15"/>
      <c r="AH105" s="15"/>
      <c r="AI105" s="15"/>
      <c r="AJ105" s="15"/>
      <c r="AK105" s="15"/>
      <c r="AL105" s="15">
        <v>0.48814906960985599</v>
      </c>
      <c r="AM105" s="15">
        <v>0</v>
      </c>
      <c r="AN105" s="15">
        <v>0</v>
      </c>
      <c r="AO105" s="15">
        <v>0</v>
      </c>
      <c r="AP105" s="15">
        <v>0</v>
      </c>
      <c r="AQ105" s="15">
        <v>0</v>
      </c>
      <c r="AR105" s="15">
        <v>0.48814906960985599</v>
      </c>
      <c r="AS105" s="15"/>
      <c r="AT105" s="15"/>
      <c r="AU105" s="15"/>
      <c r="AV105" s="15"/>
      <c r="AW105" s="15"/>
      <c r="AX105" s="15"/>
      <c r="AY105" s="15"/>
      <c r="AZ105" s="15">
        <v>0.114748325003042</v>
      </c>
      <c r="BA105" s="15">
        <v>0</v>
      </c>
      <c r="BB105" s="15">
        <v>0</v>
      </c>
      <c r="BC105" s="15">
        <v>0</v>
      </c>
      <c r="BD105" s="15">
        <v>0</v>
      </c>
      <c r="BE105" s="15">
        <v>0</v>
      </c>
      <c r="BF105" s="15">
        <v>0.114748325003042</v>
      </c>
      <c r="BG105" s="15"/>
      <c r="BH105" s="15"/>
      <c r="BI105" s="15"/>
      <c r="BJ105" s="15"/>
      <c r="BK105" s="15"/>
      <c r="BL105" s="15"/>
      <c r="BM105" s="15"/>
      <c r="BN105" s="15">
        <v>1.01011587088385</v>
      </c>
      <c r="BO105" s="15">
        <v>0</v>
      </c>
      <c r="BP105" s="15">
        <v>0</v>
      </c>
      <c r="BQ105" s="15">
        <v>0</v>
      </c>
      <c r="BR105" s="15">
        <v>0</v>
      </c>
      <c r="BS105" s="15">
        <v>0</v>
      </c>
      <c r="BT105" s="15">
        <v>1.01011587088385</v>
      </c>
      <c r="BU105" s="15"/>
      <c r="BV105" s="15"/>
      <c r="BW105" s="15"/>
      <c r="BX105" s="15"/>
      <c r="BY105" s="15"/>
      <c r="BZ105" s="15"/>
      <c r="CA105" s="15"/>
      <c r="CB105" s="15">
        <f t="shared" si="5"/>
        <v>1.01011587088385</v>
      </c>
      <c r="CC105" s="15">
        <f t="shared" si="5"/>
        <v>0</v>
      </c>
      <c r="CD105" s="15">
        <f t="shared" si="4"/>
        <v>0</v>
      </c>
      <c r="CE105" s="15">
        <f t="shared" si="4"/>
        <v>0</v>
      </c>
      <c r="CF105" s="15">
        <f t="shared" si="4"/>
        <v>0</v>
      </c>
      <c r="CG105" s="15">
        <f t="shared" si="4"/>
        <v>0</v>
      </c>
      <c r="CH105" s="15">
        <f t="shared" si="4"/>
        <v>1.01011587088385</v>
      </c>
      <c r="CI105">
        <f t="shared" si="6"/>
        <v>2020</v>
      </c>
      <c r="CJ105" t="str">
        <f t="shared" si="7"/>
        <v>Budgetary central government</v>
      </c>
    </row>
    <row r="106" spans="1:88">
      <c r="A106" t="s">
        <v>170</v>
      </c>
      <c r="B106" t="s">
        <v>384</v>
      </c>
      <c r="C106" s="15">
        <v>3.0207762579091599</v>
      </c>
      <c r="D106" s="15">
        <v>1.6465893927433399</v>
      </c>
      <c r="E106" s="15">
        <v>0.268646292163847</v>
      </c>
      <c r="F106" s="15">
        <v>0.29759361976584697</v>
      </c>
      <c r="G106" s="15">
        <v>0.15179215609170399</v>
      </c>
      <c r="H106" s="15">
        <v>6.7956000062045002E-3</v>
      </c>
      <c r="I106" s="15">
        <v>0.64935919713821799</v>
      </c>
      <c r="J106" s="15">
        <v>3.0045858771417602</v>
      </c>
      <c r="K106" s="15">
        <v>1.6465893927433399</v>
      </c>
      <c r="L106" s="15">
        <v>0.25338658579581302</v>
      </c>
      <c r="M106" s="15">
        <v>0.29759361976584697</v>
      </c>
      <c r="N106" s="15">
        <v>0.15179215609170399</v>
      </c>
      <c r="O106" s="15">
        <v>6.7956000062045002E-3</v>
      </c>
      <c r="P106" s="15">
        <v>0.64842852273884899</v>
      </c>
      <c r="Q106" s="15">
        <v>2.9663958545428599</v>
      </c>
      <c r="R106" s="15">
        <v>1.3735534308663999</v>
      </c>
      <c r="S106" s="15">
        <v>0.311818620680407</v>
      </c>
      <c r="T106" s="15">
        <v>0.32387392219704197</v>
      </c>
      <c r="U106" s="15">
        <v>0.15558244941198601</v>
      </c>
      <c r="V106" s="15">
        <v>2.4171228510989199E-3</v>
      </c>
      <c r="W106" s="15">
        <v>0.79915030853593105</v>
      </c>
      <c r="X106" s="15">
        <v>2.94511469380104</v>
      </c>
      <c r="Y106" s="15">
        <v>1.3735534308663999</v>
      </c>
      <c r="Z106" s="15">
        <v>0.29164375846486001</v>
      </c>
      <c r="AA106" s="15">
        <v>0.32387392219704197</v>
      </c>
      <c r="AB106" s="15">
        <v>0.15558244941198601</v>
      </c>
      <c r="AC106" s="15">
        <v>2.4171228510989199E-3</v>
      </c>
      <c r="AD106" s="15">
        <v>0.79804401000965497</v>
      </c>
      <c r="AE106" s="15">
        <v>3.3150446226190899</v>
      </c>
      <c r="AF106" s="15">
        <v>1.50753503494928</v>
      </c>
      <c r="AG106" s="15">
        <v>0.33293804851386199</v>
      </c>
      <c r="AH106" s="15">
        <v>0.423801126983048</v>
      </c>
      <c r="AI106" s="15">
        <v>0.18537753258010101</v>
      </c>
      <c r="AJ106" s="15">
        <v>2.4632741829204402E-3</v>
      </c>
      <c r="AK106" s="15">
        <v>0.86292960540987795</v>
      </c>
      <c r="AL106" s="15">
        <v>3.2827552269442299</v>
      </c>
      <c r="AM106" s="15">
        <v>1.50753503494928</v>
      </c>
      <c r="AN106" s="15">
        <v>0.31032479828958298</v>
      </c>
      <c r="AO106" s="15">
        <v>0.423801126983048</v>
      </c>
      <c r="AP106" s="15">
        <v>0.18537753258010101</v>
      </c>
      <c r="AQ106" s="15">
        <v>2.4632741829204402E-3</v>
      </c>
      <c r="AR106" s="15">
        <v>0.85325345995929602</v>
      </c>
      <c r="AS106" s="15">
        <v>3.6129556537039398</v>
      </c>
      <c r="AT106" s="15">
        <v>1.6911881178658901</v>
      </c>
      <c r="AU106" s="15">
        <v>0.38995041232546102</v>
      </c>
      <c r="AV106" s="15">
        <v>0.46513399634617097</v>
      </c>
      <c r="AW106" s="15">
        <v>0.182829720823555</v>
      </c>
      <c r="AX106" s="15">
        <v>2.6777645970856899E-3</v>
      </c>
      <c r="AY106" s="15">
        <v>0.88117564174577201</v>
      </c>
      <c r="AZ106" s="15">
        <v>3.5801536659728801</v>
      </c>
      <c r="BA106" s="15">
        <v>1.6911881178658901</v>
      </c>
      <c r="BB106" s="15">
        <v>0.36790976964184302</v>
      </c>
      <c r="BC106" s="15">
        <v>0.46513399634617097</v>
      </c>
      <c r="BD106" s="15">
        <v>0.182829720823555</v>
      </c>
      <c r="BE106" s="15">
        <v>2.6777645970856899E-3</v>
      </c>
      <c r="BF106" s="15">
        <v>0.87041429669832904</v>
      </c>
      <c r="BG106" s="15">
        <v>3.8052188716046098</v>
      </c>
      <c r="BH106" s="15">
        <v>1.8172369141747</v>
      </c>
      <c r="BI106" s="15">
        <v>0.46769169992156201</v>
      </c>
      <c r="BJ106" s="15">
        <v>0.44488084537093803</v>
      </c>
      <c r="BK106" s="15">
        <v>0.18455751427050099</v>
      </c>
      <c r="BL106" s="15">
        <v>3.3875144804316202E-3</v>
      </c>
      <c r="BM106" s="15">
        <v>0.88746438338648403</v>
      </c>
      <c r="BN106" s="15">
        <v>3.76147222333549</v>
      </c>
      <c r="BO106" s="15">
        <v>1.8172369141747</v>
      </c>
      <c r="BP106" s="15">
        <v>0.43519780221877402</v>
      </c>
      <c r="BQ106" s="15">
        <v>0.44488084537093803</v>
      </c>
      <c r="BR106" s="15">
        <v>0.18455751427050099</v>
      </c>
      <c r="BS106" s="15">
        <v>3.3875144804316202E-3</v>
      </c>
      <c r="BT106" s="15">
        <v>0.87621163282014902</v>
      </c>
      <c r="BU106" s="15"/>
      <c r="BV106" s="15"/>
      <c r="BW106" s="15"/>
      <c r="BX106" s="15"/>
      <c r="BY106" s="15"/>
      <c r="BZ106" s="15"/>
      <c r="CA106" s="15"/>
      <c r="CB106" s="15">
        <f t="shared" si="5"/>
        <v>3.8052188716046098</v>
      </c>
      <c r="CC106" s="15">
        <f t="shared" si="5"/>
        <v>1.8172369141747</v>
      </c>
      <c r="CD106" s="15">
        <f t="shared" si="4"/>
        <v>0.46769169992156201</v>
      </c>
      <c r="CE106" s="15">
        <f t="shared" si="4"/>
        <v>0.44488084537093803</v>
      </c>
      <c r="CF106" s="15">
        <f t="shared" si="4"/>
        <v>0.18455751427050099</v>
      </c>
      <c r="CG106" s="15">
        <f t="shared" si="4"/>
        <v>3.3875144804316202E-3</v>
      </c>
      <c r="CH106" s="15">
        <f t="shared" si="4"/>
        <v>0.88746438338648403</v>
      </c>
      <c r="CI106">
        <f t="shared" si="6"/>
        <v>2020</v>
      </c>
      <c r="CJ106" t="str">
        <f t="shared" si="7"/>
        <v>General government</v>
      </c>
    </row>
    <row r="107" spans="1:88">
      <c r="A107" t="s">
        <v>255</v>
      </c>
      <c r="B107" t="s">
        <v>561</v>
      </c>
      <c r="C107" s="15">
        <v>3.6068288921401601</v>
      </c>
      <c r="D107" s="15"/>
      <c r="E107" s="15"/>
      <c r="F107" s="15"/>
      <c r="G107" s="15"/>
      <c r="H107" s="15"/>
      <c r="I107" s="15"/>
      <c r="J107" s="15">
        <v>0.76992633271890598</v>
      </c>
      <c r="K107" s="15"/>
      <c r="L107" s="15"/>
      <c r="M107" s="15"/>
      <c r="N107" s="15"/>
      <c r="O107" s="15"/>
      <c r="P107" s="15"/>
      <c r="Q107" s="15">
        <v>3.9678251766666501</v>
      </c>
      <c r="R107" s="15"/>
      <c r="S107" s="15"/>
      <c r="T107" s="15"/>
      <c r="U107" s="15"/>
      <c r="V107" s="15"/>
      <c r="W107" s="15"/>
      <c r="X107" s="15">
        <v>0.73815123527966198</v>
      </c>
      <c r="Y107" s="15"/>
      <c r="Z107" s="15"/>
      <c r="AA107" s="15"/>
      <c r="AB107" s="15"/>
      <c r="AC107" s="15"/>
      <c r="AD107" s="15"/>
      <c r="AE107" s="15">
        <v>4.2107303548170503</v>
      </c>
      <c r="AF107" s="15"/>
      <c r="AG107" s="15"/>
      <c r="AH107" s="15"/>
      <c r="AI107" s="15"/>
      <c r="AJ107" s="15"/>
      <c r="AK107" s="15"/>
      <c r="AL107" s="15">
        <v>0.696891732718942</v>
      </c>
      <c r="AM107" s="15"/>
      <c r="AN107" s="15"/>
      <c r="AO107" s="15"/>
      <c r="AP107" s="15"/>
      <c r="AQ107" s="15"/>
      <c r="AR107" s="15"/>
      <c r="AS107" s="15">
        <v>4.0316960676358802</v>
      </c>
      <c r="AT107" s="15"/>
      <c r="AU107" s="15"/>
      <c r="AV107" s="15"/>
      <c r="AW107" s="15"/>
      <c r="AX107" s="15"/>
      <c r="AY107" s="15"/>
      <c r="AZ107" s="15">
        <v>0.62629705718484996</v>
      </c>
      <c r="BA107" s="15"/>
      <c r="BB107" s="15"/>
      <c r="BC107" s="15"/>
      <c r="BD107" s="15"/>
      <c r="BE107" s="15"/>
      <c r="BF107" s="15"/>
      <c r="BG107" s="15">
        <v>3.20344046219875</v>
      </c>
      <c r="BH107" s="15">
        <v>0.89828964990674898</v>
      </c>
      <c r="BI107" s="15">
        <v>3.6140442284433499E-2</v>
      </c>
      <c r="BJ107" s="15">
        <v>6.6141525672523793E-2</v>
      </c>
      <c r="BK107" s="15">
        <v>0</v>
      </c>
      <c r="BL107" s="15">
        <v>0</v>
      </c>
      <c r="BM107" s="15">
        <v>2.2028688443350499</v>
      </c>
      <c r="BN107" s="15">
        <v>0.73401285703663299</v>
      </c>
      <c r="BO107" s="15">
        <v>0.10090064388070499</v>
      </c>
      <c r="BP107" s="15">
        <v>0</v>
      </c>
      <c r="BQ107" s="15">
        <v>0</v>
      </c>
      <c r="BR107" s="15">
        <v>0</v>
      </c>
      <c r="BS107" s="15">
        <v>0</v>
      </c>
      <c r="BT107" s="15">
        <v>0.63311221315592703</v>
      </c>
      <c r="BU107" s="15"/>
      <c r="BV107" s="15"/>
      <c r="BW107" s="15"/>
      <c r="BX107" s="15"/>
      <c r="BY107" s="15"/>
      <c r="BZ107" s="15"/>
      <c r="CA107" s="15"/>
      <c r="CB107" s="15">
        <f t="shared" si="5"/>
        <v>3.20344046219875</v>
      </c>
      <c r="CC107" s="15">
        <f t="shared" si="5"/>
        <v>0.89828964990674898</v>
      </c>
      <c r="CD107" s="15">
        <f t="shared" si="5"/>
        <v>3.6140442284433499E-2</v>
      </c>
      <c r="CE107" s="15">
        <f t="shared" si="5"/>
        <v>6.6141525672523793E-2</v>
      </c>
      <c r="CF107" s="15">
        <f t="shared" si="5"/>
        <v>0</v>
      </c>
      <c r="CG107" s="15">
        <f t="shared" si="5"/>
        <v>0</v>
      </c>
      <c r="CH107" s="15">
        <f t="shared" si="5"/>
        <v>2.2028688443350499</v>
      </c>
      <c r="CI107">
        <f t="shared" si="6"/>
        <v>2020</v>
      </c>
      <c r="CJ107" t="str">
        <f t="shared" si="7"/>
        <v>General government</v>
      </c>
    </row>
    <row r="108" spans="1:88">
      <c r="A108" t="s">
        <v>72</v>
      </c>
      <c r="B108" t="s">
        <v>454</v>
      </c>
      <c r="C108" s="15">
        <v>1.7848518177283199</v>
      </c>
      <c r="D108" s="15">
        <v>0.97637751544897999</v>
      </c>
      <c r="E108" s="15">
        <v>0.13849783649817199</v>
      </c>
      <c r="F108" s="15">
        <v>0.38430298348042602</v>
      </c>
      <c r="G108" s="15">
        <v>0.20102765097156799</v>
      </c>
      <c r="H108" s="15">
        <v>4.3141109113286596E-3</v>
      </c>
      <c r="I108" s="15">
        <v>8.0331720417844005E-2</v>
      </c>
      <c r="J108" s="15">
        <v>1.57380749544539</v>
      </c>
      <c r="K108" s="15">
        <v>0.73478730441457496</v>
      </c>
      <c r="L108" s="15">
        <v>2.3355703899262E-2</v>
      </c>
      <c r="M108" s="15">
        <v>0.373840024833411</v>
      </c>
      <c r="N108" s="15">
        <v>0.20534176188289599</v>
      </c>
      <c r="O108" s="15">
        <v>4.3141109113286596E-3</v>
      </c>
      <c r="P108" s="15">
        <v>0.232168589503917</v>
      </c>
      <c r="Q108" s="15">
        <v>1.7954903409066501</v>
      </c>
      <c r="R108" s="15">
        <v>0.97957077795839398</v>
      </c>
      <c r="S108" s="15">
        <v>0.14767710165687301</v>
      </c>
      <c r="T108" s="15">
        <v>0.37803812138704901</v>
      </c>
      <c r="U108" s="15">
        <v>0.206423691660511</v>
      </c>
      <c r="V108" s="15">
        <v>4.4822885230048704E-3</v>
      </c>
      <c r="W108" s="15">
        <v>7.9298359720820194E-2</v>
      </c>
      <c r="X108" s="15">
        <v>1.54829689725498</v>
      </c>
      <c r="Y108" s="15">
        <v>0.79665525908342905</v>
      </c>
      <c r="Z108" s="15">
        <v>2.3508172785546799E-2</v>
      </c>
      <c r="AA108" s="15">
        <v>0.37288825797763903</v>
      </c>
      <c r="AB108" s="15">
        <v>0.20847410024018401</v>
      </c>
      <c r="AC108" s="15">
        <v>4.4822885230048704E-3</v>
      </c>
      <c r="AD108" s="15">
        <v>0.14228881864517601</v>
      </c>
      <c r="AE108" s="15">
        <v>1.78469264801921</v>
      </c>
      <c r="AF108" s="15">
        <v>0.98377468519762001</v>
      </c>
      <c r="AG108" s="15">
        <v>0.14661650677434501</v>
      </c>
      <c r="AH108" s="15">
        <v>0.37923454042071802</v>
      </c>
      <c r="AI108" s="15">
        <v>0.194814153919738</v>
      </c>
      <c r="AJ108" s="15">
        <v>3.3112887351796801E-3</v>
      </c>
      <c r="AK108" s="15">
        <v>7.6941472971605696E-2</v>
      </c>
      <c r="AL108" s="15">
        <v>1.5574554585675</v>
      </c>
      <c r="AM108" s="15">
        <v>0.77249606784462699</v>
      </c>
      <c r="AN108" s="15">
        <v>2.3087040903613899E-2</v>
      </c>
      <c r="AO108" s="15">
        <v>0.37550934059364</v>
      </c>
      <c r="AP108" s="15">
        <v>0.19830940314020501</v>
      </c>
      <c r="AQ108" s="15">
        <v>3.3112887351796801E-3</v>
      </c>
      <c r="AR108" s="15">
        <v>0.184742317350233</v>
      </c>
      <c r="AS108" s="15">
        <v>1.7720614220033599</v>
      </c>
      <c r="AT108" s="15">
        <v>0.98395633718695197</v>
      </c>
      <c r="AU108" s="15">
        <v>0.14973730569511701</v>
      </c>
      <c r="AV108" s="15">
        <v>0.35991048573505002</v>
      </c>
      <c r="AW108" s="15">
        <v>0.17580942170007</v>
      </c>
      <c r="AX108" s="15">
        <v>3.4142056673153701E-3</v>
      </c>
      <c r="AY108" s="15">
        <v>9.9233666018854402E-2</v>
      </c>
      <c r="AZ108" s="15">
        <v>1.52242534528926</v>
      </c>
      <c r="BA108" s="15">
        <v>0.76965950614623502</v>
      </c>
      <c r="BB108" s="15">
        <v>2.2613570004296601E-2</v>
      </c>
      <c r="BC108" s="15">
        <v>0.35609721706765801</v>
      </c>
      <c r="BD108" s="15">
        <v>0.17980005170082899</v>
      </c>
      <c r="BE108" s="15">
        <v>3.4142056673153701E-3</v>
      </c>
      <c r="BF108" s="15">
        <v>0.190840794702926</v>
      </c>
      <c r="BG108" s="15">
        <v>2.0167123872467299</v>
      </c>
      <c r="BH108" s="15">
        <v>1.09738692817691</v>
      </c>
      <c r="BI108" s="15">
        <v>0.16457548685558501</v>
      </c>
      <c r="BJ108" s="15">
        <v>0.410345887542719</v>
      </c>
      <c r="BK108" s="15">
        <v>0.224285835858855</v>
      </c>
      <c r="BL108" s="15">
        <v>3.0692235468970401E-3</v>
      </c>
      <c r="BM108" s="15">
        <v>0.117049025265755</v>
      </c>
      <c r="BN108" s="15">
        <v>1.70458165320471</v>
      </c>
      <c r="BO108" s="15">
        <v>0.861661259097806</v>
      </c>
      <c r="BP108" s="15">
        <v>2.3344700311247201E-2</v>
      </c>
      <c r="BQ108" s="15">
        <v>0.40671862335093201</v>
      </c>
      <c r="BR108" s="15">
        <v>0.227913100050642</v>
      </c>
      <c r="BS108" s="15">
        <v>3.0692235468970401E-3</v>
      </c>
      <c r="BT108" s="15">
        <v>0.18187474684718699</v>
      </c>
      <c r="BU108" s="15"/>
      <c r="BV108" s="15"/>
      <c r="BW108" s="15"/>
      <c r="BX108" s="15"/>
      <c r="BY108" s="15"/>
      <c r="BZ108" s="15"/>
      <c r="CA108" s="15"/>
      <c r="CB108" s="15">
        <f t="shared" si="5"/>
        <v>2.0167123872467299</v>
      </c>
      <c r="CC108" s="15">
        <f t="shared" si="5"/>
        <v>1.09738692817691</v>
      </c>
      <c r="CD108" s="15">
        <f t="shared" si="5"/>
        <v>0.16457548685558501</v>
      </c>
      <c r="CE108" s="15">
        <f t="shared" si="5"/>
        <v>0.410345887542719</v>
      </c>
      <c r="CF108" s="15">
        <f t="shared" si="5"/>
        <v>0.224285835858855</v>
      </c>
      <c r="CG108" s="15">
        <f t="shared" si="5"/>
        <v>3.0692235468970401E-3</v>
      </c>
      <c r="CH108" s="15">
        <f t="shared" si="5"/>
        <v>0.117049025265755</v>
      </c>
      <c r="CI108">
        <f t="shared" si="6"/>
        <v>2020</v>
      </c>
      <c r="CJ108" t="str">
        <f t="shared" si="7"/>
        <v>General government</v>
      </c>
    </row>
    <row r="109" spans="1:88">
      <c r="A109" t="s">
        <v>77</v>
      </c>
      <c r="B109" t="s">
        <v>465</v>
      </c>
      <c r="C109" s="15">
        <v>2.0129449427925001</v>
      </c>
      <c r="D109" s="15"/>
      <c r="E109" s="15"/>
      <c r="F109" s="15"/>
      <c r="G109" s="15"/>
      <c r="H109" s="15"/>
      <c r="I109" s="15"/>
      <c r="J109" s="15"/>
      <c r="K109" s="15"/>
      <c r="L109" s="15"/>
      <c r="M109" s="15"/>
      <c r="N109" s="15"/>
      <c r="O109" s="15"/>
      <c r="P109" s="15"/>
      <c r="Q109" s="15">
        <v>1.980783048955</v>
      </c>
      <c r="R109" s="15"/>
      <c r="S109" s="15"/>
      <c r="T109" s="15"/>
      <c r="U109" s="15"/>
      <c r="V109" s="15"/>
      <c r="W109" s="15"/>
      <c r="X109" s="15"/>
      <c r="Y109" s="15"/>
      <c r="Z109" s="15"/>
      <c r="AA109" s="15"/>
      <c r="AB109" s="15"/>
      <c r="AC109" s="15"/>
      <c r="AD109" s="15"/>
      <c r="AE109" s="15">
        <v>1.9540026257907199</v>
      </c>
      <c r="AF109" s="15"/>
      <c r="AG109" s="15"/>
      <c r="AH109" s="15"/>
      <c r="AI109" s="15"/>
      <c r="AJ109" s="15"/>
      <c r="AK109" s="15"/>
      <c r="AL109" s="15"/>
      <c r="AM109" s="15"/>
      <c r="AN109" s="15"/>
      <c r="AO109" s="15"/>
      <c r="AP109" s="15"/>
      <c r="AQ109" s="15"/>
      <c r="AR109" s="15"/>
      <c r="AS109" s="15">
        <v>1.9212402796103401</v>
      </c>
      <c r="AT109" s="15"/>
      <c r="AU109" s="15"/>
      <c r="AV109" s="15"/>
      <c r="AW109" s="15"/>
      <c r="AX109" s="15"/>
      <c r="AY109" s="15"/>
      <c r="AZ109" s="15"/>
      <c r="BA109" s="15"/>
      <c r="BB109" s="15"/>
      <c r="BC109" s="15"/>
      <c r="BD109" s="15"/>
      <c r="BE109" s="15"/>
      <c r="BF109" s="15"/>
      <c r="BG109" s="15">
        <v>2.0240013401136698</v>
      </c>
      <c r="BH109" s="15"/>
      <c r="BI109" s="15"/>
      <c r="BJ109" s="15"/>
      <c r="BK109" s="15"/>
      <c r="BL109" s="15"/>
      <c r="BM109" s="15"/>
      <c r="BN109" s="15"/>
      <c r="BO109" s="15"/>
      <c r="BP109" s="15"/>
      <c r="BQ109" s="15"/>
      <c r="BR109" s="15"/>
      <c r="BS109" s="15"/>
      <c r="BT109" s="15"/>
      <c r="BU109" s="15"/>
      <c r="BV109" s="15"/>
      <c r="BW109" s="15"/>
      <c r="BX109" s="15"/>
      <c r="BY109" s="15"/>
      <c r="BZ109" s="15"/>
      <c r="CA109" s="15"/>
      <c r="CB109" s="15">
        <f t="shared" si="5"/>
        <v>2.0240013401136698</v>
      </c>
      <c r="CC109" s="15" t="str">
        <f t="shared" si="5"/>
        <v xml:space="preserve"> </v>
      </c>
      <c r="CD109" s="15" t="str">
        <f t="shared" si="5"/>
        <v xml:space="preserve"> </v>
      </c>
      <c r="CE109" s="15" t="str">
        <f t="shared" si="5"/>
        <v xml:space="preserve"> </v>
      </c>
      <c r="CF109" s="15" t="str">
        <f t="shared" si="5"/>
        <v xml:space="preserve"> </v>
      </c>
      <c r="CG109" s="15" t="str">
        <f t="shared" si="5"/>
        <v xml:space="preserve"> </v>
      </c>
      <c r="CH109" s="15" t="str">
        <f t="shared" si="5"/>
        <v xml:space="preserve"> </v>
      </c>
      <c r="CI109">
        <f t="shared" si="6"/>
        <v>2020</v>
      </c>
      <c r="CJ109" t="str">
        <f t="shared" si="7"/>
        <v>General government</v>
      </c>
    </row>
    <row r="110" spans="1:88">
      <c r="A110" t="s">
        <v>1640</v>
      </c>
      <c r="B110" t="s">
        <v>352</v>
      </c>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t="str">
        <f t="shared" si="5"/>
        <v xml:space="preserve"> </v>
      </c>
      <c r="CC110" s="15" t="str">
        <f t="shared" si="5"/>
        <v xml:space="preserve"> </v>
      </c>
      <c r="CD110" s="15" t="str">
        <f t="shared" si="5"/>
        <v xml:space="preserve"> </v>
      </c>
      <c r="CE110" s="15" t="str">
        <f t="shared" si="5"/>
        <v xml:space="preserve"> </v>
      </c>
      <c r="CF110" s="15" t="str">
        <f t="shared" si="5"/>
        <v xml:space="preserve"> </v>
      </c>
      <c r="CG110" s="15" t="str">
        <f t="shared" si="5"/>
        <v xml:space="preserve"> </v>
      </c>
      <c r="CH110" s="15" t="str">
        <f t="shared" si="5"/>
        <v xml:space="preserve"> </v>
      </c>
      <c r="CI110" t="str">
        <f t="shared" si="6"/>
        <v xml:space="preserve"> </v>
      </c>
      <c r="CJ110" t="str">
        <f t="shared" si="7"/>
        <v xml:space="preserve"> </v>
      </c>
    </row>
    <row r="111" spans="1:88">
      <c r="A111" t="s">
        <v>173</v>
      </c>
      <c r="B111" t="s">
        <v>387</v>
      </c>
      <c r="C111" s="15"/>
      <c r="D111" s="15"/>
      <c r="E111" s="15"/>
      <c r="F111" s="15"/>
      <c r="G111" s="15"/>
      <c r="H111" s="15"/>
      <c r="I111" s="15"/>
      <c r="J111" s="15">
        <v>2.2912573377209</v>
      </c>
      <c r="K111" s="15"/>
      <c r="L111" s="15"/>
      <c r="M111" s="15"/>
      <c r="N111" s="15"/>
      <c r="O111" s="15"/>
      <c r="P111" s="15"/>
      <c r="Q111" s="15"/>
      <c r="R111" s="15"/>
      <c r="S111" s="15"/>
      <c r="T111" s="15"/>
      <c r="U111" s="15"/>
      <c r="V111" s="15"/>
      <c r="W111" s="15"/>
      <c r="X111" s="15">
        <v>2.2550969372947698</v>
      </c>
      <c r="Y111" s="15">
        <v>0</v>
      </c>
      <c r="Z111" s="15">
        <v>0</v>
      </c>
      <c r="AA111" s="15">
        <v>0.100994285146871</v>
      </c>
      <c r="AB111" s="15">
        <v>0</v>
      </c>
      <c r="AC111" s="15">
        <v>0</v>
      </c>
      <c r="AD111" s="15">
        <v>2.1541026521478801</v>
      </c>
      <c r="AE111" s="15"/>
      <c r="AF111" s="15"/>
      <c r="AG111" s="15"/>
      <c r="AH111" s="15"/>
      <c r="AI111" s="15"/>
      <c r="AJ111" s="15"/>
      <c r="AK111" s="15"/>
      <c r="AL111" s="15">
        <v>1.82696565518388</v>
      </c>
      <c r="AM111" s="15">
        <v>0</v>
      </c>
      <c r="AN111" s="15">
        <v>0</v>
      </c>
      <c r="AO111" s="15">
        <v>0.10974064611883</v>
      </c>
      <c r="AP111" s="15">
        <v>0</v>
      </c>
      <c r="AQ111" s="15">
        <v>0</v>
      </c>
      <c r="AR111" s="15">
        <v>1.71722500906505</v>
      </c>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f t="shared" si="5"/>
        <v>1.82696565518388</v>
      </c>
      <c r="CC111" s="15">
        <f t="shared" si="5"/>
        <v>0</v>
      </c>
      <c r="CD111" s="15">
        <f t="shared" si="5"/>
        <v>0</v>
      </c>
      <c r="CE111" s="15">
        <f t="shared" si="5"/>
        <v>0.10974064611883</v>
      </c>
      <c r="CF111" s="15">
        <f t="shared" si="5"/>
        <v>0</v>
      </c>
      <c r="CG111" s="15">
        <f t="shared" si="5"/>
        <v>0</v>
      </c>
      <c r="CH111" s="15">
        <f t="shared" si="5"/>
        <v>1.71722500906505</v>
      </c>
      <c r="CI111">
        <f t="shared" si="6"/>
        <v>2018</v>
      </c>
      <c r="CJ111" t="str">
        <f t="shared" si="7"/>
        <v>Budgetary central government</v>
      </c>
    </row>
    <row r="112" spans="1:88">
      <c r="A112" t="s">
        <v>118</v>
      </c>
      <c r="B112" t="s">
        <v>331</v>
      </c>
      <c r="C112" s="15"/>
      <c r="D112" s="15"/>
      <c r="E112" s="15"/>
      <c r="F112" s="15"/>
      <c r="G112" s="15"/>
      <c r="H112" s="15"/>
      <c r="I112" s="15"/>
      <c r="J112" s="15">
        <v>1.0071733707025601</v>
      </c>
      <c r="K112" s="15">
        <v>0.606225409993148</v>
      </c>
      <c r="L112" s="15">
        <v>0</v>
      </c>
      <c r="M112" s="15">
        <v>0.30757909847453901</v>
      </c>
      <c r="N112" s="15">
        <v>7.5995905836718794E-2</v>
      </c>
      <c r="O112" s="15">
        <v>2.9370177386725698E-3</v>
      </c>
      <c r="P112" s="15">
        <v>1.44359386594773E-2</v>
      </c>
      <c r="Q112" s="15"/>
      <c r="R112" s="15"/>
      <c r="S112" s="15"/>
      <c r="T112" s="15"/>
      <c r="U112" s="15"/>
      <c r="V112" s="15"/>
      <c r="W112" s="15"/>
      <c r="X112" s="15">
        <v>0.983009845028324</v>
      </c>
      <c r="Y112" s="15">
        <v>0.56472152562724898</v>
      </c>
      <c r="Z112" s="15">
        <v>0</v>
      </c>
      <c r="AA112" s="15">
        <v>0.32184471347981097</v>
      </c>
      <c r="AB112" s="15">
        <v>7.69605517973765E-2</v>
      </c>
      <c r="AC112" s="15">
        <v>1.76126317421079E-3</v>
      </c>
      <c r="AD112" s="15">
        <v>1.77217909496767E-2</v>
      </c>
      <c r="AE112" s="15"/>
      <c r="AF112" s="15"/>
      <c r="AG112" s="15"/>
      <c r="AH112" s="15"/>
      <c r="AI112" s="15"/>
      <c r="AJ112" s="15"/>
      <c r="AK112" s="15"/>
      <c r="AL112" s="15">
        <v>0.78155866758738202</v>
      </c>
      <c r="AM112" s="15">
        <v>0.50959889930570601</v>
      </c>
      <c r="AN112" s="15">
        <v>0</v>
      </c>
      <c r="AO112" s="15">
        <v>0.126007268288785</v>
      </c>
      <c r="AP112" s="15">
        <v>5.3144717541181198E-2</v>
      </c>
      <c r="AQ112" s="15">
        <v>1.6182718317844401E-4</v>
      </c>
      <c r="AR112" s="15">
        <v>9.2645955268530394E-2</v>
      </c>
      <c r="AS112" s="15"/>
      <c r="AT112" s="15"/>
      <c r="AU112" s="15"/>
      <c r="AV112" s="15"/>
      <c r="AW112" s="15"/>
      <c r="AX112" s="15"/>
      <c r="AY112" s="15"/>
      <c r="AZ112" s="15">
        <v>0.77678435234681997</v>
      </c>
      <c r="BA112" s="15">
        <v>0.450823948527246</v>
      </c>
      <c r="BB112" s="15">
        <v>0</v>
      </c>
      <c r="BC112" s="15">
        <v>0.247084087466069</v>
      </c>
      <c r="BD112" s="15">
        <v>6.9521018707854904E-2</v>
      </c>
      <c r="BE112" s="15">
        <v>1.04484050703377E-3</v>
      </c>
      <c r="BF112" s="15">
        <v>8.3104571386152307E-3</v>
      </c>
      <c r="BG112" s="15"/>
      <c r="BH112" s="15"/>
      <c r="BI112" s="15"/>
      <c r="BJ112" s="15"/>
      <c r="BK112" s="15"/>
      <c r="BL112" s="15"/>
      <c r="BM112" s="15"/>
      <c r="BN112" s="15">
        <v>0.84180908199176596</v>
      </c>
      <c r="BO112" s="15">
        <v>0.41249119247390398</v>
      </c>
      <c r="BP112" s="15">
        <v>0</v>
      </c>
      <c r="BQ112" s="15">
        <v>0.296129051796722</v>
      </c>
      <c r="BR112" s="15">
        <v>8.8245837923419099E-2</v>
      </c>
      <c r="BS112" s="15">
        <v>1.3917016116045599E-3</v>
      </c>
      <c r="BT112" s="15">
        <v>4.3551298186116097E-2</v>
      </c>
      <c r="BU112" s="15"/>
      <c r="BV112" s="15"/>
      <c r="BW112" s="15"/>
      <c r="BX112" s="15"/>
      <c r="BY112" s="15"/>
      <c r="BZ112" s="15"/>
      <c r="CA112" s="15"/>
      <c r="CB112" s="15">
        <f t="shared" si="5"/>
        <v>0.84180908199176596</v>
      </c>
      <c r="CC112" s="15">
        <f t="shared" si="5"/>
        <v>0.41249119247390398</v>
      </c>
      <c r="CD112" s="15">
        <f t="shared" si="5"/>
        <v>0</v>
      </c>
      <c r="CE112" s="15">
        <f t="shared" si="5"/>
        <v>0.296129051796722</v>
      </c>
      <c r="CF112" s="15">
        <f t="shared" si="5"/>
        <v>8.8245837923419099E-2</v>
      </c>
      <c r="CG112" s="15">
        <f t="shared" si="5"/>
        <v>1.3917016116045599E-3</v>
      </c>
      <c r="CH112" s="15">
        <f t="shared" si="5"/>
        <v>4.3551298186116097E-2</v>
      </c>
      <c r="CI112">
        <f t="shared" si="6"/>
        <v>2020</v>
      </c>
      <c r="CJ112" t="str">
        <f t="shared" si="7"/>
        <v>Budgetary central government</v>
      </c>
    </row>
    <row r="113" spans="2:89">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t="str">
        <f t="shared" si="5"/>
        <v xml:space="preserve"> </v>
      </c>
      <c r="CC113" s="15" t="str">
        <f t="shared" si="5"/>
        <v xml:space="preserve"> </v>
      </c>
      <c r="CD113" s="15" t="str">
        <f t="shared" si="5"/>
        <v xml:space="preserve"> </v>
      </c>
      <c r="CE113" s="15" t="str">
        <f t="shared" si="5"/>
        <v xml:space="preserve"> </v>
      </c>
      <c r="CF113" s="15" t="str">
        <f t="shared" si="5"/>
        <v xml:space="preserve"> </v>
      </c>
      <c r="CG113" s="15" t="str">
        <f t="shared" si="5"/>
        <v xml:space="preserve"> </v>
      </c>
      <c r="CH113" s="15" t="str">
        <f t="shared" si="5"/>
        <v xml:space="preserve"> </v>
      </c>
      <c r="CI113" t="str">
        <f t="shared" ref="CI113:CI134" si="8">IF(ISNUMBER(BU113),BU$3, IF(ISNUMBER(BG113),BG$3,IF(ISNUMBER(AS113),AS$3,IF(ISNUMBER(AE113),AE$3,IF(ISNUMBER(Q113),Q$3,IF(ISNUMBER(C113),C$3,IF(ISNUMBER(BN113),BN$3,IF(ISNUMBER(AZ113),AZ$3,IF(ISNUMBER(AL113),AL$3,IF(ISNUMBER(X113),X$3,IF(ISNUMBER(J113),J$3, " ")))))))))))</f>
        <v xml:space="preserve"> </v>
      </c>
      <c r="CJ113" t="str">
        <f t="shared" si="7"/>
        <v xml:space="preserve"> </v>
      </c>
    </row>
    <row r="114" spans="2:89">
      <c r="B114">
        <v>1</v>
      </c>
      <c r="C114">
        <v>2</v>
      </c>
      <c r="D114">
        <v>3</v>
      </c>
      <c r="E114">
        <v>4</v>
      </c>
      <c r="F114">
        <v>5</v>
      </c>
      <c r="G114">
        <v>6</v>
      </c>
      <c r="H114">
        <v>7</v>
      </c>
      <c r="I114">
        <v>8</v>
      </c>
      <c r="J114">
        <v>9</v>
      </c>
      <c r="K114">
        <v>10</v>
      </c>
      <c r="L114">
        <v>11</v>
      </c>
      <c r="M114">
        <v>12</v>
      </c>
      <c r="N114">
        <v>13</v>
      </c>
      <c r="O114">
        <v>14</v>
      </c>
      <c r="P114">
        <v>15</v>
      </c>
      <c r="Q114">
        <v>16</v>
      </c>
      <c r="R114">
        <v>17</v>
      </c>
      <c r="S114">
        <v>18</v>
      </c>
      <c r="T114">
        <v>19</v>
      </c>
      <c r="U114">
        <v>20</v>
      </c>
      <c r="V114">
        <v>21</v>
      </c>
      <c r="W114">
        <v>22</v>
      </c>
      <c r="X114">
        <v>23</v>
      </c>
      <c r="Y114">
        <v>24</v>
      </c>
      <c r="Z114">
        <v>25</v>
      </c>
      <c r="AA114">
        <v>26</v>
      </c>
      <c r="AB114">
        <v>27</v>
      </c>
      <c r="AC114">
        <v>28</v>
      </c>
      <c r="AD114">
        <v>29</v>
      </c>
      <c r="AE114">
        <v>30</v>
      </c>
      <c r="AF114">
        <v>31</v>
      </c>
      <c r="AG114">
        <v>32</v>
      </c>
      <c r="AH114">
        <v>33</v>
      </c>
      <c r="AI114">
        <v>34</v>
      </c>
      <c r="AJ114">
        <v>35</v>
      </c>
      <c r="AK114">
        <v>36</v>
      </c>
      <c r="AL114">
        <v>37</v>
      </c>
      <c r="AM114">
        <v>38</v>
      </c>
      <c r="AN114">
        <v>39</v>
      </c>
      <c r="AO114">
        <v>40</v>
      </c>
      <c r="AP114">
        <v>41</v>
      </c>
      <c r="AQ114">
        <v>42</v>
      </c>
      <c r="AR114">
        <v>43</v>
      </c>
      <c r="AS114">
        <v>44</v>
      </c>
      <c r="AT114">
        <v>45</v>
      </c>
      <c r="AU114">
        <v>46</v>
      </c>
      <c r="AV114">
        <v>47</v>
      </c>
      <c r="AW114">
        <v>48</v>
      </c>
      <c r="AX114">
        <v>49</v>
      </c>
      <c r="AY114">
        <v>50</v>
      </c>
      <c r="AZ114">
        <v>51</v>
      </c>
      <c r="BA114">
        <v>52</v>
      </c>
      <c r="BB114">
        <v>53</v>
      </c>
      <c r="BC114">
        <v>54</v>
      </c>
      <c r="BD114">
        <v>55</v>
      </c>
      <c r="BE114">
        <v>56</v>
      </c>
      <c r="BF114">
        <v>57</v>
      </c>
      <c r="BG114">
        <v>58</v>
      </c>
      <c r="BH114">
        <v>59</v>
      </c>
      <c r="BI114">
        <v>60</v>
      </c>
      <c r="BJ114">
        <v>61</v>
      </c>
      <c r="BK114">
        <v>62</v>
      </c>
      <c r="BL114">
        <v>63</v>
      </c>
      <c r="BM114">
        <v>64</v>
      </c>
      <c r="BN114">
        <v>65</v>
      </c>
      <c r="BO114">
        <v>66</v>
      </c>
      <c r="BP114">
        <v>67</v>
      </c>
      <c r="BQ114">
        <v>68</v>
      </c>
      <c r="BR114">
        <v>69</v>
      </c>
      <c r="BS114">
        <v>70</v>
      </c>
      <c r="BT114">
        <v>71</v>
      </c>
      <c r="BU114">
        <v>72</v>
      </c>
      <c r="BV114">
        <v>73</v>
      </c>
      <c r="BW114">
        <v>74</v>
      </c>
      <c r="BX114">
        <v>75</v>
      </c>
      <c r="BY114">
        <v>76</v>
      </c>
      <c r="BZ114">
        <v>77</v>
      </c>
      <c r="CA114">
        <v>78</v>
      </c>
      <c r="CB114">
        <v>79</v>
      </c>
      <c r="CC114">
        <v>80</v>
      </c>
      <c r="CD114">
        <v>81</v>
      </c>
      <c r="CE114">
        <v>82</v>
      </c>
      <c r="CF114">
        <v>83</v>
      </c>
      <c r="CG114">
        <v>84</v>
      </c>
      <c r="CH114">
        <v>85</v>
      </c>
      <c r="CI114">
        <v>86</v>
      </c>
      <c r="CJ114">
        <v>87</v>
      </c>
      <c r="CK114">
        <v>88</v>
      </c>
    </row>
    <row r="115" spans="2:89">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t="str">
        <f t="shared" si="5"/>
        <v xml:space="preserve"> </v>
      </c>
      <c r="CC115" s="15" t="str">
        <f t="shared" si="5"/>
        <v xml:space="preserve"> </v>
      </c>
      <c r="CD115" s="15" t="str">
        <f t="shared" si="5"/>
        <v xml:space="preserve"> </v>
      </c>
      <c r="CE115" s="15" t="str">
        <f t="shared" si="5"/>
        <v xml:space="preserve"> </v>
      </c>
      <c r="CF115" s="15" t="str">
        <f t="shared" si="5"/>
        <v xml:space="preserve"> </v>
      </c>
      <c r="CG115" s="15" t="str">
        <f t="shared" si="5"/>
        <v xml:space="preserve"> </v>
      </c>
      <c r="CH115" s="15" t="str">
        <f t="shared" si="5"/>
        <v xml:space="preserve"> </v>
      </c>
      <c r="CI115" t="str">
        <f t="shared" si="8"/>
        <v xml:space="preserve"> </v>
      </c>
      <c r="CJ115" t="str">
        <f t="shared" si="7"/>
        <v xml:space="preserve"> </v>
      </c>
    </row>
    <row r="116" spans="2:89">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t="str">
        <f t="shared" si="5"/>
        <v xml:space="preserve"> </v>
      </c>
      <c r="CC116" s="15" t="str">
        <f t="shared" si="5"/>
        <v xml:space="preserve"> </v>
      </c>
      <c r="CD116" s="15" t="str">
        <f t="shared" si="5"/>
        <v xml:space="preserve"> </v>
      </c>
      <c r="CE116" s="15" t="str">
        <f t="shared" si="5"/>
        <v xml:space="preserve"> </v>
      </c>
      <c r="CF116" s="15" t="str">
        <f t="shared" si="5"/>
        <v xml:space="preserve"> </v>
      </c>
      <c r="CG116" s="15" t="str">
        <f t="shared" si="5"/>
        <v xml:space="preserve"> </v>
      </c>
      <c r="CH116" s="15" t="str">
        <f t="shared" si="5"/>
        <v xml:space="preserve"> </v>
      </c>
      <c r="CI116" t="str">
        <f t="shared" si="8"/>
        <v xml:space="preserve"> </v>
      </c>
      <c r="CJ116" t="str">
        <f t="shared" si="7"/>
        <v xml:space="preserve"> </v>
      </c>
    </row>
    <row r="117" spans="2:89">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t="str">
        <f t="shared" si="5"/>
        <v xml:space="preserve"> </v>
      </c>
      <c r="CC117" s="15" t="str">
        <f t="shared" si="5"/>
        <v xml:space="preserve"> </v>
      </c>
      <c r="CD117" s="15" t="str">
        <f t="shared" si="5"/>
        <v xml:space="preserve"> </v>
      </c>
      <c r="CE117" s="15" t="str">
        <f t="shared" si="5"/>
        <v xml:space="preserve"> </v>
      </c>
      <c r="CF117" s="15" t="str">
        <f t="shared" si="5"/>
        <v xml:space="preserve"> </v>
      </c>
      <c r="CG117" s="15" t="str">
        <f t="shared" si="5"/>
        <v xml:space="preserve"> </v>
      </c>
      <c r="CH117" s="15" t="str">
        <f t="shared" si="5"/>
        <v xml:space="preserve"> </v>
      </c>
      <c r="CI117" t="str">
        <f t="shared" si="8"/>
        <v xml:space="preserve"> </v>
      </c>
      <c r="CJ117" t="str">
        <f t="shared" si="7"/>
        <v xml:space="preserve"> </v>
      </c>
    </row>
    <row r="118" spans="2:89">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t="str">
        <f t="shared" si="5"/>
        <v xml:space="preserve"> </v>
      </c>
      <c r="CC118" s="15" t="str">
        <f t="shared" si="5"/>
        <v xml:space="preserve"> </v>
      </c>
      <c r="CD118" s="15" t="str">
        <f t="shared" si="5"/>
        <v xml:space="preserve"> </v>
      </c>
      <c r="CE118" s="15" t="str">
        <f t="shared" si="5"/>
        <v xml:space="preserve"> </v>
      </c>
      <c r="CF118" s="15" t="str">
        <f t="shared" si="5"/>
        <v xml:space="preserve"> </v>
      </c>
      <c r="CG118" s="15" t="str">
        <f t="shared" si="5"/>
        <v xml:space="preserve"> </v>
      </c>
      <c r="CH118" s="15" t="str">
        <f t="shared" si="5"/>
        <v xml:space="preserve"> </v>
      </c>
      <c r="CI118" t="str">
        <f t="shared" si="8"/>
        <v xml:space="preserve"> </v>
      </c>
      <c r="CJ118" t="str">
        <f t="shared" si="7"/>
        <v xml:space="preserve"> </v>
      </c>
    </row>
    <row r="119" spans="2:89">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t="str">
        <f t="shared" si="5"/>
        <v xml:space="preserve"> </v>
      </c>
      <c r="CC119" s="15" t="str">
        <f t="shared" si="5"/>
        <v xml:space="preserve"> </v>
      </c>
      <c r="CD119" s="15" t="str">
        <f t="shared" si="5"/>
        <v xml:space="preserve"> </v>
      </c>
      <c r="CE119" s="15" t="str">
        <f t="shared" si="5"/>
        <v xml:space="preserve"> </v>
      </c>
      <c r="CF119" s="15" t="str">
        <f t="shared" si="5"/>
        <v xml:space="preserve"> </v>
      </c>
      <c r="CG119" s="15" t="str">
        <f t="shared" si="5"/>
        <v xml:space="preserve"> </v>
      </c>
      <c r="CH119" s="15" t="str">
        <f t="shared" si="5"/>
        <v xml:space="preserve"> </v>
      </c>
      <c r="CI119" t="str">
        <f t="shared" si="8"/>
        <v xml:space="preserve"> </v>
      </c>
      <c r="CJ119" t="str">
        <f t="shared" si="7"/>
        <v xml:space="preserve"> </v>
      </c>
    </row>
    <row r="120" spans="2:89">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t="str">
        <f t="shared" si="5"/>
        <v xml:space="preserve"> </v>
      </c>
      <c r="CC120" s="15" t="str">
        <f t="shared" si="5"/>
        <v xml:space="preserve"> </v>
      </c>
      <c r="CD120" s="15" t="str">
        <f t="shared" si="5"/>
        <v xml:space="preserve"> </v>
      </c>
      <c r="CE120" s="15" t="str">
        <f t="shared" si="5"/>
        <v xml:space="preserve"> </v>
      </c>
      <c r="CF120" s="15" t="str">
        <f t="shared" si="5"/>
        <v xml:space="preserve"> </v>
      </c>
      <c r="CG120" s="15" t="str">
        <f t="shared" si="5"/>
        <v xml:space="preserve"> </v>
      </c>
      <c r="CH120" s="15" t="str">
        <f t="shared" si="5"/>
        <v xml:space="preserve"> </v>
      </c>
      <c r="CI120" t="str">
        <f t="shared" si="8"/>
        <v xml:space="preserve"> </v>
      </c>
      <c r="CJ120" t="str">
        <f t="shared" si="7"/>
        <v xml:space="preserve"> </v>
      </c>
    </row>
    <row r="121" spans="2:89">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t="str">
        <f t="shared" ref="CB121:CH157" si="9">IF(ISNUMBER(BU121),BU121, IF(ISNUMBER(BG121),BG121,IF(ISNUMBER(AS121),AS121,IF(ISNUMBER(AE121),AE121,IF(ISNUMBER(Q121),Q121,IF(ISNUMBER(C121),C121,IF(ISNUMBER(BN121),BN121,IF(ISNUMBER(AZ121),AZ121,IF(ISNUMBER(AL121),AL121,IF(ISNUMBER(X121),X121,IF(ISNUMBER(J121),J121, " ")))))))))))</f>
        <v xml:space="preserve"> </v>
      </c>
      <c r="CC121" s="15" t="str">
        <f t="shared" si="9"/>
        <v xml:space="preserve"> </v>
      </c>
      <c r="CD121" s="15" t="str">
        <f t="shared" si="9"/>
        <v xml:space="preserve"> </v>
      </c>
      <c r="CE121" s="15" t="str">
        <f t="shared" si="9"/>
        <v xml:space="preserve"> </v>
      </c>
      <c r="CF121" s="15" t="str">
        <f t="shared" si="9"/>
        <v xml:space="preserve"> </v>
      </c>
      <c r="CG121" s="15" t="str">
        <f t="shared" si="9"/>
        <v xml:space="preserve"> </v>
      </c>
      <c r="CH121" s="15" t="str">
        <f t="shared" si="9"/>
        <v xml:space="preserve"> </v>
      </c>
      <c r="CI121" t="str">
        <f t="shared" si="8"/>
        <v xml:space="preserve"> </v>
      </c>
      <c r="CJ121" t="str">
        <f t="shared" si="7"/>
        <v xml:space="preserve"> </v>
      </c>
    </row>
    <row r="122" spans="2:89">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t="str">
        <f t="shared" si="9"/>
        <v xml:space="preserve"> </v>
      </c>
      <c r="CC122" s="15" t="str">
        <f t="shared" si="9"/>
        <v xml:space="preserve"> </v>
      </c>
      <c r="CD122" s="15" t="str">
        <f t="shared" si="9"/>
        <v xml:space="preserve"> </v>
      </c>
      <c r="CE122" s="15" t="str">
        <f t="shared" si="9"/>
        <v xml:space="preserve"> </v>
      </c>
      <c r="CF122" s="15" t="str">
        <f t="shared" si="9"/>
        <v xml:space="preserve"> </v>
      </c>
      <c r="CG122" s="15" t="str">
        <f t="shared" si="9"/>
        <v xml:space="preserve"> </v>
      </c>
      <c r="CH122" s="15" t="str">
        <f t="shared" si="9"/>
        <v xml:space="preserve"> </v>
      </c>
      <c r="CI122" t="str">
        <f t="shared" si="8"/>
        <v xml:space="preserve"> </v>
      </c>
      <c r="CJ122" t="str">
        <f t="shared" si="7"/>
        <v xml:space="preserve"> </v>
      </c>
    </row>
    <row r="123" spans="2:89">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t="str">
        <f t="shared" si="9"/>
        <v xml:space="preserve"> </v>
      </c>
      <c r="CC123" s="15" t="str">
        <f t="shared" si="9"/>
        <v xml:space="preserve"> </v>
      </c>
      <c r="CD123" s="15" t="str">
        <f t="shared" si="9"/>
        <v xml:space="preserve"> </v>
      </c>
      <c r="CE123" s="15" t="str">
        <f t="shared" si="9"/>
        <v xml:space="preserve"> </v>
      </c>
      <c r="CF123" s="15" t="str">
        <f t="shared" si="9"/>
        <v xml:space="preserve"> </v>
      </c>
      <c r="CG123" s="15" t="str">
        <f t="shared" si="9"/>
        <v xml:space="preserve"> </v>
      </c>
      <c r="CH123" s="15" t="str">
        <f t="shared" si="9"/>
        <v xml:space="preserve"> </v>
      </c>
      <c r="CI123" t="str">
        <f t="shared" si="8"/>
        <v xml:space="preserve"> </v>
      </c>
      <c r="CJ123" t="str">
        <f t="shared" si="7"/>
        <v xml:space="preserve"> </v>
      </c>
    </row>
    <row r="124" spans="2:89">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t="str">
        <f t="shared" si="9"/>
        <v xml:space="preserve"> </v>
      </c>
      <c r="CC124" s="15" t="str">
        <f t="shared" si="9"/>
        <v xml:space="preserve"> </v>
      </c>
      <c r="CD124" s="15" t="str">
        <f t="shared" si="9"/>
        <v xml:space="preserve"> </v>
      </c>
      <c r="CE124" s="15" t="str">
        <f t="shared" si="9"/>
        <v xml:space="preserve"> </v>
      </c>
      <c r="CF124" s="15" t="str">
        <f t="shared" si="9"/>
        <v xml:space="preserve"> </v>
      </c>
      <c r="CG124" s="15" t="str">
        <f t="shared" si="9"/>
        <v xml:space="preserve"> </v>
      </c>
      <c r="CH124" s="15" t="str">
        <f t="shared" si="9"/>
        <v xml:space="preserve"> </v>
      </c>
      <c r="CI124" t="str">
        <f t="shared" si="8"/>
        <v xml:space="preserve"> </v>
      </c>
      <c r="CJ124" t="str">
        <f t="shared" si="7"/>
        <v xml:space="preserve"> </v>
      </c>
    </row>
    <row r="125" spans="2:89">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t="str">
        <f t="shared" si="9"/>
        <v xml:space="preserve"> </v>
      </c>
      <c r="CC125" s="15" t="str">
        <f t="shared" si="9"/>
        <v xml:space="preserve"> </v>
      </c>
      <c r="CD125" s="15" t="str">
        <f t="shared" si="9"/>
        <v xml:space="preserve"> </v>
      </c>
      <c r="CE125" s="15" t="str">
        <f t="shared" si="9"/>
        <v xml:space="preserve"> </v>
      </c>
      <c r="CF125" s="15" t="str">
        <f t="shared" si="9"/>
        <v xml:space="preserve"> </v>
      </c>
      <c r="CG125" s="15" t="str">
        <f t="shared" si="9"/>
        <v xml:space="preserve"> </v>
      </c>
      <c r="CH125" s="15" t="str">
        <f t="shared" si="9"/>
        <v xml:space="preserve"> </v>
      </c>
      <c r="CI125" t="str">
        <f t="shared" si="8"/>
        <v xml:space="preserve"> </v>
      </c>
      <c r="CJ125" t="str">
        <f t="shared" si="7"/>
        <v xml:space="preserve"> </v>
      </c>
    </row>
    <row r="126" spans="2:89">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t="str">
        <f t="shared" si="9"/>
        <v xml:space="preserve"> </v>
      </c>
      <c r="CC126" s="15" t="str">
        <f t="shared" si="9"/>
        <v xml:space="preserve"> </v>
      </c>
      <c r="CD126" s="15" t="str">
        <f t="shared" si="9"/>
        <v xml:space="preserve"> </v>
      </c>
      <c r="CE126" s="15" t="str">
        <f t="shared" si="9"/>
        <v xml:space="preserve"> </v>
      </c>
      <c r="CF126" s="15" t="str">
        <f t="shared" si="9"/>
        <v xml:space="preserve"> </v>
      </c>
      <c r="CG126" s="15" t="str">
        <f t="shared" si="9"/>
        <v xml:space="preserve"> </v>
      </c>
      <c r="CH126" s="15" t="str">
        <f t="shared" si="9"/>
        <v xml:space="preserve"> </v>
      </c>
      <c r="CI126" t="str">
        <f t="shared" si="8"/>
        <v xml:space="preserve"> </v>
      </c>
      <c r="CJ126" t="str">
        <f t="shared" si="7"/>
        <v xml:space="preserve"> </v>
      </c>
    </row>
    <row r="127" spans="2:89">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t="str">
        <f t="shared" si="9"/>
        <v xml:space="preserve"> </v>
      </c>
      <c r="CC127" s="15" t="str">
        <f t="shared" si="9"/>
        <v xml:space="preserve"> </v>
      </c>
      <c r="CD127" s="15" t="str">
        <f t="shared" si="9"/>
        <v xml:space="preserve"> </v>
      </c>
      <c r="CE127" s="15" t="str">
        <f t="shared" si="9"/>
        <v xml:space="preserve"> </v>
      </c>
      <c r="CF127" s="15" t="str">
        <f t="shared" si="9"/>
        <v xml:space="preserve"> </v>
      </c>
      <c r="CG127" s="15" t="str">
        <f t="shared" si="9"/>
        <v xml:space="preserve"> </v>
      </c>
      <c r="CH127" s="15" t="str">
        <f t="shared" si="9"/>
        <v xml:space="preserve"> </v>
      </c>
      <c r="CI127" t="str">
        <f t="shared" si="8"/>
        <v xml:space="preserve"> </v>
      </c>
      <c r="CJ127" t="str">
        <f t="shared" si="7"/>
        <v xml:space="preserve"> </v>
      </c>
    </row>
    <row r="128" spans="2:89">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t="str">
        <f t="shared" si="9"/>
        <v xml:space="preserve"> </v>
      </c>
      <c r="CC128" s="15" t="str">
        <f t="shared" si="9"/>
        <v xml:space="preserve"> </v>
      </c>
      <c r="CD128" s="15" t="str">
        <f t="shared" si="9"/>
        <v xml:space="preserve"> </v>
      </c>
      <c r="CE128" s="15" t="str">
        <f t="shared" si="9"/>
        <v xml:space="preserve"> </v>
      </c>
      <c r="CF128" s="15" t="str">
        <f t="shared" si="9"/>
        <v xml:space="preserve"> </v>
      </c>
      <c r="CG128" s="15" t="str">
        <f t="shared" si="9"/>
        <v xml:space="preserve"> </v>
      </c>
      <c r="CH128" s="15" t="str">
        <f t="shared" si="9"/>
        <v xml:space="preserve"> </v>
      </c>
      <c r="CI128" t="str">
        <f t="shared" si="8"/>
        <v xml:space="preserve"> </v>
      </c>
      <c r="CJ128" t="str">
        <f t="shared" si="7"/>
        <v xml:space="preserve"> </v>
      </c>
    </row>
    <row r="129" spans="3:88">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t="str">
        <f t="shared" si="9"/>
        <v xml:space="preserve"> </v>
      </c>
      <c r="CC129" s="15" t="str">
        <f t="shared" si="9"/>
        <v xml:space="preserve"> </v>
      </c>
      <c r="CD129" s="15" t="str">
        <f t="shared" si="9"/>
        <v xml:space="preserve"> </v>
      </c>
      <c r="CE129" s="15" t="str">
        <f t="shared" si="9"/>
        <v xml:space="preserve"> </v>
      </c>
      <c r="CF129" s="15" t="str">
        <f t="shared" si="9"/>
        <v xml:space="preserve"> </v>
      </c>
      <c r="CG129" s="15" t="str">
        <f t="shared" si="9"/>
        <v xml:space="preserve"> </v>
      </c>
      <c r="CH129" s="15" t="str">
        <f t="shared" si="9"/>
        <v xml:space="preserve"> </v>
      </c>
      <c r="CI129" t="str">
        <f t="shared" si="8"/>
        <v xml:space="preserve"> </v>
      </c>
      <c r="CJ129" t="str">
        <f t="shared" si="7"/>
        <v xml:space="preserve"> </v>
      </c>
    </row>
    <row r="130" spans="3:88">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t="str">
        <f t="shared" si="9"/>
        <v xml:space="preserve"> </v>
      </c>
      <c r="CC130" s="15" t="str">
        <f t="shared" si="9"/>
        <v xml:space="preserve"> </v>
      </c>
      <c r="CD130" s="15" t="str">
        <f t="shared" si="9"/>
        <v xml:space="preserve"> </v>
      </c>
      <c r="CE130" s="15" t="str">
        <f t="shared" si="9"/>
        <v xml:space="preserve"> </v>
      </c>
      <c r="CF130" s="15" t="str">
        <f t="shared" si="9"/>
        <v xml:space="preserve"> </v>
      </c>
      <c r="CG130" s="15" t="str">
        <f t="shared" si="9"/>
        <v xml:space="preserve"> </v>
      </c>
      <c r="CH130" s="15" t="str">
        <f t="shared" si="9"/>
        <v xml:space="preserve"> </v>
      </c>
      <c r="CI130" t="str">
        <f t="shared" si="8"/>
        <v xml:space="preserve"> </v>
      </c>
      <c r="CJ130" t="str">
        <f t="shared" si="7"/>
        <v xml:space="preserve"> </v>
      </c>
    </row>
    <row r="131" spans="3:88">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t="str">
        <f t="shared" si="9"/>
        <v xml:space="preserve"> </v>
      </c>
      <c r="CC131" s="15" t="str">
        <f t="shared" si="9"/>
        <v xml:space="preserve"> </v>
      </c>
      <c r="CD131" s="15" t="str">
        <f t="shared" si="9"/>
        <v xml:space="preserve"> </v>
      </c>
      <c r="CE131" s="15" t="str">
        <f t="shared" si="9"/>
        <v xml:space="preserve"> </v>
      </c>
      <c r="CF131" s="15" t="str">
        <f t="shared" si="9"/>
        <v xml:space="preserve"> </v>
      </c>
      <c r="CG131" s="15" t="str">
        <f t="shared" si="9"/>
        <v xml:space="preserve"> </v>
      </c>
      <c r="CH131" s="15" t="str">
        <f t="shared" si="9"/>
        <v xml:space="preserve"> </v>
      </c>
      <c r="CI131" t="str">
        <f t="shared" si="8"/>
        <v xml:space="preserve"> </v>
      </c>
      <c r="CJ131" t="str">
        <f t="shared" si="7"/>
        <v xml:space="preserve"> </v>
      </c>
    </row>
    <row r="132" spans="3:88">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t="str">
        <f t="shared" si="9"/>
        <v xml:space="preserve"> </v>
      </c>
      <c r="CC132" s="15" t="str">
        <f t="shared" si="9"/>
        <v xml:space="preserve"> </v>
      </c>
      <c r="CD132" s="15" t="str">
        <f t="shared" si="9"/>
        <v xml:space="preserve"> </v>
      </c>
      <c r="CE132" s="15" t="str">
        <f t="shared" si="9"/>
        <v xml:space="preserve"> </v>
      </c>
      <c r="CF132" s="15" t="str">
        <f t="shared" si="9"/>
        <v xml:space="preserve"> </v>
      </c>
      <c r="CG132" s="15" t="str">
        <f t="shared" si="9"/>
        <v xml:space="preserve"> </v>
      </c>
      <c r="CH132" s="15" t="str">
        <f t="shared" si="9"/>
        <v xml:space="preserve"> </v>
      </c>
      <c r="CI132" t="str">
        <f t="shared" si="8"/>
        <v xml:space="preserve"> </v>
      </c>
      <c r="CJ132" t="str">
        <f t="shared" si="7"/>
        <v xml:space="preserve"> </v>
      </c>
    </row>
    <row r="133" spans="3:88">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t="str">
        <f t="shared" si="9"/>
        <v xml:space="preserve"> </v>
      </c>
      <c r="CC133" s="15" t="str">
        <f t="shared" si="9"/>
        <v xml:space="preserve"> </v>
      </c>
      <c r="CD133" s="15" t="str">
        <f t="shared" si="9"/>
        <v xml:space="preserve"> </v>
      </c>
      <c r="CE133" s="15" t="str">
        <f t="shared" si="9"/>
        <v xml:space="preserve"> </v>
      </c>
      <c r="CF133" s="15" t="str">
        <f t="shared" si="9"/>
        <v xml:space="preserve"> </v>
      </c>
      <c r="CG133" s="15" t="str">
        <f t="shared" si="9"/>
        <v xml:space="preserve"> </v>
      </c>
      <c r="CH133" s="15" t="str">
        <f t="shared" si="9"/>
        <v xml:space="preserve"> </v>
      </c>
      <c r="CI133" t="str">
        <f t="shared" si="8"/>
        <v xml:space="preserve"> </v>
      </c>
      <c r="CJ133" t="str">
        <f t="shared" si="7"/>
        <v xml:space="preserve"> </v>
      </c>
    </row>
    <row r="134" spans="3:88">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t="str">
        <f t="shared" si="9"/>
        <v xml:space="preserve"> </v>
      </c>
      <c r="CC134" s="15" t="str">
        <f t="shared" si="9"/>
        <v xml:space="preserve"> </v>
      </c>
      <c r="CD134" s="15" t="str">
        <f t="shared" si="9"/>
        <v xml:space="preserve"> </v>
      </c>
      <c r="CE134" s="15" t="str">
        <f t="shared" si="9"/>
        <v xml:space="preserve"> </v>
      </c>
      <c r="CF134" s="15" t="str">
        <f t="shared" si="9"/>
        <v xml:space="preserve"> </v>
      </c>
      <c r="CG134" s="15" t="str">
        <f t="shared" si="9"/>
        <v xml:space="preserve"> </v>
      </c>
      <c r="CH134" s="15" t="str">
        <f t="shared" si="9"/>
        <v xml:space="preserve"> </v>
      </c>
      <c r="CI134" t="str">
        <f t="shared" si="8"/>
        <v xml:space="preserve"> </v>
      </c>
      <c r="CJ134" t="str">
        <f t="shared" si="7"/>
        <v xml:space="preserve"> </v>
      </c>
    </row>
    <row r="135" spans="3:88">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t="str">
        <f t="shared" si="9"/>
        <v xml:space="preserve"> </v>
      </c>
      <c r="CC135" s="15" t="str">
        <f t="shared" si="9"/>
        <v xml:space="preserve"> </v>
      </c>
      <c r="CD135" s="15" t="str">
        <f t="shared" si="9"/>
        <v xml:space="preserve"> </v>
      </c>
      <c r="CE135" s="15" t="str">
        <f t="shared" si="9"/>
        <v xml:space="preserve"> </v>
      </c>
      <c r="CF135" s="15" t="str">
        <f t="shared" si="9"/>
        <v xml:space="preserve"> </v>
      </c>
      <c r="CG135" s="15" t="str">
        <f t="shared" si="9"/>
        <v xml:space="preserve"> </v>
      </c>
      <c r="CH135" s="15" t="str">
        <f t="shared" si="9"/>
        <v xml:space="preserve"> </v>
      </c>
      <c r="CI135" t="str">
        <f t="shared" ref="CI135:CI198" si="10">IF(ISNUMBER(BU135),BU$3, IF(ISNUMBER(BG135),BG$3,IF(ISNUMBER(AS135),AS$3,IF(ISNUMBER(AE135),AE$3,IF(ISNUMBER(Q135),Q$3,IF(ISNUMBER(C135),C$3,IF(ISNUMBER(BN135),BN$3,IF(ISNUMBER(AZ135),AZ$3,IF(ISNUMBER(AL135),AL$3,IF(ISNUMBER(X135),X$3,IF(ISNUMBER(J135),J$3, " ")))))))))))</f>
        <v xml:space="preserve"> </v>
      </c>
      <c r="CJ135" t="str">
        <f t="shared" ref="CJ135:CJ198" si="11">IF(ISNUMBER(BU135),BU$4, IF(ISNUMBER(BG135),BG$4,IF(ISNUMBER(AS135),AS$4,IF(ISNUMBER(AE135),AE$4,IF(ISNUMBER(Q135),Q$4,IF(ISNUMBER(C135),C$4,IF(ISNUMBER(BN135),BN$4,IF(ISNUMBER(AZ135),AZ$4,IF(ISNUMBER(AL135),AL$4,IF(ISNUMBER(X135),X$4,IF(ISNUMBER(J135),J$4, " ")))))))))))</f>
        <v xml:space="preserve"> </v>
      </c>
    </row>
    <row r="136" spans="3:88">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t="str">
        <f t="shared" si="9"/>
        <v xml:space="preserve"> </v>
      </c>
      <c r="CC136" s="15" t="str">
        <f t="shared" si="9"/>
        <v xml:space="preserve"> </v>
      </c>
      <c r="CD136" s="15" t="str">
        <f t="shared" si="9"/>
        <v xml:space="preserve"> </v>
      </c>
      <c r="CE136" s="15" t="str">
        <f t="shared" si="9"/>
        <v xml:space="preserve"> </v>
      </c>
      <c r="CF136" s="15" t="str">
        <f t="shared" si="9"/>
        <v xml:space="preserve"> </v>
      </c>
      <c r="CG136" s="15" t="str">
        <f t="shared" si="9"/>
        <v xml:space="preserve"> </v>
      </c>
      <c r="CH136" s="15" t="str">
        <f t="shared" si="9"/>
        <v xml:space="preserve"> </v>
      </c>
      <c r="CI136" t="str">
        <f t="shared" si="10"/>
        <v xml:space="preserve"> </v>
      </c>
      <c r="CJ136" t="str">
        <f t="shared" si="11"/>
        <v xml:space="preserve"> </v>
      </c>
    </row>
    <row r="137" spans="3:88">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t="str">
        <f t="shared" si="9"/>
        <v xml:space="preserve"> </v>
      </c>
      <c r="CC137" s="15" t="str">
        <f t="shared" si="9"/>
        <v xml:space="preserve"> </v>
      </c>
      <c r="CD137" s="15" t="str">
        <f t="shared" si="9"/>
        <v xml:space="preserve"> </v>
      </c>
      <c r="CE137" s="15" t="str">
        <f t="shared" si="9"/>
        <v xml:space="preserve"> </v>
      </c>
      <c r="CF137" s="15" t="str">
        <f t="shared" si="9"/>
        <v xml:space="preserve"> </v>
      </c>
      <c r="CG137" s="15" t="str">
        <f t="shared" si="9"/>
        <v xml:space="preserve"> </v>
      </c>
      <c r="CH137" s="15" t="str">
        <f t="shared" si="9"/>
        <v xml:space="preserve"> </v>
      </c>
      <c r="CI137" t="str">
        <f t="shared" si="10"/>
        <v xml:space="preserve"> </v>
      </c>
      <c r="CJ137" t="str">
        <f t="shared" si="11"/>
        <v xml:space="preserve"> </v>
      </c>
    </row>
    <row r="138" spans="3:88">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t="str">
        <f t="shared" si="9"/>
        <v xml:space="preserve"> </v>
      </c>
      <c r="CC138" s="15" t="str">
        <f t="shared" si="9"/>
        <v xml:space="preserve"> </v>
      </c>
      <c r="CD138" s="15" t="str">
        <f t="shared" si="9"/>
        <v xml:space="preserve"> </v>
      </c>
      <c r="CE138" s="15" t="str">
        <f t="shared" si="9"/>
        <v xml:space="preserve"> </v>
      </c>
      <c r="CF138" s="15" t="str">
        <f t="shared" si="9"/>
        <v xml:space="preserve"> </v>
      </c>
      <c r="CG138" s="15" t="str">
        <f t="shared" si="9"/>
        <v xml:space="preserve"> </v>
      </c>
      <c r="CH138" s="15" t="str">
        <f t="shared" si="9"/>
        <v xml:space="preserve"> </v>
      </c>
      <c r="CI138" t="str">
        <f t="shared" si="10"/>
        <v xml:space="preserve"> </v>
      </c>
      <c r="CJ138" t="str">
        <f t="shared" si="11"/>
        <v xml:space="preserve"> </v>
      </c>
    </row>
    <row r="139" spans="3:88">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t="str">
        <f t="shared" si="9"/>
        <v xml:space="preserve"> </v>
      </c>
      <c r="CC139" s="15" t="str">
        <f t="shared" si="9"/>
        <v xml:space="preserve"> </v>
      </c>
      <c r="CD139" s="15" t="str">
        <f t="shared" si="9"/>
        <v xml:space="preserve"> </v>
      </c>
      <c r="CE139" s="15" t="str">
        <f t="shared" si="9"/>
        <v xml:space="preserve"> </v>
      </c>
      <c r="CF139" s="15" t="str">
        <f t="shared" si="9"/>
        <v xml:space="preserve"> </v>
      </c>
      <c r="CG139" s="15" t="str">
        <f t="shared" si="9"/>
        <v xml:space="preserve"> </v>
      </c>
      <c r="CH139" s="15" t="str">
        <f t="shared" si="9"/>
        <v xml:space="preserve"> </v>
      </c>
      <c r="CI139" t="str">
        <f t="shared" si="10"/>
        <v xml:space="preserve"> </v>
      </c>
      <c r="CJ139" t="str">
        <f t="shared" si="11"/>
        <v xml:space="preserve"> </v>
      </c>
    </row>
    <row r="140" spans="3:88">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t="str">
        <f t="shared" si="9"/>
        <v xml:space="preserve"> </v>
      </c>
      <c r="CC140" s="15" t="str">
        <f t="shared" si="9"/>
        <v xml:space="preserve"> </v>
      </c>
      <c r="CD140" s="15" t="str">
        <f t="shared" si="9"/>
        <v xml:space="preserve"> </v>
      </c>
      <c r="CE140" s="15" t="str">
        <f t="shared" si="9"/>
        <v xml:space="preserve"> </v>
      </c>
      <c r="CF140" s="15" t="str">
        <f t="shared" si="9"/>
        <v xml:space="preserve"> </v>
      </c>
      <c r="CG140" s="15" t="str">
        <f t="shared" si="9"/>
        <v xml:space="preserve"> </v>
      </c>
      <c r="CH140" s="15" t="str">
        <f t="shared" si="9"/>
        <v xml:space="preserve"> </v>
      </c>
      <c r="CI140" t="str">
        <f t="shared" si="10"/>
        <v xml:space="preserve"> </v>
      </c>
      <c r="CJ140" t="str">
        <f t="shared" si="11"/>
        <v xml:space="preserve"> </v>
      </c>
    </row>
    <row r="141" spans="3:88">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t="str">
        <f t="shared" si="9"/>
        <v xml:space="preserve"> </v>
      </c>
      <c r="CC141" s="15" t="str">
        <f t="shared" si="9"/>
        <v xml:space="preserve"> </v>
      </c>
      <c r="CD141" s="15" t="str">
        <f t="shared" si="9"/>
        <v xml:space="preserve"> </v>
      </c>
      <c r="CE141" s="15" t="str">
        <f t="shared" si="9"/>
        <v xml:space="preserve"> </v>
      </c>
      <c r="CF141" s="15" t="str">
        <f t="shared" si="9"/>
        <v xml:space="preserve"> </v>
      </c>
      <c r="CG141" s="15" t="str">
        <f t="shared" si="9"/>
        <v xml:space="preserve"> </v>
      </c>
      <c r="CH141" s="15" t="str">
        <f t="shared" si="9"/>
        <v xml:space="preserve"> </v>
      </c>
      <c r="CI141" t="str">
        <f t="shared" si="10"/>
        <v xml:space="preserve"> </v>
      </c>
      <c r="CJ141" t="str">
        <f t="shared" si="11"/>
        <v xml:space="preserve"> </v>
      </c>
    </row>
    <row r="142" spans="3:88">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t="str">
        <f t="shared" si="9"/>
        <v xml:space="preserve"> </v>
      </c>
      <c r="CC142" s="15" t="str">
        <f t="shared" si="9"/>
        <v xml:space="preserve"> </v>
      </c>
      <c r="CD142" s="15" t="str">
        <f t="shared" si="9"/>
        <v xml:space="preserve"> </v>
      </c>
      <c r="CE142" s="15" t="str">
        <f t="shared" si="9"/>
        <v xml:space="preserve"> </v>
      </c>
      <c r="CF142" s="15" t="str">
        <f t="shared" si="9"/>
        <v xml:space="preserve"> </v>
      </c>
      <c r="CG142" s="15" t="str">
        <f t="shared" si="9"/>
        <v xml:space="preserve"> </v>
      </c>
      <c r="CH142" s="15" t="str">
        <f t="shared" si="9"/>
        <v xml:space="preserve"> </v>
      </c>
      <c r="CI142" t="str">
        <f t="shared" si="10"/>
        <v xml:space="preserve"> </v>
      </c>
      <c r="CJ142" t="str">
        <f t="shared" si="11"/>
        <v xml:space="preserve"> </v>
      </c>
    </row>
    <row r="143" spans="3:88">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t="str">
        <f t="shared" si="9"/>
        <v xml:space="preserve"> </v>
      </c>
      <c r="CC143" s="15" t="str">
        <f t="shared" si="9"/>
        <v xml:space="preserve"> </v>
      </c>
      <c r="CD143" s="15" t="str">
        <f t="shared" si="9"/>
        <v xml:space="preserve"> </v>
      </c>
      <c r="CE143" s="15" t="str">
        <f t="shared" si="9"/>
        <v xml:space="preserve"> </v>
      </c>
      <c r="CF143" s="15" t="str">
        <f t="shared" si="9"/>
        <v xml:space="preserve"> </v>
      </c>
      <c r="CG143" s="15" t="str">
        <f t="shared" si="9"/>
        <v xml:space="preserve"> </v>
      </c>
      <c r="CH143" s="15" t="str">
        <f t="shared" si="9"/>
        <v xml:space="preserve"> </v>
      </c>
      <c r="CI143" t="str">
        <f t="shared" si="10"/>
        <v xml:space="preserve"> </v>
      </c>
      <c r="CJ143" t="str">
        <f t="shared" si="11"/>
        <v xml:space="preserve"> </v>
      </c>
    </row>
    <row r="144" spans="3:88">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t="str">
        <f t="shared" si="9"/>
        <v xml:space="preserve"> </v>
      </c>
      <c r="CC144" s="15" t="str">
        <f t="shared" si="9"/>
        <v xml:space="preserve"> </v>
      </c>
      <c r="CD144" s="15" t="str">
        <f t="shared" si="9"/>
        <v xml:space="preserve"> </v>
      </c>
      <c r="CE144" s="15" t="str">
        <f t="shared" si="9"/>
        <v xml:space="preserve"> </v>
      </c>
      <c r="CF144" s="15" t="str">
        <f t="shared" si="9"/>
        <v xml:space="preserve"> </v>
      </c>
      <c r="CG144" s="15" t="str">
        <f t="shared" si="9"/>
        <v xml:space="preserve"> </v>
      </c>
      <c r="CH144" s="15" t="str">
        <f t="shared" si="9"/>
        <v xml:space="preserve"> </v>
      </c>
      <c r="CI144" t="str">
        <f t="shared" si="10"/>
        <v xml:space="preserve"> </v>
      </c>
      <c r="CJ144" t="str">
        <f t="shared" si="11"/>
        <v xml:space="preserve"> </v>
      </c>
    </row>
    <row r="145" spans="3:88">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t="str">
        <f t="shared" si="9"/>
        <v xml:space="preserve"> </v>
      </c>
      <c r="CC145" s="15" t="str">
        <f t="shared" si="9"/>
        <v xml:space="preserve"> </v>
      </c>
      <c r="CD145" s="15" t="str">
        <f t="shared" si="9"/>
        <v xml:space="preserve"> </v>
      </c>
      <c r="CE145" s="15" t="str">
        <f t="shared" si="9"/>
        <v xml:space="preserve"> </v>
      </c>
      <c r="CF145" s="15" t="str">
        <f t="shared" si="9"/>
        <v xml:space="preserve"> </v>
      </c>
      <c r="CG145" s="15" t="str">
        <f t="shared" si="9"/>
        <v xml:space="preserve"> </v>
      </c>
      <c r="CH145" s="15" t="str">
        <f t="shared" si="9"/>
        <v xml:space="preserve"> </v>
      </c>
      <c r="CI145" t="str">
        <f t="shared" si="10"/>
        <v xml:space="preserve"> </v>
      </c>
      <c r="CJ145" t="str">
        <f t="shared" si="11"/>
        <v xml:space="preserve"> </v>
      </c>
    </row>
    <row r="146" spans="3:88">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t="str">
        <f t="shared" si="9"/>
        <v xml:space="preserve"> </v>
      </c>
      <c r="CC146" s="15" t="str">
        <f t="shared" si="9"/>
        <v xml:space="preserve"> </v>
      </c>
      <c r="CD146" s="15" t="str">
        <f t="shared" si="9"/>
        <v xml:space="preserve"> </v>
      </c>
      <c r="CE146" s="15" t="str">
        <f t="shared" si="9"/>
        <v xml:space="preserve"> </v>
      </c>
      <c r="CF146" s="15" t="str">
        <f t="shared" si="9"/>
        <v xml:space="preserve"> </v>
      </c>
      <c r="CG146" s="15" t="str">
        <f t="shared" si="9"/>
        <v xml:space="preserve"> </v>
      </c>
      <c r="CH146" s="15" t="str">
        <f t="shared" si="9"/>
        <v xml:space="preserve"> </v>
      </c>
      <c r="CI146" t="str">
        <f t="shared" si="10"/>
        <v xml:space="preserve"> </v>
      </c>
      <c r="CJ146" t="str">
        <f t="shared" si="11"/>
        <v xml:space="preserve"> </v>
      </c>
    </row>
    <row r="147" spans="3:88">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t="str">
        <f t="shared" si="9"/>
        <v xml:space="preserve"> </v>
      </c>
      <c r="CC147" s="15" t="str">
        <f t="shared" si="9"/>
        <v xml:space="preserve"> </v>
      </c>
      <c r="CD147" s="15" t="str">
        <f t="shared" si="9"/>
        <v xml:space="preserve"> </v>
      </c>
      <c r="CE147" s="15" t="str">
        <f t="shared" si="9"/>
        <v xml:space="preserve"> </v>
      </c>
      <c r="CF147" s="15" t="str">
        <f t="shared" si="9"/>
        <v xml:space="preserve"> </v>
      </c>
      <c r="CG147" s="15" t="str">
        <f t="shared" si="9"/>
        <v xml:space="preserve"> </v>
      </c>
      <c r="CH147" s="15" t="str">
        <f t="shared" si="9"/>
        <v xml:space="preserve"> </v>
      </c>
      <c r="CI147" t="str">
        <f t="shared" si="10"/>
        <v xml:space="preserve"> </v>
      </c>
      <c r="CJ147" t="str">
        <f t="shared" si="11"/>
        <v xml:space="preserve"> </v>
      </c>
    </row>
    <row r="148" spans="3:88">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t="str">
        <f t="shared" si="9"/>
        <v xml:space="preserve"> </v>
      </c>
      <c r="CC148" s="15" t="str">
        <f t="shared" si="9"/>
        <v xml:space="preserve"> </v>
      </c>
      <c r="CD148" s="15" t="str">
        <f t="shared" si="9"/>
        <v xml:space="preserve"> </v>
      </c>
      <c r="CE148" s="15" t="str">
        <f t="shared" si="9"/>
        <v xml:space="preserve"> </v>
      </c>
      <c r="CF148" s="15" t="str">
        <f t="shared" si="9"/>
        <v xml:space="preserve"> </v>
      </c>
      <c r="CG148" s="15" t="str">
        <f t="shared" si="9"/>
        <v xml:space="preserve"> </v>
      </c>
      <c r="CH148" s="15" t="str">
        <f t="shared" si="9"/>
        <v xml:space="preserve"> </v>
      </c>
      <c r="CI148" t="str">
        <f t="shared" si="10"/>
        <v xml:space="preserve"> </v>
      </c>
      <c r="CJ148" t="str">
        <f t="shared" si="11"/>
        <v xml:space="preserve"> </v>
      </c>
    </row>
    <row r="149" spans="3:88">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t="str">
        <f t="shared" si="9"/>
        <v xml:space="preserve"> </v>
      </c>
      <c r="CC149" s="15" t="str">
        <f t="shared" si="9"/>
        <v xml:space="preserve"> </v>
      </c>
      <c r="CD149" s="15" t="str">
        <f t="shared" si="9"/>
        <v xml:space="preserve"> </v>
      </c>
      <c r="CE149" s="15" t="str">
        <f t="shared" si="9"/>
        <v xml:space="preserve"> </v>
      </c>
      <c r="CF149" s="15" t="str">
        <f t="shared" si="9"/>
        <v xml:space="preserve"> </v>
      </c>
      <c r="CG149" s="15" t="str">
        <f t="shared" si="9"/>
        <v xml:space="preserve"> </v>
      </c>
      <c r="CH149" s="15" t="str">
        <f t="shared" si="9"/>
        <v xml:space="preserve"> </v>
      </c>
      <c r="CI149" t="str">
        <f t="shared" si="10"/>
        <v xml:space="preserve"> </v>
      </c>
      <c r="CJ149" t="str">
        <f t="shared" si="11"/>
        <v xml:space="preserve"> </v>
      </c>
    </row>
    <row r="150" spans="3:88">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t="str">
        <f t="shared" si="9"/>
        <v xml:space="preserve"> </v>
      </c>
      <c r="CC150" s="15" t="str">
        <f t="shared" si="9"/>
        <v xml:space="preserve"> </v>
      </c>
      <c r="CD150" s="15" t="str">
        <f t="shared" si="9"/>
        <v xml:space="preserve"> </v>
      </c>
      <c r="CE150" s="15" t="str">
        <f t="shared" si="9"/>
        <v xml:space="preserve"> </v>
      </c>
      <c r="CF150" s="15" t="str">
        <f t="shared" si="9"/>
        <v xml:space="preserve"> </v>
      </c>
      <c r="CG150" s="15" t="str">
        <f t="shared" si="9"/>
        <v xml:space="preserve"> </v>
      </c>
      <c r="CH150" s="15" t="str">
        <f t="shared" si="9"/>
        <v xml:space="preserve"> </v>
      </c>
      <c r="CI150" t="str">
        <f t="shared" si="10"/>
        <v xml:space="preserve"> </v>
      </c>
      <c r="CJ150" t="str">
        <f t="shared" si="11"/>
        <v xml:space="preserve"> </v>
      </c>
    </row>
    <row r="151" spans="3:88">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t="str">
        <f t="shared" si="9"/>
        <v xml:space="preserve"> </v>
      </c>
      <c r="CC151" s="15" t="str">
        <f t="shared" si="9"/>
        <v xml:space="preserve"> </v>
      </c>
      <c r="CD151" s="15" t="str">
        <f t="shared" si="9"/>
        <v xml:space="preserve"> </v>
      </c>
      <c r="CE151" s="15" t="str">
        <f t="shared" si="9"/>
        <v xml:space="preserve"> </v>
      </c>
      <c r="CF151" s="15" t="str">
        <f t="shared" si="9"/>
        <v xml:space="preserve"> </v>
      </c>
      <c r="CG151" s="15" t="str">
        <f t="shared" si="9"/>
        <v xml:space="preserve"> </v>
      </c>
      <c r="CH151" s="15" t="str">
        <f t="shared" si="9"/>
        <v xml:space="preserve"> </v>
      </c>
      <c r="CI151" t="str">
        <f t="shared" si="10"/>
        <v xml:space="preserve"> </v>
      </c>
      <c r="CJ151" t="str">
        <f t="shared" si="11"/>
        <v xml:space="preserve"> </v>
      </c>
    </row>
    <row r="152" spans="3:88">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t="str">
        <f t="shared" si="9"/>
        <v xml:space="preserve"> </v>
      </c>
      <c r="CC152" s="15" t="str">
        <f t="shared" si="9"/>
        <v xml:space="preserve"> </v>
      </c>
      <c r="CD152" s="15" t="str">
        <f t="shared" si="9"/>
        <v xml:space="preserve"> </v>
      </c>
      <c r="CE152" s="15" t="str">
        <f t="shared" si="9"/>
        <v xml:space="preserve"> </v>
      </c>
      <c r="CF152" s="15" t="str">
        <f t="shared" si="9"/>
        <v xml:space="preserve"> </v>
      </c>
      <c r="CG152" s="15" t="str">
        <f t="shared" si="9"/>
        <v xml:space="preserve"> </v>
      </c>
      <c r="CH152" s="15" t="str">
        <f t="shared" si="9"/>
        <v xml:space="preserve"> </v>
      </c>
      <c r="CI152" t="str">
        <f t="shared" si="10"/>
        <v xml:space="preserve"> </v>
      </c>
      <c r="CJ152" t="str">
        <f t="shared" si="11"/>
        <v xml:space="preserve"> </v>
      </c>
    </row>
    <row r="153" spans="3:88">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t="str">
        <f t="shared" si="9"/>
        <v xml:space="preserve"> </v>
      </c>
      <c r="CC153" s="15" t="str">
        <f t="shared" si="9"/>
        <v xml:space="preserve"> </v>
      </c>
      <c r="CD153" s="15" t="str">
        <f t="shared" si="9"/>
        <v xml:space="preserve"> </v>
      </c>
      <c r="CE153" s="15" t="str">
        <f t="shared" si="9"/>
        <v xml:space="preserve"> </v>
      </c>
      <c r="CF153" s="15" t="str">
        <f t="shared" si="9"/>
        <v xml:space="preserve"> </v>
      </c>
      <c r="CG153" s="15" t="str">
        <f t="shared" si="9"/>
        <v xml:space="preserve"> </v>
      </c>
      <c r="CH153" s="15" t="str">
        <f t="shared" si="9"/>
        <v xml:space="preserve"> </v>
      </c>
      <c r="CI153" t="str">
        <f t="shared" si="10"/>
        <v xml:space="preserve"> </v>
      </c>
      <c r="CJ153" t="str">
        <f t="shared" si="11"/>
        <v xml:space="preserve"> </v>
      </c>
    </row>
    <row r="154" spans="3:88">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t="str">
        <f t="shared" si="9"/>
        <v xml:space="preserve"> </v>
      </c>
      <c r="CC154" s="15" t="str">
        <f t="shared" si="9"/>
        <v xml:space="preserve"> </v>
      </c>
      <c r="CD154" s="15" t="str">
        <f t="shared" si="9"/>
        <v xml:space="preserve"> </v>
      </c>
      <c r="CE154" s="15" t="str">
        <f t="shared" si="9"/>
        <v xml:space="preserve"> </v>
      </c>
      <c r="CF154" s="15" t="str">
        <f t="shared" si="9"/>
        <v xml:space="preserve"> </v>
      </c>
      <c r="CG154" s="15" t="str">
        <f t="shared" si="9"/>
        <v xml:space="preserve"> </v>
      </c>
      <c r="CH154" s="15" t="str">
        <f t="shared" si="9"/>
        <v xml:space="preserve"> </v>
      </c>
      <c r="CI154" t="str">
        <f t="shared" si="10"/>
        <v xml:space="preserve"> </v>
      </c>
      <c r="CJ154" t="str">
        <f t="shared" si="11"/>
        <v xml:space="preserve"> </v>
      </c>
    </row>
    <row r="155" spans="3:88">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t="str">
        <f t="shared" si="9"/>
        <v xml:space="preserve"> </v>
      </c>
      <c r="CC155" s="15" t="str">
        <f t="shared" si="9"/>
        <v xml:space="preserve"> </v>
      </c>
      <c r="CD155" s="15" t="str">
        <f t="shared" si="9"/>
        <v xml:space="preserve"> </v>
      </c>
      <c r="CE155" s="15" t="str">
        <f t="shared" si="9"/>
        <v xml:space="preserve"> </v>
      </c>
      <c r="CF155" s="15" t="str">
        <f t="shared" si="9"/>
        <v xml:space="preserve"> </v>
      </c>
      <c r="CG155" s="15" t="str">
        <f t="shared" si="9"/>
        <v xml:space="preserve"> </v>
      </c>
      <c r="CH155" s="15" t="str">
        <f t="shared" si="9"/>
        <v xml:space="preserve"> </v>
      </c>
      <c r="CI155" t="str">
        <f t="shared" si="10"/>
        <v xml:space="preserve"> </v>
      </c>
      <c r="CJ155" t="str">
        <f t="shared" si="11"/>
        <v xml:space="preserve"> </v>
      </c>
    </row>
    <row r="156" spans="3:88">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t="str">
        <f t="shared" si="9"/>
        <v xml:space="preserve"> </v>
      </c>
      <c r="CC156" s="15" t="str">
        <f t="shared" si="9"/>
        <v xml:space="preserve"> </v>
      </c>
      <c r="CD156" s="15" t="str">
        <f t="shared" si="9"/>
        <v xml:space="preserve"> </v>
      </c>
      <c r="CE156" s="15" t="str">
        <f t="shared" si="9"/>
        <v xml:space="preserve"> </v>
      </c>
      <c r="CF156" s="15" t="str">
        <f t="shared" si="9"/>
        <v xml:space="preserve"> </v>
      </c>
      <c r="CG156" s="15" t="str">
        <f t="shared" si="9"/>
        <v xml:space="preserve"> </v>
      </c>
      <c r="CH156" s="15" t="str">
        <f t="shared" si="9"/>
        <v xml:space="preserve"> </v>
      </c>
      <c r="CI156" t="str">
        <f t="shared" si="10"/>
        <v xml:space="preserve"> </v>
      </c>
      <c r="CJ156" t="str">
        <f t="shared" si="11"/>
        <v xml:space="preserve"> </v>
      </c>
    </row>
    <row r="157" spans="3:88">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t="str">
        <f t="shared" si="9"/>
        <v xml:space="preserve"> </v>
      </c>
      <c r="CC157" s="15" t="str">
        <f t="shared" si="9"/>
        <v xml:space="preserve"> </v>
      </c>
      <c r="CD157" s="15" t="str">
        <f t="shared" si="9"/>
        <v xml:space="preserve"> </v>
      </c>
      <c r="CE157" s="15" t="str">
        <f t="shared" ref="CE157:CH220" si="12">IF(ISNUMBER(BX157),BX157, IF(ISNUMBER(BJ157),BJ157,IF(ISNUMBER(AV157),AV157,IF(ISNUMBER(AH157),AH157,IF(ISNUMBER(T157),T157,IF(ISNUMBER(F157),F157,IF(ISNUMBER(BQ157),BQ157,IF(ISNUMBER(BC157),BC157,IF(ISNUMBER(AO157),AO157,IF(ISNUMBER(AA157),AA157,IF(ISNUMBER(M157),M157, " ")))))))))))</f>
        <v xml:space="preserve"> </v>
      </c>
      <c r="CF157" s="15" t="str">
        <f t="shared" si="12"/>
        <v xml:space="preserve"> </v>
      </c>
      <c r="CG157" s="15" t="str">
        <f t="shared" si="12"/>
        <v xml:space="preserve"> </v>
      </c>
      <c r="CH157" s="15" t="str">
        <f t="shared" si="12"/>
        <v xml:space="preserve"> </v>
      </c>
      <c r="CI157" t="str">
        <f t="shared" si="10"/>
        <v xml:space="preserve"> </v>
      </c>
      <c r="CJ157" t="str">
        <f t="shared" si="11"/>
        <v xml:space="preserve"> </v>
      </c>
    </row>
    <row r="158" spans="3:88">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t="str">
        <f t="shared" ref="CB158:CG221" si="13">IF(ISNUMBER(BU158),BU158, IF(ISNUMBER(BG158),BG158,IF(ISNUMBER(AS158),AS158,IF(ISNUMBER(AE158),AE158,IF(ISNUMBER(Q158),Q158,IF(ISNUMBER(C158),C158,IF(ISNUMBER(BN158),BN158,IF(ISNUMBER(AZ158),AZ158,IF(ISNUMBER(AL158),AL158,IF(ISNUMBER(X158),X158,IF(ISNUMBER(J158),J158, " ")))))))))))</f>
        <v xml:space="preserve"> </v>
      </c>
      <c r="CC158" s="15" t="str">
        <f t="shared" si="13"/>
        <v xml:space="preserve"> </v>
      </c>
      <c r="CD158" s="15" t="str">
        <f t="shared" si="13"/>
        <v xml:space="preserve"> </v>
      </c>
      <c r="CE158" s="15" t="str">
        <f t="shared" si="12"/>
        <v xml:space="preserve"> </v>
      </c>
      <c r="CF158" s="15" t="str">
        <f t="shared" si="12"/>
        <v xml:space="preserve"> </v>
      </c>
      <c r="CG158" s="15" t="str">
        <f t="shared" si="12"/>
        <v xml:space="preserve"> </v>
      </c>
      <c r="CH158" s="15" t="str">
        <f t="shared" si="12"/>
        <v xml:space="preserve"> </v>
      </c>
      <c r="CI158" t="str">
        <f t="shared" si="10"/>
        <v xml:space="preserve"> </v>
      </c>
      <c r="CJ158" t="str">
        <f t="shared" si="11"/>
        <v xml:space="preserve"> </v>
      </c>
    </row>
    <row r="159" spans="3:88">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t="str">
        <f t="shared" si="13"/>
        <v xml:space="preserve"> </v>
      </c>
      <c r="CC159" s="15" t="str">
        <f t="shared" si="13"/>
        <v xml:space="preserve"> </v>
      </c>
      <c r="CD159" s="15" t="str">
        <f t="shared" si="13"/>
        <v xml:space="preserve"> </v>
      </c>
      <c r="CE159" s="15" t="str">
        <f t="shared" si="12"/>
        <v xml:space="preserve"> </v>
      </c>
      <c r="CF159" s="15" t="str">
        <f t="shared" si="12"/>
        <v xml:space="preserve"> </v>
      </c>
      <c r="CG159" s="15" t="str">
        <f t="shared" si="12"/>
        <v xml:space="preserve"> </v>
      </c>
      <c r="CH159" s="15" t="str">
        <f t="shared" si="12"/>
        <v xml:space="preserve"> </v>
      </c>
      <c r="CI159" t="str">
        <f t="shared" si="10"/>
        <v xml:space="preserve"> </v>
      </c>
      <c r="CJ159" t="str">
        <f t="shared" si="11"/>
        <v xml:space="preserve"> </v>
      </c>
    </row>
    <row r="160" spans="3:88">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t="str">
        <f t="shared" si="13"/>
        <v xml:space="preserve"> </v>
      </c>
      <c r="CC160" s="15" t="str">
        <f t="shared" si="13"/>
        <v xml:space="preserve"> </v>
      </c>
      <c r="CD160" s="15" t="str">
        <f t="shared" si="13"/>
        <v xml:space="preserve"> </v>
      </c>
      <c r="CE160" s="15" t="str">
        <f t="shared" si="12"/>
        <v xml:space="preserve"> </v>
      </c>
      <c r="CF160" s="15" t="str">
        <f t="shared" si="12"/>
        <v xml:space="preserve"> </v>
      </c>
      <c r="CG160" s="15" t="str">
        <f t="shared" si="12"/>
        <v xml:space="preserve"> </v>
      </c>
      <c r="CH160" s="15" t="str">
        <f t="shared" si="12"/>
        <v xml:space="preserve"> </v>
      </c>
      <c r="CI160" t="str">
        <f t="shared" si="10"/>
        <v xml:space="preserve"> </v>
      </c>
      <c r="CJ160" t="str">
        <f t="shared" si="11"/>
        <v xml:space="preserve"> </v>
      </c>
    </row>
    <row r="161" spans="3:88">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t="str">
        <f t="shared" si="13"/>
        <v xml:space="preserve"> </v>
      </c>
      <c r="CC161" s="15" t="str">
        <f t="shared" si="13"/>
        <v xml:space="preserve"> </v>
      </c>
      <c r="CD161" s="15" t="str">
        <f t="shared" si="13"/>
        <v xml:space="preserve"> </v>
      </c>
      <c r="CE161" s="15" t="str">
        <f t="shared" si="12"/>
        <v xml:space="preserve"> </v>
      </c>
      <c r="CF161" s="15" t="str">
        <f t="shared" si="12"/>
        <v xml:space="preserve"> </v>
      </c>
      <c r="CG161" s="15" t="str">
        <f t="shared" si="12"/>
        <v xml:space="preserve"> </v>
      </c>
      <c r="CH161" s="15" t="str">
        <f t="shared" si="12"/>
        <v xml:space="preserve"> </v>
      </c>
      <c r="CI161" t="str">
        <f t="shared" si="10"/>
        <v xml:space="preserve"> </v>
      </c>
      <c r="CJ161" t="str">
        <f t="shared" si="11"/>
        <v xml:space="preserve"> </v>
      </c>
    </row>
    <row r="162" spans="3:88">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t="str">
        <f t="shared" si="13"/>
        <v xml:space="preserve"> </v>
      </c>
      <c r="CC162" s="15" t="str">
        <f t="shared" si="13"/>
        <v xml:space="preserve"> </v>
      </c>
      <c r="CD162" s="15" t="str">
        <f t="shared" si="13"/>
        <v xml:space="preserve"> </v>
      </c>
      <c r="CE162" s="15" t="str">
        <f t="shared" si="12"/>
        <v xml:space="preserve"> </v>
      </c>
      <c r="CF162" s="15" t="str">
        <f t="shared" si="12"/>
        <v xml:space="preserve"> </v>
      </c>
      <c r="CG162" s="15" t="str">
        <f t="shared" si="12"/>
        <v xml:space="preserve"> </v>
      </c>
      <c r="CH162" s="15" t="str">
        <f t="shared" si="12"/>
        <v xml:space="preserve"> </v>
      </c>
      <c r="CI162" t="str">
        <f t="shared" si="10"/>
        <v xml:space="preserve"> </v>
      </c>
      <c r="CJ162" t="str">
        <f t="shared" si="11"/>
        <v xml:space="preserve"> </v>
      </c>
    </row>
    <row r="163" spans="3:88">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t="str">
        <f t="shared" si="13"/>
        <v xml:space="preserve"> </v>
      </c>
      <c r="CC163" s="15" t="str">
        <f t="shared" si="13"/>
        <v xml:space="preserve"> </v>
      </c>
      <c r="CD163" s="15" t="str">
        <f t="shared" si="13"/>
        <v xml:space="preserve"> </v>
      </c>
      <c r="CE163" s="15" t="str">
        <f t="shared" si="12"/>
        <v xml:space="preserve"> </v>
      </c>
      <c r="CF163" s="15" t="str">
        <f t="shared" si="12"/>
        <v xml:space="preserve"> </v>
      </c>
      <c r="CG163" s="15" t="str">
        <f t="shared" si="12"/>
        <v xml:space="preserve"> </v>
      </c>
      <c r="CH163" s="15" t="str">
        <f t="shared" si="12"/>
        <v xml:space="preserve"> </v>
      </c>
      <c r="CI163" t="str">
        <f t="shared" si="10"/>
        <v xml:space="preserve"> </v>
      </c>
      <c r="CJ163" t="str">
        <f t="shared" si="11"/>
        <v xml:space="preserve"> </v>
      </c>
    </row>
    <row r="164" spans="3:88">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t="str">
        <f t="shared" si="13"/>
        <v xml:space="preserve"> </v>
      </c>
      <c r="CC164" s="15" t="str">
        <f t="shared" si="13"/>
        <v xml:space="preserve"> </v>
      </c>
      <c r="CD164" s="15" t="str">
        <f t="shared" si="13"/>
        <v xml:space="preserve"> </v>
      </c>
      <c r="CE164" s="15" t="str">
        <f t="shared" si="12"/>
        <v xml:space="preserve"> </v>
      </c>
      <c r="CF164" s="15" t="str">
        <f t="shared" si="12"/>
        <v xml:space="preserve"> </v>
      </c>
      <c r="CG164" s="15" t="str">
        <f t="shared" si="12"/>
        <v xml:space="preserve"> </v>
      </c>
      <c r="CH164" s="15" t="str">
        <f t="shared" si="12"/>
        <v xml:space="preserve"> </v>
      </c>
      <c r="CI164" t="str">
        <f t="shared" si="10"/>
        <v xml:space="preserve"> </v>
      </c>
      <c r="CJ164" t="str">
        <f t="shared" si="11"/>
        <v xml:space="preserve"> </v>
      </c>
    </row>
    <row r="165" spans="3:88">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t="str">
        <f t="shared" si="13"/>
        <v xml:space="preserve"> </v>
      </c>
      <c r="CC165" s="15" t="str">
        <f t="shared" si="13"/>
        <v xml:space="preserve"> </v>
      </c>
      <c r="CD165" s="15" t="str">
        <f t="shared" si="13"/>
        <v xml:space="preserve"> </v>
      </c>
      <c r="CE165" s="15" t="str">
        <f t="shared" si="12"/>
        <v xml:space="preserve"> </v>
      </c>
      <c r="CF165" s="15" t="str">
        <f t="shared" si="12"/>
        <v xml:space="preserve"> </v>
      </c>
      <c r="CG165" s="15" t="str">
        <f t="shared" si="12"/>
        <v xml:space="preserve"> </v>
      </c>
      <c r="CH165" s="15" t="str">
        <f t="shared" si="12"/>
        <v xml:space="preserve"> </v>
      </c>
      <c r="CI165" t="str">
        <f t="shared" si="10"/>
        <v xml:space="preserve"> </v>
      </c>
      <c r="CJ165" t="str">
        <f t="shared" si="11"/>
        <v xml:space="preserve"> </v>
      </c>
    </row>
    <row r="166" spans="3:88">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t="str">
        <f t="shared" si="13"/>
        <v xml:space="preserve"> </v>
      </c>
      <c r="CC166" s="15" t="str">
        <f t="shared" si="13"/>
        <v xml:space="preserve"> </v>
      </c>
      <c r="CD166" s="15" t="str">
        <f t="shared" si="13"/>
        <v xml:space="preserve"> </v>
      </c>
      <c r="CE166" s="15" t="str">
        <f t="shared" si="12"/>
        <v xml:space="preserve"> </v>
      </c>
      <c r="CF166" s="15" t="str">
        <f t="shared" si="12"/>
        <v xml:space="preserve"> </v>
      </c>
      <c r="CG166" s="15" t="str">
        <f t="shared" si="12"/>
        <v xml:space="preserve"> </v>
      </c>
      <c r="CH166" s="15" t="str">
        <f t="shared" si="12"/>
        <v xml:space="preserve"> </v>
      </c>
      <c r="CI166" t="str">
        <f t="shared" si="10"/>
        <v xml:space="preserve"> </v>
      </c>
      <c r="CJ166" t="str">
        <f t="shared" si="11"/>
        <v xml:space="preserve"> </v>
      </c>
    </row>
    <row r="167" spans="3:88">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t="str">
        <f t="shared" si="13"/>
        <v xml:space="preserve"> </v>
      </c>
      <c r="CC167" s="15" t="str">
        <f t="shared" si="13"/>
        <v xml:space="preserve"> </v>
      </c>
      <c r="CD167" s="15" t="str">
        <f t="shared" si="13"/>
        <v xml:space="preserve"> </v>
      </c>
      <c r="CE167" s="15" t="str">
        <f t="shared" si="12"/>
        <v xml:space="preserve"> </v>
      </c>
      <c r="CF167" s="15" t="str">
        <f t="shared" si="12"/>
        <v xml:space="preserve"> </v>
      </c>
      <c r="CG167" s="15" t="str">
        <f t="shared" si="12"/>
        <v xml:space="preserve"> </v>
      </c>
      <c r="CH167" s="15" t="str">
        <f t="shared" si="12"/>
        <v xml:space="preserve"> </v>
      </c>
      <c r="CI167" t="str">
        <f t="shared" si="10"/>
        <v xml:space="preserve"> </v>
      </c>
      <c r="CJ167" t="str">
        <f t="shared" si="11"/>
        <v xml:space="preserve"> </v>
      </c>
    </row>
    <row r="168" spans="3:88">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t="str">
        <f t="shared" si="13"/>
        <v xml:space="preserve"> </v>
      </c>
      <c r="CC168" s="15" t="str">
        <f t="shared" si="13"/>
        <v xml:space="preserve"> </v>
      </c>
      <c r="CD168" s="15" t="str">
        <f t="shared" si="13"/>
        <v xml:space="preserve"> </v>
      </c>
      <c r="CE168" s="15" t="str">
        <f t="shared" si="12"/>
        <v xml:space="preserve"> </v>
      </c>
      <c r="CF168" s="15" t="str">
        <f t="shared" si="12"/>
        <v xml:space="preserve"> </v>
      </c>
      <c r="CG168" s="15" t="str">
        <f t="shared" si="12"/>
        <v xml:space="preserve"> </v>
      </c>
      <c r="CH168" s="15" t="str">
        <f t="shared" si="12"/>
        <v xml:space="preserve"> </v>
      </c>
      <c r="CI168" t="str">
        <f t="shared" si="10"/>
        <v xml:space="preserve"> </v>
      </c>
      <c r="CJ168" t="str">
        <f t="shared" si="11"/>
        <v xml:space="preserve"> </v>
      </c>
    </row>
    <row r="169" spans="3:88">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t="str">
        <f t="shared" si="13"/>
        <v xml:space="preserve"> </v>
      </c>
      <c r="CC169" s="15" t="str">
        <f t="shared" si="13"/>
        <v xml:space="preserve"> </v>
      </c>
      <c r="CD169" s="15" t="str">
        <f t="shared" si="13"/>
        <v xml:space="preserve"> </v>
      </c>
      <c r="CE169" s="15" t="str">
        <f t="shared" si="12"/>
        <v xml:space="preserve"> </v>
      </c>
      <c r="CF169" s="15" t="str">
        <f t="shared" si="12"/>
        <v xml:space="preserve"> </v>
      </c>
      <c r="CG169" s="15" t="str">
        <f t="shared" si="12"/>
        <v xml:space="preserve"> </v>
      </c>
      <c r="CH169" s="15" t="str">
        <f t="shared" si="12"/>
        <v xml:space="preserve"> </v>
      </c>
      <c r="CI169" t="str">
        <f t="shared" si="10"/>
        <v xml:space="preserve"> </v>
      </c>
      <c r="CJ169" t="str">
        <f t="shared" si="11"/>
        <v xml:space="preserve"> </v>
      </c>
    </row>
    <row r="170" spans="3:88">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t="str">
        <f t="shared" si="13"/>
        <v xml:space="preserve"> </v>
      </c>
      <c r="CC170" s="15" t="str">
        <f t="shared" si="13"/>
        <v xml:space="preserve"> </v>
      </c>
      <c r="CD170" s="15" t="str">
        <f t="shared" si="13"/>
        <v xml:space="preserve"> </v>
      </c>
      <c r="CE170" s="15" t="str">
        <f t="shared" si="12"/>
        <v xml:space="preserve"> </v>
      </c>
      <c r="CF170" s="15" t="str">
        <f t="shared" si="12"/>
        <v xml:space="preserve"> </v>
      </c>
      <c r="CG170" s="15" t="str">
        <f t="shared" si="12"/>
        <v xml:space="preserve"> </v>
      </c>
      <c r="CH170" s="15" t="str">
        <f t="shared" si="12"/>
        <v xml:space="preserve"> </v>
      </c>
      <c r="CI170" t="str">
        <f t="shared" si="10"/>
        <v xml:space="preserve"> </v>
      </c>
      <c r="CJ170" t="str">
        <f t="shared" si="11"/>
        <v xml:space="preserve"> </v>
      </c>
    </row>
    <row r="171" spans="3:88">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t="str">
        <f t="shared" si="13"/>
        <v xml:space="preserve"> </v>
      </c>
      <c r="CC171" s="15" t="str">
        <f t="shared" si="13"/>
        <v xml:space="preserve"> </v>
      </c>
      <c r="CD171" s="15" t="str">
        <f t="shared" si="13"/>
        <v xml:space="preserve"> </v>
      </c>
      <c r="CE171" s="15" t="str">
        <f t="shared" si="12"/>
        <v xml:space="preserve"> </v>
      </c>
      <c r="CF171" s="15" t="str">
        <f t="shared" si="12"/>
        <v xml:space="preserve"> </v>
      </c>
      <c r="CG171" s="15" t="str">
        <f t="shared" si="12"/>
        <v xml:space="preserve"> </v>
      </c>
      <c r="CH171" s="15" t="str">
        <f t="shared" si="12"/>
        <v xml:space="preserve"> </v>
      </c>
      <c r="CI171" t="str">
        <f t="shared" si="10"/>
        <v xml:space="preserve"> </v>
      </c>
      <c r="CJ171" t="str">
        <f t="shared" si="11"/>
        <v xml:space="preserve"> </v>
      </c>
    </row>
    <row r="172" spans="3:88">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t="str">
        <f t="shared" si="13"/>
        <v xml:space="preserve"> </v>
      </c>
      <c r="CC172" s="15" t="str">
        <f t="shared" si="13"/>
        <v xml:space="preserve"> </v>
      </c>
      <c r="CD172" s="15" t="str">
        <f t="shared" si="13"/>
        <v xml:space="preserve"> </v>
      </c>
      <c r="CE172" s="15" t="str">
        <f t="shared" si="12"/>
        <v xml:space="preserve"> </v>
      </c>
      <c r="CF172" s="15" t="str">
        <f t="shared" si="12"/>
        <v xml:space="preserve"> </v>
      </c>
      <c r="CG172" s="15" t="str">
        <f t="shared" si="12"/>
        <v xml:space="preserve"> </v>
      </c>
      <c r="CH172" s="15" t="str">
        <f t="shared" si="12"/>
        <v xml:space="preserve"> </v>
      </c>
      <c r="CI172" t="str">
        <f t="shared" si="10"/>
        <v xml:space="preserve"> </v>
      </c>
      <c r="CJ172" t="str">
        <f t="shared" si="11"/>
        <v xml:space="preserve"> </v>
      </c>
    </row>
    <row r="173" spans="3:88">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t="str">
        <f t="shared" si="13"/>
        <v xml:space="preserve"> </v>
      </c>
      <c r="CC173" s="15" t="str">
        <f t="shared" si="13"/>
        <v xml:space="preserve"> </v>
      </c>
      <c r="CD173" s="15" t="str">
        <f t="shared" si="13"/>
        <v xml:space="preserve"> </v>
      </c>
      <c r="CE173" s="15" t="str">
        <f t="shared" si="12"/>
        <v xml:space="preserve"> </v>
      </c>
      <c r="CF173" s="15" t="str">
        <f t="shared" si="12"/>
        <v xml:space="preserve"> </v>
      </c>
      <c r="CG173" s="15" t="str">
        <f t="shared" si="12"/>
        <v xml:space="preserve"> </v>
      </c>
      <c r="CH173" s="15" t="str">
        <f t="shared" si="12"/>
        <v xml:space="preserve"> </v>
      </c>
      <c r="CI173" t="str">
        <f t="shared" si="10"/>
        <v xml:space="preserve"> </v>
      </c>
      <c r="CJ173" t="str">
        <f t="shared" si="11"/>
        <v xml:space="preserve"> </v>
      </c>
    </row>
    <row r="174" spans="3:88">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t="str">
        <f t="shared" si="13"/>
        <v xml:space="preserve"> </v>
      </c>
      <c r="CC174" s="15" t="str">
        <f t="shared" si="13"/>
        <v xml:space="preserve"> </v>
      </c>
      <c r="CD174" s="15" t="str">
        <f t="shared" si="13"/>
        <v xml:space="preserve"> </v>
      </c>
      <c r="CE174" s="15" t="str">
        <f t="shared" si="12"/>
        <v xml:space="preserve"> </v>
      </c>
      <c r="CF174" s="15" t="str">
        <f t="shared" si="12"/>
        <v xml:space="preserve"> </v>
      </c>
      <c r="CG174" s="15" t="str">
        <f t="shared" si="12"/>
        <v xml:space="preserve"> </v>
      </c>
      <c r="CH174" s="15" t="str">
        <f t="shared" si="12"/>
        <v xml:space="preserve"> </v>
      </c>
      <c r="CI174" t="str">
        <f t="shared" si="10"/>
        <v xml:space="preserve"> </v>
      </c>
      <c r="CJ174" t="str">
        <f t="shared" si="11"/>
        <v xml:space="preserve"> </v>
      </c>
    </row>
    <row r="175" spans="3:88">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t="str">
        <f t="shared" si="13"/>
        <v xml:space="preserve"> </v>
      </c>
      <c r="CC175" s="15" t="str">
        <f t="shared" si="13"/>
        <v xml:space="preserve"> </v>
      </c>
      <c r="CD175" s="15" t="str">
        <f t="shared" si="13"/>
        <v xml:space="preserve"> </v>
      </c>
      <c r="CE175" s="15" t="str">
        <f t="shared" si="12"/>
        <v xml:space="preserve"> </v>
      </c>
      <c r="CF175" s="15" t="str">
        <f t="shared" si="12"/>
        <v xml:space="preserve"> </v>
      </c>
      <c r="CG175" s="15" t="str">
        <f t="shared" si="12"/>
        <v xml:space="preserve"> </v>
      </c>
      <c r="CH175" s="15" t="str">
        <f t="shared" si="12"/>
        <v xml:space="preserve"> </v>
      </c>
      <c r="CI175" t="str">
        <f t="shared" si="10"/>
        <v xml:space="preserve"> </v>
      </c>
      <c r="CJ175" t="str">
        <f t="shared" si="11"/>
        <v xml:space="preserve"> </v>
      </c>
    </row>
    <row r="176" spans="3:88">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t="str">
        <f t="shared" si="13"/>
        <v xml:space="preserve"> </v>
      </c>
      <c r="CC176" s="15" t="str">
        <f t="shared" si="13"/>
        <v xml:space="preserve"> </v>
      </c>
      <c r="CD176" s="15" t="str">
        <f t="shared" si="13"/>
        <v xml:space="preserve"> </v>
      </c>
      <c r="CE176" s="15" t="str">
        <f t="shared" si="12"/>
        <v xml:space="preserve"> </v>
      </c>
      <c r="CF176" s="15" t="str">
        <f t="shared" si="12"/>
        <v xml:space="preserve"> </v>
      </c>
      <c r="CG176" s="15" t="str">
        <f t="shared" si="12"/>
        <v xml:space="preserve"> </v>
      </c>
      <c r="CH176" s="15" t="str">
        <f t="shared" si="12"/>
        <v xml:space="preserve"> </v>
      </c>
      <c r="CI176" t="str">
        <f t="shared" si="10"/>
        <v xml:space="preserve"> </v>
      </c>
      <c r="CJ176" t="str">
        <f t="shared" si="11"/>
        <v xml:space="preserve"> </v>
      </c>
    </row>
    <row r="177" spans="3:88">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t="str">
        <f t="shared" si="13"/>
        <v xml:space="preserve"> </v>
      </c>
      <c r="CC177" s="15" t="str">
        <f t="shared" si="13"/>
        <v xml:space="preserve"> </v>
      </c>
      <c r="CD177" s="15" t="str">
        <f t="shared" si="13"/>
        <v xml:space="preserve"> </v>
      </c>
      <c r="CE177" s="15" t="str">
        <f t="shared" si="12"/>
        <v xml:space="preserve"> </v>
      </c>
      <c r="CF177" s="15" t="str">
        <f t="shared" si="12"/>
        <v xml:space="preserve"> </v>
      </c>
      <c r="CG177" s="15" t="str">
        <f t="shared" si="12"/>
        <v xml:space="preserve"> </v>
      </c>
      <c r="CH177" s="15" t="str">
        <f t="shared" si="12"/>
        <v xml:space="preserve"> </v>
      </c>
      <c r="CI177" t="str">
        <f t="shared" si="10"/>
        <v xml:space="preserve"> </v>
      </c>
      <c r="CJ177" t="str">
        <f t="shared" si="11"/>
        <v xml:space="preserve"> </v>
      </c>
    </row>
    <row r="178" spans="3:88">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t="str">
        <f t="shared" si="13"/>
        <v xml:space="preserve"> </v>
      </c>
      <c r="CC178" s="15" t="str">
        <f t="shared" si="13"/>
        <v xml:space="preserve"> </v>
      </c>
      <c r="CD178" s="15" t="str">
        <f t="shared" si="13"/>
        <v xml:space="preserve"> </v>
      </c>
      <c r="CE178" s="15" t="str">
        <f t="shared" si="12"/>
        <v xml:space="preserve"> </v>
      </c>
      <c r="CF178" s="15" t="str">
        <f t="shared" si="12"/>
        <v xml:space="preserve"> </v>
      </c>
      <c r="CG178" s="15" t="str">
        <f t="shared" si="12"/>
        <v xml:space="preserve"> </v>
      </c>
      <c r="CH178" s="15" t="str">
        <f t="shared" si="12"/>
        <v xml:space="preserve"> </v>
      </c>
      <c r="CI178" t="str">
        <f t="shared" si="10"/>
        <v xml:space="preserve"> </v>
      </c>
      <c r="CJ178" t="str">
        <f t="shared" si="11"/>
        <v xml:space="preserve"> </v>
      </c>
    </row>
    <row r="179" spans="3:88">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t="str">
        <f t="shared" si="13"/>
        <v xml:space="preserve"> </v>
      </c>
      <c r="CC179" s="15" t="str">
        <f t="shared" si="13"/>
        <v xml:space="preserve"> </v>
      </c>
      <c r="CD179" s="15" t="str">
        <f t="shared" si="13"/>
        <v xml:space="preserve"> </v>
      </c>
      <c r="CE179" s="15" t="str">
        <f t="shared" si="12"/>
        <v xml:space="preserve"> </v>
      </c>
      <c r="CF179" s="15" t="str">
        <f t="shared" si="12"/>
        <v xml:space="preserve"> </v>
      </c>
      <c r="CG179" s="15" t="str">
        <f t="shared" si="12"/>
        <v xml:space="preserve"> </v>
      </c>
      <c r="CH179" s="15" t="str">
        <f t="shared" si="12"/>
        <v xml:space="preserve"> </v>
      </c>
      <c r="CI179" t="str">
        <f t="shared" si="10"/>
        <v xml:space="preserve"> </v>
      </c>
      <c r="CJ179" t="str">
        <f t="shared" si="11"/>
        <v xml:space="preserve"> </v>
      </c>
    </row>
    <row r="180" spans="3:88">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t="str">
        <f t="shared" si="13"/>
        <v xml:space="preserve"> </v>
      </c>
      <c r="CC180" s="15" t="str">
        <f t="shared" si="13"/>
        <v xml:space="preserve"> </v>
      </c>
      <c r="CD180" s="15" t="str">
        <f t="shared" si="13"/>
        <v xml:space="preserve"> </v>
      </c>
      <c r="CE180" s="15" t="str">
        <f t="shared" si="12"/>
        <v xml:space="preserve"> </v>
      </c>
      <c r="CF180" s="15" t="str">
        <f t="shared" si="12"/>
        <v xml:space="preserve"> </v>
      </c>
      <c r="CG180" s="15" t="str">
        <f t="shared" si="12"/>
        <v xml:space="preserve"> </v>
      </c>
      <c r="CH180" s="15" t="str">
        <f t="shared" si="12"/>
        <v xml:space="preserve"> </v>
      </c>
      <c r="CI180" t="str">
        <f t="shared" si="10"/>
        <v xml:space="preserve"> </v>
      </c>
      <c r="CJ180" t="str">
        <f t="shared" si="11"/>
        <v xml:space="preserve"> </v>
      </c>
    </row>
    <row r="181" spans="3:88">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t="str">
        <f t="shared" si="13"/>
        <v xml:space="preserve"> </v>
      </c>
      <c r="CC181" s="15" t="str">
        <f t="shared" si="13"/>
        <v xml:space="preserve"> </v>
      </c>
      <c r="CD181" s="15" t="str">
        <f t="shared" si="13"/>
        <v xml:space="preserve"> </v>
      </c>
      <c r="CE181" s="15" t="str">
        <f t="shared" si="12"/>
        <v xml:space="preserve"> </v>
      </c>
      <c r="CF181" s="15" t="str">
        <f t="shared" si="12"/>
        <v xml:space="preserve"> </v>
      </c>
      <c r="CG181" s="15" t="str">
        <f t="shared" si="12"/>
        <v xml:space="preserve"> </v>
      </c>
      <c r="CH181" s="15" t="str">
        <f t="shared" si="12"/>
        <v xml:space="preserve"> </v>
      </c>
      <c r="CI181" t="str">
        <f t="shared" si="10"/>
        <v xml:space="preserve"> </v>
      </c>
      <c r="CJ181" t="str">
        <f t="shared" si="11"/>
        <v xml:space="preserve"> </v>
      </c>
    </row>
    <row r="182" spans="3:88">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t="str">
        <f t="shared" si="13"/>
        <v xml:space="preserve"> </v>
      </c>
      <c r="CC182" s="15" t="str">
        <f t="shared" si="13"/>
        <v xml:space="preserve"> </v>
      </c>
      <c r="CD182" s="15" t="str">
        <f t="shared" si="13"/>
        <v xml:space="preserve"> </v>
      </c>
      <c r="CE182" s="15" t="str">
        <f t="shared" si="12"/>
        <v xml:space="preserve"> </v>
      </c>
      <c r="CF182" s="15" t="str">
        <f t="shared" si="12"/>
        <v xml:space="preserve"> </v>
      </c>
      <c r="CG182" s="15" t="str">
        <f t="shared" si="12"/>
        <v xml:space="preserve"> </v>
      </c>
      <c r="CH182" s="15" t="str">
        <f t="shared" si="12"/>
        <v xml:space="preserve"> </v>
      </c>
      <c r="CI182" t="str">
        <f t="shared" si="10"/>
        <v xml:space="preserve"> </v>
      </c>
      <c r="CJ182" t="str">
        <f t="shared" si="11"/>
        <v xml:space="preserve"> </v>
      </c>
    </row>
    <row r="183" spans="3:88">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t="str">
        <f t="shared" si="13"/>
        <v xml:space="preserve"> </v>
      </c>
      <c r="CC183" s="15" t="str">
        <f t="shared" si="13"/>
        <v xml:space="preserve"> </v>
      </c>
      <c r="CD183" s="15" t="str">
        <f t="shared" si="13"/>
        <v xml:space="preserve"> </v>
      </c>
      <c r="CE183" s="15" t="str">
        <f t="shared" si="12"/>
        <v xml:space="preserve"> </v>
      </c>
      <c r="CF183" s="15" t="str">
        <f t="shared" si="12"/>
        <v xml:space="preserve"> </v>
      </c>
      <c r="CG183" s="15" t="str">
        <f t="shared" si="12"/>
        <v xml:space="preserve"> </v>
      </c>
      <c r="CH183" s="15" t="str">
        <f t="shared" si="12"/>
        <v xml:space="preserve"> </v>
      </c>
      <c r="CI183" t="str">
        <f t="shared" si="10"/>
        <v xml:space="preserve"> </v>
      </c>
      <c r="CJ183" t="str">
        <f t="shared" si="11"/>
        <v xml:space="preserve"> </v>
      </c>
    </row>
    <row r="184" spans="3:88">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t="str">
        <f t="shared" si="13"/>
        <v xml:space="preserve"> </v>
      </c>
      <c r="CC184" s="15" t="str">
        <f t="shared" si="13"/>
        <v xml:space="preserve"> </v>
      </c>
      <c r="CD184" s="15" t="str">
        <f t="shared" si="13"/>
        <v xml:space="preserve"> </v>
      </c>
      <c r="CE184" s="15" t="str">
        <f t="shared" si="12"/>
        <v xml:space="preserve"> </v>
      </c>
      <c r="CF184" s="15" t="str">
        <f t="shared" si="12"/>
        <v xml:space="preserve"> </v>
      </c>
      <c r="CG184" s="15" t="str">
        <f t="shared" si="12"/>
        <v xml:space="preserve"> </v>
      </c>
      <c r="CH184" s="15" t="str">
        <f t="shared" si="12"/>
        <v xml:space="preserve"> </v>
      </c>
      <c r="CI184" t="str">
        <f t="shared" si="10"/>
        <v xml:space="preserve"> </v>
      </c>
      <c r="CJ184" t="str">
        <f t="shared" si="11"/>
        <v xml:space="preserve"> </v>
      </c>
    </row>
    <row r="185" spans="3:88">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t="str">
        <f t="shared" si="13"/>
        <v xml:space="preserve"> </v>
      </c>
      <c r="CC185" s="15" t="str">
        <f t="shared" si="13"/>
        <v xml:space="preserve"> </v>
      </c>
      <c r="CD185" s="15" t="str">
        <f t="shared" si="13"/>
        <v xml:space="preserve"> </v>
      </c>
      <c r="CE185" s="15" t="str">
        <f t="shared" si="12"/>
        <v xml:space="preserve"> </v>
      </c>
      <c r="CF185" s="15" t="str">
        <f t="shared" si="12"/>
        <v xml:space="preserve"> </v>
      </c>
      <c r="CG185" s="15" t="str">
        <f t="shared" si="12"/>
        <v xml:space="preserve"> </v>
      </c>
      <c r="CH185" s="15" t="str">
        <f t="shared" si="12"/>
        <v xml:space="preserve"> </v>
      </c>
      <c r="CI185" t="str">
        <f t="shared" si="10"/>
        <v xml:space="preserve"> </v>
      </c>
      <c r="CJ185" t="str">
        <f t="shared" si="11"/>
        <v xml:space="preserve"> </v>
      </c>
    </row>
    <row r="186" spans="3:88">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t="str">
        <f t="shared" si="13"/>
        <v xml:space="preserve"> </v>
      </c>
      <c r="CC186" s="15" t="str">
        <f t="shared" si="13"/>
        <v xml:space="preserve"> </v>
      </c>
      <c r="CD186" s="15" t="str">
        <f t="shared" si="13"/>
        <v xml:space="preserve"> </v>
      </c>
      <c r="CE186" s="15" t="str">
        <f t="shared" si="12"/>
        <v xml:space="preserve"> </v>
      </c>
      <c r="CF186" s="15" t="str">
        <f t="shared" si="12"/>
        <v xml:space="preserve"> </v>
      </c>
      <c r="CG186" s="15" t="str">
        <f t="shared" si="12"/>
        <v xml:space="preserve"> </v>
      </c>
      <c r="CH186" s="15" t="str">
        <f t="shared" si="12"/>
        <v xml:space="preserve"> </v>
      </c>
      <c r="CI186" t="str">
        <f t="shared" si="10"/>
        <v xml:space="preserve"> </v>
      </c>
      <c r="CJ186" t="str">
        <f t="shared" si="11"/>
        <v xml:space="preserve"> </v>
      </c>
    </row>
    <row r="187" spans="3:88">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t="str">
        <f t="shared" si="13"/>
        <v xml:space="preserve"> </v>
      </c>
      <c r="CC187" s="15" t="str">
        <f t="shared" si="13"/>
        <v xml:space="preserve"> </v>
      </c>
      <c r="CD187" s="15" t="str">
        <f t="shared" si="13"/>
        <v xml:space="preserve"> </v>
      </c>
      <c r="CE187" s="15" t="str">
        <f t="shared" si="12"/>
        <v xml:space="preserve"> </v>
      </c>
      <c r="CF187" s="15" t="str">
        <f t="shared" si="12"/>
        <v xml:space="preserve"> </v>
      </c>
      <c r="CG187" s="15" t="str">
        <f t="shared" si="12"/>
        <v xml:space="preserve"> </v>
      </c>
      <c r="CH187" s="15" t="str">
        <f t="shared" si="12"/>
        <v xml:space="preserve"> </v>
      </c>
      <c r="CI187" t="str">
        <f t="shared" si="10"/>
        <v xml:space="preserve"> </v>
      </c>
      <c r="CJ187" t="str">
        <f t="shared" si="11"/>
        <v xml:space="preserve"> </v>
      </c>
    </row>
    <row r="188" spans="3:88">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t="str">
        <f t="shared" si="13"/>
        <v xml:space="preserve"> </v>
      </c>
      <c r="CC188" s="15" t="str">
        <f t="shared" si="13"/>
        <v xml:space="preserve"> </v>
      </c>
      <c r="CD188" s="15" t="str">
        <f t="shared" si="13"/>
        <v xml:space="preserve"> </v>
      </c>
      <c r="CE188" s="15" t="str">
        <f t="shared" si="12"/>
        <v xml:space="preserve"> </v>
      </c>
      <c r="CF188" s="15" t="str">
        <f t="shared" si="12"/>
        <v xml:space="preserve"> </v>
      </c>
      <c r="CG188" s="15" t="str">
        <f t="shared" si="12"/>
        <v xml:space="preserve"> </v>
      </c>
      <c r="CH188" s="15" t="str">
        <f t="shared" si="12"/>
        <v xml:space="preserve"> </v>
      </c>
      <c r="CI188" t="str">
        <f t="shared" si="10"/>
        <v xml:space="preserve"> </v>
      </c>
      <c r="CJ188" t="str">
        <f t="shared" si="11"/>
        <v xml:space="preserve"> </v>
      </c>
    </row>
    <row r="189" spans="3:88">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t="str">
        <f t="shared" si="13"/>
        <v xml:space="preserve"> </v>
      </c>
      <c r="CC189" s="15" t="str">
        <f t="shared" si="13"/>
        <v xml:space="preserve"> </v>
      </c>
      <c r="CD189" s="15" t="str">
        <f t="shared" si="13"/>
        <v xml:space="preserve"> </v>
      </c>
      <c r="CE189" s="15" t="str">
        <f t="shared" si="12"/>
        <v xml:space="preserve"> </v>
      </c>
      <c r="CF189" s="15" t="str">
        <f t="shared" si="12"/>
        <v xml:space="preserve"> </v>
      </c>
      <c r="CG189" s="15" t="str">
        <f t="shared" si="12"/>
        <v xml:space="preserve"> </v>
      </c>
      <c r="CH189" s="15" t="str">
        <f t="shared" si="12"/>
        <v xml:space="preserve"> </v>
      </c>
      <c r="CI189" t="str">
        <f t="shared" si="10"/>
        <v xml:space="preserve"> </v>
      </c>
      <c r="CJ189" t="str">
        <f t="shared" si="11"/>
        <v xml:space="preserve"> </v>
      </c>
    </row>
    <row r="190" spans="3:88">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t="str">
        <f t="shared" si="13"/>
        <v xml:space="preserve"> </v>
      </c>
      <c r="CC190" s="15" t="str">
        <f t="shared" si="13"/>
        <v xml:space="preserve"> </v>
      </c>
      <c r="CD190" s="15" t="str">
        <f t="shared" si="13"/>
        <v xml:space="preserve"> </v>
      </c>
      <c r="CE190" s="15" t="str">
        <f t="shared" si="12"/>
        <v xml:space="preserve"> </v>
      </c>
      <c r="CF190" s="15" t="str">
        <f t="shared" si="12"/>
        <v xml:space="preserve"> </v>
      </c>
      <c r="CG190" s="15" t="str">
        <f t="shared" si="12"/>
        <v xml:space="preserve"> </v>
      </c>
      <c r="CH190" s="15" t="str">
        <f t="shared" si="12"/>
        <v xml:space="preserve"> </v>
      </c>
      <c r="CI190" t="str">
        <f t="shared" si="10"/>
        <v xml:space="preserve"> </v>
      </c>
      <c r="CJ190" t="str">
        <f t="shared" si="11"/>
        <v xml:space="preserve"> </v>
      </c>
    </row>
    <row r="191" spans="3:88">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t="str">
        <f t="shared" si="13"/>
        <v xml:space="preserve"> </v>
      </c>
      <c r="CC191" s="15" t="str">
        <f t="shared" si="13"/>
        <v xml:space="preserve"> </v>
      </c>
      <c r="CD191" s="15" t="str">
        <f t="shared" si="13"/>
        <v xml:space="preserve"> </v>
      </c>
      <c r="CE191" s="15" t="str">
        <f t="shared" si="12"/>
        <v xml:space="preserve"> </v>
      </c>
      <c r="CF191" s="15" t="str">
        <f t="shared" si="12"/>
        <v xml:space="preserve"> </v>
      </c>
      <c r="CG191" s="15" t="str">
        <f t="shared" si="12"/>
        <v xml:space="preserve"> </v>
      </c>
      <c r="CH191" s="15" t="str">
        <f t="shared" si="12"/>
        <v xml:space="preserve"> </v>
      </c>
      <c r="CI191" t="str">
        <f t="shared" si="10"/>
        <v xml:space="preserve"> </v>
      </c>
      <c r="CJ191" t="str">
        <f t="shared" si="11"/>
        <v xml:space="preserve"> </v>
      </c>
    </row>
    <row r="192" spans="3:88">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t="str">
        <f t="shared" si="13"/>
        <v xml:space="preserve"> </v>
      </c>
      <c r="CC192" s="15" t="str">
        <f t="shared" si="13"/>
        <v xml:space="preserve"> </v>
      </c>
      <c r="CD192" s="15" t="str">
        <f t="shared" si="13"/>
        <v xml:space="preserve"> </v>
      </c>
      <c r="CE192" s="15" t="str">
        <f t="shared" si="12"/>
        <v xml:space="preserve"> </v>
      </c>
      <c r="CF192" s="15" t="str">
        <f t="shared" si="12"/>
        <v xml:space="preserve"> </v>
      </c>
      <c r="CG192" s="15" t="str">
        <f t="shared" si="12"/>
        <v xml:space="preserve"> </v>
      </c>
      <c r="CH192" s="15" t="str">
        <f t="shared" si="12"/>
        <v xml:space="preserve"> </v>
      </c>
      <c r="CI192" t="str">
        <f t="shared" si="10"/>
        <v xml:space="preserve"> </v>
      </c>
      <c r="CJ192" t="str">
        <f t="shared" si="11"/>
        <v xml:space="preserve"> </v>
      </c>
    </row>
    <row r="193" spans="3:88">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t="str">
        <f t="shared" si="13"/>
        <v xml:space="preserve"> </v>
      </c>
      <c r="CC193" s="15" t="str">
        <f t="shared" si="13"/>
        <v xml:space="preserve"> </v>
      </c>
      <c r="CD193" s="15" t="str">
        <f t="shared" si="13"/>
        <v xml:space="preserve"> </v>
      </c>
      <c r="CE193" s="15" t="str">
        <f t="shared" si="12"/>
        <v xml:space="preserve"> </v>
      </c>
      <c r="CF193" s="15" t="str">
        <f t="shared" si="12"/>
        <v xml:space="preserve"> </v>
      </c>
      <c r="CG193" s="15" t="str">
        <f t="shared" si="12"/>
        <v xml:space="preserve"> </v>
      </c>
      <c r="CH193" s="15" t="str">
        <f t="shared" si="12"/>
        <v xml:space="preserve"> </v>
      </c>
      <c r="CI193" t="str">
        <f t="shared" si="10"/>
        <v xml:space="preserve"> </v>
      </c>
      <c r="CJ193" t="str">
        <f t="shared" si="11"/>
        <v xml:space="preserve"> </v>
      </c>
    </row>
    <row r="194" spans="3:88">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t="str">
        <f t="shared" si="13"/>
        <v xml:space="preserve"> </v>
      </c>
      <c r="CC194" s="15" t="str">
        <f t="shared" si="13"/>
        <v xml:space="preserve"> </v>
      </c>
      <c r="CD194" s="15" t="str">
        <f t="shared" si="13"/>
        <v xml:space="preserve"> </v>
      </c>
      <c r="CE194" s="15" t="str">
        <f t="shared" si="12"/>
        <v xml:space="preserve"> </v>
      </c>
      <c r="CF194" s="15" t="str">
        <f t="shared" si="12"/>
        <v xml:space="preserve"> </v>
      </c>
      <c r="CG194" s="15" t="str">
        <f t="shared" si="12"/>
        <v xml:space="preserve"> </v>
      </c>
      <c r="CH194" s="15" t="str">
        <f t="shared" si="12"/>
        <v xml:space="preserve"> </v>
      </c>
      <c r="CI194" t="str">
        <f t="shared" si="10"/>
        <v xml:space="preserve"> </v>
      </c>
      <c r="CJ194" t="str">
        <f t="shared" si="11"/>
        <v xml:space="preserve"> </v>
      </c>
    </row>
    <row r="195" spans="3:88">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t="str">
        <f t="shared" si="13"/>
        <v xml:space="preserve"> </v>
      </c>
      <c r="CC195" s="15" t="str">
        <f t="shared" si="13"/>
        <v xml:space="preserve"> </v>
      </c>
      <c r="CD195" s="15" t="str">
        <f t="shared" si="13"/>
        <v xml:space="preserve"> </v>
      </c>
      <c r="CE195" s="15" t="str">
        <f t="shared" si="12"/>
        <v xml:space="preserve"> </v>
      </c>
      <c r="CF195" s="15" t="str">
        <f t="shared" si="12"/>
        <v xml:space="preserve"> </v>
      </c>
      <c r="CG195" s="15" t="str">
        <f t="shared" si="12"/>
        <v xml:space="preserve"> </v>
      </c>
      <c r="CH195" s="15" t="str">
        <f t="shared" si="12"/>
        <v xml:space="preserve"> </v>
      </c>
      <c r="CI195" t="str">
        <f t="shared" si="10"/>
        <v xml:space="preserve"> </v>
      </c>
      <c r="CJ195" t="str">
        <f t="shared" si="11"/>
        <v xml:space="preserve"> </v>
      </c>
    </row>
    <row r="196" spans="3:88">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t="str">
        <f t="shared" si="13"/>
        <v xml:space="preserve"> </v>
      </c>
      <c r="CC196" s="15" t="str">
        <f t="shared" si="13"/>
        <v xml:space="preserve"> </v>
      </c>
      <c r="CD196" s="15" t="str">
        <f t="shared" si="13"/>
        <v xml:space="preserve"> </v>
      </c>
      <c r="CE196" s="15" t="str">
        <f t="shared" si="12"/>
        <v xml:space="preserve"> </v>
      </c>
      <c r="CF196" s="15" t="str">
        <f t="shared" si="12"/>
        <v xml:space="preserve"> </v>
      </c>
      <c r="CG196" s="15" t="str">
        <f t="shared" si="12"/>
        <v xml:space="preserve"> </v>
      </c>
      <c r="CH196" s="15" t="str">
        <f t="shared" si="12"/>
        <v xml:space="preserve"> </v>
      </c>
      <c r="CI196" t="str">
        <f t="shared" si="10"/>
        <v xml:space="preserve"> </v>
      </c>
      <c r="CJ196" t="str">
        <f t="shared" si="11"/>
        <v xml:space="preserve"> </v>
      </c>
    </row>
    <row r="197" spans="3:88">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t="str">
        <f t="shared" si="13"/>
        <v xml:space="preserve"> </v>
      </c>
      <c r="CC197" s="15" t="str">
        <f t="shared" si="13"/>
        <v xml:space="preserve"> </v>
      </c>
      <c r="CD197" s="15" t="str">
        <f t="shared" si="13"/>
        <v xml:space="preserve"> </v>
      </c>
      <c r="CE197" s="15" t="str">
        <f t="shared" si="12"/>
        <v xml:space="preserve"> </v>
      </c>
      <c r="CF197" s="15" t="str">
        <f t="shared" si="12"/>
        <v xml:space="preserve"> </v>
      </c>
      <c r="CG197" s="15" t="str">
        <f t="shared" si="12"/>
        <v xml:space="preserve"> </v>
      </c>
      <c r="CH197" s="15" t="str">
        <f t="shared" si="12"/>
        <v xml:space="preserve"> </v>
      </c>
      <c r="CI197" t="str">
        <f t="shared" si="10"/>
        <v xml:space="preserve"> </v>
      </c>
      <c r="CJ197" t="str">
        <f t="shared" si="11"/>
        <v xml:space="preserve"> </v>
      </c>
    </row>
    <row r="198" spans="3:88">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t="str">
        <f t="shared" si="13"/>
        <v xml:space="preserve"> </v>
      </c>
      <c r="CC198" s="15" t="str">
        <f t="shared" si="13"/>
        <v xml:space="preserve"> </v>
      </c>
      <c r="CD198" s="15" t="str">
        <f t="shared" si="13"/>
        <v xml:space="preserve"> </v>
      </c>
      <c r="CE198" s="15" t="str">
        <f t="shared" si="12"/>
        <v xml:space="preserve"> </v>
      </c>
      <c r="CF198" s="15" t="str">
        <f t="shared" si="12"/>
        <v xml:space="preserve"> </v>
      </c>
      <c r="CG198" s="15" t="str">
        <f t="shared" si="12"/>
        <v xml:space="preserve"> </v>
      </c>
      <c r="CH198" s="15" t="str">
        <f t="shared" si="12"/>
        <v xml:space="preserve"> </v>
      </c>
      <c r="CI198" t="str">
        <f t="shared" si="10"/>
        <v xml:space="preserve"> </v>
      </c>
      <c r="CJ198" t="str">
        <f t="shared" si="11"/>
        <v xml:space="preserve"> </v>
      </c>
    </row>
    <row r="199" spans="3:88">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t="str">
        <f t="shared" si="13"/>
        <v xml:space="preserve"> </v>
      </c>
      <c r="CC199" s="15" t="str">
        <f t="shared" si="13"/>
        <v xml:space="preserve"> </v>
      </c>
      <c r="CD199" s="15" t="str">
        <f t="shared" si="13"/>
        <v xml:space="preserve"> </v>
      </c>
      <c r="CE199" s="15" t="str">
        <f t="shared" si="12"/>
        <v xml:space="preserve"> </v>
      </c>
      <c r="CF199" s="15" t="str">
        <f t="shared" si="12"/>
        <v xml:space="preserve"> </v>
      </c>
      <c r="CG199" s="15" t="str">
        <f t="shared" si="12"/>
        <v xml:space="preserve"> </v>
      </c>
      <c r="CH199" s="15" t="str">
        <f t="shared" si="12"/>
        <v xml:space="preserve"> </v>
      </c>
      <c r="CI199" t="str">
        <f t="shared" ref="CI199:CI258" si="14">IF(ISNUMBER(BU199),BU$3, IF(ISNUMBER(BG199),BG$3,IF(ISNUMBER(AS199),AS$3,IF(ISNUMBER(AE199),AE$3,IF(ISNUMBER(Q199),Q$3,IF(ISNUMBER(C199),C$3,IF(ISNUMBER(BN199),BN$3,IF(ISNUMBER(AZ199),AZ$3,IF(ISNUMBER(AL199),AL$3,IF(ISNUMBER(X199),X$3,IF(ISNUMBER(J199),J$3, " ")))))))))))</f>
        <v xml:space="preserve"> </v>
      </c>
      <c r="CJ199" t="str">
        <f t="shared" ref="CJ199:CJ258" si="15">IF(ISNUMBER(BU199),BU$4, IF(ISNUMBER(BG199),BG$4,IF(ISNUMBER(AS199),AS$4,IF(ISNUMBER(AE199),AE$4,IF(ISNUMBER(Q199),Q$4,IF(ISNUMBER(C199),C$4,IF(ISNUMBER(BN199),BN$4,IF(ISNUMBER(AZ199),AZ$4,IF(ISNUMBER(AL199),AL$4,IF(ISNUMBER(X199),X$4,IF(ISNUMBER(J199),J$4, " ")))))))))))</f>
        <v xml:space="preserve"> </v>
      </c>
    </row>
    <row r="200" spans="3:88">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t="str">
        <f t="shared" si="13"/>
        <v xml:space="preserve"> </v>
      </c>
      <c r="CC200" s="15" t="str">
        <f t="shared" si="13"/>
        <v xml:space="preserve"> </v>
      </c>
      <c r="CD200" s="15" t="str">
        <f t="shared" si="13"/>
        <v xml:space="preserve"> </v>
      </c>
      <c r="CE200" s="15" t="str">
        <f t="shared" si="12"/>
        <v xml:space="preserve"> </v>
      </c>
      <c r="CF200" s="15" t="str">
        <f t="shared" si="12"/>
        <v xml:space="preserve"> </v>
      </c>
      <c r="CG200" s="15" t="str">
        <f t="shared" si="12"/>
        <v xml:space="preserve"> </v>
      </c>
      <c r="CH200" s="15" t="str">
        <f t="shared" si="12"/>
        <v xml:space="preserve"> </v>
      </c>
      <c r="CI200" t="str">
        <f t="shared" si="14"/>
        <v xml:space="preserve"> </v>
      </c>
      <c r="CJ200" t="str">
        <f t="shared" si="15"/>
        <v xml:space="preserve"> </v>
      </c>
    </row>
    <row r="201" spans="3:88">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t="str">
        <f t="shared" si="13"/>
        <v xml:space="preserve"> </v>
      </c>
      <c r="CC201" s="15" t="str">
        <f t="shared" si="13"/>
        <v xml:space="preserve"> </v>
      </c>
      <c r="CD201" s="15" t="str">
        <f t="shared" si="13"/>
        <v xml:space="preserve"> </v>
      </c>
      <c r="CE201" s="15" t="str">
        <f t="shared" si="12"/>
        <v xml:space="preserve"> </v>
      </c>
      <c r="CF201" s="15" t="str">
        <f t="shared" si="12"/>
        <v xml:space="preserve"> </v>
      </c>
      <c r="CG201" s="15" t="str">
        <f t="shared" si="12"/>
        <v xml:space="preserve"> </v>
      </c>
      <c r="CH201" s="15" t="str">
        <f t="shared" si="12"/>
        <v xml:space="preserve"> </v>
      </c>
      <c r="CI201" t="str">
        <f t="shared" si="14"/>
        <v xml:space="preserve"> </v>
      </c>
      <c r="CJ201" t="str">
        <f t="shared" si="15"/>
        <v xml:space="preserve"> </v>
      </c>
    </row>
    <row r="202" spans="3:88">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t="str">
        <f t="shared" si="13"/>
        <v xml:space="preserve"> </v>
      </c>
      <c r="CC202" s="15" t="str">
        <f t="shared" si="13"/>
        <v xml:space="preserve"> </v>
      </c>
      <c r="CD202" s="15" t="str">
        <f t="shared" si="13"/>
        <v xml:space="preserve"> </v>
      </c>
      <c r="CE202" s="15" t="str">
        <f t="shared" si="12"/>
        <v xml:space="preserve"> </v>
      </c>
      <c r="CF202" s="15" t="str">
        <f t="shared" si="12"/>
        <v xml:space="preserve"> </v>
      </c>
      <c r="CG202" s="15" t="str">
        <f t="shared" si="12"/>
        <v xml:space="preserve"> </v>
      </c>
      <c r="CH202" s="15" t="str">
        <f t="shared" si="12"/>
        <v xml:space="preserve"> </v>
      </c>
      <c r="CI202" t="str">
        <f t="shared" si="14"/>
        <v xml:space="preserve"> </v>
      </c>
      <c r="CJ202" t="str">
        <f t="shared" si="15"/>
        <v xml:space="preserve"> </v>
      </c>
    </row>
    <row r="203" spans="3:88">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t="str">
        <f t="shared" si="13"/>
        <v xml:space="preserve"> </v>
      </c>
      <c r="CC203" s="15" t="str">
        <f t="shared" si="13"/>
        <v xml:space="preserve"> </v>
      </c>
      <c r="CD203" s="15" t="str">
        <f t="shared" si="13"/>
        <v xml:space="preserve"> </v>
      </c>
      <c r="CE203" s="15" t="str">
        <f t="shared" si="12"/>
        <v xml:space="preserve"> </v>
      </c>
      <c r="CF203" s="15" t="str">
        <f t="shared" si="12"/>
        <v xml:space="preserve"> </v>
      </c>
      <c r="CG203" s="15" t="str">
        <f t="shared" si="12"/>
        <v xml:space="preserve"> </v>
      </c>
      <c r="CH203" s="15" t="str">
        <f t="shared" si="12"/>
        <v xml:space="preserve"> </v>
      </c>
      <c r="CI203" t="str">
        <f t="shared" si="14"/>
        <v xml:space="preserve"> </v>
      </c>
      <c r="CJ203" t="str">
        <f t="shared" si="15"/>
        <v xml:space="preserve"> </v>
      </c>
    </row>
    <row r="204" spans="3:88">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t="str">
        <f t="shared" si="13"/>
        <v xml:space="preserve"> </v>
      </c>
      <c r="CC204" s="15" t="str">
        <f t="shared" si="13"/>
        <v xml:space="preserve"> </v>
      </c>
      <c r="CD204" s="15" t="str">
        <f t="shared" si="13"/>
        <v xml:space="preserve"> </v>
      </c>
      <c r="CE204" s="15" t="str">
        <f t="shared" si="12"/>
        <v xml:space="preserve"> </v>
      </c>
      <c r="CF204" s="15" t="str">
        <f t="shared" si="12"/>
        <v xml:space="preserve"> </v>
      </c>
      <c r="CG204" s="15" t="str">
        <f t="shared" si="12"/>
        <v xml:space="preserve"> </v>
      </c>
      <c r="CH204" s="15" t="str">
        <f t="shared" si="12"/>
        <v xml:space="preserve"> </v>
      </c>
      <c r="CI204" t="str">
        <f t="shared" si="14"/>
        <v xml:space="preserve"> </v>
      </c>
      <c r="CJ204" t="str">
        <f t="shared" si="15"/>
        <v xml:space="preserve"> </v>
      </c>
    </row>
    <row r="205" spans="3:88">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t="str">
        <f t="shared" si="13"/>
        <v xml:space="preserve"> </v>
      </c>
      <c r="CC205" s="15" t="str">
        <f t="shared" si="13"/>
        <v xml:space="preserve"> </v>
      </c>
      <c r="CD205" s="15" t="str">
        <f t="shared" si="13"/>
        <v xml:space="preserve"> </v>
      </c>
      <c r="CE205" s="15" t="str">
        <f t="shared" si="12"/>
        <v xml:space="preserve"> </v>
      </c>
      <c r="CF205" s="15" t="str">
        <f t="shared" si="12"/>
        <v xml:space="preserve"> </v>
      </c>
      <c r="CG205" s="15" t="str">
        <f t="shared" si="12"/>
        <v xml:space="preserve"> </v>
      </c>
      <c r="CH205" s="15" t="str">
        <f t="shared" si="12"/>
        <v xml:space="preserve"> </v>
      </c>
      <c r="CI205" t="str">
        <f t="shared" si="14"/>
        <v xml:space="preserve"> </v>
      </c>
      <c r="CJ205" t="str">
        <f t="shared" si="15"/>
        <v xml:space="preserve"> </v>
      </c>
    </row>
    <row r="206" spans="3:88">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t="str">
        <f t="shared" si="13"/>
        <v xml:space="preserve"> </v>
      </c>
      <c r="CC206" s="15" t="str">
        <f t="shared" si="13"/>
        <v xml:space="preserve"> </v>
      </c>
      <c r="CD206" s="15" t="str">
        <f t="shared" si="13"/>
        <v xml:space="preserve"> </v>
      </c>
      <c r="CE206" s="15" t="str">
        <f t="shared" si="12"/>
        <v xml:space="preserve"> </v>
      </c>
      <c r="CF206" s="15" t="str">
        <f t="shared" si="12"/>
        <v xml:space="preserve"> </v>
      </c>
      <c r="CG206" s="15" t="str">
        <f t="shared" si="12"/>
        <v xml:space="preserve"> </v>
      </c>
      <c r="CH206" s="15" t="str">
        <f t="shared" si="12"/>
        <v xml:space="preserve"> </v>
      </c>
      <c r="CI206" t="str">
        <f t="shared" si="14"/>
        <v xml:space="preserve"> </v>
      </c>
      <c r="CJ206" t="str">
        <f t="shared" si="15"/>
        <v xml:space="preserve"> </v>
      </c>
    </row>
    <row r="207" spans="3:88">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t="str">
        <f t="shared" si="13"/>
        <v xml:space="preserve"> </v>
      </c>
      <c r="CC207" s="15" t="str">
        <f t="shared" si="13"/>
        <v xml:space="preserve"> </v>
      </c>
      <c r="CD207" s="15" t="str">
        <f t="shared" si="13"/>
        <v xml:space="preserve"> </v>
      </c>
      <c r="CE207" s="15" t="str">
        <f t="shared" si="12"/>
        <v xml:space="preserve"> </v>
      </c>
      <c r="CF207" s="15" t="str">
        <f t="shared" si="12"/>
        <v xml:space="preserve"> </v>
      </c>
      <c r="CG207" s="15" t="str">
        <f t="shared" si="12"/>
        <v xml:space="preserve"> </v>
      </c>
      <c r="CH207" s="15" t="str">
        <f t="shared" si="12"/>
        <v xml:space="preserve"> </v>
      </c>
      <c r="CI207" t="str">
        <f t="shared" si="14"/>
        <v xml:space="preserve"> </v>
      </c>
      <c r="CJ207" t="str">
        <f t="shared" si="15"/>
        <v xml:space="preserve"> </v>
      </c>
    </row>
    <row r="208" spans="3:88">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t="str">
        <f t="shared" si="13"/>
        <v xml:space="preserve"> </v>
      </c>
      <c r="CC208" s="15" t="str">
        <f t="shared" si="13"/>
        <v xml:space="preserve"> </v>
      </c>
      <c r="CD208" s="15" t="str">
        <f t="shared" si="13"/>
        <v xml:space="preserve"> </v>
      </c>
      <c r="CE208" s="15" t="str">
        <f t="shared" si="12"/>
        <v xml:space="preserve"> </v>
      </c>
      <c r="CF208" s="15" t="str">
        <f t="shared" si="12"/>
        <v xml:space="preserve"> </v>
      </c>
      <c r="CG208" s="15" t="str">
        <f t="shared" si="12"/>
        <v xml:space="preserve"> </v>
      </c>
      <c r="CH208" s="15" t="str">
        <f t="shared" si="12"/>
        <v xml:space="preserve"> </v>
      </c>
      <c r="CI208" t="str">
        <f t="shared" si="14"/>
        <v xml:space="preserve"> </v>
      </c>
      <c r="CJ208" t="str">
        <f t="shared" si="15"/>
        <v xml:space="preserve"> </v>
      </c>
    </row>
    <row r="209" spans="3:88">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t="str">
        <f t="shared" si="13"/>
        <v xml:space="preserve"> </v>
      </c>
      <c r="CC209" s="15" t="str">
        <f t="shared" si="13"/>
        <v xml:space="preserve"> </v>
      </c>
      <c r="CD209" s="15" t="str">
        <f t="shared" si="13"/>
        <v xml:space="preserve"> </v>
      </c>
      <c r="CE209" s="15" t="str">
        <f t="shared" si="12"/>
        <v xml:space="preserve"> </v>
      </c>
      <c r="CF209" s="15" t="str">
        <f t="shared" si="12"/>
        <v xml:space="preserve"> </v>
      </c>
      <c r="CG209" s="15" t="str">
        <f t="shared" si="12"/>
        <v xml:space="preserve"> </v>
      </c>
      <c r="CH209" s="15" t="str">
        <f t="shared" si="12"/>
        <v xml:space="preserve"> </v>
      </c>
      <c r="CI209" t="str">
        <f t="shared" si="14"/>
        <v xml:space="preserve"> </v>
      </c>
      <c r="CJ209" t="str">
        <f t="shared" si="15"/>
        <v xml:space="preserve"> </v>
      </c>
    </row>
    <row r="210" spans="3:88">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t="str">
        <f t="shared" si="13"/>
        <v xml:space="preserve"> </v>
      </c>
      <c r="CC210" s="15" t="str">
        <f t="shared" si="13"/>
        <v xml:space="preserve"> </v>
      </c>
      <c r="CD210" s="15" t="str">
        <f t="shared" si="13"/>
        <v xml:space="preserve"> </v>
      </c>
      <c r="CE210" s="15" t="str">
        <f t="shared" si="12"/>
        <v xml:space="preserve"> </v>
      </c>
      <c r="CF210" s="15" t="str">
        <f t="shared" si="12"/>
        <v xml:space="preserve"> </v>
      </c>
      <c r="CG210" s="15" t="str">
        <f t="shared" si="12"/>
        <v xml:space="preserve"> </v>
      </c>
      <c r="CH210" s="15" t="str">
        <f t="shared" si="12"/>
        <v xml:space="preserve"> </v>
      </c>
      <c r="CI210" t="str">
        <f t="shared" si="14"/>
        <v xml:space="preserve"> </v>
      </c>
      <c r="CJ210" t="str">
        <f t="shared" si="15"/>
        <v xml:space="preserve"> </v>
      </c>
    </row>
    <row r="211" spans="3:88">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t="str">
        <f t="shared" si="13"/>
        <v xml:space="preserve"> </v>
      </c>
      <c r="CC211" s="15" t="str">
        <f t="shared" si="13"/>
        <v xml:space="preserve"> </v>
      </c>
      <c r="CD211" s="15" t="str">
        <f t="shared" si="13"/>
        <v xml:space="preserve"> </v>
      </c>
      <c r="CE211" s="15" t="str">
        <f t="shared" si="12"/>
        <v xml:space="preserve"> </v>
      </c>
      <c r="CF211" s="15" t="str">
        <f t="shared" si="12"/>
        <v xml:space="preserve"> </v>
      </c>
      <c r="CG211" s="15" t="str">
        <f t="shared" si="12"/>
        <v xml:space="preserve"> </v>
      </c>
      <c r="CH211" s="15" t="str">
        <f t="shared" si="12"/>
        <v xml:space="preserve"> </v>
      </c>
      <c r="CI211" t="str">
        <f t="shared" si="14"/>
        <v xml:space="preserve"> </v>
      </c>
      <c r="CJ211" t="str">
        <f t="shared" si="15"/>
        <v xml:space="preserve"> </v>
      </c>
    </row>
    <row r="212" spans="3:88">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t="str">
        <f t="shared" si="13"/>
        <v xml:space="preserve"> </v>
      </c>
      <c r="CC212" s="15" t="str">
        <f t="shared" si="13"/>
        <v xml:space="preserve"> </v>
      </c>
      <c r="CD212" s="15" t="str">
        <f t="shared" si="13"/>
        <v xml:space="preserve"> </v>
      </c>
      <c r="CE212" s="15" t="str">
        <f t="shared" si="12"/>
        <v xml:space="preserve"> </v>
      </c>
      <c r="CF212" s="15" t="str">
        <f t="shared" si="12"/>
        <v xml:space="preserve"> </v>
      </c>
      <c r="CG212" s="15" t="str">
        <f t="shared" si="12"/>
        <v xml:space="preserve"> </v>
      </c>
      <c r="CH212" s="15" t="str">
        <f t="shared" si="12"/>
        <v xml:space="preserve"> </v>
      </c>
      <c r="CI212" t="str">
        <f t="shared" si="14"/>
        <v xml:space="preserve"> </v>
      </c>
      <c r="CJ212" t="str">
        <f t="shared" si="15"/>
        <v xml:space="preserve"> </v>
      </c>
    </row>
    <row r="213" spans="3:88">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t="str">
        <f t="shared" si="13"/>
        <v xml:space="preserve"> </v>
      </c>
      <c r="CC213" s="15" t="str">
        <f t="shared" si="13"/>
        <v xml:space="preserve"> </v>
      </c>
      <c r="CD213" s="15" t="str">
        <f t="shared" si="13"/>
        <v xml:space="preserve"> </v>
      </c>
      <c r="CE213" s="15" t="str">
        <f t="shared" si="12"/>
        <v xml:space="preserve"> </v>
      </c>
      <c r="CF213" s="15" t="str">
        <f t="shared" si="12"/>
        <v xml:space="preserve"> </v>
      </c>
      <c r="CG213" s="15" t="str">
        <f t="shared" si="12"/>
        <v xml:space="preserve"> </v>
      </c>
      <c r="CH213" s="15" t="str">
        <f t="shared" si="12"/>
        <v xml:space="preserve"> </v>
      </c>
      <c r="CI213" t="str">
        <f t="shared" si="14"/>
        <v xml:space="preserve"> </v>
      </c>
      <c r="CJ213" t="str">
        <f t="shared" si="15"/>
        <v xml:space="preserve"> </v>
      </c>
    </row>
    <row r="214" spans="3:88">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t="str">
        <f t="shared" si="13"/>
        <v xml:space="preserve"> </v>
      </c>
      <c r="CC214" s="15" t="str">
        <f t="shared" si="13"/>
        <v xml:space="preserve"> </v>
      </c>
      <c r="CD214" s="15" t="str">
        <f t="shared" si="13"/>
        <v xml:space="preserve"> </v>
      </c>
      <c r="CE214" s="15" t="str">
        <f t="shared" si="12"/>
        <v xml:space="preserve"> </v>
      </c>
      <c r="CF214" s="15" t="str">
        <f t="shared" si="12"/>
        <v xml:space="preserve"> </v>
      </c>
      <c r="CG214" s="15" t="str">
        <f t="shared" si="12"/>
        <v xml:space="preserve"> </v>
      </c>
      <c r="CH214" s="15" t="str">
        <f t="shared" si="12"/>
        <v xml:space="preserve"> </v>
      </c>
      <c r="CI214" t="str">
        <f t="shared" si="14"/>
        <v xml:space="preserve"> </v>
      </c>
      <c r="CJ214" t="str">
        <f t="shared" si="15"/>
        <v xml:space="preserve"> </v>
      </c>
    </row>
    <row r="215" spans="3:88">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t="str">
        <f t="shared" si="13"/>
        <v xml:space="preserve"> </v>
      </c>
      <c r="CC215" s="15" t="str">
        <f t="shared" si="13"/>
        <v xml:space="preserve"> </v>
      </c>
      <c r="CD215" s="15" t="str">
        <f t="shared" si="13"/>
        <v xml:space="preserve"> </v>
      </c>
      <c r="CE215" s="15" t="str">
        <f t="shared" si="12"/>
        <v xml:space="preserve"> </v>
      </c>
      <c r="CF215" s="15" t="str">
        <f t="shared" si="12"/>
        <v xml:space="preserve"> </v>
      </c>
      <c r="CG215" s="15" t="str">
        <f t="shared" si="12"/>
        <v xml:space="preserve"> </v>
      </c>
      <c r="CH215" s="15" t="str">
        <f t="shared" si="12"/>
        <v xml:space="preserve"> </v>
      </c>
      <c r="CI215" t="str">
        <f t="shared" si="14"/>
        <v xml:space="preserve"> </v>
      </c>
      <c r="CJ215" t="str">
        <f t="shared" si="15"/>
        <v xml:space="preserve"> </v>
      </c>
    </row>
    <row r="216" spans="3:88">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t="str">
        <f t="shared" si="13"/>
        <v xml:space="preserve"> </v>
      </c>
      <c r="CC216" s="15" t="str">
        <f t="shared" si="13"/>
        <v xml:space="preserve"> </v>
      </c>
      <c r="CD216" s="15" t="str">
        <f t="shared" si="13"/>
        <v xml:space="preserve"> </v>
      </c>
      <c r="CE216" s="15" t="str">
        <f t="shared" si="12"/>
        <v xml:space="preserve"> </v>
      </c>
      <c r="CF216" s="15" t="str">
        <f t="shared" si="12"/>
        <v xml:space="preserve"> </v>
      </c>
      <c r="CG216" s="15" t="str">
        <f t="shared" si="12"/>
        <v xml:space="preserve"> </v>
      </c>
      <c r="CH216" s="15" t="str">
        <f t="shared" si="12"/>
        <v xml:space="preserve"> </v>
      </c>
      <c r="CI216" t="str">
        <f t="shared" si="14"/>
        <v xml:space="preserve"> </v>
      </c>
      <c r="CJ216" t="str">
        <f t="shared" si="15"/>
        <v xml:space="preserve"> </v>
      </c>
    </row>
    <row r="217" spans="3:88">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t="str">
        <f t="shared" si="13"/>
        <v xml:space="preserve"> </v>
      </c>
      <c r="CC217" s="15" t="str">
        <f t="shared" si="13"/>
        <v xml:space="preserve"> </v>
      </c>
      <c r="CD217" s="15" t="str">
        <f t="shared" si="13"/>
        <v xml:space="preserve"> </v>
      </c>
      <c r="CE217" s="15" t="str">
        <f t="shared" si="12"/>
        <v xml:space="preserve"> </v>
      </c>
      <c r="CF217" s="15" t="str">
        <f t="shared" si="12"/>
        <v xml:space="preserve"> </v>
      </c>
      <c r="CG217" s="15" t="str">
        <f t="shared" si="12"/>
        <v xml:space="preserve"> </v>
      </c>
      <c r="CH217" s="15" t="str">
        <f t="shared" si="12"/>
        <v xml:space="preserve"> </v>
      </c>
      <c r="CI217" t="str">
        <f t="shared" si="14"/>
        <v xml:space="preserve"> </v>
      </c>
      <c r="CJ217" t="str">
        <f t="shared" si="15"/>
        <v xml:space="preserve"> </v>
      </c>
    </row>
    <row r="218" spans="3:88">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t="str">
        <f t="shared" si="13"/>
        <v xml:space="preserve"> </v>
      </c>
      <c r="CC218" s="15" t="str">
        <f t="shared" si="13"/>
        <v xml:space="preserve"> </v>
      </c>
      <c r="CD218" s="15" t="str">
        <f t="shared" si="13"/>
        <v xml:space="preserve"> </v>
      </c>
      <c r="CE218" s="15" t="str">
        <f t="shared" si="12"/>
        <v xml:space="preserve"> </v>
      </c>
      <c r="CF218" s="15" t="str">
        <f t="shared" si="12"/>
        <v xml:space="preserve"> </v>
      </c>
      <c r="CG218" s="15" t="str">
        <f t="shared" si="12"/>
        <v xml:space="preserve"> </v>
      </c>
      <c r="CH218" s="15" t="str">
        <f t="shared" si="12"/>
        <v xml:space="preserve"> </v>
      </c>
      <c r="CI218" t="str">
        <f t="shared" si="14"/>
        <v xml:space="preserve"> </v>
      </c>
      <c r="CJ218" t="str">
        <f t="shared" si="15"/>
        <v xml:space="preserve"> </v>
      </c>
    </row>
    <row r="219" spans="3:88">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t="str">
        <f t="shared" si="13"/>
        <v xml:space="preserve"> </v>
      </c>
      <c r="CC219" s="15" t="str">
        <f t="shared" si="13"/>
        <v xml:space="preserve"> </v>
      </c>
      <c r="CD219" s="15" t="str">
        <f t="shared" si="13"/>
        <v xml:space="preserve"> </v>
      </c>
      <c r="CE219" s="15" t="str">
        <f t="shared" si="12"/>
        <v xml:space="preserve"> </v>
      </c>
      <c r="CF219" s="15" t="str">
        <f t="shared" si="12"/>
        <v xml:space="preserve"> </v>
      </c>
      <c r="CG219" s="15" t="str">
        <f t="shared" si="12"/>
        <v xml:space="preserve"> </v>
      </c>
      <c r="CH219" s="15" t="str">
        <f t="shared" si="12"/>
        <v xml:space="preserve"> </v>
      </c>
      <c r="CI219" t="str">
        <f t="shared" si="14"/>
        <v xml:space="preserve"> </v>
      </c>
      <c r="CJ219" t="str">
        <f t="shared" si="15"/>
        <v xml:space="preserve"> </v>
      </c>
    </row>
    <row r="220" spans="3:88">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t="str">
        <f t="shared" si="13"/>
        <v xml:space="preserve"> </v>
      </c>
      <c r="CC220" s="15" t="str">
        <f t="shared" si="13"/>
        <v xml:space="preserve"> </v>
      </c>
      <c r="CD220" s="15" t="str">
        <f t="shared" si="13"/>
        <v xml:space="preserve"> </v>
      </c>
      <c r="CE220" s="15" t="str">
        <f t="shared" si="12"/>
        <v xml:space="preserve"> </v>
      </c>
      <c r="CF220" s="15" t="str">
        <f t="shared" si="12"/>
        <v xml:space="preserve"> </v>
      </c>
      <c r="CG220" s="15" t="str">
        <f t="shared" si="12"/>
        <v xml:space="preserve"> </v>
      </c>
      <c r="CH220" s="15" t="str">
        <f t="shared" ref="CH220:CH258" si="16">IF(ISNUMBER(CA220),CA220, IF(ISNUMBER(BM220),BM220,IF(ISNUMBER(AY220),AY220,IF(ISNUMBER(AK220),AK220,IF(ISNUMBER(W220),W220,IF(ISNUMBER(I220),I220,IF(ISNUMBER(BT220),BT220,IF(ISNUMBER(BF220),BF220,IF(ISNUMBER(AR220),AR220,IF(ISNUMBER(AD220),AD220,IF(ISNUMBER(P220),P220, " ")))))))))))</f>
        <v xml:space="preserve"> </v>
      </c>
      <c r="CI220" t="str">
        <f t="shared" si="14"/>
        <v xml:space="preserve"> </v>
      </c>
      <c r="CJ220" t="str">
        <f t="shared" si="15"/>
        <v xml:space="preserve"> </v>
      </c>
    </row>
    <row r="221" spans="3:88">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t="str">
        <f t="shared" si="13"/>
        <v xml:space="preserve"> </v>
      </c>
      <c r="CC221" s="15" t="str">
        <f t="shared" si="13"/>
        <v xml:space="preserve"> </v>
      </c>
      <c r="CD221" s="15" t="str">
        <f t="shared" si="13"/>
        <v xml:space="preserve"> </v>
      </c>
      <c r="CE221" s="15" t="str">
        <f t="shared" si="13"/>
        <v xml:space="preserve"> </v>
      </c>
      <c r="CF221" s="15" t="str">
        <f t="shared" si="13"/>
        <v xml:space="preserve"> </v>
      </c>
      <c r="CG221" s="15" t="str">
        <f t="shared" si="13"/>
        <v xml:space="preserve"> </v>
      </c>
      <c r="CH221" s="15" t="str">
        <f t="shared" si="16"/>
        <v xml:space="preserve"> </v>
      </c>
      <c r="CI221" t="str">
        <f t="shared" si="14"/>
        <v xml:space="preserve"> </v>
      </c>
      <c r="CJ221" t="str">
        <f t="shared" si="15"/>
        <v xml:space="preserve"> </v>
      </c>
    </row>
    <row r="222" spans="3:88">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t="str">
        <f t="shared" ref="CB222:CG258" si="17">IF(ISNUMBER(BU222),BU222, IF(ISNUMBER(BG222),BG222,IF(ISNUMBER(AS222),AS222,IF(ISNUMBER(AE222),AE222,IF(ISNUMBER(Q222),Q222,IF(ISNUMBER(C222),C222,IF(ISNUMBER(BN222),BN222,IF(ISNUMBER(AZ222),AZ222,IF(ISNUMBER(AL222),AL222,IF(ISNUMBER(X222),X222,IF(ISNUMBER(J222),J222, " ")))))))))))</f>
        <v xml:space="preserve"> </v>
      </c>
      <c r="CC222" s="15" t="str">
        <f t="shared" si="17"/>
        <v xml:space="preserve"> </v>
      </c>
      <c r="CD222" s="15" t="str">
        <f t="shared" si="17"/>
        <v xml:space="preserve"> </v>
      </c>
      <c r="CE222" s="15" t="str">
        <f t="shared" si="17"/>
        <v xml:space="preserve"> </v>
      </c>
      <c r="CF222" s="15" t="str">
        <f t="shared" si="17"/>
        <v xml:space="preserve"> </v>
      </c>
      <c r="CG222" s="15" t="str">
        <f t="shared" si="17"/>
        <v xml:space="preserve"> </v>
      </c>
      <c r="CH222" s="15" t="str">
        <f t="shared" si="16"/>
        <v xml:space="preserve"> </v>
      </c>
      <c r="CI222" t="str">
        <f t="shared" si="14"/>
        <v xml:space="preserve"> </v>
      </c>
      <c r="CJ222" t="str">
        <f t="shared" si="15"/>
        <v xml:space="preserve"> </v>
      </c>
    </row>
    <row r="223" spans="3:88">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t="str">
        <f t="shared" si="17"/>
        <v xml:space="preserve"> </v>
      </c>
      <c r="CC223" s="15" t="str">
        <f t="shared" si="17"/>
        <v xml:space="preserve"> </v>
      </c>
      <c r="CD223" s="15" t="str">
        <f t="shared" si="17"/>
        <v xml:space="preserve"> </v>
      </c>
      <c r="CE223" s="15" t="str">
        <f t="shared" si="17"/>
        <v xml:space="preserve"> </v>
      </c>
      <c r="CF223" s="15" t="str">
        <f t="shared" si="17"/>
        <v xml:space="preserve"> </v>
      </c>
      <c r="CG223" s="15" t="str">
        <f t="shared" si="17"/>
        <v xml:space="preserve"> </v>
      </c>
      <c r="CH223" s="15" t="str">
        <f t="shared" si="16"/>
        <v xml:space="preserve"> </v>
      </c>
      <c r="CI223" t="str">
        <f t="shared" si="14"/>
        <v xml:space="preserve"> </v>
      </c>
      <c r="CJ223" t="str">
        <f t="shared" si="15"/>
        <v xml:space="preserve"> </v>
      </c>
    </row>
    <row r="224" spans="3:88">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t="str">
        <f t="shared" si="17"/>
        <v xml:space="preserve"> </v>
      </c>
      <c r="CC224" s="15" t="str">
        <f t="shared" si="17"/>
        <v xml:space="preserve"> </v>
      </c>
      <c r="CD224" s="15" t="str">
        <f t="shared" si="17"/>
        <v xml:space="preserve"> </v>
      </c>
      <c r="CE224" s="15" t="str">
        <f t="shared" si="17"/>
        <v xml:space="preserve"> </v>
      </c>
      <c r="CF224" s="15" t="str">
        <f t="shared" si="17"/>
        <v xml:space="preserve"> </v>
      </c>
      <c r="CG224" s="15" t="str">
        <f t="shared" si="17"/>
        <v xml:space="preserve"> </v>
      </c>
      <c r="CH224" s="15" t="str">
        <f t="shared" si="16"/>
        <v xml:space="preserve"> </v>
      </c>
      <c r="CI224" t="str">
        <f t="shared" si="14"/>
        <v xml:space="preserve"> </v>
      </c>
      <c r="CJ224" t="str">
        <f t="shared" si="15"/>
        <v xml:space="preserve"> </v>
      </c>
    </row>
    <row r="225" spans="3:88">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t="str">
        <f t="shared" si="17"/>
        <v xml:space="preserve"> </v>
      </c>
      <c r="CC225" s="15" t="str">
        <f t="shared" si="17"/>
        <v xml:space="preserve"> </v>
      </c>
      <c r="CD225" s="15" t="str">
        <f t="shared" si="17"/>
        <v xml:space="preserve"> </v>
      </c>
      <c r="CE225" s="15" t="str">
        <f t="shared" si="17"/>
        <v xml:space="preserve"> </v>
      </c>
      <c r="CF225" s="15" t="str">
        <f t="shared" si="17"/>
        <v xml:space="preserve"> </v>
      </c>
      <c r="CG225" s="15" t="str">
        <f t="shared" si="17"/>
        <v xml:space="preserve"> </v>
      </c>
      <c r="CH225" s="15" t="str">
        <f t="shared" si="16"/>
        <v xml:space="preserve"> </v>
      </c>
      <c r="CI225" t="str">
        <f t="shared" si="14"/>
        <v xml:space="preserve"> </v>
      </c>
      <c r="CJ225" t="str">
        <f t="shared" si="15"/>
        <v xml:space="preserve"> </v>
      </c>
    </row>
    <row r="226" spans="3:88">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t="str">
        <f t="shared" si="17"/>
        <v xml:space="preserve"> </v>
      </c>
      <c r="CC226" s="15" t="str">
        <f t="shared" si="17"/>
        <v xml:space="preserve"> </v>
      </c>
      <c r="CD226" s="15" t="str">
        <f t="shared" si="17"/>
        <v xml:space="preserve"> </v>
      </c>
      <c r="CE226" s="15" t="str">
        <f t="shared" si="17"/>
        <v xml:space="preserve"> </v>
      </c>
      <c r="CF226" s="15" t="str">
        <f t="shared" si="17"/>
        <v xml:space="preserve"> </v>
      </c>
      <c r="CG226" s="15" t="str">
        <f t="shared" si="17"/>
        <v xml:space="preserve"> </v>
      </c>
      <c r="CH226" s="15" t="str">
        <f t="shared" si="16"/>
        <v xml:space="preserve"> </v>
      </c>
      <c r="CI226" t="str">
        <f t="shared" si="14"/>
        <v xml:space="preserve"> </v>
      </c>
      <c r="CJ226" t="str">
        <f t="shared" si="15"/>
        <v xml:space="preserve"> </v>
      </c>
    </row>
    <row r="227" spans="3:88">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t="str">
        <f t="shared" si="17"/>
        <v xml:space="preserve"> </v>
      </c>
      <c r="CC227" s="15" t="str">
        <f t="shared" si="17"/>
        <v xml:space="preserve"> </v>
      </c>
      <c r="CD227" s="15" t="str">
        <f t="shared" si="17"/>
        <v xml:space="preserve"> </v>
      </c>
      <c r="CE227" s="15" t="str">
        <f t="shared" si="17"/>
        <v xml:space="preserve"> </v>
      </c>
      <c r="CF227" s="15" t="str">
        <f t="shared" si="17"/>
        <v xml:space="preserve"> </v>
      </c>
      <c r="CG227" s="15" t="str">
        <f t="shared" si="17"/>
        <v xml:space="preserve"> </v>
      </c>
      <c r="CH227" s="15" t="str">
        <f t="shared" si="16"/>
        <v xml:space="preserve"> </v>
      </c>
      <c r="CI227" t="str">
        <f t="shared" si="14"/>
        <v xml:space="preserve"> </v>
      </c>
      <c r="CJ227" t="str">
        <f t="shared" si="15"/>
        <v xml:space="preserve"> </v>
      </c>
    </row>
    <row r="228" spans="3:88">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t="str">
        <f t="shared" si="17"/>
        <v xml:space="preserve"> </v>
      </c>
      <c r="CC228" s="15" t="str">
        <f t="shared" si="17"/>
        <v xml:space="preserve"> </v>
      </c>
      <c r="CD228" s="15" t="str">
        <f t="shared" si="17"/>
        <v xml:space="preserve"> </v>
      </c>
      <c r="CE228" s="15" t="str">
        <f t="shared" si="17"/>
        <v xml:space="preserve"> </v>
      </c>
      <c r="CF228" s="15" t="str">
        <f t="shared" si="17"/>
        <v xml:space="preserve"> </v>
      </c>
      <c r="CG228" s="15" t="str">
        <f t="shared" si="17"/>
        <v xml:space="preserve"> </v>
      </c>
      <c r="CH228" s="15" t="str">
        <f t="shared" si="16"/>
        <v xml:space="preserve"> </v>
      </c>
      <c r="CI228" t="str">
        <f t="shared" si="14"/>
        <v xml:space="preserve"> </v>
      </c>
      <c r="CJ228" t="str">
        <f t="shared" si="15"/>
        <v xml:space="preserve"> </v>
      </c>
    </row>
    <row r="229" spans="3:88">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t="str">
        <f t="shared" si="17"/>
        <v xml:space="preserve"> </v>
      </c>
      <c r="CC229" s="15" t="str">
        <f t="shared" si="17"/>
        <v xml:space="preserve"> </v>
      </c>
      <c r="CD229" s="15" t="str">
        <f t="shared" si="17"/>
        <v xml:space="preserve"> </v>
      </c>
      <c r="CE229" s="15" t="str">
        <f t="shared" si="17"/>
        <v xml:space="preserve"> </v>
      </c>
      <c r="CF229" s="15" t="str">
        <f t="shared" si="17"/>
        <v xml:space="preserve"> </v>
      </c>
      <c r="CG229" s="15" t="str">
        <f t="shared" si="17"/>
        <v xml:space="preserve"> </v>
      </c>
      <c r="CH229" s="15" t="str">
        <f t="shared" si="16"/>
        <v xml:space="preserve"> </v>
      </c>
      <c r="CI229" t="str">
        <f t="shared" si="14"/>
        <v xml:space="preserve"> </v>
      </c>
      <c r="CJ229" t="str">
        <f t="shared" si="15"/>
        <v xml:space="preserve"> </v>
      </c>
    </row>
    <row r="230" spans="3:88">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t="str">
        <f t="shared" si="17"/>
        <v xml:space="preserve"> </v>
      </c>
      <c r="CC230" s="15" t="str">
        <f t="shared" si="17"/>
        <v xml:space="preserve"> </v>
      </c>
      <c r="CD230" s="15" t="str">
        <f t="shared" si="17"/>
        <v xml:space="preserve"> </v>
      </c>
      <c r="CE230" s="15" t="str">
        <f t="shared" si="17"/>
        <v xml:space="preserve"> </v>
      </c>
      <c r="CF230" s="15" t="str">
        <f t="shared" si="17"/>
        <v xml:space="preserve"> </v>
      </c>
      <c r="CG230" s="15" t="str">
        <f t="shared" si="17"/>
        <v xml:space="preserve"> </v>
      </c>
      <c r="CH230" s="15" t="str">
        <f t="shared" si="16"/>
        <v xml:space="preserve"> </v>
      </c>
      <c r="CI230" t="str">
        <f t="shared" si="14"/>
        <v xml:space="preserve"> </v>
      </c>
      <c r="CJ230" t="str">
        <f t="shared" si="15"/>
        <v xml:space="preserve"> </v>
      </c>
    </row>
    <row r="231" spans="3:88">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t="str">
        <f t="shared" si="17"/>
        <v xml:space="preserve"> </v>
      </c>
      <c r="CC231" s="15" t="str">
        <f t="shared" si="17"/>
        <v xml:space="preserve"> </v>
      </c>
      <c r="CD231" s="15" t="str">
        <f t="shared" si="17"/>
        <v xml:space="preserve"> </v>
      </c>
      <c r="CE231" s="15" t="str">
        <f t="shared" si="17"/>
        <v xml:space="preserve"> </v>
      </c>
      <c r="CF231" s="15" t="str">
        <f t="shared" si="17"/>
        <v xml:space="preserve"> </v>
      </c>
      <c r="CG231" s="15" t="str">
        <f t="shared" si="17"/>
        <v xml:space="preserve"> </v>
      </c>
      <c r="CH231" s="15" t="str">
        <f t="shared" si="16"/>
        <v xml:space="preserve"> </v>
      </c>
      <c r="CI231" t="str">
        <f t="shared" si="14"/>
        <v xml:space="preserve"> </v>
      </c>
      <c r="CJ231" t="str">
        <f t="shared" si="15"/>
        <v xml:space="preserve"> </v>
      </c>
    </row>
    <row r="232" spans="3:88">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t="str">
        <f t="shared" si="17"/>
        <v xml:space="preserve"> </v>
      </c>
      <c r="CC232" s="15" t="str">
        <f t="shared" si="17"/>
        <v xml:space="preserve"> </v>
      </c>
      <c r="CD232" s="15" t="str">
        <f t="shared" si="17"/>
        <v xml:space="preserve"> </v>
      </c>
      <c r="CE232" s="15" t="str">
        <f t="shared" si="17"/>
        <v xml:space="preserve"> </v>
      </c>
      <c r="CF232" s="15" t="str">
        <f t="shared" si="17"/>
        <v xml:space="preserve"> </v>
      </c>
      <c r="CG232" s="15" t="str">
        <f t="shared" si="17"/>
        <v xml:space="preserve"> </v>
      </c>
      <c r="CH232" s="15" t="str">
        <f t="shared" si="16"/>
        <v xml:space="preserve"> </v>
      </c>
      <c r="CI232" t="str">
        <f t="shared" si="14"/>
        <v xml:space="preserve"> </v>
      </c>
      <c r="CJ232" t="str">
        <f t="shared" si="15"/>
        <v xml:space="preserve"> </v>
      </c>
    </row>
    <row r="233" spans="3:88">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t="str">
        <f t="shared" si="17"/>
        <v xml:space="preserve"> </v>
      </c>
      <c r="CC233" s="15" t="str">
        <f t="shared" si="17"/>
        <v xml:space="preserve"> </v>
      </c>
      <c r="CD233" s="15" t="str">
        <f t="shared" si="17"/>
        <v xml:space="preserve"> </v>
      </c>
      <c r="CE233" s="15" t="str">
        <f t="shared" si="17"/>
        <v xml:space="preserve"> </v>
      </c>
      <c r="CF233" s="15" t="str">
        <f t="shared" si="17"/>
        <v xml:space="preserve"> </v>
      </c>
      <c r="CG233" s="15" t="str">
        <f t="shared" si="17"/>
        <v xml:space="preserve"> </v>
      </c>
      <c r="CH233" s="15" t="str">
        <f t="shared" si="16"/>
        <v xml:space="preserve"> </v>
      </c>
      <c r="CI233" t="str">
        <f t="shared" si="14"/>
        <v xml:space="preserve"> </v>
      </c>
      <c r="CJ233" t="str">
        <f t="shared" si="15"/>
        <v xml:space="preserve"> </v>
      </c>
    </row>
    <row r="234" spans="3:88">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t="str">
        <f t="shared" si="17"/>
        <v xml:space="preserve"> </v>
      </c>
      <c r="CC234" s="15" t="str">
        <f t="shared" si="17"/>
        <v xml:space="preserve"> </v>
      </c>
      <c r="CD234" s="15" t="str">
        <f t="shared" si="17"/>
        <v xml:space="preserve"> </v>
      </c>
      <c r="CE234" s="15" t="str">
        <f t="shared" si="17"/>
        <v xml:space="preserve"> </v>
      </c>
      <c r="CF234" s="15" t="str">
        <f t="shared" si="17"/>
        <v xml:space="preserve"> </v>
      </c>
      <c r="CG234" s="15" t="str">
        <f t="shared" si="17"/>
        <v xml:space="preserve"> </v>
      </c>
      <c r="CH234" s="15" t="str">
        <f t="shared" si="16"/>
        <v xml:space="preserve"> </v>
      </c>
      <c r="CI234" t="str">
        <f t="shared" si="14"/>
        <v xml:space="preserve"> </v>
      </c>
      <c r="CJ234" t="str">
        <f t="shared" si="15"/>
        <v xml:space="preserve"> </v>
      </c>
    </row>
    <row r="235" spans="3:88">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t="str">
        <f t="shared" si="17"/>
        <v xml:space="preserve"> </v>
      </c>
      <c r="CC235" s="15" t="str">
        <f t="shared" si="17"/>
        <v xml:space="preserve"> </v>
      </c>
      <c r="CD235" s="15" t="str">
        <f t="shared" si="17"/>
        <v xml:space="preserve"> </v>
      </c>
      <c r="CE235" s="15" t="str">
        <f t="shared" si="17"/>
        <v xml:space="preserve"> </v>
      </c>
      <c r="CF235" s="15" t="str">
        <f t="shared" si="17"/>
        <v xml:space="preserve"> </v>
      </c>
      <c r="CG235" s="15" t="str">
        <f t="shared" si="17"/>
        <v xml:space="preserve"> </v>
      </c>
      <c r="CH235" s="15" t="str">
        <f t="shared" si="16"/>
        <v xml:space="preserve"> </v>
      </c>
      <c r="CI235" t="str">
        <f t="shared" si="14"/>
        <v xml:space="preserve"> </v>
      </c>
      <c r="CJ235" t="str">
        <f t="shared" si="15"/>
        <v xml:space="preserve"> </v>
      </c>
    </row>
    <row r="236" spans="3:88">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t="str">
        <f t="shared" si="17"/>
        <v xml:space="preserve"> </v>
      </c>
      <c r="CC236" s="15" t="str">
        <f t="shared" si="17"/>
        <v xml:space="preserve"> </v>
      </c>
      <c r="CD236" s="15" t="str">
        <f t="shared" si="17"/>
        <v xml:space="preserve"> </v>
      </c>
      <c r="CE236" s="15" t="str">
        <f t="shared" si="17"/>
        <v xml:space="preserve"> </v>
      </c>
      <c r="CF236" s="15" t="str">
        <f t="shared" si="17"/>
        <v xml:space="preserve"> </v>
      </c>
      <c r="CG236" s="15" t="str">
        <f t="shared" si="17"/>
        <v xml:space="preserve"> </v>
      </c>
      <c r="CH236" s="15" t="str">
        <f t="shared" si="16"/>
        <v xml:space="preserve"> </v>
      </c>
      <c r="CI236" t="str">
        <f t="shared" si="14"/>
        <v xml:space="preserve"> </v>
      </c>
      <c r="CJ236" t="str">
        <f t="shared" si="15"/>
        <v xml:space="preserve"> </v>
      </c>
    </row>
    <row r="237" spans="3:88">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t="str">
        <f t="shared" si="17"/>
        <v xml:space="preserve"> </v>
      </c>
      <c r="CC237" s="15" t="str">
        <f t="shared" si="17"/>
        <v xml:space="preserve"> </v>
      </c>
      <c r="CD237" s="15" t="str">
        <f t="shared" si="17"/>
        <v xml:space="preserve"> </v>
      </c>
      <c r="CE237" s="15" t="str">
        <f t="shared" si="17"/>
        <v xml:space="preserve"> </v>
      </c>
      <c r="CF237" s="15" t="str">
        <f t="shared" si="17"/>
        <v xml:space="preserve"> </v>
      </c>
      <c r="CG237" s="15" t="str">
        <f t="shared" si="17"/>
        <v xml:space="preserve"> </v>
      </c>
      <c r="CH237" s="15" t="str">
        <f t="shared" si="16"/>
        <v xml:space="preserve"> </v>
      </c>
      <c r="CI237" t="str">
        <f t="shared" si="14"/>
        <v xml:space="preserve"> </v>
      </c>
      <c r="CJ237" t="str">
        <f t="shared" si="15"/>
        <v xml:space="preserve"> </v>
      </c>
    </row>
    <row r="238" spans="3:88">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t="str">
        <f t="shared" si="17"/>
        <v xml:space="preserve"> </v>
      </c>
      <c r="CC238" s="15" t="str">
        <f t="shared" si="17"/>
        <v xml:space="preserve"> </v>
      </c>
      <c r="CD238" s="15" t="str">
        <f t="shared" si="17"/>
        <v xml:space="preserve"> </v>
      </c>
      <c r="CE238" s="15" t="str">
        <f t="shared" si="17"/>
        <v xml:space="preserve"> </v>
      </c>
      <c r="CF238" s="15" t="str">
        <f t="shared" si="17"/>
        <v xml:space="preserve"> </v>
      </c>
      <c r="CG238" s="15" t="str">
        <f t="shared" si="17"/>
        <v xml:space="preserve"> </v>
      </c>
      <c r="CH238" s="15" t="str">
        <f t="shared" si="16"/>
        <v xml:space="preserve"> </v>
      </c>
      <c r="CI238" t="str">
        <f t="shared" si="14"/>
        <v xml:space="preserve"> </v>
      </c>
      <c r="CJ238" t="str">
        <f t="shared" si="15"/>
        <v xml:space="preserve"> </v>
      </c>
    </row>
    <row r="239" spans="3:88">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t="str">
        <f t="shared" si="17"/>
        <v xml:space="preserve"> </v>
      </c>
      <c r="CC239" s="15" t="str">
        <f t="shared" si="17"/>
        <v xml:space="preserve"> </v>
      </c>
      <c r="CD239" s="15" t="str">
        <f t="shared" si="17"/>
        <v xml:space="preserve"> </v>
      </c>
      <c r="CE239" s="15" t="str">
        <f t="shared" si="17"/>
        <v xml:space="preserve"> </v>
      </c>
      <c r="CF239" s="15" t="str">
        <f t="shared" si="17"/>
        <v xml:space="preserve"> </v>
      </c>
      <c r="CG239" s="15" t="str">
        <f t="shared" si="17"/>
        <v xml:space="preserve"> </v>
      </c>
      <c r="CH239" s="15" t="str">
        <f t="shared" si="16"/>
        <v xml:space="preserve"> </v>
      </c>
      <c r="CI239" t="str">
        <f t="shared" si="14"/>
        <v xml:space="preserve"> </v>
      </c>
      <c r="CJ239" t="str">
        <f t="shared" si="15"/>
        <v xml:space="preserve"> </v>
      </c>
    </row>
    <row r="240" spans="3:88">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t="str">
        <f t="shared" si="17"/>
        <v xml:space="preserve"> </v>
      </c>
      <c r="CC240" s="15" t="str">
        <f t="shared" si="17"/>
        <v xml:space="preserve"> </v>
      </c>
      <c r="CD240" s="15" t="str">
        <f t="shared" si="17"/>
        <v xml:space="preserve"> </v>
      </c>
      <c r="CE240" s="15" t="str">
        <f t="shared" si="17"/>
        <v xml:space="preserve"> </v>
      </c>
      <c r="CF240" s="15" t="str">
        <f t="shared" si="17"/>
        <v xml:space="preserve"> </v>
      </c>
      <c r="CG240" s="15" t="str">
        <f t="shared" si="17"/>
        <v xml:space="preserve"> </v>
      </c>
      <c r="CH240" s="15" t="str">
        <f t="shared" si="16"/>
        <v xml:space="preserve"> </v>
      </c>
      <c r="CI240" t="str">
        <f t="shared" si="14"/>
        <v xml:space="preserve"> </v>
      </c>
      <c r="CJ240" t="str">
        <f t="shared" si="15"/>
        <v xml:space="preserve"> </v>
      </c>
    </row>
    <row r="241" spans="3:88">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t="str">
        <f t="shared" si="17"/>
        <v xml:space="preserve"> </v>
      </c>
      <c r="CC241" s="15" t="str">
        <f t="shared" si="17"/>
        <v xml:space="preserve"> </v>
      </c>
      <c r="CD241" s="15" t="str">
        <f t="shared" si="17"/>
        <v xml:space="preserve"> </v>
      </c>
      <c r="CE241" s="15" t="str">
        <f t="shared" si="17"/>
        <v xml:space="preserve"> </v>
      </c>
      <c r="CF241" s="15" t="str">
        <f t="shared" si="17"/>
        <v xml:space="preserve"> </v>
      </c>
      <c r="CG241" s="15" t="str">
        <f t="shared" si="17"/>
        <v xml:space="preserve"> </v>
      </c>
      <c r="CH241" s="15" t="str">
        <f t="shared" si="16"/>
        <v xml:space="preserve"> </v>
      </c>
      <c r="CI241" t="str">
        <f t="shared" si="14"/>
        <v xml:space="preserve"> </v>
      </c>
      <c r="CJ241" t="str">
        <f t="shared" si="15"/>
        <v xml:space="preserve"> </v>
      </c>
    </row>
    <row r="242" spans="3:88">
      <c r="CB242" t="str">
        <f t="shared" si="17"/>
        <v xml:space="preserve"> </v>
      </c>
      <c r="CC242" t="str">
        <f t="shared" si="17"/>
        <v xml:space="preserve"> </v>
      </c>
      <c r="CD242" t="str">
        <f t="shared" si="17"/>
        <v xml:space="preserve"> </v>
      </c>
      <c r="CE242" t="str">
        <f t="shared" si="17"/>
        <v xml:space="preserve"> </v>
      </c>
      <c r="CF242" t="str">
        <f t="shared" si="17"/>
        <v xml:space="preserve"> </v>
      </c>
      <c r="CG242" t="str">
        <f t="shared" si="17"/>
        <v xml:space="preserve"> </v>
      </c>
      <c r="CH242" t="str">
        <f t="shared" si="16"/>
        <v xml:space="preserve"> </v>
      </c>
      <c r="CI242" t="str">
        <f t="shared" si="14"/>
        <v xml:space="preserve"> </v>
      </c>
      <c r="CJ242" t="str">
        <f t="shared" si="15"/>
        <v xml:space="preserve"> </v>
      </c>
    </row>
    <row r="243" spans="3:88">
      <c r="CB243" t="str">
        <f t="shared" si="17"/>
        <v xml:space="preserve"> </v>
      </c>
      <c r="CC243" t="str">
        <f t="shared" si="17"/>
        <v xml:space="preserve"> </v>
      </c>
      <c r="CD243" t="str">
        <f t="shared" si="17"/>
        <v xml:space="preserve"> </v>
      </c>
      <c r="CE243" t="str">
        <f t="shared" si="17"/>
        <v xml:space="preserve"> </v>
      </c>
      <c r="CF243" t="str">
        <f t="shared" si="17"/>
        <v xml:space="preserve"> </v>
      </c>
      <c r="CG243" t="str">
        <f t="shared" si="17"/>
        <v xml:space="preserve"> </v>
      </c>
      <c r="CH243" t="str">
        <f t="shared" si="16"/>
        <v xml:space="preserve"> </v>
      </c>
      <c r="CI243" t="str">
        <f t="shared" si="14"/>
        <v xml:space="preserve"> </v>
      </c>
      <c r="CJ243" t="str">
        <f t="shared" si="15"/>
        <v xml:space="preserve"> </v>
      </c>
    </row>
    <row r="244" spans="3:88">
      <c r="CB244" t="str">
        <f t="shared" si="17"/>
        <v xml:space="preserve"> </v>
      </c>
      <c r="CC244" t="str">
        <f t="shared" si="17"/>
        <v xml:space="preserve"> </v>
      </c>
      <c r="CD244" t="str">
        <f t="shared" si="17"/>
        <v xml:space="preserve"> </v>
      </c>
      <c r="CE244" t="str">
        <f t="shared" si="17"/>
        <v xml:space="preserve"> </v>
      </c>
      <c r="CF244" t="str">
        <f t="shared" si="17"/>
        <v xml:space="preserve"> </v>
      </c>
      <c r="CG244" t="str">
        <f t="shared" si="17"/>
        <v xml:space="preserve"> </v>
      </c>
      <c r="CH244" t="str">
        <f t="shared" si="16"/>
        <v xml:space="preserve"> </v>
      </c>
      <c r="CI244" t="str">
        <f t="shared" si="14"/>
        <v xml:space="preserve"> </v>
      </c>
      <c r="CJ244" t="str">
        <f t="shared" si="15"/>
        <v xml:space="preserve"> </v>
      </c>
    </row>
    <row r="245" spans="3:88">
      <c r="CB245" t="str">
        <f t="shared" si="17"/>
        <v xml:space="preserve"> </v>
      </c>
      <c r="CC245" t="str">
        <f t="shared" si="17"/>
        <v xml:space="preserve"> </v>
      </c>
      <c r="CD245" t="str">
        <f t="shared" si="17"/>
        <v xml:space="preserve"> </v>
      </c>
      <c r="CE245" t="str">
        <f t="shared" si="17"/>
        <v xml:space="preserve"> </v>
      </c>
      <c r="CF245" t="str">
        <f t="shared" si="17"/>
        <v xml:space="preserve"> </v>
      </c>
      <c r="CG245" t="str">
        <f t="shared" si="17"/>
        <v xml:space="preserve"> </v>
      </c>
      <c r="CH245" t="str">
        <f t="shared" si="16"/>
        <v xml:space="preserve"> </v>
      </c>
      <c r="CI245" t="str">
        <f t="shared" si="14"/>
        <v xml:space="preserve"> </v>
      </c>
      <c r="CJ245" t="str">
        <f t="shared" si="15"/>
        <v xml:space="preserve"> </v>
      </c>
    </row>
    <row r="246" spans="3:88">
      <c r="CB246" t="str">
        <f t="shared" si="17"/>
        <v xml:space="preserve"> </v>
      </c>
      <c r="CC246" t="str">
        <f t="shared" si="17"/>
        <v xml:space="preserve"> </v>
      </c>
      <c r="CD246" t="str">
        <f t="shared" si="17"/>
        <v xml:space="preserve"> </v>
      </c>
      <c r="CE246" t="str">
        <f t="shared" si="17"/>
        <v xml:space="preserve"> </v>
      </c>
      <c r="CF246" t="str">
        <f t="shared" si="17"/>
        <v xml:space="preserve"> </v>
      </c>
      <c r="CG246" t="str">
        <f t="shared" si="17"/>
        <v xml:space="preserve"> </v>
      </c>
      <c r="CH246" t="str">
        <f t="shared" si="16"/>
        <v xml:space="preserve"> </v>
      </c>
      <c r="CI246" t="str">
        <f t="shared" si="14"/>
        <v xml:space="preserve"> </v>
      </c>
      <c r="CJ246" t="str">
        <f t="shared" si="15"/>
        <v xml:space="preserve"> </v>
      </c>
    </row>
    <row r="247" spans="3:88">
      <c r="CB247" t="str">
        <f t="shared" si="17"/>
        <v xml:space="preserve"> </v>
      </c>
      <c r="CC247" t="str">
        <f t="shared" si="17"/>
        <v xml:space="preserve"> </v>
      </c>
      <c r="CD247" t="str">
        <f t="shared" si="17"/>
        <v xml:space="preserve"> </v>
      </c>
      <c r="CE247" t="str">
        <f t="shared" si="17"/>
        <v xml:space="preserve"> </v>
      </c>
      <c r="CF247" t="str">
        <f t="shared" si="17"/>
        <v xml:space="preserve"> </v>
      </c>
      <c r="CG247" t="str">
        <f t="shared" si="17"/>
        <v xml:space="preserve"> </v>
      </c>
      <c r="CH247" t="str">
        <f t="shared" si="16"/>
        <v xml:space="preserve"> </v>
      </c>
      <c r="CI247" t="str">
        <f t="shared" si="14"/>
        <v xml:space="preserve"> </v>
      </c>
      <c r="CJ247" t="str">
        <f t="shared" si="15"/>
        <v xml:space="preserve"> </v>
      </c>
    </row>
    <row r="248" spans="3:88">
      <c r="CB248" t="str">
        <f t="shared" si="17"/>
        <v xml:space="preserve"> </v>
      </c>
      <c r="CC248" t="str">
        <f t="shared" si="17"/>
        <v xml:space="preserve"> </v>
      </c>
      <c r="CD248" t="str">
        <f t="shared" si="17"/>
        <v xml:space="preserve"> </v>
      </c>
      <c r="CE248" t="str">
        <f t="shared" si="17"/>
        <v xml:space="preserve"> </v>
      </c>
      <c r="CF248" t="str">
        <f t="shared" si="17"/>
        <v xml:space="preserve"> </v>
      </c>
      <c r="CG248" t="str">
        <f t="shared" si="17"/>
        <v xml:space="preserve"> </v>
      </c>
      <c r="CH248" t="str">
        <f t="shared" si="16"/>
        <v xml:space="preserve"> </v>
      </c>
      <c r="CI248" t="str">
        <f t="shared" si="14"/>
        <v xml:space="preserve"> </v>
      </c>
      <c r="CJ248" t="str">
        <f t="shared" si="15"/>
        <v xml:space="preserve"> </v>
      </c>
    </row>
    <row r="249" spans="3:88">
      <c r="CB249" t="str">
        <f t="shared" si="17"/>
        <v xml:space="preserve"> </v>
      </c>
      <c r="CC249" t="str">
        <f t="shared" si="17"/>
        <v xml:space="preserve"> </v>
      </c>
      <c r="CD249" t="str">
        <f t="shared" si="17"/>
        <v xml:space="preserve"> </v>
      </c>
      <c r="CE249" t="str">
        <f t="shared" si="17"/>
        <v xml:space="preserve"> </v>
      </c>
      <c r="CF249" t="str">
        <f t="shared" si="17"/>
        <v xml:space="preserve"> </v>
      </c>
      <c r="CG249" t="str">
        <f t="shared" si="17"/>
        <v xml:space="preserve"> </v>
      </c>
      <c r="CH249" t="str">
        <f t="shared" si="16"/>
        <v xml:space="preserve"> </v>
      </c>
      <c r="CI249" t="str">
        <f t="shared" si="14"/>
        <v xml:space="preserve"> </v>
      </c>
      <c r="CJ249" t="str">
        <f t="shared" si="15"/>
        <v xml:space="preserve"> </v>
      </c>
    </row>
    <row r="250" spans="3:88">
      <c r="CB250" t="str">
        <f t="shared" si="17"/>
        <v xml:space="preserve"> </v>
      </c>
      <c r="CC250" t="str">
        <f t="shared" si="17"/>
        <v xml:space="preserve"> </v>
      </c>
      <c r="CD250" t="str">
        <f t="shared" si="17"/>
        <v xml:space="preserve"> </v>
      </c>
      <c r="CE250" t="str">
        <f t="shared" si="17"/>
        <v xml:space="preserve"> </v>
      </c>
      <c r="CF250" t="str">
        <f t="shared" si="17"/>
        <v xml:space="preserve"> </v>
      </c>
      <c r="CG250" t="str">
        <f t="shared" si="17"/>
        <v xml:space="preserve"> </v>
      </c>
      <c r="CH250" t="str">
        <f t="shared" si="16"/>
        <v xml:space="preserve"> </v>
      </c>
      <c r="CI250" t="str">
        <f t="shared" si="14"/>
        <v xml:space="preserve"> </v>
      </c>
      <c r="CJ250" t="str">
        <f t="shared" si="15"/>
        <v xml:space="preserve"> </v>
      </c>
    </row>
    <row r="251" spans="3:88">
      <c r="CB251" t="str">
        <f t="shared" si="17"/>
        <v xml:space="preserve"> </v>
      </c>
      <c r="CC251" t="str">
        <f t="shared" si="17"/>
        <v xml:space="preserve"> </v>
      </c>
      <c r="CD251" t="str">
        <f t="shared" si="17"/>
        <v xml:space="preserve"> </v>
      </c>
      <c r="CE251" t="str">
        <f t="shared" si="17"/>
        <v xml:space="preserve"> </v>
      </c>
      <c r="CF251" t="str">
        <f t="shared" si="17"/>
        <v xml:space="preserve"> </v>
      </c>
      <c r="CG251" t="str">
        <f t="shared" si="17"/>
        <v xml:space="preserve"> </v>
      </c>
      <c r="CH251" t="str">
        <f t="shared" si="16"/>
        <v xml:space="preserve"> </v>
      </c>
      <c r="CI251" t="str">
        <f t="shared" si="14"/>
        <v xml:space="preserve"> </v>
      </c>
      <c r="CJ251" t="str">
        <f t="shared" si="15"/>
        <v xml:space="preserve"> </v>
      </c>
    </row>
    <row r="252" spans="3:88">
      <c r="CB252" t="str">
        <f t="shared" si="17"/>
        <v xml:space="preserve"> </v>
      </c>
      <c r="CC252" t="str">
        <f t="shared" si="17"/>
        <v xml:space="preserve"> </v>
      </c>
      <c r="CD252" t="str">
        <f t="shared" si="17"/>
        <v xml:space="preserve"> </v>
      </c>
      <c r="CE252" t="str">
        <f t="shared" si="17"/>
        <v xml:space="preserve"> </v>
      </c>
      <c r="CF252" t="str">
        <f t="shared" si="17"/>
        <v xml:space="preserve"> </v>
      </c>
      <c r="CG252" t="str">
        <f t="shared" si="17"/>
        <v xml:space="preserve"> </v>
      </c>
      <c r="CH252" t="str">
        <f t="shared" si="16"/>
        <v xml:space="preserve"> </v>
      </c>
      <c r="CI252" t="str">
        <f t="shared" si="14"/>
        <v xml:space="preserve"> </v>
      </c>
      <c r="CJ252" t="str">
        <f t="shared" si="15"/>
        <v xml:space="preserve"> </v>
      </c>
    </row>
    <row r="253" spans="3:88">
      <c r="CB253" t="str">
        <f t="shared" si="17"/>
        <v xml:space="preserve"> </v>
      </c>
      <c r="CC253" t="str">
        <f t="shared" si="17"/>
        <v xml:space="preserve"> </v>
      </c>
      <c r="CD253" t="str">
        <f t="shared" si="17"/>
        <v xml:space="preserve"> </v>
      </c>
      <c r="CE253" t="str">
        <f t="shared" si="17"/>
        <v xml:space="preserve"> </v>
      </c>
      <c r="CF253" t="str">
        <f t="shared" si="17"/>
        <v xml:space="preserve"> </v>
      </c>
      <c r="CG253" t="str">
        <f t="shared" si="17"/>
        <v xml:space="preserve"> </v>
      </c>
      <c r="CH253" t="str">
        <f t="shared" si="16"/>
        <v xml:space="preserve"> </v>
      </c>
      <c r="CI253" t="str">
        <f t="shared" si="14"/>
        <v xml:space="preserve"> </v>
      </c>
      <c r="CJ253" t="str">
        <f t="shared" si="15"/>
        <v xml:space="preserve"> </v>
      </c>
    </row>
    <row r="254" spans="3:88">
      <c r="CB254" t="str">
        <f t="shared" si="17"/>
        <v xml:space="preserve"> </v>
      </c>
      <c r="CC254" t="str">
        <f t="shared" si="17"/>
        <v xml:space="preserve"> </v>
      </c>
      <c r="CD254" t="str">
        <f t="shared" si="17"/>
        <v xml:space="preserve"> </v>
      </c>
      <c r="CE254" t="str">
        <f t="shared" si="17"/>
        <v xml:space="preserve"> </v>
      </c>
      <c r="CF254" t="str">
        <f t="shared" si="17"/>
        <v xml:space="preserve"> </v>
      </c>
      <c r="CG254" t="str">
        <f t="shared" si="17"/>
        <v xml:space="preserve"> </v>
      </c>
      <c r="CH254" t="str">
        <f t="shared" si="16"/>
        <v xml:space="preserve"> </v>
      </c>
      <c r="CI254" t="str">
        <f t="shared" si="14"/>
        <v xml:space="preserve"> </v>
      </c>
      <c r="CJ254" t="str">
        <f t="shared" si="15"/>
        <v xml:space="preserve"> </v>
      </c>
    </row>
    <row r="255" spans="3:88">
      <c r="CB255" t="str">
        <f t="shared" si="17"/>
        <v xml:space="preserve"> </v>
      </c>
      <c r="CC255" t="str">
        <f t="shared" si="17"/>
        <v xml:space="preserve"> </v>
      </c>
      <c r="CD255" t="str">
        <f t="shared" si="17"/>
        <v xml:space="preserve"> </v>
      </c>
      <c r="CE255" t="str">
        <f t="shared" si="17"/>
        <v xml:space="preserve"> </v>
      </c>
      <c r="CF255" t="str">
        <f t="shared" si="17"/>
        <v xml:space="preserve"> </v>
      </c>
      <c r="CG255" t="str">
        <f t="shared" si="17"/>
        <v xml:space="preserve"> </v>
      </c>
      <c r="CH255" t="str">
        <f t="shared" si="16"/>
        <v xml:space="preserve"> </v>
      </c>
      <c r="CI255" t="str">
        <f t="shared" si="14"/>
        <v xml:space="preserve"> </v>
      </c>
      <c r="CJ255" t="str">
        <f t="shared" si="15"/>
        <v xml:space="preserve"> </v>
      </c>
    </row>
    <row r="256" spans="3:88">
      <c r="CB256" t="str">
        <f t="shared" si="17"/>
        <v xml:space="preserve"> </v>
      </c>
      <c r="CC256" t="str">
        <f t="shared" si="17"/>
        <v xml:space="preserve"> </v>
      </c>
      <c r="CD256" t="str">
        <f t="shared" si="17"/>
        <v xml:space="preserve"> </v>
      </c>
      <c r="CE256" t="str">
        <f t="shared" si="17"/>
        <v xml:space="preserve"> </v>
      </c>
      <c r="CF256" t="str">
        <f t="shared" si="17"/>
        <v xml:space="preserve"> </v>
      </c>
      <c r="CG256" t="str">
        <f t="shared" si="17"/>
        <v xml:space="preserve"> </v>
      </c>
      <c r="CH256" t="str">
        <f t="shared" si="16"/>
        <v xml:space="preserve"> </v>
      </c>
      <c r="CI256" t="str">
        <f t="shared" si="14"/>
        <v xml:space="preserve"> </v>
      </c>
      <c r="CJ256" t="str">
        <f t="shared" si="15"/>
        <v xml:space="preserve"> </v>
      </c>
    </row>
    <row r="257" spans="80:88">
      <c r="CB257" t="str">
        <f t="shared" si="17"/>
        <v xml:space="preserve"> </v>
      </c>
      <c r="CC257" t="str">
        <f t="shared" si="17"/>
        <v xml:space="preserve"> </v>
      </c>
      <c r="CD257" t="str">
        <f t="shared" si="17"/>
        <v xml:space="preserve"> </v>
      </c>
      <c r="CE257" t="str">
        <f t="shared" si="17"/>
        <v xml:space="preserve"> </v>
      </c>
      <c r="CF257" t="str">
        <f t="shared" si="17"/>
        <v xml:space="preserve"> </v>
      </c>
      <c r="CG257" t="str">
        <f t="shared" si="17"/>
        <v xml:space="preserve"> </v>
      </c>
      <c r="CH257" t="str">
        <f t="shared" si="16"/>
        <v xml:space="preserve"> </v>
      </c>
      <c r="CI257" t="str">
        <f t="shared" si="14"/>
        <v xml:space="preserve"> </v>
      </c>
      <c r="CJ257" t="str">
        <f t="shared" si="15"/>
        <v xml:space="preserve"> </v>
      </c>
    </row>
    <row r="258" spans="80:88">
      <c r="CB258" t="str">
        <f t="shared" si="17"/>
        <v xml:space="preserve"> </v>
      </c>
      <c r="CC258" t="str">
        <f t="shared" si="17"/>
        <v xml:space="preserve"> </v>
      </c>
      <c r="CD258" t="str">
        <f t="shared" si="17"/>
        <v xml:space="preserve"> </v>
      </c>
      <c r="CE258" t="str">
        <f t="shared" si="17"/>
        <v xml:space="preserve"> </v>
      </c>
      <c r="CF258" t="str">
        <f t="shared" si="17"/>
        <v xml:space="preserve"> </v>
      </c>
      <c r="CG258" t="str">
        <f t="shared" si="17"/>
        <v xml:space="preserve"> </v>
      </c>
      <c r="CH258" t="str">
        <f t="shared" si="16"/>
        <v xml:space="preserve"> </v>
      </c>
      <c r="CI258" t="str">
        <f t="shared" si="14"/>
        <v xml:space="preserve"> </v>
      </c>
      <c r="CJ258" t="str">
        <f t="shared" si="15"/>
        <v xml:space="preserve"> </v>
      </c>
    </row>
  </sheetData>
  <mergeCells count="18">
    <mergeCell ref="BU3:CA3"/>
    <mergeCell ref="C3:P3"/>
    <mergeCell ref="Q3:AD3"/>
    <mergeCell ref="AE3:AR3"/>
    <mergeCell ref="AS3:BF3"/>
    <mergeCell ref="BG3:BT3"/>
    <mergeCell ref="CB4:CH4"/>
    <mergeCell ref="C4:I4"/>
    <mergeCell ref="J4:P4"/>
    <mergeCell ref="Q4:W4"/>
    <mergeCell ref="X4:AD4"/>
    <mergeCell ref="AE4:AK4"/>
    <mergeCell ref="AL4:AR4"/>
    <mergeCell ref="AS4:AY4"/>
    <mergeCell ref="AZ4:BF4"/>
    <mergeCell ref="BG4:BM4"/>
    <mergeCell ref="BN4:BT4"/>
    <mergeCell ref="BU4:CA4"/>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74EAC-BA07-4C99-84F2-BF9D795D25BA}">
  <dimension ref="A1:BL202"/>
  <sheetViews>
    <sheetView workbookViewId="0">
      <pane xSplit="5" ySplit="3" topLeftCell="AS4" activePane="bottomRight" state="frozen"/>
      <selection pane="bottomRight" activeCell="AY3" sqref="AY3:AY6"/>
      <selection pane="bottomLeft" activeCell="A4" sqref="A4"/>
      <selection pane="topRight" activeCell="F1" sqref="F1"/>
    </sheetView>
  </sheetViews>
  <sheetFormatPr defaultColWidth="8.85546875" defaultRowHeight="14.45"/>
  <sheetData>
    <row r="1" spans="1:64">
      <c r="A1" t="s">
        <v>767</v>
      </c>
      <c r="B1" t="s">
        <v>1641</v>
      </c>
    </row>
    <row r="2" spans="1:64">
      <c r="A2" t="s">
        <v>767</v>
      </c>
      <c r="B2" t="s">
        <v>1642</v>
      </c>
      <c r="C2" t="s">
        <v>1643</v>
      </c>
    </row>
    <row r="3" spans="1:64">
      <c r="A3" t="s">
        <v>1644</v>
      </c>
      <c r="B3" t="s">
        <v>1645</v>
      </c>
      <c r="C3" t="s">
        <v>1646</v>
      </c>
      <c r="D3" t="s">
        <v>1647</v>
      </c>
      <c r="E3" t="s">
        <v>641</v>
      </c>
      <c r="F3" t="s">
        <v>1648</v>
      </c>
      <c r="G3" t="s">
        <v>1649</v>
      </c>
      <c r="H3" t="s">
        <v>1650</v>
      </c>
      <c r="I3" t="s">
        <v>1651</v>
      </c>
      <c r="J3" t="s">
        <v>1652</v>
      </c>
      <c r="K3">
        <v>1980</v>
      </c>
      <c r="L3">
        <v>1981</v>
      </c>
      <c r="M3">
        <v>1982</v>
      </c>
      <c r="N3">
        <v>1983</v>
      </c>
      <c r="O3">
        <v>1984</v>
      </c>
      <c r="P3">
        <v>1985</v>
      </c>
      <c r="Q3">
        <v>1986</v>
      </c>
      <c r="R3">
        <v>1987</v>
      </c>
      <c r="S3">
        <v>1988</v>
      </c>
      <c r="T3">
        <v>1989</v>
      </c>
      <c r="U3">
        <v>1990</v>
      </c>
      <c r="V3">
        <v>1991</v>
      </c>
      <c r="W3">
        <v>1992</v>
      </c>
      <c r="X3">
        <v>1993</v>
      </c>
      <c r="Y3">
        <v>1994</v>
      </c>
      <c r="Z3">
        <v>1995</v>
      </c>
      <c r="AA3">
        <v>1996</v>
      </c>
      <c r="AB3">
        <v>1997</v>
      </c>
      <c r="AC3">
        <v>1998</v>
      </c>
      <c r="AD3">
        <v>1999</v>
      </c>
      <c r="AE3">
        <v>2000</v>
      </c>
      <c r="AF3">
        <v>2001</v>
      </c>
      <c r="AG3">
        <v>2002</v>
      </c>
      <c r="AH3">
        <v>2003</v>
      </c>
      <c r="AI3">
        <v>2004</v>
      </c>
      <c r="AJ3">
        <v>2005</v>
      </c>
      <c r="AK3">
        <v>2006</v>
      </c>
      <c r="AL3">
        <v>2007</v>
      </c>
      <c r="AM3">
        <v>2008</v>
      </c>
      <c r="AN3">
        <v>2009</v>
      </c>
      <c r="AO3">
        <v>2010</v>
      </c>
      <c r="AP3">
        <v>2011</v>
      </c>
      <c r="AQ3">
        <v>2012</v>
      </c>
      <c r="AR3">
        <v>2013</v>
      </c>
      <c r="AS3">
        <v>2014</v>
      </c>
      <c r="AT3">
        <v>2015</v>
      </c>
      <c r="AU3">
        <v>2016</v>
      </c>
      <c r="AV3">
        <v>2017</v>
      </c>
      <c r="AW3">
        <v>2018</v>
      </c>
      <c r="AX3">
        <v>2019</v>
      </c>
      <c r="AY3">
        <v>2020</v>
      </c>
      <c r="AZ3">
        <v>2021</v>
      </c>
      <c r="BA3">
        <v>2022</v>
      </c>
      <c r="BB3">
        <v>2023</v>
      </c>
      <c r="BC3">
        <v>2024</v>
      </c>
      <c r="BD3">
        <v>2025</v>
      </c>
      <c r="BE3">
        <v>2026</v>
      </c>
      <c r="BF3">
        <v>2027</v>
      </c>
      <c r="BG3" t="s">
        <v>1653</v>
      </c>
      <c r="BH3" t="s">
        <v>1654</v>
      </c>
      <c r="BI3" t="s">
        <v>1655</v>
      </c>
      <c r="BJ3" t="s">
        <v>1656</v>
      </c>
      <c r="BK3" t="s">
        <v>1657</v>
      </c>
      <c r="BL3" t="s">
        <v>1658</v>
      </c>
    </row>
    <row r="4" spans="1:64">
      <c r="A4" t="s">
        <v>309</v>
      </c>
      <c r="B4">
        <v>512</v>
      </c>
      <c r="C4" t="s">
        <v>309</v>
      </c>
      <c r="D4" t="s">
        <v>1659</v>
      </c>
      <c r="E4" t="s">
        <v>96</v>
      </c>
      <c r="F4" t="s">
        <v>1660</v>
      </c>
      <c r="G4" t="s">
        <v>1661</v>
      </c>
      <c r="H4" t="s">
        <v>1662</v>
      </c>
      <c r="I4" t="s">
        <v>883</v>
      </c>
      <c r="J4" t="s">
        <v>1663</v>
      </c>
      <c r="K4" t="s">
        <v>1664</v>
      </c>
      <c r="L4" t="s">
        <v>1664</v>
      </c>
      <c r="M4" t="s">
        <v>1664</v>
      </c>
      <c r="N4" t="s">
        <v>1664</v>
      </c>
      <c r="O4" t="s">
        <v>1664</v>
      </c>
      <c r="P4" t="s">
        <v>1664</v>
      </c>
      <c r="Q4" t="s">
        <v>1664</v>
      </c>
      <c r="R4" t="s">
        <v>1664</v>
      </c>
      <c r="S4" t="s">
        <v>1664</v>
      </c>
      <c r="T4" t="s">
        <v>1664</v>
      </c>
      <c r="U4" t="s">
        <v>1664</v>
      </c>
      <c r="V4" t="s">
        <v>1664</v>
      </c>
      <c r="W4" t="s">
        <v>1664</v>
      </c>
      <c r="X4" t="s">
        <v>1664</v>
      </c>
      <c r="Y4" t="s">
        <v>1664</v>
      </c>
      <c r="Z4" t="s">
        <v>1664</v>
      </c>
      <c r="AA4" t="s">
        <v>1664</v>
      </c>
      <c r="AB4" t="s">
        <v>1664</v>
      </c>
      <c r="AC4" t="s">
        <v>1664</v>
      </c>
      <c r="AD4" t="s">
        <v>1664</v>
      </c>
      <c r="AE4" t="s">
        <v>1664</v>
      </c>
      <c r="AF4" t="s">
        <v>1664</v>
      </c>
      <c r="AG4">
        <v>12.234999999999999</v>
      </c>
      <c r="AH4">
        <v>21.617999999999999</v>
      </c>
      <c r="AI4">
        <v>31.209</v>
      </c>
      <c r="AJ4">
        <v>44.926000000000002</v>
      </c>
      <c r="AK4">
        <v>65.518000000000001</v>
      </c>
      <c r="AL4">
        <v>81.162999999999997</v>
      </c>
      <c r="AM4">
        <v>88.162000000000006</v>
      </c>
      <c r="AN4">
        <v>117.745</v>
      </c>
      <c r="AO4">
        <v>154.61199999999999</v>
      </c>
      <c r="AP4">
        <v>177.821</v>
      </c>
      <c r="AQ4">
        <v>260.57100000000003</v>
      </c>
      <c r="AR4">
        <v>271.90300000000002</v>
      </c>
      <c r="AS4">
        <v>280.18700000000001</v>
      </c>
      <c r="AT4">
        <v>301.35599999999999</v>
      </c>
      <c r="AU4">
        <v>344.327</v>
      </c>
      <c r="AV4">
        <v>347.82900000000001</v>
      </c>
      <c r="AW4">
        <v>405.87299999999999</v>
      </c>
      <c r="AX4">
        <v>395.923</v>
      </c>
      <c r="AY4">
        <v>397.56400000000002</v>
      </c>
      <c r="AZ4" t="s">
        <v>1664</v>
      </c>
      <c r="BA4" t="s">
        <v>1664</v>
      </c>
      <c r="BB4" t="s">
        <v>1664</v>
      </c>
      <c r="BC4" t="s">
        <v>1664</v>
      </c>
      <c r="BD4" t="s">
        <v>1664</v>
      </c>
      <c r="BE4" t="s">
        <v>1664</v>
      </c>
      <c r="BF4" t="s">
        <v>1664</v>
      </c>
      <c r="BG4">
        <v>2020</v>
      </c>
      <c r="BH4">
        <v>397.56400000000002</v>
      </c>
      <c r="BI4">
        <v>1547.29</v>
      </c>
      <c r="BJ4">
        <v>1547.29</v>
      </c>
      <c r="BK4">
        <v>2020</v>
      </c>
      <c r="BL4">
        <v>25.694213754370548</v>
      </c>
    </row>
    <row r="5" spans="1:64">
      <c r="A5" t="s">
        <v>407</v>
      </c>
      <c r="B5">
        <v>914</v>
      </c>
      <c r="C5" t="s">
        <v>407</v>
      </c>
      <c r="D5" t="s">
        <v>1659</v>
      </c>
      <c r="E5" t="s">
        <v>192</v>
      </c>
      <c r="F5" t="s">
        <v>1660</v>
      </c>
      <c r="G5" t="s">
        <v>1661</v>
      </c>
      <c r="H5" t="s">
        <v>1662</v>
      </c>
      <c r="I5" t="s">
        <v>883</v>
      </c>
      <c r="J5" t="s">
        <v>1665</v>
      </c>
      <c r="K5" t="s">
        <v>1664</v>
      </c>
      <c r="L5" t="s">
        <v>1664</v>
      </c>
      <c r="M5" t="s">
        <v>1664</v>
      </c>
      <c r="N5" t="s">
        <v>1664</v>
      </c>
      <c r="O5" t="s">
        <v>1664</v>
      </c>
      <c r="P5" t="s">
        <v>1664</v>
      </c>
      <c r="Q5" t="s">
        <v>1664</v>
      </c>
      <c r="R5" t="s">
        <v>1664</v>
      </c>
      <c r="S5" t="s">
        <v>1664</v>
      </c>
      <c r="T5" t="s">
        <v>1664</v>
      </c>
      <c r="U5" t="s">
        <v>1664</v>
      </c>
      <c r="V5" t="s">
        <v>1664</v>
      </c>
      <c r="W5" t="s">
        <v>1664</v>
      </c>
      <c r="X5" t="s">
        <v>1664</v>
      </c>
      <c r="Y5" t="s">
        <v>1664</v>
      </c>
      <c r="Z5" t="s">
        <v>1664</v>
      </c>
      <c r="AA5" t="s">
        <v>1664</v>
      </c>
      <c r="AB5">
        <v>60.956000000000003</v>
      </c>
      <c r="AC5">
        <v>103.238</v>
      </c>
      <c r="AD5">
        <v>125.387</v>
      </c>
      <c r="AE5">
        <v>130.642</v>
      </c>
      <c r="AF5">
        <v>145.63900000000001</v>
      </c>
      <c r="AG5">
        <v>154.595</v>
      </c>
      <c r="AH5">
        <v>167.22399999999999</v>
      </c>
      <c r="AI5">
        <v>184.35499999999999</v>
      </c>
      <c r="AJ5">
        <v>204.53299999999999</v>
      </c>
      <c r="AK5">
        <v>226.28299999999999</v>
      </c>
      <c r="AL5">
        <v>252.291</v>
      </c>
      <c r="AM5">
        <v>290.07799999999997</v>
      </c>
      <c r="AN5">
        <v>298.48700000000002</v>
      </c>
      <c r="AO5">
        <v>320.65300000000002</v>
      </c>
      <c r="AP5">
        <v>330.44900000000001</v>
      </c>
      <c r="AQ5">
        <v>330.38400000000001</v>
      </c>
      <c r="AR5">
        <v>323.709</v>
      </c>
      <c r="AS5">
        <v>366.56900000000002</v>
      </c>
      <c r="AT5">
        <v>379.23099999999999</v>
      </c>
      <c r="AU5">
        <v>407.02100000000002</v>
      </c>
      <c r="AV5">
        <v>430.39699999999999</v>
      </c>
      <c r="AW5">
        <v>449.85899999999998</v>
      </c>
      <c r="AX5">
        <v>460.34899999999999</v>
      </c>
      <c r="AY5">
        <v>425.90600000000001</v>
      </c>
      <c r="AZ5">
        <v>510.95100000000002</v>
      </c>
      <c r="BA5">
        <v>536.721</v>
      </c>
      <c r="BB5">
        <v>565.91800000000001</v>
      </c>
      <c r="BC5">
        <v>599.78300000000002</v>
      </c>
      <c r="BD5">
        <v>630.52</v>
      </c>
      <c r="BE5">
        <v>664.00400000000002</v>
      </c>
      <c r="BF5">
        <v>699.34500000000003</v>
      </c>
      <c r="BG5">
        <v>2020</v>
      </c>
      <c r="BH5">
        <v>425.90600000000001</v>
      </c>
      <c r="BI5">
        <v>1644.08</v>
      </c>
      <c r="BJ5">
        <v>1644.08</v>
      </c>
      <c r="BK5">
        <v>2020</v>
      </c>
      <c r="BL5">
        <v>25.905430392681623</v>
      </c>
    </row>
    <row r="6" spans="1:64">
      <c r="A6" t="s">
        <v>378</v>
      </c>
      <c r="B6">
        <v>612</v>
      </c>
      <c r="C6" t="s">
        <v>378</v>
      </c>
      <c r="D6" t="s">
        <v>1659</v>
      </c>
      <c r="E6" t="s">
        <v>164</v>
      </c>
      <c r="F6" t="s">
        <v>1660</v>
      </c>
      <c r="G6" t="s">
        <v>1661</v>
      </c>
      <c r="H6" t="s">
        <v>1662</v>
      </c>
      <c r="I6" t="s">
        <v>883</v>
      </c>
      <c r="J6" t="s">
        <v>1666</v>
      </c>
      <c r="K6" t="s">
        <v>1664</v>
      </c>
      <c r="L6" t="s">
        <v>1664</v>
      </c>
      <c r="M6" t="s">
        <v>1664</v>
      </c>
      <c r="N6" t="s">
        <v>1664</v>
      </c>
      <c r="O6" t="s">
        <v>1664</v>
      </c>
      <c r="P6" t="s">
        <v>1664</v>
      </c>
      <c r="Q6" t="s">
        <v>1664</v>
      </c>
      <c r="R6" t="s">
        <v>1664</v>
      </c>
      <c r="S6" t="s">
        <v>1664</v>
      </c>
      <c r="T6" t="s">
        <v>1664</v>
      </c>
      <c r="U6">
        <v>160.19999999999999</v>
      </c>
      <c r="V6">
        <v>272.39999999999998</v>
      </c>
      <c r="W6">
        <v>316.8</v>
      </c>
      <c r="X6">
        <v>320.10000000000002</v>
      </c>
      <c r="Y6">
        <v>434.161</v>
      </c>
      <c r="Z6">
        <v>600.84699999999998</v>
      </c>
      <c r="AA6">
        <v>825.15700000000004</v>
      </c>
      <c r="AB6">
        <v>926.66800000000001</v>
      </c>
      <c r="AC6">
        <v>774.51099999999997</v>
      </c>
      <c r="AD6">
        <v>972.78</v>
      </c>
      <c r="AE6">
        <v>1578.16</v>
      </c>
      <c r="AF6">
        <v>1479.1</v>
      </c>
      <c r="AG6">
        <v>1603.28</v>
      </c>
      <c r="AH6">
        <v>1947.44</v>
      </c>
      <c r="AI6">
        <v>2215.17</v>
      </c>
      <c r="AJ6">
        <v>3080.7</v>
      </c>
      <c r="AK6">
        <v>3639.91</v>
      </c>
      <c r="AL6">
        <v>3725.65</v>
      </c>
      <c r="AM6">
        <v>5253.05</v>
      </c>
      <c r="AN6">
        <v>3667.48</v>
      </c>
      <c r="AO6">
        <v>4462.33</v>
      </c>
      <c r="AP6">
        <v>5838.34</v>
      </c>
      <c r="AQ6">
        <v>6339.34</v>
      </c>
      <c r="AR6">
        <v>5957.55</v>
      </c>
      <c r="AS6">
        <v>5738.07</v>
      </c>
      <c r="AT6">
        <v>5104.74</v>
      </c>
      <c r="AU6">
        <v>5011.58</v>
      </c>
      <c r="AV6">
        <v>6047.89</v>
      </c>
      <c r="AW6">
        <v>6826.88</v>
      </c>
      <c r="AX6">
        <v>6601.58</v>
      </c>
      <c r="AY6">
        <v>5640.94</v>
      </c>
      <c r="AZ6">
        <v>6586.64</v>
      </c>
      <c r="BA6">
        <v>8399.7800000000007</v>
      </c>
      <c r="BB6">
        <v>8421.25</v>
      </c>
      <c r="BC6">
        <v>8873.27</v>
      </c>
      <c r="BD6">
        <v>9518.02</v>
      </c>
      <c r="BE6">
        <v>10406.24</v>
      </c>
      <c r="BF6">
        <v>11302.39</v>
      </c>
      <c r="BG6">
        <v>2020</v>
      </c>
      <c r="BH6">
        <v>5640.94</v>
      </c>
      <c r="BI6">
        <v>18723.5</v>
      </c>
      <c r="BJ6">
        <v>18723.5</v>
      </c>
      <c r="BK6">
        <v>2020</v>
      </c>
      <c r="BL6">
        <v>30.127593665714208</v>
      </c>
    </row>
    <row r="7" spans="1:64">
      <c r="A7" t="s">
        <v>495</v>
      </c>
      <c r="B7">
        <v>171</v>
      </c>
      <c r="C7" t="s">
        <v>495</v>
      </c>
      <c r="D7" t="s">
        <v>1659</v>
      </c>
      <c r="E7" t="s">
        <v>256</v>
      </c>
      <c r="F7" t="s">
        <v>1660</v>
      </c>
      <c r="G7" t="s">
        <v>1661</v>
      </c>
      <c r="H7" t="s">
        <v>1662</v>
      </c>
      <c r="I7" t="s">
        <v>883</v>
      </c>
      <c r="J7" t="s">
        <v>1667</v>
      </c>
      <c r="K7" t="s">
        <v>1664</v>
      </c>
      <c r="L7" t="s">
        <v>1664</v>
      </c>
      <c r="M7" t="s">
        <v>1664</v>
      </c>
      <c r="N7" t="s">
        <v>1664</v>
      </c>
      <c r="O7" t="s">
        <v>1664</v>
      </c>
      <c r="P7" t="s">
        <v>1664</v>
      </c>
      <c r="Q7" t="s">
        <v>1664</v>
      </c>
      <c r="R7" t="s">
        <v>1664</v>
      </c>
      <c r="S7" t="s">
        <v>1664</v>
      </c>
      <c r="T7" t="s">
        <v>1664</v>
      </c>
      <c r="U7" t="s">
        <v>1664</v>
      </c>
      <c r="V7" t="s">
        <v>1664</v>
      </c>
      <c r="W7" t="s">
        <v>1664</v>
      </c>
      <c r="X7" t="s">
        <v>1664</v>
      </c>
      <c r="Y7" t="s">
        <v>1664</v>
      </c>
      <c r="Z7" t="s">
        <v>1664</v>
      </c>
      <c r="AA7" t="s">
        <v>1664</v>
      </c>
      <c r="AB7" t="s">
        <v>1664</v>
      </c>
      <c r="AC7" t="s">
        <v>1664</v>
      </c>
      <c r="AD7" t="s">
        <v>1664</v>
      </c>
      <c r="AE7" t="s">
        <v>1664</v>
      </c>
      <c r="AF7">
        <v>0.47</v>
      </c>
      <c r="AG7">
        <v>0.48399999999999999</v>
      </c>
      <c r="AH7">
        <v>0.54300000000000004</v>
      </c>
      <c r="AI7">
        <v>0.59499999999999997</v>
      </c>
      <c r="AJ7">
        <v>0.59099999999999997</v>
      </c>
      <c r="AK7">
        <v>0.65300000000000002</v>
      </c>
      <c r="AL7">
        <v>0.71399999999999997</v>
      </c>
      <c r="AM7">
        <v>0.73099999999999998</v>
      </c>
      <c r="AN7">
        <v>0.69699999999999995</v>
      </c>
      <c r="AO7">
        <v>0.74</v>
      </c>
      <c r="AP7">
        <v>0.76800000000000002</v>
      </c>
      <c r="AQ7">
        <v>0.8</v>
      </c>
      <c r="AR7">
        <v>0.84799999999999998</v>
      </c>
      <c r="AS7">
        <v>0.83099999999999996</v>
      </c>
      <c r="AT7">
        <v>0.878</v>
      </c>
      <c r="AU7">
        <v>1.006</v>
      </c>
      <c r="AV7">
        <v>1.008</v>
      </c>
      <c r="AW7">
        <v>1.0489999999999999</v>
      </c>
      <c r="AX7">
        <v>1.071</v>
      </c>
      <c r="AY7">
        <v>1.022</v>
      </c>
      <c r="AZ7">
        <v>1.0960000000000001</v>
      </c>
      <c r="BA7">
        <v>1.1719999999999999</v>
      </c>
      <c r="BB7">
        <v>1.2250000000000001</v>
      </c>
      <c r="BC7">
        <v>1.274</v>
      </c>
      <c r="BD7">
        <v>1.3180000000000001</v>
      </c>
      <c r="BE7">
        <v>1.363</v>
      </c>
      <c r="BF7">
        <v>1.41</v>
      </c>
      <c r="BG7">
        <v>2020</v>
      </c>
      <c r="BH7">
        <v>1.022</v>
      </c>
      <c r="BI7">
        <v>2.5310000000000001</v>
      </c>
      <c r="BJ7">
        <v>2.8149999999999999</v>
      </c>
      <c r="BK7">
        <v>2021</v>
      </c>
      <c r="BL7">
        <v>40.379296720663767</v>
      </c>
    </row>
    <row r="8" spans="1:64">
      <c r="A8" t="s">
        <v>350</v>
      </c>
      <c r="B8">
        <v>614</v>
      </c>
      <c r="C8" t="s">
        <v>350</v>
      </c>
      <c r="D8" t="s">
        <v>1659</v>
      </c>
      <c r="E8" t="s">
        <v>136</v>
      </c>
      <c r="F8" t="s">
        <v>1660</v>
      </c>
      <c r="G8" t="s">
        <v>1661</v>
      </c>
      <c r="H8" t="s">
        <v>1662</v>
      </c>
      <c r="I8" t="s">
        <v>883</v>
      </c>
      <c r="J8" t="s">
        <v>1668</v>
      </c>
      <c r="K8" t="s">
        <v>1664</v>
      </c>
      <c r="L8" t="s">
        <v>1664</v>
      </c>
      <c r="M8" t="s">
        <v>1664</v>
      </c>
      <c r="N8" t="s">
        <v>1664</v>
      </c>
      <c r="O8" t="s">
        <v>1664</v>
      </c>
      <c r="P8" t="s">
        <v>1664</v>
      </c>
      <c r="Q8" t="s">
        <v>1664</v>
      </c>
      <c r="R8" t="s">
        <v>1664</v>
      </c>
      <c r="S8" t="s">
        <v>1664</v>
      </c>
      <c r="T8" t="s">
        <v>1664</v>
      </c>
      <c r="U8" t="s">
        <v>1664</v>
      </c>
      <c r="V8" t="s">
        <v>1664</v>
      </c>
      <c r="W8" t="s">
        <v>1664</v>
      </c>
      <c r="X8" t="s">
        <v>1664</v>
      </c>
      <c r="Y8" t="s">
        <v>1664</v>
      </c>
      <c r="Z8" t="s">
        <v>1664</v>
      </c>
      <c r="AA8">
        <v>0.4</v>
      </c>
      <c r="AB8">
        <v>0.747</v>
      </c>
      <c r="AC8">
        <v>0.86399999999999999</v>
      </c>
      <c r="AD8">
        <v>8.6379999999999999</v>
      </c>
      <c r="AE8">
        <v>48.051000000000002</v>
      </c>
      <c r="AF8">
        <v>90.32</v>
      </c>
      <c r="AG8">
        <v>190.83600000000001</v>
      </c>
      <c r="AH8">
        <v>394.89800000000002</v>
      </c>
      <c r="AI8">
        <v>609.68600000000004</v>
      </c>
      <c r="AJ8">
        <v>1085.8399999999999</v>
      </c>
      <c r="AK8">
        <v>1685.03</v>
      </c>
      <c r="AL8">
        <v>2124.71</v>
      </c>
      <c r="AM8">
        <v>3217.43</v>
      </c>
      <c r="AN8">
        <v>2069.73</v>
      </c>
      <c r="AO8">
        <v>3295.49</v>
      </c>
      <c r="AP8">
        <v>4776.1499999999996</v>
      </c>
      <c r="AQ8">
        <v>5053.8</v>
      </c>
      <c r="AR8">
        <v>4848.6099999999997</v>
      </c>
      <c r="AS8">
        <v>4402.6400000000003</v>
      </c>
      <c r="AT8">
        <v>3366.74</v>
      </c>
      <c r="AU8">
        <v>2899.97</v>
      </c>
      <c r="AV8">
        <v>3546.27</v>
      </c>
      <c r="AW8">
        <v>5859.96</v>
      </c>
      <c r="AX8">
        <v>6530.16</v>
      </c>
      <c r="AY8">
        <v>7052.76</v>
      </c>
      <c r="AZ8">
        <v>10404.06</v>
      </c>
      <c r="BA8">
        <v>12694.2</v>
      </c>
      <c r="BB8">
        <v>12579.94</v>
      </c>
      <c r="BC8">
        <v>13130.58</v>
      </c>
      <c r="BD8">
        <v>13717.84</v>
      </c>
      <c r="BE8">
        <v>14476.37</v>
      </c>
      <c r="BF8">
        <v>15357.45</v>
      </c>
      <c r="BG8">
        <v>2020</v>
      </c>
      <c r="BH8">
        <v>7052.76</v>
      </c>
      <c r="BI8">
        <v>33685.67</v>
      </c>
      <c r="BJ8">
        <v>33685.67</v>
      </c>
      <c r="BK8">
        <v>2020</v>
      </c>
      <c r="BL8">
        <v>20.936974090169503</v>
      </c>
    </row>
    <row r="9" spans="1:64">
      <c r="A9" t="s">
        <v>565</v>
      </c>
      <c r="B9">
        <v>311</v>
      </c>
      <c r="C9" t="s">
        <v>565</v>
      </c>
      <c r="D9" t="s">
        <v>1659</v>
      </c>
      <c r="E9" t="s">
        <v>231</v>
      </c>
      <c r="F9" t="s">
        <v>1660</v>
      </c>
      <c r="G9" t="s">
        <v>1661</v>
      </c>
      <c r="H9" t="s">
        <v>1662</v>
      </c>
      <c r="I9" t="s">
        <v>883</v>
      </c>
      <c r="J9" t="s">
        <v>1669</v>
      </c>
      <c r="K9" t="s">
        <v>1664</v>
      </c>
      <c r="L9" t="s">
        <v>1664</v>
      </c>
      <c r="M9" t="s">
        <v>1664</v>
      </c>
      <c r="N9" t="s">
        <v>1664</v>
      </c>
      <c r="O9" t="s">
        <v>1664</v>
      </c>
      <c r="P9" t="s">
        <v>1664</v>
      </c>
      <c r="Q9" t="s">
        <v>1664</v>
      </c>
      <c r="R9" t="s">
        <v>1664</v>
      </c>
      <c r="S9" t="s">
        <v>1664</v>
      </c>
      <c r="T9" t="s">
        <v>1664</v>
      </c>
      <c r="U9">
        <v>0.23599999999999999</v>
      </c>
      <c r="V9">
        <v>0.22900000000000001</v>
      </c>
      <c r="W9">
        <v>0.253</v>
      </c>
      <c r="X9">
        <v>0.25900000000000001</v>
      </c>
      <c r="Y9">
        <v>0.28399999999999997</v>
      </c>
      <c r="Z9">
        <v>0.28399999999999997</v>
      </c>
      <c r="AA9">
        <v>0.32900000000000001</v>
      </c>
      <c r="AB9">
        <v>0.33200000000000002</v>
      </c>
      <c r="AC9">
        <v>0.40600000000000003</v>
      </c>
      <c r="AD9">
        <v>0.38900000000000001</v>
      </c>
      <c r="AE9">
        <v>0.40400000000000003</v>
      </c>
      <c r="AF9">
        <v>0.37</v>
      </c>
      <c r="AG9">
        <v>0.42399999999999999</v>
      </c>
      <c r="AH9">
        <v>0.433</v>
      </c>
      <c r="AI9">
        <v>0.5</v>
      </c>
      <c r="AJ9">
        <v>0.53300000000000003</v>
      </c>
      <c r="AK9">
        <v>0.68300000000000005</v>
      </c>
      <c r="AL9">
        <v>0.75700000000000001</v>
      </c>
      <c r="AM9">
        <v>0.77800000000000002</v>
      </c>
      <c r="AN9">
        <v>0.60899999999999999</v>
      </c>
      <c r="AO9">
        <v>0.69099999999999995</v>
      </c>
      <c r="AP9">
        <v>0.625</v>
      </c>
      <c r="AQ9">
        <v>0.64700000000000002</v>
      </c>
      <c r="AR9">
        <v>0.60399999999999998</v>
      </c>
      <c r="AS9">
        <v>0.68</v>
      </c>
      <c r="AT9">
        <v>0.87</v>
      </c>
      <c r="AU9">
        <v>0.95099999999999996</v>
      </c>
      <c r="AV9">
        <v>0.82199999999999995</v>
      </c>
      <c r="AW9">
        <v>0.85899999999999999</v>
      </c>
      <c r="AX9">
        <v>0.84899999999999998</v>
      </c>
      <c r="AY9">
        <v>0.755</v>
      </c>
      <c r="AZ9">
        <v>0.83</v>
      </c>
      <c r="BA9">
        <v>0.97399999999999998</v>
      </c>
      <c r="BB9">
        <v>1.1020000000000001</v>
      </c>
      <c r="BC9">
        <v>1.153</v>
      </c>
      <c r="BD9">
        <v>1.228</v>
      </c>
      <c r="BE9">
        <v>1.2929999999999999</v>
      </c>
      <c r="BF9">
        <v>1.3560000000000001</v>
      </c>
      <c r="BG9">
        <v>2020</v>
      </c>
      <c r="BH9">
        <v>0.755</v>
      </c>
      <c r="BI9">
        <v>3.7</v>
      </c>
      <c r="BJ9">
        <v>4.556</v>
      </c>
      <c r="BK9">
        <v>2019</v>
      </c>
      <c r="BL9">
        <v>20.405405405405403</v>
      </c>
    </row>
    <row r="10" spans="1:64">
      <c r="A10" t="s">
        <v>434</v>
      </c>
      <c r="B10">
        <v>213</v>
      </c>
      <c r="C10" t="s">
        <v>434</v>
      </c>
      <c r="D10" t="s">
        <v>1659</v>
      </c>
      <c r="E10" t="s">
        <v>219</v>
      </c>
      <c r="F10" t="s">
        <v>1660</v>
      </c>
      <c r="G10" t="s">
        <v>1661</v>
      </c>
      <c r="H10" t="s">
        <v>1662</v>
      </c>
      <c r="I10" t="s">
        <v>883</v>
      </c>
      <c r="J10" t="s">
        <v>1670</v>
      </c>
      <c r="K10" t="s">
        <v>1664</v>
      </c>
      <c r="L10" t="s">
        <v>1664</v>
      </c>
      <c r="M10" t="s">
        <v>1664</v>
      </c>
      <c r="N10" t="s">
        <v>1664</v>
      </c>
      <c r="O10" t="s">
        <v>1664</v>
      </c>
      <c r="P10" t="s">
        <v>1664</v>
      </c>
      <c r="Q10" t="s">
        <v>1664</v>
      </c>
      <c r="R10" t="s">
        <v>1664</v>
      </c>
      <c r="S10" t="s">
        <v>1664</v>
      </c>
      <c r="T10" t="s">
        <v>1664</v>
      </c>
      <c r="U10" t="s">
        <v>1664</v>
      </c>
      <c r="V10" t="s">
        <v>1664</v>
      </c>
      <c r="W10" t="s">
        <v>1664</v>
      </c>
      <c r="X10">
        <v>58.155000000000001</v>
      </c>
      <c r="Y10">
        <v>62.424999999999997</v>
      </c>
      <c r="Z10">
        <v>59.972000000000001</v>
      </c>
      <c r="AA10">
        <v>60.48</v>
      </c>
      <c r="AB10">
        <v>67.936999999999998</v>
      </c>
      <c r="AC10">
        <v>71.203999999999994</v>
      </c>
      <c r="AD10">
        <v>68.998000000000005</v>
      </c>
      <c r="AE10">
        <v>69.367999999999995</v>
      </c>
      <c r="AF10">
        <v>63.293999999999997</v>
      </c>
      <c r="AG10">
        <v>69.697999999999993</v>
      </c>
      <c r="AH10">
        <v>98.878</v>
      </c>
      <c r="AI10">
        <v>130.964</v>
      </c>
      <c r="AJ10">
        <v>161.749</v>
      </c>
      <c r="AK10">
        <v>202.363</v>
      </c>
      <c r="AL10">
        <v>271.85300000000001</v>
      </c>
      <c r="AM10">
        <v>357.70499999999998</v>
      </c>
      <c r="AN10">
        <v>408.00299999999999</v>
      </c>
      <c r="AO10">
        <v>531.16300000000001</v>
      </c>
      <c r="AP10">
        <v>700.69200000000001</v>
      </c>
      <c r="AQ10">
        <v>891.70399999999995</v>
      </c>
      <c r="AR10">
        <v>1150.1099999999999</v>
      </c>
      <c r="AS10">
        <v>1584.39</v>
      </c>
      <c r="AT10">
        <v>2105.86</v>
      </c>
      <c r="AU10">
        <v>2868.94</v>
      </c>
      <c r="AV10">
        <v>3670.12</v>
      </c>
      <c r="AW10">
        <v>4940.7</v>
      </c>
      <c r="AX10">
        <v>7261.83</v>
      </c>
      <c r="AY10">
        <v>9197.0400000000009</v>
      </c>
      <c r="AZ10">
        <v>15569.46</v>
      </c>
      <c r="BA10">
        <v>24034.76</v>
      </c>
      <c r="BB10">
        <v>34836.370000000003</v>
      </c>
      <c r="BC10">
        <v>49074.33</v>
      </c>
      <c r="BD10">
        <v>66231.600000000006</v>
      </c>
      <c r="BE10">
        <v>85598.59</v>
      </c>
      <c r="BF10">
        <v>105573.14</v>
      </c>
      <c r="BG10">
        <v>2021</v>
      </c>
      <c r="BH10">
        <v>15569.46</v>
      </c>
      <c r="BI10">
        <v>46463.02</v>
      </c>
      <c r="BJ10">
        <v>27481.439999999999</v>
      </c>
      <c r="BK10">
        <v>2020</v>
      </c>
      <c r="BL10">
        <v>33.50935862541867</v>
      </c>
    </row>
    <row r="11" spans="1:64">
      <c r="A11" t="s">
        <v>393</v>
      </c>
      <c r="B11">
        <v>911</v>
      </c>
      <c r="C11" t="s">
        <v>393</v>
      </c>
      <c r="D11" t="s">
        <v>1659</v>
      </c>
      <c r="E11" t="s">
        <v>178</v>
      </c>
      <c r="F11" t="s">
        <v>1660</v>
      </c>
      <c r="G11" t="s">
        <v>1661</v>
      </c>
      <c r="H11" t="s">
        <v>1662</v>
      </c>
      <c r="I11" t="s">
        <v>883</v>
      </c>
      <c r="J11" t="s">
        <v>1671</v>
      </c>
      <c r="K11" t="s">
        <v>1664</v>
      </c>
      <c r="L11" t="s">
        <v>1664</v>
      </c>
      <c r="M11" t="s">
        <v>1664</v>
      </c>
      <c r="N11" t="s">
        <v>1664</v>
      </c>
      <c r="O11" t="s">
        <v>1664</v>
      </c>
      <c r="P11" t="s">
        <v>1664</v>
      </c>
      <c r="Q11" t="s">
        <v>1664</v>
      </c>
      <c r="R11" t="s">
        <v>1664</v>
      </c>
      <c r="S11" t="s">
        <v>1664</v>
      </c>
      <c r="T11" t="s">
        <v>1664</v>
      </c>
      <c r="U11" t="s">
        <v>1664</v>
      </c>
      <c r="V11" t="s">
        <v>1664</v>
      </c>
      <c r="W11" t="s">
        <v>1664</v>
      </c>
      <c r="X11">
        <v>1.0169999999999999</v>
      </c>
      <c r="Y11">
        <v>48.920999999999999</v>
      </c>
      <c r="Z11">
        <v>93.153999999999996</v>
      </c>
      <c r="AA11">
        <v>101.889</v>
      </c>
      <c r="AB11">
        <v>126.688</v>
      </c>
      <c r="AC11">
        <v>163.81200000000001</v>
      </c>
      <c r="AD11">
        <v>190.917</v>
      </c>
      <c r="AE11">
        <v>170.113</v>
      </c>
      <c r="AF11">
        <v>200.44</v>
      </c>
      <c r="AG11">
        <v>228.13200000000001</v>
      </c>
      <c r="AH11">
        <v>247.215</v>
      </c>
      <c r="AI11">
        <v>294.90699999999998</v>
      </c>
      <c r="AJ11">
        <v>401.35899999999998</v>
      </c>
      <c r="AK11">
        <v>479.44400000000002</v>
      </c>
      <c r="AL11">
        <v>632.54700000000003</v>
      </c>
      <c r="AM11">
        <v>730.75300000000004</v>
      </c>
      <c r="AN11">
        <v>655.56899999999996</v>
      </c>
      <c r="AO11">
        <v>734.29300000000001</v>
      </c>
      <c r="AP11">
        <v>834.53</v>
      </c>
      <c r="AQ11">
        <v>892.60299999999995</v>
      </c>
      <c r="AR11">
        <v>1011.53</v>
      </c>
      <c r="AS11">
        <v>1064.6199999999999</v>
      </c>
      <c r="AT11">
        <v>1084.08</v>
      </c>
      <c r="AU11">
        <v>1085.19</v>
      </c>
      <c r="AV11">
        <v>1181.99</v>
      </c>
      <c r="AW11">
        <v>1341.69</v>
      </c>
      <c r="AX11">
        <v>1565.49</v>
      </c>
      <c r="AY11">
        <v>1560.66</v>
      </c>
      <c r="AZ11">
        <v>1683.83</v>
      </c>
      <c r="BA11">
        <v>1859.39</v>
      </c>
      <c r="BB11">
        <v>2076.52</v>
      </c>
      <c r="BC11">
        <v>2285.87</v>
      </c>
      <c r="BD11">
        <v>2491.37</v>
      </c>
      <c r="BE11">
        <v>2739.75</v>
      </c>
      <c r="BF11">
        <v>2995.28</v>
      </c>
      <c r="BG11">
        <v>2020</v>
      </c>
      <c r="BH11">
        <v>1560.66</v>
      </c>
      <c r="BI11">
        <v>6181.66</v>
      </c>
      <c r="BJ11">
        <v>6982.85</v>
      </c>
      <c r="BK11">
        <v>2021</v>
      </c>
      <c r="BL11">
        <v>25.246616604601357</v>
      </c>
    </row>
    <row r="12" spans="1:64">
      <c r="A12" t="s">
        <v>498</v>
      </c>
      <c r="B12">
        <v>314</v>
      </c>
      <c r="C12" t="s">
        <v>498</v>
      </c>
      <c r="D12" t="s">
        <v>1659</v>
      </c>
      <c r="E12" t="s">
        <v>246</v>
      </c>
      <c r="F12" t="s">
        <v>1660</v>
      </c>
      <c r="G12" t="s">
        <v>1661</v>
      </c>
      <c r="H12" t="s">
        <v>1662</v>
      </c>
      <c r="I12" t="s">
        <v>883</v>
      </c>
      <c r="J12" t="s">
        <v>1672</v>
      </c>
      <c r="K12" t="s">
        <v>1664</v>
      </c>
      <c r="L12" t="s">
        <v>1664</v>
      </c>
      <c r="M12" t="s">
        <v>1664</v>
      </c>
      <c r="N12" t="s">
        <v>1664</v>
      </c>
      <c r="O12" t="s">
        <v>1664</v>
      </c>
      <c r="P12" t="s">
        <v>1664</v>
      </c>
      <c r="Q12" t="s">
        <v>1664</v>
      </c>
      <c r="R12" t="s">
        <v>1664</v>
      </c>
      <c r="S12" t="s">
        <v>1664</v>
      </c>
      <c r="T12" t="s">
        <v>1664</v>
      </c>
      <c r="U12" t="s">
        <v>1664</v>
      </c>
      <c r="V12" t="s">
        <v>1664</v>
      </c>
      <c r="W12" t="s">
        <v>1664</v>
      </c>
      <c r="X12" t="s">
        <v>1664</v>
      </c>
      <c r="Y12" t="s">
        <v>1664</v>
      </c>
      <c r="Z12">
        <v>0.60299999999999998</v>
      </c>
      <c r="AA12">
        <v>0.62</v>
      </c>
      <c r="AB12">
        <v>0.628</v>
      </c>
      <c r="AC12">
        <v>0.64600000000000002</v>
      </c>
      <c r="AD12">
        <v>0.70599999999999996</v>
      </c>
      <c r="AE12">
        <v>0.746</v>
      </c>
      <c r="AF12">
        <v>0.73599999999999999</v>
      </c>
      <c r="AG12">
        <v>0.755</v>
      </c>
      <c r="AH12">
        <v>0.98899999999999999</v>
      </c>
      <c r="AI12">
        <v>0.83599999999999997</v>
      </c>
      <c r="AJ12">
        <v>0.90900000000000003</v>
      </c>
      <c r="AK12">
        <v>0.98499999999999999</v>
      </c>
      <c r="AL12">
        <v>1.034</v>
      </c>
      <c r="AM12">
        <v>1.365</v>
      </c>
      <c r="AN12">
        <v>1.109</v>
      </c>
      <c r="AO12">
        <v>1.1839999999999999</v>
      </c>
      <c r="AP12">
        <v>0.98099999999999998</v>
      </c>
      <c r="AQ12">
        <v>1.0209999999999999</v>
      </c>
      <c r="AR12">
        <v>1.143</v>
      </c>
      <c r="AS12">
        <v>1.1180000000000001</v>
      </c>
      <c r="AT12">
        <v>1.2669999999999999</v>
      </c>
      <c r="AU12">
        <v>1.264</v>
      </c>
      <c r="AV12">
        <v>1.216</v>
      </c>
      <c r="AW12">
        <v>1.2969999999999999</v>
      </c>
      <c r="AX12">
        <v>1.42</v>
      </c>
      <c r="AY12">
        <v>1.071</v>
      </c>
      <c r="AZ12">
        <v>1.091</v>
      </c>
      <c r="BA12">
        <v>1.2050000000000001</v>
      </c>
      <c r="BB12">
        <v>1.3759999999999999</v>
      </c>
      <c r="BC12">
        <v>1.464</v>
      </c>
      <c r="BD12">
        <v>1.5229999999999999</v>
      </c>
      <c r="BE12">
        <v>1.5640000000000001</v>
      </c>
      <c r="BF12">
        <v>1.607</v>
      </c>
      <c r="BG12">
        <v>2020</v>
      </c>
      <c r="BH12">
        <v>1.071</v>
      </c>
      <c r="BI12">
        <v>4.4690000000000003</v>
      </c>
      <c r="BJ12">
        <v>4.4690000000000003</v>
      </c>
      <c r="BK12">
        <v>2020</v>
      </c>
      <c r="BL12">
        <v>23.965092861937791</v>
      </c>
    </row>
    <row r="13" spans="1:64">
      <c r="A13" t="s">
        <v>461</v>
      </c>
      <c r="B13">
        <v>193</v>
      </c>
      <c r="C13" t="s">
        <v>461</v>
      </c>
      <c r="D13" t="s">
        <v>1659</v>
      </c>
      <c r="E13" t="s">
        <v>74</v>
      </c>
      <c r="F13" t="s">
        <v>1660</v>
      </c>
      <c r="G13" t="s">
        <v>1661</v>
      </c>
      <c r="H13" t="s">
        <v>1662</v>
      </c>
      <c r="I13" t="s">
        <v>883</v>
      </c>
      <c r="J13" t="s">
        <v>1673</v>
      </c>
      <c r="K13" t="s">
        <v>1664</v>
      </c>
      <c r="L13" t="s">
        <v>1664</v>
      </c>
      <c r="M13" t="s">
        <v>1664</v>
      </c>
      <c r="N13" t="s">
        <v>1664</v>
      </c>
      <c r="O13" t="s">
        <v>1664</v>
      </c>
      <c r="P13" t="s">
        <v>1664</v>
      </c>
      <c r="Q13" t="s">
        <v>1664</v>
      </c>
      <c r="R13" t="s">
        <v>1664</v>
      </c>
      <c r="S13">
        <v>107.705</v>
      </c>
      <c r="T13">
        <v>118.812</v>
      </c>
      <c r="U13">
        <v>125.491</v>
      </c>
      <c r="V13">
        <v>126.06100000000001</v>
      </c>
      <c r="W13">
        <v>126.77500000000001</v>
      </c>
      <c r="X13">
        <v>133.69900000000001</v>
      </c>
      <c r="Y13">
        <v>144.64699999999999</v>
      </c>
      <c r="Z13">
        <v>158.93</v>
      </c>
      <c r="AA13">
        <v>174.048</v>
      </c>
      <c r="AB13">
        <v>185.24100000000001</v>
      </c>
      <c r="AC13">
        <v>208.48599999999999</v>
      </c>
      <c r="AD13">
        <v>235.46600000000001</v>
      </c>
      <c r="AE13">
        <v>250.661</v>
      </c>
      <c r="AF13">
        <v>259.96499999999997</v>
      </c>
      <c r="AG13">
        <v>274.66399999999999</v>
      </c>
      <c r="AH13">
        <v>298.52800000000002</v>
      </c>
      <c r="AI13">
        <v>323.38600000000002</v>
      </c>
      <c r="AJ13">
        <v>349.84500000000003</v>
      </c>
      <c r="AK13">
        <v>377.59399999999999</v>
      </c>
      <c r="AL13">
        <v>405.37599999999998</v>
      </c>
      <c r="AM13">
        <v>419.75299999999999</v>
      </c>
      <c r="AN13">
        <v>419.791</v>
      </c>
      <c r="AO13">
        <v>434.37400000000002</v>
      </c>
      <c r="AP13">
        <v>466.63499999999999</v>
      </c>
      <c r="AQ13">
        <v>500.983</v>
      </c>
      <c r="AR13">
        <v>528.10400000000004</v>
      </c>
      <c r="AS13">
        <v>547.55799999999999</v>
      </c>
      <c r="AT13">
        <v>566.89700000000005</v>
      </c>
      <c r="AU13">
        <v>593.66399999999999</v>
      </c>
      <c r="AV13">
        <v>633.42200000000003</v>
      </c>
      <c r="AW13">
        <v>676.76</v>
      </c>
      <c r="AX13">
        <v>690.74300000000005</v>
      </c>
      <c r="AY13">
        <v>709.49699999999996</v>
      </c>
      <c r="AZ13">
        <v>763.26199999999994</v>
      </c>
      <c r="BA13">
        <v>805.56100000000004</v>
      </c>
      <c r="BB13">
        <v>842.10400000000004</v>
      </c>
      <c r="BC13">
        <v>889.14300000000003</v>
      </c>
      <c r="BD13">
        <v>936.08199999999999</v>
      </c>
      <c r="BE13">
        <v>984.78</v>
      </c>
      <c r="BF13">
        <v>1034.68</v>
      </c>
      <c r="BG13">
        <v>2020</v>
      </c>
      <c r="BH13">
        <v>709.49699999999996</v>
      </c>
      <c r="BI13">
        <v>1965.92</v>
      </c>
      <c r="BJ13">
        <v>2172.5700000000002</v>
      </c>
      <c r="BK13">
        <v>2021</v>
      </c>
      <c r="BL13">
        <v>36.089820542036293</v>
      </c>
    </row>
    <row r="14" spans="1:64">
      <c r="A14" t="s">
        <v>458</v>
      </c>
      <c r="B14">
        <v>122</v>
      </c>
      <c r="C14" t="s">
        <v>458</v>
      </c>
      <c r="D14" t="s">
        <v>1659</v>
      </c>
      <c r="E14" t="s">
        <v>53</v>
      </c>
      <c r="F14" t="s">
        <v>1660</v>
      </c>
      <c r="G14" t="s">
        <v>1661</v>
      </c>
      <c r="H14" t="s">
        <v>1662</v>
      </c>
      <c r="I14" t="s">
        <v>883</v>
      </c>
      <c r="J14" t="s">
        <v>1674</v>
      </c>
      <c r="K14" t="s">
        <v>1664</v>
      </c>
      <c r="L14" t="s">
        <v>1664</v>
      </c>
      <c r="M14" t="s">
        <v>1664</v>
      </c>
      <c r="N14" t="s">
        <v>1664</v>
      </c>
      <c r="O14" t="s">
        <v>1664</v>
      </c>
      <c r="P14" t="s">
        <v>1664</v>
      </c>
      <c r="Q14" t="s">
        <v>1664</v>
      </c>
      <c r="R14" t="s">
        <v>1664</v>
      </c>
      <c r="S14">
        <v>52.892000000000003</v>
      </c>
      <c r="T14">
        <v>55.350999999999999</v>
      </c>
      <c r="U14">
        <v>60.511000000000003</v>
      </c>
      <c r="V14">
        <v>65.83</v>
      </c>
      <c r="W14">
        <v>72.998999999999995</v>
      </c>
      <c r="X14">
        <v>79.593000000000004</v>
      </c>
      <c r="Y14">
        <v>82.781999999999996</v>
      </c>
      <c r="Z14">
        <v>87.724999999999994</v>
      </c>
      <c r="AA14">
        <v>93.591999999999999</v>
      </c>
      <c r="AB14">
        <v>94.180999999999997</v>
      </c>
      <c r="AC14">
        <v>100.893</v>
      </c>
      <c r="AD14">
        <v>97.21</v>
      </c>
      <c r="AE14">
        <v>103.79300000000001</v>
      </c>
      <c r="AF14">
        <v>111.803</v>
      </c>
      <c r="AG14">
        <v>114.651</v>
      </c>
      <c r="AH14">
        <v>112.556</v>
      </c>
      <c r="AI14">
        <v>118.42400000000001</v>
      </c>
      <c r="AJ14">
        <v>123.515</v>
      </c>
      <c r="AK14">
        <v>128.059</v>
      </c>
      <c r="AL14">
        <v>135.91</v>
      </c>
      <c r="AM14">
        <v>142.03299999999999</v>
      </c>
      <c r="AN14">
        <v>140.523</v>
      </c>
      <c r="AO14">
        <v>143.161</v>
      </c>
      <c r="AP14">
        <v>149.83799999999999</v>
      </c>
      <c r="AQ14">
        <v>156.21600000000001</v>
      </c>
      <c r="AR14">
        <v>160.976</v>
      </c>
      <c r="AS14">
        <v>165.226</v>
      </c>
      <c r="AT14">
        <v>172.06899999999999</v>
      </c>
      <c r="AU14">
        <v>173.571</v>
      </c>
      <c r="AV14">
        <v>179.077</v>
      </c>
      <c r="AW14">
        <v>188.506</v>
      </c>
      <c r="AX14">
        <v>195.483</v>
      </c>
      <c r="AY14">
        <v>184.91499999999999</v>
      </c>
      <c r="AZ14">
        <v>200.71100000000001</v>
      </c>
      <c r="BA14">
        <v>210.077</v>
      </c>
      <c r="BB14">
        <v>221.13900000000001</v>
      </c>
      <c r="BC14">
        <v>230.66499999999999</v>
      </c>
      <c r="BD14">
        <v>239.738</v>
      </c>
      <c r="BE14">
        <v>249.65899999999999</v>
      </c>
      <c r="BF14">
        <v>259.73500000000001</v>
      </c>
      <c r="BG14">
        <v>2020</v>
      </c>
      <c r="BH14">
        <v>184.91499999999999</v>
      </c>
      <c r="BI14">
        <v>379.32100000000003</v>
      </c>
      <c r="BJ14">
        <v>403.37</v>
      </c>
      <c r="BK14">
        <v>2021</v>
      </c>
      <c r="BL14">
        <v>48.748948779529734</v>
      </c>
    </row>
    <row r="15" spans="1:64">
      <c r="A15" t="s">
        <v>397</v>
      </c>
      <c r="B15">
        <v>912</v>
      </c>
      <c r="C15" t="s">
        <v>397</v>
      </c>
      <c r="D15" t="s">
        <v>1659</v>
      </c>
      <c r="E15" t="s">
        <v>182</v>
      </c>
      <c r="F15" t="s">
        <v>1660</v>
      </c>
      <c r="G15" t="s">
        <v>1661</v>
      </c>
      <c r="H15" t="s">
        <v>1662</v>
      </c>
      <c r="I15" t="s">
        <v>883</v>
      </c>
      <c r="J15" t="s">
        <v>1675</v>
      </c>
      <c r="K15" t="s">
        <v>1664</v>
      </c>
      <c r="L15" t="s">
        <v>1664</v>
      </c>
      <c r="M15" t="s">
        <v>1664</v>
      </c>
      <c r="N15" t="s">
        <v>1664</v>
      </c>
      <c r="O15" t="s">
        <v>1664</v>
      </c>
      <c r="P15" t="s">
        <v>1664</v>
      </c>
      <c r="Q15" t="s">
        <v>1664</v>
      </c>
      <c r="R15" t="s">
        <v>1664</v>
      </c>
      <c r="S15" t="s">
        <v>1664</v>
      </c>
      <c r="T15" t="s">
        <v>1664</v>
      </c>
      <c r="U15" t="s">
        <v>1664</v>
      </c>
      <c r="V15" t="s">
        <v>1664</v>
      </c>
      <c r="W15" t="s">
        <v>1664</v>
      </c>
      <c r="X15" t="s">
        <v>1664</v>
      </c>
      <c r="Y15">
        <v>0.127</v>
      </c>
      <c r="Z15">
        <v>0.375</v>
      </c>
      <c r="AA15">
        <v>0.48099999999999998</v>
      </c>
      <c r="AB15">
        <v>0.60499999999999998</v>
      </c>
      <c r="AC15">
        <v>0.67400000000000004</v>
      </c>
      <c r="AD15">
        <v>0.69699999999999995</v>
      </c>
      <c r="AE15">
        <v>0.86699999999999999</v>
      </c>
      <c r="AF15">
        <v>2.0489999999999999</v>
      </c>
      <c r="AG15">
        <v>2.5779999999999998</v>
      </c>
      <c r="AH15">
        <v>1.663</v>
      </c>
      <c r="AI15">
        <v>2.218</v>
      </c>
      <c r="AJ15">
        <v>3.161</v>
      </c>
      <c r="AK15">
        <v>4.867</v>
      </c>
      <c r="AL15">
        <v>8.0559999999999992</v>
      </c>
      <c r="AM15">
        <v>19.52</v>
      </c>
      <c r="AN15">
        <v>14.37</v>
      </c>
      <c r="AO15">
        <v>19.443999999999999</v>
      </c>
      <c r="AP15">
        <v>23.225999999999999</v>
      </c>
      <c r="AQ15">
        <v>22.085000000000001</v>
      </c>
      <c r="AR15">
        <v>22.937000000000001</v>
      </c>
      <c r="AS15">
        <v>23.084</v>
      </c>
      <c r="AT15">
        <v>18.416</v>
      </c>
      <c r="AU15">
        <v>20.699000000000002</v>
      </c>
      <c r="AV15">
        <v>24.076000000000001</v>
      </c>
      <c r="AW15">
        <v>30.925000000000001</v>
      </c>
      <c r="AX15">
        <v>33.966000000000001</v>
      </c>
      <c r="AY15">
        <v>24.472999999999999</v>
      </c>
      <c r="AZ15">
        <v>33.896999999999998</v>
      </c>
      <c r="BA15">
        <v>59.152000000000001</v>
      </c>
      <c r="BB15">
        <v>51.127000000000002</v>
      </c>
      <c r="BC15">
        <v>46.850999999999999</v>
      </c>
      <c r="BD15">
        <v>44.817</v>
      </c>
      <c r="BE15">
        <v>43.887</v>
      </c>
      <c r="BF15">
        <v>44.2</v>
      </c>
      <c r="BG15">
        <v>2021</v>
      </c>
      <c r="BH15">
        <v>33.896999999999998</v>
      </c>
      <c r="BI15">
        <v>92.858000000000004</v>
      </c>
      <c r="BJ15">
        <v>92.858000000000004</v>
      </c>
      <c r="BK15">
        <v>2021</v>
      </c>
      <c r="BL15">
        <v>36.504124577311593</v>
      </c>
    </row>
    <row r="16" spans="1:64">
      <c r="A16" t="s">
        <v>499</v>
      </c>
      <c r="B16">
        <v>313</v>
      </c>
      <c r="C16" t="s">
        <v>499</v>
      </c>
      <c r="D16" t="s">
        <v>1659</v>
      </c>
      <c r="E16" t="s">
        <v>656</v>
      </c>
      <c r="F16" t="s">
        <v>1660</v>
      </c>
      <c r="G16" t="s">
        <v>1661</v>
      </c>
      <c r="H16" t="s">
        <v>1662</v>
      </c>
      <c r="I16" t="s">
        <v>883</v>
      </c>
      <c r="J16" t="s">
        <v>1676</v>
      </c>
      <c r="K16" t="s">
        <v>1664</v>
      </c>
      <c r="L16" t="s">
        <v>1664</v>
      </c>
      <c r="M16" t="s">
        <v>1664</v>
      </c>
      <c r="N16" t="s">
        <v>1664</v>
      </c>
      <c r="O16" t="s">
        <v>1664</v>
      </c>
      <c r="P16" t="s">
        <v>1664</v>
      </c>
      <c r="Q16" t="s">
        <v>1664</v>
      </c>
      <c r="R16" t="s">
        <v>1664</v>
      </c>
      <c r="S16" t="s">
        <v>1664</v>
      </c>
      <c r="T16" t="s">
        <v>1664</v>
      </c>
      <c r="U16">
        <v>0.45700000000000002</v>
      </c>
      <c r="V16">
        <v>0.498</v>
      </c>
      <c r="W16">
        <v>0.49099999999999999</v>
      </c>
      <c r="X16">
        <v>0.53500000000000003</v>
      </c>
      <c r="Y16">
        <v>0.59399999999999997</v>
      </c>
      <c r="Z16">
        <v>0.64600000000000002</v>
      </c>
      <c r="AA16">
        <v>0.65900000000000003</v>
      </c>
      <c r="AB16">
        <v>0.69299999999999995</v>
      </c>
      <c r="AC16">
        <v>0.76500000000000001</v>
      </c>
      <c r="AD16">
        <v>0.80400000000000005</v>
      </c>
      <c r="AE16">
        <v>0.91900000000000004</v>
      </c>
      <c r="AF16">
        <v>0.95799999999999996</v>
      </c>
      <c r="AG16">
        <v>0.85699999999999998</v>
      </c>
      <c r="AH16">
        <v>0.90200000000000002</v>
      </c>
      <c r="AI16">
        <v>0.94399999999999995</v>
      </c>
      <c r="AJ16">
        <v>1.105</v>
      </c>
      <c r="AK16">
        <v>1.28</v>
      </c>
      <c r="AL16">
        <v>1.3360000000000001</v>
      </c>
      <c r="AM16">
        <v>1.429</v>
      </c>
      <c r="AN16">
        <v>1.3160000000000001</v>
      </c>
      <c r="AO16">
        <v>1.2909999999999999</v>
      </c>
      <c r="AP16">
        <v>1.4319999999999999</v>
      </c>
      <c r="AQ16">
        <v>1.4259999999999999</v>
      </c>
      <c r="AR16">
        <v>1.353</v>
      </c>
      <c r="AS16">
        <v>1.4490000000000001</v>
      </c>
      <c r="AT16">
        <v>1.698</v>
      </c>
      <c r="AU16">
        <v>1.9279999999999999</v>
      </c>
      <c r="AV16">
        <v>2.06</v>
      </c>
      <c r="AW16">
        <v>2.0419999999999998</v>
      </c>
      <c r="AX16">
        <v>2.4260000000000002</v>
      </c>
      <c r="AY16">
        <v>2.0870000000000002</v>
      </c>
      <c r="AZ16">
        <v>1.891</v>
      </c>
      <c r="BA16">
        <v>2.4079999999999999</v>
      </c>
      <c r="BB16">
        <v>2.6389999999999998</v>
      </c>
      <c r="BC16">
        <v>2.8340000000000001</v>
      </c>
      <c r="BD16">
        <v>3.0190000000000001</v>
      </c>
      <c r="BE16">
        <v>3.1640000000000001</v>
      </c>
      <c r="BF16">
        <v>3.2959999999999998</v>
      </c>
      <c r="BG16">
        <v>2021</v>
      </c>
      <c r="BH16">
        <v>1.891</v>
      </c>
      <c r="BI16">
        <v>11.125999999999999</v>
      </c>
      <c r="BJ16">
        <v>9.9079999999999995</v>
      </c>
      <c r="BK16">
        <v>2020</v>
      </c>
      <c r="BL16">
        <v>16.996225058421714</v>
      </c>
    </row>
    <row r="17" spans="1:64">
      <c r="A17" t="s">
        <v>500</v>
      </c>
      <c r="B17">
        <v>419</v>
      </c>
      <c r="C17" t="s">
        <v>500</v>
      </c>
      <c r="D17" t="s">
        <v>1659</v>
      </c>
      <c r="E17" t="s">
        <v>242</v>
      </c>
      <c r="F17" t="s">
        <v>1660</v>
      </c>
      <c r="G17" t="s">
        <v>1661</v>
      </c>
      <c r="H17" t="s">
        <v>1662</v>
      </c>
      <c r="I17" t="s">
        <v>883</v>
      </c>
      <c r="J17" t="s">
        <v>1677</v>
      </c>
      <c r="K17" t="s">
        <v>1664</v>
      </c>
      <c r="L17" t="s">
        <v>1664</v>
      </c>
      <c r="M17" t="s">
        <v>1664</v>
      </c>
      <c r="N17" t="s">
        <v>1664</v>
      </c>
      <c r="O17" t="s">
        <v>1664</v>
      </c>
      <c r="P17" t="s">
        <v>1664</v>
      </c>
      <c r="Q17" t="s">
        <v>1664</v>
      </c>
      <c r="R17" t="s">
        <v>1664</v>
      </c>
      <c r="S17" t="s">
        <v>1664</v>
      </c>
      <c r="T17" t="s">
        <v>1664</v>
      </c>
      <c r="U17">
        <v>0.498</v>
      </c>
      <c r="V17">
        <v>0.51200000000000001</v>
      </c>
      <c r="W17">
        <v>0.51200000000000001</v>
      </c>
      <c r="X17">
        <v>0.56200000000000006</v>
      </c>
      <c r="Y17">
        <v>0.52700000000000002</v>
      </c>
      <c r="Z17">
        <v>0.56100000000000005</v>
      </c>
      <c r="AA17">
        <v>0.63400000000000001</v>
      </c>
      <c r="AB17">
        <v>0.70599999999999996</v>
      </c>
      <c r="AC17">
        <v>0.55400000000000005</v>
      </c>
      <c r="AD17">
        <v>0.66</v>
      </c>
      <c r="AE17">
        <v>1.0469999999999999</v>
      </c>
      <c r="AF17">
        <v>0.98099999999999998</v>
      </c>
      <c r="AG17">
        <v>1.0269999999999999</v>
      </c>
      <c r="AH17">
        <v>1.1459999999999999</v>
      </c>
      <c r="AI17">
        <v>1.3009999999999999</v>
      </c>
      <c r="AJ17">
        <v>1.671</v>
      </c>
      <c r="AK17">
        <v>1.841</v>
      </c>
      <c r="AL17">
        <v>2.0379999999999998</v>
      </c>
      <c r="AM17">
        <v>2.698</v>
      </c>
      <c r="AN17">
        <v>1.7290000000000001</v>
      </c>
      <c r="AO17">
        <v>2.1960000000000002</v>
      </c>
      <c r="AP17">
        <v>2.8420000000000001</v>
      </c>
      <c r="AQ17">
        <v>3.0459999999999998</v>
      </c>
      <c r="AR17">
        <v>2.9769999999999999</v>
      </c>
      <c r="AS17">
        <v>3.133</v>
      </c>
      <c r="AT17">
        <v>2.1259999999999999</v>
      </c>
      <c r="AU17">
        <v>2.1269999999999998</v>
      </c>
      <c r="AV17">
        <v>2.4209999999999998</v>
      </c>
      <c r="AW17">
        <v>3.0939999999999999</v>
      </c>
      <c r="AX17">
        <v>3.4470000000000001</v>
      </c>
      <c r="AY17">
        <v>2.3290000000000002</v>
      </c>
      <c r="AZ17">
        <v>3.0609999999999999</v>
      </c>
      <c r="BA17">
        <v>4.2619999999999996</v>
      </c>
      <c r="BB17">
        <v>3.8959999999999999</v>
      </c>
      <c r="BC17">
        <v>3.5209999999999999</v>
      </c>
      <c r="BD17">
        <v>3.4609999999999999</v>
      </c>
      <c r="BE17">
        <v>3.444</v>
      </c>
      <c r="BF17">
        <v>3.47</v>
      </c>
      <c r="BG17">
        <v>2020</v>
      </c>
      <c r="BH17">
        <v>2.3290000000000002</v>
      </c>
      <c r="BI17">
        <v>13.055999999999999</v>
      </c>
      <c r="BJ17">
        <v>13.055999999999999</v>
      </c>
      <c r="BK17">
        <v>2020</v>
      </c>
      <c r="BL17">
        <v>17.838541666666668</v>
      </c>
    </row>
    <row r="18" spans="1:64">
      <c r="A18" t="s">
        <v>363</v>
      </c>
      <c r="B18">
        <v>513</v>
      </c>
      <c r="C18" t="s">
        <v>363</v>
      </c>
      <c r="D18" t="s">
        <v>1659</v>
      </c>
      <c r="E18" t="s">
        <v>149</v>
      </c>
      <c r="F18" t="s">
        <v>1660</v>
      </c>
      <c r="G18" t="s">
        <v>1661</v>
      </c>
      <c r="H18" t="s">
        <v>1662</v>
      </c>
      <c r="I18" t="s">
        <v>883</v>
      </c>
      <c r="J18" t="s">
        <v>1678</v>
      </c>
      <c r="K18">
        <v>19.399999999999999</v>
      </c>
      <c r="L18">
        <v>22.5</v>
      </c>
      <c r="M18">
        <v>24.4</v>
      </c>
      <c r="N18">
        <v>27</v>
      </c>
      <c r="O18">
        <v>32.265000000000001</v>
      </c>
      <c r="P18">
        <v>39.104999999999997</v>
      </c>
      <c r="Q18">
        <v>45.14</v>
      </c>
      <c r="R18">
        <v>50.65</v>
      </c>
      <c r="S18">
        <v>56.65</v>
      </c>
      <c r="T18">
        <v>64.454999999999998</v>
      </c>
      <c r="U18">
        <v>123.31100000000001</v>
      </c>
      <c r="V18">
        <v>140.666</v>
      </c>
      <c r="W18">
        <v>149.66800000000001</v>
      </c>
      <c r="X18">
        <v>174.33799999999999</v>
      </c>
      <c r="Y18">
        <v>186.73</v>
      </c>
      <c r="Z18">
        <v>210.42</v>
      </c>
      <c r="AA18">
        <v>176.93700000000001</v>
      </c>
      <c r="AB18">
        <v>196.136</v>
      </c>
      <c r="AC18">
        <v>207.251</v>
      </c>
      <c r="AD18">
        <v>215.80199999999999</v>
      </c>
      <c r="AE18">
        <v>233.51499999999999</v>
      </c>
      <c r="AF18">
        <v>254.43600000000001</v>
      </c>
      <c r="AG18">
        <v>303.10000000000002</v>
      </c>
      <c r="AH18">
        <v>341.91500000000002</v>
      </c>
      <c r="AI18">
        <v>352.49099999999999</v>
      </c>
      <c r="AJ18">
        <v>402.34100000000001</v>
      </c>
      <c r="AK18">
        <v>461.04599999999999</v>
      </c>
      <c r="AL18">
        <v>511.274</v>
      </c>
      <c r="AM18">
        <v>615.66</v>
      </c>
      <c r="AN18">
        <v>666.9</v>
      </c>
      <c r="AO18">
        <v>799.44</v>
      </c>
      <c r="AP18">
        <v>940.16</v>
      </c>
      <c r="AQ18">
        <v>1155.17</v>
      </c>
      <c r="AR18">
        <v>1325.73</v>
      </c>
      <c r="AS18">
        <v>1469.42</v>
      </c>
      <c r="AT18">
        <v>1491.39</v>
      </c>
      <c r="AU18">
        <v>1751.59</v>
      </c>
      <c r="AV18">
        <v>1875.29</v>
      </c>
      <c r="AW18">
        <v>2344.15</v>
      </c>
      <c r="AX18">
        <v>2403.63</v>
      </c>
      <c r="AY18">
        <v>2684.68</v>
      </c>
      <c r="AZ18">
        <v>3304.92</v>
      </c>
      <c r="BA18">
        <v>3737.72</v>
      </c>
      <c r="BB18">
        <v>4234.95</v>
      </c>
      <c r="BC18">
        <v>4768.4399999999996</v>
      </c>
      <c r="BD18">
        <v>5367.98</v>
      </c>
      <c r="BE18">
        <v>6073.77</v>
      </c>
      <c r="BF18">
        <v>6849.83</v>
      </c>
      <c r="BG18">
        <v>2019</v>
      </c>
      <c r="BH18">
        <v>2403.63</v>
      </c>
      <c r="BI18">
        <v>25424.84</v>
      </c>
      <c r="BJ18">
        <v>27393.32</v>
      </c>
      <c r="BK18">
        <v>2020</v>
      </c>
      <c r="BL18">
        <v>9.4538648030823396</v>
      </c>
    </row>
    <row r="19" spans="1:64">
      <c r="A19" t="s">
        <v>566</v>
      </c>
      <c r="B19">
        <v>316</v>
      </c>
      <c r="C19" t="s">
        <v>566</v>
      </c>
      <c r="D19" t="s">
        <v>1659</v>
      </c>
      <c r="E19" t="s">
        <v>237</v>
      </c>
      <c r="F19" t="s">
        <v>1660</v>
      </c>
      <c r="G19" t="s">
        <v>1661</v>
      </c>
      <c r="H19" t="s">
        <v>1662</v>
      </c>
      <c r="I19" t="s">
        <v>883</v>
      </c>
      <c r="J19" t="s">
        <v>1679</v>
      </c>
      <c r="K19" t="s">
        <v>1664</v>
      </c>
      <c r="L19" t="s">
        <v>1664</v>
      </c>
      <c r="M19" t="s">
        <v>1664</v>
      </c>
      <c r="N19" t="s">
        <v>1664</v>
      </c>
      <c r="O19" t="s">
        <v>1664</v>
      </c>
      <c r="P19" t="s">
        <v>1664</v>
      </c>
      <c r="Q19" t="s">
        <v>1664</v>
      </c>
      <c r="R19" t="s">
        <v>1664</v>
      </c>
      <c r="S19" t="s">
        <v>1664</v>
      </c>
      <c r="T19" t="s">
        <v>1664</v>
      </c>
      <c r="U19" t="s">
        <v>1664</v>
      </c>
      <c r="V19" t="s">
        <v>1664</v>
      </c>
      <c r="W19" t="s">
        <v>1664</v>
      </c>
      <c r="X19" t="s">
        <v>1664</v>
      </c>
      <c r="Y19">
        <v>1.0580000000000001</v>
      </c>
      <c r="Z19">
        <v>1.1659999999999999</v>
      </c>
      <c r="AA19">
        <v>1.218</v>
      </c>
      <c r="AB19">
        <v>1.4450000000000001</v>
      </c>
      <c r="AC19">
        <v>1.53</v>
      </c>
      <c r="AD19">
        <v>1.61</v>
      </c>
      <c r="AE19">
        <v>1.7050000000000001</v>
      </c>
      <c r="AF19">
        <v>1.722</v>
      </c>
      <c r="AG19">
        <v>1.732</v>
      </c>
      <c r="AH19">
        <v>1.8620000000000001</v>
      </c>
      <c r="AI19">
        <v>1.9179999999999999</v>
      </c>
      <c r="AJ19">
        <v>2.1619999999999999</v>
      </c>
      <c r="AK19">
        <v>2.2370000000000001</v>
      </c>
      <c r="AL19">
        <v>2.472</v>
      </c>
      <c r="AM19">
        <v>2.597</v>
      </c>
      <c r="AN19">
        <v>2.3239999999999998</v>
      </c>
      <c r="AO19">
        <v>2.2789999999999999</v>
      </c>
      <c r="AP19">
        <v>2.5499999999999998</v>
      </c>
      <c r="AQ19">
        <v>2.4569999999999999</v>
      </c>
      <c r="AR19">
        <v>2.3340000000000001</v>
      </c>
      <c r="AS19">
        <v>2.407</v>
      </c>
      <c r="AT19">
        <v>2.4580000000000002</v>
      </c>
      <c r="AU19">
        <v>2.754</v>
      </c>
      <c r="AV19">
        <v>2.8639999999999999</v>
      </c>
      <c r="AW19">
        <v>2.9940000000000002</v>
      </c>
      <c r="AX19">
        <v>3.1560000000000001</v>
      </c>
      <c r="AY19">
        <v>2.702</v>
      </c>
      <c r="AZ19">
        <v>2.7909999999999999</v>
      </c>
      <c r="BA19">
        <v>3.2080000000000002</v>
      </c>
      <c r="BB19">
        <v>3.4910000000000001</v>
      </c>
      <c r="BC19">
        <v>3.6880000000000002</v>
      </c>
      <c r="BD19">
        <v>3.9049999999999998</v>
      </c>
      <c r="BE19">
        <v>4.07</v>
      </c>
      <c r="BF19">
        <v>4.2350000000000003</v>
      </c>
      <c r="BG19">
        <v>2020</v>
      </c>
      <c r="BH19">
        <v>2.702</v>
      </c>
      <c r="BI19">
        <v>9.3539999999999992</v>
      </c>
      <c r="BJ19">
        <v>10.596</v>
      </c>
      <c r="BK19">
        <v>2019</v>
      </c>
      <c r="BL19">
        <v>28.88603805858456</v>
      </c>
    </row>
    <row r="20" spans="1:64">
      <c r="A20" t="s">
        <v>415</v>
      </c>
      <c r="B20">
        <v>913</v>
      </c>
      <c r="C20" t="s">
        <v>415</v>
      </c>
      <c r="D20" t="s">
        <v>1659</v>
      </c>
      <c r="E20" t="s">
        <v>200</v>
      </c>
      <c r="F20" t="s">
        <v>1660</v>
      </c>
      <c r="G20" t="s">
        <v>1661</v>
      </c>
      <c r="H20" t="s">
        <v>1662</v>
      </c>
      <c r="I20" t="s">
        <v>883</v>
      </c>
      <c r="J20" t="s">
        <v>1680</v>
      </c>
      <c r="K20" t="s">
        <v>1664</v>
      </c>
      <c r="L20" t="s">
        <v>1664</v>
      </c>
      <c r="M20" t="s">
        <v>1664</v>
      </c>
      <c r="N20" t="s">
        <v>1664</v>
      </c>
      <c r="O20" t="s">
        <v>1664</v>
      </c>
      <c r="P20" t="s">
        <v>1664</v>
      </c>
      <c r="Q20" t="s">
        <v>1664</v>
      </c>
      <c r="R20" t="s">
        <v>1664</v>
      </c>
      <c r="S20" t="s">
        <v>1664</v>
      </c>
      <c r="T20" t="s">
        <v>1664</v>
      </c>
      <c r="U20" t="s">
        <v>1664</v>
      </c>
      <c r="V20" t="s">
        <v>1664</v>
      </c>
      <c r="W20" t="s">
        <v>1664</v>
      </c>
      <c r="X20" t="s">
        <v>1664</v>
      </c>
      <c r="Y20" t="s">
        <v>1664</v>
      </c>
      <c r="Z20" t="s">
        <v>1664</v>
      </c>
      <c r="AA20">
        <v>8.0000000000000002E-3</v>
      </c>
      <c r="AB20">
        <v>1.4999999999999999E-2</v>
      </c>
      <c r="AC20">
        <v>3.2000000000000001E-2</v>
      </c>
      <c r="AD20">
        <v>0.13800000000000001</v>
      </c>
      <c r="AE20">
        <v>0.41899999999999998</v>
      </c>
      <c r="AF20">
        <v>0.66900000000000004</v>
      </c>
      <c r="AG20">
        <v>0.97199999999999998</v>
      </c>
      <c r="AH20">
        <v>1.391</v>
      </c>
      <c r="AI20">
        <v>1.909</v>
      </c>
      <c r="AJ20">
        <v>2.5750000000000002</v>
      </c>
      <c r="AK20">
        <v>3.238</v>
      </c>
      <c r="AL20">
        <v>4.1539999999999999</v>
      </c>
      <c r="AM20">
        <v>6.5880000000000001</v>
      </c>
      <c r="AN20">
        <v>6.319</v>
      </c>
      <c r="AO20">
        <v>6.8410000000000002</v>
      </c>
      <c r="AP20">
        <v>11.518000000000001</v>
      </c>
      <c r="AQ20">
        <v>21.495000000000001</v>
      </c>
      <c r="AR20">
        <v>26.713999999999999</v>
      </c>
      <c r="AS20">
        <v>31.367999999999999</v>
      </c>
      <c r="AT20">
        <v>34.890999999999998</v>
      </c>
      <c r="AU20">
        <v>37.052999999999997</v>
      </c>
      <c r="AV20">
        <v>40.93</v>
      </c>
      <c r="AW20">
        <v>48.499000000000002</v>
      </c>
      <c r="AX20">
        <v>51.552999999999997</v>
      </c>
      <c r="AY20">
        <v>52.664000000000001</v>
      </c>
      <c r="AZ20">
        <v>61.268000000000001</v>
      </c>
      <c r="BA20">
        <v>64.602000000000004</v>
      </c>
      <c r="BB20">
        <v>77.191999999999993</v>
      </c>
      <c r="BC20">
        <v>90.013000000000005</v>
      </c>
      <c r="BD20">
        <v>100.229</v>
      </c>
      <c r="BE20">
        <v>106.89</v>
      </c>
      <c r="BF20">
        <v>113.319</v>
      </c>
      <c r="BG20">
        <v>2020</v>
      </c>
      <c r="BH20">
        <v>52.664000000000001</v>
      </c>
      <c r="BI20">
        <v>149.721</v>
      </c>
      <c r="BJ20">
        <v>149.721</v>
      </c>
      <c r="BK20">
        <v>2020</v>
      </c>
      <c r="BL20">
        <v>35.17475838392744</v>
      </c>
    </row>
    <row r="21" spans="1:64">
      <c r="A21" t="s">
        <v>456</v>
      </c>
      <c r="B21">
        <v>124</v>
      </c>
      <c r="C21" t="s">
        <v>456</v>
      </c>
      <c r="D21" t="s">
        <v>1659</v>
      </c>
      <c r="E21" t="s">
        <v>58</v>
      </c>
      <c r="F21" t="s">
        <v>1660</v>
      </c>
      <c r="G21" t="s">
        <v>1661</v>
      </c>
      <c r="H21" t="s">
        <v>1662</v>
      </c>
      <c r="I21" t="s">
        <v>883</v>
      </c>
      <c r="J21" t="s">
        <v>1681</v>
      </c>
      <c r="K21">
        <v>42.289000000000001</v>
      </c>
      <c r="L21">
        <v>44.92</v>
      </c>
      <c r="M21">
        <v>49.896999999999998</v>
      </c>
      <c r="N21">
        <v>53.290999999999997</v>
      </c>
      <c r="O21">
        <v>58.271999999999998</v>
      </c>
      <c r="P21">
        <v>62.076999999999998</v>
      </c>
      <c r="Q21">
        <v>64.049000000000007</v>
      </c>
      <c r="R21">
        <v>66.98</v>
      </c>
      <c r="S21">
        <v>69.718000000000004</v>
      </c>
      <c r="T21">
        <v>72.608999999999995</v>
      </c>
      <c r="U21">
        <v>78.337999999999994</v>
      </c>
      <c r="V21">
        <v>83.069000000000003</v>
      </c>
      <c r="W21">
        <v>86.388999999999996</v>
      </c>
      <c r="X21">
        <v>92.453999999999994</v>
      </c>
      <c r="Y21">
        <v>97.483000000000004</v>
      </c>
      <c r="Z21">
        <v>101.322</v>
      </c>
      <c r="AA21">
        <v>105.107</v>
      </c>
      <c r="AB21">
        <v>110.82</v>
      </c>
      <c r="AC21">
        <v>116.16</v>
      </c>
      <c r="AD21">
        <v>120.78700000000001</v>
      </c>
      <c r="AE21">
        <v>126.443</v>
      </c>
      <c r="AF21">
        <v>131.143</v>
      </c>
      <c r="AG21">
        <v>136.245</v>
      </c>
      <c r="AH21">
        <v>138.303</v>
      </c>
      <c r="AI21">
        <v>145.68</v>
      </c>
      <c r="AJ21">
        <v>152.374</v>
      </c>
      <c r="AK21">
        <v>159.41800000000001</v>
      </c>
      <c r="AL21">
        <v>167.1</v>
      </c>
      <c r="AM21">
        <v>174.74600000000001</v>
      </c>
      <c r="AN21">
        <v>170.637</v>
      </c>
      <c r="AO21">
        <v>180.81</v>
      </c>
      <c r="AP21">
        <v>191.648</v>
      </c>
      <c r="AQ21">
        <v>201.42500000000001</v>
      </c>
      <c r="AR21">
        <v>208.17500000000001</v>
      </c>
      <c r="AS21">
        <v>211.755</v>
      </c>
      <c r="AT21">
        <v>213.79300000000001</v>
      </c>
      <c r="AU21">
        <v>218.28800000000001</v>
      </c>
      <c r="AV21">
        <v>228.517</v>
      </c>
      <c r="AW21">
        <v>236.441</v>
      </c>
      <c r="AX21">
        <v>238.77600000000001</v>
      </c>
      <c r="AY21">
        <v>228.97800000000001</v>
      </c>
      <c r="AZ21">
        <v>250.77099999999999</v>
      </c>
      <c r="BA21">
        <v>265.03699999999998</v>
      </c>
      <c r="BB21">
        <v>276.11099999999999</v>
      </c>
      <c r="BC21">
        <v>285.88</v>
      </c>
      <c r="BD21">
        <v>294.44499999999999</v>
      </c>
      <c r="BE21">
        <v>303.21499999999997</v>
      </c>
      <c r="BF21">
        <v>311.50700000000001</v>
      </c>
      <c r="BG21">
        <v>2020</v>
      </c>
      <c r="BH21">
        <v>228.97800000000001</v>
      </c>
      <c r="BI21">
        <v>456.89400000000001</v>
      </c>
      <c r="BJ21">
        <v>456.89400000000001</v>
      </c>
      <c r="BK21">
        <v>2020</v>
      </c>
      <c r="BL21">
        <v>50.116219516999571</v>
      </c>
    </row>
    <row r="22" spans="1:64">
      <c r="A22" t="s">
        <v>388</v>
      </c>
      <c r="B22">
        <v>339</v>
      </c>
      <c r="C22" t="s">
        <v>388</v>
      </c>
      <c r="D22" t="s">
        <v>1659</v>
      </c>
      <c r="E22" t="s">
        <v>174</v>
      </c>
      <c r="F22" t="s">
        <v>1660</v>
      </c>
      <c r="G22" t="s">
        <v>1661</v>
      </c>
      <c r="H22" t="s">
        <v>1662</v>
      </c>
      <c r="I22" t="s">
        <v>883</v>
      </c>
      <c r="J22" t="s">
        <v>1682</v>
      </c>
      <c r="K22" t="s">
        <v>1664</v>
      </c>
      <c r="L22" t="s">
        <v>1664</v>
      </c>
      <c r="M22" t="s">
        <v>1664</v>
      </c>
      <c r="N22" t="s">
        <v>1664</v>
      </c>
      <c r="O22" t="s">
        <v>1664</v>
      </c>
      <c r="P22" t="s">
        <v>1664</v>
      </c>
      <c r="Q22" t="s">
        <v>1664</v>
      </c>
      <c r="R22" t="s">
        <v>1664</v>
      </c>
      <c r="S22" t="s">
        <v>1664</v>
      </c>
      <c r="T22" t="s">
        <v>1664</v>
      </c>
      <c r="U22" t="s">
        <v>1664</v>
      </c>
      <c r="V22" t="s">
        <v>1664</v>
      </c>
      <c r="W22" t="s">
        <v>1664</v>
      </c>
      <c r="X22" t="s">
        <v>1664</v>
      </c>
      <c r="Y22" t="s">
        <v>1664</v>
      </c>
      <c r="Z22" t="s">
        <v>1664</v>
      </c>
      <c r="AA22">
        <v>0.309</v>
      </c>
      <c r="AB22">
        <v>0.316</v>
      </c>
      <c r="AC22">
        <v>0.33900000000000002</v>
      </c>
      <c r="AD22">
        <v>0.34200000000000003</v>
      </c>
      <c r="AE22">
        <v>0.375</v>
      </c>
      <c r="AF22">
        <v>0.437</v>
      </c>
      <c r="AG22">
        <v>0.47199999999999998</v>
      </c>
      <c r="AH22">
        <v>0.42299999999999999</v>
      </c>
      <c r="AI22">
        <v>0.48099999999999998</v>
      </c>
      <c r="AJ22">
        <v>0.52200000000000002</v>
      </c>
      <c r="AK22">
        <v>0.60099999999999998</v>
      </c>
      <c r="AL22">
        <v>0.746</v>
      </c>
      <c r="AM22">
        <v>0.80100000000000005</v>
      </c>
      <c r="AN22">
        <v>0.69899999999999995</v>
      </c>
      <c r="AO22">
        <v>0.749</v>
      </c>
      <c r="AP22">
        <v>0.82099999999999995</v>
      </c>
      <c r="AQ22">
        <v>0.83699999999999997</v>
      </c>
      <c r="AR22">
        <v>0.92</v>
      </c>
      <c r="AS22">
        <v>0.98799999999999999</v>
      </c>
      <c r="AT22">
        <v>1</v>
      </c>
      <c r="AU22">
        <v>1.0389999999999999</v>
      </c>
      <c r="AV22">
        <v>1.0960000000000001</v>
      </c>
      <c r="AW22">
        <v>1.169</v>
      </c>
      <c r="AX22">
        <v>1.173</v>
      </c>
      <c r="AY22">
        <v>0.96699999999999997</v>
      </c>
      <c r="AZ22">
        <v>1.119</v>
      </c>
      <c r="BA22">
        <v>1.2569999999999999</v>
      </c>
      <c r="BB22">
        <v>1.339</v>
      </c>
      <c r="BC22">
        <v>1.401</v>
      </c>
      <c r="BD22">
        <v>1.456</v>
      </c>
      <c r="BE22">
        <v>1.514</v>
      </c>
      <c r="BF22">
        <v>1.573</v>
      </c>
      <c r="BG22">
        <v>2020</v>
      </c>
      <c r="BH22">
        <v>0.96699999999999997</v>
      </c>
      <c r="BI22">
        <v>3.1709999999999998</v>
      </c>
      <c r="BJ22">
        <v>3.1709999999999998</v>
      </c>
      <c r="BK22">
        <v>2020</v>
      </c>
      <c r="BL22">
        <v>30.495111952065596</v>
      </c>
    </row>
    <row r="23" spans="1:64">
      <c r="A23" t="s">
        <v>340</v>
      </c>
      <c r="B23">
        <v>638</v>
      </c>
      <c r="C23" t="s">
        <v>340</v>
      </c>
      <c r="D23" t="s">
        <v>1659</v>
      </c>
      <c r="E23" t="s">
        <v>126</v>
      </c>
      <c r="F23" t="s">
        <v>1660</v>
      </c>
      <c r="G23" t="s">
        <v>1661</v>
      </c>
      <c r="H23" t="s">
        <v>1662</v>
      </c>
      <c r="I23" t="s">
        <v>883</v>
      </c>
      <c r="J23" t="s">
        <v>1683</v>
      </c>
      <c r="K23" t="s">
        <v>1664</v>
      </c>
      <c r="L23" t="s">
        <v>1664</v>
      </c>
      <c r="M23" t="s">
        <v>1664</v>
      </c>
      <c r="N23" t="s">
        <v>1664</v>
      </c>
      <c r="O23" t="s">
        <v>1664</v>
      </c>
      <c r="P23" t="s">
        <v>1664</v>
      </c>
      <c r="Q23" t="s">
        <v>1664</v>
      </c>
      <c r="R23" t="s">
        <v>1664</v>
      </c>
      <c r="S23" t="s">
        <v>1664</v>
      </c>
      <c r="T23">
        <v>91.466999999999999</v>
      </c>
      <c r="U23">
        <v>79.397000000000006</v>
      </c>
      <c r="V23">
        <v>79.287999999999997</v>
      </c>
      <c r="W23">
        <v>93.266000000000005</v>
      </c>
      <c r="X23">
        <v>101.85</v>
      </c>
      <c r="Y23">
        <v>145.43</v>
      </c>
      <c r="Z23">
        <v>190.40100000000001</v>
      </c>
      <c r="AA23">
        <v>217.44399999999999</v>
      </c>
      <c r="AB23">
        <v>238.16499999999999</v>
      </c>
      <c r="AC23">
        <v>251.84800000000001</v>
      </c>
      <c r="AD23">
        <v>287.22000000000003</v>
      </c>
      <c r="AE23">
        <v>298.72199999999998</v>
      </c>
      <c r="AF23">
        <v>326.99599999999998</v>
      </c>
      <c r="AG23">
        <v>347.82499999999999</v>
      </c>
      <c r="AH23">
        <v>391.28500000000003</v>
      </c>
      <c r="AI23">
        <v>413.09800000000001</v>
      </c>
      <c r="AJ23">
        <v>436.84699999999998</v>
      </c>
      <c r="AK23">
        <v>472.553</v>
      </c>
      <c r="AL23">
        <v>626.82799999999997</v>
      </c>
      <c r="AM23">
        <v>633.34400000000005</v>
      </c>
      <c r="AN23">
        <v>675.81700000000001</v>
      </c>
      <c r="AO23">
        <v>651.1</v>
      </c>
      <c r="AP23">
        <v>692.71400000000006</v>
      </c>
      <c r="AQ23">
        <v>797.51900000000001</v>
      </c>
      <c r="AR23">
        <v>836.43799999999999</v>
      </c>
      <c r="AS23">
        <v>824.77099999999996</v>
      </c>
      <c r="AT23">
        <v>848.31600000000003</v>
      </c>
      <c r="AU23">
        <v>780.32299999999998</v>
      </c>
      <c r="AV23">
        <v>1001.66</v>
      </c>
      <c r="AW23">
        <v>1075.82</v>
      </c>
      <c r="AX23">
        <v>1185.7</v>
      </c>
      <c r="AY23">
        <v>1294.3</v>
      </c>
      <c r="AZ23">
        <v>1386.3</v>
      </c>
      <c r="BA23">
        <v>1518.43</v>
      </c>
      <c r="BB23">
        <v>1683.44</v>
      </c>
      <c r="BC23">
        <v>1833.67</v>
      </c>
      <c r="BD23">
        <v>2010.94</v>
      </c>
      <c r="BE23">
        <v>2205.02</v>
      </c>
      <c r="BF23">
        <v>2409.35</v>
      </c>
      <c r="BG23">
        <v>2021</v>
      </c>
      <c r="BH23">
        <v>1386.3</v>
      </c>
      <c r="BI23">
        <v>9674.09</v>
      </c>
      <c r="BJ23">
        <v>9008.81</v>
      </c>
      <c r="BK23">
        <v>2020</v>
      </c>
      <c r="BL23">
        <v>14.330030007990416</v>
      </c>
    </row>
    <row r="24" spans="1:64">
      <c r="A24" t="s">
        <v>365</v>
      </c>
      <c r="B24">
        <v>514</v>
      </c>
      <c r="C24" t="s">
        <v>365</v>
      </c>
      <c r="D24" t="s">
        <v>1659</v>
      </c>
      <c r="E24" t="s">
        <v>151</v>
      </c>
      <c r="F24" t="s">
        <v>1660</v>
      </c>
      <c r="G24" t="s">
        <v>1661</v>
      </c>
      <c r="H24" t="s">
        <v>1662</v>
      </c>
      <c r="I24" t="s">
        <v>883</v>
      </c>
      <c r="J24" t="s">
        <v>1684</v>
      </c>
      <c r="K24" t="s">
        <v>1664</v>
      </c>
      <c r="L24">
        <v>0.57499999999999996</v>
      </c>
      <c r="M24">
        <v>0.498</v>
      </c>
      <c r="N24">
        <v>0.67600000000000005</v>
      </c>
      <c r="O24">
        <v>0.79</v>
      </c>
      <c r="P24">
        <v>0.97</v>
      </c>
      <c r="Q24">
        <v>1.1220000000000001</v>
      </c>
      <c r="R24">
        <v>1.4470000000000001</v>
      </c>
      <c r="S24">
        <v>1.772</v>
      </c>
      <c r="T24">
        <v>1.62</v>
      </c>
      <c r="U24">
        <v>1.4690000000000001</v>
      </c>
      <c r="V24">
        <v>1.7490000000000001</v>
      </c>
      <c r="W24">
        <v>1.9930000000000001</v>
      </c>
      <c r="X24">
        <v>2.8809999999999998</v>
      </c>
      <c r="Y24">
        <v>3.1230000000000002</v>
      </c>
      <c r="Z24">
        <v>3.65</v>
      </c>
      <c r="AA24">
        <v>4.4909999999999997</v>
      </c>
      <c r="AB24">
        <v>4.6559999999999997</v>
      </c>
      <c r="AC24">
        <v>4.95</v>
      </c>
      <c r="AD24">
        <v>6.9189999999999996</v>
      </c>
      <c r="AE24">
        <v>7.859</v>
      </c>
      <c r="AF24">
        <v>8.3819999999999997</v>
      </c>
      <c r="AG24">
        <v>8.8480000000000008</v>
      </c>
      <c r="AH24">
        <v>7.0540000000000003</v>
      </c>
      <c r="AI24">
        <v>10.445</v>
      </c>
      <c r="AJ24">
        <v>10.500999999999999</v>
      </c>
      <c r="AK24">
        <v>13.452</v>
      </c>
      <c r="AL24">
        <v>16.082999999999998</v>
      </c>
      <c r="AM24">
        <v>18.317</v>
      </c>
      <c r="AN24">
        <v>23.443000000000001</v>
      </c>
      <c r="AO24">
        <v>30.991</v>
      </c>
      <c r="AP24">
        <v>28.172000000000001</v>
      </c>
      <c r="AQ24">
        <v>32.646000000000001</v>
      </c>
      <c r="AR24">
        <v>30.655999999999999</v>
      </c>
      <c r="AS24">
        <v>37.819000000000003</v>
      </c>
      <c r="AT24">
        <v>36.231000000000002</v>
      </c>
      <c r="AU24">
        <v>42.039000000000001</v>
      </c>
      <c r="AV24">
        <v>42.673000000000002</v>
      </c>
      <c r="AW24">
        <v>52.113</v>
      </c>
      <c r="AX24">
        <v>42.033000000000001</v>
      </c>
      <c r="AY24">
        <v>54.603999999999999</v>
      </c>
      <c r="AZ24">
        <v>59.695999999999998</v>
      </c>
      <c r="BA24">
        <v>56.201999999999998</v>
      </c>
      <c r="BB24">
        <v>52.22</v>
      </c>
      <c r="BC24">
        <v>63.771000000000001</v>
      </c>
      <c r="BD24">
        <v>75.793000000000006</v>
      </c>
      <c r="BE24">
        <v>84.405000000000001</v>
      </c>
      <c r="BF24">
        <v>92.861000000000004</v>
      </c>
      <c r="BG24">
        <v>2021</v>
      </c>
      <c r="BH24">
        <v>59.695999999999998</v>
      </c>
      <c r="BI24">
        <v>176.67099999999999</v>
      </c>
      <c r="BJ24">
        <v>176.67099999999999</v>
      </c>
      <c r="BK24">
        <v>2021</v>
      </c>
      <c r="BL24">
        <v>33.789359883625494</v>
      </c>
    </row>
    <row r="25" spans="1:64">
      <c r="A25" t="s">
        <v>371</v>
      </c>
      <c r="B25">
        <v>218</v>
      </c>
      <c r="C25" t="s">
        <v>371</v>
      </c>
      <c r="D25" t="s">
        <v>1659</v>
      </c>
      <c r="E25" t="s">
        <v>157</v>
      </c>
      <c r="F25" t="s">
        <v>1660</v>
      </c>
      <c r="G25" t="s">
        <v>1661</v>
      </c>
      <c r="H25" t="s">
        <v>1662</v>
      </c>
      <c r="I25" t="s">
        <v>883</v>
      </c>
      <c r="J25" t="s">
        <v>1685</v>
      </c>
      <c r="K25" t="s">
        <v>1664</v>
      </c>
      <c r="L25" t="s">
        <v>1686</v>
      </c>
      <c r="M25" t="s">
        <v>1686</v>
      </c>
      <c r="N25" t="s">
        <v>1686</v>
      </c>
      <c r="O25">
        <v>1E-3</v>
      </c>
      <c r="P25">
        <v>0.28399999999999997</v>
      </c>
      <c r="Q25">
        <v>1.486</v>
      </c>
      <c r="R25">
        <v>1.4850000000000001</v>
      </c>
      <c r="S25">
        <v>1.8879999999999999</v>
      </c>
      <c r="T25">
        <v>2.4</v>
      </c>
      <c r="U25">
        <v>2.8380000000000001</v>
      </c>
      <c r="V25">
        <v>3.823</v>
      </c>
      <c r="W25">
        <v>4.5910000000000002</v>
      </c>
      <c r="X25">
        <v>5.1559999999999997</v>
      </c>
      <c r="Y25">
        <v>6.5679999999999996</v>
      </c>
      <c r="Z25">
        <v>7.7249999999999996</v>
      </c>
      <c r="AA25">
        <v>9.0640000000000001</v>
      </c>
      <c r="AB25">
        <v>10.41</v>
      </c>
      <c r="AC25">
        <v>11.646000000000001</v>
      </c>
      <c r="AD25">
        <v>12.292999999999999</v>
      </c>
      <c r="AE25">
        <v>13.287000000000001</v>
      </c>
      <c r="AF25">
        <v>13.52</v>
      </c>
      <c r="AG25">
        <v>13.89</v>
      </c>
      <c r="AH25">
        <v>14.928000000000001</v>
      </c>
      <c r="AI25">
        <v>18.661000000000001</v>
      </c>
      <c r="AJ25">
        <v>23.829000000000001</v>
      </c>
      <c r="AK25">
        <v>31.472999999999999</v>
      </c>
      <c r="AL25">
        <v>35.427999999999997</v>
      </c>
      <c r="AM25">
        <v>46.953000000000003</v>
      </c>
      <c r="AN25">
        <v>43.619</v>
      </c>
      <c r="AO25">
        <v>45.726999999999997</v>
      </c>
      <c r="AP25">
        <v>60.155000000000001</v>
      </c>
      <c r="AQ25">
        <v>70.734999999999999</v>
      </c>
      <c r="AR25">
        <v>82.808999999999997</v>
      </c>
      <c r="AS25">
        <v>90.957999999999998</v>
      </c>
      <c r="AT25">
        <v>85.936000000000007</v>
      </c>
      <c r="AU25">
        <v>76.659000000000006</v>
      </c>
      <c r="AV25">
        <v>79.760999999999996</v>
      </c>
      <c r="AW25">
        <v>80.596000000000004</v>
      </c>
      <c r="AX25">
        <v>81.512</v>
      </c>
      <c r="AY25">
        <v>63.935000000000002</v>
      </c>
      <c r="AZ25">
        <v>72.774000000000001</v>
      </c>
      <c r="BA25">
        <v>90.91</v>
      </c>
      <c r="BB25">
        <v>99.475999999999999</v>
      </c>
      <c r="BC25">
        <v>103.539</v>
      </c>
      <c r="BD25">
        <v>107.65</v>
      </c>
      <c r="BE25">
        <v>113.55200000000001</v>
      </c>
      <c r="BF25">
        <v>120.202</v>
      </c>
      <c r="BG25">
        <v>2020</v>
      </c>
      <c r="BH25">
        <v>63.935000000000002</v>
      </c>
      <c r="BI25">
        <v>253.11199999999999</v>
      </c>
      <c r="BJ25">
        <v>253.11199999999999</v>
      </c>
      <c r="BK25">
        <v>2020</v>
      </c>
      <c r="BL25">
        <v>25.259568886500837</v>
      </c>
    </row>
    <row r="26" spans="1:64">
      <c r="A26" t="s">
        <v>413</v>
      </c>
      <c r="B26">
        <v>963</v>
      </c>
      <c r="C26" t="s">
        <v>413</v>
      </c>
      <c r="D26" t="s">
        <v>1659</v>
      </c>
      <c r="E26" t="s">
        <v>198</v>
      </c>
      <c r="F26" t="s">
        <v>1660</v>
      </c>
      <c r="G26" t="s">
        <v>1661</v>
      </c>
      <c r="H26" t="s">
        <v>1662</v>
      </c>
      <c r="I26" t="s">
        <v>883</v>
      </c>
      <c r="J26" t="s">
        <v>1687</v>
      </c>
      <c r="K26" t="s">
        <v>1664</v>
      </c>
      <c r="L26" t="s">
        <v>1664</v>
      </c>
      <c r="M26" t="s">
        <v>1664</v>
      </c>
      <c r="N26" t="s">
        <v>1664</v>
      </c>
      <c r="O26" t="s">
        <v>1664</v>
      </c>
      <c r="P26" t="s">
        <v>1664</v>
      </c>
      <c r="Q26" t="s">
        <v>1664</v>
      </c>
      <c r="R26" t="s">
        <v>1664</v>
      </c>
      <c r="S26" t="s">
        <v>1664</v>
      </c>
      <c r="T26" t="s">
        <v>1664</v>
      </c>
      <c r="U26" t="s">
        <v>1664</v>
      </c>
      <c r="V26" t="s">
        <v>1664</v>
      </c>
      <c r="W26" t="s">
        <v>1664</v>
      </c>
      <c r="X26" t="s">
        <v>1664</v>
      </c>
      <c r="Y26" t="s">
        <v>1664</v>
      </c>
      <c r="Z26" t="s">
        <v>1664</v>
      </c>
      <c r="AA26" t="s">
        <v>1664</v>
      </c>
      <c r="AB26" t="s">
        <v>1664</v>
      </c>
      <c r="AC26">
        <v>4.9269999999999996</v>
      </c>
      <c r="AD26">
        <v>5.7850000000000001</v>
      </c>
      <c r="AE26">
        <v>6.0919999999999996</v>
      </c>
      <c r="AF26">
        <v>5.9279999999999999</v>
      </c>
      <c r="AG26">
        <v>6.2149999999999999</v>
      </c>
      <c r="AH26">
        <v>6.899</v>
      </c>
      <c r="AI26">
        <v>7.2649999999999997</v>
      </c>
      <c r="AJ26">
        <v>7.9909999999999997</v>
      </c>
      <c r="AK26">
        <v>9.2889999999999997</v>
      </c>
      <c r="AL26">
        <v>10.231</v>
      </c>
      <c r="AM26">
        <v>11.371</v>
      </c>
      <c r="AN26">
        <v>10.82</v>
      </c>
      <c r="AO26">
        <v>11.319000000000001</v>
      </c>
      <c r="AP26">
        <v>11.451000000000001</v>
      </c>
      <c r="AQ26">
        <v>11.587999999999999</v>
      </c>
      <c r="AR26">
        <v>11.564</v>
      </c>
      <c r="AS26">
        <v>11.849</v>
      </c>
      <c r="AT26">
        <v>12.292999999999999</v>
      </c>
      <c r="AU26">
        <v>12.65</v>
      </c>
      <c r="AV26">
        <v>13.284000000000001</v>
      </c>
      <c r="AW26">
        <v>14.273999999999999</v>
      </c>
      <c r="AX26">
        <v>14.773999999999999</v>
      </c>
      <c r="AY26">
        <v>14.138999999999999</v>
      </c>
      <c r="AZ26">
        <v>15.694000000000001</v>
      </c>
      <c r="BA26">
        <v>17.026</v>
      </c>
      <c r="BB26">
        <v>17.952000000000002</v>
      </c>
      <c r="BC26">
        <v>18.934000000000001</v>
      </c>
      <c r="BD26">
        <v>19.946000000000002</v>
      </c>
      <c r="BE26">
        <v>21.068000000000001</v>
      </c>
      <c r="BF26">
        <v>22.184000000000001</v>
      </c>
      <c r="BG26">
        <v>2020</v>
      </c>
      <c r="BH26">
        <v>14.138999999999999</v>
      </c>
      <c r="BI26">
        <v>34.255000000000003</v>
      </c>
      <c r="BJ26">
        <v>34.255000000000003</v>
      </c>
      <c r="BK26">
        <v>2020</v>
      </c>
      <c r="BL26">
        <v>41.275726171361839</v>
      </c>
    </row>
    <row r="27" spans="1:64">
      <c r="A27" t="s">
        <v>414</v>
      </c>
      <c r="B27">
        <v>616</v>
      </c>
      <c r="C27" t="s">
        <v>414</v>
      </c>
      <c r="D27" t="s">
        <v>1659</v>
      </c>
      <c r="E27" t="s">
        <v>199</v>
      </c>
      <c r="F27" t="s">
        <v>1660</v>
      </c>
      <c r="G27" t="s">
        <v>1661</v>
      </c>
      <c r="H27" t="s">
        <v>1662</v>
      </c>
      <c r="I27" t="s">
        <v>883</v>
      </c>
      <c r="J27" t="s">
        <v>1688</v>
      </c>
      <c r="K27" t="s">
        <v>1664</v>
      </c>
      <c r="L27" t="s">
        <v>1664</v>
      </c>
      <c r="M27" t="s">
        <v>1664</v>
      </c>
      <c r="N27" t="s">
        <v>1664</v>
      </c>
      <c r="O27" t="s">
        <v>1664</v>
      </c>
      <c r="P27" t="s">
        <v>1664</v>
      </c>
      <c r="Q27" t="s">
        <v>1664</v>
      </c>
      <c r="R27" t="s">
        <v>1664</v>
      </c>
      <c r="S27" t="s">
        <v>1664</v>
      </c>
      <c r="T27" t="s">
        <v>1664</v>
      </c>
      <c r="U27" t="s">
        <v>1664</v>
      </c>
      <c r="V27" t="s">
        <v>1664</v>
      </c>
      <c r="W27" t="s">
        <v>1664</v>
      </c>
      <c r="X27" t="s">
        <v>1664</v>
      </c>
      <c r="Y27" t="s">
        <v>1664</v>
      </c>
      <c r="Z27" t="s">
        <v>1664</v>
      </c>
      <c r="AA27" t="s">
        <v>1664</v>
      </c>
      <c r="AB27" t="s">
        <v>1664</v>
      </c>
      <c r="AC27" t="s">
        <v>1664</v>
      </c>
      <c r="AD27" t="s">
        <v>1664</v>
      </c>
      <c r="AE27">
        <v>14.131</v>
      </c>
      <c r="AF27">
        <v>12.725</v>
      </c>
      <c r="AG27">
        <v>14.337</v>
      </c>
      <c r="AH27">
        <v>16.209</v>
      </c>
      <c r="AI27">
        <v>17.97</v>
      </c>
      <c r="AJ27">
        <v>23.021000000000001</v>
      </c>
      <c r="AK27">
        <v>27.669</v>
      </c>
      <c r="AL27">
        <v>28.661999999999999</v>
      </c>
      <c r="AM27">
        <v>29.588999999999999</v>
      </c>
      <c r="AN27">
        <v>29.05</v>
      </c>
      <c r="AO27">
        <v>31.244</v>
      </c>
      <c r="AP27">
        <v>38.546999999999997</v>
      </c>
      <c r="AQ27">
        <v>41.709000000000003</v>
      </c>
      <c r="AR27">
        <v>49.006</v>
      </c>
      <c r="AS27">
        <v>55.957999999999998</v>
      </c>
      <c r="AT27">
        <v>47.473999999999997</v>
      </c>
      <c r="AU27">
        <v>57.453000000000003</v>
      </c>
      <c r="AV27">
        <v>56.468000000000004</v>
      </c>
      <c r="AW27">
        <v>53.537999999999997</v>
      </c>
      <c r="AX27">
        <v>50.267000000000003</v>
      </c>
      <c r="AY27">
        <v>46.262999999999998</v>
      </c>
      <c r="AZ27">
        <v>62.475999999999999</v>
      </c>
      <c r="BA27">
        <v>67.959999999999994</v>
      </c>
      <c r="BB27">
        <v>77.881</v>
      </c>
      <c r="BC27">
        <v>82.063999999999993</v>
      </c>
      <c r="BD27">
        <v>88.486999999999995</v>
      </c>
      <c r="BE27">
        <v>93.820999999999998</v>
      </c>
      <c r="BF27">
        <v>99.548000000000002</v>
      </c>
      <c r="BG27">
        <v>2021</v>
      </c>
      <c r="BH27">
        <v>62.475999999999999</v>
      </c>
      <c r="BI27">
        <v>197.398</v>
      </c>
      <c r="BJ27">
        <v>171.042</v>
      </c>
      <c r="BK27">
        <v>2020</v>
      </c>
      <c r="BL27">
        <v>31.649763422121808</v>
      </c>
    </row>
    <row r="28" spans="1:64">
      <c r="A28" t="s">
        <v>419</v>
      </c>
      <c r="B28">
        <v>223</v>
      </c>
      <c r="C28" t="s">
        <v>419</v>
      </c>
      <c r="D28" t="s">
        <v>1659</v>
      </c>
      <c r="E28" t="s">
        <v>204</v>
      </c>
      <c r="F28" t="s">
        <v>1660</v>
      </c>
      <c r="G28" t="s">
        <v>1661</v>
      </c>
      <c r="H28" t="s">
        <v>1662</v>
      </c>
      <c r="I28" t="s">
        <v>883</v>
      </c>
      <c r="J28" t="s">
        <v>1689</v>
      </c>
      <c r="K28" t="s">
        <v>1664</v>
      </c>
      <c r="L28" t="s">
        <v>1664</v>
      </c>
      <c r="M28" t="s">
        <v>1664</v>
      </c>
      <c r="N28" t="s">
        <v>1664</v>
      </c>
      <c r="O28" t="s">
        <v>1664</v>
      </c>
      <c r="P28" t="s">
        <v>1664</v>
      </c>
      <c r="Q28" t="s">
        <v>1664</v>
      </c>
      <c r="R28" t="s">
        <v>1664</v>
      </c>
      <c r="S28" t="s">
        <v>1664</v>
      </c>
      <c r="T28" t="s">
        <v>1664</v>
      </c>
      <c r="U28" t="s">
        <v>1664</v>
      </c>
      <c r="V28" t="s">
        <v>1664</v>
      </c>
      <c r="W28" t="s">
        <v>1664</v>
      </c>
      <c r="X28" t="s">
        <v>1664</v>
      </c>
      <c r="Y28" t="s">
        <v>1664</v>
      </c>
      <c r="Z28" t="s">
        <v>1664</v>
      </c>
      <c r="AA28">
        <v>281.24400000000003</v>
      </c>
      <c r="AB28">
        <v>314.161</v>
      </c>
      <c r="AC28">
        <v>337.59</v>
      </c>
      <c r="AD28">
        <v>374.32600000000002</v>
      </c>
      <c r="AE28">
        <v>373.66399999999999</v>
      </c>
      <c r="AF28">
        <v>435.00700000000001</v>
      </c>
      <c r="AG28">
        <v>513.58199999999999</v>
      </c>
      <c r="AH28">
        <v>615.28200000000004</v>
      </c>
      <c r="AI28">
        <v>690.98</v>
      </c>
      <c r="AJ28">
        <v>786.26099999999997</v>
      </c>
      <c r="AK28">
        <v>858.39</v>
      </c>
      <c r="AL28">
        <v>948.88099999999997</v>
      </c>
      <c r="AM28">
        <v>1115.75</v>
      </c>
      <c r="AN28">
        <v>1130.33</v>
      </c>
      <c r="AO28">
        <v>1401.6</v>
      </c>
      <c r="AP28">
        <v>1536.49</v>
      </c>
      <c r="AQ28">
        <v>1671.12</v>
      </c>
      <c r="AR28">
        <v>1838.93</v>
      </c>
      <c r="AS28">
        <v>1877.92</v>
      </c>
      <c r="AT28">
        <v>1693.41</v>
      </c>
      <c r="AU28">
        <v>1922.21</v>
      </c>
      <c r="AV28">
        <v>2005.55</v>
      </c>
      <c r="AW28">
        <v>2148.44</v>
      </c>
      <c r="AX28">
        <v>2326.8000000000002</v>
      </c>
      <c r="AY28">
        <v>2205.5500000000002</v>
      </c>
      <c r="AZ28">
        <v>2736.24</v>
      </c>
      <c r="BA28">
        <v>2923.69</v>
      </c>
      <c r="BB28">
        <v>3117.81</v>
      </c>
      <c r="BC28">
        <v>3251.23</v>
      </c>
      <c r="BD28">
        <v>3391.11</v>
      </c>
      <c r="BE28">
        <v>3546.24</v>
      </c>
      <c r="BF28">
        <v>3666.05</v>
      </c>
      <c r="BG28">
        <v>2020</v>
      </c>
      <c r="BH28">
        <v>2205.5500000000002</v>
      </c>
      <c r="BI28">
        <v>7467.62</v>
      </c>
      <c r="BJ28">
        <v>7467.62</v>
      </c>
      <c r="BK28">
        <v>2020</v>
      </c>
      <c r="BL28">
        <v>29.534845104598258</v>
      </c>
    </row>
    <row r="29" spans="1:64">
      <c r="A29" t="s">
        <v>567</v>
      </c>
      <c r="B29">
        <v>516</v>
      </c>
      <c r="C29" t="s">
        <v>567</v>
      </c>
      <c r="D29" t="s">
        <v>1659</v>
      </c>
      <c r="E29" t="s">
        <v>253</v>
      </c>
      <c r="F29" t="s">
        <v>1660</v>
      </c>
      <c r="G29" t="s">
        <v>1661</v>
      </c>
      <c r="H29" t="s">
        <v>1662</v>
      </c>
      <c r="I29" t="s">
        <v>883</v>
      </c>
      <c r="J29" t="s">
        <v>1690</v>
      </c>
      <c r="K29">
        <v>6.266</v>
      </c>
      <c r="L29">
        <v>8.4550000000000001</v>
      </c>
      <c r="M29">
        <v>7.8719999999999999</v>
      </c>
      <c r="N29">
        <v>7.7530000000000001</v>
      </c>
      <c r="O29">
        <v>7.3449999999999998</v>
      </c>
      <c r="P29">
        <v>7.5330000000000004</v>
      </c>
      <c r="Q29">
        <v>3.3319999999999999</v>
      </c>
      <c r="R29">
        <v>2.75</v>
      </c>
      <c r="S29">
        <v>2.4860000000000002</v>
      </c>
      <c r="T29">
        <v>2.5259999999999998</v>
      </c>
      <c r="U29">
        <v>2.706</v>
      </c>
      <c r="V29">
        <v>2.6859999999999999</v>
      </c>
      <c r="W29">
        <v>2.3250000000000002</v>
      </c>
      <c r="X29">
        <v>2.274</v>
      </c>
      <c r="Y29">
        <v>2.246</v>
      </c>
      <c r="Z29">
        <v>2.4510000000000001</v>
      </c>
      <c r="AA29">
        <v>2.859</v>
      </c>
      <c r="AB29">
        <v>2.843</v>
      </c>
      <c r="AC29">
        <v>1.9159999999999999</v>
      </c>
      <c r="AD29">
        <v>2.536</v>
      </c>
      <c r="AE29">
        <v>5.0839999999999996</v>
      </c>
      <c r="AF29">
        <v>4.2320000000000002</v>
      </c>
      <c r="AG29">
        <v>4.2679999999999998</v>
      </c>
      <c r="AH29">
        <v>4.93</v>
      </c>
      <c r="AI29">
        <v>6.1509999999999998</v>
      </c>
      <c r="AJ29">
        <v>7.9210000000000003</v>
      </c>
      <c r="AK29">
        <v>9.6470000000000002</v>
      </c>
      <c r="AL29">
        <v>6.6360000000000001</v>
      </c>
      <c r="AM29">
        <v>14.31</v>
      </c>
      <c r="AN29">
        <v>6.65</v>
      </c>
      <c r="AO29">
        <v>8.1839999999999993</v>
      </c>
      <c r="AP29">
        <v>12.896000000000001</v>
      </c>
      <c r="AQ29">
        <v>11.134</v>
      </c>
      <c r="AR29">
        <v>10.551</v>
      </c>
      <c r="AS29">
        <v>8.1590000000000007</v>
      </c>
      <c r="AT29">
        <v>4.2939999999999996</v>
      </c>
      <c r="AU29">
        <v>2.7829999999999999</v>
      </c>
      <c r="AV29">
        <v>4.3849999999999998</v>
      </c>
      <c r="AW29">
        <v>5.2279999999999998</v>
      </c>
      <c r="AX29">
        <v>4.1870000000000003</v>
      </c>
      <c r="AY29">
        <v>2.8919999999999999</v>
      </c>
      <c r="AZ29">
        <v>5.6849999999999996</v>
      </c>
      <c r="BA29">
        <v>15.782999999999999</v>
      </c>
      <c r="BB29">
        <v>9.9809999999999999</v>
      </c>
      <c r="BC29">
        <v>6.4530000000000003</v>
      </c>
      <c r="BD29">
        <v>5.3630000000000004</v>
      </c>
      <c r="BE29">
        <v>4.91</v>
      </c>
      <c r="BF29">
        <v>4.7119999999999997</v>
      </c>
      <c r="BG29">
        <v>2020</v>
      </c>
      <c r="BH29">
        <v>2.8919999999999999</v>
      </c>
      <c r="BI29">
        <v>16.561</v>
      </c>
      <c r="BJ29">
        <v>16.561</v>
      </c>
      <c r="BK29">
        <v>2020</v>
      </c>
      <c r="BL29">
        <v>17.462713604250951</v>
      </c>
    </row>
    <row r="30" spans="1:64">
      <c r="A30" t="s">
        <v>435</v>
      </c>
      <c r="B30">
        <v>918</v>
      </c>
      <c r="C30" t="s">
        <v>435</v>
      </c>
      <c r="D30" t="s">
        <v>1659</v>
      </c>
      <c r="E30" t="s">
        <v>220</v>
      </c>
      <c r="F30" t="s">
        <v>1660</v>
      </c>
      <c r="G30" t="s">
        <v>1661</v>
      </c>
      <c r="H30" t="s">
        <v>1662</v>
      </c>
      <c r="I30" t="s">
        <v>883</v>
      </c>
      <c r="J30" t="s">
        <v>1691</v>
      </c>
      <c r="K30" t="s">
        <v>1664</v>
      </c>
      <c r="L30" t="s">
        <v>1664</v>
      </c>
      <c r="M30" t="s">
        <v>1664</v>
      </c>
      <c r="N30" t="s">
        <v>1664</v>
      </c>
      <c r="O30" t="s">
        <v>1664</v>
      </c>
      <c r="P30" t="s">
        <v>1664</v>
      </c>
      <c r="Q30" t="s">
        <v>1664</v>
      </c>
      <c r="R30" t="s">
        <v>1664</v>
      </c>
      <c r="S30" t="s">
        <v>1664</v>
      </c>
      <c r="T30" t="s">
        <v>1664</v>
      </c>
      <c r="U30" t="s">
        <v>1664</v>
      </c>
      <c r="V30" t="s">
        <v>1664</v>
      </c>
      <c r="W30" t="s">
        <v>1664</v>
      </c>
      <c r="X30" t="s">
        <v>1664</v>
      </c>
      <c r="Y30" t="s">
        <v>1664</v>
      </c>
      <c r="Z30" t="s">
        <v>1664</v>
      </c>
      <c r="AA30" t="s">
        <v>1664</v>
      </c>
      <c r="AB30" t="s">
        <v>1664</v>
      </c>
      <c r="AC30">
        <v>8.3849999999999998</v>
      </c>
      <c r="AD30">
        <v>9.0920000000000005</v>
      </c>
      <c r="AE30">
        <v>10.273</v>
      </c>
      <c r="AF30">
        <v>11.122999999999999</v>
      </c>
      <c r="AG30">
        <v>11.74</v>
      </c>
      <c r="AH30">
        <v>13.103999999999999</v>
      </c>
      <c r="AI30">
        <v>14.916</v>
      </c>
      <c r="AJ30">
        <v>17.03</v>
      </c>
      <c r="AK30">
        <v>19.149999999999999</v>
      </c>
      <c r="AL30">
        <v>22.984999999999999</v>
      </c>
      <c r="AM30">
        <v>26.359000000000002</v>
      </c>
      <c r="AN30">
        <v>24.088000000000001</v>
      </c>
      <c r="AO30">
        <v>23.053999999999998</v>
      </c>
      <c r="AP30">
        <v>24.434999999999999</v>
      </c>
      <c r="AQ30">
        <v>26.515999999999998</v>
      </c>
      <c r="AR30">
        <v>27.734999999999999</v>
      </c>
      <c r="AS30">
        <v>28.129000000000001</v>
      </c>
      <c r="AT30">
        <v>30.951000000000001</v>
      </c>
      <c r="AU30">
        <v>32.670999999999999</v>
      </c>
      <c r="AV30">
        <v>33.732999999999997</v>
      </c>
      <c r="AW30">
        <v>37.865000000000002</v>
      </c>
      <c r="AX30">
        <v>42.012999999999998</v>
      </c>
      <c r="AY30">
        <v>42.027999999999999</v>
      </c>
      <c r="AZ30">
        <v>49.744999999999997</v>
      </c>
      <c r="BA30">
        <v>56.915999999999997</v>
      </c>
      <c r="BB30">
        <v>62.387999999999998</v>
      </c>
      <c r="BC30">
        <v>66.067999999999998</v>
      </c>
      <c r="BD30">
        <v>70.097999999999999</v>
      </c>
      <c r="BE30">
        <v>72.605000000000004</v>
      </c>
      <c r="BF30">
        <v>75.433000000000007</v>
      </c>
      <c r="BG30">
        <v>2021</v>
      </c>
      <c r="BH30">
        <v>49.744999999999997</v>
      </c>
      <c r="BI30">
        <v>132.744</v>
      </c>
      <c r="BJ30">
        <v>132.744</v>
      </c>
      <c r="BK30">
        <v>2021</v>
      </c>
      <c r="BL30">
        <v>37.474386789610072</v>
      </c>
    </row>
    <row r="31" spans="1:64">
      <c r="A31" t="s">
        <v>325</v>
      </c>
      <c r="B31">
        <v>748</v>
      </c>
      <c r="C31" t="s">
        <v>325</v>
      </c>
      <c r="D31" t="s">
        <v>1659</v>
      </c>
      <c r="E31" t="s">
        <v>112</v>
      </c>
      <c r="F31" t="s">
        <v>1660</v>
      </c>
      <c r="G31" t="s">
        <v>1661</v>
      </c>
      <c r="H31" t="s">
        <v>1662</v>
      </c>
      <c r="I31" t="s">
        <v>883</v>
      </c>
      <c r="J31" t="s">
        <v>1692</v>
      </c>
      <c r="K31" t="s">
        <v>1664</v>
      </c>
      <c r="L31" t="s">
        <v>1664</v>
      </c>
      <c r="M31" t="s">
        <v>1664</v>
      </c>
      <c r="N31" t="s">
        <v>1664</v>
      </c>
      <c r="O31" t="s">
        <v>1664</v>
      </c>
      <c r="P31">
        <v>80.45</v>
      </c>
      <c r="Q31">
        <v>88.91</v>
      </c>
      <c r="R31">
        <v>111.84</v>
      </c>
      <c r="S31">
        <v>104.16</v>
      </c>
      <c r="T31">
        <v>151.53800000000001</v>
      </c>
      <c r="U31">
        <v>103.38500000000001</v>
      </c>
      <c r="V31">
        <v>141.21700000000001</v>
      </c>
      <c r="W31">
        <v>142.304</v>
      </c>
      <c r="X31">
        <v>143.20699999999999</v>
      </c>
      <c r="Y31">
        <v>188.68</v>
      </c>
      <c r="Z31">
        <v>224.285</v>
      </c>
      <c r="AA31">
        <v>269.14499999999998</v>
      </c>
      <c r="AB31">
        <v>279.30700000000002</v>
      </c>
      <c r="AC31">
        <v>319.04599999999999</v>
      </c>
      <c r="AD31">
        <v>377.75400000000002</v>
      </c>
      <c r="AE31">
        <v>354.15600000000001</v>
      </c>
      <c r="AF31">
        <v>376.25</v>
      </c>
      <c r="AG31">
        <v>377.78199999999998</v>
      </c>
      <c r="AH31">
        <v>434.60199999999998</v>
      </c>
      <c r="AI31">
        <v>461.79599999999999</v>
      </c>
      <c r="AJ31">
        <v>496.71899999999999</v>
      </c>
      <c r="AK31">
        <v>1239.05</v>
      </c>
      <c r="AL31">
        <v>650.54700000000003</v>
      </c>
      <c r="AM31">
        <v>630.75199999999995</v>
      </c>
      <c r="AN31">
        <v>771.524</v>
      </c>
      <c r="AO31">
        <v>880.21900000000005</v>
      </c>
      <c r="AP31">
        <v>1047.29</v>
      </c>
      <c r="AQ31">
        <v>1276.51</v>
      </c>
      <c r="AR31">
        <v>1441.75</v>
      </c>
      <c r="AS31">
        <v>1321.15</v>
      </c>
      <c r="AT31">
        <v>1277.98</v>
      </c>
      <c r="AU31">
        <v>1410.7</v>
      </c>
      <c r="AV31">
        <v>1583.58</v>
      </c>
      <c r="AW31">
        <v>1745.87</v>
      </c>
      <c r="AX31">
        <v>1881.97</v>
      </c>
      <c r="AY31">
        <v>1975.34</v>
      </c>
      <c r="AZ31">
        <v>2007.11</v>
      </c>
      <c r="BA31">
        <v>2132.87</v>
      </c>
      <c r="BB31">
        <v>2314.0700000000002</v>
      </c>
      <c r="BC31">
        <v>2516.23</v>
      </c>
      <c r="BD31">
        <v>2734.12</v>
      </c>
      <c r="BE31">
        <v>2971.33</v>
      </c>
      <c r="BF31">
        <v>3262.85</v>
      </c>
      <c r="BG31">
        <v>2020</v>
      </c>
      <c r="BH31">
        <v>1975.34</v>
      </c>
      <c r="BI31">
        <v>9988.3700000000008</v>
      </c>
      <c r="BJ31">
        <v>9988.3700000000008</v>
      </c>
      <c r="BK31">
        <v>2020</v>
      </c>
      <c r="BL31">
        <v>19.776399953145507</v>
      </c>
    </row>
    <row r="32" spans="1:64">
      <c r="A32" t="s">
        <v>305</v>
      </c>
      <c r="B32">
        <v>618</v>
      </c>
      <c r="C32" t="s">
        <v>305</v>
      </c>
      <c r="D32" t="s">
        <v>1659</v>
      </c>
      <c r="E32" t="s">
        <v>93</v>
      </c>
      <c r="F32" t="s">
        <v>1660</v>
      </c>
      <c r="G32" t="s">
        <v>1661</v>
      </c>
      <c r="H32" t="s">
        <v>1662</v>
      </c>
      <c r="I32" t="s">
        <v>883</v>
      </c>
      <c r="J32" t="s">
        <v>1693</v>
      </c>
      <c r="K32" t="s">
        <v>1664</v>
      </c>
      <c r="L32" t="s">
        <v>1664</v>
      </c>
      <c r="M32" t="s">
        <v>1664</v>
      </c>
      <c r="N32" t="s">
        <v>1664</v>
      </c>
      <c r="O32" t="s">
        <v>1664</v>
      </c>
      <c r="P32" t="s">
        <v>1664</v>
      </c>
      <c r="Q32" t="s">
        <v>1664</v>
      </c>
      <c r="R32" t="s">
        <v>1664</v>
      </c>
      <c r="S32" t="s">
        <v>1664</v>
      </c>
      <c r="T32" t="s">
        <v>1664</v>
      </c>
      <c r="U32">
        <v>57.588000000000001</v>
      </c>
      <c r="V32">
        <v>57.588000000000001</v>
      </c>
      <c r="W32">
        <v>57.588000000000001</v>
      </c>
      <c r="X32">
        <v>60.445999999999998</v>
      </c>
      <c r="Y32">
        <v>47.88</v>
      </c>
      <c r="Z32">
        <v>53.476999999999997</v>
      </c>
      <c r="AA32">
        <v>48.432000000000002</v>
      </c>
      <c r="AB32">
        <v>57</v>
      </c>
      <c r="AC32">
        <v>72.17</v>
      </c>
      <c r="AD32">
        <v>85.143000000000001</v>
      </c>
      <c r="AE32">
        <v>114.23099999999999</v>
      </c>
      <c r="AF32">
        <v>121.432</v>
      </c>
      <c r="AG32">
        <v>143.55000000000001</v>
      </c>
      <c r="AH32">
        <v>184.571</v>
      </c>
      <c r="AI32">
        <v>255.33799999999999</v>
      </c>
      <c r="AJ32">
        <v>272.90300000000002</v>
      </c>
      <c r="AK32">
        <v>347.77699999999999</v>
      </c>
      <c r="AL32">
        <v>534.87599999999998</v>
      </c>
      <c r="AM32">
        <v>734.99400000000003</v>
      </c>
      <c r="AN32">
        <v>717.34900000000005</v>
      </c>
      <c r="AO32">
        <v>930.55899999999997</v>
      </c>
      <c r="AP32">
        <v>1091.04</v>
      </c>
      <c r="AQ32">
        <v>1135.97</v>
      </c>
      <c r="AR32">
        <v>1253.18</v>
      </c>
      <c r="AS32">
        <v>1026.56</v>
      </c>
      <c r="AT32">
        <v>761.66800000000001</v>
      </c>
      <c r="AU32">
        <v>757.23400000000004</v>
      </c>
      <c r="AV32">
        <v>1046.94</v>
      </c>
      <c r="AW32">
        <v>1048.23</v>
      </c>
      <c r="AX32">
        <v>1244</v>
      </c>
      <c r="AY32">
        <v>1320.17</v>
      </c>
      <c r="AZ32">
        <v>1555.63</v>
      </c>
      <c r="BA32">
        <v>2321.5100000000002</v>
      </c>
      <c r="BB32">
        <v>2560.6</v>
      </c>
      <c r="BC32">
        <v>2665.79</v>
      </c>
      <c r="BD32">
        <v>2978.36</v>
      </c>
      <c r="BE32">
        <v>3302.99</v>
      </c>
      <c r="BF32">
        <v>3540.69</v>
      </c>
      <c r="BG32">
        <v>2020</v>
      </c>
      <c r="BH32">
        <v>1320.17</v>
      </c>
      <c r="BI32">
        <v>5910.57</v>
      </c>
      <c r="BJ32">
        <v>5559.59</v>
      </c>
      <c r="BK32">
        <v>2019</v>
      </c>
      <c r="BL32">
        <v>22.335747652087704</v>
      </c>
    </row>
    <row r="33" spans="1:64">
      <c r="A33" t="s">
        <v>369</v>
      </c>
      <c r="B33">
        <v>624</v>
      </c>
      <c r="C33" t="s">
        <v>369</v>
      </c>
      <c r="D33" t="s">
        <v>1659</v>
      </c>
      <c r="E33" t="s">
        <v>155</v>
      </c>
      <c r="F33" t="s">
        <v>1660</v>
      </c>
      <c r="G33" t="s">
        <v>1661</v>
      </c>
      <c r="H33" t="s">
        <v>1662</v>
      </c>
      <c r="I33" t="s">
        <v>883</v>
      </c>
      <c r="J33" t="s">
        <v>1694</v>
      </c>
      <c r="K33" t="s">
        <v>1664</v>
      </c>
      <c r="L33" t="s">
        <v>1664</v>
      </c>
      <c r="M33" t="s">
        <v>1664</v>
      </c>
      <c r="N33" t="s">
        <v>1664</v>
      </c>
      <c r="O33" t="s">
        <v>1664</v>
      </c>
      <c r="P33" t="s">
        <v>1664</v>
      </c>
      <c r="Q33" t="s">
        <v>1664</v>
      </c>
      <c r="R33" t="s">
        <v>1664</v>
      </c>
      <c r="S33" t="s">
        <v>1664</v>
      </c>
      <c r="T33" t="s">
        <v>1664</v>
      </c>
      <c r="U33" t="s">
        <v>1664</v>
      </c>
      <c r="V33" t="s">
        <v>1664</v>
      </c>
      <c r="W33" t="s">
        <v>1664</v>
      </c>
      <c r="X33" t="s">
        <v>1664</v>
      </c>
      <c r="Y33">
        <v>12.992000000000001</v>
      </c>
      <c r="Z33">
        <v>14.63</v>
      </c>
      <c r="AA33">
        <v>13.986000000000001</v>
      </c>
      <c r="AB33">
        <v>13.967000000000001</v>
      </c>
      <c r="AC33">
        <v>16.966000000000001</v>
      </c>
      <c r="AD33">
        <v>17.143999999999998</v>
      </c>
      <c r="AE33">
        <v>17.141999999999999</v>
      </c>
      <c r="AF33">
        <v>18.651</v>
      </c>
      <c r="AG33">
        <v>22.754999999999999</v>
      </c>
      <c r="AH33">
        <v>21.372</v>
      </c>
      <c r="AI33">
        <v>26.11</v>
      </c>
      <c r="AJ33">
        <v>26.632000000000001</v>
      </c>
      <c r="AK33">
        <v>30.742999999999999</v>
      </c>
      <c r="AL33">
        <v>34.838000000000001</v>
      </c>
      <c r="AM33">
        <v>38.658000000000001</v>
      </c>
      <c r="AN33">
        <v>37.521999999999998</v>
      </c>
      <c r="AO33">
        <v>39.679000000000002</v>
      </c>
      <c r="AP33">
        <v>37.915999999999997</v>
      </c>
      <c r="AQ33">
        <v>36.688000000000002</v>
      </c>
      <c r="AR33">
        <v>37.716000000000001</v>
      </c>
      <c r="AS33">
        <v>35.326999999999998</v>
      </c>
      <c r="AT33">
        <v>42.677999999999997</v>
      </c>
      <c r="AU33">
        <v>44.106999999999999</v>
      </c>
      <c r="AV33">
        <v>49.505000000000003</v>
      </c>
      <c r="AW33">
        <v>51.856999999999999</v>
      </c>
      <c r="AX33">
        <v>57.389000000000003</v>
      </c>
      <c r="AY33">
        <v>43.750999999999998</v>
      </c>
      <c r="AZ33">
        <v>43.841999999999999</v>
      </c>
      <c r="BA33">
        <v>54.667999999999999</v>
      </c>
      <c r="BB33">
        <v>59.76</v>
      </c>
      <c r="BC33">
        <v>65.933999999999997</v>
      </c>
      <c r="BD33">
        <v>71.781999999999996</v>
      </c>
      <c r="BE33">
        <v>77.3</v>
      </c>
      <c r="BF33">
        <v>82.584000000000003</v>
      </c>
      <c r="BG33">
        <v>2020</v>
      </c>
      <c r="BH33">
        <v>43.750999999999998</v>
      </c>
      <c r="BI33">
        <v>164.911</v>
      </c>
      <c r="BJ33">
        <v>164.911</v>
      </c>
      <c r="BK33">
        <v>2020</v>
      </c>
      <c r="BL33">
        <v>26.530067733504737</v>
      </c>
    </row>
    <row r="34" spans="1:64">
      <c r="A34" t="s">
        <v>346</v>
      </c>
      <c r="B34">
        <v>522</v>
      </c>
      <c r="C34" t="s">
        <v>346</v>
      </c>
      <c r="D34" t="s">
        <v>1659</v>
      </c>
      <c r="E34" t="s">
        <v>132</v>
      </c>
      <c r="F34" t="s">
        <v>1660</v>
      </c>
      <c r="G34" t="s">
        <v>1661</v>
      </c>
      <c r="H34" t="s">
        <v>1662</v>
      </c>
      <c r="I34" t="s">
        <v>883</v>
      </c>
      <c r="J34" t="s">
        <v>1695</v>
      </c>
      <c r="K34" t="s">
        <v>1664</v>
      </c>
      <c r="L34" t="s">
        <v>1664</v>
      </c>
      <c r="M34" t="s">
        <v>1664</v>
      </c>
      <c r="N34" t="s">
        <v>1664</v>
      </c>
      <c r="O34" t="s">
        <v>1664</v>
      </c>
      <c r="P34" t="s">
        <v>1664</v>
      </c>
      <c r="Q34" t="s">
        <v>1664</v>
      </c>
      <c r="R34" t="s">
        <v>1664</v>
      </c>
      <c r="S34" t="s">
        <v>1664</v>
      </c>
      <c r="T34" t="s">
        <v>1664</v>
      </c>
      <c r="U34" t="s">
        <v>1664</v>
      </c>
      <c r="V34" t="s">
        <v>1664</v>
      </c>
      <c r="W34" t="s">
        <v>1664</v>
      </c>
      <c r="X34" t="s">
        <v>1664</v>
      </c>
      <c r="Y34" t="s">
        <v>1664</v>
      </c>
      <c r="Z34" t="s">
        <v>1664</v>
      </c>
      <c r="AA34">
        <v>748.03499999999997</v>
      </c>
      <c r="AB34">
        <v>881.96</v>
      </c>
      <c r="AC34">
        <v>943.25300000000004</v>
      </c>
      <c r="AD34">
        <v>1338.1</v>
      </c>
      <c r="AE34">
        <v>1440.56</v>
      </c>
      <c r="AF34">
        <v>1561.18</v>
      </c>
      <c r="AG34">
        <v>1761.75</v>
      </c>
      <c r="AH34">
        <v>1775.76</v>
      </c>
      <c r="AI34">
        <v>2208.83</v>
      </c>
      <c r="AJ34">
        <v>3077.02</v>
      </c>
      <c r="AK34">
        <v>3814.76</v>
      </c>
      <c r="AL34">
        <v>5302</v>
      </c>
      <c r="AM34">
        <v>6666.83</v>
      </c>
      <c r="AN34">
        <v>6724.84</v>
      </c>
      <c r="AO34">
        <v>8049.01</v>
      </c>
      <c r="AP34">
        <v>8278.7800000000007</v>
      </c>
      <c r="AQ34">
        <v>9723.68</v>
      </c>
      <c r="AR34">
        <v>11498.78</v>
      </c>
      <c r="AS34">
        <v>13538.42</v>
      </c>
      <c r="AT34">
        <v>14409.68</v>
      </c>
      <c r="AU34">
        <v>16913.330000000002</v>
      </c>
      <c r="AV34">
        <v>19386.75</v>
      </c>
      <c r="AW34">
        <v>23599.11</v>
      </c>
      <c r="AX34">
        <v>29461.49</v>
      </c>
      <c r="AY34">
        <v>25334.52</v>
      </c>
      <c r="AZ34">
        <v>25443.48</v>
      </c>
      <c r="BA34">
        <v>27773.71</v>
      </c>
      <c r="BB34">
        <v>30250.61</v>
      </c>
      <c r="BC34">
        <v>33090.49</v>
      </c>
      <c r="BD34">
        <v>36249.47</v>
      </c>
      <c r="BE34">
        <v>39721.69</v>
      </c>
      <c r="BF34">
        <v>43693.49</v>
      </c>
      <c r="BG34">
        <v>2019</v>
      </c>
      <c r="BH34">
        <v>29461.49</v>
      </c>
      <c r="BI34">
        <v>110014.05</v>
      </c>
      <c r="BJ34">
        <v>103511.61</v>
      </c>
      <c r="BK34">
        <v>2020</v>
      </c>
      <c r="BL34">
        <v>26.779752222557029</v>
      </c>
    </row>
    <row r="35" spans="1:64">
      <c r="A35" t="s">
        <v>347</v>
      </c>
      <c r="B35">
        <v>622</v>
      </c>
      <c r="C35" t="s">
        <v>347</v>
      </c>
      <c r="D35" t="s">
        <v>1659</v>
      </c>
      <c r="E35" t="s">
        <v>133</v>
      </c>
      <c r="F35" t="s">
        <v>1660</v>
      </c>
      <c r="G35" t="s">
        <v>1661</v>
      </c>
      <c r="H35" t="s">
        <v>1662</v>
      </c>
      <c r="I35" t="s">
        <v>883</v>
      </c>
      <c r="J35" t="s">
        <v>1696</v>
      </c>
      <c r="K35" t="s">
        <v>1664</v>
      </c>
      <c r="L35" t="s">
        <v>1664</v>
      </c>
      <c r="M35" t="s">
        <v>1664</v>
      </c>
      <c r="N35" t="s">
        <v>1664</v>
      </c>
      <c r="O35" t="s">
        <v>1664</v>
      </c>
      <c r="P35" t="s">
        <v>1664</v>
      </c>
      <c r="Q35" t="s">
        <v>1664</v>
      </c>
      <c r="R35" t="s">
        <v>1664</v>
      </c>
      <c r="S35" t="s">
        <v>1664</v>
      </c>
      <c r="T35" t="s">
        <v>1664</v>
      </c>
      <c r="U35" t="s">
        <v>1664</v>
      </c>
      <c r="V35" t="s">
        <v>1664</v>
      </c>
      <c r="W35" t="s">
        <v>1664</v>
      </c>
      <c r="X35" t="s">
        <v>1664</v>
      </c>
      <c r="Y35" t="s">
        <v>1664</v>
      </c>
      <c r="Z35" t="s">
        <v>1664</v>
      </c>
      <c r="AA35" t="s">
        <v>1664</v>
      </c>
      <c r="AB35" t="s">
        <v>1664</v>
      </c>
      <c r="AC35" t="s">
        <v>1664</v>
      </c>
      <c r="AD35" t="s">
        <v>1664</v>
      </c>
      <c r="AE35">
        <v>1209.6500000000001</v>
      </c>
      <c r="AF35">
        <v>1240.5</v>
      </c>
      <c r="AG35">
        <v>1323.88</v>
      </c>
      <c r="AH35">
        <v>1271</v>
      </c>
      <c r="AI35">
        <v>1285.92</v>
      </c>
      <c r="AJ35">
        <v>1589.93</v>
      </c>
      <c r="AK35">
        <v>4448.1099999999997</v>
      </c>
      <c r="AL35">
        <v>1985.48</v>
      </c>
      <c r="AM35">
        <v>2214.09</v>
      </c>
      <c r="AN35">
        <v>1925.93</v>
      </c>
      <c r="AO35">
        <v>1940.04</v>
      </c>
      <c r="AP35">
        <v>2250.16</v>
      </c>
      <c r="AQ35">
        <v>2425.81</v>
      </c>
      <c r="AR35">
        <v>2607.61</v>
      </c>
      <c r="AS35">
        <v>2870.05</v>
      </c>
      <c r="AT35">
        <v>3013.21</v>
      </c>
      <c r="AU35">
        <v>2866.17</v>
      </c>
      <c r="AV35">
        <v>3039.89</v>
      </c>
      <c r="AW35">
        <v>3451.41</v>
      </c>
      <c r="AX35">
        <v>3584.48</v>
      </c>
      <c r="AY35">
        <v>3145.32</v>
      </c>
      <c r="AZ35">
        <v>3449.98</v>
      </c>
      <c r="BA35">
        <v>4334.8900000000003</v>
      </c>
      <c r="BB35">
        <v>5048.25</v>
      </c>
      <c r="BC35">
        <v>5174.63</v>
      </c>
      <c r="BD35">
        <v>5699.63</v>
      </c>
      <c r="BE35">
        <v>6204.31</v>
      </c>
      <c r="BF35">
        <v>6606.53</v>
      </c>
      <c r="BG35">
        <v>2020</v>
      </c>
      <c r="BH35">
        <v>3145.32</v>
      </c>
      <c r="BI35">
        <v>23486.47</v>
      </c>
      <c r="BJ35">
        <v>23486.47</v>
      </c>
      <c r="BK35">
        <v>2020</v>
      </c>
      <c r="BL35">
        <v>13.392050827561572</v>
      </c>
    </row>
    <row r="36" spans="1:64">
      <c r="A36" t="s">
        <v>455</v>
      </c>
      <c r="B36">
        <v>156</v>
      </c>
      <c r="C36" t="s">
        <v>455</v>
      </c>
      <c r="D36" t="s">
        <v>1659</v>
      </c>
      <c r="E36" t="s">
        <v>64</v>
      </c>
      <c r="F36" t="s">
        <v>1660</v>
      </c>
      <c r="G36" t="s">
        <v>1661</v>
      </c>
      <c r="H36" t="s">
        <v>1662</v>
      </c>
      <c r="I36" t="s">
        <v>883</v>
      </c>
      <c r="J36" t="s">
        <v>1697</v>
      </c>
      <c r="K36">
        <v>119.116</v>
      </c>
      <c r="L36">
        <v>143.43700000000001</v>
      </c>
      <c r="M36">
        <v>153.33500000000001</v>
      </c>
      <c r="N36">
        <v>164.19399999999999</v>
      </c>
      <c r="O36">
        <v>179.339</v>
      </c>
      <c r="P36">
        <v>193.56899999999999</v>
      </c>
      <c r="Q36">
        <v>207.94200000000001</v>
      </c>
      <c r="R36">
        <v>227.90700000000001</v>
      </c>
      <c r="S36">
        <v>252.33</v>
      </c>
      <c r="T36">
        <v>272.226</v>
      </c>
      <c r="U36">
        <v>293.35500000000002</v>
      </c>
      <c r="V36">
        <v>302.31099999999998</v>
      </c>
      <c r="W36">
        <v>311.13900000000001</v>
      </c>
      <c r="X36">
        <v>317.80900000000003</v>
      </c>
      <c r="Y36">
        <v>333.233</v>
      </c>
      <c r="Z36">
        <v>351.31799999999998</v>
      </c>
      <c r="AA36">
        <v>368.10300000000001</v>
      </c>
      <c r="AB36">
        <v>394.53100000000001</v>
      </c>
      <c r="AC36">
        <v>409.59699999999998</v>
      </c>
      <c r="AD36">
        <v>437.73200000000003</v>
      </c>
      <c r="AE36">
        <v>477.79300000000001</v>
      </c>
      <c r="AF36">
        <v>476.49200000000002</v>
      </c>
      <c r="AG36">
        <v>479.387</v>
      </c>
      <c r="AH36">
        <v>503.76499999999999</v>
      </c>
      <c r="AI36">
        <v>532.98800000000006</v>
      </c>
      <c r="AJ36">
        <v>569.68399999999997</v>
      </c>
      <c r="AK36">
        <v>605.95100000000002</v>
      </c>
      <c r="AL36">
        <v>636.40800000000002</v>
      </c>
      <c r="AM36">
        <v>645.58000000000004</v>
      </c>
      <c r="AN36">
        <v>621.29600000000005</v>
      </c>
      <c r="AO36">
        <v>638.53599999999994</v>
      </c>
      <c r="AP36">
        <v>678.87199999999996</v>
      </c>
      <c r="AQ36">
        <v>701.67600000000004</v>
      </c>
      <c r="AR36">
        <v>731.71900000000005</v>
      </c>
      <c r="AS36">
        <v>768.94100000000003</v>
      </c>
      <c r="AT36">
        <v>795.31200000000001</v>
      </c>
      <c r="AU36">
        <v>816.29200000000003</v>
      </c>
      <c r="AV36">
        <v>863.59799999999996</v>
      </c>
      <c r="AW36">
        <v>917.12400000000002</v>
      </c>
      <c r="AX36">
        <v>939.73500000000001</v>
      </c>
      <c r="AY36">
        <v>919.04700000000003</v>
      </c>
      <c r="AZ36">
        <v>1023.74</v>
      </c>
      <c r="BA36">
        <v>1155.8800000000001</v>
      </c>
      <c r="BB36">
        <v>1202.8499999999999</v>
      </c>
      <c r="BC36">
        <v>1239.04</v>
      </c>
      <c r="BD36">
        <v>1284.8699999999999</v>
      </c>
      <c r="BE36">
        <v>1332.45</v>
      </c>
      <c r="BF36">
        <v>1380.42</v>
      </c>
      <c r="BG36">
        <v>2021</v>
      </c>
      <c r="BH36">
        <v>1023.74</v>
      </c>
      <c r="BI36">
        <v>2496.17</v>
      </c>
      <c r="BJ36">
        <v>2496.17</v>
      </c>
      <c r="BK36">
        <v>2021</v>
      </c>
      <c r="BL36">
        <v>41.012431044359957</v>
      </c>
    </row>
    <row r="37" spans="1:64">
      <c r="A37" t="s">
        <v>312</v>
      </c>
      <c r="B37">
        <v>626</v>
      </c>
      <c r="C37" t="s">
        <v>312</v>
      </c>
      <c r="D37" t="s">
        <v>1659</v>
      </c>
      <c r="E37" t="s">
        <v>99</v>
      </c>
      <c r="F37" t="s">
        <v>1660</v>
      </c>
      <c r="G37" t="s">
        <v>1661</v>
      </c>
      <c r="H37" t="s">
        <v>1662</v>
      </c>
      <c r="I37" t="s">
        <v>883</v>
      </c>
      <c r="J37" t="s">
        <v>1698</v>
      </c>
      <c r="K37" t="s">
        <v>1664</v>
      </c>
      <c r="L37" t="s">
        <v>1664</v>
      </c>
      <c r="M37" t="s">
        <v>1664</v>
      </c>
      <c r="N37" t="s">
        <v>1664</v>
      </c>
      <c r="O37" t="s">
        <v>1664</v>
      </c>
      <c r="P37" t="s">
        <v>1664</v>
      </c>
      <c r="Q37" t="s">
        <v>1664</v>
      </c>
      <c r="R37" t="s">
        <v>1664</v>
      </c>
      <c r="S37">
        <v>67.33</v>
      </c>
      <c r="T37">
        <v>65.938000000000002</v>
      </c>
      <c r="U37">
        <v>62.412999999999997</v>
      </c>
      <c r="V37">
        <v>57.987000000000002</v>
      </c>
      <c r="W37">
        <v>59.569000000000003</v>
      </c>
      <c r="X37">
        <v>54.8</v>
      </c>
      <c r="Y37">
        <v>69.992999999999995</v>
      </c>
      <c r="Z37">
        <v>88.087000000000003</v>
      </c>
      <c r="AA37">
        <v>55.036999999999999</v>
      </c>
      <c r="AB37">
        <v>72.989999999999995</v>
      </c>
      <c r="AC37">
        <v>109.46299999999999</v>
      </c>
      <c r="AD37">
        <v>113.042</v>
      </c>
      <c r="AE37">
        <v>93.36</v>
      </c>
      <c r="AF37">
        <v>87.450999999999993</v>
      </c>
      <c r="AG37">
        <v>105.982</v>
      </c>
      <c r="AH37">
        <v>63.756</v>
      </c>
      <c r="AI37">
        <v>78.453999999999994</v>
      </c>
      <c r="AJ37">
        <v>88.031000000000006</v>
      </c>
      <c r="AK37">
        <v>176.495</v>
      </c>
      <c r="AL37">
        <v>117.04</v>
      </c>
      <c r="AM37">
        <v>134.71</v>
      </c>
      <c r="AN37">
        <v>150.267</v>
      </c>
      <c r="AO37">
        <v>168.69399999999999</v>
      </c>
      <c r="AP37">
        <v>138.13399999999999</v>
      </c>
      <c r="AQ37">
        <v>190.31200000000001</v>
      </c>
      <c r="AR37">
        <v>62.357999999999997</v>
      </c>
      <c r="AS37">
        <v>131.74199999999999</v>
      </c>
      <c r="AT37">
        <v>134.1</v>
      </c>
      <c r="AU37">
        <v>142.46</v>
      </c>
      <c r="AV37">
        <v>154.02099999999999</v>
      </c>
      <c r="AW37">
        <v>210.53299999999999</v>
      </c>
      <c r="AX37">
        <v>244.75399999999999</v>
      </c>
      <c r="AY37">
        <v>298.58699999999999</v>
      </c>
      <c r="AZ37">
        <v>195.667</v>
      </c>
      <c r="BA37">
        <v>254.489</v>
      </c>
      <c r="BB37">
        <v>266.91300000000001</v>
      </c>
      <c r="BC37">
        <v>296.221</v>
      </c>
      <c r="BD37">
        <v>323.536</v>
      </c>
      <c r="BE37">
        <v>346.56900000000002</v>
      </c>
      <c r="BF37">
        <v>371.95699999999999</v>
      </c>
      <c r="BG37">
        <v>2020</v>
      </c>
      <c r="BH37">
        <v>298.58699999999999</v>
      </c>
      <c r="BI37">
        <v>1372.51</v>
      </c>
      <c r="BJ37">
        <v>1372.51</v>
      </c>
      <c r="BK37" t="s">
        <v>1699</v>
      </c>
      <c r="BL37">
        <v>21.754814172574331</v>
      </c>
    </row>
    <row r="38" spans="1:64">
      <c r="A38" t="s">
        <v>318</v>
      </c>
      <c r="B38">
        <v>628</v>
      </c>
      <c r="C38" t="s">
        <v>318</v>
      </c>
      <c r="D38" t="s">
        <v>1659</v>
      </c>
      <c r="E38" t="s">
        <v>105</v>
      </c>
      <c r="F38" t="s">
        <v>1660</v>
      </c>
      <c r="G38" t="s">
        <v>1661</v>
      </c>
      <c r="H38" t="s">
        <v>1662</v>
      </c>
      <c r="I38" t="s">
        <v>883</v>
      </c>
      <c r="J38" t="s">
        <v>1700</v>
      </c>
      <c r="K38" t="s">
        <v>1664</v>
      </c>
      <c r="L38" t="s">
        <v>1664</v>
      </c>
      <c r="M38" t="s">
        <v>1664</v>
      </c>
      <c r="N38" t="s">
        <v>1664</v>
      </c>
      <c r="O38" t="s">
        <v>1664</v>
      </c>
      <c r="P38" t="s">
        <v>1664</v>
      </c>
      <c r="Q38" t="s">
        <v>1664</v>
      </c>
      <c r="R38" t="s">
        <v>1664</v>
      </c>
      <c r="S38" t="s">
        <v>1664</v>
      </c>
      <c r="T38" t="s">
        <v>1664</v>
      </c>
      <c r="U38" t="s">
        <v>1664</v>
      </c>
      <c r="V38" t="s">
        <v>1664</v>
      </c>
      <c r="W38" t="s">
        <v>1664</v>
      </c>
      <c r="X38" t="s">
        <v>1664</v>
      </c>
      <c r="Y38" t="s">
        <v>1664</v>
      </c>
      <c r="Z38">
        <v>97.2</v>
      </c>
      <c r="AA38">
        <v>110.188</v>
      </c>
      <c r="AB38">
        <v>124.76600000000001</v>
      </c>
      <c r="AC38">
        <v>127.16500000000001</v>
      </c>
      <c r="AD38">
        <v>122.337</v>
      </c>
      <c r="AE38">
        <v>135.43</v>
      </c>
      <c r="AF38">
        <v>155.47999999999999</v>
      </c>
      <c r="AG38">
        <v>197.34</v>
      </c>
      <c r="AH38">
        <v>247.36</v>
      </c>
      <c r="AI38">
        <v>273.77800000000002</v>
      </c>
      <c r="AJ38">
        <v>402.53699999999998</v>
      </c>
      <c r="AK38">
        <v>628.67600000000004</v>
      </c>
      <c r="AL38">
        <v>814.26</v>
      </c>
      <c r="AM38">
        <v>1042.56</v>
      </c>
      <c r="AN38">
        <v>655.00099999999998</v>
      </c>
      <c r="AO38">
        <v>1068.8399999999999</v>
      </c>
      <c r="AP38">
        <v>1421.76</v>
      </c>
      <c r="AQ38">
        <v>1542.08</v>
      </c>
      <c r="AR38">
        <v>1331.03</v>
      </c>
      <c r="AS38">
        <v>1230.1199999999999</v>
      </c>
      <c r="AT38">
        <v>903.78700000000003</v>
      </c>
      <c r="AU38">
        <v>751.62400000000002</v>
      </c>
      <c r="AV38">
        <v>857.61500000000001</v>
      </c>
      <c r="AW38">
        <v>936.60199999999998</v>
      </c>
      <c r="AX38">
        <v>912.84699999999998</v>
      </c>
      <c r="AY38">
        <v>1304.19</v>
      </c>
      <c r="AZ38">
        <v>1063.72</v>
      </c>
      <c r="BA38">
        <v>1718.65</v>
      </c>
      <c r="BB38">
        <v>1940.66</v>
      </c>
      <c r="BC38">
        <v>1733.86</v>
      </c>
      <c r="BD38">
        <v>1746.15</v>
      </c>
      <c r="BE38">
        <v>1891.33</v>
      </c>
      <c r="BF38">
        <v>1863.79</v>
      </c>
      <c r="BG38">
        <v>2020</v>
      </c>
      <c r="BH38">
        <v>1304.19</v>
      </c>
      <c r="BI38">
        <v>6165.75</v>
      </c>
      <c r="BJ38">
        <v>6165.75</v>
      </c>
      <c r="BK38" t="s">
        <v>1699</v>
      </c>
      <c r="BL38">
        <v>21.152171268702105</v>
      </c>
    </row>
    <row r="39" spans="1:64">
      <c r="A39" t="s">
        <v>507</v>
      </c>
      <c r="B39">
        <v>228</v>
      </c>
      <c r="C39" t="s">
        <v>507</v>
      </c>
      <c r="D39" t="s">
        <v>1659</v>
      </c>
      <c r="E39" t="s">
        <v>232</v>
      </c>
      <c r="F39" t="s">
        <v>1660</v>
      </c>
      <c r="G39" t="s">
        <v>1661</v>
      </c>
      <c r="H39" t="s">
        <v>1662</v>
      </c>
      <c r="I39" t="s">
        <v>883</v>
      </c>
      <c r="J39" t="s">
        <v>1701</v>
      </c>
      <c r="K39" t="s">
        <v>1664</v>
      </c>
      <c r="L39" t="s">
        <v>1664</v>
      </c>
      <c r="M39" t="s">
        <v>1664</v>
      </c>
      <c r="N39" t="s">
        <v>1664</v>
      </c>
      <c r="O39" t="s">
        <v>1664</v>
      </c>
      <c r="P39" t="s">
        <v>1664</v>
      </c>
      <c r="Q39" t="s">
        <v>1664</v>
      </c>
      <c r="R39" t="s">
        <v>1664</v>
      </c>
      <c r="S39" t="s">
        <v>1664</v>
      </c>
      <c r="T39" t="s">
        <v>1664</v>
      </c>
      <c r="U39">
        <v>2344.46</v>
      </c>
      <c r="V39">
        <v>3032.45</v>
      </c>
      <c r="W39">
        <v>3866.96</v>
      </c>
      <c r="X39">
        <v>4541.4399999999996</v>
      </c>
      <c r="Y39">
        <v>5321.21</v>
      </c>
      <c r="Z39">
        <v>6618.48</v>
      </c>
      <c r="AA39">
        <v>7355.25</v>
      </c>
      <c r="AB39">
        <v>8131.45</v>
      </c>
      <c r="AC39">
        <v>8414.7000000000007</v>
      </c>
      <c r="AD39">
        <v>8336.44</v>
      </c>
      <c r="AE39">
        <v>9362.1</v>
      </c>
      <c r="AF39">
        <v>10301.790000000001</v>
      </c>
      <c r="AG39">
        <v>10669.32</v>
      </c>
      <c r="AH39">
        <v>11533.1</v>
      </c>
      <c r="AI39">
        <v>13809.47</v>
      </c>
      <c r="AJ39">
        <v>16991.77</v>
      </c>
      <c r="AK39">
        <v>21405.33</v>
      </c>
      <c r="AL39">
        <v>24578.81</v>
      </c>
      <c r="AM39">
        <v>24144.1</v>
      </c>
      <c r="AN39">
        <v>19916.740000000002</v>
      </c>
      <c r="AO39">
        <v>25593.85</v>
      </c>
      <c r="AP39">
        <v>29542.41</v>
      </c>
      <c r="AQ39">
        <v>30897</v>
      </c>
      <c r="AR39">
        <v>31090.82</v>
      </c>
      <c r="AS39">
        <v>33076.35</v>
      </c>
      <c r="AT39">
        <v>36387.199999999997</v>
      </c>
      <c r="AU39">
        <v>38319.769999999997</v>
      </c>
      <c r="AV39">
        <v>41000.519999999997</v>
      </c>
      <c r="AW39">
        <v>45717.15</v>
      </c>
      <c r="AX39">
        <v>46471.54</v>
      </c>
      <c r="AY39">
        <v>44245.63</v>
      </c>
      <c r="AZ39">
        <v>62283.95</v>
      </c>
      <c r="BA39">
        <v>65559.39</v>
      </c>
      <c r="BB39">
        <v>70014.509999999995</v>
      </c>
      <c r="BC39">
        <v>73846.37</v>
      </c>
      <c r="BD39">
        <v>76463.44</v>
      </c>
      <c r="BE39">
        <v>80107.16</v>
      </c>
      <c r="BF39">
        <v>83827.990000000005</v>
      </c>
      <c r="BG39">
        <v>2021</v>
      </c>
      <c r="BH39">
        <v>62283.95</v>
      </c>
      <c r="BI39">
        <v>240521.2</v>
      </c>
      <c r="BJ39">
        <v>240521.2</v>
      </c>
      <c r="BK39">
        <v>2021</v>
      </c>
      <c r="BL39">
        <v>25.895409635408434</v>
      </c>
    </row>
    <row r="40" spans="1:64">
      <c r="A40" t="s">
        <v>439</v>
      </c>
      <c r="B40">
        <v>924</v>
      </c>
      <c r="C40" t="s">
        <v>439</v>
      </c>
      <c r="D40" t="s">
        <v>1659</v>
      </c>
      <c r="E40" t="s">
        <v>224</v>
      </c>
      <c r="F40" t="s">
        <v>1660</v>
      </c>
      <c r="G40" t="s">
        <v>1661</v>
      </c>
      <c r="H40" t="s">
        <v>1662</v>
      </c>
      <c r="I40" t="s">
        <v>883</v>
      </c>
      <c r="J40" t="s">
        <v>1702</v>
      </c>
      <c r="K40" t="s">
        <v>1664</v>
      </c>
      <c r="L40" t="s">
        <v>1664</v>
      </c>
      <c r="M40">
        <v>131.94800000000001</v>
      </c>
      <c r="N40">
        <v>148.95500000000001</v>
      </c>
      <c r="O40">
        <v>171.476</v>
      </c>
      <c r="P40">
        <v>213.34</v>
      </c>
      <c r="Q40">
        <v>228.572</v>
      </c>
      <c r="R40">
        <v>240.72</v>
      </c>
      <c r="S40">
        <v>261.93299999999999</v>
      </c>
      <c r="T40">
        <v>305.012</v>
      </c>
      <c r="U40">
        <v>331.738</v>
      </c>
      <c r="V40">
        <v>343.13900000000001</v>
      </c>
      <c r="W40">
        <v>367.06099999999998</v>
      </c>
      <c r="X40">
        <v>449.48200000000003</v>
      </c>
      <c r="Y40">
        <v>521.80999999999995</v>
      </c>
      <c r="Z40">
        <v>624.22</v>
      </c>
      <c r="AA40">
        <v>740.79899999999998</v>
      </c>
      <c r="AB40">
        <v>865.11400000000003</v>
      </c>
      <c r="AC40">
        <v>987.59500000000003</v>
      </c>
      <c r="AD40">
        <v>1144.4100000000001</v>
      </c>
      <c r="AE40">
        <v>1339.52</v>
      </c>
      <c r="AF40">
        <v>1638.6</v>
      </c>
      <c r="AG40">
        <v>1890.36</v>
      </c>
      <c r="AH40">
        <v>2171.5300000000002</v>
      </c>
      <c r="AI40">
        <v>2639.65</v>
      </c>
      <c r="AJ40">
        <v>3164.93</v>
      </c>
      <c r="AK40">
        <v>3776.02</v>
      </c>
      <c r="AL40">
        <v>4925.78</v>
      </c>
      <c r="AM40">
        <v>7156.66</v>
      </c>
      <c r="AN40">
        <v>8310.1200000000008</v>
      </c>
      <c r="AO40">
        <v>10103.31</v>
      </c>
      <c r="AP40">
        <v>13081.1</v>
      </c>
      <c r="AQ40">
        <v>15016.04</v>
      </c>
      <c r="AR40">
        <v>16535.61</v>
      </c>
      <c r="AS40">
        <v>18237.21</v>
      </c>
      <c r="AT40">
        <v>20076.7</v>
      </c>
      <c r="AU40">
        <v>21576.95</v>
      </c>
      <c r="AV40">
        <v>24232.57</v>
      </c>
      <c r="AW40">
        <v>26551.46</v>
      </c>
      <c r="AX40">
        <v>27790.09</v>
      </c>
      <c r="AY40">
        <v>26342.87</v>
      </c>
      <c r="AZ40">
        <v>30451.11</v>
      </c>
      <c r="BA40">
        <v>31620.59</v>
      </c>
      <c r="BB40">
        <v>34336.57</v>
      </c>
      <c r="BC40">
        <v>37037.199999999997</v>
      </c>
      <c r="BD40">
        <v>39806.04</v>
      </c>
      <c r="BE40">
        <v>42719.06</v>
      </c>
      <c r="BF40">
        <v>45834.25</v>
      </c>
      <c r="BG40">
        <v>2020</v>
      </c>
      <c r="BH40">
        <v>26342.87</v>
      </c>
      <c r="BI40">
        <v>102562.84</v>
      </c>
      <c r="BJ40">
        <v>112585.42</v>
      </c>
      <c r="BK40">
        <v>2021</v>
      </c>
      <c r="BL40">
        <v>25.684614427603602</v>
      </c>
    </row>
    <row r="41" spans="1:64">
      <c r="A41" t="s">
        <v>409</v>
      </c>
      <c r="B41">
        <v>233</v>
      </c>
      <c r="C41" t="s">
        <v>409</v>
      </c>
      <c r="D41" t="s">
        <v>1659</v>
      </c>
      <c r="E41" t="s">
        <v>194</v>
      </c>
      <c r="F41" t="s">
        <v>1660</v>
      </c>
      <c r="G41" t="s">
        <v>1661</v>
      </c>
      <c r="H41" t="s">
        <v>1662</v>
      </c>
      <c r="I41" t="s">
        <v>883</v>
      </c>
      <c r="J41" t="s">
        <v>1703</v>
      </c>
      <c r="K41">
        <v>1</v>
      </c>
      <c r="L41">
        <v>1</v>
      </c>
      <c r="M41">
        <v>373.5</v>
      </c>
      <c r="N41">
        <v>479</v>
      </c>
      <c r="O41">
        <v>614.1</v>
      </c>
      <c r="P41">
        <v>843.8</v>
      </c>
      <c r="Q41">
        <v>1155.3</v>
      </c>
      <c r="R41">
        <v>1734.01</v>
      </c>
      <c r="S41">
        <v>2228.9899999999998</v>
      </c>
      <c r="T41">
        <v>3422.7</v>
      </c>
      <c r="U41">
        <v>4797.3999999999996</v>
      </c>
      <c r="V41">
        <v>6554.5</v>
      </c>
      <c r="W41">
        <v>8554.6</v>
      </c>
      <c r="X41">
        <v>12073.36</v>
      </c>
      <c r="Y41">
        <v>16488.599999999999</v>
      </c>
      <c r="Z41">
        <v>21386.54</v>
      </c>
      <c r="AA41">
        <v>27164.09</v>
      </c>
      <c r="AB41">
        <v>33373.69</v>
      </c>
      <c r="AC41">
        <v>37728.83</v>
      </c>
      <c r="AD41">
        <v>41456.54</v>
      </c>
      <c r="AE41">
        <v>48982.81</v>
      </c>
      <c r="AF41">
        <v>55644.639999999999</v>
      </c>
      <c r="AG41">
        <v>60012.49</v>
      </c>
      <c r="AH41">
        <v>68490.100000000006</v>
      </c>
      <c r="AI41">
        <v>77422.850000000006</v>
      </c>
      <c r="AJ41">
        <v>87424.87</v>
      </c>
      <c r="AK41">
        <v>104744.62</v>
      </c>
      <c r="AL41">
        <v>117164.07</v>
      </c>
      <c r="AM41">
        <v>135677.82999999999</v>
      </c>
      <c r="AN41">
        <v>141645.35</v>
      </c>
      <c r="AO41">
        <v>147154.37</v>
      </c>
      <c r="AP41">
        <v>174814.5</v>
      </c>
      <c r="AQ41">
        <v>194935.84</v>
      </c>
      <c r="AR41">
        <v>206927.15</v>
      </c>
      <c r="AS41">
        <v>225187.05</v>
      </c>
      <c r="AT41">
        <v>223359.39</v>
      </c>
      <c r="AU41">
        <v>239437.78</v>
      </c>
      <c r="AV41">
        <v>246916.09</v>
      </c>
      <c r="AW41">
        <v>296240.90999999997</v>
      </c>
      <c r="AX41">
        <v>311629.08</v>
      </c>
      <c r="AY41">
        <v>265500.87</v>
      </c>
      <c r="AZ41">
        <v>325599.90999999997</v>
      </c>
      <c r="BA41">
        <v>398814.35</v>
      </c>
      <c r="BB41">
        <v>456635.3</v>
      </c>
      <c r="BC41">
        <v>480372.78</v>
      </c>
      <c r="BD41">
        <v>501366.91</v>
      </c>
      <c r="BE41">
        <v>523663.13</v>
      </c>
      <c r="BF41">
        <v>551613.75</v>
      </c>
      <c r="BG41">
        <v>2020</v>
      </c>
      <c r="BH41">
        <v>265500.87</v>
      </c>
      <c r="BI41">
        <v>998718</v>
      </c>
      <c r="BJ41">
        <v>1176695</v>
      </c>
      <c r="BK41">
        <v>2021</v>
      </c>
      <c r="BL41">
        <v>26.58416790325197</v>
      </c>
    </row>
    <row r="42" spans="1:64">
      <c r="A42" t="s">
        <v>343</v>
      </c>
      <c r="B42">
        <v>632</v>
      </c>
      <c r="C42" t="s">
        <v>343</v>
      </c>
      <c r="D42" t="s">
        <v>1659</v>
      </c>
      <c r="E42" t="s">
        <v>129</v>
      </c>
      <c r="F42" t="s">
        <v>1660</v>
      </c>
      <c r="G42" t="s">
        <v>1661</v>
      </c>
      <c r="H42" t="s">
        <v>1662</v>
      </c>
      <c r="I42" t="s">
        <v>883</v>
      </c>
      <c r="J42" t="s">
        <v>1704</v>
      </c>
      <c r="K42" t="s">
        <v>1664</v>
      </c>
      <c r="L42" t="s">
        <v>1664</v>
      </c>
      <c r="M42" t="s">
        <v>1664</v>
      </c>
      <c r="N42" t="s">
        <v>1664</v>
      </c>
      <c r="O42">
        <v>14.542</v>
      </c>
      <c r="P42">
        <v>17.024999999999999</v>
      </c>
      <c r="Q42">
        <v>18.542999999999999</v>
      </c>
      <c r="R42">
        <v>18.181000000000001</v>
      </c>
      <c r="S42">
        <v>17.545000000000002</v>
      </c>
      <c r="T42">
        <v>19.241</v>
      </c>
      <c r="U42">
        <v>21.018999999999998</v>
      </c>
      <c r="V42">
        <v>19.977</v>
      </c>
      <c r="W42">
        <v>21.218</v>
      </c>
      <c r="X42">
        <v>21.251999999999999</v>
      </c>
      <c r="Y42">
        <v>23.699000000000002</v>
      </c>
      <c r="Z42">
        <v>20.95</v>
      </c>
      <c r="AA42">
        <v>18.195</v>
      </c>
      <c r="AB42">
        <v>21.010999999999999</v>
      </c>
      <c r="AC42">
        <v>17.812000000000001</v>
      </c>
      <c r="AD42">
        <v>18.885000000000002</v>
      </c>
      <c r="AE42">
        <v>15.555999999999999</v>
      </c>
      <c r="AF42">
        <v>22.234999999999999</v>
      </c>
      <c r="AG42">
        <v>26.928999999999998</v>
      </c>
      <c r="AH42">
        <v>25.481999999999999</v>
      </c>
      <c r="AI42">
        <v>26.434000000000001</v>
      </c>
      <c r="AJ42">
        <v>30.509</v>
      </c>
      <c r="AK42">
        <v>29.533999999999999</v>
      </c>
      <c r="AL42">
        <v>33.945</v>
      </c>
      <c r="AM42">
        <v>41.853000000000002</v>
      </c>
      <c r="AN42">
        <v>44.776000000000003</v>
      </c>
      <c r="AO42">
        <v>58.869</v>
      </c>
      <c r="AP42">
        <v>50.906999999999996</v>
      </c>
      <c r="AQ42">
        <v>65.433000000000007</v>
      </c>
      <c r="AR42">
        <v>104.672</v>
      </c>
      <c r="AS42">
        <v>60.45</v>
      </c>
      <c r="AT42">
        <v>92.766999999999996</v>
      </c>
      <c r="AU42">
        <v>60.256</v>
      </c>
      <c r="AV42">
        <v>87.986000000000004</v>
      </c>
      <c r="AW42">
        <v>87.492000000000004</v>
      </c>
      <c r="AX42">
        <v>82.713999999999999</v>
      </c>
      <c r="AY42">
        <v>95.807000000000002</v>
      </c>
      <c r="AZ42">
        <v>91.335999999999999</v>
      </c>
      <c r="BA42">
        <v>93.774000000000001</v>
      </c>
      <c r="BB42">
        <v>94.457999999999998</v>
      </c>
      <c r="BC42">
        <v>100.334</v>
      </c>
      <c r="BD42">
        <v>108.76900000000001</v>
      </c>
      <c r="BE42">
        <v>125.444</v>
      </c>
      <c r="BF42">
        <v>136.08099999999999</v>
      </c>
      <c r="BG42">
        <v>2020</v>
      </c>
      <c r="BH42">
        <v>95.807000000000002</v>
      </c>
      <c r="BI42">
        <v>524.947</v>
      </c>
      <c r="BJ42">
        <v>522.04499999999996</v>
      </c>
      <c r="BK42">
        <v>2019</v>
      </c>
      <c r="BL42">
        <v>18.250794842145972</v>
      </c>
    </row>
    <row r="43" spans="1:64">
      <c r="A43" t="s">
        <v>313</v>
      </c>
      <c r="B43">
        <v>636</v>
      </c>
      <c r="C43" t="s">
        <v>313</v>
      </c>
      <c r="D43" t="s">
        <v>1659</v>
      </c>
      <c r="E43" t="s">
        <v>1705</v>
      </c>
      <c r="F43" t="s">
        <v>1660</v>
      </c>
      <c r="G43" t="s">
        <v>1661</v>
      </c>
      <c r="H43" t="s">
        <v>1662</v>
      </c>
      <c r="I43" t="s">
        <v>883</v>
      </c>
      <c r="J43" t="s">
        <v>1706</v>
      </c>
      <c r="K43" t="s">
        <v>1664</v>
      </c>
      <c r="L43" t="s">
        <v>1664</v>
      </c>
      <c r="M43" t="s">
        <v>1664</v>
      </c>
      <c r="N43" t="s">
        <v>1664</v>
      </c>
      <c r="O43" t="s">
        <v>1664</v>
      </c>
      <c r="P43" t="s">
        <v>1664</v>
      </c>
      <c r="Q43" t="s">
        <v>1664</v>
      </c>
      <c r="R43" t="s">
        <v>1664</v>
      </c>
      <c r="S43" t="s">
        <v>1664</v>
      </c>
      <c r="T43" t="s">
        <v>1664</v>
      </c>
      <c r="U43" t="s">
        <v>1664</v>
      </c>
      <c r="V43" t="s">
        <v>1664</v>
      </c>
      <c r="W43" t="s">
        <v>1664</v>
      </c>
      <c r="X43" t="s">
        <v>1664</v>
      </c>
      <c r="Y43" t="s">
        <v>1664</v>
      </c>
      <c r="Z43" t="s">
        <v>1664</v>
      </c>
      <c r="AA43">
        <v>0.20699999999999999</v>
      </c>
      <c r="AB43">
        <v>0.504</v>
      </c>
      <c r="AC43">
        <v>0.54800000000000004</v>
      </c>
      <c r="AD43">
        <v>1.8360000000000001</v>
      </c>
      <c r="AE43">
        <v>8.3879999999999999</v>
      </c>
      <c r="AF43">
        <v>66.619</v>
      </c>
      <c r="AG43">
        <v>148.029</v>
      </c>
      <c r="AH43">
        <v>179.136</v>
      </c>
      <c r="AI43">
        <v>288.66899999999998</v>
      </c>
      <c r="AJ43">
        <v>531.04300000000001</v>
      </c>
      <c r="AK43">
        <v>684.423</v>
      </c>
      <c r="AL43">
        <v>881.18299999999999</v>
      </c>
      <c r="AM43">
        <v>1238.9000000000001</v>
      </c>
      <c r="AN43">
        <v>2022.77</v>
      </c>
      <c r="AO43">
        <v>2914.77</v>
      </c>
      <c r="AP43">
        <v>3088.67</v>
      </c>
      <c r="AQ43">
        <v>4174.22</v>
      </c>
      <c r="AR43">
        <v>4394.67</v>
      </c>
      <c r="AS43">
        <v>6137.37</v>
      </c>
      <c r="AT43">
        <v>5907.71</v>
      </c>
      <c r="AU43">
        <v>5245.6</v>
      </c>
      <c r="AV43">
        <v>6537.77</v>
      </c>
      <c r="AW43">
        <v>8483.91</v>
      </c>
      <c r="AX43">
        <v>8999.51</v>
      </c>
      <c r="AY43">
        <v>8072.74</v>
      </c>
      <c r="AZ43">
        <v>14815.07</v>
      </c>
      <c r="BA43">
        <v>16532.63</v>
      </c>
      <c r="BB43">
        <v>19325.98</v>
      </c>
      <c r="BC43">
        <v>22877.16</v>
      </c>
      <c r="BD43">
        <v>26090.95</v>
      </c>
      <c r="BE43">
        <v>29947</v>
      </c>
      <c r="BF43">
        <v>34923.339999999997</v>
      </c>
      <c r="BG43">
        <v>2020</v>
      </c>
      <c r="BH43">
        <v>8072.74</v>
      </c>
      <c r="BI43">
        <v>90181.05</v>
      </c>
      <c r="BJ43">
        <v>90181.05</v>
      </c>
      <c r="BK43">
        <v>2020</v>
      </c>
      <c r="BL43">
        <v>8.9517032680369084</v>
      </c>
    </row>
    <row r="44" spans="1:64">
      <c r="A44" t="s">
        <v>348</v>
      </c>
      <c r="B44">
        <v>634</v>
      </c>
      <c r="C44" t="s">
        <v>348</v>
      </c>
      <c r="D44" t="s">
        <v>1659</v>
      </c>
      <c r="E44" t="s">
        <v>1707</v>
      </c>
      <c r="F44" t="s">
        <v>1660</v>
      </c>
      <c r="G44" t="s">
        <v>1661</v>
      </c>
      <c r="H44" t="s">
        <v>1662</v>
      </c>
      <c r="I44" t="s">
        <v>883</v>
      </c>
      <c r="J44" t="s">
        <v>1708</v>
      </c>
      <c r="K44" t="s">
        <v>1664</v>
      </c>
      <c r="L44" t="s">
        <v>1664</v>
      </c>
      <c r="M44" t="s">
        <v>1664</v>
      </c>
      <c r="N44" t="s">
        <v>1664</v>
      </c>
      <c r="O44" t="s">
        <v>1664</v>
      </c>
      <c r="P44" t="s">
        <v>1664</v>
      </c>
      <c r="Q44" t="s">
        <v>1664</v>
      </c>
      <c r="R44" t="s">
        <v>1664</v>
      </c>
      <c r="S44" t="s">
        <v>1664</v>
      </c>
      <c r="T44">
        <v>166.56399999999999</v>
      </c>
      <c r="U44">
        <v>208.57400000000001</v>
      </c>
      <c r="V44">
        <v>195.95500000000001</v>
      </c>
      <c r="W44">
        <v>174.374</v>
      </c>
      <c r="X44">
        <v>183.178</v>
      </c>
      <c r="Y44">
        <v>230.59200000000001</v>
      </c>
      <c r="Z44">
        <v>260.024</v>
      </c>
      <c r="AA44">
        <v>362</v>
      </c>
      <c r="AB44">
        <v>387.65699999999998</v>
      </c>
      <c r="AC44">
        <v>263.036</v>
      </c>
      <c r="AD44">
        <v>390.608</v>
      </c>
      <c r="AE44">
        <v>611.30899999999997</v>
      </c>
      <c r="AF44">
        <v>631.827</v>
      </c>
      <c r="AG44">
        <v>575.41399999999999</v>
      </c>
      <c r="AH44">
        <v>613.5</v>
      </c>
      <c r="AI44">
        <v>745.8</v>
      </c>
      <c r="AJ44">
        <v>1245.7</v>
      </c>
      <c r="AK44">
        <v>1796</v>
      </c>
      <c r="AL44">
        <v>1579.25</v>
      </c>
      <c r="AM44">
        <v>2497.2600000000002</v>
      </c>
      <c r="AN44">
        <v>1334.76</v>
      </c>
      <c r="AO44">
        <v>2505.66</v>
      </c>
      <c r="AP44">
        <v>3241.55</v>
      </c>
      <c r="AQ44">
        <v>3422.94</v>
      </c>
      <c r="AR44">
        <v>3507.33</v>
      </c>
      <c r="AS44">
        <v>3345.94</v>
      </c>
      <c r="AT44">
        <v>1650.78</v>
      </c>
      <c r="AU44">
        <v>1571.84</v>
      </c>
      <c r="AV44">
        <v>1445.04</v>
      </c>
      <c r="AW44">
        <v>1888.1</v>
      </c>
      <c r="AX44">
        <v>2002.77</v>
      </c>
      <c r="AY44">
        <v>1320.48</v>
      </c>
      <c r="AZ44">
        <v>1687.22</v>
      </c>
      <c r="BA44">
        <v>2686.51</v>
      </c>
      <c r="BB44">
        <v>2503.48</v>
      </c>
      <c r="BC44">
        <v>2577.7800000000002</v>
      </c>
      <c r="BD44">
        <v>2509.7600000000002</v>
      </c>
      <c r="BE44">
        <v>2440.7399999999998</v>
      </c>
      <c r="BF44">
        <v>2594.19</v>
      </c>
      <c r="BG44">
        <v>2020</v>
      </c>
      <c r="BH44">
        <v>1320.48</v>
      </c>
      <c r="BI44">
        <v>5936.5</v>
      </c>
      <c r="BJ44">
        <v>7493.8</v>
      </c>
      <c r="BK44">
        <v>2019</v>
      </c>
      <c r="BL44">
        <v>22.243409416322748</v>
      </c>
    </row>
    <row r="45" spans="1:64">
      <c r="A45" t="s">
        <v>440</v>
      </c>
      <c r="B45">
        <v>238</v>
      </c>
      <c r="C45" t="s">
        <v>440</v>
      </c>
      <c r="D45" t="s">
        <v>1659</v>
      </c>
      <c r="E45" t="s">
        <v>225</v>
      </c>
      <c r="F45" t="s">
        <v>1660</v>
      </c>
      <c r="G45" t="s">
        <v>1661</v>
      </c>
      <c r="H45" t="s">
        <v>1662</v>
      </c>
      <c r="I45" t="s">
        <v>883</v>
      </c>
      <c r="J45" t="s">
        <v>1709</v>
      </c>
      <c r="K45" t="s">
        <v>1664</v>
      </c>
      <c r="L45" t="s">
        <v>1664</v>
      </c>
      <c r="M45" t="s">
        <v>1664</v>
      </c>
      <c r="N45" t="s">
        <v>1664</v>
      </c>
      <c r="O45" t="s">
        <v>1664</v>
      </c>
      <c r="P45" t="s">
        <v>1664</v>
      </c>
      <c r="Q45" t="s">
        <v>1664</v>
      </c>
      <c r="R45" t="s">
        <v>1664</v>
      </c>
      <c r="S45" t="s">
        <v>1664</v>
      </c>
      <c r="T45" t="s">
        <v>1664</v>
      </c>
      <c r="U45">
        <v>76.010000000000005</v>
      </c>
      <c r="V45">
        <v>102.15</v>
      </c>
      <c r="W45">
        <v>140.9</v>
      </c>
      <c r="X45">
        <v>167.5</v>
      </c>
      <c r="Y45">
        <v>197</v>
      </c>
      <c r="Z45">
        <v>264.52499999999998</v>
      </c>
      <c r="AA45">
        <v>314.5</v>
      </c>
      <c r="AB45">
        <v>377.5</v>
      </c>
      <c r="AC45">
        <v>459.70400000000001</v>
      </c>
      <c r="AD45">
        <v>563.22699999999998</v>
      </c>
      <c r="AE45">
        <v>610.13800000000003</v>
      </c>
      <c r="AF45">
        <v>725.56299999999999</v>
      </c>
      <c r="AG45">
        <v>808.80200000000002</v>
      </c>
      <c r="AH45">
        <v>973.27300000000002</v>
      </c>
      <c r="AI45">
        <v>1107.69</v>
      </c>
      <c r="AJ45">
        <v>1321.39</v>
      </c>
      <c r="AK45">
        <v>1638.35</v>
      </c>
      <c r="AL45">
        <v>2104.6999999999998</v>
      </c>
      <c r="AM45">
        <v>2490.0300000000002</v>
      </c>
      <c r="AN45">
        <v>2363.27</v>
      </c>
      <c r="AO45">
        <v>2591.29</v>
      </c>
      <c r="AP45">
        <v>2869.47</v>
      </c>
      <c r="AQ45">
        <v>3118.25</v>
      </c>
      <c r="AR45">
        <v>3379.74</v>
      </c>
      <c r="AS45">
        <v>3625.19</v>
      </c>
      <c r="AT45">
        <v>3993.82</v>
      </c>
      <c r="AU45">
        <v>4379.46</v>
      </c>
      <c r="AV45">
        <v>4560.07</v>
      </c>
      <c r="AW45">
        <v>4766.51</v>
      </c>
      <c r="AX45">
        <v>5675.66</v>
      </c>
      <c r="AY45">
        <v>5077.37</v>
      </c>
      <c r="AZ45">
        <v>6326.21</v>
      </c>
      <c r="BA45">
        <v>6399.6</v>
      </c>
      <c r="BB45">
        <v>6851</v>
      </c>
      <c r="BC45">
        <v>7374.29</v>
      </c>
      <c r="BD45">
        <v>7813.28</v>
      </c>
      <c r="BE45">
        <v>8283.66</v>
      </c>
      <c r="BF45">
        <v>8782.7800000000007</v>
      </c>
      <c r="BG45">
        <v>2021</v>
      </c>
      <c r="BH45">
        <v>6326.21</v>
      </c>
      <c r="BI45">
        <v>39905.550000000003</v>
      </c>
      <c r="BJ45">
        <v>39905.550000000003</v>
      </c>
      <c r="BK45">
        <v>2021</v>
      </c>
      <c r="BL45">
        <v>15.852957796597215</v>
      </c>
    </row>
    <row r="46" spans="1:64">
      <c r="A46" t="s">
        <v>360</v>
      </c>
      <c r="B46">
        <v>662</v>
      </c>
      <c r="C46" t="s">
        <v>360</v>
      </c>
      <c r="D46" t="s">
        <v>1659</v>
      </c>
      <c r="E46" t="s">
        <v>680</v>
      </c>
      <c r="F46" t="s">
        <v>1660</v>
      </c>
      <c r="G46" t="s">
        <v>1661</v>
      </c>
      <c r="H46" t="s">
        <v>1662</v>
      </c>
      <c r="I46" t="s">
        <v>883</v>
      </c>
      <c r="J46" t="s">
        <v>1710</v>
      </c>
      <c r="K46" t="s">
        <v>1664</v>
      </c>
      <c r="L46" t="s">
        <v>1664</v>
      </c>
      <c r="M46" t="s">
        <v>1664</v>
      </c>
      <c r="N46" t="s">
        <v>1664</v>
      </c>
      <c r="O46" t="s">
        <v>1664</v>
      </c>
      <c r="P46" t="s">
        <v>1664</v>
      </c>
      <c r="Q46" t="s">
        <v>1664</v>
      </c>
      <c r="R46" t="s">
        <v>1664</v>
      </c>
      <c r="S46" t="s">
        <v>1664</v>
      </c>
      <c r="T46" t="s">
        <v>1664</v>
      </c>
      <c r="U46" t="s">
        <v>1664</v>
      </c>
      <c r="V46" t="s">
        <v>1664</v>
      </c>
      <c r="W46" t="s">
        <v>1664</v>
      </c>
      <c r="X46" t="s">
        <v>1664</v>
      </c>
      <c r="Y46" t="s">
        <v>1664</v>
      </c>
      <c r="Z46" t="s">
        <v>1664</v>
      </c>
      <c r="AA46" t="s">
        <v>1664</v>
      </c>
      <c r="AB46">
        <v>1364.04</v>
      </c>
      <c r="AC46">
        <v>1426.31</v>
      </c>
      <c r="AD46">
        <v>1306.1400000000001</v>
      </c>
      <c r="AE46">
        <v>1270.5999999999999</v>
      </c>
      <c r="AF46">
        <v>1376.6</v>
      </c>
      <c r="AG46">
        <v>1482.25</v>
      </c>
      <c r="AH46">
        <v>1403.53</v>
      </c>
      <c r="AI46">
        <v>1507.49</v>
      </c>
      <c r="AJ46">
        <v>1566</v>
      </c>
      <c r="AK46">
        <v>1727.53</v>
      </c>
      <c r="AL46">
        <v>1947.98</v>
      </c>
      <c r="AM46">
        <v>2156.2199999999998</v>
      </c>
      <c r="AN46">
        <v>2120.8000000000002</v>
      </c>
      <c r="AO46">
        <v>2236.6</v>
      </c>
      <c r="AP46">
        <v>1725.86</v>
      </c>
      <c r="AQ46">
        <v>2621.36</v>
      </c>
      <c r="AR46">
        <v>3039.51</v>
      </c>
      <c r="AS46">
        <v>3293.46</v>
      </c>
      <c r="AT46">
        <v>3916.81</v>
      </c>
      <c r="AU46">
        <v>4188.8900000000003</v>
      </c>
      <c r="AV46">
        <v>4523.43</v>
      </c>
      <c r="AW46">
        <v>4764.07</v>
      </c>
      <c r="AX46">
        <v>5158.53</v>
      </c>
      <c r="AY46">
        <v>5289.19</v>
      </c>
      <c r="AZ46">
        <v>5598.11</v>
      </c>
      <c r="BA46">
        <v>6370.07</v>
      </c>
      <c r="BB46">
        <v>7022.13</v>
      </c>
      <c r="BC46">
        <v>7615.13</v>
      </c>
      <c r="BD46">
        <v>8140.22</v>
      </c>
      <c r="BE46">
        <v>8689.61</v>
      </c>
      <c r="BF46">
        <v>9355.69</v>
      </c>
      <c r="BG46">
        <v>2020</v>
      </c>
      <c r="BH46">
        <v>5289.19</v>
      </c>
      <c r="BI46">
        <v>35311.379999999997</v>
      </c>
      <c r="BJ46">
        <v>34298.89</v>
      </c>
      <c r="BK46">
        <v>2019</v>
      </c>
      <c r="BL46">
        <v>14.978712245174219</v>
      </c>
    </row>
    <row r="47" spans="1:64">
      <c r="A47" t="s">
        <v>509</v>
      </c>
      <c r="B47">
        <v>960</v>
      </c>
      <c r="C47" t="s">
        <v>509</v>
      </c>
      <c r="D47" t="s">
        <v>1659</v>
      </c>
      <c r="E47" t="s">
        <v>238</v>
      </c>
      <c r="F47" t="s">
        <v>1660</v>
      </c>
      <c r="G47" t="s">
        <v>1661</v>
      </c>
      <c r="H47" t="s">
        <v>1662</v>
      </c>
      <c r="I47" t="s">
        <v>883</v>
      </c>
      <c r="J47" t="s">
        <v>1711</v>
      </c>
      <c r="K47" t="s">
        <v>1664</v>
      </c>
      <c r="L47" t="s">
        <v>1664</v>
      </c>
      <c r="M47" t="s">
        <v>1664</v>
      </c>
      <c r="N47" t="s">
        <v>1664</v>
      </c>
      <c r="O47" t="s">
        <v>1664</v>
      </c>
      <c r="P47" t="s">
        <v>1664</v>
      </c>
      <c r="Q47" t="s">
        <v>1664</v>
      </c>
      <c r="R47" t="s">
        <v>1664</v>
      </c>
      <c r="S47" t="s">
        <v>1664</v>
      </c>
      <c r="T47" t="s">
        <v>1664</v>
      </c>
      <c r="U47" t="s">
        <v>1664</v>
      </c>
      <c r="V47" t="s">
        <v>1664</v>
      </c>
      <c r="W47">
        <v>0.93200000000000005</v>
      </c>
      <c r="X47">
        <v>14.224</v>
      </c>
      <c r="Y47">
        <v>42.680999999999997</v>
      </c>
      <c r="Z47">
        <v>49.646999999999998</v>
      </c>
      <c r="AA47">
        <v>56.470999999999997</v>
      </c>
      <c r="AB47">
        <v>63.128999999999998</v>
      </c>
      <c r="AC47">
        <v>75.152000000000001</v>
      </c>
      <c r="AD47">
        <v>73.218000000000004</v>
      </c>
      <c r="AE47">
        <v>75.269000000000005</v>
      </c>
      <c r="AF47">
        <v>77.793000000000006</v>
      </c>
      <c r="AG47">
        <v>100.127</v>
      </c>
      <c r="AH47">
        <v>105.879</v>
      </c>
      <c r="AI47">
        <v>110.105</v>
      </c>
      <c r="AJ47">
        <v>116.803</v>
      </c>
      <c r="AK47">
        <v>127.696</v>
      </c>
      <c r="AL47">
        <v>139.90199999999999</v>
      </c>
      <c r="AM47">
        <v>149.17500000000001</v>
      </c>
      <c r="AN47">
        <v>141.66399999999999</v>
      </c>
      <c r="AO47">
        <v>138.36699999999999</v>
      </c>
      <c r="AP47">
        <v>136.232</v>
      </c>
      <c r="AQ47">
        <v>141.44900000000001</v>
      </c>
      <c r="AR47">
        <v>141.73099999999999</v>
      </c>
      <c r="AS47">
        <v>143.613</v>
      </c>
      <c r="AT47">
        <v>153.50899999999999</v>
      </c>
      <c r="AU47">
        <v>163.31700000000001</v>
      </c>
      <c r="AV47">
        <v>169.477</v>
      </c>
      <c r="AW47">
        <v>178.48400000000001</v>
      </c>
      <c r="AX47">
        <v>190.68899999999999</v>
      </c>
      <c r="AY47">
        <v>178.304</v>
      </c>
      <c r="AZ47">
        <v>203.93700000000001</v>
      </c>
      <c r="BA47">
        <v>224.8</v>
      </c>
      <c r="BB47">
        <v>238.07</v>
      </c>
      <c r="BC47">
        <v>241.62799999999999</v>
      </c>
      <c r="BD47">
        <v>260.16899999999998</v>
      </c>
      <c r="BE47">
        <v>264.38900000000001</v>
      </c>
      <c r="BF47">
        <v>265.01900000000001</v>
      </c>
      <c r="BG47">
        <v>2020</v>
      </c>
      <c r="BH47">
        <v>178.304</v>
      </c>
      <c r="BI47">
        <v>378.351</v>
      </c>
      <c r="BJ47">
        <v>378.351</v>
      </c>
      <c r="BK47">
        <v>2020</v>
      </c>
      <c r="BL47">
        <v>47.126609946848298</v>
      </c>
    </row>
    <row r="48" spans="1:64">
      <c r="A48" t="s">
        <v>511</v>
      </c>
      <c r="B48">
        <v>423</v>
      </c>
      <c r="C48" t="s">
        <v>511</v>
      </c>
      <c r="D48" t="s">
        <v>1659</v>
      </c>
      <c r="E48" t="s">
        <v>251</v>
      </c>
      <c r="F48" t="s">
        <v>1660</v>
      </c>
      <c r="G48" t="s">
        <v>1661</v>
      </c>
      <c r="H48" t="s">
        <v>1662</v>
      </c>
      <c r="I48" t="s">
        <v>883</v>
      </c>
      <c r="J48" t="s">
        <v>1712</v>
      </c>
      <c r="K48" t="s">
        <v>1664</v>
      </c>
      <c r="L48" t="s">
        <v>1664</v>
      </c>
      <c r="M48" t="s">
        <v>1664</v>
      </c>
      <c r="N48" t="s">
        <v>1664</v>
      </c>
      <c r="O48" t="s">
        <v>1664</v>
      </c>
      <c r="P48" t="s">
        <v>1664</v>
      </c>
      <c r="Q48" t="s">
        <v>1664</v>
      </c>
      <c r="R48" t="s">
        <v>1664</v>
      </c>
      <c r="S48" t="s">
        <v>1664</v>
      </c>
      <c r="T48" t="s">
        <v>1664</v>
      </c>
      <c r="U48" t="s">
        <v>1664</v>
      </c>
      <c r="V48" t="s">
        <v>1664</v>
      </c>
      <c r="W48" t="s">
        <v>1664</v>
      </c>
      <c r="X48" t="s">
        <v>1664</v>
      </c>
      <c r="Y48" t="s">
        <v>1664</v>
      </c>
      <c r="Z48">
        <v>2.2810000000000001</v>
      </c>
      <c r="AA48">
        <v>2.3530000000000002</v>
      </c>
      <c r="AB48">
        <v>2.4609999999999999</v>
      </c>
      <c r="AC48">
        <v>2.766</v>
      </c>
      <c r="AD48">
        <v>2.9449999999999998</v>
      </c>
      <c r="AE48">
        <v>3.468</v>
      </c>
      <c r="AF48">
        <v>3.8370000000000002</v>
      </c>
      <c r="AG48">
        <v>3.9540000000000002</v>
      </c>
      <c r="AH48">
        <v>4.4290000000000003</v>
      </c>
      <c r="AI48">
        <v>4.84</v>
      </c>
      <c r="AJ48">
        <v>5.5529999999999999</v>
      </c>
      <c r="AK48">
        <v>6.0940000000000003</v>
      </c>
      <c r="AL48">
        <v>7.1429999999999998</v>
      </c>
      <c r="AM48">
        <v>7.43</v>
      </c>
      <c r="AN48">
        <v>6.8079999999999998</v>
      </c>
      <c r="AO48">
        <v>7.2030000000000003</v>
      </c>
      <c r="AP48">
        <v>7.2329999999999997</v>
      </c>
      <c r="AQ48">
        <v>7.085</v>
      </c>
      <c r="AR48">
        <v>6.6639999999999997</v>
      </c>
      <c r="AS48">
        <v>7.008</v>
      </c>
      <c r="AT48">
        <v>7.0940000000000003</v>
      </c>
      <c r="AU48">
        <v>7.1379999999999999</v>
      </c>
      <c r="AV48">
        <v>7.7869999999999999</v>
      </c>
      <c r="AW48">
        <v>8.4719999999999995</v>
      </c>
      <c r="AX48">
        <v>9.1289999999999996</v>
      </c>
      <c r="AY48">
        <v>8.4920000000000009</v>
      </c>
      <c r="AZ48">
        <v>9.8759999999999994</v>
      </c>
      <c r="BA48">
        <v>10.054</v>
      </c>
      <c r="BB48">
        <v>10.958</v>
      </c>
      <c r="BC48">
        <v>11.755000000000001</v>
      </c>
      <c r="BD48">
        <v>12.379</v>
      </c>
      <c r="BE48">
        <v>12.917</v>
      </c>
      <c r="BF48">
        <v>13.59</v>
      </c>
      <c r="BG48">
        <v>2020</v>
      </c>
      <c r="BH48">
        <v>8.4920000000000009</v>
      </c>
      <c r="BI48">
        <v>21.617999999999999</v>
      </c>
      <c r="BJ48">
        <v>23.353000000000002</v>
      </c>
      <c r="BK48">
        <v>2021</v>
      </c>
      <c r="BL48">
        <v>39.282079748357859</v>
      </c>
    </row>
    <row r="49" spans="1:64">
      <c r="A49" t="s">
        <v>446</v>
      </c>
      <c r="B49">
        <v>935</v>
      </c>
      <c r="C49" t="s">
        <v>446</v>
      </c>
      <c r="D49" t="s">
        <v>1659</v>
      </c>
      <c r="E49" t="s">
        <v>70</v>
      </c>
      <c r="F49" t="s">
        <v>1660</v>
      </c>
      <c r="G49" t="s">
        <v>1661</v>
      </c>
      <c r="H49" t="s">
        <v>1662</v>
      </c>
      <c r="I49" t="s">
        <v>883</v>
      </c>
      <c r="J49" t="s">
        <v>1713</v>
      </c>
      <c r="K49" t="s">
        <v>1664</v>
      </c>
      <c r="L49" t="s">
        <v>1664</v>
      </c>
      <c r="M49" t="s">
        <v>1664</v>
      </c>
      <c r="N49" t="s">
        <v>1664</v>
      </c>
      <c r="O49" t="s">
        <v>1664</v>
      </c>
      <c r="P49" t="s">
        <v>1664</v>
      </c>
      <c r="Q49" t="s">
        <v>1664</v>
      </c>
      <c r="R49" t="s">
        <v>1664</v>
      </c>
      <c r="S49" t="s">
        <v>1664</v>
      </c>
      <c r="T49" t="s">
        <v>1664</v>
      </c>
      <c r="U49" t="s">
        <v>1664</v>
      </c>
      <c r="V49" t="s">
        <v>1664</v>
      </c>
      <c r="W49" t="s">
        <v>1664</v>
      </c>
      <c r="X49" t="s">
        <v>1664</v>
      </c>
      <c r="Y49" t="s">
        <v>1664</v>
      </c>
      <c r="Z49">
        <v>651.91999999999996</v>
      </c>
      <c r="AA49">
        <v>707.77300000000002</v>
      </c>
      <c r="AB49">
        <v>757.33900000000006</v>
      </c>
      <c r="AC49">
        <v>813.23900000000003</v>
      </c>
      <c r="AD49">
        <v>857.06100000000004</v>
      </c>
      <c r="AE49">
        <v>889.40200000000004</v>
      </c>
      <c r="AF49">
        <v>968.47</v>
      </c>
      <c r="AG49">
        <v>1030.83</v>
      </c>
      <c r="AH49">
        <v>1193.23</v>
      </c>
      <c r="AI49">
        <v>1230.28</v>
      </c>
      <c r="AJ49">
        <v>1292.6600000000001</v>
      </c>
      <c r="AK49">
        <v>1388</v>
      </c>
      <c r="AL49">
        <v>1535.86</v>
      </c>
      <c r="AM49">
        <v>1572.85</v>
      </c>
      <c r="AN49">
        <v>1540.05</v>
      </c>
      <c r="AO49">
        <v>1576.31</v>
      </c>
      <c r="AP49">
        <v>1644.73</v>
      </c>
      <c r="AQ49">
        <v>1667.38</v>
      </c>
      <c r="AR49">
        <v>1713.73</v>
      </c>
      <c r="AS49">
        <v>1762.06</v>
      </c>
      <c r="AT49">
        <v>1909.83</v>
      </c>
      <c r="AU49">
        <v>1940.95</v>
      </c>
      <c r="AV49">
        <v>2068.91</v>
      </c>
      <c r="AW49">
        <v>2245.87</v>
      </c>
      <c r="AX49">
        <v>2395.5</v>
      </c>
      <c r="AY49">
        <v>2371.1</v>
      </c>
      <c r="AZ49">
        <v>2505.36</v>
      </c>
      <c r="BA49">
        <v>2716.19</v>
      </c>
      <c r="BB49">
        <v>2890.78</v>
      </c>
      <c r="BC49">
        <v>3020.75</v>
      </c>
      <c r="BD49">
        <v>3156.83</v>
      </c>
      <c r="BE49">
        <v>3293.99</v>
      </c>
      <c r="BF49">
        <v>3450.44</v>
      </c>
      <c r="BG49">
        <v>2020</v>
      </c>
      <c r="BH49">
        <v>2371.1</v>
      </c>
      <c r="BI49">
        <v>5694.39</v>
      </c>
      <c r="BJ49">
        <v>5694.39</v>
      </c>
      <c r="BK49">
        <v>2020</v>
      </c>
      <c r="BL49">
        <v>41.639227379930063</v>
      </c>
    </row>
    <row r="50" spans="1:64">
      <c r="A50" t="s">
        <v>464</v>
      </c>
      <c r="B50">
        <v>128</v>
      </c>
      <c r="C50" t="s">
        <v>464</v>
      </c>
      <c r="D50" t="s">
        <v>1659</v>
      </c>
      <c r="E50" t="s">
        <v>49</v>
      </c>
      <c r="F50" t="s">
        <v>1660</v>
      </c>
      <c r="G50" t="s">
        <v>1661</v>
      </c>
      <c r="H50" t="s">
        <v>1662</v>
      </c>
      <c r="I50" t="s">
        <v>883</v>
      </c>
      <c r="J50" t="s">
        <v>1714</v>
      </c>
      <c r="K50">
        <v>195.45699999999999</v>
      </c>
      <c r="L50">
        <v>216.11699999999999</v>
      </c>
      <c r="M50">
        <v>239.785</v>
      </c>
      <c r="N50">
        <v>274.81799999999998</v>
      </c>
      <c r="O50">
        <v>314.35899999999998</v>
      </c>
      <c r="P50">
        <v>347.42200000000003</v>
      </c>
      <c r="Q50">
        <v>384.92700000000002</v>
      </c>
      <c r="R50">
        <v>408.25599999999997</v>
      </c>
      <c r="S50">
        <v>430.60599999999999</v>
      </c>
      <c r="T50">
        <v>448.11500000000001</v>
      </c>
      <c r="U50">
        <v>456.99200000000002</v>
      </c>
      <c r="V50">
        <v>467.06400000000002</v>
      </c>
      <c r="W50">
        <v>496.30799999999999</v>
      </c>
      <c r="X50">
        <v>516.43399999999997</v>
      </c>
      <c r="Y50">
        <v>553.15899999999999</v>
      </c>
      <c r="Z50">
        <v>569.09100000000001</v>
      </c>
      <c r="AA50">
        <v>604.02599999999995</v>
      </c>
      <c r="AB50">
        <v>627.01599999999996</v>
      </c>
      <c r="AC50">
        <v>652.37300000000005</v>
      </c>
      <c r="AD50">
        <v>687.83</v>
      </c>
      <c r="AE50">
        <v>724.15</v>
      </c>
      <c r="AF50">
        <v>740.322</v>
      </c>
      <c r="AG50">
        <v>750.24900000000002</v>
      </c>
      <c r="AH50">
        <v>768.75099999999998</v>
      </c>
      <c r="AI50">
        <v>829.36300000000006</v>
      </c>
      <c r="AJ50">
        <v>891.26900000000001</v>
      </c>
      <c r="AK50">
        <v>922.16200000000003</v>
      </c>
      <c r="AL50">
        <v>949.61599999999999</v>
      </c>
      <c r="AM50">
        <v>965.31200000000001</v>
      </c>
      <c r="AN50">
        <v>925.44799999999998</v>
      </c>
      <c r="AO50">
        <v>977.23</v>
      </c>
      <c r="AP50">
        <v>1004.2</v>
      </c>
      <c r="AQ50">
        <v>1032.0999999999999</v>
      </c>
      <c r="AR50">
        <v>1053.31</v>
      </c>
      <c r="AS50">
        <v>1116.6300000000001</v>
      </c>
      <c r="AT50">
        <v>1083.3</v>
      </c>
      <c r="AU50">
        <v>1103.92</v>
      </c>
      <c r="AV50">
        <v>1147.7</v>
      </c>
      <c r="AW50">
        <v>1156.1500000000001</v>
      </c>
      <c r="AX50">
        <v>1242.03</v>
      </c>
      <c r="AY50">
        <v>1240.52</v>
      </c>
      <c r="AZ50">
        <v>1305.3900000000001</v>
      </c>
      <c r="BA50">
        <v>1341.36</v>
      </c>
      <c r="BB50">
        <v>1389.48</v>
      </c>
      <c r="BC50">
        <v>1430.53</v>
      </c>
      <c r="BD50">
        <v>1471.59</v>
      </c>
      <c r="BE50">
        <v>1531.63</v>
      </c>
      <c r="BF50">
        <v>1594.44</v>
      </c>
      <c r="BG50">
        <v>2020</v>
      </c>
      <c r="BH50">
        <v>1240.52</v>
      </c>
      <c r="BI50">
        <v>2329.56</v>
      </c>
      <c r="BJ50">
        <v>2487.88</v>
      </c>
      <c r="BK50">
        <v>2021</v>
      </c>
      <c r="BL50">
        <v>53.251257748244306</v>
      </c>
    </row>
    <row r="51" spans="1:64">
      <c r="A51" t="s">
        <v>368</v>
      </c>
      <c r="B51">
        <v>611</v>
      </c>
      <c r="C51" t="s">
        <v>368</v>
      </c>
      <c r="D51" t="s">
        <v>1659</v>
      </c>
      <c r="E51" t="s">
        <v>154</v>
      </c>
      <c r="F51" t="s">
        <v>1660</v>
      </c>
      <c r="G51" t="s">
        <v>1661</v>
      </c>
      <c r="H51" t="s">
        <v>1662</v>
      </c>
      <c r="I51" t="s">
        <v>883</v>
      </c>
      <c r="J51" t="s">
        <v>1715</v>
      </c>
      <c r="K51" t="s">
        <v>1664</v>
      </c>
      <c r="L51" t="s">
        <v>1664</v>
      </c>
      <c r="M51" t="s">
        <v>1664</v>
      </c>
      <c r="N51" t="s">
        <v>1664</v>
      </c>
      <c r="O51" t="s">
        <v>1664</v>
      </c>
      <c r="P51" t="s">
        <v>1664</v>
      </c>
      <c r="Q51" t="s">
        <v>1664</v>
      </c>
      <c r="R51" t="s">
        <v>1664</v>
      </c>
      <c r="S51" t="s">
        <v>1664</v>
      </c>
      <c r="T51" t="s">
        <v>1664</v>
      </c>
      <c r="U51">
        <v>30.414000000000001</v>
      </c>
      <c r="V51">
        <v>30.960999999999999</v>
      </c>
      <c r="W51">
        <v>34.29</v>
      </c>
      <c r="X51">
        <v>32.822000000000003</v>
      </c>
      <c r="Y51">
        <v>31.858000000000001</v>
      </c>
      <c r="Z51">
        <v>27.169</v>
      </c>
      <c r="AA51">
        <v>27.006</v>
      </c>
      <c r="AB51">
        <v>27.777999999999999</v>
      </c>
      <c r="AC51">
        <v>26.210999999999999</v>
      </c>
      <c r="AD51">
        <v>24.733000000000001</v>
      </c>
      <c r="AE51">
        <v>26.689</v>
      </c>
      <c r="AF51">
        <v>25.015999999999998</v>
      </c>
      <c r="AG51">
        <v>28.023</v>
      </c>
      <c r="AH51">
        <v>34.014000000000003</v>
      </c>
      <c r="AI51">
        <v>38.298000000000002</v>
      </c>
      <c r="AJ51">
        <v>44.298000000000002</v>
      </c>
      <c r="AK51">
        <v>46.286999999999999</v>
      </c>
      <c r="AL51">
        <v>52.250999999999998</v>
      </c>
      <c r="AM51">
        <v>72.311000000000007</v>
      </c>
      <c r="AN51">
        <v>68.722999999999999</v>
      </c>
      <c r="AO51">
        <v>70.188000000000002</v>
      </c>
      <c r="AP51">
        <v>74.516000000000005</v>
      </c>
      <c r="AQ51">
        <v>82.572000000000003</v>
      </c>
      <c r="AR51">
        <v>82</v>
      </c>
      <c r="AS51">
        <v>87.325999999999993</v>
      </c>
      <c r="AT51">
        <v>114.22199999999999</v>
      </c>
      <c r="AU51">
        <v>112.771</v>
      </c>
      <c r="AV51">
        <v>116.13800000000001</v>
      </c>
      <c r="AW51">
        <v>123.93</v>
      </c>
      <c r="AX51">
        <v>128.93100000000001</v>
      </c>
      <c r="AY51">
        <v>132.58000000000001</v>
      </c>
      <c r="AZ51">
        <v>129.042</v>
      </c>
      <c r="BA51">
        <v>123.886</v>
      </c>
      <c r="BB51">
        <v>133.21299999999999</v>
      </c>
      <c r="BC51">
        <v>145.16399999999999</v>
      </c>
      <c r="BD51">
        <v>156.429</v>
      </c>
      <c r="BE51">
        <v>167.93</v>
      </c>
      <c r="BF51">
        <v>180.42400000000001</v>
      </c>
      <c r="BG51">
        <v>2020</v>
      </c>
      <c r="BH51">
        <v>132.58000000000001</v>
      </c>
      <c r="BI51">
        <v>606.06299999999999</v>
      </c>
      <c r="BJ51">
        <v>535.43799999999999</v>
      </c>
      <c r="BK51">
        <v>2018</v>
      </c>
      <c r="BL51">
        <v>21.875613591326317</v>
      </c>
    </row>
    <row r="52" spans="1:64">
      <c r="A52" t="s">
        <v>420</v>
      </c>
      <c r="B52">
        <v>321</v>
      </c>
      <c r="C52" t="s">
        <v>420</v>
      </c>
      <c r="D52" t="s">
        <v>1659</v>
      </c>
      <c r="E52" t="s">
        <v>205</v>
      </c>
      <c r="F52" t="s">
        <v>1660</v>
      </c>
      <c r="G52" t="s">
        <v>1661</v>
      </c>
      <c r="H52" t="s">
        <v>1662</v>
      </c>
      <c r="I52" t="s">
        <v>883</v>
      </c>
      <c r="J52" t="s">
        <v>1716</v>
      </c>
      <c r="K52" t="s">
        <v>1664</v>
      </c>
      <c r="L52" t="s">
        <v>1664</v>
      </c>
      <c r="M52" t="s">
        <v>1664</v>
      </c>
      <c r="N52" t="s">
        <v>1664</v>
      </c>
      <c r="O52" t="s">
        <v>1664</v>
      </c>
      <c r="P52" t="s">
        <v>1664</v>
      </c>
      <c r="Q52" t="s">
        <v>1664</v>
      </c>
      <c r="R52" t="s">
        <v>1664</v>
      </c>
      <c r="S52" t="s">
        <v>1664</v>
      </c>
      <c r="T52" t="s">
        <v>1664</v>
      </c>
      <c r="U52">
        <v>0.153</v>
      </c>
      <c r="V52">
        <v>0.159</v>
      </c>
      <c r="W52">
        <v>0.16300000000000001</v>
      </c>
      <c r="X52">
        <v>0.16400000000000001</v>
      </c>
      <c r="Y52">
        <v>0.17299999999999999</v>
      </c>
      <c r="Z52">
        <v>0.19800000000000001</v>
      </c>
      <c r="AA52">
        <v>0.216</v>
      </c>
      <c r="AB52">
        <v>0.219</v>
      </c>
      <c r="AC52">
        <v>0.23899999999999999</v>
      </c>
      <c r="AD52">
        <v>0.23400000000000001</v>
      </c>
      <c r="AE52">
        <v>0.27200000000000002</v>
      </c>
      <c r="AF52">
        <v>0.21</v>
      </c>
      <c r="AG52">
        <v>0.224</v>
      </c>
      <c r="AH52">
        <v>0.29699999999999999</v>
      </c>
      <c r="AI52">
        <v>0.29199999999999998</v>
      </c>
      <c r="AJ52">
        <v>0.32500000000000001</v>
      </c>
      <c r="AK52">
        <v>0.35699999999999998</v>
      </c>
      <c r="AL52">
        <v>0.42599999999999999</v>
      </c>
      <c r="AM52">
        <v>0.45300000000000001</v>
      </c>
      <c r="AN52">
        <v>0.47199999999999998</v>
      </c>
      <c r="AO52">
        <v>0.48399999999999999</v>
      </c>
      <c r="AP52">
        <v>0.41099999999999998</v>
      </c>
      <c r="AQ52">
        <v>0.40899999999999997</v>
      </c>
      <c r="AR52">
        <v>0.42</v>
      </c>
      <c r="AS52">
        <v>0.38900000000000001</v>
      </c>
      <c r="AT52">
        <v>0.66</v>
      </c>
      <c r="AU52">
        <v>0.88400000000000001</v>
      </c>
      <c r="AV52">
        <v>0.73699999999999999</v>
      </c>
      <c r="AW52">
        <v>0.70399999999999996</v>
      </c>
      <c r="AX52">
        <v>0.59699999999999998</v>
      </c>
      <c r="AY52">
        <v>0.84499999999999997</v>
      </c>
      <c r="AZ52">
        <v>0.82799999999999996</v>
      </c>
      <c r="BA52">
        <v>0.85</v>
      </c>
      <c r="BB52">
        <v>0.88300000000000001</v>
      </c>
      <c r="BC52">
        <v>0.90700000000000003</v>
      </c>
      <c r="BD52">
        <v>0.92700000000000005</v>
      </c>
      <c r="BE52">
        <v>0.96199999999999997</v>
      </c>
      <c r="BF52">
        <v>1.004</v>
      </c>
      <c r="BG52">
        <v>2021</v>
      </c>
      <c r="BH52">
        <v>0.82799999999999996</v>
      </c>
      <c r="BI52">
        <v>1.5309999999999999</v>
      </c>
      <c r="BJ52">
        <v>1.524</v>
      </c>
      <c r="BK52">
        <v>2018</v>
      </c>
      <c r="BL52">
        <v>54.082299150881774</v>
      </c>
    </row>
    <row r="53" spans="1:64">
      <c r="A53" t="s">
        <v>422</v>
      </c>
      <c r="B53">
        <v>243</v>
      </c>
      <c r="C53" t="s">
        <v>422</v>
      </c>
      <c r="D53" t="s">
        <v>1659</v>
      </c>
      <c r="E53" t="s">
        <v>207</v>
      </c>
      <c r="F53" t="s">
        <v>1660</v>
      </c>
      <c r="G53" t="s">
        <v>1661</v>
      </c>
      <c r="H53" t="s">
        <v>1662</v>
      </c>
      <c r="I53" t="s">
        <v>883</v>
      </c>
      <c r="J53" t="s">
        <v>1717</v>
      </c>
      <c r="K53" t="s">
        <v>1664</v>
      </c>
      <c r="L53" t="s">
        <v>1664</v>
      </c>
      <c r="M53" t="s">
        <v>1664</v>
      </c>
      <c r="N53" t="s">
        <v>1664</v>
      </c>
      <c r="O53" t="s">
        <v>1664</v>
      </c>
      <c r="P53" t="s">
        <v>1664</v>
      </c>
      <c r="Q53" t="s">
        <v>1664</v>
      </c>
      <c r="R53" t="s">
        <v>1664</v>
      </c>
      <c r="S53" t="s">
        <v>1664</v>
      </c>
      <c r="T53" t="s">
        <v>1664</v>
      </c>
      <c r="U53" t="s">
        <v>1664</v>
      </c>
      <c r="V53" t="s">
        <v>1664</v>
      </c>
      <c r="W53" t="s">
        <v>1664</v>
      </c>
      <c r="X53" t="s">
        <v>1664</v>
      </c>
      <c r="Y53" t="s">
        <v>1664</v>
      </c>
      <c r="Z53" t="s">
        <v>1664</v>
      </c>
      <c r="AA53" t="s">
        <v>1664</v>
      </c>
      <c r="AB53">
        <v>34.89</v>
      </c>
      <c r="AC53">
        <v>38.948999999999998</v>
      </c>
      <c r="AD53">
        <v>43.908000000000001</v>
      </c>
      <c r="AE53">
        <v>51.692</v>
      </c>
      <c r="AF53">
        <v>60.271000000000001</v>
      </c>
      <c r="AG53">
        <v>67.009</v>
      </c>
      <c r="AH53">
        <v>80.632000000000005</v>
      </c>
      <c r="AI53">
        <v>127.577</v>
      </c>
      <c r="AJ53">
        <v>159.70599999999999</v>
      </c>
      <c r="AK53">
        <v>191.95500000000001</v>
      </c>
      <c r="AL53">
        <v>238.86</v>
      </c>
      <c r="AM53">
        <v>249.84299999999999</v>
      </c>
      <c r="AN53">
        <v>229.702</v>
      </c>
      <c r="AO53">
        <v>259.20400000000001</v>
      </c>
      <c r="AP53">
        <v>285.04700000000003</v>
      </c>
      <c r="AQ53">
        <v>323.47899999999998</v>
      </c>
      <c r="AR53">
        <v>372.48899999999998</v>
      </c>
      <c r="AS53">
        <v>416.82299999999998</v>
      </c>
      <c r="AT53">
        <v>533.68299999999999</v>
      </c>
      <c r="AU53">
        <v>483.73</v>
      </c>
      <c r="AV53">
        <v>531.48199999999997</v>
      </c>
      <c r="AW53">
        <v>601.12</v>
      </c>
      <c r="AX53">
        <v>656.78300000000002</v>
      </c>
      <c r="AY53">
        <v>632.25199999999995</v>
      </c>
      <c r="AZ53">
        <v>841.18499999999995</v>
      </c>
      <c r="BA53">
        <v>897.77300000000002</v>
      </c>
      <c r="BB53">
        <v>980.06700000000001</v>
      </c>
      <c r="BC53">
        <v>1073.21</v>
      </c>
      <c r="BD53">
        <v>1171.97</v>
      </c>
      <c r="BE53">
        <v>1279.83</v>
      </c>
      <c r="BF53">
        <v>1397.61</v>
      </c>
      <c r="BG53">
        <v>2020</v>
      </c>
      <c r="BH53">
        <v>632.25199999999995</v>
      </c>
      <c r="BI53">
        <v>4456.66</v>
      </c>
      <c r="BJ53">
        <v>5407.34</v>
      </c>
      <c r="BK53">
        <v>2021</v>
      </c>
      <c r="BL53">
        <v>14.186677915748563</v>
      </c>
    </row>
    <row r="54" spans="1:64">
      <c r="A54" t="s">
        <v>406</v>
      </c>
      <c r="B54">
        <v>248</v>
      </c>
      <c r="C54" t="s">
        <v>406</v>
      </c>
      <c r="D54" t="s">
        <v>1659</v>
      </c>
      <c r="E54" t="s">
        <v>191</v>
      </c>
      <c r="F54" t="s">
        <v>1660</v>
      </c>
      <c r="G54" t="s">
        <v>1661</v>
      </c>
      <c r="H54" t="s">
        <v>1662</v>
      </c>
      <c r="I54" t="s">
        <v>883</v>
      </c>
      <c r="J54" t="s">
        <v>1718</v>
      </c>
      <c r="K54" t="s">
        <v>1664</v>
      </c>
      <c r="L54" t="s">
        <v>1664</v>
      </c>
      <c r="M54" t="s">
        <v>1664</v>
      </c>
      <c r="N54" t="s">
        <v>1664</v>
      </c>
      <c r="O54" t="s">
        <v>1664</v>
      </c>
      <c r="P54" t="s">
        <v>1664</v>
      </c>
      <c r="Q54" t="s">
        <v>1664</v>
      </c>
      <c r="R54" t="s">
        <v>1664</v>
      </c>
      <c r="S54" t="s">
        <v>1664</v>
      </c>
      <c r="T54" t="s">
        <v>1664</v>
      </c>
      <c r="U54" t="s">
        <v>1664</v>
      </c>
      <c r="V54" t="s">
        <v>1664</v>
      </c>
      <c r="W54" t="s">
        <v>1664</v>
      </c>
      <c r="X54" t="s">
        <v>1664</v>
      </c>
      <c r="Y54" t="s">
        <v>1664</v>
      </c>
      <c r="Z54">
        <v>4.38</v>
      </c>
      <c r="AA54">
        <v>4.4379999999999997</v>
      </c>
      <c r="AB54">
        <v>4.9470000000000001</v>
      </c>
      <c r="AC54">
        <v>4.32</v>
      </c>
      <c r="AD54">
        <v>3.6469999999999998</v>
      </c>
      <c r="AE54">
        <v>4.1970000000000001</v>
      </c>
      <c r="AF54">
        <v>4.9550000000000001</v>
      </c>
      <c r="AG54">
        <v>6.3609999999999998</v>
      </c>
      <c r="AH54">
        <v>6.91</v>
      </c>
      <c r="AI54">
        <v>8.1760000000000002</v>
      </c>
      <c r="AJ54">
        <v>9.1460000000000008</v>
      </c>
      <c r="AK54">
        <v>11.263</v>
      </c>
      <c r="AL54">
        <v>13.631</v>
      </c>
      <c r="AM54">
        <v>22.108000000000001</v>
      </c>
      <c r="AN54">
        <v>18.378</v>
      </c>
      <c r="AO54">
        <v>23.178000000000001</v>
      </c>
      <c r="AP54">
        <v>31.19</v>
      </c>
      <c r="AQ54">
        <v>34.57</v>
      </c>
      <c r="AR54">
        <v>37.26</v>
      </c>
      <c r="AS54">
        <v>39.031999999999996</v>
      </c>
      <c r="AT54">
        <v>33.322000000000003</v>
      </c>
      <c r="AU54">
        <v>30.314</v>
      </c>
      <c r="AV54">
        <v>33.426000000000002</v>
      </c>
      <c r="AW54">
        <v>38.29</v>
      </c>
      <c r="AX54">
        <v>36.389000000000003</v>
      </c>
      <c r="AY54">
        <v>29.408000000000001</v>
      </c>
      <c r="AZ54">
        <v>36.121000000000002</v>
      </c>
      <c r="BA54" t="s">
        <v>1664</v>
      </c>
      <c r="BB54" t="s">
        <v>1664</v>
      </c>
      <c r="BC54" t="s">
        <v>1664</v>
      </c>
      <c r="BD54" t="s">
        <v>1664</v>
      </c>
      <c r="BE54" t="s">
        <v>1664</v>
      </c>
      <c r="BF54" t="s">
        <v>1664</v>
      </c>
      <c r="BG54">
        <v>2020</v>
      </c>
      <c r="BH54">
        <v>29.408000000000001</v>
      </c>
      <c r="BI54">
        <v>99.290999999999997</v>
      </c>
      <c r="BJ54">
        <v>106.166</v>
      </c>
      <c r="BK54">
        <v>2021</v>
      </c>
      <c r="BL54">
        <v>29.617991560161549</v>
      </c>
    </row>
    <row r="55" spans="1:64">
      <c r="A55" t="s">
        <v>374</v>
      </c>
      <c r="B55">
        <v>469</v>
      </c>
      <c r="C55" t="s">
        <v>374</v>
      </c>
      <c r="D55" t="s">
        <v>1659</v>
      </c>
      <c r="E55" t="s">
        <v>1719</v>
      </c>
      <c r="F55" t="s">
        <v>1660</v>
      </c>
      <c r="G55" t="s">
        <v>1661</v>
      </c>
      <c r="H55" t="s">
        <v>1662</v>
      </c>
      <c r="I55" t="s">
        <v>883</v>
      </c>
      <c r="J55" t="s">
        <v>1720</v>
      </c>
      <c r="K55" t="s">
        <v>1664</v>
      </c>
      <c r="L55" t="s">
        <v>1664</v>
      </c>
      <c r="M55" t="s">
        <v>1664</v>
      </c>
      <c r="N55" t="s">
        <v>1664</v>
      </c>
      <c r="O55" t="s">
        <v>1664</v>
      </c>
      <c r="P55" t="s">
        <v>1664</v>
      </c>
      <c r="Q55" t="s">
        <v>1664</v>
      </c>
      <c r="R55" t="s">
        <v>1664</v>
      </c>
      <c r="S55" t="s">
        <v>1664</v>
      </c>
      <c r="T55" t="s">
        <v>1664</v>
      </c>
      <c r="U55" t="s">
        <v>1664</v>
      </c>
      <c r="V55" t="s">
        <v>1664</v>
      </c>
      <c r="W55" t="s">
        <v>1664</v>
      </c>
      <c r="X55" t="s">
        <v>1664</v>
      </c>
      <c r="Y55" t="s">
        <v>1664</v>
      </c>
      <c r="Z55" t="s">
        <v>1664</v>
      </c>
      <c r="AA55" t="s">
        <v>1664</v>
      </c>
      <c r="AB55" t="s">
        <v>1664</v>
      </c>
      <c r="AC55" t="s">
        <v>1664</v>
      </c>
      <c r="AD55">
        <v>91.811999999999998</v>
      </c>
      <c r="AE55">
        <v>97.671999999999997</v>
      </c>
      <c r="AF55">
        <v>101.051</v>
      </c>
      <c r="AG55">
        <v>96.238</v>
      </c>
      <c r="AH55">
        <v>109.348</v>
      </c>
      <c r="AI55">
        <v>124.285</v>
      </c>
      <c r="AJ55">
        <v>133.756</v>
      </c>
      <c r="AK55">
        <v>176.571</v>
      </c>
      <c r="AL55">
        <v>206.452</v>
      </c>
      <c r="AM55">
        <v>250.834</v>
      </c>
      <c r="AN55">
        <v>288.54399999999998</v>
      </c>
      <c r="AO55">
        <v>303.36</v>
      </c>
      <c r="AP55">
        <v>302.00900000000001</v>
      </c>
      <c r="AQ55">
        <v>348.86399999999998</v>
      </c>
      <c r="AR55">
        <v>403.589</v>
      </c>
      <c r="AS55">
        <v>519.447</v>
      </c>
      <c r="AT55">
        <v>538.4</v>
      </c>
      <c r="AU55">
        <v>549.06799999999998</v>
      </c>
      <c r="AV55">
        <v>755.11</v>
      </c>
      <c r="AW55">
        <v>917.19299999999998</v>
      </c>
      <c r="AX55">
        <v>1080.1600000000001</v>
      </c>
      <c r="AY55">
        <v>1121.42</v>
      </c>
      <c r="AZ55">
        <v>1266.02</v>
      </c>
      <c r="BA55">
        <v>1555.71</v>
      </c>
      <c r="BB55">
        <v>1820.9</v>
      </c>
      <c r="BC55">
        <v>2072.31</v>
      </c>
      <c r="BD55">
        <v>2347.9899999999998</v>
      </c>
      <c r="BE55">
        <v>2656.72</v>
      </c>
      <c r="BF55">
        <v>2995.51</v>
      </c>
      <c r="BG55">
        <v>2021</v>
      </c>
      <c r="BH55">
        <v>1266.02</v>
      </c>
      <c r="BI55">
        <v>6341</v>
      </c>
      <c r="BJ55">
        <v>6341</v>
      </c>
      <c r="BK55">
        <v>2021</v>
      </c>
      <c r="BL55">
        <v>19.965620564579719</v>
      </c>
    </row>
    <row r="56" spans="1:64">
      <c r="A56" t="s">
        <v>386</v>
      </c>
      <c r="B56">
        <v>253</v>
      </c>
      <c r="C56" t="s">
        <v>386</v>
      </c>
      <c r="D56" t="s">
        <v>1659</v>
      </c>
      <c r="E56" t="s">
        <v>172</v>
      </c>
      <c r="F56" t="s">
        <v>1660</v>
      </c>
      <c r="G56" t="s">
        <v>1661</v>
      </c>
      <c r="H56" t="s">
        <v>1662</v>
      </c>
      <c r="I56" t="s">
        <v>883</v>
      </c>
      <c r="J56" t="s">
        <v>1721</v>
      </c>
      <c r="K56" t="s">
        <v>1664</v>
      </c>
      <c r="L56" t="s">
        <v>1664</v>
      </c>
      <c r="M56" t="s">
        <v>1664</v>
      </c>
      <c r="N56" t="s">
        <v>1664</v>
      </c>
      <c r="O56" t="s">
        <v>1664</v>
      </c>
      <c r="P56" t="s">
        <v>1664</v>
      </c>
      <c r="Q56" t="s">
        <v>1664</v>
      </c>
      <c r="R56" t="s">
        <v>1664</v>
      </c>
      <c r="S56" t="s">
        <v>1664</v>
      </c>
      <c r="T56" t="s">
        <v>1664</v>
      </c>
      <c r="U56">
        <v>0.73499999999999999</v>
      </c>
      <c r="V56">
        <v>0.85199999999999998</v>
      </c>
      <c r="W56">
        <v>0.95699999999999996</v>
      </c>
      <c r="X56">
        <v>1.1419999999999999</v>
      </c>
      <c r="Y56">
        <v>1.38</v>
      </c>
      <c r="Z56">
        <v>1.64</v>
      </c>
      <c r="AA56">
        <v>1.7569999999999999</v>
      </c>
      <c r="AB56">
        <v>1.702</v>
      </c>
      <c r="AC56">
        <v>1.788</v>
      </c>
      <c r="AD56">
        <v>1.87</v>
      </c>
      <c r="AE56">
        <v>2.0640000000000001</v>
      </c>
      <c r="AF56">
        <v>2.0550000000000002</v>
      </c>
      <c r="AG56">
        <v>2.1539999999999999</v>
      </c>
      <c r="AH56">
        <v>2.4359999999999999</v>
      </c>
      <c r="AI56">
        <v>2.5720000000000001</v>
      </c>
      <c r="AJ56">
        <v>2.786</v>
      </c>
      <c r="AK56">
        <v>3.1989999999999998</v>
      </c>
      <c r="AL56">
        <v>3.488</v>
      </c>
      <c r="AM56">
        <v>3.7320000000000002</v>
      </c>
      <c r="AN56">
        <v>3.399</v>
      </c>
      <c r="AO56">
        <v>3.8050000000000002</v>
      </c>
      <c r="AP56">
        <v>4.22</v>
      </c>
      <c r="AQ56">
        <v>5.0419999999999998</v>
      </c>
      <c r="AR56">
        <v>5.2859999999999996</v>
      </c>
      <c r="AS56">
        <v>5.33</v>
      </c>
      <c r="AT56">
        <v>5.5019999999999998</v>
      </c>
      <c r="AU56">
        <v>5.8920000000000003</v>
      </c>
      <c r="AV56">
        <v>6.3040000000000003</v>
      </c>
      <c r="AW56">
        <v>6.39</v>
      </c>
      <c r="AX56">
        <v>6.4880000000000004</v>
      </c>
      <c r="AY56">
        <v>6.0430000000000001</v>
      </c>
      <c r="AZ56">
        <v>7.4720000000000004</v>
      </c>
      <c r="BA56">
        <v>8.1010000000000009</v>
      </c>
      <c r="BB56">
        <v>8.5079999999999991</v>
      </c>
      <c r="BC56">
        <v>8.84</v>
      </c>
      <c r="BD56">
        <v>9.1829999999999998</v>
      </c>
      <c r="BE56">
        <v>9.4550000000000001</v>
      </c>
      <c r="BF56">
        <v>9.7579999999999991</v>
      </c>
      <c r="BG56">
        <v>2020</v>
      </c>
      <c r="BH56">
        <v>6.0430000000000001</v>
      </c>
      <c r="BI56">
        <v>24.638999999999999</v>
      </c>
      <c r="BJ56">
        <v>24.638999999999999</v>
      </c>
      <c r="BK56">
        <v>2020</v>
      </c>
      <c r="BL56">
        <v>24.526157717439833</v>
      </c>
    </row>
    <row r="57" spans="1:64">
      <c r="A57" t="s">
        <v>405</v>
      </c>
      <c r="B57">
        <v>642</v>
      </c>
      <c r="C57" t="s">
        <v>405</v>
      </c>
      <c r="D57" t="s">
        <v>1659</v>
      </c>
      <c r="E57" t="s">
        <v>190</v>
      </c>
      <c r="F57" t="s">
        <v>1660</v>
      </c>
      <c r="G57" t="s">
        <v>1661</v>
      </c>
      <c r="H57" t="s">
        <v>1662</v>
      </c>
      <c r="I57" t="s">
        <v>883</v>
      </c>
      <c r="J57" t="s">
        <v>1722</v>
      </c>
      <c r="K57">
        <v>2.9569999999999999</v>
      </c>
      <c r="L57">
        <v>2.5830000000000002</v>
      </c>
      <c r="M57">
        <v>4.2060000000000004</v>
      </c>
      <c r="N57">
        <v>6.7839999999999998</v>
      </c>
      <c r="O57">
        <v>8.391</v>
      </c>
      <c r="P57">
        <v>8.6319999999999997</v>
      </c>
      <c r="Q57">
        <v>6.8179999999999996</v>
      </c>
      <c r="R57">
        <v>8.3460000000000001</v>
      </c>
      <c r="S57">
        <v>6.9210000000000003</v>
      </c>
      <c r="T57">
        <v>13.592000000000001</v>
      </c>
      <c r="U57">
        <v>19.132000000000001</v>
      </c>
      <c r="V57">
        <v>18.023</v>
      </c>
      <c r="W57">
        <v>15.79</v>
      </c>
      <c r="X57">
        <v>17.564</v>
      </c>
      <c r="Y57">
        <v>14.984</v>
      </c>
      <c r="Z57">
        <v>15.215</v>
      </c>
      <c r="AA57">
        <v>23.437999999999999</v>
      </c>
      <c r="AB57">
        <v>55.113999999999997</v>
      </c>
      <c r="AC57">
        <v>71.290000000000006</v>
      </c>
      <c r="AD57">
        <v>84.039000000000001</v>
      </c>
      <c r="AE57">
        <v>164.38900000000001</v>
      </c>
      <c r="AF57">
        <v>348</v>
      </c>
      <c r="AG57">
        <v>414.48200000000003</v>
      </c>
      <c r="AH57">
        <v>471.16199999999998</v>
      </c>
      <c r="AI57">
        <v>773.52499999999998</v>
      </c>
      <c r="AJ57">
        <v>1410.19</v>
      </c>
      <c r="AK57">
        <v>2103.73</v>
      </c>
      <c r="AL57">
        <v>2308.5300000000002</v>
      </c>
      <c r="AM57">
        <v>3051.79</v>
      </c>
      <c r="AN57">
        <v>2368.09</v>
      </c>
      <c r="AO57">
        <v>2150.9299999999998</v>
      </c>
      <c r="AP57">
        <v>2851.01</v>
      </c>
      <c r="AQ57">
        <v>3196.08</v>
      </c>
      <c r="AR57">
        <v>2696.07</v>
      </c>
      <c r="AS57">
        <v>2585.36</v>
      </c>
      <c r="AT57">
        <v>2063.7399999999998</v>
      </c>
      <c r="AU57">
        <v>1125.8800000000001</v>
      </c>
      <c r="AV57">
        <v>1238.3499999999999</v>
      </c>
      <c r="AW57">
        <v>1446.51</v>
      </c>
      <c r="AX57">
        <v>1239.98</v>
      </c>
      <c r="AY57">
        <v>819.73299999999995</v>
      </c>
      <c r="AZ57">
        <v>1004.16</v>
      </c>
      <c r="BA57">
        <v>1554.27</v>
      </c>
      <c r="BB57">
        <v>1468.63</v>
      </c>
      <c r="BC57">
        <v>1209.3900000000001</v>
      </c>
      <c r="BD57">
        <v>1133.94</v>
      </c>
      <c r="BE57">
        <v>1072.3</v>
      </c>
      <c r="BF57">
        <v>1085.83</v>
      </c>
      <c r="BG57">
        <v>2020</v>
      </c>
      <c r="BH57">
        <v>819.73299999999995</v>
      </c>
      <c r="BI57">
        <v>5768.44</v>
      </c>
      <c r="BJ57">
        <v>5768.44</v>
      </c>
      <c r="BK57">
        <v>2020</v>
      </c>
      <c r="BL57">
        <v>14.210653140190416</v>
      </c>
    </row>
    <row r="58" spans="1:64">
      <c r="A58" t="s">
        <v>315</v>
      </c>
      <c r="B58">
        <v>643</v>
      </c>
      <c r="C58" t="s">
        <v>315</v>
      </c>
      <c r="D58" t="s">
        <v>1659</v>
      </c>
      <c r="E58" t="s">
        <v>102</v>
      </c>
      <c r="F58" t="s">
        <v>1660</v>
      </c>
      <c r="G58" t="s">
        <v>1661</v>
      </c>
      <c r="H58" t="s">
        <v>1662</v>
      </c>
      <c r="I58" t="s">
        <v>883</v>
      </c>
      <c r="J58" t="s">
        <v>1723</v>
      </c>
      <c r="K58" t="s">
        <v>1664</v>
      </c>
      <c r="L58" t="s">
        <v>1664</v>
      </c>
      <c r="M58" t="s">
        <v>1664</v>
      </c>
      <c r="N58" t="s">
        <v>1664</v>
      </c>
      <c r="O58" t="s">
        <v>1664</v>
      </c>
      <c r="P58" t="s">
        <v>1664</v>
      </c>
      <c r="Q58" t="s">
        <v>1664</v>
      </c>
      <c r="R58" t="s">
        <v>1664</v>
      </c>
      <c r="S58" t="s">
        <v>1664</v>
      </c>
      <c r="T58" t="s">
        <v>1664</v>
      </c>
      <c r="U58" t="s">
        <v>1664</v>
      </c>
      <c r="V58" t="s">
        <v>1664</v>
      </c>
      <c r="W58">
        <v>0.67</v>
      </c>
      <c r="X58">
        <v>1.3979999999999999</v>
      </c>
      <c r="Y58">
        <v>1.577</v>
      </c>
      <c r="Z58">
        <v>1.778</v>
      </c>
      <c r="AA58">
        <v>1.85</v>
      </c>
      <c r="AB58">
        <v>2.2549999999999999</v>
      </c>
      <c r="AC58">
        <v>2.1970000000000001</v>
      </c>
      <c r="AD58">
        <v>2.3199999999999998</v>
      </c>
      <c r="AE58">
        <v>3.1219999999999999</v>
      </c>
      <c r="AF58">
        <v>3.2869999999999999</v>
      </c>
      <c r="AG58">
        <v>3.6859999999999999</v>
      </c>
      <c r="AH58">
        <v>6.0170000000000003</v>
      </c>
      <c r="AI58">
        <v>5.8460000000000001</v>
      </c>
      <c r="AJ58">
        <v>5.9569999999999999</v>
      </c>
      <c r="AK58">
        <v>5.0430000000000001</v>
      </c>
      <c r="AL58">
        <v>4.9210000000000003</v>
      </c>
      <c r="AM58">
        <v>4.4569999999999999</v>
      </c>
      <c r="AN58">
        <v>4.5419999999999998</v>
      </c>
      <c r="AO58">
        <v>6.3360000000000003</v>
      </c>
      <c r="AP58">
        <v>8.4930000000000003</v>
      </c>
      <c r="AQ58">
        <v>9.7439999999999998</v>
      </c>
      <c r="AR58">
        <v>7.5570000000000004</v>
      </c>
      <c r="AS58">
        <v>8.5990000000000002</v>
      </c>
      <c r="AT58">
        <v>8.7639999999999993</v>
      </c>
      <c r="AU58">
        <v>9.843</v>
      </c>
      <c r="AV58">
        <v>10.55</v>
      </c>
      <c r="AW58">
        <v>9.5489999999999995</v>
      </c>
      <c r="AX58">
        <v>10.15</v>
      </c>
      <c r="AY58">
        <v>9.9049999999999994</v>
      </c>
      <c r="AZ58">
        <v>11.119</v>
      </c>
      <c r="BA58">
        <v>13.263999999999999</v>
      </c>
      <c r="BB58">
        <v>14.603</v>
      </c>
      <c r="BC58">
        <v>15.558</v>
      </c>
      <c r="BD58">
        <v>16.391999999999999</v>
      </c>
      <c r="BE58">
        <v>17.329000000000001</v>
      </c>
      <c r="BF58">
        <v>18.311</v>
      </c>
      <c r="BG58">
        <v>2018</v>
      </c>
      <c r="BH58">
        <v>9.5489999999999995</v>
      </c>
      <c r="BI58">
        <v>30.234999999999999</v>
      </c>
      <c r="BJ58">
        <v>30.234999999999999</v>
      </c>
      <c r="BK58">
        <v>2018</v>
      </c>
      <c r="BL58">
        <v>31.5826029436084</v>
      </c>
    </row>
    <row r="59" spans="1:64">
      <c r="A59" t="s">
        <v>515</v>
      </c>
      <c r="B59">
        <v>939</v>
      </c>
      <c r="C59" t="s">
        <v>515</v>
      </c>
      <c r="D59" t="s">
        <v>1659</v>
      </c>
      <c r="E59" t="s">
        <v>248</v>
      </c>
      <c r="F59" t="s">
        <v>1660</v>
      </c>
      <c r="G59" t="s">
        <v>1661</v>
      </c>
      <c r="H59" t="s">
        <v>1662</v>
      </c>
      <c r="I59" t="s">
        <v>883</v>
      </c>
      <c r="J59" t="s">
        <v>1724</v>
      </c>
      <c r="K59" t="s">
        <v>1664</v>
      </c>
      <c r="L59" t="s">
        <v>1664</v>
      </c>
      <c r="M59" t="s">
        <v>1664</v>
      </c>
      <c r="N59" t="s">
        <v>1664</v>
      </c>
      <c r="O59" t="s">
        <v>1664</v>
      </c>
      <c r="P59" t="s">
        <v>1664</v>
      </c>
      <c r="Q59" t="s">
        <v>1664</v>
      </c>
      <c r="R59" t="s">
        <v>1664</v>
      </c>
      <c r="S59" t="s">
        <v>1664</v>
      </c>
      <c r="T59" t="s">
        <v>1664</v>
      </c>
      <c r="U59" t="s">
        <v>1664</v>
      </c>
      <c r="V59" t="s">
        <v>1664</v>
      </c>
      <c r="W59" t="s">
        <v>1664</v>
      </c>
      <c r="X59" t="s">
        <v>1664</v>
      </c>
      <c r="Y59" t="s">
        <v>1664</v>
      </c>
      <c r="Z59">
        <v>1.125</v>
      </c>
      <c r="AA59">
        <v>1.389</v>
      </c>
      <c r="AB59">
        <v>1.7749999999999999</v>
      </c>
      <c r="AC59">
        <v>2.0190000000000001</v>
      </c>
      <c r="AD59">
        <v>2.0150000000000001</v>
      </c>
      <c r="AE59">
        <v>2.2400000000000002</v>
      </c>
      <c r="AF59">
        <v>2.456</v>
      </c>
      <c r="AG59">
        <v>2.8380000000000001</v>
      </c>
      <c r="AH59">
        <v>3.2210000000000001</v>
      </c>
      <c r="AI59">
        <v>3.5640000000000001</v>
      </c>
      <c r="AJ59">
        <v>3.952</v>
      </c>
      <c r="AK59">
        <v>4.9290000000000003</v>
      </c>
      <c r="AL59">
        <v>5.9829999999999997</v>
      </c>
      <c r="AM59">
        <v>6.1159999999999997</v>
      </c>
      <c r="AN59">
        <v>6.17</v>
      </c>
      <c r="AO59">
        <v>5.9649999999999999</v>
      </c>
      <c r="AP59">
        <v>6.423</v>
      </c>
      <c r="AQ59">
        <v>6.98</v>
      </c>
      <c r="AR59">
        <v>7.3</v>
      </c>
      <c r="AS59">
        <v>7.7130000000000001</v>
      </c>
      <c r="AT59">
        <v>8.1839999999999993</v>
      </c>
      <c r="AU59">
        <v>8.4779999999999998</v>
      </c>
      <c r="AV59">
        <v>9.1760000000000002</v>
      </c>
      <c r="AW59">
        <v>10.041</v>
      </c>
      <c r="AX59">
        <v>10.97</v>
      </c>
      <c r="AY59">
        <v>10.811</v>
      </c>
      <c r="AZ59">
        <v>12.387</v>
      </c>
      <c r="BA59">
        <v>13.177</v>
      </c>
      <c r="BB59">
        <v>13.871</v>
      </c>
      <c r="BC59">
        <v>14.962999999999999</v>
      </c>
      <c r="BD59">
        <v>16.161999999999999</v>
      </c>
      <c r="BE59">
        <v>17.277000000000001</v>
      </c>
      <c r="BF59">
        <v>18.515999999999998</v>
      </c>
      <c r="BG59">
        <v>2021</v>
      </c>
      <c r="BH59">
        <v>12.387</v>
      </c>
      <c r="BI59">
        <v>30.66</v>
      </c>
      <c r="BJ59">
        <v>30.66</v>
      </c>
      <c r="BK59">
        <v>2021</v>
      </c>
      <c r="BL59">
        <v>40.401174168297452</v>
      </c>
    </row>
    <row r="60" spans="1:64">
      <c r="A60" t="s">
        <v>379</v>
      </c>
      <c r="B60">
        <v>734</v>
      </c>
      <c r="C60" t="s">
        <v>379</v>
      </c>
      <c r="D60" t="s">
        <v>1659</v>
      </c>
      <c r="E60" t="s">
        <v>165</v>
      </c>
      <c r="F60" t="s">
        <v>1660</v>
      </c>
      <c r="G60" t="s">
        <v>1661</v>
      </c>
      <c r="H60" t="s">
        <v>1662</v>
      </c>
      <c r="I60" t="s">
        <v>883</v>
      </c>
      <c r="J60" t="s">
        <v>1725</v>
      </c>
      <c r="K60">
        <v>0.156</v>
      </c>
      <c r="L60">
        <v>0.13600000000000001</v>
      </c>
      <c r="M60">
        <v>0.184</v>
      </c>
      <c r="N60">
        <v>0.186</v>
      </c>
      <c r="O60">
        <v>0.221</v>
      </c>
      <c r="P60">
        <v>0.24299999999999999</v>
      </c>
      <c r="Q60">
        <v>0.25600000000000001</v>
      </c>
      <c r="R60">
        <v>0.33700000000000002</v>
      </c>
      <c r="S60">
        <v>0.42799999999999999</v>
      </c>
      <c r="T60">
        <v>0.58399999999999996</v>
      </c>
      <c r="U60">
        <v>0.75600000000000001</v>
      </c>
      <c r="V60">
        <v>0.81599999999999995</v>
      </c>
      <c r="W60">
        <v>0.91100000000000003</v>
      </c>
      <c r="X60">
        <v>0.98199999999999998</v>
      </c>
      <c r="Y60">
        <v>1.177</v>
      </c>
      <c r="Z60">
        <v>1.454</v>
      </c>
      <c r="AA60">
        <v>1.704</v>
      </c>
      <c r="AB60">
        <v>2.0390000000000001</v>
      </c>
      <c r="AC60">
        <v>2.2749999999999999</v>
      </c>
      <c r="AD60">
        <v>2.6459999999999999</v>
      </c>
      <c r="AE60">
        <v>2.8250000000000002</v>
      </c>
      <c r="AF60">
        <v>3.1110000000000002</v>
      </c>
      <c r="AG60">
        <v>3.4260000000000002</v>
      </c>
      <c r="AH60">
        <v>3.9079999999999999</v>
      </c>
      <c r="AI60">
        <v>4.8419999999999996</v>
      </c>
      <c r="AJ60">
        <v>5.4989999999999997</v>
      </c>
      <c r="AK60">
        <v>8.0310000000000006</v>
      </c>
      <c r="AL60">
        <v>7.9939999999999998</v>
      </c>
      <c r="AM60">
        <v>9.5139999999999993</v>
      </c>
      <c r="AN60">
        <v>9.2530000000000001</v>
      </c>
      <c r="AO60">
        <v>6.9850000000000003</v>
      </c>
      <c r="AP60">
        <v>7.4889999999999999</v>
      </c>
      <c r="AQ60">
        <v>12.178000000000001</v>
      </c>
      <c r="AR60">
        <v>12.91</v>
      </c>
      <c r="AS60">
        <v>14.099</v>
      </c>
      <c r="AT60">
        <v>14.595000000000001</v>
      </c>
      <c r="AU60">
        <v>14.334</v>
      </c>
      <c r="AV60">
        <v>16.785</v>
      </c>
      <c r="AW60">
        <v>15.683999999999999</v>
      </c>
      <c r="AX60">
        <v>17.771999999999998</v>
      </c>
      <c r="AY60">
        <v>19.036999999999999</v>
      </c>
      <c r="AZ60">
        <v>17.768999999999998</v>
      </c>
      <c r="BA60">
        <v>18.215</v>
      </c>
      <c r="BB60">
        <v>19.044</v>
      </c>
      <c r="BC60">
        <v>21.027000000000001</v>
      </c>
      <c r="BD60">
        <v>23.032</v>
      </c>
      <c r="BE60">
        <v>24.669</v>
      </c>
      <c r="BF60">
        <v>26.437999999999999</v>
      </c>
      <c r="BG60">
        <v>2020</v>
      </c>
      <c r="BH60">
        <v>19.036999999999999</v>
      </c>
      <c r="BI60">
        <v>65.432000000000002</v>
      </c>
      <c r="BJ60">
        <v>65.432000000000002</v>
      </c>
      <c r="BK60">
        <v>2020</v>
      </c>
      <c r="BL60">
        <v>29.094326934833109</v>
      </c>
    </row>
    <row r="61" spans="1:64">
      <c r="A61" t="s">
        <v>328</v>
      </c>
      <c r="B61">
        <v>644</v>
      </c>
      <c r="C61" t="s">
        <v>328</v>
      </c>
      <c r="D61" t="s">
        <v>1659</v>
      </c>
      <c r="E61" t="s">
        <v>115</v>
      </c>
      <c r="F61" t="s">
        <v>1660</v>
      </c>
      <c r="G61" t="s">
        <v>1661</v>
      </c>
      <c r="H61" t="s">
        <v>1662</v>
      </c>
      <c r="I61" t="s">
        <v>883</v>
      </c>
      <c r="J61" t="s">
        <v>1726</v>
      </c>
      <c r="K61">
        <v>1.623</v>
      </c>
      <c r="L61">
        <v>1.8260000000000001</v>
      </c>
      <c r="M61">
        <v>2.0529999999999999</v>
      </c>
      <c r="N61">
        <v>2.4340000000000002</v>
      </c>
      <c r="O61">
        <v>2.548</v>
      </c>
      <c r="P61">
        <v>2.9550000000000001</v>
      </c>
      <c r="Q61">
        <v>3.2490000000000001</v>
      </c>
      <c r="R61">
        <v>3.2480000000000002</v>
      </c>
      <c r="S61">
        <v>4.1029999999999998</v>
      </c>
      <c r="T61">
        <v>4.6980000000000004</v>
      </c>
      <c r="U61">
        <v>3.544</v>
      </c>
      <c r="V61">
        <v>3.17</v>
      </c>
      <c r="W61">
        <v>2.7509999999999999</v>
      </c>
      <c r="X61">
        <v>3.657</v>
      </c>
      <c r="Y61">
        <v>4.9260000000000002</v>
      </c>
      <c r="Z61">
        <v>7.0449999999999999</v>
      </c>
      <c r="AA61">
        <v>8.0630000000000006</v>
      </c>
      <c r="AB61">
        <v>9.032</v>
      </c>
      <c r="AC61">
        <v>9.3740000000000006</v>
      </c>
      <c r="AD61">
        <v>10.532</v>
      </c>
      <c r="AE61">
        <v>11.222</v>
      </c>
      <c r="AF61">
        <v>12.804</v>
      </c>
      <c r="AG61">
        <v>12.813000000000001</v>
      </c>
      <c r="AH61">
        <v>15.871</v>
      </c>
      <c r="AI61">
        <v>17.917999999999999</v>
      </c>
      <c r="AJ61">
        <v>20.146999999999998</v>
      </c>
      <c r="AK61">
        <v>24.251000000000001</v>
      </c>
      <c r="AL61">
        <v>29.381</v>
      </c>
      <c r="AM61">
        <v>39.704999999999998</v>
      </c>
      <c r="AN61">
        <v>54.627000000000002</v>
      </c>
      <c r="AO61">
        <v>66.236999999999995</v>
      </c>
      <c r="AP61">
        <v>85.611000000000004</v>
      </c>
      <c r="AQ61">
        <v>115.65900000000001</v>
      </c>
      <c r="AR61">
        <v>137.19200000000001</v>
      </c>
      <c r="AS61">
        <v>158.078</v>
      </c>
      <c r="AT61">
        <v>199.60900000000001</v>
      </c>
      <c r="AU61">
        <v>244.81899999999999</v>
      </c>
      <c r="AV61">
        <v>270.214</v>
      </c>
      <c r="AW61">
        <v>287.56200000000001</v>
      </c>
      <c r="AX61">
        <v>344.93700000000001</v>
      </c>
      <c r="AY61">
        <v>394.96600000000001</v>
      </c>
      <c r="AZ61">
        <v>478.88799999999998</v>
      </c>
      <c r="BA61">
        <v>630.56899999999996</v>
      </c>
      <c r="BB61">
        <v>990.90599999999995</v>
      </c>
      <c r="BC61">
        <v>1391.27</v>
      </c>
      <c r="BD61">
        <v>1757.65</v>
      </c>
      <c r="BE61">
        <v>2139.44</v>
      </c>
      <c r="BF61">
        <v>2540.36</v>
      </c>
      <c r="BG61">
        <v>2021</v>
      </c>
      <c r="BH61">
        <v>478.88799999999998</v>
      </c>
      <c r="BI61">
        <v>4341.3900000000003</v>
      </c>
      <c r="BJ61">
        <v>4341.3900000000003</v>
      </c>
      <c r="BK61">
        <v>2021</v>
      </c>
      <c r="BL61">
        <v>11.030752823404484</v>
      </c>
    </row>
    <row r="62" spans="1:64">
      <c r="A62" t="s">
        <v>396</v>
      </c>
      <c r="B62">
        <v>819</v>
      </c>
      <c r="C62" t="s">
        <v>396</v>
      </c>
      <c r="D62" t="s">
        <v>1659</v>
      </c>
      <c r="E62" t="s">
        <v>181</v>
      </c>
      <c r="F62" t="s">
        <v>1660</v>
      </c>
      <c r="G62" t="s">
        <v>1661</v>
      </c>
      <c r="H62" t="s">
        <v>1662</v>
      </c>
      <c r="I62" t="s">
        <v>883</v>
      </c>
      <c r="J62" t="s">
        <v>1727</v>
      </c>
      <c r="K62" t="s">
        <v>1664</v>
      </c>
      <c r="L62" t="s">
        <v>1664</v>
      </c>
      <c r="M62" t="s">
        <v>1664</v>
      </c>
      <c r="N62" t="s">
        <v>1664</v>
      </c>
      <c r="O62" t="s">
        <v>1664</v>
      </c>
      <c r="P62" t="s">
        <v>1664</v>
      </c>
      <c r="Q62" t="s">
        <v>1664</v>
      </c>
      <c r="R62" t="s">
        <v>1664</v>
      </c>
      <c r="S62" t="s">
        <v>1664</v>
      </c>
      <c r="T62" t="s">
        <v>1664</v>
      </c>
      <c r="U62" t="s">
        <v>1664</v>
      </c>
      <c r="V62" t="s">
        <v>1664</v>
      </c>
      <c r="W62">
        <v>0.59099999999999997</v>
      </c>
      <c r="X62">
        <v>0.65300000000000002</v>
      </c>
      <c r="Y62">
        <v>0.69699999999999995</v>
      </c>
      <c r="Z62">
        <v>0.71799999999999997</v>
      </c>
      <c r="AA62">
        <v>0.746</v>
      </c>
      <c r="AB62">
        <v>0.80600000000000005</v>
      </c>
      <c r="AC62">
        <v>1.141</v>
      </c>
      <c r="AD62">
        <v>1.006</v>
      </c>
      <c r="AE62">
        <v>0.91200000000000003</v>
      </c>
      <c r="AF62">
        <v>0.90100000000000002</v>
      </c>
      <c r="AG62">
        <v>1.0389999999999999</v>
      </c>
      <c r="AH62">
        <v>1.069</v>
      </c>
      <c r="AI62">
        <v>1.1779999999999999</v>
      </c>
      <c r="AJ62">
        <v>1.222</v>
      </c>
      <c r="AK62">
        <v>1.4019999999999999</v>
      </c>
      <c r="AL62">
        <v>1.4019999999999999</v>
      </c>
      <c r="AM62">
        <v>1.4570000000000001</v>
      </c>
      <c r="AN62">
        <v>1.419</v>
      </c>
      <c r="AO62">
        <v>1.538</v>
      </c>
      <c r="AP62">
        <v>1.804</v>
      </c>
      <c r="AQ62">
        <v>1.9119999999999999</v>
      </c>
      <c r="AR62">
        <v>2.0880000000000001</v>
      </c>
      <c r="AS62">
        <v>2.3580000000000001</v>
      </c>
      <c r="AT62">
        <v>2.5499999999999998</v>
      </c>
      <c r="AU62">
        <v>2.669</v>
      </c>
      <c r="AV62">
        <v>2.7989999999999999</v>
      </c>
      <c r="AW62">
        <v>3.2050000000000001</v>
      </c>
      <c r="AX62">
        <v>3.1389999999999998</v>
      </c>
      <c r="AY62">
        <v>2.4729999999999999</v>
      </c>
      <c r="AZ62">
        <v>1.905</v>
      </c>
      <c r="BA62">
        <v>2.1030000000000002</v>
      </c>
      <c r="BB62">
        <v>2.4900000000000002</v>
      </c>
      <c r="BC62">
        <v>3.0390000000000001</v>
      </c>
      <c r="BD62">
        <v>3.3679999999999999</v>
      </c>
      <c r="BE62">
        <v>3.6230000000000002</v>
      </c>
      <c r="BF62">
        <v>3.8860000000000001</v>
      </c>
      <c r="BG62">
        <v>2021</v>
      </c>
      <c r="BH62">
        <v>1.905</v>
      </c>
      <c r="BI62">
        <v>9.64</v>
      </c>
      <c r="BJ62">
        <v>9.9209999999999994</v>
      </c>
      <c r="BK62">
        <v>2020</v>
      </c>
      <c r="BL62">
        <v>19.761410788381742</v>
      </c>
    </row>
    <row r="63" spans="1:64">
      <c r="A63" t="s">
        <v>459</v>
      </c>
      <c r="B63">
        <v>172</v>
      </c>
      <c r="C63" t="s">
        <v>459</v>
      </c>
      <c r="D63" t="s">
        <v>1659</v>
      </c>
      <c r="E63" t="s">
        <v>50</v>
      </c>
      <c r="F63" t="s">
        <v>1660</v>
      </c>
      <c r="G63" t="s">
        <v>1661</v>
      </c>
      <c r="H63" t="s">
        <v>1662</v>
      </c>
      <c r="I63" t="s">
        <v>883</v>
      </c>
      <c r="J63" t="s">
        <v>1728</v>
      </c>
      <c r="K63">
        <v>15.744999999999999</v>
      </c>
      <c r="L63">
        <v>18.788</v>
      </c>
      <c r="M63">
        <v>20.914000000000001</v>
      </c>
      <c r="N63">
        <v>23.204999999999998</v>
      </c>
      <c r="O63">
        <v>26.849</v>
      </c>
      <c r="P63">
        <v>30.28</v>
      </c>
      <c r="Q63">
        <v>33.491999999999997</v>
      </c>
      <c r="R63">
        <v>35.024000000000001</v>
      </c>
      <c r="S63">
        <v>41.768000000000001</v>
      </c>
      <c r="T63">
        <v>46.348999999999997</v>
      </c>
      <c r="U63">
        <v>48.863</v>
      </c>
      <c r="V63">
        <v>48.725999999999999</v>
      </c>
      <c r="W63">
        <v>47.421999999999997</v>
      </c>
      <c r="X63">
        <v>47.570999999999998</v>
      </c>
      <c r="Y63">
        <v>50.581000000000003</v>
      </c>
      <c r="Z63">
        <v>53.22</v>
      </c>
      <c r="AA63">
        <v>56.209000000000003</v>
      </c>
      <c r="AB63">
        <v>59.356000000000002</v>
      </c>
      <c r="AC63">
        <v>63.677</v>
      </c>
      <c r="AD63">
        <v>65.373999999999995</v>
      </c>
      <c r="AE63">
        <v>73.182000000000002</v>
      </c>
      <c r="AF63">
        <v>73.927999999999997</v>
      </c>
      <c r="AG63">
        <v>76.343999999999994</v>
      </c>
      <c r="AH63">
        <v>76.805000000000007</v>
      </c>
      <c r="AI63">
        <v>79.923000000000002</v>
      </c>
      <c r="AJ63">
        <v>85.265000000000001</v>
      </c>
      <c r="AK63">
        <v>90.227999999999994</v>
      </c>
      <c r="AL63">
        <v>96.888999999999996</v>
      </c>
      <c r="AM63">
        <v>101.11799999999999</v>
      </c>
      <c r="AN63">
        <v>93.789000000000001</v>
      </c>
      <c r="AO63">
        <v>96.65</v>
      </c>
      <c r="AP63">
        <v>104.211</v>
      </c>
      <c r="AQ63">
        <v>107.111</v>
      </c>
      <c r="AR63">
        <v>110.928</v>
      </c>
      <c r="AS63">
        <v>112.31699999999999</v>
      </c>
      <c r="AT63">
        <v>114.28400000000001</v>
      </c>
      <c r="AU63">
        <v>117.348</v>
      </c>
      <c r="AV63">
        <v>119.89100000000001</v>
      </c>
      <c r="AW63">
        <v>122.496</v>
      </c>
      <c r="AX63">
        <v>125.551</v>
      </c>
      <c r="AY63">
        <v>122.492</v>
      </c>
      <c r="AZ63">
        <v>132.84299999999999</v>
      </c>
      <c r="BA63">
        <v>135.851</v>
      </c>
      <c r="BB63">
        <v>140.79499999999999</v>
      </c>
      <c r="BC63">
        <v>144.34100000000001</v>
      </c>
      <c r="BD63">
        <v>147.833</v>
      </c>
      <c r="BE63">
        <v>152.27500000000001</v>
      </c>
      <c r="BF63">
        <v>156.66800000000001</v>
      </c>
      <c r="BG63">
        <v>2020</v>
      </c>
      <c r="BH63">
        <v>122.492</v>
      </c>
      <c r="BI63">
        <v>237.995</v>
      </c>
      <c r="BJ63">
        <v>237.995</v>
      </c>
      <c r="BK63">
        <v>2020</v>
      </c>
      <c r="BL63">
        <v>51.468308157734413</v>
      </c>
    </row>
    <row r="64" spans="1:64">
      <c r="A64" t="s">
        <v>452</v>
      </c>
      <c r="B64">
        <v>132</v>
      </c>
      <c r="C64" t="s">
        <v>452</v>
      </c>
      <c r="D64" t="s">
        <v>1659</v>
      </c>
      <c r="E64" t="s">
        <v>55</v>
      </c>
      <c r="F64" t="s">
        <v>1660</v>
      </c>
      <c r="G64" t="s">
        <v>1661</v>
      </c>
      <c r="H64" t="s">
        <v>1662</v>
      </c>
      <c r="I64" t="s">
        <v>883</v>
      </c>
      <c r="J64" t="s">
        <v>1729</v>
      </c>
      <c r="K64">
        <v>207.70599999999999</v>
      </c>
      <c r="L64">
        <v>237.39699999999999</v>
      </c>
      <c r="M64">
        <v>277.762</v>
      </c>
      <c r="N64">
        <v>313.57</v>
      </c>
      <c r="O64">
        <v>346.00299999999999</v>
      </c>
      <c r="P64">
        <v>373.83800000000002</v>
      </c>
      <c r="Q64">
        <v>396.74099999999999</v>
      </c>
      <c r="R64">
        <v>422.03699999999998</v>
      </c>
      <c r="S64">
        <v>444.83600000000001</v>
      </c>
      <c r="T64">
        <v>475.53500000000003</v>
      </c>
      <c r="U64">
        <v>502.52499999999998</v>
      </c>
      <c r="V64">
        <v>528.48</v>
      </c>
      <c r="W64">
        <v>542.76</v>
      </c>
      <c r="X64">
        <v>557.87599999999998</v>
      </c>
      <c r="Y64">
        <v>580.52200000000005</v>
      </c>
      <c r="Z64">
        <v>605.48500000000001</v>
      </c>
      <c r="AA64">
        <v>638.34400000000005</v>
      </c>
      <c r="AB64">
        <v>657.73500000000001</v>
      </c>
      <c r="AC64">
        <v>683.32799999999997</v>
      </c>
      <c r="AD64">
        <v>714.89</v>
      </c>
      <c r="AE64">
        <v>744.22799999999995</v>
      </c>
      <c r="AF64">
        <v>774.31600000000003</v>
      </c>
      <c r="AG64">
        <v>788.11900000000003</v>
      </c>
      <c r="AH64">
        <v>803.18499999999995</v>
      </c>
      <c r="AI64">
        <v>841.68799999999999</v>
      </c>
      <c r="AJ64">
        <v>881.86699999999996</v>
      </c>
      <c r="AK64">
        <v>932.06</v>
      </c>
      <c r="AL64">
        <v>969.30700000000002</v>
      </c>
      <c r="AM64">
        <v>996.83900000000006</v>
      </c>
      <c r="AN64">
        <v>967.76700000000005</v>
      </c>
      <c r="AO64">
        <v>997.54700000000003</v>
      </c>
      <c r="AP64">
        <v>1052.57</v>
      </c>
      <c r="AQ64">
        <v>1088.82</v>
      </c>
      <c r="AR64">
        <v>1125.1500000000001</v>
      </c>
      <c r="AS64">
        <v>1146.02</v>
      </c>
      <c r="AT64">
        <v>1168.96</v>
      </c>
      <c r="AU64">
        <v>1185.17</v>
      </c>
      <c r="AV64">
        <v>1230.06</v>
      </c>
      <c r="AW64">
        <v>1260.96</v>
      </c>
      <c r="AX64">
        <v>1274.55</v>
      </c>
      <c r="AY64">
        <v>1210.93</v>
      </c>
      <c r="AZ64">
        <v>1310.6199999999999</v>
      </c>
      <c r="BA64">
        <v>1337.95</v>
      </c>
      <c r="BB64">
        <v>1383.55</v>
      </c>
      <c r="BC64">
        <v>1430.19</v>
      </c>
      <c r="BD64">
        <v>1467.92</v>
      </c>
      <c r="BE64">
        <v>1510.68</v>
      </c>
      <c r="BF64">
        <v>1554.7</v>
      </c>
      <c r="BG64">
        <v>2021</v>
      </c>
      <c r="BH64">
        <v>1310.6199999999999</v>
      </c>
      <c r="BI64">
        <v>2481.59</v>
      </c>
      <c r="BJ64">
        <v>2481.59</v>
      </c>
      <c r="BK64">
        <v>2021</v>
      </c>
      <c r="BL64">
        <v>52.81372023581654</v>
      </c>
    </row>
    <row r="65" spans="1:64">
      <c r="A65" t="s">
        <v>416</v>
      </c>
      <c r="B65">
        <v>646</v>
      </c>
      <c r="C65" t="s">
        <v>416</v>
      </c>
      <c r="D65" t="s">
        <v>1659</v>
      </c>
      <c r="E65" t="s">
        <v>201</v>
      </c>
      <c r="F65" t="s">
        <v>1660</v>
      </c>
      <c r="G65" t="s">
        <v>1661</v>
      </c>
      <c r="H65" t="s">
        <v>1662</v>
      </c>
      <c r="I65" t="s">
        <v>883</v>
      </c>
      <c r="J65" t="s">
        <v>1730</v>
      </c>
      <c r="K65" t="s">
        <v>1664</v>
      </c>
      <c r="L65" t="s">
        <v>1664</v>
      </c>
      <c r="M65" t="s">
        <v>1664</v>
      </c>
      <c r="N65" t="s">
        <v>1664</v>
      </c>
      <c r="O65" t="s">
        <v>1664</v>
      </c>
      <c r="P65" t="s">
        <v>1664</v>
      </c>
      <c r="Q65" t="s">
        <v>1664</v>
      </c>
      <c r="R65" t="s">
        <v>1664</v>
      </c>
      <c r="S65" t="s">
        <v>1664</v>
      </c>
      <c r="T65" t="s">
        <v>1664</v>
      </c>
      <c r="U65">
        <v>323.72300000000001</v>
      </c>
      <c r="V65">
        <v>374.178</v>
      </c>
      <c r="W65">
        <v>341.13099999999997</v>
      </c>
      <c r="X65">
        <v>350.91</v>
      </c>
      <c r="Y65">
        <v>554.53599999999994</v>
      </c>
      <c r="Z65">
        <v>730.57399999999996</v>
      </c>
      <c r="AA65">
        <v>755.09</v>
      </c>
      <c r="AB65">
        <v>1029.83</v>
      </c>
      <c r="AC65">
        <v>912.14400000000001</v>
      </c>
      <c r="AD65">
        <v>813.58900000000006</v>
      </c>
      <c r="AE65">
        <v>1207.5999999999999</v>
      </c>
      <c r="AF65">
        <v>1173.6300000000001</v>
      </c>
      <c r="AG65">
        <v>1089.9000000000001</v>
      </c>
      <c r="AH65">
        <v>1095.19</v>
      </c>
      <c r="AI65">
        <v>1141.8499999999999</v>
      </c>
      <c r="AJ65">
        <v>1434.16</v>
      </c>
      <c r="AK65">
        <v>1582.57</v>
      </c>
      <c r="AL65">
        <v>1636.5</v>
      </c>
      <c r="AM65">
        <v>2078.13</v>
      </c>
      <c r="AN65">
        <v>1685.19</v>
      </c>
      <c r="AO65">
        <v>1833.93</v>
      </c>
      <c r="AP65">
        <v>2015.25</v>
      </c>
      <c r="AQ65">
        <v>2643.43</v>
      </c>
      <c r="AR65">
        <v>2746.68</v>
      </c>
      <c r="AS65">
        <v>2672.69</v>
      </c>
      <c r="AT65">
        <v>1797.3</v>
      </c>
      <c r="AU65">
        <v>1424.25</v>
      </c>
      <c r="AV65">
        <v>1422.98</v>
      </c>
      <c r="AW65">
        <v>1580.82</v>
      </c>
      <c r="AX65">
        <v>1931.33</v>
      </c>
      <c r="AY65">
        <v>1552.95</v>
      </c>
      <c r="AZ65">
        <v>1652.72</v>
      </c>
      <c r="BA65">
        <v>2250.06</v>
      </c>
      <c r="BB65">
        <v>2383.42</v>
      </c>
      <c r="BC65">
        <v>2400.91</v>
      </c>
      <c r="BD65">
        <v>2476.92</v>
      </c>
      <c r="BE65">
        <v>2582.21</v>
      </c>
      <c r="BF65">
        <v>2697.49</v>
      </c>
      <c r="BG65">
        <v>2020</v>
      </c>
      <c r="BH65">
        <v>1552.95</v>
      </c>
      <c r="BI65">
        <v>8816.14</v>
      </c>
      <c r="BJ65">
        <v>8816.14</v>
      </c>
      <c r="BK65">
        <v>2020</v>
      </c>
      <c r="BL65">
        <v>17.614851851263708</v>
      </c>
    </row>
    <row r="66" spans="1:64">
      <c r="A66" t="s">
        <v>322</v>
      </c>
      <c r="B66">
        <v>648</v>
      </c>
      <c r="C66" t="s">
        <v>322</v>
      </c>
      <c r="D66" t="s">
        <v>1659</v>
      </c>
      <c r="E66" t="s">
        <v>648</v>
      </c>
      <c r="F66" t="s">
        <v>1660</v>
      </c>
      <c r="G66" t="s">
        <v>1661</v>
      </c>
      <c r="H66" t="s">
        <v>1662</v>
      </c>
      <c r="I66" t="s">
        <v>883</v>
      </c>
      <c r="J66" t="s">
        <v>1731</v>
      </c>
      <c r="K66" t="s">
        <v>1664</v>
      </c>
      <c r="L66" t="s">
        <v>1664</v>
      </c>
      <c r="M66" t="s">
        <v>1664</v>
      </c>
      <c r="N66" t="s">
        <v>1664</v>
      </c>
      <c r="O66" t="s">
        <v>1664</v>
      </c>
      <c r="P66" t="s">
        <v>1664</v>
      </c>
      <c r="Q66" t="s">
        <v>1664</v>
      </c>
      <c r="R66" t="s">
        <v>1664</v>
      </c>
      <c r="S66" t="s">
        <v>1664</v>
      </c>
      <c r="T66" t="s">
        <v>1664</v>
      </c>
      <c r="U66" t="s">
        <v>1664</v>
      </c>
      <c r="V66" t="s">
        <v>1664</v>
      </c>
      <c r="W66" t="s">
        <v>1664</v>
      </c>
      <c r="X66" t="s">
        <v>1664</v>
      </c>
      <c r="Y66" t="s">
        <v>1664</v>
      </c>
      <c r="Z66" t="s">
        <v>1664</v>
      </c>
      <c r="AA66" t="s">
        <v>1664</v>
      </c>
      <c r="AB66" t="s">
        <v>1664</v>
      </c>
      <c r="AC66" t="s">
        <v>1664</v>
      </c>
      <c r="AD66" t="s">
        <v>1664</v>
      </c>
      <c r="AE66">
        <v>1.22</v>
      </c>
      <c r="AF66">
        <v>1.1259999999999999</v>
      </c>
      <c r="AG66">
        <v>1.5289999999999999</v>
      </c>
      <c r="AH66">
        <v>1.82</v>
      </c>
      <c r="AI66">
        <v>3.0649999999999999</v>
      </c>
      <c r="AJ66">
        <v>2.823</v>
      </c>
      <c r="AK66">
        <v>3.2029999999999998</v>
      </c>
      <c r="AL66">
        <v>3.6509999999999998</v>
      </c>
      <c r="AM66">
        <v>3.8460000000000001</v>
      </c>
      <c r="AN66">
        <v>4.9089999999999998</v>
      </c>
      <c r="AO66">
        <v>5.0259999999999998</v>
      </c>
      <c r="AP66">
        <v>5.6189999999999998</v>
      </c>
      <c r="AQ66">
        <v>7.3970000000000002</v>
      </c>
      <c r="AR66">
        <v>5.992</v>
      </c>
      <c r="AS66">
        <v>7.72</v>
      </c>
      <c r="AT66">
        <v>8.32</v>
      </c>
      <c r="AU66">
        <v>8.4659999999999993</v>
      </c>
      <c r="AV66">
        <v>13.519</v>
      </c>
      <c r="AW66">
        <v>12.135</v>
      </c>
      <c r="AX66">
        <v>19.238</v>
      </c>
      <c r="AY66">
        <v>21.446000000000002</v>
      </c>
      <c r="AZ66">
        <v>17.928999999999998</v>
      </c>
      <c r="BA66">
        <v>23.295000000000002</v>
      </c>
      <c r="BB66">
        <v>27.27</v>
      </c>
      <c r="BC66">
        <v>30.193000000000001</v>
      </c>
      <c r="BD66">
        <v>34.497</v>
      </c>
      <c r="BE66">
        <v>37.26</v>
      </c>
      <c r="BF66">
        <v>40.920999999999999</v>
      </c>
      <c r="BG66">
        <v>2020</v>
      </c>
      <c r="BH66">
        <v>21.446000000000002</v>
      </c>
      <c r="BI66">
        <v>94.269000000000005</v>
      </c>
      <c r="BJ66">
        <v>94.269000000000005</v>
      </c>
      <c r="BK66">
        <v>2020</v>
      </c>
      <c r="BL66">
        <v>22.749790493163182</v>
      </c>
    </row>
    <row r="67" spans="1:64">
      <c r="A67" t="s">
        <v>394</v>
      </c>
      <c r="B67">
        <v>915</v>
      </c>
      <c r="C67" t="s">
        <v>394</v>
      </c>
      <c r="D67" t="s">
        <v>1659</v>
      </c>
      <c r="E67" t="s">
        <v>179</v>
      </c>
      <c r="F67" t="s">
        <v>1660</v>
      </c>
      <c r="G67" t="s">
        <v>1661</v>
      </c>
      <c r="H67" t="s">
        <v>1662</v>
      </c>
      <c r="I67" t="s">
        <v>883</v>
      </c>
      <c r="J67" t="s">
        <v>1732</v>
      </c>
      <c r="K67" t="s">
        <v>1664</v>
      </c>
      <c r="L67" t="s">
        <v>1664</v>
      </c>
      <c r="M67" t="s">
        <v>1664</v>
      </c>
      <c r="N67" t="s">
        <v>1664</v>
      </c>
      <c r="O67" t="s">
        <v>1664</v>
      </c>
      <c r="P67" t="s">
        <v>1664</v>
      </c>
      <c r="Q67" t="s">
        <v>1664</v>
      </c>
      <c r="R67" t="s">
        <v>1664</v>
      </c>
      <c r="S67" t="s">
        <v>1664</v>
      </c>
      <c r="T67" t="s">
        <v>1664</v>
      </c>
      <c r="U67" t="s">
        <v>1664</v>
      </c>
      <c r="V67" t="s">
        <v>1664</v>
      </c>
      <c r="W67" t="s">
        <v>1664</v>
      </c>
      <c r="X67" t="s">
        <v>1664</v>
      </c>
      <c r="Y67">
        <v>0.106</v>
      </c>
      <c r="Z67">
        <v>0.27200000000000002</v>
      </c>
      <c r="AA67">
        <v>0.497</v>
      </c>
      <c r="AB67">
        <v>0.70799999999999996</v>
      </c>
      <c r="AC67">
        <v>0.77</v>
      </c>
      <c r="AD67">
        <v>0.877</v>
      </c>
      <c r="AE67">
        <v>0.93200000000000005</v>
      </c>
      <c r="AF67">
        <v>1.1060000000000001</v>
      </c>
      <c r="AG67">
        <v>1.2110000000000001</v>
      </c>
      <c r="AH67">
        <v>1.3680000000000001</v>
      </c>
      <c r="AI67">
        <v>2.2669999999999999</v>
      </c>
      <c r="AJ67">
        <v>2.8380000000000001</v>
      </c>
      <c r="AK67">
        <v>3.6779999999999999</v>
      </c>
      <c r="AL67">
        <v>4.9720000000000004</v>
      </c>
      <c r="AM67">
        <v>5.8540000000000001</v>
      </c>
      <c r="AN67">
        <v>5.2640000000000002</v>
      </c>
      <c r="AO67">
        <v>5.8659999999999997</v>
      </c>
      <c r="AP67">
        <v>6.87</v>
      </c>
      <c r="AQ67">
        <v>7.5389999999999997</v>
      </c>
      <c r="AR67">
        <v>7.3860000000000001</v>
      </c>
      <c r="AS67">
        <v>8.1639999999999997</v>
      </c>
      <c r="AT67">
        <v>8.923</v>
      </c>
      <c r="AU67">
        <v>9.6229999999999993</v>
      </c>
      <c r="AV67">
        <v>11.051</v>
      </c>
      <c r="AW67">
        <v>11.760999999999999</v>
      </c>
      <c r="AX67">
        <v>13.35</v>
      </c>
      <c r="AY67">
        <v>12.422000000000001</v>
      </c>
      <c r="AZ67">
        <v>15.313000000000001</v>
      </c>
      <c r="BA67">
        <v>17.329000000000001</v>
      </c>
      <c r="BB67">
        <v>19.297000000000001</v>
      </c>
      <c r="BC67">
        <v>21.292999999999999</v>
      </c>
      <c r="BD67">
        <v>23.065000000000001</v>
      </c>
      <c r="BE67">
        <v>24.875</v>
      </c>
      <c r="BF67">
        <v>26.885999999999999</v>
      </c>
      <c r="BG67">
        <v>2021</v>
      </c>
      <c r="BH67">
        <v>15.313000000000001</v>
      </c>
      <c r="BI67">
        <v>60.231999999999999</v>
      </c>
      <c r="BJ67">
        <v>60.231999999999999</v>
      </c>
      <c r="BK67">
        <v>2021</v>
      </c>
      <c r="BL67">
        <v>25.423362996413868</v>
      </c>
    </row>
    <row r="68" spans="1:64">
      <c r="A68" t="s">
        <v>457</v>
      </c>
      <c r="B68">
        <v>134</v>
      </c>
      <c r="C68" t="s">
        <v>457</v>
      </c>
      <c r="D68" t="s">
        <v>1659</v>
      </c>
      <c r="E68" t="s">
        <v>56</v>
      </c>
      <c r="F68" t="s">
        <v>1660</v>
      </c>
      <c r="G68" t="s">
        <v>1661</v>
      </c>
      <c r="H68" t="s">
        <v>1662</v>
      </c>
      <c r="I68" t="s">
        <v>883</v>
      </c>
      <c r="J68" t="s">
        <v>1733</v>
      </c>
      <c r="K68" t="s">
        <v>1664</v>
      </c>
      <c r="L68" t="s">
        <v>1664</v>
      </c>
      <c r="M68" t="s">
        <v>1664</v>
      </c>
      <c r="N68" t="s">
        <v>1664</v>
      </c>
      <c r="O68" t="s">
        <v>1664</v>
      </c>
      <c r="P68" t="s">
        <v>1664</v>
      </c>
      <c r="Q68" t="s">
        <v>1664</v>
      </c>
      <c r="R68" t="s">
        <v>1664</v>
      </c>
      <c r="S68" t="s">
        <v>1664</v>
      </c>
      <c r="T68" t="s">
        <v>1664</v>
      </c>
      <c r="U68" t="s">
        <v>1664</v>
      </c>
      <c r="V68">
        <v>686.31100000000004</v>
      </c>
      <c r="W68">
        <v>761.02599999999995</v>
      </c>
      <c r="X68">
        <v>790.26099999999997</v>
      </c>
      <c r="Y68">
        <v>837.07500000000005</v>
      </c>
      <c r="Z68">
        <v>865.54899999999998</v>
      </c>
      <c r="AA68">
        <v>880.92700000000002</v>
      </c>
      <c r="AB68">
        <v>894.79899999999998</v>
      </c>
      <c r="AC68">
        <v>918.14</v>
      </c>
      <c r="AD68">
        <v>957.51099999999997</v>
      </c>
      <c r="AE68">
        <v>973.83199999999999</v>
      </c>
      <c r="AF68">
        <v>964.40800000000002</v>
      </c>
      <c r="AG68">
        <v>967.09699999999998</v>
      </c>
      <c r="AH68">
        <v>986.36</v>
      </c>
      <c r="AI68">
        <v>983.23099999999999</v>
      </c>
      <c r="AJ68">
        <v>995.44600000000003</v>
      </c>
      <c r="AK68">
        <v>1039.47</v>
      </c>
      <c r="AL68">
        <v>1091.27</v>
      </c>
      <c r="AM68">
        <v>1122.57</v>
      </c>
      <c r="AN68">
        <v>1101.8</v>
      </c>
      <c r="AO68">
        <v>1122.26</v>
      </c>
      <c r="AP68">
        <v>1194.78</v>
      </c>
      <c r="AQ68">
        <v>1233.3900000000001</v>
      </c>
      <c r="AR68">
        <v>1264.67</v>
      </c>
      <c r="AS68">
        <v>1313.91</v>
      </c>
      <c r="AT68">
        <v>1364.86</v>
      </c>
      <c r="AU68">
        <v>1426.75</v>
      </c>
      <c r="AV68">
        <v>1486.93</v>
      </c>
      <c r="AW68">
        <v>1557.25</v>
      </c>
      <c r="AX68">
        <v>1613.8</v>
      </c>
      <c r="AY68">
        <v>1566.89</v>
      </c>
      <c r="AZ68">
        <v>1705.77</v>
      </c>
      <c r="BA68">
        <v>1803.18</v>
      </c>
      <c r="BB68">
        <v>1906</v>
      </c>
      <c r="BC68">
        <v>1972.93</v>
      </c>
      <c r="BD68">
        <v>2040.34</v>
      </c>
      <c r="BE68">
        <v>2105.8200000000002</v>
      </c>
      <c r="BF68">
        <v>2171.85</v>
      </c>
      <c r="BG68">
        <v>2021</v>
      </c>
      <c r="BH68">
        <v>1705.77</v>
      </c>
      <c r="BI68">
        <v>3570.62</v>
      </c>
      <c r="BJ68">
        <v>3570.62</v>
      </c>
      <c r="BK68">
        <v>2021</v>
      </c>
      <c r="BL68">
        <v>47.772375665850745</v>
      </c>
    </row>
    <row r="69" spans="1:64">
      <c r="A69" t="s">
        <v>359</v>
      </c>
      <c r="B69">
        <v>652</v>
      </c>
      <c r="C69" t="s">
        <v>359</v>
      </c>
      <c r="D69" t="s">
        <v>1659</v>
      </c>
      <c r="E69" t="s">
        <v>145</v>
      </c>
      <c r="F69" t="s">
        <v>1660</v>
      </c>
      <c r="G69" t="s">
        <v>1661</v>
      </c>
      <c r="H69" t="s">
        <v>1662</v>
      </c>
      <c r="I69" t="s">
        <v>883</v>
      </c>
      <c r="J69" t="s">
        <v>1734</v>
      </c>
      <c r="K69" t="s">
        <v>1686</v>
      </c>
      <c r="L69" t="s">
        <v>1686</v>
      </c>
      <c r="M69">
        <v>1E-3</v>
      </c>
      <c r="N69">
        <v>1E-3</v>
      </c>
      <c r="O69">
        <v>2E-3</v>
      </c>
      <c r="P69">
        <v>4.0000000000000001E-3</v>
      </c>
      <c r="Q69">
        <v>8.0000000000000002E-3</v>
      </c>
      <c r="R69">
        <v>1.2E-2</v>
      </c>
      <c r="S69">
        <v>1.7000000000000001E-2</v>
      </c>
      <c r="T69">
        <v>2.4E-2</v>
      </c>
      <c r="U69">
        <v>2.4E-2</v>
      </c>
      <c r="V69">
        <v>3.6999999999999998E-2</v>
      </c>
      <c r="W69">
        <v>3.5999999999999997E-2</v>
      </c>
      <c r="X69">
        <v>6.3E-2</v>
      </c>
      <c r="Y69">
        <v>9.9000000000000005E-2</v>
      </c>
      <c r="Z69">
        <v>0.159</v>
      </c>
      <c r="AA69">
        <v>0.186</v>
      </c>
      <c r="AB69">
        <v>0.20300000000000001</v>
      </c>
      <c r="AC69">
        <v>0.27900000000000003</v>
      </c>
      <c r="AD69">
        <v>0.27900000000000003</v>
      </c>
      <c r="AE69">
        <v>0.53900000000000003</v>
      </c>
      <c r="AF69">
        <v>0.95299999999999996</v>
      </c>
      <c r="AG69">
        <v>0.95699999999999996</v>
      </c>
      <c r="AH69">
        <v>1.65</v>
      </c>
      <c r="AI69">
        <v>2.294</v>
      </c>
      <c r="AJ69">
        <v>2.633</v>
      </c>
      <c r="AK69">
        <v>3.1920000000000002</v>
      </c>
      <c r="AL69">
        <v>4.0519999999999996</v>
      </c>
      <c r="AM69">
        <v>4.8129999999999997</v>
      </c>
      <c r="AN69">
        <v>6.0170000000000003</v>
      </c>
      <c r="AO69">
        <v>7.694</v>
      </c>
      <c r="AP69">
        <v>11.441000000000001</v>
      </c>
      <c r="AQ69">
        <v>13.935</v>
      </c>
      <c r="AR69">
        <v>15.494</v>
      </c>
      <c r="AS69">
        <v>20.873999999999999</v>
      </c>
      <c r="AT69">
        <v>26.824000000000002</v>
      </c>
      <c r="AU69">
        <v>28.864999999999998</v>
      </c>
      <c r="AV69">
        <v>35.781999999999996</v>
      </c>
      <c r="AW69">
        <v>43.523000000000003</v>
      </c>
      <c r="AX69">
        <v>49.427</v>
      </c>
      <c r="AY69">
        <v>51.134999999999998</v>
      </c>
      <c r="AZ69">
        <v>64.994</v>
      </c>
      <c r="BA69">
        <v>87.962999999999994</v>
      </c>
      <c r="BB69">
        <v>99.79</v>
      </c>
      <c r="BC69">
        <v>113.396</v>
      </c>
      <c r="BD69">
        <v>127.43600000000001</v>
      </c>
      <c r="BE69">
        <v>140.04300000000001</v>
      </c>
      <c r="BF69">
        <v>162.85</v>
      </c>
      <c r="BG69">
        <v>2018</v>
      </c>
      <c r="BH69">
        <v>43.523000000000003</v>
      </c>
      <c r="BI69">
        <v>308.58699999999999</v>
      </c>
      <c r="BJ69">
        <v>356.54399999999998</v>
      </c>
      <c r="BK69">
        <v>2019</v>
      </c>
      <c r="BL69">
        <v>14.103964198102966</v>
      </c>
    </row>
    <row r="70" spans="1:64">
      <c r="A70" t="s">
        <v>443</v>
      </c>
      <c r="B70">
        <v>174</v>
      </c>
      <c r="C70" t="s">
        <v>443</v>
      </c>
      <c r="D70" t="s">
        <v>1659</v>
      </c>
      <c r="E70" t="s">
        <v>65</v>
      </c>
      <c r="F70" t="s">
        <v>1660</v>
      </c>
      <c r="G70" t="s">
        <v>1661</v>
      </c>
      <c r="H70" t="s">
        <v>1662</v>
      </c>
      <c r="I70" t="s">
        <v>883</v>
      </c>
      <c r="J70" t="s">
        <v>1735</v>
      </c>
      <c r="K70">
        <v>1.544</v>
      </c>
      <c r="L70">
        <v>1.7629999999999999</v>
      </c>
      <c r="M70">
        <v>2.4500000000000002</v>
      </c>
      <c r="N70">
        <v>3.032</v>
      </c>
      <c r="O70">
        <v>3.879</v>
      </c>
      <c r="P70">
        <v>4.7160000000000002</v>
      </c>
      <c r="Q70">
        <v>5.7450000000000001</v>
      </c>
      <c r="R70">
        <v>6.6749999999999998</v>
      </c>
      <c r="S70">
        <v>7.5750000000000002</v>
      </c>
      <c r="T70">
        <v>8.5169999999999995</v>
      </c>
      <c r="U70">
        <v>11.323</v>
      </c>
      <c r="V70">
        <v>14.18</v>
      </c>
      <c r="W70">
        <v>16.835999999999999</v>
      </c>
      <c r="X70">
        <v>19.617000000000001</v>
      </c>
      <c r="Y70">
        <v>23.289000000000001</v>
      </c>
      <c r="Z70">
        <v>33.753</v>
      </c>
      <c r="AA70">
        <v>38.045999999999999</v>
      </c>
      <c r="AB70">
        <v>43.189</v>
      </c>
      <c r="AC70">
        <v>48.703000000000003</v>
      </c>
      <c r="AD70">
        <v>53.997999999999998</v>
      </c>
      <c r="AE70">
        <v>59.835999999999999</v>
      </c>
      <c r="AF70">
        <v>61.668999999999997</v>
      </c>
      <c r="AG70">
        <v>65.013000000000005</v>
      </c>
      <c r="AH70">
        <v>69.346000000000004</v>
      </c>
      <c r="AI70">
        <v>75.135999999999996</v>
      </c>
      <c r="AJ70">
        <v>78.448999999999998</v>
      </c>
      <c r="AK70">
        <v>85.337999999999994</v>
      </c>
      <c r="AL70">
        <v>93.921000000000006</v>
      </c>
      <c r="AM70">
        <v>98.415999999999997</v>
      </c>
      <c r="AN70">
        <v>92.488</v>
      </c>
      <c r="AO70">
        <v>93.381</v>
      </c>
      <c r="AP70">
        <v>90.784000000000006</v>
      </c>
      <c r="AQ70">
        <v>88.45</v>
      </c>
      <c r="AR70">
        <v>86.757999999999996</v>
      </c>
      <c r="AS70">
        <v>82.570999999999998</v>
      </c>
      <c r="AT70">
        <v>84.915000000000006</v>
      </c>
      <c r="AU70">
        <v>87.688999999999993</v>
      </c>
      <c r="AV70">
        <v>87.403999999999996</v>
      </c>
      <c r="AW70">
        <v>88.531000000000006</v>
      </c>
      <c r="AX70">
        <v>88.004000000000005</v>
      </c>
      <c r="AY70">
        <v>80.897000000000006</v>
      </c>
      <c r="AZ70">
        <v>89.81</v>
      </c>
      <c r="BA70">
        <v>96.525000000000006</v>
      </c>
      <c r="BB70">
        <v>98.924999999999997</v>
      </c>
      <c r="BC70">
        <v>101.992</v>
      </c>
      <c r="BD70">
        <v>104.09099999999999</v>
      </c>
      <c r="BE70">
        <v>105.261</v>
      </c>
      <c r="BF70">
        <v>105.916</v>
      </c>
      <c r="BG70">
        <v>2021</v>
      </c>
      <c r="BH70">
        <v>89.81</v>
      </c>
      <c r="BI70">
        <v>182.83</v>
      </c>
      <c r="BJ70">
        <v>182.83</v>
      </c>
      <c r="BK70">
        <v>2021</v>
      </c>
      <c r="BL70">
        <v>49.122135316961106</v>
      </c>
    </row>
    <row r="71" spans="1:64">
      <c r="A71" t="s">
        <v>431</v>
      </c>
      <c r="B71">
        <v>328</v>
      </c>
      <c r="C71" t="s">
        <v>431</v>
      </c>
      <c r="D71" t="s">
        <v>1659</v>
      </c>
      <c r="E71" t="s">
        <v>216</v>
      </c>
      <c r="F71" t="s">
        <v>1660</v>
      </c>
      <c r="G71" t="s">
        <v>1661</v>
      </c>
      <c r="H71" t="s">
        <v>1662</v>
      </c>
      <c r="I71" t="s">
        <v>883</v>
      </c>
      <c r="J71" t="s">
        <v>1736</v>
      </c>
      <c r="K71" t="s">
        <v>1664</v>
      </c>
      <c r="L71" t="s">
        <v>1664</v>
      </c>
      <c r="M71" t="s">
        <v>1664</v>
      </c>
      <c r="N71" t="s">
        <v>1664</v>
      </c>
      <c r="O71" t="s">
        <v>1664</v>
      </c>
      <c r="P71" t="s">
        <v>1664</v>
      </c>
      <c r="Q71" t="s">
        <v>1664</v>
      </c>
      <c r="R71" t="s">
        <v>1664</v>
      </c>
      <c r="S71" t="s">
        <v>1664</v>
      </c>
      <c r="T71" t="s">
        <v>1664</v>
      </c>
      <c r="U71">
        <v>0.159</v>
      </c>
      <c r="V71">
        <v>0.183</v>
      </c>
      <c r="W71">
        <v>0.17</v>
      </c>
      <c r="X71">
        <v>0.192</v>
      </c>
      <c r="Y71">
        <v>0.192</v>
      </c>
      <c r="Z71">
        <v>0.21</v>
      </c>
      <c r="AA71">
        <v>0.23</v>
      </c>
      <c r="AB71">
        <v>0.22900000000000001</v>
      </c>
      <c r="AC71">
        <v>0.27600000000000002</v>
      </c>
      <c r="AD71">
        <v>0.28699999999999998</v>
      </c>
      <c r="AE71">
        <v>0.33</v>
      </c>
      <c r="AF71">
        <v>0.33</v>
      </c>
      <c r="AG71">
        <v>0.31900000000000001</v>
      </c>
      <c r="AH71">
        <v>0.41299999999999998</v>
      </c>
      <c r="AI71">
        <v>0.39100000000000001</v>
      </c>
      <c r="AJ71">
        <v>0.51600000000000001</v>
      </c>
      <c r="AK71">
        <v>0.51200000000000001</v>
      </c>
      <c r="AL71">
        <v>0.44600000000000001</v>
      </c>
      <c r="AM71">
        <v>0.53900000000000003</v>
      </c>
      <c r="AN71">
        <v>0.47399999999999998</v>
      </c>
      <c r="AO71">
        <v>0.51300000000000001</v>
      </c>
      <c r="AP71">
        <v>0.496</v>
      </c>
      <c r="AQ71">
        <v>0.44900000000000001</v>
      </c>
      <c r="AR71">
        <v>0.47499999999999998</v>
      </c>
      <c r="AS71">
        <v>0.60299999999999998</v>
      </c>
      <c r="AT71">
        <v>0.65800000000000003</v>
      </c>
      <c r="AU71">
        <v>0.752</v>
      </c>
      <c r="AV71">
        <v>0.77800000000000002</v>
      </c>
      <c r="AW71">
        <v>0.84899999999999998</v>
      </c>
      <c r="AX71">
        <v>0.872</v>
      </c>
      <c r="AY71">
        <v>0.79300000000000004</v>
      </c>
      <c r="AZ71">
        <v>0.95699999999999996</v>
      </c>
      <c r="BA71">
        <v>0.93200000000000005</v>
      </c>
      <c r="BB71">
        <v>1.0189999999999999</v>
      </c>
      <c r="BC71">
        <v>1.05</v>
      </c>
      <c r="BD71">
        <v>1.0840000000000001</v>
      </c>
      <c r="BE71">
        <v>1.137</v>
      </c>
      <c r="BF71">
        <v>1.1919999999999999</v>
      </c>
      <c r="BG71">
        <v>2020</v>
      </c>
      <c r="BH71">
        <v>0.79300000000000004</v>
      </c>
      <c r="BI71">
        <v>2.8170000000000002</v>
      </c>
      <c r="BJ71">
        <v>2.8170000000000002</v>
      </c>
      <c r="BK71">
        <v>2020</v>
      </c>
      <c r="BL71">
        <v>28.150514731984384</v>
      </c>
    </row>
    <row r="72" spans="1:64">
      <c r="A72" t="s">
        <v>398</v>
      </c>
      <c r="B72">
        <v>258</v>
      </c>
      <c r="C72" t="s">
        <v>398</v>
      </c>
      <c r="D72" t="s">
        <v>1659</v>
      </c>
      <c r="E72" t="s">
        <v>183</v>
      </c>
      <c r="F72" t="s">
        <v>1660</v>
      </c>
      <c r="G72" t="s">
        <v>1661</v>
      </c>
      <c r="H72" t="s">
        <v>1662</v>
      </c>
      <c r="I72" t="s">
        <v>883</v>
      </c>
      <c r="J72" t="s">
        <v>1737</v>
      </c>
      <c r="K72" t="s">
        <v>1664</v>
      </c>
      <c r="L72" t="s">
        <v>1664</v>
      </c>
      <c r="M72" t="s">
        <v>1664</v>
      </c>
      <c r="N72" t="s">
        <v>1664</v>
      </c>
      <c r="O72" t="s">
        <v>1664</v>
      </c>
      <c r="P72" t="s">
        <v>1664</v>
      </c>
      <c r="Q72" t="s">
        <v>1664</v>
      </c>
      <c r="R72" t="s">
        <v>1664</v>
      </c>
      <c r="S72" t="s">
        <v>1664</v>
      </c>
      <c r="T72" t="s">
        <v>1664</v>
      </c>
      <c r="U72" t="s">
        <v>1664</v>
      </c>
      <c r="V72" t="s">
        <v>1664</v>
      </c>
      <c r="W72" t="s">
        <v>1664</v>
      </c>
      <c r="X72" t="s">
        <v>1664</v>
      </c>
      <c r="Y72" t="s">
        <v>1664</v>
      </c>
      <c r="Z72">
        <v>7.5439999999999996</v>
      </c>
      <c r="AA72">
        <v>9.0310000000000006</v>
      </c>
      <c r="AB72">
        <v>10.705</v>
      </c>
      <c r="AC72">
        <v>12.815</v>
      </c>
      <c r="AD72">
        <v>14.923999999999999</v>
      </c>
      <c r="AE72">
        <v>16.469000000000001</v>
      </c>
      <c r="AF72">
        <v>18.222000000000001</v>
      </c>
      <c r="AG72">
        <v>20.771000000000001</v>
      </c>
      <c r="AH72">
        <v>21.809000000000001</v>
      </c>
      <c r="AI72">
        <v>23.462</v>
      </c>
      <c r="AJ72">
        <v>24.907</v>
      </c>
      <c r="AK72">
        <v>29.25</v>
      </c>
      <c r="AL72">
        <v>33.610999999999997</v>
      </c>
      <c r="AM72">
        <v>35.578000000000003</v>
      </c>
      <c r="AN72">
        <v>34.036999999999999</v>
      </c>
      <c r="AO72">
        <v>37.424999999999997</v>
      </c>
      <c r="AP72">
        <v>43.154000000000003</v>
      </c>
      <c r="AQ72">
        <v>45.874000000000002</v>
      </c>
      <c r="AR72">
        <v>49.259</v>
      </c>
      <c r="AS72">
        <v>52.223999999999997</v>
      </c>
      <c r="AT72">
        <v>52.884</v>
      </c>
      <c r="AU72">
        <v>57.508000000000003</v>
      </c>
      <c r="AV72">
        <v>59.987000000000002</v>
      </c>
      <c r="AW72">
        <v>62.341999999999999</v>
      </c>
      <c r="AX72">
        <v>66.555000000000007</v>
      </c>
      <c r="AY72">
        <v>64.066000000000003</v>
      </c>
      <c r="AZ72">
        <v>82.186000000000007</v>
      </c>
      <c r="BA72">
        <v>87.305000000000007</v>
      </c>
      <c r="BB72">
        <v>91.825999999999993</v>
      </c>
      <c r="BC72">
        <v>97.031999999999996</v>
      </c>
      <c r="BD72">
        <v>102.24299999999999</v>
      </c>
      <c r="BE72">
        <v>109.209</v>
      </c>
      <c r="BF72">
        <v>116.779</v>
      </c>
      <c r="BG72">
        <v>2021</v>
      </c>
      <c r="BH72">
        <v>82.186000000000007</v>
      </c>
      <c r="BI72">
        <v>663.04300000000001</v>
      </c>
      <c r="BJ72">
        <v>663.04300000000001</v>
      </c>
      <c r="BK72">
        <v>2021</v>
      </c>
      <c r="BL72">
        <v>12.395274514624241</v>
      </c>
    </row>
    <row r="73" spans="1:64">
      <c r="A73" t="s">
        <v>330</v>
      </c>
      <c r="B73">
        <v>656</v>
      </c>
      <c r="C73" t="s">
        <v>330</v>
      </c>
      <c r="D73" t="s">
        <v>1659</v>
      </c>
      <c r="E73" t="s">
        <v>117</v>
      </c>
      <c r="F73" t="s">
        <v>1660</v>
      </c>
      <c r="G73" t="s">
        <v>1661</v>
      </c>
      <c r="H73" t="s">
        <v>1662</v>
      </c>
      <c r="I73" t="s">
        <v>883</v>
      </c>
      <c r="J73" t="s">
        <v>1738</v>
      </c>
      <c r="K73" t="s">
        <v>1664</v>
      </c>
      <c r="L73" t="s">
        <v>1664</v>
      </c>
      <c r="M73" t="s">
        <v>1664</v>
      </c>
      <c r="N73" t="s">
        <v>1664</v>
      </c>
      <c r="O73" t="s">
        <v>1664</v>
      </c>
      <c r="P73" t="s">
        <v>1664</v>
      </c>
      <c r="Q73" t="s">
        <v>1664</v>
      </c>
      <c r="R73" t="s">
        <v>1664</v>
      </c>
      <c r="S73" t="s">
        <v>1664</v>
      </c>
      <c r="T73" t="s">
        <v>1664</v>
      </c>
      <c r="U73">
        <v>362.13</v>
      </c>
      <c r="V73">
        <v>412.483</v>
      </c>
      <c r="W73">
        <v>478.41899999999998</v>
      </c>
      <c r="X73">
        <v>464.31400000000002</v>
      </c>
      <c r="Y73">
        <v>460.77</v>
      </c>
      <c r="Z73">
        <v>547.75699999999995</v>
      </c>
      <c r="AA73">
        <v>521.07299999999998</v>
      </c>
      <c r="AB73">
        <v>603.71600000000001</v>
      </c>
      <c r="AC73">
        <v>624.5</v>
      </c>
      <c r="AD73">
        <v>628.33699999999999</v>
      </c>
      <c r="AE73">
        <v>719.8</v>
      </c>
      <c r="AF73">
        <v>868.21</v>
      </c>
      <c r="AG73">
        <v>876.91399999999999</v>
      </c>
      <c r="AH73">
        <v>952.67200000000003</v>
      </c>
      <c r="AI73">
        <v>1027.3699999999999</v>
      </c>
      <c r="AJ73">
        <v>1631.47</v>
      </c>
      <c r="AK73">
        <v>2397.75</v>
      </c>
      <c r="AL73">
        <v>2620.29</v>
      </c>
      <c r="AM73">
        <v>3351.79</v>
      </c>
      <c r="AN73">
        <v>3662.49</v>
      </c>
      <c r="AO73">
        <v>4257.6899999999996</v>
      </c>
      <c r="AP73">
        <v>6824.18</v>
      </c>
      <c r="AQ73">
        <v>9046.64</v>
      </c>
      <c r="AR73">
        <v>8543.92</v>
      </c>
      <c r="AS73">
        <v>10464.83</v>
      </c>
      <c r="AT73">
        <v>9749.32</v>
      </c>
      <c r="AU73">
        <v>12325.46</v>
      </c>
      <c r="AV73">
        <v>14341.91</v>
      </c>
      <c r="AW73">
        <v>15964.91</v>
      </c>
      <c r="AX73">
        <v>17901.810000000001</v>
      </c>
      <c r="AY73">
        <v>18859.61</v>
      </c>
      <c r="AZ73">
        <v>21605.15</v>
      </c>
      <c r="BA73">
        <v>25491</v>
      </c>
      <c r="BB73">
        <v>31678.48</v>
      </c>
      <c r="BC73">
        <v>37415.370000000003</v>
      </c>
      <c r="BD73">
        <v>44253.08</v>
      </c>
      <c r="BE73">
        <v>51097.3</v>
      </c>
      <c r="BF73">
        <v>59977.599999999999</v>
      </c>
      <c r="BG73">
        <v>2021</v>
      </c>
      <c r="BH73">
        <v>21605.15</v>
      </c>
      <c r="BI73">
        <v>171675.75</v>
      </c>
      <c r="BJ73">
        <v>124109.15</v>
      </c>
      <c r="BK73">
        <v>2019</v>
      </c>
      <c r="BL73">
        <v>12.584858373998658</v>
      </c>
    </row>
    <row r="74" spans="1:64">
      <c r="A74" t="s">
        <v>321</v>
      </c>
      <c r="B74">
        <v>654</v>
      </c>
      <c r="C74" t="s">
        <v>321</v>
      </c>
      <c r="D74" t="s">
        <v>1659</v>
      </c>
      <c r="E74" t="s">
        <v>108</v>
      </c>
      <c r="F74" t="s">
        <v>1660</v>
      </c>
      <c r="G74" t="s">
        <v>1661</v>
      </c>
      <c r="H74" t="s">
        <v>1662</v>
      </c>
      <c r="I74" t="s">
        <v>883</v>
      </c>
      <c r="J74" t="s">
        <v>1739</v>
      </c>
      <c r="K74" t="s">
        <v>1664</v>
      </c>
      <c r="L74" t="s">
        <v>1664</v>
      </c>
      <c r="M74" t="s">
        <v>1664</v>
      </c>
      <c r="N74" t="s">
        <v>1664</v>
      </c>
      <c r="O74" t="s">
        <v>1664</v>
      </c>
      <c r="P74" t="s">
        <v>1664</v>
      </c>
      <c r="Q74" t="s">
        <v>1664</v>
      </c>
      <c r="R74" t="s">
        <v>1664</v>
      </c>
      <c r="S74" t="s">
        <v>1664</v>
      </c>
      <c r="T74" t="s">
        <v>1664</v>
      </c>
      <c r="U74" t="s">
        <v>1664</v>
      </c>
      <c r="V74">
        <v>23.465</v>
      </c>
      <c r="W74">
        <v>21.614000000000001</v>
      </c>
      <c r="X74">
        <v>23.309000000000001</v>
      </c>
      <c r="Y74">
        <v>25.849</v>
      </c>
      <c r="Z74">
        <v>40.718000000000004</v>
      </c>
      <c r="AA74">
        <v>46.643000000000001</v>
      </c>
      <c r="AB74">
        <v>41.485999999999997</v>
      </c>
      <c r="AC74">
        <v>9.6379999999999999</v>
      </c>
      <c r="AD74">
        <v>28.800999999999998</v>
      </c>
      <c r="AE74">
        <v>57.570999999999998</v>
      </c>
      <c r="AF74">
        <v>52.125</v>
      </c>
      <c r="AG74">
        <v>33.518000000000001</v>
      </c>
      <c r="AH74">
        <v>36.613999999999997</v>
      </c>
      <c r="AI74">
        <v>52.353000000000002</v>
      </c>
      <c r="AJ74">
        <v>51.295000000000002</v>
      </c>
      <c r="AK74">
        <v>50.517000000000003</v>
      </c>
      <c r="AL74">
        <v>53.767000000000003</v>
      </c>
      <c r="AM74">
        <v>89.311000000000007</v>
      </c>
      <c r="AN74">
        <v>97.486999999999995</v>
      </c>
      <c r="AO74">
        <v>85.233999999999995</v>
      </c>
      <c r="AP74">
        <v>87.022999999999996</v>
      </c>
      <c r="AQ74">
        <v>58.137999999999998</v>
      </c>
      <c r="AR74">
        <v>58.878999999999998</v>
      </c>
      <c r="AS74">
        <v>115.041</v>
      </c>
      <c r="AT74">
        <v>124.96299999999999</v>
      </c>
      <c r="AU74">
        <v>111.964</v>
      </c>
      <c r="AV74">
        <v>143.29</v>
      </c>
      <c r="AW74">
        <v>127.001</v>
      </c>
      <c r="AX74">
        <v>130.078</v>
      </c>
      <c r="AY74">
        <v>134.74799999999999</v>
      </c>
      <c r="AZ74">
        <v>179.149</v>
      </c>
      <c r="BA74">
        <v>171.53299999999999</v>
      </c>
      <c r="BB74">
        <v>189.85900000000001</v>
      </c>
      <c r="BC74">
        <v>202.36500000000001</v>
      </c>
      <c r="BD74">
        <v>219.809</v>
      </c>
      <c r="BE74">
        <v>235.90100000000001</v>
      </c>
      <c r="BF74">
        <v>257.59699999999998</v>
      </c>
      <c r="BG74">
        <v>2020</v>
      </c>
      <c r="BH74">
        <v>134.74799999999999</v>
      </c>
      <c r="BI74">
        <v>847.56500000000005</v>
      </c>
      <c r="BJ74">
        <v>847.56500000000005</v>
      </c>
      <c r="BK74" t="s">
        <v>1699</v>
      </c>
      <c r="BL74">
        <v>15.898249691764052</v>
      </c>
    </row>
    <row r="75" spans="1:64">
      <c r="A75" t="s">
        <v>429</v>
      </c>
      <c r="B75">
        <v>336</v>
      </c>
      <c r="C75" t="s">
        <v>429</v>
      </c>
      <c r="D75" t="s">
        <v>1659</v>
      </c>
      <c r="E75" t="s">
        <v>214</v>
      </c>
      <c r="F75" t="s">
        <v>1660</v>
      </c>
      <c r="G75" t="s">
        <v>1661</v>
      </c>
      <c r="H75" t="s">
        <v>1662</v>
      </c>
      <c r="I75" t="s">
        <v>883</v>
      </c>
      <c r="J75" t="s">
        <v>1740</v>
      </c>
      <c r="K75" t="s">
        <v>1664</v>
      </c>
      <c r="L75" t="s">
        <v>1664</v>
      </c>
      <c r="M75" t="s">
        <v>1664</v>
      </c>
      <c r="N75" t="s">
        <v>1664</v>
      </c>
      <c r="O75" t="s">
        <v>1664</v>
      </c>
      <c r="P75" t="s">
        <v>1664</v>
      </c>
      <c r="Q75" t="s">
        <v>1664</v>
      </c>
      <c r="R75" t="s">
        <v>1664</v>
      </c>
      <c r="S75" t="s">
        <v>1664</v>
      </c>
      <c r="T75" t="s">
        <v>1664</v>
      </c>
      <c r="U75" t="s">
        <v>1664</v>
      </c>
      <c r="V75" t="s">
        <v>1664</v>
      </c>
      <c r="W75" t="s">
        <v>1664</v>
      </c>
      <c r="X75" t="s">
        <v>1664</v>
      </c>
      <c r="Y75" t="s">
        <v>1664</v>
      </c>
      <c r="Z75" t="s">
        <v>1664</v>
      </c>
      <c r="AA75" t="s">
        <v>1664</v>
      </c>
      <c r="AB75">
        <v>43.343000000000004</v>
      </c>
      <c r="AC75">
        <v>38.372999999999998</v>
      </c>
      <c r="AD75">
        <v>45.421999999999997</v>
      </c>
      <c r="AE75">
        <v>56.264000000000003</v>
      </c>
      <c r="AF75">
        <v>57.22</v>
      </c>
      <c r="AG75">
        <v>61.357999999999997</v>
      </c>
      <c r="AH75">
        <v>57.692</v>
      </c>
      <c r="AI75">
        <v>68.268000000000001</v>
      </c>
      <c r="AJ75">
        <v>74.706999999999994</v>
      </c>
      <c r="AK75">
        <v>86.793000000000006</v>
      </c>
      <c r="AL75">
        <v>99.552999999999997</v>
      </c>
      <c r="AM75">
        <v>108.349</v>
      </c>
      <c r="AN75">
        <v>121.072</v>
      </c>
      <c r="AO75">
        <v>129.703</v>
      </c>
      <c r="AP75">
        <v>145.18199999999999</v>
      </c>
      <c r="AQ75">
        <v>155.56100000000001</v>
      </c>
      <c r="AR75">
        <v>164.76300000000001</v>
      </c>
      <c r="AS75">
        <v>163.798</v>
      </c>
      <c r="AT75">
        <v>185.518</v>
      </c>
      <c r="AU75">
        <v>203.37200000000001</v>
      </c>
      <c r="AV75">
        <v>227.17</v>
      </c>
      <c r="AW75">
        <v>248.96799999999999</v>
      </c>
      <c r="AX75">
        <v>276.25799999999998</v>
      </c>
      <c r="AY75">
        <v>259.66699999999997</v>
      </c>
      <c r="AZ75">
        <v>298.25099999999998</v>
      </c>
      <c r="BA75">
        <v>470.01299999999998</v>
      </c>
      <c r="BB75">
        <v>530.59</v>
      </c>
      <c r="BC75">
        <v>596.02200000000005</v>
      </c>
      <c r="BD75">
        <v>653.85900000000004</v>
      </c>
      <c r="BE75">
        <v>717.29100000000005</v>
      </c>
      <c r="BF75">
        <v>783.38400000000001</v>
      </c>
      <c r="BG75">
        <v>2021</v>
      </c>
      <c r="BH75">
        <v>298.25099999999998</v>
      </c>
      <c r="BI75">
        <v>1587.01</v>
      </c>
      <c r="BJ75">
        <v>1587.01</v>
      </c>
      <c r="BK75">
        <v>2021</v>
      </c>
      <c r="BL75">
        <v>18.793265322839805</v>
      </c>
    </row>
    <row r="76" spans="1:64">
      <c r="A76" t="s">
        <v>342</v>
      </c>
      <c r="B76">
        <v>263</v>
      </c>
      <c r="C76" t="s">
        <v>342</v>
      </c>
      <c r="D76" t="s">
        <v>1659</v>
      </c>
      <c r="E76" t="s">
        <v>128</v>
      </c>
      <c r="F76" t="s">
        <v>1660</v>
      </c>
      <c r="G76" t="s">
        <v>1661</v>
      </c>
      <c r="H76" t="s">
        <v>1662</v>
      </c>
      <c r="I76" t="s">
        <v>883</v>
      </c>
      <c r="J76" t="s">
        <v>1741</v>
      </c>
      <c r="K76" t="s">
        <v>1664</v>
      </c>
      <c r="L76" t="s">
        <v>1664</v>
      </c>
      <c r="M76" t="s">
        <v>1664</v>
      </c>
      <c r="N76" t="s">
        <v>1664</v>
      </c>
      <c r="O76" t="s">
        <v>1664</v>
      </c>
      <c r="P76" t="s">
        <v>1664</v>
      </c>
      <c r="Q76" t="s">
        <v>1664</v>
      </c>
      <c r="R76" t="s">
        <v>1664</v>
      </c>
      <c r="S76" t="s">
        <v>1664</v>
      </c>
      <c r="T76" t="s">
        <v>1664</v>
      </c>
      <c r="U76" t="s">
        <v>1664</v>
      </c>
      <c r="V76" t="s">
        <v>1664</v>
      </c>
      <c r="W76" t="s">
        <v>1664</v>
      </c>
      <c r="X76" t="s">
        <v>1664</v>
      </c>
      <c r="Y76" t="s">
        <v>1664</v>
      </c>
      <c r="Z76" t="s">
        <v>1664</v>
      </c>
      <c r="AA76" t="s">
        <v>1664</v>
      </c>
      <c r="AB76">
        <v>5.4249999999999998</v>
      </c>
      <c r="AC76">
        <v>6.0890000000000004</v>
      </c>
      <c r="AD76">
        <v>6.4039999999999999</v>
      </c>
      <c r="AE76">
        <v>6.5369999999999999</v>
      </c>
      <c r="AF76">
        <v>6.8769999999999998</v>
      </c>
      <c r="AG76">
        <v>7.9420000000000002</v>
      </c>
      <c r="AH76">
        <v>10.914999999999999</v>
      </c>
      <c r="AI76">
        <v>14.454000000000001</v>
      </c>
      <c r="AJ76">
        <v>22.178999999999998</v>
      </c>
      <c r="AK76">
        <v>27.305</v>
      </c>
      <c r="AL76">
        <v>34.173999999999999</v>
      </c>
      <c r="AM76">
        <v>37.755000000000003</v>
      </c>
      <c r="AN76">
        <v>45.082000000000001</v>
      </c>
      <c r="AO76">
        <v>53.256999999999998</v>
      </c>
      <c r="AP76">
        <v>66.563000000000002</v>
      </c>
      <c r="AQ76">
        <v>78.222999999999999</v>
      </c>
      <c r="AR76">
        <v>76.364999999999995</v>
      </c>
      <c r="AS76">
        <v>74.233999999999995</v>
      </c>
      <c r="AT76">
        <v>81.210999999999999</v>
      </c>
      <c r="AU76">
        <v>90.061000000000007</v>
      </c>
      <c r="AV76">
        <v>97.906000000000006</v>
      </c>
      <c r="AW76">
        <v>109.107</v>
      </c>
      <c r="AX76">
        <v>99.665000000000006</v>
      </c>
      <c r="AY76">
        <v>108.524</v>
      </c>
      <c r="AZ76">
        <v>141.178</v>
      </c>
      <c r="BA76">
        <v>188.244</v>
      </c>
      <c r="BB76">
        <v>248.05</v>
      </c>
      <c r="BC76">
        <v>286.20800000000003</v>
      </c>
      <c r="BD76">
        <v>310.72399999999999</v>
      </c>
      <c r="BE76">
        <v>363.01400000000001</v>
      </c>
      <c r="BF76">
        <v>409.31099999999998</v>
      </c>
      <c r="BG76">
        <v>2021</v>
      </c>
      <c r="BH76">
        <v>141.178</v>
      </c>
      <c r="BI76">
        <v>1699.21</v>
      </c>
      <c r="BJ76">
        <v>1699.21</v>
      </c>
      <c r="BK76">
        <v>2021</v>
      </c>
      <c r="BL76">
        <v>8.3084492205201244</v>
      </c>
    </row>
    <row r="77" spans="1:64">
      <c r="A77" t="s">
        <v>362</v>
      </c>
      <c r="B77">
        <v>268</v>
      </c>
      <c r="C77" t="s">
        <v>362</v>
      </c>
      <c r="D77" t="s">
        <v>1659</v>
      </c>
      <c r="E77" t="s">
        <v>148</v>
      </c>
      <c r="F77" t="s">
        <v>1660</v>
      </c>
      <c r="G77" t="s">
        <v>1661</v>
      </c>
      <c r="H77" t="s">
        <v>1662</v>
      </c>
      <c r="I77" t="s">
        <v>883</v>
      </c>
      <c r="J77" t="s">
        <v>1742</v>
      </c>
      <c r="K77" t="s">
        <v>1664</v>
      </c>
      <c r="L77" t="s">
        <v>1664</v>
      </c>
      <c r="M77" t="s">
        <v>1664</v>
      </c>
      <c r="N77" t="s">
        <v>1664</v>
      </c>
      <c r="O77" t="s">
        <v>1664</v>
      </c>
      <c r="P77" t="s">
        <v>1664</v>
      </c>
      <c r="Q77" t="s">
        <v>1664</v>
      </c>
      <c r="R77" t="s">
        <v>1664</v>
      </c>
      <c r="S77" t="s">
        <v>1664</v>
      </c>
      <c r="T77" t="s">
        <v>1664</v>
      </c>
      <c r="U77">
        <v>2.9540000000000002</v>
      </c>
      <c r="V77">
        <v>4.1529999999999996</v>
      </c>
      <c r="W77">
        <v>5.181</v>
      </c>
      <c r="X77">
        <v>5.9939999999999998</v>
      </c>
      <c r="Y77">
        <v>7.1260000000000003</v>
      </c>
      <c r="Z77">
        <v>8.702</v>
      </c>
      <c r="AA77">
        <v>11.603999999999999</v>
      </c>
      <c r="AB77">
        <v>14.691000000000001</v>
      </c>
      <c r="AC77">
        <v>19.233000000000001</v>
      </c>
      <c r="AD77">
        <v>22.738</v>
      </c>
      <c r="AE77">
        <v>25.178000000000001</v>
      </c>
      <c r="AF77">
        <v>25.989000000000001</v>
      </c>
      <c r="AG77">
        <v>28.15</v>
      </c>
      <c r="AH77">
        <v>30.489000000000001</v>
      </c>
      <c r="AI77">
        <v>37.256999999999998</v>
      </c>
      <c r="AJ77">
        <v>43.322000000000003</v>
      </c>
      <c r="AK77">
        <v>47.524999999999999</v>
      </c>
      <c r="AL77">
        <v>56.512</v>
      </c>
      <c r="AM77">
        <v>68.602000000000004</v>
      </c>
      <c r="AN77">
        <v>64.736999999999995</v>
      </c>
      <c r="AO77">
        <v>69.111000000000004</v>
      </c>
      <c r="AP77">
        <v>76.953000000000003</v>
      </c>
      <c r="AQ77">
        <v>82.650999999999996</v>
      </c>
      <c r="AR77">
        <v>89.789000000000001</v>
      </c>
      <c r="AS77">
        <v>102.584</v>
      </c>
      <c r="AT77">
        <v>116.21</v>
      </c>
      <c r="AU77">
        <v>133.82599999999999</v>
      </c>
      <c r="AV77">
        <v>143.73099999999999</v>
      </c>
      <c r="AW77">
        <v>151.607</v>
      </c>
      <c r="AX77">
        <v>158.727</v>
      </c>
      <c r="AY77">
        <v>136.779</v>
      </c>
      <c r="AZ77">
        <v>172.268</v>
      </c>
      <c r="BA77">
        <v>193.79900000000001</v>
      </c>
      <c r="BB77">
        <v>214.26499999999999</v>
      </c>
      <c r="BC77">
        <v>231.74600000000001</v>
      </c>
      <c r="BD77">
        <v>250.899</v>
      </c>
      <c r="BE77">
        <v>271.21600000000001</v>
      </c>
      <c r="BF77">
        <v>293.178</v>
      </c>
      <c r="BG77">
        <v>2021</v>
      </c>
      <c r="BH77">
        <v>172.268</v>
      </c>
      <c r="BI77">
        <v>688.47699999999998</v>
      </c>
      <c r="BJ77">
        <v>688.47699999999998</v>
      </c>
      <c r="BK77">
        <v>2021</v>
      </c>
      <c r="BL77">
        <v>25.021605660029312</v>
      </c>
    </row>
    <row r="78" spans="1:64">
      <c r="A78" t="s">
        <v>520</v>
      </c>
      <c r="B78">
        <v>532</v>
      </c>
      <c r="C78" t="s">
        <v>520</v>
      </c>
      <c r="D78" t="s">
        <v>1659</v>
      </c>
      <c r="E78" t="s">
        <v>1743</v>
      </c>
      <c r="F78" t="s">
        <v>1660</v>
      </c>
      <c r="G78" t="s">
        <v>1661</v>
      </c>
      <c r="H78" t="s">
        <v>1662</v>
      </c>
      <c r="I78" t="s">
        <v>883</v>
      </c>
      <c r="J78" t="s">
        <v>1744</v>
      </c>
      <c r="K78" t="s">
        <v>1664</v>
      </c>
      <c r="L78">
        <v>35.847000000000001</v>
      </c>
      <c r="M78">
        <v>32.268000000000001</v>
      </c>
      <c r="N78">
        <v>32.813000000000002</v>
      </c>
      <c r="O78">
        <v>38.511000000000003</v>
      </c>
      <c r="P78">
        <v>43.695</v>
      </c>
      <c r="Q78">
        <v>48.603000000000002</v>
      </c>
      <c r="R78">
        <v>60.877000000000002</v>
      </c>
      <c r="S78">
        <v>72.658000000000001</v>
      </c>
      <c r="T78">
        <v>82.43</v>
      </c>
      <c r="U78">
        <v>89.524000000000001</v>
      </c>
      <c r="V78">
        <v>114.70099999999999</v>
      </c>
      <c r="W78">
        <v>135.31100000000001</v>
      </c>
      <c r="X78">
        <v>166.602</v>
      </c>
      <c r="Y78">
        <v>174.99799999999999</v>
      </c>
      <c r="Z78">
        <v>180.04499999999999</v>
      </c>
      <c r="AA78">
        <v>208.358</v>
      </c>
      <c r="AB78">
        <v>281.226</v>
      </c>
      <c r="AC78">
        <v>216.11500000000001</v>
      </c>
      <c r="AD78">
        <v>232.995</v>
      </c>
      <c r="AE78">
        <v>225.06</v>
      </c>
      <c r="AF78">
        <v>175.559</v>
      </c>
      <c r="AG78">
        <v>177.489</v>
      </c>
      <c r="AH78">
        <v>207.33699999999999</v>
      </c>
      <c r="AI78">
        <v>238.197</v>
      </c>
      <c r="AJ78">
        <v>247.035</v>
      </c>
      <c r="AK78">
        <v>288.01400000000001</v>
      </c>
      <c r="AL78">
        <v>358.46499999999997</v>
      </c>
      <c r="AM78">
        <v>316.56200000000001</v>
      </c>
      <c r="AN78">
        <v>318.44200000000001</v>
      </c>
      <c r="AO78">
        <v>376.48200000000003</v>
      </c>
      <c r="AP78">
        <v>437.72300000000001</v>
      </c>
      <c r="AQ78">
        <v>442.15</v>
      </c>
      <c r="AR78">
        <v>455.346</v>
      </c>
      <c r="AS78">
        <v>478.66800000000001</v>
      </c>
      <c r="AT78">
        <v>450.00700000000001</v>
      </c>
      <c r="AU78">
        <v>573.125</v>
      </c>
      <c r="AV78">
        <v>619.83600000000001</v>
      </c>
      <c r="AW78">
        <v>599.774</v>
      </c>
      <c r="AX78">
        <v>590.92700000000002</v>
      </c>
      <c r="AY78">
        <v>564.23</v>
      </c>
      <c r="AZ78">
        <v>694.548</v>
      </c>
      <c r="BA78">
        <v>714.67899999999997</v>
      </c>
      <c r="BB78">
        <v>733.40800000000002</v>
      </c>
      <c r="BC78">
        <v>768.43700000000001</v>
      </c>
      <c r="BD78">
        <v>830.02700000000004</v>
      </c>
      <c r="BE78">
        <v>863.97199999999998</v>
      </c>
      <c r="BF78">
        <v>909.32500000000005</v>
      </c>
      <c r="BG78">
        <v>2021</v>
      </c>
      <c r="BH78">
        <v>694.548</v>
      </c>
      <c r="BI78">
        <v>2861.62</v>
      </c>
      <c r="BJ78">
        <v>2861.62</v>
      </c>
      <c r="BK78">
        <v>2021</v>
      </c>
      <c r="BL78">
        <v>24.271147112474754</v>
      </c>
    </row>
    <row r="79" spans="1:64">
      <c r="A79" t="s">
        <v>442</v>
      </c>
      <c r="B79">
        <v>944</v>
      </c>
      <c r="C79" t="s">
        <v>442</v>
      </c>
      <c r="D79" t="s">
        <v>1659</v>
      </c>
      <c r="E79" t="s">
        <v>68</v>
      </c>
      <c r="F79" t="s">
        <v>1660</v>
      </c>
      <c r="G79" t="s">
        <v>1661</v>
      </c>
      <c r="H79" t="s">
        <v>1662</v>
      </c>
      <c r="I79" t="s">
        <v>883</v>
      </c>
      <c r="J79" t="s">
        <v>1745</v>
      </c>
      <c r="K79" t="s">
        <v>1664</v>
      </c>
      <c r="L79" t="s">
        <v>1664</v>
      </c>
      <c r="M79" t="s">
        <v>1664</v>
      </c>
      <c r="N79" t="s">
        <v>1664</v>
      </c>
      <c r="O79" t="s">
        <v>1664</v>
      </c>
      <c r="P79" t="s">
        <v>1664</v>
      </c>
      <c r="Q79" t="s">
        <v>1664</v>
      </c>
      <c r="R79" t="s">
        <v>1664</v>
      </c>
      <c r="S79" t="s">
        <v>1664</v>
      </c>
      <c r="T79" t="s">
        <v>1664</v>
      </c>
      <c r="U79" t="s">
        <v>1664</v>
      </c>
      <c r="V79" t="s">
        <v>1664</v>
      </c>
      <c r="W79" t="s">
        <v>1664</v>
      </c>
      <c r="X79" t="s">
        <v>1664</v>
      </c>
      <c r="Y79" t="s">
        <v>1664</v>
      </c>
      <c r="Z79">
        <v>2714.14</v>
      </c>
      <c r="AA79">
        <v>3309</v>
      </c>
      <c r="AB79">
        <v>3876.53</v>
      </c>
      <c r="AC79">
        <v>4513.08</v>
      </c>
      <c r="AD79">
        <v>5064.6899999999996</v>
      </c>
      <c r="AE79">
        <v>5879.28</v>
      </c>
      <c r="AF79">
        <v>6638.3</v>
      </c>
      <c r="AG79">
        <v>7329.21</v>
      </c>
      <c r="AH79">
        <v>8004.81</v>
      </c>
      <c r="AI79">
        <v>8883.81</v>
      </c>
      <c r="AJ79">
        <v>9373.6299999999992</v>
      </c>
      <c r="AK79">
        <v>10217.200000000001</v>
      </c>
      <c r="AL79">
        <v>11492.67</v>
      </c>
      <c r="AM79">
        <v>12196.28</v>
      </c>
      <c r="AN79">
        <v>12093.52</v>
      </c>
      <c r="AO79">
        <v>12199.55</v>
      </c>
      <c r="AP79">
        <v>12513.78</v>
      </c>
      <c r="AQ79">
        <v>13567.95</v>
      </c>
      <c r="AR79">
        <v>14406.34</v>
      </c>
      <c r="AS79">
        <v>15507.11</v>
      </c>
      <c r="AT79">
        <v>16914.669999999998</v>
      </c>
      <c r="AU79">
        <v>16293.15</v>
      </c>
      <c r="AV79">
        <v>17288.36</v>
      </c>
      <c r="AW79">
        <v>18983.13</v>
      </c>
      <c r="AX79">
        <v>20736.900000000001</v>
      </c>
      <c r="AY79">
        <v>20774.79</v>
      </c>
      <c r="AZ79">
        <v>22155.26</v>
      </c>
      <c r="BA79">
        <v>25607.52</v>
      </c>
      <c r="BB79">
        <v>28610.49</v>
      </c>
      <c r="BC79">
        <v>31217.42</v>
      </c>
      <c r="BD79">
        <v>33658</v>
      </c>
      <c r="BE79">
        <v>35934.160000000003</v>
      </c>
      <c r="BF79">
        <v>38708.07</v>
      </c>
      <c r="BG79">
        <v>2020</v>
      </c>
      <c r="BH79">
        <v>20774.79</v>
      </c>
      <c r="BI79">
        <v>47988.480000000003</v>
      </c>
      <c r="BJ79">
        <v>55045.99</v>
      </c>
      <c r="BK79">
        <v>2021</v>
      </c>
      <c r="BL79">
        <v>43.291202388573261</v>
      </c>
    </row>
    <row r="80" spans="1:64">
      <c r="A80" t="s">
        <v>463</v>
      </c>
      <c r="B80">
        <v>176</v>
      </c>
      <c r="C80" t="s">
        <v>463</v>
      </c>
      <c r="D80" t="s">
        <v>1659</v>
      </c>
      <c r="E80" t="s">
        <v>59</v>
      </c>
      <c r="F80" t="s">
        <v>1660</v>
      </c>
      <c r="G80" t="s">
        <v>1661</v>
      </c>
      <c r="H80" t="s">
        <v>1662</v>
      </c>
      <c r="I80" t="s">
        <v>883</v>
      </c>
      <c r="J80" t="s">
        <v>1746</v>
      </c>
      <c r="K80">
        <v>5.81</v>
      </c>
      <c r="L80">
        <v>9.3689999999999998</v>
      </c>
      <c r="M80">
        <v>15.141</v>
      </c>
      <c r="N80">
        <v>24.844999999999999</v>
      </c>
      <c r="O80">
        <v>33.829000000000001</v>
      </c>
      <c r="P80">
        <v>44.253999999999998</v>
      </c>
      <c r="Q80">
        <v>58.619</v>
      </c>
      <c r="R80">
        <v>76.784999999999997</v>
      </c>
      <c r="S80">
        <v>104.375</v>
      </c>
      <c r="T80">
        <v>125.64700000000001</v>
      </c>
      <c r="U80">
        <v>149.44300000000001</v>
      </c>
      <c r="V80">
        <v>172.96899999999999</v>
      </c>
      <c r="W80">
        <v>175.07499999999999</v>
      </c>
      <c r="X80">
        <v>171.477</v>
      </c>
      <c r="Y80">
        <v>180.542</v>
      </c>
      <c r="Z80">
        <v>191.249</v>
      </c>
      <c r="AA80">
        <v>209.50200000000001</v>
      </c>
      <c r="AB80">
        <v>226.27500000000001</v>
      </c>
      <c r="AC80">
        <v>243.214</v>
      </c>
      <c r="AD80">
        <v>303.5</v>
      </c>
      <c r="AE80">
        <v>328.32499999999999</v>
      </c>
      <c r="AF80">
        <v>378.18200000000002</v>
      </c>
      <c r="AG80">
        <v>368.846</v>
      </c>
      <c r="AH80">
        <v>398.63600000000002</v>
      </c>
      <c r="AI80">
        <v>455.834</v>
      </c>
      <c r="AJ80">
        <v>530.76900000000001</v>
      </c>
      <c r="AK80">
        <v>628.64300000000003</v>
      </c>
      <c r="AL80">
        <v>698.27</v>
      </c>
      <c r="AM80">
        <v>814.64400000000001</v>
      </c>
      <c r="AN80">
        <v>731.84</v>
      </c>
      <c r="AO80">
        <v>708.23199999999997</v>
      </c>
      <c r="AP80">
        <v>776.70500000000004</v>
      </c>
      <c r="AQ80">
        <v>832.30600000000004</v>
      </c>
      <c r="AR80">
        <v>881.02200000000005</v>
      </c>
      <c r="AS80">
        <v>962.279</v>
      </c>
      <c r="AT80">
        <v>995.47299999999996</v>
      </c>
      <c r="AU80">
        <v>1481.78</v>
      </c>
      <c r="AV80">
        <v>1198.5</v>
      </c>
      <c r="AW80">
        <v>1273.01</v>
      </c>
      <c r="AX80">
        <v>1273.8900000000001</v>
      </c>
      <c r="AY80">
        <v>1231.6099999999999</v>
      </c>
      <c r="AZ80">
        <v>1306.72</v>
      </c>
      <c r="BA80">
        <v>1518.47</v>
      </c>
      <c r="BB80">
        <v>1632.08</v>
      </c>
      <c r="BC80">
        <v>1700.51</v>
      </c>
      <c r="BD80">
        <v>1790.08</v>
      </c>
      <c r="BE80">
        <v>1874.72</v>
      </c>
      <c r="BF80">
        <v>1961.38</v>
      </c>
      <c r="BG80">
        <v>2020</v>
      </c>
      <c r="BH80">
        <v>1231.6099999999999</v>
      </c>
      <c r="BI80">
        <v>2928.47</v>
      </c>
      <c r="BJ80">
        <v>2928.47</v>
      </c>
      <c r="BK80">
        <v>2020</v>
      </c>
      <c r="BL80">
        <v>42.056432198383455</v>
      </c>
    </row>
    <row r="81" spans="1:64">
      <c r="A81" t="s">
        <v>356</v>
      </c>
      <c r="B81">
        <v>534</v>
      </c>
      <c r="C81" t="s">
        <v>356</v>
      </c>
      <c r="D81" t="s">
        <v>1659</v>
      </c>
      <c r="E81" t="s">
        <v>142</v>
      </c>
      <c r="F81" t="s">
        <v>1660</v>
      </c>
      <c r="G81" t="s">
        <v>1661</v>
      </c>
      <c r="H81" t="s">
        <v>1662</v>
      </c>
      <c r="I81" t="s">
        <v>883</v>
      </c>
      <c r="J81" t="s">
        <v>1747</v>
      </c>
      <c r="K81" t="s">
        <v>1664</v>
      </c>
      <c r="L81" t="s">
        <v>1664</v>
      </c>
      <c r="M81" t="s">
        <v>1664</v>
      </c>
      <c r="N81" t="s">
        <v>1664</v>
      </c>
      <c r="O81" t="s">
        <v>1664</v>
      </c>
      <c r="P81" t="s">
        <v>1664</v>
      </c>
      <c r="Q81" t="s">
        <v>1664</v>
      </c>
      <c r="R81" t="s">
        <v>1664</v>
      </c>
      <c r="S81">
        <v>767.52200000000005</v>
      </c>
      <c r="T81">
        <v>887.89700000000005</v>
      </c>
      <c r="U81">
        <v>1022.47</v>
      </c>
      <c r="V81">
        <v>1282.8900000000001</v>
      </c>
      <c r="W81">
        <v>1430.75</v>
      </c>
      <c r="X81">
        <v>1543.79</v>
      </c>
      <c r="Y81">
        <v>1871.31</v>
      </c>
      <c r="Z81">
        <v>2190</v>
      </c>
      <c r="AA81">
        <v>2463.0700000000002</v>
      </c>
      <c r="AB81">
        <v>2620.0700000000002</v>
      </c>
      <c r="AC81">
        <v>2887.43</v>
      </c>
      <c r="AD81">
        <v>3409.68</v>
      </c>
      <c r="AE81">
        <v>3782.61</v>
      </c>
      <c r="AF81">
        <v>3992.11</v>
      </c>
      <c r="AG81">
        <v>4497.42</v>
      </c>
      <c r="AH81">
        <v>5170</v>
      </c>
      <c r="AI81">
        <v>6126.85</v>
      </c>
      <c r="AJ81">
        <v>7040.44</v>
      </c>
      <c r="AK81">
        <v>8734.51</v>
      </c>
      <c r="AL81">
        <v>10952.53</v>
      </c>
      <c r="AM81">
        <v>11095.65</v>
      </c>
      <c r="AN81">
        <v>11995.66</v>
      </c>
      <c r="AO81">
        <v>14650.84</v>
      </c>
      <c r="AP81">
        <v>16853.63</v>
      </c>
      <c r="AQ81">
        <v>19703.36</v>
      </c>
      <c r="AR81">
        <v>22018.07</v>
      </c>
      <c r="AS81">
        <v>23875.360000000001</v>
      </c>
      <c r="AT81">
        <v>27342.52</v>
      </c>
      <c r="AU81">
        <v>30957.01</v>
      </c>
      <c r="AV81">
        <v>34187.65</v>
      </c>
      <c r="AW81">
        <v>37708.339999999997</v>
      </c>
      <c r="AX81">
        <v>40007.919999999998</v>
      </c>
      <c r="AY81">
        <v>36226.58</v>
      </c>
      <c r="AZ81">
        <v>46676.13</v>
      </c>
      <c r="BA81">
        <v>50675.74</v>
      </c>
      <c r="BB81">
        <v>57784.36</v>
      </c>
      <c r="BC81">
        <v>65817.86</v>
      </c>
      <c r="BD81">
        <v>74633.72</v>
      </c>
      <c r="BE81">
        <v>83586.7</v>
      </c>
      <c r="BF81">
        <v>93273.4</v>
      </c>
      <c r="BG81">
        <v>2020</v>
      </c>
      <c r="BH81">
        <v>36226.58</v>
      </c>
      <c r="BI81">
        <v>198009.1</v>
      </c>
      <c r="BJ81">
        <v>236438.8</v>
      </c>
      <c r="BK81">
        <v>2021</v>
      </c>
      <c r="BL81">
        <v>18.295411675524004</v>
      </c>
    </row>
    <row r="82" spans="1:64">
      <c r="A82" t="s">
        <v>385</v>
      </c>
      <c r="B82">
        <v>536</v>
      </c>
      <c r="C82" t="s">
        <v>385</v>
      </c>
      <c r="D82" t="s">
        <v>1659</v>
      </c>
      <c r="E82" t="s">
        <v>171</v>
      </c>
      <c r="F82" t="s">
        <v>1660</v>
      </c>
      <c r="G82" t="s">
        <v>1661</v>
      </c>
      <c r="H82" t="s">
        <v>1662</v>
      </c>
      <c r="I82" t="s">
        <v>883</v>
      </c>
      <c r="J82" t="s">
        <v>1748</v>
      </c>
      <c r="K82" t="s">
        <v>1664</v>
      </c>
      <c r="L82">
        <v>12829.6</v>
      </c>
      <c r="M82">
        <v>12352.9</v>
      </c>
      <c r="N82">
        <v>15887.9</v>
      </c>
      <c r="O82">
        <v>19313.5</v>
      </c>
      <c r="P82">
        <v>19839.7</v>
      </c>
      <c r="Q82">
        <v>17953.5</v>
      </c>
      <c r="R82">
        <v>21039.5</v>
      </c>
      <c r="S82">
        <v>24057.599999999999</v>
      </c>
      <c r="T82">
        <v>27606</v>
      </c>
      <c r="U82">
        <v>38956.6</v>
      </c>
      <c r="V82">
        <v>42709.599999999999</v>
      </c>
      <c r="W82">
        <v>47409.3</v>
      </c>
      <c r="X82">
        <v>53810.7</v>
      </c>
      <c r="Y82">
        <v>62478.1</v>
      </c>
      <c r="Z82">
        <v>68909.899999999994</v>
      </c>
      <c r="AA82">
        <v>80244.2</v>
      </c>
      <c r="AB82">
        <v>107814.9</v>
      </c>
      <c r="AC82">
        <v>152263.29999999999</v>
      </c>
      <c r="AD82">
        <v>188428.7</v>
      </c>
      <c r="AE82">
        <v>203045.48</v>
      </c>
      <c r="AF82">
        <v>317746.28999999998</v>
      </c>
      <c r="AG82">
        <v>324027.8</v>
      </c>
      <c r="AH82">
        <v>374485.4</v>
      </c>
      <c r="AI82">
        <v>438800.21</v>
      </c>
      <c r="AJ82">
        <v>538894</v>
      </c>
      <c r="AK82">
        <v>685237.41</v>
      </c>
      <c r="AL82">
        <v>764121.45</v>
      </c>
      <c r="AM82">
        <v>1053084.6399999999</v>
      </c>
      <c r="AN82">
        <v>924686.4</v>
      </c>
      <c r="AO82">
        <v>1073832.3</v>
      </c>
      <c r="AP82">
        <v>1332189.42</v>
      </c>
      <c r="AQ82">
        <v>1486152.64</v>
      </c>
      <c r="AR82">
        <v>1609899.88</v>
      </c>
      <c r="AS82">
        <v>1739834.56</v>
      </c>
      <c r="AT82">
        <v>1714502.34</v>
      </c>
      <c r="AU82">
        <v>1778097.89</v>
      </c>
      <c r="AV82">
        <v>1909821.24</v>
      </c>
      <c r="AW82">
        <v>2208120.4900000002</v>
      </c>
      <c r="AX82">
        <v>2240881.37</v>
      </c>
      <c r="AY82">
        <v>1924338.96</v>
      </c>
      <c r="AZ82">
        <v>2307072.59</v>
      </c>
      <c r="BA82">
        <v>2507230.94</v>
      </c>
      <c r="BB82">
        <v>2723429.29</v>
      </c>
      <c r="BC82">
        <v>2993790.05</v>
      </c>
      <c r="BD82">
        <v>3338465.18</v>
      </c>
      <c r="BE82">
        <v>3673661.35</v>
      </c>
      <c r="BF82">
        <v>4003834.44</v>
      </c>
      <c r="BG82">
        <v>2021</v>
      </c>
      <c r="BH82">
        <v>2307072.59</v>
      </c>
      <c r="BI82">
        <v>16970789.199999999</v>
      </c>
      <c r="BJ82">
        <v>16970789.199999999</v>
      </c>
      <c r="BK82">
        <v>2021</v>
      </c>
      <c r="BL82">
        <v>13.594374208596028</v>
      </c>
    </row>
    <row r="83" spans="1:64">
      <c r="A83" t="s">
        <v>372</v>
      </c>
      <c r="B83">
        <v>429</v>
      </c>
      <c r="C83" t="s">
        <v>372</v>
      </c>
      <c r="D83" t="s">
        <v>1659</v>
      </c>
      <c r="E83" t="s">
        <v>1749</v>
      </c>
      <c r="F83" t="s">
        <v>1660</v>
      </c>
      <c r="G83" t="s">
        <v>1661</v>
      </c>
      <c r="H83" t="s">
        <v>1662</v>
      </c>
      <c r="I83" t="s">
        <v>883</v>
      </c>
      <c r="J83" t="s">
        <v>1750</v>
      </c>
      <c r="K83" t="s">
        <v>1664</v>
      </c>
      <c r="L83" t="s">
        <v>1664</v>
      </c>
      <c r="M83" t="s">
        <v>1664</v>
      </c>
      <c r="N83" t="s">
        <v>1664</v>
      </c>
      <c r="O83" t="s">
        <v>1664</v>
      </c>
      <c r="P83" t="s">
        <v>1664</v>
      </c>
      <c r="Q83" t="s">
        <v>1664</v>
      </c>
      <c r="R83" t="s">
        <v>1664</v>
      </c>
      <c r="S83" t="s">
        <v>1664</v>
      </c>
      <c r="T83" t="s">
        <v>1664</v>
      </c>
      <c r="U83">
        <v>6933.5</v>
      </c>
      <c r="V83">
        <v>8380</v>
      </c>
      <c r="W83">
        <v>12298</v>
      </c>
      <c r="X83">
        <v>28982</v>
      </c>
      <c r="Y83">
        <v>33482</v>
      </c>
      <c r="Z83">
        <v>45008</v>
      </c>
      <c r="AA83">
        <v>55862</v>
      </c>
      <c r="AB83">
        <v>61452</v>
      </c>
      <c r="AC83">
        <v>52104</v>
      </c>
      <c r="AD83">
        <v>89784</v>
      </c>
      <c r="AE83">
        <v>147295.14000000001</v>
      </c>
      <c r="AF83">
        <v>125103.1</v>
      </c>
      <c r="AG83">
        <v>164600.29999999999</v>
      </c>
      <c r="AH83">
        <v>206990.4</v>
      </c>
      <c r="AI83">
        <v>254000.7</v>
      </c>
      <c r="AJ83">
        <v>386717.3</v>
      </c>
      <c r="AK83">
        <v>413007</v>
      </c>
      <c r="AL83">
        <v>471722.27</v>
      </c>
      <c r="AM83">
        <v>594988.94999999995</v>
      </c>
      <c r="AN83">
        <v>624363.6</v>
      </c>
      <c r="AO83">
        <v>818773.6</v>
      </c>
      <c r="AP83">
        <v>1112747.51</v>
      </c>
      <c r="AQ83">
        <v>993729.52</v>
      </c>
      <c r="AR83">
        <v>1326784.0900000001</v>
      </c>
      <c r="AS83">
        <v>1606799.9</v>
      </c>
      <c r="AT83">
        <v>1794099.7</v>
      </c>
      <c r="AU83">
        <v>2199473.6</v>
      </c>
      <c r="AV83">
        <v>2594888.9</v>
      </c>
      <c r="AW83">
        <v>2943525.57</v>
      </c>
      <c r="AX83">
        <v>2550000</v>
      </c>
      <c r="AY83">
        <v>3126610.7</v>
      </c>
      <c r="AZ83">
        <v>4896140</v>
      </c>
      <c r="BA83">
        <v>7390876.6299999999</v>
      </c>
      <c r="BB83">
        <v>9381747.9000000004</v>
      </c>
      <c r="BC83">
        <v>11923485.48</v>
      </c>
      <c r="BD83">
        <v>15238028.83</v>
      </c>
      <c r="BE83">
        <v>19542876.719999999</v>
      </c>
      <c r="BF83">
        <v>25244384.530000001</v>
      </c>
      <c r="BG83">
        <v>2019</v>
      </c>
      <c r="BH83">
        <v>2550000</v>
      </c>
      <c r="BI83">
        <v>27543238.899999999</v>
      </c>
      <c r="BJ83">
        <v>59904601.5</v>
      </c>
      <c r="BK83">
        <v>2021</v>
      </c>
      <c r="BL83">
        <v>9.2581704325267289</v>
      </c>
    </row>
    <row r="84" spans="1:64">
      <c r="A84" t="s">
        <v>400</v>
      </c>
      <c r="B84">
        <v>433</v>
      </c>
      <c r="C84" t="s">
        <v>400</v>
      </c>
      <c r="D84" t="s">
        <v>1659</v>
      </c>
      <c r="E84" t="s">
        <v>185</v>
      </c>
      <c r="F84" t="s">
        <v>1660</v>
      </c>
      <c r="G84" t="s">
        <v>1661</v>
      </c>
      <c r="H84" t="s">
        <v>1662</v>
      </c>
      <c r="I84" t="s">
        <v>883</v>
      </c>
      <c r="J84" t="s">
        <v>1751</v>
      </c>
      <c r="K84" t="s">
        <v>1664</v>
      </c>
      <c r="L84" t="s">
        <v>1664</v>
      </c>
      <c r="M84" t="s">
        <v>1664</v>
      </c>
      <c r="N84" t="s">
        <v>1664</v>
      </c>
      <c r="O84" t="s">
        <v>1664</v>
      </c>
      <c r="P84" t="s">
        <v>1664</v>
      </c>
      <c r="Q84" t="s">
        <v>1664</v>
      </c>
      <c r="R84" t="s">
        <v>1664</v>
      </c>
      <c r="S84" t="s">
        <v>1664</v>
      </c>
      <c r="T84" t="s">
        <v>1664</v>
      </c>
      <c r="U84" t="s">
        <v>1664</v>
      </c>
      <c r="V84" t="s">
        <v>1664</v>
      </c>
      <c r="W84" t="s">
        <v>1664</v>
      </c>
      <c r="X84" t="s">
        <v>1664</v>
      </c>
      <c r="Y84" t="s">
        <v>1664</v>
      </c>
      <c r="Z84" t="s">
        <v>1664</v>
      </c>
      <c r="AA84" t="s">
        <v>1664</v>
      </c>
      <c r="AB84" t="s">
        <v>1664</v>
      </c>
      <c r="AC84" t="s">
        <v>1664</v>
      </c>
      <c r="AD84" t="s">
        <v>1664</v>
      </c>
      <c r="AE84" t="s">
        <v>1664</v>
      </c>
      <c r="AF84" t="s">
        <v>1664</v>
      </c>
      <c r="AG84" t="s">
        <v>1664</v>
      </c>
      <c r="AH84" t="s">
        <v>1664</v>
      </c>
      <c r="AI84">
        <v>29839.49</v>
      </c>
      <c r="AJ84">
        <v>49468.98</v>
      </c>
      <c r="AK84">
        <v>58346.61</v>
      </c>
      <c r="AL84">
        <v>60141.32</v>
      </c>
      <c r="AM84">
        <v>88560.65</v>
      </c>
      <c r="AN84">
        <v>60330.97</v>
      </c>
      <c r="AO84">
        <v>73571.55</v>
      </c>
      <c r="AP84">
        <v>104563.99</v>
      </c>
      <c r="AQ84">
        <v>119449.32</v>
      </c>
      <c r="AR84">
        <v>115417.55</v>
      </c>
      <c r="AS84">
        <v>104385.7</v>
      </c>
      <c r="AT84">
        <v>63450.14</v>
      </c>
      <c r="AU84">
        <v>55497.78</v>
      </c>
      <c r="AV84">
        <v>76317.73</v>
      </c>
      <c r="AW84">
        <v>105599.45</v>
      </c>
      <c r="AX84">
        <v>99268.7</v>
      </c>
      <c r="AY84">
        <v>63166.239999999998</v>
      </c>
      <c r="AZ84">
        <v>125178.25</v>
      </c>
      <c r="BA84">
        <v>217004.95</v>
      </c>
      <c r="BB84">
        <v>201757.41</v>
      </c>
      <c r="BC84">
        <v>188416.4</v>
      </c>
      <c r="BD84">
        <v>181033.79</v>
      </c>
      <c r="BE84">
        <v>176234.14</v>
      </c>
      <c r="BF84">
        <v>176186.51</v>
      </c>
      <c r="BG84">
        <v>2020</v>
      </c>
      <c r="BH84">
        <v>63166.239999999998</v>
      </c>
      <c r="BI84">
        <v>201828.06</v>
      </c>
      <c r="BJ84">
        <v>201828.06</v>
      </c>
      <c r="BK84">
        <v>2020</v>
      </c>
      <c r="BL84">
        <v>31.297055523399468</v>
      </c>
    </row>
    <row r="85" spans="1:64">
      <c r="A85" t="s">
        <v>466</v>
      </c>
      <c r="B85">
        <v>178</v>
      </c>
      <c r="C85" t="s">
        <v>466</v>
      </c>
      <c r="D85" t="s">
        <v>1659</v>
      </c>
      <c r="E85" t="s">
        <v>61</v>
      </c>
      <c r="F85" t="s">
        <v>1660</v>
      </c>
      <c r="G85" t="s">
        <v>1661</v>
      </c>
      <c r="H85" t="s">
        <v>1662</v>
      </c>
      <c r="I85" t="s">
        <v>883</v>
      </c>
      <c r="J85" t="s">
        <v>1752</v>
      </c>
      <c r="K85">
        <v>4.9340000000000002</v>
      </c>
      <c r="L85">
        <v>6.1269999999999998</v>
      </c>
      <c r="M85">
        <v>7.67</v>
      </c>
      <c r="N85">
        <v>8.84</v>
      </c>
      <c r="O85">
        <v>9.83</v>
      </c>
      <c r="P85">
        <v>12.018000000000001</v>
      </c>
      <c r="Q85">
        <v>12.396000000000001</v>
      </c>
      <c r="R85">
        <v>12.689</v>
      </c>
      <c r="S85">
        <v>13.896000000000001</v>
      </c>
      <c r="T85">
        <v>14.151</v>
      </c>
      <c r="U85">
        <v>15.452</v>
      </c>
      <c r="V85">
        <v>16.623999999999999</v>
      </c>
      <c r="W85">
        <v>17.986999999999998</v>
      </c>
      <c r="X85">
        <v>18.486000000000001</v>
      </c>
      <c r="Y85">
        <v>20.082000000000001</v>
      </c>
      <c r="Z85">
        <v>20.959</v>
      </c>
      <c r="AA85">
        <v>23.074000000000002</v>
      </c>
      <c r="AB85">
        <v>26.001999999999999</v>
      </c>
      <c r="AC85">
        <v>29.154</v>
      </c>
      <c r="AD85">
        <v>33.447000000000003</v>
      </c>
      <c r="AE85">
        <v>38.432000000000002</v>
      </c>
      <c r="AF85">
        <v>40.451000000000001</v>
      </c>
      <c r="AG85">
        <v>44.01</v>
      </c>
      <c r="AH85">
        <v>48.055999999999997</v>
      </c>
      <c r="AI85">
        <v>53.316000000000003</v>
      </c>
      <c r="AJ85">
        <v>58.912999999999997</v>
      </c>
      <c r="AK85">
        <v>67.194999999999993</v>
      </c>
      <c r="AL85">
        <v>70.763999999999996</v>
      </c>
      <c r="AM85">
        <v>64.662999999999997</v>
      </c>
      <c r="AN85">
        <v>55.942999999999998</v>
      </c>
      <c r="AO85">
        <v>54.863999999999997</v>
      </c>
      <c r="AP85">
        <v>57.731999999999999</v>
      </c>
      <c r="AQ85">
        <v>59.709000000000003</v>
      </c>
      <c r="AR85">
        <v>61.3</v>
      </c>
      <c r="AS85">
        <v>66.156999999999996</v>
      </c>
      <c r="AT85">
        <v>70.971999999999994</v>
      </c>
      <c r="AU85">
        <v>73.707999999999998</v>
      </c>
      <c r="AV85">
        <v>76.924999999999997</v>
      </c>
      <c r="AW85">
        <v>83.073999999999998</v>
      </c>
      <c r="AX85">
        <v>88.108999999999995</v>
      </c>
      <c r="AY85">
        <v>83.616</v>
      </c>
      <c r="AZ85">
        <v>96.3</v>
      </c>
      <c r="BA85">
        <v>101.157</v>
      </c>
      <c r="BB85">
        <v>108.898</v>
      </c>
      <c r="BC85">
        <v>115.205</v>
      </c>
      <c r="BD85">
        <v>121.61199999999999</v>
      </c>
      <c r="BE85">
        <v>126.94499999999999</v>
      </c>
      <c r="BF85">
        <v>132.34</v>
      </c>
      <c r="BG85">
        <v>2020</v>
      </c>
      <c r="BH85">
        <v>83.616</v>
      </c>
      <c r="BI85">
        <v>372.86900000000003</v>
      </c>
      <c r="BJ85">
        <v>421.529</v>
      </c>
      <c r="BK85">
        <v>2021</v>
      </c>
      <c r="BL85">
        <v>22.425033993171866</v>
      </c>
    </row>
    <row r="86" spans="1:64">
      <c r="A86" t="s">
        <v>524</v>
      </c>
      <c r="B86">
        <v>436</v>
      </c>
      <c r="C86" t="s">
        <v>524</v>
      </c>
      <c r="D86" t="s">
        <v>1659</v>
      </c>
      <c r="E86" t="s">
        <v>258</v>
      </c>
      <c r="F86" t="s">
        <v>1660</v>
      </c>
      <c r="G86" t="s">
        <v>1661</v>
      </c>
      <c r="H86" t="s">
        <v>1662</v>
      </c>
      <c r="I86" t="s">
        <v>883</v>
      </c>
      <c r="J86" t="s">
        <v>1753</v>
      </c>
      <c r="K86" t="s">
        <v>1664</v>
      </c>
      <c r="L86" t="s">
        <v>1664</v>
      </c>
      <c r="M86" t="s">
        <v>1664</v>
      </c>
      <c r="N86" t="s">
        <v>1664</v>
      </c>
      <c r="O86" t="s">
        <v>1664</v>
      </c>
      <c r="P86" t="s">
        <v>1664</v>
      </c>
      <c r="Q86" t="s">
        <v>1664</v>
      </c>
      <c r="R86" t="s">
        <v>1664</v>
      </c>
      <c r="S86" t="s">
        <v>1664</v>
      </c>
      <c r="T86" t="s">
        <v>1664</v>
      </c>
      <c r="U86" t="s">
        <v>1664</v>
      </c>
      <c r="V86" t="s">
        <v>1664</v>
      </c>
      <c r="W86" t="s">
        <v>1664</v>
      </c>
      <c r="X86" t="s">
        <v>1664</v>
      </c>
      <c r="Y86" t="s">
        <v>1664</v>
      </c>
      <c r="Z86" t="s">
        <v>1664</v>
      </c>
      <c r="AA86" t="s">
        <v>1664</v>
      </c>
      <c r="AB86" t="s">
        <v>1664</v>
      </c>
      <c r="AC86" t="s">
        <v>1664</v>
      </c>
      <c r="AD86" t="s">
        <v>1664</v>
      </c>
      <c r="AE86">
        <v>236.34100000000001</v>
      </c>
      <c r="AF86">
        <v>239.54300000000001</v>
      </c>
      <c r="AG86">
        <v>248.25</v>
      </c>
      <c r="AH86">
        <v>242.09800000000001</v>
      </c>
      <c r="AI86">
        <v>248.595</v>
      </c>
      <c r="AJ86">
        <v>262.49299999999999</v>
      </c>
      <c r="AK86">
        <v>288.27199999999999</v>
      </c>
      <c r="AL86">
        <v>302.15899999999999</v>
      </c>
      <c r="AM86">
        <v>299.673</v>
      </c>
      <c r="AN86">
        <v>292.30500000000001</v>
      </c>
      <c r="AO86">
        <v>322.928</v>
      </c>
      <c r="AP86">
        <v>345.47500000000002</v>
      </c>
      <c r="AQ86">
        <v>358.27699999999999</v>
      </c>
      <c r="AR86">
        <v>384.84800000000001</v>
      </c>
      <c r="AS86">
        <v>405.77100000000002</v>
      </c>
      <c r="AT86">
        <v>428.74700000000001</v>
      </c>
      <c r="AU86">
        <v>447.02100000000002</v>
      </c>
      <c r="AV86">
        <v>479.214</v>
      </c>
      <c r="AW86">
        <v>480.43299999999999</v>
      </c>
      <c r="AX86">
        <v>496.726</v>
      </c>
      <c r="AY86">
        <v>483.86200000000002</v>
      </c>
      <c r="AZ86">
        <v>577.37699999999995</v>
      </c>
      <c r="BA86">
        <v>589.70000000000005</v>
      </c>
      <c r="BB86">
        <v>623.38199999999995</v>
      </c>
      <c r="BC86">
        <v>658.49800000000005</v>
      </c>
      <c r="BD86">
        <v>696.57500000000005</v>
      </c>
      <c r="BE86">
        <v>736.26599999999996</v>
      </c>
      <c r="BF86">
        <v>778.274</v>
      </c>
      <c r="BG86">
        <v>2020</v>
      </c>
      <c r="BH86">
        <v>483.86200000000002</v>
      </c>
      <c r="BI86">
        <v>1401.41</v>
      </c>
      <c r="BJ86">
        <v>1555.64</v>
      </c>
      <c r="BK86">
        <v>2021</v>
      </c>
      <c r="BL86">
        <v>34.526798010575064</v>
      </c>
    </row>
    <row r="87" spans="1:64">
      <c r="A87" t="s">
        <v>450</v>
      </c>
      <c r="B87">
        <v>136</v>
      </c>
      <c r="C87" t="s">
        <v>450</v>
      </c>
      <c r="D87" t="s">
        <v>1659</v>
      </c>
      <c r="E87" t="s">
        <v>63</v>
      </c>
      <c r="F87" t="s">
        <v>1660</v>
      </c>
      <c r="G87" t="s">
        <v>1661</v>
      </c>
      <c r="H87" t="s">
        <v>1662</v>
      </c>
      <c r="I87" t="s">
        <v>883</v>
      </c>
      <c r="J87" t="s">
        <v>1754</v>
      </c>
      <c r="K87" t="s">
        <v>1664</v>
      </c>
      <c r="L87" t="s">
        <v>1664</v>
      </c>
      <c r="M87" t="s">
        <v>1664</v>
      </c>
      <c r="N87" t="s">
        <v>1664</v>
      </c>
      <c r="O87" t="s">
        <v>1664</v>
      </c>
      <c r="P87" t="s">
        <v>1664</v>
      </c>
      <c r="Q87" t="s">
        <v>1664</v>
      </c>
      <c r="R87" t="s">
        <v>1664</v>
      </c>
      <c r="S87">
        <v>227.16900000000001</v>
      </c>
      <c r="T87">
        <v>254.67500000000001</v>
      </c>
      <c r="U87">
        <v>309.827</v>
      </c>
      <c r="V87">
        <v>347.94799999999998</v>
      </c>
      <c r="W87">
        <v>386.495</v>
      </c>
      <c r="X87">
        <v>409.35399999999998</v>
      </c>
      <c r="Y87">
        <v>416.86</v>
      </c>
      <c r="Z87">
        <v>438.86399999999998</v>
      </c>
      <c r="AA87">
        <v>469.33</v>
      </c>
      <c r="AB87">
        <v>508.05799999999999</v>
      </c>
      <c r="AC87">
        <v>514.32899999999995</v>
      </c>
      <c r="AD87">
        <v>534</v>
      </c>
      <c r="AE87">
        <v>547.66</v>
      </c>
      <c r="AF87">
        <v>575.76599999999996</v>
      </c>
      <c r="AG87">
        <v>591.82500000000005</v>
      </c>
      <c r="AH87">
        <v>613.06299999999999</v>
      </c>
      <c r="AI87">
        <v>630.31799999999998</v>
      </c>
      <c r="AJ87">
        <v>644.64200000000005</v>
      </c>
      <c r="AK87">
        <v>685.93100000000004</v>
      </c>
      <c r="AL87">
        <v>733.83799999999997</v>
      </c>
      <c r="AM87">
        <v>741.38199999999995</v>
      </c>
      <c r="AN87">
        <v>725.37800000000004</v>
      </c>
      <c r="AO87">
        <v>736.16200000000003</v>
      </c>
      <c r="AP87">
        <v>751.52599999999995</v>
      </c>
      <c r="AQ87">
        <v>773.92</v>
      </c>
      <c r="AR87">
        <v>775.68899999999996</v>
      </c>
      <c r="AS87">
        <v>779.54499999999996</v>
      </c>
      <c r="AT87">
        <v>790.67899999999997</v>
      </c>
      <c r="AU87">
        <v>791.5</v>
      </c>
      <c r="AV87">
        <v>804.81100000000004</v>
      </c>
      <c r="AW87">
        <v>818.52099999999996</v>
      </c>
      <c r="AX87">
        <v>843.21699999999998</v>
      </c>
      <c r="AY87">
        <v>785.39800000000002</v>
      </c>
      <c r="AZ87">
        <v>857.08100000000002</v>
      </c>
      <c r="BA87">
        <v>892.58900000000006</v>
      </c>
      <c r="BB87">
        <v>928.21400000000006</v>
      </c>
      <c r="BC87">
        <v>953.16600000000005</v>
      </c>
      <c r="BD87">
        <v>979.95399999999995</v>
      </c>
      <c r="BE87">
        <v>1002.43</v>
      </c>
      <c r="BF87">
        <v>1019.83</v>
      </c>
      <c r="BG87">
        <v>2020</v>
      </c>
      <c r="BH87">
        <v>785.39800000000002</v>
      </c>
      <c r="BI87">
        <v>1656.96</v>
      </c>
      <c r="BJ87">
        <v>1656.96</v>
      </c>
      <c r="BK87">
        <v>2020</v>
      </c>
      <c r="BL87">
        <v>47.399937234453461</v>
      </c>
    </row>
    <row r="88" spans="1:64">
      <c r="A88" t="s">
        <v>395</v>
      </c>
      <c r="B88">
        <v>343</v>
      </c>
      <c r="C88" t="s">
        <v>395</v>
      </c>
      <c r="D88" t="s">
        <v>1659</v>
      </c>
      <c r="E88" t="s">
        <v>180</v>
      </c>
      <c r="F88" t="s">
        <v>1660</v>
      </c>
      <c r="G88" t="s">
        <v>1661</v>
      </c>
      <c r="H88" t="s">
        <v>1662</v>
      </c>
      <c r="I88" t="s">
        <v>883</v>
      </c>
      <c r="J88" t="s">
        <v>1755</v>
      </c>
      <c r="K88" t="s">
        <v>1664</v>
      </c>
      <c r="L88" t="s">
        <v>1664</v>
      </c>
      <c r="M88" t="s">
        <v>1664</v>
      </c>
      <c r="N88" t="s">
        <v>1664</v>
      </c>
      <c r="O88" t="s">
        <v>1664</v>
      </c>
      <c r="P88" t="s">
        <v>1664</v>
      </c>
      <c r="Q88" t="s">
        <v>1664</v>
      </c>
      <c r="R88" t="s">
        <v>1664</v>
      </c>
      <c r="S88" t="s">
        <v>1664</v>
      </c>
      <c r="T88" t="s">
        <v>1664</v>
      </c>
      <c r="U88">
        <v>9.6489999999999991</v>
      </c>
      <c r="V88">
        <v>15.074999999999999</v>
      </c>
      <c r="W88">
        <v>23.556999999999999</v>
      </c>
      <c r="X88">
        <v>33.613999999999997</v>
      </c>
      <c r="Y88">
        <v>44.595999999999997</v>
      </c>
      <c r="Z88">
        <v>58.524000000000001</v>
      </c>
      <c r="AA88">
        <v>63.085000000000001</v>
      </c>
      <c r="AB88">
        <v>66.426000000000002</v>
      </c>
      <c r="AC88">
        <v>74.096000000000004</v>
      </c>
      <c r="AD88">
        <v>90.373000000000005</v>
      </c>
      <c r="AE88">
        <v>101.021</v>
      </c>
      <c r="AF88">
        <v>102.58799999999999</v>
      </c>
      <c r="AG88">
        <v>117.238</v>
      </c>
      <c r="AH88">
        <v>149.90199999999999</v>
      </c>
      <c r="AI88">
        <v>171.53899999999999</v>
      </c>
      <c r="AJ88">
        <v>186.684</v>
      </c>
      <c r="AK88">
        <v>211.31100000000001</v>
      </c>
      <c r="AL88">
        <v>252.036</v>
      </c>
      <c r="AM88">
        <v>276.2</v>
      </c>
      <c r="AN88">
        <v>300.19299999999998</v>
      </c>
      <c r="AO88">
        <v>314.55799999999999</v>
      </c>
      <c r="AP88">
        <v>322.45699999999999</v>
      </c>
      <c r="AQ88">
        <v>344.66800000000001</v>
      </c>
      <c r="AR88">
        <v>396.98200000000003</v>
      </c>
      <c r="AS88">
        <v>411.71600000000001</v>
      </c>
      <c r="AT88">
        <v>455.83600000000001</v>
      </c>
      <c r="AU88">
        <v>499.88</v>
      </c>
      <c r="AV88">
        <v>560.77300000000002</v>
      </c>
      <c r="AW88">
        <v>628.84900000000005</v>
      </c>
      <c r="AX88">
        <v>649.75900000000001</v>
      </c>
      <c r="AY88">
        <v>575.404</v>
      </c>
      <c r="AZ88">
        <v>706.197</v>
      </c>
      <c r="BA88">
        <v>743.41700000000003</v>
      </c>
      <c r="BB88">
        <v>788.31500000000005</v>
      </c>
      <c r="BC88">
        <v>834.37</v>
      </c>
      <c r="BD88">
        <v>886.41700000000003</v>
      </c>
      <c r="BE88">
        <v>930.18100000000004</v>
      </c>
      <c r="BF88">
        <v>987.47400000000005</v>
      </c>
      <c r="BG88">
        <v>2021</v>
      </c>
      <c r="BH88">
        <v>706.197</v>
      </c>
      <c r="BI88">
        <v>2254.0500000000002</v>
      </c>
      <c r="BJ88">
        <v>1978.62</v>
      </c>
      <c r="BK88">
        <v>2020</v>
      </c>
      <c r="BL88">
        <v>31.330139082983958</v>
      </c>
    </row>
    <row r="89" spans="1:64">
      <c r="A89" t="s">
        <v>451</v>
      </c>
      <c r="B89">
        <v>158</v>
      </c>
      <c r="C89" t="s">
        <v>451</v>
      </c>
      <c r="D89" t="s">
        <v>1659</v>
      </c>
      <c r="E89" t="s">
        <v>57</v>
      </c>
      <c r="F89" t="s">
        <v>1660</v>
      </c>
      <c r="G89" t="s">
        <v>1661</v>
      </c>
      <c r="H89" t="s">
        <v>1662</v>
      </c>
      <c r="I89" t="s">
        <v>883</v>
      </c>
      <c r="J89" t="s">
        <v>1756</v>
      </c>
      <c r="K89">
        <v>67409.899999999994</v>
      </c>
      <c r="L89">
        <v>75950.5</v>
      </c>
      <c r="M89">
        <v>80575.399999999994</v>
      </c>
      <c r="N89">
        <v>84192.2</v>
      </c>
      <c r="O89">
        <v>91346.2</v>
      </c>
      <c r="P89">
        <v>98831.6</v>
      </c>
      <c r="Q89">
        <v>103735.3</v>
      </c>
      <c r="R89">
        <v>113028.3</v>
      </c>
      <c r="S89">
        <v>121728.6</v>
      </c>
      <c r="T89">
        <v>130502</v>
      </c>
      <c r="U89">
        <v>144928.79999999999</v>
      </c>
      <c r="V89">
        <v>152208.9</v>
      </c>
      <c r="W89">
        <v>155623.4</v>
      </c>
      <c r="X89">
        <v>150070.70000000001</v>
      </c>
      <c r="Y89">
        <v>148275.9</v>
      </c>
      <c r="Z89">
        <v>151834.6</v>
      </c>
      <c r="AA89">
        <v>154988.20000000001</v>
      </c>
      <c r="AB89">
        <v>160646</v>
      </c>
      <c r="AC89">
        <v>153364.6</v>
      </c>
      <c r="AD89">
        <v>152181.70000000001</v>
      </c>
      <c r="AE89">
        <v>153497.4</v>
      </c>
      <c r="AF89">
        <v>154145.1</v>
      </c>
      <c r="AG89">
        <v>147146.9</v>
      </c>
      <c r="AH89">
        <v>144642.20000000001</v>
      </c>
      <c r="AI89">
        <v>150159.29999999999</v>
      </c>
      <c r="AJ89">
        <v>154861.1</v>
      </c>
      <c r="AK89">
        <v>160700.29999999999</v>
      </c>
      <c r="AL89">
        <v>162980.20000000001</v>
      </c>
      <c r="AM89">
        <v>158334.39999999999</v>
      </c>
      <c r="AN89">
        <v>143495.70000000001</v>
      </c>
      <c r="AO89">
        <v>144931.1</v>
      </c>
      <c r="AP89">
        <v>147449.4</v>
      </c>
      <c r="AQ89">
        <v>152352.20000000001</v>
      </c>
      <c r="AR89">
        <v>158545.79999999999</v>
      </c>
      <c r="AS89">
        <v>170029.5</v>
      </c>
      <c r="AT89">
        <v>180872.7</v>
      </c>
      <c r="AU89">
        <v>183068</v>
      </c>
      <c r="AV89">
        <v>185762.1</v>
      </c>
      <c r="AW89">
        <v>190742.1</v>
      </c>
      <c r="AX89">
        <v>191079.2</v>
      </c>
      <c r="AY89">
        <v>191417.7</v>
      </c>
      <c r="AZ89">
        <v>192638.06</v>
      </c>
      <c r="BA89">
        <v>194986.42</v>
      </c>
      <c r="BB89">
        <v>200107.79</v>
      </c>
      <c r="BC89">
        <v>202594.54</v>
      </c>
      <c r="BD89">
        <v>204634.07</v>
      </c>
      <c r="BE89">
        <v>206362.04</v>
      </c>
      <c r="BF89">
        <v>208091.01</v>
      </c>
      <c r="BG89">
        <v>2020</v>
      </c>
      <c r="BH89">
        <v>191417.7</v>
      </c>
      <c r="BI89">
        <v>538155.4</v>
      </c>
      <c r="BJ89">
        <v>538155.4</v>
      </c>
      <c r="BK89">
        <v>2020</v>
      </c>
      <c r="BL89">
        <v>35.569224056843062</v>
      </c>
    </row>
    <row r="90" spans="1:64">
      <c r="A90" t="s">
        <v>391</v>
      </c>
      <c r="B90">
        <v>439</v>
      </c>
      <c r="C90" t="s">
        <v>391</v>
      </c>
      <c r="D90" t="s">
        <v>1659</v>
      </c>
      <c r="E90" t="s">
        <v>176</v>
      </c>
      <c r="F90" t="s">
        <v>1660</v>
      </c>
      <c r="G90" t="s">
        <v>1661</v>
      </c>
      <c r="H90" t="s">
        <v>1662</v>
      </c>
      <c r="I90" t="s">
        <v>883</v>
      </c>
      <c r="J90" t="s">
        <v>1757</v>
      </c>
      <c r="K90" t="s">
        <v>1664</v>
      </c>
      <c r="L90" t="s">
        <v>1664</v>
      </c>
      <c r="M90" t="s">
        <v>1664</v>
      </c>
      <c r="N90" t="s">
        <v>1664</v>
      </c>
      <c r="O90" t="s">
        <v>1664</v>
      </c>
      <c r="P90">
        <v>0.70299999999999996</v>
      </c>
      <c r="Q90">
        <v>0.70899999999999996</v>
      </c>
      <c r="R90">
        <v>0.66</v>
      </c>
      <c r="S90">
        <v>0.73799999999999999</v>
      </c>
      <c r="T90">
        <v>0.87</v>
      </c>
      <c r="U90">
        <v>1.0149999999999999</v>
      </c>
      <c r="V90">
        <v>1.034</v>
      </c>
      <c r="W90">
        <v>1.371</v>
      </c>
      <c r="X90">
        <v>1.3520000000000001</v>
      </c>
      <c r="Y90">
        <v>1.4219999999999999</v>
      </c>
      <c r="Z90">
        <v>1.621</v>
      </c>
      <c r="AA90">
        <v>1.65</v>
      </c>
      <c r="AB90">
        <v>1.62</v>
      </c>
      <c r="AC90">
        <v>1.7050000000000001</v>
      </c>
      <c r="AD90">
        <v>1.788</v>
      </c>
      <c r="AE90">
        <v>1.802</v>
      </c>
      <c r="AF90">
        <v>1.9259999999999999</v>
      </c>
      <c r="AG90">
        <v>2.0099999999999998</v>
      </c>
      <c r="AH90">
        <v>2.5110000000000001</v>
      </c>
      <c r="AI90">
        <v>2.9620000000000002</v>
      </c>
      <c r="AJ90">
        <v>2.9710000000000001</v>
      </c>
      <c r="AK90">
        <v>3.4540000000000002</v>
      </c>
      <c r="AL90">
        <v>3.92</v>
      </c>
      <c r="AM90">
        <v>4.6900000000000004</v>
      </c>
      <c r="AN90">
        <v>4.476</v>
      </c>
      <c r="AO90">
        <v>4.6639999999999997</v>
      </c>
      <c r="AP90">
        <v>5.4139999999999997</v>
      </c>
      <c r="AQ90">
        <v>5.0540000000000003</v>
      </c>
      <c r="AR90">
        <v>5.758</v>
      </c>
      <c r="AS90">
        <v>7.0910000000000002</v>
      </c>
      <c r="AT90">
        <v>6.6580000000000004</v>
      </c>
      <c r="AU90">
        <v>7.0129999999999999</v>
      </c>
      <c r="AV90">
        <v>7.4240000000000004</v>
      </c>
      <c r="AW90">
        <v>7.84</v>
      </c>
      <c r="AX90">
        <v>7.6769999999999996</v>
      </c>
      <c r="AY90">
        <v>7.0289999999999999</v>
      </c>
      <c r="AZ90">
        <v>8.1280000000000001</v>
      </c>
      <c r="BA90">
        <v>8.7560000000000002</v>
      </c>
      <c r="BB90">
        <v>9.1969999999999992</v>
      </c>
      <c r="BC90">
        <v>9.7989999999999995</v>
      </c>
      <c r="BD90">
        <v>10.334</v>
      </c>
      <c r="BE90">
        <v>10.878</v>
      </c>
      <c r="BF90">
        <v>11.394</v>
      </c>
      <c r="BG90">
        <v>2020</v>
      </c>
      <c r="BH90">
        <v>7.0289999999999999</v>
      </c>
      <c r="BI90">
        <v>31.024999999999999</v>
      </c>
      <c r="BJ90">
        <v>31.024999999999999</v>
      </c>
      <c r="BK90">
        <v>2020</v>
      </c>
      <c r="BL90">
        <v>22.655922643029815</v>
      </c>
    </row>
    <row r="91" spans="1:64">
      <c r="A91" t="s">
        <v>427</v>
      </c>
      <c r="B91">
        <v>916</v>
      </c>
      <c r="C91" t="s">
        <v>427</v>
      </c>
      <c r="D91" t="s">
        <v>1659</v>
      </c>
      <c r="E91" t="s">
        <v>212</v>
      </c>
      <c r="F91" t="s">
        <v>1660</v>
      </c>
      <c r="G91" t="s">
        <v>1661</v>
      </c>
      <c r="H91" t="s">
        <v>1662</v>
      </c>
      <c r="I91" t="s">
        <v>883</v>
      </c>
      <c r="J91" t="s">
        <v>1758</v>
      </c>
      <c r="K91" t="s">
        <v>1664</v>
      </c>
      <c r="L91" t="s">
        <v>1664</v>
      </c>
      <c r="M91" t="s">
        <v>1664</v>
      </c>
      <c r="N91" t="s">
        <v>1664</v>
      </c>
      <c r="O91" t="s">
        <v>1664</v>
      </c>
      <c r="P91" t="s">
        <v>1664</v>
      </c>
      <c r="Q91" t="s">
        <v>1664</v>
      </c>
      <c r="R91" t="s">
        <v>1664</v>
      </c>
      <c r="S91" t="s">
        <v>1664</v>
      </c>
      <c r="T91" t="s">
        <v>1664</v>
      </c>
      <c r="U91" t="s">
        <v>1664</v>
      </c>
      <c r="V91" t="s">
        <v>1664</v>
      </c>
      <c r="W91" t="s">
        <v>1664</v>
      </c>
      <c r="X91" t="s">
        <v>1664</v>
      </c>
      <c r="Y91">
        <v>94</v>
      </c>
      <c r="Z91">
        <v>171</v>
      </c>
      <c r="AA91">
        <v>187.2</v>
      </c>
      <c r="AB91">
        <v>225.24600000000001</v>
      </c>
      <c r="AC91">
        <v>315.24200000000002</v>
      </c>
      <c r="AD91">
        <v>353.65100000000001</v>
      </c>
      <c r="AE91">
        <v>568.20000000000005</v>
      </c>
      <c r="AF91">
        <v>833.9</v>
      </c>
      <c r="AG91">
        <v>847.81500000000005</v>
      </c>
      <c r="AH91">
        <v>1169.19</v>
      </c>
      <c r="AI91">
        <v>1441.12</v>
      </c>
      <c r="AJ91">
        <v>2131.7199999999998</v>
      </c>
      <c r="AK91">
        <v>2803.92</v>
      </c>
      <c r="AL91">
        <v>3705.75</v>
      </c>
      <c r="AM91">
        <v>4542.24</v>
      </c>
      <c r="AN91">
        <v>3765.85</v>
      </c>
      <c r="AO91">
        <v>5223.3100000000004</v>
      </c>
      <c r="AP91">
        <v>7638.32</v>
      </c>
      <c r="AQ91">
        <v>8170.3</v>
      </c>
      <c r="AR91">
        <v>8911.32</v>
      </c>
      <c r="AS91">
        <v>9419.8700000000008</v>
      </c>
      <c r="AT91">
        <v>6791.27</v>
      </c>
      <c r="AU91">
        <v>7989.07</v>
      </c>
      <c r="AV91">
        <v>10779.2</v>
      </c>
      <c r="AW91">
        <v>13245.57</v>
      </c>
      <c r="AX91">
        <v>13683.29</v>
      </c>
      <c r="AY91">
        <v>12369.99</v>
      </c>
      <c r="AZ91">
        <v>15199.1</v>
      </c>
      <c r="BA91">
        <v>20847.330000000002</v>
      </c>
      <c r="BB91">
        <v>21369.1</v>
      </c>
      <c r="BC91">
        <v>22908.07</v>
      </c>
      <c r="BD91">
        <v>24735.279999999999</v>
      </c>
      <c r="BE91">
        <v>26150.05</v>
      </c>
      <c r="BF91">
        <v>27764.52</v>
      </c>
      <c r="BG91">
        <v>2021</v>
      </c>
      <c r="BH91">
        <v>15199.1</v>
      </c>
      <c r="BI91">
        <v>81269.23</v>
      </c>
      <c r="BJ91">
        <v>70649.03</v>
      </c>
      <c r="BK91">
        <v>2020</v>
      </c>
      <c r="BL91">
        <v>18.702158246116028</v>
      </c>
    </row>
    <row r="92" spans="1:64">
      <c r="A92" t="s">
        <v>353</v>
      </c>
      <c r="B92">
        <v>664</v>
      </c>
      <c r="C92" t="s">
        <v>353</v>
      </c>
      <c r="D92" t="s">
        <v>1659</v>
      </c>
      <c r="E92" t="s">
        <v>139</v>
      </c>
      <c r="F92" t="s">
        <v>1660</v>
      </c>
      <c r="G92" t="s">
        <v>1661</v>
      </c>
      <c r="H92" t="s">
        <v>1662</v>
      </c>
      <c r="I92" t="s">
        <v>883</v>
      </c>
      <c r="J92" t="s">
        <v>1759</v>
      </c>
      <c r="K92" t="s">
        <v>1664</v>
      </c>
      <c r="L92" t="s">
        <v>1664</v>
      </c>
      <c r="M92">
        <v>17.463000000000001</v>
      </c>
      <c r="N92">
        <v>18.709</v>
      </c>
      <c r="O92">
        <v>20.783999999999999</v>
      </c>
      <c r="P92">
        <v>23.992999999999999</v>
      </c>
      <c r="Q92">
        <v>27.638000000000002</v>
      </c>
      <c r="R92">
        <v>32.953000000000003</v>
      </c>
      <c r="S92">
        <v>38.975999999999999</v>
      </c>
      <c r="T92">
        <v>44.695999999999998</v>
      </c>
      <c r="U92">
        <v>51.561</v>
      </c>
      <c r="V92">
        <v>41.603999999999999</v>
      </c>
      <c r="W92">
        <v>45.252000000000002</v>
      </c>
      <c r="X92">
        <v>62.893000000000001</v>
      </c>
      <c r="Y92">
        <v>103.05500000000001</v>
      </c>
      <c r="Z92">
        <v>139.863</v>
      </c>
      <c r="AA92">
        <v>151.95400000000001</v>
      </c>
      <c r="AB92">
        <v>168.976</v>
      </c>
      <c r="AC92">
        <v>190.727</v>
      </c>
      <c r="AD92">
        <v>189.93799999999999</v>
      </c>
      <c r="AE92">
        <v>200.74199999999999</v>
      </c>
      <c r="AF92">
        <v>211.69200000000001</v>
      </c>
      <c r="AG92">
        <v>215.142</v>
      </c>
      <c r="AH92">
        <v>248.29900000000001</v>
      </c>
      <c r="AI92">
        <v>287.80599999999998</v>
      </c>
      <c r="AJ92">
        <v>319.13299999999998</v>
      </c>
      <c r="AK92">
        <v>361.041</v>
      </c>
      <c r="AL92">
        <v>423.096</v>
      </c>
      <c r="AM92">
        <v>481.81299999999999</v>
      </c>
      <c r="AN92">
        <v>561.76300000000003</v>
      </c>
      <c r="AO92">
        <v>642.9</v>
      </c>
      <c r="AP92">
        <v>685.96500000000003</v>
      </c>
      <c r="AQ92">
        <v>801.36900000000003</v>
      </c>
      <c r="AR92">
        <v>946.73800000000006</v>
      </c>
      <c r="AS92">
        <v>1052.49</v>
      </c>
      <c r="AT92">
        <v>1180.28</v>
      </c>
      <c r="AU92">
        <v>1358.69</v>
      </c>
      <c r="AV92">
        <v>1510.25</v>
      </c>
      <c r="AW92">
        <v>1638.61</v>
      </c>
      <c r="AX92">
        <v>1740.43</v>
      </c>
      <c r="AY92">
        <v>1785.93</v>
      </c>
      <c r="AZ92">
        <v>2023.42</v>
      </c>
      <c r="BA92">
        <v>2354.6999999999998</v>
      </c>
      <c r="BB92">
        <v>2673.3</v>
      </c>
      <c r="BC92">
        <v>3026.19</v>
      </c>
      <c r="BD92">
        <v>3361.35</v>
      </c>
      <c r="BE92">
        <v>3819.56</v>
      </c>
      <c r="BF92">
        <v>4315.4399999999996</v>
      </c>
      <c r="BG92">
        <v>2020</v>
      </c>
      <c r="BH92">
        <v>1785.93</v>
      </c>
      <c r="BI92">
        <v>10752.99</v>
      </c>
      <c r="BJ92">
        <v>10752.99</v>
      </c>
      <c r="BK92">
        <v>2020</v>
      </c>
      <c r="BL92">
        <v>16.608682794273967</v>
      </c>
    </row>
    <row r="93" spans="1:64">
      <c r="A93" t="s">
        <v>366</v>
      </c>
      <c r="B93">
        <v>826</v>
      </c>
      <c r="C93" t="s">
        <v>366</v>
      </c>
      <c r="D93" t="s">
        <v>1659</v>
      </c>
      <c r="E93" t="s">
        <v>152</v>
      </c>
      <c r="F93" t="s">
        <v>1660</v>
      </c>
      <c r="G93" t="s">
        <v>1661</v>
      </c>
      <c r="H93" t="s">
        <v>1662</v>
      </c>
      <c r="I93" t="s">
        <v>883</v>
      </c>
      <c r="J93" t="s">
        <v>1760</v>
      </c>
      <c r="K93" t="s">
        <v>1664</v>
      </c>
      <c r="L93" t="s">
        <v>1664</v>
      </c>
      <c r="M93" t="s">
        <v>1664</v>
      </c>
      <c r="N93" t="s">
        <v>1664</v>
      </c>
      <c r="O93" t="s">
        <v>1664</v>
      </c>
      <c r="P93" t="s">
        <v>1664</v>
      </c>
      <c r="Q93" t="s">
        <v>1664</v>
      </c>
      <c r="R93" t="s">
        <v>1664</v>
      </c>
      <c r="S93">
        <v>2.4E-2</v>
      </c>
      <c r="T93">
        <v>0.03</v>
      </c>
      <c r="U93">
        <v>4.7E-2</v>
      </c>
      <c r="V93">
        <v>4.5999999999999999E-2</v>
      </c>
      <c r="W93">
        <v>5.6000000000000001E-2</v>
      </c>
      <c r="X93">
        <v>5.2999999999999999E-2</v>
      </c>
      <c r="Y93">
        <v>5.0999999999999997E-2</v>
      </c>
      <c r="Z93">
        <v>0.06</v>
      </c>
      <c r="AA93">
        <v>0.05</v>
      </c>
      <c r="AB93">
        <v>8.3000000000000004E-2</v>
      </c>
      <c r="AC93">
        <v>0.107</v>
      </c>
      <c r="AD93">
        <v>9.0999999999999998E-2</v>
      </c>
      <c r="AE93">
        <v>8.5000000000000006E-2</v>
      </c>
      <c r="AF93">
        <v>0.114</v>
      </c>
      <c r="AG93">
        <v>0.13800000000000001</v>
      </c>
      <c r="AH93">
        <v>0.112</v>
      </c>
      <c r="AI93">
        <v>0.12</v>
      </c>
      <c r="AJ93">
        <v>0.128</v>
      </c>
      <c r="AK93">
        <v>0.104</v>
      </c>
      <c r="AL93">
        <v>0.107</v>
      </c>
      <c r="AM93">
        <v>0.111</v>
      </c>
      <c r="AN93">
        <v>0.11899999999999999</v>
      </c>
      <c r="AO93">
        <v>0.123</v>
      </c>
      <c r="AP93">
        <v>0.12</v>
      </c>
      <c r="AQ93">
        <v>0.157</v>
      </c>
      <c r="AR93">
        <v>0.188</v>
      </c>
      <c r="AS93">
        <v>0.30299999999999999</v>
      </c>
      <c r="AT93">
        <v>0.34</v>
      </c>
      <c r="AU93">
        <v>0.33200000000000002</v>
      </c>
      <c r="AV93">
        <v>0.36699999999999999</v>
      </c>
      <c r="AW93">
        <v>0.35599999999999998</v>
      </c>
      <c r="AX93">
        <v>0.34699999999999998</v>
      </c>
      <c r="AY93">
        <v>0.3</v>
      </c>
      <c r="AZ93">
        <v>0.30599999999999999</v>
      </c>
      <c r="BA93">
        <v>0.312</v>
      </c>
      <c r="BB93">
        <v>0.32500000000000001</v>
      </c>
      <c r="BC93">
        <v>0.33800000000000002</v>
      </c>
      <c r="BD93">
        <v>0.34499999999999997</v>
      </c>
      <c r="BE93">
        <v>0.36</v>
      </c>
      <c r="BF93">
        <v>0.37</v>
      </c>
      <c r="BG93">
        <v>2020</v>
      </c>
      <c r="BH93">
        <v>0.3</v>
      </c>
      <c r="BI93">
        <v>0.26300000000000001</v>
      </c>
      <c r="BJ93">
        <v>0.26300000000000001</v>
      </c>
      <c r="BK93">
        <v>2020</v>
      </c>
      <c r="BL93">
        <v>114.06844106463878</v>
      </c>
    </row>
    <row r="94" spans="1:64">
      <c r="A94" t="s">
        <v>449</v>
      </c>
      <c r="B94">
        <v>542</v>
      </c>
      <c r="C94" t="s">
        <v>449</v>
      </c>
      <c r="D94" t="s">
        <v>1659</v>
      </c>
      <c r="E94" t="s">
        <v>1761</v>
      </c>
      <c r="F94" t="s">
        <v>1660</v>
      </c>
      <c r="G94" t="s">
        <v>1661</v>
      </c>
      <c r="H94" t="s">
        <v>1662</v>
      </c>
      <c r="I94" t="s">
        <v>883</v>
      </c>
      <c r="J94" t="s">
        <v>1762</v>
      </c>
      <c r="K94" t="s">
        <v>1664</v>
      </c>
      <c r="L94" t="s">
        <v>1664</v>
      </c>
      <c r="M94" t="s">
        <v>1664</v>
      </c>
      <c r="N94" t="s">
        <v>1664</v>
      </c>
      <c r="O94" t="s">
        <v>1664</v>
      </c>
      <c r="P94" t="s">
        <v>1664</v>
      </c>
      <c r="Q94" t="s">
        <v>1664</v>
      </c>
      <c r="R94" t="s">
        <v>1664</v>
      </c>
      <c r="S94" t="s">
        <v>1664</v>
      </c>
      <c r="T94" t="s">
        <v>1664</v>
      </c>
      <c r="U94" t="s">
        <v>1664</v>
      </c>
      <c r="V94" t="s">
        <v>1664</v>
      </c>
      <c r="W94" t="s">
        <v>1664</v>
      </c>
      <c r="X94" t="s">
        <v>1664</v>
      </c>
      <c r="Y94" t="s">
        <v>1664</v>
      </c>
      <c r="Z94">
        <v>70862</v>
      </c>
      <c r="AA94">
        <v>82971</v>
      </c>
      <c r="AB94">
        <v>90740</v>
      </c>
      <c r="AC94">
        <v>95349.440000000002</v>
      </c>
      <c r="AD94">
        <v>106006.34</v>
      </c>
      <c r="AE94">
        <v>134647.24</v>
      </c>
      <c r="AF94">
        <v>141863.85</v>
      </c>
      <c r="AG94">
        <v>155444.45000000001</v>
      </c>
      <c r="AH94">
        <v>168216.32000000001</v>
      </c>
      <c r="AI94">
        <v>175250.01</v>
      </c>
      <c r="AJ94">
        <v>190165</v>
      </c>
      <c r="AK94">
        <v>208091</v>
      </c>
      <c r="AL94">
        <v>241693</v>
      </c>
      <c r="AM94">
        <v>248809</v>
      </c>
      <c r="AN94">
        <v>248278</v>
      </c>
      <c r="AO94">
        <v>268540</v>
      </c>
      <c r="AP94">
        <v>289797</v>
      </c>
      <c r="AQ94">
        <v>307754</v>
      </c>
      <c r="AR94">
        <v>311136</v>
      </c>
      <c r="AS94">
        <v>318185</v>
      </c>
      <c r="AT94">
        <v>335911</v>
      </c>
      <c r="AU94">
        <v>367888</v>
      </c>
      <c r="AV94">
        <v>400659</v>
      </c>
      <c r="AW94">
        <v>435558</v>
      </c>
      <c r="AX94">
        <v>441148</v>
      </c>
      <c r="AY94">
        <v>443694</v>
      </c>
      <c r="AZ94">
        <v>527994</v>
      </c>
      <c r="BA94">
        <v>532120.06999999995</v>
      </c>
      <c r="BB94">
        <v>552583.35</v>
      </c>
      <c r="BC94">
        <v>576899.36</v>
      </c>
      <c r="BD94">
        <v>600399.81999999995</v>
      </c>
      <c r="BE94">
        <v>628298.44999999995</v>
      </c>
      <c r="BF94">
        <v>652946.02</v>
      </c>
      <c r="BG94">
        <v>2019</v>
      </c>
      <c r="BH94">
        <v>441148</v>
      </c>
      <c r="BI94">
        <v>1924498</v>
      </c>
      <c r="BJ94">
        <v>2057447.7</v>
      </c>
      <c r="BK94">
        <v>2021</v>
      </c>
      <c r="BL94">
        <v>22.92275699948766</v>
      </c>
    </row>
    <row r="95" spans="1:64">
      <c r="A95" t="s">
        <v>1763</v>
      </c>
      <c r="B95">
        <v>967</v>
      </c>
      <c r="C95" t="s">
        <v>399</v>
      </c>
      <c r="D95" t="s">
        <v>1659</v>
      </c>
      <c r="E95" t="s">
        <v>184</v>
      </c>
      <c r="F95" t="s">
        <v>1660</v>
      </c>
      <c r="G95" t="s">
        <v>1661</v>
      </c>
      <c r="H95" t="s">
        <v>1662</v>
      </c>
      <c r="I95" t="s">
        <v>883</v>
      </c>
      <c r="J95" t="s">
        <v>1764</v>
      </c>
      <c r="K95" t="s">
        <v>1664</v>
      </c>
      <c r="L95" t="s">
        <v>1664</v>
      </c>
      <c r="M95" t="s">
        <v>1664</v>
      </c>
      <c r="N95" t="s">
        <v>1664</v>
      </c>
      <c r="O95" t="s">
        <v>1664</v>
      </c>
      <c r="P95" t="s">
        <v>1664</v>
      </c>
      <c r="Q95" t="s">
        <v>1664</v>
      </c>
      <c r="R95" t="s">
        <v>1664</v>
      </c>
      <c r="S95" t="s">
        <v>1664</v>
      </c>
      <c r="T95" t="s">
        <v>1664</v>
      </c>
      <c r="U95" t="s">
        <v>1664</v>
      </c>
      <c r="V95" t="s">
        <v>1664</v>
      </c>
      <c r="W95" t="s">
        <v>1664</v>
      </c>
      <c r="X95" t="s">
        <v>1664</v>
      </c>
      <c r="Y95" t="s">
        <v>1664</v>
      </c>
      <c r="Z95" t="s">
        <v>1664</v>
      </c>
      <c r="AA95" t="s">
        <v>1664</v>
      </c>
      <c r="AB95" t="s">
        <v>1664</v>
      </c>
      <c r="AC95" t="s">
        <v>1664</v>
      </c>
      <c r="AD95" t="s">
        <v>1664</v>
      </c>
      <c r="AE95">
        <v>0.128</v>
      </c>
      <c r="AF95">
        <v>0.32100000000000001</v>
      </c>
      <c r="AG95">
        <v>0.5</v>
      </c>
      <c r="AH95">
        <v>0.59</v>
      </c>
      <c r="AI95">
        <v>0.61099999999999999</v>
      </c>
      <c r="AJ95">
        <v>0.628</v>
      </c>
      <c r="AK95">
        <v>0.72</v>
      </c>
      <c r="AL95">
        <v>0.89800000000000002</v>
      </c>
      <c r="AM95">
        <v>0.94299999999999995</v>
      </c>
      <c r="AN95">
        <v>1.151</v>
      </c>
      <c r="AO95">
        <v>1.1639999999999999</v>
      </c>
      <c r="AP95">
        <v>1.3049999999999999</v>
      </c>
      <c r="AQ95">
        <v>1.3220000000000001</v>
      </c>
      <c r="AR95">
        <v>1.3129999999999999</v>
      </c>
      <c r="AS95">
        <v>1.335</v>
      </c>
      <c r="AT95">
        <v>1.4570000000000001</v>
      </c>
      <c r="AU95">
        <v>1.6160000000000001</v>
      </c>
      <c r="AV95">
        <v>1.7</v>
      </c>
      <c r="AW95">
        <v>1.7749999999999999</v>
      </c>
      <c r="AX95">
        <v>1.905</v>
      </c>
      <c r="AY95">
        <v>1.736</v>
      </c>
      <c r="AZ95">
        <v>2.194</v>
      </c>
      <c r="BA95">
        <v>2.4</v>
      </c>
      <c r="BB95">
        <v>2.5569999999999999</v>
      </c>
      <c r="BC95">
        <v>2.7069999999999999</v>
      </c>
      <c r="BD95">
        <v>2.8530000000000002</v>
      </c>
      <c r="BE95">
        <v>2.9950000000000001</v>
      </c>
      <c r="BF95">
        <v>3.1589999999999998</v>
      </c>
      <c r="BG95">
        <v>2021</v>
      </c>
      <c r="BH95">
        <v>2.194</v>
      </c>
      <c r="BI95">
        <v>7.6369999999999996</v>
      </c>
      <c r="BJ95">
        <v>6.7720000000000002</v>
      </c>
      <c r="BK95">
        <v>2020</v>
      </c>
      <c r="BL95">
        <v>28.728558334424513</v>
      </c>
    </row>
    <row r="96" spans="1:64">
      <c r="A96" t="s">
        <v>571</v>
      </c>
      <c r="B96">
        <v>443</v>
      </c>
      <c r="C96" t="s">
        <v>571</v>
      </c>
      <c r="D96" t="s">
        <v>1659</v>
      </c>
      <c r="E96" t="s">
        <v>254</v>
      </c>
      <c r="F96" t="s">
        <v>1660</v>
      </c>
      <c r="G96" t="s">
        <v>1661</v>
      </c>
      <c r="H96" t="s">
        <v>1662</v>
      </c>
      <c r="I96" t="s">
        <v>883</v>
      </c>
      <c r="J96" t="s">
        <v>1765</v>
      </c>
      <c r="K96" t="s">
        <v>1664</v>
      </c>
      <c r="L96" t="s">
        <v>1664</v>
      </c>
      <c r="M96" t="s">
        <v>1664</v>
      </c>
      <c r="N96" t="s">
        <v>1664</v>
      </c>
      <c r="O96" t="s">
        <v>1664</v>
      </c>
      <c r="P96" t="s">
        <v>1664</v>
      </c>
      <c r="Q96" t="s">
        <v>1664</v>
      </c>
      <c r="R96" t="s">
        <v>1664</v>
      </c>
      <c r="S96" t="s">
        <v>1664</v>
      </c>
      <c r="T96" t="s">
        <v>1664</v>
      </c>
      <c r="U96">
        <v>3.214</v>
      </c>
      <c r="V96">
        <v>1.655</v>
      </c>
      <c r="W96">
        <v>2.403</v>
      </c>
      <c r="X96">
        <v>3.3</v>
      </c>
      <c r="Y96">
        <v>3.645</v>
      </c>
      <c r="Z96">
        <v>4.2789999999999999</v>
      </c>
      <c r="AA96">
        <v>5.2919999999999998</v>
      </c>
      <c r="AB96">
        <v>5.6020000000000003</v>
      </c>
      <c r="AC96">
        <v>4.6559999999999997</v>
      </c>
      <c r="AD96">
        <v>5.5090000000000003</v>
      </c>
      <c r="AE96">
        <v>7.8879999999999999</v>
      </c>
      <c r="AF96">
        <v>7.6609999999999996</v>
      </c>
      <c r="AG96">
        <v>7.093</v>
      </c>
      <c r="AH96">
        <v>7.7489999999999997</v>
      </c>
      <c r="AI96">
        <v>9.8819999999999997</v>
      </c>
      <c r="AJ96">
        <v>16.853000000000002</v>
      </c>
      <c r="AK96">
        <v>18.803999999999998</v>
      </c>
      <c r="AL96">
        <v>21.989000000000001</v>
      </c>
      <c r="AM96">
        <v>23.994</v>
      </c>
      <c r="AN96">
        <v>21.256</v>
      </c>
      <c r="AO96">
        <v>23.388000000000002</v>
      </c>
      <c r="AP96">
        <v>30.753</v>
      </c>
      <c r="AQ96">
        <v>34.762</v>
      </c>
      <c r="AR96">
        <v>35.549999999999997</v>
      </c>
      <c r="AS96">
        <v>30.454000000000001</v>
      </c>
      <c r="AT96">
        <v>20.308</v>
      </c>
      <c r="AU96">
        <v>18.029</v>
      </c>
      <c r="AV96">
        <v>19.7</v>
      </c>
      <c r="AW96">
        <v>24.306999999999999</v>
      </c>
      <c r="AX96">
        <v>22.835000000000001</v>
      </c>
      <c r="AY96">
        <v>17.123000000000001</v>
      </c>
      <c r="AZ96">
        <v>21.318999999999999</v>
      </c>
      <c r="BA96">
        <v>31.178999999999998</v>
      </c>
      <c r="BB96">
        <v>32.316000000000003</v>
      </c>
      <c r="BC96">
        <v>30.658000000000001</v>
      </c>
      <c r="BD96">
        <v>29.702999999999999</v>
      </c>
      <c r="BE96">
        <v>28.850999999999999</v>
      </c>
      <c r="BF96">
        <v>28.437000000000001</v>
      </c>
      <c r="BG96">
        <v>2020</v>
      </c>
      <c r="BH96">
        <v>17.123000000000001</v>
      </c>
      <c r="BI96">
        <v>32.445</v>
      </c>
      <c r="BJ96">
        <v>32.445</v>
      </c>
      <c r="BK96">
        <v>2020</v>
      </c>
      <c r="BL96">
        <v>52.775466173524435</v>
      </c>
    </row>
    <row r="97" spans="1:64">
      <c r="A97" t="s">
        <v>337</v>
      </c>
      <c r="B97">
        <v>917</v>
      </c>
      <c r="C97" t="s">
        <v>337</v>
      </c>
      <c r="D97" t="s">
        <v>1659</v>
      </c>
      <c r="E97" t="s">
        <v>123</v>
      </c>
      <c r="F97" t="s">
        <v>1660</v>
      </c>
      <c r="G97" t="s">
        <v>1661</v>
      </c>
      <c r="H97" t="s">
        <v>1662</v>
      </c>
      <c r="I97" t="s">
        <v>883</v>
      </c>
      <c r="J97" t="s">
        <v>1766</v>
      </c>
      <c r="K97" t="s">
        <v>1664</v>
      </c>
      <c r="L97" t="s">
        <v>1664</v>
      </c>
      <c r="M97" t="s">
        <v>1664</v>
      </c>
      <c r="N97" t="s">
        <v>1664</v>
      </c>
      <c r="O97" t="s">
        <v>1664</v>
      </c>
      <c r="P97" t="s">
        <v>1664</v>
      </c>
      <c r="Q97" t="s">
        <v>1664</v>
      </c>
      <c r="R97" t="s">
        <v>1664</v>
      </c>
      <c r="S97" t="s">
        <v>1664</v>
      </c>
      <c r="T97" t="s">
        <v>1664</v>
      </c>
      <c r="U97" t="s">
        <v>1664</v>
      </c>
      <c r="V97" t="s">
        <v>1664</v>
      </c>
      <c r="W97" t="s">
        <v>1664</v>
      </c>
      <c r="X97">
        <v>1.3180000000000001</v>
      </c>
      <c r="Y97">
        <v>2.5030000000000001</v>
      </c>
      <c r="Z97">
        <v>3.9329999999999998</v>
      </c>
      <c r="AA97">
        <v>4.5670000000000002</v>
      </c>
      <c r="AB97">
        <v>6.702</v>
      </c>
      <c r="AC97">
        <v>8.1910000000000007</v>
      </c>
      <c r="AD97">
        <v>10.895</v>
      </c>
      <c r="AE97">
        <v>12.757</v>
      </c>
      <c r="AF97">
        <v>15.766999999999999</v>
      </c>
      <c r="AG97">
        <v>17.672999999999998</v>
      </c>
      <c r="AH97">
        <v>19.213000000000001</v>
      </c>
      <c r="AI97">
        <v>22.234000000000002</v>
      </c>
      <c r="AJ97">
        <v>25.504000000000001</v>
      </c>
      <c r="AK97">
        <v>30.765000000000001</v>
      </c>
      <c r="AL97">
        <v>43.807000000000002</v>
      </c>
      <c r="AM97">
        <v>56.036999999999999</v>
      </c>
      <c r="AN97">
        <v>66.239999999999995</v>
      </c>
      <c r="AO97">
        <v>68.667000000000002</v>
      </c>
      <c r="AP97">
        <v>93.412000000000006</v>
      </c>
      <c r="AQ97">
        <v>107.801</v>
      </c>
      <c r="AR97">
        <v>122.39100000000001</v>
      </c>
      <c r="AS97">
        <v>142.005</v>
      </c>
      <c r="AT97">
        <v>153.11199999999999</v>
      </c>
      <c r="AU97">
        <v>157.822</v>
      </c>
      <c r="AV97">
        <v>176.58099999999999</v>
      </c>
      <c r="AW97">
        <v>184.87700000000001</v>
      </c>
      <c r="AX97">
        <v>201.21700000000001</v>
      </c>
      <c r="AY97">
        <v>185.58199999999999</v>
      </c>
      <c r="AZ97">
        <v>245.58500000000001</v>
      </c>
      <c r="BA97">
        <v>282.28699999999998</v>
      </c>
      <c r="BB97">
        <v>318.92599999999999</v>
      </c>
      <c r="BC97">
        <v>350.65300000000002</v>
      </c>
      <c r="BD97">
        <v>381.80900000000003</v>
      </c>
      <c r="BE97">
        <v>414.77499999999998</v>
      </c>
      <c r="BF97">
        <v>449.52199999999999</v>
      </c>
      <c r="BG97">
        <v>2021</v>
      </c>
      <c r="BH97">
        <v>245.58500000000001</v>
      </c>
      <c r="BI97">
        <v>723.12199999999996</v>
      </c>
      <c r="BJ97">
        <v>723.12199999999996</v>
      </c>
      <c r="BK97">
        <v>2021</v>
      </c>
      <c r="BL97">
        <v>33.96176578779238</v>
      </c>
    </row>
    <row r="98" spans="1:64">
      <c r="A98" t="s">
        <v>361</v>
      </c>
      <c r="B98">
        <v>544</v>
      </c>
      <c r="C98" t="s">
        <v>361</v>
      </c>
      <c r="D98" t="s">
        <v>1659</v>
      </c>
      <c r="E98" t="s">
        <v>1767</v>
      </c>
      <c r="F98" t="s">
        <v>1660</v>
      </c>
      <c r="G98" t="s">
        <v>1661</v>
      </c>
      <c r="H98" t="s">
        <v>1662</v>
      </c>
      <c r="I98" t="s">
        <v>883</v>
      </c>
      <c r="J98" t="s">
        <v>1768</v>
      </c>
      <c r="K98" t="s">
        <v>1664</v>
      </c>
      <c r="L98" t="s">
        <v>1664</v>
      </c>
      <c r="M98" t="s">
        <v>1664</v>
      </c>
      <c r="N98" t="s">
        <v>1664</v>
      </c>
      <c r="O98" t="s">
        <v>1664</v>
      </c>
      <c r="P98" t="s">
        <v>1664</v>
      </c>
      <c r="Q98" t="s">
        <v>1664</v>
      </c>
      <c r="R98" t="s">
        <v>1664</v>
      </c>
      <c r="S98" t="s">
        <v>1664</v>
      </c>
      <c r="T98" t="s">
        <v>1664</v>
      </c>
      <c r="U98" t="s">
        <v>1664</v>
      </c>
      <c r="V98" t="s">
        <v>1664</v>
      </c>
      <c r="W98" t="s">
        <v>1664</v>
      </c>
      <c r="X98" t="s">
        <v>1664</v>
      </c>
      <c r="Y98" t="s">
        <v>1664</v>
      </c>
      <c r="Z98" t="s">
        <v>1664</v>
      </c>
      <c r="AA98" t="s">
        <v>1664</v>
      </c>
      <c r="AB98" t="s">
        <v>1664</v>
      </c>
      <c r="AC98" t="s">
        <v>1664</v>
      </c>
      <c r="AD98" t="s">
        <v>1664</v>
      </c>
      <c r="AE98">
        <v>2305.6999999999998</v>
      </c>
      <c r="AF98">
        <v>2527.88</v>
      </c>
      <c r="AG98">
        <v>2711.85</v>
      </c>
      <c r="AH98">
        <v>2874.52</v>
      </c>
      <c r="AI98">
        <v>3299.66</v>
      </c>
      <c r="AJ98">
        <v>4155.1499999999996</v>
      </c>
      <c r="AK98">
        <v>5255.3</v>
      </c>
      <c r="AL98">
        <v>6383.99</v>
      </c>
      <c r="AM98">
        <v>7374.93</v>
      </c>
      <c r="AN98">
        <v>9318.3799999999992</v>
      </c>
      <c r="AO98">
        <v>12977.74</v>
      </c>
      <c r="AP98">
        <v>13500.24</v>
      </c>
      <c r="AQ98">
        <v>18260.900000000001</v>
      </c>
      <c r="AR98">
        <v>18969.669999999998</v>
      </c>
      <c r="AS98">
        <v>23340.32</v>
      </c>
      <c r="AT98">
        <v>23698.79</v>
      </c>
      <c r="AU98">
        <v>20716.32</v>
      </c>
      <c r="AV98">
        <v>22925.01</v>
      </c>
      <c r="AW98">
        <v>24758.34</v>
      </c>
      <c r="AX98">
        <v>25143.53</v>
      </c>
      <c r="AY98">
        <v>21780.87</v>
      </c>
      <c r="AZ98">
        <v>24014.06</v>
      </c>
      <c r="BA98">
        <v>27029.23</v>
      </c>
      <c r="BB98">
        <v>30239.22</v>
      </c>
      <c r="BC98">
        <v>33614.76</v>
      </c>
      <c r="BD98">
        <v>36776.800000000003</v>
      </c>
      <c r="BE98">
        <v>40020.910000000003</v>
      </c>
      <c r="BF98">
        <v>41882.839999999997</v>
      </c>
      <c r="BG98">
        <v>2020</v>
      </c>
      <c r="BH98">
        <v>21780.87</v>
      </c>
      <c r="BI98">
        <v>167791.94</v>
      </c>
      <c r="BJ98">
        <v>167791.94</v>
      </c>
      <c r="BK98">
        <v>2020</v>
      </c>
      <c r="BL98">
        <v>12.980879772890164</v>
      </c>
    </row>
    <row r="99" spans="1:64">
      <c r="A99" t="s">
        <v>534</v>
      </c>
      <c r="B99">
        <v>941</v>
      </c>
      <c r="C99" t="s">
        <v>534</v>
      </c>
      <c r="D99" t="s">
        <v>1659</v>
      </c>
      <c r="E99" t="s">
        <v>240</v>
      </c>
      <c r="F99" t="s">
        <v>1660</v>
      </c>
      <c r="G99" t="s">
        <v>1661</v>
      </c>
      <c r="H99" t="s">
        <v>1662</v>
      </c>
      <c r="I99" t="s">
        <v>883</v>
      </c>
      <c r="J99" t="s">
        <v>1769</v>
      </c>
      <c r="K99" t="s">
        <v>1664</v>
      </c>
      <c r="L99" t="s">
        <v>1664</v>
      </c>
      <c r="M99" t="s">
        <v>1664</v>
      </c>
      <c r="N99" t="s">
        <v>1664</v>
      </c>
      <c r="O99" t="s">
        <v>1664</v>
      </c>
      <c r="P99" t="s">
        <v>1664</v>
      </c>
      <c r="Q99" t="s">
        <v>1664</v>
      </c>
      <c r="R99" t="s">
        <v>1664</v>
      </c>
      <c r="S99" t="s">
        <v>1664</v>
      </c>
      <c r="T99" t="s">
        <v>1664</v>
      </c>
      <c r="U99" t="s">
        <v>1664</v>
      </c>
      <c r="V99" t="s">
        <v>1664</v>
      </c>
      <c r="W99" t="s">
        <v>1664</v>
      </c>
      <c r="X99" t="s">
        <v>1664</v>
      </c>
      <c r="Y99" t="s">
        <v>1664</v>
      </c>
      <c r="Z99" t="s">
        <v>1664</v>
      </c>
      <c r="AA99" t="s">
        <v>1664</v>
      </c>
      <c r="AB99" t="s">
        <v>1664</v>
      </c>
      <c r="AC99">
        <v>2.1909999999999998</v>
      </c>
      <c r="AD99">
        <v>2.2490000000000001</v>
      </c>
      <c r="AE99">
        <v>2.3090000000000002</v>
      </c>
      <c r="AF99">
        <v>2.4140000000000001</v>
      </c>
      <c r="AG99">
        <v>2.6669999999999998</v>
      </c>
      <c r="AH99">
        <v>2.996</v>
      </c>
      <c r="AI99">
        <v>3.589</v>
      </c>
      <c r="AJ99">
        <v>4.5529999999999999</v>
      </c>
      <c r="AK99">
        <v>5.7140000000000004</v>
      </c>
      <c r="AL99">
        <v>7.6120000000000001</v>
      </c>
      <c r="AM99">
        <v>8.1489999999999991</v>
      </c>
      <c r="AN99">
        <v>6.7370000000000001</v>
      </c>
      <c r="AO99">
        <v>6.5549999999999997</v>
      </c>
      <c r="AP99">
        <v>7.2359999999999998</v>
      </c>
      <c r="AQ99">
        <v>8.1750000000000007</v>
      </c>
      <c r="AR99">
        <v>8.3640000000000008</v>
      </c>
      <c r="AS99">
        <v>8.5329999999999995</v>
      </c>
      <c r="AT99">
        <v>8.8149999999999995</v>
      </c>
      <c r="AU99">
        <v>9.0649999999999995</v>
      </c>
      <c r="AV99">
        <v>9.6240000000000006</v>
      </c>
      <c r="AW99">
        <v>10.882999999999999</v>
      </c>
      <c r="AX99">
        <v>11.414</v>
      </c>
      <c r="AY99">
        <v>11.321</v>
      </c>
      <c r="AZ99">
        <v>12.574999999999999</v>
      </c>
      <c r="BA99">
        <v>13.343</v>
      </c>
      <c r="BB99">
        <v>14.468</v>
      </c>
      <c r="BC99">
        <v>15.036</v>
      </c>
      <c r="BD99">
        <v>15.661</v>
      </c>
      <c r="BE99">
        <v>16.532</v>
      </c>
      <c r="BF99">
        <v>17.440999999999999</v>
      </c>
      <c r="BG99">
        <v>2020</v>
      </c>
      <c r="BH99">
        <v>11.321</v>
      </c>
      <c r="BI99">
        <v>29.457000000000001</v>
      </c>
      <c r="BJ99">
        <v>32.923000000000002</v>
      </c>
      <c r="BK99">
        <v>2021</v>
      </c>
      <c r="BL99">
        <v>38.432291136232472</v>
      </c>
    </row>
    <row r="100" spans="1:64">
      <c r="A100" t="s">
        <v>373</v>
      </c>
      <c r="B100">
        <v>446</v>
      </c>
      <c r="C100" t="s">
        <v>373</v>
      </c>
      <c r="D100" t="s">
        <v>1659</v>
      </c>
      <c r="E100" t="s">
        <v>159</v>
      </c>
      <c r="F100" t="s">
        <v>1660</v>
      </c>
      <c r="G100" t="s">
        <v>1661</v>
      </c>
      <c r="H100" t="s">
        <v>1662</v>
      </c>
      <c r="I100" t="s">
        <v>883</v>
      </c>
      <c r="J100" t="s">
        <v>1770</v>
      </c>
      <c r="K100" t="s">
        <v>1664</v>
      </c>
      <c r="L100" t="s">
        <v>1664</v>
      </c>
      <c r="M100" t="s">
        <v>1664</v>
      </c>
      <c r="N100" t="s">
        <v>1664</v>
      </c>
      <c r="O100" t="s">
        <v>1664</v>
      </c>
      <c r="P100" t="s">
        <v>1664</v>
      </c>
      <c r="Q100" t="s">
        <v>1664</v>
      </c>
      <c r="R100" t="s">
        <v>1664</v>
      </c>
      <c r="S100" t="s">
        <v>1664</v>
      </c>
      <c r="T100" t="s">
        <v>1664</v>
      </c>
      <c r="U100">
        <v>191.1</v>
      </c>
      <c r="V100">
        <v>655.9</v>
      </c>
      <c r="W100">
        <v>1138.1099999999999</v>
      </c>
      <c r="X100">
        <v>2052</v>
      </c>
      <c r="Y100">
        <v>2748.28</v>
      </c>
      <c r="Z100">
        <v>3105.67</v>
      </c>
      <c r="AA100">
        <v>3604.57</v>
      </c>
      <c r="AB100">
        <v>3825.55</v>
      </c>
      <c r="AC100">
        <v>4503.54</v>
      </c>
      <c r="AD100">
        <v>4880.28</v>
      </c>
      <c r="AE100">
        <v>4848.8100000000004</v>
      </c>
      <c r="AF100">
        <v>4684.83</v>
      </c>
      <c r="AG100">
        <v>5847.85</v>
      </c>
      <c r="AH100">
        <v>6596.7</v>
      </c>
      <c r="AI100">
        <v>7485.26</v>
      </c>
      <c r="AJ100">
        <v>7405</v>
      </c>
      <c r="AK100">
        <v>8485.8700000000008</v>
      </c>
      <c r="AL100">
        <v>9081.7900000000009</v>
      </c>
      <c r="AM100">
        <v>10741</v>
      </c>
      <c r="AN100">
        <v>12801.52</v>
      </c>
      <c r="AO100">
        <v>12567.4</v>
      </c>
      <c r="AP100">
        <v>13768.88</v>
      </c>
      <c r="AQ100">
        <v>14461.86</v>
      </c>
      <c r="AR100">
        <v>14199.07</v>
      </c>
      <c r="AS100">
        <v>16397.87</v>
      </c>
      <c r="AT100">
        <v>14432.76</v>
      </c>
      <c r="AU100">
        <v>14958</v>
      </c>
      <c r="AV100">
        <v>17520.62</v>
      </c>
      <c r="AW100">
        <v>17401.599999999999</v>
      </c>
      <c r="AX100">
        <v>16674.02</v>
      </c>
      <c r="AY100">
        <v>14694.56</v>
      </c>
      <c r="AZ100" t="s">
        <v>1664</v>
      </c>
      <c r="BA100" t="s">
        <v>1664</v>
      </c>
      <c r="BB100" t="s">
        <v>1664</v>
      </c>
      <c r="BC100" t="s">
        <v>1664</v>
      </c>
      <c r="BD100" t="s">
        <v>1664</v>
      </c>
      <c r="BE100" t="s">
        <v>1664</v>
      </c>
      <c r="BF100" t="s">
        <v>1664</v>
      </c>
      <c r="BG100">
        <v>2020</v>
      </c>
      <c r="BH100">
        <v>14694.56</v>
      </c>
      <c r="BI100">
        <v>106741.07</v>
      </c>
      <c r="BJ100">
        <v>80736</v>
      </c>
      <c r="BK100">
        <v>2019</v>
      </c>
      <c r="BL100">
        <v>13.766547402981812</v>
      </c>
    </row>
    <row r="101" spans="1:64">
      <c r="A101" t="s">
        <v>339</v>
      </c>
      <c r="B101">
        <v>666</v>
      </c>
      <c r="C101" t="s">
        <v>339</v>
      </c>
      <c r="D101" t="s">
        <v>1659</v>
      </c>
      <c r="E101" t="s">
        <v>125</v>
      </c>
      <c r="F101" t="s">
        <v>1660</v>
      </c>
      <c r="G101" t="s">
        <v>1661</v>
      </c>
      <c r="H101" t="s">
        <v>1662</v>
      </c>
      <c r="I101" t="s">
        <v>883</v>
      </c>
      <c r="J101" t="s">
        <v>1771</v>
      </c>
      <c r="K101" t="s">
        <v>1664</v>
      </c>
      <c r="L101" t="s">
        <v>1664</v>
      </c>
      <c r="M101">
        <v>0.121</v>
      </c>
      <c r="N101">
        <v>0.14299999999999999</v>
      </c>
      <c r="O101">
        <v>0.18</v>
      </c>
      <c r="P101">
        <v>0.23799999999999999</v>
      </c>
      <c r="Q101">
        <v>0.28000000000000003</v>
      </c>
      <c r="R101">
        <v>0.36099999999999999</v>
      </c>
      <c r="S101">
        <v>0.40899999999999997</v>
      </c>
      <c r="T101">
        <v>0.58099999999999996</v>
      </c>
      <c r="U101">
        <v>0.72799999999999998</v>
      </c>
      <c r="V101">
        <v>0.86699999999999999</v>
      </c>
      <c r="W101">
        <v>1.0029999999999999</v>
      </c>
      <c r="X101">
        <v>1.2509999999999999</v>
      </c>
      <c r="Y101">
        <v>1.5029999999999999</v>
      </c>
      <c r="Z101">
        <v>1.77</v>
      </c>
      <c r="AA101">
        <v>1.8380000000000001</v>
      </c>
      <c r="AB101">
        <v>2.1429999999999998</v>
      </c>
      <c r="AC101">
        <v>2.0939999999999999</v>
      </c>
      <c r="AD101">
        <v>2.0449999999999999</v>
      </c>
      <c r="AE101">
        <v>2.3570000000000002</v>
      </c>
      <c r="AF101">
        <v>2.746</v>
      </c>
      <c r="AG101">
        <v>3.1680000000000001</v>
      </c>
      <c r="AH101">
        <v>3.6019999999999999</v>
      </c>
      <c r="AI101">
        <v>4.2480000000000002</v>
      </c>
      <c r="AJ101">
        <v>4.6529999999999996</v>
      </c>
      <c r="AK101">
        <v>6.6180000000000003</v>
      </c>
      <c r="AL101">
        <v>7.2190000000000003</v>
      </c>
      <c r="AM101">
        <v>9.0519999999999996</v>
      </c>
      <c r="AN101">
        <v>9.3829999999999991</v>
      </c>
      <c r="AO101">
        <v>9.0649999999999995</v>
      </c>
      <c r="AP101">
        <v>9.6259999999999994</v>
      </c>
      <c r="AQ101">
        <v>13.141999999999999</v>
      </c>
      <c r="AR101">
        <v>13.273999999999999</v>
      </c>
      <c r="AS101">
        <v>14.583</v>
      </c>
      <c r="AT101">
        <v>15.321</v>
      </c>
      <c r="AU101">
        <v>14.052</v>
      </c>
      <c r="AV101">
        <v>15.250999999999999</v>
      </c>
      <c r="AW101">
        <v>16.117000000000001</v>
      </c>
      <c r="AX101">
        <v>16.437000000000001</v>
      </c>
      <c r="AY101">
        <v>18.632999999999999</v>
      </c>
      <c r="AZ101">
        <v>16.957000000000001</v>
      </c>
      <c r="BA101">
        <v>18.765000000000001</v>
      </c>
      <c r="BB101">
        <v>20.097999999999999</v>
      </c>
      <c r="BC101">
        <v>21.855</v>
      </c>
      <c r="BD101">
        <v>22.728999999999999</v>
      </c>
      <c r="BE101">
        <v>23.931000000000001</v>
      </c>
      <c r="BF101">
        <v>25.021999999999998</v>
      </c>
      <c r="BG101">
        <v>2021</v>
      </c>
      <c r="BH101">
        <v>16.957000000000001</v>
      </c>
      <c r="BI101">
        <v>36.645000000000003</v>
      </c>
      <c r="BJ101">
        <v>33.718000000000004</v>
      </c>
      <c r="BK101">
        <v>2020</v>
      </c>
      <c r="BL101">
        <v>46.273707190612633</v>
      </c>
    </row>
    <row r="102" spans="1:64">
      <c r="A102" t="s">
        <v>316</v>
      </c>
      <c r="B102">
        <v>668</v>
      </c>
      <c r="C102" t="s">
        <v>316</v>
      </c>
      <c r="D102" t="s">
        <v>1659</v>
      </c>
      <c r="E102" t="s">
        <v>103</v>
      </c>
      <c r="F102" t="s">
        <v>1660</v>
      </c>
      <c r="G102" t="s">
        <v>1661</v>
      </c>
      <c r="H102" t="s">
        <v>1662</v>
      </c>
      <c r="I102" t="s">
        <v>883</v>
      </c>
      <c r="J102" t="s">
        <v>1772</v>
      </c>
      <c r="K102" t="s">
        <v>1664</v>
      </c>
      <c r="L102" t="s">
        <v>1664</v>
      </c>
      <c r="M102" t="s">
        <v>1664</v>
      </c>
      <c r="N102" t="s">
        <v>1664</v>
      </c>
      <c r="O102" t="s">
        <v>1664</v>
      </c>
      <c r="P102" t="s">
        <v>1664</v>
      </c>
      <c r="Q102" t="s">
        <v>1664</v>
      </c>
      <c r="R102" t="s">
        <v>1664</v>
      </c>
      <c r="S102" t="s">
        <v>1664</v>
      </c>
      <c r="T102" t="s">
        <v>1664</v>
      </c>
      <c r="U102" t="s">
        <v>1664</v>
      </c>
      <c r="V102" t="s">
        <v>1664</v>
      </c>
      <c r="W102" t="s">
        <v>1664</v>
      </c>
      <c r="X102" t="s">
        <v>1664</v>
      </c>
      <c r="Y102" t="s">
        <v>1664</v>
      </c>
      <c r="Z102" t="s">
        <v>1664</v>
      </c>
      <c r="AA102" t="s">
        <v>1664</v>
      </c>
      <c r="AB102" t="s">
        <v>1664</v>
      </c>
      <c r="AC102" t="s">
        <v>1664</v>
      </c>
      <c r="AD102" t="s">
        <v>1664</v>
      </c>
      <c r="AE102">
        <v>0.13</v>
      </c>
      <c r="AF102">
        <v>0.105</v>
      </c>
      <c r="AG102">
        <v>0.109</v>
      </c>
      <c r="AH102">
        <v>7.2999999999999995E-2</v>
      </c>
      <c r="AI102">
        <v>0.104</v>
      </c>
      <c r="AJ102">
        <v>0.11600000000000001</v>
      </c>
      <c r="AK102">
        <v>0.17299999999999999</v>
      </c>
      <c r="AL102">
        <v>0.26400000000000001</v>
      </c>
      <c r="AM102">
        <v>0.317</v>
      </c>
      <c r="AN102">
        <v>0.39400000000000002</v>
      </c>
      <c r="AO102">
        <v>0.51900000000000002</v>
      </c>
      <c r="AP102">
        <v>0.60099999999999998</v>
      </c>
      <c r="AQ102">
        <v>0.746</v>
      </c>
      <c r="AR102">
        <v>0.874</v>
      </c>
      <c r="AS102">
        <v>0.91600000000000004</v>
      </c>
      <c r="AT102">
        <v>1.006</v>
      </c>
      <c r="AU102">
        <v>1.04</v>
      </c>
      <c r="AV102">
        <v>0.92800000000000005</v>
      </c>
      <c r="AW102">
        <v>0.91300000000000003</v>
      </c>
      <c r="AX102">
        <v>0.84399999999999997</v>
      </c>
      <c r="AY102">
        <v>0.95</v>
      </c>
      <c r="AZ102">
        <v>1.022</v>
      </c>
      <c r="BA102">
        <v>1.0469999999999999</v>
      </c>
      <c r="BB102">
        <v>1.1140000000000001</v>
      </c>
      <c r="BC102">
        <v>1.173</v>
      </c>
      <c r="BD102">
        <v>1.2390000000000001</v>
      </c>
      <c r="BE102">
        <v>1.288</v>
      </c>
      <c r="BF102">
        <v>1.3580000000000001</v>
      </c>
      <c r="BG102">
        <v>2020</v>
      </c>
      <c r="BH102">
        <v>0.95</v>
      </c>
      <c r="BI102">
        <v>3.0369999999999999</v>
      </c>
      <c r="BJ102">
        <v>3.0369999999999999</v>
      </c>
      <c r="BK102" t="s">
        <v>1699</v>
      </c>
      <c r="BL102">
        <v>31.280869278893647</v>
      </c>
    </row>
    <row r="103" spans="1:64">
      <c r="A103" t="s">
        <v>424</v>
      </c>
      <c r="B103">
        <v>672</v>
      </c>
      <c r="C103" t="s">
        <v>424</v>
      </c>
      <c r="D103" t="s">
        <v>1659</v>
      </c>
      <c r="E103" t="s">
        <v>209</v>
      </c>
      <c r="F103" t="s">
        <v>1660</v>
      </c>
      <c r="G103" t="s">
        <v>1661</v>
      </c>
      <c r="H103" t="s">
        <v>1662</v>
      </c>
      <c r="I103" t="s">
        <v>883</v>
      </c>
      <c r="J103" t="s">
        <v>1773</v>
      </c>
      <c r="K103" t="s">
        <v>1664</v>
      </c>
      <c r="L103" t="s">
        <v>1664</v>
      </c>
      <c r="M103" t="s">
        <v>1664</v>
      </c>
      <c r="N103" t="s">
        <v>1664</v>
      </c>
      <c r="O103" t="s">
        <v>1664</v>
      </c>
      <c r="P103" t="s">
        <v>1664</v>
      </c>
      <c r="Q103" t="s">
        <v>1664</v>
      </c>
      <c r="R103" t="s">
        <v>1664</v>
      </c>
      <c r="S103" t="s">
        <v>1664</v>
      </c>
      <c r="T103" t="s">
        <v>1664</v>
      </c>
      <c r="U103">
        <v>2.9849999999999999</v>
      </c>
      <c r="V103">
        <v>3.524</v>
      </c>
      <c r="W103">
        <v>2.6859999999999999</v>
      </c>
      <c r="X103">
        <v>2.4940000000000002</v>
      </c>
      <c r="Y103">
        <v>2.8180000000000001</v>
      </c>
      <c r="Z103">
        <v>3.673</v>
      </c>
      <c r="AA103">
        <v>5.6040000000000001</v>
      </c>
      <c r="AB103">
        <v>4.6349999999999998</v>
      </c>
      <c r="AC103">
        <v>4.4080000000000004</v>
      </c>
      <c r="AD103">
        <v>5.6219999999999999</v>
      </c>
      <c r="AE103">
        <v>8.1750000000000007</v>
      </c>
      <c r="AF103">
        <v>7.891</v>
      </c>
      <c r="AG103">
        <v>12.85</v>
      </c>
      <c r="AH103">
        <v>16.614000000000001</v>
      </c>
      <c r="AI103">
        <v>23.271999999999998</v>
      </c>
      <c r="AJ103">
        <v>37.412999999999997</v>
      </c>
      <c r="AK103">
        <v>45.457000000000001</v>
      </c>
      <c r="AL103">
        <v>53.091000000000001</v>
      </c>
      <c r="AM103">
        <v>72.897000000000006</v>
      </c>
      <c r="AN103">
        <v>41.786000000000001</v>
      </c>
      <c r="AO103">
        <v>61.503999999999998</v>
      </c>
      <c r="AP103">
        <v>16.614000000000001</v>
      </c>
      <c r="AQ103">
        <v>74.713999999999999</v>
      </c>
      <c r="AR103">
        <v>54.773000000000003</v>
      </c>
      <c r="AS103">
        <v>21.542999999999999</v>
      </c>
      <c r="AT103">
        <v>16.843</v>
      </c>
      <c r="AU103">
        <v>8.8450000000000006</v>
      </c>
      <c r="AV103">
        <v>22.338000000000001</v>
      </c>
      <c r="AW103">
        <v>49.143000000000001</v>
      </c>
      <c r="AX103">
        <v>57.365000000000002</v>
      </c>
      <c r="AY103">
        <v>22.818000000000001</v>
      </c>
      <c r="AZ103">
        <v>105.62</v>
      </c>
      <c r="BA103">
        <v>183.44800000000001</v>
      </c>
      <c r="BB103">
        <v>161.34700000000001</v>
      </c>
      <c r="BC103">
        <v>150.54900000000001</v>
      </c>
      <c r="BD103">
        <v>145.471</v>
      </c>
      <c r="BE103">
        <v>143.489</v>
      </c>
      <c r="BF103">
        <v>136.982</v>
      </c>
      <c r="BG103">
        <v>2021</v>
      </c>
      <c r="BH103">
        <v>105.62</v>
      </c>
      <c r="BI103">
        <v>143.59899999999999</v>
      </c>
      <c r="BJ103">
        <v>26.614000000000001</v>
      </c>
      <c r="BK103">
        <v>2020</v>
      </c>
      <c r="BL103">
        <v>73.55204423429133</v>
      </c>
    </row>
    <row r="104" spans="1:64">
      <c r="A104" t="s">
        <v>536</v>
      </c>
      <c r="B104">
        <v>946</v>
      </c>
      <c r="C104" t="s">
        <v>536</v>
      </c>
      <c r="D104" t="s">
        <v>1659</v>
      </c>
      <c r="E104" t="s">
        <v>244</v>
      </c>
      <c r="F104" t="s">
        <v>1660</v>
      </c>
      <c r="G104" t="s">
        <v>1661</v>
      </c>
      <c r="H104" t="s">
        <v>1662</v>
      </c>
      <c r="I104" t="s">
        <v>883</v>
      </c>
      <c r="J104" t="s">
        <v>1774</v>
      </c>
      <c r="K104" t="s">
        <v>1664</v>
      </c>
      <c r="L104" t="s">
        <v>1664</v>
      </c>
      <c r="M104" t="s">
        <v>1664</v>
      </c>
      <c r="N104" t="s">
        <v>1664</v>
      </c>
      <c r="O104" t="s">
        <v>1664</v>
      </c>
      <c r="P104" t="s">
        <v>1664</v>
      </c>
      <c r="Q104" t="s">
        <v>1664</v>
      </c>
      <c r="R104" t="s">
        <v>1664</v>
      </c>
      <c r="S104" t="s">
        <v>1664</v>
      </c>
      <c r="T104" t="s">
        <v>1664</v>
      </c>
      <c r="U104">
        <v>0.315</v>
      </c>
      <c r="V104">
        <v>0.316</v>
      </c>
      <c r="W104">
        <v>0.316</v>
      </c>
      <c r="X104">
        <v>1.012</v>
      </c>
      <c r="Y104">
        <v>1.5509999999999999</v>
      </c>
      <c r="Z104">
        <v>2.2559999999999998</v>
      </c>
      <c r="AA104">
        <v>2.7029999999999998</v>
      </c>
      <c r="AB104">
        <v>3.6219999999999999</v>
      </c>
      <c r="AC104">
        <v>4.0650000000000004</v>
      </c>
      <c r="AD104">
        <v>3.964</v>
      </c>
      <c r="AE104">
        <v>4.2619999999999996</v>
      </c>
      <c r="AF104">
        <v>4.46</v>
      </c>
      <c r="AG104">
        <v>4.7699999999999996</v>
      </c>
      <c r="AH104">
        <v>5.1340000000000003</v>
      </c>
      <c r="AI104">
        <v>5.7750000000000004</v>
      </c>
      <c r="AJ104">
        <v>6.9139999999999997</v>
      </c>
      <c r="AK104">
        <v>8.0150000000000006</v>
      </c>
      <c r="AL104">
        <v>9.7140000000000004</v>
      </c>
      <c r="AM104">
        <v>11.042</v>
      </c>
      <c r="AN104">
        <v>9.2439999999999998</v>
      </c>
      <c r="AO104">
        <v>9.6159999999999997</v>
      </c>
      <c r="AP104">
        <v>10.183</v>
      </c>
      <c r="AQ104">
        <v>10.695</v>
      </c>
      <c r="AR104">
        <v>11.22</v>
      </c>
      <c r="AS104">
        <v>12.2</v>
      </c>
      <c r="AT104">
        <v>12.769</v>
      </c>
      <c r="AU104">
        <v>13.05</v>
      </c>
      <c r="AV104">
        <v>13.89</v>
      </c>
      <c r="AW104">
        <v>15.361000000000001</v>
      </c>
      <c r="AX104">
        <v>16.646999999999998</v>
      </c>
      <c r="AY104">
        <v>17.282</v>
      </c>
      <c r="AZ104">
        <v>20.158000000000001</v>
      </c>
      <c r="BA104">
        <v>23.463000000000001</v>
      </c>
      <c r="BB104">
        <v>23.905999999999999</v>
      </c>
      <c r="BC104">
        <v>24.498999999999999</v>
      </c>
      <c r="BD104">
        <v>25.815999999999999</v>
      </c>
      <c r="BE104">
        <v>26.957999999999998</v>
      </c>
      <c r="BF104">
        <v>28.091000000000001</v>
      </c>
      <c r="BG104">
        <v>2020</v>
      </c>
      <c r="BH104">
        <v>17.282</v>
      </c>
      <c r="BI104">
        <v>49.506999999999998</v>
      </c>
      <c r="BJ104">
        <v>55.326000000000001</v>
      </c>
      <c r="BK104">
        <v>2021</v>
      </c>
      <c r="BL104">
        <v>34.908194800735252</v>
      </c>
    </row>
    <row r="105" spans="1:64">
      <c r="A105" t="s">
        <v>467</v>
      </c>
      <c r="B105">
        <v>137</v>
      </c>
      <c r="C105" t="s">
        <v>467</v>
      </c>
      <c r="D105" t="s">
        <v>1659</v>
      </c>
      <c r="E105" t="s">
        <v>54</v>
      </c>
      <c r="F105" t="s">
        <v>1660</v>
      </c>
      <c r="G105" t="s">
        <v>1661</v>
      </c>
      <c r="H105" t="s">
        <v>1662</v>
      </c>
      <c r="I105" t="s">
        <v>883</v>
      </c>
      <c r="J105" t="s">
        <v>1775</v>
      </c>
      <c r="K105" t="s">
        <v>1664</v>
      </c>
      <c r="L105" t="s">
        <v>1664</v>
      </c>
      <c r="M105" t="s">
        <v>1664</v>
      </c>
      <c r="N105" t="s">
        <v>1664</v>
      </c>
      <c r="O105" t="s">
        <v>1664</v>
      </c>
      <c r="P105" t="s">
        <v>1664</v>
      </c>
      <c r="Q105" t="s">
        <v>1664</v>
      </c>
      <c r="R105" t="s">
        <v>1664</v>
      </c>
      <c r="S105" t="s">
        <v>1664</v>
      </c>
      <c r="T105" t="s">
        <v>1664</v>
      </c>
      <c r="U105" t="s">
        <v>1664</v>
      </c>
      <c r="V105" t="s">
        <v>1664</v>
      </c>
      <c r="W105" t="s">
        <v>1664</v>
      </c>
      <c r="X105" t="s">
        <v>1664</v>
      </c>
      <c r="Y105" t="s">
        <v>1664</v>
      </c>
      <c r="Z105">
        <v>6.7130000000000001</v>
      </c>
      <c r="AA105">
        <v>7.0519999999999996</v>
      </c>
      <c r="AB105">
        <v>7.64</v>
      </c>
      <c r="AC105">
        <v>8.1180000000000003</v>
      </c>
      <c r="AD105">
        <v>8.8930000000000007</v>
      </c>
      <c r="AE105">
        <v>10.005000000000001</v>
      </c>
      <c r="AF105">
        <v>10.45</v>
      </c>
      <c r="AG105">
        <v>10.952999999999999</v>
      </c>
      <c r="AH105">
        <v>11.438000000000001</v>
      </c>
      <c r="AI105">
        <v>11.919</v>
      </c>
      <c r="AJ105">
        <v>13.092000000000001</v>
      </c>
      <c r="AK105">
        <v>14.116</v>
      </c>
      <c r="AL105">
        <v>15.714</v>
      </c>
      <c r="AM105">
        <v>16.521999999999998</v>
      </c>
      <c r="AN105">
        <v>16.59</v>
      </c>
      <c r="AO105">
        <v>17.681000000000001</v>
      </c>
      <c r="AP105">
        <v>18.684000000000001</v>
      </c>
      <c r="AQ105">
        <v>19.689</v>
      </c>
      <c r="AR105">
        <v>20.658999999999999</v>
      </c>
      <c r="AS105">
        <v>21.722999999999999</v>
      </c>
      <c r="AT105">
        <v>22.561</v>
      </c>
      <c r="AU105">
        <v>23.571000000000002</v>
      </c>
      <c r="AV105">
        <v>24.762</v>
      </c>
      <c r="AW105">
        <v>27.244</v>
      </c>
      <c r="AX105">
        <v>28.381</v>
      </c>
      <c r="AY105">
        <v>28.202999999999999</v>
      </c>
      <c r="AZ105">
        <v>31.611000000000001</v>
      </c>
      <c r="BA105">
        <v>33.308</v>
      </c>
      <c r="BB105">
        <v>35.164000000000001</v>
      </c>
      <c r="BC105">
        <v>36.863</v>
      </c>
      <c r="BD105">
        <v>38.682000000000002</v>
      </c>
      <c r="BE105">
        <v>40.534999999999997</v>
      </c>
      <c r="BF105">
        <v>42.491</v>
      </c>
      <c r="BG105">
        <v>2020</v>
      </c>
      <c r="BH105">
        <v>28.202999999999999</v>
      </c>
      <c r="BI105">
        <v>64.221000000000004</v>
      </c>
      <c r="BJ105">
        <v>64.221000000000004</v>
      </c>
      <c r="BK105">
        <v>2020</v>
      </c>
      <c r="BL105">
        <v>43.915541645256226</v>
      </c>
    </row>
    <row r="106" spans="1:64">
      <c r="A106" t="s">
        <v>537</v>
      </c>
      <c r="B106">
        <v>546</v>
      </c>
      <c r="C106" t="s">
        <v>537</v>
      </c>
      <c r="D106" t="s">
        <v>1659</v>
      </c>
      <c r="E106" t="s">
        <v>1776</v>
      </c>
      <c r="F106" t="s">
        <v>1660</v>
      </c>
      <c r="G106" t="s">
        <v>1661</v>
      </c>
      <c r="H106" t="s">
        <v>1662</v>
      </c>
      <c r="I106" t="s">
        <v>883</v>
      </c>
      <c r="J106" t="s">
        <v>1777</v>
      </c>
      <c r="K106" t="s">
        <v>1664</v>
      </c>
      <c r="L106" t="s">
        <v>1664</v>
      </c>
      <c r="M106" t="s">
        <v>1664</v>
      </c>
      <c r="N106" t="s">
        <v>1664</v>
      </c>
      <c r="O106" t="s">
        <v>1664</v>
      </c>
      <c r="P106" t="s">
        <v>1664</v>
      </c>
      <c r="Q106" t="s">
        <v>1664</v>
      </c>
      <c r="R106" t="s">
        <v>1664</v>
      </c>
      <c r="S106" t="s">
        <v>1664</v>
      </c>
      <c r="T106" t="s">
        <v>1664</v>
      </c>
      <c r="U106" t="s">
        <v>1664</v>
      </c>
      <c r="V106" t="s">
        <v>1664</v>
      </c>
      <c r="W106" t="s">
        <v>1664</v>
      </c>
      <c r="X106" t="s">
        <v>1664</v>
      </c>
      <c r="Y106" t="s">
        <v>1664</v>
      </c>
      <c r="Z106" t="s">
        <v>1664</v>
      </c>
      <c r="AA106">
        <v>9.1340000000000003</v>
      </c>
      <c r="AB106">
        <v>10.664999999999999</v>
      </c>
      <c r="AC106">
        <v>9.6920000000000002</v>
      </c>
      <c r="AD106">
        <v>10.656000000000001</v>
      </c>
      <c r="AE106">
        <v>9.7639999999999993</v>
      </c>
      <c r="AF106">
        <v>11.11</v>
      </c>
      <c r="AG106">
        <v>11.895</v>
      </c>
      <c r="AH106">
        <v>15.289</v>
      </c>
      <c r="AI106">
        <v>20.248999999999999</v>
      </c>
      <c r="AJ106">
        <v>23.817</v>
      </c>
      <c r="AK106">
        <v>29.074999999999999</v>
      </c>
      <c r="AL106">
        <v>42.93</v>
      </c>
      <c r="AM106">
        <v>55.930999999999997</v>
      </c>
      <c r="AN106">
        <v>56.673000000000002</v>
      </c>
      <c r="AO106">
        <v>82.563999999999993</v>
      </c>
      <c r="AP106">
        <v>117.742</v>
      </c>
      <c r="AQ106">
        <v>135.17599999999999</v>
      </c>
      <c r="AR106">
        <v>157.53299999999999</v>
      </c>
      <c r="AS106">
        <v>163.392</v>
      </c>
      <c r="AT106">
        <v>114.218</v>
      </c>
      <c r="AU106">
        <v>108.94799999999999</v>
      </c>
      <c r="AV106">
        <v>129.083</v>
      </c>
      <c r="AW106">
        <v>139.815</v>
      </c>
      <c r="AX106">
        <v>146.227</v>
      </c>
      <c r="AY106">
        <v>56.511000000000003</v>
      </c>
      <c r="AZ106">
        <v>71.141999999999996</v>
      </c>
      <c r="BA106">
        <v>74.241</v>
      </c>
      <c r="BB106">
        <v>115.687</v>
      </c>
      <c r="BC106">
        <v>143.935</v>
      </c>
      <c r="BD106">
        <v>159.53</v>
      </c>
      <c r="BE106">
        <v>168.977</v>
      </c>
      <c r="BF106">
        <v>192.797</v>
      </c>
      <c r="BG106">
        <v>2020</v>
      </c>
      <c r="BH106">
        <v>56.511000000000003</v>
      </c>
      <c r="BI106">
        <v>204.40899999999999</v>
      </c>
      <c r="BJ106">
        <v>239.40600000000001</v>
      </c>
      <c r="BK106">
        <v>2021</v>
      </c>
      <c r="BL106">
        <v>27.646042982451853</v>
      </c>
    </row>
    <row r="107" spans="1:64">
      <c r="A107" t="s">
        <v>310</v>
      </c>
      <c r="B107">
        <v>674</v>
      </c>
      <c r="C107" t="s">
        <v>310</v>
      </c>
      <c r="D107" t="s">
        <v>1659</v>
      </c>
      <c r="E107" t="s">
        <v>97</v>
      </c>
      <c r="F107" t="s">
        <v>1660</v>
      </c>
      <c r="G107" t="s">
        <v>1661</v>
      </c>
      <c r="H107" t="s">
        <v>1662</v>
      </c>
      <c r="I107" t="s">
        <v>883</v>
      </c>
      <c r="J107" t="s">
        <v>1778</v>
      </c>
      <c r="K107">
        <v>25.78</v>
      </c>
      <c r="L107">
        <v>21.22</v>
      </c>
      <c r="M107">
        <v>24.48</v>
      </c>
      <c r="N107">
        <v>29.84</v>
      </c>
      <c r="O107">
        <v>35.36</v>
      </c>
      <c r="P107">
        <v>47.66</v>
      </c>
      <c r="Q107">
        <v>51.92</v>
      </c>
      <c r="R107">
        <v>56.8</v>
      </c>
      <c r="S107">
        <v>97.46</v>
      </c>
      <c r="T107">
        <v>123.52</v>
      </c>
      <c r="U107">
        <v>150.97999999999999</v>
      </c>
      <c r="V107">
        <v>108.54</v>
      </c>
      <c r="W107">
        <v>154.88</v>
      </c>
      <c r="X107">
        <v>167</v>
      </c>
      <c r="Y107">
        <v>204.48</v>
      </c>
      <c r="Z107">
        <v>308.17</v>
      </c>
      <c r="AA107">
        <v>417.62</v>
      </c>
      <c r="AB107">
        <v>540.64599999999996</v>
      </c>
      <c r="AC107">
        <v>556.91999999999996</v>
      </c>
      <c r="AD107">
        <v>701.98</v>
      </c>
      <c r="AE107">
        <v>814.178</v>
      </c>
      <c r="AF107">
        <v>838.12099999999998</v>
      </c>
      <c r="AG107">
        <v>610.63</v>
      </c>
      <c r="AH107">
        <v>1044.96</v>
      </c>
      <c r="AI107">
        <v>1653.45</v>
      </c>
      <c r="AJ107">
        <v>1863.54</v>
      </c>
      <c r="AK107">
        <v>1748.71</v>
      </c>
      <c r="AL107">
        <v>2201.06</v>
      </c>
      <c r="AM107">
        <v>2562.94</v>
      </c>
      <c r="AN107">
        <v>1927.74</v>
      </c>
      <c r="AO107">
        <v>2403.4899999999998</v>
      </c>
      <c r="AP107">
        <v>2338.89</v>
      </c>
      <c r="AQ107">
        <v>2358.16</v>
      </c>
      <c r="AR107">
        <v>2549.61</v>
      </c>
      <c r="AS107">
        <v>3203.71</v>
      </c>
      <c r="AT107">
        <v>3381.04</v>
      </c>
      <c r="AU107">
        <v>4681.49</v>
      </c>
      <c r="AV107">
        <v>5271.75</v>
      </c>
      <c r="AW107">
        <v>5971.29</v>
      </c>
      <c r="AX107">
        <v>7114.69</v>
      </c>
      <c r="AY107">
        <v>6129.15</v>
      </c>
      <c r="AZ107">
        <v>6760.98</v>
      </c>
      <c r="BA107">
        <v>8923.7800000000007</v>
      </c>
      <c r="BB107">
        <v>10411.76</v>
      </c>
      <c r="BC107">
        <v>11286.81</v>
      </c>
      <c r="BD107">
        <v>12448.78</v>
      </c>
      <c r="BE107">
        <v>14028.42</v>
      </c>
      <c r="BF107">
        <v>15860.07</v>
      </c>
      <c r="BG107">
        <v>2020</v>
      </c>
      <c r="BH107">
        <v>6129.15</v>
      </c>
      <c r="BI107">
        <v>49453.22</v>
      </c>
      <c r="BJ107">
        <v>45886.3</v>
      </c>
      <c r="BK107">
        <v>2018</v>
      </c>
      <c r="BL107">
        <v>12.39383401121302</v>
      </c>
    </row>
    <row r="108" spans="1:64">
      <c r="A108" t="s">
        <v>317</v>
      </c>
      <c r="B108">
        <v>676</v>
      </c>
      <c r="C108" t="s">
        <v>317</v>
      </c>
      <c r="D108" t="s">
        <v>1659</v>
      </c>
      <c r="E108" t="s">
        <v>104</v>
      </c>
      <c r="F108" t="s">
        <v>1660</v>
      </c>
      <c r="G108" t="s">
        <v>1661</v>
      </c>
      <c r="H108" t="s">
        <v>1662</v>
      </c>
      <c r="I108" t="s">
        <v>883</v>
      </c>
      <c r="J108" t="s">
        <v>1779</v>
      </c>
      <c r="K108" t="s">
        <v>1664</v>
      </c>
      <c r="L108" t="s">
        <v>1664</v>
      </c>
      <c r="M108" t="s">
        <v>1664</v>
      </c>
      <c r="N108" t="s">
        <v>1664</v>
      </c>
      <c r="O108" t="s">
        <v>1664</v>
      </c>
      <c r="P108" t="s">
        <v>1664</v>
      </c>
      <c r="Q108" t="s">
        <v>1664</v>
      </c>
      <c r="R108" t="s">
        <v>1664</v>
      </c>
      <c r="S108" t="s">
        <v>1664</v>
      </c>
      <c r="T108" t="s">
        <v>1664</v>
      </c>
      <c r="U108" t="s">
        <v>1664</v>
      </c>
      <c r="V108" t="s">
        <v>1664</v>
      </c>
      <c r="W108" t="s">
        <v>1664</v>
      </c>
      <c r="X108" t="s">
        <v>1664</v>
      </c>
      <c r="Y108" t="s">
        <v>1664</v>
      </c>
      <c r="Z108" t="s">
        <v>1664</v>
      </c>
      <c r="AA108" t="s">
        <v>1664</v>
      </c>
      <c r="AB108" t="s">
        <v>1664</v>
      </c>
      <c r="AC108" t="s">
        <v>1664</v>
      </c>
      <c r="AD108" t="s">
        <v>1664</v>
      </c>
      <c r="AE108" t="s">
        <v>1664</v>
      </c>
      <c r="AF108" t="s">
        <v>1664</v>
      </c>
      <c r="AG108">
        <v>35.380000000000003</v>
      </c>
      <c r="AH108">
        <v>56.317</v>
      </c>
      <c r="AI108">
        <v>77.597999999999999</v>
      </c>
      <c r="AJ108">
        <v>96.35</v>
      </c>
      <c r="AK108">
        <v>136.148</v>
      </c>
      <c r="AL108">
        <v>158.70599999999999</v>
      </c>
      <c r="AM108">
        <v>186.52500000000001</v>
      </c>
      <c r="AN108">
        <v>211.76</v>
      </c>
      <c r="AO108">
        <v>298.29000000000002</v>
      </c>
      <c r="AP108">
        <v>249.53899999999999</v>
      </c>
      <c r="AQ108">
        <v>366.084</v>
      </c>
      <c r="AR108">
        <v>480.93700000000001</v>
      </c>
      <c r="AS108">
        <v>549.65899999999999</v>
      </c>
      <c r="AT108">
        <v>691.37400000000002</v>
      </c>
      <c r="AU108">
        <v>824.13599999999997</v>
      </c>
      <c r="AV108">
        <v>1034.7</v>
      </c>
      <c r="AW108">
        <v>1087.98</v>
      </c>
      <c r="AX108">
        <v>1213.6600000000001</v>
      </c>
      <c r="AY108">
        <v>1282.32</v>
      </c>
      <c r="AZ108">
        <v>1438.91</v>
      </c>
      <c r="BA108">
        <v>1626.56</v>
      </c>
      <c r="BB108">
        <v>1887.79</v>
      </c>
      <c r="BC108">
        <v>2205.98</v>
      </c>
      <c r="BD108">
        <v>2479.5700000000002</v>
      </c>
      <c r="BE108">
        <v>2760.56</v>
      </c>
      <c r="BF108">
        <v>3066.05</v>
      </c>
      <c r="BG108">
        <v>2021</v>
      </c>
      <c r="BH108">
        <v>1438.91</v>
      </c>
      <c r="BI108">
        <v>9736.44</v>
      </c>
      <c r="BJ108">
        <v>8815.34</v>
      </c>
      <c r="BK108">
        <v>2020</v>
      </c>
      <c r="BL108">
        <v>14.778604911035245</v>
      </c>
    </row>
    <row r="109" spans="1:64">
      <c r="A109" t="s">
        <v>437</v>
      </c>
      <c r="B109">
        <v>548</v>
      </c>
      <c r="C109" t="s">
        <v>437</v>
      </c>
      <c r="D109" t="s">
        <v>1659</v>
      </c>
      <c r="E109" t="s">
        <v>222</v>
      </c>
      <c r="F109" t="s">
        <v>1660</v>
      </c>
      <c r="G109" t="s">
        <v>1661</v>
      </c>
      <c r="H109" t="s">
        <v>1662</v>
      </c>
      <c r="I109" t="s">
        <v>883</v>
      </c>
      <c r="J109" t="s">
        <v>1780</v>
      </c>
      <c r="K109" t="s">
        <v>1664</v>
      </c>
      <c r="L109" t="s">
        <v>1664</v>
      </c>
      <c r="M109" t="s">
        <v>1664</v>
      </c>
      <c r="N109" t="s">
        <v>1664</v>
      </c>
      <c r="O109" t="s">
        <v>1664</v>
      </c>
      <c r="P109" t="s">
        <v>1664</v>
      </c>
      <c r="Q109" t="s">
        <v>1664</v>
      </c>
      <c r="R109" t="s">
        <v>1664</v>
      </c>
      <c r="S109" t="s">
        <v>1664</v>
      </c>
      <c r="T109" t="s">
        <v>1664</v>
      </c>
      <c r="U109">
        <v>39.191000000000003</v>
      </c>
      <c r="V109">
        <v>42.670999999999999</v>
      </c>
      <c r="W109">
        <v>49.258000000000003</v>
      </c>
      <c r="X109">
        <v>52.612000000000002</v>
      </c>
      <c r="Y109">
        <v>61.136000000000003</v>
      </c>
      <c r="Z109">
        <v>62.271999999999998</v>
      </c>
      <c r="AA109">
        <v>70.912000000000006</v>
      </c>
      <c r="AB109">
        <v>79.783000000000001</v>
      </c>
      <c r="AC109">
        <v>69.367999999999995</v>
      </c>
      <c r="AD109">
        <v>70.885999999999996</v>
      </c>
      <c r="AE109">
        <v>76.001999999999995</v>
      </c>
      <c r="AF109">
        <v>91.634</v>
      </c>
      <c r="AG109">
        <v>96.763999999999996</v>
      </c>
      <c r="AH109">
        <v>107.05500000000001</v>
      </c>
      <c r="AI109">
        <v>116.328</v>
      </c>
      <c r="AJ109">
        <v>123.581</v>
      </c>
      <c r="AK109">
        <v>143.6</v>
      </c>
      <c r="AL109">
        <v>162.50399999999999</v>
      </c>
      <c r="AM109">
        <v>189.64599999999999</v>
      </c>
      <c r="AN109">
        <v>186.74</v>
      </c>
      <c r="AO109">
        <v>185.661</v>
      </c>
      <c r="AP109">
        <v>217.488</v>
      </c>
      <c r="AQ109">
        <v>250.22800000000001</v>
      </c>
      <c r="AR109">
        <v>251.059</v>
      </c>
      <c r="AS109">
        <v>261.78300000000002</v>
      </c>
      <c r="AT109">
        <v>260.83699999999999</v>
      </c>
      <c r="AU109">
        <v>253.124</v>
      </c>
      <c r="AV109">
        <v>269.40100000000001</v>
      </c>
      <c r="AW109">
        <v>291.8</v>
      </c>
      <c r="AX109">
        <v>326.25</v>
      </c>
      <c r="AY109">
        <v>292.428</v>
      </c>
      <c r="AZ109">
        <v>282.86</v>
      </c>
      <c r="BA109">
        <v>294.34699999999998</v>
      </c>
      <c r="BB109">
        <v>310.70299999999997</v>
      </c>
      <c r="BC109">
        <v>332.43400000000003</v>
      </c>
      <c r="BD109">
        <v>354.14100000000002</v>
      </c>
      <c r="BE109">
        <v>376.29700000000003</v>
      </c>
      <c r="BF109">
        <v>401.09199999999998</v>
      </c>
      <c r="BG109">
        <v>2020</v>
      </c>
      <c r="BH109">
        <v>292.428</v>
      </c>
      <c r="BI109">
        <v>1416.61</v>
      </c>
      <c r="BJ109">
        <v>1544.21</v>
      </c>
      <c r="BK109">
        <v>2021</v>
      </c>
      <c r="BL109">
        <v>20.642802182675542</v>
      </c>
    </row>
    <row r="110" spans="1:64">
      <c r="A110" t="s">
        <v>423</v>
      </c>
      <c r="B110">
        <v>556</v>
      </c>
      <c r="C110" t="s">
        <v>423</v>
      </c>
      <c r="D110" t="s">
        <v>1659</v>
      </c>
      <c r="E110" t="s">
        <v>208</v>
      </c>
      <c r="F110" t="s">
        <v>1660</v>
      </c>
      <c r="G110" t="s">
        <v>1661</v>
      </c>
      <c r="H110" t="s">
        <v>1662</v>
      </c>
      <c r="I110" t="s">
        <v>883</v>
      </c>
      <c r="J110" t="s">
        <v>1781</v>
      </c>
      <c r="K110" t="s">
        <v>1664</v>
      </c>
      <c r="L110" t="s">
        <v>1664</v>
      </c>
      <c r="M110" t="s">
        <v>1664</v>
      </c>
      <c r="N110" t="s">
        <v>1664</v>
      </c>
      <c r="O110" t="s">
        <v>1664</v>
      </c>
      <c r="P110" t="s">
        <v>1664</v>
      </c>
      <c r="Q110" t="s">
        <v>1664</v>
      </c>
      <c r="R110" t="s">
        <v>1664</v>
      </c>
      <c r="S110" t="s">
        <v>1664</v>
      </c>
      <c r="T110" t="s">
        <v>1664</v>
      </c>
      <c r="U110">
        <v>0.45400000000000001</v>
      </c>
      <c r="V110">
        <v>0.73899999999999999</v>
      </c>
      <c r="W110">
        <v>0.75900000000000001</v>
      </c>
      <c r="X110">
        <v>0.79100000000000004</v>
      </c>
      <c r="Y110">
        <v>1.1439999999999999</v>
      </c>
      <c r="Z110">
        <v>1.407</v>
      </c>
      <c r="AA110">
        <v>1.5680000000000001</v>
      </c>
      <c r="AB110">
        <v>1.825</v>
      </c>
      <c r="AC110">
        <v>1.93</v>
      </c>
      <c r="AD110">
        <v>2.2250000000000001</v>
      </c>
      <c r="AE110">
        <v>2.3730000000000002</v>
      </c>
      <c r="AF110">
        <v>2.5230000000000001</v>
      </c>
      <c r="AG110">
        <v>2.7149999999999999</v>
      </c>
      <c r="AH110">
        <v>3.0880000000000001</v>
      </c>
      <c r="AI110">
        <v>3.4249999999999998</v>
      </c>
      <c r="AJ110">
        <v>4.6130000000000004</v>
      </c>
      <c r="AK110">
        <v>6.1539999999999999</v>
      </c>
      <c r="AL110">
        <v>7.57</v>
      </c>
      <c r="AM110">
        <v>7.4569999999999999</v>
      </c>
      <c r="AN110">
        <v>5.7350000000000003</v>
      </c>
      <c r="AO110">
        <v>6.54</v>
      </c>
      <c r="AP110">
        <v>9.9049999999999994</v>
      </c>
      <c r="AQ110">
        <v>10.138</v>
      </c>
      <c r="AR110">
        <v>11.901</v>
      </c>
      <c r="AS110">
        <v>15.164</v>
      </c>
      <c r="AT110">
        <v>17.306000000000001</v>
      </c>
      <c r="AU110">
        <v>18.577999999999999</v>
      </c>
      <c r="AV110">
        <v>20.259</v>
      </c>
      <c r="AW110">
        <v>22.222999999999999</v>
      </c>
      <c r="AX110">
        <v>23.231999999999999</v>
      </c>
      <c r="AY110">
        <v>15.222</v>
      </c>
      <c r="AZ110">
        <v>21.228999999999999</v>
      </c>
      <c r="BA110">
        <v>23.391999999999999</v>
      </c>
      <c r="BB110">
        <v>26.155000000000001</v>
      </c>
      <c r="BC110">
        <v>28.036999999999999</v>
      </c>
      <c r="BD110">
        <v>29.702999999999999</v>
      </c>
      <c r="BE110">
        <v>32.067999999999998</v>
      </c>
      <c r="BF110">
        <v>34.567</v>
      </c>
      <c r="BG110">
        <v>2020</v>
      </c>
      <c r="BH110">
        <v>15.222</v>
      </c>
      <c r="BI110">
        <v>57.569000000000003</v>
      </c>
      <c r="BJ110">
        <v>57.569000000000003</v>
      </c>
      <c r="BK110">
        <v>2020</v>
      </c>
      <c r="BL110">
        <v>26.441313901578972</v>
      </c>
    </row>
    <row r="111" spans="1:64">
      <c r="A111" t="s">
        <v>326</v>
      </c>
      <c r="B111">
        <v>678</v>
      </c>
      <c r="C111" t="s">
        <v>326</v>
      </c>
      <c r="D111" t="s">
        <v>1659</v>
      </c>
      <c r="E111" t="s">
        <v>113</v>
      </c>
      <c r="F111" t="s">
        <v>1660</v>
      </c>
      <c r="G111" t="s">
        <v>1661</v>
      </c>
      <c r="H111" t="s">
        <v>1662</v>
      </c>
      <c r="I111" t="s">
        <v>883</v>
      </c>
      <c r="J111" t="s">
        <v>1782</v>
      </c>
      <c r="K111" t="s">
        <v>1664</v>
      </c>
      <c r="L111" t="s">
        <v>1664</v>
      </c>
      <c r="M111" t="s">
        <v>1664</v>
      </c>
      <c r="N111" t="s">
        <v>1664</v>
      </c>
      <c r="O111" t="s">
        <v>1664</v>
      </c>
      <c r="P111" t="s">
        <v>1664</v>
      </c>
      <c r="Q111" t="s">
        <v>1664</v>
      </c>
      <c r="R111" t="s">
        <v>1664</v>
      </c>
      <c r="S111" t="s">
        <v>1664</v>
      </c>
      <c r="T111" t="s">
        <v>1664</v>
      </c>
      <c r="U111" t="s">
        <v>1664</v>
      </c>
      <c r="V111" t="s">
        <v>1664</v>
      </c>
      <c r="W111" t="s">
        <v>1664</v>
      </c>
      <c r="X111" t="s">
        <v>1664</v>
      </c>
      <c r="Y111" t="s">
        <v>1664</v>
      </c>
      <c r="Z111" t="s">
        <v>1664</v>
      </c>
      <c r="AA111" t="s">
        <v>1664</v>
      </c>
      <c r="AB111" t="s">
        <v>1664</v>
      </c>
      <c r="AC111" t="s">
        <v>1664</v>
      </c>
      <c r="AD111" t="s">
        <v>1664</v>
      </c>
      <c r="AE111">
        <v>352.28199999999998</v>
      </c>
      <c r="AF111">
        <v>394.851</v>
      </c>
      <c r="AG111">
        <v>456.69200000000001</v>
      </c>
      <c r="AH111">
        <v>536.52800000000002</v>
      </c>
      <c r="AI111">
        <v>557.96</v>
      </c>
      <c r="AJ111">
        <v>621.60500000000002</v>
      </c>
      <c r="AK111">
        <v>1798.67</v>
      </c>
      <c r="AL111">
        <v>730.25400000000002</v>
      </c>
      <c r="AM111">
        <v>741.5</v>
      </c>
      <c r="AN111">
        <v>918.93600000000004</v>
      </c>
      <c r="AO111">
        <v>935.80700000000002</v>
      </c>
      <c r="AP111">
        <v>1049.94</v>
      </c>
      <c r="AQ111">
        <v>925.84299999999996</v>
      </c>
      <c r="AR111">
        <v>1137.22</v>
      </c>
      <c r="AS111">
        <v>1215.1199999999999</v>
      </c>
      <c r="AT111">
        <v>1481.12</v>
      </c>
      <c r="AU111">
        <v>1522.19</v>
      </c>
      <c r="AV111">
        <v>1789.71</v>
      </c>
      <c r="AW111">
        <v>1475.9</v>
      </c>
      <c r="AX111">
        <v>2173.3000000000002</v>
      </c>
      <c r="AY111">
        <v>2083.4</v>
      </c>
      <c r="AZ111">
        <v>2359.7800000000002</v>
      </c>
      <c r="BA111">
        <v>2299.91</v>
      </c>
      <c r="BB111">
        <v>2734.59</v>
      </c>
      <c r="BC111">
        <v>2958.57</v>
      </c>
      <c r="BD111">
        <v>3182.36</v>
      </c>
      <c r="BE111">
        <v>3422.47</v>
      </c>
      <c r="BF111">
        <v>3679.22</v>
      </c>
      <c r="BG111">
        <v>2019</v>
      </c>
      <c r="BH111">
        <v>2173.3000000000002</v>
      </c>
      <c r="BI111">
        <v>10124.719999999999</v>
      </c>
      <c r="BJ111">
        <v>10124.719999999999</v>
      </c>
      <c r="BK111">
        <v>2019</v>
      </c>
      <c r="BL111">
        <v>21.465284965905234</v>
      </c>
    </row>
    <row r="112" spans="1:64">
      <c r="A112" t="s">
        <v>540</v>
      </c>
      <c r="B112">
        <v>181</v>
      </c>
      <c r="C112" t="s">
        <v>540</v>
      </c>
      <c r="D112" t="s">
        <v>1659</v>
      </c>
      <c r="E112" t="s">
        <v>252</v>
      </c>
      <c r="F112" t="s">
        <v>1660</v>
      </c>
      <c r="G112" t="s">
        <v>1661</v>
      </c>
      <c r="H112" t="s">
        <v>1662</v>
      </c>
      <c r="I112" t="s">
        <v>883</v>
      </c>
      <c r="J112" t="s">
        <v>1783</v>
      </c>
      <c r="K112" t="s">
        <v>1664</v>
      </c>
      <c r="L112" t="s">
        <v>1664</v>
      </c>
      <c r="M112" t="s">
        <v>1664</v>
      </c>
      <c r="N112" t="s">
        <v>1664</v>
      </c>
      <c r="O112" t="s">
        <v>1664</v>
      </c>
      <c r="P112" t="s">
        <v>1664</v>
      </c>
      <c r="Q112" t="s">
        <v>1664</v>
      </c>
      <c r="R112" t="s">
        <v>1664</v>
      </c>
      <c r="S112" t="s">
        <v>1664</v>
      </c>
      <c r="T112" t="s">
        <v>1664</v>
      </c>
      <c r="U112" t="s">
        <v>1664</v>
      </c>
      <c r="V112" t="s">
        <v>1664</v>
      </c>
      <c r="W112" t="s">
        <v>1664</v>
      </c>
      <c r="X112" t="s">
        <v>1664</v>
      </c>
      <c r="Y112" t="s">
        <v>1664</v>
      </c>
      <c r="Z112" t="s">
        <v>1664</v>
      </c>
      <c r="AA112" t="s">
        <v>1664</v>
      </c>
      <c r="AB112" t="s">
        <v>1664</v>
      </c>
      <c r="AC112" t="s">
        <v>1664</v>
      </c>
      <c r="AD112" t="s">
        <v>1664</v>
      </c>
      <c r="AE112">
        <v>1.5269999999999999</v>
      </c>
      <c r="AF112">
        <v>1.617</v>
      </c>
      <c r="AG112">
        <v>1.7070000000000001</v>
      </c>
      <c r="AH112">
        <v>1.7310000000000001</v>
      </c>
      <c r="AI112">
        <v>1.8420000000000001</v>
      </c>
      <c r="AJ112">
        <v>2.0369999999999999</v>
      </c>
      <c r="AK112">
        <v>2.1440000000000001</v>
      </c>
      <c r="AL112">
        <v>2.2450000000000001</v>
      </c>
      <c r="AM112">
        <v>2.3570000000000002</v>
      </c>
      <c r="AN112">
        <v>2.3719999999999999</v>
      </c>
      <c r="AO112">
        <v>2.552</v>
      </c>
      <c r="AP112">
        <v>2.6549999999999998</v>
      </c>
      <c r="AQ112">
        <v>2.8119999999999998</v>
      </c>
      <c r="AR112">
        <v>3.0209999999999999</v>
      </c>
      <c r="AS112">
        <v>3.3460000000000001</v>
      </c>
      <c r="AT112">
        <v>3.7149999999999999</v>
      </c>
      <c r="AU112">
        <v>3.9</v>
      </c>
      <c r="AV112">
        <v>4.4450000000000003</v>
      </c>
      <c r="AW112">
        <v>4.8209999999999997</v>
      </c>
      <c r="AX112">
        <v>5.0540000000000003</v>
      </c>
      <c r="AY112">
        <v>4.6749999999999998</v>
      </c>
      <c r="AZ112">
        <v>5.2720000000000002</v>
      </c>
      <c r="BA112">
        <v>5.6360000000000001</v>
      </c>
      <c r="BB112">
        <v>5.9669999999999996</v>
      </c>
      <c r="BC112">
        <v>6.2910000000000004</v>
      </c>
      <c r="BD112">
        <v>6.6029999999999998</v>
      </c>
      <c r="BE112">
        <v>6.9569999999999999</v>
      </c>
      <c r="BF112">
        <v>7.3419999999999996</v>
      </c>
      <c r="BG112">
        <v>2020</v>
      </c>
      <c r="BH112">
        <v>4.6749999999999998</v>
      </c>
      <c r="BI112">
        <v>13.06</v>
      </c>
      <c r="BJ112">
        <v>14.534000000000001</v>
      </c>
      <c r="BK112">
        <v>2021</v>
      </c>
      <c r="BL112">
        <v>35.796324655436443</v>
      </c>
    </row>
    <row r="113" spans="1:64">
      <c r="A113" t="s">
        <v>401</v>
      </c>
      <c r="B113">
        <v>867</v>
      </c>
      <c r="C113" t="s">
        <v>401</v>
      </c>
      <c r="D113" t="s">
        <v>1659</v>
      </c>
      <c r="E113" t="s">
        <v>186</v>
      </c>
      <c r="F113" t="s">
        <v>1660</v>
      </c>
      <c r="G113" t="s">
        <v>1661</v>
      </c>
      <c r="H113" t="s">
        <v>1662</v>
      </c>
      <c r="I113" t="s">
        <v>883</v>
      </c>
      <c r="J113" t="s">
        <v>1784</v>
      </c>
      <c r="K113" t="s">
        <v>1664</v>
      </c>
      <c r="L113" t="s">
        <v>1664</v>
      </c>
      <c r="M113" t="s">
        <v>1664</v>
      </c>
      <c r="N113" t="s">
        <v>1664</v>
      </c>
      <c r="O113" t="s">
        <v>1664</v>
      </c>
      <c r="P113" t="s">
        <v>1664</v>
      </c>
      <c r="Q113" t="s">
        <v>1664</v>
      </c>
      <c r="R113" t="s">
        <v>1664</v>
      </c>
      <c r="S113" t="s">
        <v>1664</v>
      </c>
      <c r="T113" t="s">
        <v>1664</v>
      </c>
      <c r="U113" t="s">
        <v>1664</v>
      </c>
      <c r="V113" t="s">
        <v>1664</v>
      </c>
      <c r="W113" t="s">
        <v>1664</v>
      </c>
      <c r="X113" t="s">
        <v>1664</v>
      </c>
      <c r="Y113" t="s">
        <v>1664</v>
      </c>
      <c r="Z113">
        <v>7.8E-2</v>
      </c>
      <c r="AA113">
        <v>7.8E-2</v>
      </c>
      <c r="AB113">
        <v>6.9000000000000006E-2</v>
      </c>
      <c r="AC113">
        <v>7.1999999999999995E-2</v>
      </c>
      <c r="AD113">
        <v>6.5000000000000002E-2</v>
      </c>
      <c r="AE113">
        <v>7.3999999999999996E-2</v>
      </c>
      <c r="AF113">
        <v>8.2000000000000003E-2</v>
      </c>
      <c r="AG113">
        <v>0.08</v>
      </c>
      <c r="AH113">
        <v>8.3000000000000004E-2</v>
      </c>
      <c r="AI113">
        <v>7.0000000000000007E-2</v>
      </c>
      <c r="AJ113">
        <v>8.6999999999999994E-2</v>
      </c>
      <c r="AK113">
        <v>8.7999999999999995E-2</v>
      </c>
      <c r="AL113">
        <v>0.10199999999999999</v>
      </c>
      <c r="AM113">
        <v>0.1</v>
      </c>
      <c r="AN113">
        <v>9.8000000000000004E-2</v>
      </c>
      <c r="AO113">
        <v>0.10100000000000001</v>
      </c>
      <c r="AP113">
        <v>0.1</v>
      </c>
      <c r="AQ113">
        <v>9.5000000000000001E-2</v>
      </c>
      <c r="AR113">
        <v>0.10199999999999999</v>
      </c>
      <c r="AS113">
        <v>9.7000000000000003E-2</v>
      </c>
      <c r="AT113">
        <v>0.109</v>
      </c>
      <c r="AU113">
        <v>0.122</v>
      </c>
      <c r="AV113">
        <v>0.14499999999999999</v>
      </c>
      <c r="AW113">
        <v>0.13900000000000001</v>
      </c>
      <c r="AX113">
        <v>0.14799999999999999</v>
      </c>
      <c r="AY113">
        <v>0.17100000000000001</v>
      </c>
      <c r="AZ113">
        <v>0.20300000000000001</v>
      </c>
      <c r="BA113">
        <v>0.18099999999999999</v>
      </c>
      <c r="BB113">
        <v>0.187</v>
      </c>
      <c r="BC113">
        <v>0.186</v>
      </c>
      <c r="BD113">
        <v>0.183</v>
      </c>
      <c r="BE113">
        <v>0.19400000000000001</v>
      </c>
      <c r="BF113">
        <v>0.193</v>
      </c>
      <c r="BG113">
        <v>2020</v>
      </c>
      <c r="BH113">
        <v>0.17100000000000001</v>
      </c>
      <c r="BI113">
        <v>0.24399999999999999</v>
      </c>
      <c r="BJ113">
        <v>0.24399999999999999</v>
      </c>
      <c r="BK113">
        <v>2020</v>
      </c>
      <c r="BL113">
        <v>70.081967213114766</v>
      </c>
    </row>
    <row r="114" spans="1:64">
      <c r="A114" t="s">
        <v>349</v>
      </c>
      <c r="B114">
        <v>682</v>
      </c>
      <c r="C114" t="s">
        <v>349</v>
      </c>
      <c r="D114" t="s">
        <v>1659</v>
      </c>
      <c r="E114" t="s">
        <v>135</v>
      </c>
      <c r="F114" t="s">
        <v>1660</v>
      </c>
      <c r="G114" t="s">
        <v>1661</v>
      </c>
      <c r="H114" t="s">
        <v>1662</v>
      </c>
      <c r="I114" t="s">
        <v>883</v>
      </c>
      <c r="J114" t="s">
        <v>1785</v>
      </c>
      <c r="K114" t="s">
        <v>1664</v>
      </c>
      <c r="L114" t="s">
        <v>1664</v>
      </c>
      <c r="M114" t="s">
        <v>1664</v>
      </c>
      <c r="N114" t="s">
        <v>1664</v>
      </c>
      <c r="O114" t="s">
        <v>1664</v>
      </c>
      <c r="P114" t="s">
        <v>1664</v>
      </c>
      <c r="Q114" t="s">
        <v>1664</v>
      </c>
      <c r="R114" t="s">
        <v>1664</v>
      </c>
      <c r="S114" t="s">
        <v>1664</v>
      </c>
      <c r="T114" t="s">
        <v>1664</v>
      </c>
      <c r="U114">
        <v>2.198</v>
      </c>
      <c r="V114">
        <v>2.21</v>
      </c>
      <c r="W114">
        <v>2.2879999999999998</v>
      </c>
      <c r="X114">
        <v>3.2160000000000002</v>
      </c>
      <c r="Y114">
        <v>3.161</v>
      </c>
      <c r="Z114">
        <v>3.5289999999999999</v>
      </c>
      <c r="AA114">
        <v>4.7709999999999999</v>
      </c>
      <c r="AB114">
        <v>4.4560000000000004</v>
      </c>
      <c r="AC114">
        <v>4.7409999999999997</v>
      </c>
      <c r="AD114">
        <v>5.4580000000000002</v>
      </c>
      <c r="AE114">
        <v>6.38</v>
      </c>
      <c r="AF114">
        <v>7.0739999999999998</v>
      </c>
      <c r="AG114">
        <v>10.856999999999999</v>
      </c>
      <c r="AH114">
        <v>11.968</v>
      </c>
      <c r="AI114">
        <v>13.041</v>
      </c>
      <c r="AJ114">
        <v>14.162000000000001</v>
      </c>
      <c r="AK114">
        <v>22.155999999999999</v>
      </c>
      <c r="AL114">
        <v>20.541</v>
      </c>
      <c r="AM114">
        <v>20.454999999999998</v>
      </c>
      <c r="AN114">
        <v>19.843</v>
      </c>
      <c r="AO114">
        <v>26.2</v>
      </c>
      <c r="AP114">
        <v>32.539000000000001</v>
      </c>
      <c r="AQ114">
        <v>46.32</v>
      </c>
      <c r="AR114">
        <v>42.237000000000002</v>
      </c>
      <c r="AS114">
        <v>42.423000000000002</v>
      </c>
      <c r="AT114">
        <v>46.478999999999999</v>
      </c>
      <c r="AU114">
        <v>47.276000000000003</v>
      </c>
      <c r="AV114">
        <v>50.7</v>
      </c>
      <c r="AW114">
        <v>59.237000000000002</v>
      </c>
      <c r="AX114">
        <v>59.304000000000002</v>
      </c>
      <c r="AY114">
        <v>65.481999999999999</v>
      </c>
      <c r="AZ114">
        <v>65.590999999999994</v>
      </c>
      <c r="BA114">
        <v>68.787000000000006</v>
      </c>
      <c r="BB114">
        <v>72.703999999999994</v>
      </c>
      <c r="BC114">
        <v>81.331999999999994</v>
      </c>
      <c r="BD114">
        <v>89.828999999999994</v>
      </c>
      <c r="BE114">
        <v>98.063000000000002</v>
      </c>
      <c r="BF114">
        <v>106.22799999999999</v>
      </c>
      <c r="BG114">
        <v>2020</v>
      </c>
      <c r="BH114">
        <v>65.481999999999999</v>
      </c>
      <c r="BI114">
        <v>294.38900000000001</v>
      </c>
      <c r="BJ114">
        <v>294.38900000000001</v>
      </c>
      <c r="BK114">
        <v>2020</v>
      </c>
      <c r="BL114">
        <v>22.243358277653037</v>
      </c>
    </row>
    <row r="115" spans="1:64">
      <c r="A115" t="s">
        <v>436</v>
      </c>
      <c r="B115">
        <v>684</v>
      </c>
      <c r="C115" t="s">
        <v>436</v>
      </c>
      <c r="D115" t="s">
        <v>1659</v>
      </c>
      <c r="E115" t="s">
        <v>221</v>
      </c>
      <c r="F115" t="s">
        <v>1660</v>
      </c>
      <c r="G115" t="s">
        <v>1661</v>
      </c>
      <c r="H115" t="s">
        <v>1662</v>
      </c>
      <c r="I115" t="s">
        <v>883</v>
      </c>
      <c r="J115" t="s">
        <v>1786</v>
      </c>
      <c r="K115" t="s">
        <v>1664</v>
      </c>
      <c r="L115" t="s">
        <v>1664</v>
      </c>
      <c r="M115" t="s">
        <v>1664</v>
      </c>
      <c r="N115" t="s">
        <v>1664</v>
      </c>
      <c r="O115" t="s">
        <v>1664</v>
      </c>
      <c r="P115" t="s">
        <v>1664</v>
      </c>
      <c r="Q115" t="s">
        <v>1664</v>
      </c>
      <c r="R115" t="s">
        <v>1664</v>
      </c>
      <c r="S115" t="s">
        <v>1664</v>
      </c>
      <c r="T115" t="s">
        <v>1664</v>
      </c>
      <c r="U115" t="s">
        <v>1664</v>
      </c>
      <c r="V115" t="s">
        <v>1664</v>
      </c>
      <c r="W115" t="s">
        <v>1664</v>
      </c>
      <c r="X115" t="s">
        <v>1664</v>
      </c>
      <c r="Y115" t="s">
        <v>1664</v>
      </c>
      <c r="Z115" t="s">
        <v>1664</v>
      </c>
      <c r="AA115" t="s">
        <v>1664</v>
      </c>
      <c r="AB115" t="s">
        <v>1664</v>
      </c>
      <c r="AC115" t="s">
        <v>1664</v>
      </c>
      <c r="AD115" t="s">
        <v>1664</v>
      </c>
      <c r="AE115">
        <v>23.103000000000002</v>
      </c>
      <c r="AF115">
        <v>23.988</v>
      </c>
      <c r="AG115">
        <v>27.783999999999999</v>
      </c>
      <c r="AH115">
        <v>31.986999999999998</v>
      </c>
      <c r="AI115">
        <v>34.863</v>
      </c>
      <c r="AJ115">
        <v>37.634999999999998</v>
      </c>
      <c r="AK115">
        <v>40.694000000000003</v>
      </c>
      <c r="AL115">
        <v>47.695</v>
      </c>
      <c r="AM115">
        <v>57.719000000000001</v>
      </c>
      <c r="AN115">
        <v>64.290999999999997</v>
      </c>
      <c r="AO115">
        <v>65.478999999999999</v>
      </c>
      <c r="AP115">
        <v>69.222999999999999</v>
      </c>
      <c r="AQ115">
        <v>73.772999999999996</v>
      </c>
      <c r="AR115">
        <v>78.224000000000004</v>
      </c>
      <c r="AS115">
        <v>79.674000000000007</v>
      </c>
      <c r="AT115">
        <v>87.847999999999999</v>
      </c>
      <c r="AU115">
        <v>94.69</v>
      </c>
      <c r="AV115">
        <v>106.831</v>
      </c>
      <c r="AW115">
        <v>110.66500000000001</v>
      </c>
      <c r="AX115">
        <v>103.873</v>
      </c>
      <c r="AY115">
        <v>98.710999999999999</v>
      </c>
      <c r="AZ115">
        <v>114.059</v>
      </c>
      <c r="BA115">
        <v>127.143</v>
      </c>
      <c r="BB115">
        <v>140.5</v>
      </c>
      <c r="BC115">
        <v>152.62700000000001</v>
      </c>
      <c r="BD115">
        <v>163.32</v>
      </c>
      <c r="BE115">
        <v>173.05199999999999</v>
      </c>
      <c r="BF115">
        <v>182.566</v>
      </c>
      <c r="BG115">
        <v>2021</v>
      </c>
      <c r="BH115">
        <v>114.059</v>
      </c>
      <c r="BI115">
        <v>461.86</v>
      </c>
      <c r="BJ115">
        <v>429.69400000000002</v>
      </c>
      <c r="BK115">
        <v>2020</v>
      </c>
      <c r="BL115">
        <v>24.69557874680639</v>
      </c>
    </row>
    <row r="116" spans="1:64">
      <c r="A116" t="s">
        <v>430</v>
      </c>
      <c r="B116">
        <v>273</v>
      </c>
      <c r="C116" t="s">
        <v>430</v>
      </c>
      <c r="D116" t="s">
        <v>1659</v>
      </c>
      <c r="E116" t="s">
        <v>215</v>
      </c>
      <c r="F116" t="s">
        <v>1660</v>
      </c>
      <c r="G116" t="s">
        <v>1661</v>
      </c>
      <c r="H116" t="s">
        <v>1662</v>
      </c>
      <c r="I116" t="s">
        <v>883</v>
      </c>
      <c r="J116" t="s">
        <v>1787</v>
      </c>
      <c r="K116" t="s">
        <v>1664</v>
      </c>
      <c r="L116" t="s">
        <v>1664</v>
      </c>
      <c r="M116" t="s">
        <v>1664</v>
      </c>
      <c r="N116" t="s">
        <v>1664</v>
      </c>
      <c r="O116" t="s">
        <v>1664</v>
      </c>
      <c r="P116" t="s">
        <v>1664</v>
      </c>
      <c r="Q116" t="s">
        <v>1664</v>
      </c>
      <c r="R116" t="s">
        <v>1664</v>
      </c>
      <c r="S116" t="s">
        <v>1664</v>
      </c>
      <c r="T116" t="s">
        <v>1664</v>
      </c>
      <c r="U116">
        <v>171.22900000000001</v>
      </c>
      <c r="V116">
        <v>240.33799999999999</v>
      </c>
      <c r="W116">
        <v>281.62799999999999</v>
      </c>
      <c r="X116">
        <v>276.29199999999997</v>
      </c>
      <c r="Y116">
        <v>311.71300000000002</v>
      </c>
      <c r="Z116">
        <v>404.53300000000002</v>
      </c>
      <c r="AA116">
        <v>563.21100000000001</v>
      </c>
      <c r="AB116">
        <v>715.45699999999999</v>
      </c>
      <c r="AC116">
        <v>763.27499999999998</v>
      </c>
      <c r="AD116">
        <v>944.33100000000002</v>
      </c>
      <c r="AE116">
        <v>1171.8599999999999</v>
      </c>
      <c r="AF116">
        <v>1262.3599999999999</v>
      </c>
      <c r="AG116">
        <v>1376.6</v>
      </c>
      <c r="AH116">
        <v>1590.88</v>
      </c>
      <c r="AI116">
        <v>1767.64</v>
      </c>
      <c r="AJ116">
        <v>1972.13</v>
      </c>
      <c r="AK116">
        <v>2263.02</v>
      </c>
      <c r="AL116">
        <v>2537.37</v>
      </c>
      <c r="AM116">
        <v>3338.04</v>
      </c>
      <c r="AN116">
        <v>2878.9</v>
      </c>
      <c r="AO116">
        <v>3167.74</v>
      </c>
      <c r="AP116">
        <v>3575.55</v>
      </c>
      <c r="AQ116">
        <v>3873.39</v>
      </c>
      <c r="AR116">
        <v>3917.98</v>
      </c>
      <c r="AS116">
        <v>4095.14</v>
      </c>
      <c r="AT116">
        <v>4364.62</v>
      </c>
      <c r="AU116">
        <v>4949.13</v>
      </c>
      <c r="AV116">
        <v>5405.11</v>
      </c>
      <c r="AW116">
        <v>5519.81</v>
      </c>
      <c r="AX116">
        <v>5777.27</v>
      </c>
      <c r="AY116">
        <v>5658.64</v>
      </c>
      <c r="AZ116">
        <v>6122.6</v>
      </c>
      <c r="BA116">
        <v>6845.21</v>
      </c>
      <c r="BB116">
        <v>6922.6</v>
      </c>
      <c r="BC116">
        <v>7373.28</v>
      </c>
      <c r="BD116">
        <v>7791.26</v>
      </c>
      <c r="BE116">
        <v>8229.6299999999992</v>
      </c>
      <c r="BF116">
        <v>8695.43</v>
      </c>
      <c r="BG116">
        <v>2021</v>
      </c>
      <c r="BH116">
        <v>6122.6</v>
      </c>
      <c r="BI116">
        <v>26249.29</v>
      </c>
      <c r="BJ116">
        <v>26249.29</v>
      </c>
      <c r="BK116">
        <v>2021</v>
      </c>
      <c r="BL116">
        <v>23.324821357072896</v>
      </c>
    </row>
    <row r="117" spans="1:64">
      <c r="A117" t="s">
        <v>383</v>
      </c>
      <c r="B117">
        <v>868</v>
      </c>
      <c r="C117" t="s">
        <v>383</v>
      </c>
      <c r="D117" t="s">
        <v>1659</v>
      </c>
      <c r="E117" t="s">
        <v>1788</v>
      </c>
      <c r="F117" t="s">
        <v>1660</v>
      </c>
      <c r="G117" t="s">
        <v>1661</v>
      </c>
      <c r="H117" t="s">
        <v>1662</v>
      </c>
      <c r="I117" t="s">
        <v>883</v>
      </c>
      <c r="J117" t="s">
        <v>1789</v>
      </c>
      <c r="K117" t="s">
        <v>1664</v>
      </c>
      <c r="L117" t="s">
        <v>1664</v>
      </c>
      <c r="M117" t="s">
        <v>1664</v>
      </c>
      <c r="N117" t="s">
        <v>1664</v>
      </c>
      <c r="O117" t="s">
        <v>1664</v>
      </c>
      <c r="P117" t="s">
        <v>1664</v>
      </c>
      <c r="Q117" t="s">
        <v>1664</v>
      </c>
      <c r="R117" t="s">
        <v>1664</v>
      </c>
      <c r="S117" t="s">
        <v>1664</v>
      </c>
      <c r="T117" t="s">
        <v>1664</v>
      </c>
      <c r="U117" t="s">
        <v>1664</v>
      </c>
      <c r="V117" t="s">
        <v>1664</v>
      </c>
      <c r="W117" t="s">
        <v>1664</v>
      </c>
      <c r="X117" t="s">
        <v>1664</v>
      </c>
      <c r="Y117" t="s">
        <v>1664</v>
      </c>
      <c r="Z117">
        <v>0.17</v>
      </c>
      <c r="AA117">
        <v>0.16300000000000001</v>
      </c>
      <c r="AB117">
        <v>0.13900000000000001</v>
      </c>
      <c r="AC117">
        <v>0.152</v>
      </c>
      <c r="AD117">
        <v>0.14899999999999999</v>
      </c>
      <c r="AE117">
        <v>0.14899999999999999</v>
      </c>
      <c r="AF117">
        <v>0.14099999999999999</v>
      </c>
      <c r="AG117">
        <v>0.16</v>
      </c>
      <c r="AH117">
        <v>0.17</v>
      </c>
      <c r="AI117">
        <v>0.13300000000000001</v>
      </c>
      <c r="AJ117">
        <v>0.13500000000000001</v>
      </c>
      <c r="AK117">
        <v>0.13900000000000001</v>
      </c>
      <c r="AL117">
        <v>0.14299999999999999</v>
      </c>
      <c r="AM117">
        <v>0.152</v>
      </c>
      <c r="AN117">
        <v>0.183</v>
      </c>
      <c r="AO117">
        <v>0.20100000000000001</v>
      </c>
      <c r="AP117">
        <v>0.20100000000000001</v>
      </c>
      <c r="AQ117">
        <v>0.216</v>
      </c>
      <c r="AR117">
        <v>0.19800000000000001</v>
      </c>
      <c r="AS117">
        <v>0.20899999999999999</v>
      </c>
      <c r="AT117">
        <v>0.20899999999999999</v>
      </c>
      <c r="AU117">
        <v>0.22900000000000001</v>
      </c>
      <c r="AV117">
        <v>0.28699999999999998</v>
      </c>
      <c r="AW117">
        <v>0.32</v>
      </c>
      <c r="AX117">
        <v>0.32100000000000001</v>
      </c>
      <c r="AY117">
        <v>0.28299999999999997</v>
      </c>
      <c r="AZ117">
        <v>0.29799999999999999</v>
      </c>
      <c r="BA117">
        <v>0.28599999999999998</v>
      </c>
      <c r="BB117">
        <v>0.29199999999999998</v>
      </c>
      <c r="BC117">
        <v>0.27700000000000002</v>
      </c>
      <c r="BD117">
        <v>0.27400000000000002</v>
      </c>
      <c r="BE117">
        <v>0.27900000000000003</v>
      </c>
      <c r="BF117">
        <v>0.27500000000000002</v>
      </c>
      <c r="BG117">
        <v>2018</v>
      </c>
      <c r="BH117">
        <v>0.32</v>
      </c>
      <c r="BI117">
        <v>0.40200000000000002</v>
      </c>
      <c r="BJ117">
        <v>0.40200000000000002</v>
      </c>
      <c r="BK117">
        <v>2018</v>
      </c>
      <c r="BL117">
        <v>79.601990049751237</v>
      </c>
    </row>
    <row r="118" spans="1:64">
      <c r="A118" t="s">
        <v>404</v>
      </c>
      <c r="B118">
        <v>921</v>
      </c>
      <c r="C118" t="s">
        <v>404</v>
      </c>
      <c r="D118" t="s">
        <v>1659</v>
      </c>
      <c r="E118" t="s">
        <v>189</v>
      </c>
      <c r="F118" t="s">
        <v>1660</v>
      </c>
      <c r="G118" t="s">
        <v>1661</v>
      </c>
      <c r="H118" t="s">
        <v>1662</v>
      </c>
      <c r="I118" t="s">
        <v>883</v>
      </c>
      <c r="J118" t="s">
        <v>1790</v>
      </c>
      <c r="K118" t="s">
        <v>1664</v>
      </c>
      <c r="L118" t="s">
        <v>1664</v>
      </c>
      <c r="M118" t="s">
        <v>1664</v>
      </c>
      <c r="N118" t="s">
        <v>1664</v>
      </c>
      <c r="O118" t="s">
        <v>1664</v>
      </c>
      <c r="P118" t="s">
        <v>1664</v>
      </c>
      <c r="Q118" t="s">
        <v>1664</v>
      </c>
      <c r="R118" t="s">
        <v>1664</v>
      </c>
      <c r="S118" t="s">
        <v>1664</v>
      </c>
      <c r="T118" t="s">
        <v>1664</v>
      </c>
      <c r="U118" t="s">
        <v>1664</v>
      </c>
      <c r="V118" t="s">
        <v>1664</v>
      </c>
      <c r="W118" t="s">
        <v>1664</v>
      </c>
      <c r="X118" t="s">
        <v>1664</v>
      </c>
      <c r="Y118" t="s">
        <v>1664</v>
      </c>
      <c r="Z118">
        <v>2.556</v>
      </c>
      <c r="AA118">
        <v>2.7970000000000002</v>
      </c>
      <c r="AB118">
        <v>3.431</v>
      </c>
      <c r="AC118">
        <v>3.427</v>
      </c>
      <c r="AD118">
        <v>3.7429999999999999</v>
      </c>
      <c r="AE118">
        <v>4.9820000000000002</v>
      </c>
      <c r="AF118">
        <v>5.556</v>
      </c>
      <c r="AG118">
        <v>6.6680000000000001</v>
      </c>
      <c r="AH118">
        <v>9.3829999999999991</v>
      </c>
      <c r="AI118">
        <v>11.34</v>
      </c>
      <c r="AJ118">
        <v>14.519</v>
      </c>
      <c r="AK118">
        <v>17.847000000000001</v>
      </c>
      <c r="AL118">
        <v>22.9</v>
      </c>
      <c r="AM118">
        <v>25.564</v>
      </c>
      <c r="AN118">
        <v>23.518000000000001</v>
      </c>
      <c r="AO118">
        <v>27.536999999999999</v>
      </c>
      <c r="AP118">
        <v>30.138000000000002</v>
      </c>
      <c r="AQ118">
        <v>33.475999999999999</v>
      </c>
      <c r="AR118">
        <v>36.908000000000001</v>
      </c>
      <c r="AS118">
        <v>42.456000000000003</v>
      </c>
      <c r="AT118">
        <v>43.67</v>
      </c>
      <c r="AU118">
        <v>45.947000000000003</v>
      </c>
      <c r="AV118">
        <v>53.378999999999998</v>
      </c>
      <c r="AW118">
        <v>57.996000000000002</v>
      </c>
      <c r="AX118">
        <v>62.948999999999998</v>
      </c>
      <c r="AY118">
        <v>62.655000000000001</v>
      </c>
      <c r="AZ118">
        <v>77.373000000000005</v>
      </c>
      <c r="BA118">
        <v>83.207999999999998</v>
      </c>
      <c r="BB118">
        <v>92.778999999999996</v>
      </c>
      <c r="BC118">
        <v>105.504</v>
      </c>
      <c r="BD118">
        <v>119.438</v>
      </c>
      <c r="BE118">
        <v>133.80799999999999</v>
      </c>
      <c r="BF118">
        <v>148.08500000000001</v>
      </c>
      <c r="BG118">
        <v>2021</v>
      </c>
      <c r="BH118">
        <v>77.373000000000005</v>
      </c>
      <c r="BI118">
        <v>241.87100000000001</v>
      </c>
      <c r="BJ118">
        <v>241.87100000000001</v>
      </c>
      <c r="BK118">
        <v>2021</v>
      </c>
      <c r="BL118">
        <v>31.989366232413147</v>
      </c>
    </row>
    <row r="119" spans="1:64">
      <c r="A119" t="s">
        <v>380</v>
      </c>
      <c r="B119">
        <v>948</v>
      </c>
      <c r="C119" t="s">
        <v>380</v>
      </c>
      <c r="D119" t="s">
        <v>1659</v>
      </c>
      <c r="E119" t="s">
        <v>166</v>
      </c>
      <c r="F119" t="s">
        <v>1660</v>
      </c>
      <c r="G119" t="s">
        <v>1661</v>
      </c>
      <c r="H119" t="s">
        <v>1662</v>
      </c>
      <c r="I119" t="s">
        <v>883</v>
      </c>
      <c r="J119" t="s">
        <v>1791</v>
      </c>
      <c r="K119" t="s">
        <v>1664</v>
      </c>
      <c r="L119">
        <v>3.72</v>
      </c>
      <c r="M119">
        <v>4.1820000000000004</v>
      </c>
      <c r="N119">
        <v>4.4779999999999998</v>
      </c>
      <c r="O119">
        <v>4.68</v>
      </c>
      <c r="P119">
        <v>4.9180000000000001</v>
      </c>
      <c r="Q119">
        <v>4.3600000000000003</v>
      </c>
      <c r="R119">
        <v>4.54</v>
      </c>
      <c r="S119">
        <v>4.681</v>
      </c>
      <c r="T119">
        <v>5.2430000000000003</v>
      </c>
      <c r="U119">
        <v>5.2949999999999999</v>
      </c>
      <c r="V119">
        <v>8.9649999999999999</v>
      </c>
      <c r="W119">
        <v>11.8</v>
      </c>
      <c r="X119">
        <v>56.811999999999998</v>
      </c>
      <c r="Y119">
        <v>85.745000000000005</v>
      </c>
      <c r="Z119">
        <v>140.90100000000001</v>
      </c>
      <c r="AA119">
        <v>160.435</v>
      </c>
      <c r="AB119">
        <v>212.143</v>
      </c>
      <c r="AC119">
        <v>225.505</v>
      </c>
      <c r="AD119">
        <v>251.7</v>
      </c>
      <c r="AE119">
        <v>351.39600000000002</v>
      </c>
      <c r="AF119">
        <v>429.49900000000002</v>
      </c>
      <c r="AG119">
        <v>477.04899999999998</v>
      </c>
      <c r="AH119">
        <v>553.88800000000003</v>
      </c>
      <c r="AI119">
        <v>713.11300000000006</v>
      </c>
      <c r="AJ119">
        <v>837.85799999999995</v>
      </c>
      <c r="AK119">
        <v>1360.41</v>
      </c>
      <c r="AL119">
        <v>1880.49</v>
      </c>
      <c r="AM119">
        <v>2170.37</v>
      </c>
      <c r="AN119">
        <v>1994</v>
      </c>
      <c r="AO119">
        <v>3122.19</v>
      </c>
      <c r="AP119">
        <v>4468.2700000000004</v>
      </c>
      <c r="AQ119">
        <v>4975.83</v>
      </c>
      <c r="AR119">
        <v>5986.93</v>
      </c>
      <c r="AS119">
        <v>6316.52</v>
      </c>
      <c r="AT119">
        <v>5983.4</v>
      </c>
      <c r="AU119">
        <v>5835.04</v>
      </c>
      <c r="AV119">
        <v>7972.1</v>
      </c>
      <c r="AW119">
        <v>10185.280000000001</v>
      </c>
      <c r="AX119">
        <v>12000.12</v>
      </c>
      <c r="AY119">
        <v>10445.209999999999</v>
      </c>
      <c r="AZ119">
        <v>14248.83</v>
      </c>
      <c r="BA119">
        <v>19266.349999999999</v>
      </c>
      <c r="BB119">
        <v>23021.54</v>
      </c>
      <c r="BC119">
        <v>26435.26</v>
      </c>
      <c r="BD119">
        <v>30042.42</v>
      </c>
      <c r="BE119">
        <v>33749.89</v>
      </c>
      <c r="BF119">
        <v>37564.89</v>
      </c>
      <c r="BG119">
        <v>2021</v>
      </c>
      <c r="BH119">
        <v>14248.83</v>
      </c>
      <c r="BI119">
        <v>43018.62</v>
      </c>
      <c r="BJ119">
        <v>43018.62</v>
      </c>
      <c r="BK119">
        <v>2021</v>
      </c>
      <c r="BL119">
        <v>33.122471153189018</v>
      </c>
    </row>
    <row r="120" spans="1:64">
      <c r="A120" t="s">
        <v>428</v>
      </c>
      <c r="B120">
        <v>943</v>
      </c>
      <c r="C120" t="s">
        <v>428</v>
      </c>
      <c r="D120" t="s">
        <v>1659</v>
      </c>
      <c r="E120" t="s">
        <v>213</v>
      </c>
      <c r="F120" t="s">
        <v>1660</v>
      </c>
      <c r="G120" t="s">
        <v>1661</v>
      </c>
      <c r="H120" t="s">
        <v>1662</v>
      </c>
      <c r="I120" t="s">
        <v>883</v>
      </c>
      <c r="J120" t="s">
        <v>1792</v>
      </c>
      <c r="K120" t="s">
        <v>1664</v>
      </c>
      <c r="L120" t="s">
        <v>1664</v>
      </c>
      <c r="M120" t="s">
        <v>1664</v>
      </c>
      <c r="N120" t="s">
        <v>1664</v>
      </c>
      <c r="O120" t="s">
        <v>1664</v>
      </c>
      <c r="P120" t="s">
        <v>1664</v>
      </c>
      <c r="Q120" t="s">
        <v>1664</v>
      </c>
      <c r="R120" t="s">
        <v>1664</v>
      </c>
      <c r="S120" t="s">
        <v>1664</v>
      </c>
      <c r="T120" t="s">
        <v>1664</v>
      </c>
      <c r="U120" t="s">
        <v>1664</v>
      </c>
      <c r="V120" t="s">
        <v>1664</v>
      </c>
      <c r="W120" t="s">
        <v>1664</v>
      </c>
      <c r="X120" t="s">
        <v>1664</v>
      </c>
      <c r="Y120" t="s">
        <v>1664</v>
      </c>
      <c r="Z120" t="s">
        <v>1664</v>
      </c>
      <c r="AA120" t="s">
        <v>1664</v>
      </c>
      <c r="AB120" t="s">
        <v>1664</v>
      </c>
      <c r="AC120" t="s">
        <v>1664</v>
      </c>
      <c r="AD120" t="s">
        <v>1664</v>
      </c>
      <c r="AE120" t="s">
        <v>1664</v>
      </c>
      <c r="AF120" t="s">
        <v>1664</v>
      </c>
      <c r="AG120">
        <v>0.48399999999999999</v>
      </c>
      <c r="AH120">
        <v>0.58199999999999996</v>
      </c>
      <c r="AI120">
        <v>0.624</v>
      </c>
      <c r="AJ120">
        <v>0.66700000000000004</v>
      </c>
      <c r="AK120">
        <v>1.0169999999999999</v>
      </c>
      <c r="AL120">
        <v>1.4059999999999999</v>
      </c>
      <c r="AM120">
        <v>1.5149999999999999</v>
      </c>
      <c r="AN120">
        <v>1.3360000000000001</v>
      </c>
      <c r="AO120">
        <v>1.306</v>
      </c>
      <c r="AP120">
        <v>1.258</v>
      </c>
      <c r="AQ120">
        <v>1.268</v>
      </c>
      <c r="AR120">
        <v>1.39</v>
      </c>
      <c r="AS120">
        <v>1.5049999999999999</v>
      </c>
      <c r="AT120">
        <v>1.4770000000000001</v>
      </c>
      <c r="AU120">
        <v>1.635</v>
      </c>
      <c r="AV120">
        <v>1.732</v>
      </c>
      <c r="AW120">
        <v>1.911</v>
      </c>
      <c r="AX120">
        <v>2.09</v>
      </c>
      <c r="AY120">
        <v>1.8169999999999999</v>
      </c>
      <c r="AZ120">
        <v>2.1019999999999999</v>
      </c>
      <c r="BA120">
        <v>2.0880000000000001</v>
      </c>
      <c r="BB120">
        <v>2.2799999999999998</v>
      </c>
      <c r="BC120">
        <v>2.4129999999999998</v>
      </c>
      <c r="BD120">
        <v>2.5339999999999998</v>
      </c>
      <c r="BE120">
        <v>2.665</v>
      </c>
      <c r="BF120">
        <v>2.8029999999999999</v>
      </c>
      <c r="BG120">
        <v>2020</v>
      </c>
      <c r="BH120">
        <v>1.8169999999999999</v>
      </c>
      <c r="BI120">
        <v>4.1859999999999999</v>
      </c>
      <c r="BJ120">
        <v>4.1859999999999999</v>
      </c>
      <c r="BK120">
        <v>2020</v>
      </c>
      <c r="BL120">
        <v>43.406593406593409</v>
      </c>
    </row>
    <row r="121" spans="1:64">
      <c r="A121" t="s">
        <v>370</v>
      </c>
      <c r="B121">
        <v>686</v>
      </c>
      <c r="C121" t="s">
        <v>370</v>
      </c>
      <c r="D121" t="s">
        <v>1659</v>
      </c>
      <c r="E121" t="s">
        <v>156</v>
      </c>
      <c r="F121" t="s">
        <v>1660</v>
      </c>
      <c r="G121" t="s">
        <v>1661</v>
      </c>
      <c r="H121" t="s">
        <v>1662</v>
      </c>
      <c r="I121" t="s">
        <v>883</v>
      </c>
      <c r="J121" t="s">
        <v>1793</v>
      </c>
      <c r="K121" t="s">
        <v>1664</v>
      </c>
      <c r="L121" t="s">
        <v>1664</v>
      </c>
      <c r="M121" t="s">
        <v>1664</v>
      </c>
      <c r="N121" t="s">
        <v>1664</v>
      </c>
      <c r="O121" t="s">
        <v>1664</v>
      </c>
      <c r="P121" t="s">
        <v>1664</v>
      </c>
      <c r="Q121" t="s">
        <v>1664</v>
      </c>
      <c r="R121" t="s">
        <v>1664</v>
      </c>
      <c r="S121" t="s">
        <v>1664</v>
      </c>
      <c r="T121" t="s">
        <v>1664</v>
      </c>
      <c r="U121">
        <v>57.241</v>
      </c>
      <c r="V121">
        <v>60.542999999999999</v>
      </c>
      <c r="W121">
        <v>63.658999999999999</v>
      </c>
      <c r="X121">
        <v>67.245000000000005</v>
      </c>
      <c r="Y121">
        <v>68.183999999999997</v>
      </c>
      <c r="Z121">
        <v>67.570999999999998</v>
      </c>
      <c r="AA121">
        <v>75.14</v>
      </c>
      <c r="AB121">
        <v>81.117000000000004</v>
      </c>
      <c r="AC121">
        <v>87.86</v>
      </c>
      <c r="AD121">
        <v>95.581999999999994</v>
      </c>
      <c r="AE121">
        <v>92.858000000000004</v>
      </c>
      <c r="AF121">
        <v>96.111000000000004</v>
      </c>
      <c r="AG121">
        <v>108.033</v>
      </c>
      <c r="AH121">
        <v>109.807</v>
      </c>
      <c r="AI121">
        <v>121.11199999999999</v>
      </c>
      <c r="AJ121">
        <v>138.649</v>
      </c>
      <c r="AK121">
        <v>157.97900000000001</v>
      </c>
      <c r="AL121">
        <v>184.4</v>
      </c>
      <c r="AM121">
        <v>224.08699999999999</v>
      </c>
      <c r="AN121">
        <v>214.46600000000001</v>
      </c>
      <c r="AO121">
        <v>210.39</v>
      </c>
      <c r="AP121">
        <v>223.25299999999999</v>
      </c>
      <c r="AQ121">
        <v>237.739</v>
      </c>
      <c r="AR121">
        <v>250.02199999999999</v>
      </c>
      <c r="AS121">
        <v>259.34699999999998</v>
      </c>
      <c r="AT121">
        <v>257.65899999999999</v>
      </c>
      <c r="AU121">
        <v>263.98899999999998</v>
      </c>
      <c r="AV121">
        <v>282.37599999999998</v>
      </c>
      <c r="AW121">
        <v>289.76400000000001</v>
      </c>
      <c r="AX121">
        <v>295.21899999999999</v>
      </c>
      <c r="AY121">
        <v>311.14699999999999</v>
      </c>
      <c r="AZ121">
        <v>310.52699999999999</v>
      </c>
      <c r="BA121">
        <v>342.87400000000002</v>
      </c>
      <c r="BB121">
        <v>361.07400000000001</v>
      </c>
      <c r="BC121">
        <v>383.214</v>
      </c>
      <c r="BD121">
        <v>406.68900000000002</v>
      </c>
      <c r="BE121">
        <v>432.839</v>
      </c>
      <c r="BF121">
        <v>455.43200000000002</v>
      </c>
      <c r="BG121">
        <v>2020</v>
      </c>
      <c r="BH121">
        <v>311.14699999999999</v>
      </c>
      <c r="BI121">
        <v>1089.52</v>
      </c>
      <c r="BJ121">
        <v>1089.52</v>
      </c>
      <c r="BK121">
        <v>2020</v>
      </c>
      <c r="BL121">
        <v>28.558172406197222</v>
      </c>
    </row>
    <row r="122" spans="1:64">
      <c r="A122" t="s">
        <v>308</v>
      </c>
      <c r="B122">
        <v>688</v>
      </c>
      <c r="C122" t="s">
        <v>308</v>
      </c>
      <c r="D122" t="s">
        <v>1659</v>
      </c>
      <c r="E122" t="s">
        <v>95</v>
      </c>
      <c r="F122" t="s">
        <v>1660</v>
      </c>
      <c r="G122" t="s">
        <v>1661</v>
      </c>
      <c r="H122" t="s">
        <v>1662</v>
      </c>
      <c r="I122" t="s">
        <v>883</v>
      </c>
      <c r="J122" t="s">
        <v>1794</v>
      </c>
      <c r="K122">
        <v>2.1000000000000001E-2</v>
      </c>
      <c r="L122">
        <v>2.1000000000000001E-2</v>
      </c>
      <c r="M122">
        <v>3.2000000000000001E-2</v>
      </c>
      <c r="N122">
        <v>2.5999999999999999E-2</v>
      </c>
      <c r="O122">
        <v>2.5000000000000001E-2</v>
      </c>
      <c r="P122">
        <v>2.1999999999999999E-2</v>
      </c>
      <c r="Q122">
        <v>2.5999999999999999E-2</v>
      </c>
      <c r="R122">
        <v>0.108</v>
      </c>
      <c r="S122">
        <v>0.22900000000000001</v>
      </c>
      <c r="T122">
        <v>0.39800000000000002</v>
      </c>
      <c r="U122">
        <v>0.54500000000000004</v>
      </c>
      <c r="V122">
        <v>0.84699999999999998</v>
      </c>
      <c r="W122">
        <v>1.353</v>
      </c>
      <c r="X122">
        <v>2.0249999999999999</v>
      </c>
      <c r="Y122">
        <v>3.383</v>
      </c>
      <c r="Z122">
        <v>4.5030000000000001</v>
      </c>
      <c r="AA122">
        <v>5.8289999999999997</v>
      </c>
      <c r="AB122">
        <v>8.2910000000000004</v>
      </c>
      <c r="AC122">
        <v>9.1419999999999995</v>
      </c>
      <c r="AD122">
        <v>12.281000000000001</v>
      </c>
      <c r="AE122">
        <v>14.39</v>
      </c>
      <c r="AF122">
        <v>19.106999999999999</v>
      </c>
      <c r="AG122">
        <v>21.491</v>
      </c>
      <c r="AH122">
        <v>25.007000000000001</v>
      </c>
      <c r="AI122">
        <v>26.167999999999999</v>
      </c>
      <c r="AJ122">
        <v>30.524000000000001</v>
      </c>
      <c r="AK122">
        <v>41.320999999999998</v>
      </c>
      <c r="AL122">
        <v>52.326000000000001</v>
      </c>
      <c r="AM122">
        <v>60.902999999999999</v>
      </c>
      <c r="AN122">
        <v>72.033000000000001</v>
      </c>
      <c r="AO122">
        <v>89.966999999999999</v>
      </c>
      <c r="AP122">
        <v>104.383</v>
      </c>
      <c r="AQ122">
        <v>116.78700000000001</v>
      </c>
      <c r="AR122">
        <v>151.43100000000001</v>
      </c>
      <c r="AS122">
        <v>168.988</v>
      </c>
      <c r="AT122">
        <v>165.97900000000001</v>
      </c>
      <c r="AU122">
        <v>180.06100000000001</v>
      </c>
      <c r="AV122">
        <v>227.554</v>
      </c>
      <c r="AW122">
        <v>230.70400000000001</v>
      </c>
      <c r="AX122">
        <v>285.75900000000001</v>
      </c>
      <c r="AY122">
        <v>273.46699999999998</v>
      </c>
      <c r="AZ122">
        <v>285.24900000000002</v>
      </c>
      <c r="BA122">
        <v>345.44299999999998</v>
      </c>
      <c r="BB122">
        <v>371.74599999999998</v>
      </c>
      <c r="BC122">
        <v>400.185</v>
      </c>
      <c r="BD122">
        <v>445.84699999999998</v>
      </c>
      <c r="BE122">
        <v>519.55999999999995</v>
      </c>
      <c r="BF122">
        <v>598.78</v>
      </c>
      <c r="BG122">
        <v>2020</v>
      </c>
      <c r="BH122">
        <v>273.46699999999998</v>
      </c>
      <c r="BI122">
        <v>974.51099999999997</v>
      </c>
      <c r="BJ122">
        <v>974.51099999999997</v>
      </c>
      <c r="BK122">
        <v>2020</v>
      </c>
      <c r="BL122">
        <v>28.061971593958408</v>
      </c>
    </row>
    <row r="123" spans="1:64">
      <c r="A123" t="s">
        <v>333</v>
      </c>
      <c r="B123">
        <v>518</v>
      </c>
      <c r="C123" t="s">
        <v>333</v>
      </c>
      <c r="D123" t="s">
        <v>1659</v>
      </c>
      <c r="E123" t="s">
        <v>120</v>
      </c>
      <c r="F123" t="s">
        <v>1660</v>
      </c>
      <c r="G123" t="s">
        <v>1661</v>
      </c>
      <c r="H123" t="s">
        <v>1662</v>
      </c>
      <c r="I123" t="s">
        <v>883</v>
      </c>
      <c r="J123" t="s">
        <v>1795</v>
      </c>
      <c r="K123" t="s">
        <v>1664</v>
      </c>
      <c r="L123" t="s">
        <v>1664</v>
      </c>
      <c r="M123" t="s">
        <v>1664</v>
      </c>
      <c r="N123" t="s">
        <v>1664</v>
      </c>
      <c r="O123" t="s">
        <v>1664</v>
      </c>
      <c r="P123" t="s">
        <v>1664</v>
      </c>
      <c r="Q123" t="s">
        <v>1664</v>
      </c>
      <c r="R123" t="s">
        <v>1664</v>
      </c>
      <c r="S123" t="s">
        <v>1664</v>
      </c>
      <c r="T123" t="s">
        <v>1664</v>
      </c>
      <c r="U123" t="s">
        <v>1664</v>
      </c>
      <c r="V123" t="s">
        <v>1664</v>
      </c>
      <c r="W123" t="s">
        <v>1664</v>
      </c>
      <c r="X123" t="s">
        <v>1664</v>
      </c>
      <c r="Y123" t="s">
        <v>1664</v>
      </c>
      <c r="Z123" t="s">
        <v>1664</v>
      </c>
      <c r="AA123" t="s">
        <v>1664</v>
      </c>
      <c r="AB123" t="s">
        <v>1664</v>
      </c>
      <c r="AC123">
        <v>282.67099999999999</v>
      </c>
      <c r="AD123">
        <v>355.15800000000002</v>
      </c>
      <c r="AE123">
        <v>372.72699999999998</v>
      </c>
      <c r="AF123">
        <v>396.34100000000001</v>
      </c>
      <c r="AG123">
        <v>528.98099999999999</v>
      </c>
      <c r="AH123">
        <v>687.34100000000001</v>
      </c>
      <c r="AI123">
        <v>851.03499999999997</v>
      </c>
      <c r="AJ123">
        <v>1215.72</v>
      </c>
      <c r="AK123">
        <v>1809.82</v>
      </c>
      <c r="AL123">
        <v>2500.5100000000002</v>
      </c>
      <c r="AM123">
        <v>3023.52</v>
      </c>
      <c r="AN123">
        <v>3208.94</v>
      </c>
      <c r="AO123">
        <v>3431.14</v>
      </c>
      <c r="AP123">
        <v>4092.92</v>
      </c>
      <c r="AQ123">
        <v>7549.2</v>
      </c>
      <c r="AR123">
        <v>11388.07</v>
      </c>
      <c r="AS123">
        <v>13844.77</v>
      </c>
      <c r="AT123">
        <v>14780.69</v>
      </c>
      <c r="AU123">
        <v>14520.27</v>
      </c>
      <c r="AV123">
        <v>14810.54</v>
      </c>
      <c r="AW123">
        <v>16357.85</v>
      </c>
      <c r="AX123">
        <v>17209.16</v>
      </c>
      <c r="AY123">
        <v>18460.259999999998</v>
      </c>
      <c r="AZ123">
        <v>13938.55</v>
      </c>
      <c r="BA123">
        <v>17266.16</v>
      </c>
      <c r="BB123">
        <v>20219.62</v>
      </c>
      <c r="BC123">
        <v>22995.15</v>
      </c>
      <c r="BD123">
        <v>26112.25</v>
      </c>
      <c r="BE123">
        <v>29654.959999999999</v>
      </c>
      <c r="BF123">
        <v>33639.17</v>
      </c>
      <c r="BG123">
        <v>2020</v>
      </c>
      <c r="BH123">
        <v>18460.259999999998</v>
      </c>
      <c r="BI123">
        <v>115105.76</v>
      </c>
      <c r="BJ123">
        <v>115105.76</v>
      </c>
      <c r="BK123">
        <v>2020</v>
      </c>
      <c r="BL123">
        <v>16.037650939449076</v>
      </c>
    </row>
    <row r="124" spans="1:64">
      <c r="A124" t="s">
        <v>392</v>
      </c>
      <c r="B124">
        <v>728</v>
      </c>
      <c r="C124" t="s">
        <v>392</v>
      </c>
      <c r="D124" t="s">
        <v>1659</v>
      </c>
      <c r="E124" t="s">
        <v>177</v>
      </c>
      <c r="F124" t="s">
        <v>1660</v>
      </c>
      <c r="G124" t="s">
        <v>1661</v>
      </c>
      <c r="H124" t="s">
        <v>1662</v>
      </c>
      <c r="I124" t="s">
        <v>883</v>
      </c>
      <c r="J124" t="s">
        <v>1796</v>
      </c>
      <c r="K124" t="s">
        <v>1664</v>
      </c>
      <c r="L124" t="s">
        <v>1664</v>
      </c>
      <c r="M124" t="s">
        <v>1664</v>
      </c>
      <c r="N124" t="s">
        <v>1664</v>
      </c>
      <c r="O124" t="s">
        <v>1664</v>
      </c>
      <c r="P124" t="s">
        <v>1664</v>
      </c>
      <c r="Q124" t="s">
        <v>1664</v>
      </c>
      <c r="R124" t="s">
        <v>1664</v>
      </c>
      <c r="S124" t="s">
        <v>1664</v>
      </c>
      <c r="T124" t="s">
        <v>1664</v>
      </c>
      <c r="U124">
        <v>2.08</v>
      </c>
      <c r="V124">
        <v>2.4649999999999999</v>
      </c>
      <c r="W124">
        <v>2.843</v>
      </c>
      <c r="X124">
        <v>3.0649999999999999</v>
      </c>
      <c r="Y124">
        <v>3.5329999999999999</v>
      </c>
      <c r="Z124">
        <v>3.9929999999999999</v>
      </c>
      <c r="AA124">
        <v>4.5410000000000004</v>
      </c>
      <c r="AB124">
        <v>5.4050000000000002</v>
      </c>
      <c r="AC124">
        <v>6.0410000000000004</v>
      </c>
      <c r="AD124">
        <v>7.0010000000000003</v>
      </c>
      <c r="AE124">
        <v>8.0180000000000007</v>
      </c>
      <c r="AF124">
        <v>8.8369999999999997</v>
      </c>
      <c r="AG124">
        <v>10.166</v>
      </c>
      <c r="AH124">
        <v>10.013999999999999</v>
      </c>
      <c r="AI124">
        <v>11.071</v>
      </c>
      <c r="AJ124">
        <v>12.762</v>
      </c>
      <c r="AK124">
        <v>16.064</v>
      </c>
      <c r="AL124">
        <v>19.760000000000002</v>
      </c>
      <c r="AM124">
        <v>22.347000000000001</v>
      </c>
      <c r="AN124">
        <v>23.736000000000001</v>
      </c>
      <c r="AO124">
        <v>23.530999999999999</v>
      </c>
      <c r="AP124">
        <v>28.28</v>
      </c>
      <c r="AQ124">
        <v>34.131999999999998</v>
      </c>
      <c r="AR124">
        <v>39.475999999999999</v>
      </c>
      <c r="AS124">
        <v>47.661999999999999</v>
      </c>
      <c r="AT124">
        <v>51.65</v>
      </c>
      <c r="AU124">
        <v>51.191000000000003</v>
      </c>
      <c r="AV124">
        <v>56.787999999999997</v>
      </c>
      <c r="AW124">
        <v>56.557000000000002</v>
      </c>
      <c r="AX124">
        <v>57.848999999999997</v>
      </c>
      <c r="AY124">
        <v>58.01</v>
      </c>
      <c r="AZ124">
        <v>54.612000000000002</v>
      </c>
      <c r="BA124">
        <v>56.94</v>
      </c>
      <c r="BB124">
        <v>66.835999999999999</v>
      </c>
      <c r="BC124">
        <v>73.944000000000003</v>
      </c>
      <c r="BD124">
        <v>78.968999999999994</v>
      </c>
      <c r="BE124">
        <v>84.313999999999993</v>
      </c>
      <c r="BF124">
        <v>90.441000000000003</v>
      </c>
      <c r="BG124">
        <v>2020</v>
      </c>
      <c r="BH124">
        <v>58.01</v>
      </c>
      <c r="BI124">
        <v>174.827</v>
      </c>
      <c r="BJ124">
        <v>174.827</v>
      </c>
      <c r="BK124">
        <v>2020</v>
      </c>
      <c r="BL124">
        <v>33.181373586459756</v>
      </c>
    </row>
    <row r="125" spans="1:64">
      <c r="A125" t="s">
        <v>545</v>
      </c>
      <c r="B125">
        <v>836</v>
      </c>
      <c r="C125" t="s">
        <v>545</v>
      </c>
      <c r="D125" t="s">
        <v>1659</v>
      </c>
      <c r="E125" t="s">
        <v>241</v>
      </c>
      <c r="F125" t="s">
        <v>1660</v>
      </c>
      <c r="G125" t="s">
        <v>1661</v>
      </c>
      <c r="H125" t="s">
        <v>1662</v>
      </c>
      <c r="I125" t="s">
        <v>883</v>
      </c>
      <c r="J125" t="s">
        <v>1797</v>
      </c>
      <c r="K125" t="s">
        <v>1664</v>
      </c>
      <c r="L125" t="s">
        <v>1664</v>
      </c>
      <c r="M125" t="s">
        <v>1664</v>
      </c>
      <c r="N125" t="s">
        <v>1664</v>
      </c>
      <c r="O125" t="s">
        <v>1664</v>
      </c>
      <c r="P125" t="s">
        <v>1664</v>
      </c>
      <c r="Q125" t="s">
        <v>1664</v>
      </c>
      <c r="R125" t="s">
        <v>1664</v>
      </c>
      <c r="S125" t="s">
        <v>1664</v>
      </c>
      <c r="T125" t="s">
        <v>1664</v>
      </c>
      <c r="U125" t="s">
        <v>1664</v>
      </c>
      <c r="V125" t="s">
        <v>1664</v>
      </c>
      <c r="W125" t="s">
        <v>1664</v>
      </c>
      <c r="X125" t="s">
        <v>1664</v>
      </c>
      <c r="Y125" t="s">
        <v>1664</v>
      </c>
      <c r="Z125" t="s">
        <v>1664</v>
      </c>
      <c r="AA125" t="s">
        <v>1664</v>
      </c>
      <c r="AB125" t="s">
        <v>1664</v>
      </c>
      <c r="AC125" t="s">
        <v>1664</v>
      </c>
      <c r="AD125" t="s">
        <v>1664</v>
      </c>
      <c r="AE125" t="s">
        <v>1664</v>
      </c>
      <c r="AF125" t="s">
        <v>1664</v>
      </c>
      <c r="AG125" t="s">
        <v>1664</v>
      </c>
      <c r="AH125" t="s">
        <v>1664</v>
      </c>
      <c r="AI125" t="s">
        <v>1664</v>
      </c>
      <c r="AJ125" t="s">
        <v>1664</v>
      </c>
      <c r="AK125" t="s">
        <v>1664</v>
      </c>
      <c r="AL125" t="s">
        <v>1664</v>
      </c>
      <c r="AM125" t="s">
        <v>1664</v>
      </c>
      <c r="AN125">
        <v>4.1000000000000002E-2</v>
      </c>
      <c r="AO125">
        <v>0.04</v>
      </c>
      <c r="AP125">
        <v>3.2000000000000001E-2</v>
      </c>
      <c r="AQ125">
        <v>5.2999999999999999E-2</v>
      </c>
      <c r="AR125">
        <v>6.2E-2</v>
      </c>
      <c r="AS125">
        <v>9.8000000000000004E-2</v>
      </c>
      <c r="AT125">
        <v>9.8000000000000004E-2</v>
      </c>
      <c r="AU125">
        <v>0.158</v>
      </c>
      <c r="AV125">
        <v>0.17699999999999999</v>
      </c>
      <c r="AW125">
        <v>0.20699999999999999</v>
      </c>
      <c r="AX125">
        <v>0.246</v>
      </c>
      <c r="AY125">
        <v>0.28999999999999998</v>
      </c>
      <c r="AZ125">
        <v>0.32</v>
      </c>
      <c r="BA125">
        <v>0.315</v>
      </c>
      <c r="BB125">
        <v>0.23499999999999999</v>
      </c>
      <c r="BC125">
        <v>0.23100000000000001</v>
      </c>
      <c r="BD125">
        <v>0.22700000000000001</v>
      </c>
      <c r="BE125">
        <v>0.222</v>
      </c>
      <c r="BF125">
        <v>0.22</v>
      </c>
      <c r="BG125">
        <v>2021</v>
      </c>
      <c r="BH125">
        <v>0.32</v>
      </c>
      <c r="BI125">
        <v>0.17899999999999999</v>
      </c>
      <c r="BJ125">
        <v>0.16600000000000001</v>
      </c>
      <c r="BK125">
        <v>2019</v>
      </c>
      <c r="BL125">
        <v>178.77094972067042</v>
      </c>
    </row>
    <row r="126" spans="1:64">
      <c r="A126" t="s">
        <v>338</v>
      </c>
      <c r="B126">
        <v>558</v>
      </c>
      <c r="C126" t="s">
        <v>338</v>
      </c>
      <c r="D126" t="s">
        <v>1659</v>
      </c>
      <c r="E126" t="s">
        <v>124</v>
      </c>
      <c r="F126" t="s">
        <v>1660</v>
      </c>
      <c r="G126" t="s">
        <v>1661</v>
      </c>
      <c r="H126" t="s">
        <v>1662</v>
      </c>
      <c r="I126" t="s">
        <v>883</v>
      </c>
      <c r="J126" t="s">
        <v>1798</v>
      </c>
      <c r="K126" t="s">
        <v>1664</v>
      </c>
      <c r="L126" t="s">
        <v>1664</v>
      </c>
      <c r="M126" t="s">
        <v>1664</v>
      </c>
      <c r="N126" t="s">
        <v>1664</v>
      </c>
      <c r="O126" t="s">
        <v>1664</v>
      </c>
      <c r="P126" t="s">
        <v>1664</v>
      </c>
      <c r="Q126" t="s">
        <v>1664</v>
      </c>
      <c r="R126" t="s">
        <v>1664</v>
      </c>
      <c r="S126" t="s">
        <v>1664</v>
      </c>
      <c r="T126" t="s">
        <v>1664</v>
      </c>
      <c r="U126" t="s">
        <v>1664</v>
      </c>
      <c r="V126" t="s">
        <v>1664</v>
      </c>
      <c r="W126" t="s">
        <v>1664</v>
      </c>
      <c r="X126" t="s">
        <v>1664</v>
      </c>
      <c r="Y126" t="s">
        <v>1664</v>
      </c>
      <c r="Z126" t="s">
        <v>1664</v>
      </c>
      <c r="AA126" t="s">
        <v>1664</v>
      </c>
      <c r="AB126" t="s">
        <v>1664</v>
      </c>
      <c r="AC126" t="s">
        <v>1664</v>
      </c>
      <c r="AD126" t="s">
        <v>1664</v>
      </c>
      <c r="AE126">
        <v>46.241999999999997</v>
      </c>
      <c r="AF126">
        <v>53.128999999999998</v>
      </c>
      <c r="AG126">
        <v>55.176000000000002</v>
      </c>
      <c r="AH126">
        <v>65.238</v>
      </c>
      <c r="AI126">
        <v>71.358000000000004</v>
      </c>
      <c r="AJ126">
        <v>82.653000000000006</v>
      </c>
      <c r="AK126">
        <v>85.088999999999999</v>
      </c>
      <c r="AL126">
        <v>103.22</v>
      </c>
      <c r="AM126">
        <v>121.877</v>
      </c>
      <c r="AN126">
        <v>166.196</v>
      </c>
      <c r="AO126">
        <v>214.726</v>
      </c>
      <c r="AP126">
        <v>243.68600000000001</v>
      </c>
      <c r="AQ126">
        <v>274.351</v>
      </c>
      <c r="AR126">
        <v>332.73500000000001</v>
      </c>
      <c r="AS126">
        <v>400.30399999999997</v>
      </c>
      <c r="AT126">
        <v>442.24099999999999</v>
      </c>
      <c r="AU126">
        <v>525.01</v>
      </c>
      <c r="AV126">
        <v>644.53</v>
      </c>
      <c r="AW126">
        <v>766.03599999999994</v>
      </c>
      <c r="AX126">
        <v>862.56100000000004</v>
      </c>
      <c r="AY126">
        <v>865.03099999999995</v>
      </c>
      <c r="AZ126">
        <v>1009.51</v>
      </c>
      <c r="BA126">
        <v>1159.8</v>
      </c>
      <c r="BB126">
        <v>1345.64</v>
      </c>
      <c r="BC126">
        <v>1531.04</v>
      </c>
      <c r="BD126">
        <v>1725.66</v>
      </c>
      <c r="BE126">
        <v>1914.06</v>
      </c>
      <c r="BF126">
        <v>2117.89</v>
      </c>
      <c r="BG126">
        <v>2020</v>
      </c>
      <c r="BH126">
        <v>865.03099999999995</v>
      </c>
      <c r="BI126">
        <v>3914.7</v>
      </c>
      <c r="BJ126">
        <v>3914.7</v>
      </c>
      <c r="BK126">
        <v>2020</v>
      </c>
      <c r="BL126">
        <v>22.096993383911922</v>
      </c>
    </row>
    <row r="127" spans="1:64">
      <c r="A127" t="s">
        <v>460</v>
      </c>
      <c r="B127">
        <v>138</v>
      </c>
      <c r="C127" t="s">
        <v>460</v>
      </c>
      <c r="D127" t="s">
        <v>1659</v>
      </c>
      <c r="E127" t="s">
        <v>66</v>
      </c>
      <c r="F127" t="s">
        <v>1660</v>
      </c>
      <c r="G127" t="s">
        <v>1661</v>
      </c>
      <c r="H127" t="s">
        <v>1662</v>
      </c>
      <c r="I127" t="s">
        <v>883</v>
      </c>
      <c r="J127" t="s">
        <v>1799</v>
      </c>
      <c r="K127">
        <v>81.212999999999994</v>
      </c>
      <c r="L127">
        <v>86.385999999999996</v>
      </c>
      <c r="M127">
        <v>91.576999999999998</v>
      </c>
      <c r="N127">
        <v>96.914000000000001</v>
      </c>
      <c r="O127">
        <v>100.01300000000001</v>
      </c>
      <c r="P127">
        <v>105.35</v>
      </c>
      <c r="Q127">
        <v>108.122</v>
      </c>
      <c r="R127">
        <v>109.751</v>
      </c>
      <c r="S127">
        <v>112.224</v>
      </c>
      <c r="T127">
        <v>112.438</v>
      </c>
      <c r="U127">
        <v>118.727</v>
      </c>
      <c r="V127">
        <v>133.239</v>
      </c>
      <c r="W127">
        <v>137.50899999999999</v>
      </c>
      <c r="X127">
        <v>143.304</v>
      </c>
      <c r="Y127">
        <v>144.91900000000001</v>
      </c>
      <c r="Z127">
        <v>145.494</v>
      </c>
      <c r="AA127">
        <v>152.947</v>
      </c>
      <c r="AB127">
        <v>159.28399999999999</v>
      </c>
      <c r="AC127">
        <v>166.48699999999999</v>
      </c>
      <c r="AD127">
        <v>179.93899999999999</v>
      </c>
      <c r="AE127">
        <v>192.31100000000001</v>
      </c>
      <c r="AF127">
        <v>200.68299999999999</v>
      </c>
      <c r="AG127">
        <v>203.77</v>
      </c>
      <c r="AH127">
        <v>208.05799999999999</v>
      </c>
      <c r="AI127">
        <v>215.99299999999999</v>
      </c>
      <c r="AJ127">
        <v>225.99100000000001</v>
      </c>
      <c r="AK127">
        <v>246.898</v>
      </c>
      <c r="AL127">
        <v>256.68700000000001</v>
      </c>
      <c r="AM127">
        <v>275.339</v>
      </c>
      <c r="AN127">
        <v>260.36399999999998</v>
      </c>
      <c r="AO127">
        <v>267.166</v>
      </c>
      <c r="AP127">
        <v>270.16300000000001</v>
      </c>
      <c r="AQ127">
        <v>274.44299999999998</v>
      </c>
      <c r="AR127">
        <v>282.51100000000002</v>
      </c>
      <c r="AS127">
        <v>287.24599999999998</v>
      </c>
      <c r="AT127">
        <v>288.29599999999999</v>
      </c>
      <c r="AU127">
        <v>303.26400000000001</v>
      </c>
      <c r="AV127">
        <v>316.83199999999999</v>
      </c>
      <c r="AW127">
        <v>331.822</v>
      </c>
      <c r="AX127">
        <v>354.351</v>
      </c>
      <c r="AY127">
        <v>328.59800000000001</v>
      </c>
      <c r="AZ127">
        <v>357.25200000000001</v>
      </c>
      <c r="BA127">
        <v>380.68799999999999</v>
      </c>
      <c r="BB127">
        <v>398.464</v>
      </c>
      <c r="BC127">
        <v>412.53199999999998</v>
      </c>
      <c r="BD127">
        <v>428.55900000000003</v>
      </c>
      <c r="BE127">
        <v>444.99299999999999</v>
      </c>
      <c r="BF127">
        <v>459.81099999999998</v>
      </c>
      <c r="BG127">
        <v>2020</v>
      </c>
      <c r="BH127">
        <v>328.59800000000001</v>
      </c>
      <c r="BI127">
        <v>800.09500000000003</v>
      </c>
      <c r="BJ127">
        <v>860.71900000000005</v>
      </c>
      <c r="BK127">
        <v>2021</v>
      </c>
      <c r="BL127">
        <v>41.069872952586884</v>
      </c>
    </row>
    <row r="128" spans="1:64">
      <c r="A128" t="s">
        <v>453</v>
      </c>
      <c r="B128">
        <v>196</v>
      </c>
      <c r="C128" t="s">
        <v>453</v>
      </c>
      <c r="D128" t="s">
        <v>1659</v>
      </c>
      <c r="E128" t="s">
        <v>71</v>
      </c>
      <c r="F128" t="s">
        <v>1660</v>
      </c>
      <c r="G128" t="s">
        <v>1661</v>
      </c>
      <c r="H128" t="s">
        <v>1662</v>
      </c>
      <c r="I128" t="s">
        <v>883</v>
      </c>
      <c r="J128" t="s">
        <v>1800</v>
      </c>
      <c r="K128" t="s">
        <v>1664</v>
      </c>
      <c r="L128" t="s">
        <v>1664</v>
      </c>
      <c r="M128" t="s">
        <v>1664</v>
      </c>
      <c r="N128" t="s">
        <v>1664</v>
      </c>
      <c r="O128" t="s">
        <v>1664</v>
      </c>
      <c r="P128">
        <v>17.734000000000002</v>
      </c>
      <c r="Q128">
        <v>21.774999999999999</v>
      </c>
      <c r="R128">
        <v>26.646000000000001</v>
      </c>
      <c r="S128">
        <v>30.702000000000002</v>
      </c>
      <c r="T128">
        <v>33.686</v>
      </c>
      <c r="U128">
        <v>35.898000000000003</v>
      </c>
      <c r="V128">
        <v>35.268999999999998</v>
      </c>
      <c r="W128">
        <v>35.764000000000003</v>
      </c>
      <c r="X128">
        <v>37.531999999999996</v>
      </c>
      <c r="Y128">
        <v>39.918999999999997</v>
      </c>
      <c r="Z128">
        <v>42.985999999999997</v>
      </c>
      <c r="AA128">
        <v>42.683</v>
      </c>
      <c r="AB128">
        <v>42.164999999999999</v>
      </c>
      <c r="AC128">
        <v>42.006999999999998</v>
      </c>
      <c r="AD128">
        <v>42.448</v>
      </c>
      <c r="AE128">
        <v>45.552999999999997</v>
      </c>
      <c r="AF128">
        <v>48.682000000000002</v>
      </c>
      <c r="AG128">
        <v>52.588999999999999</v>
      </c>
      <c r="AH128">
        <v>57.152000000000001</v>
      </c>
      <c r="AI128">
        <v>62.223999999999997</v>
      </c>
      <c r="AJ128">
        <v>67.953999999999994</v>
      </c>
      <c r="AK128">
        <v>71.783000000000001</v>
      </c>
      <c r="AL128">
        <v>74.552000000000007</v>
      </c>
      <c r="AM128">
        <v>75.885999999999996</v>
      </c>
      <c r="AN128">
        <v>74.149000000000001</v>
      </c>
      <c r="AO128">
        <v>75.599000000000004</v>
      </c>
      <c r="AP128">
        <v>79.031999999999996</v>
      </c>
      <c r="AQ128">
        <v>81.117000000000004</v>
      </c>
      <c r="AR128">
        <v>85.075000000000003</v>
      </c>
      <c r="AS128">
        <v>89.873999999999995</v>
      </c>
      <c r="AT128">
        <v>94.59</v>
      </c>
      <c r="AU128">
        <v>99.798000000000002</v>
      </c>
      <c r="AV128">
        <v>105.881</v>
      </c>
      <c r="AW128">
        <v>113.026</v>
      </c>
      <c r="AX128">
        <v>116.152</v>
      </c>
      <c r="AY128">
        <v>122.033</v>
      </c>
      <c r="AZ128">
        <v>131.75700000000001</v>
      </c>
      <c r="BA128">
        <v>139.86600000000001</v>
      </c>
      <c r="BB128">
        <v>149.56800000000001</v>
      </c>
      <c r="BC128">
        <v>158.28</v>
      </c>
      <c r="BD128">
        <v>166.38300000000001</v>
      </c>
      <c r="BE128">
        <v>174.74600000000001</v>
      </c>
      <c r="BF128">
        <v>179.47499999999999</v>
      </c>
      <c r="BG128">
        <v>2020</v>
      </c>
      <c r="BH128">
        <v>122.033</v>
      </c>
      <c r="BI128">
        <v>324.14</v>
      </c>
      <c r="BJ128">
        <v>350.07</v>
      </c>
      <c r="BK128">
        <v>2021</v>
      </c>
      <c r="BL128">
        <v>37.648238415499478</v>
      </c>
    </row>
    <row r="129" spans="1:64">
      <c r="A129" t="s">
        <v>354</v>
      </c>
      <c r="B129">
        <v>278</v>
      </c>
      <c r="C129" t="s">
        <v>354</v>
      </c>
      <c r="D129" t="s">
        <v>1659</v>
      </c>
      <c r="E129" t="s">
        <v>140</v>
      </c>
      <c r="F129" t="s">
        <v>1660</v>
      </c>
      <c r="G129" t="s">
        <v>1661</v>
      </c>
      <c r="H129" t="s">
        <v>1662</v>
      </c>
      <c r="I129" t="s">
        <v>883</v>
      </c>
      <c r="J129" t="s">
        <v>1801</v>
      </c>
      <c r="K129" t="s">
        <v>1664</v>
      </c>
      <c r="L129" t="s">
        <v>1664</v>
      </c>
      <c r="M129" t="s">
        <v>1664</v>
      </c>
      <c r="N129" t="s">
        <v>1664</v>
      </c>
      <c r="O129" t="s">
        <v>1664</v>
      </c>
      <c r="P129" t="s">
        <v>1664</v>
      </c>
      <c r="Q129" t="s">
        <v>1664</v>
      </c>
      <c r="R129" t="s">
        <v>1664</v>
      </c>
      <c r="S129" t="s">
        <v>1664</v>
      </c>
      <c r="T129" t="s">
        <v>1664</v>
      </c>
      <c r="U129" t="s">
        <v>1664</v>
      </c>
      <c r="V129" t="s">
        <v>1664</v>
      </c>
      <c r="W129" t="s">
        <v>1664</v>
      </c>
      <c r="X129" t="s">
        <v>1664</v>
      </c>
      <c r="Y129" t="s">
        <v>1664</v>
      </c>
      <c r="Z129" t="s">
        <v>1664</v>
      </c>
      <c r="AA129" t="s">
        <v>1664</v>
      </c>
      <c r="AB129" t="s">
        <v>1664</v>
      </c>
      <c r="AC129" t="s">
        <v>1664</v>
      </c>
      <c r="AD129" t="s">
        <v>1664</v>
      </c>
      <c r="AE129">
        <v>14.724</v>
      </c>
      <c r="AF129">
        <v>14.003</v>
      </c>
      <c r="AG129">
        <v>15.481999999999999</v>
      </c>
      <c r="AH129">
        <v>17.831</v>
      </c>
      <c r="AI129">
        <v>20.786000000000001</v>
      </c>
      <c r="AJ129">
        <v>24.31</v>
      </c>
      <c r="AK129">
        <v>26.608000000000001</v>
      </c>
      <c r="AL129">
        <v>31.231000000000002</v>
      </c>
      <c r="AM129">
        <v>35.345999999999997</v>
      </c>
      <c r="AN129">
        <v>35.892000000000003</v>
      </c>
      <c r="AO129">
        <v>42.01</v>
      </c>
      <c r="AP129">
        <v>51.451999999999998</v>
      </c>
      <c r="AQ129">
        <v>59.357999999999997</v>
      </c>
      <c r="AR129">
        <v>63.755000000000003</v>
      </c>
      <c r="AS129">
        <v>72</v>
      </c>
      <c r="AT129">
        <v>82.712000000000003</v>
      </c>
      <c r="AU129">
        <v>94.745000000000005</v>
      </c>
      <c r="AV129">
        <v>105.55200000000001</v>
      </c>
      <c r="AW129">
        <v>101.111</v>
      </c>
      <c r="AX129">
        <v>115.018</v>
      </c>
      <c r="AY129">
        <v>116.38800000000001</v>
      </c>
      <c r="AZ129">
        <v>142.005</v>
      </c>
      <c r="BA129">
        <v>147.73599999999999</v>
      </c>
      <c r="BB129">
        <v>156.61799999999999</v>
      </c>
      <c r="BC129">
        <v>169.684</v>
      </c>
      <c r="BD129">
        <v>181.714</v>
      </c>
      <c r="BE129">
        <v>194.69300000000001</v>
      </c>
      <c r="BF129">
        <v>207.47300000000001</v>
      </c>
      <c r="BG129">
        <v>2020</v>
      </c>
      <c r="BH129">
        <v>116.38800000000001</v>
      </c>
      <c r="BI129">
        <v>433.44799999999998</v>
      </c>
      <c r="BJ129">
        <v>433.44799999999998</v>
      </c>
      <c r="BK129">
        <v>2020</v>
      </c>
      <c r="BL129">
        <v>26.851663867407392</v>
      </c>
    </row>
    <row r="130" spans="1:64">
      <c r="A130" t="s">
        <v>314</v>
      </c>
      <c r="B130">
        <v>692</v>
      </c>
      <c r="C130" t="s">
        <v>314</v>
      </c>
      <c r="D130" t="s">
        <v>1659</v>
      </c>
      <c r="E130" t="s">
        <v>101</v>
      </c>
      <c r="F130" t="s">
        <v>1660</v>
      </c>
      <c r="G130" t="s">
        <v>1661</v>
      </c>
      <c r="H130" t="s">
        <v>1662</v>
      </c>
      <c r="I130" t="s">
        <v>883</v>
      </c>
      <c r="J130" t="s">
        <v>1802</v>
      </c>
      <c r="K130" t="s">
        <v>1664</v>
      </c>
      <c r="L130" t="s">
        <v>1664</v>
      </c>
      <c r="M130" t="s">
        <v>1664</v>
      </c>
      <c r="N130" t="s">
        <v>1664</v>
      </c>
      <c r="O130" t="s">
        <v>1664</v>
      </c>
      <c r="P130" t="s">
        <v>1664</v>
      </c>
      <c r="Q130" t="s">
        <v>1664</v>
      </c>
      <c r="R130" t="s">
        <v>1664</v>
      </c>
      <c r="S130" t="s">
        <v>1664</v>
      </c>
      <c r="T130" t="s">
        <v>1664</v>
      </c>
      <c r="U130" t="s">
        <v>1664</v>
      </c>
      <c r="V130" t="s">
        <v>1664</v>
      </c>
      <c r="W130" t="s">
        <v>1664</v>
      </c>
      <c r="X130" t="s">
        <v>1664</v>
      </c>
      <c r="Y130" t="s">
        <v>1664</v>
      </c>
      <c r="Z130">
        <v>106.55200000000001</v>
      </c>
      <c r="AA130">
        <v>128.96</v>
      </c>
      <c r="AB130">
        <v>140.02000000000001</v>
      </c>
      <c r="AC130">
        <v>177.25</v>
      </c>
      <c r="AD130">
        <v>166.42</v>
      </c>
      <c r="AE130">
        <v>169.40600000000001</v>
      </c>
      <c r="AF130">
        <v>199.286</v>
      </c>
      <c r="AG130">
        <v>235.48500000000001</v>
      </c>
      <c r="AH130">
        <v>232.7</v>
      </c>
      <c r="AI130">
        <v>263</v>
      </c>
      <c r="AJ130">
        <v>323.12299999999999</v>
      </c>
      <c r="AK130">
        <v>1145.76</v>
      </c>
      <c r="AL130">
        <v>455.51499999999999</v>
      </c>
      <c r="AM130">
        <v>583.93200000000002</v>
      </c>
      <c r="AN130">
        <v>474.48</v>
      </c>
      <c r="AO130">
        <v>515.73699999999997</v>
      </c>
      <c r="AP130">
        <v>541.98199999999997</v>
      </c>
      <c r="AQ130">
        <v>759.322</v>
      </c>
      <c r="AR130">
        <v>933.33699999999999</v>
      </c>
      <c r="AS130">
        <v>936.30799999999999</v>
      </c>
      <c r="AT130">
        <v>1001.34</v>
      </c>
      <c r="AU130">
        <v>914.05799999999999</v>
      </c>
      <c r="AV130">
        <v>999.70100000000002</v>
      </c>
      <c r="AW130">
        <v>1291.32</v>
      </c>
      <c r="AX130">
        <v>1362.5</v>
      </c>
      <c r="AY130">
        <v>1388.37</v>
      </c>
      <c r="AZ130">
        <v>1517.34</v>
      </c>
      <c r="BA130">
        <v>1606.63</v>
      </c>
      <c r="BB130">
        <v>1801.79</v>
      </c>
      <c r="BC130">
        <v>2103.41</v>
      </c>
      <c r="BD130">
        <v>2544.9499999999998</v>
      </c>
      <c r="BE130">
        <v>2796.87</v>
      </c>
      <c r="BF130">
        <v>3036.96</v>
      </c>
      <c r="BG130">
        <v>2020</v>
      </c>
      <c r="BH130">
        <v>1388.37</v>
      </c>
      <c r="BI130">
        <v>7907.39</v>
      </c>
      <c r="BJ130">
        <v>7907.39</v>
      </c>
      <c r="BK130">
        <v>2020</v>
      </c>
      <c r="BL130">
        <v>17.557879401420696</v>
      </c>
    </row>
    <row r="131" spans="1:64">
      <c r="A131" t="s">
        <v>355</v>
      </c>
      <c r="B131">
        <v>694</v>
      </c>
      <c r="C131" t="s">
        <v>355</v>
      </c>
      <c r="D131" t="s">
        <v>1659</v>
      </c>
      <c r="E131" t="s">
        <v>141</v>
      </c>
      <c r="F131" t="s">
        <v>1660</v>
      </c>
      <c r="G131" t="s">
        <v>1661</v>
      </c>
      <c r="H131" t="s">
        <v>1662</v>
      </c>
      <c r="I131" t="s">
        <v>883</v>
      </c>
      <c r="J131" t="s">
        <v>1803</v>
      </c>
      <c r="K131" t="s">
        <v>1664</v>
      </c>
      <c r="L131" t="s">
        <v>1664</v>
      </c>
      <c r="M131" t="s">
        <v>1664</v>
      </c>
      <c r="N131" t="s">
        <v>1664</v>
      </c>
      <c r="O131" t="s">
        <v>1664</v>
      </c>
      <c r="P131" t="s">
        <v>1664</v>
      </c>
      <c r="Q131" t="s">
        <v>1664</v>
      </c>
      <c r="R131" t="s">
        <v>1664</v>
      </c>
      <c r="S131" t="s">
        <v>1664</v>
      </c>
      <c r="T131" t="s">
        <v>1664</v>
      </c>
      <c r="U131">
        <v>96.415999999999997</v>
      </c>
      <c r="V131">
        <v>104.331</v>
      </c>
      <c r="W131">
        <v>216.387</v>
      </c>
      <c r="X131">
        <v>246.923</v>
      </c>
      <c r="Y131">
        <v>225.988</v>
      </c>
      <c r="Z131">
        <v>464.59899999999999</v>
      </c>
      <c r="AA131">
        <v>598.05399999999997</v>
      </c>
      <c r="AB131">
        <v>626.255</v>
      </c>
      <c r="AC131">
        <v>496.892</v>
      </c>
      <c r="AD131">
        <v>1011</v>
      </c>
      <c r="AE131">
        <v>1986.95</v>
      </c>
      <c r="AF131">
        <v>2247.88</v>
      </c>
      <c r="AG131">
        <v>2348.4499999999998</v>
      </c>
      <c r="AH131">
        <v>2794.77</v>
      </c>
      <c r="AI131">
        <v>4127.32</v>
      </c>
      <c r="AJ131">
        <v>5059.6400000000003</v>
      </c>
      <c r="AK131">
        <v>6040.81</v>
      </c>
      <c r="AL131">
        <v>5615.14</v>
      </c>
      <c r="AM131">
        <v>7861.48</v>
      </c>
      <c r="AN131">
        <v>4475.0600000000004</v>
      </c>
      <c r="AO131">
        <v>6889.58</v>
      </c>
      <c r="AP131">
        <v>11295.84</v>
      </c>
      <c r="AQ131">
        <v>10679.12</v>
      </c>
      <c r="AR131">
        <v>9302.27</v>
      </c>
      <c r="AS131">
        <v>9858.2099999999991</v>
      </c>
      <c r="AT131">
        <v>6900.28</v>
      </c>
      <c r="AU131">
        <v>5247.14</v>
      </c>
      <c r="AV131">
        <v>7555.4</v>
      </c>
      <c r="AW131">
        <v>10978.48</v>
      </c>
      <c r="AX131">
        <v>11405.3</v>
      </c>
      <c r="AY131">
        <v>9750.7999999999993</v>
      </c>
      <c r="AZ131">
        <v>12716.85</v>
      </c>
      <c r="BA131">
        <v>17703.669999999998</v>
      </c>
      <c r="BB131">
        <v>19354.759999999998</v>
      </c>
      <c r="BC131">
        <v>21541.01</v>
      </c>
      <c r="BD131">
        <v>23486.86</v>
      </c>
      <c r="BE131">
        <v>25610.080000000002</v>
      </c>
      <c r="BF131">
        <v>28821.59</v>
      </c>
      <c r="BG131">
        <v>2020</v>
      </c>
      <c r="BH131">
        <v>9750.7999999999993</v>
      </c>
      <c r="BI131">
        <v>154252.32</v>
      </c>
      <c r="BJ131">
        <v>154252.32</v>
      </c>
      <c r="BK131">
        <v>2020</v>
      </c>
      <c r="BL131">
        <v>6.3213311799783618</v>
      </c>
    </row>
    <row r="132" spans="1:64">
      <c r="A132" t="s">
        <v>408</v>
      </c>
      <c r="B132">
        <v>962</v>
      </c>
      <c r="C132" t="s">
        <v>408</v>
      </c>
      <c r="D132" t="s">
        <v>1659</v>
      </c>
      <c r="E132" t="s">
        <v>193</v>
      </c>
      <c r="F132" t="s">
        <v>1660</v>
      </c>
      <c r="G132" t="s">
        <v>1661</v>
      </c>
      <c r="H132" t="s">
        <v>1662</v>
      </c>
      <c r="I132" t="s">
        <v>883</v>
      </c>
      <c r="J132" t="s">
        <v>1804</v>
      </c>
      <c r="K132" t="s">
        <v>1664</v>
      </c>
      <c r="L132" t="s">
        <v>1664</v>
      </c>
      <c r="M132" t="s">
        <v>1664</v>
      </c>
      <c r="N132" t="s">
        <v>1664</v>
      </c>
      <c r="O132" t="s">
        <v>1664</v>
      </c>
      <c r="P132" t="s">
        <v>1664</v>
      </c>
      <c r="Q132" t="s">
        <v>1664</v>
      </c>
      <c r="R132" t="s">
        <v>1664</v>
      </c>
      <c r="S132" t="s">
        <v>1664</v>
      </c>
      <c r="T132" t="s">
        <v>1664</v>
      </c>
      <c r="U132" t="s">
        <v>1664</v>
      </c>
      <c r="V132" t="s">
        <v>1664</v>
      </c>
      <c r="W132" t="s">
        <v>1664</v>
      </c>
      <c r="X132" t="s">
        <v>1664</v>
      </c>
      <c r="Y132" t="s">
        <v>1664</v>
      </c>
      <c r="Z132" t="s">
        <v>1664</v>
      </c>
      <c r="AA132" t="s">
        <v>1664</v>
      </c>
      <c r="AB132">
        <v>63.704999999999998</v>
      </c>
      <c r="AC132">
        <v>63.938000000000002</v>
      </c>
      <c r="AD132">
        <v>73.022999999999996</v>
      </c>
      <c r="AE132">
        <v>85.533000000000001</v>
      </c>
      <c r="AF132">
        <v>79.453000000000003</v>
      </c>
      <c r="AG132">
        <v>85.203999999999994</v>
      </c>
      <c r="AH132">
        <v>96.534999999999997</v>
      </c>
      <c r="AI132">
        <v>96.844999999999999</v>
      </c>
      <c r="AJ132">
        <v>100.875</v>
      </c>
      <c r="AK132">
        <v>103.617</v>
      </c>
      <c r="AL132">
        <v>119.422</v>
      </c>
      <c r="AM132">
        <v>136.22200000000001</v>
      </c>
      <c r="AN132">
        <v>128.261</v>
      </c>
      <c r="AO132">
        <v>131.625</v>
      </c>
      <c r="AP132">
        <v>136.387</v>
      </c>
      <c r="AQ132">
        <v>137.44399999999999</v>
      </c>
      <c r="AR132">
        <v>139.71100000000001</v>
      </c>
      <c r="AS132">
        <v>145.20099999999999</v>
      </c>
      <c r="AT132">
        <v>160.68299999999999</v>
      </c>
      <c r="AU132">
        <v>168.95400000000001</v>
      </c>
      <c r="AV132">
        <v>179.435</v>
      </c>
      <c r="AW132">
        <v>188.42400000000001</v>
      </c>
      <c r="AX132">
        <v>203.911</v>
      </c>
      <c r="AY132">
        <v>189.77</v>
      </c>
      <c r="AZ132">
        <v>218.505</v>
      </c>
      <c r="BA132">
        <v>237.41900000000001</v>
      </c>
      <c r="BB132">
        <v>257.66199999999998</v>
      </c>
      <c r="BC132">
        <v>274.99599999999998</v>
      </c>
      <c r="BD132">
        <v>294.02199999999999</v>
      </c>
      <c r="BE132">
        <v>312.66199999999998</v>
      </c>
      <c r="BF132">
        <v>331.57400000000001</v>
      </c>
      <c r="BG132">
        <v>2021</v>
      </c>
      <c r="BH132">
        <v>218.505</v>
      </c>
      <c r="BI132">
        <v>723.23800000000006</v>
      </c>
      <c r="BJ132">
        <v>723.23800000000006</v>
      </c>
      <c r="BK132">
        <v>2021</v>
      </c>
      <c r="BL132">
        <v>30.21204638030634</v>
      </c>
    </row>
    <row r="133" spans="1:64">
      <c r="A133" t="s">
        <v>468</v>
      </c>
      <c r="B133">
        <v>142</v>
      </c>
      <c r="C133" t="s">
        <v>468</v>
      </c>
      <c r="D133" t="s">
        <v>1659</v>
      </c>
      <c r="E133" t="s">
        <v>51</v>
      </c>
      <c r="F133" t="s">
        <v>1660</v>
      </c>
      <c r="G133" t="s">
        <v>1661</v>
      </c>
      <c r="H133" t="s">
        <v>1662</v>
      </c>
      <c r="I133" t="s">
        <v>883</v>
      </c>
      <c r="J133" t="s">
        <v>1805</v>
      </c>
      <c r="K133">
        <v>156.02799999999999</v>
      </c>
      <c r="L133">
        <v>174.67599999999999</v>
      </c>
      <c r="M133">
        <v>192.34200000000001</v>
      </c>
      <c r="N133">
        <v>221.24799999999999</v>
      </c>
      <c r="O133">
        <v>244.005</v>
      </c>
      <c r="P133">
        <v>283.02600000000001</v>
      </c>
      <c r="Q133">
        <v>289.846</v>
      </c>
      <c r="R133">
        <v>322.31599999999997</v>
      </c>
      <c r="S133">
        <v>337.15699999999998</v>
      </c>
      <c r="T133">
        <v>351.55599999999998</v>
      </c>
      <c r="U133">
        <v>381.61399999999998</v>
      </c>
      <c r="V133">
        <v>393.892</v>
      </c>
      <c r="W133">
        <v>400.41500000000002</v>
      </c>
      <c r="X133">
        <v>415.63400000000001</v>
      </c>
      <c r="Y133">
        <v>443.18799999999999</v>
      </c>
      <c r="Z133">
        <v>503.714</v>
      </c>
      <c r="AA133">
        <v>559.45299999999997</v>
      </c>
      <c r="AB133">
        <v>603.16600000000005</v>
      </c>
      <c r="AC133">
        <v>591.96299999999997</v>
      </c>
      <c r="AD133">
        <v>660.49400000000003</v>
      </c>
      <c r="AE133">
        <v>850.73500000000001</v>
      </c>
      <c r="AF133">
        <v>883.35500000000002</v>
      </c>
      <c r="AG133">
        <v>863.03599999999994</v>
      </c>
      <c r="AH133">
        <v>890.779</v>
      </c>
      <c r="AI133">
        <v>993.9</v>
      </c>
      <c r="AJ133">
        <v>1128.3900000000001</v>
      </c>
      <c r="AK133">
        <v>1298.47</v>
      </c>
      <c r="AL133">
        <v>1369.31</v>
      </c>
      <c r="AM133">
        <v>1528.43</v>
      </c>
      <c r="AN133">
        <v>1361.09</v>
      </c>
      <c r="AO133">
        <v>1441.94</v>
      </c>
      <c r="AP133">
        <v>1588.69</v>
      </c>
      <c r="AQ133">
        <v>1672.91</v>
      </c>
      <c r="AR133">
        <v>1670.72</v>
      </c>
      <c r="AS133">
        <v>1700.95</v>
      </c>
      <c r="AT133">
        <v>1696.27</v>
      </c>
      <c r="AU133">
        <v>1696.4</v>
      </c>
      <c r="AV133">
        <v>1800.47</v>
      </c>
      <c r="AW133">
        <v>1985.28</v>
      </c>
      <c r="AX133">
        <v>2040.38</v>
      </c>
      <c r="AY133">
        <v>1857.84</v>
      </c>
      <c r="AZ133">
        <v>2071.4299999999998</v>
      </c>
      <c r="BA133">
        <v>2420.62</v>
      </c>
      <c r="BB133">
        <v>2422.56</v>
      </c>
      <c r="BC133">
        <v>2453.38</v>
      </c>
      <c r="BD133">
        <v>2488.64</v>
      </c>
      <c r="BE133">
        <v>2542.64</v>
      </c>
      <c r="BF133">
        <v>2606.15</v>
      </c>
      <c r="BG133">
        <v>2021</v>
      </c>
      <c r="BH133">
        <v>2071.4299999999998</v>
      </c>
      <c r="BI133">
        <v>4144.13</v>
      </c>
      <c r="BJ133">
        <v>4144.13</v>
      </c>
      <c r="BK133">
        <v>2021</v>
      </c>
      <c r="BL133">
        <v>49.984677121615391</v>
      </c>
    </row>
    <row r="134" spans="1:64">
      <c r="A134" t="s">
        <v>578</v>
      </c>
      <c r="B134">
        <v>449</v>
      </c>
      <c r="C134" t="s">
        <v>578</v>
      </c>
      <c r="D134" t="s">
        <v>1659</v>
      </c>
      <c r="E134" t="s">
        <v>233</v>
      </c>
      <c r="F134" t="s">
        <v>1660</v>
      </c>
      <c r="G134" t="s">
        <v>1661</v>
      </c>
      <c r="H134" t="s">
        <v>1662</v>
      </c>
      <c r="I134" t="s">
        <v>883</v>
      </c>
      <c r="J134" t="s">
        <v>1806</v>
      </c>
      <c r="K134" t="s">
        <v>1664</v>
      </c>
      <c r="L134" t="s">
        <v>1664</v>
      </c>
      <c r="M134" t="s">
        <v>1664</v>
      </c>
      <c r="N134" t="s">
        <v>1664</v>
      </c>
      <c r="O134" t="s">
        <v>1664</v>
      </c>
      <c r="P134" t="s">
        <v>1664</v>
      </c>
      <c r="Q134" t="s">
        <v>1664</v>
      </c>
      <c r="R134" t="s">
        <v>1664</v>
      </c>
      <c r="S134" t="s">
        <v>1664</v>
      </c>
      <c r="T134" t="s">
        <v>1664</v>
      </c>
      <c r="U134">
        <v>2.1259999999999999</v>
      </c>
      <c r="V134">
        <v>1.8779999999999999</v>
      </c>
      <c r="W134">
        <v>1.9370000000000001</v>
      </c>
      <c r="X134">
        <v>1.829</v>
      </c>
      <c r="Y134">
        <v>1.8380000000000001</v>
      </c>
      <c r="Z134">
        <v>2.089</v>
      </c>
      <c r="AA134">
        <v>2.4039999999999999</v>
      </c>
      <c r="AB134">
        <v>2.573</v>
      </c>
      <c r="AC134">
        <v>1.9590000000000001</v>
      </c>
      <c r="AD134">
        <v>2.3639999999999999</v>
      </c>
      <c r="AE134">
        <v>3.7130000000000001</v>
      </c>
      <c r="AF134">
        <v>3.4860000000000002</v>
      </c>
      <c r="AG134">
        <v>3.4990000000000001</v>
      </c>
      <c r="AH134">
        <v>3.7919999999999998</v>
      </c>
      <c r="AI134">
        <v>4.3109999999999999</v>
      </c>
      <c r="AJ134">
        <v>5.7119999999999997</v>
      </c>
      <c r="AK134">
        <v>6.9219999999999997</v>
      </c>
      <c r="AL134">
        <v>7.6539999999999999</v>
      </c>
      <c r="AM134">
        <v>10.801</v>
      </c>
      <c r="AN134">
        <v>7.0579999999999998</v>
      </c>
      <c r="AO134">
        <v>8.8789999999999996</v>
      </c>
      <c r="AP134">
        <v>12.734</v>
      </c>
      <c r="AQ134">
        <v>14.352</v>
      </c>
      <c r="AR134">
        <v>14.548</v>
      </c>
      <c r="AS134">
        <v>14.2</v>
      </c>
      <c r="AT134">
        <v>9.3409999999999993</v>
      </c>
      <c r="AU134">
        <v>7.2210000000000001</v>
      </c>
      <c r="AV134">
        <v>9.0060000000000002</v>
      </c>
      <c r="AW134">
        <v>11.119</v>
      </c>
      <c r="AX134">
        <v>11.494999999999999</v>
      </c>
      <c r="AY134">
        <v>8.4250000000000007</v>
      </c>
      <c r="AZ134">
        <v>11.198</v>
      </c>
      <c r="BA134">
        <v>15.016999999999999</v>
      </c>
      <c r="BB134">
        <v>14.895</v>
      </c>
      <c r="BC134">
        <v>14.406000000000001</v>
      </c>
      <c r="BD134">
        <v>14.016999999999999</v>
      </c>
      <c r="BE134">
        <v>13.878</v>
      </c>
      <c r="BF134">
        <v>13.797000000000001</v>
      </c>
      <c r="BG134">
        <v>2021</v>
      </c>
      <c r="BH134">
        <v>11.198</v>
      </c>
      <c r="BI134">
        <v>32.165999999999997</v>
      </c>
      <c r="BJ134">
        <v>27.704999999999998</v>
      </c>
      <c r="BK134">
        <v>2020</v>
      </c>
      <c r="BL134">
        <v>34.813156749362683</v>
      </c>
    </row>
    <row r="135" spans="1:64">
      <c r="A135" t="s">
        <v>344</v>
      </c>
      <c r="B135">
        <v>564</v>
      </c>
      <c r="C135" t="s">
        <v>344</v>
      </c>
      <c r="D135" t="s">
        <v>1659</v>
      </c>
      <c r="E135" t="s">
        <v>130</v>
      </c>
      <c r="F135" t="s">
        <v>1660</v>
      </c>
      <c r="G135" t="s">
        <v>1661</v>
      </c>
      <c r="H135" t="s">
        <v>1662</v>
      </c>
      <c r="I135" t="s">
        <v>883</v>
      </c>
      <c r="J135" t="s">
        <v>1807</v>
      </c>
      <c r="K135">
        <v>40.729999999999997</v>
      </c>
      <c r="L135">
        <v>50.31</v>
      </c>
      <c r="M135">
        <v>55.33</v>
      </c>
      <c r="N135">
        <v>63.43</v>
      </c>
      <c r="O135">
        <v>82.14</v>
      </c>
      <c r="P135">
        <v>88.45</v>
      </c>
      <c r="Q135">
        <v>106.245</v>
      </c>
      <c r="R135">
        <v>122.95699999999999</v>
      </c>
      <c r="S135">
        <v>124.1</v>
      </c>
      <c r="T135">
        <v>147.899</v>
      </c>
      <c r="U135">
        <v>168.95599999999999</v>
      </c>
      <c r="V135">
        <v>175.673</v>
      </c>
      <c r="W135">
        <v>224.28899999999999</v>
      </c>
      <c r="X135">
        <v>250.03299999999999</v>
      </c>
      <c r="Y135">
        <v>277.892</v>
      </c>
      <c r="Z135">
        <v>307.43299999999999</v>
      </c>
      <c r="AA135">
        <v>370.57900000000001</v>
      </c>
      <c r="AB135">
        <v>391.678</v>
      </c>
      <c r="AC135">
        <v>423.00700000000001</v>
      </c>
      <c r="AD135">
        <v>488.60399999999998</v>
      </c>
      <c r="AE135">
        <v>545.99300000000005</v>
      </c>
      <c r="AF135">
        <v>593.50599999999997</v>
      </c>
      <c r="AG135">
        <v>707.21</v>
      </c>
      <c r="AH135">
        <v>838.22</v>
      </c>
      <c r="AI135">
        <v>824.65300000000002</v>
      </c>
      <c r="AJ135">
        <v>919.39200000000005</v>
      </c>
      <c r="AK135">
        <v>1131.8499999999999</v>
      </c>
      <c r="AL135">
        <v>1327.22</v>
      </c>
      <c r="AM135">
        <v>1530</v>
      </c>
      <c r="AN135">
        <v>1877.91</v>
      </c>
      <c r="AO135">
        <v>2129.63</v>
      </c>
      <c r="AP135">
        <v>2306.36</v>
      </c>
      <c r="AQ135">
        <v>2611.0300000000002</v>
      </c>
      <c r="AR135">
        <v>3011.38</v>
      </c>
      <c r="AS135">
        <v>3836.52</v>
      </c>
      <c r="AT135">
        <v>3984.02</v>
      </c>
      <c r="AU135">
        <v>4512.38</v>
      </c>
      <c r="AV135">
        <v>4961.99</v>
      </c>
      <c r="AW135">
        <v>5264.97</v>
      </c>
      <c r="AX135">
        <v>4933.72</v>
      </c>
      <c r="AY135">
        <v>6306.15</v>
      </c>
      <c r="AZ135">
        <v>6933.23</v>
      </c>
      <c r="BA135">
        <v>8087.58</v>
      </c>
      <c r="BB135">
        <v>9643.02</v>
      </c>
      <c r="BC135">
        <v>10824.09</v>
      </c>
      <c r="BD135">
        <v>12142.19</v>
      </c>
      <c r="BE135">
        <v>13707.45</v>
      </c>
      <c r="BF135">
        <v>15268.11</v>
      </c>
      <c r="BG135">
        <v>2021</v>
      </c>
      <c r="BH135">
        <v>6933.23</v>
      </c>
      <c r="BI135">
        <v>55488.01</v>
      </c>
      <c r="BJ135">
        <v>55488.01</v>
      </c>
      <c r="BK135">
        <v>2021</v>
      </c>
      <c r="BL135">
        <v>12.495005677803185</v>
      </c>
    </row>
    <row r="136" spans="1:64">
      <c r="A136" t="s">
        <v>546</v>
      </c>
      <c r="B136">
        <v>565</v>
      </c>
      <c r="C136" t="s">
        <v>546</v>
      </c>
      <c r="D136" t="s">
        <v>1659</v>
      </c>
      <c r="E136" t="s">
        <v>230</v>
      </c>
      <c r="F136" t="s">
        <v>1660</v>
      </c>
      <c r="G136" t="s">
        <v>1661</v>
      </c>
      <c r="H136" t="s">
        <v>1662</v>
      </c>
      <c r="I136" t="s">
        <v>883</v>
      </c>
      <c r="J136" t="s">
        <v>1808</v>
      </c>
      <c r="K136" t="s">
        <v>1664</v>
      </c>
      <c r="L136" t="s">
        <v>1664</v>
      </c>
      <c r="M136" t="s">
        <v>1664</v>
      </c>
      <c r="N136" t="s">
        <v>1664</v>
      </c>
      <c r="O136" t="s">
        <v>1664</v>
      </c>
      <c r="P136" t="s">
        <v>1664</v>
      </c>
      <c r="Q136" t="s">
        <v>1664</v>
      </c>
      <c r="R136" t="s">
        <v>1664</v>
      </c>
      <c r="S136" t="s">
        <v>1664</v>
      </c>
      <c r="T136" t="s">
        <v>1664</v>
      </c>
      <c r="U136" t="s">
        <v>1664</v>
      </c>
      <c r="V136" t="s">
        <v>1664</v>
      </c>
      <c r="W136" t="s">
        <v>1664</v>
      </c>
      <c r="X136" t="s">
        <v>1664</v>
      </c>
      <c r="Y136" t="s">
        <v>1664</v>
      </c>
      <c r="Z136" t="s">
        <v>1664</v>
      </c>
      <c r="AA136" t="s">
        <v>1664</v>
      </c>
      <c r="AB136" t="s">
        <v>1664</v>
      </c>
      <c r="AC136" t="s">
        <v>1664</v>
      </c>
      <c r="AD136" t="s">
        <v>1664</v>
      </c>
      <c r="AE136">
        <v>6.5000000000000002E-2</v>
      </c>
      <c r="AF136">
        <v>5.2999999999999999E-2</v>
      </c>
      <c r="AG136">
        <v>5.8000000000000003E-2</v>
      </c>
      <c r="AH136">
        <v>7.0000000000000007E-2</v>
      </c>
      <c r="AI136">
        <v>7.2999999999999995E-2</v>
      </c>
      <c r="AJ136">
        <v>7.6999999999999999E-2</v>
      </c>
      <c r="AK136">
        <v>8.6999999999999994E-2</v>
      </c>
      <c r="AL136">
        <v>9.1999999999999998E-2</v>
      </c>
      <c r="AM136">
        <v>8.5000000000000006E-2</v>
      </c>
      <c r="AN136">
        <v>7.5999999999999998E-2</v>
      </c>
      <c r="AO136">
        <v>8.5999999999999993E-2</v>
      </c>
      <c r="AP136">
        <v>8.6999999999999994E-2</v>
      </c>
      <c r="AQ136">
        <v>9.5000000000000001E-2</v>
      </c>
      <c r="AR136">
        <v>9.1999999999999998E-2</v>
      </c>
      <c r="AS136">
        <v>0.107</v>
      </c>
      <c r="AT136">
        <v>0.115</v>
      </c>
      <c r="AU136">
        <v>0.125</v>
      </c>
      <c r="AV136">
        <v>0.115</v>
      </c>
      <c r="AW136">
        <v>0.127</v>
      </c>
      <c r="AX136">
        <v>0.122</v>
      </c>
      <c r="AY136">
        <v>0.122</v>
      </c>
      <c r="AZ136">
        <v>0.1</v>
      </c>
      <c r="BA136">
        <v>0.1</v>
      </c>
      <c r="BB136">
        <v>0.111</v>
      </c>
      <c r="BC136">
        <v>0.11799999999999999</v>
      </c>
      <c r="BD136">
        <v>0.121</v>
      </c>
      <c r="BE136">
        <v>0.126</v>
      </c>
      <c r="BF136">
        <v>0.13</v>
      </c>
      <c r="BG136">
        <v>2020</v>
      </c>
      <c r="BH136">
        <v>0.122</v>
      </c>
      <c r="BI136">
        <v>0.25800000000000001</v>
      </c>
      <c r="BJ136">
        <v>0.25800000000000001</v>
      </c>
      <c r="BK136">
        <v>2020</v>
      </c>
      <c r="BL136">
        <v>47.286821705426348</v>
      </c>
    </row>
    <row r="137" spans="1:64">
      <c r="A137" t="s">
        <v>547</v>
      </c>
      <c r="B137">
        <v>283</v>
      </c>
      <c r="C137" t="s">
        <v>547</v>
      </c>
      <c r="D137" t="s">
        <v>1659</v>
      </c>
      <c r="E137" t="s">
        <v>228</v>
      </c>
      <c r="F137" t="s">
        <v>1660</v>
      </c>
      <c r="G137" t="s">
        <v>1661</v>
      </c>
      <c r="H137" t="s">
        <v>1662</v>
      </c>
      <c r="I137" t="s">
        <v>883</v>
      </c>
      <c r="J137" t="s">
        <v>1809</v>
      </c>
      <c r="K137" t="s">
        <v>1664</v>
      </c>
      <c r="L137" t="s">
        <v>1664</v>
      </c>
      <c r="M137" t="s">
        <v>1664</v>
      </c>
      <c r="N137" t="s">
        <v>1664</v>
      </c>
      <c r="O137" t="s">
        <v>1664</v>
      </c>
      <c r="P137" t="s">
        <v>1664</v>
      </c>
      <c r="Q137" t="s">
        <v>1664</v>
      </c>
      <c r="R137" t="s">
        <v>1664</v>
      </c>
      <c r="S137" t="s">
        <v>1664</v>
      </c>
      <c r="T137" t="s">
        <v>1664</v>
      </c>
      <c r="U137" t="s">
        <v>1664</v>
      </c>
      <c r="V137" t="s">
        <v>1664</v>
      </c>
      <c r="W137" t="s">
        <v>1664</v>
      </c>
      <c r="X137" t="s">
        <v>1664</v>
      </c>
      <c r="Y137">
        <v>1.802</v>
      </c>
      <c r="Z137">
        <v>1.9990000000000001</v>
      </c>
      <c r="AA137">
        <v>2.0179999999999998</v>
      </c>
      <c r="AB137">
        <v>2.2829999999999999</v>
      </c>
      <c r="AC137">
        <v>2.4609999999999999</v>
      </c>
      <c r="AD137">
        <v>2.802</v>
      </c>
      <c r="AE137">
        <v>2.883</v>
      </c>
      <c r="AF137">
        <v>2.8109999999999999</v>
      </c>
      <c r="AG137">
        <v>2.8090000000000002</v>
      </c>
      <c r="AH137">
        <v>2.8839999999999999</v>
      </c>
      <c r="AI137">
        <v>2.9940000000000002</v>
      </c>
      <c r="AJ137">
        <v>3.4510000000000001</v>
      </c>
      <c r="AK137">
        <v>4.2729999999999997</v>
      </c>
      <c r="AL137">
        <v>5.4989999999999997</v>
      </c>
      <c r="AM137">
        <v>6.0140000000000002</v>
      </c>
      <c r="AN137">
        <v>6.1310000000000002</v>
      </c>
      <c r="AO137">
        <v>6.8179999999999996</v>
      </c>
      <c r="AP137">
        <v>7.77</v>
      </c>
      <c r="AQ137">
        <v>8.9649999999999999</v>
      </c>
      <c r="AR137">
        <v>9.9469999999999992</v>
      </c>
      <c r="AS137">
        <v>10.053000000000001</v>
      </c>
      <c r="AT137">
        <v>10.654999999999999</v>
      </c>
      <c r="AU137">
        <v>11.646000000000001</v>
      </c>
      <c r="AV137">
        <v>12.442</v>
      </c>
      <c r="AW137">
        <v>12.839</v>
      </c>
      <c r="AX137">
        <v>12.396000000000001</v>
      </c>
      <c r="AY137">
        <v>9.8610000000000007</v>
      </c>
      <c r="AZ137">
        <v>11.565</v>
      </c>
      <c r="BA137">
        <v>13.913</v>
      </c>
      <c r="BB137">
        <v>15.276999999999999</v>
      </c>
      <c r="BC137">
        <v>16.702000000000002</v>
      </c>
      <c r="BD137">
        <v>18.154</v>
      </c>
      <c r="BE137">
        <v>19.666</v>
      </c>
      <c r="BF137">
        <v>21.251999999999999</v>
      </c>
      <c r="BG137">
        <v>2021</v>
      </c>
      <c r="BH137">
        <v>11.565</v>
      </c>
      <c r="BI137">
        <v>63.604999999999997</v>
      </c>
      <c r="BJ137">
        <v>53.976999999999997</v>
      </c>
      <c r="BK137">
        <v>2020</v>
      </c>
      <c r="BL137">
        <v>18.182532819746875</v>
      </c>
    </row>
    <row r="138" spans="1:64">
      <c r="A138" t="s">
        <v>364</v>
      </c>
      <c r="B138">
        <v>853</v>
      </c>
      <c r="C138" t="s">
        <v>364</v>
      </c>
      <c r="D138" t="s">
        <v>1659</v>
      </c>
      <c r="E138" t="s">
        <v>150</v>
      </c>
      <c r="F138" t="s">
        <v>1660</v>
      </c>
      <c r="G138" t="s">
        <v>1661</v>
      </c>
      <c r="H138" t="s">
        <v>1662</v>
      </c>
      <c r="I138" t="s">
        <v>883</v>
      </c>
      <c r="J138" t="s">
        <v>1810</v>
      </c>
      <c r="K138" t="s">
        <v>1664</v>
      </c>
      <c r="L138" t="s">
        <v>1664</v>
      </c>
      <c r="M138" t="s">
        <v>1664</v>
      </c>
      <c r="N138">
        <v>0.63200000000000001</v>
      </c>
      <c r="O138">
        <v>0.72299999999999998</v>
      </c>
      <c r="P138">
        <v>0.74299999999999999</v>
      </c>
      <c r="Q138">
        <v>0.79200000000000004</v>
      </c>
      <c r="R138">
        <v>0.84299999999999997</v>
      </c>
      <c r="S138">
        <v>0.91100000000000003</v>
      </c>
      <c r="T138">
        <v>1.02</v>
      </c>
      <c r="U138">
        <v>1.022</v>
      </c>
      <c r="V138">
        <v>1.159</v>
      </c>
      <c r="W138">
        <v>1.151</v>
      </c>
      <c r="X138">
        <v>1.34</v>
      </c>
      <c r="Y138">
        <v>1.4930000000000001</v>
      </c>
      <c r="Z138">
        <v>1.663</v>
      </c>
      <c r="AA138">
        <v>1.9690000000000001</v>
      </c>
      <c r="AB138">
        <v>2.2210000000000001</v>
      </c>
      <c r="AC138">
        <v>2.29</v>
      </c>
      <c r="AD138">
        <v>2.544</v>
      </c>
      <c r="AE138">
        <v>2.9849999999999999</v>
      </c>
      <c r="AF138">
        <v>3.1070000000000002</v>
      </c>
      <c r="AG138">
        <v>3.258</v>
      </c>
      <c r="AH138">
        <v>3.6880000000000002</v>
      </c>
      <c r="AI138">
        <v>4.343</v>
      </c>
      <c r="AJ138">
        <v>5.3410000000000002</v>
      </c>
      <c r="AK138">
        <v>6.3289999999999997</v>
      </c>
      <c r="AL138">
        <v>7.0540000000000003</v>
      </c>
      <c r="AM138">
        <v>7.0869999999999997</v>
      </c>
      <c r="AN138">
        <v>6.1360000000000001</v>
      </c>
      <c r="AO138">
        <v>8.3149999999999995</v>
      </c>
      <c r="AP138">
        <v>9.34</v>
      </c>
      <c r="AQ138">
        <v>9.4190000000000005</v>
      </c>
      <c r="AR138">
        <v>9.8970000000000002</v>
      </c>
      <c r="AS138">
        <v>11.875</v>
      </c>
      <c r="AT138">
        <v>11.003</v>
      </c>
      <c r="AU138">
        <v>10.486000000000001</v>
      </c>
      <c r="AV138">
        <v>11.525</v>
      </c>
      <c r="AW138">
        <v>14.086</v>
      </c>
      <c r="AX138">
        <v>13.680999999999999</v>
      </c>
      <c r="AY138">
        <v>12.093</v>
      </c>
      <c r="AZ138">
        <v>13.423999999999999</v>
      </c>
      <c r="BA138">
        <v>16.190000000000001</v>
      </c>
      <c r="BB138">
        <v>17.091999999999999</v>
      </c>
      <c r="BC138">
        <v>18.515000000000001</v>
      </c>
      <c r="BD138">
        <v>20.029</v>
      </c>
      <c r="BE138">
        <v>21.704000000000001</v>
      </c>
      <c r="BF138">
        <v>23.247</v>
      </c>
      <c r="BG138">
        <v>2020</v>
      </c>
      <c r="BH138">
        <v>12.093</v>
      </c>
      <c r="BI138">
        <v>85.338999999999999</v>
      </c>
      <c r="BJ138">
        <v>85.338999999999999</v>
      </c>
      <c r="BK138">
        <v>2020</v>
      </c>
      <c r="BL138">
        <v>14.170543362354843</v>
      </c>
    </row>
    <row r="139" spans="1:64">
      <c r="A139" t="s">
        <v>403</v>
      </c>
      <c r="B139">
        <v>288</v>
      </c>
      <c r="C139" t="s">
        <v>403</v>
      </c>
      <c r="D139" t="s">
        <v>1659</v>
      </c>
      <c r="E139" t="s">
        <v>188</v>
      </c>
      <c r="F139" t="s">
        <v>1660</v>
      </c>
      <c r="G139" t="s">
        <v>1661</v>
      </c>
      <c r="H139" t="s">
        <v>1662</v>
      </c>
      <c r="I139" t="s">
        <v>883</v>
      </c>
      <c r="J139" t="s">
        <v>1811</v>
      </c>
      <c r="K139">
        <v>77.397999999999996</v>
      </c>
      <c r="L139">
        <v>88.227000000000004</v>
      </c>
      <c r="M139">
        <v>100.977</v>
      </c>
      <c r="N139">
        <v>101.661</v>
      </c>
      <c r="O139">
        <v>124.572</v>
      </c>
      <c r="P139">
        <v>157.79499999999999</v>
      </c>
      <c r="Q139">
        <v>210.12299999999999</v>
      </c>
      <c r="R139">
        <v>296.99299999999999</v>
      </c>
      <c r="S139">
        <v>391.274</v>
      </c>
      <c r="T139">
        <v>738.61900000000003</v>
      </c>
      <c r="U139">
        <v>1089.81</v>
      </c>
      <c r="V139">
        <v>1357.39</v>
      </c>
      <c r="W139">
        <v>1703.21</v>
      </c>
      <c r="X139">
        <v>2169.56</v>
      </c>
      <c r="Y139">
        <v>2919.07</v>
      </c>
      <c r="Z139">
        <v>3406.84</v>
      </c>
      <c r="AA139">
        <v>4014.21</v>
      </c>
      <c r="AB139">
        <v>4691.2</v>
      </c>
      <c r="AC139">
        <v>5739.26</v>
      </c>
      <c r="AD139">
        <v>6146.82</v>
      </c>
      <c r="AE139">
        <v>6014.62</v>
      </c>
      <c r="AF139">
        <v>6833.18</v>
      </c>
      <c r="AG139">
        <v>6638.23</v>
      </c>
      <c r="AH139">
        <v>7993.32</v>
      </c>
      <c r="AI139">
        <v>9547.93</v>
      </c>
      <c r="AJ139">
        <v>10472.66</v>
      </c>
      <c r="AK139">
        <v>12791.63</v>
      </c>
      <c r="AL139">
        <v>14116.43</v>
      </c>
      <c r="AM139">
        <v>16160.88</v>
      </c>
      <c r="AN139">
        <v>16450.54</v>
      </c>
      <c r="AO139">
        <v>19749.36</v>
      </c>
      <c r="AP139">
        <v>24473.14</v>
      </c>
      <c r="AQ139">
        <v>25731.11</v>
      </c>
      <c r="AR139">
        <v>27607.42</v>
      </c>
      <c r="AS139">
        <v>31371.27</v>
      </c>
      <c r="AT139">
        <v>35136.76</v>
      </c>
      <c r="AU139">
        <v>39005.06</v>
      </c>
      <c r="AV139">
        <v>40732.480000000003</v>
      </c>
      <c r="AW139">
        <v>43692.1</v>
      </c>
      <c r="AX139">
        <v>45404.53</v>
      </c>
      <c r="AY139">
        <v>44724.22</v>
      </c>
      <c r="AZ139">
        <v>50580.11</v>
      </c>
      <c r="BA139">
        <v>54318.45</v>
      </c>
      <c r="BB139">
        <v>59619.01</v>
      </c>
      <c r="BC139">
        <v>65121.440000000002</v>
      </c>
      <c r="BD139">
        <v>70583.92</v>
      </c>
      <c r="BE139">
        <v>75630.710000000006</v>
      </c>
      <c r="BF139">
        <v>81106.87</v>
      </c>
      <c r="BG139">
        <v>2021</v>
      </c>
      <c r="BH139">
        <v>50580.11</v>
      </c>
      <c r="BI139">
        <v>264103</v>
      </c>
      <c r="BJ139">
        <v>239914.73</v>
      </c>
      <c r="BK139">
        <v>2020</v>
      </c>
      <c r="BL139">
        <v>19.151660526385538</v>
      </c>
    </row>
    <row r="140" spans="1:64">
      <c r="A140" t="s">
        <v>411</v>
      </c>
      <c r="B140">
        <v>293</v>
      </c>
      <c r="C140" t="s">
        <v>411</v>
      </c>
      <c r="D140" t="s">
        <v>1659</v>
      </c>
      <c r="E140" t="s">
        <v>196</v>
      </c>
      <c r="F140" t="s">
        <v>1660</v>
      </c>
      <c r="G140" t="s">
        <v>1661</v>
      </c>
      <c r="H140" t="s">
        <v>1662</v>
      </c>
      <c r="I140" t="s">
        <v>883</v>
      </c>
      <c r="J140" t="s">
        <v>1812</v>
      </c>
      <c r="K140" t="s">
        <v>1664</v>
      </c>
      <c r="L140" t="s">
        <v>1664</v>
      </c>
      <c r="M140" t="s">
        <v>1664</v>
      </c>
      <c r="N140" t="s">
        <v>1664</v>
      </c>
      <c r="O140" t="s">
        <v>1664</v>
      </c>
      <c r="P140" t="s">
        <v>1664</v>
      </c>
      <c r="Q140" t="s">
        <v>1664</v>
      </c>
      <c r="R140" t="s">
        <v>1664</v>
      </c>
      <c r="S140" t="s">
        <v>1664</v>
      </c>
      <c r="T140" t="s">
        <v>1664</v>
      </c>
      <c r="U140" t="s">
        <v>1664</v>
      </c>
      <c r="V140" t="s">
        <v>1664</v>
      </c>
      <c r="W140" t="s">
        <v>1664</v>
      </c>
      <c r="X140" t="s">
        <v>1664</v>
      </c>
      <c r="Y140" t="s">
        <v>1664</v>
      </c>
      <c r="Z140" t="s">
        <v>1664</v>
      </c>
      <c r="AA140" t="s">
        <v>1664</v>
      </c>
      <c r="AB140" t="s">
        <v>1664</v>
      </c>
      <c r="AC140" t="s">
        <v>1664</v>
      </c>
      <c r="AD140" t="s">
        <v>1664</v>
      </c>
      <c r="AE140">
        <v>34.503</v>
      </c>
      <c r="AF140">
        <v>33.610999999999997</v>
      </c>
      <c r="AG140">
        <v>34.619</v>
      </c>
      <c r="AH140">
        <v>37.65</v>
      </c>
      <c r="AI140">
        <v>41.81</v>
      </c>
      <c r="AJ140">
        <v>48.790999999999997</v>
      </c>
      <c r="AK140">
        <v>60.673000000000002</v>
      </c>
      <c r="AL140">
        <v>70.144999999999996</v>
      </c>
      <c r="AM140">
        <v>79.138000000000005</v>
      </c>
      <c r="AN140">
        <v>73.209999999999994</v>
      </c>
      <c r="AO140">
        <v>88.671999999999997</v>
      </c>
      <c r="AP140">
        <v>102.443</v>
      </c>
      <c r="AQ140">
        <v>113.795</v>
      </c>
      <c r="AR140">
        <v>121.742</v>
      </c>
      <c r="AS140">
        <v>128.584</v>
      </c>
      <c r="AT140">
        <v>123.56</v>
      </c>
      <c r="AU140">
        <v>123.41200000000001</v>
      </c>
      <c r="AV140">
        <v>127.822</v>
      </c>
      <c r="AW140">
        <v>143.785</v>
      </c>
      <c r="AX140">
        <v>153.458</v>
      </c>
      <c r="AY140">
        <v>128.36500000000001</v>
      </c>
      <c r="AZ140">
        <v>183.64400000000001</v>
      </c>
      <c r="BA140">
        <v>196.489</v>
      </c>
      <c r="BB140">
        <v>208.39500000000001</v>
      </c>
      <c r="BC140">
        <v>219.56100000000001</v>
      </c>
      <c r="BD140">
        <v>231.06899999999999</v>
      </c>
      <c r="BE140">
        <v>243.27699999999999</v>
      </c>
      <c r="BF140">
        <v>256.48</v>
      </c>
      <c r="BG140">
        <v>2021</v>
      </c>
      <c r="BH140">
        <v>183.64400000000001</v>
      </c>
      <c r="BI140">
        <v>871.97799999999995</v>
      </c>
      <c r="BJ140">
        <v>871.97799999999995</v>
      </c>
      <c r="BK140">
        <v>2021</v>
      </c>
      <c r="BL140">
        <v>21.060623089114635</v>
      </c>
    </row>
    <row r="141" spans="1:64">
      <c r="A141" t="s">
        <v>377</v>
      </c>
      <c r="B141">
        <v>566</v>
      </c>
      <c r="C141" t="s">
        <v>377</v>
      </c>
      <c r="D141" t="s">
        <v>1659</v>
      </c>
      <c r="E141" t="s">
        <v>163</v>
      </c>
      <c r="F141" t="s">
        <v>1660</v>
      </c>
      <c r="G141" t="s">
        <v>1661</v>
      </c>
      <c r="H141" t="s">
        <v>1662</v>
      </c>
      <c r="I141" t="s">
        <v>883</v>
      </c>
      <c r="J141" t="s">
        <v>1813</v>
      </c>
      <c r="K141" t="s">
        <v>1664</v>
      </c>
      <c r="L141" t="s">
        <v>1664</v>
      </c>
      <c r="M141" t="s">
        <v>1664</v>
      </c>
      <c r="N141" t="s">
        <v>1664</v>
      </c>
      <c r="O141" t="s">
        <v>1664</v>
      </c>
      <c r="P141" t="s">
        <v>1664</v>
      </c>
      <c r="Q141" t="s">
        <v>1664</v>
      </c>
      <c r="R141" t="s">
        <v>1664</v>
      </c>
      <c r="S141" t="s">
        <v>1664</v>
      </c>
      <c r="T141">
        <v>148.952</v>
      </c>
      <c r="U141">
        <v>212.28399999999999</v>
      </c>
      <c r="V141">
        <v>253.00899999999999</v>
      </c>
      <c r="W141">
        <v>277.27699999999999</v>
      </c>
      <c r="X141">
        <v>306.52499999999998</v>
      </c>
      <c r="Y141">
        <v>371.80399999999997</v>
      </c>
      <c r="Z141">
        <v>415.435</v>
      </c>
      <c r="AA141">
        <v>500.17</v>
      </c>
      <c r="AB141">
        <v>572.81500000000005</v>
      </c>
      <c r="AC141">
        <v>579.64800000000002</v>
      </c>
      <c r="AD141">
        <v>618.01700000000005</v>
      </c>
      <c r="AE141">
        <v>648.38199999999995</v>
      </c>
      <c r="AF141">
        <v>705.17200000000003</v>
      </c>
      <c r="AG141">
        <v>733.09799999999996</v>
      </c>
      <c r="AH141">
        <v>798.26099999999997</v>
      </c>
      <c r="AI141">
        <v>881.79100000000005</v>
      </c>
      <c r="AJ141">
        <v>1012.82</v>
      </c>
      <c r="AK141">
        <v>1194.53</v>
      </c>
      <c r="AL141">
        <v>1288.4100000000001</v>
      </c>
      <c r="AM141">
        <v>1441.04</v>
      </c>
      <c r="AN141">
        <v>1396.2</v>
      </c>
      <c r="AO141">
        <v>1512.8</v>
      </c>
      <c r="AP141">
        <v>1708.44</v>
      </c>
      <c r="AQ141">
        <v>1965.99</v>
      </c>
      <c r="AR141">
        <v>2174.5</v>
      </c>
      <c r="AS141">
        <v>2394.86</v>
      </c>
      <c r="AT141">
        <v>2581.4499999999998</v>
      </c>
      <c r="AU141">
        <v>2769.1</v>
      </c>
      <c r="AV141">
        <v>3094.24</v>
      </c>
      <c r="AW141">
        <v>3524.81</v>
      </c>
      <c r="AX141">
        <v>3906.04</v>
      </c>
      <c r="AY141">
        <v>3702.95</v>
      </c>
      <c r="AZ141">
        <v>3950.3</v>
      </c>
      <c r="BA141">
        <v>4424.87</v>
      </c>
      <c r="BB141">
        <v>4835.47</v>
      </c>
      <c r="BC141">
        <v>5414.29</v>
      </c>
      <c r="BD141">
        <v>5934.98</v>
      </c>
      <c r="BE141">
        <v>6576.78</v>
      </c>
      <c r="BF141">
        <v>7298.93</v>
      </c>
      <c r="BG141">
        <v>2021</v>
      </c>
      <c r="BH141">
        <v>3950.3</v>
      </c>
      <c r="BI141">
        <v>19387.21</v>
      </c>
      <c r="BJ141">
        <v>19387.21</v>
      </c>
      <c r="BK141">
        <v>2021</v>
      </c>
      <c r="BL141">
        <v>20.375804460775946</v>
      </c>
    </row>
    <row r="142" spans="1:64">
      <c r="A142" t="s">
        <v>441</v>
      </c>
      <c r="B142">
        <v>964</v>
      </c>
      <c r="C142" t="s">
        <v>441</v>
      </c>
      <c r="D142" t="s">
        <v>1659</v>
      </c>
      <c r="E142" t="s">
        <v>75</v>
      </c>
      <c r="F142" t="s">
        <v>1660</v>
      </c>
      <c r="G142" t="s">
        <v>1661</v>
      </c>
      <c r="H142" t="s">
        <v>1662</v>
      </c>
      <c r="I142" t="s">
        <v>883</v>
      </c>
      <c r="J142" t="s">
        <v>1814</v>
      </c>
      <c r="K142" t="s">
        <v>1664</v>
      </c>
      <c r="L142" t="s">
        <v>1664</v>
      </c>
      <c r="M142" t="s">
        <v>1664</v>
      </c>
      <c r="N142" t="s">
        <v>1664</v>
      </c>
      <c r="O142" t="s">
        <v>1664</v>
      </c>
      <c r="P142" t="s">
        <v>1664</v>
      </c>
      <c r="Q142" t="s">
        <v>1664</v>
      </c>
      <c r="R142" t="s">
        <v>1664</v>
      </c>
      <c r="S142" t="s">
        <v>1664</v>
      </c>
      <c r="T142" t="s">
        <v>1664</v>
      </c>
      <c r="U142" t="s">
        <v>1664</v>
      </c>
      <c r="V142" t="s">
        <v>1664</v>
      </c>
      <c r="W142" t="s">
        <v>1664</v>
      </c>
      <c r="X142" t="s">
        <v>1664</v>
      </c>
      <c r="Y142" t="s">
        <v>1664</v>
      </c>
      <c r="Z142">
        <v>146.01900000000001</v>
      </c>
      <c r="AA142">
        <v>194.917</v>
      </c>
      <c r="AB142">
        <v>215</v>
      </c>
      <c r="AC142">
        <v>240.32</v>
      </c>
      <c r="AD142">
        <v>268.98200000000003</v>
      </c>
      <c r="AE142">
        <v>292.14800000000002</v>
      </c>
      <c r="AF142">
        <v>313.40899999999999</v>
      </c>
      <c r="AG142">
        <v>328.06400000000002</v>
      </c>
      <c r="AH142">
        <v>335.3</v>
      </c>
      <c r="AI142">
        <v>358.76100000000002</v>
      </c>
      <c r="AJ142">
        <v>399.16</v>
      </c>
      <c r="AK142">
        <v>437.52600000000001</v>
      </c>
      <c r="AL142">
        <v>487.09</v>
      </c>
      <c r="AM142">
        <v>521.50199999999995</v>
      </c>
      <c r="AN142">
        <v>518.09900000000005</v>
      </c>
      <c r="AO142">
        <v>556.23900000000003</v>
      </c>
      <c r="AP142">
        <v>612.30399999999997</v>
      </c>
      <c r="AQ142">
        <v>638.89700000000005</v>
      </c>
      <c r="AR142">
        <v>638.14300000000003</v>
      </c>
      <c r="AS142">
        <v>667.27599999999995</v>
      </c>
      <c r="AT142">
        <v>703.86199999999997</v>
      </c>
      <c r="AU142">
        <v>721.56200000000001</v>
      </c>
      <c r="AV142">
        <v>791.649</v>
      </c>
      <c r="AW142">
        <v>876.00599999999997</v>
      </c>
      <c r="AX142">
        <v>941.01800000000003</v>
      </c>
      <c r="AY142">
        <v>966.27499999999998</v>
      </c>
      <c r="AZ142">
        <v>1092.67</v>
      </c>
      <c r="BA142">
        <v>1144.42</v>
      </c>
      <c r="BB142">
        <v>1336.21</v>
      </c>
      <c r="BC142">
        <v>1424.64</v>
      </c>
      <c r="BD142">
        <v>1513.45</v>
      </c>
      <c r="BE142">
        <v>1597.83</v>
      </c>
      <c r="BF142">
        <v>1674</v>
      </c>
      <c r="BG142">
        <v>2020</v>
      </c>
      <c r="BH142">
        <v>966.27499999999998</v>
      </c>
      <c r="BI142">
        <v>2326.66</v>
      </c>
      <c r="BJ142">
        <v>2603.11</v>
      </c>
      <c r="BK142">
        <v>2021</v>
      </c>
      <c r="BL142">
        <v>41.530563124822713</v>
      </c>
    </row>
    <row r="143" spans="1:64">
      <c r="A143" t="s">
        <v>445</v>
      </c>
      <c r="B143">
        <v>182</v>
      </c>
      <c r="C143" t="s">
        <v>445</v>
      </c>
      <c r="D143" t="s">
        <v>1659</v>
      </c>
      <c r="E143" t="s">
        <v>62</v>
      </c>
      <c r="F143" t="s">
        <v>1660</v>
      </c>
      <c r="G143" t="s">
        <v>1661</v>
      </c>
      <c r="H143" t="s">
        <v>1662</v>
      </c>
      <c r="I143" t="s">
        <v>883</v>
      </c>
      <c r="J143" t="s">
        <v>1815</v>
      </c>
      <c r="K143" t="s">
        <v>1664</v>
      </c>
      <c r="L143" t="s">
        <v>1664</v>
      </c>
      <c r="M143" t="s">
        <v>1664</v>
      </c>
      <c r="N143" t="s">
        <v>1664</v>
      </c>
      <c r="O143" t="s">
        <v>1664</v>
      </c>
      <c r="P143" t="s">
        <v>1664</v>
      </c>
      <c r="Q143">
        <v>11.919</v>
      </c>
      <c r="R143">
        <v>12.398999999999999</v>
      </c>
      <c r="S143">
        <v>15.039</v>
      </c>
      <c r="T143">
        <v>17.82</v>
      </c>
      <c r="U143">
        <v>19.914999999999999</v>
      </c>
      <c r="V143">
        <v>24.56</v>
      </c>
      <c r="W143">
        <v>31.254000000000001</v>
      </c>
      <c r="X143">
        <v>29.189</v>
      </c>
      <c r="Y143">
        <v>29.152999999999999</v>
      </c>
      <c r="Z143">
        <v>33.341000000000001</v>
      </c>
      <c r="AA143">
        <v>36.241999999999997</v>
      </c>
      <c r="AB143">
        <v>39.656999999999996</v>
      </c>
      <c r="AC143">
        <v>42.673999999999999</v>
      </c>
      <c r="AD143">
        <v>47.283999999999999</v>
      </c>
      <c r="AE143">
        <v>50.652999999999999</v>
      </c>
      <c r="AF143">
        <v>53.414000000000001</v>
      </c>
      <c r="AG143">
        <v>57.591999999999999</v>
      </c>
      <c r="AH143">
        <v>58.006</v>
      </c>
      <c r="AI143">
        <v>60.973999999999997</v>
      </c>
      <c r="AJ143">
        <v>64.424999999999997</v>
      </c>
      <c r="AK143">
        <v>68.275000000000006</v>
      </c>
      <c r="AL143">
        <v>73.025000000000006</v>
      </c>
      <c r="AM143">
        <v>74.58</v>
      </c>
      <c r="AN143">
        <v>70.781000000000006</v>
      </c>
      <c r="AO143">
        <v>72.742999999999995</v>
      </c>
      <c r="AP143">
        <v>74.593999999999994</v>
      </c>
      <c r="AQ143">
        <v>71.876999999999995</v>
      </c>
      <c r="AR143">
        <v>76.409000000000006</v>
      </c>
      <c r="AS143">
        <v>76.8</v>
      </c>
      <c r="AT143">
        <v>78.712000000000003</v>
      </c>
      <c r="AU143">
        <v>80.007000000000005</v>
      </c>
      <c r="AV143">
        <v>83.105000000000004</v>
      </c>
      <c r="AW143">
        <v>88.006</v>
      </c>
      <c r="AX143">
        <v>91.251000000000005</v>
      </c>
      <c r="AY143">
        <v>87.04</v>
      </c>
      <c r="AZ143">
        <v>95.75</v>
      </c>
      <c r="BA143">
        <v>100.607</v>
      </c>
      <c r="BB143">
        <v>104.705</v>
      </c>
      <c r="BC143">
        <v>108.17400000000001</v>
      </c>
      <c r="BD143">
        <v>111.247</v>
      </c>
      <c r="BE143">
        <v>113.869</v>
      </c>
      <c r="BF143">
        <v>116.714</v>
      </c>
      <c r="BG143">
        <v>2021</v>
      </c>
      <c r="BH143">
        <v>95.75</v>
      </c>
      <c r="BI143">
        <v>211.27799999999999</v>
      </c>
      <c r="BJ143">
        <v>211.27799999999999</v>
      </c>
      <c r="BK143">
        <v>2021</v>
      </c>
      <c r="BL143">
        <v>45.319436950368711</v>
      </c>
    </row>
    <row r="144" spans="1:64">
      <c r="A144" t="s">
        <v>579</v>
      </c>
      <c r="B144">
        <v>359</v>
      </c>
      <c r="C144" t="s">
        <v>579</v>
      </c>
      <c r="D144" t="s">
        <v>1659</v>
      </c>
      <c r="E144" t="s">
        <v>243</v>
      </c>
      <c r="F144" t="s">
        <v>1660</v>
      </c>
      <c r="G144" t="s">
        <v>1661</v>
      </c>
      <c r="H144" t="s">
        <v>1662</v>
      </c>
      <c r="I144" t="s">
        <v>883</v>
      </c>
      <c r="J144" t="s">
        <v>1816</v>
      </c>
      <c r="K144" t="s">
        <v>1664</v>
      </c>
      <c r="L144" t="s">
        <v>1664</v>
      </c>
      <c r="M144" t="s">
        <v>1664</v>
      </c>
      <c r="N144" t="s">
        <v>1664</v>
      </c>
      <c r="O144" t="s">
        <v>1664</v>
      </c>
      <c r="P144" t="s">
        <v>1664</v>
      </c>
      <c r="Q144" t="s">
        <v>1664</v>
      </c>
      <c r="R144" t="s">
        <v>1664</v>
      </c>
      <c r="S144" t="s">
        <v>1664</v>
      </c>
      <c r="T144" t="s">
        <v>1664</v>
      </c>
      <c r="U144" t="s">
        <v>1664</v>
      </c>
      <c r="V144" t="s">
        <v>1664</v>
      </c>
      <c r="W144" t="s">
        <v>1664</v>
      </c>
      <c r="X144" t="s">
        <v>1664</v>
      </c>
      <c r="Y144" t="s">
        <v>1664</v>
      </c>
      <c r="Z144" t="s">
        <v>1664</v>
      </c>
      <c r="AA144" t="s">
        <v>1664</v>
      </c>
      <c r="AB144" t="s">
        <v>1664</v>
      </c>
      <c r="AC144" t="s">
        <v>1664</v>
      </c>
      <c r="AD144" t="s">
        <v>1664</v>
      </c>
      <c r="AE144" t="s">
        <v>1664</v>
      </c>
      <c r="AF144" t="s">
        <v>1664</v>
      </c>
      <c r="AG144" t="s">
        <v>1664</v>
      </c>
      <c r="AH144" t="s">
        <v>1664</v>
      </c>
      <c r="AI144" t="s">
        <v>1664</v>
      </c>
      <c r="AJ144" t="s">
        <v>1664</v>
      </c>
      <c r="AK144" t="s">
        <v>1664</v>
      </c>
      <c r="AL144" t="s">
        <v>1664</v>
      </c>
      <c r="AM144" t="s">
        <v>1664</v>
      </c>
      <c r="AN144" t="s">
        <v>1664</v>
      </c>
      <c r="AO144" t="s">
        <v>1664</v>
      </c>
      <c r="AP144" t="s">
        <v>1664</v>
      </c>
      <c r="AQ144" t="s">
        <v>1664</v>
      </c>
      <c r="AR144" t="s">
        <v>1664</v>
      </c>
      <c r="AS144">
        <v>19.917000000000002</v>
      </c>
      <c r="AT144">
        <v>20.052</v>
      </c>
      <c r="AU144">
        <v>19.963000000000001</v>
      </c>
      <c r="AV144">
        <v>21.571000000000002</v>
      </c>
      <c r="AW144">
        <v>22.366</v>
      </c>
      <c r="AX144">
        <v>24.143999999999998</v>
      </c>
      <c r="AY144">
        <v>21.463000000000001</v>
      </c>
      <c r="AZ144">
        <v>22.315999999999999</v>
      </c>
      <c r="BA144">
        <v>25.456</v>
      </c>
      <c r="BB144">
        <v>25.68</v>
      </c>
      <c r="BC144">
        <v>25.809000000000001</v>
      </c>
      <c r="BD144">
        <v>26.097000000000001</v>
      </c>
      <c r="BE144">
        <v>26.391999999999999</v>
      </c>
      <c r="BF144">
        <v>26.391999999999999</v>
      </c>
      <c r="BG144">
        <v>2020</v>
      </c>
      <c r="BH144">
        <v>21.463000000000001</v>
      </c>
      <c r="BI144">
        <v>103.13800000000001</v>
      </c>
      <c r="BJ144">
        <v>103.13800000000001</v>
      </c>
      <c r="BK144">
        <v>2020</v>
      </c>
      <c r="BL144">
        <v>20.809982741569545</v>
      </c>
    </row>
    <row r="145" spans="1:64">
      <c r="A145" t="s">
        <v>580</v>
      </c>
      <c r="B145">
        <v>453</v>
      </c>
      <c r="C145" t="s">
        <v>580</v>
      </c>
      <c r="D145" t="s">
        <v>1659</v>
      </c>
      <c r="E145" t="s">
        <v>260</v>
      </c>
      <c r="F145" t="s">
        <v>1660</v>
      </c>
      <c r="G145" t="s">
        <v>1661</v>
      </c>
      <c r="H145" t="s">
        <v>1662</v>
      </c>
      <c r="I145" t="s">
        <v>883</v>
      </c>
      <c r="J145" t="s">
        <v>1817</v>
      </c>
      <c r="K145" t="s">
        <v>1664</v>
      </c>
      <c r="L145" t="s">
        <v>1664</v>
      </c>
      <c r="M145" t="s">
        <v>1664</v>
      </c>
      <c r="N145" t="s">
        <v>1664</v>
      </c>
      <c r="O145" t="s">
        <v>1664</v>
      </c>
      <c r="P145" t="s">
        <v>1664</v>
      </c>
      <c r="Q145" t="s">
        <v>1664</v>
      </c>
      <c r="R145" t="s">
        <v>1664</v>
      </c>
      <c r="S145" t="s">
        <v>1664</v>
      </c>
      <c r="T145" t="s">
        <v>1664</v>
      </c>
      <c r="U145">
        <v>12.135</v>
      </c>
      <c r="V145">
        <v>11.161</v>
      </c>
      <c r="W145">
        <v>11.958</v>
      </c>
      <c r="X145">
        <v>11.255000000000001</v>
      </c>
      <c r="Y145">
        <v>10.382</v>
      </c>
      <c r="Z145">
        <v>11.603</v>
      </c>
      <c r="AA145">
        <v>13.115</v>
      </c>
      <c r="AB145">
        <v>13.888</v>
      </c>
      <c r="AC145">
        <v>14.864000000000001</v>
      </c>
      <c r="AD145">
        <v>15.586</v>
      </c>
      <c r="AE145">
        <v>22.65</v>
      </c>
      <c r="AF145">
        <v>23.305</v>
      </c>
      <c r="AG145">
        <v>27.779</v>
      </c>
      <c r="AH145">
        <v>30.402000000000001</v>
      </c>
      <c r="AI145">
        <v>53.756</v>
      </c>
      <c r="AJ145">
        <v>64.248999999999995</v>
      </c>
      <c r="AK145">
        <v>82.635999999999996</v>
      </c>
      <c r="AL145">
        <v>112.154</v>
      </c>
      <c r="AM145">
        <v>138.34</v>
      </c>
      <c r="AN145">
        <v>168.68700000000001</v>
      </c>
      <c r="AO145">
        <v>170.21700000000001</v>
      </c>
      <c r="AP145">
        <v>218.696</v>
      </c>
      <c r="AQ145">
        <v>282.19799999999998</v>
      </c>
      <c r="AR145">
        <v>360.517</v>
      </c>
      <c r="AS145">
        <v>358.13299999999998</v>
      </c>
      <c r="AT145">
        <v>353.166</v>
      </c>
      <c r="AU145">
        <v>192.97399999999999</v>
      </c>
      <c r="AV145">
        <v>186.47300000000001</v>
      </c>
      <c r="AW145">
        <v>230.23099999999999</v>
      </c>
      <c r="AX145">
        <v>237.76</v>
      </c>
      <c r="AY145">
        <v>187.81800000000001</v>
      </c>
      <c r="AZ145">
        <v>218.899</v>
      </c>
      <c r="BA145">
        <v>305.40800000000002</v>
      </c>
      <c r="BB145">
        <v>334.20699999999999</v>
      </c>
      <c r="BC145">
        <v>316.714</v>
      </c>
      <c r="BD145">
        <v>308.20400000000001</v>
      </c>
      <c r="BE145">
        <v>315.60500000000002</v>
      </c>
      <c r="BF145">
        <v>333.69099999999997</v>
      </c>
      <c r="BG145">
        <v>2020</v>
      </c>
      <c r="BH145">
        <v>187.81800000000001</v>
      </c>
      <c r="BI145">
        <v>525.65700000000004</v>
      </c>
      <c r="BJ145">
        <v>525.65700000000004</v>
      </c>
      <c r="BK145">
        <v>2020</v>
      </c>
      <c r="BL145">
        <v>35.730143420519461</v>
      </c>
    </row>
    <row r="146" spans="1:64">
      <c r="A146" t="s">
        <v>549</v>
      </c>
      <c r="B146">
        <v>968</v>
      </c>
      <c r="C146" t="s">
        <v>549</v>
      </c>
      <c r="D146" t="s">
        <v>1659</v>
      </c>
      <c r="E146" t="s">
        <v>229</v>
      </c>
      <c r="F146" t="s">
        <v>1660</v>
      </c>
      <c r="G146" t="s">
        <v>1661</v>
      </c>
      <c r="H146" t="s">
        <v>1662</v>
      </c>
      <c r="I146" t="s">
        <v>883</v>
      </c>
      <c r="J146" t="s">
        <v>1818</v>
      </c>
      <c r="K146" t="s">
        <v>1664</v>
      </c>
      <c r="L146" t="s">
        <v>1664</v>
      </c>
      <c r="M146" t="s">
        <v>1664</v>
      </c>
      <c r="N146" t="s">
        <v>1664</v>
      </c>
      <c r="O146" t="s">
        <v>1664</v>
      </c>
      <c r="P146" t="s">
        <v>1664</v>
      </c>
      <c r="Q146" t="s">
        <v>1664</v>
      </c>
      <c r="R146" t="s">
        <v>1664</v>
      </c>
      <c r="S146" t="s">
        <v>1664</v>
      </c>
      <c r="T146" t="s">
        <v>1664</v>
      </c>
      <c r="U146">
        <v>3.4000000000000002E-2</v>
      </c>
      <c r="V146">
        <v>9.1999999999999998E-2</v>
      </c>
      <c r="W146">
        <v>0.22500000000000001</v>
      </c>
      <c r="X146">
        <v>0.67</v>
      </c>
      <c r="Y146">
        <v>1.554</v>
      </c>
      <c r="Z146">
        <v>2.2639999999999998</v>
      </c>
      <c r="AA146">
        <v>3.16</v>
      </c>
      <c r="AB146">
        <v>7.2389999999999999</v>
      </c>
      <c r="AC146">
        <v>11.1</v>
      </c>
      <c r="AD146">
        <v>17.384</v>
      </c>
      <c r="AE146">
        <v>25.11</v>
      </c>
      <c r="AF146">
        <v>35.173999999999999</v>
      </c>
      <c r="AG146">
        <v>44.901000000000003</v>
      </c>
      <c r="AH146">
        <v>56.673000000000002</v>
      </c>
      <c r="AI146">
        <v>74.045000000000002</v>
      </c>
      <c r="AJ146">
        <v>90.679000000000002</v>
      </c>
      <c r="AK146">
        <v>111.38800000000001</v>
      </c>
      <c r="AL146">
        <v>134.173</v>
      </c>
      <c r="AM146">
        <v>165.54900000000001</v>
      </c>
      <c r="AN146">
        <v>156.37299999999999</v>
      </c>
      <c r="AO146">
        <v>168.64099999999999</v>
      </c>
      <c r="AP146">
        <v>181.56700000000001</v>
      </c>
      <c r="AQ146">
        <v>193.10499999999999</v>
      </c>
      <c r="AR146">
        <v>200.40299999999999</v>
      </c>
      <c r="AS146">
        <v>212.517</v>
      </c>
      <c r="AT146">
        <v>233.83</v>
      </c>
      <c r="AU146">
        <v>220.49299999999999</v>
      </c>
      <c r="AV146">
        <v>239.83699999999999</v>
      </c>
      <c r="AW146">
        <v>278.03100000000001</v>
      </c>
      <c r="AX146">
        <v>305.88299999999998</v>
      </c>
      <c r="AY146">
        <v>305.29599999999999</v>
      </c>
      <c r="AZ146">
        <v>362.25599999999997</v>
      </c>
      <c r="BA146">
        <v>388.76499999999999</v>
      </c>
      <c r="BB146">
        <v>412.36599999999999</v>
      </c>
      <c r="BC146">
        <v>452.49099999999999</v>
      </c>
      <c r="BD146">
        <v>492.37700000000001</v>
      </c>
      <c r="BE146">
        <v>505.928</v>
      </c>
      <c r="BF146">
        <v>536.89300000000003</v>
      </c>
      <c r="BG146">
        <v>2020</v>
      </c>
      <c r="BH146">
        <v>305.29599999999999</v>
      </c>
      <c r="BI146">
        <v>1058.93</v>
      </c>
      <c r="BJ146">
        <v>1058.93</v>
      </c>
      <c r="BK146">
        <v>2020</v>
      </c>
      <c r="BL146">
        <v>28.830612032901133</v>
      </c>
    </row>
    <row r="147" spans="1:64">
      <c r="A147" t="s">
        <v>438</v>
      </c>
      <c r="B147">
        <v>922</v>
      </c>
      <c r="C147" t="s">
        <v>438</v>
      </c>
      <c r="D147" t="s">
        <v>1659</v>
      </c>
      <c r="E147" t="s">
        <v>1819</v>
      </c>
      <c r="F147" t="s">
        <v>1660</v>
      </c>
      <c r="G147" t="s">
        <v>1661</v>
      </c>
      <c r="H147" t="s">
        <v>1662</v>
      </c>
      <c r="I147" t="s">
        <v>883</v>
      </c>
      <c r="J147" t="s">
        <v>1820</v>
      </c>
      <c r="K147" t="s">
        <v>1664</v>
      </c>
      <c r="L147" t="s">
        <v>1664</v>
      </c>
      <c r="M147" t="s">
        <v>1664</v>
      </c>
      <c r="N147" t="s">
        <v>1664</v>
      </c>
      <c r="O147" t="s">
        <v>1664</v>
      </c>
      <c r="P147" t="s">
        <v>1664</v>
      </c>
      <c r="Q147" t="s">
        <v>1664</v>
      </c>
      <c r="R147" t="s">
        <v>1664</v>
      </c>
      <c r="S147" t="s">
        <v>1664</v>
      </c>
      <c r="T147" t="s">
        <v>1664</v>
      </c>
      <c r="U147" t="s">
        <v>1664</v>
      </c>
      <c r="V147" t="s">
        <v>1664</v>
      </c>
      <c r="W147" t="s">
        <v>1664</v>
      </c>
      <c r="X147" t="s">
        <v>1664</v>
      </c>
      <c r="Y147" t="s">
        <v>1664</v>
      </c>
      <c r="Z147" t="s">
        <v>1664</v>
      </c>
      <c r="AA147" t="s">
        <v>1664</v>
      </c>
      <c r="AB147" t="s">
        <v>1664</v>
      </c>
      <c r="AC147">
        <v>908.94100000000003</v>
      </c>
      <c r="AD147">
        <v>1586.53</v>
      </c>
      <c r="AE147">
        <v>2642.38</v>
      </c>
      <c r="AF147">
        <v>3301.71</v>
      </c>
      <c r="AG147">
        <v>4002.44</v>
      </c>
      <c r="AH147">
        <v>4804.4799999999996</v>
      </c>
      <c r="AI147">
        <v>6240.01</v>
      </c>
      <c r="AJ147">
        <v>8579.64</v>
      </c>
      <c r="AK147">
        <v>10625.81</v>
      </c>
      <c r="AL147">
        <v>13368.26</v>
      </c>
      <c r="AM147">
        <v>16169.1</v>
      </c>
      <c r="AN147">
        <v>13599.72</v>
      </c>
      <c r="AO147">
        <v>16031.93</v>
      </c>
      <c r="AP147">
        <v>20855.37</v>
      </c>
      <c r="AQ147">
        <v>23435.11</v>
      </c>
      <c r="AR147">
        <v>24442.69</v>
      </c>
      <c r="AS147">
        <v>26766.080000000002</v>
      </c>
      <c r="AT147">
        <v>26494.09</v>
      </c>
      <c r="AU147">
        <v>28181.5</v>
      </c>
      <c r="AV147">
        <v>30640.02</v>
      </c>
      <c r="AW147">
        <v>36916.9</v>
      </c>
      <c r="AX147">
        <v>39110.300000000003</v>
      </c>
      <c r="AY147">
        <v>37856.71</v>
      </c>
      <c r="AZ147">
        <v>48451.33</v>
      </c>
      <c r="BA147">
        <v>52288.7</v>
      </c>
      <c r="BB147">
        <v>55553.18</v>
      </c>
      <c r="BC147">
        <v>60542.98</v>
      </c>
      <c r="BD147">
        <v>64985.06</v>
      </c>
      <c r="BE147">
        <v>67755.53</v>
      </c>
      <c r="BF147">
        <v>71239.8</v>
      </c>
      <c r="BG147">
        <v>2021</v>
      </c>
      <c r="BH147">
        <v>48451.33</v>
      </c>
      <c r="BI147">
        <v>130795.3</v>
      </c>
      <c r="BJ147">
        <v>130795.3</v>
      </c>
      <c r="BK147">
        <v>2021</v>
      </c>
      <c r="BL147">
        <v>37.043632301772313</v>
      </c>
    </row>
    <row r="148" spans="1:64">
      <c r="A148" t="s">
        <v>324</v>
      </c>
      <c r="B148">
        <v>714</v>
      </c>
      <c r="C148" t="s">
        <v>324</v>
      </c>
      <c r="D148" t="s">
        <v>1659</v>
      </c>
      <c r="E148" t="s">
        <v>111</v>
      </c>
      <c r="F148" t="s">
        <v>1660</v>
      </c>
      <c r="G148" t="s">
        <v>1661</v>
      </c>
      <c r="H148" t="s">
        <v>1662</v>
      </c>
      <c r="I148" t="s">
        <v>883</v>
      </c>
      <c r="J148" t="s">
        <v>1821</v>
      </c>
      <c r="K148" t="s">
        <v>1664</v>
      </c>
      <c r="L148" t="s">
        <v>1664</v>
      </c>
      <c r="M148" t="s">
        <v>1664</v>
      </c>
      <c r="N148" t="s">
        <v>1664</v>
      </c>
      <c r="O148" t="s">
        <v>1664</v>
      </c>
      <c r="P148" t="s">
        <v>1664</v>
      </c>
      <c r="Q148" t="s">
        <v>1664</v>
      </c>
      <c r="R148" t="s">
        <v>1664</v>
      </c>
      <c r="S148" t="s">
        <v>1664</v>
      </c>
      <c r="T148" t="s">
        <v>1664</v>
      </c>
      <c r="U148" t="s">
        <v>1664</v>
      </c>
      <c r="V148" t="s">
        <v>1664</v>
      </c>
      <c r="W148">
        <v>44.289000000000001</v>
      </c>
      <c r="X148">
        <v>44.006</v>
      </c>
      <c r="Y148">
        <v>7.5469999999999997</v>
      </c>
      <c r="Z148">
        <v>61.527999999999999</v>
      </c>
      <c r="AA148">
        <v>70.828000000000003</v>
      </c>
      <c r="AB148">
        <v>95.8</v>
      </c>
      <c r="AC148">
        <v>98.981999999999999</v>
      </c>
      <c r="AD148">
        <v>129.32599999999999</v>
      </c>
      <c r="AE148">
        <v>145.23500000000001</v>
      </c>
      <c r="AF148">
        <v>150.37</v>
      </c>
      <c r="AG148">
        <v>172.37</v>
      </c>
      <c r="AH148">
        <v>198.542</v>
      </c>
      <c r="AI148">
        <v>276.45499999999998</v>
      </c>
      <c r="AJ148">
        <v>344.93200000000002</v>
      </c>
      <c r="AK148">
        <v>376.42899999999997</v>
      </c>
      <c r="AL148">
        <v>464.20100000000002</v>
      </c>
      <c r="AM148">
        <v>659.63900000000001</v>
      </c>
      <c r="AN148">
        <v>727.96100000000001</v>
      </c>
      <c r="AO148">
        <v>828.26</v>
      </c>
      <c r="AP148">
        <v>984.798</v>
      </c>
      <c r="AQ148">
        <v>1043.4000000000001</v>
      </c>
      <c r="AR148">
        <v>1258.43</v>
      </c>
      <c r="AS148">
        <v>1324.86</v>
      </c>
      <c r="AT148">
        <v>1470.53</v>
      </c>
      <c r="AU148">
        <v>1565.16</v>
      </c>
      <c r="AV148">
        <v>1736.94</v>
      </c>
      <c r="AW148">
        <v>1975.38</v>
      </c>
      <c r="AX148">
        <v>2152.3000000000002</v>
      </c>
      <c r="AY148">
        <v>2295.33</v>
      </c>
      <c r="AZ148">
        <v>2687.89</v>
      </c>
      <c r="BA148">
        <v>3243.36</v>
      </c>
      <c r="BB148">
        <v>3457.09</v>
      </c>
      <c r="BC148">
        <v>4134.62</v>
      </c>
      <c r="BD148">
        <v>4656.83</v>
      </c>
      <c r="BE148">
        <v>5026.7700000000004</v>
      </c>
      <c r="BF148">
        <v>5388.94</v>
      </c>
      <c r="BG148">
        <v>2019</v>
      </c>
      <c r="BH148">
        <v>2152.3000000000002</v>
      </c>
      <c r="BI148">
        <v>9315</v>
      </c>
      <c r="BJ148">
        <v>9315</v>
      </c>
      <c r="BK148">
        <v>2019</v>
      </c>
      <c r="BL148">
        <v>23.105743424584006</v>
      </c>
    </row>
    <row r="149" spans="1:64">
      <c r="A149" t="s">
        <v>382</v>
      </c>
      <c r="B149">
        <v>862</v>
      </c>
      <c r="C149" t="s">
        <v>382</v>
      </c>
      <c r="D149" t="s">
        <v>1659</v>
      </c>
      <c r="E149" t="s">
        <v>168</v>
      </c>
      <c r="F149" t="s">
        <v>1660</v>
      </c>
      <c r="G149" t="s">
        <v>1661</v>
      </c>
      <c r="H149" t="s">
        <v>1662</v>
      </c>
      <c r="I149" t="s">
        <v>883</v>
      </c>
      <c r="J149" t="s">
        <v>1822</v>
      </c>
      <c r="K149" t="s">
        <v>1664</v>
      </c>
      <c r="L149" t="s">
        <v>1664</v>
      </c>
      <c r="M149" t="s">
        <v>1664</v>
      </c>
      <c r="N149" t="s">
        <v>1664</v>
      </c>
      <c r="O149" t="s">
        <v>1664</v>
      </c>
      <c r="P149" t="s">
        <v>1664</v>
      </c>
      <c r="Q149" t="s">
        <v>1664</v>
      </c>
      <c r="R149" t="s">
        <v>1664</v>
      </c>
      <c r="S149" t="s">
        <v>1664</v>
      </c>
      <c r="T149" t="s">
        <v>1664</v>
      </c>
      <c r="U149" t="s">
        <v>1664</v>
      </c>
      <c r="V149" t="s">
        <v>1664</v>
      </c>
      <c r="W149">
        <v>0.159</v>
      </c>
      <c r="X149">
        <v>0.185</v>
      </c>
      <c r="Y149">
        <v>0.17799999999999999</v>
      </c>
      <c r="Z149">
        <v>0.217</v>
      </c>
      <c r="AA149">
        <v>0.254</v>
      </c>
      <c r="AB149">
        <v>0.23599999999999999</v>
      </c>
      <c r="AC149">
        <v>0.23400000000000001</v>
      </c>
      <c r="AD149">
        <v>0.26800000000000002</v>
      </c>
      <c r="AE149">
        <v>0.251</v>
      </c>
      <c r="AF149">
        <v>0.26200000000000001</v>
      </c>
      <c r="AG149">
        <v>0.29099999999999998</v>
      </c>
      <c r="AH149">
        <v>0.30399999999999999</v>
      </c>
      <c r="AI149">
        <v>0.318</v>
      </c>
      <c r="AJ149">
        <v>0.40799999999999997</v>
      </c>
      <c r="AK149">
        <v>0.38800000000000001</v>
      </c>
      <c r="AL149">
        <v>0.48699999999999999</v>
      </c>
      <c r="AM149">
        <v>0.47499999999999998</v>
      </c>
      <c r="AN149">
        <v>0.501</v>
      </c>
      <c r="AO149">
        <v>0.41299999999999998</v>
      </c>
      <c r="AP149">
        <v>0.505</v>
      </c>
      <c r="AQ149">
        <v>0.46600000000000003</v>
      </c>
      <c r="AR149">
        <v>0.49099999999999999</v>
      </c>
      <c r="AS149">
        <v>0.55500000000000005</v>
      </c>
      <c r="AT149">
        <v>0.53400000000000003</v>
      </c>
      <c r="AU149">
        <v>0.59599999999999997</v>
      </c>
      <c r="AV149">
        <v>0.64800000000000002</v>
      </c>
      <c r="AW149">
        <v>0.67700000000000005</v>
      </c>
      <c r="AX149">
        <v>0.79500000000000004</v>
      </c>
      <c r="AY149">
        <v>0.84199999999999997</v>
      </c>
      <c r="AZ149">
        <v>0.79200000000000004</v>
      </c>
      <c r="BA149">
        <v>0.76800000000000002</v>
      </c>
      <c r="BB149">
        <v>0.81899999999999995</v>
      </c>
      <c r="BC149">
        <v>0.872</v>
      </c>
      <c r="BD149">
        <v>0.93</v>
      </c>
      <c r="BE149">
        <v>0.997</v>
      </c>
      <c r="BF149">
        <v>1.0620000000000001</v>
      </c>
      <c r="BG149">
        <v>2021</v>
      </c>
      <c r="BH149">
        <v>0.79200000000000004</v>
      </c>
      <c r="BI149">
        <v>2.0270000000000001</v>
      </c>
      <c r="BJ149">
        <v>2.0270000000000001</v>
      </c>
      <c r="BK149">
        <v>2021</v>
      </c>
      <c r="BL149">
        <v>39.072520966946222</v>
      </c>
    </row>
    <row r="150" spans="1:64">
      <c r="A150" t="s">
        <v>551</v>
      </c>
      <c r="B150">
        <v>135</v>
      </c>
      <c r="C150" t="s">
        <v>551</v>
      </c>
      <c r="D150" t="s">
        <v>1659</v>
      </c>
      <c r="E150" t="s">
        <v>265</v>
      </c>
      <c r="F150" t="s">
        <v>1660</v>
      </c>
      <c r="G150" t="s">
        <v>1661</v>
      </c>
      <c r="H150" t="s">
        <v>1662</v>
      </c>
      <c r="I150" t="s">
        <v>883</v>
      </c>
      <c r="J150" t="s">
        <v>1823</v>
      </c>
      <c r="K150" t="s">
        <v>1664</v>
      </c>
      <c r="L150" t="s">
        <v>1664</v>
      </c>
      <c r="M150" t="s">
        <v>1664</v>
      </c>
      <c r="N150" t="s">
        <v>1664</v>
      </c>
      <c r="O150" t="s">
        <v>1664</v>
      </c>
      <c r="P150" t="s">
        <v>1664</v>
      </c>
      <c r="Q150" t="s">
        <v>1664</v>
      </c>
      <c r="R150" t="s">
        <v>1664</v>
      </c>
      <c r="S150" t="s">
        <v>1664</v>
      </c>
      <c r="T150" t="s">
        <v>1664</v>
      </c>
      <c r="U150" t="s">
        <v>1664</v>
      </c>
      <c r="V150" t="s">
        <v>1664</v>
      </c>
      <c r="W150" t="s">
        <v>1664</v>
      </c>
      <c r="X150" t="s">
        <v>1664</v>
      </c>
      <c r="Y150" t="s">
        <v>1664</v>
      </c>
      <c r="Z150" t="s">
        <v>1664</v>
      </c>
      <c r="AA150" t="s">
        <v>1664</v>
      </c>
      <c r="AB150" t="s">
        <v>1664</v>
      </c>
      <c r="AC150" t="s">
        <v>1664</v>
      </c>
      <c r="AD150" t="s">
        <v>1664</v>
      </c>
      <c r="AE150" t="s">
        <v>1664</v>
      </c>
      <c r="AF150" t="s">
        <v>1664</v>
      </c>
      <c r="AG150" t="s">
        <v>1664</v>
      </c>
      <c r="AH150" t="s">
        <v>1664</v>
      </c>
      <c r="AI150">
        <v>0.29499999999999998</v>
      </c>
      <c r="AJ150">
        <v>0.32900000000000001</v>
      </c>
      <c r="AK150">
        <v>0.32200000000000001</v>
      </c>
      <c r="AL150">
        <v>0.35899999999999999</v>
      </c>
      <c r="AM150">
        <v>0.36299999999999999</v>
      </c>
      <c r="AN150">
        <v>0.33100000000000002</v>
      </c>
      <c r="AO150">
        <v>0.314</v>
      </c>
      <c r="AP150">
        <v>0.27800000000000002</v>
      </c>
      <c r="AQ150">
        <v>0.29399999999999998</v>
      </c>
      <c r="AR150">
        <v>0.28299999999999997</v>
      </c>
      <c r="AS150">
        <v>0.312</v>
      </c>
      <c r="AT150">
        <v>0.29399999999999998</v>
      </c>
      <c r="AU150">
        <v>0.308</v>
      </c>
      <c r="AV150">
        <v>0.29899999999999999</v>
      </c>
      <c r="AW150">
        <v>0.32200000000000001</v>
      </c>
      <c r="AX150">
        <v>0.32300000000000001</v>
      </c>
      <c r="AY150">
        <v>0.29199999999999998</v>
      </c>
      <c r="AZ150">
        <v>0.28000000000000003</v>
      </c>
      <c r="BA150">
        <v>0.30399999999999999</v>
      </c>
      <c r="BB150">
        <v>0.316</v>
      </c>
      <c r="BC150">
        <v>0.32600000000000001</v>
      </c>
      <c r="BD150">
        <v>0.33700000000000002</v>
      </c>
      <c r="BE150">
        <v>0.34699999999999998</v>
      </c>
      <c r="BF150">
        <v>0.35799999999999998</v>
      </c>
      <c r="BG150">
        <v>2020</v>
      </c>
      <c r="BH150">
        <v>0.29199999999999998</v>
      </c>
      <c r="BI150">
        <v>1.3520000000000001</v>
      </c>
      <c r="BJ150">
        <v>1.3520000000000001</v>
      </c>
      <c r="BK150">
        <v>2020</v>
      </c>
      <c r="BL150">
        <v>21.597633136094672</v>
      </c>
    </row>
    <row r="151" spans="1:64">
      <c r="A151" t="s">
        <v>357</v>
      </c>
      <c r="B151">
        <v>716</v>
      </c>
      <c r="C151" t="s">
        <v>357</v>
      </c>
      <c r="D151" t="s">
        <v>1659</v>
      </c>
      <c r="E151" t="s">
        <v>143</v>
      </c>
      <c r="F151" t="s">
        <v>1660</v>
      </c>
      <c r="G151" t="s">
        <v>1661</v>
      </c>
      <c r="H151" t="s">
        <v>1662</v>
      </c>
      <c r="I151" t="s">
        <v>883</v>
      </c>
      <c r="J151" t="s">
        <v>1824</v>
      </c>
      <c r="K151" t="s">
        <v>1664</v>
      </c>
      <c r="L151" t="s">
        <v>1664</v>
      </c>
      <c r="M151" t="s">
        <v>1664</v>
      </c>
      <c r="N151" t="s">
        <v>1664</v>
      </c>
      <c r="O151" t="s">
        <v>1664</v>
      </c>
      <c r="P151" t="s">
        <v>1664</v>
      </c>
      <c r="Q151" t="s">
        <v>1664</v>
      </c>
      <c r="R151" t="s">
        <v>1664</v>
      </c>
      <c r="S151" t="s">
        <v>1664</v>
      </c>
      <c r="T151" t="s">
        <v>1664</v>
      </c>
      <c r="U151" t="s">
        <v>1664</v>
      </c>
      <c r="V151" t="s">
        <v>1664</v>
      </c>
      <c r="W151" t="s">
        <v>1664</v>
      </c>
      <c r="X151" t="s">
        <v>1664</v>
      </c>
      <c r="Y151" t="s">
        <v>1664</v>
      </c>
      <c r="Z151" t="s">
        <v>1664</v>
      </c>
      <c r="AA151" t="s">
        <v>1664</v>
      </c>
      <c r="AB151" t="s">
        <v>1664</v>
      </c>
      <c r="AC151" t="s">
        <v>1664</v>
      </c>
      <c r="AD151" t="s">
        <v>1664</v>
      </c>
      <c r="AE151">
        <v>0.38100000000000001</v>
      </c>
      <c r="AF151">
        <v>0.249</v>
      </c>
      <c r="AG151">
        <v>0.246</v>
      </c>
      <c r="AH151">
        <v>0.32100000000000001</v>
      </c>
      <c r="AI151">
        <v>0.36799999999999999</v>
      </c>
      <c r="AJ151">
        <v>0.93100000000000005</v>
      </c>
      <c r="AK151">
        <v>0.82499999999999996</v>
      </c>
      <c r="AL151">
        <v>3.2120000000000002</v>
      </c>
      <c r="AM151">
        <v>1.218</v>
      </c>
      <c r="AN151">
        <v>0.995</v>
      </c>
      <c r="AO151">
        <v>1.397</v>
      </c>
      <c r="AP151">
        <v>1.631</v>
      </c>
      <c r="AQ151">
        <v>1.6850000000000001</v>
      </c>
      <c r="AR151">
        <v>1.869</v>
      </c>
      <c r="AS151">
        <v>1.6180000000000001</v>
      </c>
      <c r="AT151">
        <v>1.9650000000000001</v>
      </c>
      <c r="AU151">
        <v>2.1680000000000001</v>
      </c>
      <c r="AV151">
        <v>2.0339999999999998</v>
      </c>
      <c r="AW151">
        <v>2.081</v>
      </c>
      <c r="AX151">
        <v>2.073</v>
      </c>
      <c r="AY151">
        <v>2.9729999999999999</v>
      </c>
      <c r="AZ151">
        <v>2.7519999999999998</v>
      </c>
      <c r="BA151">
        <v>3.552</v>
      </c>
      <c r="BB151">
        <v>3.22</v>
      </c>
      <c r="BC151">
        <v>3.6120000000000001</v>
      </c>
      <c r="BD151">
        <v>3.9239999999999999</v>
      </c>
      <c r="BE151">
        <v>4.2389999999999999</v>
      </c>
      <c r="BF151">
        <v>4.6319999999999997</v>
      </c>
      <c r="BG151">
        <v>2020</v>
      </c>
      <c r="BH151">
        <v>2.9729999999999999</v>
      </c>
      <c r="BI151">
        <v>10.247</v>
      </c>
      <c r="BJ151">
        <v>10.247</v>
      </c>
      <c r="BK151">
        <v>2020</v>
      </c>
      <c r="BL151">
        <v>29.013369766761006</v>
      </c>
    </row>
    <row r="152" spans="1:64">
      <c r="A152" t="s">
        <v>582</v>
      </c>
      <c r="B152">
        <v>456</v>
      </c>
      <c r="C152" t="s">
        <v>582</v>
      </c>
      <c r="D152" t="s">
        <v>1659</v>
      </c>
      <c r="E152" t="s">
        <v>245</v>
      </c>
      <c r="F152" t="s">
        <v>1660</v>
      </c>
      <c r="G152" t="s">
        <v>1661</v>
      </c>
      <c r="H152" t="s">
        <v>1662</v>
      </c>
      <c r="I152" t="s">
        <v>883</v>
      </c>
      <c r="J152" t="s">
        <v>1825</v>
      </c>
      <c r="K152" t="s">
        <v>1664</v>
      </c>
      <c r="L152" t="s">
        <v>1664</v>
      </c>
      <c r="M152" t="s">
        <v>1664</v>
      </c>
      <c r="N152" t="s">
        <v>1664</v>
      </c>
      <c r="O152" t="s">
        <v>1664</v>
      </c>
      <c r="P152" t="s">
        <v>1664</v>
      </c>
      <c r="Q152" t="s">
        <v>1664</v>
      </c>
      <c r="R152" t="s">
        <v>1664</v>
      </c>
      <c r="S152" t="s">
        <v>1664</v>
      </c>
      <c r="T152" t="s">
        <v>1664</v>
      </c>
      <c r="U152" t="s">
        <v>1664</v>
      </c>
      <c r="V152">
        <v>156.79599999999999</v>
      </c>
      <c r="W152">
        <v>169.64699999999999</v>
      </c>
      <c r="X152">
        <v>141.44499999999999</v>
      </c>
      <c r="Y152">
        <v>129</v>
      </c>
      <c r="Z152">
        <v>146.5</v>
      </c>
      <c r="AA152">
        <v>178.82499999999999</v>
      </c>
      <c r="AB152">
        <v>205.68</v>
      </c>
      <c r="AC152">
        <v>141.21</v>
      </c>
      <c r="AD152">
        <v>147.50700000000001</v>
      </c>
      <c r="AE152">
        <v>258.10000000000002</v>
      </c>
      <c r="AF152">
        <v>228.1</v>
      </c>
      <c r="AG152">
        <v>213</v>
      </c>
      <c r="AH152">
        <v>277.7</v>
      </c>
      <c r="AI152">
        <v>395.99099999999999</v>
      </c>
      <c r="AJ152">
        <v>567.84900000000005</v>
      </c>
      <c r="AK152">
        <v>678.81299999999999</v>
      </c>
      <c r="AL152">
        <v>642.80600000000004</v>
      </c>
      <c r="AM152">
        <v>1100.96</v>
      </c>
      <c r="AN152">
        <v>509.80500000000001</v>
      </c>
      <c r="AO152">
        <v>740.87400000000002</v>
      </c>
      <c r="AP152">
        <v>1117.53</v>
      </c>
      <c r="AQ152">
        <v>1246.54</v>
      </c>
      <c r="AR152">
        <v>1152.6099999999999</v>
      </c>
      <c r="AS152">
        <v>1040.1400000000001</v>
      </c>
      <c r="AT152">
        <v>612.69399999999996</v>
      </c>
      <c r="AU152">
        <v>519.44899999999996</v>
      </c>
      <c r="AV152">
        <v>621.5</v>
      </c>
      <c r="AW152">
        <v>905.60900000000004</v>
      </c>
      <c r="AX152">
        <v>926.84500000000003</v>
      </c>
      <c r="AY152">
        <v>778.63199999999995</v>
      </c>
      <c r="AZ152">
        <v>962.48599999999999</v>
      </c>
      <c r="BA152">
        <v>1228.05</v>
      </c>
      <c r="BB152">
        <v>1207.46</v>
      </c>
      <c r="BC152">
        <v>1213.6199999999999</v>
      </c>
      <c r="BD152">
        <v>1237.51</v>
      </c>
      <c r="BE152">
        <v>1274.0999999999999</v>
      </c>
      <c r="BF152">
        <v>1314.58</v>
      </c>
      <c r="BG152">
        <v>2021</v>
      </c>
      <c r="BH152">
        <v>962.48599999999999</v>
      </c>
      <c r="BI152">
        <v>3125.78</v>
      </c>
      <c r="BJ152">
        <v>3125.78</v>
      </c>
      <c r="BK152">
        <v>2021</v>
      </c>
      <c r="BL152">
        <v>30.791866350158998</v>
      </c>
    </row>
    <row r="153" spans="1:64">
      <c r="A153" t="s">
        <v>345</v>
      </c>
      <c r="B153">
        <v>722</v>
      </c>
      <c r="C153" t="s">
        <v>345</v>
      </c>
      <c r="D153" t="s">
        <v>1659</v>
      </c>
      <c r="E153" t="s">
        <v>131</v>
      </c>
      <c r="F153" t="s">
        <v>1660</v>
      </c>
      <c r="G153" t="s">
        <v>1661</v>
      </c>
      <c r="H153" t="s">
        <v>1662</v>
      </c>
      <c r="I153" t="s">
        <v>883</v>
      </c>
      <c r="J153" t="s">
        <v>1826</v>
      </c>
      <c r="K153" t="s">
        <v>1664</v>
      </c>
      <c r="L153" t="s">
        <v>1664</v>
      </c>
      <c r="M153" t="s">
        <v>1664</v>
      </c>
      <c r="N153" t="s">
        <v>1664</v>
      </c>
      <c r="O153" t="s">
        <v>1664</v>
      </c>
      <c r="P153" t="s">
        <v>1664</v>
      </c>
      <c r="Q153" t="s">
        <v>1664</v>
      </c>
      <c r="R153" t="s">
        <v>1664</v>
      </c>
      <c r="S153" t="s">
        <v>1664</v>
      </c>
      <c r="T153" t="s">
        <v>1664</v>
      </c>
      <c r="U153" t="s">
        <v>1664</v>
      </c>
      <c r="V153" t="s">
        <v>1664</v>
      </c>
      <c r="W153" t="s">
        <v>1664</v>
      </c>
      <c r="X153" t="s">
        <v>1664</v>
      </c>
      <c r="Y153">
        <v>574.5</v>
      </c>
      <c r="Z153">
        <v>506.7</v>
      </c>
      <c r="AA153">
        <v>525.29999999999995</v>
      </c>
      <c r="AB153">
        <v>515</v>
      </c>
      <c r="AC153">
        <v>541.9</v>
      </c>
      <c r="AD153">
        <v>568.42600000000004</v>
      </c>
      <c r="AE153">
        <v>630.49</v>
      </c>
      <c r="AF153">
        <v>680.2</v>
      </c>
      <c r="AG153">
        <v>763.36900000000003</v>
      </c>
      <c r="AH153">
        <v>841.75300000000004</v>
      </c>
      <c r="AI153">
        <v>974</v>
      </c>
      <c r="AJ153">
        <v>1068.4000000000001</v>
      </c>
      <c r="AK153">
        <v>1076.71</v>
      </c>
      <c r="AL153">
        <v>1297.7</v>
      </c>
      <c r="AM153">
        <v>1308.5</v>
      </c>
      <c r="AN153">
        <v>1325.47</v>
      </c>
      <c r="AO153">
        <v>1416.75</v>
      </c>
      <c r="AP153">
        <v>1538.54</v>
      </c>
      <c r="AQ153">
        <v>1694</v>
      </c>
      <c r="AR153">
        <v>1659</v>
      </c>
      <c r="AS153">
        <v>1877.16</v>
      </c>
      <c r="AT153">
        <v>2026.44</v>
      </c>
      <c r="AU153">
        <v>2334.65</v>
      </c>
      <c r="AV153">
        <v>2376.79</v>
      </c>
      <c r="AW153">
        <v>2425.4499999999998</v>
      </c>
      <c r="AX153">
        <v>2789.07</v>
      </c>
      <c r="AY153">
        <v>2842.64</v>
      </c>
      <c r="AZ153">
        <v>2978.29</v>
      </c>
      <c r="BA153">
        <v>3460.97</v>
      </c>
      <c r="BB153">
        <v>3926.49</v>
      </c>
      <c r="BC153">
        <v>4498.62</v>
      </c>
      <c r="BD153">
        <v>5061.49</v>
      </c>
      <c r="BE153">
        <v>5510.75</v>
      </c>
      <c r="BF153">
        <v>5900.3</v>
      </c>
      <c r="BG153">
        <v>2020</v>
      </c>
      <c r="BH153">
        <v>2842.64</v>
      </c>
      <c r="BI153">
        <v>14101</v>
      </c>
      <c r="BJ153">
        <v>13712.8</v>
      </c>
      <c r="BK153">
        <v>2019</v>
      </c>
      <c r="BL153">
        <v>20.15913764981207</v>
      </c>
    </row>
    <row r="154" spans="1:64">
      <c r="A154" t="s">
        <v>425</v>
      </c>
      <c r="B154">
        <v>942</v>
      </c>
      <c r="C154" t="s">
        <v>425</v>
      </c>
      <c r="D154" t="s">
        <v>1659</v>
      </c>
      <c r="E154" t="s">
        <v>210</v>
      </c>
      <c r="F154" t="s">
        <v>1660</v>
      </c>
      <c r="G154" t="s">
        <v>1661</v>
      </c>
      <c r="H154" t="s">
        <v>1662</v>
      </c>
      <c r="I154" t="s">
        <v>883</v>
      </c>
      <c r="J154" t="s">
        <v>1827</v>
      </c>
      <c r="K154" t="s">
        <v>1664</v>
      </c>
      <c r="L154" t="s">
        <v>1664</v>
      </c>
      <c r="M154" t="s">
        <v>1664</v>
      </c>
      <c r="N154" t="s">
        <v>1664</v>
      </c>
      <c r="O154" t="s">
        <v>1664</v>
      </c>
      <c r="P154" t="s">
        <v>1664</v>
      </c>
      <c r="Q154" t="s">
        <v>1664</v>
      </c>
      <c r="R154" t="s">
        <v>1664</v>
      </c>
      <c r="S154" t="s">
        <v>1664</v>
      </c>
      <c r="T154" t="s">
        <v>1664</v>
      </c>
      <c r="U154" t="s">
        <v>1664</v>
      </c>
      <c r="V154" t="s">
        <v>1664</v>
      </c>
      <c r="W154" t="s">
        <v>1664</v>
      </c>
      <c r="X154" t="s">
        <v>1664</v>
      </c>
      <c r="Y154" t="s">
        <v>1664</v>
      </c>
      <c r="Z154" t="s">
        <v>1664</v>
      </c>
      <c r="AA154" t="s">
        <v>1664</v>
      </c>
      <c r="AB154" t="s">
        <v>1664</v>
      </c>
      <c r="AC154" t="s">
        <v>1664</v>
      </c>
      <c r="AD154" t="s">
        <v>1664</v>
      </c>
      <c r="AE154">
        <v>128.88999999999999</v>
      </c>
      <c r="AF154">
        <v>280.48399999999998</v>
      </c>
      <c r="AG154">
        <v>418.39600000000002</v>
      </c>
      <c r="AH154">
        <v>478.84399999999999</v>
      </c>
      <c r="AI154">
        <v>593.52499999999998</v>
      </c>
      <c r="AJ154">
        <v>754.64300000000003</v>
      </c>
      <c r="AK154">
        <v>903.60299999999995</v>
      </c>
      <c r="AL154">
        <v>1043.79</v>
      </c>
      <c r="AM154">
        <v>1191.3399999999999</v>
      </c>
      <c r="AN154">
        <v>1200.83</v>
      </c>
      <c r="AO154">
        <v>1279.82</v>
      </c>
      <c r="AP154">
        <v>1362.94</v>
      </c>
      <c r="AQ154">
        <v>1477.2</v>
      </c>
      <c r="AR154">
        <v>1537.96</v>
      </c>
      <c r="AS154">
        <v>1620.75</v>
      </c>
      <c r="AT154">
        <v>1694.84</v>
      </c>
      <c r="AU154">
        <v>1842.65</v>
      </c>
      <c r="AV154">
        <v>1973.38</v>
      </c>
      <c r="AW154">
        <v>2105.2399999999998</v>
      </c>
      <c r="AX154">
        <v>2278.5300000000002</v>
      </c>
      <c r="AY154">
        <v>2254.96</v>
      </c>
      <c r="AZ154">
        <v>2711.93</v>
      </c>
      <c r="BA154">
        <v>2838.23</v>
      </c>
      <c r="BB154">
        <v>3169.75</v>
      </c>
      <c r="BC154">
        <v>3467.56</v>
      </c>
      <c r="BD154">
        <v>3760.02</v>
      </c>
      <c r="BE154">
        <v>4073.47</v>
      </c>
      <c r="BF154">
        <v>4420.5</v>
      </c>
      <c r="BG154">
        <v>2020</v>
      </c>
      <c r="BH154">
        <v>2254.96</v>
      </c>
      <c r="BI154">
        <v>5502.22</v>
      </c>
      <c r="BJ154">
        <v>5502.22</v>
      </c>
      <c r="BK154">
        <v>2020</v>
      </c>
      <c r="BL154">
        <v>40.982730606918658</v>
      </c>
    </row>
    <row r="155" spans="1:64">
      <c r="A155" t="s">
        <v>552</v>
      </c>
      <c r="B155">
        <v>718</v>
      </c>
      <c r="C155" t="s">
        <v>552</v>
      </c>
      <c r="D155" t="s">
        <v>1659</v>
      </c>
      <c r="E155" t="s">
        <v>227</v>
      </c>
      <c r="F155" t="s">
        <v>1660</v>
      </c>
      <c r="G155" t="s">
        <v>1661</v>
      </c>
      <c r="H155" t="s">
        <v>1662</v>
      </c>
      <c r="I155" t="s">
        <v>883</v>
      </c>
      <c r="J155" t="s">
        <v>1828</v>
      </c>
      <c r="K155" t="s">
        <v>1664</v>
      </c>
      <c r="L155" t="s">
        <v>1664</v>
      </c>
      <c r="M155" t="s">
        <v>1664</v>
      </c>
      <c r="N155">
        <v>0.44500000000000001</v>
      </c>
      <c r="O155">
        <v>0.47499999999999998</v>
      </c>
      <c r="P155">
        <v>0.58099999999999996</v>
      </c>
      <c r="Q155">
        <v>0.61599999999999999</v>
      </c>
      <c r="R155">
        <v>0.73299999999999998</v>
      </c>
      <c r="S155">
        <v>0.89500000000000002</v>
      </c>
      <c r="T155">
        <v>1.0309999999999999</v>
      </c>
      <c r="U155">
        <v>1.1399999999999999</v>
      </c>
      <c r="V155">
        <v>1.0940000000000001</v>
      </c>
      <c r="W155">
        <v>1.27</v>
      </c>
      <c r="X155">
        <v>1.393</v>
      </c>
      <c r="Y155">
        <v>1.395</v>
      </c>
      <c r="Z155">
        <v>1.2230000000000001</v>
      </c>
      <c r="AA155">
        <v>1.236</v>
      </c>
      <c r="AB155">
        <v>1.3819999999999999</v>
      </c>
      <c r="AC155">
        <v>1.409</v>
      </c>
      <c r="AD155">
        <v>1.526</v>
      </c>
      <c r="AE155">
        <v>1.429</v>
      </c>
      <c r="AF155">
        <v>1.3819999999999999</v>
      </c>
      <c r="AG155">
        <v>1.5309999999999999</v>
      </c>
      <c r="AH155">
        <v>1.83</v>
      </c>
      <c r="AI155">
        <v>1.8620000000000001</v>
      </c>
      <c r="AJ155">
        <v>1.992</v>
      </c>
      <c r="AK155">
        <v>2.3010000000000002</v>
      </c>
      <c r="AL155">
        <v>2.214</v>
      </c>
      <c r="AM155">
        <v>3.19</v>
      </c>
      <c r="AN155">
        <v>4.2619999999999996</v>
      </c>
      <c r="AO155">
        <v>4.1079999999999997</v>
      </c>
      <c r="AP155">
        <v>5.0140000000000002</v>
      </c>
      <c r="AQ155">
        <v>6.024</v>
      </c>
      <c r="AR155">
        <v>6.1109999999999998</v>
      </c>
      <c r="AS155">
        <v>6.4130000000000003</v>
      </c>
      <c r="AT155">
        <v>6.2759999999999998</v>
      </c>
      <c r="AU155">
        <v>7.2050000000000001</v>
      </c>
      <c r="AV155">
        <v>7.4749999999999996</v>
      </c>
      <c r="AW155">
        <v>7.9969999999999999</v>
      </c>
      <c r="AX155">
        <v>8.4350000000000005</v>
      </c>
      <c r="AY155">
        <v>7.5430000000000001</v>
      </c>
      <c r="AZ155">
        <v>8.3670000000000009</v>
      </c>
      <c r="BA155">
        <v>9.2949999999999999</v>
      </c>
      <c r="BB155">
        <v>10.359</v>
      </c>
      <c r="BC155">
        <v>11.151999999999999</v>
      </c>
      <c r="BD155">
        <v>11.589</v>
      </c>
      <c r="BE155">
        <v>12.253</v>
      </c>
      <c r="BF155">
        <v>12.9</v>
      </c>
      <c r="BG155">
        <v>2020</v>
      </c>
      <c r="BH155">
        <v>7.5430000000000001</v>
      </c>
      <c r="BI155">
        <v>21.151</v>
      </c>
      <c r="BJ155">
        <v>21.151</v>
      </c>
      <c r="BK155">
        <v>2020</v>
      </c>
      <c r="BL155">
        <v>35.662616424755335</v>
      </c>
    </row>
    <row r="156" spans="1:64">
      <c r="A156" t="s">
        <v>311</v>
      </c>
      <c r="B156">
        <v>724</v>
      </c>
      <c r="C156" t="s">
        <v>311</v>
      </c>
      <c r="D156" t="s">
        <v>1659</v>
      </c>
      <c r="E156" t="s">
        <v>98</v>
      </c>
      <c r="F156" t="s">
        <v>1660</v>
      </c>
      <c r="G156" t="s">
        <v>1661</v>
      </c>
      <c r="H156" t="s">
        <v>1662</v>
      </c>
      <c r="I156" t="s">
        <v>883</v>
      </c>
      <c r="J156" t="s">
        <v>1829</v>
      </c>
      <c r="K156" t="s">
        <v>1664</v>
      </c>
      <c r="L156" t="s">
        <v>1664</v>
      </c>
      <c r="M156" t="s">
        <v>1664</v>
      </c>
      <c r="N156" t="s">
        <v>1664</v>
      </c>
      <c r="O156" t="s">
        <v>1664</v>
      </c>
      <c r="P156" t="s">
        <v>1664</v>
      </c>
      <c r="Q156" t="s">
        <v>1664</v>
      </c>
      <c r="R156" t="s">
        <v>1664</v>
      </c>
      <c r="S156" t="s">
        <v>1664</v>
      </c>
      <c r="T156" t="s">
        <v>1664</v>
      </c>
      <c r="U156" t="s">
        <v>1664</v>
      </c>
      <c r="V156" t="s">
        <v>1664</v>
      </c>
      <c r="W156" t="s">
        <v>1664</v>
      </c>
      <c r="X156" t="s">
        <v>1664</v>
      </c>
      <c r="Y156" t="s">
        <v>1664</v>
      </c>
      <c r="Z156" t="s">
        <v>1664</v>
      </c>
      <c r="AA156" t="s">
        <v>1664</v>
      </c>
      <c r="AB156" t="s">
        <v>1664</v>
      </c>
      <c r="AC156" t="s">
        <v>1664</v>
      </c>
      <c r="AD156" t="s">
        <v>1664</v>
      </c>
      <c r="AE156">
        <v>257.53399999999999</v>
      </c>
      <c r="AF156">
        <v>302.69200000000001</v>
      </c>
      <c r="AG156">
        <v>400.02699999999999</v>
      </c>
      <c r="AH156">
        <v>467.00099999999998</v>
      </c>
      <c r="AI156">
        <v>616.34299999999996</v>
      </c>
      <c r="AJ156">
        <v>767.85299999999995</v>
      </c>
      <c r="AK156">
        <v>842.19399999999996</v>
      </c>
      <c r="AL156">
        <v>2129.2800000000002</v>
      </c>
      <c r="AM156">
        <v>948.41</v>
      </c>
      <c r="AN156">
        <v>1258</v>
      </c>
      <c r="AO156">
        <v>1560.74</v>
      </c>
      <c r="AP156">
        <v>2170.7600000000002</v>
      </c>
      <c r="AQ156">
        <v>2506.0700000000002</v>
      </c>
      <c r="AR156">
        <v>2827.59</v>
      </c>
      <c r="AS156">
        <v>3185.45</v>
      </c>
      <c r="AT156">
        <v>3494.71</v>
      </c>
      <c r="AU156">
        <v>3615.41</v>
      </c>
      <c r="AV156">
        <v>4022.77</v>
      </c>
      <c r="AW156">
        <v>5108.75</v>
      </c>
      <c r="AX156">
        <v>6666.33</v>
      </c>
      <c r="AY156">
        <v>7974.25</v>
      </c>
      <c r="AZ156">
        <v>9245.5499999999993</v>
      </c>
      <c r="BA156">
        <v>10522.91</v>
      </c>
      <c r="BB156">
        <v>12192.63</v>
      </c>
      <c r="BC156">
        <v>15038.69</v>
      </c>
      <c r="BD156">
        <v>17383.080000000002</v>
      </c>
      <c r="BE156">
        <v>19260.939999999999</v>
      </c>
      <c r="BF156">
        <v>21629.73</v>
      </c>
      <c r="BG156">
        <v>2020</v>
      </c>
      <c r="BH156">
        <v>7974.25</v>
      </c>
      <c r="BI156">
        <v>39938.07</v>
      </c>
      <c r="BJ156">
        <v>39938.07</v>
      </c>
      <c r="BK156">
        <v>2020</v>
      </c>
      <c r="BL156">
        <v>19.966538192756936</v>
      </c>
    </row>
    <row r="157" spans="1:64">
      <c r="A157" t="s">
        <v>554</v>
      </c>
      <c r="B157">
        <v>576</v>
      </c>
      <c r="C157" t="s">
        <v>554</v>
      </c>
      <c r="D157" t="s">
        <v>1659</v>
      </c>
      <c r="E157" t="s">
        <v>262</v>
      </c>
      <c r="F157" t="s">
        <v>1660</v>
      </c>
      <c r="G157" t="s">
        <v>1661</v>
      </c>
      <c r="H157" t="s">
        <v>1662</v>
      </c>
      <c r="I157" t="s">
        <v>883</v>
      </c>
      <c r="J157" t="s">
        <v>1830</v>
      </c>
      <c r="K157" t="s">
        <v>1664</v>
      </c>
      <c r="L157" t="s">
        <v>1664</v>
      </c>
      <c r="M157" t="s">
        <v>1664</v>
      </c>
      <c r="N157" t="s">
        <v>1664</v>
      </c>
      <c r="O157" t="s">
        <v>1664</v>
      </c>
      <c r="P157" t="s">
        <v>1664</v>
      </c>
      <c r="Q157" t="s">
        <v>1664</v>
      </c>
      <c r="R157" t="s">
        <v>1664</v>
      </c>
      <c r="S157" t="s">
        <v>1664</v>
      </c>
      <c r="T157" t="s">
        <v>1664</v>
      </c>
      <c r="U157">
        <v>12.343</v>
      </c>
      <c r="V157">
        <v>13.247999999999999</v>
      </c>
      <c r="W157">
        <v>15.196</v>
      </c>
      <c r="X157">
        <v>19.183</v>
      </c>
      <c r="Y157">
        <v>21.68</v>
      </c>
      <c r="Z157">
        <v>23.885999999999999</v>
      </c>
      <c r="AA157">
        <v>27.687000000000001</v>
      </c>
      <c r="AB157">
        <v>30.288</v>
      </c>
      <c r="AC157">
        <v>28.954999999999998</v>
      </c>
      <c r="AD157">
        <v>31.76</v>
      </c>
      <c r="AE157">
        <v>34.972999999999999</v>
      </c>
      <c r="AF157">
        <v>31.050999999999998</v>
      </c>
      <c r="AG157">
        <v>30.382000000000001</v>
      </c>
      <c r="AH157">
        <v>28.504999999999999</v>
      </c>
      <c r="AI157">
        <v>31.977</v>
      </c>
      <c r="AJ157">
        <v>32.558999999999997</v>
      </c>
      <c r="AK157">
        <v>35.222000000000001</v>
      </c>
      <c r="AL157">
        <v>44.831000000000003</v>
      </c>
      <c r="AM157">
        <v>47.424999999999997</v>
      </c>
      <c r="AN157">
        <v>46.563000000000002</v>
      </c>
      <c r="AO157">
        <v>53.412999999999997</v>
      </c>
      <c r="AP157">
        <v>62.74</v>
      </c>
      <c r="AQ157">
        <v>63.750999999999998</v>
      </c>
      <c r="AR157">
        <v>65.515000000000001</v>
      </c>
      <c r="AS157">
        <v>69.575999999999993</v>
      </c>
      <c r="AT157">
        <v>73.769000000000005</v>
      </c>
      <c r="AU157">
        <v>84.81</v>
      </c>
      <c r="AV157">
        <v>90.623000000000005</v>
      </c>
      <c r="AW157">
        <v>90.153000000000006</v>
      </c>
      <c r="AX157">
        <v>91.491</v>
      </c>
      <c r="AY157">
        <v>85.617000000000004</v>
      </c>
      <c r="AZ157">
        <v>100.69799999999999</v>
      </c>
      <c r="BA157">
        <v>103.31399999999999</v>
      </c>
      <c r="BB157">
        <v>106.00700000000001</v>
      </c>
      <c r="BC157">
        <v>113.773</v>
      </c>
      <c r="BD157">
        <v>121.176</v>
      </c>
      <c r="BE157">
        <v>128.78800000000001</v>
      </c>
      <c r="BF157">
        <v>137.005</v>
      </c>
      <c r="BG157">
        <v>2022</v>
      </c>
      <c r="BH157">
        <v>103.31399999999999</v>
      </c>
      <c r="BI157">
        <v>573.79499999999996</v>
      </c>
      <c r="BJ157">
        <v>533.35199999999998</v>
      </c>
      <c r="BK157">
        <v>2021</v>
      </c>
      <c r="BL157">
        <v>18.00538519854652</v>
      </c>
    </row>
    <row r="158" spans="1:64">
      <c r="A158" t="s">
        <v>444</v>
      </c>
      <c r="B158">
        <v>936</v>
      </c>
      <c r="C158" t="s">
        <v>444</v>
      </c>
      <c r="D158" t="s">
        <v>1659</v>
      </c>
      <c r="E158" t="s">
        <v>76</v>
      </c>
      <c r="F158" t="s">
        <v>1660</v>
      </c>
      <c r="G158" t="s">
        <v>1661</v>
      </c>
      <c r="H158" t="s">
        <v>1662</v>
      </c>
      <c r="I158" t="s">
        <v>883</v>
      </c>
      <c r="J158" t="s">
        <v>1831</v>
      </c>
      <c r="K158" t="s">
        <v>1664</v>
      </c>
      <c r="L158" t="s">
        <v>1664</v>
      </c>
      <c r="M158" t="s">
        <v>1664</v>
      </c>
      <c r="N158" t="s">
        <v>1664</v>
      </c>
      <c r="O158" t="s">
        <v>1664</v>
      </c>
      <c r="P158" t="s">
        <v>1664</v>
      </c>
      <c r="Q158" t="s">
        <v>1664</v>
      </c>
      <c r="R158" t="s">
        <v>1664</v>
      </c>
      <c r="S158" t="s">
        <v>1664</v>
      </c>
      <c r="T158" t="s">
        <v>1664</v>
      </c>
      <c r="U158" t="s">
        <v>1664</v>
      </c>
      <c r="V158" t="s">
        <v>1664</v>
      </c>
      <c r="W158" t="s">
        <v>1664</v>
      </c>
      <c r="X158" t="s">
        <v>1664</v>
      </c>
      <c r="Y158" t="s">
        <v>1664</v>
      </c>
      <c r="Z158">
        <v>8.875</v>
      </c>
      <c r="AA158">
        <v>9.5739999999999998</v>
      </c>
      <c r="AB158">
        <v>10.38</v>
      </c>
      <c r="AC158">
        <v>10.823</v>
      </c>
      <c r="AD158">
        <v>11.66</v>
      </c>
      <c r="AE158">
        <v>12.709</v>
      </c>
      <c r="AF158">
        <v>13.089</v>
      </c>
      <c r="AG158">
        <v>13.897</v>
      </c>
      <c r="AH158">
        <v>15.455</v>
      </c>
      <c r="AI158">
        <v>16.440999999999999</v>
      </c>
      <c r="AJ158">
        <v>18.605</v>
      </c>
      <c r="AK158">
        <v>19.863</v>
      </c>
      <c r="AL158">
        <v>21.684000000000001</v>
      </c>
      <c r="AM158">
        <v>23.643999999999998</v>
      </c>
      <c r="AN158">
        <v>23.24</v>
      </c>
      <c r="AO158">
        <v>23.838999999999999</v>
      </c>
      <c r="AP158">
        <v>26.597000000000001</v>
      </c>
      <c r="AQ158">
        <v>27.071000000000002</v>
      </c>
      <c r="AR158">
        <v>29.497</v>
      </c>
      <c r="AS158">
        <v>30.658999999999999</v>
      </c>
      <c r="AT158">
        <v>34.372999999999998</v>
      </c>
      <c r="AU158">
        <v>32.482999999999997</v>
      </c>
      <c r="AV158">
        <v>32.610999999999997</v>
      </c>
      <c r="AW158">
        <v>34.71</v>
      </c>
      <c r="AX158">
        <v>36.988</v>
      </c>
      <c r="AY158">
        <v>36.881999999999998</v>
      </c>
      <c r="AZ158">
        <v>41.093000000000004</v>
      </c>
      <c r="BA158">
        <v>43.984000000000002</v>
      </c>
      <c r="BB158">
        <v>48.018000000000001</v>
      </c>
      <c r="BC158">
        <v>48.457000000000001</v>
      </c>
      <c r="BD158">
        <v>51.332000000000001</v>
      </c>
      <c r="BE158">
        <v>53.375</v>
      </c>
      <c r="BF158">
        <v>55.378</v>
      </c>
      <c r="BG158">
        <v>2020</v>
      </c>
      <c r="BH158">
        <v>36.881999999999998</v>
      </c>
      <c r="BI158">
        <v>92.078999999999994</v>
      </c>
      <c r="BJ158">
        <v>92.078999999999994</v>
      </c>
      <c r="BK158">
        <v>2020</v>
      </c>
      <c r="BL158">
        <v>40.054735607467499</v>
      </c>
    </row>
    <row r="159" spans="1:64">
      <c r="A159" t="s">
        <v>447</v>
      </c>
      <c r="B159">
        <v>961</v>
      </c>
      <c r="C159" t="s">
        <v>447</v>
      </c>
      <c r="D159" t="s">
        <v>1659</v>
      </c>
      <c r="E159" t="s">
        <v>60</v>
      </c>
      <c r="F159" t="s">
        <v>1660</v>
      </c>
      <c r="G159" t="s">
        <v>1661</v>
      </c>
      <c r="H159" t="s">
        <v>1662</v>
      </c>
      <c r="I159" t="s">
        <v>883</v>
      </c>
      <c r="J159" t="s">
        <v>1832</v>
      </c>
      <c r="K159" t="s">
        <v>1664</v>
      </c>
      <c r="L159" t="s">
        <v>1664</v>
      </c>
      <c r="M159" t="s">
        <v>1664</v>
      </c>
      <c r="N159" t="s">
        <v>1664</v>
      </c>
      <c r="O159" t="s">
        <v>1664</v>
      </c>
      <c r="P159" t="s">
        <v>1664</v>
      </c>
      <c r="Q159" t="s">
        <v>1664</v>
      </c>
      <c r="R159" t="s">
        <v>1664</v>
      </c>
      <c r="S159" t="s">
        <v>1664</v>
      </c>
      <c r="T159" t="s">
        <v>1664</v>
      </c>
      <c r="U159" t="s">
        <v>1664</v>
      </c>
      <c r="V159" t="s">
        <v>1664</v>
      </c>
      <c r="W159" t="s">
        <v>1664</v>
      </c>
      <c r="X159" t="s">
        <v>1664</v>
      </c>
      <c r="Y159" t="s">
        <v>1664</v>
      </c>
      <c r="Z159">
        <v>4.7480000000000002</v>
      </c>
      <c r="AA159">
        <v>5.351</v>
      </c>
      <c r="AB159">
        <v>5.9589999999999996</v>
      </c>
      <c r="AC159">
        <v>6.7380000000000004</v>
      </c>
      <c r="AD159">
        <v>7.5880000000000001</v>
      </c>
      <c r="AE159">
        <v>8.2739999999999991</v>
      </c>
      <c r="AF159">
        <v>9.36</v>
      </c>
      <c r="AG159">
        <v>10.57</v>
      </c>
      <c r="AH159">
        <v>11.413</v>
      </c>
      <c r="AI159">
        <v>12.346</v>
      </c>
      <c r="AJ159">
        <v>13.121</v>
      </c>
      <c r="AK159">
        <v>13.944000000000001</v>
      </c>
      <c r="AL159">
        <v>15.208</v>
      </c>
      <c r="AM159">
        <v>16.558</v>
      </c>
      <c r="AN159">
        <v>15.788</v>
      </c>
      <c r="AO159">
        <v>16.21</v>
      </c>
      <c r="AP159">
        <v>16.39</v>
      </c>
      <c r="AQ159">
        <v>16.443999999999999</v>
      </c>
      <c r="AR159">
        <v>16.655999999999999</v>
      </c>
      <c r="AS159">
        <v>17.062000000000001</v>
      </c>
      <c r="AT159">
        <v>17.818999999999999</v>
      </c>
      <c r="AU159">
        <v>17.893999999999998</v>
      </c>
      <c r="AV159">
        <v>18.931999999999999</v>
      </c>
      <c r="AW159">
        <v>20.294</v>
      </c>
      <c r="AX159">
        <v>21.175999999999998</v>
      </c>
      <c r="AY159">
        <v>20.413</v>
      </c>
      <c r="AZ159">
        <v>22.843</v>
      </c>
      <c r="BA159">
        <v>24.675999999999998</v>
      </c>
      <c r="BB159">
        <v>26.123999999999999</v>
      </c>
      <c r="BC159">
        <v>27.814</v>
      </c>
      <c r="BD159">
        <v>29.388999999999999</v>
      </c>
      <c r="BE159">
        <v>31.021999999999998</v>
      </c>
      <c r="BF159">
        <v>32.570999999999998</v>
      </c>
      <c r="BG159">
        <v>2021</v>
      </c>
      <c r="BH159">
        <v>22.843</v>
      </c>
      <c r="BI159">
        <v>52.02</v>
      </c>
      <c r="BJ159">
        <v>52.02</v>
      </c>
      <c r="BK159">
        <v>2021</v>
      </c>
      <c r="BL159">
        <v>43.9119569396386</v>
      </c>
    </row>
    <row r="160" spans="1:64">
      <c r="A160" t="s">
        <v>358</v>
      </c>
      <c r="B160">
        <v>813</v>
      </c>
      <c r="C160" t="s">
        <v>358</v>
      </c>
      <c r="D160" t="s">
        <v>1659</v>
      </c>
      <c r="E160" t="s">
        <v>144</v>
      </c>
      <c r="F160" t="s">
        <v>1660</v>
      </c>
      <c r="G160" t="s">
        <v>1661</v>
      </c>
      <c r="H160" t="s">
        <v>1662</v>
      </c>
      <c r="I160" t="s">
        <v>883</v>
      </c>
      <c r="J160" t="s">
        <v>1833</v>
      </c>
      <c r="K160">
        <v>3.6999999999999998E-2</v>
      </c>
      <c r="L160">
        <v>3.6999999999999998E-2</v>
      </c>
      <c r="M160">
        <v>4.1000000000000002E-2</v>
      </c>
      <c r="N160">
        <v>0.04</v>
      </c>
      <c r="O160">
        <v>4.8000000000000001E-2</v>
      </c>
      <c r="P160">
        <v>5.2999999999999999E-2</v>
      </c>
      <c r="Q160">
        <v>5.7000000000000002E-2</v>
      </c>
      <c r="R160">
        <v>7.3999999999999996E-2</v>
      </c>
      <c r="S160">
        <v>9.4E-2</v>
      </c>
      <c r="T160">
        <v>0.114</v>
      </c>
      <c r="U160">
        <v>0.16600000000000001</v>
      </c>
      <c r="V160">
        <v>0.24399999999999999</v>
      </c>
      <c r="W160">
        <v>0.309</v>
      </c>
      <c r="X160">
        <v>0.34200000000000003</v>
      </c>
      <c r="Y160">
        <v>0.45800000000000002</v>
      </c>
      <c r="Z160">
        <v>0.44600000000000001</v>
      </c>
      <c r="AA160">
        <v>0.50800000000000001</v>
      </c>
      <c r="AB160">
        <v>0.42</v>
      </c>
      <c r="AC160">
        <v>0.45300000000000001</v>
      </c>
      <c r="AD160">
        <v>0.433</v>
      </c>
      <c r="AE160">
        <v>0.33600000000000002</v>
      </c>
      <c r="AF160">
        <v>0.34</v>
      </c>
      <c r="AG160">
        <v>0.28799999999999998</v>
      </c>
      <c r="AH160">
        <v>0.67300000000000004</v>
      </c>
      <c r="AI160">
        <v>0.94299999999999995</v>
      </c>
      <c r="AJ160">
        <v>1.091</v>
      </c>
      <c r="AK160">
        <v>1.3480000000000001</v>
      </c>
      <c r="AL160">
        <v>1.8520000000000001</v>
      </c>
      <c r="AM160">
        <v>2.194</v>
      </c>
      <c r="AN160">
        <v>2.6589999999999998</v>
      </c>
      <c r="AO160">
        <v>3.5259999999999998</v>
      </c>
      <c r="AP160">
        <v>4</v>
      </c>
      <c r="AQ160">
        <v>4.1050000000000004</v>
      </c>
      <c r="AR160">
        <v>4.2030000000000003</v>
      </c>
      <c r="AS160">
        <v>4.0890000000000004</v>
      </c>
      <c r="AT160">
        <v>4.3810000000000002</v>
      </c>
      <c r="AU160">
        <v>4.226</v>
      </c>
      <c r="AV160">
        <v>4.5919999999999996</v>
      </c>
      <c r="AW160">
        <v>5.0579999999999998</v>
      </c>
      <c r="AX160">
        <v>4.2069999999999999</v>
      </c>
      <c r="AY160">
        <v>4.218</v>
      </c>
      <c r="AZ160">
        <v>4.0549999999999997</v>
      </c>
      <c r="BA160">
        <v>3.7490000000000001</v>
      </c>
      <c r="BB160">
        <v>4.3600000000000003</v>
      </c>
      <c r="BC160">
        <v>4.7519999999999998</v>
      </c>
      <c r="BD160">
        <v>5.01</v>
      </c>
      <c r="BE160">
        <v>5.335</v>
      </c>
      <c r="BF160">
        <v>5.6369999999999996</v>
      </c>
      <c r="BG160">
        <v>2020</v>
      </c>
      <c r="BH160">
        <v>4.218</v>
      </c>
      <c r="BI160">
        <v>12.696999999999999</v>
      </c>
      <c r="BJ160">
        <v>12.696999999999999</v>
      </c>
      <c r="BK160" t="s">
        <v>1699</v>
      </c>
      <c r="BL160">
        <v>33.220445774592427</v>
      </c>
    </row>
    <row r="161" spans="1:64">
      <c r="A161" t="s">
        <v>307</v>
      </c>
      <c r="B161">
        <v>726</v>
      </c>
      <c r="C161" t="s">
        <v>307</v>
      </c>
      <c r="D161" t="s">
        <v>1659</v>
      </c>
      <c r="E161" t="s">
        <v>94</v>
      </c>
      <c r="F161" t="s">
        <v>1660</v>
      </c>
      <c r="G161" t="s">
        <v>1661</v>
      </c>
      <c r="H161" t="s">
        <v>1662</v>
      </c>
      <c r="I161" t="s">
        <v>883</v>
      </c>
      <c r="J161" t="s">
        <v>1834</v>
      </c>
      <c r="K161" t="s">
        <v>1664</v>
      </c>
      <c r="L161" t="s">
        <v>1664</v>
      </c>
      <c r="M161" t="s">
        <v>1664</v>
      </c>
      <c r="N161" t="s">
        <v>1664</v>
      </c>
      <c r="O161" t="s">
        <v>1664</v>
      </c>
      <c r="P161" t="s">
        <v>1664</v>
      </c>
      <c r="Q161" t="s">
        <v>1664</v>
      </c>
      <c r="R161" t="s">
        <v>1664</v>
      </c>
      <c r="S161" t="s">
        <v>1664</v>
      </c>
      <c r="T161" t="s">
        <v>1664</v>
      </c>
      <c r="U161" t="s">
        <v>1664</v>
      </c>
      <c r="V161" t="s">
        <v>1664</v>
      </c>
      <c r="W161" t="s">
        <v>1664</v>
      </c>
      <c r="X161" t="s">
        <v>1664</v>
      </c>
      <c r="Y161" t="s">
        <v>1664</v>
      </c>
      <c r="Z161" t="s">
        <v>1664</v>
      </c>
      <c r="AA161" t="s">
        <v>1664</v>
      </c>
      <c r="AB161" t="s">
        <v>1664</v>
      </c>
      <c r="AC161" t="s">
        <v>1664</v>
      </c>
      <c r="AD161" t="s">
        <v>1664</v>
      </c>
      <c r="AE161" t="s">
        <v>1664</v>
      </c>
      <c r="AF161" t="s">
        <v>1664</v>
      </c>
      <c r="AG161" t="s">
        <v>1664</v>
      </c>
      <c r="AH161" t="s">
        <v>1664</v>
      </c>
      <c r="AI161" t="s">
        <v>1664</v>
      </c>
      <c r="AJ161" t="s">
        <v>1664</v>
      </c>
      <c r="AK161" t="s">
        <v>1664</v>
      </c>
      <c r="AL161" t="s">
        <v>1664</v>
      </c>
      <c r="AM161" t="s">
        <v>1664</v>
      </c>
      <c r="AN161" t="s">
        <v>1664</v>
      </c>
      <c r="AO161" t="s">
        <v>1664</v>
      </c>
      <c r="AP161" t="s">
        <v>1664</v>
      </c>
      <c r="AQ161" t="s">
        <v>1664</v>
      </c>
      <c r="AR161">
        <v>0.111</v>
      </c>
      <c r="AS161">
        <v>0.14499999999999999</v>
      </c>
      <c r="AT161">
        <v>0.14099999999999999</v>
      </c>
      <c r="AU161">
        <v>0.17100000000000001</v>
      </c>
      <c r="AV161">
        <v>0.26900000000000002</v>
      </c>
      <c r="AW161">
        <v>0.27</v>
      </c>
      <c r="AX161">
        <v>0.33800000000000002</v>
      </c>
      <c r="AY161">
        <v>0.497</v>
      </c>
      <c r="AZ161">
        <v>0.377</v>
      </c>
      <c r="BA161">
        <v>0.52200000000000002</v>
      </c>
      <c r="BB161">
        <v>0.58299999999999996</v>
      </c>
      <c r="BC161">
        <v>0.55800000000000005</v>
      </c>
      <c r="BD161">
        <v>0.64600000000000002</v>
      </c>
      <c r="BE161">
        <v>0.73899999999999999</v>
      </c>
      <c r="BF161">
        <v>0.83599999999999997</v>
      </c>
      <c r="BG161">
        <v>2020</v>
      </c>
      <c r="BH161">
        <v>0.497</v>
      </c>
      <c r="BI161">
        <v>6.9649999999999999</v>
      </c>
      <c r="BJ161">
        <v>6.9649999999999999</v>
      </c>
      <c r="BK161">
        <v>2020</v>
      </c>
      <c r="BL161">
        <v>7.1356783919597984</v>
      </c>
    </row>
    <row r="162" spans="1:64">
      <c r="A162" t="s">
        <v>410</v>
      </c>
      <c r="B162">
        <v>199</v>
      </c>
      <c r="C162" t="s">
        <v>410</v>
      </c>
      <c r="D162" t="s">
        <v>1659</v>
      </c>
      <c r="E162" t="s">
        <v>195</v>
      </c>
      <c r="F162" t="s">
        <v>1660</v>
      </c>
      <c r="G162" t="s">
        <v>1661</v>
      </c>
      <c r="H162" t="s">
        <v>1662</v>
      </c>
      <c r="I162" t="s">
        <v>883</v>
      </c>
      <c r="J162" t="s">
        <v>1835</v>
      </c>
      <c r="K162" t="s">
        <v>1664</v>
      </c>
      <c r="L162" t="s">
        <v>1664</v>
      </c>
      <c r="M162" t="s">
        <v>1664</v>
      </c>
      <c r="N162" t="s">
        <v>1664</v>
      </c>
      <c r="O162" t="s">
        <v>1664</v>
      </c>
      <c r="P162" t="s">
        <v>1664</v>
      </c>
      <c r="Q162" t="s">
        <v>1664</v>
      </c>
      <c r="R162" t="s">
        <v>1664</v>
      </c>
      <c r="S162" t="s">
        <v>1664</v>
      </c>
      <c r="T162" t="s">
        <v>1664</v>
      </c>
      <c r="U162" t="s">
        <v>1664</v>
      </c>
      <c r="V162" t="s">
        <v>1664</v>
      </c>
      <c r="W162" t="s">
        <v>1664</v>
      </c>
      <c r="X162" t="s">
        <v>1664</v>
      </c>
      <c r="Y162" t="s">
        <v>1664</v>
      </c>
      <c r="Z162" t="s">
        <v>1664</v>
      </c>
      <c r="AA162" t="s">
        <v>1664</v>
      </c>
      <c r="AB162" t="s">
        <v>1664</v>
      </c>
      <c r="AC162" t="s">
        <v>1664</v>
      </c>
      <c r="AD162" t="s">
        <v>1664</v>
      </c>
      <c r="AE162">
        <v>223.93600000000001</v>
      </c>
      <c r="AF162">
        <v>251.898</v>
      </c>
      <c r="AG162">
        <v>289.21499999999997</v>
      </c>
      <c r="AH162">
        <v>313.44099999999997</v>
      </c>
      <c r="AI162">
        <v>357.97899999999998</v>
      </c>
      <c r="AJ162">
        <v>459.93799999999999</v>
      </c>
      <c r="AK162">
        <v>524.30399999999997</v>
      </c>
      <c r="AL162">
        <v>601.85400000000004</v>
      </c>
      <c r="AM162">
        <v>666.56200000000001</v>
      </c>
      <c r="AN162">
        <v>664.71</v>
      </c>
      <c r="AO162">
        <v>726.03399999999999</v>
      </c>
      <c r="AP162">
        <v>810.34699999999998</v>
      </c>
      <c r="AQ162">
        <v>876.64300000000003</v>
      </c>
      <c r="AR162">
        <v>967.35</v>
      </c>
      <c r="AS162">
        <v>1049.8699999999999</v>
      </c>
      <c r="AT162">
        <v>1140.1300000000001</v>
      </c>
      <c r="AU162">
        <v>1246.22</v>
      </c>
      <c r="AV162">
        <v>1312.41</v>
      </c>
      <c r="AW162">
        <v>1416.96</v>
      </c>
      <c r="AX162">
        <v>1501.55</v>
      </c>
      <c r="AY162">
        <v>1387.35</v>
      </c>
      <c r="AZ162">
        <v>1652.73</v>
      </c>
      <c r="BA162">
        <v>1801.28</v>
      </c>
      <c r="BB162">
        <v>1856.26</v>
      </c>
      <c r="BC162">
        <v>1927.35</v>
      </c>
      <c r="BD162">
        <v>2037.95</v>
      </c>
      <c r="BE162">
        <v>2167.19</v>
      </c>
      <c r="BF162">
        <v>2304.69</v>
      </c>
      <c r="BG162">
        <v>2021</v>
      </c>
      <c r="BH162">
        <v>1652.73</v>
      </c>
      <c r="BI162">
        <v>6179.38</v>
      </c>
      <c r="BJ162">
        <v>6179.38</v>
      </c>
      <c r="BK162">
        <v>2021</v>
      </c>
      <c r="BL162">
        <v>26.745887127834834</v>
      </c>
    </row>
    <row r="163" spans="1:64">
      <c r="A163" t="s">
        <v>332</v>
      </c>
      <c r="B163">
        <v>733</v>
      </c>
      <c r="C163" t="s">
        <v>332</v>
      </c>
      <c r="D163" t="s">
        <v>1659</v>
      </c>
      <c r="E163" t="s">
        <v>119</v>
      </c>
      <c r="F163" t="s">
        <v>1660</v>
      </c>
      <c r="G163" t="s">
        <v>1661</v>
      </c>
      <c r="H163" t="s">
        <v>1662</v>
      </c>
      <c r="I163" t="s">
        <v>883</v>
      </c>
      <c r="J163" t="s">
        <v>1836</v>
      </c>
      <c r="K163" t="s">
        <v>1664</v>
      </c>
      <c r="L163" t="s">
        <v>1664</v>
      </c>
      <c r="M163" t="s">
        <v>1664</v>
      </c>
      <c r="N163" t="s">
        <v>1664</v>
      </c>
      <c r="O163" t="s">
        <v>1664</v>
      </c>
      <c r="P163" t="s">
        <v>1664</v>
      </c>
      <c r="Q163" t="s">
        <v>1664</v>
      </c>
      <c r="R163" t="s">
        <v>1664</v>
      </c>
      <c r="S163" t="s">
        <v>1664</v>
      </c>
      <c r="T163" t="s">
        <v>1664</v>
      </c>
      <c r="U163" t="s">
        <v>1664</v>
      </c>
      <c r="V163" t="s">
        <v>1664</v>
      </c>
      <c r="W163" t="s">
        <v>1664</v>
      </c>
      <c r="X163" t="s">
        <v>1664</v>
      </c>
      <c r="Y163" t="s">
        <v>1664</v>
      </c>
      <c r="Z163" t="s">
        <v>1664</v>
      </c>
      <c r="AA163" t="s">
        <v>1664</v>
      </c>
      <c r="AB163" t="s">
        <v>1664</v>
      </c>
      <c r="AC163" t="s">
        <v>1664</v>
      </c>
      <c r="AD163" t="s">
        <v>1664</v>
      </c>
      <c r="AE163" t="s">
        <v>1664</v>
      </c>
      <c r="AF163" t="s">
        <v>1664</v>
      </c>
      <c r="AG163" t="s">
        <v>1664</v>
      </c>
      <c r="AH163" t="s">
        <v>1664</v>
      </c>
      <c r="AI163" t="s">
        <v>1664</v>
      </c>
      <c r="AJ163" t="s">
        <v>1664</v>
      </c>
      <c r="AK163" t="s">
        <v>1664</v>
      </c>
      <c r="AL163" t="s">
        <v>1664</v>
      </c>
      <c r="AM163" t="s">
        <v>1664</v>
      </c>
      <c r="AN163" t="s">
        <v>1664</v>
      </c>
      <c r="AO163" t="s">
        <v>1664</v>
      </c>
      <c r="AP163">
        <v>13.241</v>
      </c>
      <c r="AQ163">
        <v>5.5869999999999997</v>
      </c>
      <c r="AR163">
        <v>9.641</v>
      </c>
      <c r="AS163">
        <v>12.097</v>
      </c>
      <c r="AT163">
        <v>9.3620000000000001</v>
      </c>
      <c r="AU163">
        <v>48.447000000000003</v>
      </c>
      <c r="AV163">
        <v>144.05000000000001</v>
      </c>
      <c r="AW163">
        <v>210.578</v>
      </c>
      <c r="AX163">
        <v>306.55900000000003</v>
      </c>
      <c r="AY163">
        <v>294.87599999999998</v>
      </c>
      <c r="AZ163">
        <v>672.44500000000005</v>
      </c>
      <c r="BA163">
        <v>1124.1600000000001</v>
      </c>
      <c r="BB163">
        <v>1283.56</v>
      </c>
      <c r="BC163">
        <v>1280.76</v>
      </c>
      <c r="BD163">
        <v>1303.5999999999999</v>
      </c>
      <c r="BE163">
        <v>1369.48</v>
      </c>
      <c r="BF163">
        <v>1478.68</v>
      </c>
      <c r="BG163">
        <v>2019</v>
      </c>
      <c r="BH163">
        <v>306.55900000000003</v>
      </c>
      <c r="BI163">
        <v>840.60699999999997</v>
      </c>
      <c r="BJ163">
        <v>660.31500000000005</v>
      </c>
      <c r="BK163">
        <v>2018</v>
      </c>
      <c r="BL163">
        <v>36.468766022647927</v>
      </c>
    </row>
    <row r="164" spans="1:64">
      <c r="A164" t="s">
        <v>448</v>
      </c>
      <c r="B164">
        <v>184</v>
      </c>
      <c r="C164" t="s">
        <v>448</v>
      </c>
      <c r="D164" t="s">
        <v>1659</v>
      </c>
      <c r="E164" t="s">
        <v>69</v>
      </c>
      <c r="F164" t="s">
        <v>1660</v>
      </c>
      <c r="G164" t="s">
        <v>1661</v>
      </c>
      <c r="H164" t="s">
        <v>1662</v>
      </c>
      <c r="I164" t="s">
        <v>883</v>
      </c>
      <c r="J164" t="s">
        <v>1837</v>
      </c>
      <c r="K164">
        <v>27.98</v>
      </c>
      <c r="L164">
        <v>32.76</v>
      </c>
      <c r="M164">
        <v>38.213000000000001</v>
      </c>
      <c r="N164">
        <v>46.308</v>
      </c>
      <c r="O164">
        <v>52.09</v>
      </c>
      <c r="P164">
        <v>61.173000000000002</v>
      </c>
      <c r="Q164">
        <v>71.137</v>
      </c>
      <c r="R164">
        <v>83.194999999999993</v>
      </c>
      <c r="S164">
        <v>92.433999999999997</v>
      </c>
      <c r="T164">
        <v>108.983</v>
      </c>
      <c r="U164">
        <v>121.694</v>
      </c>
      <c r="V164">
        <v>136.63499999999999</v>
      </c>
      <c r="W164">
        <v>153.19200000000001</v>
      </c>
      <c r="X164">
        <v>158.80199999999999</v>
      </c>
      <c r="Y164">
        <v>164.643</v>
      </c>
      <c r="Z164">
        <v>171.852</v>
      </c>
      <c r="AA164">
        <v>180.93799999999999</v>
      </c>
      <c r="AB164">
        <v>195.31700000000001</v>
      </c>
      <c r="AC164">
        <v>213.065</v>
      </c>
      <c r="AD164">
        <v>230.46899999999999</v>
      </c>
      <c r="AE164">
        <v>245.833</v>
      </c>
      <c r="AF164">
        <v>266.08499999999998</v>
      </c>
      <c r="AG164">
        <v>287.233</v>
      </c>
      <c r="AH164">
        <v>304.86200000000002</v>
      </c>
      <c r="AI164">
        <v>332.79500000000002</v>
      </c>
      <c r="AJ164">
        <v>368.27800000000002</v>
      </c>
      <c r="AK164">
        <v>407.149</v>
      </c>
      <c r="AL164">
        <v>442.49099999999999</v>
      </c>
      <c r="AM164">
        <v>409.09199999999998</v>
      </c>
      <c r="AN164">
        <v>373.779</v>
      </c>
      <c r="AO164">
        <v>391.62200000000001</v>
      </c>
      <c r="AP164">
        <v>387.37</v>
      </c>
      <c r="AQ164">
        <v>390.99200000000002</v>
      </c>
      <c r="AR164">
        <v>395.858</v>
      </c>
      <c r="AS164">
        <v>404.59399999999999</v>
      </c>
      <c r="AT164">
        <v>417.17599999999999</v>
      </c>
      <c r="AU164">
        <v>424.78</v>
      </c>
      <c r="AV164">
        <v>443.53100000000001</v>
      </c>
      <c r="AW164">
        <v>471.73</v>
      </c>
      <c r="AX164">
        <v>488.274</v>
      </c>
      <c r="AY164">
        <v>465.37900000000002</v>
      </c>
      <c r="AZ164">
        <v>518.84799999999996</v>
      </c>
      <c r="BA164">
        <v>545.40099999999995</v>
      </c>
      <c r="BB164">
        <v>563.68600000000004</v>
      </c>
      <c r="BC164">
        <v>578.98199999999997</v>
      </c>
      <c r="BD164">
        <v>578.66700000000003</v>
      </c>
      <c r="BE164">
        <v>597.04999999999995</v>
      </c>
      <c r="BF164">
        <v>617.35599999999999</v>
      </c>
      <c r="BG164">
        <v>2020</v>
      </c>
      <c r="BH164">
        <v>465.37900000000002</v>
      </c>
      <c r="BI164">
        <v>1121.95</v>
      </c>
      <c r="BJ164">
        <v>1205.06</v>
      </c>
      <c r="BK164">
        <v>2021</v>
      </c>
      <c r="BL164">
        <v>41.479477695084448</v>
      </c>
    </row>
    <row r="165" spans="1:64">
      <c r="A165" t="s">
        <v>381</v>
      </c>
      <c r="B165">
        <v>524</v>
      </c>
      <c r="C165" t="s">
        <v>381</v>
      </c>
      <c r="D165" t="s">
        <v>1659</v>
      </c>
      <c r="E165" t="s">
        <v>167</v>
      </c>
      <c r="F165" t="s">
        <v>1660</v>
      </c>
      <c r="G165" t="s">
        <v>1661</v>
      </c>
      <c r="H165" t="s">
        <v>1662</v>
      </c>
      <c r="I165" t="s">
        <v>883</v>
      </c>
      <c r="J165" t="s">
        <v>1838</v>
      </c>
      <c r="K165" t="s">
        <v>1664</v>
      </c>
      <c r="L165" t="s">
        <v>1664</v>
      </c>
      <c r="M165" t="s">
        <v>1664</v>
      </c>
      <c r="N165" t="s">
        <v>1664</v>
      </c>
      <c r="O165" t="s">
        <v>1664</v>
      </c>
      <c r="P165" t="s">
        <v>1664</v>
      </c>
      <c r="Q165" t="s">
        <v>1664</v>
      </c>
      <c r="R165" t="s">
        <v>1664</v>
      </c>
      <c r="S165" t="s">
        <v>1664</v>
      </c>
      <c r="T165" t="s">
        <v>1664</v>
      </c>
      <c r="U165">
        <v>74.662000000000006</v>
      </c>
      <c r="V165">
        <v>84.049000000000007</v>
      </c>
      <c r="W165">
        <v>94.06</v>
      </c>
      <c r="X165">
        <v>106.364</v>
      </c>
      <c r="Y165">
        <v>118.295</v>
      </c>
      <c r="Z165">
        <v>144.23599999999999</v>
      </c>
      <c r="AA165">
        <v>152.292</v>
      </c>
      <c r="AB165">
        <v>170.958</v>
      </c>
      <c r="AC165">
        <v>181.69</v>
      </c>
      <c r="AD165">
        <v>201.97</v>
      </c>
      <c r="AE165">
        <v>214.71899999999999</v>
      </c>
      <c r="AF165">
        <v>239.798</v>
      </c>
      <c r="AG165">
        <v>268.96899999999999</v>
      </c>
      <c r="AH165">
        <v>284.42200000000003</v>
      </c>
      <c r="AI165">
        <v>320.154</v>
      </c>
      <c r="AJ165">
        <v>412.38799999999998</v>
      </c>
      <c r="AK165">
        <v>507.90100000000001</v>
      </c>
      <c r="AL165">
        <v>595.55799999999999</v>
      </c>
      <c r="AM165">
        <v>686.48099999999999</v>
      </c>
      <c r="AN165">
        <v>725.56700000000001</v>
      </c>
      <c r="AO165">
        <v>834.19100000000003</v>
      </c>
      <c r="AP165">
        <v>983.005</v>
      </c>
      <c r="AQ165">
        <v>1067.53</v>
      </c>
      <c r="AR165">
        <v>1153.31</v>
      </c>
      <c r="AS165">
        <v>1204.6199999999999</v>
      </c>
      <c r="AT165">
        <v>1460.89</v>
      </c>
      <c r="AU165">
        <v>1693.56</v>
      </c>
      <c r="AV165">
        <v>1839.56</v>
      </c>
      <c r="AW165">
        <v>1932.46</v>
      </c>
      <c r="AX165">
        <v>1898.81</v>
      </c>
      <c r="AY165">
        <v>1373.31</v>
      </c>
      <c r="AZ165">
        <v>1465.92</v>
      </c>
      <c r="BA165">
        <v>2128.16</v>
      </c>
      <c r="BB165">
        <v>2481.6799999999998</v>
      </c>
      <c r="BC165">
        <v>2813.91</v>
      </c>
      <c r="BD165">
        <v>3123.77</v>
      </c>
      <c r="BE165">
        <v>3448.14</v>
      </c>
      <c r="BF165">
        <v>3741.17</v>
      </c>
      <c r="BG165">
        <v>2020</v>
      </c>
      <c r="BH165">
        <v>1373.31</v>
      </c>
      <c r="BI165">
        <v>14972.99</v>
      </c>
      <c r="BJ165">
        <v>14972.99</v>
      </c>
      <c r="BK165">
        <v>2020</v>
      </c>
      <c r="BL165">
        <v>9.1719155626230968</v>
      </c>
    </row>
    <row r="166" spans="1:64">
      <c r="A166" t="s">
        <v>583</v>
      </c>
      <c r="B166">
        <v>361</v>
      </c>
      <c r="C166" t="s">
        <v>583</v>
      </c>
      <c r="D166" t="s">
        <v>1659</v>
      </c>
      <c r="E166" t="s">
        <v>239</v>
      </c>
      <c r="F166" t="s">
        <v>1660</v>
      </c>
      <c r="G166" t="s">
        <v>1661</v>
      </c>
      <c r="H166" t="s">
        <v>1662</v>
      </c>
      <c r="I166" t="s">
        <v>883</v>
      </c>
      <c r="J166" t="s">
        <v>1839</v>
      </c>
      <c r="K166">
        <v>6.4000000000000001E-2</v>
      </c>
      <c r="L166">
        <v>5.3999999999999999E-2</v>
      </c>
      <c r="M166">
        <v>5.1999999999999998E-2</v>
      </c>
      <c r="N166">
        <v>5.1999999999999998E-2</v>
      </c>
      <c r="O166">
        <v>0.05</v>
      </c>
      <c r="P166">
        <v>5.3999999999999999E-2</v>
      </c>
      <c r="Q166">
        <v>6.8000000000000005E-2</v>
      </c>
      <c r="R166">
        <v>8.5999999999999993E-2</v>
      </c>
      <c r="S166">
        <v>9.1999999999999998E-2</v>
      </c>
      <c r="T166">
        <v>0.10199999999999999</v>
      </c>
      <c r="U166">
        <v>0.109</v>
      </c>
      <c r="V166">
        <v>0.104</v>
      </c>
      <c r="W166">
        <v>0.122</v>
      </c>
      <c r="X166">
        <v>0.14099999999999999</v>
      </c>
      <c r="Y166">
        <v>0.16900000000000001</v>
      </c>
      <c r="Z166">
        <v>0.19400000000000001</v>
      </c>
      <c r="AA166">
        <v>0.20699999999999999</v>
      </c>
      <c r="AB166">
        <v>0.22900000000000001</v>
      </c>
      <c r="AC166">
        <v>0.23799999999999999</v>
      </c>
      <c r="AD166">
        <v>0.23699999999999999</v>
      </c>
      <c r="AE166">
        <v>0.24299999999999999</v>
      </c>
      <c r="AF166">
        <v>0.251</v>
      </c>
      <c r="AG166">
        <v>0.308</v>
      </c>
      <c r="AH166">
        <v>0.31900000000000001</v>
      </c>
      <c r="AI166">
        <v>0.371</v>
      </c>
      <c r="AJ166">
        <v>0.46</v>
      </c>
      <c r="AK166">
        <v>0.54400000000000004</v>
      </c>
      <c r="AL166">
        <v>0.54500000000000004</v>
      </c>
      <c r="AM166">
        <v>0.57299999999999995</v>
      </c>
      <c r="AN166">
        <v>0.61</v>
      </c>
      <c r="AO166">
        <v>0.56899999999999995</v>
      </c>
      <c r="AP166">
        <v>0.71899999999999997</v>
      </c>
      <c r="AQ166">
        <v>0.71599999999999997</v>
      </c>
      <c r="AR166">
        <v>0.96099999999999997</v>
      </c>
      <c r="AS166">
        <v>0.96599999999999997</v>
      </c>
      <c r="AT166">
        <v>0.90300000000000002</v>
      </c>
      <c r="AU166">
        <v>0.82699999999999996</v>
      </c>
      <c r="AV166">
        <v>0.78700000000000003</v>
      </c>
      <c r="AW166">
        <v>1.075</v>
      </c>
      <c r="AX166">
        <v>1.121</v>
      </c>
      <c r="AY166">
        <v>0.83699999999999997</v>
      </c>
      <c r="AZ166">
        <v>1.085</v>
      </c>
      <c r="BA166">
        <v>1.0680000000000001</v>
      </c>
      <c r="BB166">
        <v>1.111</v>
      </c>
      <c r="BC166">
        <v>1.1140000000000001</v>
      </c>
      <c r="BD166">
        <v>1.131</v>
      </c>
      <c r="BE166">
        <v>1.1850000000000001</v>
      </c>
      <c r="BF166">
        <v>1.24</v>
      </c>
      <c r="BG166">
        <v>2021</v>
      </c>
      <c r="BH166">
        <v>1.085</v>
      </c>
      <c r="BI166">
        <v>2.5659999999999998</v>
      </c>
      <c r="BJ166">
        <v>2.649</v>
      </c>
      <c r="BK166">
        <v>2020</v>
      </c>
      <c r="BL166">
        <v>42.283710054559627</v>
      </c>
    </row>
    <row r="167" spans="1:64">
      <c r="A167" t="s">
        <v>432</v>
      </c>
      <c r="B167">
        <v>362</v>
      </c>
      <c r="C167" t="s">
        <v>432</v>
      </c>
      <c r="D167" t="s">
        <v>1659</v>
      </c>
      <c r="E167" t="s">
        <v>217</v>
      </c>
      <c r="F167" t="s">
        <v>1660</v>
      </c>
      <c r="G167" t="s">
        <v>1661</v>
      </c>
      <c r="H167" t="s">
        <v>1662</v>
      </c>
      <c r="I167" t="s">
        <v>883</v>
      </c>
      <c r="J167" t="s">
        <v>1840</v>
      </c>
      <c r="K167" t="s">
        <v>1664</v>
      </c>
      <c r="L167" t="s">
        <v>1664</v>
      </c>
      <c r="M167" t="s">
        <v>1664</v>
      </c>
      <c r="N167" t="s">
        <v>1664</v>
      </c>
      <c r="O167" t="s">
        <v>1664</v>
      </c>
      <c r="P167">
        <v>0.152</v>
      </c>
      <c r="Q167">
        <v>0.183</v>
      </c>
      <c r="R167">
        <v>0.215</v>
      </c>
      <c r="S167">
        <v>0.24199999999999999</v>
      </c>
      <c r="T167">
        <v>0.27400000000000002</v>
      </c>
      <c r="U167">
        <v>0.26600000000000001</v>
      </c>
      <c r="V167">
        <v>0.29799999999999999</v>
      </c>
      <c r="W167">
        <v>0.32200000000000001</v>
      </c>
      <c r="X167">
        <v>0.39800000000000002</v>
      </c>
      <c r="Y167">
        <v>0.36699999999999999</v>
      </c>
      <c r="Z167">
        <v>0.39200000000000002</v>
      </c>
      <c r="AA167">
        <v>0.39100000000000001</v>
      </c>
      <c r="AB167">
        <v>0.39900000000000002</v>
      </c>
      <c r="AC167">
        <v>0.498</v>
      </c>
      <c r="AD167">
        <v>0.56100000000000005</v>
      </c>
      <c r="AE167">
        <v>0.49199999999999999</v>
      </c>
      <c r="AF167">
        <v>0.45800000000000002</v>
      </c>
      <c r="AG167">
        <v>0.497</v>
      </c>
      <c r="AH167">
        <v>0.52500000000000002</v>
      </c>
      <c r="AI167">
        <v>0.58199999999999996</v>
      </c>
      <c r="AJ167">
        <v>0.60799999999999998</v>
      </c>
      <c r="AK167">
        <v>0.67200000000000004</v>
      </c>
      <c r="AL167">
        <v>0.753</v>
      </c>
      <c r="AM167">
        <v>0.82899999999999996</v>
      </c>
      <c r="AN167">
        <v>0.82699999999999996</v>
      </c>
      <c r="AO167">
        <v>0.875</v>
      </c>
      <c r="AP167">
        <v>0.91500000000000004</v>
      </c>
      <c r="AQ167">
        <v>0.879</v>
      </c>
      <c r="AR167">
        <v>0.92300000000000004</v>
      </c>
      <c r="AS167">
        <v>0.96799999999999997</v>
      </c>
      <c r="AT167">
        <v>1.042</v>
      </c>
      <c r="AU167">
        <v>1.0920000000000001</v>
      </c>
      <c r="AV167">
        <v>1.1359999999999999</v>
      </c>
      <c r="AW167">
        <v>1.2350000000000001</v>
      </c>
      <c r="AX167">
        <v>1.2270000000000001</v>
      </c>
      <c r="AY167">
        <v>0.94399999999999995</v>
      </c>
      <c r="AZ167">
        <v>1.1120000000000001</v>
      </c>
      <c r="BA167">
        <v>1.2110000000000001</v>
      </c>
      <c r="BB167">
        <v>1.339</v>
      </c>
      <c r="BC167">
        <v>1.4219999999999999</v>
      </c>
      <c r="BD167">
        <v>1.4930000000000001</v>
      </c>
      <c r="BE167">
        <v>1.5660000000000001</v>
      </c>
      <c r="BF167">
        <v>1.6259999999999999</v>
      </c>
      <c r="BG167">
        <v>2020</v>
      </c>
      <c r="BH167">
        <v>0.94399999999999995</v>
      </c>
      <c r="BI167">
        <v>4.3650000000000002</v>
      </c>
      <c r="BJ167">
        <v>4.3650000000000002</v>
      </c>
      <c r="BK167">
        <v>2020</v>
      </c>
      <c r="BL167">
        <v>21.626575028636882</v>
      </c>
    </row>
    <row r="168" spans="1:64">
      <c r="A168" t="s">
        <v>421</v>
      </c>
      <c r="B168">
        <v>364</v>
      </c>
      <c r="C168" t="s">
        <v>421</v>
      </c>
      <c r="D168" t="s">
        <v>1659</v>
      </c>
      <c r="E168" t="s">
        <v>206</v>
      </c>
      <c r="F168" t="s">
        <v>1660</v>
      </c>
      <c r="G168" t="s">
        <v>1661</v>
      </c>
      <c r="H168" t="s">
        <v>1662</v>
      </c>
      <c r="I168" t="s">
        <v>883</v>
      </c>
      <c r="J168" t="s">
        <v>1841</v>
      </c>
      <c r="K168">
        <v>4.2000000000000003E-2</v>
      </c>
      <c r="L168">
        <v>5.8000000000000003E-2</v>
      </c>
      <c r="M168">
        <v>7.0000000000000007E-2</v>
      </c>
      <c r="N168">
        <v>7.2999999999999995E-2</v>
      </c>
      <c r="O168">
        <v>9.1999999999999998E-2</v>
      </c>
      <c r="P168">
        <v>0.10100000000000001</v>
      </c>
      <c r="Q168">
        <v>0.109</v>
      </c>
      <c r="R168">
        <v>0.122</v>
      </c>
      <c r="S168">
        <v>0.14599999999999999</v>
      </c>
      <c r="T168">
        <v>0.156</v>
      </c>
      <c r="U168">
        <v>0.17299999999999999</v>
      </c>
      <c r="V168">
        <v>0.186</v>
      </c>
      <c r="W168">
        <v>0.17899999999999999</v>
      </c>
      <c r="X168">
        <v>0.17299999999999999</v>
      </c>
      <c r="Y168">
        <v>0.189</v>
      </c>
      <c r="Z168">
        <v>0.193</v>
      </c>
      <c r="AA168">
        <v>0.217</v>
      </c>
      <c r="AB168">
        <v>0.23599999999999999</v>
      </c>
      <c r="AC168">
        <v>0.255</v>
      </c>
      <c r="AD168">
        <v>0.26500000000000001</v>
      </c>
      <c r="AE168">
        <v>0.26500000000000001</v>
      </c>
      <c r="AF168">
        <v>0.28399999999999997</v>
      </c>
      <c r="AG168">
        <v>0.312</v>
      </c>
      <c r="AH168">
        <v>0.32300000000000001</v>
      </c>
      <c r="AI168">
        <v>0.32900000000000001</v>
      </c>
      <c r="AJ168">
        <v>0.35099999999999998</v>
      </c>
      <c r="AK168">
        <v>0.39900000000000002</v>
      </c>
      <c r="AL168">
        <v>0.46300000000000002</v>
      </c>
      <c r="AM168">
        <v>0.53500000000000003</v>
      </c>
      <c r="AN168">
        <v>0.54300000000000004</v>
      </c>
      <c r="AO168">
        <v>0.53200000000000003</v>
      </c>
      <c r="AP168">
        <v>0.499</v>
      </c>
      <c r="AQ168">
        <v>0.48399999999999999</v>
      </c>
      <c r="AR168">
        <v>0.48899999999999999</v>
      </c>
      <c r="AS168">
        <v>0.57499999999999996</v>
      </c>
      <c r="AT168">
        <v>0.54300000000000004</v>
      </c>
      <c r="AU168">
        <v>0.61799999999999999</v>
      </c>
      <c r="AV168">
        <v>0.63700000000000001</v>
      </c>
      <c r="AW168">
        <v>0.63600000000000001</v>
      </c>
      <c r="AX168">
        <v>0.67600000000000005</v>
      </c>
      <c r="AY168">
        <v>0.66900000000000004</v>
      </c>
      <c r="AZ168">
        <v>0.74099999999999999</v>
      </c>
      <c r="BA168">
        <v>0.76100000000000001</v>
      </c>
      <c r="BB168">
        <v>0.86099999999999999</v>
      </c>
      <c r="BC168">
        <v>0.871</v>
      </c>
      <c r="BD168">
        <v>0.91900000000000004</v>
      </c>
      <c r="BE168">
        <v>0.95699999999999996</v>
      </c>
      <c r="BF168">
        <v>1.0049999999999999</v>
      </c>
      <c r="BG168">
        <v>2021</v>
      </c>
      <c r="BH168">
        <v>0.74099999999999999</v>
      </c>
      <c r="BI168">
        <v>2.3559999999999999</v>
      </c>
      <c r="BJ168">
        <v>2.355</v>
      </c>
      <c r="BK168">
        <v>2020</v>
      </c>
      <c r="BL168">
        <v>31.451612903225808</v>
      </c>
    </row>
    <row r="169" spans="1:64">
      <c r="A169" t="s">
        <v>319</v>
      </c>
      <c r="B169">
        <v>732</v>
      </c>
      <c r="C169" t="s">
        <v>319</v>
      </c>
      <c r="D169" t="s">
        <v>1659</v>
      </c>
      <c r="E169" t="s">
        <v>106</v>
      </c>
      <c r="F169" t="s">
        <v>1660</v>
      </c>
      <c r="G169" t="s">
        <v>1661</v>
      </c>
      <c r="H169" t="s">
        <v>1662</v>
      </c>
      <c r="I169" t="s">
        <v>883</v>
      </c>
      <c r="J169" t="s">
        <v>1842</v>
      </c>
      <c r="K169" t="s">
        <v>1664</v>
      </c>
      <c r="L169" t="s">
        <v>1664</v>
      </c>
      <c r="M169" t="s">
        <v>1664</v>
      </c>
      <c r="N169" t="s">
        <v>1664</v>
      </c>
      <c r="O169" t="s">
        <v>1664</v>
      </c>
      <c r="P169" t="s">
        <v>1664</v>
      </c>
      <c r="Q169" t="s">
        <v>1664</v>
      </c>
      <c r="R169" t="s">
        <v>1664</v>
      </c>
      <c r="S169" t="s">
        <v>1664</v>
      </c>
      <c r="T169" t="s">
        <v>1664</v>
      </c>
      <c r="U169">
        <v>1.4999999999999999E-2</v>
      </c>
      <c r="V169">
        <v>3.4000000000000002E-2</v>
      </c>
      <c r="W169">
        <v>7.8E-2</v>
      </c>
      <c r="X169">
        <v>0.13100000000000001</v>
      </c>
      <c r="Y169">
        <v>0.28499999999999998</v>
      </c>
      <c r="Z169">
        <v>0.36499999999999999</v>
      </c>
      <c r="AA169">
        <v>0.70099999999999996</v>
      </c>
      <c r="AB169">
        <v>1.0960000000000001</v>
      </c>
      <c r="AC169">
        <v>1.5860000000000001</v>
      </c>
      <c r="AD169">
        <v>2.0550000000000002</v>
      </c>
      <c r="AE169">
        <v>3.2629999999999999</v>
      </c>
      <c r="AF169">
        <v>3.7</v>
      </c>
      <c r="AG169">
        <v>4.7069999999999999</v>
      </c>
      <c r="AH169">
        <v>7.4189999999999996</v>
      </c>
      <c r="AI169">
        <v>11.454000000000001</v>
      </c>
      <c r="AJ169">
        <v>15.319000000000001</v>
      </c>
      <c r="AK169">
        <v>17.201000000000001</v>
      </c>
      <c r="AL169">
        <v>20.062000000000001</v>
      </c>
      <c r="AM169">
        <v>27.378</v>
      </c>
      <c r="AN169">
        <v>20.077000000000002</v>
      </c>
      <c r="AO169">
        <v>29.858000000000001</v>
      </c>
      <c r="AP169">
        <v>33.255000000000003</v>
      </c>
      <c r="AQ169">
        <v>20.577000000000002</v>
      </c>
      <c r="AR169">
        <v>30.033999999999999</v>
      </c>
      <c r="AS169">
        <v>38.746000000000002</v>
      </c>
      <c r="AT169">
        <v>43.085999999999999</v>
      </c>
      <c r="AU169">
        <v>45.067999999999998</v>
      </c>
      <c r="AV169">
        <v>59.765000000000001</v>
      </c>
      <c r="AW169">
        <v>121.405</v>
      </c>
      <c r="AX169">
        <v>159.24</v>
      </c>
      <c r="AY169">
        <v>249.33199999999999</v>
      </c>
      <c r="AZ169">
        <v>1400.48</v>
      </c>
      <c r="BA169">
        <v>3137.86</v>
      </c>
      <c r="BB169">
        <v>7192.34</v>
      </c>
      <c r="BC169">
        <v>11441.49</v>
      </c>
      <c r="BD169">
        <v>15209.47</v>
      </c>
      <c r="BE169">
        <v>17385.27</v>
      </c>
      <c r="BF169">
        <v>19374.71</v>
      </c>
      <c r="BG169">
        <v>2019</v>
      </c>
      <c r="BH169">
        <v>159.24</v>
      </c>
      <c r="BI169">
        <v>2029.75</v>
      </c>
      <c r="BJ169">
        <v>2029.75</v>
      </c>
      <c r="BK169">
        <v>2019</v>
      </c>
      <c r="BL169">
        <v>7.8453011454612644</v>
      </c>
    </row>
    <row r="170" spans="1:64">
      <c r="A170" t="s">
        <v>390</v>
      </c>
      <c r="B170">
        <v>366</v>
      </c>
      <c r="C170" t="s">
        <v>390</v>
      </c>
      <c r="D170" t="s">
        <v>1659</v>
      </c>
      <c r="E170" t="s">
        <v>175</v>
      </c>
      <c r="F170" t="s">
        <v>1660</v>
      </c>
      <c r="G170" t="s">
        <v>1661</v>
      </c>
      <c r="H170" t="s">
        <v>1662</v>
      </c>
      <c r="I170" t="s">
        <v>883</v>
      </c>
      <c r="J170" t="s">
        <v>1843</v>
      </c>
      <c r="K170" t="s">
        <v>1664</v>
      </c>
      <c r="L170" t="s">
        <v>1664</v>
      </c>
      <c r="M170" t="s">
        <v>1664</v>
      </c>
      <c r="N170" t="s">
        <v>1664</v>
      </c>
      <c r="O170" t="s">
        <v>1664</v>
      </c>
      <c r="P170" t="s">
        <v>1664</v>
      </c>
      <c r="Q170" t="s">
        <v>1664</v>
      </c>
      <c r="R170" t="s">
        <v>1664</v>
      </c>
      <c r="S170" t="s">
        <v>1664</v>
      </c>
      <c r="T170" t="s">
        <v>1664</v>
      </c>
      <c r="U170">
        <v>1E-3</v>
      </c>
      <c r="V170">
        <v>1E-3</v>
      </c>
      <c r="W170">
        <v>2E-3</v>
      </c>
      <c r="X170">
        <v>3.0000000000000001E-3</v>
      </c>
      <c r="Y170">
        <v>2.1000000000000001E-2</v>
      </c>
      <c r="Z170">
        <v>9.4E-2</v>
      </c>
      <c r="AA170">
        <v>0.123</v>
      </c>
      <c r="AB170">
        <v>0.11</v>
      </c>
      <c r="AC170">
        <v>0.153</v>
      </c>
      <c r="AD170">
        <v>0.16</v>
      </c>
      <c r="AE170">
        <v>0.29799999999999999</v>
      </c>
      <c r="AF170">
        <v>0.64400000000000002</v>
      </c>
      <c r="AG170">
        <v>0.65400000000000003</v>
      </c>
      <c r="AH170">
        <v>0.85699999999999998</v>
      </c>
      <c r="AI170">
        <v>1.0720000000000001</v>
      </c>
      <c r="AJ170">
        <v>1.23</v>
      </c>
      <c r="AK170">
        <v>1.7589999999999999</v>
      </c>
      <c r="AL170">
        <v>2.3820000000000001</v>
      </c>
      <c r="AM170">
        <v>2.3769999999999998</v>
      </c>
      <c r="AN170">
        <v>2.9670000000000001</v>
      </c>
      <c r="AO170">
        <v>2.68</v>
      </c>
      <c r="AP170">
        <v>3.6160000000000001</v>
      </c>
      <c r="AQ170">
        <v>4.3440000000000003</v>
      </c>
      <c r="AR170">
        <v>4.28</v>
      </c>
      <c r="AS170">
        <v>4.1680000000000001</v>
      </c>
      <c r="AT170">
        <v>3.7810000000000001</v>
      </c>
      <c r="AU170">
        <v>3.6619999999999999</v>
      </c>
      <c r="AV170">
        <v>5.4109999999999996</v>
      </c>
      <c r="AW170">
        <v>6.234</v>
      </c>
      <c r="AX170">
        <v>6.4340000000000002</v>
      </c>
      <c r="AY170">
        <v>7.0659999999999998</v>
      </c>
      <c r="AZ170">
        <v>15.269</v>
      </c>
      <c r="BA170">
        <v>21.260999999999999</v>
      </c>
      <c r="BB170">
        <v>26.768999999999998</v>
      </c>
      <c r="BC170">
        <v>29.416</v>
      </c>
      <c r="BD170">
        <v>32.198999999999998</v>
      </c>
      <c r="BE170">
        <v>34.869</v>
      </c>
      <c r="BF170">
        <v>37.405999999999999</v>
      </c>
      <c r="BG170">
        <v>2021</v>
      </c>
      <c r="BH170">
        <v>15.269</v>
      </c>
      <c r="BI170">
        <v>56.24</v>
      </c>
      <c r="BJ170">
        <v>38.353000000000002</v>
      </c>
      <c r="BK170">
        <v>2020</v>
      </c>
      <c r="BL170">
        <v>27.149715504978662</v>
      </c>
    </row>
    <row r="171" spans="1:64">
      <c r="A171" t="s">
        <v>462</v>
      </c>
      <c r="B171">
        <v>144</v>
      </c>
      <c r="C171" t="s">
        <v>462</v>
      </c>
      <c r="D171" t="s">
        <v>1659</v>
      </c>
      <c r="E171" t="s">
        <v>52</v>
      </c>
      <c r="F171" t="s">
        <v>1660</v>
      </c>
      <c r="G171" t="s">
        <v>1661</v>
      </c>
      <c r="H171" t="s">
        <v>1662</v>
      </c>
      <c r="I171" t="s">
        <v>883</v>
      </c>
      <c r="J171" t="s">
        <v>1844</v>
      </c>
      <c r="K171">
        <v>320.69900000000001</v>
      </c>
      <c r="L171">
        <v>373.71</v>
      </c>
      <c r="M171">
        <v>409.928</v>
      </c>
      <c r="N171">
        <v>467.92500000000001</v>
      </c>
      <c r="O171">
        <v>520.29</v>
      </c>
      <c r="P171">
        <v>571.11900000000003</v>
      </c>
      <c r="Q171">
        <v>640.072</v>
      </c>
      <c r="R171">
        <v>709.68899999999996</v>
      </c>
      <c r="S171">
        <v>758.57799999999997</v>
      </c>
      <c r="T171">
        <v>839.62199999999996</v>
      </c>
      <c r="U171">
        <v>939.03200000000004</v>
      </c>
      <c r="V171">
        <v>1009.9</v>
      </c>
      <c r="W171">
        <v>953.33500000000004</v>
      </c>
      <c r="X171">
        <v>943.452</v>
      </c>
      <c r="Y171">
        <v>996.27200000000005</v>
      </c>
      <c r="Z171">
        <v>1049.23</v>
      </c>
      <c r="AA171">
        <v>1113.8699999999999</v>
      </c>
      <c r="AB171">
        <v>1152.92</v>
      </c>
      <c r="AC171">
        <v>1214.73</v>
      </c>
      <c r="AD171">
        <v>1264.21</v>
      </c>
      <c r="AE171">
        <v>1332.5</v>
      </c>
      <c r="AF171">
        <v>1328.72</v>
      </c>
      <c r="AG171">
        <v>1331.77</v>
      </c>
      <c r="AH171">
        <v>1394.94</v>
      </c>
      <c r="AI171">
        <v>1462.7</v>
      </c>
      <c r="AJ171">
        <v>1556.72</v>
      </c>
      <c r="AK171">
        <v>1629.45</v>
      </c>
      <c r="AL171">
        <v>1715.2</v>
      </c>
      <c r="AM171">
        <v>1737.29</v>
      </c>
      <c r="AN171">
        <v>1686.78</v>
      </c>
      <c r="AO171">
        <v>1761.43</v>
      </c>
      <c r="AP171">
        <v>1803.83</v>
      </c>
      <c r="AQ171">
        <v>1825.89</v>
      </c>
      <c r="AR171">
        <v>1878.43</v>
      </c>
      <c r="AS171">
        <v>1922.24</v>
      </c>
      <c r="AT171">
        <v>2061.7600000000002</v>
      </c>
      <c r="AU171">
        <v>2197.9299999999998</v>
      </c>
      <c r="AV171">
        <v>2296.5300000000002</v>
      </c>
      <c r="AW171">
        <v>2394.61</v>
      </c>
      <c r="AX171">
        <v>2455.13</v>
      </c>
      <c r="AY171">
        <v>2424.83</v>
      </c>
      <c r="AZ171">
        <v>2667.52</v>
      </c>
      <c r="BA171">
        <v>2837.57</v>
      </c>
      <c r="BB171">
        <v>2990.26</v>
      </c>
      <c r="BC171">
        <v>3096.83</v>
      </c>
      <c r="BD171">
        <v>3197.92</v>
      </c>
      <c r="BE171">
        <v>3326.41</v>
      </c>
      <c r="BF171">
        <v>3459.55</v>
      </c>
      <c r="BG171">
        <v>2020</v>
      </c>
      <c r="BH171">
        <v>2424.83</v>
      </c>
      <c r="BI171">
        <v>4987.26</v>
      </c>
      <c r="BJ171">
        <v>5381.26</v>
      </c>
      <c r="BK171">
        <v>2021</v>
      </c>
      <c r="BL171">
        <v>48.620484995769218</v>
      </c>
    </row>
    <row r="172" spans="1:64">
      <c r="A172" t="s">
        <v>469</v>
      </c>
      <c r="B172">
        <v>146</v>
      </c>
      <c r="C172" t="s">
        <v>469</v>
      </c>
      <c r="D172" t="s">
        <v>1659</v>
      </c>
      <c r="E172" t="s">
        <v>67</v>
      </c>
      <c r="F172" t="s">
        <v>1660</v>
      </c>
      <c r="G172" t="s">
        <v>1661</v>
      </c>
      <c r="H172" t="s">
        <v>1662</v>
      </c>
      <c r="I172" t="s">
        <v>883</v>
      </c>
      <c r="J172" t="s">
        <v>1845</v>
      </c>
      <c r="K172" t="s">
        <v>1664</v>
      </c>
      <c r="L172" t="s">
        <v>1664</v>
      </c>
      <c r="M172" t="s">
        <v>1664</v>
      </c>
      <c r="N172">
        <v>68.331999999999994</v>
      </c>
      <c r="O172">
        <v>72.739999999999995</v>
      </c>
      <c r="P172">
        <v>76.634</v>
      </c>
      <c r="Q172">
        <v>83.216999999999999</v>
      </c>
      <c r="R172">
        <v>85.84</v>
      </c>
      <c r="S172">
        <v>92.070999999999998</v>
      </c>
      <c r="T172">
        <v>96.995000000000005</v>
      </c>
      <c r="U172">
        <v>101.889</v>
      </c>
      <c r="V172">
        <v>106.54</v>
      </c>
      <c r="W172">
        <v>111.43899999999999</v>
      </c>
      <c r="X172">
        <v>117.804</v>
      </c>
      <c r="Y172">
        <v>123.202</v>
      </c>
      <c r="Z172">
        <v>127.678</v>
      </c>
      <c r="AA172">
        <v>130.15100000000001</v>
      </c>
      <c r="AB172">
        <v>130.90600000000001</v>
      </c>
      <c r="AC172">
        <v>137.91200000000001</v>
      </c>
      <c r="AD172">
        <v>141.56</v>
      </c>
      <c r="AE172">
        <v>153.33500000000001</v>
      </c>
      <c r="AF172">
        <v>153.881</v>
      </c>
      <c r="AG172">
        <v>156.03</v>
      </c>
      <c r="AH172">
        <v>155.43299999999999</v>
      </c>
      <c r="AI172">
        <v>158.83699999999999</v>
      </c>
      <c r="AJ172">
        <v>165.28</v>
      </c>
      <c r="AK172">
        <v>173.77500000000001</v>
      </c>
      <c r="AL172">
        <v>182.82300000000001</v>
      </c>
      <c r="AM172">
        <v>195.88399999999999</v>
      </c>
      <c r="AN172">
        <v>194.36199999999999</v>
      </c>
      <c r="AO172">
        <v>198.39</v>
      </c>
      <c r="AP172">
        <v>204.22499999999999</v>
      </c>
      <c r="AQ172">
        <v>205.26599999999999</v>
      </c>
      <c r="AR172">
        <v>210.27600000000001</v>
      </c>
      <c r="AS172">
        <v>212.554</v>
      </c>
      <c r="AT172">
        <v>220.50200000000001</v>
      </c>
      <c r="AU172">
        <v>221.45099999999999</v>
      </c>
      <c r="AV172">
        <v>229.90100000000001</v>
      </c>
      <c r="AW172">
        <v>234.357</v>
      </c>
      <c r="AX172">
        <v>238.78700000000001</v>
      </c>
      <c r="AY172">
        <v>237.59700000000001</v>
      </c>
      <c r="AZ172">
        <v>246.196</v>
      </c>
      <c r="BA172">
        <v>255.28399999999999</v>
      </c>
      <c r="BB172">
        <v>262.31900000000002</v>
      </c>
      <c r="BC172">
        <v>267.07299999999998</v>
      </c>
      <c r="BD172">
        <v>273.291</v>
      </c>
      <c r="BE172">
        <v>281.37900000000002</v>
      </c>
      <c r="BF172">
        <v>287.97800000000001</v>
      </c>
      <c r="BG172">
        <v>2019</v>
      </c>
      <c r="BH172">
        <v>238.78700000000001</v>
      </c>
      <c r="BI172">
        <v>727.86400000000003</v>
      </c>
      <c r="BJ172">
        <v>742.54700000000003</v>
      </c>
      <c r="BK172">
        <v>2021</v>
      </c>
      <c r="BL172">
        <v>32.806540782343951</v>
      </c>
    </row>
    <row r="173" spans="1:64">
      <c r="A173" t="s">
        <v>327</v>
      </c>
      <c r="B173">
        <v>463</v>
      </c>
      <c r="C173" t="s">
        <v>327</v>
      </c>
      <c r="D173" t="s">
        <v>1659</v>
      </c>
      <c r="E173" t="s">
        <v>1846</v>
      </c>
      <c r="F173" t="s">
        <v>1660</v>
      </c>
      <c r="G173" t="s">
        <v>1661</v>
      </c>
      <c r="H173" t="s">
        <v>1662</v>
      </c>
      <c r="I173" t="s">
        <v>883</v>
      </c>
      <c r="J173" t="s">
        <v>1847</v>
      </c>
      <c r="K173" t="s">
        <v>1664</v>
      </c>
      <c r="L173" t="s">
        <v>1664</v>
      </c>
      <c r="M173" t="s">
        <v>1664</v>
      </c>
      <c r="N173" t="s">
        <v>1664</v>
      </c>
      <c r="O173" t="s">
        <v>1664</v>
      </c>
      <c r="P173" t="s">
        <v>1664</v>
      </c>
      <c r="Q173" t="s">
        <v>1664</v>
      </c>
      <c r="R173" t="s">
        <v>1664</v>
      </c>
      <c r="S173" t="s">
        <v>1664</v>
      </c>
      <c r="T173" t="s">
        <v>1664</v>
      </c>
      <c r="U173">
        <v>65.311999999999998</v>
      </c>
      <c r="V173">
        <v>86.298000000000002</v>
      </c>
      <c r="W173">
        <v>99.980999999999995</v>
      </c>
      <c r="X173">
        <v>101.136</v>
      </c>
      <c r="Y173">
        <v>122.78700000000001</v>
      </c>
      <c r="Z173">
        <v>148.16300000000001</v>
      </c>
      <c r="AA173">
        <v>171.80099999999999</v>
      </c>
      <c r="AB173">
        <v>202.73699999999999</v>
      </c>
      <c r="AC173">
        <v>205.64</v>
      </c>
      <c r="AD173">
        <v>217.499</v>
      </c>
      <c r="AE173">
        <v>246.31100000000001</v>
      </c>
      <c r="AF173">
        <v>306.017</v>
      </c>
      <c r="AG173">
        <v>295.75400000000002</v>
      </c>
      <c r="AH173">
        <v>321.56400000000002</v>
      </c>
      <c r="AI173">
        <v>343.923</v>
      </c>
      <c r="AJ173">
        <v>358.04700000000003</v>
      </c>
      <c r="AK173">
        <v>435.29399999999998</v>
      </c>
      <c r="AL173">
        <v>459.06900000000002</v>
      </c>
      <c r="AM173">
        <v>491.20499999999998</v>
      </c>
      <c r="AN173">
        <v>601.18499999999995</v>
      </c>
      <c r="AO173">
        <v>582.024</v>
      </c>
      <c r="AP173" t="s">
        <v>1664</v>
      </c>
      <c r="AQ173" t="s">
        <v>1664</v>
      </c>
      <c r="AR173" t="s">
        <v>1664</v>
      </c>
      <c r="AS173" t="s">
        <v>1664</v>
      </c>
      <c r="AT173" t="s">
        <v>1664</v>
      </c>
      <c r="AU173" t="s">
        <v>1664</v>
      </c>
      <c r="AV173" t="s">
        <v>1664</v>
      </c>
      <c r="AW173" t="s">
        <v>1664</v>
      </c>
      <c r="AX173" t="s">
        <v>1664</v>
      </c>
      <c r="AY173" t="s">
        <v>1664</v>
      </c>
      <c r="AZ173" t="s">
        <v>1664</v>
      </c>
      <c r="BA173" t="s">
        <v>1664</v>
      </c>
      <c r="BB173" t="s">
        <v>1664</v>
      </c>
      <c r="BC173" t="s">
        <v>1664</v>
      </c>
      <c r="BD173" t="s">
        <v>1664</v>
      </c>
      <c r="BE173" t="s">
        <v>1664</v>
      </c>
      <c r="BF173" t="s">
        <v>1664</v>
      </c>
      <c r="BG173">
        <v>2009</v>
      </c>
      <c r="BH173">
        <v>582.024</v>
      </c>
      <c r="BI173">
        <v>2520.71</v>
      </c>
      <c r="BJ173">
        <v>2791.78</v>
      </c>
      <c r="BK173">
        <v>2010</v>
      </c>
      <c r="BL173">
        <v>23.089685049053639</v>
      </c>
    </row>
    <row r="174" spans="1:64">
      <c r="A174" t="s">
        <v>584</v>
      </c>
      <c r="B174">
        <v>528</v>
      </c>
      <c r="C174" t="s">
        <v>584</v>
      </c>
      <c r="D174" t="s">
        <v>1659</v>
      </c>
      <c r="E174" t="s">
        <v>1848</v>
      </c>
      <c r="F174" t="s">
        <v>1660</v>
      </c>
      <c r="G174" t="s">
        <v>1661</v>
      </c>
      <c r="H174" t="s">
        <v>1662</v>
      </c>
      <c r="I174" t="s">
        <v>883</v>
      </c>
      <c r="J174" t="s">
        <v>1849</v>
      </c>
      <c r="K174">
        <v>340.71499999999997</v>
      </c>
      <c r="L174">
        <v>411.71199999999999</v>
      </c>
      <c r="M174">
        <v>454.46100000000001</v>
      </c>
      <c r="N174">
        <v>461.11700000000002</v>
      </c>
      <c r="O174">
        <v>515.91300000000001</v>
      </c>
      <c r="P174">
        <v>542.60299999999995</v>
      </c>
      <c r="Q174">
        <v>584.83799999999997</v>
      </c>
      <c r="R174">
        <v>650.20299999999997</v>
      </c>
      <c r="S174">
        <v>765.43899999999996</v>
      </c>
      <c r="T174">
        <v>921.57500000000005</v>
      </c>
      <c r="U174">
        <v>1092.4000000000001</v>
      </c>
      <c r="V174">
        <v>1049.93</v>
      </c>
      <c r="W174">
        <v>1257.57</v>
      </c>
      <c r="X174">
        <v>1416.33</v>
      </c>
      <c r="Y174">
        <v>1502.75</v>
      </c>
      <c r="Z174">
        <v>1559.43</v>
      </c>
      <c r="AA174">
        <v>1604.18</v>
      </c>
      <c r="AB174">
        <v>1704.76</v>
      </c>
      <c r="AC174">
        <v>2053.46</v>
      </c>
      <c r="AD174">
        <v>2004.39</v>
      </c>
      <c r="AE174">
        <v>2784.86</v>
      </c>
      <c r="AF174">
        <v>1896.84</v>
      </c>
      <c r="AG174">
        <v>1787.92</v>
      </c>
      <c r="AH174">
        <v>1948.85</v>
      </c>
      <c r="AI174">
        <v>1927.4</v>
      </c>
      <c r="AJ174">
        <v>2218.04</v>
      </c>
      <c r="AK174">
        <v>2177.02</v>
      </c>
      <c r="AL174">
        <v>2244.7600000000002</v>
      </c>
      <c r="AM174">
        <v>2231.61</v>
      </c>
      <c r="AN174">
        <v>2113.64</v>
      </c>
      <c r="AO174">
        <v>2115.5500000000002</v>
      </c>
      <c r="AP174">
        <v>2306.17</v>
      </c>
      <c r="AQ174">
        <v>2321.21</v>
      </c>
      <c r="AR174">
        <v>2457.63</v>
      </c>
      <c r="AS174">
        <v>2508.8200000000002</v>
      </c>
      <c r="AT174">
        <v>2662.33</v>
      </c>
      <c r="AU174">
        <v>2690.92</v>
      </c>
      <c r="AV174">
        <v>2753.33</v>
      </c>
      <c r="AW174">
        <v>2848.61</v>
      </c>
      <c r="AX174">
        <v>2931.86</v>
      </c>
      <c r="AY174">
        <v>3036.13</v>
      </c>
      <c r="AZ174">
        <v>3459.22</v>
      </c>
      <c r="BA174">
        <v>3705.54</v>
      </c>
      <c r="BB174">
        <v>3832.14</v>
      </c>
      <c r="BC174">
        <v>3930.68</v>
      </c>
      <c r="BD174">
        <v>4089.42</v>
      </c>
      <c r="BE174">
        <v>4267.53</v>
      </c>
      <c r="BF174">
        <v>4461.33</v>
      </c>
      <c r="BG174">
        <v>2020</v>
      </c>
      <c r="BH174">
        <v>3036.13</v>
      </c>
      <c r="BI174">
        <v>19798.599999999999</v>
      </c>
      <c r="BJ174">
        <v>22124.7</v>
      </c>
      <c r="BK174">
        <v>2021</v>
      </c>
      <c r="BL174">
        <v>15.335074197165458</v>
      </c>
    </row>
    <row r="175" spans="1:64">
      <c r="A175" t="s">
        <v>336</v>
      </c>
      <c r="B175">
        <v>923</v>
      </c>
      <c r="C175" t="s">
        <v>336</v>
      </c>
      <c r="D175" t="s">
        <v>1659</v>
      </c>
      <c r="E175" t="s">
        <v>122</v>
      </c>
      <c r="F175" t="s">
        <v>1660</v>
      </c>
      <c r="G175" t="s">
        <v>1661</v>
      </c>
      <c r="H175" t="s">
        <v>1662</v>
      </c>
      <c r="I175" t="s">
        <v>883</v>
      </c>
      <c r="J175" t="s">
        <v>1850</v>
      </c>
      <c r="K175" t="s">
        <v>1664</v>
      </c>
      <c r="L175" t="s">
        <v>1664</v>
      </c>
      <c r="M175" t="s">
        <v>1664</v>
      </c>
      <c r="N175" t="s">
        <v>1664</v>
      </c>
      <c r="O175" t="s">
        <v>1664</v>
      </c>
      <c r="P175" t="s">
        <v>1664</v>
      </c>
      <c r="Q175" t="s">
        <v>1664</v>
      </c>
      <c r="R175" t="s">
        <v>1664</v>
      </c>
      <c r="S175" t="s">
        <v>1664</v>
      </c>
      <c r="T175" t="s">
        <v>1664</v>
      </c>
      <c r="U175" t="s">
        <v>1664</v>
      </c>
      <c r="V175" t="s">
        <v>1664</v>
      </c>
      <c r="W175" t="s">
        <v>1664</v>
      </c>
      <c r="X175" t="s">
        <v>1664</v>
      </c>
      <c r="Y175" t="s">
        <v>1664</v>
      </c>
      <c r="Z175" t="s">
        <v>1664</v>
      </c>
      <c r="AA175" t="s">
        <v>1664</v>
      </c>
      <c r="AB175" t="s">
        <v>1664</v>
      </c>
      <c r="AC175">
        <v>0.124</v>
      </c>
      <c r="AD175">
        <v>0.182</v>
      </c>
      <c r="AE175">
        <v>0.246</v>
      </c>
      <c r="AF175">
        <v>0.38200000000000001</v>
      </c>
      <c r="AG175">
        <v>0.56000000000000005</v>
      </c>
      <c r="AH175">
        <v>0.82399999999999995</v>
      </c>
      <c r="AI175">
        <v>1.1040000000000001</v>
      </c>
      <c r="AJ175">
        <v>1.446</v>
      </c>
      <c r="AK175">
        <v>2.19</v>
      </c>
      <c r="AL175">
        <v>2.871</v>
      </c>
      <c r="AM175">
        <v>3.895</v>
      </c>
      <c r="AN175">
        <v>4.8289999999999997</v>
      </c>
      <c r="AO175">
        <v>5.7220000000000004</v>
      </c>
      <c r="AP175">
        <v>7.4829999999999997</v>
      </c>
      <c r="AQ175">
        <v>9.0890000000000004</v>
      </c>
      <c r="AR175">
        <v>10.917</v>
      </c>
      <c r="AS175">
        <v>12.949</v>
      </c>
      <c r="AT175">
        <v>14.494</v>
      </c>
      <c r="AU175">
        <v>16.295000000000002</v>
      </c>
      <c r="AV175">
        <v>18.123999999999999</v>
      </c>
      <c r="AW175">
        <v>20.024999999999999</v>
      </c>
      <c r="AX175">
        <v>21.18</v>
      </c>
      <c r="AY175">
        <v>20.841999999999999</v>
      </c>
      <c r="AZ175">
        <v>24.052</v>
      </c>
      <c r="BA175">
        <v>26.716000000000001</v>
      </c>
      <c r="BB175">
        <v>29.632000000000001</v>
      </c>
      <c r="BC175">
        <v>32.856999999999999</v>
      </c>
      <c r="BD175">
        <v>36.832000000000001</v>
      </c>
      <c r="BE175">
        <v>40.530999999999999</v>
      </c>
      <c r="BF175">
        <v>43.857999999999997</v>
      </c>
      <c r="BG175">
        <v>2020</v>
      </c>
      <c r="BH175">
        <v>20.841999999999999</v>
      </c>
      <c r="BI175">
        <v>83.957999999999998</v>
      </c>
      <c r="BJ175">
        <v>83.957999999999998</v>
      </c>
      <c r="BK175">
        <v>2020</v>
      </c>
      <c r="BL175">
        <v>24.824316920364943</v>
      </c>
    </row>
    <row r="176" spans="1:64">
      <c r="A176" t="s">
        <v>335</v>
      </c>
      <c r="B176">
        <v>738</v>
      </c>
      <c r="C176" t="s">
        <v>335</v>
      </c>
      <c r="D176" t="s">
        <v>1659</v>
      </c>
      <c r="E176" t="s">
        <v>121</v>
      </c>
      <c r="F176" t="s">
        <v>1660</v>
      </c>
      <c r="G176" t="s">
        <v>1661</v>
      </c>
      <c r="H176" t="s">
        <v>1662</v>
      </c>
      <c r="I176" t="s">
        <v>883</v>
      </c>
      <c r="J176" t="s">
        <v>1851</v>
      </c>
      <c r="K176" t="s">
        <v>1664</v>
      </c>
      <c r="L176" t="s">
        <v>1664</v>
      </c>
      <c r="M176" t="s">
        <v>1664</v>
      </c>
      <c r="N176" t="s">
        <v>1664</v>
      </c>
      <c r="O176" t="s">
        <v>1664</v>
      </c>
      <c r="P176" t="s">
        <v>1664</v>
      </c>
      <c r="Q176" t="s">
        <v>1664</v>
      </c>
      <c r="R176" t="s">
        <v>1664</v>
      </c>
      <c r="S176" t="s">
        <v>1664</v>
      </c>
      <c r="T176" t="s">
        <v>1664</v>
      </c>
      <c r="U176" t="s">
        <v>1664</v>
      </c>
      <c r="V176">
        <v>194.81200000000001</v>
      </c>
      <c r="W176">
        <v>209.958</v>
      </c>
      <c r="X176">
        <v>301.46499999999997</v>
      </c>
      <c r="Y176">
        <v>363.38799999999998</v>
      </c>
      <c r="Z176">
        <v>493.661</v>
      </c>
      <c r="AA176">
        <v>683.89300000000003</v>
      </c>
      <c r="AB176">
        <v>732.029</v>
      </c>
      <c r="AC176">
        <v>877.88</v>
      </c>
      <c r="AD176">
        <v>1019.33</v>
      </c>
      <c r="AE176">
        <v>1147.8499999999999</v>
      </c>
      <c r="AF176">
        <v>1322.04</v>
      </c>
      <c r="AG176">
        <v>1633.98</v>
      </c>
      <c r="AH176">
        <v>1997.9</v>
      </c>
      <c r="AI176">
        <v>2475.33</v>
      </c>
      <c r="AJ176">
        <v>2915.49</v>
      </c>
      <c r="AK176">
        <v>3364.11</v>
      </c>
      <c r="AL176">
        <v>4449.8500000000004</v>
      </c>
      <c r="AM176">
        <v>5373.2</v>
      </c>
      <c r="AN176">
        <v>5784.6</v>
      </c>
      <c r="AO176">
        <v>6697.13</v>
      </c>
      <c r="AP176">
        <v>8305.7900000000009</v>
      </c>
      <c r="AQ176">
        <v>9709.23</v>
      </c>
      <c r="AR176">
        <v>10970.33</v>
      </c>
      <c r="AS176">
        <v>11876</v>
      </c>
      <c r="AT176">
        <v>13192.12</v>
      </c>
      <c r="AU176">
        <v>16067.34</v>
      </c>
      <c r="AV176">
        <v>18303.93</v>
      </c>
      <c r="AW176">
        <v>18932.02</v>
      </c>
      <c r="AX176">
        <v>20484.05</v>
      </c>
      <c r="AY176">
        <v>21638.6</v>
      </c>
      <c r="AZ176">
        <v>23732.240000000002</v>
      </c>
      <c r="BA176">
        <v>27529.49</v>
      </c>
      <c r="BB176">
        <v>30935.15</v>
      </c>
      <c r="BC176">
        <v>34778.949999999997</v>
      </c>
      <c r="BD176">
        <v>38618.81</v>
      </c>
      <c r="BE176">
        <v>42873.36</v>
      </c>
      <c r="BF176">
        <v>47603.94</v>
      </c>
      <c r="BG176">
        <v>2021</v>
      </c>
      <c r="BH176">
        <v>23732.240000000002</v>
      </c>
      <c r="BI176">
        <v>162317.45000000001</v>
      </c>
      <c r="BJ176">
        <v>162317.45000000001</v>
      </c>
      <c r="BK176">
        <v>2021</v>
      </c>
      <c r="BL176">
        <v>14.620880256558982</v>
      </c>
    </row>
    <row r="177" spans="1:64">
      <c r="A177" t="s">
        <v>418</v>
      </c>
      <c r="B177">
        <v>578</v>
      </c>
      <c r="C177" t="s">
        <v>418</v>
      </c>
      <c r="D177" t="s">
        <v>1659</v>
      </c>
      <c r="E177" t="s">
        <v>203</v>
      </c>
      <c r="F177" t="s">
        <v>1660</v>
      </c>
      <c r="G177" t="s">
        <v>1661</v>
      </c>
      <c r="H177" t="s">
        <v>1662</v>
      </c>
      <c r="I177" t="s">
        <v>883</v>
      </c>
      <c r="J177" t="s">
        <v>1852</v>
      </c>
      <c r="K177" t="s">
        <v>1664</v>
      </c>
      <c r="L177" t="s">
        <v>1664</v>
      </c>
      <c r="M177" t="s">
        <v>1664</v>
      </c>
      <c r="N177" t="s">
        <v>1664</v>
      </c>
      <c r="O177" t="s">
        <v>1664</v>
      </c>
      <c r="P177" t="s">
        <v>1664</v>
      </c>
      <c r="Q177" t="s">
        <v>1664</v>
      </c>
      <c r="R177" t="s">
        <v>1664</v>
      </c>
      <c r="S177" t="s">
        <v>1664</v>
      </c>
      <c r="T177" t="s">
        <v>1664</v>
      </c>
      <c r="U177" t="s">
        <v>1664</v>
      </c>
      <c r="V177" t="s">
        <v>1664</v>
      </c>
      <c r="W177" t="s">
        <v>1664</v>
      </c>
      <c r="X177" t="s">
        <v>1664</v>
      </c>
      <c r="Y177" t="s">
        <v>1664</v>
      </c>
      <c r="Z177">
        <v>826.50800000000004</v>
      </c>
      <c r="AA177">
        <v>934.07799999999997</v>
      </c>
      <c r="AB177">
        <v>937.81</v>
      </c>
      <c r="AC177">
        <v>822.73</v>
      </c>
      <c r="AD177">
        <v>804.19399999999996</v>
      </c>
      <c r="AE177">
        <v>851.29</v>
      </c>
      <c r="AF177">
        <v>972.1</v>
      </c>
      <c r="AG177">
        <v>1015.16</v>
      </c>
      <c r="AH177">
        <v>1249.96</v>
      </c>
      <c r="AI177">
        <v>1381.12</v>
      </c>
      <c r="AJ177">
        <v>1621.59</v>
      </c>
      <c r="AK177">
        <v>1700.48</v>
      </c>
      <c r="AL177">
        <v>1788.67</v>
      </c>
      <c r="AM177">
        <v>1953.2</v>
      </c>
      <c r="AN177">
        <v>1842.82</v>
      </c>
      <c r="AO177">
        <v>2223.85</v>
      </c>
      <c r="AP177">
        <v>2411.7399999999998</v>
      </c>
      <c r="AQ177">
        <v>2518.7800000000002</v>
      </c>
      <c r="AR177">
        <v>2851.19</v>
      </c>
      <c r="AS177">
        <v>2808.35</v>
      </c>
      <c r="AT177">
        <v>3032.34</v>
      </c>
      <c r="AU177">
        <v>3144.31</v>
      </c>
      <c r="AV177">
        <v>3216.37</v>
      </c>
      <c r="AW177">
        <v>3462.57</v>
      </c>
      <c r="AX177">
        <v>3530.93</v>
      </c>
      <c r="AY177">
        <v>3276.1</v>
      </c>
      <c r="AZ177">
        <v>3249.71</v>
      </c>
      <c r="BA177">
        <v>3366.94</v>
      </c>
      <c r="BB177">
        <v>3716.64</v>
      </c>
      <c r="BC177">
        <v>3800.18</v>
      </c>
      <c r="BD177">
        <v>3994.84</v>
      </c>
      <c r="BE177">
        <v>4264.42</v>
      </c>
      <c r="BF177">
        <v>4417.2</v>
      </c>
      <c r="BG177">
        <v>2020</v>
      </c>
      <c r="BH177">
        <v>3276.1</v>
      </c>
      <c r="BI177">
        <v>15653.88</v>
      </c>
      <c r="BJ177">
        <v>15653.88</v>
      </c>
      <c r="BK177">
        <v>2020</v>
      </c>
      <c r="BL177">
        <v>20.92835769789982</v>
      </c>
    </row>
    <row r="178" spans="1:64">
      <c r="A178" t="s">
        <v>351</v>
      </c>
      <c r="B178">
        <v>537</v>
      </c>
      <c r="C178" t="s">
        <v>351</v>
      </c>
      <c r="D178" t="s">
        <v>1659</v>
      </c>
      <c r="E178" t="s">
        <v>137</v>
      </c>
      <c r="F178" t="s">
        <v>1660</v>
      </c>
      <c r="G178" t="s">
        <v>1661</v>
      </c>
      <c r="H178" t="s">
        <v>1662</v>
      </c>
      <c r="I178" t="s">
        <v>883</v>
      </c>
      <c r="J178" t="s">
        <v>1853</v>
      </c>
      <c r="K178" t="s">
        <v>1664</v>
      </c>
      <c r="L178" t="s">
        <v>1664</v>
      </c>
      <c r="M178" t="s">
        <v>1664</v>
      </c>
      <c r="N178" t="s">
        <v>1664</v>
      </c>
      <c r="O178" t="s">
        <v>1664</v>
      </c>
      <c r="P178" t="s">
        <v>1664</v>
      </c>
      <c r="Q178" t="s">
        <v>1664</v>
      </c>
      <c r="R178" t="s">
        <v>1664</v>
      </c>
      <c r="S178" t="s">
        <v>1664</v>
      </c>
      <c r="T178" t="s">
        <v>1664</v>
      </c>
      <c r="U178" t="s">
        <v>1664</v>
      </c>
      <c r="V178" t="s">
        <v>1664</v>
      </c>
      <c r="W178" t="s">
        <v>1664</v>
      </c>
      <c r="X178" t="s">
        <v>1664</v>
      </c>
      <c r="Y178" t="s">
        <v>1664</v>
      </c>
      <c r="Z178" t="s">
        <v>1664</v>
      </c>
      <c r="AA178" t="s">
        <v>1664</v>
      </c>
      <c r="AB178" t="s">
        <v>1664</v>
      </c>
      <c r="AC178" t="s">
        <v>1664</v>
      </c>
      <c r="AD178" t="s">
        <v>1664</v>
      </c>
      <c r="AE178">
        <v>0.40100000000000002</v>
      </c>
      <c r="AF178">
        <v>0.47199999999999998</v>
      </c>
      <c r="AG178">
        <v>0.40300000000000002</v>
      </c>
      <c r="AH178">
        <v>0.35299999999999998</v>
      </c>
      <c r="AI178">
        <v>0.29399999999999998</v>
      </c>
      <c r="AJ178">
        <v>0.221</v>
      </c>
      <c r="AK178">
        <v>0.45800000000000002</v>
      </c>
      <c r="AL178">
        <v>0.249</v>
      </c>
      <c r="AM178">
        <v>0.67300000000000004</v>
      </c>
      <c r="AN178">
        <v>0.76100000000000001</v>
      </c>
      <c r="AO178">
        <v>0.89500000000000002</v>
      </c>
      <c r="AP178">
        <v>1.125</v>
      </c>
      <c r="AQ178">
        <v>1.052</v>
      </c>
      <c r="AR178">
        <v>1.141</v>
      </c>
      <c r="AS178">
        <v>1.0629999999999999</v>
      </c>
      <c r="AT178">
        <v>1.0309999999999999</v>
      </c>
      <c r="AU178">
        <v>0.92600000000000005</v>
      </c>
      <c r="AV178">
        <v>0.84799999999999998</v>
      </c>
      <c r="AW178">
        <v>0.91200000000000003</v>
      </c>
      <c r="AX178">
        <v>0.879</v>
      </c>
      <c r="AY178">
        <v>0.91</v>
      </c>
      <c r="AZ178">
        <v>0.93799999999999994</v>
      </c>
      <c r="BA178">
        <v>0.97899999999999998</v>
      </c>
      <c r="BB178">
        <v>1.01</v>
      </c>
      <c r="BC178">
        <v>1.022</v>
      </c>
      <c r="BD178">
        <v>1.036</v>
      </c>
      <c r="BE178">
        <v>1.054</v>
      </c>
      <c r="BF178">
        <v>1.0469999999999999</v>
      </c>
      <c r="BG178">
        <v>2019</v>
      </c>
      <c r="BH178">
        <v>0.879</v>
      </c>
      <c r="BI178">
        <v>1.704</v>
      </c>
      <c r="BJ178">
        <v>1.704</v>
      </c>
      <c r="BK178">
        <v>2019</v>
      </c>
      <c r="BL178">
        <v>51.584507042253527</v>
      </c>
    </row>
    <row r="179" spans="1:64">
      <c r="A179" t="s">
        <v>329</v>
      </c>
      <c r="B179">
        <v>742</v>
      </c>
      <c r="C179" t="s">
        <v>329</v>
      </c>
      <c r="D179" t="s">
        <v>1659</v>
      </c>
      <c r="E179" t="s">
        <v>116</v>
      </c>
      <c r="F179" t="s">
        <v>1660</v>
      </c>
      <c r="G179" t="s">
        <v>1661</v>
      </c>
      <c r="H179" t="s">
        <v>1662</v>
      </c>
      <c r="I179" t="s">
        <v>883</v>
      </c>
      <c r="J179" t="s">
        <v>1854</v>
      </c>
      <c r="K179" t="s">
        <v>1664</v>
      </c>
      <c r="L179" t="s">
        <v>1664</v>
      </c>
      <c r="M179" t="s">
        <v>1664</v>
      </c>
      <c r="N179" t="s">
        <v>1664</v>
      </c>
      <c r="O179" t="s">
        <v>1664</v>
      </c>
      <c r="P179" t="s">
        <v>1664</v>
      </c>
      <c r="Q179" t="s">
        <v>1664</v>
      </c>
      <c r="R179" t="s">
        <v>1664</v>
      </c>
      <c r="S179" t="s">
        <v>1664</v>
      </c>
      <c r="T179">
        <v>108.02</v>
      </c>
      <c r="U179">
        <v>114.73</v>
      </c>
      <c r="V179">
        <v>85.581000000000003</v>
      </c>
      <c r="W179">
        <v>78.900000000000006</v>
      </c>
      <c r="X179">
        <v>39.216999999999999</v>
      </c>
      <c r="Y179">
        <v>73.661000000000001</v>
      </c>
      <c r="Z179">
        <v>108.804</v>
      </c>
      <c r="AA179">
        <v>114.273</v>
      </c>
      <c r="AB179">
        <v>139.941</v>
      </c>
      <c r="AC179">
        <v>132.54</v>
      </c>
      <c r="AD179">
        <v>147.86000000000001</v>
      </c>
      <c r="AE179">
        <v>120.85</v>
      </c>
      <c r="AF179">
        <v>148.47</v>
      </c>
      <c r="AG179">
        <v>130.02000000000001</v>
      </c>
      <c r="AH179">
        <v>170.77600000000001</v>
      </c>
      <c r="AI179">
        <v>179.56700000000001</v>
      </c>
      <c r="AJ179">
        <v>187.97300000000001</v>
      </c>
      <c r="AK179">
        <v>211.88800000000001</v>
      </c>
      <c r="AL179">
        <v>213.46</v>
      </c>
      <c r="AM179">
        <v>240.983</v>
      </c>
      <c r="AN179">
        <v>259.00099999999998</v>
      </c>
      <c r="AO179">
        <v>315.327</v>
      </c>
      <c r="AP179">
        <v>350.86599999999999</v>
      </c>
      <c r="AQ179">
        <v>399.738</v>
      </c>
      <c r="AR179">
        <v>458.1</v>
      </c>
      <c r="AS179">
        <v>466.78</v>
      </c>
      <c r="AT179">
        <v>539.49900000000002</v>
      </c>
      <c r="AU179">
        <v>571.26599999999996</v>
      </c>
      <c r="AV179">
        <v>595.78200000000004</v>
      </c>
      <c r="AW179">
        <v>710.79700000000003</v>
      </c>
      <c r="AX179">
        <v>746.91600000000005</v>
      </c>
      <c r="AY179">
        <v>707.96299999999997</v>
      </c>
      <c r="AZ179">
        <v>758.67200000000003</v>
      </c>
      <c r="BA179">
        <v>949.24099999999999</v>
      </c>
      <c r="BB179">
        <v>992.79200000000003</v>
      </c>
      <c r="BC179">
        <v>1036.06</v>
      </c>
      <c r="BD179">
        <v>1157.92</v>
      </c>
      <c r="BE179">
        <v>1282.06</v>
      </c>
      <c r="BF179">
        <v>1400.26</v>
      </c>
      <c r="BG179">
        <v>2020</v>
      </c>
      <c r="BH179">
        <v>707.96299999999997</v>
      </c>
      <c r="BI179">
        <v>4359.8500000000004</v>
      </c>
      <c r="BJ179">
        <v>4359.8500000000004</v>
      </c>
      <c r="BK179">
        <v>2020</v>
      </c>
      <c r="BL179">
        <v>16.238242141358072</v>
      </c>
    </row>
    <row r="180" spans="1:64">
      <c r="A180" t="s">
        <v>402</v>
      </c>
      <c r="B180">
        <v>866</v>
      </c>
      <c r="C180" t="s">
        <v>402</v>
      </c>
      <c r="D180" t="s">
        <v>1659</v>
      </c>
      <c r="E180" t="s">
        <v>187</v>
      </c>
      <c r="F180" t="s">
        <v>1660</v>
      </c>
      <c r="G180" t="s">
        <v>1661</v>
      </c>
      <c r="H180" t="s">
        <v>1662</v>
      </c>
      <c r="I180" t="s">
        <v>883</v>
      </c>
      <c r="J180" t="s">
        <v>1855</v>
      </c>
      <c r="K180" t="s">
        <v>1664</v>
      </c>
      <c r="L180" t="s">
        <v>1664</v>
      </c>
      <c r="M180" t="s">
        <v>1664</v>
      </c>
      <c r="N180" t="s">
        <v>1664</v>
      </c>
      <c r="O180" t="s">
        <v>1664</v>
      </c>
      <c r="P180" t="s">
        <v>1664</v>
      </c>
      <c r="Q180" t="s">
        <v>1664</v>
      </c>
      <c r="R180" t="s">
        <v>1664</v>
      </c>
      <c r="S180" t="s">
        <v>1664</v>
      </c>
      <c r="T180" t="s">
        <v>1664</v>
      </c>
      <c r="U180" t="s">
        <v>1664</v>
      </c>
      <c r="V180" t="s">
        <v>1664</v>
      </c>
      <c r="W180" t="s">
        <v>1664</v>
      </c>
      <c r="X180" t="s">
        <v>1664</v>
      </c>
      <c r="Y180" t="s">
        <v>1664</v>
      </c>
      <c r="Z180" t="s">
        <v>1664</v>
      </c>
      <c r="AA180" t="s">
        <v>1664</v>
      </c>
      <c r="AB180" t="s">
        <v>1664</v>
      </c>
      <c r="AC180" t="s">
        <v>1664</v>
      </c>
      <c r="AD180">
        <v>6.3E-2</v>
      </c>
      <c r="AE180">
        <v>7.0999999999999994E-2</v>
      </c>
      <c r="AF180">
        <v>7.4999999999999997E-2</v>
      </c>
      <c r="AG180">
        <v>9.5000000000000001E-2</v>
      </c>
      <c r="AH180">
        <v>9.9000000000000005E-2</v>
      </c>
      <c r="AI180">
        <v>0.111</v>
      </c>
      <c r="AJ180">
        <v>0.122</v>
      </c>
      <c r="AK180">
        <v>0.158</v>
      </c>
      <c r="AL180">
        <v>0.17100000000000001</v>
      </c>
      <c r="AM180">
        <v>0.17100000000000001</v>
      </c>
      <c r="AN180">
        <v>0.2</v>
      </c>
      <c r="AO180">
        <v>0.192</v>
      </c>
      <c r="AP180">
        <v>0.20200000000000001</v>
      </c>
      <c r="AQ180">
        <v>0.219</v>
      </c>
      <c r="AR180">
        <v>0.25800000000000001</v>
      </c>
      <c r="AS180">
        <v>0.30199999999999999</v>
      </c>
      <c r="AT180">
        <v>0.29399999999999998</v>
      </c>
      <c r="AU180">
        <v>0.36099999999999999</v>
      </c>
      <c r="AV180">
        <v>0.44</v>
      </c>
      <c r="AW180">
        <v>0.45700000000000002</v>
      </c>
      <c r="AX180">
        <v>0.48499999999999999</v>
      </c>
      <c r="AY180">
        <v>0.495</v>
      </c>
      <c r="AZ180">
        <v>0.504</v>
      </c>
      <c r="BA180">
        <v>0.61399999999999999</v>
      </c>
      <c r="BB180">
        <v>0.51300000000000001</v>
      </c>
      <c r="BC180">
        <v>0.51200000000000001</v>
      </c>
      <c r="BD180">
        <v>0.51</v>
      </c>
      <c r="BE180">
        <v>0.504</v>
      </c>
      <c r="BF180">
        <v>0.502</v>
      </c>
      <c r="BG180">
        <v>2020</v>
      </c>
      <c r="BH180">
        <v>0.495</v>
      </c>
      <c r="BI180">
        <v>1.129</v>
      </c>
      <c r="BJ180">
        <v>1.129</v>
      </c>
      <c r="BK180">
        <v>2020</v>
      </c>
      <c r="BL180">
        <v>43.844109831709474</v>
      </c>
    </row>
    <row r="181" spans="1:64">
      <c r="A181" t="s">
        <v>585</v>
      </c>
      <c r="B181">
        <v>369</v>
      </c>
      <c r="C181" t="s">
        <v>585</v>
      </c>
      <c r="D181" t="s">
        <v>1659</v>
      </c>
      <c r="E181" t="s">
        <v>234</v>
      </c>
      <c r="F181" t="s">
        <v>1660</v>
      </c>
      <c r="G181" t="s">
        <v>1661</v>
      </c>
      <c r="H181" t="s">
        <v>1662</v>
      </c>
      <c r="I181" t="s">
        <v>883</v>
      </c>
      <c r="J181" t="s">
        <v>1856</v>
      </c>
      <c r="K181" t="s">
        <v>1664</v>
      </c>
      <c r="L181" t="s">
        <v>1664</v>
      </c>
      <c r="M181" t="s">
        <v>1664</v>
      </c>
      <c r="N181" t="s">
        <v>1664</v>
      </c>
      <c r="O181" t="s">
        <v>1664</v>
      </c>
      <c r="P181" t="s">
        <v>1664</v>
      </c>
      <c r="Q181" t="s">
        <v>1664</v>
      </c>
      <c r="R181" t="s">
        <v>1664</v>
      </c>
      <c r="S181">
        <v>4.7480000000000002</v>
      </c>
      <c r="T181">
        <v>4.8609999999999998</v>
      </c>
      <c r="U181">
        <v>5.6050000000000004</v>
      </c>
      <c r="V181">
        <v>6.7549999999999999</v>
      </c>
      <c r="W181">
        <v>6.085</v>
      </c>
      <c r="X181">
        <v>6.7590000000000003</v>
      </c>
      <c r="Y181">
        <v>7.5650000000000004</v>
      </c>
      <c r="Z181">
        <v>8.5109999999999992</v>
      </c>
      <c r="AA181">
        <v>9.5419999999999998</v>
      </c>
      <c r="AB181">
        <v>9.9540000000000006</v>
      </c>
      <c r="AC181">
        <v>9.702</v>
      </c>
      <c r="AD181">
        <v>10.144</v>
      </c>
      <c r="AE181">
        <v>12.154999999999999</v>
      </c>
      <c r="AF181">
        <v>14.2</v>
      </c>
      <c r="AG181">
        <v>13.847</v>
      </c>
      <c r="AH181">
        <v>17.349</v>
      </c>
      <c r="AI181">
        <v>20.63</v>
      </c>
      <c r="AJ181">
        <v>29.648</v>
      </c>
      <c r="AK181">
        <v>38.911000000000001</v>
      </c>
      <c r="AL181">
        <v>40.064</v>
      </c>
      <c r="AM181">
        <v>56.847999999999999</v>
      </c>
      <c r="AN181">
        <v>39.045000000000002</v>
      </c>
      <c r="AO181">
        <v>43.863</v>
      </c>
      <c r="AP181">
        <v>47.500999999999998</v>
      </c>
      <c r="AQ181">
        <v>49.277999999999999</v>
      </c>
      <c r="AR181">
        <v>52.76</v>
      </c>
      <c r="AS181">
        <v>53.783000000000001</v>
      </c>
      <c r="AT181">
        <v>46.996000000000002</v>
      </c>
      <c r="AU181">
        <v>34.424999999999997</v>
      </c>
      <c r="AV181">
        <v>32.896000000000001</v>
      </c>
      <c r="AW181">
        <v>39.308</v>
      </c>
      <c r="AX181">
        <v>43.481999999999999</v>
      </c>
      <c r="AY181">
        <v>33.843000000000004</v>
      </c>
      <c r="AZ181">
        <v>36.149000000000001</v>
      </c>
      <c r="BA181">
        <v>43.235999999999997</v>
      </c>
      <c r="BB181">
        <v>47.71</v>
      </c>
      <c r="BC181">
        <v>48.981999999999999</v>
      </c>
      <c r="BD181">
        <v>49.103999999999999</v>
      </c>
      <c r="BE181">
        <v>50.042999999999999</v>
      </c>
      <c r="BF181">
        <v>51.356999999999999</v>
      </c>
      <c r="BG181">
        <v>2021</v>
      </c>
      <c r="BH181">
        <v>36.149000000000001</v>
      </c>
      <c r="BI181">
        <v>144.577</v>
      </c>
      <c r="BJ181">
        <v>144.422</v>
      </c>
      <c r="BK181">
        <v>2020</v>
      </c>
      <c r="BL181">
        <v>25.003285446509473</v>
      </c>
    </row>
    <row r="182" spans="1:64">
      <c r="A182" t="s">
        <v>376</v>
      </c>
      <c r="B182">
        <v>744</v>
      </c>
      <c r="C182" t="s">
        <v>376</v>
      </c>
      <c r="D182" t="s">
        <v>1659</v>
      </c>
      <c r="E182" t="s">
        <v>162</v>
      </c>
      <c r="F182" t="s">
        <v>1660</v>
      </c>
      <c r="G182" t="s">
        <v>1661</v>
      </c>
      <c r="H182" t="s">
        <v>1662</v>
      </c>
      <c r="I182" t="s">
        <v>883</v>
      </c>
      <c r="J182" t="s">
        <v>1857</v>
      </c>
      <c r="K182" t="s">
        <v>1664</v>
      </c>
      <c r="L182" t="s">
        <v>1664</v>
      </c>
      <c r="M182" t="s">
        <v>1664</v>
      </c>
      <c r="N182" t="s">
        <v>1664</v>
      </c>
      <c r="O182" t="s">
        <v>1664</v>
      </c>
      <c r="P182" t="s">
        <v>1664</v>
      </c>
      <c r="Q182" t="s">
        <v>1664</v>
      </c>
      <c r="R182" t="s">
        <v>1664</v>
      </c>
      <c r="S182" t="s">
        <v>1664</v>
      </c>
      <c r="T182" t="s">
        <v>1664</v>
      </c>
      <c r="U182">
        <v>3.411</v>
      </c>
      <c r="V182">
        <v>3.0819999999999999</v>
      </c>
      <c r="W182">
        <v>3.5049999999999999</v>
      </c>
      <c r="X182">
        <v>3.9359999999999999</v>
      </c>
      <c r="Y182">
        <v>4.1740000000000004</v>
      </c>
      <c r="Z182">
        <v>4.2990000000000004</v>
      </c>
      <c r="AA182">
        <v>4.6719999999999997</v>
      </c>
      <c r="AB182">
        <v>5.0119999999999996</v>
      </c>
      <c r="AC182">
        <v>5.5570000000000004</v>
      </c>
      <c r="AD182">
        <v>5.9829999999999997</v>
      </c>
      <c r="AE182">
        <v>6.431</v>
      </c>
      <c r="AF182">
        <v>7.0309999999999997</v>
      </c>
      <c r="AG182">
        <v>7.4470000000000001</v>
      </c>
      <c r="AH182">
        <v>7.7279999999999998</v>
      </c>
      <c r="AI182">
        <v>8.5229999999999997</v>
      </c>
      <c r="AJ182">
        <v>8.9819999999999993</v>
      </c>
      <c r="AK182">
        <v>9.8480000000000008</v>
      </c>
      <c r="AL182">
        <v>10.907</v>
      </c>
      <c r="AM182">
        <v>13.364000000000001</v>
      </c>
      <c r="AN182">
        <v>13.571999999999999</v>
      </c>
      <c r="AO182">
        <v>15.571</v>
      </c>
      <c r="AP182">
        <v>16.73</v>
      </c>
      <c r="AQ182">
        <v>17.329000000000001</v>
      </c>
      <c r="AR182">
        <v>18.786000000000001</v>
      </c>
      <c r="AS182">
        <v>20.971</v>
      </c>
      <c r="AT182">
        <v>20.202000000000002</v>
      </c>
      <c r="AU182">
        <v>20.338000000000001</v>
      </c>
      <c r="AV182">
        <v>23.582000000000001</v>
      </c>
      <c r="AW182">
        <v>27.59</v>
      </c>
      <c r="AX182">
        <v>31.885000000000002</v>
      </c>
      <c r="AY182">
        <v>30.443999999999999</v>
      </c>
      <c r="AZ182">
        <v>33.497</v>
      </c>
      <c r="BA182">
        <v>40.481999999999999</v>
      </c>
      <c r="BB182" t="s">
        <v>1664</v>
      </c>
      <c r="BC182" t="s">
        <v>1664</v>
      </c>
      <c r="BD182" t="s">
        <v>1664</v>
      </c>
      <c r="BE182" t="s">
        <v>1664</v>
      </c>
      <c r="BF182" t="s">
        <v>1664</v>
      </c>
      <c r="BG182">
        <v>2021</v>
      </c>
      <c r="BH182">
        <v>33.497</v>
      </c>
      <c r="BI182">
        <v>129.881</v>
      </c>
      <c r="BJ182">
        <v>119.526</v>
      </c>
      <c r="BK182">
        <v>2020</v>
      </c>
      <c r="BL182">
        <v>25.790531332527465</v>
      </c>
    </row>
    <row r="183" spans="1:64">
      <c r="A183" t="s">
        <v>433</v>
      </c>
      <c r="B183">
        <v>186</v>
      </c>
      <c r="C183" t="s">
        <v>433</v>
      </c>
      <c r="D183" t="s">
        <v>1659</v>
      </c>
      <c r="E183" t="s">
        <v>653</v>
      </c>
      <c r="F183" t="s">
        <v>1660</v>
      </c>
      <c r="G183" t="s">
        <v>1661</v>
      </c>
      <c r="H183" t="s">
        <v>1662</v>
      </c>
      <c r="I183" t="s">
        <v>883</v>
      </c>
      <c r="J183" t="s">
        <v>1858</v>
      </c>
      <c r="K183" t="s">
        <v>1664</v>
      </c>
      <c r="L183" t="s">
        <v>1664</v>
      </c>
      <c r="M183" t="s">
        <v>1664</v>
      </c>
      <c r="N183" t="s">
        <v>1664</v>
      </c>
      <c r="O183" t="s">
        <v>1664</v>
      </c>
      <c r="P183" t="s">
        <v>1664</v>
      </c>
      <c r="Q183" t="s">
        <v>1664</v>
      </c>
      <c r="R183" t="s">
        <v>1664</v>
      </c>
      <c r="S183" t="s">
        <v>1664</v>
      </c>
      <c r="T183" t="s">
        <v>1664</v>
      </c>
      <c r="U183" t="s">
        <v>1664</v>
      </c>
      <c r="V183" t="s">
        <v>1664</v>
      </c>
      <c r="W183" t="s">
        <v>1664</v>
      </c>
      <c r="X183" t="s">
        <v>1664</v>
      </c>
      <c r="Y183" t="s">
        <v>1664</v>
      </c>
      <c r="Z183" t="s">
        <v>1664</v>
      </c>
      <c r="AA183" t="s">
        <v>1664</v>
      </c>
      <c r="AB183" t="s">
        <v>1664</v>
      </c>
      <c r="AC183" t="s">
        <v>1664</v>
      </c>
      <c r="AD183" t="s">
        <v>1664</v>
      </c>
      <c r="AE183">
        <v>53.344000000000001</v>
      </c>
      <c r="AF183">
        <v>80.037999999999997</v>
      </c>
      <c r="AG183">
        <v>107.452</v>
      </c>
      <c r="AH183">
        <v>145.69399999999999</v>
      </c>
      <c r="AI183">
        <v>177.40799999999999</v>
      </c>
      <c r="AJ183">
        <v>213.357</v>
      </c>
      <c r="AK183">
        <v>265.32799999999997</v>
      </c>
      <c r="AL183">
        <v>279.79000000000002</v>
      </c>
      <c r="AM183">
        <v>316.38099999999997</v>
      </c>
      <c r="AN183">
        <v>322.541</v>
      </c>
      <c r="AO183">
        <v>379.05599999999998</v>
      </c>
      <c r="AP183">
        <v>455.77699999999999</v>
      </c>
      <c r="AQ183">
        <v>511.34899999999999</v>
      </c>
      <c r="AR183">
        <v>592.202</v>
      </c>
      <c r="AS183">
        <v>650.20299999999997</v>
      </c>
      <c r="AT183">
        <v>750.827</v>
      </c>
      <c r="AU183">
        <v>853.76900000000001</v>
      </c>
      <c r="AV183">
        <v>976.55200000000002</v>
      </c>
      <c r="AW183">
        <v>1158.57</v>
      </c>
      <c r="AX183">
        <v>1335.01</v>
      </c>
      <c r="AY183">
        <v>1457.05</v>
      </c>
      <c r="AZ183">
        <v>2005.97</v>
      </c>
      <c r="BA183">
        <v>3224.78</v>
      </c>
      <c r="BB183">
        <v>4678.58</v>
      </c>
      <c r="BC183">
        <v>6028.41</v>
      </c>
      <c r="BD183">
        <v>7224.58</v>
      </c>
      <c r="BE183">
        <v>8572.52</v>
      </c>
      <c r="BF183">
        <v>10271.469999999999</v>
      </c>
      <c r="BG183">
        <v>2021</v>
      </c>
      <c r="BH183">
        <v>2005.97</v>
      </c>
      <c r="BI183">
        <v>7153.88</v>
      </c>
      <c r="BJ183">
        <v>7153.88</v>
      </c>
      <c r="BK183">
        <v>2021</v>
      </c>
      <c r="BL183">
        <v>28.040308196391329</v>
      </c>
    </row>
    <row r="184" spans="1:64">
      <c r="A184" t="s">
        <v>417</v>
      </c>
      <c r="B184">
        <v>925</v>
      </c>
      <c r="C184" t="s">
        <v>417</v>
      </c>
      <c r="D184" t="s">
        <v>1659</v>
      </c>
      <c r="E184" t="s">
        <v>202</v>
      </c>
      <c r="F184" t="s">
        <v>1660</v>
      </c>
      <c r="G184" t="s">
        <v>1661</v>
      </c>
      <c r="H184" t="s">
        <v>1662</v>
      </c>
      <c r="I184" t="s">
        <v>883</v>
      </c>
      <c r="J184" t="s">
        <v>1859</v>
      </c>
      <c r="K184" t="s">
        <v>1664</v>
      </c>
      <c r="L184" t="s">
        <v>1664</v>
      </c>
      <c r="M184" t="s">
        <v>1664</v>
      </c>
      <c r="N184" t="s">
        <v>1664</v>
      </c>
      <c r="O184" t="s">
        <v>1664</v>
      </c>
      <c r="P184" t="s">
        <v>1664</v>
      </c>
      <c r="Q184" t="s">
        <v>1664</v>
      </c>
      <c r="R184" t="s">
        <v>1664</v>
      </c>
      <c r="S184" t="s">
        <v>1664</v>
      </c>
      <c r="T184" t="s">
        <v>1664</v>
      </c>
      <c r="U184" t="s">
        <v>1664</v>
      </c>
      <c r="V184" t="s">
        <v>1664</v>
      </c>
      <c r="W184" t="s">
        <v>1664</v>
      </c>
      <c r="X184" t="s">
        <v>1664</v>
      </c>
      <c r="Y184" t="s">
        <v>1664</v>
      </c>
      <c r="Z184" t="s">
        <v>1664</v>
      </c>
      <c r="AA184" t="s">
        <v>1664</v>
      </c>
      <c r="AB184">
        <v>0.55200000000000005</v>
      </c>
      <c r="AC184">
        <v>0.71</v>
      </c>
      <c r="AD184">
        <v>0.871</v>
      </c>
      <c r="AE184">
        <v>1.232</v>
      </c>
      <c r="AF184">
        <v>1.573</v>
      </c>
      <c r="AG184">
        <v>1.649</v>
      </c>
      <c r="AH184">
        <v>2.7410000000000001</v>
      </c>
      <c r="AI184">
        <v>2.9910000000000001</v>
      </c>
      <c r="AJ184">
        <v>3.657</v>
      </c>
      <c r="AK184">
        <v>4.4950000000000001</v>
      </c>
      <c r="AL184">
        <v>4.6840000000000002</v>
      </c>
      <c r="AM184">
        <v>10.323</v>
      </c>
      <c r="AN184">
        <v>11.768000000000001</v>
      </c>
      <c r="AO184">
        <v>10.17</v>
      </c>
      <c r="AP184">
        <v>15.218</v>
      </c>
      <c r="AQ184">
        <v>22.241</v>
      </c>
      <c r="AR184">
        <v>20.562000000000001</v>
      </c>
      <c r="AS184">
        <v>22.202000000000002</v>
      </c>
      <c r="AT184">
        <v>20.818999999999999</v>
      </c>
      <c r="AU184">
        <v>14.862</v>
      </c>
      <c r="AV184">
        <v>19.818000000000001</v>
      </c>
      <c r="AW184">
        <v>19.289000000000001</v>
      </c>
      <c r="AX184">
        <v>20.838000000000001</v>
      </c>
      <c r="AY184">
        <v>21.3</v>
      </c>
      <c r="AZ184">
        <v>23.19</v>
      </c>
      <c r="BA184">
        <v>30.385999999999999</v>
      </c>
      <c r="BB184">
        <v>31.795000000000002</v>
      </c>
      <c r="BC184">
        <v>34.433999999999997</v>
      </c>
      <c r="BD184">
        <v>37.103999999999999</v>
      </c>
      <c r="BE184">
        <v>39.988999999999997</v>
      </c>
      <c r="BF184">
        <v>42.96</v>
      </c>
      <c r="BG184">
        <v>2020</v>
      </c>
      <c r="BH184">
        <v>21.3</v>
      </c>
      <c r="BI184">
        <v>186.15299999999999</v>
      </c>
      <c r="BJ184">
        <v>186.15299999999999</v>
      </c>
      <c r="BK184">
        <v>2020</v>
      </c>
      <c r="BL184">
        <v>11.442200770334081</v>
      </c>
    </row>
    <row r="185" spans="1:64">
      <c r="A185" t="s">
        <v>412</v>
      </c>
      <c r="B185">
        <v>869</v>
      </c>
      <c r="C185" t="s">
        <v>412</v>
      </c>
      <c r="D185" t="s">
        <v>1659</v>
      </c>
      <c r="E185" t="s">
        <v>197</v>
      </c>
      <c r="F185" t="s">
        <v>1660</v>
      </c>
      <c r="G185" t="s">
        <v>1661</v>
      </c>
      <c r="H185" t="s">
        <v>1662</v>
      </c>
      <c r="I185" t="s">
        <v>883</v>
      </c>
      <c r="J185" t="s">
        <v>1860</v>
      </c>
      <c r="K185" t="s">
        <v>1664</v>
      </c>
      <c r="L185" t="s">
        <v>1664</v>
      </c>
      <c r="M185" t="s">
        <v>1664</v>
      </c>
      <c r="N185" t="s">
        <v>1664</v>
      </c>
      <c r="O185" t="s">
        <v>1664</v>
      </c>
      <c r="P185" t="s">
        <v>1664</v>
      </c>
      <c r="Q185" t="s">
        <v>1664</v>
      </c>
      <c r="R185" t="s">
        <v>1664</v>
      </c>
      <c r="S185" t="s">
        <v>1664</v>
      </c>
      <c r="T185" t="s">
        <v>1664</v>
      </c>
      <c r="U185" t="s">
        <v>1664</v>
      </c>
      <c r="V185" t="s">
        <v>1664</v>
      </c>
      <c r="W185" t="s">
        <v>1664</v>
      </c>
      <c r="X185" t="s">
        <v>1664</v>
      </c>
      <c r="Y185" t="s">
        <v>1664</v>
      </c>
      <c r="Z185" t="s">
        <v>1664</v>
      </c>
      <c r="AA185" t="s">
        <v>1664</v>
      </c>
      <c r="AB185" t="s">
        <v>1664</v>
      </c>
      <c r="AC185" t="s">
        <v>1664</v>
      </c>
      <c r="AD185" t="s">
        <v>1664</v>
      </c>
      <c r="AE185" t="s">
        <v>1664</v>
      </c>
      <c r="AF185" t="s">
        <v>1664</v>
      </c>
      <c r="AG185" t="s">
        <v>1664</v>
      </c>
      <c r="AH185" t="s">
        <v>1664</v>
      </c>
      <c r="AI185">
        <v>2.1999999999999999E-2</v>
      </c>
      <c r="AJ185">
        <v>2.1000000000000001E-2</v>
      </c>
      <c r="AK185">
        <v>0.02</v>
      </c>
      <c r="AL185">
        <v>2.4E-2</v>
      </c>
      <c r="AM185">
        <v>2.5999999999999999E-2</v>
      </c>
      <c r="AN185">
        <v>3.1E-2</v>
      </c>
      <c r="AO185">
        <v>2.5000000000000001E-2</v>
      </c>
      <c r="AP185">
        <v>2.5999999999999999E-2</v>
      </c>
      <c r="AQ185">
        <v>3.2000000000000001E-2</v>
      </c>
      <c r="AR185">
        <v>4.2999999999999997E-2</v>
      </c>
      <c r="AS185">
        <v>4.2999999999999997E-2</v>
      </c>
      <c r="AT185">
        <v>6.4000000000000001E-2</v>
      </c>
      <c r="AU185">
        <v>8.2000000000000003E-2</v>
      </c>
      <c r="AV185">
        <v>6.4000000000000001E-2</v>
      </c>
      <c r="AW185">
        <v>0.10100000000000001</v>
      </c>
      <c r="AX185">
        <v>8.6999999999999994E-2</v>
      </c>
      <c r="AY185">
        <v>9.7000000000000003E-2</v>
      </c>
      <c r="AZ185">
        <v>8.5000000000000006E-2</v>
      </c>
      <c r="BA185">
        <v>9.9000000000000005E-2</v>
      </c>
      <c r="BB185">
        <v>0.104</v>
      </c>
      <c r="BC185">
        <v>0.11</v>
      </c>
      <c r="BD185">
        <v>0.11600000000000001</v>
      </c>
      <c r="BE185">
        <v>0.123</v>
      </c>
      <c r="BF185">
        <v>0.13</v>
      </c>
      <c r="BG185">
        <v>2019</v>
      </c>
      <c r="BH185">
        <v>8.6999999999999994E-2</v>
      </c>
      <c r="BI185">
        <v>7.8E-2</v>
      </c>
      <c r="BJ185">
        <v>7.8E-2</v>
      </c>
      <c r="BK185">
        <v>2019</v>
      </c>
      <c r="BL185">
        <v>111.53846153846155</v>
      </c>
    </row>
    <row r="186" spans="1:64">
      <c r="A186" t="s">
        <v>323</v>
      </c>
      <c r="B186">
        <v>746</v>
      </c>
      <c r="C186" t="s">
        <v>323</v>
      </c>
      <c r="D186" t="s">
        <v>1659</v>
      </c>
      <c r="E186" t="s">
        <v>110</v>
      </c>
      <c r="F186" t="s">
        <v>1660</v>
      </c>
      <c r="G186" t="s">
        <v>1661</v>
      </c>
      <c r="H186" t="s">
        <v>1662</v>
      </c>
      <c r="I186" t="s">
        <v>883</v>
      </c>
      <c r="J186" t="s">
        <v>1861</v>
      </c>
      <c r="K186" t="s">
        <v>1664</v>
      </c>
      <c r="L186" t="s">
        <v>1664</v>
      </c>
      <c r="M186" t="s">
        <v>1664</v>
      </c>
      <c r="N186" t="s">
        <v>1664</v>
      </c>
      <c r="O186" t="s">
        <v>1664</v>
      </c>
      <c r="P186" t="s">
        <v>1664</v>
      </c>
      <c r="Q186" t="s">
        <v>1664</v>
      </c>
      <c r="R186" t="s">
        <v>1664</v>
      </c>
      <c r="S186" t="s">
        <v>1664</v>
      </c>
      <c r="T186" t="s">
        <v>1664</v>
      </c>
      <c r="U186" t="s">
        <v>1664</v>
      </c>
      <c r="V186" t="s">
        <v>1664</v>
      </c>
      <c r="W186" t="s">
        <v>1664</v>
      </c>
      <c r="X186" t="s">
        <v>1664</v>
      </c>
      <c r="Y186" t="s">
        <v>1664</v>
      </c>
      <c r="Z186" t="s">
        <v>1664</v>
      </c>
      <c r="AA186" t="s">
        <v>1664</v>
      </c>
      <c r="AB186">
        <v>1186.67</v>
      </c>
      <c r="AC186">
        <v>1352.22</v>
      </c>
      <c r="AD186">
        <v>1533.52</v>
      </c>
      <c r="AE186">
        <v>1862.88</v>
      </c>
      <c r="AF186">
        <v>2092.5300000000002</v>
      </c>
      <c r="AG186">
        <v>2225.2399999999998</v>
      </c>
      <c r="AH186">
        <v>2653.84</v>
      </c>
      <c r="AI186">
        <v>3101.11</v>
      </c>
      <c r="AJ186">
        <v>3172.96</v>
      </c>
      <c r="AK186">
        <v>3366.99</v>
      </c>
      <c r="AL186">
        <v>3747.66</v>
      </c>
      <c r="AM186">
        <v>4223.8599999999997</v>
      </c>
      <c r="AN186">
        <v>4966.5600000000004</v>
      </c>
      <c r="AO186">
        <v>5793.68</v>
      </c>
      <c r="AP186">
        <v>7722.99</v>
      </c>
      <c r="AQ186">
        <v>8316.23</v>
      </c>
      <c r="AR186">
        <v>8457.5</v>
      </c>
      <c r="AS186">
        <v>9780.23</v>
      </c>
      <c r="AT186">
        <v>12113.78</v>
      </c>
      <c r="AU186">
        <v>12971.93</v>
      </c>
      <c r="AV186">
        <v>14526.53</v>
      </c>
      <c r="AW186">
        <v>16707.099999999999</v>
      </c>
      <c r="AX186">
        <v>18846.77</v>
      </c>
      <c r="AY186">
        <v>19699</v>
      </c>
      <c r="AZ186">
        <v>21768.639999999999</v>
      </c>
      <c r="BA186">
        <v>24548.22</v>
      </c>
      <c r="BB186">
        <v>27411.74</v>
      </c>
      <c r="BC186">
        <v>32022.99</v>
      </c>
      <c r="BD186">
        <v>38958.53</v>
      </c>
      <c r="BE186">
        <v>48294.04</v>
      </c>
      <c r="BF186">
        <v>56534.99</v>
      </c>
      <c r="BG186">
        <v>2020</v>
      </c>
      <c r="BH186">
        <v>19699</v>
      </c>
      <c r="BI186">
        <v>141274</v>
      </c>
      <c r="BJ186">
        <v>141274</v>
      </c>
      <c r="BK186">
        <v>2020</v>
      </c>
      <c r="BL186">
        <v>13.94382547390178</v>
      </c>
    </row>
    <row r="187" spans="1:64">
      <c r="A187" t="s">
        <v>384</v>
      </c>
      <c r="B187">
        <v>926</v>
      </c>
      <c r="C187" t="s">
        <v>384</v>
      </c>
      <c r="D187" t="s">
        <v>1659</v>
      </c>
      <c r="E187" t="s">
        <v>170</v>
      </c>
      <c r="F187" t="s">
        <v>1660</v>
      </c>
      <c r="G187" t="s">
        <v>1661</v>
      </c>
      <c r="H187" t="s">
        <v>1662</v>
      </c>
      <c r="I187" t="s">
        <v>883</v>
      </c>
      <c r="J187" t="s">
        <v>1862</v>
      </c>
      <c r="K187" t="s">
        <v>1664</v>
      </c>
      <c r="L187" t="s">
        <v>1664</v>
      </c>
      <c r="M187" t="s">
        <v>1664</v>
      </c>
      <c r="N187" t="s">
        <v>1664</v>
      </c>
      <c r="O187" t="s">
        <v>1664</v>
      </c>
      <c r="P187" t="s">
        <v>1664</v>
      </c>
      <c r="Q187" t="s">
        <v>1664</v>
      </c>
      <c r="R187" t="s">
        <v>1664</v>
      </c>
      <c r="S187" t="s">
        <v>1664</v>
      </c>
      <c r="T187" t="s">
        <v>1664</v>
      </c>
      <c r="U187" t="s">
        <v>1664</v>
      </c>
      <c r="V187" t="s">
        <v>1664</v>
      </c>
      <c r="W187" t="s">
        <v>1664</v>
      </c>
      <c r="X187" t="s">
        <v>1664</v>
      </c>
      <c r="Y187" t="s">
        <v>1664</v>
      </c>
      <c r="Z187">
        <v>20.617999999999999</v>
      </c>
      <c r="AA187">
        <v>28.497</v>
      </c>
      <c r="AB187">
        <v>34.223999999999997</v>
      </c>
      <c r="AC187">
        <v>36.497</v>
      </c>
      <c r="AD187">
        <v>41.555</v>
      </c>
      <c r="AE187">
        <v>56.774000000000001</v>
      </c>
      <c r="AF187">
        <v>68.435000000000002</v>
      </c>
      <c r="AG187">
        <v>81.28</v>
      </c>
      <c r="AH187">
        <v>101.485</v>
      </c>
      <c r="AI187">
        <v>128.12200000000001</v>
      </c>
      <c r="AJ187">
        <v>184.642</v>
      </c>
      <c r="AK187">
        <v>235.22499999999999</v>
      </c>
      <c r="AL187">
        <v>301.61799999999999</v>
      </c>
      <c r="AM187">
        <v>419.66899999999998</v>
      </c>
      <c r="AN187">
        <v>386.32799999999997</v>
      </c>
      <c r="AO187">
        <v>468.2</v>
      </c>
      <c r="AP187">
        <v>558.20000000000005</v>
      </c>
      <c r="AQ187">
        <v>627.4</v>
      </c>
      <c r="AR187">
        <v>634.79999999999995</v>
      </c>
      <c r="AS187">
        <v>639.74800000000005</v>
      </c>
      <c r="AT187">
        <v>832.875</v>
      </c>
      <c r="AU187">
        <v>914.21699999999998</v>
      </c>
      <c r="AV187">
        <v>1172.03</v>
      </c>
      <c r="AW187">
        <v>1408.89</v>
      </c>
      <c r="AX187">
        <v>1566.28</v>
      </c>
      <c r="AY187">
        <v>1675.39</v>
      </c>
      <c r="AZ187">
        <v>1982.68</v>
      </c>
      <c r="BA187" t="s">
        <v>1664</v>
      </c>
      <c r="BB187" t="s">
        <v>1664</v>
      </c>
      <c r="BC187" t="s">
        <v>1664</v>
      </c>
      <c r="BD187" t="s">
        <v>1664</v>
      </c>
      <c r="BE187" t="s">
        <v>1664</v>
      </c>
      <c r="BF187" t="s">
        <v>1664</v>
      </c>
      <c r="BG187">
        <v>2021</v>
      </c>
      <c r="BH187">
        <v>1982.68</v>
      </c>
      <c r="BI187">
        <v>5421.21</v>
      </c>
      <c r="BJ187">
        <v>4191.8599999999997</v>
      </c>
      <c r="BK187">
        <v>2020</v>
      </c>
      <c r="BL187">
        <v>36.572647065876438</v>
      </c>
    </row>
    <row r="188" spans="1:64">
      <c r="A188" t="s">
        <v>561</v>
      </c>
      <c r="B188">
        <v>466</v>
      </c>
      <c r="C188" t="s">
        <v>561</v>
      </c>
      <c r="D188" t="s">
        <v>1659</v>
      </c>
      <c r="E188" t="s">
        <v>255</v>
      </c>
      <c r="F188" t="s">
        <v>1660</v>
      </c>
      <c r="G188" t="s">
        <v>1661</v>
      </c>
      <c r="H188" t="s">
        <v>1662</v>
      </c>
      <c r="I188" t="s">
        <v>883</v>
      </c>
      <c r="J188" t="s">
        <v>1863</v>
      </c>
      <c r="K188" t="s">
        <v>1664</v>
      </c>
      <c r="L188" t="s">
        <v>1664</v>
      </c>
      <c r="M188" t="s">
        <v>1664</v>
      </c>
      <c r="N188" t="s">
        <v>1664</v>
      </c>
      <c r="O188" t="s">
        <v>1664</v>
      </c>
      <c r="P188" t="s">
        <v>1664</v>
      </c>
      <c r="Q188" t="s">
        <v>1664</v>
      </c>
      <c r="R188" t="s">
        <v>1664</v>
      </c>
      <c r="S188" t="s">
        <v>1664</v>
      </c>
      <c r="T188" t="s">
        <v>1664</v>
      </c>
      <c r="U188">
        <v>29.792000000000002</v>
      </c>
      <c r="V188">
        <v>72.126999999999995</v>
      </c>
      <c r="W188">
        <v>62.747999999999998</v>
      </c>
      <c r="X188">
        <v>54.756999999999998</v>
      </c>
      <c r="Y188">
        <v>59.72</v>
      </c>
      <c r="Z188">
        <v>69.221000000000004</v>
      </c>
      <c r="AA188">
        <v>76.277000000000001</v>
      </c>
      <c r="AB188">
        <v>82.927999999999997</v>
      </c>
      <c r="AC188">
        <v>74.224000000000004</v>
      </c>
      <c r="AD188">
        <v>79.325000000000003</v>
      </c>
      <c r="AE188">
        <v>122.726</v>
      </c>
      <c r="AF188">
        <v>100.29300000000001</v>
      </c>
      <c r="AG188">
        <v>81.043000000000006</v>
      </c>
      <c r="AH188">
        <v>102.3</v>
      </c>
      <c r="AI188">
        <v>130.87299999999999</v>
      </c>
      <c r="AJ188">
        <v>210.476</v>
      </c>
      <c r="AK188">
        <v>291.84300000000002</v>
      </c>
      <c r="AL188">
        <v>329.41899999999998</v>
      </c>
      <c r="AM188">
        <v>458.65100000000001</v>
      </c>
      <c r="AN188">
        <v>268.82600000000002</v>
      </c>
      <c r="AO188">
        <v>348.875</v>
      </c>
      <c r="AP188">
        <v>469.887</v>
      </c>
      <c r="AQ188">
        <v>524.78</v>
      </c>
      <c r="AR188">
        <v>554.76099999999997</v>
      </c>
      <c r="AS188">
        <v>518.75199999999995</v>
      </c>
      <c r="AT188">
        <v>381.37599999999998</v>
      </c>
      <c r="AU188">
        <v>378.476</v>
      </c>
      <c r="AV188">
        <v>404.41300000000001</v>
      </c>
      <c r="AW188">
        <v>465.55599999999998</v>
      </c>
      <c r="AX188">
        <v>470.88600000000002</v>
      </c>
      <c r="AY188">
        <v>367.86500000000001</v>
      </c>
      <c r="AZ188">
        <v>477.76600000000002</v>
      </c>
      <c r="BA188">
        <v>698.52099999999996</v>
      </c>
      <c r="BB188">
        <v>699.48199999999997</v>
      </c>
      <c r="BC188">
        <v>690.83399999999995</v>
      </c>
      <c r="BD188">
        <v>686.86199999999997</v>
      </c>
      <c r="BE188">
        <v>687.15899999999999</v>
      </c>
      <c r="BF188">
        <v>703.41600000000005</v>
      </c>
      <c r="BG188">
        <v>2020</v>
      </c>
      <c r="BH188">
        <v>367.86500000000001</v>
      </c>
      <c r="BI188">
        <v>1317.95</v>
      </c>
      <c r="BJ188">
        <v>1317.95</v>
      </c>
      <c r="BK188">
        <v>2020</v>
      </c>
      <c r="BL188">
        <v>27.911908646003265</v>
      </c>
    </row>
    <row r="189" spans="1:64">
      <c r="A189" t="s">
        <v>454</v>
      </c>
      <c r="B189">
        <v>112</v>
      </c>
      <c r="C189" t="s">
        <v>454</v>
      </c>
      <c r="D189" t="s">
        <v>1659</v>
      </c>
      <c r="E189" t="s">
        <v>72</v>
      </c>
      <c r="F189" t="s">
        <v>1660</v>
      </c>
      <c r="G189" t="s">
        <v>1661</v>
      </c>
      <c r="H189" t="s">
        <v>1662</v>
      </c>
      <c r="I189" t="s">
        <v>883</v>
      </c>
      <c r="J189" t="s">
        <v>1864</v>
      </c>
      <c r="K189">
        <v>94.116</v>
      </c>
      <c r="L189">
        <v>109.178</v>
      </c>
      <c r="M189">
        <v>123.349</v>
      </c>
      <c r="N189">
        <v>130.87200000000001</v>
      </c>
      <c r="O189">
        <v>140.31200000000001</v>
      </c>
      <c r="P189">
        <v>153.21199999999999</v>
      </c>
      <c r="Q189">
        <v>160.673</v>
      </c>
      <c r="R189">
        <v>173.05099999999999</v>
      </c>
      <c r="S189">
        <v>192.08199999999999</v>
      </c>
      <c r="T189">
        <v>210.53899999999999</v>
      </c>
      <c r="U189">
        <v>224.84800000000001</v>
      </c>
      <c r="V189">
        <v>233.91399999999999</v>
      </c>
      <c r="W189">
        <v>237.017</v>
      </c>
      <c r="X189">
        <v>240.09100000000001</v>
      </c>
      <c r="Y189">
        <v>257.65899999999999</v>
      </c>
      <c r="Z189">
        <v>278.15800000000002</v>
      </c>
      <c r="AA189">
        <v>291.89400000000001</v>
      </c>
      <c r="AB189">
        <v>312.45100000000002</v>
      </c>
      <c r="AC189">
        <v>339.976</v>
      </c>
      <c r="AD189">
        <v>360.14699999999999</v>
      </c>
      <c r="AE189">
        <v>388.21300000000002</v>
      </c>
      <c r="AF189">
        <v>398.99200000000002</v>
      </c>
      <c r="AG189">
        <v>404.49900000000002</v>
      </c>
      <c r="AH189">
        <v>427.85500000000002</v>
      </c>
      <c r="AI189">
        <v>461.113</v>
      </c>
      <c r="AJ189">
        <v>493.476</v>
      </c>
      <c r="AK189">
        <v>523.91999999999996</v>
      </c>
      <c r="AL189">
        <v>554.77499999999998</v>
      </c>
      <c r="AM189">
        <v>570.02099999999996</v>
      </c>
      <c r="AN189">
        <v>535.13800000000003</v>
      </c>
      <c r="AO189">
        <v>570.81299999999999</v>
      </c>
      <c r="AP189">
        <v>600.28499999999997</v>
      </c>
      <c r="AQ189">
        <v>618.10599999999999</v>
      </c>
      <c r="AR189">
        <v>649.72400000000005</v>
      </c>
      <c r="AS189">
        <v>664.37400000000002</v>
      </c>
      <c r="AT189">
        <v>686.72900000000004</v>
      </c>
      <c r="AU189">
        <v>723.404</v>
      </c>
      <c r="AV189">
        <v>764.00199999999995</v>
      </c>
      <c r="AW189">
        <v>788.85199999999998</v>
      </c>
      <c r="AX189">
        <v>812.76599999999996</v>
      </c>
      <c r="AY189">
        <v>777.58699999999999</v>
      </c>
      <c r="AZ189">
        <v>854.72199999999998</v>
      </c>
      <c r="BA189">
        <v>941.30700000000002</v>
      </c>
      <c r="BB189">
        <v>1005.65</v>
      </c>
      <c r="BC189">
        <v>1049.1199999999999</v>
      </c>
      <c r="BD189">
        <v>1088.24</v>
      </c>
      <c r="BE189">
        <v>1085.18</v>
      </c>
      <c r="BF189">
        <v>1145.06</v>
      </c>
      <c r="BG189">
        <v>2021</v>
      </c>
      <c r="BH189">
        <v>854.72199999999998</v>
      </c>
      <c r="BI189">
        <v>2317.0500000000002</v>
      </c>
      <c r="BJ189">
        <v>2150.38</v>
      </c>
      <c r="BK189">
        <v>2020</v>
      </c>
      <c r="BL189">
        <v>36.888370988973044</v>
      </c>
    </row>
    <row r="190" spans="1:64">
      <c r="A190" t="s">
        <v>465</v>
      </c>
      <c r="B190">
        <v>111</v>
      </c>
      <c r="C190" t="s">
        <v>465</v>
      </c>
      <c r="D190" t="s">
        <v>1659</v>
      </c>
      <c r="E190" t="s">
        <v>77</v>
      </c>
      <c r="F190" t="s">
        <v>1660</v>
      </c>
      <c r="G190" t="s">
        <v>1661</v>
      </c>
      <c r="H190" t="s">
        <v>1662</v>
      </c>
      <c r="I190" t="s">
        <v>883</v>
      </c>
      <c r="J190" t="s">
        <v>1865</v>
      </c>
      <c r="K190" t="s">
        <v>1664</v>
      </c>
      <c r="L190" t="s">
        <v>1664</v>
      </c>
      <c r="M190" t="s">
        <v>1664</v>
      </c>
      <c r="N190" t="s">
        <v>1664</v>
      </c>
      <c r="O190" t="s">
        <v>1664</v>
      </c>
      <c r="P190" t="s">
        <v>1664</v>
      </c>
      <c r="Q190" t="s">
        <v>1664</v>
      </c>
      <c r="R190" t="s">
        <v>1664</v>
      </c>
      <c r="S190" t="s">
        <v>1664</v>
      </c>
      <c r="T190" t="s">
        <v>1664</v>
      </c>
      <c r="U190" t="s">
        <v>1664</v>
      </c>
      <c r="V190" t="s">
        <v>1664</v>
      </c>
      <c r="W190" t="s">
        <v>1664</v>
      </c>
      <c r="X190" t="s">
        <v>1664</v>
      </c>
      <c r="Y190" t="s">
        <v>1664</v>
      </c>
      <c r="Z190" t="s">
        <v>1664</v>
      </c>
      <c r="AA190" t="s">
        <v>1664</v>
      </c>
      <c r="AB190" t="s">
        <v>1664</v>
      </c>
      <c r="AC190" t="s">
        <v>1664</v>
      </c>
      <c r="AD190" t="s">
        <v>1664</v>
      </c>
      <c r="AE190" t="s">
        <v>1664</v>
      </c>
      <c r="AF190">
        <v>3414.06</v>
      </c>
      <c r="AG190">
        <v>3266.46</v>
      </c>
      <c r="AH190">
        <v>3353.77</v>
      </c>
      <c r="AI190">
        <v>3601.49</v>
      </c>
      <c r="AJ190">
        <v>4023.39</v>
      </c>
      <c r="AK190">
        <v>4373.82</v>
      </c>
      <c r="AL190">
        <v>4581.38</v>
      </c>
      <c r="AM190">
        <v>4510.3</v>
      </c>
      <c r="AN190">
        <v>4086.82</v>
      </c>
      <c r="AO190">
        <v>4330.49</v>
      </c>
      <c r="AP190">
        <v>4537.1499999999996</v>
      </c>
      <c r="AQ190">
        <v>4731.97</v>
      </c>
      <c r="AR190">
        <v>5271.2</v>
      </c>
      <c r="AS190">
        <v>5508.17</v>
      </c>
      <c r="AT190">
        <v>5766.36</v>
      </c>
      <c r="AU190">
        <v>5841.99</v>
      </c>
      <c r="AV190">
        <v>6006.55</v>
      </c>
      <c r="AW190">
        <v>6186.23</v>
      </c>
      <c r="AX190">
        <v>6428.92</v>
      </c>
      <c r="AY190">
        <v>6436.15</v>
      </c>
      <c r="AZ190">
        <v>7179.06</v>
      </c>
      <c r="BA190">
        <v>8105.99</v>
      </c>
      <c r="BB190">
        <v>8562.3799999999992</v>
      </c>
      <c r="BC190">
        <v>8817.56</v>
      </c>
      <c r="BD190">
        <v>9096.39</v>
      </c>
      <c r="BE190">
        <v>9534.5</v>
      </c>
      <c r="BF190">
        <v>9961.2800000000007</v>
      </c>
      <c r="BG190">
        <v>2020</v>
      </c>
      <c r="BH190">
        <v>6436.15</v>
      </c>
      <c r="BI190">
        <v>20893.75</v>
      </c>
      <c r="BJ190">
        <v>22997.5</v>
      </c>
      <c r="BK190">
        <v>2021</v>
      </c>
      <c r="BL190">
        <v>30.804187855219862</v>
      </c>
    </row>
    <row r="191" spans="1:64">
      <c r="A191" t="s">
        <v>589</v>
      </c>
      <c r="B191">
        <v>298</v>
      </c>
      <c r="C191" t="s">
        <v>589</v>
      </c>
      <c r="D191" t="s">
        <v>1659</v>
      </c>
      <c r="E191" t="s">
        <v>235</v>
      </c>
      <c r="F191" t="s">
        <v>1660</v>
      </c>
      <c r="G191" t="s">
        <v>1661</v>
      </c>
      <c r="H191" t="s">
        <v>1662</v>
      </c>
      <c r="I191" t="s">
        <v>883</v>
      </c>
      <c r="J191" t="s">
        <v>1866</v>
      </c>
      <c r="K191" t="s">
        <v>1664</v>
      </c>
      <c r="L191" t="s">
        <v>1664</v>
      </c>
      <c r="M191" t="s">
        <v>1664</v>
      </c>
      <c r="N191" t="s">
        <v>1664</v>
      </c>
      <c r="O191" t="s">
        <v>1664</v>
      </c>
      <c r="P191" t="s">
        <v>1664</v>
      </c>
      <c r="Q191" t="s">
        <v>1664</v>
      </c>
      <c r="R191" t="s">
        <v>1664</v>
      </c>
      <c r="S191" t="s">
        <v>1664</v>
      </c>
      <c r="T191" t="s">
        <v>1664</v>
      </c>
      <c r="U191" t="s">
        <v>1664</v>
      </c>
      <c r="V191" t="s">
        <v>1664</v>
      </c>
      <c r="W191" t="s">
        <v>1664</v>
      </c>
      <c r="X191" t="s">
        <v>1664</v>
      </c>
      <c r="Y191" t="s">
        <v>1664</v>
      </c>
      <c r="Z191" t="s">
        <v>1664</v>
      </c>
      <c r="AA191" t="s">
        <v>1664</v>
      </c>
      <c r="AB191" t="s">
        <v>1664</v>
      </c>
      <c r="AC191" t="s">
        <v>1664</v>
      </c>
      <c r="AD191">
        <v>72.576999999999998</v>
      </c>
      <c r="AE191">
        <v>71.721999999999994</v>
      </c>
      <c r="AF191">
        <v>75.811999999999998</v>
      </c>
      <c r="AG191">
        <v>77.031000000000006</v>
      </c>
      <c r="AH191">
        <v>94.667000000000002</v>
      </c>
      <c r="AI191">
        <v>110.337</v>
      </c>
      <c r="AJ191">
        <v>120.548</v>
      </c>
      <c r="AK191">
        <v>134.64400000000001</v>
      </c>
      <c r="AL191">
        <v>159.429</v>
      </c>
      <c r="AM191">
        <v>173.41499999999999</v>
      </c>
      <c r="AN191">
        <v>201.11600000000001</v>
      </c>
      <c r="AO191">
        <v>238.14500000000001</v>
      </c>
      <c r="AP191">
        <v>262.71199999999999</v>
      </c>
      <c r="AQ191">
        <v>289.72399999999999</v>
      </c>
      <c r="AR191">
        <v>348.43700000000001</v>
      </c>
      <c r="AS191">
        <v>384.601</v>
      </c>
      <c r="AT191">
        <v>420.803</v>
      </c>
      <c r="AU191">
        <v>467.87700000000001</v>
      </c>
      <c r="AV191">
        <v>507.36599999999999</v>
      </c>
      <c r="AW191">
        <v>571.29100000000005</v>
      </c>
      <c r="AX191">
        <v>611.18600000000004</v>
      </c>
      <c r="AY191">
        <v>632.87400000000002</v>
      </c>
      <c r="AZ191">
        <v>731.40099999999995</v>
      </c>
      <c r="BA191">
        <v>769.58</v>
      </c>
      <c r="BB191">
        <v>827.78599999999994</v>
      </c>
      <c r="BC191">
        <v>890.41899999999998</v>
      </c>
      <c r="BD191">
        <v>944.505</v>
      </c>
      <c r="BE191">
        <v>999.67700000000002</v>
      </c>
      <c r="BF191">
        <v>1058.3800000000001</v>
      </c>
      <c r="BG191">
        <v>2021</v>
      </c>
      <c r="BH191">
        <v>731.40099999999995</v>
      </c>
      <c r="BI191">
        <v>2583.5500000000002</v>
      </c>
      <c r="BJ191">
        <v>2250.27</v>
      </c>
      <c r="BK191">
        <v>2020</v>
      </c>
      <c r="BL191">
        <v>28.309922393605696</v>
      </c>
    </row>
    <row r="192" spans="1:64">
      <c r="A192" t="s">
        <v>352</v>
      </c>
      <c r="B192">
        <v>927</v>
      </c>
      <c r="C192" t="s">
        <v>352</v>
      </c>
      <c r="D192" t="s">
        <v>1659</v>
      </c>
      <c r="E192" t="s">
        <v>138</v>
      </c>
      <c r="F192" t="s">
        <v>1660</v>
      </c>
      <c r="G192" t="s">
        <v>1661</v>
      </c>
      <c r="H192" t="s">
        <v>1662</v>
      </c>
      <c r="I192" t="s">
        <v>883</v>
      </c>
      <c r="J192" t="s">
        <v>1867</v>
      </c>
      <c r="K192" t="s">
        <v>1664</v>
      </c>
      <c r="L192" t="s">
        <v>1664</v>
      </c>
      <c r="M192" t="s">
        <v>1664</v>
      </c>
      <c r="N192" t="s">
        <v>1664</v>
      </c>
      <c r="O192" t="s">
        <v>1664</v>
      </c>
      <c r="P192" t="s">
        <v>1664</v>
      </c>
      <c r="Q192" t="s">
        <v>1664</v>
      </c>
      <c r="R192" t="s">
        <v>1664</v>
      </c>
      <c r="S192" t="s">
        <v>1664</v>
      </c>
      <c r="T192" t="s">
        <v>1664</v>
      </c>
      <c r="U192" t="s">
        <v>1664</v>
      </c>
      <c r="V192">
        <v>1.9E-2</v>
      </c>
      <c r="W192">
        <v>0.14000000000000001</v>
      </c>
      <c r="X192">
        <v>1.7629999999999999</v>
      </c>
      <c r="Y192">
        <v>18.407</v>
      </c>
      <c r="Z192">
        <v>104.812</v>
      </c>
      <c r="AA192">
        <v>234.715</v>
      </c>
      <c r="AB192">
        <v>364.72699999999998</v>
      </c>
      <c r="AC192">
        <v>569.69200000000001</v>
      </c>
      <c r="AD192">
        <v>820.13</v>
      </c>
      <c r="AE192">
        <v>1191.47</v>
      </c>
      <c r="AF192">
        <v>1687.94</v>
      </c>
      <c r="AG192">
        <v>2644.2</v>
      </c>
      <c r="AH192">
        <v>3288.55</v>
      </c>
      <c r="AI192">
        <v>3944.69</v>
      </c>
      <c r="AJ192">
        <v>4900.0200000000004</v>
      </c>
      <c r="AK192">
        <v>7139.91</v>
      </c>
      <c r="AL192">
        <v>10030.299999999999</v>
      </c>
      <c r="AM192">
        <v>15357.34</v>
      </c>
      <c r="AN192">
        <v>18009.669999999998</v>
      </c>
      <c r="AO192">
        <v>22865.4</v>
      </c>
      <c r="AP192">
        <v>29691.4</v>
      </c>
      <c r="AQ192">
        <v>38040.15</v>
      </c>
      <c r="AR192">
        <v>42018.33</v>
      </c>
      <c r="AS192">
        <v>50089.7</v>
      </c>
      <c r="AT192">
        <v>53843.25</v>
      </c>
      <c r="AU192">
        <v>61485.7</v>
      </c>
      <c r="AV192">
        <v>74786.850000000006</v>
      </c>
      <c r="AW192">
        <v>114496.41</v>
      </c>
      <c r="AX192">
        <v>147595.99</v>
      </c>
      <c r="AY192">
        <v>158713.56</v>
      </c>
      <c r="AZ192">
        <v>190871.59</v>
      </c>
      <c r="BA192">
        <v>245649.48</v>
      </c>
      <c r="BB192">
        <v>270664.07</v>
      </c>
      <c r="BC192">
        <v>314936.96999999997</v>
      </c>
      <c r="BD192">
        <v>360601.83</v>
      </c>
      <c r="BE192">
        <v>410322.24</v>
      </c>
      <c r="BF192">
        <v>466760.7</v>
      </c>
      <c r="BG192">
        <v>2021</v>
      </c>
      <c r="BH192">
        <v>190871.59</v>
      </c>
      <c r="BI192">
        <v>734587.7</v>
      </c>
      <c r="BJ192">
        <v>734587.7</v>
      </c>
      <c r="BK192">
        <v>2021</v>
      </c>
      <c r="BL192">
        <v>25.983499315330221</v>
      </c>
    </row>
    <row r="193" spans="1:64">
      <c r="A193" t="s">
        <v>367</v>
      </c>
      <c r="B193">
        <v>846</v>
      </c>
      <c r="C193" t="s">
        <v>367</v>
      </c>
      <c r="D193" t="s">
        <v>1659</v>
      </c>
      <c r="E193" t="s">
        <v>153</v>
      </c>
      <c r="F193" t="s">
        <v>1660</v>
      </c>
      <c r="G193" t="s">
        <v>1661</v>
      </c>
      <c r="H193" t="s">
        <v>1662</v>
      </c>
      <c r="I193" t="s">
        <v>883</v>
      </c>
      <c r="J193" t="s">
        <v>1868</v>
      </c>
      <c r="K193" t="s">
        <v>1664</v>
      </c>
      <c r="L193" t="s">
        <v>1664</v>
      </c>
      <c r="M193" t="s">
        <v>1664</v>
      </c>
      <c r="N193" t="s">
        <v>1664</v>
      </c>
      <c r="O193" t="s">
        <v>1664</v>
      </c>
      <c r="P193" t="s">
        <v>1664</v>
      </c>
      <c r="Q193" t="s">
        <v>1664</v>
      </c>
      <c r="R193" t="s">
        <v>1664</v>
      </c>
      <c r="S193" t="s">
        <v>1664</v>
      </c>
      <c r="T193" t="s">
        <v>1664</v>
      </c>
      <c r="U193" t="s">
        <v>1664</v>
      </c>
      <c r="V193">
        <v>6.8360000000000003</v>
      </c>
      <c r="W193">
        <v>6.9960000000000004</v>
      </c>
      <c r="X193">
        <v>5.492</v>
      </c>
      <c r="Y193">
        <v>6.2190000000000003</v>
      </c>
      <c r="Z193">
        <v>7.093</v>
      </c>
      <c r="AA193">
        <v>6.6230000000000002</v>
      </c>
      <c r="AB193">
        <v>6.86</v>
      </c>
      <c r="AC193">
        <v>7.1040000000000001</v>
      </c>
      <c r="AD193">
        <v>8.0649999999999995</v>
      </c>
      <c r="AE193">
        <v>7.1769999999999996</v>
      </c>
      <c r="AF193">
        <v>7.1239999999999997</v>
      </c>
      <c r="AG193">
        <v>6.8360000000000003</v>
      </c>
      <c r="AH193">
        <v>6.7220000000000004</v>
      </c>
      <c r="AI193">
        <v>7.88</v>
      </c>
      <c r="AJ193">
        <v>8.6950000000000003</v>
      </c>
      <c r="AK193">
        <v>10.009</v>
      </c>
      <c r="AL193">
        <v>12.022</v>
      </c>
      <c r="AM193">
        <v>16.617999999999999</v>
      </c>
      <c r="AN193">
        <v>16.899999999999999</v>
      </c>
      <c r="AO193">
        <v>16.707999999999998</v>
      </c>
      <c r="AP193">
        <v>15.804</v>
      </c>
      <c r="AQ193">
        <v>15.763999999999999</v>
      </c>
      <c r="AR193">
        <v>16.247</v>
      </c>
      <c r="AS193">
        <v>18.585000000000001</v>
      </c>
      <c r="AT193">
        <v>27.954000000000001</v>
      </c>
      <c r="AU193">
        <v>30.091999999999999</v>
      </c>
      <c r="AV193">
        <v>34.097999999999999</v>
      </c>
      <c r="AW193">
        <v>39.813000000000002</v>
      </c>
      <c r="AX193">
        <v>45.807000000000002</v>
      </c>
      <c r="AY193">
        <v>43.470999999999997</v>
      </c>
      <c r="AZ193">
        <v>48.652000000000001</v>
      </c>
      <c r="BA193">
        <v>52.082999999999998</v>
      </c>
      <c r="BB193">
        <v>43.994</v>
      </c>
      <c r="BC193">
        <v>45.402000000000001</v>
      </c>
      <c r="BD193">
        <v>46.069000000000003</v>
      </c>
      <c r="BE193">
        <v>48.228999999999999</v>
      </c>
      <c r="BF193">
        <v>50.36</v>
      </c>
      <c r="BG193">
        <v>2020</v>
      </c>
      <c r="BH193">
        <v>43.470999999999997</v>
      </c>
      <c r="BI193">
        <v>103.476</v>
      </c>
      <c r="BJ193">
        <v>107.45</v>
      </c>
      <c r="BK193">
        <v>2019</v>
      </c>
      <c r="BL193">
        <v>42.010707796977073</v>
      </c>
    </row>
    <row r="194" spans="1:64">
      <c r="A194" t="s">
        <v>590</v>
      </c>
      <c r="B194">
        <v>299</v>
      </c>
      <c r="C194" t="s">
        <v>590</v>
      </c>
      <c r="D194" t="s">
        <v>1659</v>
      </c>
      <c r="E194" t="s">
        <v>1869</v>
      </c>
      <c r="F194" t="s">
        <v>1660</v>
      </c>
      <c r="G194" t="s">
        <v>1661</v>
      </c>
      <c r="H194" t="s">
        <v>1662</v>
      </c>
      <c r="I194" t="s">
        <v>883</v>
      </c>
      <c r="BH194" t="s">
        <v>1870</v>
      </c>
      <c r="BI194" t="s">
        <v>1870</v>
      </c>
      <c r="BJ194" t="s">
        <v>1870</v>
      </c>
      <c r="BK194" t="s">
        <v>1870</v>
      </c>
    </row>
    <row r="195" spans="1:64">
      <c r="A195" t="s">
        <v>375</v>
      </c>
      <c r="B195">
        <v>582</v>
      </c>
      <c r="C195" t="s">
        <v>375</v>
      </c>
      <c r="D195" t="s">
        <v>1659</v>
      </c>
      <c r="E195" t="s">
        <v>161</v>
      </c>
      <c r="F195" t="s">
        <v>1660</v>
      </c>
      <c r="G195" t="s">
        <v>1661</v>
      </c>
      <c r="H195" t="s">
        <v>1662</v>
      </c>
      <c r="I195" t="s">
        <v>883</v>
      </c>
      <c r="J195" t="s">
        <v>1871</v>
      </c>
      <c r="K195" t="s">
        <v>1664</v>
      </c>
      <c r="L195" t="s">
        <v>1664</v>
      </c>
      <c r="M195" t="s">
        <v>1664</v>
      </c>
      <c r="N195" t="s">
        <v>1664</v>
      </c>
      <c r="O195" t="s">
        <v>1664</v>
      </c>
      <c r="P195" t="s">
        <v>1664</v>
      </c>
      <c r="Q195" t="s">
        <v>1664</v>
      </c>
      <c r="R195" t="s">
        <v>1664</v>
      </c>
      <c r="S195" t="s">
        <v>1664</v>
      </c>
      <c r="T195" t="s">
        <v>1664</v>
      </c>
      <c r="U195" t="s">
        <v>1664</v>
      </c>
      <c r="V195" t="s">
        <v>1664</v>
      </c>
      <c r="W195" t="s">
        <v>1664</v>
      </c>
      <c r="X195" t="s">
        <v>1664</v>
      </c>
      <c r="Y195" t="s">
        <v>1664</v>
      </c>
      <c r="Z195" t="s">
        <v>1664</v>
      </c>
      <c r="AA195" t="s">
        <v>1664</v>
      </c>
      <c r="AB195" t="s">
        <v>1664</v>
      </c>
      <c r="AC195">
        <v>72965</v>
      </c>
      <c r="AD195">
        <v>78490</v>
      </c>
      <c r="AE195">
        <v>90749</v>
      </c>
      <c r="AF195">
        <v>103888</v>
      </c>
      <c r="AG195">
        <v>121716</v>
      </c>
      <c r="AH195">
        <v>152957</v>
      </c>
      <c r="AI195">
        <v>190893.15</v>
      </c>
      <c r="AJ195">
        <v>228293.43</v>
      </c>
      <c r="AK195">
        <v>279477.59999999998</v>
      </c>
      <c r="AL195">
        <v>325442.65000000002</v>
      </c>
      <c r="AM195">
        <v>429527.03</v>
      </c>
      <c r="AN195">
        <v>462880.4</v>
      </c>
      <c r="AO195">
        <v>588235.72</v>
      </c>
      <c r="AP195">
        <v>719405.23</v>
      </c>
      <c r="AQ195">
        <v>733448.25</v>
      </c>
      <c r="AR195">
        <v>827313.03</v>
      </c>
      <c r="AS195">
        <v>875742.48</v>
      </c>
      <c r="AT195">
        <v>996234.23</v>
      </c>
      <c r="AU195">
        <v>1075248</v>
      </c>
      <c r="AV195">
        <v>1231421.3</v>
      </c>
      <c r="AW195">
        <v>1363869.01</v>
      </c>
      <c r="AX195">
        <v>1496315.4</v>
      </c>
      <c r="AY195">
        <v>1476551</v>
      </c>
      <c r="AZ195">
        <v>1340488.8799999999</v>
      </c>
      <c r="BA195">
        <v>1421970.92</v>
      </c>
      <c r="BB195">
        <v>1625803.68</v>
      </c>
      <c r="BC195">
        <v>1879349.16</v>
      </c>
      <c r="BD195">
        <v>2152763.88</v>
      </c>
      <c r="BE195">
        <v>2453213.91</v>
      </c>
      <c r="BF195">
        <v>2770059.34</v>
      </c>
      <c r="BG195">
        <v>2020</v>
      </c>
      <c r="BH195">
        <v>1476551</v>
      </c>
      <c r="BI195">
        <v>7966121.5499999998</v>
      </c>
      <c r="BJ195">
        <v>7966121.5499999998</v>
      </c>
      <c r="BK195">
        <v>2020</v>
      </c>
      <c r="BL195">
        <v>18.535381248356675</v>
      </c>
    </row>
    <row r="196" spans="1:64">
      <c r="A196" t="s">
        <v>1872</v>
      </c>
      <c r="B196">
        <v>487</v>
      </c>
      <c r="C196" t="s">
        <v>387</v>
      </c>
      <c r="D196" t="s">
        <v>1659</v>
      </c>
      <c r="E196" t="s">
        <v>173</v>
      </c>
      <c r="F196" t="s">
        <v>1660</v>
      </c>
      <c r="G196" t="s">
        <v>1661</v>
      </c>
      <c r="H196" t="s">
        <v>1662</v>
      </c>
      <c r="I196" t="s">
        <v>883</v>
      </c>
      <c r="J196" t="s">
        <v>1873</v>
      </c>
      <c r="K196" t="s">
        <v>1664</v>
      </c>
      <c r="L196" t="s">
        <v>1664</v>
      </c>
      <c r="M196" t="s">
        <v>1664</v>
      </c>
      <c r="N196" t="s">
        <v>1664</v>
      </c>
      <c r="O196" t="s">
        <v>1664</v>
      </c>
      <c r="P196" t="s">
        <v>1664</v>
      </c>
      <c r="Q196" t="s">
        <v>1664</v>
      </c>
      <c r="R196" t="s">
        <v>1664</v>
      </c>
      <c r="S196" t="s">
        <v>1664</v>
      </c>
      <c r="T196" t="s">
        <v>1664</v>
      </c>
      <c r="U196" t="s">
        <v>1664</v>
      </c>
      <c r="V196" t="s">
        <v>1664</v>
      </c>
      <c r="W196" t="s">
        <v>1664</v>
      </c>
      <c r="X196" t="s">
        <v>1664</v>
      </c>
      <c r="Y196" t="s">
        <v>1664</v>
      </c>
      <c r="Z196" t="s">
        <v>1664</v>
      </c>
      <c r="AA196" t="s">
        <v>1664</v>
      </c>
      <c r="AB196" t="s">
        <v>1664</v>
      </c>
      <c r="AC196" t="s">
        <v>1664</v>
      </c>
      <c r="AD196" t="s">
        <v>1664</v>
      </c>
      <c r="AE196" t="s">
        <v>1664</v>
      </c>
      <c r="AF196" t="s">
        <v>1664</v>
      </c>
      <c r="AG196" t="s">
        <v>1664</v>
      </c>
      <c r="AH196" t="s">
        <v>1664</v>
      </c>
      <c r="AI196" t="s">
        <v>1664</v>
      </c>
      <c r="AJ196" t="s">
        <v>1664</v>
      </c>
      <c r="AK196" t="s">
        <v>1664</v>
      </c>
      <c r="AL196" t="s">
        <v>1664</v>
      </c>
      <c r="AM196" t="s">
        <v>1664</v>
      </c>
      <c r="AN196">
        <v>11.794</v>
      </c>
      <c r="AO196">
        <v>11.794</v>
      </c>
      <c r="AP196">
        <v>10.840999999999999</v>
      </c>
      <c r="AQ196">
        <v>11.576000000000001</v>
      </c>
      <c r="AR196">
        <v>13.263</v>
      </c>
      <c r="AS196">
        <v>14.22</v>
      </c>
      <c r="AT196">
        <v>13.816000000000001</v>
      </c>
      <c r="AU196">
        <v>16.195</v>
      </c>
      <c r="AV196">
        <v>15.438000000000001</v>
      </c>
      <c r="AW196">
        <v>14.393000000000001</v>
      </c>
      <c r="AX196">
        <v>13.802</v>
      </c>
      <c r="AY196">
        <v>13.092000000000001</v>
      </c>
      <c r="AZ196">
        <v>14.282</v>
      </c>
      <c r="BA196">
        <v>15.654999999999999</v>
      </c>
      <c r="BB196">
        <v>16.103999999999999</v>
      </c>
      <c r="BC196">
        <v>16.872</v>
      </c>
      <c r="BD196">
        <v>17.585000000000001</v>
      </c>
      <c r="BE196">
        <v>18.414000000000001</v>
      </c>
      <c r="BF196">
        <v>19.167000000000002</v>
      </c>
      <c r="BG196">
        <v>2021</v>
      </c>
      <c r="BH196">
        <v>14.282</v>
      </c>
      <c r="BI196">
        <v>57.417000000000002</v>
      </c>
      <c r="BJ196">
        <v>53.466000000000001</v>
      </c>
      <c r="BK196">
        <v>2020</v>
      </c>
      <c r="BL196">
        <v>24.87416618771444</v>
      </c>
    </row>
    <row r="197" spans="1:64">
      <c r="A197" t="s">
        <v>320</v>
      </c>
      <c r="B197">
        <v>474</v>
      </c>
      <c r="C197" t="s">
        <v>320</v>
      </c>
      <c r="D197" t="s">
        <v>1659</v>
      </c>
      <c r="E197" t="s">
        <v>1874</v>
      </c>
      <c r="F197" t="s">
        <v>1660</v>
      </c>
      <c r="G197" t="s">
        <v>1661</v>
      </c>
      <c r="H197" t="s">
        <v>1662</v>
      </c>
      <c r="I197" t="s">
        <v>883</v>
      </c>
      <c r="J197" t="s">
        <v>1875</v>
      </c>
      <c r="K197" t="s">
        <v>1664</v>
      </c>
      <c r="L197" t="s">
        <v>1664</v>
      </c>
      <c r="M197" t="s">
        <v>1664</v>
      </c>
      <c r="N197" t="s">
        <v>1664</v>
      </c>
      <c r="O197" t="s">
        <v>1664</v>
      </c>
      <c r="P197" t="s">
        <v>1664</v>
      </c>
      <c r="Q197" t="s">
        <v>1664</v>
      </c>
      <c r="R197" t="s">
        <v>1664</v>
      </c>
      <c r="S197" t="s">
        <v>1664</v>
      </c>
      <c r="T197" t="s">
        <v>1664</v>
      </c>
      <c r="U197">
        <v>24.21</v>
      </c>
      <c r="V197">
        <v>33.432000000000002</v>
      </c>
      <c r="W197">
        <v>29.603999999999999</v>
      </c>
      <c r="X197">
        <v>33.850999999999999</v>
      </c>
      <c r="Y197">
        <v>37.536999999999999</v>
      </c>
      <c r="Z197">
        <v>95.296000000000006</v>
      </c>
      <c r="AA197">
        <v>220.86699999999999</v>
      </c>
      <c r="AB197">
        <v>289.32600000000002</v>
      </c>
      <c r="AC197">
        <v>227.655</v>
      </c>
      <c r="AD197">
        <v>336.83100000000002</v>
      </c>
      <c r="AE197">
        <v>588.68899999999996</v>
      </c>
      <c r="AF197">
        <v>553.08399999999995</v>
      </c>
      <c r="AG197">
        <v>567.67200000000003</v>
      </c>
      <c r="AH197">
        <v>672.29300000000001</v>
      </c>
      <c r="AI197">
        <v>820.56399999999996</v>
      </c>
      <c r="AJ197">
        <v>1121.29</v>
      </c>
      <c r="AK197">
        <v>1449.68</v>
      </c>
      <c r="AL197">
        <v>1429.02</v>
      </c>
      <c r="AM197">
        <v>1973.75</v>
      </c>
      <c r="AN197">
        <v>1274.5999999999999</v>
      </c>
      <c r="AO197">
        <v>1774.42</v>
      </c>
      <c r="AP197">
        <v>1772.54</v>
      </c>
      <c r="AQ197">
        <v>2268.59</v>
      </c>
      <c r="AR197">
        <v>2075.69</v>
      </c>
      <c r="AS197">
        <v>2196.38</v>
      </c>
      <c r="AT197">
        <v>1046.42</v>
      </c>
      <c r="AU197">
        <v>672.27599999999995</v>
      </c>
      <c r="AV197">
        <v>349</v>
      </c>
      <c r="AW197">
        <v>743</v>
      </c>
      <c r="AX197">
        <v>923</v>
      </c>
      <c r="AY197">
        <v>915</v>
      </c>
      <c r="AZ197">
        <v>1299</v>
      </c>
      <c r="BA197">
        <v>2093.41</v>
      </c>
      <c r="BB197">
        <v>3287.91</v>
      </c>
      <c r="BC197">
        <v>4793.18</v>
      </c>
      <c r="BD197">
        <v>5622.05</v>
      </c>
      <c r="BE197">
        <v>7092.8</v>
      </c>
      <c r="BF197">
        <v>8745.84</v>
      </c>
      <c r="BG197">
        <v>2020</v>
      </c>
      <c r="BH197">
        <v>915</v>
      </c>
      <c r="BI197">
        <v>13998.03</v>
      </c>
      <c r="BJ197">
        <v>13998.03</v>
      </c>
      <c r="BK197">
        <v>2020</v>
      </c>
      <c r="BL197">
        <v>6.5366340835103216</v>
      </c>
    </row>
    <row r="198" spans="1:64">
      <c r="A198" t="s">
        <v>331</v>
      </c>
      <c r="B198">
        <v>754</v>
      </c>
      <c r="C198" t="s">
        <v>331</v>
      </c>
      <c r="D198" t="s">
        <v>1659</v>
      </c>
      <c r="E198" t="s">
        <v>118</v>
      </c>
      <c r="F198" t="s">
        <v>1660</v>
      </c>
      <c r="G198" t="s">
        <v>1661</v>
      </c>
      <c r="H198" t="s">
        <v>1662</v>
      </c>
      <c r="I198" t="s">
        <v>883</v>
      </c>
      <c r="J198" t="s">
        <v>1876</v>
      </c>
      <c r="K198" t="s">
        <v>1664</v>
      </c>
      <c r="L198" t="s">
        <v>1664</v>
      </c>
      <c r="M198" t="s">
        <v>1664</v>
      </c>
      <c r="N198" t="s">
        <v>1664</v>
      </c>
      <c r="O198" t="s">
        <v>1664</v>
      </c>
      <c r="P198" t="s">
        <v>1664</v>
      </c>
      <c r="Q198" t="s">
        <v>1664</v>
      </c>
      <c r="R198" t="s">
        <v>1664</v>
      </c>
      <c r="S198" t="s">
        <v>1664</v>
      </c>
      <c r="T198" t="s">
        <v>1664</v>
      </c>
      <c r="U198" t="s">
        <v>1664</v>
      </c>
      <c r="V198" t="s">
        <v>1664</v>
      </c>
      <c r="W198" t="s">
        <v>1664</v>
      </c>
      <c r="X198" t="s">
        <v>1664</v>
      </c>
      <c r="Y198" t="s">
        <v>1664</v>
      </c>
      <c r="Z198" t="s">
        <v>1664</v>
      </c>
      <c r="AA198" t="s">
        <v>1664</v>
      </c>
      <c r="AB198" t="s">
        <v>1664</v>
      </c>
      <c r="AC198" t="s">
        <v>1664</v>
      </c>
      <c r="AD198" t="s">
        <v>1664</v>
      </c>
      <c r="AE198">
        <v>2.528</v>
      </c>
      <c r="AF198">
        <v>3.2629999999999999</v>
      </c>
      <c r="AG198">
        <v>4.2560000000000002</v>
      </c>
      <c r="AH198">
        <v>5.1040000000000001</v>
      </c>
      <c r="AI198">
        <v>6.173</v>
      </c>
      <c r="AJ198">
        <v>7.4669999999999996</v>
      </c>
      <c r="AK198">
        <v>16.824999999999999</v>
      </c>
      <c r="AL198">
        <v>10.625999999999999</v>
      </c>
      <c r="AM198">
        <v>12.606</v>
      </c>
      <c r="AN198">
        <v>12.182</v>
      </c>
      <c r="AO198">
        <v>15.198</v>
      </c>
      <c r="AP198">
        <v>20.233000000000001</v>
      </c>
      <c r="AQ198">
        <v>24.541</v>
      </c>
      <c r="AR198">
        <v>26.678000000000001</v>
      </c>
      <c r="AS198">
        <v>31.564</v>
      </c>
      <c r="AT198">
        <v>34.420999999999999</v>
      </c>
      <c r="AU198">
        <v>39.408999999999999</v>
      </c>
      <c r="AV198">
        <v>43.031999999999996</v>
      </c>
      <c r="AW198">
        <v>53.45</v>
      </c>
      <c r="AX198">
        <v>61.331000000000003</v>
      </c>
      <c r="AY198">
        <v>67.436999999999998</v>
      </c>
      <c r="AZ198">
        <v>98.944999999999993</v>
      </c>
      <c r="BA198">
        <v>96.239000000000004</v>
      </c>
      <c r="BB198">
        <v>121.358</v>
      </c>
      <c r="BC198">
        <v>139.548</v>
      </c>
      <c r="BD198">
        <v>154.971</v>
      </c>
      <c r="BE198">
        <v>171.85599999999999</v>
      </c>
      <c r="BF198">
        <v>191.66399999999999</v>
      </c>
      <c r="BG198">
        <v>2021</v>
      </c>
      <c r="BH198">
        <v>98.944999999999993</v>
      </c>
      <c r="BI198">
        <v>415.447</v>
      </c>
      <c r="BJ198">
        <v>332.22300000000001</v>
      </c>
      <c r="BK198">
        <v>2020</v>
      </c>
      <c r="BL198">
        <v>23.816515704771003</v>
      </c>
    </row>
    <row r="199" spans="1:64">
      <c r="A199" t="s">
        <v>341</v>
      </c>
      <c r="B199">
        <v>698</v>
      </c>
      <c r="C199" t="s">
        <v>341</v>
      </c>
      <c r="D199" t="s">
        <v>1659</v>
      </c>
      <c r="E199" t="s">
        <v>127</v>
      </c>
      <c r="F199" t="s">
        <v>1660</v>
      </c>
      <c r="G199" t="s">
        <v>1661</v>
      </c>
      <c r="H199" t="s">
        <v>1662</v>
      </c>
      <c r="I199" t="s">
        <v>883</v>
      </c>
      <c r="J199" t="s">
        <v>1877</v>
      </c>
      <c r="K199" t="s">
        <v>1664</v>
      </c>
      <c r="L199" t="s">
        <v>1664</v>
      </c>
      <c r="M199" t="s">
        <v>1664</v>
      </c>
      <c r="N199" t="s">
        <v>1664</v>
      </c>
      <c r="O199" t="s">
        <v>1664</v>
      </c>
      <c r="P199" t="s">
        <v>1664</v>
      </c>
      <c r="Q199" t="s">
        <v>1664</v>
      </c>
      <c r="R199" t="s">
        <v>1664</v>
      </c>
      <c r="S199" t="s">
        <v>1664</v>
      </c>
      <c r="T199" t="s">
        <v>1664</v>
      </c>
      <c r="U199" t="s">
        <v>1664</v>
      </c>
      <c r="V199" t="s">
        <v>1664</v>
      </c>
      <c r="W199" t="s">
        <v>1664</v>
      </c>
      <c r="X199" t="s">
        <v>1664</v>
      </c>
      <c r="Y199" t="s">
        <v>1664</v>
      </c>
      <c r="Z199" t="s">
        <v>1664</v>
      </c>
      <c r="AA199" t="s">
        <v>1664</v>
      </c>
      <c r="AB199" t="s">
        <v>1664</v>
      </c>
      <c r="AC199" t="s">
        <v>1664</v>
      </c>
      <c r="AD199" t="s">
        <v>1664</v>
      </c>
      <c r="AE199" t="s">
        <v>1664</v>
      </c>
      <c r="AF199" t="s">
        <v>1664</v>
      </c>
      <c r="AG199" t="s">
        <v>1664</v>
      </c>
      <c r="AH199" t="s">
        <v>1664</v>
      </c>
      <c r="AI199" t="s">
        <v>1664</v>
      </c>
      <c r="AJ199">
        <v>0.94199999999999995</v>
      </c>
      <c r="AK199">
        <v>0.52</v>
      </c>
      <c r="AL199">
        <v>0.20200000000000001</v>
      </c>
      <c r="AM199">
        <v>0.13300000000000001</v>
      </c>
      <c r="AN199">
        <v>0.93400000000000005</v>
      </c>
      <c r="AO199">
        <v>2.198</v>
      </c>
      <c r="AP199">
        <v>2.9209999999999998</v>
      </c>
      <c r="AQ199">
        <v>3.496</v>
      </c>
      <c r="AR199">
        <v>3.7410000000000001</v>
      </c>
      <c r="AS199">
        <v>3.77</v>
      </c>
      <c r="AT199">
        <v>3.7370000000000001</v>
      </c>
      <c r="AU199">
        <v>3.5019999999999998</v>
      </c>
      <c r="AV199">
        <v>3.87</v>
      </c>
      <c r="AW199">
        <v>5.4909999999999997</v>
      </c>
      <c r="AX199">
        <v>22.971</v>
      </c>
      <c r="AY199">
        <v>183.03899999999999</v>
      </c>
      <c r="AZ199">
        <v>495.03500000000003</v>
      </c>
      <c r="BA199">
        <v>1015.33</v>
      </c>
      <c r="BB199">
        <v>1512.13</v>
      </c>
      <c r="BC199">
        <v>2006.86</v>
      </c>
      <c r="BD199">
        <v>2434.7199999999998</v>
      </c>
      <c r="BE199">
        <v>2754.13</v>
      </c>
      <c r="BF199">
        <v>2966.86</v>
      </c>
      <c r="BG199">
        <v>2019</v>
      </c>
      <c r="BH199">
        <v>22.971</v>
      </c>
      <c r="BI199">
        <v>187.41200000000001</v>
      </c>
      <c r="BJ199">
        <v>187.41200000000001</v>
      </c>
      <c r="BK199">
        <v>2019</v>
      </c>
      <c r="BL199">
        <v>12.256952596418586</v>
      </c>
    </row>
    <row r="201" spans="1:64">
      <c r="B201" t="s">
        <v>1878</v>
      </c>
    </row>
    <row r="202" spans="1:64">
      <c r="C202">
        <v>1</v>
      </c>
      <c r="D202">
        <v>2</v>
      </c>
      <c r="E202">
        <v>3</v>
      </c>
      <c r="F202">
        <v>4</v>
      </c>
      <c r="G202">
        <v>5</v>
      </c>
      <c r="H202">
        <v>6</v>
      </c>
      <c r="I202">
        <v>7</v>
      </c>
      <c r="J202">
        <v>8</v>
      </c>
      <c r="K202">
        <v>9</v>
      </c>
      <c r="L202">
        <v>10</v>
      </c>
      <c r="M202">
        <v>11</v>
      </c>
      <c r="N202">
        <v>12</v>
      </c>
      <c r="O202">
        <v>13</v>
      </c>
      <c r="P202">
        <v>14</v>
      </c>
      <c r="Q202">
        <v>15</v>
      </c>
      <c r="R202">
        <v>16</v>
      </c>
      <c r="S202">
        <v>17</v>
      </c>
      <c r="T202">
        <v>18</v>
      </c>
      <c r="U202">
        <v>19</v>
      </c>
      <c r="V202">
        <v>20</v>
      </c>
      <c r="W202">
        <v>21</v>
      </c>
      <c r="X202">
        <v>22</v>
      </c>
      <c r="Y202">
        <v>23</v>
      </c>
      <c r="Z202">
        <v>24</v>
      </c>
      <c r="AA202">
        <v>25</v>
      </c>
      <c r="AB202">
        <v>26</v>
      </c>
      <c r="AC202">
        <v>27</v>
      </c>
      <c r="AD202">
        <v>28</v>
      </c>
      <c r="AE202">
        <v>29</v>
      </c>
      <c r="AF202">
        <v>30</v>
      </c>
      <c r="AG202">
        <v>31</v>
      </c>
      <c r="AH202">
        <v>32</v>
      </c>
      <c r="AI202">
        <v>33</v>
      </c>
      <c r="AJ202">
        <v>34</v>
      </c>
      <c r="AK202">
        <v>35</v>
      </c>
      <c r="AL202">
        <v>36</v>
      </c>
      <c r="AM202">
        <v>37</v>
      </c>
      <c r="AN202">
        <v>38</v>
      </c>
      <c r="AO202">
        <v>39</v>
      </c>
      <c r="AP202">
        <v>40</v>
      </c>
      <c r="AQ202">
        <v>41</v>
      </c>
      <c r="AR202">
        <v>42</v>
      </c>
      <c r="AS202">
        <v>43</v>
      </c>
      <c r="AT202">
        <v>44</v>
      </c>
      <c r="AU202">
        <v>45</v>
      </c>
      <c r="AV202">
        <v>46</v>
      </c>
      <c r="AW202">
        <v>47</v>
      </c>
      <c r="AX202">
        <v>48</v>
      </c>
      <c r="AY202">
        <v>49</v>
      </c>
      <c r="AZ202">
        <v>50</v>
      </c>
      <c r="BA202">
        <v>51</v>
      </c>
      <c r="BB202">
        <v>52</v>
      </c>
      <c r="BC202">
        <v>53</v>
      </c>
      <c r="BD202">
        <v>54</v>
      </c>
      <c r="BE202">
        <v>55</v>
      </c>
      <c r="BF202">
        <v>56</v>
      </c>
      <c r="BG202">
        <v>57</v>
      </c>
      <c r="BH202">
        <v>58</v>
      </c>
      <c r="BI202">
        <v>59</v>
      </c>
      <c r="BJ202">
        <v>60</v>
      </c>
      <c r="BK202">
        <v>61</v>
      </c>
      <c r="BL202">
        <v>62</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5EED0-1792-47FE-AD50-270119F9EBAA}">
  <sheetPr filterMode="1"/>
  <dimension ref="A1:BI197"/>
  <sheetViews>
    <sheetView topLeftCell="AN1" workbookViewId="0">
      <selection activeCell="BB1" sqref="BB1"/>
    </sheetView>
  </sheetViews>
  <sheetFormatPr defaultColWidth="8.85546875" defaultRowHeight="14.45"/>
  <sheetData>
    <row r="1" spans="1:61">
      <c r="A1" t="s">
        <v>1645</v>
      </c>
      <c r="B1" t="s">
        <v>657</v>
      </c>
      <c r="C1" t="s">
        <v>1647</v>
      </c>
      <c r="D1" t="s">
        <v>641</v>
      </c>
      <c r="E1" t="s">
        <v>294</v>
      </c>
      <c r="F1" t="s">
        <v>1648</v>
      </c>
      <c r="G1" t="s">
        <v>1649</v>
      </c>
      <c r="H1" t="s">
        <v>1650</v>
      </c>
      <c r="I1" t="s">
        <v>1651</v>
      </c>
      <c r="J1" t="s">
        <v>1652</v>
      </c>
      <c r="K1">
        <v>1980</v>
      </c>
      <c r="L1">
        <v>1981</v>
      </c>
      <c r="M1">
        <v>1982</v>
      </c>
      <c r="N1">
        <v>1983</v>
      </c>
      <c r="O1">
        <v>1984</v>
      </c>
      <c r="P1">
        <v>1985</v>
      </c>
      <c r="Q1">
        <v>1986</v>
      </c>
      <c r="R1">
        <v>1987</v>
      </c>
      <c r="S1">
        <v>1988</v>
      </c>
      <c r="T1">
        <v>1989</v>
      </c>
      <c r="U1">
        <v>1990</v>
      </c>
      <c r="V1">
        <v>1991</v>
      </c>
      <c r="W1">
        <v>1992</v>
      </c>
      <c r="X1">
        <v>1993</v>
      </c>
      <c r="Y1">
        <v>1994</v>
      </c>
      <c r="Z1">
        <v>1995</v>
      </c>
      <c r="AA1">
        <v>1996</v>
      </c>
      <c r="AB1">
        <v>1997</v>
      </c>
      <c r="AC1">
        <v>1998</v>
      </c>
      <c r="AD1">
        <v>1999</v>
      </c>
      <c r="AE1">
        <v>2000</v>
      </c>
      <c r="AF1">
        <v>2001</v>
      </c>
      <c r="AG1">
        <v>2002</v>
      </c>
      <c r="AH1">
        <v>2003</v>
      </c>
      <c r="AI1">
        <v>2004</v>
      </c>
      <c r="AJ1">
        <v>2005</v>
      </c>
      <c r="AK1">
        <v>2006</v>
      </c>
      <c r="AL1">
        <v>2007</v>
      </c>
      <c r="AM1">
        <v>2008</v>
      </c>
      <c r="AN1">
        <v>2009</v>
      </c>
      <c r="AO1">
        <v>2010</v>
      </c>
      <c r="AP1">
        <v>2011</v>
      </c>
      <c r="AQ1">
        <v>2012</v>
      </c>
      <c r="AR1">
        <v>2013</v>
      </c>
      <c r="AS1">
        <v>2014</v>
      </c>
      <c r="AT1">
        <v>2015</v>
      </c>
      <c r="AU1">
        <v>2016</v>
      </c>
      <c r="AV1">
        <v>2017</v>
      </c>
      <c r="AW1">
        <v>2018</v>
      </c>
      <c r="AX1">
        <v>2019</v>
      </c>
      <c r="AY1">
        <v>2020</v>
      </c>
      <c r="AZ1">
        <v>2021</v>
      </c>
      <c r="BA1">
        <v>2022</v>
      </c>
      <c r="BB1">
        <v>2023</v>
      </c>
      <c r="BC1">
        <v>2024</v>
      </c>
      <c r="BD1">
        <v>2025</v>
      </c>
      <c r="BE1">
        <v>2026</v>
      </c>
      <c r="BF1">
        <v>2027</v>
      </c>
      <c r="BG1" t="s">
        <v>1653</v>
      </c>
      <c r="BH1" t="s">
        <v>1879</v>
      </c>
      <c r="BI1" t="s">
        <v>1880</v>
      </c>
    </row>
    <row r="2" spans="1:61" hidden="1">
      <c r="A2">
        <v>512</v>
      </c>
      <c r="B2" t="s">
        <v>309</v>
      </c>
      <c r="C2" t="s">
        <v>1881</v>
      </c>
      <c r="D2" t="s">
        <v>96</v>
      </c>
      <c r="E2" t="str">
        <f>IF(ISNUMBER(VLOOKUP(B2,'OECD DAC'!B:C,2,FALSE)), "YES", " ")</f>
        <v xml:space="preserve"> </v>
      </c>
      <c r="F2" t="s">
        <v>1882</v>
      </c>
      <c r="G2" t="s">
        <v>1883</v>
      </c>
      <c r="H2" t="s">
        <v>1662</v>
      </c>
      <c r="I2" t="s">
        <v>883</v>
      </c>
      <c r="J2" t="s">
        <v>1884</v>
      </c>
      <c r="K2" t="s">
        <v>1664</v>
      </c>
      <c r="L2" t="s">
        <v>1664</v>
      </c>
      <c r="M2" t="s">
        <v>1664</v>
      </c>
      <c r="N2" t="s">
        <v>1664</v>
      </c>
      <c r="O2" t="s">
        <v>1664</v>
      </c>
      <c r="P2" t="s">
        <v>1664</v>
      </c>
      <c r="Q2" t="s">
        <v>1664</v>
      </c>
      <c r="R2" t="s">
        <v>1664</v>
      </c>
      <c r="S2" t="s">
        <v>1664</v>
      </c>
      <c r="T2" t="s">
        <v>1664</v>
      </c>
      <c r="U2" t="s">
        <v>1664</v>
      </c>
      <c r="V2" t="s">
        <v>1664</v>
      </c>
      <c r="W2" t="s">
        <v>1664</v>
      </c>
      <c r="X2" t="s">
        <v>1664</v>
      </c>
      <c r="Y2" t="s">
        <v>1664</v>
      </c>
      <c r="Z2" t="s">
        <v>1664</v>
      </c>
      <c r="AA2" t="s">
        <v>1664</v>
      </c>
      <c r="AB2" t="s">
        <v>1664</v>
      </c>
      <c r="AC2" t="s">
        <v>1664</v>
      </c>
      <c r="AD2" t="s">
        <v>1664</v>
      </c>
      <c r="AE2" t="s">
        <v>1664</v>
      </c>
      <c r="AF2" t="s">
        <v>1664</v>
      </c>
      <c r="AG2">
        <v>178.756</v>
      </c>
      <c r="AH2">
        <v>220.01300000000001</v>
      </c>
      <c r="AI2">
        <v>246.21</v>
      </c>
      <c r="AJ2">
        <v>304.92599999999999</v>
      </c>
      <c r="AK2">
        <v>345.81700000000001</v>
      </c>
      <c r="AL2">
        <v>427.495</v>
      </c>
      <c r="AM2">
        <v>517.50900000000001</v>
      </c>
      <c r="AN2">
        <v>607.22699999999998</v>
      </c>
      <c r="AO2">
        <v>711.75900000000001</v>
      </c>
      <c r="AP2">
        <v>836.22199999999998</v>
      </c>
      <c r="AQ2">
        <v>1033.5899999999999</v>
      </c>
      <c r="AR2">
        <v>1116.83</v>
      </c>
      <c r="AS2">
        <v>1183.04</v>
      </c>
      <c r="AT2">
        <v>1226.57</v>
      </c>
      <c r="AU2">
        <v>1222.92</v>
      </c>
      <c r="AV2">
        <v>1285.46</v>
      </c>
      <c r="AW2">
        <v>1327.69</v>
      </c>
      <c r="AX2">
        <v>1469.6</v>
      </c>
      <c r="AY2">
        <v>1547.29</v>
      </c>
      <c r="AZ2" t="s">
        <v>1664</v>
      </c>
      <c r="BA2" t="s">
        <v>1664</v>
      </c>
      <c r="BB2" t="s">
        <v>1664</v>
      </c>
      <c r="BC2" t="s">
        <v>1664</v>
      </c>
      <c r="BD2" t="s">
        <v>1664</v>
      </c>
      <c r="BE2" t="s">
        <v>1664</v>
      </c>
      <c r="BF2" t="s">
        <v>1664</v>
      </c>
      <c r="BG2">
        <v>2020</v>
      </c>
      <c r="BH2">
        <v>1547.29</v>
      </c>
      <c r="BI2">
        <v>2020</v>
      </c>
    </row>
    <row r="3" spans="1:61" hidden="1">
      <c r="A3">
        <v>914</v>
      </c>
      <c r="B3" t="s">
        <v>407</v>
      </c>
      <c r="C3" t="s">
        <v>1881</v>
      </c>
      <c r="D3" t="s">
        <v>192</v>
      </c>
      <c r="E3" t="str">
        <f>IF(ISNUMBER(VLOOKUP(B3,'OECD DAC'!B:C,2,FALSE)), "YES", " ")</f>
        <v xml:space="preserve"> </v>
      </c>
      <c r="F3" t="s">
        <v>1882</v>
      </c>
      <c r="G3" t="s">
        <v>1883</v>
      </c>
      <c r="H3" t="s">
        <v>1662</v>
      </c>
      <c r="I3" t="s">
        <v>883</v>
      </c>
      <c r="J3" t="s">
        <v>1885</v>
      </c>
      <c r="K3">
        <v>18.489000000000001</v>
      </c>
      <c r="L3">
        <v>19.126000000000001</v>
      </c>
      <c r="M3">
        <v>19.698</v>
      </c>
      <c r="N3">
        <v>19.899999999999999</v>
      </c>
      <c r="O3">
        <v>19.645</v>
      </c>
      <c r="P3">
        <v>20.065000000000001</v>
      </c>
      <c r="Q3">
        <v>20.692</v>
      </c>
      <c r="R3">
        <v>20.530999999999999</v>
      </c>
      <c r="S3">
        <v>20.238</v>
      </c>
      <c r="T3">
        <v>22.228000000000002</v>
      </c>
      <c r="U3">
        <v>20.006</v>
      </c>
      <c r="V3">
        <v>19.518999999999998</v>
      </c>
      <c r="W3">
        <v>63.341000000000001</v>
      </c>
      <c r="X3">
        <v>149.142</v>
      </c>
      <c r="Y3">
        <v>223.571</v>
      </c>
      <c r="Z3">
        <v>267.42399999999998</v>
      </c>
      <c r="AA3">
        <v>334.35899999999998</v>
      </c>
      <c r="AB3">
        <v>331.32400000000001</v>
      </c>
      <c r="AC3">
        <v>384.84800000000001</v>
      </c>
      <c r="AD3">
        <v>443.59399999999999</v>
      </c>
      <c r="AE3">
        <v>501.19900000000001</v>
      </c>
      <c r="AF3">
        <v>563.44899999999996</v>
      </c>
      <c r="AG3">
        <v>610.49400000000003</v>
      </c>
      <c r="AH3">
        <v>677.73800000000006</v>
      </c>
      <c r="AI3">
        <v>737.65599999999995</v>
      </c>
      <c r="AJ3">
        <v>804.16300000000001</v>
      </c>
      <c r="AK3">
        <v>872.73500000000001</v>
      </c>
      <c r="AL3">
        <v>965.52800000000002</v>
      </c>
      <c r="AM3">
        <v>1080.68</v>
      </c>
      <c r="AN3">
        <v>1143.94</v>
      </c>
      <c r="AO3">
        <v>1239.6500000000001</v>
      </c>
      <c r="AP3">
        <v>1300.6199999999999</v>
      </c>
      <c r="AQ3">
        <v>1332.81</v>
      </c>
      <c r="AR3">
        <v>1350.05</v>
      </c>
      <c r="AS3">
        <v>1395.31</v>
      </c>
      <c r="AT3">
        <v>1434.31</v>
      </c>
      <c r="AU3">
        <v>1472.48</v>
      </c>
      <c r="AV3">
        <v>1550.65</v>
      </c>
      <c r="AW3">
        <v>1636.73</v>
      </c>
      <c r="AX3">
        <v>1691.9</v>
      </c>
      <c r="AY3">
        <v>1644.08</v>
      </c>
      <c r="AZ3">
        <v>1890.28</v>
      </c>
      <c r="BA3">
        <v>1997.36</v>
      </c>
      <c r="BB3">
        <v>2097.87</v>
      </c>
      <c r="BC3">
        <v>2208.65</v>
      </c>
      <c r="BD3">
        <v>2324.71</v>
      </c>
      <c r="BE3">
        <v>2447.4699999999998</v>
      </c>
      <c r="BF3">
        <v>2576.5</v>
      </c>
      <c r="BG3">
        <v>2020</v>
      </c>
      <c r="BH3">
        <v>1644.08</v>
      </c>
      <c r="BI3">
        <v>2020</v>
      </c>
    </row>
    <row r="4" spans="1:61" hidden="1">
      <c r="A4">
        <v>612</v>
      </c>
      <c r="B4" t="s">
        <v>378</v>
      </c>
      <c r="C4" t="s">
        <v>1881</v>
      </c>
      <c r="D4" t="s">
        <v>164</v>
      </c>
      <c r="E4" t="str">
        <f>IF(ISNUMBER(VLOOKUP(B4,'OECD DAC'!B:C,2,FALSE)), "YES", " ")</f>
        <v xml:space="preserve"> </v>
      </c>
      <c r="F4" t="s">
        <v>1882</v>
      </c>
      <c r="G4" t="s">
        <v>1883</v>
      </c>
      <c r="H4" t="s">
        <v>1662</v>
      </c>
      <c r="I4" t="s">
        <v>883</v>
      </c>
      <c r="J4" t="s">
        <v>1886</v>
      </c>
      <c r="K4">
        <v>162.5</v>
      </c>
      <c r="L4">
        <v>191.5</v>
      </c>
      <c r="M4">
        <v>207.6</v>
      </c>
      <c r="N4">
        <v>233.7</v>
      </c>
      <c r="O4">
        <v>263.89999999999998</v>
      </c>
      <c r="P4">
        <v>291.60000000000002</v>
      </c>
      <c r="Q4">
        <v>296.60000000000002</v>
      </c>
      <c r="R4">
        <v>312.7</v>
      </c>
      <c r="S4">
        <v>347.7</v>
      </c>
      <c r="T4">
        <v>422.04300000000001</v>
      </c>
      <c r="U4">
        <v>554.4</v>
      </c>
      <c r="V4">
        <v>862.13199999999995</v>
      </c>
      <c r="W4">
        <v>1074.7</v>
      </c>
      <c r="X4">
        <v>1189.72</v>
      </c>
      <c r="Y4">
        <v>1487.4</v>
      </c>
      <c r="Z4">
        <v>2004.99</v>
      </c>
      <c r="AA4">
        <v>2570</v>
      </c>
      <c r="AB4">
        <v>2780.2</v>
      </c>
      <c r="AC4">
        <v>2830.49</v>
      </c>
      <c r="AD4">
        <v>3248.2</v>
      </c>
      <c r="AE4">
        <v>4123.5</v>
      </c>
      <c r="AF4">
        <v>4227.1000000000004</v>
      </c>
      <c r="AG4">
        <v>4522.8</v>
      </c>
      <c r="AH4">
        <v>5252.3</v>
      </c>
      <c r="AI4">
        <v>6149.1</v>
      </c>
      <c r="AJ4">
        <v>7562</v>
      </c>
      <c r="AK4">
        <v>8501.64</v>
      </c>
      <c r="AL4">
        <v>9352.89</v>
      </c>
      <c r="AM4">
        <v>11043.7</v>
      </c>
      <c r="AN4">
        <v>9968.0300000000007</v>
      </c>
      <c r="AO4">
        <v>11991.56</v>
      </c>
      <c r="AP4">
        <v>14589</v>
      </c>
      <c r="AQ4">
        <v>16209.6</v>
      </c>
      <c r="AR4">
        <v>16647.900000000001</v>
      </c>
      <c r="AS4">
        <v>17228.599999999999</v>
      </c>
      <c r="AT4">
        <v>16712.689999999999</v>
      </c>
      <c r="AU4">
        <v>17514.599999999999</v>
      </c>
      <c r="AV4">
        <v>18876.2</v>
      </c>
      <c r="AW4">
        <v>20452.3</v>
      </c>
      <c r="AX4">
        <v>20428.3</v>
      </c>
      <c r="AY4">
        <v>18723.5</v>
      </c>
      <c r="AZ4">
        <v>22272.27</v>
      </c>
      <c r="BA4">
        <v>27459.77</v>
      </c>
      <c r="BB4">
        <v>29271.98</v>
      </c>
      <c r="BC4">
        <v>31532.44</v>
      </c>
      <c r="BD4">
        <v>34472.230000000003</v>
      </c>
      <c r="BE4">
        <v>37876.71</v>
      </c>
      <c r="BF4">
        <v>41371.949999999997</v>
      </c>
      <c r="BG4">
        <v>2020</v>
      </c>
      <c r="BH4">
        <v>18723.5</v>
      </c>
      <c r="BI4">
        <v>2020</v>
      </c>
    </row>
    <row r="5" spans="1:61" hidden="1">
      <c r="A5">
        <v>171</v>
      </c>
      <c r="B5" t="s">
        <v>495</v>
      </c>
      <c r="C5" t="s">
        <v>1881</v>
      </c>
      <c r="D5" t="s">
        <v>256</v>
      </c>
      <c r="E5" t="str">
        <f>IF(ISNUMBER(VLOOKUP(B5,'OECD DAC'!B:C,2,FALSE)), "YES", " ")</f>
        <v xml:space="preserve"> </v>
      </c>
      <c r="F5" t="s">
        <v>1882</v>
      </c>
      <c r="G5" t="s">
        <v>1883</v>
      </c>
      <c r="H5" t="s">
        <v>1662</v>
      </c>
      <c r="I5" t="s">
        <v>883</v>
      </c>
      <c r="J5" t="s">
        <v>1887</v>
      </c>
      <c r="K5" t="s">
        <v>1664</v>
      </c>
      <c r="L5" t="s">
        <v>1664</v>
      </c>
      <c r="M5" t="s">
        <v>1664</v>
      </c>
      <c r="N5" t="s">
        <v>1664</v>
      </c>
      <c r="O5" t="s">
        <v>1664</v>
      </c>
      <c r="P5" t="s">
        <v>1664</v>
      </c>
      <c r="Q5" t="s">
        <v>1664</v>
      </c>
      <c r="R5" t="s">
        <v>1664</v>
      </c>
      <c r="S5" t="s">
        <v>1664</v>
      </c>
      <c r="T5" t="s">
        <v>1664</v>
      </c>
      <c r="U5" t="s">
        <v>1664</v>
      </c>
      <c r="V5" t="s">
        <v>1664</v>
      </c>
      <c r="W5" t="s">
        <v>1664</v>
      </c>
      <c r="X5" t="s">
        <v>1664</v>
      </c>
      <c r="Y5" t="s">
        <v>1664</v>
      </c>
      <c r="Z5" t="s">
        <v>1664</v>
      </c>
      <c r="AA5" t="s">
        <v>1664</v>
      </c>
      <c r="AB5" t="s">
        <v>1664</v>
      </c>
      <c r="AC5" t="s">
        <v>1664</v>
      </c>
      <c r="AD5" t="s">
        <v>1664</v>
      </c>
      <c r="AE5">
        <v>1.5509999999999999</v>
      </c>
      <c r="AF5">
        <v>1.7290000000000001</v>
      </c>
      <c r="AG5">
        <v>1.8660000000000001</v>
      </c>
      <c r="AH5">
        <v>2.0920000000000001</v>
      </c>
      <c r="AI5">
        <v>2.3319999999999999</v>
      </c>
      <c r="AJ5">
        <v>2.5409999999999999</v>
      </c>
      <c r="AK5">
        <v>2.7549999999999999</v>
      </c>
      <c r="AL5">
        <v>2.8879999999999999</v>
      </c>
      <c r="AM5">
        <v>2.7890000000000001</v>
      </c>
      <c r="AN5">
        <v>2.645</v>
      </c>
      <c r="AO5">
        <v>2.6019999999999999</v>
      </c>
      <c r="AP5">
        <v>2.6070000000000002</v>
      </c>
      <c r="AQ5">
        <v>2.4820000000000002</v>
      </c>
      <c r="AR5">
        <v>2.4049999999999998</v>
      </c>
      <c r="AS5">
        <v>2.4630000000000001</v>
      </c>
      <c r="AT5">
        <v>2.5150000000000001</v>
      </c>
      <c r="AU5">
        <v>2.617</v>
      </c>
      <c r="AV5">
        <v>2.6560000000000001</v>
      </c>
      <c r="AW5">
        <v>2.7250000000000001</v>
      </c>
      <c r="AX5">
        <v>2.8180000000000001</v>
      </c>
      <c r="AY5">
        <v>2.5310000000000001</v>
      </c>
      <c r="AZ5">
        <v>2.8149999999999999</v>
      </c>
      <c r="BA5">
        <v>3.016</v>
      </c>
      <c r="BB5">
        <v>3.1339999999999999</v>
      </c>
      <c r="BC5">
        <v>3.25</v>
      </c>
      <c r="BD5">
        <v>3.3540000000000001</v>
      </c>
      <c r="BE5">
        <v>3.4620000000000002</v>
      </c>
      <c r="BF5">
        <v>3.5750000000000002</v>
      </c>
      <c r="BG5">
        <v>2021</v>
      </c>
      <c r="BH5">
        <v>2.8149999999999999</v>
      </c>
      <c r="BI5">
        <v>2021</v>
      </c>
    </row>
    <row r="6" spans="1:61" hidden="1">
      <c r="A6">
        <v>614</v>
      </c>
      <c r="B6" t="s">
        <v>350</v>
      </c>
      <c r="C6" t="s">
        <v>1881</v>
      </c>
      <c r="D6" t="s">
        <v>136</v>
      </c>
      <c r="E6" t="str">
        <f>IF(ISNUMBER(VLOOKUP(B6,'OECD DAC'!B:C,2,FALSE)), "YES", " ")</f>
        <v xml:space="preserve"> </v>
      </c>
      <c r="F6" t="s">
        <v>1882</v>
      </c>
      <c r="G6" t="s">
        <v>1883</v>
      </c>
      <c r="H6" t="s">
        <v>1662</v>
      </c>
      <c r="I6" t="s">
        <v>883</v>
      </c>
      <c r="J6" t="s">
        <v>1888</v>
      </c>
      <c r="K6" t="s">
        <v>1686</v>
      </c>
      <c r="L6" t="s">
        <v>1686</v>
      </c>
      <c r="M6" t="s">
        <v>1686</v>
      </c>
      <c r="N6" t="s">
        <v>1686</v>
      </c>
      <c r="O6" t="s">
        <v>1686</v>
      </c>
      <c r="P6" t="s">
        <v>1686</v>
      </c>
      <c r="Q6" t="s">
        <v>1686</v>
      </c>
      <c r="R6" t="s">
        <v>1686</v>
      </c>
      <c r="S6" t="s">
        <v>1686</v>
      </c>
      <c r="T6" t="s">
        <v>1686</v>
      </c>
      <c r="U6" t="s">
        <v>1686</v>
      </c>
      <c r="V6" t="s">
        <v>1686</v>
      </c>
      <c r="W6" t="s">
        <v>1686</v>
      </c>
      <c r="X6" t="s">
        <v>1686</v>
      </c>
      <c r="Y6">
        <v>1E-3</v>
      </c>
      <c r="Z6">
        <v>1.7000000000000001E-2</v>
      </c>
      <c r="AA6">
        <v>1.022</v>
      </c>
      <c r="AB6">
        <v>2.1429999999999998</v>
      </c>
      <c r="AC6">
        <v>3.1259999999999999</v>
      </c>
      <c r="AD6">
        <v>21.001999999999999</v>
      </c>
      <c r="AE6">
        <v>112.11799999999999</v>
      </c>
      <c r="AF6">
        <v>241.08799999999999</v>
      </c>
      <c r="AG6">
        <v>665.38499999999999</v>
      </c>
      <c r="AH6">
        <v>1328.94</v>
      </c>
      <c r="AI6">
        <v>1967.57</v>
      </c>
      <c r="AJ6">
        <v>3222.35</v>
      </c>
      <c r="AK6">
        <v>4209.76</v>
      </c>
      <c r="AL6">
        <v>5006.34</v>
      </c>
      <c r="AM6">
        <v>6643.35</v>
      </c>
      <c r="AN6">
        <v>5577.34</v>
      </c>
      <c r="AO6">
        <v>7701.65</v>
      </c>
      <c r="AP6">
        <v>10500.94</v>
      </c>
      <c r="AQ6">
        <v>12224.95</v>
      </c>
      <c r="AR6">
        <v>13195</v>
      </c>
      <c r="AS6">
        <v>14323.86</v>
      </c>
      <c r="AT6">
        <v>13950.29</v>
      </c>
      <c r="AU6">
        <v>16549.57</v>
      </c>
      <c r="AV6">
        <v>20245.349999999999</v>
      </c>
      <c r="AW6">
        <v>25627.71</v>
      </c>
      <c r="AX6">
        <v>30833.45</v>
      </c>
      <c r="AY6">
        <v>33685.67</v>
      </c>
      <c r="AZ6">
        <v>47038.99</v>
      </c>
      <c r="BA6">
        <v>59472.84</v>
      </c>
      <c r="BB6">
        <v>65330.27</v>
      </c>
      <c r="BC6">
        <v>72504.509999999995</v>
      </c>
      <c r="BD6">
        <v>79711.44</v>
      </c>
      <c r="BE6">
        <v>87293.27</v>
      </c>
      <c r="BF6">
        <v>95743.97</v>
      </c>
      <c r="BG6">
        <v>2020</v>
      </c>
      <c r="BH6">
        <v>33685.67</v>
      </c>
      <c r="BI6">
        <v>2020</v>
      </c>
    </row>
    <row r="7" spans="1:61" hidden="1">
      <c r="A7">
        <v>311</v>
      </c>
      <c r="B7" t="s">
        <v>565</v>
      </c>
      <c r="C7" t="s">
        <v>1881</v>
      </c>
      <c r="D7" t="s">
        <v>231</v>
      </c>
      <c r="E7" t="str">
        <f>IF(ISNUMBER(VLOOKUP(B7,'OECD DAC'!B:C,2,FALSE)), "YES", " ")</f>
        <v xml:space="preserve"> </v>
      </c>
      <c r="F7" t="s">
        <v>1882</v>
      </c>
      <c r="G7" t="s">
        <v>1883</v>
      </c>
      <c r="H7" t="s">
        <v>1662</v>
      </c>
      <c r="I7" t="s">
        <v>883</v>
      </c>
      <c r="J7" t="s">
        <v>1889</v>
      </c>
      <c r="K7">
        <v>0.35499999999999998</v>
      </c>
      <c r="L7">
        <v>0.39900000000000002</v>
      </c>
      <c r="M7">
        <v>0.44400000000000001</v>
      </c>
      <c r="N7">
        <v>0.49199999999999999</v>
      </c>
      <c r="O7">
        <v>0.56299999999999994</v>
      </c>
      <c r="P7">
        <v>0.65</v>
      </c>
      <c r="Q7">
        <v>0.78400000000000003</v>
      </c>
      <c r="R7">
        <v>0.91</v>
      </c>
      <c r="S7">
        <v>1.0760000000000001</v>
      </c>
      <c r="T7">
        <v>1.1850000000000001</v>
      </c>
      <c r="U7">
        <v>1.2410000000000001</v>
      </c>
      <c r="V7">
        <v>1.3009999999999999</v>
      </c>
      <c r="W7">
        <v>1.3480000000000001</v>
      </c>
      <c r="X7">
        <v>1.4450000000000001</v>
      </c>
      <c r="Y7">
        <v>1.591</v>
      </c>
      <c r="Z7">
        <v>1.5589999999999999</v>
      </c>
      <c r="AA7">
        <v>1.7110000000000001</v>
      </c>
      <c r="AB7">
        <v>1.8380000000000001</v>
      </c>
      <c r="AC7">
        <v>1.9650000000000001</v>
      </c>
      <c r="AD7">
        <v>2.069</v>
      </c>
      <c r="AE7">
        <v>2.2309999999999999</v>
      </c>
      <c r="AF7">
        <v>2.161</v>
      </c>
      <c r="AG7">
        <v>2.1989999999999998</v>
      </c>
      <c r="AH7">
        <v>2.3119999999999998</v>
      </c>
      <c r="AI7">
        <v>2.4830000000000001</v>
      </c>
      <c r="AJ7">
        <v>2.762</v>
      </c>
      <c r="AK7">
        <v>3.1259999999999999</v>
      </c>
      <c r="AL7">
        <v>3.544</v>
      </c>
      <c r="AM7">
        <v>3.6989999999999998</v>
      </c>
      <c r="AN7">
        <v>3.3159999999999998</v>
      </c>
      <c r="AO7">
        <v>3.101</v>
      </c>
      <c r="AP7">
        <v>3.0720000000000001</v>
      </c>
      <c r="AQ7">
        <v>3.24</v>
      </c>
      <c r="AR7">
        <v>3.19</v>
      </c>
      <c r="AS7">
        <v>3.3740000000000001</v>
      </c>
      <c r="AT7">
        <v>3.609</v>
      </c>
      <c r="AU7">
        <v>3.879</v>
      </c>
      <c r="AV7">
        <v>3.964</v>
      </c>
      <c r="AW7">
        <v>4.3360000000000003</v>
      </c>
      <c r="AX7">
        <v>4.556</v>
      </c>
      <c r="AY7">
        <v>3.7</v>
      </c>
      <c r="AZ7">
        <v>3.9390000000000001</v>
      </c>
      <c r="BA7">
        <v>4.3769999999999998</v>
      </c>
      <c r="BB7">
        <v>4.774</v>
      </c>
      <c r="BC7">
        <v>5.1310000000000002</v>
      </c>
      <c r="BD7">
        <v>5.444</v>
      </c>
      <c r="BE7">
        <v>5.7039999999999997</v>
      </c>
      <c r="BF7">
        <v>5.976</v>
      </c>
      <c r="BG7">
        <v>2019</v>
      </c>
      <c r="BH7">
        <v>4.556</v>
      </c>
      <c r="BI7">
        <v>2019</v>
      </c>
    </row>
    <row r="8" spans="1:61" hidden="1">
      <c r="A8">
        <v>213</v>
      </c>
      <c r="B8" t="s">
        <v>434</v>
      </c>
      <c r="C8" t="s">
        <v>1881</v>
      </c>
      <c r="D8" t="s">
        <v>219</v>
      </c>
      <c r="E8" t="str">
        <f>IF(ISNUMBER(VLOOKUP(B8,'OECD DAC'!B:C,2,FALSE)), "YES", " ")</f>
        <v xml:space="preserve"> </v>
      </c>
      <c r="F8" t="s">
        <v>1882</v>
      </c>
      <c r="G8" t="s">
        <v>1883</v>
      </c>
      <c r="H8" t="s">
        <v>1662</v>
      </c>
      <c r="I8" t="s">
        <v>883</v>
      </c>
      <c r="J8" t="s">
        <v>1890</v>
      </c>
      <c r="K8" t="s">
        <v>1686</v>
      </c>
      <c r="L8" t="s">
        <v>1686</v>
      </c>
      <c r="M8" t="s">
        <v>1686</v>
      </c>
      <c r="N8" t="s">
        <v>1686</v>
      </c>
      <c r="O8">
        <v>1E-3</v>
      </c>
      <c r="P8">
        <v>6.0000000000000001E-3</v>
      </c>
      <c r="Q8">
        <v>1.0999999999999999E-2</v>
      </c>
      <c r="R8">
        <v>2.5999999999999999E-2</v>
      </c>
      <c r="S8">
        <v>0.124</v>
      </c>
      <c r="T8">
        <v>3.6280000000000001</v>
      </c>
      <c r="U8">
        <v>77.06</v>
      </c>
      <c r="V8">
        <v>202.256</v>
      </c>
      <c r="W8">
        <v>253.39500000000001</v>
      </c>
      <c r="X8">
        <v>264.42899999999997</v>
      </c>
      <c r="Y8">
        <v>287.83499999999998</v>
      </c>
      <c r="Z8">
        <v>288.49700000000001</v>
      </c>
      <c r="AA8">
        <v>304.28199999999998</v>
      </c>
      <c r="AB8">
        <v>327.43599999999998</v>
      </c>
      <c r="AC8">
        <v>334.24400000000003</v>
      </c>
      <c r="AD8">
        <v>316.99799999999999</v>
      </c>
      <c r="AE8">
        <v>317.75900000000001</v>
      </c>
      <c r="AF8">
        <v>300.42099999999999</v>
      </c>
      <c r="AG8">
        <v>349.48599999999999</v>
      </c>
      <c r="AH8">
        <v>420.29199999999997</v>
      </c>
      <c r="AI8">
        <v>485.11500000000001</v>
      </c>
      <c r="AJ8">
        <v>582.53800000000001</v>
      </c>
      <c r="AK8">
        <v>715.904</v>
      </c>
      <c r="AL8">
        <v>896.98</v>
      </c>
      <c r="AM8">
        <v>1149.6500000000001</v>
      </c>
      <c r="AN8">
        <v>1247.93</v>
      </c>
      <c r="AO8">
        <v>1661.72</v>
      </c>
      <c r="AP8">
        <v>2179.02</v>
      </c>
      <c r="AQ8">
        <v>2637.91</v>
      </c>
      <c r="AR8">
        <v>3348.31</v>
      </c>
      <c r="AS8">
        <v>4579.09</v>
      </c>
      <c r="AT8">
        <v>5954.51</v>
      </c>
      <c r="AU8">
        <v>8228.16</v>
      </c>
      <c r="AV8">
        <v>10660.23</v>
      </c>
      <c r="AW8">
        <v>14744.81</v>
      </c>
      <c r="AX8">
        <v>21802.26</v>
      </c>
      <c r="AY8">
        <v>27481.439999999999</v>
      </c>
      <c r="AZ8">
        <v>46463.02</v>
      </c>
      <c r="BA8">
        <v>70522.820000000007</v>
      </c>
      <c r="BB8">
        <v>100131.53</v>
      </c>
      <c r="BC8">
        <v>137625.79999999999</v>
      </c>
      <c r="BD8">
        <v>182018.96</v>
      </c>
      <c r="BE8">
        <v>232393.15</v>
      </c>
      <c r="BF8">
        <v>284899.21000000002</v>
      </c>
      <c r="BG8">
        <v>2020</v>
      </c>
      <c r="BH8">
        <v>27481.439999999999</v>
      </c>
      <c r="BI8">
        <v>2020</v>
      </c>
    </row>
    <row r="9" spans="1:61" hidden="1">
      <c r="A9">
        <v>911</v>
      </c>
      <c r="B9" t="s">
        <v>393</v>
      </c>
      <c r="C9" t="s">
        <v>1881</v>
      </c>
      <c r="D9" t="s">
        <v>178</v>
      </c>
      <c r="E9" t="str">
        <f>IF(ISNUMBER(VLOOKUP(B9,'OECD DAC'!B:C,2,FALSE)), "YES", " ")</f>
        <v xml:space="preserve"> </v>
      </c>
      <c r="F9" t="s">
        <v>1882</v>
      </c>
      <c r="G9" t="s">
        <v>1883</v>
      </c>
      <c r="H9" t="s">
        <v>1662</v>
      </c>
      <c r="I9" t="s">
        <v>883</v>
      </c>
      <c r="J9" t="s">
        <v>1891</v>
      </c>
      <c r="K9" t="s">
        <v>1664</v>
      </c>
      <c r="L9" t="s">
        <v>1664</v>
      </c>
      <c r="M9" t="s">
        <v>1664</v>
      </c>
      <c r="N9" t="s">
        <v>1664</v>
      </c>
      <c r="O9" t="s">
        <v>1664</v>
      </c>
      <c r="P9" t="s">
        <v>1664</v>
      </c>
      <c r="Q9" t="s">
        <v>1664</v>
      </c>
      <c r="R9" t="s">
        <v>1664</v>
      </c>
      <c r="S9" t="s">
        <v>1664</v>
      </c>
      <c r="T9" t="s">
        <v>1664</v>
      </c>
      <c r="U9" t="s">
        <v>1664</v>
      </c>
      <c r="V9" t="s">
        <v>1664</v>
      </c>
      <c r="W9">
        <v>0.29499999999999998</v>
      </c>
      <c r="X9">
        <v>3.8969999999999998</v>
      </c>
      <c r="Y9">
        <v>187.065</v>
      </c>
      <c r="Z9">
        <v>522.25599999999997</v>
      </c>
      <c r="AA9">
        <v>661.20899999999995</v>
      </c>
      <c r="AB9">
        <v>804.33600000000001</v>
      </c>
      <c r="AC9">
        <v>955.38499999999999</v>
      </c>
      <c r="AD9">
        <v>987.44399999999996</v>
      </c>
      <c r="AE9">
        <v>1031.3399999999999</v>
      </c>
      <c r="AF9">
        <v>1175.8800000000001</v>
      </c>
      <c r="AG9">
        <v>1362.47</v>
      </c>
      <c r="AH9">
        <v>1624.64</v>
      </c>
      <c r="AI9">
        <v>1907.95</v>
      </c>
      <c r="AJ9">
        <v>2242.88</v>
      </c>
      <c r="AK9">
        <v>2656.19</v>
      </c>
      <c r="AL9">
        <v>3149.28</v>
      </c>
      <c r="AM9">
        <v>3568.23</v>
      </c>
      <c r="AN9">
        <v>3141.65</v>
      </c>
      <c r="AO9">
        <v>3460.2</v>
      </c>
      <c r="AP9">
        <v>3777.95</v>
      </c>
      <c r="AQ9">
        <v>4266.46</v>
      </c>
      <c r="AR9">
        <v>4555.6400000000003</v>
      </c>
      <c r="AS9">
        <v>4828.63</v>
      </c>
      <c r="AT9">
        <v>5043.63</v>
      </c>
      <c r="AU9">
        <v>5067.29</v>
      </c>
      <c r="AV9">
        <v>5564.49</v>
      </c>
      <c r="AW9">
        <v>6017.04</v>
      </c>
      <c r="AX9">
        <v>6543.32</v>
      </c>
      <c r="AY9">
        <v>6181.66</v>
      </c>
      <c r="AZ9">
        <v>6982.85</v>
      </c>
      <c r="BA9">
        <v>7603.14</v>
      </c>
      <c r="BB9">
        <v>8336.85</v>
      </c>
      <c r="BC9">
        <v>9060.52</v>
      </c>
      <c r="BD9">
        <v>9828.0400000000009</v>
      </c>
      <c r="BE9">
        <v>10654.41</v>
      </c>
      <c r="BF9">
        <v>11550.27</v>
      </c>
      <c r="BG9">
        <v>2021</v>
      </c>
      <c r="BH9">
        <v>6982.85</v>
      </c>
      <c r="BI9">
        <v>2021</v>
      </c>
    </row>
    <row r="10" spans="1:61" hidden="1">
      <c r="A10">
        <v>314</v>
      </c>
      <c r="B10" t="s">
        <v>498</v>
      </c>
      <c r="C10" t="s">
        <v>1881</v>
      </c>
      <c r="D10" t="s">
        <v>246</v>
      </c>
      <c r="E10" t="str">
        <f>IF(ISNUMBER(VLOOKUP(B10,'OECD DAC'!B:C,2,FALSE)), "YES", " ")</f>
        <v xml:space="preserve"> </v>
      </c>
      <c r="F10" t="s">
        <v>1882</v>
      </c>
      <c r="G10" t="s">
        <v>1883</v>
      </c>
      <c r="H10" t="s">
        <v>1662</v>
      </c>
      <c r="I10" t="s">
        <v>883</v>
      </c>
      <c r="J10" t="s">
        <v>1892</v>
      </c>
      <c r="K10" t="s">
        <v>1664</v>
      </c>
      <c r="L10" t="s">
        <v>1664</v>
      </c>
      <c r="M10" t="s">
        <v>1664</v>
      </c>
      <c r="N10" t="s">
        <v>1664</v>
      </c>
      <c r="O10" t="s">
        <v>1664</v>
      </c>
      <c r="P10" t="s">
        <v>1664</v>
      </c>
      <c r="Q10">
        <v>0.72599999999999998</v>
      </c>
      <c r="R10">
        <v>0.873</v>
      </c>
      <c r="S10">
        <v>1.0680000000000001</v>
      </c>
      <c r="T10">
        <v>1.2450000000000001</v>
      </c>
      <c r="U10">
        <v>1.369</v>
      </c>
      <c r="V10">
        <v>1.5609999999999999</v>
      </c>
      <c r="W10">
        <v>1.716</v>
      </c>
      <c r="X10">
        <v>1.9390000000000001</v>
      </c>
      <c r="Y10">
        <v>2.23</v>
      </c>
      <c r="Z10">
        <v>2.3639999999999999</v>
      </c>
      <c r="AA10">
        <v>2.4700000000000002</v>
      </c>
      <c r="AB10">
        <v>2.742</v>
      </c>
      <c r="AC10">
        <v>2.9809999999999999</v>
      </c>
      <c r="AD10">
        <v>3.0840000000000001</v>
      </c>
      <c r="AE10">
        <v>3.3530000000000002</v>
      </c>
      <c r="AF10">
        <v>3.395</v>
      </c>
      <c r="AG10">
        <v>3.512</v>
      </c>
      <c r="AH10">
        <v>3.6589999999999998</v>
      </c>
      <c r="AI10">
        <v>4.0359999999999996</v>
      </c>
      <c r="AJ10">
        <v>4.2240000000000002</v>
      </c>
      <c r="AK10">
        <v>4.4210000000000003</v>
      </c>
      <c r="AL10">
        <v>4.7930000000000001</v>
      </c>
      <c r="AM10">
        <v>5.0890000000000004</v>
      </c>
      <c r="AN10">
        <v>4.5709999999999997</v>
      </c>
      <c r="AO10">
        <v>4.3920000000000003</v>
      </c>
      <c r="AP10">
        <v>4.7220000000000004</v>
      </c>
      <c r="AQ10">
        <v>4.681</v>
      </c>
      <c r="AR10">
        <v>4.883</v>
      </c>
      <c r="AS10">
        <v>4.9960000000000004</v>
      </c>
      <c r="AT10">
        <v>5.3040000000000003</v>
      </c>
      <c r="AU10">
        <v>5.3410000000000002</v>
      </c>
      <c r="AV10">
        <v>5.5350000000000001</v>
      </c>
      <c r="AW10">
        <v>5.7320000000000002</v>
      </c>
      <c r="AX10">
        <v>5.9249999999999998</v>
      </c>
      <c r="AY10">
        <v>4.4690000000000003</v>
      </c>
      <c r="AZ10">
        <v>5.41</v>
      </c>
      <c r="BA10">
        <v>5.78</v>
      </c>
      <c r="BB10">
        <v>6.0780000000000003</v>
      </c>
      <c r="BC10">
        <v>6.3179999999999996</v>
      </c>
      <c r="BD10">
        <v>6.5010000000000003</v>
      </c>
      <c r="BE10">
        <v>6.68</v>
      </c>
      <c r="BF10">
        <v>6.8630000000000004</v>
      </c>
      <c r="BG10">
        <v>2020</v>
      </c>
      <c r="BH10">
        <v>4.4690000000000003</v>
      </c>
      <c r="BI10">
        <v>2020</v>
      </c>
    </row>
    <row r="11" spans="1:61">
      <c r="A11">
        <v>193</v>
      </c>
      <c r="B11" t="s">
        <v>461</v>
      </c>
      <c r="C11" t="s">
        <v>1881</v>
      </c>
      <c r="D11" t="s">
        <v>74</v>
      </c>
      <c r="E11" t="str">
        <f>IF(ISNUMBER(VLOOKUP(B11,'OECD DAC'!B:C,2,FALSE)), "YES", " ")</f>
        <v>YES</v>
      </c>
      <c r="F11" t="s">
        <v>1882</v>
      </c>
      <c r="G11" t="s">
        <v>1883</v>
      </c>
      <c r="H11" t="s">
        <v>1662</v>
      </c>
      <c r="I11" t="s">
        <v>883</v>
      </c>
      <c r="J11" t="s">
        <v>1893</v>
      </c>
      <c r="K11">
        <v>142.87899999999999</v>
      </c>
      <c r="L11">
        <v>163.821</v>
      </c>
      <c r="M11">
        <v>183.726</v>
      </c>
      <c r="N11">
        <v>198.75700000000001</v>
      </c>
      <c r="O11">
        <v>223.97300000000001</v>
      </c>
      <c r="P11">
        <v>248.666</v>
      </c>
      <c r="Q11">
        <v>270.32299999999998</v>
      </c>
      <c r="R11">
        <v>303.84800000000001</v>
      </c>
      <c r="S11">
        <v>345.49799999999999</v>
      </c>
      <c r="T11">
        <v>388.84500000000003</v>
      </c>
      <c r="U11">
        <v>414.52</v>
      </c>
      <c r="V11">
        <v>416.161</v>
      </c>
      <c r="W11">
        <v>432.34300000000002</v>
      </c>
      <c r="X11">
        <v>454.34399999999999</v>
      </c>
      <c r="Y11">
        <v>482.64400000000001</v>
      </c>
      <c r="Z11">
        <v>510.90300000000002</v>
      </c>
      <c r="AA11">
        <v>542.048</v>
      </c>
      <c r="AB11">
        <v>572.72900000000004</v>
      </c>
      <c r="AC11">
        <v>605.50199999999995</v>
      </c>
      <c r="AD11">
        <v>637.55399999999997</v>
      </c>
      <c r="AE11">
        <v>686.30899999999997</v>
      </c>
      <c r="AF11">
        <v>729.31200000000001</v>
      </c>
      <c r="AG11">
        <v>781.59100000000001</v>
      </c>
      <c r="AH11">
        <v>829.82299999999998</v>
      </c>
      <c r="AI11">
        <v>893.779</v>
      </c>
      <c r="AJ11">
        <v>963.01</v>
      </c>
      <c r="AK11">
        <v>1038.49</v>
      </c>
      <c r="AL11">
        <v>1131.71</v>
      </c>
      <c r="AM11">
        <v>1234.58</v>
      </c>
      <c r="AN11">
        <v>1263.73</v>
      </c>
      <c r="AO11">
        <v>1363.36</v>
      </c>
      <c r="AP11">
        <v>1467.4</v>
      </c>
      <c r="AQ11">
        <v>1514.98</v>
      </c>
      <c r="AR11">
        <v>1568.5</v>
      </c>
      <c r="AS11">
        <v>1613.52</v>
      </c>
      <c r="AT11">
        <v>1638.47</v>
      </c>
      <c r="AU11">
        <v>1699.07</v>
      </c>
      <c r="AV11">
        <v>1802.35</v>
      </c>
      <c r="AW11">
        <v>1894</v>
      </c>
      <c r="AX11">
        <v>1993.95</v>
      </c>
      <c r="AY11">
        <v>1965.92</v>
      </c>
      <c r="AZ11">
        <v>2172.5700000000002</v>
      </c>
      <c r="BA11">
        <v>2382.61</v>
      </c>
      <c r="BB11">
        <v>2442.4299999999998</v>
      </c>
      <c r="BC11">
        <v>2546.59</v>
      </c>
      <c r="BD11">
        <v>2666.89</v>
      </c>
      <c r="BE11">
        <v>2797.08</v>
      </c>
      <c r="BF11">
        <v>2936.77</v>
      </c>
      <c r="BG11">
        <v>2021</v>
      </c>
      <c r="BH11">
        <v>2172.5700000000002</v>
      </c>
      <c r="BI11">
        <v>2021</v>
      </c>
    </row>
    <row r="12" spans="1:61">
      <c r="A12">
        <v>122</v>
      </c>
      <c r="B12" t="s">
        <v>458</v>
      </c>
      <c r="C12" t="s">
        <v>1881</v>
      </c>
      <c r="D12" t="s">
        <v>53</v>
      </c>
      <c r="E12" t="str">
        <f>IF(ISNUMBER(VLOOKUP(B12,'OECD DAC'!B:C,2,FALSE)), "YES", " ")</f>
        <v>YES</v>
      </c>
      <c r="F12" t="s">
        <v>1882</v>
      </c>
      <c r="G12" t="s">
        <v>1883</v>
      </c>
      <c r="H12" t="s">
        <v>1662</v>
      </c>
      <c r="I12" t="s">
        <v>883</v>
      </c>
      <c r="J12" t="s">
        <v>1894</v>
      </c>
      <c r="K12">
        <v>75.98</v>
      </c>
      <c r="L12">
        <v>80.885000000000005</v>
      </c>
      <c r="M12">
        <v>86.823999999999998</v>
      </c>
      <c r="N12">
        <v>92.522999999999996</v>
      </c>
      <c r="O12">
        <v>97.131</v>
      </c>
      <c r="P12">
        <v>102.372</v>
      </c>
      <c r="Q12">
        <v>107.602</v>
      </c>
      <c r="R12">
        <v>111.721</v>
      </c>
      <c r="S12">
        <v>119.625</v>
      </c>
      <c r="T12">
        <v>127.959</v>
      </c>
      <c r="U12">
        <v>137.52500000000001</v>
      </c>
      <c r="V12">
        <v>147.43899999999999</v>
      </c>
      <c r="W12">
        <v>155.762</v>
      </c>
      <c r="X12">
        <v>160.9</v>
      </c>
      <c r="Y12">
        <v>168.92500000000001</v>
      </c>
      <c r="Z12">
        <v>176.578</v>
      </c>
      <c r="AA12">
        <v>182.541</v>
      </c>
      <c r="AB12">
        <v>188.72399999999999</v>
      </c>
      <c r="AC12">
        <v>196.34700000000001</v>
      </c>
      <c r="AD12">
        <v>203.851</v>
      </c>
      <c r="AE12">
        <v>213.60599999999999</v>
      </c>
      <c r="AF12">
        <v>220.52500000000001</v>
      </c>
      <c r="AG12">
        <v>226.73500000000001</v>
      </c>
      <c r="AH12">
        <v>231.863</v>
      </c>
      <c r="AI12">
        <v>242.34800000000001</v>
      </c>
      <c r="AJ12">
        <v>254.07499999999999</v>
      </c>
      <c r="AK12">
        <v>267.82400000000001</v>
      </c>
      <c r="AL12">
        <v>283.97800000000001</v>
      </c>
      <c r="AM12">
        <v>293.762</v>
      </c>
      <c r="AN12">
        <v>288.04399999999998</v>
      </c>
      <c r="AO12">
        <v>295.89699999999999</v>
      </c>
      <c r="AP12">
        <v>310.12900000000002</v>
      </c>
      <c r="AQ12">
        <v>318.65300000000002</v>
      </c>
      <c r="AR12">
        <v>323.91000000000003</v>
      </c>
      <c r="AS12">
        <v>333.14600000000002</v>
      </c>
      <c r="AT12">
        <v>344.26900000000001</v>
      </c>
      <c r="AU12">
        <v>357.608</v>
      </c>
      <c r="AV12">
        <v>369.36200000000002</v>
      </c>
      <c r="AW12">
        <v>385.42399999999998</v>
      </c>
      <c r="AX12">
        <v>397.51900000000001</v>
      </c>
      <c r="AY12">
        <v>379.32100000000003</v>
      </c>
      <c r="AZ12">
        <v>403.37</v>
      </c>
      <c r="BA12">
        <v>430.53100000000001</v>
      </c>
      <c r="BB12">
        <v>458.97899999999998</v>
      </c>
      <c r="BC12">
        <v>480.49299999999999</v>
      </c>
      <c r="BD12">
        <v>499.85300000000001</v>
      </c>
      <c r="BE12">
        <v>520.02099999999996</v>
      </c>
      <c r="BF12">
        <v>539.49699999999996</v>
      </c>
      <c r="BG12">
        <v>2021</v>
      </c>
      <c r="BH12">
        <v>403.37</v>
      </c>
      <c r="BI12">
        <v>2021</v>
      </c>
    </row>
    <row r="13" spans="1:61" hidden="1">
      <c r="A13">
        <v>912</v>
      </c>
      <c r="B13" t="s">
        <v>397</v>
      </c>
      <c r="C13" t="s">
        <v>1881</v>
      </c>
      <c r="D13" t="s">
        <v>182</v>
      </c>
      <c r="E13" t="str">
        <f>IF(ISNUMBER(VLOOKUP(B13,'OECD DAC'!B:C,2,FALSE)), "YES", " ")</f>
        <v xml:space="preserve"> </v>
      </c>
      <c r="F13" t="s">
        <v>1882</v>
      </c>
      <c r="G13" t="s">
        <v>1883</v>
      </c>
      <c r="H13" t="s">
        <v>1662</v>
      </c>
      <c r="I13" t="s">
        <v>883</v>
      </c>
      <c r="J13" t="s">
        <v>1895</v>
      </c>
      <c r="K13" t="s">
        <v>1664</v>
      </c>
      <c r="L13" t="s">
        <v>1664</v>
      </c>
      <c r="M13" t="s">
        <v>1664</v>
      </c>
      <c r="N13" t="s">
        <v>1664</v>
      </c>
      <c r="O13" t="s">
        <v>1664</v>
      </c>
      <c r="P13" t="s">
        <v>1664</v>
      </c>
      <c r="Q13" t="s">
        <v>1664</v>
      </c>
      <c r="R13" t="s">
        <v>1664</v>
      </c>
      <c r="S13" t="s">
        <v>1664</v>
      </c>
      <c r="T13" t="s">
        <v>1664</v>
      </c>
      <c r="U13" t="s">
        <v>1664</v>
      </c>
      <c r="V13" t="s">
        <v>1664</v>
      </c>
      <c r="W13">
        <v>5.0000000000000001E-3</v>
      </c>
      <c r="X13">
        <v>3.1E-2</v>
      </c>
      <c r="Y13">
        <v>0.70899999999999996</v>
      </c>
      <c r="Z13">
        <v>2.1339999999999999</v>
      </c>
      <c r="AA13">
        <v>2.7320000000000002</v>
      </c>
      <c r="AB13">
        <v>3.1579999999999999</v>
      </c>
      <c r="AC13">
        <v>3.3119999999999998</v>
      </c>
      <c r="AD13">
        <v>3.7749999999999999</v>
      </c>
      <c r="AE13">
        <v>4.718</v>
      </c>
      <c r="AF13">
        <v>5.3159999999999998</v>
      </c>
      <c r="AG13">
        <v>6.0629999999999997</v>
      </c>
      <c r="AH13">
        <v>7.1470000000000002</v>
      </c>
      <c r="AI13">
        <v>8.5299999999999994</v>
      </c>
      <c r="AJ13">
        <v>12.523</v>
      </c>
      <c r="AK13">
        <v>18.745999999999999</v>
      </c>
      <c r="AL13">
        <v>28.361000000000001</v>
      </c>
      <c r="AM13">
        <v>40.137</v>
      </c>
      <c r="AN13">
        <v>35.601999999999997</v>
      </c>
      <c r="AO13">
        <v>42.465000000000003</v>
      </c>
      <c r="AP13">
        <v>52.082000000000001</v>
      </c>
      <c r="AQ13">
        <v>54.744</v>
      </c>
      <c r="AR13">
        <v>58.182000000000002</v>
      </c>
      <c r="AS13">
        <v>59.014000000000003</v>
      </c>
      <c r="AT13">
        <v>54.38</v>
      </c>
      <c r="AU13">
        <v>60.424999999999997</v>
      </c>
      <c r="AV13">
        <v>70.337999999999994</v>
      </c>
      <c r="AW13">
        <v>80.091999999999999</v>
      </c>
      <c r="AX13">
        <v>81.896000000000001</v>
      </c>
      <c r="AY13">
        <v>72.578000000000003</v>
      </c>
      <c r="AZ13">
        <v>92.858000000000004</v>
      </c>
      <c r="BA13">
        <v>124.727</v>
      </c>
      <c r="BB13">
        <v>123.95099999999999</v>
      </c>
      <c r="BC13">
        <v>124.846</v>
      </c>
      <c r="BD13">
        <v>127.119</v>
      </c>
      <c r="BE13">
        <v>130.90100000000001</v>
      </c>
      <c r="BF13">
        <v>136.136</v>
      </c>
      <c r="BG13">
        <v>2021</v>
      </c>
      <c r="BH13">
        <v>92.858000000000004</v>
      </c>
      <c r="BI13">
        <v>2021</v>
      </c>
    </row>
    <row r="14" spans="1:61" hidden="1">
      <c r="A14">
        <v>313</v>
      </c>
      <c r="B14" t="s">
        <v>499</v>
      </c>
      <c r="C14" t="s">
        <v>1881</v>
      </c>
      <c r="D14" t="s">
        <v>656</v>
      </c>
      <c r="E14" t="str">
        <f>IF(ISNUMBER(VLOOKUP(B14,'OECD DAC'!B:C,2,FALSE)), "YES", " ")</f>
        <v xml:space="preserve"> </v>
      </c>
      <c r="F14" t="s">
        <v>1882</v>
      </c>
      <c r="G14" t="s">
        <v>1883</v>
      </c>
      <c r="H14" t="s">
        <v>1662</v>
      </c>
      <c r="I14" t="s">
        <v>883</v>
      </c>
      <c r="J14" t="s">
        <v>1896</v>
      </c>
      <c r="K14">
        <v>2.5979999999999999</v>
      </c>
      <c r="L14">
        <v>2.6920000000000002</v>
      </c>
      <c r="M14">
        <v>3.0310000000000001</v>
      </c>
      <c r="N14">
        <v>3.3730000000000002</v>
      </c>
      <c r="O14">
        <v>3.6030000000000002</v>
      </c>
      <c r="P14">
        <v>3.923</v>
      </c>
      <c r="Q14">
        <v>4.2409999999999997</v>
      </c>
      <c r="R14">
        <v>4.6689999999999996</v>
      </c>
      <c r="S14">
        <v>4.8550000000000004</v>
      </c>
      <c r="T14">
        <v>5.4729999999999999</v>
      </c>
      <c r="U14">
        <v>5.218</v>
      </c>
      <c r="V14">
        <v>5.1280000000000001</v>
      </c>
      <c r="W14">
        <v>5.125</v>
      </c>
      <c r="X14">
        <v>5.0970000000000004</v>
      </c>
      <c r="Y14">
        <v>5.3719999999999999</v>
      </c>
      <c r="Z14">
        <v>5.6529999999999996</v>
      </c>
      <c r="AA14">
        <v>5.95</v>
      </c>
      <c r="AB14">
        <v>6.3319999999999999</v>
      </c>
      <c r="AC14">
        <v>6.8330000000000002</v>
      </c>
      <c r="AD14">
        <v>7.6840000000000002</v>
      </c>
      <c r="AE14">
        <v>8.0760000000000005</v>
      </c>
      <c r="AF14">
        <v>8.3179999999999996</v>
      </c>
      <c r="AG14">
        <v>8.8810000000000002</v>
      </c>
      <c r="AH14">
        <v>8.8699999999999992</v>
      </c>
      <c r="AI14">
        <v>9.0549999999999997</v>
      </c>
      <c r="AJ14">
        <v>9.8360000000000003</v>
      </c>
      <c r="AK14">
        <v>10.167</v>
      </c>
      <c r="AL14">
        <v>10.618</v>
      </c>
      <c r="AM14">
        <v>10.526</v>
      </c>
      <c r="AN14">
        <v>9.9819999999999993</v>
      </c>
      <c r="AO14">
        <v>10.096</v>
      </c>
      <c r="AP14">
        <v>10.07</v>
      </c>
      <c r="AQ14">
        <v>10.72</v>
      </c>
      <c r="AR14">
        <v>10.494999999999999</v>
      </c>
      <c r="AS14">
        <v>11.143000000000001</v>
      </c>
      <c r="AT14">
        <v>11.891</v>
      </c>
      <c r="AU14">
        <v>11.993</v>
      </c>
      <c r="AV14">
        <v>12.36</v>
      </c>
      <c r="AW14">
        <v>12.837999999999999</v>
      </c>
      <c r="AX14">
        <v>13.164</v>
      </c>
      <c r="AY14">
        <v>9.9079999999999995</v>
      </c>
      <c r="AZ14">
        <v>11.125999999999999</v>
      </c>
      <c r="BA14">
        <v>12.627000000000001</v>
      </c>
      <c r="BB14">
        <v>13.63</v>
      </c>
      <c r="BC14">
        <v>14.425000000000001</v>
      </c>
      <c r="BD14">
        <v>15.074</v>
      </c>
      <c r="BE14">
        <v>15.66</v>
      </c>
      <c r="BF14">
        <v>16.257000000000001</v>
      </c>
      <c r="BG14">
        <v>2020</v>
      </c>
      <c r="BH14">
        <v>9.9079999999999995</v>
      </c>
      <c r="BI14">
        <v>2020</v>
      </c>
    </row>
    <row r="15" spans="1:61" hidden="1">
      <c r="A15">
        <v>419</v>
      </c>
      <c r="B15" t="s">
        <v>500</v>
      </c>
      <c r="C15" t="s">
        <v>1881</v>
      </c>
      <c r="D15" t="s">
        <v>242</v>
      </c>
      <c r="E15" t="str">
        <f>IF(ISNUMBER(VLOOKUP(B15,'OECD DAC'!B:C,2,FALSE)), "YES", " ")</f>
        <v xml:space="preserve"> </v>
      </c>
      <c r="F15" t="s">
        <v>1882</v>
      </c>
      <c r="G15" t="s">
        <v>1883</v>
      </c>
      <c r="H15" t="s">
        <v>1662</v>
      </c>
      <c r="I15" t="s">
        <v>883</v>
      </c>
      <c r="J15" t="s">
        <v>1897</v>
      </c>
      <c r="K15">
        <v>1.3540000000000001</v>
      </c>
      <c r="L15">
        <v>1.5249999999999999</v>
      </c>
      <c r="M15">
        <v>1.603</v>
      </c>
      <c r="N15">
        <v>1.6419999999999999</v>
      </c>
      <c r="O15">
        <v>1.7050000000000001</v>
      </c>
      <c r="P15">
        <v>1.609</v>
      </c>
      <c r="Q15">
        <v>1.2589999999999999</v>
      </c>
      <c r="R15">
        <v>1.363</v>
      </c>
      <c r="S15">
        <v>1.6850000000000001</v>
      </c>
      <c r="T15">
        <v>1.758</v>
      </c>
      <c r="U15">
        <v>1.867</v>
      </c>
      <c r="V15">
        <v>1.958</v>
      </c>
      <c r="W15">
        <v>2.0459999999999998</v>
      </c>
      <c r="X15">
        <v>2.2509999999999999</v>
      </c>
      <c r="Y15">
        <v>2.411</v>
      </c>
      <c r="Z15">
        <v>2.552</v>
      </c>
      <c r="AA15">
        <v>2.653</v>
      </c>
      <c r="AB15">
        <v>2.7519999999999998</v>
      </c>
      <c r="AC15">
        <v>2.63</v>
      </c>
      <c r="AD15">
        <v>2.851</v>
      </c>
      <c r="AE15">
        <v>3.4079999999999999</v>
      </c>
      <c r="AF15">
        <v>3.4550000000000001</v>
      </c>
      <c r="AG15">
        <v>3.6070000000000002</v>
      </c>
      <c r="AH15">
        <v>4.1639999999999997</v>
      </c>
      <c r="AI15">
        <v>4.944</v>
      </c>
      <c r="AJ15">
        <v>6.0039999999999996</v>
      </c>
      <c r="AK15">
        <v>6.9580000000000002</v>
      </c>
      <c r="AL15">
        <v>8.17</v>
      </c>
      <c r="AM15">
        <v>9.6669999999999998</v>
      </c>
      <c r="AN15">
        <v>8.625</v>
      </c>
      <c r="AO15">
        <v>9.6679999999999993</v>
      </c>
      <c r="AP15">
        <v>10.82</v>
      </c>
      <c r="AQ15">
        <v>11.561999999999999</v>
      </c>
      <c r="AR15">
        <v>12.234999999999999</v>
      </c>
      <c r="AS15">
        <v>12.554</v>
      </c>
      <c r="AT15">
        <v>11.675000000000001</v>
      </c>
      <c r="AU15">
        <v>12.12</v>
      </c>
      <c r="AV15">
        <v>13.337999999999999</v>
      </c>
      <c r="AW15">
        <v>14.214</v>
      </c>
      <c r="AX15">
        <v>14.534000000000001</v>
      </c>
      <c r="AY15">
        <v>13.055999999999999</v>
      </c>
      <c r="AZ15">
        <v>14.615</v>
      </c>
      <c r="BA15">
        <v>16.606999999999999</v>
      </c>
      <c r="BB15">
        <v>17.077999999999999</v>
      </c>
      <c r="BC15">
        <v>17.696999999999999</v>
      </c>
      <c r="BD15">
        <v>18.408000000000001</v>
      </c>
      <c r="BE15">
        <v>19.201000000000001</v>
      </c>
      <c r="BF15">
        <v>20.081</v>
      </c>
      <c r="BG15">
        <v>2020</v>
      </c>
      <c r="BH15">
        <v>13.055999999999999</v>
      </c>
      <c r="BI15">
        <v>2020</v>
      </c>
    </row>
    <row r="16" spans="1:61" hidden="1">
      <c r="A16">
        <v>513</v>
      </c>
      <c r="B16" t="s">
        <v>363</v>
      </c>
      <c r="C16" t="s">
        <v>1881</v>
      </c>
      <c r="D16" t="s">
        <v>149</v>
      </c>
      <c r="E16" t="str">
        <f>IF(ISNUMBER(VLOOKUP(B16,'OECD DAC'!B:C,2,FALSE)), "YES", " ")</f>
        <v xml:space="preserve"> </v>
      </c>
      <c r="F16" t="s">
        <v>1882</v>
      </c>
      <c r="G16" t="s">
        <v>1883</v>
      </c>
      <c r="H16" t="s">
        <v>1662</v>
      </c>
      <c r="I16" t="s">
        <v>883</v>
      </c>
      <c r="J16" t="s">
        <v>1898</v>
      </c>
      <c r="K16">
        <v>349.75700000000001</v>
      </c>
      <c r="L16">
        <v>373.74900000000002</v>
      </c>
      <c r="M16">
        <v>419.69900000000001</v>
      </c>
      <c r="N16">
        <v>473.72800000000001</v>
      </c>
      <c r="O16">
        <v>568.26199999999994</v>
      </c>
      <c r="P16">
        <v>651.98</v>
      </c>
      <c r="Q16">
        <v>734.06200000000001</v>
      </c>
      <c r="R16">
        <v>844.30700000000002</v>
      </c>
      <c r="S16">
        <v>928.096</v>
      </c>
      <c r="T16">
        <v>1033.29</v>
      </c>
      <c r="U16">
        <v>1164.04</v>
      </c>
      <c r="V16">
        <v>1282.26</v>
      </c>
      <c r="W16">
        <v>1386.96</v>
      </c>
      <c r="X16">
        <v>1454.57</v>
      </c>
      <c r="Y16">
        <v>1571.08</v>
      </c>
      <c r="Z16">
        <v>1769.55</v>
      </c>
      <c r="AA16">
        <v>1929.73</v>
      </c>
      <c r="AB16">
        <v>2096.54</v>
      </c>
      <c r="AC16">
        <v>2322.4899999999998</v>
      </c>
      <c r="AD16">
        <v>2548.98</v>
      </c>
      <c r="AE16">
        <v>2750.72</v>
      </c>
      <c r="AF16">
        <v>2941.7</v>
      </c>
      <c r="AG16">
        <v>3169.74</v>
      </c>
      <c r="AH16">
        <v>3487.4</v>
      </c>
      <c r="AI16">
        <v>3863.23</v>
      </c>
      <c r="AJ16">
        <v>4301.03</v>
      </c>
      <c r="AK16">
        <v>4823.37</v>
      </c>
      <c r="AL16">
        <v>5498</v>
      </c>
      <c r="AM16">
        <v>6286.82</v>
      </c>
      <c r="AN16">
        <v>7050.72</v>
      </c>
      <c r="AO16">
        <v>7975.39</v>
      </c>
      <c r="AP16">
        <v>9158.2900000000009</v>
      </c>
      <c r="AQ16">
        <v>10552.04</v>
      </c>
      <c r="AR16">
        <v>11989.23</v>
      </c>
      <c r="AS16">
        <v>13436.74</v>
      </c>
      <c r="AT16">
        <v>15158.02</v>
      </c>
      <c r="AU16">
        <v>17328.64</v>
      </c>
      <c r="AV16">
        <v>19758.150000000001</v>
      </c>
      <c r="AW16">
        <v>22504.81</v>
      </c>
      <c r="AX16">
        <v>25424.84</v>
      </c>
      <c r="AY16">
        <v>27393.32</v>
      </c>
      <c r="AZ16">
        <v>30284.23</v>
      </c>
      <c r="BA16">
        <v>34015.19</v>
      </c>
      <c r="BB16">
        <v>38529.82</v>
      </c>
      <c r="BC16">
        <v>43664.05</v>
      </c>
      <c r="BD16">
        <v>49368.73</v>
      </c>
      <c r="BE16">
        <v>55755.88</v>
      </c>
      <c r="BF16">
        <v>62851.79</v>
      </c>
      <c r="BG16">
        <v>2020</v>
      </c>
      <c r="BH16">
        <v>27393.32</v>
      </c>
      <c r="BI16">
        <v>2020</v>
      </c>
    </row>
    <row r="17" spans="1:61" hidden="1">
      <c r="A17">
        <v>316</v>
      </c>
      <c r="B17" t="s">
        <v>566</v>
      </c>
      <c r="C17" t="s">
        <v>1881</v>
      </c>
      <c r="D17" t="s">
        <v>237</v>
      </c>
      <c r="E17" t="str">
        <f>IF(ISNUMBER(VLOOKUP(B17,'OECD DAC'!B:C,2,FALSE)), "YES", " ")</f>
        <v xml:space="preserve"> </v>
      </c>
      <c r="F17" t="s">
        <v>1882</v>
      </c>
      <c r="G17" t="s">
        <v>1883</v>
      </c>
      <c r="H17" t="s">
        <v>1662</v>
      </c>
      <c r="I17" t="s">
        <v>883</v>
      </c>
      <c r="J17" t="s">
        <v>1899</v>
      </c>
      <c r="K17">
        <v>2.036</v>
      </c>
      <c r="L17">
        <v>2.2410000000000001</v>
      </c>
      <c r="M17">
        <v>2.3410000000000002</v>
      </c>
      <c r="N17">
        <v>2.4860000000000002</v>
      </c>
      <c r="O17">
        <v>2.7090000000000001</v>
      </c>
      <c r="P17">
        <v>2.835</v>
      </c>
      <c r="Q17">
        <v>3.113</v>
      </c>
      <c r="R17">
        <v>3.4279999999999999</v>
      </c>
      <c r="S17">
        <v>3.6459999999999999</v>
      </c>
      <c r="T17">
        <v>4.0350000000000001</v>
      </c>
      <c r="U17">
        <v>4.0469999999999997</v>
      </c>
      <c r="V17">
        <v>4.0640000000000001</v>
      </c>
      <c r="W17">
        <v>3.9140000000000001</v>
      </c>
      <c r="X17">
        <v>4.1500000000000004</v>
      </c>
      <c r="Y17">
        <v>4.327</v>
      </c>
      <c r="Z17">
        <v>4.4589999999999996</v>
      </c>
      <c r="AA17">
        <v>4.7539999999999996</v>
      </c>
      <c r="AB17">
        <v>5.0250000000000004</v>
      </c>
      <c r="AC17">
        <v>5.6660000000000004</v>
      </c>
      <c r="AD17">
        <v>5.9370000000000003</v>
      </c>
      <c r="AE17">
        <v>6.1189999999999998</v>
      </c>
      <c r="AF17">
        <v>6.109</v>
      </c>
      <c r="AG17">
        <v>6.2130000000000001</v>
      </c>
      <c r="AH17">
        <v>6.4189999999999996</v>
      </c>
      <c r="AI17">
        <v>6.8890000000000002</v>
      </c>
      <c r="AJ17">
        <v>7.6390000000000002</v>
      </c>
      <c r="AK17">
        <v>8.4350000000000005</v>
      </c>
      <c r="AL17">
        <v>9.3480000000000008</v>
      </c>
      <c r="AM17">
        <v>9.57</v>
      </c>
      <c r="AN17">
        <v>8.9309999999999992</v>
      </c>
      <c r="AO17">
        <v>9.06</v>
      </c>
      <c r="AP17">
        <v>9.3149999999999995</v>
      </c>
      <c r="AQ17">
        <v>9.2200000000000006</v>
      </c>
      <c r="AR17">
        <v>9.3539999999999992</v>
      </c>
      <c r="AS17">
        <v>9.3930000000000007</v>
      </c>
      <c r="AT17">
        <v>9.43</v>
      </c>
      <c r="AU17">
        <v>9.66</v>
      </c>
      <c r="AV17">
        <v>9.9559999999999995</v>
      </c>
      <c r="AW17">
        <v>10.173</v>
      </c>
      <c r="AX17">
        <v>10.596</v>
      </c>
      <c r="AY17">
        <v>9.3539999999999992</v>
      </c>
      <c r="AZ17">
        <v>9.7409999999999997</v>
      </c>
      <c r="BA17">
        <v>11.06</v>
      </c>
      <c r="BB17">
        <v>11.851000000000001</v>
      </c>
      <c r="BC17">
        <v>12.468</v>
      </c>
      <c r="BD17">
        <v>13.042999999999999</v>
      </c>
      <c r="BE17">
        <v>13.611000000000001</v>
      </c>
      <c r="BF17">
        <v>14.166</v>
      </c>
      <c r="BG17">
        <v>2019</v>
      </c>
      <c r="BH17">
        <v>10.596</v>
      </c>
      <c r="BI17">
        <v>2019</v>
      </c>
    </row>
    <row r="18" spans="1:61" hidden="1">
      <c r="A18">
        <v>913</v>
      </c>
      <c r="B18" t="s">
        <v>415</v>
      </c>
      <c r="C18" t="s">
        <v>1881</v>
      </c>
      <c r="D18" t="s">
        <v>200</v>
      </c>
      <c r="E18" t="str">
        <f>IF(ISNUMBER(VLOOKUP(B18,'OECD DAC'!B:C,2,FALSE)), "YES", " ")</f>
        <v xml:space="preserve"> </v>
      </c>
      <c r="F18" t="s">
        <v>1882</v>
      </c>
      <c r="G18" t="s">
        <v>1883</v>
      </c>
      <c r="H18" t="s">
        <v>1662</v>
      </c>
      <c r="I18" t="s">
        <v>883</v>
      </c>
      <c r="J18" t="s">
        <v>1900</v>
      </c>
      <c r="K18" t="s">
        <v>1664</v>
      </c>
      <c r="L18" t="s">
        <v>1664</v>
      </c>
      <c r="M18" t="s">
        <v>1664</v>
      </c>
      <c r="N18" t="s">
        <v>1664</v>
      </c>
      <c r="O18" t="s">
        <v>1664</v>
      </c>
      <c r="P18" t="s">
        <v>1664</v>
      </c>
      <c r="Q18" t="s">
        <v>1664</v>
      </c>
      <c r="R18" t="s">
        <v>1664</v>
      </c>
      <c r="S18" t="s">
        <v>1664</v>
      </c>
      <c r="T18" t="s">
        <v>1664</v>
      </c>
      <c r="U18" t="s">
        <v>1664</v>
      </c>
      <c r="V18" t="s">
        <v>1664</v>
      </c>
      <c r="W18" t="s">
        <v>1686</v>
      </c>
      <c r="X18" t="s">
        <v>1686</v>
      </c>
      <c r="Y18">
        <v>6.0000000000000001E-3</v>
      </c>
      <c r="Z18">
        <v>1.2E-2</v>
      </c>
      <c r="AA18">
        <v>1.9E-2</v>
      </c>
      <c r="AB18">
        <v>3.6999999999999998E-2</v>
      </c>
      <c r="AC18">
        <v>7.0000000000000007E-2</v>
      </c>
      <c r="AD18">
        <v>0.30199999999999999</v>
      </c>
      <c r="AE18">
        <v>0.94599999999999995</v>
      </c>
      <c r="AF18">
        <v>1.776</v>
      </c>
      <c r="AG18">
        <v>2.7029999999999998</v>
      </c>
      <c r="AH18">
        <v>3.7810000000000001</v>
      </c>
      <c r="AI18">
        <v>5.1689999999999996</v>
      </c>
      <c r="AJ18">
        <v>6.7279999999999998</v>
      </c>
      <c r="AK18">
        <v>8.1959999999999997</v>
      </c>
      <c r="AL18">
        <v>10.047000000000001</v>
      </c>
      <c r="AM18">
        <v>13.417</v>
      </c>
      <c r="AN18">
        <v>14.209</v>
      </c>
      <c r="AO18">
        <v>17.047000000000001</v>
      </c>
      <c r="AP18">
        <v>30.725000000000001</v>
      </c>
      <c r="AQ18">
        <v>54.762</v>
      </c>
      <c r="AR18">
        <v>67.069000000000003</v>
      </c>
      <c r="AS18">
        <v>80.578999999999994</v>
      </c>
      <c r="AT18">
        <v>89.91</v>
      </c>
      <c r="AU18">
        <v>94.948999999999998</v>
      </c>
      <c r="AV18">
        <v>105.748</v>
      </c>
      <c r="AW18">
        <v>122.32</v>
      </c>
      <c r="AX18">
        <v>134.732</v>
      </c>
      <c r="AY18">
        <v>149.721</v>
      </c>
      <c r="AZ18">
        <v>173.15600000000001</v>
      </c>
      <c r="BA18">
        <v>191.42599999999999</v>
      </c>
      <c r="BB18">
        <v>219.93700000000001</v>
      </c>
      <c r="BC18">
        <v>252.56100000000001</v>
      </c>
      <c r="BD18">
        <v>274.178</v>
      </c>
      <c r="BE18">
        <v>291.05500000000001</v>
      </c>
      <c r="BF18">
        <v>308.19499999999999</v>
      </c>
      <c r="BG18">
        <v>2020</v>
      </c>
      <c r="BH18">
        <v>149.721</v>
      </c>
      <c r="BI18">
        <v>2020</v>
      </c>
    </row>
    <row r="19" spans="1:61">
      <c r="A19">
        <v>124</v>
      </c>
      <c r="B19" t="s">
        <v>456</v>
      </c>
      <c r="C19" t="s">
        <v>1881</v>
      </c>
      <c r="D19" t="s">
        <v>58</v>
      </c>
      <c r="E19" t="str">
        <f>IF(ISNUMBER(VLOOKUP(B19,'OECD DAC'!B:C,2,FALSE)), "YES", " ")</f>
        <v>YES</v>
      </c>
      <c r="F19" t="s">
        <v>1882</v>
      </c>
      <c r="G19" t="s">
        <v>1883</v>
      </c>
      <c r="H19" t="s">
        <v>1662</v>
      </c>
      <c r="I19" t="s">
        <v>883</v>
      </c>
      <c r="J19" t="s">
        <v>1901</v>
      </c>
      <c r="K19">
        <v>89.375</v>
      </c>
      <c r="L19">
        <v>93.706000000000003</v>
      </c>
      <c r="M19">
        <v>101.399</v>
      </c>
      <c r="N19">
        <v>107.425</v>
      </c>
      <c r="O19">
        <v>116.06100000000001</v>
      </c>
      <c r="P19">
        <v>123.43600000000001</v>
      </c>
      <c r="Q19">
        <v>129.202</v>
      </c>
      <c r="R19">
        <v>134.40899999999999</v>
      </c>
      <c r="S19">
        <v>143.81</v>
      </c>
      <c r="T19">
        <v>155.93799999999999</v>
      </c>
      <c r="U19">
        <v>165.35300000000001</v>
      </c>
      <c r="V19">
        <v>173.22800000000001</v>
      </c>
      <c r="W19">
        <v>181.90299999999999</v>
      </c>
      <c r="X19">
        <v>187.346</v>
      </c>
      <c r="Y19">
        <v>197.44200000000001</v>
      </c>
      <c r="Z19">
        <v>210.489</v>
      </c>
      <c r="AA19">
        <v>214.28800000000001</v>
      </c>
      <c r="AB19">
        <v>224.101</v>
      </c>
      <c r="AC19">
        <v>232.624</v>
      </c>
      <c r="AD19">
        <v>242.30600000000001</v>
      </c>
      <c r="AE19">
        <v>256.37599999999998</v>
      </c>
      <c r="AF19">
        <v>264.33499999999998</v>
      </c>
      <c r="AG19">
        <v>273.255</v>
      </c>
      <c r="AH19">
        <v>281.20100000000002</v>
      </c>
      <c r="AI19">
        <v>296.82</v>
      </c>
      <c r="AJ19">
        <v>310.03699999999998</v>
      </c>
      <c r="AK19">
        <v>325.15100000000001</v>
      </c>
      <c r="AL19">
        <v>343.61900000000003</v>
      </c>
      <c r="AM19">
        <v>351.74200000000002</v>
      </c>
      <c r="AN19">
        <v>346.47300000000001</v>
      </c>
      <c r="AO19">
        <v>363.14</v>
      </c>
      <c r="AP19">
        <v>375.96800000000002</v>
      </c>
      <c r="AQ19">
        <v>386.17500000000001</v>
      </c>
      <c r="AR19">
        <v>392.88</v>
      </c>
      <c r="AS19">
        <v>403.00400000000002</v>
      </c>
      <c r="AT19">
        <v>416.702</v>
      </c>
      <c r="AU19">
        <v>430.08499999999998</v>
      </c>
      <c r="AV19">
        <v>445.05</v>
      </c>
      <c r="AW19">
        <v>460.029</v>
      </c>
      <c r="AX19">
        <v>478.16</v>
      </c>
      <c r="AY19">
        <v>456.89400000000001</v>
      </c>
      <c r="AZ19">
        <v>506.95</v>
      </c>
      <c r="BA19">
        <v>540.95299999999997</v>
      </c>
      <c r="BB19">
        <v>560.11500000000001</v>
      </c>
      <c r="BC19">
        <v>577.97</v>
      </c>
      <c r="BD19">
        <v>595.07500000000005</v>
      </c>
      <c r="BE19">
        <v>613.13499999999999</v>
      </c>
      <c r="BF19">
        <v>631.529</v>
      </c>
      <c r="BG19">
        <v>2020</v>
      </c>
      <c r="BH19">
        <v>456.89400000000001</v>
      </c>
      <c r="BI19">
        <v>2020</v>
      </c>
    </row>
    <row r="20" spans="1:61" hidden="1">
      <c r="A20">
        <v>339</v>
      </c>
      <c r="B20" t="s">
        <v>388</v>
      </c>
      <c r="C20" t="s">
        <v>1881</v>
      </c>
      <c r="D20" t="s">
        <v>174</v>
      </c>
      <c r="E20" t="str">
        <f>IF(ISNUMBER(VLOOKUP(B20,'OECD DAC'!B:C,2,FALSE)), "YES", " ")</f>
        <v xml:space="preserve"> </v>
      </c>
      <c r="F20" t="s">
        <v>1882</v>
      </c>
      <c r="G20" t="s">
        <v>1883</v>
      </c>
      <c r="H20" t="s">
        <v>1662</v>
      </c>
      <c r="I20" t="s">
        <v>883</v>
      </c>
      <c r="J20" t="s">
        <v>1902</v>
      </c>
      <c r="K20">
        <v>0.34399999999999997</v>
      </c>
      <c r="L20">
        <v>0.35899999999999999</v>
      </c>
      <c r="M20">
        <v>0.35899999999999999</v>
      </c>
      <c r="N20">
        <v>0.378</v>
      </c>
      <c r="O20">
        <v>0.42199999999999999</v>
      </c>
      <c r="P20">
        <v>0.41799999999999998</v>
      </c>
      <c r="Q20">
        <v>0.45600000000000002</v>
      </c>
      <c r="R20">
        <v>0.53300000000000003</v>
      </c>
      <c r="S20">
        <v>0.63</v>
      </c>
      <c r="T20">
        <v>0.72599999999999998</v>
      </c>
      <c r="U20">
        <v>0.82399999999999995</v>
      </c>
      <c r="V20">
        <v>0.88900000000000001</v>
      </c>
      <c r="W20">
        <v>1.0369999999999999</v>
      </c>
      <c r="X20">
        <v>1.1200000000000001</v>
      </c>
      <c r="Y20">
        <v>1.163</v>
      </c>
      <c r="Z20">
        <v>1.2410000000000001</v>
      </c>
      <c r="AA20">
        <v>1.2829999999999999</v>
      </c>
      <c r="AB20">
        <v>1.3089999999999999</v>
      </c>
      <c r="AC20">
        <v>1.3779999999999999</v>
      </c>
      <c r="AD20">
        <v>1.4650000000000001</v>
      </c>
      <c r="AE20">
        <v>1.6639999999999999</v>
      </c>
      <c r="AF20">
        <v>1.7430000000000001</v>
      </c>
      <c r="AG20">
        <v>1.865</v>
      </c>
      <c r="AH20">
        <v>1.9810000000000001</v>
      </c>
      <c r="AI20">
        <v>2.1150000000000002</v>
      </c>
      <c r="AJ20">
        <v>2.2229999999999999</v>
      </c>
      <c r="AK20">
        <v>2.4220000000000002</v>
      </c>
      <c r="AL20">
        <v>2.5659999999999998</v>
      </c>
      <c r="AM20">
        <v>2.7050000000000001</v>
      </c>
      <c r="AN20">
        <v>2.641</v>
      </c>
      <c r="AO20">
        <v>2.7759999999999998</v>
      </c>
      <c r="AP20">
        <v>2.9340000000000002</v>
      </c>
      <c r="AQ20">
        <v>3.0630000000000002</v>
      </c>
      <c r="AR20">
        <v>3.1640000000000001</v>
      </c>
      <c r="AS20">
        <v>3.3530000000000002</v>
      </c>
      <c r="AT20">
        <v>3.4689999999999999</v>
      </c>
      <c r="AU20">
        <v>3.5939999999999999</v>
      </c>
      <c r="AV20">
        <v>3.69</v>
      </c>
      <c r="AW20">
        <v>3.7749999999999999</v>
      </c>
      <c r="AX20">
        <v>3.891</v>
      </c>
      <c r="AY20">
        <v>3.1709999999999998</v>
      </c>
      <c r="AZ20">
        <v>3.593</v>
      </c>
      <c r="BA20">
        <v>3.9820000000000002</v>
      </c>
      <c r="BB20">
        <v>4.2699999999999996</v>
      </c>
      <c r="BC20">
        <v>4.452</v>
      </c>
      <c r="BD20">
        <v>4.6319999999999997</v>
      </c>
      <c r="BE20">
        <v>4.819</v>
      </c>
      <c r="BF20">
        <v>5.0140000000000002</v>
      </c>
      <c r="BG20">
        <v>2020</v>
      </c>
      <c r="BH20">
        <v>3.1709999999999998</v>
      </c>
      <c r="BI20">
        <v>2020</v>
      </c>
    </row>
    <row r="21" spans="1:61" hidden="1">
      <c r="A21">
        <v>638</v>
      </c>
      <c r="B21" t="s">
        <v>340</v>
      </c>
      <c r="C21" t="s">
        <v>1881</v>
      </c>
      <c r="D21" t="s">
        <v>126</v>
      </c>
      <c r="E21" t="str">
        <f>IF(ISNUMBER(VLOOKUP(B21,'OECD DAC'!B:C,2,FALSE)), "YES", " ")</f>
        <v xml:space="preserve"> </v>
      </c>
      <c r="F21" t="s">
        <v>1882</v>
      </c>
      <c r="G21" t="s">
        <v>1883</v>
      </c>
      <c r="H21" t="s">
        <v>1662</v>
      </c>
      <c r="I21" t="s">
        <v>883</v>
      </c>
      <c r="J21" t="s">
        <v>1903</v>
      </c>
      <c r="K21">
        <v>518.03499999999997</v>
      </c>
      <c r="L21">
        <v>447.59300000000002</v>
      </c>
      <c r="M21">
        <v>518.44200000000001</v>
      </c>
      <c r="N21">
        <v>569.4</v>
      </c>
      <c r="O21">
        <v>636.18299999999999</v>
      </c>
      <c r="P21">
        <v>682.02800000000002</v>
      </c>
      <c r="Q21">
        <v>671.53899999999999</v>
      </c>
      <c r="R21">
        <v>681.70299999999997</v>
      </c>
      <c r="S21">
        <v>703.28399999999999</v>
      </c>
      <c r="T21">
        <v>695.774</v>
      </c>
      <c r="U21">
        <v>729.29399999999998</v>
      </c>
      <c r="V21">
        <v>765.86400000000003</v>
      </c>
      <c r="W21">
        <v>812.37</v>
      </c>
      <c r="X21">
        <v>880.22900000000004</v>
      </c>
      <c r="Y21">
        <v>1212.5899999999999</v>
      </c>
      <c r="Z21">
        <v>1480.06</v>
      </c>
      <c r="AA21">
        <v>1650.71</v>
      </c>
      <c r="AB21">
        <v>1809.38</v>
      </c>
      <c r="AC21">
        <v>1979.46</v>
      </c>
      <c r="AD21">
        <v>2263.34</v>
      </c>
      <c r="AE21">
        <v>2499.9299999999998</v>
      </c>
      <c r="AF21">
        <v>2685.13</v>
      </c>
      <c r="AG21">
        <v>2909.67</v>
      </c>
      <c r="AH21">
        <v>3102.02</v>
      </c>
      <c r="AI21">
        <v>3264.37</v>
      </c>
      <c r="AJ21">
        <v>3462.85</v>
      </c>
      <c r="AK21">
        <v>3674.8</v>
      </c>
      <c r="AL21">
        <v>3909.98</v>
      </c>
      <c r="AM21">
        <v>4365.33</v>
      </c>
      <c r="AN21">
        <v>4580.01</v>
      </c>
      <c r="AO21">
        <v>4718.03</v>
      </c>
      <c r="AP21">
        <v>5039.21</v>
      </c>
      <c r="AQ21">
        <v>5688.29</v>
      </c>
      <c r="AR21">
        <v>6182.56</v>
      </c>
      <c r="AS21">
        <v>6559.33</v>
      </c>
      <c r="AT21">
        <v>6732.81</v>
      </c>
      <c r="AU21">
        <v>7005.23</v>
      </c>
      <c r="AV21">
        <v>7375.3</v>
      </c>
      <c r="AW21">
        <v>7915.66</v>
      </c>
      <c r="AX21">
        <v>8432.25</v>
      </c>
      <c r="AY21">
        <v>9008.81</v>
      </c>
      <c r="AZ21">
        <v>9674.09</v>
      </c>
      <c r="BA21">
        <v>10698.06</v>
      </c>
      <c r="BB21">
        <v>11503.27</v>
      </c>
      <c r="BC21">
        <v>12402.65</v>
      </c>
      <c r="BD21">
        <v>13420.14</v>
      </c>
      <c r="BE21">
        <v>14521.59</v>
      </c>
      <c r="BF21">
        <v>15711.98</v>
      </c>
      <c r="BG21">
        <v>2020</v>
      </c>
      <c r="BH21">
        <v>9008.81</v>
      </c>
      <c r="BI21">
        <v>2020</v>
      </c>
    </row>
    <row r="22" spans="1:61" hidden="1">
      <c r="A22">
        <v>514</v>
      </c>
      <c r="B22" t="s">
        <v>365</v>
      </c>
      <c r="C22" t="s">
        <v>1881</v>
      </c>
      <c r="D22" t="s">
        <v>151</v>
      </c>
      <c r="E22" t="str">
        <f>IF(ISNUMBER(VLOOKUP(B22,'OECD DAC'!B:C,2,FALSE)), "YES", " ")</f>
        <v xml:space="preserve"> </v>
      </c>
      <c r="F22" t="s">
        <v>1882</v>
      </c>
      <c r="G22" t="s">
        <v>1883</v>
      </c>
      <c r="H22" t="s">
        <v>1662</v>
      </c>
      <c r="I22" t="s">
        <v>883</v>
      </c>
      <c r="J22" t="s">
        <v>1904</v>
      </c>
      <c r="K22">
        <v>0.96899999999999997</v>
      </c>
      <c r="L22">
        <v>1.1519999999999999</v>
      </c>
      <c r="M22">
        <v>1.3240000000000001</v>
      </c>
      <c r="N22">
        <v>1.5249999999999999</v>
      </c>
      <c r="O22">
        <v>1.776</v>
      </c>
      <c r="P22">
        <v>2.0019999999999998</v>
      </c>
      <c r="Q22">
        <v>2.3069999999999999</v>
      </c>
      <c r="R22">
        <v>2.8719999999999999</v>
      </c>
      <c r="S22">
        <v>3.5329999999999999</v>
      </c>
      <c r="T22">
        <v>4.1120000000000001</v>
      </c>
      <c r="U22">
        <v>4.774</v>
      </c>
      <c r="V22">
        <v>5.3689999999999998</v>
      </c>
      <c r="W22">
        <v>5.9880000000000004</v>
      </c>
      <c r="X22">
        <v>6.7169999999999996</v>
      </c>
      <c r="Y22">
        <v>7.7</v>
      </c>
      <c r="Z22">
        <v>9.0050000000000008</v>
      </c>
      <c r="AA22">
        <v>10.336</v>
      </c>
      <c r="AB22">
        <v>12.067</v>
      </c>
      <c r="AC22">
        <v>14.226000000000001</v>
      </c>
      <c r="AD22">
        <v>16.556999999999999</v>
      </c>
      <c r="AE22">
        <v>18.452999999999999</v>
      </c>
      <c r="AF22">
        <v>20.46</v>
      </c>
      <c r="AG22">
        <v>23.547000000000001</v>
      </c>
      <c r="AH22">
        <v>26.727</v>
      </c>
      <c r="AI22">
        <v>29.533999999999999</v>
      </c>
      <c r="AJ22">
        <v>33.037999999999997</v>
      </c>
      <c r="AK22">
        <v>37.393999999999998</v>
      </c>
      <c r="AL22">
        <v>43.975000000000001</v>
      </c>
      <c r="AM22">
        <v>50.862000000000002</v>
      </c>
      <c r="AN22">
        <v>56.573999999999998</v>
      </c>
      <c r="AO22">
        <v>65.257999999999996</v>
      </c>
      <c r="AP22">
        <v>76.86</v>
      </c>
      <c r="AQ22">
        <v>89.061999999999998</v>
      </c>
      <c r="AR22">
        <v>99.048000000000002</v>
      </c>
      <c r="AS22">
        <v>109.649</v>
      </c>
      <c r="AT22">
        <v>122.5</v>
      </c>
      <c r="AU22">
        <v>136.911</v>
      </c>
      <c r="AV22">
        <v>152.38999999999999</v>
      </c>
      <c r="AW22">
        <v>163.45599999999999</v>
      </c>
      <c r="AX22">
        <v>172.95099999999999</v>
      </c>
      <c r="AY22">
        <v>175.06700000000001</v>
      </c>
      <c r="AZ22">
        <v>176.67099999999999</v>
      </c>
      <c r="BA22">
        <v>196.161</v>
      </c>
      <c r="BB22">
        <v>217.00399999999999</v>
      </c>
      <c r="BC22">
        <v>243.57</v>
      </c>
      <c r="BD22">
        <v>270.83100000000002</v>
      </c>
      <c r="BE22">
        <v>299.38900000000001</v>
      </c>
      <c r="BF22">
        <v>329.92200000000003</v>
      </c>
      <c r="BG22">
        <v>2021</v>
      </c>
      <c r="BH22">
        <v>176.67099999999999</v>
      </c>
      <c r="BI22">
        <v>2021</v>
      </c>
    </row>
    <row r="23" spans="1:61" hidden="1">
      <c r="A23">
        <v>218</v>
      </c>
      <c r="B23" t="s">
        <v>371</v>
      </c>
      <c r="C23" t="s">
        <v>1881</v>
      </c>
      <c r="D23" t="s">
        <v>157</v>
      </c>
      <c r="E23" t="str">
        <f>IF(ISNUMBER(VLOOKUP(B23,'OECD DAC'!B:C,2,FALSE)), "YES", " ")</f>
        <v xml:space="preserve"> </v>
      </c>
      <c r="F23" t="s">
        <v>1882</v>
      </c>
      <c r="G23" t="s">
        <v>1883</v>
      </c>
      <c r="H23" t="s">
        <v>1662</v>
      </c>
      <c r="I23" t="s">
        <v>883</v>
      </c>
      <c r="J23" t="s">
        <v>1905</v>
      </c>
      <c r="K23" t="s">
        <v>1686</v>
      </c>
      <c r="L23" t="s">
        <v>1686</v>
      </c>
      <c r="M23" t="s">
        <v>1686</v>
      </c>
      <c r="N23">
        <v>1E-3</v>
      </c>
      <c r="O23">
        <v>1.9E-2</v>
      </c>
      <c r="P23">
        <v>2.3660000000000001</v>
      </c>
      <c r="Q23">
        <v>7.6079999999999997</v>
      </c>
      <c r="R23">
        <v>8.8840000000000003</v>
      </c>
      <c r="S23">
        <v>10.805999999999999</v>
      </c>
      <c r="T23">
        <v>12.694000000000001</v>
      </c>
      <c r="U23">
        <v>15.443</v>
      </c>
      <c r="V23">
        <v>19.132000000000001</v>
      </c>
      <c r="W23">
        <v>22.013999999999999</v>
      </c>
      <c r="X23">
        <v>24.459</v>
      </c>
      <c r="Y23">
        <v>27.635999999999999</v>
      </c>
      <c r="Z23">
        <v>32.234999999999999</v>
      </c>
      <c r="AA23">
        <v>37.536999999999999</v>
      </c>
      <c r="AB23">
        <v>41.643999999999998</v>
      </c>
      <c r="AC23">
        <v>46.822000000000003</v>
      </c>
      <c r="AD23">
        <v>48.155999999999999</v>
      </c>
      <c r="AE23">
        <v>51.927999999999997</v>
      </c>
      <c r="AF23">
        <v>53.79</v>
      </c>
      <c r="AG23">
        <v>56.682000000000002</v>
      </c>
      <c r="AH23">
        <v>61.904000000000003</v>
      </c>
      <c r="AI23">
        <v>69.626000000000005</v>
      </c>
      <c r="AJ23">
        <v>77.024000000000001</v>
      </c>
      <c r="AK23">
        <v>91.748000000000005</v>
      </c>
      <c r="AL23">
        <v>103.009</v>
      </c>
      <c r="AM23">
        <v>120.694</v>
      </c>
      <c r="AN23">
        <v>121.727</v>
      </c>
      <c r="AO23">
        <v>137.876</v>
      </c>
      <c r="AP23">
        <v>166.232</v>
      </c>
      <c r="AQ23">
        <v>187.154</v>
      </c>
      <c r="AR23">
        <v>211.85599999999999</v>
      </c>
      <c r="AS23">
        <v>228.00399999999999</v>
      </c>
      <c r="AT23">
        <v>228.03100000000001</v>
      </c>
      <c r="AU23">
        <v>234.53299999999999</v>
      </c>
      <c r="AV23">
        <v>259.185</v>
      </c>
      <c r="AW23">
        <v>278.38799999999998</v>
      </c>
      <c r="AX23">
        <v>282.58699999999999</v>
      </c>
      <c r="AY23">
        <v>253.11199999999999</v>
      </c>
      <c r="AZ23">
        <v>272.72500000000002</v>
      </c>
      <c r="BA23">
        <v>281.47899999999998</v>
      </c>
      <c r="BB23">
        <v>297.387</v>
      </c>
      <c r="BC23">
        <v>318.87</v>
      </c>
      <c r="BD23">
        <v>341.57299999999998</v>
      </c>
      <c r="BE23">
        <v>365.548</v>
      </c>
      <c r="BF23">
        <v>391.20600000000002</v>
      </c>
      <c r="BG23">
        <v>2020</v>
      </c>
      <c r="BH23">
        <v>253.11199999999999</v>
      </c>
      <c r="BI23">
        <v>2020</v>
      </c>
    </row>
    <row r="24" spans="1:61" hidden="1">
      <c r="A24">
        <v>963</v>
      </c>
      <c r="B24" t="s">
        <v>413</v>
      </c>
      <c r="C24" t="s">
        <v>1881</v>
      </c>
      <c r="D24" t="s">
        <v>198</v>
      </c>
      <c r="E24" t="str">
        <f>IF(ISNUMBER(VLOOKUP(B24,'OECD DAC'!B:C,2,FALSE)), "YES", " ")</f>
        <v xml:space="preserve"> </v>
      </c>
      <c r="F24" t="s">
        <v>1882</v>
      </c>
      <c r="G24" t="s">
        <v>1883</v>
      </c>
      <c r="H24" t="s">
        <v>1662</v>
      </c>
      <c r="I24" t="s">
        <v>883</v>
      </c>
      <c r="J24" t="s">
        <v>1906</v>
      </c>
      <c r="K24" t="s">
        <v>1664</v>
      </c>
      <c r="L24" t="s">
        <v>1664</v>
      </c>
      <c r="M24" t="s">
        <v>1664</v>
      </c>
      <c r="N24" t="s">
        <v>1664</v>
      </c>
      <c r="O24" t="s">
        <v>1664</v>
      </c>
      <c r="P24" t="s">
        <v>1664</v>
      </c>
      <c r="Q24" t="s">
        <v>1664</v>
      </c>
      <c r="R24" t="s">
        <v>1664</v>
      </c>
      <c r="S24" t="s">
        <v>1664</v>
      </c>
      <c r="T24" t="s">
        <v>1664</v>
      </c>
      <c r="U24" t="s">
        <v>1664</v>
      </c>
      <c r="V24" t="s">
        <v>1664</v>
      </c>
      <c r="W24" t="s">
        <v>1664</v>
      </c>
      <c r="X24" t="s">
        <v>1664</v>
      </c>
      <c r="Y24" t="s">
        <v>1664</v>
      </c>
      <c r="Z24" t="s">
        <v>1664</v>
      </c>
      <c r="AA24">
        <v>5.5209999999999999</v>
      </c>
      <c r="AB24">
        <v>7.8940000000000001</v>
      </c>
      <c r="AC24">
        <v>9.2189999999999994</v>
      </c>
      <c r="AD24">
        <v>10.571</v>
      </c>
      <c r="AE24">
        <v>11.79</v>
      </c>
      <c r="AF24">
        <v>12.641</v>
      </c>
      <c r="AG24">
        <v>13.946</v>
      </c>
      <c r="AH24">
        <v>14.69</v>
      </c>
      <c r="AI24">
        <v>15.997999999999999</v>
      </c>
      <c r="AJ24">
        <v>17.198</v>
      </c>
      <c r="AK24">
        <v>19.425999999999998</v>
      </c>
      <c r="AL24">
        <v>21.896000000000001</v>
      </c>
      <c r="AM24">
        <v>24.984000000000002</v>
      </c>
      <c r="AN24">
        <v>24.78</v>
      </c>
      <c r="AO24">
        <v>25.346</v>
      </c>
      <c r="AP24">
        <v>26.21</v>
      </c>
      <c r="AQ24">
        <v>26.193000000000001</v>
      </c>
      <c r="AR24">
        <v>26.742999999999999</v>
      </c>
      <c r="AS24">
        <v>27.303999999999998</v>
      </c>
      <c r="AT24">
        <v>28.585999999999999</v>
      </c>
      <c r="AU24">
        <v>29.899000000000001</v>
      </c>
      <c r="AV24">
        <v>31.376000000000001</v>
      </c>
      <c r="AW24">
        <v>33.444000000000003</v>
      </c>
      <c r="AX24">
        <v>35.295999999999999</v>
      </c>
      <c r="AY24">
        <v>34.255000000000003</v>
      </c>
      <c r="AZ24">
        <v>37.072000000000003</v>
      </c>
      <c r="BA24">
        <v>40.521000000000001</v>
      </c>
      <c r="BB24">
        <v>42.761000000000003</v>
      </c>
      <c r="BC24">
        <v>45.158000000000001</v>
      </c>
      <c r="BD24">
        <v>47.631</v>
      </c>
      <c r="BE24">
        <v>50.161000000000001</v>
      </c>
      <c r="BF24">
        <v>52.877000000000002</v>
      </c>
      <c r="BG24">
        <v>2020</v>
      </c>
      <c r="BH24">
        <v>34.255000000000003</v>
      </c>
      <c r="BI24">
        <v>2020</v>
      </c>
    </row>
    <row r="25" spans="1:61" hidden="1">
      <c r="A25">
        <v>616</v>
      </c>
      <c r="B25" t="s">
        <v>414</v>
      </c>
      <c r="C25" t="s">
        <v>1881</v>
      </c>
      <c r="D25" t="s">
        <v>199</v>
      </c>
      <c r="E25" t="str">
        <f>IF(ISNUMBER(VLOOKUP(B25,'OECD DAC'!B:C,2,FALSE)), "YES", " ")</f>
        <v xml:space="preserve"> </v>
      </c>
      <c r="F25" t="s">
        <v>1882</v>
      </c>
      <c r="G25" t="s">
        <v>1883</v>
      </c>
      <c r="H25" t="s">
        <v>1662</v>
      </c>
      <c r="I25" t="s">
        <v>883</v>
      </c>
      <c r="J25" t="s">
        <v>1907</v>
      </c>
      <c r="K25">
        <v>0.879</v>
      </c>
      <c r="L25">
        <v>0.91700000000000004</v>
      </c>
      <c r="M25">
        <v>1.171</v>
      </c>
      <c r="N25">
        <v>1.3979999999999999</v>
      </c>
      <c r="O25">
        <v>1.821</v>
      </c>
      <c r="P25">
        <v>2.4169999999999998</v>
      </c>
      <c r="Q25">
        <v>2.8119999999999998</v>
      </c>
      <c r="R25">
        <v>3.7810000000000001</v>
      </c>
      <c r="S25">
        <v>5.8819999999999997</v>
      </c>
      <c r="T25">
        <v>6.5339999999999998</v>
      </c>
      <c r="U25">
        <v>7.0460000000000003</v>
      </c>
      <c r="V25">
        <v>7.9630000000000001</v>
      </c>
      <c r="W25">
        <v>8.74</v>
      </c>
      <c r="X25">
        <v>10.071</v>
      </c>
      <c r="Y25">
        <v>11.423999999999999</v>
      </c>
      <c r="Z25">
        <v>13.318</v>
      </c>
      <c r="AA25">
        <v>16.262</v>
      </c>
      <c r="AB25">
        <v>18.279</v>
      </c>
      <c r="AC25">
        <v>20.198</v>
      </c>
      <c r="AD25">
        <v>25.032</v>
      </c>
      <c r="AE25">
        <v>28.992999999999999</v>
      </c>
      <c r="AF25">
        <v>31.896000000000001</v>
      </c>
      <c r="AG25">
        <v>34.140999999999998</v>
      </c>
      <c r="AH25">
        <v>36.969000000000001</v>
      </c>
      <c r="AI25">
        <v>41.393999999999998</v>
      </c>
      <c r="AJ25">
        <v>50.311</v>
      </c>
      <c r="AK25">
        <v>57.832000000000001</v>
      </c>
      <c r="AL25">
        <v>64.87</v>
      </c>
      <c r="AM25">
        <v>73.257999999999996</v>
      </c>
      <c r="AN25">
        <v>72.399000000000001</v>
      </c>
      <c r="AO25">
        <v>85.852999999999994</v>
      </c>
      <c r="AP25">
        <v>103.33</v>
      </c>
      <c r="AQ25">
        <v>106.26</v>
      </c>
      <c r="AR25">
        <v>119.867</v>
      </c>
      <c r="AS25">
        <v>138.86099999999999</v>
      </c>
      <c r="AT25">
        <v>137.053</v>
      </c>
      <c r="AU25">
        <v>164.41800000000001</v>
      </c>
      <c r="AV25">
        <v>166.64699999999999</v>
      </c>
      <c r="AW25">
        <v>173.72499999999999</v>
      </c>
      <c r="AX25">
        <v>179.58</v>
      </c>
      <c r="AY25">
        <v>171.042</v>
      </c>
      <c r="AZ25">
        <v>197.398</v>
      </c>
      <c r="BA25">
        <v>217.16499999999999</v>
      </c>
      <c r="BB25">
        <v>235.96899999999999</v>
      </c>
      <c r="BC25">
        <v>256.98200000000003</v>
      </c>
      <c r="BD25">
        <v>279.13799999999998</v>
      </c>
      <c r="BE25">
        <v>302.88600000000002</v>
      </c>
      <c r="BF25">
        <v>329.13900000000001</v>
      </c>
      <c r="BG25">
        <v>2020</v>
      </c>
      <c r="BH25">
        <v>171.042</v>
      </c>
      <c r="BI25">
        <v>2020</v>
      </c>
    </row>
    <row r="26" spans="1:61" hidden="1">
      <c r="A26">
        <v>223</v>
      </c>
      <c r="B26" t="s">
        <v>419</v>
      </c>
      <c r="C26" t="s">
        <v>1881</v>
      </c>
      <c r="D26" t="s">
        <v>204</v>
      </c>
      <c r="E26" t="str">
        <f>IF(ISNUMBER(VLOOKUP(B26,'OECD DAC'!B:C,2,FALSE)), "YES", " ")</f>
        <v xml:space="preserve"> </v>
      </c>
      <c r="F26" t="s">
        <v>1882</v>
      </c>
      <c r="G26" t="s">
        <v>1883</v>
      </c>
      <c r="H26" t="s">
        <v>1662</v>
      </c>
      <c r="I26" t="s">
        <v>883</v>
      </c>
      <c r="J26" t="s">
        <v>1908</v>
      </c>
      <c r="K26" t="s">
        <v>1686</v>
      </c>
      <c r="L26" t="s">
        <v>1686</v>
      </c>
      <c r="M26" t="s">
        <v>1686</v>
      </c>
      <c r="N26" t="s">
        <v>1686</v>
      </c>
      <c r="O26" t="s">
        <v>1686</v>
      </c>
      <c r="P26" t="s">
        <v>1686</v>
      </c>
      <c r="Q26" t="s">
        <v>1686</v>
      </c>
      <c r="R26" t="s">
        <v>1686</v>
      </c>
      <c r="S26" t="s">
        <v>1686</v>
      </c>
      <c r="T26" t="s">
        <v>1686</v>
      </c>
      <c r="U26">
        <v>1.0999999999999999E-2</v>
      </c>
      <c r="V26">
        <v>5.8999999999999997E-2</v>
      </c>
      <c r="W26">
        <v>0.628</v>
      </c>
      <c r="X26">
        <v>13.804</v>
      </c>
      <c r="Y26">
        <v>349.38200000000001</v>
      </c>
      <c r="Z26">
        <v>705.99199999999996</v>
      </c>
      <c r="AA26">
        <v>854.76300000000003</v>
      </c>
      <c r="AB26">
        <v>952.08900000000006</v>
      </c>
      <c r="AC26">
        <v>1002.35</v>
      </c>
      <c r="AD26">
        <v>1087.71</v>
      </c>
      <c r="AE26">
        <v>1199.0899999999999</v>
      </c>
      <c r="AF26">
        <v>1315.76</v>
      </c>
      <c r="AG26">
        <v>1488.79</v>
      </c>
      <c r="AH26">
        <v>1717.95</v>
      </c>
      <c r="AI26">
        <v>1957.75</v>
      </c>
      <c r="AJ26">
        <v>2170.58</v>
      </c>
      <c r="AK26">
        <v>2409.4499999999998</v>
      </c>
      <c r="AL26">
        <v>2720.26</v>
      </c>
      <c r="AM26">
        <v>3109.8</v>
      </c>
      <c r="AN26">
        <v>3333.04</v>
      </c>
      <c r="AO26">
        <v>3885.85</v>
      </c>
      <c r="AP26">
        <v>4376.38</v>
      </c>
      <c r="AQ26">
        <v>4814.76</v>
      </c>
      <c r="AR26">
        <v>5331.62</v>
      </c>
      <c r="AS26">
        <v>5778.95</v>
      </c>
      <c r="AT26">
        <v>5995.79</v>
      </c>
      <c r="AU26">
        <v>6269.33</v>
      </c>
      <c r="AV26">
        <v>6585.48</v>
      </c>
      <c r="AW26">
        <v>7004.14</v>
      </c>
      <c r="AX26">
        <v>7389.13</v>
      </c>
      <c r="AY26">
        <v>7467.62</v>
      </c>
      <c r="AZ26">
        <v>8679.49</v>
      </c>
      <c r="BA26">
        <v>9469.3799999999992</v>
      </c>
      <c r="BB26">
        <v>10115.91</v>
      </c>
      <c r="BC26">
        <v>10735.45</v>
      </c>
      <c r="BD26">
        <v>11263.61</v>
      </c>
      <c r="BE26">
        <v>11800.8</v>
      </c>
      <c r="BF26">
        <v>12391.64</v>
      </c>
      <c r="BG26">
        <v>2020</v>
      </c>
      <c r="BH26">
        <v>7467.62</v>
      </c>
      <c r="BI26">
        <v>2020</v>
      </c>
    </row>
    <row r="27" spans="1:61" hidden="1">
      <c r="A27">
        <v>516</v>
      </c>
      <c r="B27" t="s">
        <v>567</v>
      </c>
      <c r="C27" t="s">
        <v>1881</v>
      </c>
      <c r="D27" t="s">
        <v>253</v>
      </c>
      <c r="E27" t="str">
        <f>IF(ISNUMBER(VLOOKUP(B27,'OECD DAC'!B:C,2,FALSE)), "YES", " ")</f>
        <v xml:space="preserve"> </v>
      </c>
      <c r="F27" t="s">
        <v>1882</v>
      </c>
      <c r="G27" t="s">
        <v>1883</v>
      </c>
      <c r="H27" t="s">
        <v>1662</v>
      </c>
      <c r="I27" t="s">
        <v>883</v>
      </c>
      <c r="J27" t="s">
        <v>1909</v>
      </c>
      <c r="K27" t="s">
        <v>1664</v>
      </c>
      <c r="L27" t="s">
        <v>1664</v>
      </c>
      <c r="M27" t="s">
        <v>1664</v>
      </c>
      <c r="N27" t="s">
        <v>1664</v>
      </c>
      <c r="O27" t="s">
        <v>1664</v>
      </c>
      <c r="P27">
        <v>9.7230000000000008</v>
      </c>
      <c r="Q27">
        <v>5.8680000000000003</v>
      </c>
      <c r="R27">
        <v>6.5190000000000001</v>
      </c>
      <c r="S27">
        <v>5.9279999999999999</v>
      </c>
      <c r="T27">
        <v>6.444</v>
      </c>
      <c r="U27">
        <v>7.0609999999999999</v>
      </c>
      <c r="V27">
        <v>7.0750000000000002</v>
      </c>
      <c r="W27">
        <v>7.5430000000000001</v>
      </c>
      <c r="X27">
        <v>7.3410000000000002</v>
      </c>
      <c r="Y27">
        <v>6.9080000000000004</v>
      </c>
      <c r="Z27">
        <v>7.4249999999999998</v>
      </c>
      <c r="AA27">
        <v>7.9820000000000002</v>
      </c>
      <c r="AB27">
        <v>8.5380000000000003</v>
      </c>
      <c r="AC27">
        <v>7.5</v>
      </c>
      <c r="AD27">
        <v>8.6270000000000007</v>
      </c>
      <c r="AE27">
        <v>11.449</v>
      </c>
      <c r="AF27">
        <v>11.105</v>
      </c>
      <c r="AG27">
        <v>11.577999999999999</v>
      </c>
      <c r="AH27">
        <v>12.641999999999999</v>
      </c>
      <c r="AI27">
        <v>14.724</v>
      </c>
      <c r="AJ27">
        <v>17.555</v>
      </c>
      <c r="AK27">
        <v>20.091000000000001</v>
      </c>
      <c r="AL27">
        <v>20.242999999999999</v>
      </c>
      <c r="AM27">
        <v>22.57</v>
      </c>
      <c r="AN27">
        <v>17.327999999999999</v>
      </c>
      <c r="AO27">
        <v>18.690000000000001</v>
      </c>
      <c r="AP27">
        <v>23.303000000000001</v>
      </c>
      <c r="AQ27">
        <v>23.802</v>
      </c>
      <c r="AR27">
        <v>22.638999999999999</v>
      </c>
      <c r="AS27">
        <v>21.664000000000001</v>
      </c>
      <c r="AT27">
        <v>17.777999999999999</v>
      </c>
      <c r="AU27">
        <v>15.747999999999999</v>
      </c>
      <c r="AV27">
        <v>16.747</v>
      </c>
      <c r="AW27">
        <v>18.300999999999998</v>
      </c>
      <c r="AX27">
        <v>18.375</v>
      </c>
      <c r="AY27">
        <v>16.561</v>
      </c>
      <c r="AZ27">
        <v>26.754999999999999</v>
      </c>
      <c r="BA27">
        <v>47.834000000000003</v>
      </c>
      <c r="BB27">
        <v>36.965000000000003</v>
      </c>
      <c r="BC27">
        <v>30.49</v>
      </c>
      <c r="BD27">
        <v>27.983000000000001</v>
      </c>
      <c r="BE27">
        <v>26.895</v>
      </c>
      <c r="BF27">
        <v>26.553000000000001</v>
      </c>
      <c r="BG27">
        <v>2020</v>
      </c>
      <c r="BH27">
        <v>16.561</v>
      </c>
      <c r="BI27">
        <v>2020</v>
      </c>
    </row>
    <row r="28" spans="1:61" hidden="1">
      <c r="A28">
        <v>918</v>
      </c>
      <c r="B28" t="s">
        <v>435</v>
      </c>
      <c r="C28" t="s">
        <v>1881</v>
      </c>
      <c r="D28" t="s">
        <v>220</v>
      </c>
      <c r="E28" t="str">
        <f>IF(ISNUMBER(VLOOKUP(B28,'OECD DAC'!B:C,2,FALSE)), "YES", " ")</f>
        <v xml:space="preserve"> </v>
      </c>
      <c r="F28" t="s">
        <v>1882</v>
      </c>
      <c r="G28" t="s">
        <v>1883</v>
      </c>
      <c r="H28" t="s">
        <v>1662</v>
      </c>
      <c r="I28" t="s">
        <v>883</v>
      </c>
      <c r="J28" t="s">
        <v>1910</v>
      </c>
      <c r="K28">
        <v>3.2000000000000001E-2</v>
      </c>
      <c r="L28">
        <v>3.5000000000000003E-2</v>
      </c>
      <c r="M28">
        <v>3.5999999999999997E-2</v>
      </c>
      <c r="N28">
        <v>3.6999999999999998E-2</v>
      </c>
      <c r="O28">
        <v>3.9E-2</v>
      </c>
      <c r="P28">
        <v>0.04</v>
      </c>
      <c r="Q28">
        <v>4.2999999999999997E-2</v>
      </c>
      <c r="R28">
        <v>4.4999999999999998E-2</v>
      </c>
      <c r="S28">
        <v>4.8000000000000001E-2</v>
      </c>
      <c r="T28">
        <v>4.9000000000000002E-2</v>
      </c>
      <c r="U28">
        <v>5.6000000000000001E-2</v>
      </c>
      <c r="V28">
        <v>0.16900000000000001</v>
      </c>
      <c r="W28">
        <v>0.249</v>
      </c>
      <c r="X28">
        <v>0.371</v>
      </c>
      <c r="Y28">
        <v>0.65300000000000002</v>
      </c>
      <c r="Z28">
        <v>1.093</v>
      </c>
      <c r="AA28">
        <v>2.1869999999999998</v>
      </c>
      <c r="AB28">
        <v>19.032</v>
      </c>
      <c r="AC28">
        <v>26.46</v>
      </c>
      <c r="AD28">
        <v>25.042999999999999</v>
      </c>
      <c r="AE28">
        <v>28.125</v>
      </c>
      <c r="AF28">
        <v>30.986999999999998</v>
      </c>
      <c r="AG28">
        <v>34.069000000000003</v>
      </c>
      <c r="AH28">
        <v>36.637999999999998</v>
      </c>
      <c r="AI28">
        <v>41.201000000000001</v>
      </c>
      <c r="AJ28">
        <v>47.017000000000003</v>
      </c>
      <c r="AK28">
        <v>53.607999999999997</v>
      </c>
      <c r="AL28">
        <v>63.454999999999998</v>
      </c>
      <c r="AM28">
        <v>72.790000000000006</v>
      </c>
      <c r="AN28">
        <v>73.180999999999997</v>
      </c>
      <c r="AO28">
        <v>74.878</v>
      </c>
      <c r="AP28">
        <v>81.123999999999995</v>
      </c>
      <c r="AQ28">
        <v>82.646000000000001</v>
      </c>
      <c r="AR28">
        <v>82.242000000000004</v>
      </c>
      <c r="AS28">
        <v>84.15</v>
      </c>
      <c r="AT28">
        <v>89.6</v>
      </c>
      <c r="AU28">
        <v>95.39</v>
      </c>
      <c r="AV28">
        <v>102.741</v>
      </c>
      <c r="AW28">
        <v>109.964</v>
      </c>
      <c r="AX28">
        <v>120.395</v>
      </c>
      <c r="AY28">
        <v>119.95099999999999</v>
      </c>
      <c r="AZ28">
        <v>132.744</v>
      </c>
      <c r="BA28">
        <v>155.31899999999999</v>
      </c>
      <c r="BB28">
        <v>167.47499999999999</v>
      </c>
      <c r="BC28">
        <v>176.93100000000001</v>
      </c>
      <c r="BD28">
        <v>187</v>
      </c>
      <c r="BE28">
        <v>196.05099999999999</v>
      </c>
      <c r="BF28">
        <v>205.88900000000001</v>
      </c>
      <c r="BG28">
        <v>2021</v>
      </c>
      <c r="BH28">
        <v>132.744</v>
      </c>
      <c r="BI28">
        <v>2021</v>
      </c>
    </row>
    <row r="29" spans="1:61" hidden="1">
      <c r="A29">
        <v>748</v>
      </c>
      <c r="B29" t="s">
        <v>325</v>
      </c>
      <c r="C29" t="s">
        <v>1881</v>
      </c>
      <c r="D29" t="s">
        <v>112</v>
      </c>
      <c r="E29" t="str">
        <f>IF(ISNUMBER(VLOOKUP(B29,'OECD DAC'!B:C,2,FALSE)), "YES", " ")</f>
        <v xml:space="preserve"> </v>
      </c>
      <c r="F29" t="s">
        <v>1882</v>
      </c>
      <c r="G29" t="s">
        <v>1883</v>
      </c>
      <c r="H29" t="s">
        <v>1662</v>
      </c>
      <c r="I29" t="s">
        <v>883</v>
      </c>
      <c r="J29" t="s">
        <v>1911</v>
      </c>
      <c r="K29">
        <v>504.06299999999999</v>
      </c>
      <c r="L29">
        <v>564.04600000000005</v>
      </c>
      <c r="M29">
        <v>635.404</v>
      </c>
      <c r="N29">
        <v>673.37300000000005</v>
      </c>
      <c r="O29">
        <v>690.17100000000005</v>
      </c>
      <c r="P29">
        <v>784.44600000000003</v>
      </c>
      <c r="Q29">
        <v>793.11300000000006</v>
      </c>
      <c r="R29">
        <v>801.029</v>
      </c>
      <c r="S29">
        <v>876.34</v>
      </c>
      <c r="T29">
        <v>938.43499999999995</v>
      </c>
      <c r="U29">
        <v>949.66</v>
      </c>
      <c r="V29">
        <v>994.69600000000003</v>
      </c>
      <c r="W29">
        <v>999.27499999999998</v>
      </c>
      <c r="X29">
        <v>1018.96</v>
      </c>
      <c r="Y29">
        <v>1183.48</v>
      </c>
      <c r="Z29">
        <v>1335.83</v>
      </c>
      <c r="AA29">
        <v>1488.14</v>
      </c>
      <c r="AB29">
        <v>1606.77</v>
      </c>
      <c r="AC29">
        <v>1861.09</v>
      </c>
      <c r="AD29">
        <v>2086.19</v>
      </c>
      <c r="AE29">
        <v>2108.16</v>
      </c>
      <c r="AF29">
        <v>2336.62</v>
      </c>
      <c r="AG29">
        <v>2512.87</v>
      </c>
      <c r="AH29">
        <v>2749.16</v>
      </c>
      <c r="AI29">
        <v>2874.88</v>
      </c>
      <c r="AJ29">
        <v>3240.72</v>
      </c>
      <c r="AK29">
        <v>3420.54</v>
      </c>
      <c r="AL29">
        <v>3649.93</v>
      </c>
      <c r="AM29">
        <v>4215.34</v>
      </c>
      <c r="AN29">
        <v>4444.6000000000004</v>
      </c>
      <c r="AO29">
        <v>5002.18</v>
      </c>
      <c r="AP29">
        <v>5692.82</v>
      </c>
      <c r="AQ29">
        <v>6413.11</v>
      </c>
      <c r="AR29">
        <v>6640.14</v>
      </c>
      <c r="AS29">
        <v>6884.47</v>
      </c>
      <c r="AT29">
        <v>6995.31</v>
      </c>
      <c r="AU29">
        <v>7605.12</v>
      </c>
      <c r="AV29">
        <v>8191.3</v>
      </c>
      <c r="AW29">
        <v>8920.42</v>
      </c>
      <c r="AX29">
        <v>9369.19</v>
      </c>
      <c r="AY29">
        <v>9988.3700000000008</v>
      </c>
      <c r="AZ29">
        <v>10583.14</v>
      </c>
      <c r="BA29">
        <v>11415.55</v>
      </c>
      <c r="BB29">
        <v>12221.7</v>
      </c>
      <c r="BC29">
        <v>13123.58</v>
      </c>
      <c r="BD29">
        <v>14089.99</v>
      </c>
      <c r="BE29">
        <v>15140.02</v>
      </c>
      <c r="BF29">
        <v>16262.01</v>
      </c>
      <c r="BG29">
        <v>2020</v>
      </c>
      <c r="BH29">
        <v>9988.3700000000008</v>
      </c>
      <c r="BI29">
        <v>2020</v>
      </c>
    </row>
    <row r="30" spans="1:61" hidden="1">
      <c r="A30">
        <v>618</v>
      </c>
      <c r="B30" t="s">
        <v>305</v>
      </c>
      <c r="C30" t="s">
        <v>1881</v>
      </c>
      <c r="D30" t="s">
        <v>93</v>
      </c>
      <c r="E30" t="str">
        <f>IF(ISNUMBER(VLOOKUP(B30,'OECD DAC'!B:C,2,FALSE)), "YES", " ")</f>
        <v xml:space="preserve"> </v>
      </c>
      <c r="F30" t="s">
        <v>1882</v>
      </c>
      <c r="G30" t="s">
        <v>1883</v>
      </c>
      <c r="H30" t="s">
        <v>1662</v>
      </c>
      <c r="I30" t="s">
        <v>883</v>
      </c>
      <c r="J30" t="s">
        <v>1912</v>
      </c>
      <c r="K30">
        <v>85.546000000000006</v>
      </c>
      <c r="L30">
        <v>89.022000000000006</v>
      </c>
      <c r="M30">
        <v>94.027000000000001</v>
      </c>
      <c r="N30">
        <v>102.819</v>
      </c>
      <c r="O30">
        <v>120.36499999999999</v>
      </c>
      <c r="P30">
        <v>141.24600000000001</v>
      </c>
      <c r="Q30">
        <v>140.74199999999999</v>
      </c>
      <c r="R30">
        <v>143.488</v>
      </c>
      <c r="S30">
        <v>152.798</v>
      </c>
      <c r="T30">
        <v>179.42</v>
      </c>
      <c r="U30">
        <v>193.66200000000001</v>
      </c>
      <c r="V30">
        <v>211.84899999999999</v>
      </c>
      <c r="W30">
        <v>225.43899999999999</v>
      </c>
      <c r="X30">
        <v>227.738</v>
      </c>
      <c r="Y30">
        <v>233.554</v>
      </c>
      <c r="Z30">
        <v>249.68700000000001</v>
      </c>
      <c r="AA30">
        <v>262.89299999999997</v>
      </c>
      <c r="AB30">
        <v>342.54199999999997</v>
      </c>
      <c r="AC30">
        <v>399.88099999999997</v>
      </c>
      <c r="AD30">
        <v>487.88</v>
      </c>
      <c r="AE30">
        <v>627.26199999999994</v>
      </c>
      <c r="AF30">
        <v>727.96299999999997</v>
      </c>
      <c r="AG30">
        <v>768.14499999999998</v>
      </c>
      <c r="AH30">
        <v>849.38199999999995</v>
      </c>
      <c r="AI30">
        <v>1007.49</v>
      </c>
      <c r="AJ30">
        <v>1208.24</v>
      </c>
      <c r="AK30">
        <v>1309.9000000000001</v>
      </c>
      <c r="AL30">
        <v>1467.23</v>
      </c>
      <c r="AM30">
        <v>1911.14</v>
      </c>
      <c r="AN30">
        <v>2184.1799999999998</v>
      </c>
      <c r="AO30">
        <v>2501.0500000000002</v>
      </c>
      <c r="AP30">
        <v>2819.53</v>
      </c>
      <c r="AQ30">
        <v>3365.81</v>
      </c>
      <c r="AR30">
        <v>3812.5</v>
      </c>
      <c r="AS30">
        <v>4185</v>
      </c>
      <c r="AT30">
        <v>4879.79</v>
      </c>
      <c r="AU30">
        <v>4897.1000000000004</v>
      </c>
      <c r="AV30">
        <v>5485.07</v>
      </c>
      <c r="AW30">
        <v>5414.49</v>
      </c>
      <c r="AX30">
        <v>5559.59</v>
      </c>
      <c r="AY30">
        <v>5910.57</v>
      </c>
      <c r="AZ30">
        <v>6568.02</v>
      </c>
      <c r="BA30">
        <v>7378.87</v>
      </c>
      <c r="BB30">
        <v>8295.68</v>
      </c>
      <c r="BC30">
        <v>9352.36</v>
      </c>
      <c r="BD30">
        <v>10525.52</v>
      </c>
      <c r="BE30">
        <v>11725.99</v>
      </c>
      <c r="BF30">
        <v>13008.31</v>
      </c>
      <c r="BG30">
        <v>2019</v>
      </c>
      <c r="BH30">
        <v>5559.59</v>
      </c>
      <c r="BI30">
        <v>2019</v>
      </c>
    </row>
    <row r="31" spans="1:61" hidden="1">
      <c r="A31">
        <v>624</v>
      </c>
      <c r="B31" t="s">
        <v>369</v>
      </c>
      <c r="C31" t="s">
        <v>1881</v>
      </c>
      <c r="D31" t="s">
        <v>155</v>
      </c>
      <c r="E31" t="str">
        <f>IF(ISNUMBER(VLOOKUP(B31,'OECD DAC'!B:C,2,FALSE)), "YES", " ")</f>
        <v xml:space="preserve"> </v>
      </c>
      <c r="F31" t="s">
        <v>1882</v>
      </c>
      <c r="G31" t="s">
        <v>1883</v>
      </c>
      <c r="H31" t="s">
        <v>1662</v>
      </c>
      <c r="I31" t="s">
        <v>883</v>
      </c>
      <c r="J31" t="s">
        <v>1913</v>
      </c>
      <c r="K31">
        <v>6.2910000000000004</v>
      </c>
      <c r="L31">
        <v>7.4770000000000003</v>
      </c>
      <c r="M31">
        <v>9.0259999999999998</v>
      </c>
      <c r="N31">
        <v>10.930999999999999</v>
      </c>
      <c r="O31">
        <v>12.34</v>
      </c>
      <c r="P31">
        <v>13.898</v>
      </c>
      <c r="Q31">
        <v>16.827000000000002</v>
      </c>
      <c r="R31">
        <v>18.838999999999999</v>
      </c>
      <c r="S31">
        <v>21.052</v>
      </c>
      <c r="T31">
        <v>23.036999999999999</v>
      </c>
      <c r="U31">
        <v>23.748999999999999</v>
      </c>
      <c r="V31">
        <v>25.242999999999999</v>
      </c>
      <c r="W31">
        <v>26.84</v>
      </c>
      <c r="X31">
        <v>32.011000000000003</v>
      </c>
      <c r="Y31">
        <v>36.652999999999999</v>
      </c>
      <c r="Z31">
        <v>41.215000000000003</v>
      </c>
      <c r="AA31">
        <v>45.640999999999998</v>
      </c>
      <c r="AB31">
        <v>50.292000000000002</v>
      </c>
      <c r="AC31">
        <v>56.396999999999998</v>
      </c>
      <c r="AD31">
        <v>67.501000000000005</v>
      </c>
      <c r="AE31">
        <v>70.536000000000001</v>
      </c>
      <c r="AF31">
        <v>75.847999999999999</v>
      </c>
      <c r="AG31">
        <v>79.599999999999994</v>
      </c>
      <c r="AH31">
        <v>87.09</v>
      </c>
      <c r="AI31">
        <v>90.811000000000007</v>
      </c>
      <c r="AJ31">
        <v>96.69</v>
      </c>
      <c r="AK31">
        <v>108.72199999999999</v>
      </c>
      <c r="AL31">
        <v>121.974</v>
      </c>
      <c r="AM31">
        <v>134.69800000000001</v>
      </c>
      <c r="AN31">
        <v>135.87899999999999</v>
      </c>
      <c r="AO31">
        <v>138.56899999999999</v>
      </c>
      <c r="AP31">
        <v>147.92400000000001</v>
      </c>
      <c r="AQ31">
        <v>150.351</v>
      </c>
      <c r="AR31">
        <v>153.72300000000001</v>
      </c>
      <c r="AS31">
        <v>154.43600000000001</v>
      </c>
      <c r="AT31">
        <v>158.69900000000001</v>
      </c>
      <c r="AU31">
        <v>165.78200000000001</v>
      </c>
      <c r="AV31">
        <v>173.09700000000001</v>
      </c>
      <c r="AW31">
        <v>183.69800000000001</v>
      </c>
      <c r="AX31">
        <v>195.202</v>
      </c>
      <c r="AY31">
        <v>164.911</v>
      </c>
      <c r="AZ31">
        <v>181.392</v>
      </c>
      <c r="BA31">
        <v>195.33699999999999</v>
      </c>
      <c r="BB31">
        <v>210.25399999999999</v>
      </c>
      <c r="BC31">
        <v>226.62</v>
      </c>
      <c r="BD31">
        <v>243.94399999999999</v>
      </c>
      <c r="BE31">
        <v>261.25</v>
      </c>
      <c r="BF31">
        <v>278.553</v>
      </c>
      <c r="BG31">
        <v>2020</v>
      </c>
      <c r="BH31">
        <v>164.911</v>
      </c>
      <c r="BI31">
        <v>2020</v>
      </c>
    </row>
    <row r="32" spans="1:61" hidden="1">
      <c r="A32">
        <v>522</v>
      </c>
      <c r="B32" t="s">
        <v>346</v>
      </c>
      <c r="C32" t="s">
        <v>1881</v>
      </c>
      <c r="D32" t="s">
        <v>132</v>
      </c>
      <c r="E32" t="str">
        <f>IF(ISNUMBER(VLOOKUP(B32,'OECD DAC'!B:C,2,FALSE)), "YES", " ")</f>
        <v xml:space="preserve"> </v>
      </c>
      <c r="F32" t="s">
        <v>1882</v>
      </c>
      <c r="G32" t="s">
        <v>1883</v>
      </c>
      <c r="H32" t="s">
        <v>1662</v>
      </c>
      <c r="I32" t="s">
        <v>883</v>
      </c>
      <c r="J32" t="s">
        <v>1914</v>
      </c>
      <c r="K32" t="s">
        <v>1664</v>
      </c>
      <c r="L32" t="s">
        <v>1664</v>
      </c>
      <c r="M32" t="s">
        <v>1664</v>
      </c>
      <c r="N32" t="s">
        <v>1664</v>
      </c>
      <c r="O32" t="s">
        <v>1664</v>
      </c>
      <c r="P32" t="s">
        <v>1664</v>
      </c>
      <c r="Q32">
        <v>183.155</v>
      </c>
      <c r="R32">
        <v>125.581</v>
      </c>
      <c r="S32">
        <v>241.31200000000001</v>
      </c>
      <c r="T32">
        <v>296.71499999999997</v>
      </c>
      <c r="U32">
        <v>737.47799999999995</v>
      </c>
      <c r="V32">
        <v>1644.86</v>
      </c>
      <c r="W32">
        <v>3089.04</v>
      </c>
      <c r="X32">
        <v>6665.62</v>
      </c>
      <c r="Y32">
        <v>7105.04</v>
      </c>
      <c r="Z32">
        <v>8433.7099999999991</v>
      </c>
      <c r="AA32">
        <v>9201.92</v>
      </c>
      <c r="AB32">
        <v>10145.33</v>
      </c>
      <c r="AC32">
        <v>11720.32</v>
      </c>
      <c r="AD32">
        <v>13376.07</v>
      </c>
      <c r="AE32">
        <v>14082.64</v>
      </c>
      <c r="AF32">
        <v>15633.22</v>
      </c>
      <c r="AG32">
        <v>16780.54</v>
      </c>
      <c r="AH32">
        <v>18535.16</v>
      </c>
      <c r="AI32">
        <v>21438.34</v>
      </c>
      <c r="AJ32">
        <v>25754.29</v>
      </c>
      <c r="AK32">
        <v>29849.49</v>
      </c>
      <c r="AL32">
        <v>35042.18</v>
      </c>
      <c r="AM32">
        <v>41968.39</v>
      </c>
      <c r="AN32">
        <v>43056.73</v>
      </c>
      <c r="AO32">
        <v>47047.99</v>
      </c>
      <c r="AP32">
        <v>52068.69</v>
      </c>
      <c r="AQ32">
        <v>56681.57</v>
      </c>
      <c r="AR32">
        <v>61326.93</v>
      </c>
      <c r="AS32">
        <v>67436.789999999994</v>
      </c>
      <c r="AT32">
        <v>73422.7</v>
      </c>
      <c r="AU32">
        <v>81241.87</v>
      </c>
      <c r="AV32">
        <v>89830.53</v>
      </c>
      <c r="AW32">
        <v>99544.28</v>
      </c>
      <c r="AX32">
        <v>110014.05</v>
      </c>
      <c r="AY32">
        <v>103511.61</v>
      </c>
      <c r="AZ32">
        <v>108785.52</v>
      </c>
      <c r="BA32">
        <v>117679.21</v>
      </c>
      <c r="BB32">
        <v>128396.2</v>
      </c>
      <c r="BC32">
        <v>140323.93</v>
      </c>
      <c r="BD32">
        <v>153687.24</v>
      </c>
      <c r="BE32">
        <v>168593.23</v>
      </c>
      <c r="BF32">
        <v>185437.12</v>
      </c>
      <c r="BG32">
        <v>2020</v>
      </c>
      <c r="BH32">
        <v>103511.61</v>
      </c>
      <c r="BI32">
        <v>2020</v>
      </c>
    </row>
    <row r="33" spans="1:61" hidden="1">
      <c r="A33">
        <v>622</v>
      </c>
      <c r="B33" t="s">
        <v>347</v>
      </c>
      <c r="C33" t="s">
        <v>1881</v>
      </c>
      <c r="D33" t="s">
        <v>133</v>
      </c>
      <c r="E33" t="str">
        <f>IF(ISNUMBER(VLOOKUP(B33,'OECD DAC'!B:C,2,FALSE)), "YES", " ")</f>
        <v xml:space="preserve"> </v>
      </c>
      <c r="F33" t="s">
        <v>1882</v>
      </c>
      <c r="G33" t="s">
        <v>1883</v>
      </c>
      <c r="H33" t="s">
        <v>1662</v>
      </c>
      <c r="I33" t="s">
        <v>883</v>
      </c>
      <c r="J33" t="s">
        <v>1915</v>
      </c>
      <c r="K33">
        <v>1851.52</v>
      </c>
      <c r="L33">
        <v>2358.6</v>
      </c>
      <c r="M33">
        <v>2852.7</v>
      </c>
      <c r="N33">
        <v>3437.27</v>
      </c>
      <c r="O33">
        <v>4194.78</v>
      </c>
      <c r="P33">
        <v>5040.1499999999996</v>
      </c>
      <c r="Q33">
        <v>5391.1</v>
      </c>
      <c r="R33">
        <v>5149.17</v>
      </c>
      <c r="S33">
        <v>4784.95</v>
      </c>
      <c r="T33">
        <v>4612.3100000000004</v>
      </c>
      <c r="U33">
        <v>4401.97</v>
      </c>
      <c r="V33">
        <v>4385.42</v>
      </c>
      <c r="W33">
        <v>4195.1099999999997</v>
      </c>
      <c r="X33">
        <v>4142.59</v>
      </c>
      <c r="Y33">
        <v>4619.97</v>
      </c>
      <c r="Z33">
        <v>5225.0600000000004</v>
      </c>
      <c r="AA33">
        <v>5634.02</v>
      </c>
      <c r="AB33">
        <v>6142.68</v>
      </c>
      <c r="AC33">
        <v>6688.53</v>
      </c>
      <c r="AD33">
        <v>7118.46</v>
      </c>
      <c r="AE33">
        <v>7504.47</v>
      </c>
      <c r="AF33">
        <v>8022.31</v>
      </c>
      <c r="AG33">
        <v>8614.01</v>
      </c>
      <c r="AH33">
        <v>9261.15</v>
      </c>
      <c r="AI33">
        <v>9927.7800000000007</v>
      </c>
      <c r="AJ33">
        <v>10286.73</v>
      </c>
      <c r="AK33">
        <v>10924.19</v>
      </c>
      <c r="AL33">
        <v>11452.87</v>
      </c>
      <c r="AM33">
        <v>12360.95</v>
      </c>
      <c r="AN33">
        <v>13136.69</v>
      </c>
      <c r="AO33">
        <v>13610.55</v>
      </c>
      <c r="AP33">
        <v>14434.77</v>
      </c>
      <c r="AQ33">
        <v>15395.86</v>
      </c>
      <c r="AR33">
        <v>16658.55</v>
      </c>
      <c r="AS33">
        <v>17966.12</v>
      </c>
      <c r="AT33">
        <v>19043.07</v>
      </c>
      <c r="AU33">
        <v>20038.57</v>
      </c>
      <c r="AV33">
        <v>20960.87</v>
      </c>
      <c r="AW33">
        <v>22203.33</v>
      </c>
      <c r="AX33">
        <v>23243.66</v>
      </c>
      <c r="AY33">
        <v>23486.47</v>
      </c>
      <c r="AZ33">
        <v>24967.71</v>
      </c>
      <c r="BA33">
        <v>26905.599999999999</v>
      </c>
      <c r="BB33">
        <v>28735.91</v>
      </c>
      <c r="BC33">
        <v>30544.89</v>
      </c>
      <c r="BD33">
        <v>32690.1</v>
      </c>
      <c r="BE33">
        <v>35015.64</v>
      </c>
      <c r="BF33">
        <v>37456.870000000003</v>
      </c>
      <c r="BG33">
        <v>2020</v>
      </c>
      <c r="BH33">
        <v>23486.47</v>
      </c>
      <c r="BI33">
        <v>2020</v>
      </c>
    </row>
    <row r="34" spans="1:61">
      <c r="A34">
        <v>156</v>
      </c>
      <c r="B34" t="s">
        <v>455</v>
      </c>
      <c r="C34" t="s">
        <v>1881</v>
      </c>
      <c r="D34" t="s">
        <v>64</v>
      </c>
      <c r="E34" t="str">
        <f>IF(ISNUMBER(VLOOKUP(B34,'OECD DAC'!B:C,2,FALSE)), "YES", " ")</f>
        <v>YES</v>
      </c>
      <c r="F34" t="s">
        <v>1882</v>
      </c>
      <c r="G34" t="s">
        <v>1883</v>
      </c>
      <c r="H34" t="s">
        <v>1662</v>
      </c>
      <c r="I34" t="s">
        <v>883</v>
      </c>
      <c r="J34" t="s">
        <v>1916</v>
      </c>
      <c r="K34">
        <v>322.78199999999998</v>
      </c>
      <c r="L34">
        <v>368.358</v>
      </c>
      <c r="M34">
        <v>388.18099999999998</v>
      </c>
      <c r="N34">
        <v>421.31599999999997</v>
      </c>
      <c r="O34">
        <v>461.98599999999999</v>
      </c>
      <c r="P34">
        <v>500.02699999999999</v>
      </c>
      <c r="Q34">
        <v>526.63</v>
      </c>
      <c r="R34">
        <v>574.33600000000001</v>
      </c>
      <c r="S34">
        <v>626.89400000000001</v>
      </c>
      <c r="T34">
        <v>671.57899999999995</v>
      </c>
      <c r="U34">
        <v>695.50099999999998</v>
      </c>
      <c r="V34">
        <v>701.77300000000002</v>
      </c>
      <c r="W34">
        <v>718.43600000000004</v>
      </c>
      <c r="X34">
        <v>747.03700000000003</v>
      </c>
      <c r="Y34">
        <v>791.97199999999998</v>
      </c>
      <c r="Z34">
        <v>831.62099999999998</v>
      </c>
      <c r="AA34">
        <v>859.83399999999995</v>
      </c>
      <c r="AB34">
        <v>906.92600000000004</v>
      </c>
      <c r="AC34">
        <v>940.548</v>
      </c>
      <c r="AD34">
        <v>1007.93</v>
      </c>
      <c r="AE34">
        <v>1106.07</v>
      </c>
      <c r="AF34">
        <v>1144.54</v>
      </c>
      <c r="AG34">
        <v>1193.69</v>
      </c>
      <c r="AH34">
        <v>1254.75</v>
      </c>
      <c r="AI34">
        <v>1335.73</v>
      </c>
      <c r="AJ34">
        <v>1421.59</v>
      </c>
      <c r="AK34">
        <v>1496.6</v>
      </c>
      <c r="AL34">
        <v>1577.66</v>
      </c>
      <c r="AM34">
        <v>1657.04</v>
      </c>
      <c r="AN34">
        <v>1571.33</v>
      </c>
      <c r="AO34">
        <v>1666.05</v>
      </c>
      <c r="AP34">
        <v>1774.06</v>
      </c>
      <c r="AQ34">
        <v>1827.2</v>
      </c>
      <c r="AR34">
        <v>1902.25</v>
      </c>
      <c r="AS34">
        <v>1994.9</v>
      </c>
      <c r="AT34">
        <v>1990.44</v>
      </c>
      <c r="AU34">
        <v>2025.54</v>
      </c>
      <c r="AV34">
        <v>2140.64</v>
      </c>
      <c r="AW34">
        <v>2235.6799999999998</v>
      </c>
      <c r="AX34">
        <v>2311.29</v>
      </c>
      <c r="AY34">
        <v>2206.7600000000002</v>
      </c>
      <c r="AZ34">
        <v>2496.17</v>
      </c>
      <c r="BA34">
        <v>2802.52</v>
      </c>
      <c r="BB34">
        <v>2919.7</v>
      </c>
      <c r="BC34">
        <v>3008.77</v>
      </c>
      <c r="BD34">
        <v>3112.74</v>
      </c>
      <c r="BE34">
        <v>3224.71</v>
      </c>
      <c r="BF34">
        <v>3339.49</v>
      </c>
      <c r="BG34">
        <v>2021</v>
      </c>
      <c r="BH34">
        <v>2496.17</v>
      </c>
      <c r="BI34">
        <v>2021</v>
      </c>
    </row>
    <row r="35" spans="1:61" hidden="1">
      <c r="A35">
        <v>626</v>
      </c>
      <c r="B35" t="s">
        <v>312</v>
      </c>
      <c r="C35" t="s">
        <v>1881</v>
      </c>
      <c r="D35" t="s">
        <v>99</v>
      </c>
      <c r="E35" t="str">
        <f>IF(ISNUMBER(VLOOKUP(B35,'OECD DAC'!B:C,2,FALSE)), "YES", " ")</f>
        <v xml:space="preserve"> </v>
      </c>
      <c r="F35" t="s">
        <v>1882</v>
      </c>
      <c r="G35" t="s">
        <v>1883</v>
      </c>
      <c r="H35" t="s">
        <v>1662</v>
      </c>
      <c r="I35" t="s">
        <v>883</v>
      </c>
      <c r="J35" t="s">
        <v>1917</v>
      </c>
      <c r="K35">
        <v>168.4</v>
      </c>
      <c r="L35">
        <v>218.1</v>
      </c>
      <c r="M35">
        <v>240.4</v>
      </c>
      <c r="N35">
        <v>253.9</v>
      </c>
      <c r="O35">
        <v>278.7</v>
      </c>
      <c r="P35">
        <v>379.9</v>
      </c>
      <c r="Q35">
        <v>386.04199999999997</v>
      </c>
      <c r="R35">
        <v>362.24299999999999</v>
      </c>
      <c r="S35">
        <v>380.16899999999998</v>
      </c>
      <c r="T35">
        <v>402.88400000000001</v>
      </c>
      <c r="U35">
        <v>404.99599999999998</v>
      </c>
      <c r="V35">
        <v>396.16800000000001</v>
      </c>
      <c r="W35">
        <v>377.85700000000003</v>
      </c>
      <c r="X35">
        <v>366.245</v>
      </c>
      <c r="Y35">
        <v>473.61900000000003</v>
      </c>
      <c r="Z35">
        <v>560.03700000000003</v>
      </c>
      <c r="AA35">
        <v>516.64700000000005</v>
      </c>
      <c r="AB35">
        <v>566.03599999999994</v>
      </c>
      <c r="AC35">
        <v>606.4</v>
      </c>
      <c r="AD35">
        <v>638.66700000000003</v>
      </c>
      <c r="AE35">
        <v>616.01599999999996</v>
      </c>
      <c r="AF35">
        <v>659.23699999999997</v>
      </c>
      <c r="AG35">
        <v>684.95899999999995</v>
      </c>
      <c r="AH35">
        <v>690.66499999999996</v>
      </c>
      <c r="AI35">
        <v>691.96799999999996</v>
      </c>
      <c r="AJ35">
        <v>745.21</v>
      </c>
      <c r="AK35">
        <v>803.94500000000005</v>
      </c>
      <c r="AL35">
        <v>841.07899999999995</v>
      </c>
      <c r="AM35">
        <v>910.45699999999999</v>
      </c>
      <c r="AN35">
        <v>972.27599999999995</v>
      </c>
      <c r="AO35">
        <v>1060.1400000000001</v>
      </c>
      <c r="AP35">
        <v>1148.9000000000001</v>
      </c>
      <c r="AQ35">
        <v>1281.56</v>
      </c>
      <c r="AR35">
        <v>835.45399999999995</v>
      </c>
      <c r="AS35">
        <v>935.57799999999997</v>
      </c>
      <c r="AT35">
        <v>1002.59</v>
      </c>
      <c r="AU35">
        <v>1081.52</v>
      </c>
      <c r="AV35">
        <v>1203.32</v>
      </c>
      <c r="AW35">
        <v>1265.45</v>
      </c>
      <c r="AX35">
        <v>1334.6</v>
      </c>
      <c r="AY35">
        <v>1372.51</v>
      </c>
      <c r="AZ35">
        <v>1431.73</v>
      </c>
      <c r="BA35">
        <v>1538.93</v>
      </c>
      <c r="BB35">
        <v>1652.15</v>
      </c>
      <c r="BC35">
        <v>1764.03</v>
      </c>
      <c r="BD35">
        <v>1880.64</v>
      </c>
      <c r="BE35">
        <v>2004.98</v>
      </c>
      <c r="BF35">
        <v>2150.79</v>
      </c>
      <c r="BG35">
        <v>2017</v>
      </c>
      <c r="BH35">
        <v>1372.51</v>
      </c>
      <c r="BI35" t="s">
        <v>1699</v>
      </c>
    </row>
    <row r="36" spans="1:61" hidden="1">
      <c r="A36">
        <v>628</v>
      </c>
      <c r="B36" t="s">
        <v>318</v>
      </c>
      <c r="C36" t="s">
        <v>1881</v>
      </c>
      <c r="D36" t="s">
        <v>105</v>
      </c>
      <c r="E36" t="str">
        <f>IF(ISNUMBER(VLOOKUP(B36,'OECD DAC'!B:C,2,FALSE)), "YES", " ")</f>
        <v xml:space="preserve"> </v>
      </c>
      <c r="F36" t="s">
        <v>1882</v>
      </c>
      <c r="G36" t="s">
        <v>1883</v>
      </c>
      <c r="H36" t="s">
        <v>1662</v>
      </c>
      <c r="I36" t="s">
        <v>883</v>
      </c>
      <c r="J36" t="s">
        <v>1918</v>
      </c>
      <c r="K36">
        <v>166.13</v>
      </c>
      <c r="L36">
        <v>251.02600000000001</v>
      </c>
      <c r="M36">
        <v>283.84500000000003</v>
      </c>
      <c r="N36">
        <v>352.322</v>
      </c>
      <c r="O36">
        <v>435.06900000000002</v>
      </c>
      <c r="P36">
        <v>441.74599999999998</v>
      </c>
      <c r="Q36">
        <v>419.24099999999999</v>
      </c>
      <c r="R36">
        <v>412.37900000000002</v>
      </c>
      <c r="S36">
        <v>477.90300000000002</v>
      </c>
      <c r="T36">
        <v>483.33499999999998</v>
      </c>
      <c r="U36">
        <v>497.14100000000002</v>
      </c>
      <c r="V36">
        <v>510.38200000000001</v>
      </c>
      <c r="W36">
        <v>499.17899999999997</v>
      </c>
      <c r="X36">
        <v>466.68099999999998</v>
      </c>
      <c r="Y36">
        <v>741.3</v>
      </c>
      <c r="Z36">
        <v>816.75599999999997</v>
      </c>
      <c r="AA36">
        <v>930.50300000000004</v>
      </c>
      <c r="AB36">
        <v>1020.3</v>
      </c>
      <c r="AC36">
        <v>1164.8800000000001</v>
      </c>
      <c r="AD36">
        <v>1069.31</v>
      </c>
      <c r="AE36">
        <v>1115.97</v>
      </c>
      <c r="AF36">
        <v>1418</v>
      </c>
      <c r="AG36">
        <v>1567.75</v>
      </c>
      <c r="AH36">
        <v>1799.59</v>
      </c>
      <c r="AI36">
        <v>2639.32</v>
      </c>
      <c r="AJ36">
        <v>3518.12</v>
      </c>
      <c r="AK36">
        <v>3892.34</v>
      </c>
      <c r="AL36">
        <v>4157.43</v>
      </c>
      <c r="AM36">
        <v>4652.3900000000003</v>
      </c>
      <c r="AN36">
        <v>4385.5600000000004</v>
      </c>
      <c r="AO36">
        <v>5290.61</v>
      </c>
      <c r="AP36">
        <v>5742.4</v>
      </c>
      <c r="AQ36">
        <v>6332.45</v>
      </c>
      <c r="AR36">
        <v>6417.74</v>
      </c>
      <c r="AS36">
        <v>6912.49</v>
      </c>
      <c r="AT36">
        <v>6474.07</v>
      </c>
      <c r="AU36">
        <v>6047.15</v>
      </c>
      <c r="AV36">
        <v>5854.57</v>
      </c>
      <c r="AW36">
        <v>6130.69</v>
      </c>
      <c r="AX36">
        <v>6440.47</v>
      </c>
      <c r="AY36">
        <v>6165.75</v>
      </c>
      <c r="AZ36">
        <v>6537.52</v>
      </c>
      <c r="BA36">
        <v>7614.83</v>
      </c>
      <c r="BB36">
        <v>7844.01</v>
      </c>
      <c r="BC36">
        <v>8140.98</v>
      </c>
      <c r="BD36">
        <v>8512.3700000000008</v>
      </c>
      <c r="BE36">
        <v>8954.27</v>
      </c>
      <c r="BF36">
        <v>9441.7800000000007</v>
      </c>
      <c r="BG36">
        <v>2017</v>
      </c>
      <c r="BH36">
        <v>6165.75</v>
      </c>
      <c r="BI36" t="s">
        <v>1699</v>
      </c>
    </row>
    <row r="37" spans="1:61" hidden="1">
      <c r="A37">
        <v>228</v>
      </c>
      <c r="B37" t="s">
        <v>507</v>
      </c>
      <c r="C37" t="s">
        <v>1881</v>
      </c>
      <c r="D37" t="s">
        <v>232</v>
      </c>
      <c r="E37" t="str">
        <f>IF(ISNUMBER(VLOOKUP(B37,'OECD DAC'!B:C,2,FALSE)), "YES", " ")</f>
        <v xml:space="preserve"> </v>
      </c>
      <c r="F37" t="s">
        <v>1882</v>
      </c>
      <c r="G37" t="s">
        <v>1883</v>
      </c>
      <c r="H37" t="s">
        <v>1662</v>
      </c>
      <c r="I37" t="s">
        <v>883</v>
      </c>
      <c r="J37" t="s">
        <v>1919</v>
      </c>
      <c r="K37">
        <v>1164.45</v>
      </c>
      <c r="L37">
        <v>1378.72</v>
      </c>
      <c r="M37">
        <v>1341.89</v>
      </c>
      <c r="N37">
        <v>1686.9</v>
      </c>
      <c r="O37">
        <v>2050.4299999999998</v>
      </c>
      <c r="P37">
        <v>2871.89</v>
      </c>
      <c r="Q37">
        <v>3702.8</v>
      </c>
      <c r="R37">
        <v>4966.5</v>
      </c>
      <c r="S37">
        <v>6538</v>
      </c>
      <c r="T37">
        <v>8205.85</v>
      </c>
      <c r="U37">
        <v>10420.379999999999</v>
      </c>
      <c r="V37">
        <v>13737.02</v>
      </c>
      <c r="W37">
        <v>17375.41</v>
      </c>
      <c r="X37">
        <v>20722.53</v>
      </c>
      <c r="Y37">
        <v>24854.47</v>
      </c>
      <c r="Z37">
        <v>30244.66</v>
      </c>
      <c r="AA37">
        <v>33314.86</v>
      </c>
      <c r="AB37">
        <v>36879.26</v>
      </c>
      <c r="AC37">
        <v>38888.28</v>
      </c>
      <c r="AD37">
        <v>39580.879999999997</v>
      </c>
      <c r="AE37">
        <v>43485.36</v>
      </c>
      <c r="AF37">
        <v>46520.58</v>
      </c>
      <c r="AG37">
        <v>49490.06</v>
      </c>
      <c r="AH37">
        <v>53760.72</v>
      </c>
      <c r="AI37">
        <v>61913.62</v>
      </c>
      <c r="AJ37">
        <v>70216.69</v>
      </c>
      <c r="AK37">
        <v>83529.36</v>
      </c>
      <c r="AL37">
        <v>92141.03</v>
      </c>
      <c r="AM37">
        <v>95387.57</v>
      </c>
      <c r="AN37">
        <v>98046.1</v>
      </c>
      <c r="AO37">
        <v>112511.24</v>
      </c>
      <c r="AP37">
        <v>122918.57</v>
      </c>
      <c r="AQ37">
        <v>131046.35</v>
      </c>
      <c r="AR37">
        <v>137310.64000000001</v>
      </c>
      <c r="AS37">
        <v>147936.92000000001</v>
      </c>
      <c r="AT37">
        <v>158609.26</v>
      </c>
      <c r="AU37">
        <v>168737.74</v>
      </c>
      <c r="AV37">
        <v>179230.26</v>
      </c>
      <c r="AW37">
        <v>189333.37</v>
      </c>
      <c r="AX37">
        <v>195809.29</v>
      </c>
      <c r="AY37">
        <v>200022.74</v>
      </c>
      <c r="AZ37">
        <v>240521.2</v>
      </c>
      <c r="BA37">
        <v>258531.32</v>
      </c>
      <c r="BB37">
        <v>272634.71000000002</v>
      </c>
      <c r="BC37">
        <v>285737.01</v>
      </c>
      <c r="BD37">
        <v>300391.36</v>
      </c>
      <c r="BE37">
        <v>315863.59000000003</v>
      </c>
      <c r="BF37">
        <v>332472.32000000001</v>
      </c>
      <c r="BG37">
        <v>2021</v>
      </c>
      <c r="BH37">
        <v>240521.2</v>
      </c>
      <c r="BI37">
        <v>2021</v>
      </c>
    </row>
    <row r="38" spans="1:61" hidden="1">
      <c r="A38">
        <v>924</v>
      </c>
      <c r="B38" t="s">
        <v>439</v>
      </c>
      <c r="C38" t="s">
        <v>1881</v>
      </c>
      <c r="D38" t="s">
        <v>224</v>
      </c>
      <c r="E38" t="str">
        <f>IF(ISNUMBER(VLOOKUP(B38,'OECD DAC'!B:C,2,FALSE)), "YES", " ")</f>
        <v xml:space="preserve"> </v>
      </c>
      <c r="F38" t="s">
        <v>1882</v>
      </c>
      <c r="G38" t="s">
        <v>1883</v>
      </c>
      <c r="H38" t="s">
        <v>1662</v>
      </c>
      <c r="I38" t="s">
        <v>883</v>
      </c>
      <c r="J38" t="s">
        <v>1920</v>
      </c>
      <c r="K38">
        <v>454.05200000000002</v>
      </c>
      <c r="L38">
        <v>492.16</v>
      </c>
      <c r="M38">
        <v>538.63199999999995</v>
      </c>
      <c r="N38">
        <v>603.423</v>
      </c>
      <c r="O38">
        <v>729.01400000000001</v>
      </c>
      <c r="P38">
        <v>910.80799999999999</v>
      </c>
      <c r="Q38">
        <v>1039.03</v>
      </c>
      <c r="R38">
        <v>1219.8</v>
      </c>
      <c r="S38">
        <v>1521.05</v>
      </c>
      <c r="T38">
        <v>1725.05</v>
      </c>
      <c r="U38">
        <v>1896.93</v>
      </c>
      <c r="V38">
        <v>2199.7199999999998</v>
      </c>
      <c r="W38">
        <v>2714.03</v>
      </c>
      <c r="X38">
        <v>3557.6</v>
      </c>
      <c r="Y38">
        <v>4841.03</v>
      </c>
      <c r="Z38">
        <v>6105.04</v>
      </c>
      <c r="AA38">
        <v>7154.15</v>
      </c>
      <c r="AB38">
        <v>7941.58</v>
      </c>
      <c r="AC38">
        <v>8479.08</v>
      </c>
      <c r="AD38">
        <v>9009.51</v>
      </c>
      <c r="AE38">
        <v>9979.9</v>
      </c>
      <c r="AF38">
        <v>11038.84</v>
      </c>
      <c r="AG38">
        <v>12132.67</v>
      </c>
      <c r="AH38">
        <v>13714.67</v>
      </c>
      <c r="AI38">
        <v>16135.56</v>
      </c>
      <c r="AJ38">
        <v>18765.75</v>
      </c>
      <c r="AK38">
        <v>21959.75</v>
      </c>
      <c r="AL38">
        <v>27049.94</v>
      </c>
      <c r="AM38">
        <v>31806.76</v>
      </c>
      <c r="AN38">
        <v>34765.03</v>
      </c>
      <c r="AO38">
        <v>40850.54</v>
      </c>
      <c r="AP38">
        <v>48410.93</v>
      </c>
      <c r="AQ38">
        <v>53903.99</v>
      </c>
      <c r="AR38">
        <v>59634.45</v>
      </c>
      <c r="AS38">
        <v>64654.8</v>
      </c>
      <c r="AT38">
        <v>69209.37</v>
      </c>
      <c r="AU38">
        <v>74598.05</v>
      </c>
      <c r="AV38">
        <v>82898.28</v>
      </c>
      <c r="AW38">
        <v>91577.43</v>
      </c>
      <c r="AX38">
        <v>99070.84</v>
      </c>
      <c r="AY38">
        <v>102562.84</v>
      </c>
      <c r="AZ38">
        <v>112585.42</v>
      </c>
      <c r="BA38">
        <v>121594.86</v>
      </c>
      <c r="BB38">
        <v>132038.97</v>
      </c>
      <c r="BC38">
        <v>142039.53</v>
      </c>
      <c r="BD38">
        <v>152274.66</v>
      </c>
      <c r="BE38">
        <v>163035.62</v>
      </c>
      <c r="BF38">
        <v>174542.97</v>
      </c>
      <c r="BG38">
        <v>2021</v>
      </c>
      <c r="BH38">
        <v>112585.42</v>
      </c>
      <c r="BI38">
        <v>2021</v>
      </c>
    </row>
    <row r="39" spans="1:61" hidden="1">
      <c r="A39">
        <v>233</v>
      </c>
      <c r="B39" t="s">
        <v>409</v>
      </c>
      <c r="C39" t="s">
        <v>1881</v>
      </c>
      <c r="D39" t="s">
        <v>194</v>
      </c>
      <c r="E39" t="str">
        <f>IF(ISNUMBER(VLOOKUP(B39,'OECD DAC'!B:C,2,FALSE)), "YES", " ")</f>
        <v xml:space="preserve"> </v>
      </c>
      <c r="F39" t="s">
        <v>1882</v>
      </c>
      <c r="G39" t="s">
        <v>1883</v>
      </c>
      <c r="H39" t="s">
        <v>1662</v>
      </c>
      <c r="I39" t="s">
        <v>883</v>
      </c>
      <c r="J39" t="s">
        <v>1921</v>
      </c>
      <c r="K39">
        <v>2197.61</v>
      </c>
      <c r="L39">
        <v>2759.34</v>
      </c>
      <c r="M39">
        <v>3475.38</v>
      </c>
      <c r="N39">
        <v>4250.3100000000004</v>
      </c>
      <c r="O39">
        <v>5367.04</v>
      </c>
      <c r="P39">
        <v>6910.8</v>
      </c>
      <c r="Q39">
        <v>9446.5</v>
      </c>
      <c r="R39">
        <v>12280.55</v>
      </c>
      <c r="S39">
        <v>16326.01</v>
      </c>
      <c r="T39">
        <v>21051.200000000001</v>
      </c>
      <c r="U39">
        <v>28150.6</v>
      </c>
      <c r="V39">
        <v>36331.56</v>
      </c>
      <c r="W39">
        <v>46641.440000000002</v>
      </c>
      <c r="X39">
        <v>61091.18</v>
      </c>
      <c r="Y39">
        <v>80691.44</v>
      </c>
      <c r="Z39">
        <v>100892.12</v>
      </c>
      <c r="AA39">
        <v>120334.73</v>
      </c>
      <c r="AB39">
        <v>145422.64000000001</v>
      </c>
      <c r="AC39">
        <v>167857.79</v>
      </c>
      <c r="AD39">
        <v>181097.72</v>
      </c>
      <c r="AE39">
        <v>207184.14</v>
      </c>
      <c r="AF39">
        <v>224392.27</v>
      </c>
      <c r="AG39">
        <v>243738.51</v>
      </c>
      <c r="AH39">
        <v>270585.98</v>
      </c>
      <c r="AI39">
        <v>305774.23</v>
      </c>
      <c r="AJ39">
        <v>337959</v>
      </c>
      <c r="AK39">
        <v>381604</v>
      </c>
      <c r="AL39">
        <v>428507</v>
      </c>
      <c r="AM39">
        <v>476554</v>
      </c>
      <c r="AN39">
        <v>501574</v>
      </c>
      <c r="AO39">
        <v>544060</v>
      </c>
      <c r="AP39">
        <v>619023</v>
      </c>
      <c r="AQ39">
        <v>666507</v>
      </c>
      <c r="AR39">
        <v>714093</v>
      </c>
      <c r="AS39">
        <v>762903</v>
      </c>
      <c r="AT39">
        <v>804692</v>
      </c>
      <c r="AU39">
        <v>863782</v>
      </c>
      <c r="AV39">
        <v>920471</v>
      </c>
      <c r="AW39">
        <v>987791</v>
      </c>
      <c r="AX39">
        <v>1060068</v>
      </c>
      <c r="AY39">
        <v>998718</v>
      </c>
      <c r="AZ39">
        <v>1176695</v>
      </c>
      <c r="BA39">
        <v>1338299.48</v>
      </c>
      <c r="BB39">
        <v>1434551.12</v>
      </c>
      <c r="BC39">
        <v>1530014.38</v>
      </c>
      <c r="BD39">
        <v>1630378.6</v>
      </c>
      <c r="BE39">
        <v>1738078.59</v>
      </c>
      <c r="BF39">
        <v>1853054.87</v>
      </c>
      <c r="BG39">
        <v>2021</v>
      </c>
      <c r="BH39">
        <v>1176695</v>
      </c>
      <c r="BI39">
        <v>2021</v>
      </c>
    </row>
    <row r="40" spans="1:61" hidden="1">
      <c r="A40">
        <v>632</v>
      </c>
      <c r="B40" t="s">
        <v>343</v>
      </c>
      <c r="C40" t="s">
        <v>1881</v>
      </c>
      <c r="D40" t="s">
        <v>129</v>
      </c>
      <c r="E40" t="str">
        <f>IF(ISNUMBER(VLOOKUP(B40,'OECD DAC'!B:C,2,FALSE)), "YES", " ")</f>
        <v xml:space="preserve"> </v>
      </c>
      <c r="F40" t="s">
        <v>1882</v>
      </c>
      <c r="G40" t="s">
        <v>1883</v>
      </c>
      <c r="H40" t="s">
        <v>1662</v>
      </c>
      <c r="I40" t="s">
        <v>883</v>
      </c>
      <c r="J40" t="s">
        <v>1922</v>
      </c>
      <c r="K40">
        <v>51.067999999999998</v>
      </c>
      <c r="L40">
        <v>57.468000000000004</v>
      </c>
      <c r="M40">
        <v>65.97</v>
      </c>
      <c r="N40">
        <v>74.245999999999995</v>
      </c>
      <c r="O40">
        <v>82.058999999999997</v>
      </c>
      <c r="P40">
        <v>85.748000000000005</v>
      </c>
      <c r="Q40">
        <v>88.992000000000004</v>
      </c>
      <c r="R40">
        <v>93.817999999999998</v>
      </c>
      <c r="S40">
        <v>99.947999999999993</v>
      </c>
      <c r="T40">
        <v>104.69199999999999</v>
      </c>
      <c r="U40">
        <v>109.205</v>
      </c>
      <c r="V40">
        <v>112.899</v>
      </c>
      <c r="W40">
        <v>115.461</v>
      </c>
      <c r="X40">
        <v>121.029</v>
      </c>
      <c r="Y40">
        <v>130.94</v>
      </c>
      <c r="Z40">
        <v>146.87799999999999</v>
      </c>
      <c r="AA40">
        <v>150.398</v>
      </c>
      <c r="AB40">
        <v>158.613</v>
      </c>
      <c r="AC40">
        <v>160.79499999999999</v>
      </c>
      <c r="AD40">
        <v>171.54900000000001</v>
      </c>
      <c r="AE40">
        <v>180.70500000000001</v>
      </c>
      <c r="AF40">
        <v>204.64400000000001</v>
      </c>
      <c r="AG40">
        <v>222.27199999999999</v>
      </c>
      <c r="AH40">
        <v>237.82900000000001</v>
      </c>
      <c r="AI40">
        <v>246.27199999999999</v>
      </c>
      <c r="AJ40">
        <v>259.35599999999999</v>
      </c>
      <c r="AK40">
        <v>269.767</v>
      </c>
      <c r="AL40">
        <v>285.62700000000001</v>
      </c>
      <c r="AM40">
        <v>306.28800000000001</v>
      </c>
      <c r="AN40">
        <v>319.33199999999999</v>
      </c>
      <c r="AO40">
        <v>336.947</v>
      </c>
      <c r="AP40">
        <v>361.596</v>
      </c>
      <c r="AQ40">
        <v>388.98399999999998</v>
      </c>
      <c r="AR40">
        <v>413.47699999999998</v>
      </c>
      <c r="AS40">
        <v>425.71300000000002</v>
      </c>
      <c r="AT40">
        <v>428.346</v>
      </c>
      <c r="AU40">
        <v>450.15899999999999</v>
      </c>
      <c r="AV40">
        <v>469.21699999999998</v>
      </c>
      <c r="AW40">
        <v>490.95800000000003</v>
      </c>
      <c r="AX40">
        <v>522.04499999999996</v>
      </c>
      <c r="AY40">
        <v>524.947</v>
      </c>
      <c r="AZ40">
        <v>538.37</v>
      </c>
      <c r="BA40">
        <v>571.60299999999995</v>
      </c>
      <c r="BB40">
        <v>597.03200000000004</v>
      </c>
      <c r="BC40">
        <v>627.37400000000002</v>
      </c>
      <c r="BD40">
        <v>664.85500000000002</v>
      </c>
      <c r="BE40">
        <v>707.24</v>
      </c>
      <c r="BF40">
        <v>752.14599999999996</v>
      </c>
      <c r="BG40">
        <v>2019</v>
      </c>
      <c r="BH40">
        <v>522.04499999999996</v>
      </c>
      <c r="BI40">
        <v>2019</v>
      </c>
    </row>
    <row r="41" spans="1:61" hidden="1">
      <c r="A41">
        <v>636</v>
      </c>
      <c r="B41" t="s">
        <v>313</v>
      </c>
      <c r="C41" t="s">
        <v>1881</v>
      </c>
      <c r="D41" t="s">
        <v>1705</v>
      </c>
      <c r="E41" t="str">
        <f>IF(ISNUMBER(VLOOKUP(B41,'OECD DAC'!B:C,2,FALSE)), "YES", " ")</f>
        <v xml:space="preserve"> </v>
      </c>
      <c r="F41" t="s">
        <v>1882</v>
      </c>
      <c r="G41" t="s">
        <v>1883</v>
      </c>
      <c r="H41" t="s">
        <v>1662</v>
      </c>
      <c r="I41" t="s">
        <v>883</v>
      </c>
      <c r="J41" t="s">
        <v>1923</v>
      </c>
      <c r="K41" t="s">
        <v>1686</v>
      </c>
      <c r="L41" t="s">
        <v>1686</v>
      </c>
      <c r="M41" t="s">
        <v>1686</v>
      </c>
      <c r="N41" t="s">
        <v>1686</v>
      </c>
      <c r="O41" t="s">
        <v>1686</v>
      </c>
      <c r="P41" t="s">
        <v>1686</v>
      </c>
      <c r="Q41" t="s">
        <v>1686</v>
      </c>
      <c r="R41" t="s">
        <v>1686</v>
      </c>
      <c r="S41" t="s">
        <v>1686</v>
      </c>
      <c r="T41" t="s">
        <v>1686</v>
      </c>
      <c r="U41" t="s">
        <v>1686</v>
      </c>
      <c r="V41" t="s">
        <v>1686</v>
      </c>
      <c r="W41" t="s">
        <v>1686</v>
      </c>
      <c r="X41">
        <v>1E-3</v>
      </c>
      <c r="Y41">
        <v>0.307</v>
      </c>
      <c r="Z41">
        <v>1.758</v>
      </c>
      <c r="AA41">
        <v>12.84</v>
      </c>
      <c r="AB41">
        <v>34.582000000000001</v>
      </c>
      <c r="AC41">
        <v>44.286999999999999</v>
      </c>
      <c r="AD41">
        <v>229.768</v>
      </c>
      <c r="AE41">
        <v>1317.08</v>
      </c>
      <c r="AF41">
        <v>2231.46</v>
      </c>
      <c r="AG41">
        <v>3025.87</v>
      </c>
      <c r="AH41">
        <v>3623.25</v>
      </c>
      <c r="AI41">
        <v>4113.63</v>
      </c>
      <c r="AJ41">
        <v>5670.07</v>
      </c>
      <c r="AK41">
        <v>6767.52</v>
      </c>
      <c r="AL41">
        <v>8648.8799999999992</v>
      </c>
      <c r="AM41">
        <v>11067.57</v>
      </c>
      <c r="AN41">
        <v>15101.19</v>
      </c>
      <c r="AO41">
        <v>19536.68</v>
      </c>
      <c r="AP41">
        <v>23759.43</v>
      </c>
      <c r="AQ41">
        <v>26954.560000000001</v>
      </c>
      <c r="AR41">
        <v>30051.18</v>
      </c>
      <c r="AS41">
        <v>33223.99</v>
      </c>
      <c r="AT41">
        <v>35111.230000000003</v>
      </c>
      <c r="AU41">
        <v>37517.39</v>
      </c>
      <c r="AV41">
        <v>55676.09</v>
      </c>
      <c r="AW41">
        <v>76495.5</v>
      </c>
      <c r="AX41">
        <v>83048.34</v>
      </c>
      <c r="AY41">
        <v>90181.05</v>
      </c>
      <c r="AZ41">
        <v>111929.09</v>
      </c>
      <c r="BA41">
        <v>126690.7</v>
      </c>
      <c r="BB41">
        <v>143448.17000000001</v>
      </c>
      <c r="BC41">
        <v>160632.29</v>
      </c>
      <c r="BD41">
        <v>178825.79</v>
      </c>
      <c r="BE41">
        <v>198918.66</v>
      </c>
      <c r="BF41">
        <v>223733.08</v>
      </c>
      <c r="BG41">
        <v>2020</v>
      </c>
      <c r="BH41">
        <v>90181.05</v>
      </c>
      <c r="BI41">
        <v>2020</v>
      </c>
    </row>
    <row r="42" spans="1:61" hidden="1">
      <c r="A42">
        <v>634</v>
      </c>
      <c r="B42" t="s">
        <v>348</v>
      </c>
      <c r="C42" t="s">
        <v>1881</v>
      </c>
      <c r="D42" t="s">
        <v>1707</v>
      </c>
      <c r="E42" t="str">
        <f>IF(ISNUMBER(VLOOKUP(B42,'OECD DAC'!B:C,2,FALSE)), "YES", " ")</f>
        <v xml:space="preserve"> </v>
      </c>
      <c r="F42" t="s">
        <v>1882</v>
      </c>
      <c r="G42" t="s">
        <v>1883</v>
      </c>
      <c r="H42" t="s">
        <v>1662</v>
      </c>
      <c r="I42" t="s">
        <v>883</v>
      </c>
      <c r="J42" t="s">
        <v>1924</v>
      </c>
      <c r="K42">
        <v>457.49400000000003</v>
      </c>
      <c r="L42">
        <v>482.358</v>
      </c>
      <c r="M42">
        <v>508.57400000000001</v>
      </c>
      <c r="N42">
        <v>536.21400000000006</v>
      </c>
      <c r="O42">
        <v>565.35699999999997</v>
      </c>
      <c r="P42">
        <v>596.08299999999997</v>
      </c>
      <c r="Q42">
        <v>628.47900000000004</v>
      </c>
      <c r="R42">
        <v>662.63599999999997</v>
      </c>
      <c r="S42">
        <v>698.649</v>
      </c>
      <c r="T42">
        <v>790.55899999999997</v>
      </c>
      <c r="U42">
        <v>792.04</v>
      </c>
      <c r="V42">
        <v>856.26300000000003</v>
      </c>
      <c r="W42">
        <v>868.30700000000002</v>
      </c>
      <c r="X42">
        <v>850.51099999999997</v>
      </c>
      <c r="Y42">
        <v>1148.31</v>
      </c>
      <c r="Z42">
        <v>1226.47</v>
      </c>
      <c r="AA42">
        <v>1452.99</v>
      </c>
      <c r="AB42">
        <v>1498.79</v>
      </c>
      <c r="AC42">
        <v>1321.29</v>
      </c>
      <c r="AD42">
        <v>1627.1</v>
      </c>
      <c r="AE42">
        <v>2580.27</v>
      </c>
      <c r="AF42">
        <v>2226.9</v>
      </c>
      <c r="AG42">
        <v>2320.86</v>
      </c>
      <c r="AH42">
        <v>2240.81</v>
      </c>
      <c r="AI42">
        <v>2690.99</v>
      </c>
      <c r="AJ42">
        <v>3506.27</v>
      </c>
      <c r="AK42">
        <v>4217.18</v>
      </c>
      <c r="AL42">
        <v>4203.7</v>
      </c>
      <c r="AM42">
        <v>5195.84</v>
      </c>
      <c r="AN42">
        <v>4572.8100000000004</v>
      </c>
      <c r="AO42">
        <v>6505.75</v>
      </c>
      <c r="AP42">
        <v>7377.58</v>
      </c>
      <c r="AQ42">
        <v>9033.23</v>
      </c>
      <c r="AR42">
        <v>8869.81</v>
      </c>
      <c r="AS42">
        <v>8844.6299999999992</v>
      </c>
      <c r="AT42">
        <v>7029.66</v>
      </c>
      <c r="AU42">
        <v>6021.96</v>
      </c>
      <c r="AV42">
        <v>6453.24</v>
      </c>
      <c r="AW42">
        <v>7577.81</v>
      </c>
      <c r="AX42">
        <v>7493.8</v>
      </c>
      <c r="AY42">
        <v>5936.5</v>
      </c>
      <c r="AZ42">
        <v>7120.72</v>
      </c>
      <c r="BA42">
        <v>9280.74</v>
      </c>
      <c r="BB42">
        <v>8983.3700000000008</v>
      </c>
      <c r="BC42">
        <v>9331.16</v>
      </c>
      <c r="BD42">
        <v>9334.65</v>
      </c>
      <c r="BE42">
        <v>9358.99</v>
      </c>
      <c r="BF42">
        <v>9741.7000000000007</v>
      </c>
      <c r="BG42">
        <v>2019</v>
      </c>
      <c r="BH42">
        <v>7493.8</v>
      </c>
      <c r="BI42">
        <v>2019</v>
      </c>
    </row>
    <row r="43" spans="1:61" hidden="1">
      <c r="A43">
        <v>238</v>
      </c>
      <c r="B43" t="s">
        <v>440</v>
      </c>
      <c r="C43" t="s">
        <v>1881</v>
      </c>
      <c r="D43" t="s">
        <v>225</v>
      </c>
      <c r="E43" t="str">
        <f>IF(ISNUMBER(VLOOKUP(B43,'OECD DAC'!B:C,2,FALSE)), "YES", " ")</f>
        <v xml:space="preserve"> </v>
      </c>
      <c r="F43" t="s">
        <v>1882</v>
      </c>
      <c r="G43" t="s">
        <v>1883</v>
      </c>
      <c r="H43" t="s">
        <v>1662</v>
      </c>
      <c r="I43" t="s">
        <v>883</v>
      </c>
      <c r="J43" t="s">
        <v>1925</v>
      </c>
      <c r="K43">
        <v>41.6</v>
      </c>
      <c r="L43">
        <v>57.372</v>
      </c>
      <c r="M43">
        <v>97.963999999999999</v>
      </c>
      <c r="N43">
        <v>129.923</v>
      </c>
      <c r="O43">
        <v>163.779</v>
      </c>
      <c r="P43">
        <v>198.852</v>
      </c>
      <c r="Q43">
        <v>247.74</v>
      </c>
      <c r="R43">
        <v>285.87299999999999</v>
      </c>
      <c r="S43">
        <v>351.39</v>
      </c>
      <c r="T43">
        <v>427.916</v>
      </c>
      <c r="U43">
        <v>525.30999999999995</v>
      </c>
      <c r="V43">
        <v>881.04</v>
      </c>
      <c r="W43">
        <v>1151.92</v>
      </c>
      <c r="X43">
        <v>1362.41</v>
      </c>
      <c r="Y43">
        <v>1647.13</v>
      </c>
      <c r="Z43">
        <v>2079.86</v>
      </c>
      <c r="AA43">
        <v>2425.73</v>
      </c>
      <c r="AB43">
        <v>2934.16</v>
      </c>
      <c r="AC43">
        <v>3519.45</v>
      </c>
      <c r="AD43">
        <v>4072.33</v>
      </c>
      <c r="AE43">
        <v>4627.05</v>
      </c>
      <c r="AF43">
        <v>5254.08</v>
      </c>
      <c r="AG43">
        <v>5965.39</v>
      </c>
      <c r="AH43">
        <v>6885.56</v>
      </c>
      <c r="AI43">
        <v>8150.14</v>
      </c>
      <c r="AJ43">
        <v>9577.02</v>
      </c>
      <c r="AK43">
        <v>11613.32</v>
      </c>
      <c r="AL43">
        <v>13889.05</v>
      </c>
      <c r="AM43">
        <v>16208.98</v>
      </c>
      <c r="AN43">
        <v>17626.150000000001</v>
      </c>
      <c r="AO43">
        <v>19802.009999999998</v>
      </c>
      <c r="AP43">
        <v>21623.53</v>
      </c>
      <c r="AQ43">
        <v>23752.87</v>
      </c>
      <c r="AR43">
        <v>25462.959999999999</v>
      </c>
      <c r="AS43">
        <v>28001.33</v>
      </c>
      <c r="AT43">
        <v>30171.919999999998</v>
      </c>
      <c r="AU43">
        <v>32056.29</v>
      </c>
      <c r="AV43">
        <v>34343.65</v>
      </c>
      <c r="AW43">
        <v>36014.720000000001</v>
      </c>
      <c r="AX43">
        <v>37832.15</v>
      </c>
      <c r="AY43">
        <v>36356.269999999997</v>
      </c>
      <c r="AZ43">
        <v>39905.550000000003</v>
      </c>
      <c r="BA43">
        <v>42648.160000000003</v>
      </c>
      <c r="BB43">
        <v>45487.28</v>
      </c>
      <c r="BC43">
        <v>48435.839999999997</v>
      </c>
      <c r="BD43">
        <v>51458.42</v>
      </c>
      <c r="BE43">
        <v>54666.89</v>
      </c>
      <c r="BF43">
        <v>58062.34</v>
      </c>
      <c r="BG43">
        <v>2021</v>
      </c>
      <c r="BH43">
        <v>39905.550000000003</v>
      </c>
      <c r="BI43">
        <v>2021</v>
      </c>
    </row>
    <row r="44" spans="1:61" hidden="1">
      <c r="A44">
        <v>662</v>
      </c>
      <c r="B44" t="s">
        <v>360</v>
      </c>
      <c r="C44" t="s">
        <v>1881</v>
      </c>
      <c r="D44" t="s">
        <v>680</v>
      </c>
      <c r="E44" t="str">
        <f>IF(ISNUMBER(VLOOKUP(B44,'OECD DAC'!B:C,2,FALSE)), "YES", " ")</f>
        <v xml:space="preserve"> </v>
      </c>
      <c r="F44" t="s">
        <v>1882</v>
      </c>
      <c r="G44" t="s">
        <v>1883</v>
      </c>
      <c r="H44" t="s">
        <v>1662</v>
      </c>
      <c r="I44" t="s">
        <v>883</v>
      </c>
      <c r="J44" t="s">
        <v>1926</v>
      </c>
      <c r="K44">
        <v>2932</v>
      </c>
      <c r="L44">
        <v>3125.3</v>
      </c>
      <c r="M44">
        <v>3391.1</v>
      </c>
      <c r="N44">
        <v>3548.54</v>
      </c>
      <c r="O44">
        <v>4056.8</v>
      </c>
      <c r="P44">
        <v>4254.47</v>
      </c>
      <c r="Q44">
        <v>4389.51</v>
      </c>
      <c r="R44">
        <v>4190.6000000000004</v>
      </c>
      <c r="S44">
        <v>4197.24</v>
      </c>
      <c r="T44">
        <v>4302.57</v>
      </c>
      <c r="U44">
        <v>4063.02</v>
      </c>
      <c r="V44">
        <v>4091.63</v>
      </c>
      <c r="W44">
        <v>4080.58</v>
      </c>
      <c r="X44">
        <v>4323.37</v>
      </c>
      <c r="Y44">
        <v>6380.14</v>
      </c>
      <c r="Z44">
        <v>7589.6</v>
      </c>
      <c r="AA44">
        <v>8583.65</v>
      </c>
      <c r="AB44">
        <v>9457.31</v>
      </c>
      <c r="AC44">
        <v>10284.790000000001</v>
      </c>
      <c r="AD44">
        <v>10533.31</v>
      </c>
      <c r="AE44">
        <v>10547.1</v>
      </c>
      <c r="AF44">
        <v>11340.96</v>
      </c>
      <c r="AG44">
        <v>11895.36</v>
      </c>
      <c r="AH44">
        <v>12296.97</v>
      </c>
      <c r="AI44">
        <v>12088.61</v>
      </c>
      <c r="AJ44">
        <v>12456.7</v>
      </c>
      <c r="AK44">
        <v>12866.06</v>
      </c>
      <c r="AL44">
        <v>13477.19</v>
      </c>
      <c r="AM44">
        <v>14994.94</v>
      </c>
      <c r="AN44">
        <v>15845.68</v>
      </c>
      <c r="AO44">
        <v>17036.12</v>
      </c>
      <c r="AP44">
        <v>16743.03</v>
      </c>
      <c r="AQ44">
        <v>18905.78</v>
      </c>
      <c r="AR44">
        <v>21350.240000000002</v>
      </c>
      <c r="AS44">
        <v>24135.86</v>
      </c>
      <c r="AT44">
        <v>27086.15</v>
      </c>
      <c r="AU44">
        <v>28423.87</v>
      </c>
      <c r="AV44">
        <v>29955.01</v>
      </c>
      <c r="AW44">
        <v>32222.27</v>
      </c>
      <c r="AX44">
        <v>34298.89</v>
      </c>
      <c r="AY44">
        <v>35311.379999999997</v>
      </c>
      <c r="AZ44">
        <v>38659.61</v>
      </c>
      <c r="BA44">
        <v>42499.86</v>
      </c>
      <c r="BB44">
        <v>46140.93</v>
      </c>
      <c r="BC44">
        <v>49781.27</v>
      </c>
      <c r="BD44">
        <v>53554.98</v>
      </c>
      <c r="BE44">
        <v>57449.5</v>
      </c>
      <c r="BF44">
        <v>61809.919999999998</v>
      </c>
      <c r="BG44">
        <v>2019</v>
      </c>
      <c r="BH44">
        <v>34298.89</v>
      </c>
      <c r="BI44">
        <v>2019</v>
      </c>
    </row>
    <row r="45" spans="1:61" hidden="1">
      <c r="A45">
        <v>960</v>
      </c>
      <c r="B45" t="s">
        <v>509</v>
      </c>
      <c r="C45" t="s">
        <v>1881</v>
      </c>
      <c r="D45" t="s">
        <v>238</v>
      </c>
      <c r="E45" t="str">
        <f>IF(ISNUMBER(VLOOKUP(B45,'OECD DAC'!B:C,2,FALSE)), "YES", " ")</f>
        <v xml:space="preserve"> </v>
      </c>
      <c r="F45" t="s">
        <v>1882</v>
      </c>
      <c r="G45" t="s">
        <v>1883</v>
      </c>
      <c r="H45" t="s">
        <v>1662</v>
      </c>
      <c r="I45" t="s">
        <v>883</v>
      </c>
      <c r="J45" t="s">
        <v>1927</v>
      </c>
      <c r="K45" t="s">
        <v>1664</v>
      </c>
      <c r="L45" t="s">
        <v>1664</v>
      </c>
      <c r="M45" t="s">
        <v>1664</v>
      </c>
      <c r="N45" t="s">
        <v>1664</v>
      </c>
      <c r="O45" t="s">
        <v>1664</v>
      </c>
      <c r="P45" t="s">
        <v>1664</v>
      </c>
      <c r="Q45" t="s">
        <v>1664</v>
      </c>
      <c r="R45" t="s">
        <v>1664</v>
      </c>
      <c r="S45" t="s">
        <v>1664</v>
      </c>
      <c r="T45" t="s">
        <v>1664</v>
      </c>
      <c r="U45" t="s">
        <v>1664</v>
      </c>
      <c r="V45" t="s">
        <v>1664</v>
      </c>
      <c r="W45">
        <v>3.2309999999999999</v>
      </c>
      <c r="X45">
        <v>46.555</v>
      </c>
      <c r="Y45">
        <v>104.371</v>
      </c>
      <c r="Z45">
        <v>117.456</v>
      </c>
      <c r="AA45">
        <v>129.05699999999999</v>
      </c>
      <c r="AB45">
        <v>147.19900000000001</v>
      </c>
      <c r="AC45">
        <v>162.31800000000001</v>
      </c>
      <c r="AD45">
        <v>166.82</v>
      </c>
      <c r="AE45">
        <v>180.78200000000001</v>
      </c>
      <c r="AF45">
        <v>194.13900000000001</v>
      </c>
      <c r="AG45">
        <v>213.12299999999999</v>
      </c>
      <c r="AH45">
        <v>234.57599999999999</v>
      </c>
      <c r="AI45">
        <v>253.19399999999999</v>
      </c>
      <c r="AJ45">
        <v>272.358</v>
      </c>
      <c r="AK45">
        <v>296.91300000000001</v>
      </c>
      <c r="AL45">
        <v>324.78399999999999</v>
      </c>
      <c r="AM45">
        <v>349.15699999999998</v>
      </c>
      <c r="AN45">
        <v>333.33499999999998</v>
      </c>
      <c r="AO45">
        <v>332.22300000000001</v>
      </c>
      <c r="AP45">
        <v>337.572</v>
      </c>
      <c r="AQ45">
        <v>334.59300000000002</v>
      </c>
      <c r="AR45">
        <v>335.95499999999998</v>
      </c>
      <c r="AS45">
        <v>335.29300000000001</v>
      </c>
      <c r="AT45">
        <v>344.03500000000003</v>
      </c>
      <c r="AU45">
        <v>355.92200000000003</v>
      </c>
      <c r="AV45">
        <v>372.35500000000002</v>
      </c>
      <c r="AW45">
        <v>390.85500000000002</v>
      </c>
      <c r="AX45">
        <v>412.226</v>
      </c>
      <c r="AY45">
        <v>378.351</v>
      </c>
      <c r="AZ45">
        <v>431.45699999999999</v>
      </c>
      <c r="BA45">
        <v>464.084</v>
      </c>
      <c r="BB45">
        <v>500.11599999999999</v>
      </c>
      <c r="BC45">
        <v>526.31299999999999</v>
      </c>
      <c r="BD45">
        <v>553.77800000000002</v>
      </c>
      <c r="BE45">
        <v>580.87900000000002</v>
      </c>
      <c r="BF45">
        <v>609.53599999999994</v>
      </c>
      <c r="BG45">
        <v>2020</v>
      </c>
      <c r="BH45">
        <v>378.351</v>
      </c>
      <c r="BI45">
        <v>2020</v>
      </c>
    </row>
    <row r="46" spans="1:61" hidden="1">
      <c r="A46">
        <v>423</v>
      </c>
      <c r="B46" t="s">
        <v>511</v>
      </c>
      <c r="C46" t="s">
        <v>1881</v>
      </c>
      <c r="D46" t="s">
        <v>251</v>
      </c>
      <c r="E46" t="str">
        <f>IF(ISNUMBER(VLOOKUP(B46,'OECD DAC'!B:C,2,FALSE)), "YES", " ")</f>
        <v xml:space="preserve"> </v>
      </c>
      <c r="F46" t="s">
        <v>1882</v>
      </c>
      <c r="G46" t="s">
        <v>1883</v>
      </c>
      <c r="H46" t="s">
        <v>1662</v>
      </c>
      <c r="I46" t="s">
        <v>883</v>
      </c>
      <c r="J46" t="s">
        <v>1928</v>
      </c>
      <c r="K46">
        <v>1.395</v>
      </c>
      <c r="L46">
        <v>1.607</v>
      </c>
      <c r="M46">
        <v>1.88</v>
      </c>
      <c r="N46">
        <v>2.0859999999999999</v>
      </c>
      <c r="O46">
        <v>2.4540000000000002</v>
      </c>
      <c r="P46">
        <v>2.7189999999999999</v>
      </c>
      <c r="Q46">
        <v>2.9350000000000001</v>
      </c>
      <c r="R46">
        <v>3.2679999999999998</v>
      </c>
      <c r="S46">
        <v>3.6560000000000001</v>
      </c>
      <c r="T46">
        <v>4.1399999999999997</v>
      </c>
      <c r="U46">
        <v>4.6890000000000001</v>
      </c>
      <c r="V46">
        <v>4.907</v>
      </c>
      <c r="W46">
        <v>5.6929999999999996</v>
      </c>
      <c r="X46">
        <v>6.0279999999999996</v>
      </c>
      <c r="Y46">
        <v>6.7210000000000001</v>
      </c>
      <c r="Z46">
        <v>7.6779999999999999</v>
      </c>
      <c r="AA46">
        <v>7.9790000000000001</v>
      </c>
      <c r="AB46">
        <v>8.3740000000000006</v>
      </c>
      <c r="AC46">
        <v>9.06</v>
      </c>
      <c r="AD46">
        <v>9.7319999999999993</v>
      </c>
      <c r="AE46">
        <v>10.595000000000001</v>
      </c>
      <c r="AF46">
        <v>11.417</v>
      </c>
      <c r="AG46">
        <v>11.877000000000001</v>
      </c>
      <c r="AH46">
        <v>12.845000000000001</v>
      </c>
      <c r="AI46">
        <v>13.856</v>
      </c>
      <c r="AJ46">
        <v>14.821999999999999</v>
      </c>
      <c r="AK46">
        <v>16</v>
      </c>
      <c r="AL46">
        <v>17.512</v>
      </c>
      <c r="AM46">
        <v>19.010000000000002</v>
      </c>
      <c r="AN46">
        <v>18.675000000000001</v>
      </c>
      <c r="AO46">
        <v>19.41</v>
      </c>
      <c r="AP46">
        <v>19.803000000000001</v>
      </c>
      <c r="AQ46">
        <v>19.440999999999999</v>
      </c>
      <c r="AR46">
        <v>17.995000000000001</v>
      </c>
      <c r="AS46">
        <v>17.43</v>
      </c>
      <c r="AT46">
        <v>17.884</v>
      </c>
      <c r="AU46">
        <v>18.928999999999998</v>
      </c>
      <c r="AV46">
        <v>20.245000000000001</v>
      </c>
      <c r="AW46">
        <v>21.613</v>
      </c>
      <c r="AX46">
        <v>23.01</v>
      </c>
      <c r="AY46">
        <v>21.617999999999999</v>
      </c>
      <c r="AZ46">
        <v>23.353000000000002</v>
      </c>
      <c r="BA46">
        <v>24.878</v>
      </c>
      <c r="BB46">
        <v>26.661999999999999</v>
      </c>
      <c r="BC46">
        <v>28.358000000000001</v>
      </c>
      <c r="BD46">
        <v>29.914000000000001</v>
      </c>
      <c r="BE46">
        <v>31.553000000000001</v>
      </c>
      <c r="BF46">
        <v>33.337000000000003</v>
      </c>
      <c r="BG46">
        <v>2021</v>
      </c>
      <c r="BH46">
        <v>23.353000000000002</v>
      </c>
      <c r="BI46">
        <v>2021</v>
      </c>
    </row>
    <row r="47" spans="1:61">
      <c r="A47">
        <v>935</v>
      </c>
      <c r="B47" t="s">
        <v>446</v>
      </c>
      <c r="C47" t="s">
        <v>1881</v>
      </c>
      <c r="D47" t="s">
        <v>70</v>
      </c>
      <c r="E47" t="str">
        <f>IF(ISNUMBER(VLOOKUP(B47,'OECD DAC'!B:C,2,FALSE)), "YES", " ")</f>
        <v>YES</v>
      </c>
      <c r="F47" t="s">
        <v>1882</v>
      </c>
      <c r="G47" t="s">
        <v>1883</v>
      </c>
      <c r="H47" t="s">
        <v>1662</v>
      </c>
      <c r="I47" t="s">
        <v>883</v>
      </c>
      <c r="J47" t="s">
        <v>1929</v>
      </c>
      <c r="K47" t="s">
        <v>1664</v>
      </c>
      <c r="L47" t="s">
        <v>1664</v>
      </c>
      <c r="M47" t="s">
        <v>1664</v>
      </c>
      <c r="N47" t="s">
        <v>1664</v>
      </c>
      <c r="O47" t="s">
        <v>1664</v>
      </c>
      <c r="P47" t="s">
        <v>1664</v>
      </c>
      <c r="Q47" t="s">
        <v>1664</v>
      </c>
      <c r="R47" t="s">
        <v>1664</v>
      </c>
      <c r="S47" t="s">
        <v>1664</v>
      </c>
      <c r="T47" t="s">
        <v>1664</v>
      </c>
      <c r="U47" t="s">
        <v>1664</v>
      </c>
      <c r="V47" t="s">
        <v>1664</v>
      </c>
      <c r="W47" t="s">
        <v>1664</v>
      </c>
      <c r="X47" t="s">
        <v>1664</v>
      </c>
      <c r="Y47" t="s">
        <v>1664</v>
      </c>
      <c r="Z47">
        <v>1596.31</v>
      </c>
      <c r="AA47">
        <v>1829.26</v>
      </c>
      <c r="AB47">
        <v>1971.02</v>
      </c>
      <c r="AC47">
        <v>2156.62</v>
      </c>
      <c r="AD47">
        <v>2252.98</v>
      </c>
      <c r="AE47">
        <v>2386.29</v>
      </c>
      <c r="AF47">
        <v>2579.13</v>
      </c>
      <c r="AG47">
        <v>2690.98</v>
      </c>
      <c r="AH47">
        <v>2823.45</v>
      </c>
      <c r="AI47">
        <v>3079.21</v>
      </c>
      <c r="AJ47">
        <v>3285.6</v>
      </c>
      <c r="AK47">
        <v>3530.88</v>
      </c>
      <c r="AL47">
        <v>3859.53</v>
      </c>
      <c r="AM47">
        <v>4042.86</v>
      </c>
      <c r="AN47">
        <v>3954.32</v>
      </c>
      <c r="AO47">
        <v>3992.87</v>
      </c>
      <c r="AP47">
        <v>4062.32</v>
      </c>
      <c r="AQ47">
        <v>4088.91</v>
      </c>
      <c r="AR47">
        <v>4142.8100000000004</v>
      </c>
      <c r="AS47">
        <v>4345.7700000000004</v>
      </c>
      <c r="AT47">
        <v>4625.38</v>
      </c>
      <c r="AU47">
        <v>4796.87</v>
      </c>
      <c r="AV47">
        <v>5110.74</v>
      </c>
      <c r="AW47">
        <v>5409.67</v>
      </c>
      <c r="AX47">
        <v>5790.35</v>
      </c>
      <c r="AY47">
        <v>5694.39</v>
      </c>
      <c r="AZ47">
        <v>6127.14</v>
      </c>
      <c r="BA47">
        <v>6539.47</v>
      </c>
      <c r="BB47">
        <v>6973.63</v>
      </c>
      <c r="BC47">
        <v>7374.05</v>
      </c>
      <c r="BD47">
        <v>7766.92</v>
      </c>
      <c r="BE47">
        <v>8120.69</v>
      </c>
      <c r="BF47">
        <v>8493.59</v>
      </c>
      <c r="BG47">
        <v>2020</v>
      </c>
      <c r="BH47">
        <v>5694.39</v>
      </c>
      <c r="BI47">
        <v>2020</v>
      </c>
    </row>
    <row r="48" spans="1:61">
      <c r="A48">
        <v>128</v>
      </c>
      <c r="B48" t="s">
        <v>464</v>
      </c>
      <c r="C48" t="s">
        <v>1881</v>
      </c>
      <c r="D48" t="s">
        <v>49</v>
      </c>
      <c r="E48" t="str">
        <f>IF(ISNUMBER(VLOOKUP(B48,'OECD DAC'!B:C,2,FALSE)), "YES", " ")</f>
        <v>YES</v>
      </c>
      <c r="F48" t="s">
        <v>1882</v>
      </c>
      <c r="G48" t="s">
        <v>1883</v>
      </c>
      <c r="H48" t="s">
        <v>1662</v>
      </c>
      <c r="I48" t="s">
        <v>883</v>
      </c>
      <c r="J48" t="s">
        <v>1930</v>
      </c>
      <c r="K48">
        <v>400.86700000000002</v>
      </c>
      <c r="L48">
        <v>440.78100000000001</v>
      </c>
      <c r="M48">
        <v>503.38400000000001</v>
      </c>
      <c r="N48">
        <v>554.59699999999998</v>
      </c>
      <c r="O48">
        <v>612.12900000000002</v>
      </c>
      <c r="P48">
        <v>663.95399999999995</v>
      </c>
      <c r="Q48">
        <v>712.64499999999998</v>
      </c>
      <c r="R48">
        <v>748.42700000000002</v>
      </c>
      <c r="S48">
        <v>777.84400000000005</v>
      </c>
      <c r="T48">
        <v>821.73400000000004</v>
      </c>
      <c r="U48">
        <v>855.55700000000002</v>
      </c>
      <c r="V48">
        <v>890.55100000000004</v>
      </c>
      <c r="W48">
        <v>923.01499999999999</v>
      </c>
      <c r="X48">
        <v>928.46600000000001</v>
      </c>
      <c r="Y48">
        <v>993.28700000000003</v>
      </c>
      <c r="Z48">
        <v>1036.48</v>
      </c>
      <c r="AA48">
        <v>1088.02</v>
      </c>
      <c r="AB48">
        <v>1146.1300000000001</v>
      </c>
      <c r="AC48">
        <v>1185.99</v>
      </c>
      <c r="AD48">
        <v>1241.52</v>
      </c>
      <c r="AE48">
        <v>1326.91</v>
      </c>
      <c r="AF48">
        <v>1371.53</v>
      </c>
      <c r="AG48">
        <v>1410.27</v>
      </c>
      <c r="AH48">
        <v>1436.75</v>
      </c>
      <c r="AI48">
        <v>1506</v>
      </c>
      <c r="AJ48">
        <v>1585.98</v>
      </c>
      <c r="AK48">
        <v>1682.26</v>
      </c>
      <c r="AL48">
        <v>1738.85</v>
      </c>
      <c r="AM48">
        <v>1801.47</v>
      </c>
      <c r="AN48">
        <v>1722.14</v>
      </c>
      <c r="AO48">
        <v>1810.93</v>
      </c>
      <c r="AP48">
        <v>1846.85</v>
      </c>
      <c r="AQ48">
        <v>1895</v>
      </c>
      <c r="AR48">
        <v>1929.68</v>
      </c>
      <c r="AS48">
        <v>1981.17</v>
      </c>
      <c r="AT48">
        <v>2036.36</v>
      </c>
      <c r="AU48">
        <v>2107.81</v>
      </c>
      <c r="AV48">
        <v>2192.96</v>
      </c>
      <c r="AW48">
        <v>2253.3200000000002</v>
      </c>
      <c r="AX48">
        <v>2318.04</v>
      </c>
      <c r="AY48">
        <v>2329.56</v>
      </c>
      <c r="AZ48">
        <v>2487.88</v>
      </c>
      <c r="BA48">
        <v>2635.87</v>
      </c>
      <c r="BB48">
        <v>2741.89</v>
      </c>
      <c r="BC48">
        <v>2851.57</v>
      </c>
      <c r="BD48">
        <v>2966.4</v>
      </c>
      <c r="BE48">
        <v>3087.42</v>
      </c>
      <c r="BF48">
        <v>3214.04</v>
      </c>
      <c r="BG48">
        <v>2021</v>
      </c>
      <c r="BH48">
        <v>2487.88</v>
      </c>
      <c r="BI48">
        <v>2021</v>
      </c>
    </row>
    <row r="49" spans="1:61" hidden="1">
      <c r="A49">
        <v>611</v>
      </c>
      <c r="B49" t="s">
        <v>368</v>
      </c>
      <c r="C49" t="s">
        <v>1881</v>
      </c>
      <c r="D49" t="s">
        <v>154</v>
      </c>
      <c r="E49" t="str">
        <f>IF(ISNUMBER(VLOOKUP(B49,'OECD DAC'!B:C,2,FALSE)), "YES", " ")</f>
        <v xml:space="preserve"> </v>
      </c>
      <c r="F49" t="s">
        <v>1882</v>
      </c>
      <c r="G49" t="s">
        <v>1883</v>
      </c>
      <c r="H49" t="s">
        <v>1662</v>
      </c>
      <c r="I49" t="s">
        <v>883</v>
      </c>
      <c r="J49" t="s">
        <v>1931</v>
      </c>
      <c r="K49" t="s">
        <v>1664</v>
      </c>
      <c r="L49" t="s">
        <v>1664</v>
      </c>
      <c r="M49" t="s">
        <v>1664</v>
      </c>
      <c r="N49" t="s">
        <v>1664</v>
      </c>
      <c r="O49" t="s">
        <v>1664</v>
      </c>
      <c r="P49" t="s">
        <v>1664</v>
      </c>
      <c r="Q49" t="s">
        <v>1664</v>
      </c>
      <c r="R49" t="s">
        <v>1664</v>
      </c>
      <c r="S49" t="s">
        <v>1664</v>
      </c>
      <c r="T49" t="s">
        <v>1664</v>
      </c>
      <c r="U49" t="s">
        <v>1664</v>
      </c>
      <c r="V49">
        <v>115.35</v>
      </c>
      <c r="W49">
        <v>119.251</v>
      </c>
      <c r="X49">
        <v>116.255</v>
      </c>
      <c r="Y49">
        <v>122.651</v>
      </c>
      <c r="Z49">
        <v>124.15600000000001</v>
      </c>
      <c r="AA49">
        <v>123.229</v>
      </c>
      <c r="AB49">
        <v>125.392</v>
      </c>
      <c r="AC49">
        <v>128.28299999999999</v>
      </c>
      <c r="AD49">
        <v>134.857</v>
      </c>
      <c r="AE49">
        <v>138.66900000000001</v>
      </c>
      <c r="AF49">
        <v>144.05500000000001</v>
      </c>
      <c r="AG49">
        <v>148.715</v>
      </c>
      <c r="AH49">
        <v>156.54300000000001</v>
      </c>
      <c r="AI49">
        <v>166.185</v>
      </c>
      <c r="AJ49">
        <v>176.81200000000001</v>
      </c>
      <c r="AK49">
        <v>191.81899999999999</v>
      </c>
      <c r="AL49">
        <v>211.46199999999999</v>
      </c>
      <c r="AM49">
        <v>245.35</v>
      </c>
      <c r="AN49">
        <v>253.191</v>
      </c>
      <c r="AO49">
        <v>274.11500000000001</v>
      </c>
      <c r="AP49">
        <v>309.03500000000003</v>
      </c>
      <c r="AQ49">
        <v>337.66199999999998</v>
      </c>
      <c r="AR49">
        <v>363.05200000000002</v>
      </c>
      <c r="AS49">
        <v>393.86500000000001</v>
      </c>
      <c r="AT49">
        <v>434.61099999999999</v>
      </c>
      <c r="AU49">
        <v>465.375</v>
      </c>
      <c r="AV49">
        <v>491.72699999999998</v>
      </c>
      <c r="AW49">
        <v>535.43799999999999</v>
      </c>
      <c r="AX49">
        <v>589.58299999999997</v>
      </c>
      <c r="AY49">
        <v>606.06299999999999</v>
      </c>
      <c r="AZ49">
        <v>637.77300000000002</v>
      </c>
      <c r="BA49">
        <v>681.69799999999998</v>
      </c>
      <c r="BB49">
        <v>746.20299999999997</v>
      </c>
      <c r="BC49">
        <v>814.70500000000004</v>
      </c>
      <c r="BD49">
        <v>885.17700000000002</v>
      </c>
      <c r="BE49">
        <v>961.74400000000003</v>
      </c>
      <c r="BF49">
        <v>1044.94</v>
      </c>
      <c r="BG49">
        <v>2018</v>
      </c>
      <c r="BH49">
        <v>535.43799999999999</v>
      </c>
      <c r="BI49">
        <v>2018</v>
      </c>
    </row>
    <row r="50" spans="1:61" hidden="1">
      <c r="A50">
        <v>321</v>
      </c>
      <c r="B50" t="s">
        <v>420</v>
      </c>
      <c r="C50" t="s">
        <v>1881</v>
      </c>
      <c r="D50" t="s">
        <v>205</v>
      </c>
      <c r="E50" t="str">
        <f>IF(ISNUMBER(VLOOKUP(B50,'OECD DAC'!B:C,2,FALSE)), "YES", " ")</f>
        <v xml:space="preserve"> </v>
      </c>
      <c r="F50" t="s">
        <v>1882</v>
      </c>
      <c r="G50" t="s">
        <v>1883</v>
      </c>
      <c r="H50" t="s">
        <v>1662</v>
      </c>
      <c r="I50" t="s">
        <v>883</v>
      </c>
      <c r="J50" t="s">
        <v>1932</v>
      </c>
      <c r="K50">
        <v>0.19700000000000001</v>
      </c>
      <c r="L50">
        <v>0.222</v>
      </c>
      <c r="M50">
        <v>0.24199999999999999</v>
      </c>
      <c r="N50">
        <v>0.26600000000000001</v>
      </c>
      <c r="O50">
        <v>0.29499999999999998</v>
      </c>
      <c r="P50">
        <v>0.32300000000000001</v>
      </c>
      <c r="Q50">
        <v>0.36499999999999999</v>
      </c>
      <c r="R50">
        <v>0.41</v>
      </c>
      <c r="S50">
        <v>0.46200000000000002</v>
      </c>
      <c r="T50">
        <v>0.5</v>
      </c>
      <c r="U50">
        <v>0.54400000000000004</v>
      </c>
      <c r="V50">
        <v>0.59299999999999997</v>
      </c>
      <c r="W50">
        <v>0.63200000000000001</v>
      </c>
      <c r="X50">
        <v>0.66300000000000003</v>
      </c>
      <c r="Y50">
        <v>0.71399999999999997</v>
      </c>
      <c r="Z50">
        <v>0.74099999999999999</v>
      </c>
      <c r="AA50">
        <v>0.78900000000000003</v>
      </c>
      <c r="AB50">
        <v>0.81799999999999995</v>
      </c>
      <c r="AC50">
        <v>0.871</v>
      </c>
      <c r="AD50">
        <v>0.89600000000000002</v>
      </c>
      <c r="AE50">
        <v>0.9</v>
      </c>
      <c r="AF50">
        <v>0.91900000000000004</v>
      </c>
      <c r="AG50">
        <v>0.9</v>
      </c>
      <c r="AH50">
        <v>0.92700000000000005</v>
      </c>
      <c r="AI50">
        <v>0.99099999999999999</v>
      </c>
      <c r="AJ50">
        <v>0.98299999999999998</v>
      </c>
      <c r="AK50">
        <v>1.054</v>
      </c>
      <c r="AL50">
        <v>1.1379999999999999</v>
      </c>
      <c r="AM50">
        <v>1.2370000000000001</v>
      </c>
      <c r="AN50">
        <v>1.321</v>
      </c>
      <c r="AO50">
        <v>1.333</v>
      </c>
      <c r="AP50">
        <v>1.353</v>
      </c>
      <c r="AQ50">
        <v>1.3120000000000001</v>
      </c>
      <c r="AR50">
        <v>1.345</v>
      </c>
      <c r="AS50">
        <v>1.405</v>
      </c>
      <c r="AT50">
        <v>1.46</v>
      </c>
      <c r="AU50">
        <v>1.556</v>
      </c>
      <c r="AV50">
        <v>1.4570000000000001</v>
      </c>
      <c r="AW50">
        <v>1.524</v>
      </c>
      <c r="AX50">
        <v>1.663</v>
      </c>
      <c r="AY50">
        <v>1.4690000000000001</v>
      </c>
      <c r="AZ50">
        <v>1.5309999999999999</v>
      </c>
      <c r="BA50">
        <v>1.716</v>
      </c>
      <c r="BB50">
        <v>1.877</v>
      </c>
      <c r="BC50">
        <v>2.0019999999999998</v>
      </c>
      <c r="BD50">
        <v>2.125</v>
      </c>
      <c r="BE50">
        <v>2.222</v>
      </c>
      <c r="BF50">
        <v>2.323</v>
      </c>
      <c r="BG50">
        <v>2018</v>
      </c>
      <c r="BH50">
        <v>1.524</v>
      </c>
      <c r="BI50">
        <v>2018</v>
      </c>
    </row>
    <row r="51" spans="1:61" hidden="1">
      <c r="A51">
        <v>243</v>
      </c>
      <c r="B51" t="s">
        <v>422</v>
      </c>
      <c r="C51" t="s">
        <v>1881</v>
      </c>
      <c r="D51" t="s">
        <v>207</v>
      </c>
      <c r="E51" t="str">
        <f>IF(ISNUMBER(VLOOKUP(B51,'OECD DAC'!B:C,2,FALSE)), "YES", " ")</f>
        <v xml:space="preserve"> </v>
      </c>
      <c r="F51" t="s">
        <v>1882</v>
      </c>
      <c r="G51" t="s">
        <v>1883</v>
      </c>
      <c r="H51" t="s">
        <v>1662</v>
      </c>
      <c r="I51" t="s">
        <v>883</v>
      </c>
      <c r="J51" t="s">
        <v>1933</v>
      </c>
      <c r="K51">
        <v>8.6720000000000006</v>
      </c>
      <c r="L51">
        <v>9.6980000000000004</v>
      </c>
      <c r="M51">
        <v>10.603</v>
      </c>
      <c r="N51">
        <v>11.826000000000001</v>
      </c>
      <c r="O51">
        <v>14.87</v>
      </c>
      <c r="P51">
        <v>20.138000000000002</v>
      </c>
      <c r="Q51">
        <v>22.805</v>
      </c>
      <c r="R51">
        <v>28.734000000000002</v>
      </c>
      <c r="S51">
        <v>42.131999999999998</v>
      </c>
      <c r="T51">
        <v>54.371000000000002</v>
      </c>
      <c r="U51">
        <v>77.343999999999994</v>
      </c>
      <c r="V51">
        <v>123.55200000000001</v>
      </c>
      <c r="W51">
        <v>145.06700000000001</v>
      </c>
      <c r="X51">
        <v>163.51300000000001</v>
      </c>
      <c r="Y51">
        <v>184.76900000000001</v>
      </c>
      <c r="Z51">
        <v>214.12299999999999</v>
      </c>
      <c r="AA51">
        <v>235.25</v>
      </c>
      <c r="AB51">
        <v>280.363</v>
      </c>
      <c r="AC51">
        <v>318.649</v>
      </c>
      <c r="AD51">
        <v>350.52</v>
      </c>
      <c r="AE51">
        <v>393.303</v>
      </c>
      <c r="AF51">
        <v>427.31900000000002</v>
      </c>
      <c r="AG51">
        <v>477.43</v>
      </c>
      <c r="AH51">
        <v>628.61099999999999</v>
      </c>
      <c r="AI51">
        <v>935.98500000000001</v>
      </c>
      <c r="AJ51">
        <v>1083.45</v>
      </c>
      <c r="AK51">
        <v>1261.4000000000001</v>
      </c>
      <c r="AL51">
        <v>1458.42</v>
      </c>
      <c r="AM51">
        <v>1661.64</v>
      </c>
      <c r="AN51">
        <v>1736.04</v>
      </c>
      <c r="AO51">
        <v>1983.2</v>
      </c>
      <c r="AP51">
        <v>2210.21</v>
      </c>
      <c r="AQ51">
        <v>2386.02</v>
      </c>
      <c r="AR51">
        <v>2619.77</v>
      </c>
      <c r="AS51">
        <v>2925.67</v>
      </c>
      <c r="AT51">
        <v>3205.66</v>
      </c>
      <c r="AU51">
        <v>3487.29</v>
      </c>
      <c r="AV51">
        <v>3802.66</v>
      </c>
      <c r="AW51">
        <v>4235.8500000000004</v>
      </c>
      <c r="AX51">
        <v>4562.24</v>
      </c>
      <c r="AY51">
        <v>4456.66</v>
      </c>
      <c r="AZ51">
        <v>5407.34</v>
      </c>
      <c r="BA51">
        <v>6159.95</v>
      </c>
      <c r="BB51">
        <v>6802.15</v>
      </c>
      <c r="BC51">
        <v>7442.18</v>
      </c>
      <c r="BD51">
        <v>8127.06</v>
      </c>
      <c r="BE51">
        <v>8874.98</v>
      </c>
      <c r="BF51">
        <v>9691.73</v>
      </c>
      <c r="BG51">
        <v>2021</v>
      </c>
      <c r="BH51">
        <v>5407.34</v>
      </c>
      <c r="BI51">
        <v>2021</v>
      </c>
    </row>
    <row r="52" spans="1:61" hidden="1">
      <c r="A52">
        <v>248</v>
      </c>
      <c r="B52" t="s">
        <v>406</v>
      </c>
      <c r="C52" t="s">
        <v>1881</v>
      </c>
      <c r="D52" t="s">
        <v>191</v>
      </c>
      <c r="E52" t="str">
        <f>IF(ISNUMBER(VLOOKUP(B52,'OECD DAC'!B:C,2,FALSE)), "YES", " ")</f>
        <v xml:space="preserve"> </v>
      </c>
      <c r="F52" t="s">
        <v>1882</v>
      </c>
      <c r="G52" t="s">
        <v>1883</v>
      </c>
      <c r="H52" t="s">
        <v>1662</v>
      </c>
      <c r="I52" t="s">
        <v>883</v>
      </c>
      <c r="J52" t="s">
        <v>1934</v>
      </c>
      <c r="K52">
        <v>16.84</v>
      </c>
      <c r="L52">
        <v>17.242999999999999</v>
      </c>
      <c r="M52">
        <v>17.213999999999999</v>
      </c>
      <c r="N52">
        <v>15.129</v>
      </c>
      <c r="O52">
        <v>16.100999999999999</v>
      </c>
      <c r="P52">
        <v>18.829999999999998</v>
      </c>
      <c r="Q52">
        <v>13.816000000000001</v>
      </c>
      <c r="R52">
        <v>12.91</v>
      </c>
      <c r="S52">
        <v>12.276999999999999</v>
      </c>
      <c r="T52">
        <v>12.048999999999999</v>
      </c>
      <c r="U52">
        <v>12.236000000000001</v>
      </c>
      <c r="V52">
        <v>13.73</v>
      </c>
      <c r="W52">
        <v>15.012</v>
      </c>
      <c r="X52">
        <v>17.536999999999999</v>
      </c>
      <c r="Y52">
        <v>21.146999999999998</v>
      </c>
      <c r="Z52">
        <v>22.968</v>
      </c>
      <c r="AA52">
        <v>24.035</v>
      </c>
      <c r="AB52">
        <v>27.009</v>
      </c>
      <c r="AC52">
        <v>27.474</v>
      </c>
      <c r="AD52">
        <v>19.739999999999998</v>
      </c>
      <c r="AE52">
        <v>18.318999999999999</v>
      </c>
      <c r="AF52">
        <v>24.468</v>
      </c>
      <c r="AG52">
        <v>28.548999999999999</v>
      </c>
      <c r="AH52">
        <v>32.433</v>
      </c>
      <c r="AI52">
        <v>36.591999999999999</v>
      </c>
      <c r="AJ52">
        <v>41.506999999999998</v>
      </c>
      <c r="AK52">
        <v>46.802</v>
      </c>
      <c r="AL52">
        <v>51.008000000000003</v>
      </c>
      <c r="AM52">
        <v>61.762999999999998</v>
      </c>
      <c r="AN52">
        <v>62.52</v>
      </c>
      <c r="AO52">
        <v>69.555000000000007</v>
      </c>
      <c r="AP52">
        <v>79.277000000000001</v>
      </c>
      <c r="AQ52">
        <v>87.924999999999997</v>
      </c>
      <c r="AR52">
        <v>95.13</v>
      </c>
      <c r="AS52">
        <v>101.726</v>
      </c>
      <c r="AT52">
        <v>99.29</v>
      </c>
      <c r="AU52">
        <v>99.938000000000002</v>
      </c>
      <c r="AV52">
        <v>104.29600000000001</v>
      </c>
      <c r="AW52">
        <v>107.562</v>
      </c>
      <c r="AX52">
        <v>108.108</v>
      </c>
      <c r="AY52">
        <v>99.290999999999997</v>
      </c>
      <c r="AZ52">
        <v>106.166</v>
      </c>
      <c r="BA52">
        <v>115.462</v>
      </c>
      <c r="BB52">
        <v>120.246</v>
      </c>
      <c r="BC52">
        <v>124.517</v>
      </c>
      <c r="BD52">
        <v>128.72300000000001</v>
      </c>
      <c r="BE52">
        <v>133.071</v>
      </c>
      <c r="BF52">
        <v>137.566</v>
      </c>
      <c r="BG52">
        <v>2021</v>
      </c>
      <c r="BH52">
        <v>106.166</v>
      </c>
      <c r="BI52">
        <v>2021</v>
      </c>
    </row>
    <row r="53" spans="1:61" hidden="1">
      <c r="A53">
        <v>469</v>
      </c>
      <c r="B53" t="s">
        <v>374</v>
      </c>
      <c r="C53" t="s">
        <v>1881</v>
      </c>
      <c r="D53" t="s">
        <v>1719</v>
      </c>
      <c r="E53" t="str">
        <f>IF(ISNUMBER(VLOOKUP(B53,'OECD DAC'!B:C,2,FALSE)), "YES", " ")</f>
        <v xml:space="preserve"> </v>
      </c>
      <c r="F53" t="s">
        <v>1882</v>
      </c>
      <c r="G53" t="s">
        <v>1883</v>
      </c>
      <c r="H53" t="s">
        <v>1662</v>
      </c>
      <c r="I53" t="s">
        <v>883</v>
      </c>
      <c r="J53" t="s">
        <v>1935</v>
      </c>
      <c r="K53">
        <v>16.466000000000001</v>
      </c>
      <c r="L53">
        <v>18.032</v>
      </c>
      <c r="M53">
        <v>21.335000000000001</v>
      </c>
      <c r="N53">
        <v>26.077999999999999</v>
      </c>
      <c r="O53">
        <v>29.321999999999999</v>
      </c>
      <c r="P53">
        <v>34.189</v>
      </c>
      <c r="Q53">
        <v>37.853000000000002</v>
      </c>
      <c r="R53">
        <v>54.151000000000003</v>
      </c>
      <c r="S53">
        <v>64.771000000000001</v>
      </c>
      <c r="T53">
        <v>80.753</v>
      </c>
      <c r="U53">
        <v>101.047</v>
      </c>
      <c r="V53">
        <v>116.92400000000001</v>
      </c>
      <c r="W53">
        <v>146.26</v>
      </c>
      <c r="X53">
        <v>165.16900000000001</v>
      </c>
      <c r="Y53">
        <v>184.00800000000001</v>
      </c>
      <c r="Z53">
        <v>214.501</v>
      </c>
      <c r="AA53">
        <v>241.209</v>
      </c>
      <c r="AB53">
        <v>270.44</v>
      </c>
      <c r="AC53">
        <v>302.19400000000002</v>
      </c>
      <c r="AD53">
        <v>323.43400000000003</v>
      </c>
      <c r="AE53">
        <v>357.60700000000003</v>
      </c>
      <c r="AF53">
        <v>377.16399999999999</v>
      </c>
      <c r="AG53">
        <v>398.404</v>
      </c>
      <c r="AH53">
        <v>438.99099999999999</v>
      </c>
      <c r="AI53">
        <v>510.28100000000001</v>
      </c>
      <c r="AJ53">
        <v>566.22</v>
      </c>
      <c r="AK53">
        <v>649.49699999999996</v>
      </c>
      <c r="AL53">
        <v>783.13900000000001</v>
      </c>
      <c r="AM53">
        <v>941.59699999999998</v>
      </c>
      <c r="AN53">
        <v>1095.8499999999999</v>
      </c>
      <c r="AO53">
        <v>1268.71</v>
      </c>
      <c r="AP53">
        <v>1441.68</v>
      </c>
      <c r="AQ53">
        <v>1674.7</v>
      </c>
      <c r="AR53">
        <v>1860.4</v>
      </c>
      <c r="AS53">
        <v>2130</v>
      </c>
      <c r="AT53">
        <v>2443.9</v>
      </c>
      <c r="AU53">
        <v>2709.4</v>
      </c>
      <c r="AV53">
        <v>3470</v>
      </c>
      <c r="AW53">
        <v>4437.3999999999996</v>
      </c>
      <c r="AX53">
        <v>5322.1</v>
      </c>
      <c r="AY53">
        <v>5855</v>
      </c>
      <c r="AZ53">
        <v>6341</v>
      </c>
      <c r="BA53">
        <v>7271.28</v>
      </c>
      <c r="BB53">
        <v>8496.4699999999993</v>
      </c>
      <c r="BC53">
        <v>9647.94</v>
      </c>
      <c r="BD53">
        <v>10969</v>
      </c>
      <c r="BE53">
        <v>12482.41</v>
      </c>
      <c r="BF53">
        <v>14217.64</v>
      </c>
      <c r="BG53">
        <v>2021</v>
      </c>
      <c r="BH53">
        <v>6341</v>
      </c>
      <c r="BI53">
        <v>2021</v>
      </c>
    </row>
    <row r="54" spans="1:61" hidden="1">
      <c r="A54">
        <v>253</v>
      </c>
      <c r="B54" t="s">
        <v>386</v>
      </c>
      <c r="C54" t="s">
        <v>1881</v>
      </c>
      <c r="D54" t="s">
        <v>172</v>
      </c>
      <c r="E54" t="str">
        <f>IF(ISNUMBER(VLOOKUP(B54,'OECD DAC'!B:C,2,FALSE)), "YES", " ")</f>
        <v xml:space="preserve"> </v>
      </c>
      <c r="F54" t="s">
        <v>1882</v>
      </c>
      <c r="G54" t="s">
        <v>1883</v>
      </c>
      <c r="H54" t="s">
        <v>1662</v>
      </c>
      <c r="I54" t="s">
        <v>883</v>
      </c>
      <c r="J54" t="s">
        <v>1936</v>
      </c>
      <c r="K54">
        <v>3.9119999999999999</v>
      </c>
      <c r="L54">
        <v>3.4489999999999998</v>
      </c>
      <c r="M54">
        <v>3.4060000000000001</v>
      </c>
      <c r="N54">
        <v>3.2610000000000001</v>
      </c>
      <c r="O54">
        <v>2.3849999999999998</v>
      </c>
      <c r="P54">
        <v>2.319</v>
      </c>
      <c r="Q54">
        <v>2.335</v>
      </c>
      <c r="R54">
        <v>2.3740000000000001</v>
      </c>
      <c r="S54">
        <v>2.7709999999999999</v>
      </c>
      <c r="T54">
        <v>3.1669999999999998</v>
      </c>
      <c r="U54">
        <v>4.8179999999999996</v>
      </c>
      <c r="V54">
        <v>5.2519999999999998</v>
      </c>
      <c r="W54">
        <v>5.8129999999999997</v>
      </c>
      <c r="X54">
        <v>6.68</v>
      </c>
      <c r="Y54">
        <v>7.6790000000000003</v>
      </c>
      <c r="Z54">
        <v>8.9220000000000006</v>
      </c>
      <c r="AA54">
        <v>9.5860000000000003</v>
      </c>
      <c r="AB54">
        <v>10.222</v>
      </c>
      <c r="AC54">
        <v>10.936999999999999</v>
      </c>
      <c r="AD54">
        <v>11.284000000000001</v>
      </c>
      <c r="AE54">
        <v>11.785</v>
      </c>
      <c r="AF54">
        <v>12.282999999999999</v>
      </c>
      <c r="AG54">
        <v>12.664</v>
      </c>
      <c r="AH54">
        <v>13.244</v>
      </c>
      <c r="AI54">
        <v>13.725</v>
      </c>
      <c r="AJ54">
        <v>14.698</v>
      </c>
      <c r="AK54">
        <v>16</v>
      </c>
      <c r="AL54">
        <v>17.012</v>
      </c>
      <c r="AM54">
        <v>17.986999999999998</v>
      </c>
      <c r="AN54">
        <v>17.602</v>
      </c>
      <c r="AO54">
        <v>18.448</v>
      </c>
      <c r="AP54">
        <v>20.283999999999999</v>
      </c>
      <c r="AQ54">
        <v>21.385999999999999</v>
      </c>
      <c r="AR54">
        <v>21.991</v>
      </c>
      <c r="AS54">
        <v>22.593</v>
      </c>
      <c r="AT54">
        <v>23.437999999999999</v>
      </c>
      <c r="AU54">
        <v>24.190999999999999</v>
      </c>
      <c r="AV54">
        <v>24.978999999999999</v>
      </c>
      <c r="AW54">
        <v>26.021000000000001</v>
      </c>
      <c r="AX54">
        <v>26.896999999999998</v>
      </c>
      <c r="AY54">
        <v>24.638999999999999</v>
      </c>
      <c r="AZ54">
        <v>28.326000000000001</v>
      </c>
      <c r="BA54">
        <v>30.72</v>
      </c>
      <c r="BB54">
        <v>32.222999999999999</v>
      </c>
      <c r="BC54">
        <v>33.488999999999997</v>
      </c>
      <c r="BD54">
        <v>34.712000000000003</v>
      </c>
      <c r="BE54">
        <v>35.844999999999999</v>
      </c>
      <c r="BF54">
        <v>37.020000000000003</v>
      </c>
      <c r="BG54">
        <v>2020</v>
      </c>
      <c r="BH54">
        <v>24.638999999999999</v>
      </c>
      <c r="BI54">
        <v>2020</v>
      </c>
    </row>
    <row r="55" spans="1:61" hidden="1">
      <c r="A55">
        <v>642</v>
      </c>
      <c r="B55" t="s">
        <v>405</v>
      </c>
      <c r="C55" t="s">
        <v>1881</v>
      </c>
      <c r="D55" t="s">
        <v>190</v>
      </c>
      <c r="E55" t="str">
        <f>IF(ISNUMBER(VLOOKUP(B55,'OECD DAC'!B:C,2,FALSE)), "YES", " ")</f>
        <v xml:space="preserve"> </v>
      </c>
      <c r="F55" t="s">
        <v>1882</v>
      </c>
      <c r="G55" t="s">
        <v>1883</v>
      </c>
      <c r="H55" t="s">
        <v>1662</v>
      </c>
      <c r="I55" t="s">
        <v>883</v>
      </c>
      <c r="J55" t="s">
        <v>1937</v>
      </c>
      <c r="K55">
        <v>6.657</v>
      </c>
      <c r="L55">
        <v>8.0579999999999998</v>
      </c>
      <c r="M55">
        <v>11.564</v>
      </c>
      <c r="N55">
        <v>15.148</v>
      </c>
      <c r="O55">
        <v>19.224</v>
      </c>
      <c r="P55">
        <v>33.159999999999997</v>
      </c>
      <c r="Q55">
        <v>31.44</v>
      </c>
      <c r="R55">
        <v>33.332999999999998</v>
      </c>
      <c r="S55">
        <v>35.579000000000001</v>
      </c>
      <c r="T55">
        <v>33.457000000000001</v>
      </c>
      <c r="U55">
        <v>36.271000000000001</v>
      </c>
      <c r="V55">
        <v>37.174999999999997</v>
      </c>
      <c r="W55">
        <v>42.366</v>
      </c>
      <c r="X55">
        <v>45.774000000000001</v>
      </c>
      <c r="Y55">
        <v>66.501000000000005</v>
      </c>
      <c r="Z55">
        <v>84.131</v>
      </c>
      <c r="AA55">
        <v>141.29599999999999</v>
      </c>
      <c r="AB55">
        <v>306.767</v>
      </c>
      <c r="AC55">
        <v>259.84300000000002</v>
      </c>
      <c r="AD55">
        <v>454.39100000000002</v>
      </c>
      <c r="AE55">
        <v>822.85</v>
      </c>
      <c r="AF55">
        <v>1225.98</v>
      </c>
      <c r="AG55">
        <v>1436.75</v>
      </c>
      <c r="AH55">
        <v>2184.86</v>
      </c>
      <c r="AI55">
        <v>3139.61</v>
      </c>
      <c r="AJ55">
        <v>4316.63</v>
      </c>
      <c r="AK55">
        <v>5274.15</v>
      </c>
      <c r="AL55">
        <v>6264.84</v>
      </c>
      <c r="AM55">
        <v>8844.11</v>
      </c>
      <c r="AN55">
        <v>7095.92</v>
      </c>
      <c r="AO55">
        <v>8072.29</v>
      </c>
      <c r="AP55">
        <v>10064.620000000001</v>
      </c>
      <c r="AQ55">
        <v>11430.51</v>
      </c>
      <c r="AR55">
        <v>10840.52</v>
      </c>
      <c r="AS55">
        <v>10746.85</v>
      </c>
      <c r="AT55">
        <v>7795.42</v>
      </c>
      <c r="AU55">
        <v>6661.37</v>
      </c>
      <c r="AV55">
        <v>7084.54</v>
      </c>
      <c r="AW55">
        <v>7274.69</v>
      </c>
      <c r="AX55">
        <v>6689.51</v>
      </c>
      <c r="AY55">
        <v>5768.44</v>
      </c>
      <c r="AZ55">
        <v>7043.14</v>
      </c>
      <c r="BA55">
        <v>9503.69</v>
      </c>
      <c r="BB55">
        <v>8589.86</v>
      </c>
      <c r="BC55">
        <v>7429.24</v>
      </c>
      <c r="BD55">
        <v>7295.3</v>
      </c>
      <c r="BE55">
        <v>7130.3</v>
      </c>
      <c r="BF55">
        <v>7255.5</v>
      </c>
      <c r="BG55">
        <v>2020</v>
      </c>
      <c r="BH55">
        <v>5768.44</v>
      </c>
      <c r="BI55">
        <v>2020</v>
      </c>
    </row>
    <row r="56" spans="1:61" hidden="1">
      <c r="A56">
        <v>643</v>
      </c>
      <c r="B56" t="s">
        <v>315</v>
      </c>
      <c r="C56" t="s">
        <v>1881</v>
      </c>
      <c r="D56" t="s">
        <v>102</v>
      </c>
      <c r="E56" t="str">
        <f>IF(ISNUMBER(VLOOKUP(B56,'OECD DAC'!B:C,2,FALSE)), "YES", " ")</f>
        <v xml:space="preserve"> </v>
      </c>
      <c r="F56" t="s">
        <v>1882</v>
      </c>
      <c r="G56" t="s">
        <v>1883</v>
      </c>
      <c r="H56" t="s">
        <v>1662</v>
      </c>
      <c r="I56" t="s">
        <v>883</v>
      </c>
      <c r="J56" t="s">
        <v>1938</v>
      </c>
      <c r="K56" t="s">
        <v>1664</v>
      </c>
      <c r="L56" t="s">
        <v>1664</v>
      </c>
      <c r="M56" t="s">
        <v>1664</v>
      </c>
      <c r="N56" t="s">
        <v>1664</v>
      </c>
      <c r="O56" t="s">
        <v>1664</v>
      </c>
      <c r="P56" t="s">
        <v>1664</v>
      </c>
      <c r="Q56" t="s">
        <v>1664</v>
      </c>
      <c r="R56" t="s">
        <v>1664</v>
      </c>
      <c r="S56" t="s">
        <v>1664</v>
      </c>
      <c r="T56" t="s">
        <v>1664</v>
      </c>
      <c r="U56" t="s">
        <v>1664</v>
      </c>
      <c r="V56" t="s">
        <v>1664</v>
      </c>
      <c r="W56">
        <v>1.696</v>
      </c>
      <c r="X56">
        <v>1.956</v>
      </c>
      <c r="Y56">
        <v>2.67</v>
      </c>
      <c r="Z56">
        <v>3.052</v>
      </c>
      <c r="AA56">
        <v>3.6829999999999998</v>
      </c>
      <c r="AB56">
        <v>4.1379999999999999</v>
      </c>
      <c r="AC56">
        <v>4.6109999999999998</v>
      </c>
      <c r="AD56">
        <v>5.008</v>
      </c>
      <c r="AE56">
        <v>5.2619999999999996</v>
      </c>
      <c r="AF56">
        <v>6.585</v>
      </c>
      <c r="AG56">
        <v>7.8780000000000001</v>
      </c>
      <c r="AH56">
        <v>9.3469999999999995</v>
      </c>
      <c r="AI56">
        <v>11.834</v>
      </c>
      <c r="AJ56">
        <v>13.064</v>
      </c>
      <c r="AK56">
        <v>14.411</v>
      </c>
      <c r="AL56">
        <v>15.682</v>
      </c>
      <c r="AM56">
        <v>14.186</v>
      </c>
      <c r="AN56">
        <v>19.936</v>
      </c>
      <c r="AO56">
        <v>24.439</v>
      </c>
      <c r="AP56">
        <v>31.748999999999999</v>
      </c>
      <c r="AQ56">
        <v>34.668999999999997</v>
      </c>
      <c r="AR56">
        <v>30.103999999999999</v>
      </c>
      <c r="AS56">
        <v>40.04</v>
      </c>
      <c r="AT56">
        <v>30.952999999999999</v>
      </c>
      <c r="AU56">
        <v>33.366</v>
      </c>
      <c r="AV56">
        <v>28.702000000000002</v>
      </c>
      <c r="AW56">
        <v>30.234999999999999</v>
      </c>
      <c r="AX56">
        <v>29.876000000000001</v>
      </c>
      <c r="AY56">
        <v>31.402999999999999</v>
      </c>
      <c r="AZ56">
        <v>34.231000000000002</v>
      </c>
      <c r="BA56">
        <v>38.707000000000001</v>
      </c>
      <c r="BB56">
        <v>41.862000000000002</v>
      </c>
      <c r="BC56">
        <v>44.398000000000003</v>
      </c>
      <c r="BD56">
        <v>46.835000000000001</v>
      </c>
      <c r="BE56">
        <v>49.581000000000003</v>
      </c>
      <c r="BF56">
        <v>52.451000000000001</v>
      </c>
      <c r="BG56">
        <v>2018</v>
      </c>
      <c r="BH56">
        <v>30.234999999999999</v>
      </c>
      <c r="BI56">
        <v>2018</v>
      </c>
    </row>
    <row r="57" spans="1:61" hidden="1">
      <c r="A57">
        <v>939</v>
      </c>
      <c r="B57" t="s">
        <v>515</v>
      </c>
      <c r="C57" t="s">
        <v>1881</v>
      </c>
      <c r="D57" t="s">
        <v>248</v>
      </c>
      <c r="E57" t="str">
        <f>IF(ISNUMBER(VLOOKUP(B57,'OECD DAC'!B:C,2,FALSE)), "YES", " ")</f>
        <v xml:space="preserve"> </v>
      </c>
      <c r="F57" t="s">
        <v>1882</v>
      </c>
      <c r="G57" t="s">
        <v>1883</v>
      </c>
      <c r="H57" t="s">
        <v>1662</v>
      </c>
      <c r="I57" t="s">
        <v>883</v>
      </c>
      <c r="J57" t="s">
        <v>1939</v>
      </c>
      <c r="K57" t="s">
        <v>1664</v>
      </c>
      <c r="L57" t="s">
        <v>1664</v>
      </c>
      <c r="M57" t="s">
        <v>1664</v>
      </c>
      <c r="N57" t="s">
        <v>1664</v>
      </c>
      <c r="O57" t="s">
        <v>1664</v>
      </c>
      <c r="P57" t="s">
        <v>1664</v>
      </c>
      <c r="Q57" t="s">
        <v>1664</v>
      </c>
      <c r="R57" t="s">
        <v>1664</v>
      </c>
      <c r="S57" t="s">
        <v>1664</v>
      </c>
      <c r="T57" t="s">
        <v>1664</v>
      </c>
      <c r="U57" t="s">
        <v>1664</v>
      </c>
      <c r="V57" t="s">
        <v>1664</v>
      </c>
      <c r="W57" t="s">
        <v>1664</v>
      </c>
      <c r="X57">
        <v>1.512</v>
      </c>
      <c r="Y57">
        <v>2.077</v>
      </c>
      <c r="Z57">
        <v>2.8620000000000001</v>
      </c>
      <c r="AA57">
        <v>3.68</v>
      </c>
      <c r="AB57">
        <v>4.5730000000000004</v>
      </c>
      <c r="AC57">
        <v>5.0999999999999996</v>
      </c>
      <c r="AD57">
        <v>5.407</v>
      </c>
      <c r="AE57">
        <v>6.1719999999999997</v>
      </c>
      <c r="AF57">
        <v>6.9870000000000001</v>
      </c>
      <c r="AG57">
        <v>7.8230000000000004</v>
      </c>
      <c r="AH57">
        <v>8.7439999999999998</v>
      </c>
      <c r="AI57">
        <v>9.7769999999999992</v>
      </c>
      <c r="AJ57">
        <v>11.343</v>
      </c>
      <c r="AK57">
        <v>13.569000000000001</v>
      </c>
      <c r="AL57">
        <v>16.401</v>
      </c>
      <c r="AM57">
        <v>16.617999999999999</v>
      </c>
      <c r="AN57">
        <v>14.132</v>
      </c>
      <c r="AO57">
        <v>14.741</v>
      </c>
      <c r="AP57">
        <v>16.677</v>
      </c>
      <c r="AQ57">
        <v>17.917000000000002</v>
      </c>
      <c r="AR57">
        <v>18.911000000000001</v>
      </c>
      <c r="AS57">
        <v>20.047999999999998</v>
      </c>
      <c r="AT57">
        <v>20.631</v>
      </c>
      <c r="AU57">
        <v>21.748000000000001</v>
      </c>
      <c r="AV57">
        <v>23.834</v>
      </c>
      <c r="AW57">
        <v>25.818000000000001</v>
      </c>
      <c r="AX57">
        <v>27.731999999999999</v>
      </c>
      <c r="AY57">
        <v>26.835000000000001</v>
      </c>
      <c r="AZ57">
        <v>30.66</v>
      </c>
      <c r="BA57">
        <v>33.381</v>
      </c>
      <c r="BB57">
        <v>35.478000000000002</v>
      </c>
      <c r="BC57">
        <v>38.03</v>
      </c>
      <c r="BD57">
        <v>40.728000000000002</v>
      </c>
      <c r="BE57">
        <v>43.436</v>
      </c>
      <c r="BF57">
        <v>46.337000000000003</v>
      </c>
      <c r="BG57">
        <v>2021</v>
      </c>
      <c r="BH57">
        <v>30.66</v>
      </c>
      <c r="BI57">
        <v>2021</v>
      </c>
    </row>
    <row r="58" spans="1:61" hidden="1">
      <c r="A58">
        <v>734</v>
      </c>
      <c r="B58" t="s">
        <v>379</v>
      </c>
      <c r="C58" t="s">
        <v>1881</v>
      </c>
      <c r="D58" t="s">
        <v>165</v>
      </c>
      <c r="E58" t="str">
        <f>IF(ISNUMBER(VLOOKUP(B58,'OECD DAC'!B:C,2,FALSE)), "YES", " ")</f>
        <v xml:space="preserve"> </v>
      </c>
      <c r="F58" t="s">
        <v>1882</v>
      </c>
      <c r="G58" t="s">
        <v>1883</v>
      </c>
      <c r="H58" t="s">
        <v>1662</v>
      </c>
      <c r="I58" t="s">
        <v>883</v>
      </c>
      <c r="J58" t="s">
        <v>1940</v>
      </c>
      <c r="K58">
        <v>0.58799999999999997</v>
      </c>
      <c r="L58">
        <v>0.7</v>
      </c>
      <c r="M58">
        <v>0.77500000000000002</v>
      </c>
      <c r="N58">
        <v>0.81799999999999995</v>
      </c>
      <c r="O58">
        <v>0.92700000000000005</v>
      </c>
      <c r="P58">
        <v>1.1060000000000001</v>
      </c>
      <c r="Q58">
        <v>1.4510000000000001</v>
      </c>
      <c r="R58">
        <v>1.6919999999999999</v>
      </c>
      <c r="S58">
        <v>2.242</v>
      </c>
      <c r="T58">
        <v>2.6379999999999999</v>
      </c>
      <c r="U58">
        <v>3.2</v>
      </c>
      <c r="V58">
        <v>3.5459999999999998</v>
      </c>
      <c r="W58">
        <v>4.0640000000000001</v>
      </c>
      <c r="X58">
        <v>4.8899999999999997</v>
      </c>
      <c r="Y58">
        <v>5.7549999999999999</v>
      </c>
      <c r="Z58">
        <v>7.008</v>
      </c>
      <c r="AA58">
        <v>7.8609999999999998</v>
      </c>
      <c r="AB58">
        <v>9.0169999999999995</v>
      </c>
      <c r="AC58">
        <v>9.9390000000000001</v>
      </c>
      <c r="AD58">
        <v>10.782</v>
      </c>
      <c r="AE58">
        <v>12.061999999999999</v>
      </c>
      <c r="AF58">
        <v>13.279</v>
      </c>
      <c r="AG58">
        <v>15.097</v>
      </c>
      <c r="AH58">
        <v>16.623999999999999</v>
      </c>
      <c r="AI58">
        <v>17.893999999999998</v>
      </c>
      <c r="AJ58">
        <v>20.210999999999999</v>
      </c>
      <c r="AK58">
        <v>22.286999999999999</v>
      </c>
      <c r="AL58">
        <v>24.443000000000001</v>
      </c>
      <c r="AM58">
        <v>27.213000000000001</v>
      </c>
      <c r="AN58">
        <v>30.338999999999999</v>
      </c>
      <c r="AO58">
        <v>32.497</v>
      </c>
      <c r="AP58">
        <v>35.002000000000002</v>
      </c>
      <c r="AQ58">
        <v>40.118000000000002</v>
      </c>
      <c r="AR58">
        <v>44.39</v>
      </c>
      <c r="AS58">
        <v>48.000999999999998</v>
      </c>
      <c r="AT58">
        <v>51.790999999999997</v>
      </c>
      <c r="AU58">
        <v>56.131999999999998</v>
      </c>
      <c r="AV58">
        <v>58.689</v>
      </c>
      <c r="AW58">
        <v>61.771000000000001</v>
      </c>
      <c r="AX58">
        <v>64.962999999999994</v>
      </c>
      <c r="AY58">
        <v>65.432000000000002</v>
      </c>
      <c r="AZ58">
        <v>69.19</v>
      </c>
      <c r="BA58">
        <v>71.194999999999993</v>
      </c>
      <c r="BB58">
        <v>75.843999999999994</v>
      </c>
      <c r="BC58">
        <v>81.614000000000004</v>
      </c>
      <c r="BD58">
        <v>87.525999999999996</v>
      </c>
      <c r="BE58">
        <v>93.748000000000005</v>
      </c>
      <c r="BF58">
        <v>100.354</v>
      </c>
      <c r="BG58">
        <v>2020</v>
      </c>
      <c r="BH58">
        <v>65.432000000000002</v>
      </c>
      <c r="BI58">
        <v>2020</v>
      </c>
    </row>
    <row r="59" spans="1:61" hidden="1">
      <c r="A59">
        <v>644</v>
      </c>
      <c r="B59" t="s">
        <v>328</v>
      </c>
      <c r="C59" t="s">
        <v>1881</v>
      </c>
      <c r="D59" t="s">
        <v>115</v>
      </c>
      <c r="E59" t="str">
        <f>IF(ISNUMBER(VLOOKUP(B59,'OECD DAC'!B:C,2,FALSE)), "YES", " ")</f>
        <v xml:space="preserve"> </v>
      </c>
      <c r="F59" t="s">
        <v>1882</v>
      </c>
      <c r="G59" t="s">
        <v>1883</v>
      </c>
      <c r="H59" t="s">
        <v>1662</v>
      </c>
      <c r="I59" t="s">
        <v>883</v>
      </c>
      <c r="J59" t="s">
        <v>1941</v>
      </c>
      <c r="K59">
        <v>15.287000000000001</v>
      </c>
      <c r="L59">
        <v>15.686</v>
      </c>
      <c r="M59">
        <v>16.504999999999999</v>
      </c>
      <c r="N59">
        <v>18.347000000000001</v>
      </c>
      <c r="O59">
        <v>17.335999999999999</v>
      </c>
      <c r="P59">
        <v>20.302</v>
      </c>
      <c r="Q59">
        <v>21.088999999999999</v>
      </c>
      <c r="R59">
        <v>22.542999999999999</v>
      </c>
      <c r="S59">
        <v>23.36</v>
      </c>
      <c r="T59">
        <v>24.574999999999999</v>
      </c>
      <c r="U59">
        <v>26.071000000000002</v>
      </c>
      <c r="V59">
        <v>28.831</v>
      </c>
      <c r="W59">
        <v>30.42</v>
      </c>
      <c r="X59">
        <v>39.021999999999998</v>
      </c>
      <c r="Y59">
        <v>41.447000000000003</v>
      </c>
      <c r="Z59">
        <v>49.576000000000001</v>
      </c>
      <c r="AA59">
        <v>55.87</v>
      </c>
      <c r="AB59">
        <v>57.874000000000002</v>
      </c>
      <c r="AC59">
        <v>55.655000000000001</v>
      </c>
      <c r="AD59">
        <v>59.8</v>
      </c>
      <c r="AE59">
        <v>67.128</v>
      </c>
      <c r="AF59">
        <v>68.554000000000002</v>
      </c>
      <c r="AG59">
        <v>67.066999999999993</v>
      </c>
      <c r="AH59">
        <v>73.992000000000004</v>
      </c>
      <c r="AI59">
        <v>87.415999999999997</v>
      </c>
      <c r="AJ59">
        <v>107.349</v>
      </c>
      <c r="AK59">
        <v>132.66900000000001</v>
      </c>
      <c r="AL59">
        <v>173.297</v>
      </c>
      <c r="AM59">
        <v>250.13300000000001</v>
      </c>
      <c r="AN59">
        <v>337.60899999999998</v>
      </c>
      <c r="AO59">
        <v>385.94299999999998</v>
      </c>
      <c r="AP59">
        <v>515.07899999999995</v>
      </c>
      <c r="AQ59">
        <v>747.32600000000002</v>
      </c>
      <c r="AR59">
        <v>866.92100000000005</v>
      </c>
      <c r="AS59">
        <v>1060.83</v>
      </c>
      <c r="AT59">
        <v>1297.96</v>
      </c>
      <c r="AU59">
        <v>1568.1</v>
      </c>
      <c r="AV59">
        <v>1832.79</v>
      </c>
      <c r="AW59">
        <v>2200.12</v>
      </c>
      <c r="AX59">
        <v>2690.75</v>
      </c>
      <c r="AY59">
        <v>3374.35</v>
      </c>
      <c r="AZ59">
        <v>4341.3900000000003</v>
      </c>
      <c r="BA59">
        <v>6008.85</v>
      </c>
      <c r="BB59">
        <v>8488.5</v>
      </c>
      <c r="BC59">
        <v>11357.81</v>
      </c>
      <c r="BD59">
        <v>13883.51</v>
      </c>
      <c r="BE59">
        <v>16716.46</v>
      </c>
      <c r="BF59">
        <v>19855.09</v>
      </c>
      <c r="BG59">
        <v>2021</v>
      </c>
      <c r="BH59">
        <v>4341.3900000000003</v>
      </c>
      <c r="BI59">
        <v>2021</v>
      </c>
    </row>
    <row r="60" spans="1:61" hidden="1">
      <c r="A60">
        <v>819</v>
      </c>
      <c r="B60" t="s">
        <v>396</v>
      </c>
      <c r="C60" t="s">
        <v>1881</v>
      </c>
      <c r="D60" t="s">
        <v>181</v>
      </c>
      <c r="E60" t="str">
        <f>IF(ISNUMBER(VLOOKUP(B60,'OECD DAC'!B:C,2,FALSE)), "YES", " ")</f>
        <v xml:space="preserve"> </v>
      </c>
      <c r="F60" t="s">
        <v>1882</v>
      </c>
      <c r="G60" t="s">
        <v>1883</v>
      </c>
      <c r="H60" t="s">
        <v>1662</v>
      </c>
      <c r="I60" t="s">
        <v>883</v>
      </c>
      <c r="J60" t="s">
        <v>1942</v>
      </c>
      <c r="K60">
        <v>1.0660000000000001</v>
      </c>
      <c r="L60">
        <v>1.1439999999999999</v>
      </c>
      <c r="M60">
        <v>1.206</v>
      </c>
      <c r="N60">
        <v>1.2370000000000001</v>
      </c>
      <c r="O60">
        <v>1.381</v>
      </c>
      <c r="P60">
        <v>1.4259999999999999</v>
      </c>
      <c r="Q60">
        <v>1.583</v>
      </c>
      <c r="R60">
        <v>1.587</v>
      </c>
      <c r="S60">
        <v>1.72</v>
      </c>
      <c r="T60">
        <v>1.9</v>
      </c>
      <c r="U60">
        <v>2.145</v>
      </c>
      <c r="V60">
        <v>2.2120000000000002</v>
      </c>
      <c r="W60">
        <v>2.4940000000000002</v>
      </c>
      <c r="X60">
        <v>2.7309999999999999</v>
      </c>
      <c r="Y60">
        <v>2.895</v>
      </c>
      <c r="Z60">
        <v>3.0019999999999998</v>
      </c>
      <c r="AA60">
        <v>3.2370000000000001</v>
      </c>
      <c r="AB60">
        <v>3.2749999999999999</v>
      </c>
      <c r="AC60">
        <v>3.5659999999999998</v>
      </c>
      <c r="AD60">
        <v>4.1440000000000001</v>
      </c>
      <c r="AE60">
        <v>3.883</v>
      </c>
      <c r="AF60">
        <v>4.0940000000000003</v>
      </c>
      <c r="AG60">
        <v>4.3650000000000002</v>
      </c>
      <c r="AH60">
        <v>4.7560000000000002</v>
      </c>
      <c r="AI60">
        <v>5.12</v>
      </c>
      <c r="AJ60">
        <v>5.508</v>
      </c>
      <c r="AK60">
        <v>5.819</v>
      </c>
      <c r="AL60">
        <v>5.94</v>
      </c>
      <c r="AM60">
        <v>6.0819999999999999</v>
      </c>
      <c r="AN60">
        <v>6.0819999999999999</v>
      </c>
      <c r="AO60">
        <v>6.5259999999999998</v>
      </c>
      <c r="AP60">
        <v>7.3319999999999999</v>
      </c>
      <c r="AQ60">
        <v>7.7009999999999996</v>
      </c>
      <c r="AR60">
        <v>8.3580000000000005</v>
      </c>
      <c r="AS60">
        <v>9.1669999999999998</v>
      </c>
      <c r="AT60">
        <v>9.8219999999999992</v>
      </c>
      <c r="AU60">
        <v>10.327</v>
      </c>
      <c r="AV60">
        <v>11.065</v>
      </c>
      <c r="AW60">
        <v>11.651</v>
      </c>
      <c r="AX60">
        <v>11.874000000000001</v>
      </c>
      <c r="AY60">
        <v>9.9209999999999994</v>
      </c>
      <c r="AZ60">
        <v>9.64</v>
      </c>
      <c r="BA60">
        <v>10.706</v>
      </c>
      <c r="BB60">
        <v>11.871</v>
      </c>
      <c r="BC60">
        <v>12.981999999999999</v>
      </c>
      <c r="BD60">
        <v>13.927</v>
      </c>
      <c r="BE60">
        <v>14.756</v>
      </c>
      <c r="BF60">
        <v>15.641</v>
      </c>
      <c r="BG60">
        <v>2020</v>
      </c>
      <c r="BH60">
        <v>9.9209999999999994</v>
      </c>
      <c r="BI60">
        <v>2020</v>
      </c>
    </row>
    <row r="61" spans="1:61">
      <c r="A61">
        <v>172</v>
      </c>
      <c r="B61" t="s">
        <v>459</v>
      </c>
      <c r="C61" t="s">
        <v>1881</v>
      </c>
      <c r="D61" t="s">
        <v>50</v>
      </c>
      <c r="E61" t="str">
        <f>IF(ISNUMBER(VLOOKUP(B61,'OECD DAC'!B:C,2,FALSE)), "YES", " ")</f>
        <v>YES</v>
      </c>
      <c r="F61" t="s">
        <v>1882</v>
      </c>
      <c r="G61" t="s">
        <v>1883</v>
      </c>
      <c r="H61" t="s">
        <v>1662</v>
      </c>
      <c r="I61" t="s">
        <v>883</v>
      </c>
      <c r="J61" t="s">
        <v>1943</v>
      </c>
      <c r="K61">
        <v>33.682000000000002</v>
      </c>
      <c r="L61">
        <v>38.094000000000001</v>
      </c>
      <c r="M61">
        <v>42.831000000000003</v>
      </c>
      <c r="N61">
        <v>47.79</v>
      </c>
      <c r="O61">
        <v>53.497999999999998</v>
      </c>
      <c r="P61">
        <v>58.284999999999997</v>
      </c>
      <c r="Q61">
        <v>62.74</v>
      </c>
      <c r="R61">
        <v>67.751000000000005</v>
      </c>
      <c r="S61">
        <v>76.754000000000005</v>
      </c>
      <c r="T61">
        <v>85.929000000000002</v>
      </c>
      <c r="U61">
        <v>90.959000000000003</v>
      </c>
      <c r="V61">
        <v>86.899000000000001</v>
      </c>
      <c r="W61">
        <v>84.781999999999996</v>
      </c>
      <c r="X61">
        <v>85.707999999999998</v>
      </c>
      <c r="Y61">
        <v>90.748999999999995</v>
      </c>
      <c r="Z61">
        <v>98.549000000000007</v>
      </c>
      <c r="AA61">
        <v>102.083</v>
      </c>
      <c r="AB61">
        <v>110.807</v>
      </c>
      <c r="AC61">
        <v>120.474</v>
      </c>
      <c r="AD61">
        <v>126.916</v>
      </c>
      <c r="AE61">
        <v>136.44200000000001</v>
      </c>
      <c r="AF61">
        <v>144.62799999999999</v>
      </c>
      <c r="AG61">
        <v>148.48599999999999</v>
      </c>
      <c r="AH61">
        <v>151.749</v>
      </c>
      <c r="AI61">
        <v>158.75800000000001</v>
      </c>
      <c r="AJ61">
        <v>164.68700000000001</v>
      </c>
      <c r="AK61">
        <v>172.89699999999999</v>
      </c>
      <c r="AL61">
        <v>187.072</v>
      </c>
      <c r="AM61">
        <v>194.26499999999999</v>
      </c>
      <c r="AN61">
        <v>181.74700000000001</v>
      </c>
      <c r="AO61">
        <v>188.143</v>
      </c>
      <c r="AP61">
        <v>197.99799999999999</v>
      </c>
      <c r="AQ61">
        <v>201.03700000000001</v>
      </c>
      <c r="AR61">
        <v>204.321</v>
      </c>
      <c r="AS61">
        <v>206.89699999999999</v>
      </c>
      <c r="AT61">
        <v>211.38499999999999</v>
      </c>
      <c r="AU61">
        <v>217.518</v>
      </c>
      <c r="AV61">
        <v>226.30099999999999</v>
      </c>
      <c r="AW61">
        <v>233.46799999999999</v>
      </c>
      <c r="AX61">
        <v>239.852</v>
      </c>
      <c r="AY61">
        <v>237.995</v>
      </c>
      <c r="AZ61">
        <v>252.523</v>
      </c>
      <c r="BA61">
        <v>263.97800000000001</v>
      </c>
      <c r="BB61">
        <v>275.36700000000002</v>
      </c>
      <c r="BC61">
        <v>284.24900000000002</v>
      </c>
      <c r="BD61">
        <v>292.12200000000001</v>
      </c>
      <c r="BE61">
        <v>301.46699999999998</v>
      </c>
      <c r="BF61">
        <v>310.75</v>
      </c>
      <c r="BG61">
        <v>2020</v>
      </c>
      <c r="BH61">
        <v>237.995</v>
      </c>
      <c r="BI61">
        <v>2020</v>
      </c>
    </row>
    <row r="62" spans="1:61">
      <c r="A62">
        <v>132</v>
      </c>
      <c r="B62" t="s">
        <v>452</v>
      </c>
      <c r="C62" t="s">
        <v>1881</v>
      </c>
      <c r="D62" t="s">
        <v>55</v>
      </c>
      <c r="E62" t="str">
        <f>IF(ISNUMBER(VLOOKUP(B62,'OECD DAC'!B:C,2,FALSE)), "YES", " ")</f>
        <v>YES</v>
      </c>
      <c r="F62" t="s">
        <v>1882</v>
      </c>
      <c r="G62" t="s">
        <v>1883</v>
      </c>
      <c r="H62" t="s">
        <v>1662</v>
      </c>
      <c r="I62" t="s">
        <v>883</v>
      </c>
      <c r="J62" t="s">
        <v>1944</v>
      </c>
      <c r="K62">
        <v>451.77</v>
      </c>
      <c r="L62">
        <v>509.98500000000001</v>
      </c>
      <c r="M62">
        <v>585.98900000000003</v>
      </c>
      <c r="N62">
        <v>650.51199999999994</v>
      </c>
      <c r="O62">
        <v>707.03</v>
      </c>
      <c r="P62">
        <v>757.68899999999996</v>
      </c>
      <c r="Q62">
        <v>814.596</v>
      </c>
      <c r="R62">
        <v>855.98299999999995</v>
      </c>
      <c r="S62">
        <v>925.21500000000003</v>
      </c>
      <c r="T62">
        <v>997.12099999999998</v>
      </c>
      <c r="U62">
        <v>1053.55</v>
      </c>
      <c r="V62">
        <v>1091.71</v>
      </c>
      <c r="W62">
        <v>1130.98</v>
      </c>
      <c r="X62">
        <v>1142.1199999999999</v>
      </c>
      <c r="Y62">
        <v>1179.8699999999999</v>
      </c>
      <c r="Z62">
        <v>1218.27</v>
      </c>
      <c r="AA62">
        <v>1252.27</v>
      </c>
      <c r="AB62">
        <v>1292.78</v>
      </c>
      <c r="AC62">
        <v>1351.9</v>
      </c>
      <c r="AD62">
        <v>1401</v>
      </c>
      <c r="AE62">
        <v>1478.59</v>
      </c>
      <c r="AF62">
        <v>1538.2</v>
      </c>
      <c r="AG62">
        <v>1587.83</v>
      </c>
      <c r="AH62">
        <v>1630.67</v>
      </c>
      <c r="AI62">
        <v>1704.02</v>
      </c>
      <c r="AJ62">
        <v>1765.91</v>
      </c>
      <c r="AK62">
        <v>1848.15</v>
      </c>
      <c r="AL62">
        <v>1941.36</v>
      </c>
      <c r="AM62">
        <v>1992.38</v>
      </c>
      <c r="AN62">
        <v>1936.42</v>
      </c>
      <c r="AO62">
        <v>1995.29</v>
      </c>
      <c r="AP62">
        <v>2058.37</v>
      </c>
      <c r="AQ62">
        <v>2088.8000000000002</v>
      </c>
      <c r="AR62">
        <v>2117.19</v>
      </c>
      <c r="AS62">
        <v>2149.77</v>
      </c>
      <c r="AT62">
        <v>2198.4299999999998</v>
      </c>
      <c r="AU62">
        <v>2234.13</v>
      </c>
      <c r="AV62">
        <v>2297.2399999999998</v>
      </c>
      <c r="AW62">
        <v>2363.31</v>
      </c>
      <c r="AX62">
        <v>2438.77</v>
      </c>
      <c r="AY62">
        <v>2300.71</v>
      </c>
      <c r="AZ62">
        <v>2481.59</v>
      </c>
      <c r="BA62">
        <v>2604.8200000000002</v>
      </c>
      <c r="BB62">
        <v>2702.23</v>
      </c>
      <c r="BC62">
        <v>2793.96</v>
      </c>
      <c r="BD62">
        <v>2885.4</v>
      </c>
      <c r="BE62">
        <v>2972.96</v>
      </c>
      <c r="BF62">
        <v>3064.19</v>
      </c>
      <c r="BG62">
        <v>2021</v>
      </c>
      <c r="BH62">
        <v>2481.59</v>
      </c>
      <c r="BI62">
        <v>2021</v>
      </c>
    </row>
    <row r="63" spans="1:61" hidden="1">
      <c r="A63">
        <v>646</v>
      </c>
      <c r="B63" t="s">
        <v>416</v>
      </c>
      <c r="C63" t="s">
        <v>1881</v>
      </c>
      <c r="D63" t="s">
        <v>201</v>
      </c>
      <c r="E63" t="str">
        <f>IF(ISNUMBER(VLOOKUP(B63,'OECD DAC'!B:C,2,FALSE)), "YES", " ")</f>
        <v xml:space="preserve"> </v>
      </c>
      <c r="F63" t="s">
        <v>1882</v>
      </c>
      <c r="G63" t="s">
        <v>1883</v>
      </c>
      <c r="H63" t="s">
        <v>1662</v>
      </c>
      <c r="I63" t="s">
        <v>883</v>
      </c>
      <c r="J63" t="s">
        <v>1945</v>
      </c>
      <c r="K63">
        <v>963.20500000000004</v>
      </c>
      <c r="L63">
        <v>1117.08</v>
      </c>
      <c r="M63">
        <v>1266.06</v>
      </c>
      <c r="N63">
        <v>1405.67</v>
      </c>
      <c r="O63">
        <v>1550.07</v>
      </c>
      <c r="P63">
        <v>1678.29</v>
      </c>
      <c r="Q63">
        <v>1693.2</v>
      </c>
      <c r="R63">
        <v>1111.76</v>
      </c>
      <c r="S63">
        <v>1214.95</v>
      </c>
      <c r="T63">
        <v>1422.22</v>
      </c>
      <c r="U63">
        <v>1725.76</v>
      </c>
      <c r="V63">
        <v>1623.13</v>
      </c>
      <c r="W63">
        <v>1576.33</v>
      </c>
      <c r="X63">
        <v>1630.2</v>
      </c>
      <c r="Y63">
        <v>2477.83</v>
      </c>
      <c r="Z63">
        <v>2635.85</v>
      </c>
      <c r="AA63">
        <v>3101.85</v>
      </c>
      <c r="AB63">
        <v>3310.89</v>
      </c>
      <c r="AC63">
        <v>2816.67</v>
      </c>
      <c r="AD63">
        <v>3057.34</v>
      </c>
      <c r="AE63">
        <v>3842.28</v>
      </c>
      <c r="AF63">
        <v>3679.03</v>
      </c>
      <c r="AG63">
        <v>3701.27</v>
      </c>
      <c r="AH63">
        <v>3776.24</v>
      </c>
      <c r="AI63">
        <v>4097.53</v>
      </c>
      <c r="AJ63">
        <v>4989.26</v>
      </c>
      <c r="AK63">
        <v>5309.45</v>
      </c>
      <c r="AL63">
        <v>5961.58</v>
      </c>
      <c r="AM63">
        <v>6944.82</v>
      </c>
      <c r="AN63">
        <v>5738.12</v>
      </c>
      <c r="AO63">
        <v>7111.48</v>
      </c>
      <c r="AP63">
        <v>8581.58</v>
      </c>
      <c r="AQ63">
        <v>8766.49</v>
      </c>
      <c r="AR63">
        <v>8690.52</v>
      </c>
      <c r="AS63">
        <v>8988.33</v>
      </c>
      <c r="AT63">
        <v>8503.4500000000007</v>
      </c>
      <c r="AU63">
        <v>8310.6200000000008</v>
      </c>
      <c r="AV63">
        <v>8669.07</v>
      </c>
      <c r="AW63">
        <v>9368.91</v>
      </c>
      <c r="AX63">
        <v>9886.93</v>
      </c>
      <c r="AY63">
        <v>8816.14</v>
      </c>
      <c r="AZ63">
        <v>10619.55</v>
      </c>
      <c r="BA63">
        <v>13217.03</v>
      </c>
      <c r="BB63">
        <v>13041.02</v>
      </c>
      <c r="BC63">
        <v>13192.88</v>
      </c>
      <c r="BD63">
        <v>13536.32</v>
      </c>
      <c r="BE63">
        <v>14012.84</v>
      </c>
      <c r="BF63">
        <v>14731.69</v>
      </c>
      <c r="BG63">
        <v>2020</v>
      </c>
      <c r="BH63">
        <v>8816.14</v>
      </c>
      <c r="BI63">
        <v>2020</v>
      </c>
    </row>
    <row r="64" spans="1:61" hidden="1">
      <c r="A64">
        <v>648</v>
      </c>
      <c r="B64" t="s">
        <v>322</v>
      </c>
      <c r="C64" t="s">
        <v>1881</v>
      </c>
      <c r="D64" t="s">
        <v>648</v>
      </c>
      <c r="E64" t="str">
        <f>IF(ISNUMBER(VLOOKUP(B64,'OECD DAC'!B:C,2,FALSE)), "YES", " ")</f>
        <v xml:space="preserve"> </v>
      </c>
      <c r="F64" t="s">
        <v>1882</v>
      </c>
      <c r="G64" t="s">
        <v>1883</v>
      </c>
      <c r="H64" t="s">
        <v>1662</v>
      </c>
      <c r="I64" t="s">
        <v>883</v>
      </c>
      <c r="J64" t="s">
        <v>1946</v>
      </c>
      <c r="K64">
        <v>1.0429999999999999</v>
      </c>
      <c r="L64">
        <v>1.1419999999999999</v>
      </c>
      <c r="M64">
        <v>1.252</v>
      </c>
      <c r="N64">
        <v>1.4530000000000001</v>
      </c>
      <c r="O64">
        <v>1.482</v>
      </c>
      <c r="P64">
        <v>1.8759999999999999</v>
      </c>
      <c r="Q64">
        <v>2.6030000000000002</v>
      </c>
      <c r="R64">
        <v>3.5640000000000001</v>
      </c>
      <c r="S64">
        <v>3.923</v>
      </c>
      <c r="T64">
        <v>4.6589999999999998</v>
      </c>
      <c r="U64">
        <v>5.6779999999999999</v>
      </c>
      <c r="V64">
        <v>6.64</v>
      </c>
      <c r="W64">
        <v>7.2949999999999999</v>
      </c>
      <c r="X64">
        <v>8.0050000000000008</v>
      </c>
      <c r="Y64">
        <v>8.3339999999999996</v>
      </c>
      <c r="Z64">
        <v>8.6760000000000002</v>
      </c>
      <c r="AA64">
        <v>9.2959999999999994</v>
      </c>
      <c r="AB64">
        <v>10.026999999999999</v>
      </c>
      <c r="AC64">
        <v>10.744</v>
      </c>
      <c r="AD64">
        <v>11.805999999999999</v>
      </c>
      <c r="AE64">
        <v>12.911</v>
      </c>
      <c r="AF64">
        <v>15.726000000000001</v>
      </c>
      <c r="AG64">
        <v>17.664999999999999</v>
      </c>
      <c r="AH64">
        <v>24.047000000000001</v>
      </c>
      <c r="AI64">
        <v>28.885999999999999</v>
      </c>
      <c r="AJ64">
        <v>29.367000000000001</v>
      </c>
      <c r="AK64">
        <v>29.584</v>
      </c>
      <c r="AL64">
        <v>31.831</v>
      </c>
      <c r="AM64">
        <v>34.658999999999999</v>
      </c>
      <c r="AN64">
        <v>38.637999999999998</v>
      </c>
      <c r="AO64">
        <v>43.231000000000002</v>
      </c>
      <c r="AP64">
        <v>41.531999999999996</v>
      </c>
      <c r="AQ64">
        <v>45.389000000000003</v>
      </c>
      <c r="AR64">
        <v>49.463999999999999</v>
      </c>
      <c r="AS64">
        <v>51.308999999999997</v>
      </c>
      <c r="AT64">
        <v>58.581000000000003</v>
      </c>
      <c r="AU64">
        <v>64.39</v>
      </c>
      <c r="AV64">
        <v>70.141999999999996</v>
      </c>
      <c r="AW64">
        <v>80.445999999999998</v>
      </c>
      <c r="AX64">
        <v>90.793999999999997</v>
      </c>
      <c r="AY64">
        <v>94.269000000000005</v>
      </c>
      <c r="AZ64">
        <v>104.446</v>
      </c>
      <c r="BA64">
        <v>117.04900000000001</v>
      </c>
      <c r="BB64">
        <v>132.77000000000001</v>
      </c>
      <c r="BC64">
        <v>148.25299999999999</v>
      </c>
      <c r="BD64">
        <v>163.50299999999999</v>
      </c>
      <c r="BE64">
        <v>178.459</v>
      </c>
      <c r="BF64">
        <v>195.29499999999999</v>
      </c>
      <c r="BG64">
        <v>2020</v>
      </c>
      <c r="BH64">
        <v>94.269000000000005</v>
      </c>
      <c r="BI64">
        <v>2020</v>
      </c>
    </row>
    <row r="65" spans="1:61" hidden="1">
      <c r="A65">
        <v>915</v>
      </c>
      <c r="B65" t="s">
        <v>394</v>
      </c>
      <c r="C65" t="s">
        <v>1881</v>
      </c>
      <c r="D65" t="s">
        <v>179</v>
      </c>
      <c r="E65" t="str">
        <f>IF(ISNUMBER(VLOOKUP(B65,'OECD DAC'!B:C,2,FALSE)), "YES", " ")</f>
        <v xml:space="preserve"> </v>
      </c>
      <c r="F65" t="s">
        <v>1882</v>
      </c>
      <c r="G65" t="s">
        <v>1883</v>
      </c>
      <c r="H65" t="s">
        <v>1662</v>
      </c>
      <c r="I65" t="s">
        <v>883</v>
      </c>
      <c r="J65" t="s">
        <v>1947</v>
      </c>
      <c r="K65" t="s">
        <v>1664</v>
      </c>
      <c r="L65" t="s">
        <v>1664</v>
      </c>
      <c r="M65" t="s">
        <v>1664</v>
      </c>
      <c r="N65" t="s">
        <v>1664</v>
      </c>
      <c r="O65" t="s">
        <v>1664</v>
      </c>
      <c r="P65" t="s">
        <v>1664</v>
      </c>
      <c r="Q65" t="s">
        <v>1664</v>
      </c>
      <c r="R65" t="s">
        <v>1664</v>
      </c>
      <c r="S65" t="s">
        <v>1664</v>
      </c>
      <c r="T65" t="s">
        <v>1664</v>
      </c>
      <c r="U65" t="s">
        <v>1664</v>
      </c>
      <c r="V65" t="s">
        <v>1664</v>
      </c>
      <c r="W65" t="s">
        <v>1664</v>
      </c>
      <c r="X65" t="s">
        <v>1664</v>
      </c>
      <c r="Y65">
        <v>0.93700000000000006</v>
      </c>
      <c r="Z65">
        <v>2.5259999999999998</v>
      </c>
      <c r="AA65">
        <v>3.9769999999999999</v>
      </c>
      <c r="AB65">
        <v>4.6829999999999998</v>
      </c>
      <c r="AC65">
        <v>5.1630000000000003</v>
      </c>
      <c r="AD65">
        <v>5.8280000000000003</v>
      </c>
      <c r="AE65">
        <v>6.2130000000000001</v>
      </c>
      <c r="AF65">
        <v>6.8609999999999998</v>
      </c>
      <c r="AG65">
        <v>7.665</v>
      </c>
      <c r="AH65">
        <v>8.8049999999999997</v>
      </c>
      <c r="AI65">
        <v>10.1</v>
      </c>
      <c r="AJ65">
        <v>11.946999999999999</v>
      </c>
      <c r="AK65">
        <v>14.177</v>
      </c>
      <c r="AL65">
        <v>17.471</v>
      </c>
      <c r="AM65">
        <v>19.61</v>
      </c>
      <c r="AN65">
        <v>18.491</v>
      </c>
      <c r="AO65">
        <v>21.821999999999999</v>
      </c>
      <c r="AP65">
        <v>25.478999999999999</v>
      </c>
      <c r="AQ65">
        <v>27.227</v>
      </c>
      <c r="AR65">
        <v>28.593</v>
      </c>
      <c r="AS65">
        <v>31.123999999999999</v>
      </c>
      <c r="AT65">
        <v>33.935000000000002</v>
      </c>
      <c r="AU65">
        <v>35.835999999999999</v>
      </c>
      <c r="AV65">
        <v>40.762</v>
      </c>
      <c r="AW65">
        <v>44.598999999999997</v>
      </c>
      <c r="AX65">
        <v>49.253</v>
      </c>
      <c r="AY65">
        <v>49.267000000000003</v>
      </c>
      <c r="AZ65">
        <v>60.231999999999999</v>
      </c>
      <c r="BA65">
        <v>68.412000000000006</v>
      </c>
      <c r="BB65">
        <v>76.284999999999997</v>
      </c>
      <c r="BC65">
        <v>82.557000000000002</v>
      </c>
      <c r="BD65">
        <v>89.522999999999996</v>
      </c>
      <c r="BE65">
        <v>96.962999999999994</v>
      </c>
      <c r="BF65">
        <v>105.092</v>
      </c>
      <c r="BG65">
        <v>2021</v>
      </c>
      <c r="BH65">
        <v>60.231999999999999</v>
      </c>
      <c r="BI65">
        <v>2021</v>
      </c>
    </row>
    <row r="66" spans="1:61">
      <c r="A66">
        <v>134</v>
      </c>
      <c r="B66" t="s">
        <v>457</v>
      </c>
      <c r="C66" t="s">
        <v>1881</v>
      </c>
      <c r="D66" t="s">
        <v>56</v>
      </c>
      <c r="E66" t="str">
        <f>IF(ISNUMBER(VLOOKUP(B66,'OECD DAC'!B:C,2,FALSE)), "YES", " ")</f>
        <v>YES</v>
      </c>
      <c r="F66" t="s">
        <v>1882</v>
      </c>
      <c r="G66" t="s">
        <v>1883</v>
      </c>
      <c r="H66" t="s">
        <v>1662</v>
      </c>
      <c r="I66" t="s">
        <v>883</v>
      </c>
      <c r="J66" t="s">
        <v>1948</v>
      </c>
      <c r="K66">
        <v>792.17700000000002</v>
      </c>
      <c r="L66">
        <v>826.89800000000002</v>
      </c>
      <c r="M66">
        <v>859.55200000000002</v>
      </c>
      <c r="N66">
        <v>901.3</v>
      </c>
      <c r="O66">
        <v>945.52800000000002</v>
      </c>
      <c r="P66">
        <v>987.17200000000003</v>
      </c>
      <c r="Q66">
        <v>1043.9000000000001</v>
      </c>
      <c r="R66">
        <v>1078.1099999999999</v>
      </c>
      <c r="S66">
        <v>1135.1500000000001</v>
      </c>
      <c r="T66">
        <v>1207.28</v>
      </c>
      <c r="U66">
        <v>1317.44</v>
      </c>
      <c r="V66">
        <v>1585.8</v>
      </c>
      <c r="W66">
        <v>1702.06</v>
      </c>
      <c r="X66">
        <v>1750.89</v>
      </c>
      <c r="Y66">
        <v>1829.55</v>
      </c>
      <c r="Z66">
        <v>1894.61</v>
      </c>
      <c r="AA66">
        <v>1921.38</v>
      </c>
      <c r="AB66">
        <v>1961.15</v>
      </c>
      <c r="AC66">
        <v>2014.42</v>
      </c>
      <c r="AD66">
        <v>2059.48</v>
      </c>
      <c r="AE66">
        <v>2109.09</v>
      </c>
      <c r="AF66">
        <v>2172.54</v>
      </c>
      <c r="AG66">
        <v>2198.12</v>
      </c>
      <c r="AH66">
        <v>2211.5700000000002</v>
      </c>
      <c r="AI66">
        <v>2262.52</v>
      </c>
      <c r="AJ66">
        <v>2288.31</v>
      </c>
      <c r="AK66">
        <v>2385.08</v>
      </c>
      <c r="AL66">
        <v>2499.5500000000002</v>
      </c>
      <c r="AM66">
        <v>2546.4899999999998</v>
      </c>
      <c r="AN66">
        <v>2445.73</v>
      </c>
      <c r="AO66">
        <v>2564.4</v>
      </c>
      <c r="AP66">
        <v>2693.56</v>
      </c>
      <c r="AQ66">
        <v>2745.31</v>
      </c>
      <c r="AR66">
        <v>2811.35</v>
      </c>
      <c r="AS66">
        <v>2927.43</v>
      </c>
      <c r="AT66">
        <v>3026.18</v>
      </c>
      <c r="AU66">
        <v>3134.74</v>
      </c>
      <c r="AV66">
        <v>3267.16</v>
      </c>
      <c r="AW66">
        <v>3367.86</v>
      </c>
      <c r="AX66">
        <v>3473.35</v>
      </c>
      <c r="AY66">
        <v>3367.56</v>
      </c>
      <c r="AZ66">
        <v>3570.62</v>
      </c>
      <c r="BA66">
        <v>3819.33</v>
      </c>
      <c r="BB66">
        <v>4038.36</v>
      </c>
      <c r="BC66">
        <v>4177.57</v>
      </c>
      <c r="BD66">
        <v>4310.95</v>
      </c>
      <c r="BE66">
        <v>4446.93</v>
      </c>
      <c r="BF66">
        <v>4587.1499999999996</v>
      </c>
      <c r="BG66">
        <v>2021</v>
      </c>
      <c r="BH66">
        <v>3570.62</v>
      </c>
      <c r="BI66">
        <v>2021</v>
      </c>
    </row>
    <row r="67" spans="1:61" hidden="1">
      <c r="A67">
        <v>652</v>
      </c>
      <c r="B67" t="s">
        <v>359</v>
      </c>
      <c r="C67" t="s">
        <v>1881</v>
      </c>
      <c r="D67" t="s">
        <v>145</v>
      </c>
      <c r="E67" t="str">
        <f>IF(ISNUMBER(VLOOKUP(B67,'OECD DAC'!B:C,2,FALSE)), "YES", " ")</f>
        <v xml:space="preserve"> </v>
      </c>
      <c r="F67" t="s">
        <v>1882</v>
      </c>
      <c r="G67" t="s">
        <v>1883</v>
      </c>
      <c r="H67" t="s">
        <v>1662</v>
      </c>
      <c r="I67" t="s">
        <v>883</v>
      </c>
      <c r="J67" t="s">
        <v>1949</v>
      </c>
      <c r="K67">
        <v>0.01</v>
      </c>
      <c r="L67">
        <v>1.7000000000000001E-2</v>
      </c>
      <c r="M67">
        <v>1.9E-2</v>
      </c>
      <c r="N67">
        <v>4.2000000000000003E-2</v>
      </c>
      <c r="O67">
        <v>6.2E-2</v>
      </c>
      <c r="P67">
        <v>8.3000000000000004E-2</v>
      </c>
      <c r="Q67">
        <v>0.125</v>
      </c>
      <c r="R67">
        <v>0.18099999999999999</v>
      </c>
      <c r="S67">
        <v>0.253</v>
      </c>
      <c r="T67">
        <v>0.34399999999999997</v>
      </c>
      <c r="U67">
        <v>0.48099999999999998</v>
      </c>
      <c r="V67">
        <v>0.60699999999999998</v>
      </c>
      <c r="W67">
        <v>0.71299999999999997</v>
      </c>
      <c r="X67">
        <v>0.86599999999999999</v>
      </c>
      <c r="Y67">
        <v>1.177</v>
      </c>
      <c r="Z67">
        <v>1.752</v>
      </c>
      <c r="AA67">
        <v>2.532</v>
      </c>
      <c r="AB67">
        <v>3.2349999999999999</v>
      </c>
      <c r="AC67">
        <v>3.968</v>
      </c>
      <c r="AD67">
        <v>4.7370000000000001</v>
      </c>
      <c r="AE67">
        <v>6.25</v>
      </c>
      <c r="AF67">
        <v>8.7629999999999999</v>
      </c>
      <c r="AG67">
        <v>11.256</v>
      </c>
      <c r="AH67">
        <v>15.193</v>
      </c>
      <c r="AI67">
        <v>18.262</v>
      </c>
      <c r="AJ67">
        <v>22.294</v>
      </c>
      <c r="AK67">
        <v>26.469000000000001</v>
      </c>
      <c r="AL67">
        <v>31.838999999999999</v>
      </c>
      <c r="AM67">
        <v>40.895000000000003</v>
      </c>
      <c r="AN67">
        <v>49.485999999999997</v>
      </c>
      <c r="AO67">
        <v>62.000999999999998</v>
      </c>
      <c r="AP67">
        <v>81.412000000000006</v>
      </c>
      <c r="AQ67">
        <v>102.098</v>
      </c>
      <c r="AR67">
        <v>124.47799999999999</v>
      </c>
      <c r="AS67">
        <v>158.684</v>
      </c>
      <c r="AT67">
        <v>183.52600000000001</v>
      </c>
      <c r="AU67">
        <v>219.595</v>
      </c>
      <c r="AV67">
        <v>262.798</v>
      </c>
      <c r="AW67">
        <v>308.58699999999999</v>
      </c>
      <c r="AX67">
        <v>356.54399999999998</v>
      </c>
      <c r="AY67">
        <v>383.48599999999999</v>
      </c>
      <c r="AZ67">
        <v>442.90199999999999</v>
      </c>
      <c r="BA67">
        <v>532.03700000000003</v>
      </c>
      <c r="BB67">
        <v>616.87199999999996</v>
      </c>
      <c r="BC67">
        <v>707.37599999999998</v>
      </c>
      <c r="BD67">
        <v>798.82600000000002</v>
      </c>
      <c r="BE67">
        <v>887.52</v>
      </c>
      <c r="BF67">
        <v>1013.73</v>
      </c>
      <c r="BG67">
        <v>2019</v>
      </c>
      <c r="BH67">
        <v>356.54399999999998</v>
      </c>
      <c r="BI67">
        <v>2019</v>
      </c>
    </row>
    <row r="68" spans="1:61">
      <c r="A68">
        <v>174</v>
      </c>
      <c r="B68" t="s">
        <v>443</v>
      </c>
      <c r="C68" t="s">
        <v>1881</v>
      </c>
      <c r="D68" t="s">
        <v>65</v>
      </c>
      <c r="E68" t="str">
        <f>IF(ISNUMBER(VLOOKUP(B68,'OECD DAC'!B:C,2,FALSE)), "YES", " ")</f>
        <v>YES</v>
      </c>
      <c r="F68" t="s">
        <v>1882</v>
      </c>
      <c r="G68" t="s">
        <v>1883</v>
      </c>
      <c r="H68" t="s">
        <v>1662</v>
      </c>
      <c r="I68" t="s">
        <v>883</v>
      </c>
      <c r="J68" t="s">
        <v>1950</v>
      </c>
      <c r="K68">
        <v>7.05</v>
      </c>
      <c r="L68">
        <v>8.4390000000000001</v>
      </c>
      <c r="M68">
        <v>10.615</v>
      </c>
      <c r="N68">
        <v>12.664999999999999</v>
      </c>
      <c r="O68">
        <v>15.750999999999999</v>
      </c>
      <c r="P68">
        <v>19.218</v>
      </c>
      <c r="Q68">
        <v>22.965</v>
      </c>
      <c r="R68">
        <v>25.870999999999999</v>
      </c>
      <c r="S68">
        <v>31.48</v>
      </c>
      <c r="T68">
        <v>37.412999999999997</v>
      </c>
      <c r="U68">
        <v>45.155000000000001</v>
      </c>
      <c r="V68">
        <v>55.767000000000003</v>
      </c>
      <c r="W68">
        <v>64.468000000000004</v>
      </c>
      <c r="X68">
        <v>72.59</v>
      </c>
      <c r="Y68">
        <v>82.320999999999998</v>
      </c>
      <c r="Z68">
        <v>92.278999999999996</v>
      </c>
      <c r="AA68">
        <v>102.16800000000001</v>
      </c>
      <c r="AB68">
        <v>113.744</v>
      </c>
      <c r="AC68">
        <v>124.206</v>
      </c>
      <c r="AD68">
        <v>132.66</v>
      </c>
      <c r="AE68">
        <v>140.05500000000001</v>
      </c>
      <c r="AF68">
        <v>150.91</v>
      </c>
      <c r="AG68">
        <v>162.08199999999999</v>
      </c>
      <c r="AH68">
        <v>177.39599999999999</v>
      </c>
      <c r="AI68">
        <v>192.08199999999999</v>
      </c>
      <c r="AJ68">
        <v>197.56100000000001</v>
      </c>
      <c r="AK68">
        <v>216.024</v>
      </c>
      <c r="AL68">
        <v>230.732</v>
      </c>
      <c r="AM68">
        <v>239.94800000000001</v>
      </c>
      <c r="AN68">
        <v>235.53</v>
      </c>
      <c r="AO68">
        <v>224.124</v>
      </c>
      <c r="AP68">
        <v>203.30799999999999</v>
      </c>
      <c r="AQ68">
        <v>188.381</v>
      </c>
      <c r="AR68">
        <v>179.88399999999999</v>
      </c>
      <c r="AS68">
        <v>177.23599999999999</v>
      </c>
      <c r="AT68">
        <v>176.369</v>
      </c>
      <c r="AU68">
        <v>174.494</v>
      </c>
      <c r="AV68">
        <v>176.90299999999999</v>
      </c>
      <c r="AW68">
        <v>179.55799999999999</v>
      </c>
      <c r="AX68">
        <v>183.25</v>
      </c>
      <c r="AY68">
        <v>165.32599999999999</v>
      </c>
      <c r="AZ68">
        <v>182.83</v>
      </c>
      <c r="BA68">
        <v>199.88900000000001</v>
      </c>
      <c r="BB68">
        <v>207.73</v>
      </c>
      <c r="BC68">
        <v>215.001</v>
      </c>
      <c r="BD68">
        <v>222.20599999999999</v>
      </c>
      <c r="BE68">
        <v>229.411</v>
      </c>
      <c r="BF68">
        <v>236.49700000000001</v>
      </c>
      <c r="BG68">
        <v>2021</v>
      </c>
      <c r="BH68">
        <v>182.83</v>
      </c>
      <c r="BI68">
        <v>2021</v>
      </c>
    </row>
    <row r="69" spans="1:61" hidden="1">
      <c r="A69">
        <v>328</v>
      </c>
      <c r="B69" t="s">
        <v>431</v>
      </c>
      <c r="C69" t="s">
        <v>1881</v>
      </c>
      <c r="D69" t="s">
        <v>216</v>
      </c>
      <c r="E69" t="str">
        <f>IF(ISNUMBER(VLOOKUP(B69,'OECD DAC'!B:C,2,FALSE)), "YES", " ")</f>
        <v xml:space="preserve"> </v>
      </c>
      <c r="F69" t="s">
        <v>1882</v>
      </c>
      <c r="G69" t="s">
        <v>1883</v>
      </c>
      <c r="H69" t="s">
        <v>1662</v>
      </c>
      <c r="I69" t="s">
        <v>883</v>
      </c>
      <c r="J69" t="s">
        <v>1951</v>
      </c>
      <c r="K69">
        <v>0.29899999999999999</v>
      </c>
      <c r="L69">
        <v>0.312</v>
      </c>
      <c r="M69">
        <v>0.33900000000000002</v>
      </c>
      <c r="N69">
        <v>0.35599999999999998</v>
      </c>
      <c r="O69">
        <v>0.39300000000000002</v>
      </c>
      <c r="P69">
        <v>0.45300000000000001</v>
      </c>
      <c r="Q69">
        <v>0.50600000000000001</v>
      </c>
      <c r="R69">
        <v>0.58099999999999996</v>
      </c>
      <c r="S69">
        <v>0.63800000000000001</v>
      </c>
      <c r="T69">
        <v>0.72199999999999998</v>
      </c>
      <c r="U69">
        <v>0.751</v>
      </c>
      <c r="V69">
        <v>0.81200000000000006</v>
      </c>
      <c r="W69">
        <v>0.83699999999999997</v>
      </c>
      <c r="X69">
        <v>0.83599999999999997</v>
      </c>
      <c r="Y69">
        <v>0.878</v>
      </c>
      <c r="Z69">
        <v>0.92400000000000004</v>
      </c>
      <c r="AA69">
        <v>0.99099999999999999</v>
      </c>
      <c r="AB69">
        <v>1.0589999999999999</v>
      </c>
      <c r="AC69">
        <v>1.204</v>
      </c>
      <c r="AD69">
        <v>1.3009999999999999</v>
      </c>
      <c r="AE69">
        <v>1.4039999999999999</v>
      </c>
      <c r="AF69">
        <v>1.405</v>
      </c>
      <c r="AG69">
        <v>1.4590000000000001</v>
      </c>
      <c r="AH69">
        <v>1.5960000000000001</v>
      </c>
      <c r="AI69">
        <v>1.6180000000000001</v>
      </c>
      <c r="AJ69">
        <v>1.8779999999999999</v>
      </c>
      <c r="AK69">
        <v>1.8859999999999999</v>
      </c>
      <c r="AL69">
        <v>2.048</v>
      </c>
      <c r="AM69">
        <v>2.23</v>
      </c>
      <c r="AN69">
        <v>2.0819999999999999</v>
      </c>
      <c r="AO69">
        <v>2.0819999999999999</v>
      </c>
      <c r="AP69">
        <v>2.1019999999999999</v>
      </c>
      <c r="AQ69">
        <v>2.16</v>
      </c>
      <c r="AR69">
        <v>2.2749999999999999</v>
      </c>
      <c r="AS69">
        <v>2.4609999999999999</v>
      </c>
      <c r="AT69">
        <v>2.6920000000000002</v>
      </c>
      <c r="AU69">
        <v>2.8660000000000001</v>
      </c>
      <c r="AV69">
        <v>3.0390000000000001</v>
      </c>
      <c r="AW69">
        <v>3.15</v>
      </c>
      <c r="AX69">
        <v>3.2759999999999998</v>
      </c>
      <c r="AY69">
        <v>2.8170000000000002</v>
      </c>
      <c r="AZ69">
        <v>3.0110000000000001</v>
      </c>
      <c r="BA69">
        <v>3.2170000000000001</v>
      </c>
      <c r="BB69">
        <v>3.4430000000000001</v>
      </c>
      <c r="BC69">
        <v>3.6440000000000001</v>
      </c>
      <c r="BD69">
        <v>3.847</v>
      </c>
      <c r="BE69">
        <v>4.056</v>
      </c>
      <c r="BF69">
        <v>4.2640000000000002</v>
      </c>
      <c r="BG69">
        <v>2020</v>
      </c>
      <c r="BH69">
        <v>2.8170000000000002</v>
      </c>
      <c r="BI69">
        <v>2020</v>
      </c>
    </row>
    <row r="70" spans="1:61" hidden="1">
      <c r="A70">
        <v>258</v>
      </c>
      <c r="B70" t="s">
        <v>398</v>
      </c>
      <c r="C70" t="s">
        <v>1881</v>
      </c>
      <c r="D70" t="s">
        <v>183</v>
      </c>
      <c r="E70" t="str">
        <f>IF(ISNUMBER(VLOOKUP(B70,'OECD DAC'!B:C,2,FALSE)), "YES", " ")</f>
        <v xml:space="preserve"> </v>
      </c>
      <c r="F70" t="s">
        <v>1882</v>
      </c>
      <c r="G70" t="s">
        <v>1883</v>
      </c>
      <c r="H70" t="s">
        <v>1662</v>
      </c>
      <c r="I70" t="s">
        <v>883</v>
      </c>
      <c r="J70" t="s">
        <v>1952</v>
      </c>
      <c r="K70">
        <v>7.718</v>
      </c>
      <c r="L70">
        <v>8.4309999999999992</v>
      </c>
      <c r="M70">
        <v>8.5389999999999997</v>
      </c>
      <c r="N70">
        <v>8.8640000000000008</v>
      </c>
      <c r="O70">
        <v>9.2759999999999998</v>
      </c>
      <c r="P70">
        <v>10.951000000000001</v>
      </c>
      <c r="Q70">
        <v>15.513</v>
      </c>
      <c r="R70">
        <v>17.347999999999999</v>
      </c>
      <c r="S70">
        <v>20.123999999999999</v>
      </c>
      <c r="T70">
        <v>23.199000000000002</v>
      </c>
      <c r="U70">
        <v>33.613</v>
      </c>
      <c r="V70">
        <v>46.069000000000003</v>
      </c>
      <c r="W70">
        <v>52.48</v>
      </c>
      <c r="X70">
        <v>62.168999999999997</v>
      </c>
      <c r="Y70">
        <v>71.897999999999996</v>
      </c>
      <c r="Z70">
        <v>81.578999999999994</v>
      </c>
      <c r="AA70">
        <v>91.325000000000003</v>
      </c>
      <c r="AB70">
        <v>102.96599999999999</v>
      </c>
      <c r="AC70">
        <v>117.92</v>
      </c>
      <c r="AD70">
        <v>128.43700000000001</v>
      </c>
      <c r="AE70">
        <v>140.702</v>
      </c>
      <c r="AF70">
        <v>154.989</v>
      </c>
      <c r="AG70">
        <v>171.446</v>
      </c>
      <c r="AH70">
        <v>183.286</v>
      </c>
      <c r="AI70">
        <v>198.55199999999999</v>
      </c>
      <c r="AJ70">
        <v>215.18299999999999</v>
      </c>
      <c r="AK70">
        <v>238.023</v>
      </c>
      <c r="AL70">
        <v>268.82400000000001</v>
      </c>
      <c r="AM70">
        <v>304.32900000000001</v>
      </c>
      <c r="AN70">
        <v>309.98599999999999</v>
      </c>
      <c r="AO70">
        <v>334.43400000000003</v>
      </c>
      <c r="AP70">
        <v>369.35</v>
      </c>
      <c r="AQ70">
        <v>390.92599999999999</v>
      </c>
      <c r="AR70">
        <v>416.38299999999998</v>
      </c>
      <c r="AS70">
        <v>447.32600000000002</v>
      </c>
      <c r="AT70">
        <v>476.02300000000002</v>
      </c>
      <c r="AU70">
        <v>502.00200000000001</v>
      </c>
      <c r="AV70">
        <v>526.50699999999995</v>
      </c>
      <c r="AW70">
        <v>550.47</v>
      </c>
      <c r="AX70">
        <v>592.79999999999995</v>
      </c>
      <c r="AY70">
        <v>599.23599999999999</v>
      </c>
      <c r="AZ70">
        <v>663.04300000000001</v>
      </c>
      <c r="BA70">
        <v>709.83900000000006</v>
      </c>
      <c r="BB70">
        <v>763.33199999999999</v>
      </c>
      <c r="BC70">
        <v>819.16499999999996</v>
      </c>
      <c r="BD70">
        <v>876.74</v>
      </c>
      <c r="BE70">
        <v>938.42</v>
      </c>
      <c r="BF70">
        <v>1004.37</v>
      </c>
      <c r="BG70">
        <v>2021</v>
      </c>
      <c r="BH70">
        <v>663.04300000000001</v>
      </c>
      <c r="BI70">
        <v>2021</v>
      </c>
    </row>
    <row r="71" spans="1:61" hidden="1">
      <c r="A71">
        <v>656</v>
      </c>
      <c r="B71" t="s">
        <v>330</v>
      </c>
      <c r="C71" t="s">
        <v>1881</v>
      </c>
      <c r="D71" t="s">
        <v>117</v>
      </c>
      <c r="E71" t="str">
        <f>IF(ISNUMBER(VLOOKUP(B71,'OECD DAC'!B:C,2,FALSE)), "YES", " ")</f>
        <v xml:space="preserve"> </v>
      </c>
      <c r="F71" t="s">
        <v>1882</v>
      </c>
      <c r="G71" t="s">
        <v>1883</v>
      </c>
      <c r="H71" t="s">
        <v>1662</v>
      </c>
      <c r="I71" t="s">
        <v>883</v>
      </c>
      <c r="J71" t="s">
        <v>1953</v>
      </c>
      <c r="K71">
        <v>176.41900000000001</v>
      </c>
      <c r="L71">
        <v>192.82599999999999</v>
      </c>
      <c r="M71">
        <v>254.53</v>
      </c>
      <c r="N71">
        <v>333.435</v>
      </c>
      <c r="O71">
        <v>423.46300000000002</v>
      </c>
      <c r="P71">
        <v>529.11599999999999</v>
      </c>
      <c r="Q71">
        <v>925.66</v>
      </c>
      <c r="R71">
        <v>1216.8699999999999</v>
      </c>
      <c r="S71">
        <v>1573.75</v>
      </c>
      <c r="T71">
        <v>2002</v>
      </c>
      <c r="U71">
        <v>2449.46</v>
      </c>
      <c r="V71">
        <v>3162.42</v>
      </c>
      <c r="W71">
        <v>4122.18</v>
      </c>
      <c r="X71">
        <v>4359.28</v>
      </c>
      <c r="Y71">
        <v>4597.07</v>
      </c>
      <c r="Z71">
        <v>5095.08</v>
      </c>
      <c r="AA71">
        <v>5337.24</v>
      </c>
      <c r="AB71">
        <v>5708.6</v>
      </c>
      <c r="AC71">
        <v>6187.29</v>
      </c>
      <c r="AD71">
        <v>6656.55</v>
      </c>
      <c r="AE71">
        <v>7055.3</v>
      </c>
      <c r="AF71">
        <v>7424.09</v>
      </c>
      <c r="AG71">
        <v>7947.46</v>
      </c>
      <c r="AH71">
        <v>9446.3700000000008</v>
      </c>
      <c r="AI71">
        <v>11246.36</v>
      </c>
      <c r="AJ71">
        <v>16422.580000000002</v>
      </c>
      <c r="AK71">
        <v>21728</v>
      </c>
      <c r="AL71">
        <v>26369</v>
      </c>
      <c r="AM71">
        <v>32046</v>
      </c>
      <c r="AN71">
        <v>32248</v>
      </c>
      <c r="AO71">
        <v>39243.5</v>
      </c>
      <c r="AP71">
        <v>45176</v>
      </c>
      <c r="AQ71">
        <v>51605.01</v>
      </c>
      <c r="AR71">
        <v>57864.63</v>
      </c>
      <c r="AS71">
        <v>61573.26</v>
      </c>
      <c r="AT71">
        <v>65829.149999999994</v>
      </c>
      <c r="AU71">
        <v>77087.899999999994</v>
      </c>
      <c r="AV71">
        <v>93833.88</v>
      </c>
      <c r="AW71">
        <v>106845.29</v>
      </c>
      <c r="AX71">
        <v>124109.15</v>
      </c>
      <c r="AY71">
        <v>146285.46</v>
      </c>
      <c r="AZ71">
        <v>171675.75</v>
      </c>
      <c r="BA71">
        <v>202502.77</v>
      </c>
      <c r="BB71">
        <v>239965.94</v>
      </c>
      <c r="BC71">
        <v>274414.63</v>
      </c>
      <c r="BD71">
        <v>310075.73</v>
      </c>
      <c r="BE71">
        <v>351013.99</v>
      </c>
      <c r="BF71">
        <v>397681.82</v>
      </c>
      <c r="BG71">
        <v>2019</v>
      </c>
      <c r="BH71">
        <v>124109.15</v>
      </c>
      <c r="BI71">
        <v>2019</v>
      </c>
    </row>
    <row r="72" spans="1:61" hidden="1">
      <c r="A72">
        <v>654</v>
      </c>
      <c r="B72" t="s">
        <v>321</v>
      </c>
      <c r="C72" t="s">
        <v>1881</v>
      </c>
      <c r="D72" t="s">
        <v>108</v>
      </c>
      <c r="E72" t="str">
        <f>IF(ISNUMBER(VLOOKUP(B72,'OECD DAC'!B:C,2,FALSE)), "YES", " ")</f>
        <v xml:space="preserve"> </v>
      </c>
      <c r="F72" t="s">
        <v>1882</v>
      </c>
      <c r="G72" t="s">
        <v>1883</v>
      </c>
      <c r="H72" t="s">
        <v>1662</v>
      </c>
      <c r="I72" t="s">
        <v>883</v>
      </c>
      <c r="J72" t="s">
        <v>1954</v>
      </c>
      <c r="K72">
        <v>61.15</v>
      </c>
      <c r="L72">
        <v>100.58</v>
      </c>
      <c r="M72">
        <v>138.345</v>
      </c>
      <c r="N72">
        <v>180.96100000000001</v>
      </c>
      <c r="O72">
        <v>144.30500000000001</v>
      </c>
      <c r="P72">
        <v>217.964</v>
      </c>
      <c r="Q72">
        <v>164.06200000000001</v>
      </c>
      <c r="R72">
        <v>120.48099999999999</v>
      </c>
      <c r="S72">
        <v>111.13800000000001</v>
      </c>
      <c r="T72">
        <v>143.21100000000001</v>
      </c>
      <c r="U72">
        <v>148.58099999999999</v>
      </c>
      <c r="V72">
        <v>217.42</v>
      </c>
      <c r="W72">
        <v>218.464</v>
      </c>
      <c r="X72">
        <v>182.619</v>
      </c>
      <c r="Y72">
        <v>200.291</v>
      </c>
      <c r="Z72">
        <v>384.62200000000001</v>
      </c>
      <c r="AA72">
        <v>376.03</v>
      </c>
      <c r="AB72">
        <v>407.464</v>
      </c>
      <c r="AC72">
        <v>348.68200000000002</v>
      </c>
      <c r="AD72">
        <v>356.71499999999997</v>
      </c>
      <c r="AE72">
        <v>277.93700000000001</v>
      </c>
      <c r="AF72">
        <v>302.19499999999999</v>
      </c>
      <c r="AG72">
        <v>323.80700000000002</v>
      </c>
      <c r="AH72">
        <v>321.04000000000002</v>
      </c>
      <c r="AI72">
        <v>307</v>
      </c>
      <c r="AJ72">
        <v>337.327</v>
      </c>
      <c r="AK72">
        <v>331.62599999999998</v>
      </c>
      <c r="AL72">
        <v>360.48899999999998</v>
      </c>
      <c r="AM72">
        <v>424.89</v>
      </c>
      <c r="AN72">
        <v>418.64</v>
      </c>
      <c r="AO72">
        <v>465.16199999999998</v>
      </c>
      <c r="AP72">
        <v>545.27</v>
      </c>
      <c r="AQ72">
        <v>535.78399999999999</v>
      </c>
      <c r="AR72">
        <v>548.072</v>
      </c>
      <c r="AS72">
        <v>560.53800000000001</v>
      </c>
      <c r="AT72">
        <v>681.303</v>
      </c>
      <c r="AU72">
        <v>737.83799999999997</v>
      </c>
      <c r="AV72">
        <v>853.553</v>
      </c>
      <c r="AW72">
        <v>836.01300000000003</v>
      </c>
      <c r="AX72">
        <v>843.47500000000002</v>
      </c>
      <c r="AY72">
        <v>847.56500000000005</v>
      </c>
      <c r="AZ72">
        <v>903.096</v>
      </c>
      <c r="BA72">
        <v>963.197</v>
      </c>
      <c r="BB72">
        <v>1034.72</v>
      </c>
      <c r="BC72">
        <v>1116.8800000000001</v>
      </c>
      <c r="BD72">
        <v>1205.56</v>
      </c>
      <c r="BE72">
        <v>1301.28</v>
      </c>
      <c r="BF72">
        <v>1404.61</v>
      </c>
      <c r="BG72">
        <v>2017</v>
      </c>
      <c r="BH72">
        <v>847.56500000000005</v>
      </c>
      <c r="BI72" t="s">
        <v>1699</v>
      </c>
    </row>
    <row r="73" spans="1:61" hidden="1">
      <c r="A73">
        <v>336</v>
      </c>
      <c r="B73" t="s">
        <v>429</v>
      </c>
      <c r="C73" t="s">
        <v>1881</v>
      </c>
      <c r="D73" t="s">
        <v>214</v>
      </c>
      <c r="E73" t="str">
        <f>IF(ISNUMBER(VLOOKUP(B73,'OECD DAC'!B:C,2,FALSE)), "YES", " ")</f>
        <v xml:space="preserve"> </v>
      </c>
      <c r="F73" t="s">
        <v>1882</v>
      </c>
      <c r="G73" t="s">
        <v>1883</v>
      </c>
      <c r="H73" t="s">
        <v>1662</v>
      </c>
      <c r="I73" t="s">
        <v>883</v>
      </c>
      <c r="J73" t="s">
        <v>1955</v>
      </c>
      <c r="K73">
        <v>2.1459999999999999</v>
      </c>
      <c r="L73">
        <v>2.2730000000000001</v>
      </c>
      <c r="M73">
        <v>2.0760000000000001</v>
      </c>
      <c r="N73">
        <v>2.1080000000000001</v>
      </c>
      <c r="O73">
        <v>2.504</v>
      </c>
      <c r="P73">
        <v>2.964</v>
      </c>
      <c r="Q73">
        <v>3.3690000000000002</v>
      </c>
      <c r="R73">
        <v>7.1070000000000002</v>
      </c>
      <c r="S73">
        <v>8.2750000000000004</v>
      </c>
      <c r="T73">
        <v>22.600999999999999</v>
      </c>
      <c r="U73">
        <v>34.523000000000003</v>
      </c>
      <c r="V73">
        <v>84.991</v>
      </c>
      <c r="W73">
        <v>102.78100000000001</v>
      </c>
      <c r="X73">
        <v>127.104</v>
      </c>
      <c r="Y73">
        <v>162.66399999999999</v>
      </c>
      <c r="Z73">
        <v>189.15100000000001</v>
      </c>
      <c r="AA73">
        <v>209.92</v>
      </c>
      <c r="AB73">
        <v>225.94</v>
      </c>
      <c r="AC73">
        <v>225.84299999999999</v>
      </c>
      <c r="AD73">
        <v>264.851</v>
      </c>
      <c r="AE73">
        <v>273.05399999999997</v>
      </c>
      <c r="AF73">
        <v>281.70800000000003</v>
      </c>
      <c r="AG73">
        <v>296.54000000000002</v>
      </c>
      <c r="AH73">
        <v>308.67</v>
      </c>
      <c r="AI73">
        <v>328.50299999999999</v>
      </c>
      <c r="AJ73">
        <v>342.15699999999998</v>
      </c>
      <c r="AK73">
        <v>380.06099999999998</v>
      </c>
      <c r="AL73">
        <v>449.98200000000003</v>
      </c>
      <c r="AM73">
        <v>507.16300000000001</v>
      </c>
      <c r="AN73">
        <v>529.553</v>
      </c>
      <c r="AO73">
        <v>588.404</v>
      </c>
      <c r="AP73">
        <v>679.072</v>
      </c>
      <c r="AQ73">
        <v>830.32600000000002</v>
      </c>
      <c r="AR73">
        <v>856.04200000000003</v>
      </c>
      <c r="AS73">
        <v>852.15300000000002</v>
      </c>
      <c r="AT73">
        <v>883.78700000000003</v>
      </c>
      <c r="AU73">
        <v>925.67700000000002</v>
      </c>
      <c r="AV73">
        <v>980.49800000000005</v>
      </c>
      <c r="AW73">
        <v>994.47199999999998</v>
      </c>
      <c r="AX73">
        <v>1078.73</v>
      </c>
      <c r="AY73">
        <v>1140.76</v>
      </c>
      <c r="AZ73">
        <v>1587.01</v>
      </c>
      <c r="BA73">
        <v>2823.77</v>
      </c>
      <c r="BB73">
        <v>3414.61</v>
      </c>
      <c r="BC73">
        <v>3408.35</v>
      </c>
      <c r="BD73">
        <v>3506.87</v>
      </c>
      <c r="BE73">
        <v>3680.64</v>
      </c>
      <c r="BF73">
        <v>3863.26</v>
      </c>
      <c r="BG73">
        <v>2021</v>
      </c>
      <c r="BH73">
        <v>1587.01</v>
      </c>
      <c r="BI73">
        <v>2021</v>
      </c>
    </row>
    <row r="74" spans="1:61" hidden="1">
      <c r="A74">
        <v>263</v>
      </c>
      <c r="B74" t="s">
        <v>342</v>
      </c>
      <c r="C74" t="s">
        <v>1881</v>
      </c>
      <c r="D74" t="s">
        <v>128</v>
      </c>
      <c r="E74" t="str">
        <f>IF(ISNUMBER(VLOOKUP(B74,'OECD DAC'!B:C,2,FALSE)), "YES", " ")</f>
        <v xml:space="preserve"> </v>
      </c>
      <c r="F74" t="s">
        <v>1882</v>
      </c>
      <c r="G74" t="s">
        <v>1883</v>
      </c>
      <c r="H74" t="s">
        <v>1662</v>
      </c>
      <c r="I74" t="s">
        <v>883</v>
      </c>
      <c r="J74" t="s">
        <v>1956</v>
      </c>
      <c r="K74">
        <v>13.316000000000001</v>
      </c>
      <c r="L74">
        <v>14.659000000000001</v>
      </c>
      <c r="M74">
        <v>15.246</v>
      </c>
      <c r="N74">
        <v>16.364000000000001</v>
      </c>
      <c r="O74">
        <v>18.132999999999999</v>
      </c>
      <c r="P74">
        <v>20.135000000000002</v>
      </c>
      <c r="Q74">
        <v>22.372</v>
      </c>
      <c r="R74">
        <v>11.022</v>
      </c>
      <c r="S74">
        <v>7.2480000000000002</v>
      </c>
      <c r="T74">
        <v>6.7</v>
      </c>
      <c r="U74">
        <v>8.5280000000000005</v>
      </c>
      <c r="V74">
        <v>9.1929999999999996</v>
      </c>
      <c r="W74">
        <v>8.9760000000000009</v>
      </c>
      <c r="X74">
        <v>13.574</v>
      </c>
      <c r="Y74">
        <v>45.088000000000001</v>
      </c>
      <c r="Z74">
        <v>70.186999999999998</v>
      </c>
      <c r="AA74">
        <v>80.385999999999996</v>
      </c>
      <c r="AB74">
        <v>93.066999999999993</v>
      </c>
      <c r="AC74">
        <v>108.56100000000001</v>
      </c>
      <c r="AD74">
        <v>119.34399999999999</v>
      </c>
      <c r="AE74">
        <v>133.69200000000001</v>
      </c>
      <c r="AF74">
        <v>150.88499999999999</v>
      </c>
      <c r="AG74">
        <v>164.05600000000001</v>
      </c>
      <c r="AH74">
        <v>195.267</v>
      </c>
      <c r="AI74">
        <v>239.56399999999999</v>
      </c>
      <c r="AJ74">
        <v>280.06400000000002</v>
      </c>
      <c r="AK74">
        <v>311.61500000000001</v>
      </c>
      <c r="AL74">
        <v>356.149</v>
      </c>
      <c r="AM74">
        <v>401.23399999999998</v>
      </c>
      <c r="AN74">
        <v>471.79599999999999</v>
      </c>
      <c r="AO74">
        <v>478.04399999999998</v>
      </c>
      <c r="AP74">
        <v>524.12400000000002</v>
      </c>
      <c r="AQ74">
        <v>569.99199999999996</v>
      </c>
      <c r="AR74">
        <v>642.67399999999998</v>
      </c>
      <c r="AS74">
        <v>675.572</v>
      </c>
      <c r="AT74">
        <v>720.255</v>
      </c>
      <c r="AU74">
        <v>844.47900000000004</v>
      </c>
      <c r="AV74">
        <v>986.91899999999998</v>
      </c>
      <c r="AW74">
        <v>1076.4100000000001</v>
      </c>
      <c r="AX74">
        <v>1244.01</v>
      </c>
      <c r="AY74">
        <v>1449.89</v>
      </c>
      <c r="AZ74">
        <v>1699.21</v>
      </c>
      <c r="BA74">
        <v>2138.77</v>
      </c>
      <c r="BB74">
        <v>2478.4699999999998</v>
      </c>
      <c r="BC74">
        <v>2811.46</v>
      </c>
      <c r="BD74">
        <v>3170.56</v>
      </c>
      <c r="BE74">
        <v>3538.53</v>
      </c>
      <c r="BF74">
        <v>3936.27</v>
      </c>
      <c r="BG74">
        <v>2021</v>
      </c>
      <c r="BH74">
        <v>1699.21</v>
      </c>
      <c r="BI74">
        <v>2021</v>
      </c>
    </row>
    <row r="75" spans="1:61" hidden="1">
      <c r="A75">
        <v>268</v>
      </c>
      <c r="B75" t="s">
        <v>362</v>
      </c>
      <c r="C75" t="s">
        <v>1881</v>
      </c>
      <c r="D75" t="s">
        <v>148</v>
      </c>
      <c r="E75" t="str">
        <f>IF(ISNUMBER(VLOOKUP(B75,'OECD DAC'!B:C,2,FALSE)), "YES", " ")</f>
        <v xml:space="preserve"> </v>
      </c>
      <c r="F75" t="s">
        <v>1882</v>
      </c>
      <c r="G75" t="s">
        <v>1883</v>
      </c>
      <c r="H75" t="s">
        <v>1662</v>
      </c>
      <c r="I75" t="s">
        <v>883</v>
      </c>
      <c r="J75" t="s">
        <v>1957</v>
      </c>
      <c r="K75">
        <v>7.0170000000000003</v>
      </c>
      <c r="L75">
        <v>7.71</v>
      </c>
      <c r="M75">
        <v>7.94</v>
      </c>
      <c r="N75">
        <v>8.4139999999999997</v>
      </c>
      <c r="O75">
        <v>9.0760000000000005</v>
      </c>
      <c r="P75">
        <v>9.952</v>
      </c>
      <c r="Q75">
        <v>10.414</v>
      </c>
      <c r="R75">
        <v>11.355</v>
      </c>
      <c r="S75">
        <v>12.648999999999999</v>
      </c>
      <c r="T75">
        <v>14.129</v>
      </c>
      <c r="U75">
        <v>17.140999999999998</v>
      </c>
      <c r="V75">
        <v>22.306000000000001</v>
      </c>
      <c r="W75">
        <v>25.704999999999998</v>
      </c>
      <c r="X75">
        <v>31.021999999999998</v>
      </c>
      <c r="Y75">
        <v>39.462000000000003</v>
      </c>
      <c r="Z75">
        <v>51.281999999999996</v>
      </c>
      <c r="AA75">
        <v>61.746000000000002</v>
      </c>
      <c r="AB75">
        <v>75.442999999999998</v>
      </c>
      <c r="AC75">
        <v>86.2</v>
      </c>
      <c r="AD75">
        <v>92.048000000000002</v>
      </c>
      <c r="AE75">
        <v>106.654</v>
      </c>
      <c r="AF75">
        <v>118.416</v>
      </c>
      <c r="AG75">
        <v>129.167</v>
      </c>
      <c r="AH75">
        <v>142.81800000000001</v>
      </c>
      <c r="AI75">
        <v>161.50800000000001</v>
      </c>
      <c r="AJ75">
        <v>183.74700000000001</v>
      </c>
      <c r="AK75">
        <v>206.28800000000001</v>
      </c>
      <c r="AL75">
        <v>233.56700000000001</v>
      </c>
      <c r="AM75">
        <v>262.41699999999997</v>
      </c>
      <c r="AN75">
        <v>275.63200000000001</v>
      </c>
      <c r="AO75">
        <v>299.286</v>
      </c>
      <c r="AP75">
        <v>335.02800000000002</v>
      </c>
      <c r="AQ75">
        <v>361.34899999999999</v>
      </c>
      <c r="AR75">
        <v>376.53899999999999</v>
      </c>
      <c r="AS75">
        <v>414.63400000000001</v>
      </c>
      <c r="AT75">
        <v>460.40499999999997</v>
      </c>
      <c r="AU75">
        <v>495.92200000000003</v>
      </c>
      <c r="AV75">
        <v>543.40300000000002</v>
      </c>
      <c r="AW75">
        <v>575.28499999999997</v>
      </c>
      <c r="AX75">
        <v>614.91800000000001</v>
      </c>
      <c r="AY75">
        <v>585.73400000000004</v>
      </c>
      <c r="AZ75">
        <v>688.47699999999998</v>
      </c>
      <c r="BA75">
        <v>757.84400000000005</v>
      </c>
      <c r="BB75">
        <v>823.67600000000004</v>
      </c>
      <c r="BC75">
        <v>887.80499999999995</v>
      </c>
      <c r="BD75">
        <v>957.84900000000005</v>
      </c>
      <c r="BE75">
        <v>1035.4100000000001</v>
      </c>
      <c r="BF75">
        <v>1119.26</v>
      </c>
      <c r="BG75">
        <v>2021</v>
      </c>
      <c r="BH75">
        <v>688.47699999999998</v>
      </c>
      <c r="BI75">
        <v>2021</v>
      </c>
    </row>
    <row r="76" spans="1:61" hidden="1">
      <c r="A76">
        <v>532</v>
      </c>
      <c r="B76" t="s">
        <v>520</v>
      </c>
      <c r="C76" t="s">
        <v>1881</v>
      </c>
      <c r="D76" t="s">
        <v>1743</v>
      </c>
      <c r="E76" t="str">
        <f>IF(ISNUMBER(VLOOKUP(B76,'OECD DAC'!B:C,2,FALSE)), "YES", " ")</f>
        <v xml:space="preserve"> </v>
      </c>
      <c r="F76" t="s">
        <v>1882</v>
      </c>
      <c r="G76" t="s">
        <v>1883</v>
      </c>
      <c r="H76" t="s">
        <v>1662</v>
      </c>
      <c r="I76" t="s">
        <v>883</v>
      </c>
      <c r="J76" t="s">
        <v>1958</v>
      </c>
      <c r="K76">
        <v>143.62</v>
      </c>
      <c r="L76">
        <v>173.577</v>
      </c>
      <c r="M76">
        <v>196.005</v>
      </c>
      <c r="N76">
        <v>217.28200000000001</v>
      </c>
      <c r="O76">
        <v>261.99200000000002</v>
      </c>
      <c r="P76">
        <v>278.12700000000001</v>
      </c>
      <c r="Q76">
        <v>320.52600000000001</v>
      </c>
      <c r="R76">
        <v>394.77100000000002</v>
      </c>
      <c r="S76">
        <v>466.077</v>
      </c>
      <c r="T76">
        <v>536.55899999999997</v>
      </c>
      <c r="U76">
        <v>599.25800000000004</v>
      </c>
      <c r="V76">
        <v>691.32299999999998</v>
      </c>
      <c r="W76">
        <v>807.12900000000002</v>
      </c>
      <c r="X76">
        <v>931.00800000000004</v>
      </c>
      <c r="Y76">
        <v>1049.6099999999999</v>
      </c>
      <c r="Z76">
        <v>1119.01</v>
      </c>
      <c r="AA76">
        <v>1235.3</v>
      </c>
      <c r="AB76">
        <v>1373.08</v>
      </c>
      <c r="AC76">
        <v>1308.07</v>
      </c>
      <c r="AD76">
        <v>1285.95</v>
      </c>
      <c r="AE76">
        <v>1337.5</v>
      </c>
      <c r="AF76">
        <v>1321.14</v>
      </c>
      <c r="AG76">
        <v>1297.3399999999999</v>
      </c>
      <c r="AH76">
        <v>1256.67</v>
      </c>
      <c r="AI76">
        <v>1316.95</v>
      </c>
      <c r="AJ76">
        <v>1412.13</v>
      </c>
      <c r="AK76">
        <v>1503.35</v>
      </c>
      <c r="AL76">
        <v>1650.76</v>
      </c>
      <c r="AM76">
        <v>1707.49</v>
      </c>
      <c r="AN76">
        <v>1659.25</v>
      </c>
      <c r="AO76">
        <v>1776.33</v>
      </c>
      <c r="AP76">
        <v>1934.43</v>
      </c>
      <c r="AQ76">
        <v>2037.06</v>
      </c>
      <c r="AR76">
        <v>2138.31</v>
      </c>
      <c r="AS76">
        <v>2260.0100000000002</v>
      </c>
      <c r="AT76">
        <v>2398.2800000000002</v>
      </c>
      <c r="AU76">
        <v>2490.6</v>
      </c>
      <c r="AV76">
        <v>2659.61</v>
      </c>
      <c r="AW76">
        <v>2835.43</v>
      </c>
      <c r="AX76">
        <v>2844.84</v>
      </c>
      <c r="AY76">
        <v>2675.31</v>
      </c>
      <c r="AZ76">
        <v>2861.62</v>
      </c>
      <c r="BA76">
        <v>2881.25</v>
      </c>
      <c r="BB76">
        <v>3051.66</v>
      </c>
      <c r="BC76">
        <v>3202.04</v>
      </c>
      <c r="BD76">
        <v>3367.45</v>
      </c>
      <c r="BE76">
        <v>3540.92</v>
      </c>
      <c r="BF76">
        <v>3726.8</v>
      </c>
      <c r="BG76">
        <v>2021</v>
      </c>
      <c r="BH76">
        <v>2861.62</v>
      </c>
      <c r="BI76">
        <v>2021</v>
      </c>
    </row>
    <row r="77" spans="1:61">
      <c r="A77">
        <v>944</v>
      </c>
      <c r="B77" t="s">
        <v>442</v>
      </c>
      <c r="C77" t="s">
        <v>1881</v>
      </c>
      <c r="D77" t="s">
        <v>68</v>
      </c>
      <c r="E77" t="str">
        <f>IF(ISNUMBER(VLOOKUP(B77,'OECD DAC'!B:C,2,FALSE)), "YES", " ")</f>
        <v>YES</v>
      </c>
      <c r="F77" t="s">
        <v>1882</v>
      </c>
      <c r="G77" t="s">
        <v>1883</v>
      </c>
      <c r="H77" t="s">
        <v>1662</v>
      </c>
      <c r="I77" t="s">
        <v>883</v>
      </c>
      <c r="J77" t="s">
        <v>1959</v>
      </c>
      <c r="K77">
        <v>749.6</v>
      </c>
      <c r="L77">
        <v>810.81399999999996</v>
      </c>
      <c r="M77">
        <v>881.46600000000001</v>
      </c>
      <c r="N77">
        <v>931.88300000000004</v>
      </c>
      <c r="O77">
        <v>1017.23</v>
      </c>
      <c r="P77">
        <v>1074.6099999999999</v>
      </c>
      <c r="Q77">
        <v>1131.94</v>
      </c>
      <c r="R77">
        <v>1274.96</v>
      </c>
      <c r="S77">
        <v>1497.44</v>
      </c>
      <c r="T77">
        <v>1791.1</v>
      </c>
      <c r="U77">
        <v>2172.1</v>
      </c>
      <c r="V77">
        <v>2597.31</v>
      </c>
      <c r="W77">
        <v>3059.26</v>
      </c>
      <c r="X77">
        <v>3688.85</v>
      </c>
      <c r="Y77">
        <v>4537.76</v>
      </c>
      <c r="Z77">
        <v>5836.48</v>
      </c>
      <c r="AA77">
        <v>7122.31</v>
      </c>
      <c r="AB77">
        <v>8834.56</v>
      </c>
      <c r="AC77">
        <v>10442.82</v>
      </c>
      <c r="AD77">
        <v>11637.55</v>
      </c>
      <c r="AE77">
        <v>13324.05</v>
      </c>
      <c r="AF77">
        <v>15398.7</v>
      </c>
      <c r="AG77">
        <v>17433.86</v>
      </c>
      <c r="AH77">
        <v>19133.810000000001</v>
      </c>
      <c r="AI77">
        <v>21077.46</v>
      </c>
      <c r="AJ77">
        <v>22549.02</v>
      </c>
      <c r="AK77">
        <v>24316.3</v>
      </c>
      <c r="AL77">
        <v>25701.37</v>
      </c>
      <c r="AM77">
        <v>27217.37</v>
      </c>
      <c r="AN77">
        <v>26458.26</v>
      </c>
      <c r="AO77">
        <v>27431.27</v>
      </c>
      <c r="AP77">
        <v>28501.5</v>
      </c>
      <c r="AQ77">
        <v>28920.37</v>
      </c>
      <c r="AR77">
        <v>30290.92</v>
      </c>
      <c r="AS77">
        <v>32742.18</v>
      </c>
      <c r="AT77">
        <v>34937.31</v>
      </c>
      <c r="AU77">
        <v>36214.07</v>
      </c>
      <c r="AV77">
        <v>39281.360000000001</v>
      </c>
      <c r="AW77">
        <v>43392.44</v>
      </c>
      <c r="AX77">
        <v>47530.61</v>
      </c>
      <c r="AY77">
        <v>47988.480000000003</v>
      </c>
      <c r="AZ77">
        <v>55045.99</v>
      </c>
      <c r="BA77">
        <v>62238.14</v>
      </c>
      <c r="BB77">
        <v>68502.83</v>
      </c>
      <c r="BC77">
        <v>73914.31</v>
      </c>
      <c r="BD77">
        <v>79102.210000000006</v>
      </c>
      <c r="BE77">
        <v>83952.02</v>
      </c>
      <c r="BF77">
        <v>88848.39</v>
      </c>
      <c r="BG77">
        <v>2021</v>
      </c>
      <c r="BH77">
        <v>55045.99</v>
      </c>
      <c r="BI77">
        <v>2021</v>
      </c>
    </row>
    <row r="78" spans="1:61">
      <c r="A78">
        <v>176</v>
      </c>
      <c r="B78" t="s">
        <v>463</v>
      </c>
      <c r="C78" t="s">
        <v>1881</v>
      </c>
      <c r="D78" t="s">
        <v>59</v>
      </c>
      <c r="E78" t="str">
        <f>IF(ISNUMBER(VLOOKUP(B78,'OECD DAC'!B:C,2,FALSE)), "YES", " ")</f>
        <v>YES</v>
      </c>
      <c r="F78" t="s">
        <v>1882</v>
      </c>
      <c r="G78" t="s">
        <v>1883</v>
      </c>
      <c r="H78" t="s">
        <v>1662</v>
      </c>
      <c r="I78" t="s">
        <v>883</v>
      </c>
      <c r="J78" t="s">
        <v>1960</v>
      </c>
      <c r="K78">
        <v>16.472999999999999</v>
      </c>
      <c r="L78">
        <v>25.594000000000001</v>
      </c>
      <c r="M78">
        <v>40.158000000000001</v>
      </c>
      <c r="N78">
        <v>69.382000000000005</v>
      </c>
      <c r="O78">
        <v>91.661000000000001</v>
      </c>
      <c r="P78">
        <v>124.9</v>
      </c>
      <c r="Q78">
        <v>164.97900000000001</v>
      </c>
      <c r="R78">
        <v>215.08799999999999</v>
      </c>
      <c r="S78">
        <v>264.30099999999999</v>
      </c>
      <c r="T78">
        <v>325.154</v>
      </c>
      <c r="U78">
        <v>379.09899999999999</v>
      </c>
      <c r="V78">
        <v>409.97800000000001</v>
      </c>
      <c r="W78">
        <v>408.887</v>
      </c>
      <c r="X78">
        <v>420.84899999999999</v>
      </c>
      <c r="Y78">
        <v>447.14100000000002</v>
      </c>
      <c r="Z78">
        <v>460.84</v>
      </c>
      <c r="AA78">
        <v>493.834</v>
      </c>
      <c r="AB78">
        <v>536.721</v>
      </c>
      <c r="AC78">
        <v>603.40700000000004</v>
      </c>
      <c r="AD78">
        <v>649.71900000000005</v>
      </c>
      <c r="AE78">
        <v>709.56100000000004</v>
      </c>
      <c r="AF78">
        <v>802.27700000000004</v>
      </c>
      <c r="AG78">
        <v>854.14</v>
      </c>
      <c r="AH78">
        <v>876.73299999999995</v>
      </c>
      <c r="AI78">
        <v>970.42100000000005</v>
      </c>
      <c r="AJ78">
        <v>1061.43</v>
      </c>
      <c r="AK78">
        <v>1225.72</v>
      </c>
      <c r="AL78">
        <v>1386.95</v>
      </c>
      <c r="AM78">
        <v>1589.63</v>
      </c>
      <c r="AN78">
        <v>1626.39</v>
      </c>
      <c r="AO78">
        <v>1680.97</v>
      </c>
      <c r="AP78">
        <v>1765.01</v>
      </c>
      <c r="AQ78">
        <v>1845.16</v>
      </c>
      <c r="AR78">
        <v>1970.15</v>
      </c>
      <c r="AS78">
        <v>2086.36</v>
      </c>
      <c r="AT78">
        <v>2310.85</v>
      </c>
      <c r="AU78">
        <v>2512.06</v>
      </c>
      <c r="AV78">
        <v>2641.96</v>
      </c>
      <c r="AW78">
        <v>2844.41</v>
      </c>
      <c r="AX78">
        <v>3043.06</v>
      </c>
      <c r="AY78">
        <v>2928.47</v>
      </c>
      <c r="AZ78">
        <v>3233</v>
      </c>
      <c r="BA78">
        <v>3623.09</v>
      </c>
      <c r="BB78">
        <v>3865.68</v>
      </c>
      <c r="BC78">
        <v>4075.62</v>
      </c>
      <c r="BD78">
        <v>4272.41</v>
      </c>
      <c r="BE78">
        <v>4490.59</v>
      </c>
      <c r="BF78">
        <v>4727.34</v>
      </c>
      <c r="BG78">
        <v>2020</v>
      </c>
      <c r="BH78">
        <v>2928.47</v>
      </c>
      <c r="BI78">
        <v>2020</v>
      </c>
    </row>
    <row r="79" spans="1:61" hidden="1">
      <c r="A79">
        <v>534</v>
      </c>
      <c r="B79" t="s">
        <v>356</v>
      </c>
      <c r="C79" t="s">
        <v>1881</v>
      </c>
      <c r="D79" t="s">
        <v>142</v>
      </c>
      <c r="E79" t="str">
        <f>IF(ISNUMBER(VLOOKUP(B79,'OECD DAC'!B:C,2,FALSE)), "YES", " ")</f>
        <v xml:space="preserve"> </v>
      </c>
      <c r="F79" t="s">
        <v>1882</v>
      </c>
      <c r="G79" t="s">
        <v>1883</v>
      </c>
      <c r="H79" t="s">
        <v>1662</v>
      </c>
      <c r="I79" t="s">
        <v>883</v>
      </c>
      <c r="J79" t="s">
        <v>1961</v>
      </c>
      <c r="K79">
        <v>1496.42</v>
      </c>
      <c r="L79">
        <v>1758.06</v>
      </c>
      <c r="M79">
        <v>1966.44</v>
      </c>
      <c r="N79">
        <v>2290.21</v>
      </c>
      <c r="O79">
        <v>2566.11</v>
      </c>
      <c r="P79">
        <v>2895.24</v>
      </c>
      <c r="Q79">
        <v>3239.49</v>
      </c>
      <c r="R79">
        <v>3682.11</v>
      </c>
      <c r="S79">
        <v>4368.93</v>
      </c>
      <c r="T79">
        <v>5019.28</v>
      </c>
      <c r="U79">
        <v>5862.12</v>
      </c>
      <c r="V79">
        <v>6738.75</v>
      </c>
      <c r="W79">
        <v>7745.45</v>
      </c>
      <c r="X79">
        <v>8913.5499999999993</v>
      </c>
      <c r="Y79">
        <v>10455.91</v>
      </c>
      <c r="Z79">
        <v>12267.25</v>
      </c>
      <c r="AA79">
        <v>14192.77</v>
      </c>
      <c r="AB79">
        <v>15723.94</v>
      </c>
      <c r="AC79">
        <v>18033.78</v>
      </c>
      <c r="AD79">
        <v>20231.3</v>
      </c>
      <c r="AE79">
        <v>21774.13</v>
      </c>
      <c r="AF79">
        <v>23558.45</v>
      </c>
      <c r="AG79">
        <v>25363.27</v>
      </c>
      <c r="AH79">
        <v>28415.03</v>
      </c>
      <c r="AI79">
        <v>32422.1</v>
      </c>
      <c r="AJ79">
        <v>36933.69</v>
      </c>
      <c r="AK79">
        <v>42947.06</v>
      </c>
      <c r="AL79">
        <v>49870.9</v>
      </c>
      <c r="AM79">
        <v>56300.6</v>
      </c>
      <c r="AN79">
        <v>64778.3</v>
      </c>
      <c r="AO79">
        <v>77841.2</v>
      </c>
      <c r="AP79">
        <v>87363.3</v>
      </c>
      <c r="AQ79">
        <v>99440.1</v>
      </c>
      <c r="AR79">
        <v>112335.2</v>
      </c>
      <c r="AS79">
        <v>124679.6</v>
      </c>
      <c r="AT79">
        <v>137718.70000000001</v>
      </c>
      <c r="AU79">
        <v>153916.70000000001</v>
      </c>
      <c r="AV79">
        <v>170900.4</v>
      </c>
      <c r="AW79">
        <v>188996.7</v>
      </c>
      <c r="AX79">
        <v>200748.6</v>
      </c>
      <c r="AY79">
        <v>198009.1</v>
      </c>
      <c r="AZ79">
        <v>236438.8</v>
      </c>
      <c r="BA79">
        <v>268144.3</v>
      </c>
      <c r="BB79">
        <v>302308.94</v>
      </c>
      <c r="BC79">
        <v>338457.44</v>
      </c>
      <c r="BD79">
        <v>378094.67</v>
      </c>
      <c r="BE79">
        <v>419629.61</v>
      </c>
      <c r="BF79">
        <v>464141.92</v>
      </c>
      <c r="BG79">
        <v>2021</v>
      </c>
      <c r="BH79">
        <v>236438.8</v>
      </c>
      <c r="BI79">
        <v>2021</v>
      </c>
    </row>
    <row r="80" spans="1:61" hidden="1">
      <c r="A80">
        <v>536</v>
      </c>
      <c r="B80" t="s">
        <v>385</v>
      </c>
      <c r="C80" t="s">
        <v>1881</v>
      </c>
      <c r="D80" t="s">
        <v>171</v>
      </c>
      <c r="E80" t="str">
        <f>IF(ISNUMBER(VLOOKUP(B80,'OECD DAC'!B:C,2,FALSE)), "YES", " ")</f>
        <v xml:space="preserve"> </v>
      </c>
      <c r="F80" t="s">
        <v>1882</v>
      </c>
      <c r="G80" t="s">
        <v>1883</v>
      </c>
      <c r="H80" t="s">
        <v>1662</v>
      </c>
      <c r="I80" t="s">
        <v>883</v>
      </c>
      <c r="J80" t="s">
        <v>1962</v>
      </c>
      <c r="K80">
        <v>62257.71</v>
      </c>
      <c r="L80">
        <v>70029.2</v>
      </c>
      <c r="M80">
        <v>75268.73</v>
      </c>
      <c r="N80">
        <v>93789.9</v>
      </c>
      <c r="O80">
        <v>109999.8</v>
      </c>
      <c r="P80">
        <v>118901.2</v>
      </c>
      <c r="Q80">
        <v>129820.3</v>
      </c>
      <c r="R80">
        <v>156517.9</v>
      </c>
      <c r="S80">
        <v>180840.1</v>
      </c>
      <c r="T80">
        <v>216981.6</v>
      </c>
      <c r="U80">
        <v>254781</v>
      </c>
      <c r="V80">
        <v>301434.90000000002</v>
      </c>
      <c r="W80">
        <v>341591.6</v>
      </c>
      <c r="X80">
        <v>398454.6</v>
      </c>
      <c r="Y80">
        <v>461820.4</v>
      </c>
      <c r="Z80">
        <v>549170.80000000005</v>
      </c>
      <c r="AA80">
        <v>643480</v>
      </c>
      <c r="AB80">
        <v>758418.5</v>
      </c>
      <c r="AC80">
        <v>1154797.6000000001</v>
      </c>
      <c r="AD80">
        <v>1328760.7</v>
      </c>
      <c r="AE80">
        <v>1511556.6</v>
      </c>
      <c r="AF80">
        <v>1790590.7</v>
      </c>
      <c r="AG80">
        <v>1981482.2</v>
      </c>
      <c r="AH80">
        <v>2190134.7000000002</v>
      </c>
      <c r="AI80">
        <v>2497011.5</v>
      </c>
      <c r="AJ80">
        <v>3017393.8</v>
      </c>
      <c r="AK80">
        <v>3631835.3</v>
      </c>
      <c r="AL80">
        <v>4297113.4000000004</v>
      </c>
      <c r="AM80">
        <v>5414841.9000000004</v>
      </c>
      <c r="AN80">
        <v>6011375</v>
      </c>
      <c r="AO80">
        <v>6864133.0999999996</v>
      </c>
      <c r="AP80">
        <v>7831726</v>
      </c>
      <c r="AQ80">
        <v>8615704.5</v>
      </c>
      <c r="AR80">
        <v>9546134</v>
      </c>
      <c r="AS80">
        <v>10569705.300000001</v>
      </c>
      <c r="AT80">
        <v>11526332.800000001</v>
      </c>
      <c r="AU80">
        <v>12401728.5</v>
      </c>
      <c r="AV80">
        <v>13589825.699999999</v>
      </c>
      <c r="AW80">
        <v>14838756</v>
      </c>
      <c r="AX80">
        <v>15832657.199999999</v>
      </c>
      <c r="AY80">
        <v>15438017.5</v>
      </c>
      <c r="AZ80">
        <v>16970789.199999999</v>
      </c>
      <c r="BA80">
        <v>18534850.370000001</v>
      </c>
      <c r="BB80">
        <v>20303106.550000001</v>
      </c>
      <c r="BC80">
        <v>22114277.039999999</v>
      </c>
      <c r="BD80">
        <v>23990871.34</v>
      </c>
      <c r="BE80">
        <v>25992588.84</v>
      </c>
      <c r="BF80">
        <v>28136095.510000002</v>
      </c>
      <c r="BG80">
        <v>2021</v>
      </c>
      <c r="BH80">
        <v>16970789.199999999</v>
      </c>
      <c r="BI80">
        <v>2021</v>
      </c>
    </row>
    <row r="81" spans="1:61" hidden="1">
      <c r="A81">
        <v>429</v>
      </c>
      <c r="B81" t="s">
        <v>372</v>
      </c>
      <c r="C81" t="s">
        <v>1881</v>
      </c>
      <c r="D81" t="s">
        <v>1749</v>
      </c>
      <c r="E81" t="str">
        <f>IF(ISNUMBER(VLOOKUP(B81,'OECD DAC'!B:C,2,FALSE)), "YES", " ")</f>
        <v xml:space="preserve"> </v>
      </c>
      <c r="F81" t="s">
        <v>1882</v>
      </c>
      <c r="G81" t="s">
        <v>1883</v>
      </c>
      <c r="H81" t="s">
        <v>1662</v>
      </c>
      <c r="I81" t="s">
        <v>883</v>
      </c>
      <c r="J81" t="s">
        <v>1963</v>
      </c>
      <c r="K81">
        <v>6891.35</v>
      </c>
      <c r="L81">
        <v>8160.73</v>
      </c>
      <c r="M81">
        <v>10640.57</v>
      </c>
      <c r="N81">
        <v>13708.84</v>
      </c>
      <c r="O81">
        <v>14906.59</v>
      </c>
      <c r="P81">
        <v>15708.53</v>
      </c>
      <c r="Q81">
        <v>15887.21</v>
      </c>
      <c r="R81">
        <v>19298.98</v>
      </c>
      <c r="S81">
        <v>21705.25</v>
      </c>
      <c r="T81">
        <v>27331.360000000001</v>
      </c>
      <c r="U81">
        <v>38748.410000000003</v>
      </c>
      <c r="V81">
        <v>55354.95</v>
      </c>
      <c r="W81">
        <v>74189.8</v>
      </c>
      <c r="X81">
        <v>107507.11</v>
      </c>
      <c r="Y81">
        <v>139682.04</v>
      </c>
      <c r="Z81">
        <v>201145.98</v>
      </c>
      <c r="AA81">
        <v>277281.11</v>
      </c>
      <c r="AB81">
        <v>323163.01</v>
      </c>
      <c r="AC81">
        <v>359775.78</v>
      </c>
      <c r="AD81">
        <v>482785.86</v>
      </c>
      <c r="AE81">
        <v>643939.44999999995</v>
      </c>
      <c r="AF81">
        <v>751016.39</v>
      </c>
      <c r="AG81">
        <v>1056702.51</v>
      </c>
      <c r="AH81">
        <v>1313459.74</v>
      </c>
      <c r="AI81">
        <v>1649382.25</v>
      </c>
      <c r="AJ81">
        <v>2062997.2</v>
      </c>
      <c r="AK81">
        <v>2505521.6800000002</v>
      </c>
      <c r="AL81">
        <v>3348041.7</v>
      </c>
      <c r="AM81">
        <v>4080696.25</v>
      </c>
      <c r="AN81">
        <v>4369336.13</v>
      </c>
      <c r="AO81">
        <v>5357811.7300000004</v>
      </c>
      <c r="AP81">
        <v>6895999.71</v>
      </c>
      <c r="AQ81">
        <v>7895676.7999999998</v>
      </c>
      <c r="AR81">
        <v>10634997.800000001</v>
      </c>
      <c r="AS81">
        <v>12254707.59</v>
      </c>
      <c r="AT81">
        <v>12103890.09</v>
      </c>
      <c r="AU81">
        <v>14408890.810000001</v>
      </c>
      <c r="AV81">
        <v>16736418.99</v>
      </c>
      <c r="AW81">
        <v>21509568.600000001</v>
      </c>
      <c r="AX81">
        <v>27543238.899999999</v>
      </c>
      <c r="AY81">
        <v>39398195.909999996</v>
      </c>
      <c r="AZ81">
        <v>59904601.5</v>
      </c>
      <c r="BA81">
        <v>83392385.599999994</v>
      </c>
      <c r="BB81">
        <v>106378359.26000001</v>
      </c>
      <c r="BC81">
        <v>134375461.40000001</v>
      </c>
      <c r="BD81">
        <v>170221645.81999999</v>
      </c>
      <c r="BE81">
        <v>216053114.41</v>
      </c>
      <c r="BF81">
        <v>275093687</v>
      </c>
      <c r="BG81">
        <v>2021</v>
      </c>
      <c r="BH81">
        <v>59904601.5</v>
      </c>
      <c r="BI81">
        <v>2021</v>
      </c>
    </row>
    <row r="82" spans="1:61" hidden="1">
      <c r="A82">
        <v>433</v>
      </c>
      <c r="B82" t="s">
        <v>400</v>
      </c>
      <c r="C82" t="s">
        <v>1881</v>
      </c>
      <c r="D82" t="s">
        <v>185</v>
      </c>
      <c r="E82" t="str">
        <f>IF(ISNUMBER(VLOOKUP(B82,'OECD DAC'!B:C,2,FALSE)), "YES", " ")</f>
        <v xml:space="preserve"> </v>
      </c>
      <c r="F82" t="s">
        <v>1882</v>
      </c>
      <c r="G82" t="s">
        <v>1883</v>
      </c>
      <c r="H82" t="s">
        <v>1662</v>
      </c>
      <c r="I82" t="s">
        <v>883</v>
      </c>
      <c r="J82" t="s">
        <v>1964</v>
      </c>
      <c r="K82" t="s">
        <v>1664</v>
      </c>
      <c r="L82" t="s">
        <v>1664</v>
      </c>
      <c r="M82" t="s">
        <v>1664</v>
      </c>
      <c r="N82" t="s">
        <v>1664</v>
      </c>
      <c r="O82" t="s">
        <v>1664</v>
      </c>
      <c r="P82" t="s">
        <v>1664</v>
      </c>
      <c r="Q82" t="s">
        <v>1664</v>
      </c>
      <c r="R82" t="s">
        <v>1664</v>
      </c>
      <c r="S82" t="s">
        <v>1664</v>
      </c>
      <c r="T82" t="s">
        <v>1664</v>
      </c>
      <c r="U82" t="s">
        <v>1664</v>
      </c>
      <c r="V82" t="s">
        <v>1664</v>
      </c>
      <c r="W82" t="s">
        <v>1664</v>
      </c>
      <c r="X82" t="s">
        <v>1664</v>
      </c>
      <c r="Y82" t="s">
        <v>1664</v>
      </c>
      <c r="Z82" t="s">
        <v>1664</v>
      </c>
      <c r="AA82" t="s">
        <v>1664</v>
      </c>
      <c r="AB82" t="s">
        <v>1664</v>
      </c>
      <c r="AC82">
        <v>16959.34</v>
      </c>
      <c r="AD82">
        <v>36382.339999999997</v>
      </c>
      <c r="AE82">
        <v>49904.22</v>
      </c>
      <c r="AF82">
        <v>36527.730000000003</v>
      </c>
      <c r="AG82">
        <v>37123.49</v>
      </c>
      <c r="AH82">
        <v>29989.13</v>
      </c>
      <c r="AI82">
        <v>53235.360000000001</v>
      </c>
      <c r="AJ82">
        <v>73533.600000000006</v>
      </c>
      <c r="AK82">
        <v>95587.96</v>
      </c>
      <c r="AL82">
        <v>111455.81</v>
      </c>
      <c r="AM82">
        <v>157026.06</v>
      </c>
      <c r="AN82">
        <v>130642.19</v>
      </c>
      <c r="AO82">
        <v>162064.57</v>
      </c>
      <c r="AP82">
        <v>217327.11</v>
      </c>
      <c r="AQ82">
        <v>254225.49</v>
      </c>
      <c r="AR82">
        <v>273587.53000000003</v>
      </c>
      <c r="AS82">
        <v>273603.02</v>
      </c>
      <c r="AT82">
        <v>207121.63</v>
      </c>
      <c r="AU82">
        <v>197933.26</v>
      </c>
      <c r="AV82">
        <v>227348.97</v>
      </c>
      <c r="AW82">
        <v>268160.75</v>
      </c>
      <c r="AX82">
        <v>276532.75</v>
      </c>
      <c r="AY82">
        <v>201828.06</v>
      </c>
      <c r="AZ82">
        <v>303785.86</v>
      </c>
      <c r="BA82">
        <v>431143.86</v>
      </c>
      <c r="BB82">
        <v>434142.71</v>
      </c>
      <c r="BC82">
        <v>437782.42</v>
      </c>
      <c r="BD82">
        <v>445544.21</v>
      </c>
      <c r="BE82">
        <v>459096.62</v>
      </c>
      <c r="BF82">
        <v>477894.12</v>
      </c>
      <c r="BG82">
        <v>2020</v>
      </c>
      <c r="BH82">
        <v>201828.06</v>
      </c>
      <c r="BI82">
        <v>2020</v>
      </c>
    </row>
    <row r="83" spans="1:61">
      <c r="A83">
        <v>178</v>
      </c>
      <c r="B83" t="s">
        <v>466</v>
      </c>
      <c r="C83" t="s">
        <v>1881</v>
      </c>
      <c r="D83" t="s">
        <v>61</v>
      </c>
      <c r="E83" t="str">
        <f>IF(ISNUMBER(VLOOKUP(B83,'OECD DAC'!B:C,2,FALSE)), "YES", " ")</f>
        <v>YES</v>
      </c>
      <c r="F83" t="s">
        <v>1882</v>
      </c>
      <c r="G83" t="s">
        <v>1883</v>
      </c>
      <c r="H83" t="s">
        <v>1662</v>
      </c>
      <c r="I83" t="s">
        <v>883</v>
      </c>
      <c r="J83" t="s">
        <v>1965</v>
      </c>
      <c r="K83">
        <v>13.218999999999999</v>
      </c>
      <c r="L83">
        <v>16.04</v>
      </c>
      <c r="M83">
        <v>19.027999999999999</v>
      </c>
      <c r="N83">
        <v>20.972999999999999</v>
      </c>
      <c r="O83">
        <v>23.228000000000002</v>
      </c>
      <c r="P83">
        <v>25.231999999999999</v>
      </c>
      <c r="Q83">
        <v>26.876999999999999</v>
      </c>
      <c r="R83">
        <v>28.724</v>
      </c>
      <c r="S83">
        <v>30.684000000000001</v>
      </c>
      <c r="T83">
        <v>34.036999999999999</v>
      </c>
      <c r="U83">
        <v>36.905000000000001</v>
      </c>
      <c r="V83">
        <v>38.399000000000001</v>
      </c>
      <c r="W83">
        <v>40.898000000000003</v>
      </c>
      <c r="X83">
        <v>44.048999999999999</v>
      </c>
      <c r="Y83">
        <v>47.344999999999999</v>
      </c>
      <c r="Z83">
        <v>54.838999999999999</v>
      </c>
      <c r="AA83">
        <v>60.234999999999999</v>
      </c>
      <c r="AB83">
        <v>69.400000000000006</v>
      </c>
      <c r="AC83">
        <v>80.430999999999997</v>
      </c>
      <c r="AD83">
        <v>92.790999999999997</v>
      </c>
      <c r="AE83">
        <v>108.496</v>
      </c>
      <c r="AF83">
        <v>122.089</v>
      </c>
      <c r="AG83">
        <v>135.99799999999999</v>
      </c>
      <c r="AH83">
        <v>145.577</v>
      </c>
      <c r="AI83">
        <v>156.25899999999999</v>
      </c>
      <c r="AJ83">
        <v>170.30600000000001</v>
      </c>
      <c r="AK83">
        <v>184.916</v>
      </c>
      <c r="AL83">
        <v>197.07</v>
      </c>
      <c r="AM83">
        <v>187.28299999999999</v>
      </c>
      <c r="AN83">
        <v>169.51900000000001</v>
      </c>
      <c r="AO83">
        <v>167.363</v>
      </c>
      <c r="AP83">
        <v>171.685</v>
      </c>
      <c r="AQ83">
        <v>175.51300000000001</v>
      </c>
      <c r="AR83">
        <v>179.411</v>
      </c>
      <c r="AS83">
        <v>194.934</v>
      </c>
      <c r="AT83">
        <v>262.80099999999999</v>
      </c>
      <c r="AU83">
        <v>270.05799999999999</v>
      </c>
      <c r="AV83">
        <v>296.92500000000001</v>
      </c>
      <c r="AW83">
        <v>326.04199999999997</v>
      </c>
      <c r="AX83">
        <v>356.52499999999998</v>
      </c>
      <c r="AY83">
        <v>372.86900000000003</v>
      </c>
      <c r="AZ83">
        <v>421.529</v>
      </c>
      <c r="BA83">
        <v>457.80700000000002</v>
      </c>
      <c r="BB83">
        <v>492.18599999999998</v>
      </c>
      <c r="BC83">
        <v>522.10500000000002</v>
      </c>
      <c r="BD83">
        <v>548.57399999999996</v>
      </c>
      <c r="BE83">
        <v>576.35500000000002</v>
      </c>
      <c r="BF83">
        <v>605.64800000000002</v>
      </c>
      <c r="BG83">
        <v>2021</v>
      </c>
      <c r="BH83">
        <v>421.529</v>
      </c>
      <c r="BI83">
        <v>2021</v>
      </c>
    </row>
    <row r="84" spans="1:61" hidden="1">
      <c r="A84">
        <v>436</v>
      </c>
      <c r="B84" t="s">
        <v>524</v>
      </c>
      <c r="C84" t="s">
        <v>1881</v>
      </c>
      <c r="D84" t="s">
        <v>258</v>
      </c>
      <c r="E84" t="str">
        <f>IF(ISNUMBER(VLOOKUP(B84,'OECD DAC'!B:C,2,FALSE)), "YES", " ")</f>
        <v xml:space="preserve"> </v>
      </c>
      <c r="F84" t="s">
        <v>1882</v>
      </c>
      <c r="G84" t="s">
        <v>1883</v>
      </c>
      <c r="H84" t="s">
        <v>1662</v>
      </c>
      <c r="I84" t="s">
        <v>883</v>
      </c>
      <c r="J84" t="s">
        <v>1966</v>
      </c>
      <c r="K84">
        <v>0.122</v>
      </c>
      <c r="L84">
        <v>0.28899999999999998</v>
      </c>
      <c r="M84">
        <v>0.65900000000000003</v>
      </c>
      <c r="N84">
        <v>1.7010000000000001</v>
      </c>
      <c r="O84">
        <v>8.4009999999999998</v>
      </c>
      <c r="P84">
        <v>31.390999999999998</v>
      </c>
      <c r="Q84">
        <v>48.774000000000001</v>
      </c>
      <c r="R84">
        <v>62.436999999999998</v>
      </c>
      <c r="S84">
        <v>77.552999999999997</v>
      </c>
      <c r="T84">
        <v>94.575999999999993</v>
      </c>
      <c r="U84">
        <v>117.40900000000001</v>
      </c>
      <c r="V84">
        <v>150.554</v>
      </c>
      <c r="W84">
        <v>181.51900000000001</v>
      </c>
      <c r="X84">
        <v>209.96100000000001</v>
      </c>
      <c r="Y84">
        <v>255</v>
      </c>
      <c r="Z84">
        <v>302.952</v>
      </c>
      <c r="AA84">
        <v>351.661</v>
      </c>
      <c r="AB84">
        <v>395.83100000000002</v>
      </c>
      <c r="AC84">
        <v>440.80799999999999</v>
      </c>
      <c r="AD84">
        <v>485.03300000000002</v>
      </c>
      <c r="AE84">
        <v>540.06100000000004</v>
      </c>
      <c r="AF84">
        <v>550.17399999999998</v>
      </c>
      <c r="AG84">
        <v>573.97699999999998</v>
      </c>
      <c r="AH84">
        <v>578.58299999999997</v>
      </c>
      <c r="AI84">
        <v>607.63</v>
      </c>
      <c r="AJ84">
        <v>640.20100000000002</v>
      </c>
      <c r="AK84">
        <v>686.84199999999998</v>
      </c>
      <c r="AL84">
        <v>736.01499999999999</v>
      </c>
      <c r="AM84">
        <v>777.56100000000004</v>
      </c>
      <c r="AN84">
        <v>817.73500000000001</v>
      </c>
      <c r="AO84">
        <v>877.36800000000005</v>
      </c>
      <c r="AP84">
        <v>938.52099999999996</v>
      </c>
      <c r="AQ84">
        <v>996.43700000000001</v>
      </c>
      <c r="AR84">
        <v>1062.17</v>
      </c>
      <c r="AS84">
        <v>1112.54</v>
      </c>
      <c r="AT84">
        <v>1166.3499999999999</v>
      </c>
      <c r="AU84">
        <v>1225.24</v>
      </c>
      <c r="AV84">
        <v>1278.8399999999999</v>
      </c>
      <c r="AW84">
        <v>1341.58</v>
      </c>
      <c r="AX84">
        <v>1418.45</v>
      </c>
      <c r="AY84">
        <v>1401.41</v>
      </c>
      <c r="AZ84">
        <v>1555.64</v>
      </c>
      <c r="BA84">
        <v>1682.11</v>
      </c>
      <c r="BB84">
        <v>1784.68</v>
      </c>
      <c r="BC84">
        <v>1892.11</v>
      </c>
      <c r="BD84">
        <v>2001.73</v>
      </c>
      <c r="BE84">
        <v>2116.4</v>
      </c>
      <c r="BF84">
        <v>2237.1999999999998</v>
      </c>
      <c r="BG84">
        <v>2021</v>
      </c>
      <c r="BH84">
        <v>1555.64</v>
      </c>
      <c r="BI84">
        <v>2021</v>
      </c>
    </row>
    <row r="85" spans="1:61">
      <c r="A85">
        <v>136</v>
      </c>
      <c r="B85" t="s">
        <v>450</v>
      </c>
      <c r="C85" t="s">
        <v>1881</v>
      </c>
      <c r="D85" t="s">
        <v>63</v>
      </c>
      <c r="E85" t="str">
        <f>IF(ISNUMBER(VLOOKUP(B85,'OECD DAC'!B:C,2,FALSE)), "YES", " ")</f>
        <v>YES</v>
      </c>
      <c r="F85" t="s">
        <v>1882</v>
      </c>
      <c r="G85" t="s">
        <v>1883</v>
      </c>
      <c r="H85" t="s">
        <v>1662</v>
      </c>
      <c r="I85" t="s">
        <v>883</v>
      </c>
      <c r="J85" t="s">
        <v>1967</v>
      </c>
      <c r="K85">
        <v>213.108</v>
      </c>
      <c r="L85">
        <v>255.28200000000001</v>
      </c>
      <c r="M85">
        <v>301.30099999999999</v>
      </c>
      <c r="N85">
        <v>350.84300000000002</v>
      </c>
      <c r="O85">
        <v>401.13499999999999</v>
      </c>
      <c r="P85">
        <v>450.19200000000001</v>
      </c>
      <c r="Q85">
        <v>497.74299999999999</v>
      </c>
      <c r="R85">
        <v>544.49599999999998</v>
      </c>
      <c r="S85">
        <v>605.06600000000003</v>
      </c>
      <c r="T85">
        <v>664.33699999999999</v>
      </c>
      <c r="U85">
        <v>723.15200000000004</v>
      </c>
      <c r="V85">
        <v>789.94399999999996</v>
      </c>
      <c r="W85">
        <v>831.33</v>
      </c>
      <c r="X85">
        <v>856.26900000000001</v>
      </c>
      <c r="Y85">
        <v>905.67200000000003</v>
      </c>
      <c r="Z85">
        <v>988.24300000000005</v>
      </c>
      <c r="AA85">
        <v>1045.8699999999999</v>
      </c>
      <c r="AB85">
        <v>1092.3599999999999</v>
      </c>
      <c r="AC85">
        <v>1138.8599999999999</v>
      </c>
      <c r="AD85">
        <v>1175.1500000000001</v>
      </c>
      <c r="AE85">
        <v>1241.51</v>
      </c>
      <c r="AF85">
        <v>1304.1400000000001</v>
      </c>
      <c r="AG85">
        <v>1350.26</v>
      </c>
      <c r="AH85">
        <v>1394.69</v>
      </c>
      <c r="AI85">
        <v>1452.32</v>
      </c>
      <c r="AJ85">
        <v>1493.64</v>
      </c>
      <c r="AK85">
        <v>1552.69</v>
      </c>
      <c r="AL85">
        <v>1614.84</v>
      </c>
      <c r="AM85">
        <v>1637.7</v>
      </c>
      <c r="AN85">
        <v>1577.26</v>
      </c>
      <c r="AO85">
        <v>1611.28</v>
      </c>
      <c r="AP85">
        <v>1648.76</v>
      </c>
      <c r="AQ85">
        <v>1624.36</v>
      </c>
      <c r="AR85">
        <v>1612.75</v>
      </c>
      <c r="AS85">
        <v>1627.41</v>
      </c>
      <c r="AT85">
        <v>1655.36</v>
      </c>
      <c r="AU85">
        <v>1695.79</v>
      </c>
      <c r="AV85">
        <v>1736.59</v>
      </c>
      <c r="AW85">
        <v>1771.39</v>
      </c>
      <c r="AX85">
        <v>1796.63</v>
      </c>
      <c r="AY85">
        <v>1656.96</v>
      </c>
      <c r="AZ85">
        <v>1775.44</v>
      </c>
      <c r="BA85">
        <v>1846.91</v>
      </c>
      <c r="BB85">
        <v>1919.21</v>
      </c>
      <c r="BC85">
        <v>1984.04</v>
      </c>
      <c r="BD85">
        <v>2046.9</v>
      </c>
      <c r="BE85">
        <v>2108.7199999999998</v>
      </c>
      <c r="BF85">
        <v>2162.4899999999998</v>
      </c>
      <c r="BG85">
        <v>2020</v>
      </c>
      <c r="BH85">
        <v>1656.96</v>
      </c>
      <c r="BI85">
        <v>2020</v>
      </c>
    </row>
    <row r="86" spans="1:61" hidden="1">
      <c r="A86">
        <v>343</v>
      </c>
      <c r="B86" t="s">
        <v>395</v>
      </c>
      <c r="C86" t="s">
        <v>1881</v>
      </c>
      <c r="D86" t="s">
        <v>180</v>
      </c>
      <c r="E86" t="str">
        <f>IF(ISNUMBER(VLOOKUP(B86,'OECD DAC'!B:C,2,FALSE)), "YES", " ")</f>
        <v xml:space="preserve"> </v>
      </c>
      <c r="F86" t="s">
        <v>1882</v>
      </c>
      <c r="G86" t="s">
        <v>1883</v>
      </c>
      <c r="H86" t="s">
        <v>1662</v>
      </c>
      <c r="I86" t="s">
        <v>883</v>
      </c>
      <c r="J86" t="s">
        <v>1968</v>
      </c>
      <c r="K86">
        <v>4.5650000000000004</v>
      </c>
      <c r="L86">
        <v>5.0149999999999997</v>
      </c>
      <c r="M86">
        <v>5.758</v>
      </c>
      <c r="N86">
        <v>7.1020000000000003</v>
      </c>
      <c r="O86">
        <v>9.2390000000000008</v>
      </c>
      <c r="P86">
        <v>11.260999999999999</v>
      </c>
      <c r="Q86">
        <v>13.03</v>
      </c>
      <c r="R86">
        <v>14.696</v>
      </c>
      <c r="S86">
        <v>17.513999999999999</v>
      </c>
      <c r="T86">
        <v>21.045999999999999</v>
      </c>
      <c r="U86">
        <v>33.576999999999998</v>
      </c>
      <c r="V86">
        <v>51.847000000000001</v>
      </c>
      <c r="W86">
        <v>99.548000000000002</v>
      </c>
      <c r="X86">
        <v>135.72200000000001</v>
      </c>
      <c r="Y86">
        <v>180.40299999999999</v>
      </c>
      <c r="Z86">
        <v>231.148</v>
      </c>
      <c r="AA86">
        <v>274.45800000000003</v>
      </c>
      <c r="AB86">
        <v>297.39800000000002</v>
      </c>
      <c r="AC86">
        <v>321.17200000000003</v>
      </c>
      <c r="AD86">
        <v>346.98200000000003</v>
      </c>
      <c r="AE86">
        <v>387.089</v>
      </c>
      <c r="AF86">
        <v>422.92200000000003</v>
      </c>
      <c r="AG86">
        <v>470.55399999999997</v>
      </c>
      <c r="AH86">
        <v>544.51</v>
      </c>
      <c r="AI86">
        <v>622.66</v>
      </c>
      <c r="AJ86">
        <v>700.27499999999998</v>
      </c>
      <c r="AK86">
        <v>784.33600000000001</v>
      </c>
      <c r="AL86">
        <v>885.63199999999995</v>
      </c>
      <c r="AM86">
        <v>997.44399999999996</v>
      </c>
      <c r="AN86">
        <v>1065.32</v>
      </c>
      <c r="AO86">
        <v>1152.78</v>
      </c>
      <c r="AP86">
        <v>1240.7</v>
      </c>
      <c r="AQ86">
        <v>1314.13</v>
      </c>
      <c r="AR86">
        <v>1432.1</v>
      </c>
      <c r="AS86">
        <v>1541.9</v>
      </c>
      <c r="AT86">
        <v>1659.68</v>
      </c>
      <c r="AU86">
        <v>1760.98</v>
      </c>
      <c r="AV86">
        <v>1895.03</v>
      </c>
      <c r="AW86">
        <v>2027.25</v>
      </c>
      <c r="AX86">
        <v>2110.4299999999998</v>
      </c>
      <c r="AY86">
        <v>1978.62</v>
      </c>
      <c r="AZ86">
        <v>2254.0500000000002</v>
      </c>
      <c r="BA86">
        <v>2491.12</v>
      </c>
      <c r="BB86">
        <v>2678.02</v>
      </c>
      <c r="BC86">
        <v>2824.14</v>
      </c>
      <c r="BD86">
        <v>3021.3</v>
      </c>
      <c r="BE86">
        <v>3231.95</v>
      </c>
      <c r="BF86">
        <v>3449.15</v>
      </c>
      <c r="BG86">
        <v>2020</v>
      </c>
      <c r="BH86">
        <v>1978.62</v>
      </c>
      <c r="BI86">
        <v>2020</v>
      </c>
    </row>
    <row r="87" spans="1:61">
      <c r="A87">
        <v>158</v>
      </c>
      <c r="B87" t="s">
        <v>451</v>
      </c>
      <c r="C87" t="s">
        <v>1881</v>
      </c>
      <c r="D87" t="s">
        <v>57</v>
      </c>
      <c r="E87" t="str">
        <f>IF(ISNUMBER(VLOOKUP(B87,'OECD DAC'!B:C,2,FALSE)), "YES", " ")</f>
        <v>YES</v>
      </c>
      <c r="F87" t="s">
        <v>1882</v>
      </c>
      <c r="G87" t="s">
        <v>1883</v>
      </c>
      <c r="H87" t="s">
        <v>1662</v>
      </c>
      <c r="I87" t="s">
        <v>883</v>
      </c>
      <c r="J87" t="s">
        <v>1969</v>
      </c>
      <c r="K87">
        <v>255735.5</v>
      </c>
      <c r="L87">
        <v>274300.3</v>
      </c>
      <c r="M87">
        <v>288331.3</v>
      </c>
      <c r="N87">
        <v>301312</v>
      </c>
      <c r="O87">
        <v>319516.3</v>
      </c>
      <c r="P87">
        <v>340475.1</v>
      </c>
      <c r="Q87">
        <v>357472.7</v>
      </c>
      <c r="R87">
        <v>373792.4</v>
      </c>
      <c r="S87">
        <v>401650.3</v>
      </c>
      <c r="T87">
        <v>430044.5</v>
      </c>
      <c r="U87">
        <v>462837.3</v>
      </c>
      <c r="V87">
        <v>492669.1</v>
      </c>
      <c r="W87">
        <v>505127.8</v>
      </c>
      <c r="X87">
        <v>505367.9</v>
      </c>
      <c r="Y87">
        <v>510916.1</v>
      </c>
      <c r="Z87">
        <v>521613.7</v>
      </c>
      <c r="AA87">
        <v>535562</v>
      </c>
      <c r="AB87">
        <v>543545.30000000005</v>
      </c>
      <c r="AC87">
        <v>536497.30000000005</v>
      </c>
      <c r="AD87">
        <v>528069.80000000005</v>
      </c>
      <c r="AE87">
        <v>535417.69999999995</v>
      </c>
      <c r="AF87">
        <v>531653.9</v>
      </c>
      <c r="AG87">
        <v>524478.69999999995</v>
      </c>
      <c r="AH87">
        <v>523968.6</v>
      </c>
      <c r="AI87">
        <v>529400.80000000005</v>
      </c>
      <c r="AJ87">
        <v>532515.5</v>
      </c>
      <c r="AK87">
        <v>535170.19999999995</v>
      </c>
      <c r="AL87">
        <v>539281.6</v>
      </c>
      <c r="AM87">
        <v>527823.80000000005</v>
      </c>
      <c r="AN87">
        <v>494938.4</v>
      </c>
      <c r="AO87">
        <v>505530.6</v>
      </c>
      <c r="AP87">
        <v>497448.9</v>
      </c>
      <c r="AQ87">
        <v>500474.8</v>
      </c>
      <c r="AR87">
        <v>508700.6</v>
      </c>
      <c r="AS87">
        <v>518811.1</v>
      </c>
      <c r="AT87">
        <v>538032.30000000005</v>
      </c>
      <c r="AU87">
        <v>544364.6</v>
      </c>
      <c r="AV87">
        <v>553073</v>
      </c>
      <c r="AW87">
        <v>556293.69999999995</v>
      </c>
      <c r="AX87">
        <v>558491.19999999995</v>
      </c>
      <c r="AY87">
        <v>538155.4</v>
      </c>
      <c r="AZ87">
        <v>541903.4</v>
      </c>
      <c r="BA87">
        <v>556952.86</v>
      </c>
      <c r="BB87">
        <v>572362.86</v>
      </c>
      <c r="BC87">
        <v>579345.86</v>
      </c>
      <c r="BD87">
        <v>585759.23</v>
      </c>
      <c r="BE87">
        <v>590950.56999999995</v>
      </c>
      <c r="BF87">
        <v>596036.18000000005</v>
      </c>
      <c r="BG87">
        <v>2020</v>
      </c>
      <c r="BH87">
        <v>538155.4</v>
      </c>
      <c r="BI87">
        <v>2020</v>
      </c>
    </row>
    <row r="88" spans="1:61" hidden="1">
      <c r="A88">
        <v>439</v>
      </c>
      <c r="B88" t="s">
        <v>391</v>
      </c>
      <c r="C88" t="s">
        <v>1881</v>
      </c>
      <c r="D88" t="s">
        <v>176</v>
      </c>
      <c r="E88" t="str">
        <f>IF(ISNUMBER(VLOOKUP(B88,'OECD DAC'!B:C,2,FALSE)), "YES", " ")</f>
        <v xml:space="preserve"> </v>
      </c>
      <c r="F88" t="s">
        <v>1882</v>
      </c>
      <c r="G88" t="s">
        <v>1883</v>
      </c>
      <c r="H88" t="s">
        <v>1662</v>
      </c>
      <c r="I88" t="s">
        <v>883</v>
      </c>
      <c r="J88" t="s">
        <v>1970</v>
      </c>
      <c r="K88">
        <v>1.2010000000000001</v>
      </c>
      <c r="L88">
        <v>1.494</v>
      </c>
      <c r="M88">
        <v>1.702</v>
      </c>
      <c r="N88">
        <v>1.8420000000000001</v>
      </c>
      <c r="O88">
        <v>1.9690000000000001</v>
      </c>
      <c r="P88">
        <v>2.032</v>
      </c>
      <c r="Q88">
        <v>2.31</v>
      </c>
      <c r="R88">
        <v>2.3580000000000001</v>
      </c>
      <c r="S88">
        <v>2.423</v>
      </c>
      <c r="T88">
        <v>2.5009999999999999</v>
      </c>
      <c r="U88">
        <v>2.847</v>
      </c>
      <c r="V88">
        <v>3.05</v>
      </c>
      <c r="W88">
        <v>3.7639999999999998</v>
      </c>
      <c r="X88">
        <v>4.0060000000000002</v>
      </c>
      <c r="Y88">
        <v>4.4939999999999998</v>
      </c>
      <c r="Z88">
        <v>4.8620000000000001</v>
      </c>
      <c r="AA88">
        <v>5.0659999999999998</v>
      </c>
      <c r="AB88">
        <v>5.298</v>
      </c>
      <c r="AC88">
        <v>5.7850000000000001</v>
      </c>
      <c r="AD88">
        <v>5.9580000000000002</v>
      </c>
      <c r="AE88">
        <v>6.1859999999999999</v>
      </c>
      <c r="AF88">
        <v>6.5620000000000003</v>
      </c>
      <c r="AG88">
        <v>7.0060000000000002</v>
      </c>
      <c r="AH88">
        <v>7.4539999999999997</v>
      </c>
      <c r="AI88">
        <v>8.343</v>
      </c>
      <c r="AJ88">
        <v>9.2040000000000006</v>
      </c>
      <c r="AK88">
        <v>11.009</v>
      </c>
      <c r="AL88">
        <v>12.51</v>
      </c>
      <c r="AM88">
        <v>16.079999999999998</v>
      </c>
      <c r="AN88">
        <v>17.422000000000001</v>
      </c>
      <c r="AO88">
        <v>19.265000000000001</v>
      </c>
      <c r="AP88">
        <v>20.962</v>
      </c>
      <c r="AQ88">
        <v>22.460999999999999</v>
      </c>
      <c r="AR88">
        <v>24.463000000000001</v>
      </c>
      <c r="AS88">
        <v>26.161999999999999</v>
      </c>
      <c r="AT88">
        <v>27.396999999999998</v>
      </c>
      <c r="AU88">
        <v>28.324000000000002</v>
      </c>
      <c r="AV88">
        <v>29.4</v>
      </c>
      <c r="AW88">
        <v>30.481999999999999</v>
      </c>
      <c r="AX88">
        <v>31.597000000000001</v>
      </c>
      <c r="AY88">
        <v>31.024999999999999</v>
      </c>
      <c r="AZ88">
        <v>32.155999999999999</v>
      </c>
      <c r="BA88">
        <v>33.850999999999999</v>
      </c>
      <c r="BB88">
        <v>35.777000000000001</v>
      </c>
      <c r="BC88">
        <v>37.878999999999998</v>
      </c>
      <c r="BD88">
        <v>40.106000000000002</v>
      </c>
      <c r="BE88">
        <v>42.463999999999999</v>
      </c>
      <c r="BF88">
        <v>44.960999999999999</v>
      </c>
      <c r="BG88">
        <v>2020</v>
      </c>
      <c r="BH88">
        <v>31.024999999999999</v>
      </c>
      <c r="BI88">
        <v>2020</v>
      </c>
    </row>
    <row r="89" spans="1:61" hidden="1">
      <c r="A89">
        <v>916</v>
      </c>
      <c r="B89" t="s">
        <v>427</v>
      </c>
      <c r="C89" t="s">
        <v>1881</v>
      </c>
      <c r="D89" t="s">
        <v>212</v>
      </c>
      <c r="E89" t="str">
        <f>IF(ISNUMBER(VLOOKUP(B89,'OECD DAC'!B:C,2,FALSE)), "YES", " ")</f>
        <v xml:space="preserve"> </v>
      </c>
      <c r="F89" t="s">
        <v>1882</v>
      </c>
      <c r="G89" t="s">
        <v>1883</v>
      </c>
      <c r="H89" t="s">
        <v>1662</v>
      </c>
      <c r="I89" t="s">
        <v>883</v>
      </c>
      <c r="J89" t="s">
        <v>1971</v>
      </c>
      <c r="K89" t="s">
        <v>1664</v>
      </c>
      <c r="L89" t="s">
        <v>1664</v>
      </c>
      <c r="M89" t="s">
        <v>1664</v>
      </c>
      <c r="N89" t="s">
        <v>1664</v>
      </c>
      <c r="O89" t="s">
        <v>1664</v>
      </c>
      <c r="P89" t="s">
        <v>1664</v>
      </c>
      <c r="Q89" t="s">
        <v>1664</v>
      </c>
      <c r="R89" t="s">
        <v>1664</v>
      </c>
      <c r="S89" t="s">
        <v>1664</v>
      </c>
      <c r="T89" t="s">
        <v>1664</v>
      </c>
      <c r="U89" t="s">
        <v>1664</v>
      </c>
      <c r="V89" t="s">
        <v>1664</v>
      </c>
      <c r="W89">
        <v>2.4350000000000001</v>
      </c>
      <c r="X89">
        <v>29.881</v>
      </c>
      <c r="Y89">
        <v>423.46899999999999</v>
      </c>
      <c r="Z89">
        <v>1014.19</v>
      </c>
      <c r="AA89">
        <v>1415.75</v>
      </c>
      <c r="AB89">
        <v>1672.14</v>
      </c>
      <c r="AC89">
        <v>1733.26</v>
      </c>
      <c r="AD89">
        <v>2016.46</v>
      </c>
      <c r="AE89">
        <v>2599.9</v>
      </c>
      <c r="AF89">
        <v>3250.59</v>
      </c>
      <c r="AG89">
        <v>3776.28</v>
      </c>
      <c r="AH89">
        <v>4611.9799999999996</v>
      </c>
      <c r="AI89">
        <v>5870.13</v>
      </c>
      <c r="AJ89">
        <v>7590.59</v>
      </c>
      <c r="AK89">
        <v>10213.73</v>
      </c>
      <c r="AL89">
        <v>12849.79</v>
      </c>
      <c r="AM89">
        <v>16052.92</v>
      </c>
      <c r="AN89">
        <v>17007.650000000001</v>
      </c>
      <c r="AO89">
        <v>21815.52</v>
      </c>
      <c r="AP89">
        <v>28243.05</v>
      </c>
      <c r="AQ89">
        <v>31015.19</v>
      </c>
      <c r="AR89">
        <v>35999.03</v>
      </c>
      <c r="AS89">
        <v>39675.83</v>
      </c>
      <c r="AT89">
        <v>40884.129999999997</v>
      </c>
      <c r="AU89">
        <v>46971.15</v>
      </c>
      <c r="AV89">
        <v>54378.86</v>
      </c>
      <c r="AW89">
        <v>61819.54</v>
      </c>
      <c r="AX89">
        <v>69532.63</v>
      </c>
      <c r="AY89">
        <v>70649.03</v>
      </c>
      <c r="AZ89">
        <v>81269.23</v>
      </c>
      <c r="BA89">
        <v>96049.02</v>
      </c>
      <c r="BB89">
        <v>103700.95</v>
      </c>
      <c r="BC89">
        <v>112309.02</v>
      </c>
      <c r="BD89">
        <v>121612.39</v>
      </c>
      <c r="BE89">
        <v>130210.57</v>
      </c>
      <c r="BF89">
        <v>139556.89000000001</v>
      </c>
      <c r="BG89">
        <v>2020</v>
      </c>
      <c r="BH89">
        <v>70649.03</v>
      </c>
      <c r="BI89">
        <v>2020</v>
      </c>
    </row>
    <row r="90" spans="1:61" hidden="1">
      <c r="A90">
        <v>664</v>
      </c>
      <c r="B90" t="s">
        <v>353</v>
      </c>
      <c r="C90" t="s">
        <v>1881</v>
      </c>
      <c r="D90" t="s">
        <v>139</v>
      </c>
      <c r="E90" t="str">
        <f>IF(ISNUMBER(VLOOKUP(B90,'OECD DAC'!B:C,2,FALSE)), "YES", " ")</f>
        <v xml:space="preserve"> </v>
      </c>
      <c r="F90" t="s">
        <v>1882</v>
      </c>
      <c r="G90" t="s">
        <v>1883</v>
      </c>
      <c r="H90" t="s">
        <v>1662</v>
      </c>
      <c r="I90" t="s">
        <v>883</v>
      </c>
      <c r="J90" t="s">
        <v>1972</v>
      </c>
      <c r="K90">
        <v>152.25899999999999</v>
      </c>
      <c r="L90">
        <v>174.85400000000001</v>
      </c>
      <c r="M90">
        <v>203.244</v>
      </c>
      <c r="N90">
        <v>229.07599999999999</v>
      </c>
      <c r="O90">
        <v>257.37200000000001</v>
      </c>
      <c r="P90">
        <v>291.99400000000003</v>
      </c>
      <c r="Q90">
        <v>342.43400000000003</v>
      </c>
      <c r="R90">
        <v>380.68599999999998</v>
      </c>
      <c r="S90">
        <v>425.83100000000002</v>
      </c>
      <c r="T90">
        <v>489.90899999999999</v>
      </c>
      <c r="U90">
        <v>565.84699999999998</v>
      </c>
      <c r="V90">
        <v>642.74699999999996</v>
      </c>
      <c r="W90">
        <v>740.399</v>
      </c>
      <c r="X90">
        <v>927.36</v>
      </c>
      <c r="Y90">
        <v>1072.98</v>
      </c>
      <c r="Z90">
        <v>1248.04</v>
      </c>
      <c r="AA90">
        <v>1574.18</v>
      </c>
      <c r="AB90">
        <v>1760.47</v>
      </c>
      <c r="AC90">
        <v>1840.34</v>
      </c>
      <c r="AD90">
        <v>1962.2</v>
      </c>
      <c r="AE90">
        <v>2017.11</v>
      </c>
      <c r="AF90">
        <v>2071.1999999999998</v>
      </c>
      <c r="AG90">
        <v>2199.75</v>
      </c>
      <c r="AH90">
        <v>2317.7600000000002</v>
      </c>
      <c r="AI90">
        <v>2451.5700000000002</v>
      </c>
      <c r="AJ90">
        <v>2697.94</v>
      </c>
      <c r="AK90">
        <v>3010.76</v>
      </c>
      <c r="AL90">
        <v>3394.98</v>
      </c>
      <c r="AM90">
        <v>3338.06</v>
      </c>
      <c r="AN90">
        <v>3275.64</v>
      </c>
      <c r="AO90">
        <v>3597.63</v>
      </c>
      <c r="AP90">
        <v>4162.51</v>
      </c>
      <c r="AQ90">
        <v>4767.1899999999996</v>
      </c>
      <c r="AR90">
        <v>5311.32</v>
      </c>
      <c r="AS90">
        <v>6003.84</v>
      </c>
      <c r="AT90">
        <v>6884.32</v>
      </c>
      <c r="AU90">
        <v>7594.06</v>
      </c>
      <c r="AV90">
        <v>8483.4</v>
      </c>
      <c r="AW90">
        <v>9340.31</v>
      </c>
      <c r="AX90">
        <v>10255.65</v>
      </c>
      <c r="AY90">
        <v>10752.99</v>
      </c>
      <c r="AZ90">
        <v>12019.08</v>
      </c>
      <c r="BA90">
        <v>13519.87</v>
      </c>
      <c r="BB90">
        <v>15194.16</v>
      </c>
      <c r="BC90">
        <v>16822.77</v>
      </c>
      <c r="BD90">
        <v>18633.66</v>
      </c>
      <c r="BE90">
        <v>20644.71</v>
      </c>
      <c r="BF90">
        <v>22869.759999999998</v>
      </c>
      <c r="BG90">
        <v>2020</v>
      </c>
      <c r="BH90">
        <v>10752.99</v>
      </c>
      <c r="BI90">
        <v>2020</v>
      </c>
    </row>
    <row r="91" spans="1:61" hidden="1">
      <c r="A91">
        <v>826</v>
      </c>
      <c r="B91" t="s">
        <v>366</v>
      </c>
      <c r="C91" t="s">
        <v>1881</v>
      </c>
      <c r="D91" t="s">
        <v>152</v>
      </c>
      <c r="E91" t="str">
        <f>IF(ISNUMBER(VLOOKUP(B91,'OECD DAC'!B:C,2,FALSE)), "YES", " ")</f>
        <v xml:space="preserve"> </v>
      </c>
      <c r="F91" t="s">
        <v>1882</v>
      </c>
      <c r="G91" t="s">
        <v>1883</v>
      </c>
      <c r="H91" t="s">
        <v>1662</v>
      </c>
      <c r="I91" t="s">
        <v>883</v>
      </c>
      <c r="J91" t="s">
        <v>1973</v>
      </c>
      <c r="K91">
        <v>3.6999999999999998E-2</v>
      </c>
      <c r="L91">
        <v>3.7999999999999999E-2</v>
      </c>
      <c r="M91">
        <v>0.04</v>
      </c>
      <c r="N91">
        <v>4.2000000000000003E-2</v>
      </c>
      <c r="O91">
        <v>4.8000000000000001E-2</v>
      </c>
      <c r="P91">
        <v>4.5999999999999999E-2</v>
      </c>
      <c r="Q91">
        <v>4.7E-2</v>
      </c>
      <c r="R91">
        <v>5.0999999999999997E-2</v>
      </c>
      <c r="S91">
        <v>5.7000000000000002E-2</v>
      </c>
      <c r="T91">
        <v>5.6000000000000001E-2</v>
      </c>
      <c r="U91">
        <v>5.5E-2</v>
      </c>
      <c r="V91">
        <v>6.0999999999999999E-2</v>
      </c>
      <c r="W91">
        <v>6.5000000000000002E-2</v>
      </c>
      <c r="X91">
        <v>6.9000000000000006E-2</v>
      </c>
      <c r="Y91">
        <v>7.4999999999999997E-2</v>
      </c>
      <c r="Z91">
        <v>7.5999999999999998E-2</v>
      </c>
      <c r="AA91">
        <v>8.5000000000000006E-2</v>
      </c>
      <c r="AB91">
        <v>9.0999999999999998E-2</v>
      </c>
      <c r="AC91">
        <v>0.104</v>
      </c>
      <c r="AD91">
        <v>0.107</v>
      </c>
      <c r="AE91">
        <v>0.11600000000000001</v>
      </c>
      <c r="AF91">
        <v>0.122</v>
      </c>
      <c r="AG91">
        <v>0.13300000000000001</v>
      </c>
      <c r="AH91">
        <v>0.13900000000000001</v>
      </c>
      <c r="AI91">
        <v>0.13900000000000001</v>
      </c>
      <c r="AJ91">
        <v>0.14699999999999999</v>
      </c>
      <c r="AK91">
        <v>0.14599999999999999</v>
      </c>
      <c r="AL91">
        <v>0.159</v>
      </c>
      <c r="AM91">
        <v>0.16800000000000001</v>
      </c>
      <c r="AN91">
        <v>0.17</v>
      </c>
      <c r="AO91">
        <v>0.16900000000000001</v>
      </c>
      <c r="AP91">
        <v>0.17499999999999999</v>
      </c>
      <c r="AQ91">
        <v>0.183</v>
      </c>
      <c r="AR91">
        <v>0.191</v>
      </c>
      <c r="AS91">
        <v>0.19700000000000001</v>
      </c>
      <c r="AT91">
        <v>0.22700000000000001</v>
      </c>
      <c r="AU91">
        <v>0.24</v>
      </c>
      <c r="AV91">
        <v>0.246</v>
      </c>
      <c r="AW91">
        <v>0.26300000000000001</v>
      </c>
      <c r="AX91">
        <v>0.25600000000000001</v>
      </c>
      <c r="AY91">
        <v>0.26300000000000001</v>
      </c>
      <c r="AZ91">
        <v>0.27600000000000002</v>
      </c>
      <c r="BA91">
        <v>0.29399999999999998</v>
      </c>
      <c r="BB91">
        <v>0.311</v>
      </c>
      <c r="BC91">
        <v>0.32600000000000001</v>
      </c>
      <c r="BD91">
        <v>0.34100000000000003</v>
      </c>
      <c r="BE91">
        <v>0.35599999999999998</v>
      </c>
      <c r="BF91">
        <v>0.371</v>
      </c>
      <c r="BG91">
        <v>2020</v>
      </c>
      <c r="BH91">
        <v>0.26300000000000001</v>
      </c>
      <c r="BI91">
        <v>2020</v>
      </c>
    </row>
    <row r="92" spans="1:61">
      <c r="A92">
        <v>542</v>
      </c>
      <c r="B92" t="s">
        <v>449</v>
      </c>
      <c r="C92" t="s">
        <v>1881</v>
      </c>
      <c r="D92" t="s">
        <v>1761</v>
      </c>
      <c r="E92" t="str">
        <f>IF(ISNUMBER(VLOOKUP(B92,'OECD DAC'!B:C,2,FALSE)), "YES", " ")</f>
        <v>YES</v>
      </c>
      <c r="F92" t="s">
        <v>1882</v>
      </c>
      <c r="G92" t="s">
        <v>1883</v>
      </c>
      <c r="H92" t="s">
        <v>1662</v>
      </c>
      <c r="I92" t="s">
        <v>883</v>
      </c>
      <c r="J92" t="s">
        <v>1974</v>
      </c>
      <c r="K92">
        <v>39725.1</v>
      </c>
      <c r="L92">
        <v>49669.8</v>
      </c>
      <c r="M92">
        <v>57286.6</v>
      </c>
      <c r="N92">
        <v>68080.100000000006</v>
      </c>
      <c r="O92">
        <v>78591.3</v>
      </c>
      <c r="P92">
        <v>88129.7</v>
      </c>
      <c r="Q92">
        <v>102985.9</v>
      </c>
      <c r="R92">
        <v>121697.8</v>
      </c>
      <c r="S92">
        <v>145994.79999999999</v>
      </c>
      <c r="T92">
        <v>165801.79999999999</v>
      </c>
      <c r="U92">
        <v>200556.3</v>
      </c>
      <c r="V92">
        <v>242481.1</v>
      </c>
      <c r="W92">
        <v>277540.7</v>
      </c>
      <c r="X92">
        <v>315181.3</v>
      </c>
      <c r="Y92">
        <v>372493.4</v>
      </c>
      <c r="Z92">
        <v>436988.7</v>
      </c>
      <c r="AA92">
        <v>490850.9</v>
      </c>
      <c r="AB92">
        <v>542001.80000000005</v>
      </c>
      <c r="AC92">
        <v>537215.4</v>
      </c>
      <c r="AD92">
        <v>591453</v>
      </c>
      <c r="AE92">
        <v>651634.30000000005</v>
      </c>
      <c r="AF92">
        <v>707021.3</v>
      </c>
      <c r="AG92">
        <v>784741.3</v>
      </c>
      <c r="AH92">
        <v>837365.1</v>
      </c>
      <c r="AI92">
        <v>908439.3</v>
      </c>
      <c r="AJ92">
        <v>957447.8</v>
      </c>
      <c r="AK92">
        <v>1005601.5</v>
      </c>
      <c r="AL92">
        <v>1089660.2</v>
      </c>
      <c r="AM92">
        <v>1154216.6000000001</v>
      </c>
      <c r="AN92">
        <v>1205347.8</v>
      </c>
      <c r="AO92">
        <v>1322611.2</v>
      </c>
      <c r="AP92">
        <v>1388937.2</v>
      </c>
      <c r="AQ92">
        <v>1440111.3</v>
      </c>
      <c r="AR92">
        <v>1500819.2</v>
      </c>
      <c r="AS92">
        <v>1562929</v>
      </c>
      <c r="AT92">
        <v>1658020.4</v>
      </c>
      <c r="AU92">
        <v>1740779.6</v>
      </c>
      <c r="AV92">
        <v>1835698.3</v>
      </c>
      <c r="AW92">
        <v>1898192.6</v>
      </c>
      <c r="AX92">
        <v>1924498</v>
      </c>
      <c r="AY92">
        <v>1933152.4</v>
      </c>
      <c r="AZ92">
        <v>2057447.7</v>
      </c>
      <c r="BA92">
        <v>2165708.2799999998</v>
      </c>
      <c r="BB92">
        <v>2293954.91</v>
      </c>
      <c r="BC92">
        <v>2396924.7799999998</v>
      </c>
      <c r="BD92">
        <v>2504290.8199999998</v>
      </c>
      <c r="BE92">
        <v>2612775.96</v>
      </c>
      <c r="BF92">
        <v>2725435.52</v>
      </c>
      <c r="BG92">
        <v>2021</v>
      </c>
      <c r="BH92">
        <v>2057447.7</v>
      </c>
      <c r="BI92">
        <v>2021</v>
      </c>
    </row>
    <row r="93" spans="1:61" hidden="1">
      <c r="A93">
        <v>967</v>
      </c>
      <c r="B93" t="s">
        <v>399</v>
      </c>
      <c r="C93" t="s">
        <v>1881</v>
      </c>
      <c r="D93" t="s">
        <v>184</v>
      </c>
      <c r="E93" t="str">
        <f>IF(ISNUMBER(VLOOKUP(B93,'OECD DAC'!B:C,2,FALSE)), "YES", " ")</f>
        <v xml:space="preserve"> </v>
      </c>
      <c r="F93" t="s">
        <v>1882</v>
      </c>
      <c r="G93" t="s">
        <v>1883</v>
      </c>
      <c r="H93" t="s">
        <v>1662</v>
      </c>
      <c r="I93" t="s">
        <v>883</v>
      </c>
      <c r="J93" t="s">
        <v>1975</v>
      </c>
      <c r="K93" t="s">
        <v>1664</v>
      </c>
      <c r="L93" t="s">
        <v>1664</v>
      </c>
      <c r="M93" t="s">
        <v>1664</v>
      </c>
      <c r="N93" t="s">
        <v>1664</v>
      </c>
      <c r="O93" t="s">
        <v>1664</v>
      </c>
      <c r="P93" t="s">
        <v>1664</v>
      </c>
      <c r="Q93" t="s">
        <v>1664</v>
      </c>
      <c r="R93" t="s">
        <v>1664</v>
      </c>
      <c r="S93" t="s">
        <v>1664</v>
      </c>
      <c r="T93" t="s">
        <v>1664</v>
      </c>
      <c r="U93" t="s">
        <v>1664</v>
      </c>
      <c r="V93" t="s">
        <v>1664</v>
      </c>
      <c r="W93" t="s">
        <v>1664</v>
      </c>
      <c r="X93" t="s">
        <v>1664</v>
      </c>
      <c r="Y93" t="s">
        <v>1664</v>
      </c>
      <c r="Z93" t="s">
        <v>1664</v>
      </c>
      <c r="AA93" t="s">
        <v>1664</v>
      </c>
      <c r="AB93" t="s">
        <v>1664</v>
      </c>
      <c r="AC93" t="s">
        <v>1664</v>
      </c>
      <c r="AD93" t="s">
        <v>1664</v>
      </c>
      <c r="AE93">
        <v>2.4</v>
      </c>
      <c r="AF93">
        <v>2.802</v>
      </c>
      <c r="AG93">
        <v>2.89</v>
      </c>
      <c r="AH93">
        <v>2.9980000000000002</v>
      </c>
      <c r="AI93">
        <v>2.984</v>
      </c>
      <c r="AJ93">
        <v>3.0750000000000002</v>
      </c>
      <c r="AK93">
        <v>3.2010000000000001</v>
      </c>
      <c r="AL93">
        <v>3.552</v>
      </c>
      <c r="AM93">
        <v>3.5379999999999998</v>
      </c>
      <c r="AN93">
        <v>3.61</v>
      </c>
      <c r="AO93">
        <v>4.0309999999999997</v>
      </c>
      <c r="AP93">
        <v>4.556</v>
      </c>
      <c r="AQ93">
        <v>4.7969999999999997</v>
      </c>
      <c r="AR93">
        <v>5.0709999999999997</v>
      </c>
      <c r="AS93">
        <v>5.3250000000000002</v>
      </c>
      <c r="AT93">
        <v>5.6740000000000004</v>
      </c>
      <c r="AU93">
        <v>6.0369999999999999</v>
      </c>
      <c r="AV93">
        <v>6.3570000000000002</v>
      </c>
      <c r="AW93">
        <v>6.6719999999999997</v>
      </c>
      <c r="AX93">
        <v>7.056</v>
      </c>
      <c r="AY93">
        <v>6.7720000000000002</v>
      </c>
      <c r="AZ93">
        <v>7.6369999999999996</v>
      </c>
      <c r="BA93">
        <v>8.5679999999999996</v>
      </c>
      <c r="BB93">
        <v>9.2119999999999997</v>
      </c>
      <c r="BC93">
        <v>9.8149999999999995</v>
      </c>
      <c r="BD93">
        <v>10.4</v>
      </c>
      <c r="BE93">
        <v>10.972</v>
      </c>
      <c r="BF93">
        <v>11.551</v>
      </c>
      <c r="BG93">
        <v>2020</v>
      </c>
      <c r="BH93">
        <v>6.7720000000000002</v>
      </c>
      <c r="BI93">
        <v>2020</v>
      </c>
    </row>
    <row r="94" spans="1:61" hidden="1">
      <c r="A94">
        <v>443</v>
      </c>
      <c r="B94" t="s">
        <v>571</v>
      </c>
      <c r="C94" t="s">
        <v>1881</v>
      </c>
      <c r="D94" t="s">
        <v>254</v>
      </c>
      <c r="E94" t="str">
        <f>IF(ISNUMBER(VLOOKUP(B94,'OECD DAC'!B:C,2,FALSE)), "YES", " ")</f>
        <v xml:space="preserve"> </v>
      </c>
      <c r="F94" t="s">
        <v>1882</v>
      </c>
      <c r="G94" t="s">
        <v>1883</v>
      </c>
      <c r="H94" t="s">
        <v>1662</v>
      </c>
      <c r="I94" t="s">
        <v>883</v>
      </c>
      <c r="J94" t="s">
        <v>1976</v>
      </c>
      <c r="K94">
        <v>7.7640000000000002</v>
      </c>
      <c r="L94">
        <v>7.0389999999999997</v>
      </c>
      <c r="M94">
        <v>6.2140000000000004</v>
      </c>
      <c r="N94">
        <v>6.0830000000000002</v>
      </c>
      <c r="O94">
        <v>6.4249999999999998</v>
      </c>
      <c r="P94">
        <v>6.45</v>
      </c>
      <c r="Q94">
        <v>5.2030000000000003</v>
      </c>
      <c r="R94">
        <v>6.2329999999999997</v>
      </c>
      <c r="S94">
        <v>5.7729999999999997</v>
      </c>
      <c r="T94">
        <v>7.1429999999999998</v>
      </c>
      <c r="U94">
        <v>5.3280000000000003</v>
      </c>
      <c r="V94">
        <v>3.1309999999999998</v>
      </c>
      <c r="W94">
        <v>5.827</v>
      </c>
      <c r="X94">
        <v>7.2309999999999999</v>
      </c>
      <c r="Y94">
        <v>7.38</v>
      </c>
      <c r="Z94">
        <v>8.1140000000000008</v>
      </c>
      <c r="AA94">
        <v>9.4290000000000003</v>
      </c>
      <c r="AB94">
        <v>9.2070000000000007</v>
      </c>
      <c r="AC94">
        <v>7.9059999999999997</v>
      </c>
      <c r="AD94">
        <v>9.17</v>
      </c>
      <c r="AE94">
        <v>11.571</v>
      </c>
      <c r="AF94">
        <v>10.696</v>
      </c>
      <c r="AG94">
        <v>11.589</v>
      </c>
      <c r="AH94">
        <v>14.257999999999999</v>
      </c>
      <c r="AI94">
        <v>17.516999999999999</v>
      </c>
      <c r="AJ94">
        <v>23.594999999999999</v>
      </c>
      <c r="AK94">
        <v>29.47</v>
      </c>
      <c r="AL94">
        <v>32.581000000000003</v>
      </c>
      <c r="AM94">
        <v>39.619999999999997</v>
      </c>
      <c r="AN94">
        <v>30.495999999999999</v>
      </c>
      <c r="AO94">
        <v>33.079000000000001</v>
      </c>
      <c r="AP94">
        <v>42.512</v>
      </c>
      <c r="AQ94">
        <v>48.722000000000001</v>
      </c>
      <c r="AR94">
        <v>49.392000000000003</v>
      </c>
      <c r="AS94">
        <v>46.284999999999997</v>
      </c>
      <c r="AT94">
        <v>34.472999999999999</v>
      </c>
      <c r="AU94">
        <v>33.055999999999997</v>
      </c>
      <c r="AV94">
        <v>36.610999999999997</v>
      </c>
      <c r="AW94">
        <v>41.731000000000002</v>
      </c>
      <c r="AX94">
        <v>41.348999999999997</v>
      </c>
      <c r="AY94">
        <v>32.445</v>
      </c>
      <c r="AZ94">
        <v>41.093000000000004</v>
      </c>
      <c r="BA94">
        <v>56.655000000000001</v>
      </c>
      <c r="BB94">
        <v>54.85</v>
      </c>
      <c r="BC94">
        <v>53.628</v>
      </c>
      <c r="BD94">
        <v>53.600999999999999</v>
      </c>
      <c r="BE94">
        <v>54.366</v>
      </c>
      <c r="BF94">
        <v>55.59</v>
      </c>
      <c r="BG94">
        <v>2020</v>
      </c>
      <c r="BH94">
        <v>32.445</v>
      </c>
      <c r="BI94">
        <v>2020</v>
      </c>
    </row>
    <row r="95" spans="1:61" hidden="1">
      <c r="A95">
        <v>917</v>
      </c>
      <c r="B95" t="s">
        <v>337</v>
      </c>
      <c r="C95" t="s">
        <v>1881</v>
      </c>
      <c r="D95" t="s">
        <v>123</v>
      </c>
      <c r="E95" t="str">
        <f>IF(ISNUMBER(VLOOKUP(B95,'OECD DAC'!B:C,2,FALSE)), "YES", " ")</f>
        <v xml:space="preserve"> </v>
      </c>
      <c r="F95" t="s">
        <v>1882</v>
      </c>
      <c r="G95" t="s">
        <v>1883</v>
      </c>
      <c r="H95" t="s">
        <v>1662</v>
      </c>
      <c r="I95" t="s">
        <v>883</v>
      </c>
      <c r="J95" t="s">
        <v>1977</v>
      </c>
      <c r="K95" t="s">
        <v>1664</v>
      </c>
      <c r="L95" t="s">
        <v>1664</v>
      </c>
      <c r="M95" t="s">
        <v>1664</v>
      </c>
      <c r="N95" t="s">
        <v>1664</v>
      </c>
      <c r="O95" t="s">
        <v>1664</v>
      </c>
      <c r="P95" t="s">
        <v>1664</v>
      </c>
      <c r="Q95" t="s">
        <v>1664</v>
      </c>
      <c r="R95" t="s">
        <v>1664</v>
      </c>
      <c r="S95" t="s">
        <v>1664</v>
      </c>
      <c r="T95" t="s">
        <v>1664</v>
      </c>
      <c r="U95" t="s">
        <v>1664</v>
      </c>
      <c r="V95" t="s">
        <v>1664</v>
      </c>
      <c r="W95">
        <v>0.73799999999999999</v>
      </c>
      <c r="X95">
        <v>5.3360000000000003</v>
      </c>
      <c r="Y95">
        <v>12.019</v>
      </c>
      <c r="Z95">
        <v>16.145</v>
      </c>
      <c r="AA95">
        <v>23.399000000000001</v>
      </c>
      <c r="AB95">
        <v>30.686</v>
      </c>
      <c r="AC95">
        <v>34.180999999999997</v>
      </c>
      <c r="AD95">
        <v>48.744</v>
      </c>
      <c r="AE95">
        <v>65.358000000000004</v>
      </c>
      <c r="AF95">
        <v>73.882999999999996</v>
      </c>
      <c r="AG95">
        <v>75.367000000000004</v>
      </c>
      <c r="AH95">
        <v>83.872</v>
      </c>
      <c r="AI95">
        <v>94.350999999999999</v>
      </c>
      <c r="AJ95">
        <v>100.899</v>
      </c>
      <c r="AK95">
        <v>113.8</v>
      </c>
      <c r="AL95">
        <v>141.898</v>
      </c>
      <c r="AM95">
        <v>187.99199999999999</v>
      </c>
      <c r="AN95">
        <v>201.22300000000001</v>
      </c>
      <c r="AO95">
        <v>220.369</v>
      </c>
      <c r="AP95">
        <v>285.98899999999998</v>
      </c>
      <c r="AQ95">
        <v>310.471</v>
      </c>
      <c r="AR95">
        <v>355.29500000000002</v>
      </c>
      <c r="AS95">
        <v>400.69400000000002</v>
      </c>
      <c r="AT95">
        <v>430.48899999999998</v>
      </c>
      <c r="AU95">
        <v>476.33100000000002</v>
      </c>
      <c r="AV95">
        <v>530.476</v>
      </c>
      <c r="AW95">
        <v>569.38599999999997</v>
      </c>
      <c r="AX95">
        <v>619.10299999999995</v>
      </c>
      <c r="AY95">
        <v>601.82000000000005</v>
      </c>
      <c r="AZ95">
        <v>723.12199999999996</v>
      </c>
      <c r="BA95">
        <v>825.46900000000005</v>
      </c>
      <c r="BB95">
        <v>954.23099999999999</v>
      </c>
      <c r="BC95">
        <v>1056.03</v>
      </c>
      <c r="BD95">
        <v>1162.8499999999999</v>
      </c>
      <c r="BE95">
        <v>1277.1099999999999</v>
      </c>
      <c r="BF95">
        <v>1392.07</v>
      </c>
      <c r="BG95">
        <v>2021</v>
      </c>
      <c r="BH95">
        <v>723.12199999999996</v>
      </c>
      <c r="BI95">
        <v>2021</v>
      </c>
    </row>
    <row r="96" spans="1:61" hidden="1">
      <c r="A96">
        <v>544</v>
      </c>
      <c r="B96" t="s">
        <v>361</v>
      </c>
      <c r="C96" t="s">
        <v>1881</v>
      </c>
      <c r="D96" t="s">
        <v>1767</v>
      </c>
      <c r="E96" t="str">
        <f>IF(ISNUMBER(VLOOKUP(B96,'OECD DAC'!B:C,2,FALSE)), "YES", " ")</f>
        <v xml:space="preserve"> </v>
      </c>
      <c r="F96" t="s">
        <v>1882</v>
      </c>
      <c r="G96" t="s">
        <v>1883</v>
      </c>
      <c r="H96" t="s">
        <v>1662</v>
      </c>
      <c r="I96" t="s">
        <v>883</v>
      </c>
      <c r="J96" t="s">
        <v>1978</v>
      </c>
      <c r="K96">
        <v>19.794</v>
      </c>
      <c r="L96">
        <v>22.643000000000001</v>
      </c>
      <c r="M96">
        <v>39.652000000000001</v>
      </c>
      <c r="N96">
        <v>72.540999999999997</v>
      </c>
      <c r="O96">
        <v>103.866</v>
      </c>
      <c r="P96">
        <v>167.92500000000001</v>
      </c>
      <c r="Q96">
        <v>247.89</v>
      </c>
      <c r="R96">
        <v>321.85700000000003</v>
      </c>
      <c r="S96">
        <v>469.35599999999999</v>
      </c>
      <c r="T96">
        <v>852.82</v>
      </c>
      <c r="U96">
        <v>1224.8499999999999</v>
      </c>
      <c r="V96">
        <v>1443.36</v>
      </c>
      <c r="W96">
        <v>1687.85</v>
      </c>
      <c r="X96">
        <v>1901.15</v>
      </c>
      <c r="Y96">
        <v>2215.0100000000002</v>
      </c>
      <c r="Z96">
        <v>2836.74</v>
      </c>
      <c r="AA96">
        <v>3450.46</v>
      </c>
      <c r="AB96">
        <v>4399.45</v>
      </c>
      <c r="AC96">
        <v>4399.45</v>
      </c>
      <c r="AD96">
        <v>9920.0300000000007</v>
      </c>
      <c r="AE96">
        <v>14132.2</v>
      </c>
      <c r="AF96">
        <v>16671.689999999999</v>
      </c>
      <c r="AG96">
        <v>19693.98</v>
      </c>
      <c r="AH96">
        <v>23650.99</v>
      </c>
      <c r="AI96">
        <v>28059.24</v>
      </c>
      <c r="AJ96">
        <v>32483.360000000001</v>
      </c>
      <c r="AK96">
        <v>39704.19</v>
      </c>
      <c r="AL96">
        <v>45647.65</v>
      </c>
      <c r="AM96">
        <v>51950.01</v>
      </c>
      <c r="AN96">
        <v>54789.54</v>
      </c>
      <c r="AO96">
        <v>61996.76</v>
      </c>
      <c r="AP96">
        <v>71961.759999999995</v>
      </c>
      <c r="AQ96">
        <v>81609.86</v>
      </c>
      <c r="AR96">
        <v>93867.57</v>
      </c>
      <c r="AS96">
        <v>106797.29</v>
      </c>
      <c r="AT96">
        <v>117251.58</v>
      </c>
      <c r="AU96">
        <v>129279.12</v>
      </c>
      <c r="AV96">
        <v>140697.75</v>
      </c>
      <c r="AW96">
        <v>152414</v>
      </c>
      <c r="AX96">
        <v>163257.97</v>
      </c>
      <c r="AY96">
        <v>167791.94</v>
      </c>
      <c r="AZ96">
        <v>180938.74</v>
      </c>
      <c r="BA96">
        <v>198305.77</v>
      </c>
      <c r="BB96">
        <v>215508.78</v>
      </c>
      <c r="BC96">
        <v>232533.97</v>
      </c>
      <c r="BD96">
        <v>248970.6</v>
      </c>
      <c r="BE96">
        <v>267084.53999999998</v>
      </c>
      <c r="BF96">
        <v>286926.40999999997</v>
      </c>
      <c r="BG96">
        <v>2020</v>
      </c>
      <c r="BH96">
        <v>167791.94</v>
      </c>
      <c r="BI96">
        <v>2020</v>
      </c>
    </row>
    <row r="97" spans="1:61" hidden="1">
      <c r="A97">
        <v>941</v>
      </c>
      <c r="B97" t="s">
        <v>534</v>
      </c>
      <c r="C97" t="s">
        <v>1881</v>
      </c>
      <c r="D97" t="s">
        <v>240</v>
      </c>
      <c r="E97" t="str">
        <f>IF(ISNUMBER(VLOOKUP(B97,'OECD DAC'!B:C,2,FALSE)), "YES", " ")</f>
        <v xml:space="preserve"> </v>
      </c>
      <c r="F97" t="s">
        <v>1882</v>
      </c>
      <c r="G97" t="s">
        <v>1883</v>
      </c>
      <c r="H97" t="s">
        <v>1662</v>
      </c>
      <c r="I97" t="s">
        <v>883</v>
      </c>
      <c r="J97" t="s">
        <v>1979</v>
      </c>
      <c r="K97" t="s">
        <v>1664</v>
      </c>
      <c r="L97" t="s">
        <v>1664</v>
      </c>
      <c r="M97" t="s">
        <v>1664</v>
      </c>
      <c r="N97" t="s">
        <v>1664</v>
      </c>
      <c r="O97" t="s">
        <v>1664</v>
      </c>
      <c r="P97" t="s">
        <v>1664</v>
      </c>
      <c r="Q97" t="s">
        <v>1664</v>
      </c>
      <c r="R97" t="s">
        <v>1664</v>
      </c>
      <c r="S97" t="s">
        <v>1664</v>
      </c>
      <c r="T97" t="s">
        <v>1664</v>
      </c>
      <c r="U97" t="s">
        <v>1664</v>
      </c>
      <c r="V97" t="s">
        <v>1664</v>
      </c>
      <c r="W97">
        <v>1.774</v>
      </c>
      <c r="X97">
        <v>2.5910000000000002</v>
      </c>
      <c r="Y97">
        <v>3.6080000000000001</v>
      </c>
      <c r="Z97">
        <v>4.0590000000000002</v>
      </c>
      <c r="AA97">
        <v>4.6820000000000004</v>
      </c>
      <c r="AB97">
        <v>5.3959999999999999</v>
      </c>
      <c r="AC97">
        <v>6.0149999999999997</v>
      </c>
      <c r="AD97">
        <v>6.2729999999999997</v>
      </c>
      <c r="AE97">
        <v>6.8680000000000003</v>
      </c>
      <c r="AF97">
        <v>7.4710000000000001</v>
      </c>
      <c r="AG97">
        <v>8.4060000000000006</v>
      </c>
      <c r="AH97">
        <v>9.5719999999999992</v>
      </c>
      <c r="AI97">
        <v>11.097</v>
      </c>
      <c r="AJ97">
        <v>13.662000000000001</v>
      </c>
      <c r="AK97">
        <v>17.2</v>
      </c>
      <c r="AL97">
        <v>22.704000000000001</v>
      </c>
      <c r="AM97">
        <v>24.527999999999999</v>
      </c>
      <c r="AN97">
        <v>19</v>
      </c>
      <c r="AO97">
        <v>18.088000000000001</v>
      </c>
      <c r="AP97">
        <v>19.763999999999999</v>
      </c>
      <c r="AQ97">
        <v>21.923999999999999</v>
      </c>
      <c r="AR97">
        <v>22.748999999999999</v>
      </c>
      <c r="AS97">
        <v>23.626000000000001</v>
      </c>
      <c r="AT97">
        <v>24.571999999999999</v>
      </c>
      <c r="AU97">
        <v>25.370999999999999</v>
      </c>
      <c r="AV97">
        <v>26.984000000000002</v>
      </c>
      <c r="AW97">
        <v>29.154</v>
      </c>
      <c r="AX97">
        <v>30.646999999999998</v>
      </c>
      <c r="AY97">
        <v>29.457000000000001</v>
      </c>
      <c r="AZ97">
        <v>32.923000000000002</v>
      </c>
      <c r="BA97">
        <v>36.130000000000003</v>
      </c>
      <c r="BB97">
        <v>38.154000000000003</v>
      </c>
      <c r="BC97">
        <v>40.811999999999998</v>
      </c>
      <c r="BD97">
        <v>43.326000000000001</v>
      </c>
      <c r="BE97">
        <v>45.863999999999997</v>
      </c>
      <c r="BF97">
        <v>48.500999999999998</v>
      </c>
      <c r="BG97">
        <v>2021</v>
      </c>
      <c r="BH97">
        <v>32.923000000000002</v>
      </c>
      <c r="BI97">
        <v>2021</v>
      </c>
    </row>
    <row r="98" spans="1:61" hidden="1">
      <c r="A98">
        <v>446</v>
      </c>
      <c r="B98" t="s">
        <v>373</v>
      </c>
      <c r="C98" t="s">
        <v>1881</v>
      </c>
      <c r="D98" t="s">
        <v>159</v>
      </c>
      <c r="E98" t="str">
        <f>IF(ISNUMBER(VLOOKUP(B98,'OECD DAC'!B:C,2,FALSE)), "YES", " ")</f>
        <v xml:space="preserve"> </v>
      </c>
      <c r="F98" t="s">
        <v>1882</v>
      </c>
      <c r="G98" t="s">
        <v>1883</v>
      </c>
      <c r="H98" t="s">
        <v>1662</v>
      </c>
      <c r="I98" t="s">
        <v>883</v>
      </c>
      <c r="J98" t="s">
        <v>1980</v>
      </c>
      <c r="K98">
        <v>13.814</v>
      </c>
      <c r="L98">
        <v>16.577000000000002</v>
      </c>
      <c r="M98">
        <v>12.430999999999999</v>
      </c>
      <c r="N98">
        <v>16.353000000000002</v>
      </c>
      <c r="O98">
        <v>27.795999999999999</v>
      </c>
      <c r="P98">
        <v>58.54</v>
      </c>
      <c r="Q98">
        <v>106.658</v>
      </c>
      <c r="R98">
        <v>730.89</v>
      </c>
      <c r="S98">
        <v>1337.96</v>
      </c>
      <c r="T98">
        <v>1332.04</v>
      </c>
      <c r="U98">
        <v>1946.76</v>
      </c>
      <c r="V98">
        <v>4077.04</v>
      </c>
      <c r="W98">
        <v>9372.65</v>
      </c>
      <c r="X98">
        <v>12947.07</v>
      </c>
      <c r="Y98">
        <v>15101.43</v>
      </c>
      <c r="Z98">
        <v>17787.82</v>
      </c>
      <c r="AA98">
        <v>20145.77</v>
      </c>
      <c r="AB98">
        <v>23916.59</v>
      </c>
      <c r="AC98">
        <v>25863.35</v>
      </c>
      <c r="AD98">
        <v>25894.92</v>
      </c>
      <c r="AE98">
        <v>25655.16</v>
      </c>
      <c r="AF98">
        <v>26171.200000000001</v>
      </c>
      <c r="AG98">
        <v>28397.19</v>
      </c>
      <c r="AH98">
        <v>29375.01</v>
      </c>
      <c r="AI98">
        <v>31898</v>
      </c>
      <c r="AJ98">
        <v>32407</v>
      </c>
      <c r="AK98">
        <v>33199</v>
      </c>
      <c r="AL98">
        <v>37427</v>
      </c>
      <c r="AM98">
        <v>43897</v>
      </c>
      <c r="AN98">
        <v>53365</v>
      </c>
      <c r="AO98">
        <v>57954</v>
      </c>
      <c r="AP98">
        <v>60190</v>
      </c>
      <c r="AQ98">
        <v>66384</v>
      </c>
      <c r="AR98">
        <v>70716</v>
      </c>
      <c r="AS98">
        <v>72561</v>
      </c>
      <c r="AT98">
        <v>75474</v>
      </c>
      <c r="AU98">
        <v>77469</v>
      </c>
      <c r="AV98">
        <v>80387</v>
      </c>
      <c r="AW98">
        <v>83329</v>
      </c>
      <c r="AX98">
        <v>80736</v>
      </c>
      <c r="AY98">
        <v>106741.07</v>
      </c>
      <c r="AZ98" t="s">
        <v>1664</v>
      </c>
      <c r="BA98" t="s">
        <v>1664</v>
      </c>
      <c r="BB98" t="s">
        <v>1664</v>
      </c>
      <c r="BC98" t="s">
        <v>1664</v>
      </c>
      <c r="BD98" t="s">
        <v>1664</v>
      </c>
      <c r="BE98" t="s">
        <v>1664</v>
      </c>
      <c r="BF98" t="s">
        <v>1664</v>
      </c>
      <c r="BG98">
        <v>2019</v>
      </c>
      <c r="BH98">
        <v>80736</v>
      </c>
      <c r="BI98">
        <v>2019</v>
      </c>
    </row>
    <row r="99" spans="1:61" hidden="1">
      <c r="A99">
        <v>666</v>
      </c>
      <c r="B99" t="s">
        <v>339</v>
      </c>
      <c r="C99" t="s">
        <v>1881</v>
      </c>
      <c r="D99" t="s">
        <v>125</v>
      </c>
      <c r="E99" t="str">
        <f>IF(ISNUMBER(VLOOKUP(B99,'OECD DAC'!B:C,2,FALSE)), "YES", " ")</f>
        <v xml:space="preserve"> </v>
      </c>
      <c r="F99" t="s">
        <v>1882</v>
      </c>
      <c r="G99" t="s">
        <v>1883</v>
      </c>
      <c r="H99" t="s">
        <v>1662</v>
      </c>
      <c r="I99" t="s">
        <v>883</v>
      </c>
      <c r="J99" t="s">
        <v>1981</v>
      </c>
      <c r="K99">
        <v>0.34</v>
      </c>
      <c r="L99">
        <v>0.38600000000000001</v>
      </c>
      <c r="M99">
        <v>0.39900000000000002</v>
      </c>
      <c r="N99">
        <v>0.45100000000000001</v>
      </c>
      <c r="O99">
        <v>0.52200000000000002</v>
      </c>
      <c r="P99">
        <v>0.63600000000000001</v>
      </c>
      <c r="Q99">
        <v>0.75600000000000001</v>
      </c>
      <c r="R99">
        <v>0.88600000000000001</v>
      </c>
      <c r="S99">
        <v>1.123</v>
      </c>
      <c r="T99">
        <v>1.347</v>
      </c>
      <c r="U99">
        <v>1.603</v>
      </c>
      <c r="V99">
        <v>1.9410000000000001</v>
      </c>
      <c r="W99">
        <v>2.3250000000000002</v>
      </c>
      <c r="X99">
        <v>2.66</v>
      </c>
      <c r="Y99">
        <v>3.0489999999999999</v>
      </c>
      <c r="Z99">
        <v>3.5009999999999999</v>
      </c>
      <c r="AA99">
        <v>3.9279999999999999</v>
      </c>
      <c r="AB99">
        <v>4.4390000000000001</v>
      </c>
      <c r="AC99">
        <v>4.907</v>
      </c>
      <c r="AD99">
        <v>5.32</v>
      </c>
      <c r="AE99">
        <v>5.8760000000000003</v>
      </c>
      <c r="AF99">
        <v>6.68</v>
      </c>
      <c r="AG99">
        <v>7.4580000000000002</v>
      </c>
      <c r="AH99">
        <v>7.9539999999999997</v>
      </c>
      <c r="AI99">
        <v>8.6579999999999995</v>
      </c>
      <c r="AJ99">
        <v>9.4969999999999999</v>
      </c>
      <c r="AK99">
        <v>10.692</v>
      </c>
      <c r="AL99">
        <v>12.538</v>
      </c>
      <c r="AM99">
        <v>14.635999999999999</v>
      </c>
      <c r="AN99">
        <v>15.153</v>
      </c>
      <c r="AO99">
        <v>16.95</v>
      </c>
      <c r="AP99">
        <v>19.131</v>
      </c>
      <c r="AQ99">
        <v>20.97</v>
      </c>
      <c r="AR99">
        <v>23.754000000000001</v>
      </c>
      <c r="AS99">
        <v>27.396000000000001</v>
      </c>
      <c r="AT99">
        <v>30.419</v>
      </c>
      <c r="AU99">
        <v>31.196999999999999</v>
      </c>
      <c r="AV99">
        <v>30.626999999999999</v>
      </c>
      <c r="AW99">
        <v>32.207000000000001</v>
      </c>
      <c r="AX99">
        <v>33.99</v>
      </c>
      <c r="AY99">
        <v>33.718000000000004</v>
      </c>
      <c r="AZ99">
        <v>36.645000000000003</v>
      </c>
      <c r="BA99">
        <v>39.799999999999997</v>
      </c>
      <c r="BB99">
        <v>42.616</v>
      </c>
      <c r="BC99">
        <v>45.561</v>
      </c>
      <c r="BD99">
        <v>48.741</v>
      </c>
      <c r="BE99">
        <v>51.475999999999999</v>
      </c>
      <c r="BF99">
        <v>54.107999999999997</v>
      </c>
      <c r="BG99">
        <v>2020</v>
      </c>
      <c r="BH99">
        <v>33.718000000000004</v>
      </c>
      <c r="BI99">
        <v>2020</v>
      </c>
    </row>
    <row r="100" spans="1:61" hidden="1">
      <c r="A100">
        <v>668</v>
      </c>
      <c r="B100" t="s">
        <v>316</v>
      </c>
      <c r="C100" t="s">
        <v>1881</v>
      </c>
      <c r="D100" t="s">
        <v>103</v>
      </c>
      <c r="E100" t="str">
        <f>IF(ISNUMBER(VLOOKUP(B100,'OECD DAC'!B:C,2,FALSE)), "YES", " ")</f>
        <v xml:space="preserve"> </v>
      </c>
      <c r="F100" t="s">
        <v>1882</v>
      </c>
      <c r="G100" t="s">
        <v>1883</v>
      </c>
      <c r="H100" t="s">
        <v>1662</v>
      </c>
      <c r="I100" t="s">
        <v>883</v>
      </c>
      <c r="J100" t="s">
        <v>1982</v>
      </c>
      <c r="K100" t="s">
        <v>1664</v>
      </c>
      <c r="L100" t="s">
        <v>1664</v>
      </c>
      <c r="M100" t="s">
        <v>1664</v>
      </c>
      <c r="N100" t="s">
        <v>1664</v>
      </c>
      <c r="O100" t="s">
        <v>1664</v>
      </c>
      <c r="P100" t="s">
        <v>1664</v>
      </c>
      <c r="Q100" t="s">
        <v>1664</v>
      </c>
      <c r="R100" t="s">
        <v>1664</v>
      </c>
      <c r="S100" t="s">
        <v>1664</v>
      </c>
      <c r="T100" t="s">
        <v>1664</v>
      </c>
      <c r="U100" t="s">
        <v>1664</v>
      </c>
      <c r="V100" t="s">
        <v>1664</v>
      </c>
      <c r="W100" t="s">
        <v>1664</v>
      </c>
      <c r="X100" t="s">
        <v>1664</v>
      </c>
      <c r="Y100" t="s">
        <v>1664</v>
      </c>
      <c r="Z100" t="s">
        <v>1664</v>
      </c>
      <c r="AA100" t="s">
        <v>1664</v>
      </c>
      <c r="AB100" t="s">
        <v>1664</v>
      </c>
      <c r="AC100" t="s">
        <v>1664</v>
      </c>
      <c r="AD100" t="s">
        <v>1664</v>
      </c>
      <c r="AE100">
        <v>0.86299999999999999</v>
      </c>
      <c r="AF100">
        <v>0.90400000000000003</v>
      </c>
      <c r="AG100">
        <v>0.94299999999999995</v>
      </c>
      <c r="AH100">
        <v>0.71399999999999997</v>
      </c>
      <c r="AI100">
        <v>0.89700000000000002</v>
      </c>
      <c r="AJ100">
        <v>0.94399999999999995</v>
      </c>
      <c r="AK100">
        <v>1.109</v>
      </c>
      <c r="AL100">
        <v>1.3440000000000001</v>
      </c>
      <c r="AM100">
        <v>1.6759999999999999</v>
      </c>
      <c r="AN100">
        <v>1.7649999999999999</v>
      </c>
      <c r="AO100">
        <v>1.966</v>
      </c>
      <c r="AP100">
        <v>2.34</v>
      </c>
      <c r="AQ100">
        <v>2.6749999999999998</v>
      </c>
      <c r="AR100">
        <v>3.044</v>
      </c>
      <c r="AS100">
        <v>3.09</v>
      </c>
      <c r="AT100">
        <v>3.0920000000000001</v>
      </c>
      <c r="AU100">
        <v>3.2559999999999998</v>
      </c>
      <c r="AV100">
        <v>3.3210000000000002</v>
      </c>
      <c r="AW100">
        <v>3.2639999999999998</v>
      </c>
      <c r="AX100">
        <v>3.08</v>
      </c>
      <c r="AY100">
        <v>3.0369999999999999</v>
      </c>
      <c r="AZ100">
        <v>3.4830000000000001</v>
      </c>
      <c r="BA100">
        <v>3.8290000000000002</v>
      </c>
      <c r="BB100">
        <v>4.0640000000000001</v>
      </c>
      <c r="BC100">
        <v>4.2300000000000004</v>
      </c>
      <c r="BD100">
        <v>4.5419999999999998</v>
      </c>
      <c r="BE100">
        <v>4.8810000000000002</v>
      </c>
      <c r="BF100">
        <v>5.2729999999999997</v>
      </c>
      <c r="BG100">
        <v>2016</v>
      </c>
      <c r="BH100">
        <v>3.0369999999999999</v>
      </c>
      <c r="BI100" t="s">
        <v>1699</v>
      </c>
    </row>
    <row r="101" spans="1:61" hidden="1">
      <c r="A101">
        <v>672</v>
      </c>
      <c r="B101" t="s">
        <v>424</v>
      </c>
      <c r="C101" t="s">
        <v>1881</v>
      </c>
      <c r="D101" t="s">
        <v>209</v>
      </c>
      <c r="E101" t="str">
        <f>IF(ISNUMBER(VLOOKUP(B101,'OECD DAC'!B:C,2,FALSE)), "YES", " ")</f>
        <v xml:space="preserve"> </v>
      </c>
      <c r="F101" t="s">
        <v>1882</v>
      </c>
      <c r="G101" t="s">
        <v>1883</v>
      </c>
      <c r="H101" t="s">
        <v>1662</v>
      </c>
      <c r="I101" t="s">
        <v>883</v>
      </c>
      <c r="J101" t="s">
        <v>1983</v>
      </c>
      <c r="K101">
        <v>11.529</v>
      </c>
      <c r="L101">
        <v>9.9600000000000009</v>
      </c>
      <c r="M101">
        <v>9.93</v>
      </c>
      <c r="N101">
        <v>9.4629999999999992</v>
      </c>
      <c r="O101">
        <v>8.8610000000000007</v>
      </c>
      <c r="P101">
        <v>8.7159999999999993</v>
      </c>
      <c r="Q101">
        <v>7.556</v>
      </c>
      <c r="R101">
        <v>6.6210000000000004</v>
      </c>
      <c r="S101">
        <v>7.1689999999999996</v>
      </c>
      <c r="T101">
        <v>7.9660000000000002</v>
      </c>
      <c r="U101">
        <v>8.6720000000000006</v>
      </c>
      <c r="V101">
        <v>9.5150000000000006</v>
      </c>
      <c r="W101">
        <v>10.106999999999999</v>
      </c>
      <c r="X101">
        <v>9.8859999999999992</v>
      </c>
      <c r="Y101">
        <v>10.558999999999999</v>
      </c>
      <c r="Z101">
        <v>11.314</v>
      </c>
      <c r="AA101">
        <v>12.904</v>
      </c>
      <c r="AB101">
        <v>13.938000000000001</v>
      </c>
      <c r="AC101">
        <v>14.005000000000001</v>
      </c>
      <c r="AD101">
        <v>16.686</v>
      </c>
      <c r="AE101">
        <v>19.602</v>
      </c>
      <c r="AF101">
        <v>20.64</v>
      </c>
      <c r="AG101">
        <v>26.012</v>
      </c>
      <c r="AH101">
        <v>33.618000000000002</v>
      </c>
      <c r="AI101">
        <v>43.058999999999997</v>
      </c>
      <c r="AJ101">
        <v>61.932000000000002</v>
      </c>
      <c r="AK101">
        <v>72.197999999999993</v>
      </c>
      <c r="AL101">
        <v>85.245999999999995</v>
      </c>
      <c r="AM101">
        <v>90.344999999999999</v>
      </c>
      <c r="AN101">
        <v>63.689</v>
      </c>
      <c r="AO101">
        <v>87.375</v>
      </c>
      <c r="AP101">
        <v>39.170999999999999</v>
      </c>
      <c r="AQ101">
        <v>100.627</v>
      </c>
      <c r="AR101">
        <v>65.994</v>
      </c>
      <c r="AS101">
        <v>30.870999999999999</v>
      </c>
      <c r="AT101">
        <v>23.777999999999999</v>
      </c>
      <c r="AU101">
        <v>25.786000000000001</v>
      </c>
      <c r="AV101">
        <v>41.854999999999997</v>
      </c>
      <c r="AW101">
        <v>57.401000000000003</v>
      </c>
      <c r="AX101">
        <v>54.72</v>
      </c>
      <c r="AY101">
        <v>26.614000000000001</v>
      </c>
      <c r="AZ101">
        <v>143.59899999999999</v>
      </c>
      <c r="BA101">
        <v>216.483</v>
      </c>
      <c r="BB101">
        <v>200.601</v>
      </c>
      <c r="BC101">
        <v>193.60300000000001</v>
      </c>
      <c r="BD101">
        <v>190.75</v>
      </c>
      <c r="BE101">
        <v>190.87299999999999</v>
      </c>
      <c r="BF101">
        <v>190.85599999999999</v>
      </c>
      <c r="BG101">
        <v>2020</v>
      </c>
      <c r="BH101">
        <v>26.614000000000001</v>
      </c>
      <c r="BI101">
        <v>2020</v>
      </c>
    </row>
    <row r="102" spans="1:61" hidden="1">
      <c r="A102">
        <v>946</v>
      </c>
      <c r="B102" t="s">
        <v>536</v>
      </c>
      <c r="C102" t="s">
        <v>1881</v>
      </c>
      <c r="D102" t="s">
        <v>244</v>
      </c>
      <c r="E102" t="str">
        <f>IF(ISNUMBER(VLOOKUP(B102,'OECD DAC'!B:C,2,FALSE)), "YES", " ")</f>
        <v xml:space="preserve"> </v>
      </c>
      <c r="F102" t="s">
        <v>1882</v>
      </c>
      <c r="G102" t="s">
        <v>1883</v>
      </c>
      <c r="H102" t="s">
        <v>1662</v>
      </c>
      <c r="I102" t="s">
        <v>883</v>
      </c>
      <c r="J102" t="s">
        <v>1984</v>
      </c>
      <c r="K102" t="s">
        <v>1664</v>
      </c>
      <c r="L102" t="s">
        <v>1664</v>
      </c>
      <c r="M102" t="s">
        <v>1664</v>
      </c>
      <c r="N102" t="s">
        <v>1664</v>
      </c>
      <c r="O102" t="s">
        <v>1664</v>
      </c>
      <c r="P102" t="s">
        <v>1664</v>
      </c>
      <c r="Q102" t="s">
        <v>1664</v>
      </c>
      <c r="R102" t="s">
        <v>1664</v>
      </c>
      <c r="S102" t="s">
        <v>1664</v>
      </c>
      <c r="T102" t="s">
        <v>1664</v>
      </c>
      <c r="U102" t="s">
        <v>1664</v>
      </c>
      <c r="V102" t="s">
        <v>1664</v>
      </c>
      <c r="W102" t="s">
        <v>1664</v>
      </c>
      <c r="X102" t="s">
        <v>1664</v>
      </c>
      <c r="Y102" t="s">
        <v>1664</v>
      </c>
      <c r="Z102">
        <v>7.7569999999999997</v>
      </c>
      <c r="AA102">
        <v>9.7110000000000003</v>
      </c>
      <c r="AB102">
        <v>11.722</v>
      </c>
      <c r="AC102">
        <v>13.021000000000001</v>
      </c>
      <c r="AD102">
        <v>12.711</v>
      </c>
      <c r="AE102">
        <v>13.351000000000001</v>
      </c>
      <c r="AF102">
        <v>14.177</v>
      </c>
      <c r="AG102">
        <v>15.182</v>
      </c>
      <c r="AH102">
        <v>16.649999999999999</v>
      </c>
      <c r="AI102">
        <v>18.22</v>
      </c>
      <c r="AJ102">
        <v>20.98</v>
      </c>
      <c r="AK102">
        <v>24.053000000000001</v>
      </c>
      <c r="AL102">
        <v>29.010999999999999</v>
      </c>
      <c r="AM102">
        <v>32.659999999999997</v>
      </c>
      <c r="AN102">
        <v>26.896999999999998</v>
      </c>
      <c r="AO102">
        <v>28.033999999999999</v>
      </c>
      <c r="AP102">
        <v>31.317</v>
      </c>
      <c r="AQ102">
        <v>33.409999999999997</v>
      </c>
      <c r="AR102">
        <v>35.04</v>
      </c>
      <c r="AS102">
        <v>36.581000000000003</v>
      </c>
      <c r="AT102">
        <v>37.345999999999997</v>
      </c>
      <c r="AU102">
        <v>38.89</v>
      </c>
      <c r="AV102">
        <v>42.276000000000003</v>
      </c>
      <c r="AW102">
        <v>45.515000000000001</v>
      </c>
      <c r="AX102">
        <v>48.86</v>
      </c>
      <c r="AY102">
        <v>49.506999999999998</v>
      </c>
      <c r="AZ102">
        <v>55.326000000000001</v>
      </c>
      <c r="BA102">
        <v>62.615000000000002</v>
      </c>
      <c r="BB102">
        <v>67.228999999999999</v>
      </c>
      <c r="BC102">
        <v>71.984999999999999</v>
      </c>
      <c r="BD102">
        <v>76.331000000000003</v>
      </c>
      <c r="BE102">
        <v>80.753</v>
      </c>
      <c r="BF102">
        <v>85.397000000000006</v>
      </c>
      <c r="BG102">
        <v>2021</v>
      </c>
      <c r="BH102">
        <v>55.326000000000001</v>
      </c>
      <c r="BI102">
        <v>2021</v>
      </c>
    </row>
    <row r="103" spans="1:61">
      <c r="A103">
        <v>137</v>
      </c>
      <c r="B103" t="s">
        <v>467</v>
      </c>
      <c r="C103" t="s">
        <v>1881</v>
      </c>
      <c r="D103" t="s">
        <v>54</v>
      </c>
      <c r="E103" t="str">
        <f>IF(ISNUMBER(VLOOKUP(B103,'OECD DAC'!B:C,2,FALSE)), "YES", " ")</f>
        <v>YES</v>
      </c>
      <c r="F103" t="s">
        <v>1882</v>
      </c>
      <c r="G103" t="s">
        <v>1883</v>
      </c>
      <c r="H103" t="s">
        <v>1662</v>
      </c>
      <c r="I103" t="s">
        <v>883</v>
      </c>
      <c r="J103" t="s">
        <v>1985</v>
      </c>
      <c r="K103">
        <v>4.657</v>
      </c>
      <c r="L103">
        <v>5.0860000000000003</v>
      </c>
      <c r="M103">
        <v>5.1360000000000001</v>
      </c>
      <c r="N103">
        <v>5.6509999999999998</v>
      </c>
      <c r="O103">
        <v>6.2649999999999997</v>
      </c>
      <c r="P103">
        <v>6.64</v>
      </c>
      <c r="Q103">
        <v>7.2969999999999997</v>
      </c>
      <c r="R103">
        <v>7.59</v>
      </c>
      <c r="S103">
        <v>8.4600000000000009</v>
      </c>
      <c r="T103">
        <v>9.6630000000000003</v>
      </c>
      <c r="U103">
        <v>10.433</v>
      </c>
      <c r="V103">
        <v>11.541</v>
      </c>
      <c r="W103">
        <v>12.189</v>
      </c>
      <c r="X103">
        <v>13.46</v>
      </c>
      <c r="Y103">
        <v>14.468999999999999</v>
      </c>
      <c r="Z103">
        <v>15.019</v>
      </c>
      <c r="AA103">
        <v>15.701000000000001</v>
      </c>
      <c r="AB103">
        <v>16.321999999999999</v>
      </c>
      <c r="AC103">
        <v>17.309999999999999</v>
      </c>
      <c r="AD103">
        <v>19.766999999999999</v>
      </c>
      <c r="AE103">
        <v>22.986000000000001</v>
      </c>
      <c r="AF103">
        <v>23.88</v>
      </c>
      <c r="AG103">
        <v>25.010999999999999</v>
      </c>
      <c r="AH103">
        <v>26.227</v>
      </c>
      <c r="AI103">
        <v>28.189</v>
      </c>
      <c r="AJ103">
        <v>30.280999999999999</v>
      </c>
      <c r="AK103">
        <v>34.174999999999997</v>
      </c>
      <c r="AL103">
        <v>37.642000000000003</v>
      </c>
      <c r="AM103">
        <v>40.01</v>
      </c>
      <c r="AN103">
        <v>39.051000000000002</v>
      </c>
      <c r="AO103">
        <v>42.402999999999999</v>
      </c>
      <c r="AP103">
        <v>44.323</v>
      </c>
      <c r="AQ103">
        <v>46.526000000000003</v>
      </c>
      <c r="AR103">
        <v>49.094999999999999</v>
      </c>
      <c r="AS103">
        <v>51.790999999999997</v>
      </c>
      <c r="AT103">
        <v>54.142000000000003</v>
      </c>
      <c r="AU103">
        <v>56.207999999999998</v>
      </c>
      <c r="AV103">
        <v>58.168999999999997</v>
      </c>
      <c r="AW103">
        <v>60.362000000000002</v>
      </c>
      <c r="AX103">
        <v>62.704000000000001</v>
      </c>
      <c r="AY103">
        <v>64.221000000000004</v>
      </c>
      <c r="AZ103">
        <v>73.313999999999993</v>
      </c>
      <c r="BA103">
        <v>77.075999999999993</v>
      </c>
      <c r="BB103">
        <v>80.352999999999994</v>
      </c>
      <c r="BC103">
        <v>84.853999999999999</v>
      </c>
      <c r="BD103">
        <v>88.676000000000002</v>
      </c>
      <c r="BE103">
        <v>92.727000000000004</v>
      </c>
      <c r="BF103">
        <v>96.971999999999994</v>
      </c>
      <c r="BG103">
        <v>2020</v>
      </c>
      <c r="BH103">
        <v>64.221000000000004</v>
      </c>
      <c r="BI103">
        <v>2020</v>
      </c>
    </row>
    <row r="104" spans="1:61" hidden="1">
      <c r="A104">
        <v>546</v>
      </c>
      <c r="B104" t="s">
        <v>537</v>
      </c>
      <c r="C104" t="s">
        <v>1881</v>
      </c>
      <c r="D104" t="s">
        <v>1776</v>
      </c>
      <c r="E104" t="str">
        <f>IF(ISNUMBER(VLOOKUP(B104,'OECD DAC'!B:C,2,FALSE)), "YES", " ")</f>
        <v xml:space="preserve"> </v>
      </c>
      <c r="F104" t="s">
        <v>1882</v>
      </c>
      <c r="G104" t="s">
        <v>1883</v>
      </c>
      <c r="H104" t="s">
        <v>1662</v>
      </c>
      <c r="I104" t="s">
        <v>883</v>
      </c>
      <c r="J104" t="s">
        <v>1986</v>
      </c>
      <c r="K104" t="s">
        <v>1664</v>
      </c>
      <c r="L104" t="s">
        <v>1664</v>
      </c>
      <c r="M104" t="s">
        <v>1664</v>
      </c>
      <c r="N104" t="s">
        <v>1664</v>
      </c>
      <c r="O104" t="s">
        <v>1664</v>
      </c>
      <c r="P104" t="s">
        <v>1664</v>
      </c>
      <c r="Q104" t="s">
        <v>1664</v>
      </c>
      <c r="R104" t="s">
        <v>1664</v>
      </c>
      <c r="S104" t="s">
        <v>1664</v>
      </c>
      <c r="T104" t="s">
        <v>1664</v>
      </c>
      <c r="U104" t="s">
        <v>1664</v>
      </c>
      <c r="V104" t="s">
        <v>1664</v>
      </c>
      <c r="W104" t="s">
        <v>1664</v>
      </c>
      <c r="X104" t="s">
        <v>1664</v>
      </c>
      <c r="Y104" t="s">
        <v>1664</v>
      </c>
      <c r="Z104" t="s">
        <v>1664</v>
      </c>
      <c r="AA104" t="s">
        <v>1664</v>
      </c>
      <c r="AB104" t="s">
        <v>1664</v>
      </c>
      <c r="AC104" t="s">
        <v>1664</v>
      </c>
      <c r="AD104" t="s">
        <v>1664</v>
      </c>
      <c r="AE104" t="s">
        <v>1664</v>
      </c>
      <c r="AF104">
        <v>55.112000000000002</v>
      </c>
      <c r="AG104">
        <v>59.219000000000001</v>
      </c>
      <c r="AH104">
        <v>66.146000000000001</v>
      </c>
      <c r="AI104">
        <v>85.382000000000005</v>
      </c>
      <c r="AJ104">
        <v>97.415999999999997</v>
      </c>
      <c r="AK104">
        <v>119.015</v>
      </c>
      <c r="AL104">
        <v>148.18100000000001</v>
      </c>
      <c r="AM104">
        <v>168.63900000000001</v>
      </c>
      <c r="AN104">
        <v>172.363</v>
      </c>
      <c r="AO104">
        <v>225.99799999999999</v>
      </c>
      <c r="AP104">
        <v>295.43799999999999</v>
      </c>
      <c r="AQ104">
        <v>345.08</v>
      </c>
      <c r="AR104">
        <v>411.738</v>
      </c>
      <c r="AS104">
        <v>438.51600000000002</v>
      </c>
      <c r="AT104">
        <v>359.70800000000003</v>
      </c>
      <c r="AU104">
        <v>360.34300000000002</v>
      </c>
      <c r="AV104">
        <v>404.839</v>
      </c>
      <c r="AW104">
        <v>446.28300000000002</v>
      </c>
      <c r="AX104">
        <v>445.53</v>
      </c>
      <c r="AY104">
        <v>204.40899999999999</v>
      </c>
      <c r="AZ104">
        <v>239.40600000000001</v>
      </c>
      <c r="BA104">
        <v>282.02</v>
      </c>
      <c r="BB104">
        <v>353.65300000000002</v>
      </c>
      <c r="BC104">
        <v>427.77300000000002</v>
      </c>
      <c r="BD104">
        <v>479.096</v>
      </c>
      <c r="BE104">
        <v>512.86300000000006</v>
      </c>
      <c r="BF104">
        <v>541.53499999999997</v>
      </c>
      <c r="BG104">
        <v>2021</v>
      </c>
      <c r="BH104">
        <v>239.40600000000001</v>
      </c>
      <c r="BI104">
        <v>2021</v>
      </c>
    </row>
    <row r="105" spans="1:61" hidden="1">
      <c r="A105">
        <v>674</v>
      </c>
      <c r="B105" t="s">
        <v>310</v>
      </c>
      <c r="C105" t="s">
        <v>1881</v>
      </c>
      <c r="D105" t="s">
        <v>97</v>
      </c>
      <c r="E105" t="str">
        <f>IF(ISNUMBER(VLOOKUP(B105,'OECD DAC'!B:C,2,FALSE)), "YES", " ")</f>
        <v xml:space="preserve"> </v>
      </c>
      <c r="F105" t="s">
        <v>1882</v>
      </c>
      <c r="G105" t="s">
        <v>1883</v>
      </c>
      <c r="H105" t="s">
        <v>1662</v>
      </c>
      <c r="I105" t="s">
        <v>883</v>
      </c>
      <c r="J105" t="s">
        <v>1987</v>
      </c>
      <c r="K105">
        <v>219.80699999999999</v>
      </c>
      <c r="L105">
        <v>258.65100000000001</v>
      </c>
      <c r="M105">
        <v>334.69600000000003</v>
      </c>
      <c r="N105">
        <v>403.45600000000002</v>
      </c>
      <c r="O105">
        <v>450.46600000000001</v>
      </c>
      <c r="P105">
        <v>503.822</v>
      </c>
      <c r="Q105">
        <v>588.14499999999998</v>
      </c>
      <c r="R105">
        <v>687.05499999999995</v>
      </c>
      <c r="S105">
        <v>897.58100000000002</v>
      </c>
      <c r="T105">
        <v>1018.39</v>
      </c>
      <c r="U105">
        <v>1174.8</v>
      </c>
      <c r="V105">
        <v>1194.71</v>
      </c>
      <c r="W105">
        <v>1384.92</v>
      </c>
      <c r="X105">
        <v>1555.25</v>
      </c>
      <c r="Y105">
        <v>2160.77</v>
      </c>
      <c r="Z105">
        <v>3274.39</v>
      </c>
      <c r="AA105">
        <v>4005.91</v>
      </c>
      <c r="AB105">
        <v>4340.45</v>
      </c>
      <c r="AC105">
        <v>4790.57</v>
      </c>
      <c r="AD105">
        <v>5376.28</v>
      </c>
      <c r="AE105">
        <v>6265.67</v>
      </c>
      <c r="AF105">
        <v>7166.09</v>
      </c>
      <c r="AG105">
        <v>7312.52</v>
      </c>
      <c r="AH105">
        <v>7891.24</v>
      </c>
      <c r="AI105">
        <v>9465.27</v>
      </c>
      <c r="AJ105">
        <v>11736.27</v>
      </c>
      <c r="AK105">
        <v>13701.55</v>
      </c>
      <c r="AL105">
        <v>15974.09</v>
      </c>
      <c r="AM105">
        <v>18322.509999999998</v>
      </c>
      <c r="AN105">
        <v>18812.599999999999</v>
      </c>
      <c r="AO105">
        <v>20863.37</v>
      </c>
      <c r="AP105">
        <v>23393.8</v>
      </c>
      <c r="AQ105">
        <v>25415.47</v>
      </c>
      <c r="AR105">
        <v>27417.73</v>
      </c>
      <c r="AS105">
        <v>30240.59</v>
      </c>
      <c r="AT105">
        <v>33216.18</v>
      </c>
      <c r="AU105">
        <v>37637.589999999997</v>
      </c>
      <c r="AV105">
        <v>41058.839999999997</v>
      </c>
      <c r="AW105">
        <v>45886.3</v>
      </c>
      <c r="AX105">
        <v>51035.22</v>
      </c>
      <c r="AY105">
        <v>49453.22</v>
      </c>
      <c r="AZ105">
        <v>54323.95</v>
      </c>
      <c r="BA105">
        <v>62347.27</v>
      </c>
      <c r="BB105">
        <v>70452.52</v>
      </c>
      <c r="BC105">
        <v>78566.42</v>
      </c>
      <c r="BD105">
        <v>87221.82</v>
      </c>
      <c r="BE105">
        <v>96546.98</v>
      </c>
      <c r="BF105">
        <v>106703.92</v>
      </c>
      <c r="BG105">
        <v>2018</v>
      </c>
      <c r="BH105">
        <v>45886.3</v>
      </c>
      <c r="BI105">
        <v>2018</v>
      </c>
    </row>
    <row r="106" spans="1:61" hidden="1">
      <c r="A106">
        <v>676</v>
      </c>
      <c r="B106" t="s">
        <v>317</v>
      </c>
      <c r="C106" t="s">
        <v>1881</v>
      </c>
      <c r="D106" t="s">
        <v>104</v>
      </c>
      <c r="E106" t="str">
        <f>IF(ISNUMBER(VLOOKUP(B106,'OECD DAC'!B:C,2,FALSE)), "YES", " ")</f>
        <v xml:space="preserve"> </v>
      </c>
      <c r="F106" t="s">
        <v>1882</v>
      </c>
      <c r="G106" t="s">
        <v>1883</v>
      </c>
      <c r="H106" t="s">
        <v>1662</v>
      </c>
      <c r="I106" t="s">
        <v>883</v>
      </c>
      <c r="J106" t="s">
        <v>1988</v>
      </c>
      <c r="K106">
        <v>2.4540000000000002</v>
      </c>
      <c r="L106">
        <v>2.7050000000000001</v>
      </c>
      <c r="M106">
        <v>3.0409999999999999</v>
      </c>
      <c r="N106">
        <v>3.5089999999999999</v>
      </c>
      <c r="O106">
        <v>4.1689999999999996</v>
      </c>
      <c r="P106">
        <v>4.7489999999999997</v>
      </c>
      <c r="Q106">
        <v>5.3659999999999997</v>
      </c>
      <c r="R106">
        <v>6.26</v>
      </c>
      <c r="S106">
        <v>8.3450000000000006</v>
      </c>
      <c r="T106">
        <v>10.253</v>
      </c>
      <c r="U106">
        <v>11.522</v>
      </c>
      <c r="V106">
        <v>15.082000000000001</v>
      </c>
      <c r="W106">
        <v>15.832000000000001</v>
      </c>
      <c r="X106">
        <v>22.259</v>
      </c>
      <c r="Y106">
        <v>25.594000000000001</v>
      </c>
      <c r="Z106">
        <v>52.148000000000003</v>
      </c>
      <c r="AA106">
        <v>85.257000000000005</v>
      </c>
      <c r="AB106">
        <v>106.928</v>
      </c>
      <c r="AC106">
        <v>132.81</v>
      </c>
      <c r="AD106">
        <v>191.167</v>
      </c>
      <c r="AE106">
        <v>253.471</v>
      </c>
      <c r="AF106">
        <v>301.64</v>
      </c>
      <c r="AG106">
        <v>377.43599999999998</v>
      </c>
      <c r="AH106">
        <v>440.24900000000002</v>
      </c>
      <c r="AI106">
        <v>533.01800000000003</v>
      </c>
      <c r="AJ106">
        <v>609.56500000000005</v>
      </c>
      <c r="AK106">
        <v>765.649</v>
      </c>
      <c r="AL106">
        <v>873.55399999999997</v>
      </c>
      <c r="AM106">
        <v>1052.79</v>
      </c>
      <c r="AN106">
        <v>1230.57</v>
      </c>
      <c r="AO106">
        <v>1474.65</v>
      </c>
      <c r="AP106">
        <v>1763.87</v>
      </c>
      <c r="AQ106">
        <v>2114.44</v>
      </c>
      <c r="AR106">
        <v>2831.66</v>
      </c>
      <c r="AS106">
        <v>3618.12</v>
      </c>
      <c r="AT106">
        <v>4503.57</v>
      </c>
      <c r="AU106">
        <v>5552.07</v>
      </c>
      <c r="AV106">
        <v>6531.22</v>
      </c>
      <c r="AW106">
        <v>7235.94</v>
      </c>
      <c r="AX106">
        <v>8219.85</v>
      </c>
      <c r="AY106">
        <v>8815.34</v>
      </c>
      <c r="AZ106">
        <v>9736.44</v>
      </c>
      <c r="BA106">
        <v>10959.28</v>
      </c>
      <c r="BB106">
        <v>12176.38</v>
      </c>
      <c r="BC106">
        <v>13432.32</v>
      </c>
      <c r="BD106">
        <v>14927.69</v>
      </c>
      <c r="BE106">
        <v>16519.189999999999</v>
      </c>
      <c r="BF106">
        <v>18233.27</v>
      </c>
      <c r="BG106">
        <v>2020</v>
      </c>
      <c r="BH106">
        <v>8815.34</v>
      </c>
      <c r="BI106">
        <v>2020</v>
      </c>
    </row>
    <row r="107" spans="1:61" hidden="1">
      <c r="A107">
        <v>548</v>
      </c>
      <c r="B107" t="s">
        <v>437</v>
      </c>
      <c r="C107" t="s">
        <v>1881</v>
      </c>
      <c r="D107" t="s">
        <v>222</v>
      </c>
      <c r="E107" t="str">
        <f>IF(ISNUMBER(VLOOKUP(B107,'OECD DAC'!B:C,2,FALSE)), "YES", " ")</f>
        <v xml:space="preserve"> </v>
      </c>
      <c r="F107" t="s">
        <v>1882</v>
      </c>
      <c r="G107" t="s">
        <v>1883</v>
      </c>
      <c r="H107" t="s">
        <v>1662</v>
      </c>
      <c r="I107" t="s">
        <v>883</v>
      </c>
      <c r="J107" t="s">
        <v>1989</v>
      </c>
      <c r="K107">
        <v>58.244999999999997</v>
      </c>
      <c r="L107">
        <v>62.948999999999998</v>
      </c>
      <c r="M107">
        <v>68.375</v>
      </c>
      <c r="N107">
        <v>76.007999999999996</v>
      </c>
      <c r="O107">
        <v>86.918000000000006</v>
      </c>
      <c r="P107">
        <v>84.644999999999996</v>
      </c>
      <c r="Q107">
        <v>78.224999999999994</v>
      </c>
      <c r="R107">
        <v>87</v>
      </c>
      <c r="S107">
        <v>99.108000000000004</v>
      </c>
      <c r="T107">
        <v>112.898</v>
      </c>
      <c r="U107">
        <v>127.768</v>
      </c>
      <c r="V107">
        <v>147.16800000000001</v>
      </c>
      <c r="W107">
        <v>164.11199999999999</v>
      </c>
      <c r="X107">
        <v>187.54300000000001</v>
      </c>
      <c r="Y107">
        <v>212.88200000000001</v>
      </c>
      <c r="Z107">
        <v>242.30099999999999</v>
      </c>
      <c r="AA107">
        <v>276.34800000000001</v>
      </c>
      <c r="AB107">
        <v>306.91399999999999</v>
      </c>
      <c r="AC107">
        <v>308.49</v>
      </c>
      <c r="AD107">
        <v>327.572</v>
      </c>
      <c r="AE107">
        <v>388.16800000000001</v>
      </c>
      <c r="AF107">
        <v>384.00599999999997</v>
      </c>
      <c r="AG107">
        <v>417.36700000000002</v>
      </c>
      <c r="AH107">
        <v>456.09500000000003</v>
      </c>
      <c r="AI107">
        <v>516.30200000000002</v>
      </c>
      <c r="AJ107">
        <v>569.37099999999998</v>
      </c>
      <c r="AK107">
        <v>625.1</v>
      </c>
      <c r="AL107">
        <v>696.91</v>
      </c>
      <c r="AM107">
        <v>806.48</v>
      </c>
      <c r="AN107">
        <v>746.67899999999997</v>
      </c>
      <c r="AO107">
        <v>833.10400000000004</v>
      </c>
      <c r="AP107">
        <v>924.68499999999995</v>
      </c>
      <c r="AQ107">
        <v>985.04899999999998</v>
      </c>
      <c r="AR107">
        <v>1033.0899999999999</v>
      </c>
      <c r="AS107">
        <v>1122.1600000000001</v>
      </c>
      <c r="AT107">
        <v>1176.94</v>
      </c>
      <c r="AU107">
        <v>1249.7</v>
      </c>
      <c r="AV107">
        <v>1372.31</v>
      </c>
      <c r="AW107">
        <v>1447.76</v>
      </c>
      <c r="AX107">
        <v>1513.16</v>
      </c>
      <c r="AY107">
        <v>1416.61</v>
      </c>
      <c r="AZ107">
        <v>1544.21</v>
      </c>
      <c r="BA107">
        <v>1695.67</v>
      </c>
      <c r="BB107">
        <v>1833.5</v>
      </c>
      <c r="BC107">
        <v>1964.73</v>
      </c>
      <c r="BD107">
        <v>2107.84</v>
      </c>
      <c r="BE107">
        <v>2256.21</v>
      </c>
      <c r="BF107">
        <v>2407.12</v>
      </c>
      <c r="BG107">
        <v>2021</v>
      </c>
      <c r="BH107">
        <v>1544.21</v>
      </c>
      <c r="BI107">
        <v>2021</v>
      </c>
    </row>
    <row r="108" spans="1:61" hidden="1">
      <c r="A108">
        <v>556</v>
      </c>
      <c r="B108" t="s">
        <v>423</v>
      </c>
      <c r="C108" t="s">
        <v>1881</v>
      </c>
      <c r="D108" t="s">
        <v>208</v>
      </c>
      <c r="E108" t="str">
        <f>IF(ISNUMBER(VLOOKUP(B108,'OECD DAC'!B:C,2,FALSE)), "YES", " ")</f>
        <v xml:space="preserve"> </v>
      </c>
      <c r="F108" t="s">
        <v>1882</v>
      </c>
      <c r="G108" t="s">
        <v>1883</v>
      </c>
      <c r="H108" t="s">
        <v>1662</v>
      </c>
      <c r="I108" t="s">
        <v>883</v>
      </c>
      <c r="J108" t="s">
        <v>1990</v>
      </c>
      <c r="K108">
        <v>0.47299999999999998</v>
      </c>
      <c r="L108">
        <v>0.55400000000000005</v>
      </c>
      <c r="M108">
        <v>0.624</v>
      </c>
      <c r="N108">
        <v>0.66600000000000004</v>
      </c>
      <c r="O108">
        <v>0.79600000000000004</v>
      </c>
      <c r="P108">
        <v>0.95099999999999996</v>
      </c>
      <c r="Q108">
        <v>1.1259999999999999</v>
      </c>
      <c r="R108">
        <v>1.373</v>
      </c>
      <c r="S108">
        <v>1.5649999999999999</v>
      </c>
      <c r="T108">
        <v>1.8180000000000001</v>
      </c>
      <c r="U108">
        <v>2.206</v>
      </c>
      <c r="V108">
        <v>2.6909999999999998</v>
      </c>
      <c r="W108">
        <v>3.2330000000000001</v>
      </c>
      <c r="X108">
        <v>3.7930000000000001</v>
      </c>
      <c r="Y108">
        <v>4.4290000000000003</v>
      </c>
      <c r="Z108">
        <v>5.484</v>
      </c>
      <c r="AA108">
        <v>6.2050000000000001</v>
      </c>
      <c r="AB108">
        <v>7.6790000000000003</v>
      </c>
      <c r="AC108">
        <v>8.1609999999999996</v>
      </c>
      <c r="AD108">
        <v>8.9030000000000005</v>
      </c>
      <c r="AE108">
        <v>9.4329999999999998</v>
      </c>
      <c r="AF108">
        <v>9.8219999999999992</v>
      </c>
      <c r="AG108">
        <v>10.601000000000001</v>
      </c>
      <c r="AH108">
        <v>13.467000000000001</v>
      </c>
      <c r="AI108">
        <v>15.702999999999999</v>
      </c>
      <c r="AJ108">
        <v>14.891</v>
      </c>
      <c r="AK108">
        <v>20.163</v>
      </c>
      <c r="AL108">
        <v>23.914999999999999</v>
      </c>
      <c r="AM108">
        <v>29.077000000000002</v>
      </c>
      <c r="AN108">
        <v>30.02</v>
      </c>
      <c r="AO108">
        <v>33.128999999999998</v>
      </c>
      <c r="AP108">
        <v>40.511000000000003</v>
      </c>
      <c r="AQ108">
        <v>44.344999999999999</v>
      </c>
      <c r="AR108">
        <v>50.633000000000003</v>
      </c>
      <c r="AS108">
        <v>56.866999999999997</v>
      </c>
      <c r="AT108">
        <v>63.146999999999998</v>
      </c>
      <c r="AU108">
        <v>67.3</v>
      </c>
      <c r="AV108">
        <v>73.153000000000006</v>
      </c>
      <c r="AW108">
        <v>81.585999999999999</v>
      </c>
      <c r="AX108">
        <v>86.259</v>
      </c>
      <c r="AY108">
        <v>57.569000000000003</v>
      </c>
      <c r="AZ108">
        <v>78.120999999999995</v>
      </c>
      <c r="BA108">
        <v>84.784999999999997</v>
      </c>
      <c r="BB108">
        <v>94.146000000000001</v>
      </c>
      <c r="BC108">
        <v>102.337</v>
      </c>
      <c r="BD108">
        <v>110.255</v>
      </c>
      <c r="BE108">
        <v>118.70399999999999</v>
      </c>
      <c r="BF108">
        <v>127.83499999999999</v>
      </c>
      <c r="BG108">
        <v>2020</v>
      </c>
      <c r="BH108">
        <v>57.569000000000003</v>
      </c>
      <c r="BI108">
        <v>2020</v>
      </c>
    </row>
    <row r="109" spans="1:61" hidden="1">
      <c r="A109">
        <v>678</v>
      </c>
      <c r="B109" t="s">
        <v>326</v>
      </c>
      <c r="C109" t="s">
        <v>1881</v>
      </c>
      <c r="D109" t="s">
        <v>113</v>
      </c>
      <c r="E109" t="str">
        <f>IF(ISNUMBER(VLOOKUP(B109,'OECD DAC'!B:C,2,FALSE)), "YES", " ")</f>
        <v xml:space="preserve"> </v>
      </c>
      <c r="F109" t="s">
        <v>1882</v>
      </c>
      <c r="G109" t="s">
        <v>1883</v>
      </c>
      <c r="H109" t="s">
        <v>1662</v>
      </c>
      <c r="I109" t="s">
        <v>883</v>
      </c>
      <c r="J109" t="s">
        <v>1991</v>
      </c>
      <c r="K109">
        <v>429.108</v>
      </c>
      <c r="L109">
        <v>451.00599999999997</v>
      </c>
      <c r="M109">
        <v>482.23599999999999</v>
      </c>
      <c r="N109">
        <v>540.42999999999995</v>
      </c>
      <c r="O109">
        <v>618.93200000000002</v>
      </c>
      <c r="P109">
        <v>640.66800000000001</v>
      </c>
      <c r="Q109">
        <v>686.024</v>
      </c>
      <c r="R109">
        <v>693.54700000000003</v>
      </c>
      <c r="S109">
        <v>689.85500000000002</v>
      </c>
      <c r="T109">
        <v>769.72699999999998</v>
      </c>
      <c r="U109">
        <v>877.44</v>
      </c>
      <c r="V109">
        <v>923.33299999999997</v>
      </c>
      <c r="W109">
        <v>890.72400000000005</v>
      </c>
      <c r="X109">
        <v>951.02599999999995</v>
      </c>
      <c r="Y109">
        <v>1401.97</v>
      </c>
      <c r="Z109">
        <v>1650.18</v>
      </c>
      <c r="AA109">
        <v>1734.52</v>
      </c>
      <c r="AB109">
        <v>1857.88</v>
      </c>
      <c r="AC109">
        <v>1959.38</v>
      </c>
      <c r="AD109">
        <v>2117.67</v>
      </c>
      <c r="AE109">
        <v>2103.27</v>
      </c>
      <c r="AF109">
        <v>2540.1999999999998</v>
      </c>
      <c r="AG109">
        <v>2711.12</v>
      </c>
      <c r="AH109">
        <v>2733.68</v>
      </c>
      <c r="AI109">
        <v>2876.23</v>
      </c>
      <c r="AJ109">
        <v>3294.06</v>
      </c>
      <c r="AK109">
        <v>3607.84</v>
      </c>
      <c r="AL109">
        <v>3903.96</v>
      </c>
      <c r="AM109">
        <v>4387.93</v>
      </c>
      <c r="AN109">
        <v>4812.03</v>
      </c>
      <c r="AO109">
        <v>5288.94</v>
      </c>
      <c r="AP109">
        <v>6123.93</v>
      </c>
      <c r="AQ109">
        <v>6352.36</v>
      </c>
      <c r="AR109">
        <v>6540.56</v>
      </c>
      <c r="AS109">
        <v>7093</v>
      </c>
      <c r="AT109">
        <v>7747.73</v>
      </c>
      <c r="AU109">
        <v>8311.93</v>
      </c>
      <c r="AV109">
        <v>8922.0400000000009</v>
      </c>
      <c r="AW109">
        <v>9481.9599999999991</v>
      </c>
      <c r="AX109">
        <v>10124.719999999999</v>
      </c>
      <c r="AY109">
        <v>10052.780000000001</v>
      </c>
      <c r="AZ109">
        <v>10635</v>
      </c>
      <c r="BA109">
        <v>11338.34</v>
      </c>
      <c r="BB109">
        <v>12297.45</v>
      </c>
      <c r="BC109">
        <v>13267.9</v>
      </c>
      <c r="BD109">
        <v>14209.92</v>
      </c>
      <c r="BE109">
        <v>15218.83</v>
      </c>
      <c r="BF109">
        <v>16299.37</v>
      </c>
      <c r="BG109">
        <v>2019</v>
      </c>
      <c r="BH109">
        <v>10124.719999999999</v>
      </c>
      <c r="BI109">
        <v>2019</v>
      </c>
    </row>
    <row r="110" spans="1:61" hidden="1">
      <c r="A110">
        <v>181</v>
      </c>
      <c r="B110" t="s">
        <v>540</v>
      </c>
      <c r="C110" t="s">
        <v>1881</v>
      </c>
      <c r="D110" t="s">
        <v>252</v>
      </c>
      <c r="E110" t="str">
        <f>IF(ISNUMBER(VLOOKUP(B110,'OECD DAC'!B:C,2,FALSE)), "YES", " ")</f>
        <v xml:space="preserve"> </v>
      </c>
      <c r="F110" t="s">
        <v>1882</v>
      </c>
      <c r="G110" t="s">
        <v>1883</v>
      </c>
      <c r="H110" t="s">
        <v>1662</v>
      </c>
      <c r="I110" t="s">
        <v>883</v>
      </c>
      <c r="J110" t="s">
        <v>1992</v>
      </c>
      <c r="K110" t="s">
        <v>1664</v>
      </c>
      <c r="L110" t="s">
        <v>1664</v>
      </c>
      <c r="M110" t="s">
        <v>1664</v>
      </c>
      <c r="N110" t="s">
        <v>1664</v>
      </c>
      <c r="O110" t="s">
        <v>1664</v>
      </c>
      <c r="P110" t="s">
        <v>1664</v>
      </c>
      <c r="Q110" t="s">
        <v>1664</v>
      </c>
      <c r="R110" t="s">
        <v>1664</v>
      </c>
      <c r="S110" t="s">
        <v>1664</v>
      </c>
      <c r="T110" t="s">
        <v>1664</v>
      </c>
      <c r="U110" t="s">
        <v>1664</v>
      </c>
      <c r="V110" t="s">
        <v>1664</v>
      </c>
      <c r="W110" t="s">
        <v>1664</v>
      </c>
      <c r="X110" t="s">
        <v>1664</v>
      </c>
      <c r="Y110" t="s">
        <v>1664</v>
      </c>
      <c r="Z110">
        <v>2.7789999999999999</v>
      </c>
      <c r="AA110">
        <v>2.8940000000000001</v>
      </c>
      <c r="AB110">
        <v>3.1360000000000001</v>
      </c>
      <c r="AC110">
        <v>3.343</v>
      </c>
      <c r="AD110">
        <v>3.5830000000000002</v>
      </c>
      <c r="AE110">
        <v>4.1529999999999996</v>
      </c>
      <c r="AF110">
        <v>4.2859999999999996</v>
      </c>
      <c r="AG110">
        <v>4.516</v>
      </c>
      <c r="AH110">
        <v>4.7880000000000003</v>
      </c>
      <c r="AI110">
        <v>4.8959999999999999</v>
      </c>
      <c r="AJ110">
        <v>5.1589999999999998</v>
      </c>
      <c r="AK110">
        <v>5.4029999999999996</v>
      </c>
      <c r="AL110">
        <v>5.79</v>
      </c>
      <c r="AM110">
        <v>6.2060000000000004</v>
      </c>
      <c r="AN110">
        <v>6.26</v>
      </c>
      <c r="AO110">
        <v>6.8159999999999998</v>
      </c>
      <c r="AP110">
        <v>6.9249999999999998</v>
      </c>
      <c r="AQ110">
        <v>7.3639999999999999</v>
      </c>
      <c r="AR110">
        <v>7.944</v>
      </c>
      <c r="AS110">
        <v>8.7509999999999994</v>
      </c>
      <c r="AT110">
        <v>9.9969999999999999</v>
      </c>
      <c r="AU110">
        <v>10.541</v>
      </c>
      <c r="AV110">
        <v>11.955</v>
      </c>
      <c r="AW110">
        <v>12.957000000000001</v>
      </c>
      <c r="AX110">
        <v>14.042</v>
      </c>
      <c r="AY110">
        <v>13.06</v>
      </c>
      <c r="AZ110">
        <v>14.534000000000001</v>
      </c>
      <c r="BA110">
        <v>15.478999999999999</v>
      </c>
      <c r="BB110">
        <v>16.478999999999999</v>
      </c>
      <c r="BC110">
        <v>17.437999999999999</v>
      </c>
      <c r="BD110">
        <v>18.373000000000001</v>
      </c>
      <c r="BE110">
        <v>19.372</v>
      </c>
      <c r="BF110">
        <v>20.399999999999999</v>
      </c>
      <c r="BG110">
        <v>2021</v>
      </c>
      <c r="BH110">
        <v>14.534000000000001</v>
      </c>
      <c r="BI110">
        <v>2021</v>
      </c>
    </row>
    <row r="111" spans="1:61" hidden="1">
      <c r="A111">
        <v>867</v>
      </c>
      <c r="B111" t="s">
        <v>401</v>
      </c>
      <c r="C111" t="s">
        <v>1881</v>
      </c>
      <c r="D111" t="s">
        <v>186</v>
      </c>
      <c r="E111" t="str">
        <f>IF(ISNUMBER(VLOOKUP(B111,'OECD DAC'!B:C,2,FALSE)), "YES", " ")</f>
        <v xml:space="preserve"> </v>
      </c>
      <c r="F111" t="s">
        <v>1882</v>
      </c>
      <c r="G111" t="s">
        <v>1883</v>
      </c>
      <c r="H111" t="s">
        <v>1662</v>
      </c>
      <c r="I111" t="s">
        <v>883</v>
      </c>
      <c r="J111" t="s">
        <v>1993</v>
      </c>
      <c r="K111" t="s">
        <v>1664</v>
      </c>
      <c r="L111" t="s">
        <v>1664</v>
      </c>
      <c r="M111" t="s">
        <v>1664</v>
      </c>
      <c r="N111" t="s">
        <v>1664</v>
      </c>
      <c r="O111" t="s">
        <v>1664</v>
      </c>
      <c r="P111" t="s">
        <v>1664</v>
      </c>
      <c r="Q111" t="s">
        <v>1664</v>
      </c>
      <c r="R111" t="s">
        <v>1664</v>
      </c>
      <c r="S111" t="s">
        <v>1664</v>
      </c>
      <c r="T111" t="s">
        <v>1664</v>
      </c>
      <c r="U111" t="s">
        <v>1664</v>
      </c>
      <c r="V111" t="s">
        <v>1664</v>
      </c>
      <c r="W111" t="s">
        <v>1664</v>
      </c>
      <c r="X111" t="s">
        <v>1664</v>
      </c>
      <c r="Y111" t="s">
        <v>1664</v>
      </c>
      <c r="Z111" t="s">
        <v>1664</v>
      </c>
      <c r="AA111" t="s">
        <v>1664</v>
      </c>
      <c r="AB111">
        <v>0.111</v>
      </c>
      <c r="AC111">
        <v>0.114</v>
      </c>
      <c r="AD111">
        <v>0.115</v>
      </c>
      <c r="AE111">
        <v>0.115</v>
      </c>
      <c r="AF111">
        <v>0.122</v>
      </c>
      <c r="AG111">
        <v>0.13200000000000001</v>
      </c>
      <c r="AH111">
        <v>0.13100000000000001</v>
      </c>
      <c r="AI111">
        <v>0.13300000000000001</v>
      </c>
      <c r="AJ111">
        <v>0.13700000000000001</v>
      </c>
      <c r="AK111">
        <v>0.14199999999999999</v>
      </c>
      <c r="AL111">
        <v>0.14799999999999999</v>
      </c>
      <c r="AM111">
        <v>0.152</v>
      </c>
      <c r="AN111">
        <v>0.15</v>
      </c>
      <c r="AO111">
        <v>0.16</v>
      </c>
      <c r="AP111">
        <v>0.17199999999999999</v>
      </c>
      <c r="AQ111">
        <v>0.18099999999999999</v>
      </c>
      <c r="AR111">
        <v>0.185</v>
      </c>
      <c r="AS111">
        <v>0.182</v>
      </c>
      <c r="AT111">
        <v>0.184</v>
      </c>
      <c r="AU111">
        <v>0.20100000000000001</v>
      </c>
      <c r="AV111">
        <v>0.21199999999999999</v>
      </c>
      <c r="AW111">
        <v>0.222</v>
      </c>
      <c r="AX111">
        <v>0.23599999999999999</v>
      </c>
      <c r="AY111">
        <v>0.24399999999999999</v>
      </c>
      <c r="AZ111">
        <v>0.248</v>
      </c>
      <c r="BA111">
        <v>0.26700000000000002</v>
      </c>
      <c r="BB111">
        <v>0.28399999999999997</v>
      </c>
      <c r="BC111">
        <v>0.29799999999999999</v>
      </c>
      <c r="BD111">
        <v>0.311</v>
      </c>
      <c r="BE111">
        <v>0.32200000000000001</v>
      </c>
      <c r="BF111">
        <v>0.33400000000000002</v>
      </c>
      <c r="BG111">
        <v>2020</v>
      </c>
      <c r="BH111">
        <v>0.24399999999999999</v>
      </c>
      <c r="BI111">
        <v>2020</v>
      </c>
    </row>
    <row r="112" spans="1:61" hidden="1">
      <c r="A112">
        <v>682</v>
      </c>
      <c r="B112" t="s">
        <v>349</v>
      </c>
      <c r="C112" t="s">
        <v>1881</v>
      </c>
      <c r="D112" t="s">
        <v>135</v>
      </c>
      <c r="E112" t="str">
        <f>IF(ISNUMBER(VLOOKUP(B112,'OECD DAC'!B:C,2,FALSE)), "YES", " ")</f>
        <v xml:space="preserve"> </v>
      </c>
      <c r="F112" t="s">
        <v>1882</v>
      </c>
      <c r="G112" t="s">
        <v>1883</v>
      </c>
      <c r="H112" t="s">
        <v>1662</v>
      </c>
      <c r="I112" t="s">
        <v>883</v>
      </c>
      <c r="J112" t="s">
        <v>1994</v>
      </c>
      <c r="K112" t="s">
        <v>1664</v>
      </c>
      <c r="L112" t="s">
        <v>1664</v>
      </c>
      <c r="M112" t="s">
        <v>1664</v>
      </c>
      <c r="N112" t="s">
        <v>1664</v>
      </c>
      <c r="O112" t="s">
        <v>1664</v>
      </c>
      <c r="P112" t="s">
        <v>1664</v>
      </c>
      <c r="Q112" t="s">
        <v>1664</v>
      </c>
      <c r="R112" t="s">
        <v>1664</v>
      </c>
      <c r="S112" t="s">
        <v>1664</v>
      </c>
      <c r="T112" t="s">
        <v>1664</v>
      </c>
      <c r="U112">
        <v>14.457000000000001</v>
      </c>
      <c r="V112">
        <v>16.837</v>
      </c>
      <c r="W112">
        <v>18.835000000000001</v>
      </c>
      <c r="X112">
        <v>22.317</v>
      </c>
      <c r="Y112">
        <v>24.033999999999999</v>
      </c>
      <c r="Z112">
        <v>27.143999999999998</v>
      </c>
      <c r="AA112">
        <v>29.257000000000001</v>
      </c>
      <c r="AB112">
        <v>31.463999999999999</v>
      </c>
      <c r="AC112">
        <v>38.305</v>
      </c>
      <c r="AD112">
        <v>41.607999999999997</v>
      </c>
      <c r="AE112">
        <v>42.517000000000003</v>
      </c>
      <c r="AF112">
        <v>44.634</v>
      </c>
      <c r="AG112">
        <v>48.29</v>
      </c>
      <c r="AH112">
        <v>53.951000000000001</v>
      </c>
      <c r="AI112">
        <v>62.685000000000002</v>
      </c>
      <c r="AJ112">
        <v>77.980999999999995</v>
      </c>
      <c r="AK112">
        <v>105.28</v>
      </c>
      <c r="AL112">
        <v>112.387</v>
      </c>
      <c r="AM112">
        <v>124.01900000000001</v>
      </c>
      <c r="AN112">
        <v>123.69499999999999</v>
      </c>
      <c r="AO112">
        <v>155.297</v>
      </c>
      <c r="AP112">
        <v>190.166</v>
      </c>
      <c r="AQ112">
        <v>199.572</v>
      </c>
      <c r="AR112">
        <v>217.185</v>
      </c>
      <c r="AS112">
        <v>199.57300000000001</v>
      </c>
      <c r="AT112">
        <v>200.221</v>
      </c>
      <c r="AU112">
        <v>225.47300000000001</v>
      </c>
      <c r="AV112">
        <v>243.40700000000001</v>
      </c>
      <c r="AW112">
        <v>262.32</v>
      </c>
      <c r="AX112">
        <v>289.47800000000001</v>
      </c>
      <c r="AY112">
        <v>294.38900000000001</v>
      </c>
      <c r="AZ112">
        <v>332.74900000000002</v>
      </c>
      <c r="BA112">
        <v>334.74700000000001</v>
      </c>
      <c r="BB112">
        <v>351.39699999999999</v>
      </c>
      <c r="BC112">
        <v>402.99900000000002</v>
      </c>
      <c r="BD112">
        <v>437.61599999999999</v>
      </c>
      <c r="BE112">
        <v>465.27100000000002</v>
      </c>
      <c r="BF112">
        <v>533.22500000000002</v>
      </c>
      <c r="BG112">
        <v>2020</v>
      </c>
      <c r="BH112">
        <v>294.38900000000001</v>
      </c>
      <c r="BI112">
        <v>2020</v>
      </c>
    </row>
    <row r="113" spans="1:61" hidden="1">
      <c r="A113">
        <v>684</v>
      </c>
      <c r="B113" t="s">
        <v>436</v>
      </c>
      <c r="C113" t="s">
        <v>1881</v>
      </c>
      <c r="D113" t="s">
        <v>221</v>
      </c>
      <c r="E113" t="str">
        <f>IF(ISNUMBER(VLOOKUP(B113,'OECD DAC'!B:C,2,FALSE)), "YES", " ")</f>
        <v xml:space="preserve"> </v>
      </c>
      <c r="F113" t="s">
        <v>1882</v>
      </c>
      <c r="G113" t="s">
        <v>1883</v>
      </c>
      <c r="H113" t="s">
        <v>1662</v>
      </c>
      <c r="I113" t="s">
        <v>883</v>
      </c>
      <c r="J113" t="s">
        <v>1995</v>
      </c>
      <c r="K113">
        <v>9.4139999999999997</v>
      </c>
      <c r="L113">
        <v>10.397</v>
      </c>
      <c r="M113">
        <v>12.134</v>
      </c>
      <c r="N113">
        <v>13.834</v>
      </c>
      <c r="O113">
        <v>15.090999999999999</v>
      </c>
      <c r="P113">
        <v>17.100999999999999</v>
      </c>
      <c r="Q113">
        <v>20.064</v>
      </c>
      <c r="R113">
        <v>24.382999999999999</v>
      </c>
      <c r="S113">
        <v>29.503</v>
      </c>
      <c r="T113">
        <v>34.404000000000003</v>
      </c>
      <c r="U113">
        <v>40.222000000000001</v>
      </c>
      <c r="V113">
        <v>46.597999999999999</v>
      </c>
      <c r="W113">
        <v>52.174999999999997</v>
      </c>
      <c r="X113">
        <v>60.981000000000002</v>
      </c>
      <c r="Y113">
        <v>68.882000000000005</v>
      </c>
      <c r="Z113">
        <v>76.153000000000006</v>
      </c>
      <c r="AA113">
        <v>81.278999999999996</v>
      </c>
      <c r="AB113">
        <v>89.552999999999997</v>
      </c>
      <c r="AC113">
        <v>103.066</v>
      </c>
      <c r="AD113">
        <v>114.23099999999999</v>
      </c>
      <c r="AE113">
        <v>127.816</v>
      </c>
      <c r="AF113">
        <v>140.327</v>
      </c>
      <c r="AG113">
        <v>151.46100000000001</v>
      </c>
      <c r="AH113">
        <v>169.45699999999999</v>
      </c>
      <c r="AI113">
        <v>188.89699999999999</v>
      </c>
      <c r="AJ113">
        <v>199.846</v>
      </c>
      <c r="AK113">
        <v>222.87</v>
      </c>
      <c r="AL113">
        <v>255.21100000000001</v>
      </c>
      <c r="AM113">
        <v>284.25400000000002</v>
      </c>
      <c r="AN113">
        <v>291.75599999999997</v>
      </c>
      <c r="AO113">
        <v>307.95699999999999</v>
      </c>
      <c r="AP113">
        <v>330.64699999999999</v>
      </c>
      <c r="AQ113">
        <v>350.64400000000001</v>
      </c>
      <c r="AR113">
        <v>372.39699999999999</v>
      </c>
      <c r="AS113">
        <v>392.06200000000001</v>
      </c>
      <c r="AT113">
        <v>409.89299999999997</v>
      </c>
      <c r="AU113">
        <v>434.76499999999999</v>
      </c>
      <c r="AV113">
        <v>457.20100000000002</v>
      </c>
      <c r="AW113">
        <v>481.25599999999997</v>
      </c>
      <c r="AX113">
        <v>498.25400000000002</v>
      </c>
      <c r="AY113">
        <v>429.69400000000002</v>
      </c>
      <c r="AZ113">
        <v>461.86</v>
      </c>
      <c r="BA113">
        <v>498.25400000000002</v>
      </c>
      <c r="BB113">
        <v>556.41200000000003</v>
      </c>
      <c r="BC113">
        <v>603.97299999999996</v>
      </c>
      <c r="BD113">
        <v>643.97699999999998</v>
      </c>
      <c r="BE113">
        <v>683.07100000000003</v>
      </c>
      <c r="BF113">
        <v>720.49400000000003</v>
      </c>
      <c r="BG113">
        <v>2020</v>
      </c>
      <c r="BH113">
        <v>429.69400000000002</v>
      </c>
      <c r="BI113">
        <v>2020</v>
      </c>
    </row>
    <row r="114" spans="1:61" hidden="1">
      <c r="A114">
        <v>273</v>
      </c>
      <c r="B114" t="s">
        <v>430</v>
      </c>
      <c r="C114" t="s">
        <v>1881</v>
      </c>
      <c r="D114" t="s">
        <v>215</v>
      </c>
      <c r="E114" t="str">
        <f>IF(ISNUMBER(VLOOKUP(B114,'OECD DAC'!B:C,2,FALSE)), "YES", " ")</f>
        <v xml:space="preserve"> </v>
      </c>
      <c r="F114" t="s">
        <v>1882</v>
      </c>
      <c r="G114" t="s">
        <v>1883</v>
      </c>
      <c r="H114" t="s">
        <v>1662</v>
      </c>
      <c r="I114" t="s">
        <v>883</v>
      </c>
      <c r="J114" t="s">
        <v>1996</v>
      </c>
      <c r="K114">
        <v>5.2450000000000001</v>
      </c>
      <c r="L114">
        <v>7.1890000000000001</v>
      </c>
      <c r="M114">
        <v>11.574</v>
      </c>
      <c r="N114">
        <v>20.847000000000001</v>
      </c>
      <c r="O114">
        <v>34.369</v>
      </c>
      <c r="P114">
        <v>55.747</v>
      </c>
      <c r="Q114">
        <v>91.501999999999995</v>
      </c>
      <c r="R114">
        <v>226.02699999999999</v>
      </c>
      <c r="S114">
        <v>458.88</v>
      </c>
      <c r="T114">
        <v>605.78099999999995</v>
      </c>
      <c r="U114">
        <v>816.78399999999999</v>
      </c>
      <c r="V114">
        <v>1050.6500000000001</v>
      </c>
      <c r="W114">
        <v>1249.33</v>
      </c>
      <c r="X114">
        <v>1560.09</v>
      </c>
      <c r="Y114">
        <v>1781.42</v>
      </c>
      <c r="Z114">
        <v>2311.46</v>
      </c>
      <c r="AA114">
        <v>3123.17</v>
      </c>
      <c r="AB114">
        <v>3962.52</v>
      </c>
      <c r="AC114">
        <v>4810.12</v>
      </c>
      <c r="AD114">
        <v>5738.47</v>
      </c>
      <c r="AE114">
        <v>6693.68</v>
      </c>
      <c r="AF114">
        <v>7069.38</v>
      </c>
      <c r="AG114">
        <v>7455.46</v>
      </c>
      <c r="AH114">
        <v>7868.81</v>
      </c>
      <c r="AI114">
        <v>8828.3700000000008</v>
      </c>
      <c r="AJ114">
        <v>9562.65</v>
      </c>
      <c r="AK114">
        <v>10630.94</v>
      </c>
      <c r="AL114">
        <v>11504.08</v>
      </c>
      <c r="AM114">
        <v>12353.85</v>
      </c>
      <c r="AN114">
        <v>12162.76</v>
      </c>
      <c r="AO114">
        <v>13366.38</v>
      </c>
      <c r="AP114">
        <v>14665.58</v>
      </c>
      <c r="AQ114">
        <v>15817.76</v>
      </c>
      <c r="AR114">
        <v>16277.19</v>
      </c>
      <c r="AS114">
        <v>17484.310000000001</v>
      </c>
      <c r="AT114">
        <v>18572.11</v>
      </c>
      <c r="AU114">
        <v>20129.060000000001</v>
      </c>
      <c r="AV114">
        <v>21934.17</v>
      </c>
      <c r="AW114">
        <v>23524.39</v>
      </c>
      <c r="AX114">
        <v>24453.3</v>
      </c>
      <c r="AY114">
        <v>23357.38</v>
      </c>
      <c r="AZ114">
        <v>26249.29</v>
      </c>
      <c r="BA114">
        <v>28011.23</v>
      </c>
      <c r="BB114">
        <v>29734.03</v>
      </c>
      <c r="BC114">
        <v>31427.01</v>
      </c>
      <c r="BD114">
        <v>33169.440000000002</v>
      </c>
      <c r="BE114">
        <v>35006.11</v>
      </c>
      <c r="BF114">
        <v>36918.959999999999</v>
      </c>
      <c r="BG114">
        <v>2021</v>
      </c>
      <c r="BH114">
        <v>26249.29</v>
      </c>
      <c r="BI114">
        <v>2021</v>
      </c>
    </row>
    <row r="115" spans="1:61" hidden="1">
      <c r="A115">
        <v>868</v>
      </c>
      <c r="B115" t="s">
        <v>383</v>
      </c>
      <c r="C115" t="s">
        <v>1881</v>
      </c>
      <c r="D115" t="s">
        <v>1788</v>
      </c>
      <c r="E115" t="str">
        <f>IF(ISNUMBER(VLOOKUP(B115,'OECD DAC'!B:C,2,FALSE)), "YES", " ")</f>
        <v xml:space="preserve"> </v>
      </c>
      <c r="F115" t="s">
        <v>1882</v>
      </c>
      <c r="G115" t="s">
        <v>1883</v>
      </c>
      <c r="H115" t="s">
        <v>1662</v>
      </c>
      <c r="I115" t="s">
        <v>883</v>
      </c>
      <c r="J115" t="s">
        <v>1997</v>
      </c>
      <c r="K115" t="s">
        <v>1664</v>
      </c>
      <c r="L115" t="s">
        <v>1664</v>
      </c>
      <c r="M115" t="s">
        <v>1664</v>
      </c>
      <c r="N115" t="s">
        <v>1664</v>
      </c>
      <c r="O115" t="s">
        <v>1664</v>
      </c>
      <c r="P115" t="s">
        <v>1664</v>
      </c>
      <c r="Q115" t="s">
        <v>1664</v>
      </c>
      <c r="R115" t="s">
        <v>1664</v>
      </c>
      <c r="S115" t="s">
        <v>1664</v>
      </c>
      <c r="T115" t="s">
        <v>1664</v>
      </c>
      <c r="U115" t="s">
        <v>1664</v>
      </c>
      <c r="V115" t="s">
        <v>1664</v>
      </c>
      <c r="W115" t="s">
        <v>1664</v>
      </c>
      <c r="X115" t="s">
        <v>1664</v>
      </c>
      <c r="Y115" t="s">
        <v>1664</v>
      </c>
      <c r="Z115">
        <v>0.221</v>
      </c>
      <c r="AA115">
        <v>0.218</v>
      </c>
      <c r="AB115">
        <v>0.20699999999999999</v>
      </c>
      <c r="AC115">
        <v>0.219</v>
      </c>
      <c r="AD115">
        <v>0.22</v>
      </c>
      <c r="AE115">
        <v>0.23300000000000001</v>
      </c>
      <c r="AF115">
        <v>0.24099999999999999</v>
      </c>
      <c r="AG115">
        <v>0.24199999999999999</v>
      </c>
      <c r="AH115">
        <v>0.245</v>
      </c>
      <c r="AI115">
        <v>0.24</v>
      </c>
      <c r="AJ115">
        <v>0.25</v>
      </c>
      <c r="AK115">
        <v>0.253</v>
      </c>
      <c r="AL115">
        <v>0.25700000000000001</v>
      </c>
      <c r="AM115">
        <v>0.26300000000000001</v>
      </c>
      <c r="AN115">
        <v>0.28000000000000003</v>
      </c>
      <c r="AO115">
        <v>0.29699999999999999</v>
      </c>
      <c r="AP115">
        <v>0.311</v>
      </c>
      <c r="AQ115">
        <v>0.32700000000000001</v>
      </c>
      <c r="AR115">
        <v>0.317</v>
      </c>
      <c r="AS115">
        <v>0.31900000000000001</v>
      </c>
      <c r="AT115">
        <v>0.316</v>
      </c>
      <c r="AU115">
        <v>0.33200000000000002</v>
      </c>
      <c r="AV115">
        <v>0.36699999999999999</v>
      </c>
      <c r="AW115">
        <v>0.40200000000000002</v>
      </c>
      <c r="AX115">
        <v>0.41599999999999998</v>
      </c>
      <c r="AY115">
        <v>0.41199999999999998</v>
      </c>
      <c r="AZ115">
        <v>0.40699999999999997</v>
      </c>
      <c r="BA115">
        <v>0.42699999999999999</v>
      </c>
      <c r="BB115">
        <v>0.45200000000000001</v>
      </c>
      <c r="BC115">
        <v>0.47399999999999998</v>
      </c>
      <c r="BD115">
        <v>0.49099999999999999</v>
      </c>
      <c r="BE115">
        <v>0.50600000000000001</v>
      </c>
      <c r="BF115">
        <v>0.52</v>
      </c>
      <c r="BG115">
        <v>2018</v>
      </c>
      <c r="BH115">
        <v>0.40200000000000002</v>
      </c>
      <c r="BI115">
        <v>2018</v>
      </c>
    </row>
    <row r="116" spans="1:61" hidden="1">
      <c r="A116">
        <v>921</v>
      </c>
      <c r="B116" t="s">
        <v>404</v>
      </c>
      <c r="C116" t="s">
        <v>1881</v>
      </c>
      <c r="D116" t="s">
        <v>189</v>
      </c>
      <c r="E116" t="str">
        <f>IF(ISNUMBER(VLOOKUP(B116,'OECD DAC'!B:C,2,FALSE)), "YES", " ")</f>
        <v xml:space="preserve"> </v>
      </c>
      <c r="F116" t="s">
        <v>1882</v>
      </c>
      <c r="G116" t="s">
        <v>1883</v>
      </c>
      <c r="H116" t="s">
        <v>1662</v>
      </c>
      <c r="I116" t="s">
        <v>883</v>
      </c>
      <c r="J116" t="s">
        <v>1998</v>
      </c>
      <c r="K116" t="s">
        <v>1664</v>
      </c>
      <c r="L116" t="s">
        <v>1664</v>
      </c>
      <c r="M116" t="s">
        <v>1664</v>
      </c>
      <c r="N116" t="s">
        <v>1664</v>
      </c>
      <c r="O116" t="s">
        <v>1664</v>
      </c>
      <c r="P116" t="s">
        <v>1664</v>
      </c>
      <c r="Q116" t="s">
        <v>1664</v>
      </c>
      <c r="R116" t="s">
        <v>1664</v>
      </c>
      <c r="S116" t="s">
        <v>1664</v>
      </c>
      <c r="T116" t="s">
        <v>1664</v>
      </c>
      <c r="U116" t="s">
        <v>1664</v>
      </c>
      <c r="V116" t="s">
        <v>1664</v>
      </c>
      <c r="W116">
        <v>0.192</v>
      </c>
      <c r="X116">
        <v>1.821</v>
      </c>
      <c r="Y116">
        <v>4.7370000000000001</v>
      </c>
      <c r="Z116">
        <v>6.48</v>
      </c>
      <c r="AA116">
        <v>7.798</v>
      </c>
      <c r="AB116">
        <v>8.9169999999999998</v>
      </c>
      <c r="AC116">
        <v>9.1219999999999999</v>
      </c>
      <c r="AD116">
        <v>12.321999999999999</v>
      </c>
      <c r="AE116">
        <v>16.344999999999999</v>
      </c>
      <c r="AF116">
        <v>19.052</v>
      </c>
      <c r="AG116">
        <v>22.556000000000001</v>
      </c>
      <c r="AH116">
        <v>27.619</v>
      </c>
      <c r="AI116">
        <v>32.031999999999996</v>
      </c>
      <c r="AJ116">
        <v>37.652000000000001</v>
      </c>
      <c r="AK116">
        <v>44.753999999999998</v>
      </c>
      <c r="AL116">
        <v>53.43</v>
      </c>
      <c r="AM116">
        <v>62.921999999999997</v>
      </c>
      <c r="AN116">
        <v>60.43</v>
      </c>
      <c r="AO116">
        <v>86.275000000000006</v>
      </c>
      <c r="AP116">
        <v>98.772999999999996</v>
      </c>
      <c r="AQ116">
        <v>105.48</v>
      </c>
      <c r="AR116">
        <v>119.533</v>
      </c>
      <c r="AS116">
        <v>133.482</v>
      </c>
      <c r="AT116">
        <v>145.75399999999999</v>
      </c>
      <c r="AU116">
        <v>160.815</v>
      </c>
      <c r="AV116">
        <v>178.881</v>
      </c>
      <c r="AW116">
        <v>192.50899999999999</v>
      </c>
      <c r="AX116">
        <v>210.37799999999999</v>
      </c>
      <c r="AY116">
        <v>199.73400000000001</v>
      </c>
      <c r="AZ116">
        <v>241.87100000000001</v>
      </c>
      <c r="BA116">
        <v>273.46499999999997</v>
      </c>
      <c r="BB116">
        <v>295.67</v>
      </c>
      <c r="BC116">
        <v>329.97</v>
      </c>
      <c r="BD116">
        <v>366.88</v>
      </c>
      <c r="BE116">
        <v>406.435</v>
      </c>
      <c r="BF116">
        <v>450.22800000000001</v>
      </c>
      <c r="BG116">
        <v>2021</v>
      </c>
      <c r="BH116">
        <v>241.87100000000001</v>
      </c>
      <c r="BI116">
        <v>2021</v>
      </c>
    </row>
    <row r="117" spans="1:61" hidden="1">
      <c r="A117">
        <v>948</v>
      </c>
      <c r="B117" t="s">
        <v>380</v>
      </c>
      <c r="C117" t="s">
        <v>1881</v>
      </c>
      <c r="D117" t="s">
        <v>166</v>
      </c>
      <c r="E117" t="str">
        <f>IF(ISNUMBER(VLOOKUP(B117,'OECD DAC'!B:C,2,FALSE)), "YES", " ")</f>
        <v xml:space="preserve"> </v>
      </c>
      <c r="F117" t="s">
        <v>1882</v>
      </c>
      <c r="G117" t="s">
        <v>1883</v>
      </c>
      <c r="H117" t="s">
        <v>1662</v>
      </c>
      <c r="I117" t="s">
        <v>883</v>
      </c>
      <c r="J117" t="s">
        <v>1999</v>
      </c>
      <c r="K117">
        <v>8.0739999999999998</v>
      </c>
      <c r="L117">
        <v>8.875</v>
      </c>
      <c r="M117">
        <v>9.8070000000000004</v>
      </c>
      <c r="N117">
        <v>10.473000000000001</v>
      </c>
      <c r="O117">
        <v>10.752000000000001</v>
      </c>
      <c r="P117">
        <v>11.201000000000001</v>
      </c>
      <c r="Q117">
        <v>11.127000000000001</v>
      </c>
      <c r="R117">
        <v>11.605</v>
      </c>
      <c r="S117">
        <v>12.311999999999999</v>
      </c>
      <c r="T117">
        <v>12.826000000000001</v>
      </c>
      <c r="U117">
        <v>12.507999999999999</v>
      </c>
      <c r="V117">
        <v>22.600999999999999</v>
      </c>
      <c r="W117">
        <v>56.13</v>
      </c>
      <c r="X117">
        <v>227.67699999999999</v>
      </c>
      <c r="Y117">
        <v>382.10300000000001</v>
      </c>
      <c r="Z117">
        <v>651.45600000000002</v>
      </c>
      <c r="AA117">
        <v>737.99699999999996</v>
      </c>
      <c r="AB117">
        <v>932.92600000000004</v>
      </c>
      <c r="AC117">
        <v>945.46100000000001</v>
      </c>
      <c r="AD117">
        <v>1080.53</v>
      </c>
      <c r="AE117">
        <v>1224.06</v>
      </c>
      <c r="AF117">
        <v>1391.88</v>
      </c>
      <c r="AG117">
        <v>1550.61</v>
      </c>
      <c r="AH117">
        <v>1829.07</v>
      </c>
      <c r="AI117">
        <v>2361.16</v>
      </c>
      <c r="AJ117">
        <v>3041.41</v>
      </c>
      <c r="AK117">
        <v>4027.56</v>
      </c>
      <c r="AL117">
        <v>4956.6499999999996</v>
      </c>
      <c r="AM117">
        <v>6555.57</v>
      </c>
      <c r="AN117">
        <v>6590.64</v>
      </c>
      <c r="AO117">
        <v>9756.59</v>
      </c>
      <c r="AP117">
        <v>13173.76</v>
      </c>
      <c r="AQ117">
        <v>16688.419999999998</v>
      </c>
      <c r="AR117">
        <v>19174.240000000002</v>
      </c>
      <c r="AS117">
        <v>22227.05</v>
      </c>
      <c r="AT117">
        <v>22894.78</v>
      </c>
      <c r="AU117">
        <v>23931.34</v>
      </c>
      <c r="AV117">
        <v>28010.71</v>
      </c>
      <c r="AW117">
        <v>32582.63</v>
      </c>
      <c r="AX117">
        <v>37839.230000000003</v>
      </c>
      <c r="AY117">
        <v>37453.279999999999</v>
      </c>
      <c r="AZ117">
        <v>43018.62</v>
      </c>
      <c r="BA117">
        <v>52893.54</v>
      </c>
      <c r="BB117">
        <v>64730.17</v>
      </c>
      <c r="BC117">
        <v>76159.75</v>
      </c>
      <c r="BD117">
        <v>88186.89</v>
      </c>
      <c r="BE117">
        <v>100018.11</v>
      </c>
      <c r="BF117">
        <v>111796.65</v>
      </c>
      <c r="BG117">
        <v>2021</v>
      </c>
      <c r="BH117">
        <v>43018.62</v>
      </c>
      <c r="BI117">
        <v>2021</v>
      </c>
    </row>
    <row r="118" spans="1:61" hidden="1">
      <c r="A118">
        <v>943</v>
      </c>
      <c r="B118" t="s">
        <v>428</v>
      </c>
      <c r="C118" t="s">
        <v>1881</v>
      </c>
      <c r="D118" t="s">
        <v>213</v>
      </c>
      <c r="E118" t="str">
        <f>IF(ISNUMBER(VLOOKUP(B118,'OECD DAC'!B:C,2,FALSE)), "YES", " ")</f>
        <v xml:space="preserve"> </v>
      </c>
      <c r="F118" t="s">
        <v>1882</v>
      </c>
      <c r="G118" t="s">
        <v>1883</v>
      </c>
      <c r="H118" t="s">
        <v>1662</v>
      </c>
      <c r="I118" t="s">
        <v>883</v>
      </c>
      <c r="J118" t="s">
        <v>2000</v>
      </c>
      <c r="K118" t="s">
        <v>1664</v>
      </c>
      <c r="L118" t="s">
        <v>1664</v>
      </c>
      <c r="M118" t="s">
        <v>1664</v>
      </c>
      <c r="N118" t="s">
        <v>1664</v>
      </c>
      <c r="O118" t="s">
        <v>1664</v>
      </c>
      <c r="P118" t="s">
        <v>1664</v>
      </c>
      <c r="Q118" t="s">
        <v>1664</v>
      </c>
      <c r="R118" t="s">
        <v>1664</v>
      </c>
      <c r="S118" t="s">
        <v>1664</v>
      </c>
      <c r="T118" t="s">
        <v>1664</v>
      </c>
      <c r="U118" t="s">
        <v>1664</v>
      </c>
      <c r="V118" t="s">
        <v>1664</v>
      </c>
      <c r="W118" t="s">
        <v>1664</v>
      </c>
      <c r="X118" t="s">
        <v>1664</v>
      </c>
      <c r="Y118" t="s">
        <v>1664</v>
      </c>
      <c r="Z118" t="s">
        <v>1664</v>
      </c>
      <c r="AA118" t="s">
        <v>1664</v>
      </c>
      <c r="AB118" t="s">
        <v>1664</v>
      </c>
      <c r="AC118" t="s">
        <v>1664</v>
      </c>
      <c r="AD118" t="s">
        <v>1664</v>
      </c>
      <c r="AE118">
        <v>1.0449999999999999</v>
      </c>
      <c r="AF118">
        <v>1.284</v>
      </c>
      <c r="AG118">
        <v>1.343</v>
      </c>
      <c r="AH118">
        <v>1.4870000000000001</v>
      </c>
      <c r="AI118">
        <v>1.667</v>
      </c>
      <c r="AJ118">
        <v>1.8160000000000001</v>
      </c>
      <c r="AK118">
        <v>2.17</v>
      </c>
      <c r="AL118">
        <v>2.6890000000000001</v>
      </c>
      <c r="AM118">
        <v>3.1030000000000002</v>
      </c>
      <c r="AN118">
        <v>2.9940000000000002</v>
      </c>
      <c r="AO118">
        <v>3.125</v>
      </c>
      <c r="AP118">
        <v>3.2650000000000001</v>
      </c>
      <c r="AQ118">
        <v>3.181</v>
      </c>
      <c r="AR118">
        <v>3.3620000000000001</v>
      </c>
      <c r="AS118">
        <v>3.4580000000000002</v>
      </c>
      <c r="AT118">
        <v>3.6549999999999998</v>
      </c>
      <c r="AU118">
        <v>3.9540000000000002</v>
      </c>
      <c r="AV118">
        <v>4.2990000000000004</v>
      </c>
      <c r="AW118">
        <v>4.6630000000000003</v>
      </c>
      <c r="AX118">
        <v>4.9509999999999996</v>
      </c>
      <c r="AY118">
        <v>4.1859999999999999</v>
      </c>
      <c r="AZ118">
        <v>4.9119999999999999</v>
      </c>
      <c r="BA118">
        <v>5.4</v>
      </c>
      <c r="BB118">
        <v>5.9089999999999998</v>
      </c>
      <c r="BC118">
        <v>6.2409999999999997</v>
      </c>
      <c r="BD118">
        <v>6.5469999999999997</v>
      </c>
      <c r="BE118">
        <v>6.8780000000000001</v>
      </c>
      <c r="BF118">
        <v>7.2270000000000003</v>
      </c>
      <c r="BG118">
        <v>2020</v>
      </c>
      <c r="BH118">
        <v>4.1859999999999999</v>
      </c>
      <c r="BI118">
        <v>2020</v>
      </c>
    </row>
    <row r="119" spans="1:61" hidden="1">
      <c r="A119">
        <v>686</v>
      </c>
      <c r="B119" t="s">
        <v>370</v>
      </c>
      <c r="C119" t="s">
        <v>1881</v>
      </c>
      <c r="D119" t="s">
        <v>156</v>
      </c>
      <c r="E119" t="str">
        <f>IF(ISNUMBER(VLOOKUP(B119,'OECD DAC'!B:C,2,FALSE)), "YES", " ")</f>
        <v xml:space="preserve"> </v>
      </c>
      <c r="F119" t="s">
        <v>1882</v>
      </c>
      <c r="G119" t="s">
        <v>1883</v>
      </c>
      <c r="H119" t="s">
        <v>1662</v>
      </c>
      <c r="I119" t="s">
        <v>883</v>
      </c>
      <c r="J119" t="s">
        <v>2001</v>
      </c>
      <c r="K119">
        <v>86.6</v>
      </c>
      <c r="L119">
        <v>92.379000000000005</v>
      </c>
      <c r="M119">
        <v>108.583</v>
      </c>
      <c r="N119">
        <v>115.883</v>
      </c>
      <c r="O119">
        <v>131.31399999999999</v>
      </c>
      <c r="P119">
        <v>151.374</v>
      </c>
      <c r="Q119">
        <v>180.851</v>
      </c>
      <c r="R119">
        <v>183.161</v>
      </c>
      <c r="S119">
        <v>212.999</v>
      </c>
      <c r="T119">
        <v>226.67699999999999</v>
      </c>
      <c r="U119">
        <v>248.75399999999999</v>
      </c>
      <c r="V119">
        <v>281.096</v>
      </c>
      <c r="W119">
        <v>287.82499999999999</v>
      </c>
      <c r="X119">
        <v>294.36399999999998</v>
      </c>
      <c r="Y119">
        <v>327.66500000000002</v>
      </c>
      <c r="Z119">
        <v>333.31900000000002</v>
      </c>
      <c r="AA119">
        <v>376.19099999999997</v>
      </c>
      <c r="AB119">
        <v>372.96199999999999</v>
      </c>
      <c r="AC119">
        <v>401.524</v>
      </c>
      <c r="AD119">
        <v>408.17700000000002</v>
      </c>
      <c r="AE119">
        <v>412.89699999999999</v>
      </c>
      <c r="AF119">
        <v>446.012</v>
      </c>
      <c r="AG119">
        <v>465.49200000000002</v>
      </c>
      <c r="AH119">
        <v>498.48200000000003</v>
      </c>
      <c r="AI119">
        <v>528.76400000000001</v>
      </c>
      <c r="AJ119">
        <v>552.67100000000005</v>
      </c>
      <c r="AK119">
        <v>603.73699999999997</v>
      </c>
      <c r="AL119">
        <v>647.53200000000004</v>
      </c>
      <c r="AM119">
        <v>716.95899999999995</v>
      </c>
      <c r="AN119">
        <v>748.48299999999995</v>
      </c>
      <c r="AO119">
        <v>784.62400000000002</v>
      </c>
      <c r="AP119">
        <v>820.077</v>
      </c>
      <c r="AQ119">
        <v>847.88099999999997</v>
      </c>
      <c r="AR119">
        <v>897.923</v>
      </c>
      <c r="AS119">
        <v>925.37599999999998</v>
      </c>
      <c r="AT119">
        <v>987.95</v>
      </c>
      <c r="AU119">
        <v>1013.23</v>
      </c>
      <c r="AV119">
        <v>1063.05</v>
      </c>
      <c r="AW119">
        <v>1108.46</v>
      </c>
      <c r="AX119">
        <v>1152.81</v>
      </c>
      <c r="AY119">
        <v>1089.52</v>
      </c>
      <c r="AZ119">
        <v>1181.67</v>
      </c>
      <c r="BA119">
        <v>1239.96</v>
      </c>
      <c r="BB119">
        <v>1320.99</v>
      </c>
      <c r="BC119">
        <v>1379</v>
      </c>
      <c r="BD119">
        <v>1446</v>
      </c>
      <c r="BE119">
        <v>1519.85</v>
      </c>
      <c r="BF119">
        <v>1598.24</v>
      </c>
      <c r="BG119">
        <v>2020</v>
      </c>
      <c r="BH119">
        <v>1089.52</v>
      </c>
      <c r="BI119">
        <v>2020</v>
      </c>
    </row>
    <row r="120" spans="1:61" hidden="1">
      <c r="A120">
        <v>688</v>
      </c>
      <c r="B120" t="s">
        <v>308</v>
      </c>
      <c r="C120" t="s">
        <v>1881</v>
      </c>
      <c r="D120" t="s">
        <v>95</v>
      </c>
      <c r="E120" t="str">
        <f>IF(ISNUMBER(VLOOKUP(B120,'OECD DAC'!B:C,2,FALSE)), "YES", " ")</f>
        <v xml:space="preserve"> </v>
      </c>
      <c r="F120" t="s">
        <v>1882</v>
      </c>
      <c r="G120" t="s">
        <v>1883</v>
      </c>
      <c r="H120" t="s">
        <v>1662</v>
      </c>
      <c r="I120" t="s">
        <v>883</v>
      </c>
      <c r="J120" t="s">
        <v>2002</v>
      </c>
      <c r="K120">
        <v>0.161</v>
      </c>
      <c r="L120">
        <v>0.126</v>
      </c>
      <c r="M120">
        <v>0.13800000000000001</v>
      </c>
      <c r="N120">
        <v>0.13200000000000001</v>
      </c>
      <c r="O120">
        <v>0.14499999999999999</v>
      </c>
      <c r="P120">
        <v>0.19500000000000001</v>
      </c>
      <c r="Q120">
        <v>0.215</v>
      </c>
      <c r="R120">
        <v>0.69299999999999995</v>
      </c>
      <c r="S120">
        <v>1.1120000000000001</v>
      </c>
      <c r="T120">
        <v>1.746</v>
      </c>
      <c r="U120">
        <v>3.29</v>
      </c>
      <c r="V120">
        <v>5.2119999999999997</v>
      </c>
      <c r="W120">
        <v>6.6440000000000001</v>
      </c>
      <c r="X120">
        <v>10.574999999999999</v>
      </c>
      <c r="Y120">
        <v>16.887</v>
      </c>
      <c r="Z120">
        <v>26.17</v>
      </c>
      <c r="AA120">
        <v>43.558</v>
      </c>
      <c r="AB120">
        <v>53.664000000000001</v>
      </c>
      <c r="AC120">
        <v>62.506</v>
      </c>
      <c r="AD120">
        <v>76.349000000000004</v>
      </c>
      <c r="AE120">
        <v>86.132000000000005</v>
      </c>
      <c r="AF120">
        <v>111.77</v>
      </c>
      <c r="AG120">
        <v>134.41999999999999</v>
      </c>
      <c r="AH120">
        <v>149.90899999999999</v>
      </c>
      <c r="AI120">
        <v>172.321</v>
      </c>
      <c r="AJ120">
        <v>196.989</v>
      </c>
      <c r="AK120">
        <v>233.1</v>
      </c>
      <c r="AL120">
        <v>270.053</v>
      </c>
      <c r="AM120">
        <v>305.12299999999999</v>
      </c>
      <c r="AN120">
        <v>327.86599999999999</v>
      </c>
      <c r="AO120">
        <v>377.11500000000001</v>
      </c>
      <c r="AP120">
        <v>418.03699999999998</v>
      </c>
      <c r="AQ120">
        <v>463.92099999999999</v>
      </c>
      <c r="AR120">
        <v>510.99700000000001</v>
      </c>
      <c r="AS120">
        <v>555.447</v>
      </c>
      <c r="AT120">
        <v>637.76</v>
      </c>
      <c r="AU120">
        <v>752.702</v>
      </c>
      <c r="AV120">
        <v>840.52599999999995</v>
      </c>
      <c r="AW120">
        <v>895.56700000000001</v>
      </c>
      <c r="AX120">
        <v>962.62099999999998</v>
      </c>
      <c r="AY120">
        <v>974.51099999999997</v>
      </c>
      <c r="AZ120">
        <v>1054.25</v>
      </c>
      <c r="BA120">
        <v>1173.2</v>
      </c>
      <c r="BB120">
        <v>1317.57</v>
      </c>
      <c r="BC120">
        <v>1522.67</v>
      </c>
      <c r="BD120">
        <v>1700.75</v>
      </c>
      <c r="BE120">
        <v>2049.83</v>
      </c>
      <c r="BF120">
        <v>2446.4699999999998</v>
      </c>
      <c r="BG120">
        <v>2020</v>
      </c>
      <c r="BH120">
        <v>974.51099999999997</v>
      </c>
      <c r="BI120">
        <v>2020</v>
      </c>
    </row>
    <row r="121" spans="1:61" hidden="1">
      <c r="A121">
        <v>518</v>
      </c>
      <c r="B121" t="s">
        <v>333</v>
      </c>
      <c r="C121" t="s">
        <v>1881</v>
      </c>
      <c r="D121" t="s">
        <v>120</v>
      </c>
      <c r="E121" t="str">
        <f>IF(ISNUMBER(VLOOKUP(B121,'OECD DAC'!B:C,2,FALSE)), "YES", " ")</f>
        <v xml:space="preserve"> </v>
      </c>
      <c r="F121" t="s">
        <v>1882</v>
      </c>
      <c r="G121" t="s">
        <v>1883</v>
      </c>
      <c r="H121" t="s">
        <v>1662</v>
      </c>
      <c r="I121" t="s">
        <v>883</v>
      </c>
      <c r="J121" t="s">
        <v>2003</v>
      </c>
      <c r="K121" t="s">
        <v>1664</v>
      </c>
      <c r="L121" t="s">
        <v>1664</v>
      </c>
      <c r="M121" t="s">
        <v>1664</v>
      </c>
      <c r="N121" t="s">
        <v>1664</v>
      </c>
      <c r="O121" t="s">
        <v>1664</v>
      </c>
      <c r="P121" t="s">
        <v>1664</v>
      </c>
      <c r="Q121" t="s">
        <v>1664</v>
      </c>
      <c r="R121" t="s">
        <v>1664</v>
      </c>
      <c r="S121" t="s">
        <v>1664</v>
      </c>
      <c r="T121" t="s">
        <v>1664</v>
      </c>
      <c r="U121" t="s">
        <v>1664</v>
      </c>
      <c r="V121" t="s">
        <v>1664</v>
      </c>
      <c r="W121" t="s">
        <v>1664</v>
      </c>
      <c r="X121" t="s">
        <v>1664</v>
      </c>
      <c r="Y121" t="s">
        <v>1664</v>
      </c>
      <c r="Z121" t="s">
        <v>1664</v>
      </c>
      <c r="AA121" t="s">
        <v>1664</v>
      </c>
      <c r="AB121" t="s">
        <v>1664</v>
      </c>
      <c r="AC121">
        <v>1562.78</v>
      </c>
      <c r="AD121">
        <v>2175.92</v>
      </c>
      <c r="AE121">
        <v>2715.86</v>
      </c>
      <c r="AF121">
        <v>3493.53</v>
      </c>
      <c r="AG121">
        <v>5252.85</v>
      </c>
      <c r="AH121">
        <v>7639.51</v>
      </c>
      <c r="AI121">
        <v>9617.07</v>
      </c>
      <c r="AJ121">
        <v>12233.92</v>
      </c>
      <c r="AK121">
        <v>16685.189999999999</v>
      </c>
      <c r="AL121">
        <v>23012.01</v>
      </c>
      <c r="AM121">
        <v>29090.66</v>
      </c>
      <c r="AN121">
        <v>33073.78</v>
      </c>
      <c r="AO121">
        <v>37116.33</v>
      </c>
      <c r="AP121">
        <v>42881.38</v>
      </c>
      <c r="AQ121">
        <v>49353.31</v>
      </c>
      <c r="AR121">
        <v>55248.77</v>
      </c>
      <c r="AS121">
        <v>61636.86</v>
      </c>
      <c r="AT121">
        <v>68988.06</v>
      </c>
      <c r="AU121">
        <v>74215.75</v>
      </c>
      <c r="AV121">
        <v>82700.02</v>
      </c>
      <c r="AW121">
        <v>92788.96</v>
      </c>
      <c r="AX121">
        <v>105258.5</v>
      </c>
      <c r="AY121">
        <v>115105.76</v>
      </c>
      <c r="AZ121">
        <v>98654.17</v>
      </c>
      <c r="BA121">
        <v>115046.22</v>
      </c>
      <c r="BB121">
        <v>128639.76</v>
      </c>
      <c r="BC121">
        <v>143468.44</v>
      </c>
      <c r="BD121">
        <v>159825.04999999999</v>
      </c>
      <c r="BE121">
        <v>178129.04</v>
      </c>
      <c r="BF121">
        <v>198953.91</v>
      </c>
      <c r="BG121">
        <v>2020</v>
      </c>
      <c r="BH121">
        <v>115105.76</v>
      </c>
      <c r="BI121">
        <v>2020</v>
      </c>
    </row>
    <row r="122" spans="1:61" hidden="1">
      <c r="A122">
        <v>728</v>
      </c>
      <c r="B122" t="s">
        <v>392</v>
      </c>
      <c r="C122" t="s">
        <v>1881</v>
      </c>
      <c r="D122" t="s">
        <v>177</v>
      </c>
      <c r="E122" t="str">
        <f>IF(ISNUMBER(VLOOKUP(B122,'OECD DAC'!B:C,2,FALSE)), "YES", " ")</f>
        <v xml:space="preserve"> </v>
      </c>
      <c r="F122" t="s">
        <v>1882</v>
      </c>
      <c r="G122" t="s">
        <v>1883</v>
      </c>
      <c r="H122" t="s">
        <v>1662</v>
      </c>
      <c r="I122" t="s">
        <v>883</v>
      </c>
      <c r="J122" t="s">
        <v>2004</v>
      </c>
      <c r="K122" t="s">
        <v>1664</v>
      </c>
      <c r="L122" t="s">
        <v>1664</v>
      </c>
      <c r="M122" t="s">
        <v>1664</v>
      </c>
      <c r="N122" t="s">
        <v>1664</v>
      </c>
      <c r="O122" t="s">
        <v>1664</v>
      </c>
      <c r="P122" t="s">
        <v>1664</v>
      </c>
      <c r="Q122" t="s">
        <v>1664</v>
      </c>
      <c r="R122" t="s">
        <v>1664</v>
      </c>
      <c r="S122" t="s">
        <v>1664</v>
      </c>
      <c r="T122" t="s">
        <v>1664</v>
      </c>
      <c r="U122">
        <v>7.3440000000000003</v>
      </c>
      <c r="V122">
        <v>7.88</v>
      </c>
      <c r="W122">
        <v>8.5939999999999994</v>
      </c>
      <c r="X122">
        <v>9.4450000000000003</v>
      </c>
      <c r="Y122">
        <v>11.548999999999999</v>
      </c>
      <c r="Z122">
        <v>12.706</v>
      </c>
      <c r="AA122">
        <v>15.010999999999999</v>
      </c>
      <c r="AB122">
        <v>16.75</v>
      </c>
      <c r="AC122">
        <v>17.786999999999999</v>
      </c>
      <c r="AD122">
        <v>20.684000000000001</v>
      </c>
      <c r="AE122">
        <v>27.126000000000001</v>
      </c>
      <c r="AF122">
        <v>30.538</v>
      </c>
      <c r="AG122">
        <v>35.43</v>
      </c>
      <c r="AH122">
        <v>37.305999999999997</v>
      </c>
      <c r="AI122">
        <v>42.679000000000002</v>
      </c>
      <c r="AJ122">
        <v>46.176000000000002</v>
      </c>
      <c r="AK122">
        <v>54.026000000000003</v>
      </c>
      <c r="AL122">
        <v>61.582999999999998</v>
      </c>
      <c r="AM122">
        <v>70.111000000000004</v>
      </c>
      <c r="AN122">
        <v>75.213999999999999</v>
      </c>
      <c r="AO122">
        <v>82.599000000000004</v>
      </c>
      <c r="AP122">
        <v>90.108000000000004</v>
      </c>
      <c r="AQ122">
        <v>106.864</v>
      </c>
      <c r="AR122">
        <v>117.423</v>
      </c>
      <c r="AS122">
        <v>134.83600000000001</v>
      </c>
      <c r="AT122">
        <v>146.01900000000001</v>
      </c>
      <c r="AU122">
        <v>157.708</v>
      </c>
      <c r="AV122">
        <v>171.57</v>
      </c>
      <c r="AW122">
        <v>181.06700000000001</v>
      </c>
      <c r="AX122">
        <v>180.559</v>
      </c>
      <c r="AY122">
        <v>174.827</v>
      </c>
      <c r="AZ122">
        <v>182.5</v>
      </c>
      <c r="BA122">
        <v>199.52500000000001</v>
      </c>
      <c r="BB122">
        <v>217.857</v>
      </c>
      <c r="BC122">
        <v>234.02099999999999</v>
      </c>
      <c r="BD122">
        <v>249.988</v>
      </c>
      <c r="BE122">
        <v>267.32299999999998</v>
      </c>
      <c r="BF122">
        <v>286.99400000000003</v>
      </c>
      <c r="BG122">
        <v>2020</v>
      </c>
      <c r="BH122">
        <v>174.827</v>
      </c>
      <c r="BI122">
        <v>2020</v>
      </c>
    </row>
    <row r="123" spans="1:61" hidden="1">
      <c r="A123">
        <v>836</v>
      </c>
      <c r="B123" t="s">
        <v>545</v>
      </c>
      <c r="C123" t="s">
        <v>1881</v>
      </c>
      <c r="D123" t="s">
        <v>241</v>
      </c>
      <c r="E123" t="str">
        <f>IF(ISNUMBER(VLOOKUP(B123,'OECD DAC'!B:C,2,FALSE)), "YES", " ")</f>
        <v xml:space="preserve"> </v>
      </c>
      <c r="F123" t="s">
        <v>1882</v>
      </c>
      <c r="G123" t="s">
        <v>1883</v>
      </c>
      <c r="H123" t="s">
        <v>1662</v>
      </c>
      <c r="I123" t="s">
        <v>883</v>
      </c>
      <c r="J123" t="s">
        <v>2005</v>
      </c>
      <c r="K123" t="s">
        <v>1664</v>
      </c>
      <c r="L123" t="s">
        <v>1664</v>
      </c>
      <c r="M123" t="s">
        <v>1664</v>
      </c>
      <c r="N123" t="s">
        <v>1664</v>
      </c>
      <c r="O123" t="s">
        <v>1664</v>
      </c>
      <c r="P123" t="s">
        <v>1664</v>
      </c>
      <c r="Q123" t="s">
        <v>1664</v>
      </c>
      <c r="R123" t="s">
        <v>1664</v>
      </c>
      <c r="S123" t="s">
        <v>1664</v>
      </c>
      <c r="T123" t="s">
        <v>1664</v>
      </c>
      <c r="U123" t="s">
        <v>1664</v>
      </c>
      <c r="V123" t="s">
        <v>1664</v>
      </c>
      <c r="W123" t="s">
        <v>1664</v>
      </c>
      <c r="X123" t="s">
        <v>1664</v>
      </c>
      <c r="Y123" t="s">
        <v>1664</v>
      </c>
      <c r="Z123" t="s">
        <v>1664</v>
      </c>
      <c r="AA123" t="s">
        <v>1664</v>
      </c>
      <c r="AB123" t="s">
        <v>1664</v>
      </c>
      <c r="AC123" t="s">
        <v>1664</v>
      </c>
      <c r="AD123" t="s">
        <v>1664</v>
      </c>
      <c r="AE123" t="s">
        <v>1664</v>
      </c>
      <c r="AF123" t="s">
        <v>1664</v>
      </c>
      <c r="AG123" t="s">
        <v>1664</v>
      </c>
      <c r="AH123" t="s">
        <v>1664</v>
      </c>
      <c r="AI123">
        <v>4.4999999999999998E-2</v>
      </c>
      <c r="AJ123">
        <v>4.2000000000000003E-2</v>
      </c>
      <c r="AK123">
        <v>3.9E-2</v>
      </c>
      <c r="AL123">
        <v>2.9000000000000001E-2</v>
      </c>
      <c r="AM123">
        <v>4.2000000000000003E-2</v>
      </c>
      <c r="AN123">
        <v>0.06</v>
      </c>
      <c r="AO123">
        <v>5.3999999999999999E-2</v>
      </c>
      <c r="AP123">
        <v>6.7000000000000004E-2</v>
      </c>
      <c r="AQ123">
        <v>9.4E-2</v>
      </c>
      <c r="AR123">
        <v>9.6000000000000002E-2</v>
      </c>
      <c r="AS123">
        <v>0.114</v>
      </c>
      <c r="AT123">
        <v>0.104</v>
      </c>
      <c r="AU123">
        <v>0.13700000000000001</v>
      </c>
      <c r="AV123">
        <v>0.14499999999999999</v>
      </c>
      <c r="AW123">
        <v>0.16</v>
      </c>
      <c r="AX123">
        <v>0.16600000000000001</v>
      </c>
      <c r="AY123">
        <v>0.17100000000000001</v>
      </c>
      <c r="AZ123">
        <v>0.17899999999999999</v>
      </c>
      <c r="BA123">
        <v>0.185</v>
      </c>
      <c r="BB123">
        <v>0.19</v>
      </c>
      <c r="BC123">
        <v>0.19400000000000001</v>
      </c>
      <c r="BD123">
        <v>0.19700000000000001</v>
      </c>
      <c r="BE123">
        <v>0.20100000000000001</v>
      </c>
      <c r="BF123">
        <v>0.20399999999999999</v>
      </c>
      <c r="BG123">
        <v>2019</v>
      </c>
      <c r="BH123">
        <v>0.16600000000000001</v>
      </c>
      <c r="BI123">
        <v>2019</v>
      </c>
    </row>
    <row r="124" spans="1:61" hidden="1">
      <c r="A124">
        <v>558</v>
      </c>
      <c r="B124" t="s">
        <v>338</v>
      </c>
      <c r="C124" t="s">
        <v>1881</v>
      </c>
      <c r="D124" t="s">
        <v>124</v>
      </c>
      <c r="E124" t="str">
        <f>IF(ISNUMBER(VLOOKUP(B124,'OECD DAC'!B:C,2,FALSE)), "YES", " ")</f>
        <v xml:space="preserve"> </v>
      </c>
      <c r="F124" t="s">
        <v>1882</v>
      </c>
      <c r="G124" t="s">
        <v>1883</v>
      </c>
      <c r="H124" t="s">
        <v>1662</v>
      </c>
      <c r="I124" t="s">
        <v>883</v>
      </c>
      <c r="J124" t="s">
        <v>2006</v>
      </c>
      <c r="K124">
        <v>27.161000000000001</v>
      </c>
      <c r="L124">
        <v>31.762</v>
      </c>
      <c r="M124">
        <v>34.604999999999997</v>
      </c>
      <c r="N124">
        <v>40.374000000000002</v>
      </c>
      <c r="O124">
        <v>47.750999999999998</v>
      </c>
      <c r="P124">
        <v>57.173000000000002</v>
      </c>
      <c r="Q124">
        <v>68.387</v>
      </c>
      <c r="R124">
        <v>78.376999999999995</v>
      </c>
      <c r="S124">
        <v>94.382999999999996</v>
      </c>
      <c r="T124">
        <v>109.55500000000001</v>
      </c>
      <c r="U124">
        <v>126.917</v>
      </c>
      <c r="V124">
        <v>151.935</v>
      </c>
      <c r="W124">
        <v>187.41900000000001</v>
      </c>
      <c r="X124">
        <v>215.60499999999999</v>
      </c>
      <c r="Y124">
        <v>244.55600000000001</v>
      </c>
      <c r="Z124">
        <v>268.98200000000003</v>
      </c>
      <c r="AA124">
        <v>305.47800000000001</v>
      </c>
      <c r="AB124">
        <v>344.25900000000001</v>
      </c>
      <c r="AC124">
        <v>369.21199999999999</v>
      </c>
      <c r="AD124">
        <v>419.76299999999998</v>
      </c>
      <c r="AE124">
        <v>465.726</v>
      </c>
      <c r="AF124">
        <v>504.73700000000002</v>
      </c>
      <c r="AG124">
        <v>525.22799999999995</v>
      </c>
      <c r="AH124">
        <v>562.71100000000001</v>
      </c>
      <c r="AI124">
        <v>613.60299999999995</v>
      </c>
      <c r="AJ124">
        <v>673.80600000000004</v>
      </c>
      <c r="AK124">
        <v>747.73900000000003</v>
      </c>
      <c r="AL124">
        <v>832.04100000000005</v>
      </c>
      <c r="AM124">
        <v>932.44799999999998</v>
      </c>
      <c r="AN124">
        <v>1129.78</v>
      </c>
      <c r="AO124">
        <v>1363.56</v>
      </c>
      <c r="AP124">
        <v>1562.68</v>
      </c>
      <c r="AQ124">
        <v>1758.38</v>
      </c>
      <c r="AR124">
        <v>1949.3</v>
      </c>
      <c r="AS124">
        <v>2232.5300000000002</v>
      </c>
      <c r="AT124">
        <v>2423.64</v>
      </c>
      <c r="AU124">
        <v>2608.1799999999998</v>
      </c>
      <c r="AV124">
        <v>3077.15</v>
      </c>
      <c r="AW124">
        <v>3455.95</v>
      </c>
      <c r="AX124">
        <v>3858.93</v>
      </c>
      <c r="AY124">
        <v>3914.7</v>
      </c>
      <c r="AZ124">
        <v>4163.51</v>
      </c>
      <c r="BA124">
        <v>4586.92</v>
      </c>
      <c r="BB124">
        <v>5148.37</v>
      </c>
      <c r="BC124">
        <v>5746.82</v>
      </c>
      <c r="BD124">
        <v>6378.14</v>
      </c>
      <c r="BE124">
        <v>7073.55</v>
      </c>
      <c r="BF124">
        <v>7845.41</v>
      </c>
      <c r="BG124">
        <v>2020</v>
      </c>
      <c r="BH124">
        <v>3914.7</v>
      </c>
      <c r="BI124">
        <v>2020</v>
      </c>
    </row>
    <row r="125" spans="1:61">
      <c r="A125">
        <v>138</v>
      </c>
      <c r="B125" t="s">
        <v>460</v>
      </c>
      <c r="C125" t="s">
        <v>1881</v>
      </c>
      <c r="D125" t="s">
        <v>66</v>
      </c>
      <c r="E125" t="str">
        <f>IF(ISNUMBER(VLOOKUP(B125,'OECD DAC'!B:C,2,FALSE)), "YES", " ")</f>
        <v>YES</v>
      </c>
      <c r="F125" t="s">
        <v>1882</v>
      </c>
      <c r="G125" t="s">
        <v>1883</v>
      </c>
      <c r="H125" t="s">
        <v>1662</v>
      </c>
      <c r="I125" t="s">
        <v>883</v>
      </c>
      <c r="J125" t="s">
        <v>2007</v>
      </c>
      <c r="K125">
        <v>174.58</v>
      </c>
      <c r="L125">
        <v>183.06100000000001</v>
      </c>
      <c r="M125">
        <v>190.47200000000001</v>
      </c>
      <c r="N125">
        <v>197.887</v>
      </c>
      <c r="O125">
        <v>206.91800000000001</v>
      </c>
      <c r="P125">
        <v>216.239</v>
      </c>
      <c r="Q125">
        <v>223.21899999999999</v>
      </c>
      <c r="R125">
        <v>226.63900000000001</v>
      </c>
      <c r="S125">
        <v>236.48599999999999</v>
      </c>
      <c r="T125">
        <v>250.44499999999999</v>
      </c>
      <c r="U125">
        <v>264.94900000000001</v>
      </c>
      <c r="V125">
        <v>279.91000000000003</v>
      </c>
      <c r="W125">
        <v>291.435</v>
      </c>
      <c r="X125">
        <v>299.81</v>
      </c>
      <c r="Y125">
        <v>315.23700000000002</v>
      </c>
      <c r="Z125">
        <v>329.54700000000003</v>
      </c>
      <c r="AA125">
        <v>344.625</v>
      </c>
      <c r="AB125">
        <v>369.04599999999999</v>
      </c>
      <c r="AC125">
        <v>394.29500000000002</v>
      </c>
      <c r="AD125">
        <v>419.459</v>
      </c>
      <c r="AE125">
        <v>452.00700000000001</v>
      </c>
      <c r="AF125">
        <v>481.88099999999997</v>
      </c>
      <c r="AG125">
        <v>501.137</v>
      </c>
      <c r="AH125">
        <v>512.80999999999995</v>
      </c>
      <c r="AI125">
        <v>529.28599999999994</v>
      </c>
      <c r="AJ125">
        <v>550.88300000000004</v>
      </c>
      <c r="AK125">
        <v>584.54600000000005</v>
      </c>
      <c r="AL125">
        <v>619.16999999999996</v>
      </c>
      <c r="AM125">
        <v>647.19799999999998</v>
      </c>
      <c r="AN125">
        <v>624.84199999999998</v>
      </c>
      <c r="AO125">
        <v>639.18700000000001</v>
      </c>
      <c r="AP125">
        <v>650.35900000000004</v>
      </c>
      <c r="AQ125">
        <v>652.96600000000001</v>
      </c>
      <c r="AR125">
        <v>660.46299999999997</v>
      </c>
      <c r="AS125">
        <v>671.56</v>
      </c>
      <c r="AT125">
        <v>690.00800000000004</v>
      </c>
      <c r="AU125">
        <v>708.33699999999999</v>
      </c>
      <c r="AV125">
        <v>738.14599999999996</v>
      </c>
      <c r="AW125">
        <v>773.98699999999997</v>
      </c>
      <c r="AX125">
        <v>813.05499999999995</v>
      </c>
      <c r="AY125">
        <v>800.09500000000003</v>
      </c>
      <c r="AZ125">
        <v>860.71900000000005</v>
      </c>
      <c r="BA125">
        <v>909.48500000000001</v>
      </c>
      <c r="BB125">
        <v>949.07399999999996</v>
      </c>
      <c r="BC125">
        <v>983.74099999999999</v>
      </c>
      <c r="BD125">
        <v>1017.45</v>
      </c>
      <c r="BE125">
        <v>1052</v>
      </c>
      <c r="BF125">
        <v>1087.1400000000001</v>
      </c>
      <c r="BG125">
        <v>2021</v>
      </c>
      <c r="BH125">
        <v>860.71900000000005</v>
      </c>
      <c r="BI125">
        <v>2021</v>
      </c>
    </row>
    <row r="126" spans="1:61">
      <c r="A126">
        <v>196</v>
      </c>
      <c r="B126" t="s">
        <v>453</v>
      </c>
      <c r="C126" t="s">
        <v>1881</v>
      </c>
      <c r="D126" t="s">
        <v>71</v>
      </c>
      <c r="E126" t="str">
        <f>IF(ISNUMBER(VLOOKUP(B126,'OECD DAC'!B:C,2,FALSE)), "YES", " ")</f>
        <v>YES</v>
      </c>
      <c r="F126" t="s">
        <v>1882</v>
      </c>
      <c r="G126" t="s">
        <v>1883</v>
      </c>
      <c r="H126" t="s">
        <v>1662</v>
      </c>
      <c r="I126" t="s">
        <v>883</v>
      </c>
      <c r="J126" t="s">
        <v>2008</v>
      </c>
      <c r="K126">
        <v>23.119</v>
      </c>
      <c r="L126">
        <v>26.946000000000002</v>
      </c>
      <c r="M126">
        <v>30.867000000000001</v>
      </c>
      <c r="N126">
        <v>33.575000000000003</v>
      </c>
      <c r="O126">
        <v>38.634</v>
      </c>
      <c r="P126">
        <v>45.180999999999997</v>
      </c>
      <c r="Q126">
        <v>52.302</v>
      </c>
      <c r="R126">
        <v>62.366</v>
      </c>
      <c r="S126">
        <v>69.278000000000006</v>
      </c>
      <c r="T126">
        <v>73.683999999999997</v>
      </c>
      <c r="U126">
        <v>76.679000000000002</v>
      </c>
      <c r="V126">
        <v>75.233000000000004</v>
      </c>
      <c r="W126">
        <v>77.308000000000007</v>
      </c>
      <c r="X126">
        <v>82.843999999999994</v>
      </c>
      <c r="Y126">
        <v>89.11</v>
      </c>
      <c r="Z126">
        <v>94.852999999999994</v>
      </c>
      <c r="AA126">
        <v>100.48</v>
      </c>
      <c r="AB126">
        <v>103.863</v>
      </c>
      <c r="AC126">
        <v>105.869</v>
      </c>
      <c r="AD126">
        <v>111.197</v>
      </c>
      <c r="AE126">
        <v>118.346</v>
      </c>
      <c r="AF126">
        <v>126.307</v>
      </c>
      <c r="AG126">
        <v>133.68700000000001</v>
      </c>
      <c r="AH126">
        <v>141.53700000000001</v>
      </c>
      <c r="AI126">
        <v>153.00899999999999</v>
      </c>
      <c r="AJ126">
        <v>160.80600000000001</v>
      </c>
      <c r="AK126">
        <v>168.96899999999999</v>
      </c>
      <c r="AL126">
        <v>183.22399999999999</v>
      </c>
      <c r="AM126">
        <v>189.45</v>
      </c>
      <c r="AN126">
        <v>191.86600000000001</v>
      </c>
      <c r="AO126">
        <v>201.53200000000001</v>
      </c>
      <c r="AP126">
        <v>211.01400000000001</v>
      </c>
      <c r="AQ126">
        <v>215.92400000000001</v>
      </c>
      <c r="AR126">
        <v>228.078</v>
      </c>
      <c r="AS126">
        <v>240.90199999999999</v>
      </c>
      <c r="AT126">
        <v>251.68299999999999</v>
      </c>
      <c r="AU126">
        <v>266.62</v>
      </c>
      <c r="AV126">
        <v>286.411</v>
      </c>
      <c r="AW126">
        <v>302.61399999999998</v>
      </c>
      <c r="AX126">
        <v>320.09899999999999</v>
      </c>
      <c r="AY126">
        <v>324.14</v>
      </c>
      <c r="AZ126">
        <v>350.07</v>
      </c>
      <c r="BA126">
        <v>377.24599999999998</v>
      </c>
      <c r="BB126">
        <v>402.91899999999998</v>
      </c>
      <c r="BC126">
        <v>424.75900000000001</v>
      </c>
      <c r="BD126">
        <v>444.53</v>
      </c>
      <c r="BE126">
        <v>467.92</v>
      </c>
      <c r="BF126">
        <v>490.51799999999997</v>
      </c>
      <c r="BG126">
        <v>2021</v>
      </c>
      <c r="BH126">
        <v>350.07</v>
      </c>
      <c r="BI126">
        <v>2021</v>
      </c>
    </row>
    <row r="127" spans="1:61" hidden="1">
      <c r="A127">
        <v>278</v>
      </c>
      <c r="B127" t="s">
        <v>354</v>
      </c>
      <c r="C127" t="s">
        <v>1881</v>
      </c>
      <c r="D127" t="s">
        <v>140</v>
      </c>
      <c r="E127" t="str">
        <f>IF(ISNUMBER(VLOOKUP(B127,'OECD DAC'!B:C,2,FALSE)), "YES", " ")</f>
        <v xml:space="preserve"> </v>
      </c>
      <c r="F127" t="s">
        <v>1882</v>
      </c>
      <c r="G127" t="s">
        <v>1883</v>
      </c>
      <c r="H127" t="s">
        <v>1662</v>
      </c>
      <c r="I127" t="s">
        <v>883</v>
      </c>
      <c r="J127" t="s">
        <v>2009</v>
      </c>
      <c r="K127" t="s">
        <v>1686</v>
      </c>
      <c r="L127" t="s">
        <v>1686</v>
      </c>
      <c r="M127" t="s">
        <v>1686</v>
      </c>
      <c r="N127" t="s">
        <v>1686</v>
      </c>
      <c r="O127" t="s">
        <v>1686</v>
      </c>
      <c r="P127" t="s">
        <v>1686</v>
      </c>
      <c r="Q127" t="s">
        <v>1686</v>
      </c>
      <c r="R127" t="s">
        <v>1686</v>
      </c>
      <c r="S127" t="s">
        <v>1686</v>
      </c>
      <c r="T127">
        <v>7.0000000000000001E-3</v>
      </c>
      <c r="U127">
        <v>0.51900000000000002</v>
      </c>
      <c r="V127">
        <v>15.706</v>
      </c>
      <c r="W127">
        <v>19.47</v>
      </c>
      <c r="X127">
        <v>23.364999999999998</v>
      </c>
      <c r="Y127">
        <v>25.960999999999999</v>
      </c>
      <c r="Z127">
        <v>31.178000000000001</v>
      </c>
      <c r="AA127">
        <v>36.341000000000001</v>
      </c>
      <c r="AB127">
        <v>41.476999999999997</v>
      </c>
      <c r="AC127">
        <v>49.051000000000002</v>
      </c>
      <c r="AD127">
        <v>57.345999999999997</v>
      </c>
      <c r="AE127">
        <v>64.811999999999998</v>
      </c>
      <c r="AF127">
        <v>71.563000000000002</v>
      </c>
      <c r="AG127">
        <v>74.444999999999993</v>
      </c>
      <c r="AH127">
        <v>80.39</v>
      </c>
      <c r="AI127">
        <v>92.322999999999993</v>
      </c>
      <c r="AJ127">
        <v>105.777</v>
      </c>
      <c r="AK127">
        <v>118.83799999999999</v>
      </c>
      <c r="AL127">
        <v>136.94999999999999</v>
      </c>
      <c r="AM127">
        <v>164.602</v>
      </c>
      <c r="AN127">
        <v>168.791</v>
      </c>
      <c r="AO127">
        <v>187.053</v>
      </c>
      <c r="AP127">
        <v>219.18199999999999</v>
      </c>
      <c r="AQ127">
        <v>247.994</v>
      </c>
      <c r="AR127">
        <v>271.52999999999997</v>
      </c>
      <c r="AS127">
        <v>308.40300000000002</v>
      </c>
      <c r="AT127">
        <v>347.70699999999999</v>
      </c>
      <c r="AU127">
        <v>380.26100000000002</v>
      </c>
      <c r="AV127">
        <v>414.279</v>
      </c>
      <c r="AW127">
        <v>410.988</v>
      </c>
      <c r="AX127">
        <v>417.70499999999998</v>
      </c>
      <c r="AY127">
        <v>433.44799999999998</v>
      </c>
      <c r="AZ127">
        <v>501.62700000000001</v>
      </c>
      <c r="BA127">
        <v>566.02300000000002</v>
      </c>
      <c r="BB127">
        <v>614.40200000000004</v>
      </c>
      <c r="BC127">
        <v>654.31399999999996</v>
      </c>
      <c r="BD127">
        <v>698.17899999999997</v>
      </c>
      <c r="BE127">
        <v>742.48699999999997</v>
      </c>
      <c r="BF127">
        <v>791.529</v>
      </c>
      <c r="BG127">
        <v>2020</v>
      </c>
      <c r="BH127">
        <v>433.44799999999998</v>
      </c>
      <c r="BI127">
        <v>2020</v>
      </c>
    </row>
    <row r="128" spans="1:61" hidden="1">
      <c r="A128">
        <v>692</v>
      </c>
      <c r="B128" t="s">
        <v>314</v>
      </c>
      <c r="C128" t="s">
        <v>1881</v>
      </c>
      <c r="D128" t="s">
        <v>101</v>
      </c>
      <c r="E128" t="str">
        <f>IF(ISNUMBER(VLOOKUP(B128,'OECD DAC'!B:C,2,FALSE)), "YES", " ")</f>
        <v xml:space="preserve"> </v>
      </c>
      <c r="F128" t="s">
        <v>1882</v>
      </c>
      <c r="G128" t="s">
        <v>1883</v>
      </c>
      <c r="H128" t="s">
        <v>1662</v>
      </c>
      <c r="I128" t="s">
        <v>883</v>
      </c>
      <c r="J128" t="s">
        <v>2010</v>
      </c>
      <c r="K128">
        <v>746.00800000000004</v>
      </c>
      <c r="L128">
        <v>830.32100000000003</v>
      </c>
      <c r="M128">
        <v>933.21400000000006</v>
      </c>
      <c r="N128">
        <v>967.13599999999997</v>
      </c>
      <c r="O128">
        <v>898.58799999999997</v>
      </c>
      <c r="P128">
        <v>910.83399999999995</v>
      </c>
      <c r="Q128">
        <v>928.00599999999997</v>
      </c>
      <c r="R128">
        <v>944.61500000000001</v>
      </c>
      <c r="S128">
        <v>956.01599999999996</v>
      </c>
      <c r="T128">
        <v>978.678</v>
      </c>
      <c r="U128">
        <v>950.41899999999998</v>
      </c>
      <c r="V128">
        <v>922.68</v>
      </c>
      <c r="W128">
        <v>892.50300000000004</v>
      </c>
      <c r="X128">
        <v>861.09299999999996</v>
      </c>
      <c r="Y128">
        <v>1072.3800000000001</v>
      </c>
      <c r="Z128">
        <v>1145.3399999999999</v>
      </c>
      <c r="AA128">
        <v>1226.1600000000001</v>
      </c>
      <c r="AB128">
        <v>1332.01</v>
      </c>
      <c r="AC128">
        <v>1554.72</v>
      </c>
      <c r="AD128">
        <v>1556.85</v>
      </c>
      <c r="AE128">
        <v>1586.92</v>
      </c>
      <c r="AF128">
        <v>1788.19</v>
      </c>
      <c r="AG128">
        <v>1924.54</v>
      </c>
      <c r="AH128">
        <v>1961.82</v>
      </c>
      <c r="AI128">
        <v>1976.31</v>
      </c>
      <c r="AJ128">
        <v>2304.13</v>
      </c>
      <c r="AK128">
        <v>2477.7199999999998</v>
      </c>
      <c r="AL128">
        <v>2735.74</v>
      </c>
      <c r="AM128">
        <v>3246.72</v>
      </c>
      <c r="AN128">
        <v>3448.08</v>
      </c>
      <c r="AO128">
        <v>3875</v>
      </c>
      <c r="AP128">
        <v>4126.05</v>
      </c>
      <c r="AQ128">
        <v>4802.45</v>
      </c>
      <c r="AR128">
        <v>5040.75</v>
      </c>
      <c r="AS128">
        <v>5346.05</v>
      </c>
      <c r="AT128">
        <v>5724.87</v>
      </c>
      <c r="AU128">
        <v>6135.41</v>
      </c>
      <c r="AV128">
        <v>6497.01</v>
      </c>
      <c r="AW128">
        <v>7134.25</v>
      </c>
      <c r="AX128">
        <v>7564.95</v>
      </c>
      <c r="AY128">
        <v>7907.39</v>
      </c>
      <c r="AZ128">
        <v>8290.76</v>
      </c>
      <c r="BA128">
        <v>9088.1299999999992</v>
      </c>
      <c r="BB128">
        <v>9937.7199999999993</v>
      </c>
      <c r="BC128">
        <v>11305.76</v>
      </c>
      <c r="BD128">
        <v>13082.48</v>
      </c>
      <c r="BE128">
        <v>14278.38</v>
      </c>
      <c r="BF128">
        <v>15486.71</v>
      </c>
      <c r="BG128">
        <v>2020</v>
      </c>
      <c r="BH128">
        <v>7907.39</v>
      </c>
      <c r="BI128">
        <v>2020</v>
      </c>
    </row>
    <row r="129" spans="1:61" hidden="1">
      <c r="A129">
        <v>694</v>
      </c>
      <c r="B129" t="s">
        <v>355</v>
      </c>
      <c r="C129" t="s">
        <v>1881</v>
      </c>
      <c r="D129" t="s">
        <v>141</v>
      </c>
      <c r="E129" t="str">
        <f>IF(ISNUMBER(VLOOKUP(B129,'OECD DAC'!B:C,2,FALSE)), "YES", " ")</f>
        <v xml:space="preserve"> </v>
      </c>
      <c r="F129" t="s">
        <v>1882</v>
      </c>
      <c r="G129" t="s">
        <v>1883</v>
      </c>
      <c r="H129" t="s">
        <v>1662</v>
      </c>
      <c r="I129" t="s">
        <v>883</v>
      </c>
      <c r="J129" t="s">
        <v>2011</v>
      </c>
      <c r="K129" t="s">
        <v>1664</v>
      </c>
      <c r="L129" t="s">
        <v>1664</v>
      </c>
      <c r="M129" t="s">
        <v>1664</v>
      </c>
      <c r="N129" t="s">
        <v>1664</v>
      </c>
      <c r="O129" t="s">
        <v>1664</v>
      </c>
      <c r="P129" t="s">
        <v>1664</v>
      </c>
      <c r="Q129" t="s">
        <v>1664</v>
      </c>
      <c r="R129" t="s">
        <v>1664</v>
      </c>
      <c r="S129" t="s">
        <v>1664</v>
      </c>
      <c r="T129" t="s">
        <v>1664</v>
      </c>
      <c r="U129">
        <v>499.67700000000002</v>
      </c>
      <c r="V129">
        <v>596.04499999999996</v>
      </c>
      <c r="W129">
        <v>909.803</v>
      </c>
      <c r="X129">
        <v>1259.07</v>
      </c>
      <c r="Y129">
        <v>1762.81</v>
      </c>
      <c r="Z129">
        <v>2895.2</v>
      </c>
      <c r="AA129">
        <v>3779.13</v>
      </c>
      <c r="AB129">
        <v>4111.6400000000003</v>
      </c>
      <c r="AC129">
        <v>4588.99</v>
      </c>
      <c r="AD129">
        <v>5307.36</v>
      </c>
      <c r="AE129">
        <v>6897.48</v>
      </c>
      <c r="AF129">
        <v>8134.14</v>
      </c>
      <c r="AG129">
        <v>11332.25</v>
      </c>
      <c r="AH129">
        <v>13301.56</v>
      </c>
      <c r="AI129">
        <v>17321.3</v>
      </c>
      <c r="AJ129">
        <v>22269.98</v>
      </c>
      <c r="AK129">
        <v>28662.47</v>
      </c>
      <c r="AL129">
        <v>32995.379999999997</v>
      </c>
      <c r="AM129">
        <v>39157.879999999997</v>
      </c>
      <c r="AN129">
        <v>44285.56</v>
      </c>
      <c r="AO129">
        <v>55469.35</v>
      </c>
      <c r="AP129">
        <v>63713.36</v>
      </c>
      <c r="AQ129">
        <v>72599.63</v>
      </c>
      <c r="AR129">
        <v>81009.97</v>
      </c>
      <c r="AS129">
        <v>90136.99</v>
      </c>
      <c r="AT129">
        <v>95177.74</v>
      </c>
      <c r="AU129">
        <v>102575.42</v>
      </c>
      <c r="AV129">
        <v>114899.25</v>
      </c>
      <c r="AW129">
        <v>129086.91</v>
      </c>
      <c r="AX129">
        <v>145639.14000000001</v>
      </c>
      <c r="AY129">
        <v>154252.32</v>
      </c>
      <c r="AZ129">
        <v>176075.5</v>
      </c>
      <c r="BA129">
        <v>209642.42</v>
      </c>
      <c r="BB129">
        <v>238191.68</v>
      </c>
      <c r="BC129">
        <v>269631.25</v>
      </c>
      <c r="BD129">
        <v>305571.18</v>
      </c>
      <c r="BE129">
        <v>346708.08</v>
      </c>
      <c r="BF129">
        <v>393546.83</v>
      </c>
      <c r="BG129">
        <v>2020</v>
      </c>
      <c r="BH129">
        <v>154252.32</v>
      </c>
      <c r="BI129">
        <v>2020</v>
      </c>
    </row>
    <row r="130" spans="1:61" hidden="1">
      <c r="A130">
        <v>962</v>
      </c>
      <c r="B130" t="s">
        <v>408</v>
      </c>
      <c r="C130" t="s">
        <v>1881</v>
      </c>
      <c r="D130" t="s">
        <v>193</v>
      </c>
      <c r="E130" t="str">
        <f>IF(ISNUMBER(VLOOKUP(B130,'OECD DAC'!B:C,2,FALSE)), "YES", " ")</f>
        <v xml:space="preserve"> </v>
      </c>
      <c r="F130" t="s">
        <v>1882</v>
      </c>
      <c r="G130" t="s">
        <v>1883</v>
      </c>
      <c r="H130" t="s">
        <v>1662</v>
      </c>
      <c r="I130" t="s">
        <v>883</v>
      </c>
      <c r="J130" t="s">
        <v>2012</v>
      </c>
      <c r="K130" t="s">
        <v>1664</v>
      </c>
      <c r="L130" t="s">
        <v>1664</v>
      </c>
      <c r="M130" t="s">
        <v>1664</v>
      </c>
      <c r="N130" t="s">
        <v>1664</v>
      </c>
      <c r="O130" t="s">
        <v>1664</v>
      </c>
      <c r="P130" t="s">
        <v>1664</v>
      </c>
      <c r="Q130" t="s">
        <v>1664</v>
      </c>
      <c r="R130" t="s">
        <v>1664</v>
      </c>
      <c r="S130" t="s">
        <v>1664</v>
      </c>
      <c r="T130" t="s">
        <v>1664</v>
      </c>
      <c r="U130" t="s">
        <v>1664</v>
      </c>
      <c r="V130" t="s">
        <v>1664</v>
      </c>
      <c r="W130">
        <v>12.407999999999999</v>
      </c>
      <c r="X130">
        <v>62.244999999999997</v>
      </c>
      <c r="Y130">
        <v>154.03</v>
      </c>
      <c r="Z130">
        <v>178.345</v>
      </c>
      <c r="AA130">
        <v>185.62899999999999</v>
      </c>
      <c r="AB130">
        <v>195.607</v>
      </c>
      <c r="AC130">
        <v>205.029</v>
      </c>
      <c r="AD130">
        <v>219.91800000000001</v>
      </c>
      <c r="AE130">
        <v>248.64599999999999</v>
      </c>
      <c r="AF130">
        <v>252.393</v>
      </c>
      <c r="AG130">
        <v>258.58100000000002</v>
      </c>
      <c r="AH130">
        <v>268.69299999999998</v>
      </c>
      <c r="AI130">
        <v>280.78699999999998</v>
      </c>
      <c r="AJ130">
        <v>308.447</v>
      </c>
      <c r="AK130">
        <v>334.839</v>
      </c>
      <c r="AL130">
        <v>372.88900000000001</v>
      </c>
      <c r="AM130">
        <v>414.89</v>
      </c>
      <c r="AN130">
        <v>414.62200000000001</v>
      </c>
      <c r="AO130">
        <v>437.29700000000003</v>
      </c>
      <c r="AP130">
        <v>464.18599999999998</v>
      </c>
      <c r="AQ130">
        <v>466.70299999999997</v>
      </c>
      <c r="AR130">
        <v>501.89100000000002</v>
      </c>
      <c r="AS130">
        <v>527.63099999999997</v>
      </c>
      <c r="AT130">
        <v>558.95399999999995</v>
      </c>
      <c r="AU130">
        <v>594.79399999999998</v>
      </c>
      <c r="AV130">
        <v>618.10599999999999</v>
      </c>
      <c r="AW130">
        <v>660.87699999999995</v>
      </c>
      <c r="AX130">
        <v>692.68299999999999</v>
      </c>
      <c r="AY130">
        <v>655.93100000000004</v>
      </c>
      <c r="AZ130">
        <v>723.23800000000006</v>
      </c>
      <c r="BA130">
        <v>785.08799999999997</v>
      </c>
      <c r="BB130">
        <v>847.57799999999997</v>
      </c>
      <c r="BC130">
        <v>904.58100000000002</v>
      </c>
      <c r="BD130">
        <v>963.05399999999997</v>
      </c>
      <c r="BE130">
        <v>1024.1099999999999</v>
      </c>
      <c r="BF130">
        <v>1086.71</v>
      </c>
      <c r="BG130">
        <v>2021</v>
      </c>
      <c r="BH130">
        <v>723.23800000000006</v>
      </c>
      <c r="BI130">
        <v>2021</v>
      </c>
    </row>
    <row r="131" spans="1:61">
      <c r="A131">
        <v>142</v>
      </c>
      <c r="B131" t="s">
        <v>468</v>
      </c>
      <c r="C131" t="s">
        <v>1881</v>
      </c>
      <c r="D131" t="s">
        <v>51</v>
      </c>
      <c r="E131" t="str">
        <f>IF(ISNUMBER(VLOOKUP(B131,'OECD DAC'!B:C,2,FALSE)), "YES", " ")</f>
        <v>YES</v>
      </c>
      <c r="F131" t="s">
        <v>1882</v>
      </c>
      <c r="G131" t="s">
        <v>1883</v>
      </c>
      <c r="H131" t="s">
        <v>1662</v>
      </c>
      <c r="I131" t="s">
        <v>883</v>
      </c>
      <c r="J131" t="s">
        <v>2013</v>
      </c>
      <c r="K131">
        <v>318.279</v>
      </c>
      <c r="L131">
        <v>365.01299999999998</v>
      </c>
      <c r="M131">
        <v>404.32499999999999</v>
      </c>
      <c r="N131">
        <v>449.65600000000001</v>
      </c>
      <c r="O131">
        <v>506.48599999999999</v>
      </c>
      <c r="P131">
        <v>562.40200000000004</v>
      </c>
      <c r="Q131">
        <v>581.91300000000001</v>
      </c>
      <c r="R131">
        <v>634.875</v>
      </c>
      <c r="S131">
        <v>664.08399999999995</v>
      </c>
      <c r="T131">
        <v>708.63499999999999</v>
      </c>
      <c r="U131">
        <v>749.85900000000004</v>
      </c>
      <c r="V131">
        <v>790.08799999999997</v>
      </c>
      <c r="W131">
        <v>813.09299999999996</v>
      </c>
      <c r="X131">
        <v>855.4</v>
      </c>
      <c r="Y131">
        <v>897.24300000000005</v>
      </c>
      <c r="Z131">
        <v>963.13900000000001</v>
      </c>
      <c r="AA131">
        <v>1054.67</v>
      </c>
      <c r="AB131">
        <v>1141.3399999999999</v>
      </c>
      <c r="AC131">
        <v>1163.18</v>
      </c>
      <c r="AD131">
        <v>1265.69</v>
      </c>
      <c r="AE131">
        <v>1507.28</v>
      </c>
      <c r="AF131">
        <v>1564.31</v>
      </c>
      <c r="AG131">
        <v>1561.03</v>
      </c>
      <c r="AH131">
        <v>1620.37</v>
      </c>
      <c r="AI131">
        <v>1783.02</v>
      </c>
      <c r="AJ131">
        <v>1989.99</v>
      </c>
      <c r="AK131">
        <v>2216.3200000000002</v>
      </c>
      <c r="AL131">
        <v>2350.17</v>
      </c>
      <c r="AM131">
        <v>2607.09</v>
      </c>
      <c r="AN131">
        <v>2428.48</v>
      </c>
      <c r="AO131">
        <v>2591.48</v>
      </c>
      <c r="AP131">
        <v>2792.68</v>
      </c>
      <c r="AQ131">
        <v>2964.05</v>
      </c>
      <c r="AR131">
        <v>3071.22</v>
      </c>
      <c r="AS131">
        <v>3140.81</v>
      </c>
      <c r="AT131">
        <v>3111.17</v>
      </c>
      <c r="AU131">
        <v>3098.15</v>
      </c>
      <c r="AV131">
        <v>3295.38</v>
      </c>
      <c r="AW131">
        <v>3553.9</v>
      </c>
      <c r="AX131">
        <v>3563.48</v>
      </c>
      <c r="AY131">
        <v>3410.4</v>
      </c>
      <c r="AZ131">
        <v>4144.13</v>
      </c>
      <c r="BA131">
        <v>4798.71</v>
      </c>
      <c r="BB131">
        <v>4817.54</v>
      </c>
      <c r="BC131">
        <v>4887.5600000000004</v>
      </c>
      <c r="BD131">
        <v>4957.16</v>
      </c>
      <c r="BE131">
        <v>5044.21</v>
      </c>
      <c r="BF131">
        <v>5195.2299999999996</v>
      </c>
      <c r="BG131">
        <v>2021</v>
      </c>
      <c r="BH131">
        <v>4144.13</v>
      </c>
      <c r="BI131">
        <v>2021</v>
      </c>
    </row>
    <row r="132" spans="1:61" hidden="1">
      <c r="A132">
        <v>449</v>
      </c>
      <c r="B132" t="s">
        <v>578</v>
      </c>
      <c r="C132" t="s">
        <v>1881</v>
      </c>
      <c r="D132" t="s">
        <v>233</v>
      </c>
      <c r="E132" t="str">
        <f>IF(ISNUMBER(VLOOKUP(B132,'OECD DAC'!B:C,2,FALSE)), "YES", " ")</f>
        <v xml:space="preserve"> </v>
      </c>
      <c r="F132" t="s">
        <v>1882</v>
      </c>
      <c r="G132" t="s">
        <v>1883</v>
      </c>
      <c r="H132" t="s">
        <v>1662</v>
      </c>
      <c r="I132" t="s">
        <v>883</v>
      </c>
      <c r="J132" t="s">
        <v>2014</v>
      </c>
      <c r="K132">
        <v>2.19</v>
      </c>
      <c r="L132">
        <v>2.6659999999999999</v>
      </c>
      <c r="M132">
        <v>2.798</v>
      </c>
      <c r="N132">
        <v>2.9329999999999998</v>
      </c>
      <c r="O132">
        <v>3.2320000000000002</v>
      </c>
      <c r="P132">
        <v>3.5910000000000002</v>
      </c>
      <c r="Q132">
        <v>3.1429999999999998</v>
      </c>
      <c r="R132">
        <v>3.3180000000000001</v>
      </c>
      <c r="S132">
        <v>3.2250000000000001</v>
      </c>
      <c r="T132">
        <v>3.6040000000000001</v>
      </c>
      <c r="U132">
        <v>4.4930000000000003</v>
      </c>
      <c r="V132">
        <v>4.3609999999999998</v>
      </c>
      <c r="W132">
        <v>4.7880000000000003</v>
      </c>
      <c r="X132">
        <v>4.8040000000000003</v>
      </c>
      <c r="Y132">
        <v>4.9669999999999996</v>
      </c>
      <c r="Z132">
        <v>5.3070000000000004</v>
      </c>
      <c r="AA132">
        <v>5.8739999999999997</v>
      </c>
      <c r="AB132">
        <v>6.09</v>
      </c>
      <c r="AC132">
        <v>5.3819999999999997</v>
      </c>
      <c r="AD132">
        <v>5.9960000000000004</v>
      </c>
      <c r="AE132">
        <v>7.5010000000000003</v>
      </c>
      <c r="AF132">
        <v>7.4790000000000001</v>
      </c>
      <c r="AG132">
        <v>7.7450000000000001</v>
      </c>
      <c r="AH132">
        <v>8.3179999999999996</v>
      </c>
      <c r="AI132">
        <v>9.5220000000000002</v>
      </c>
      <c r="AJ132">
        <v>11.951000000000001</v>
      </c>
      <c r="AK132">
        <v>14.308999999999999</v>
      </c>
      <c r="AL132">
        <v>16.181999999999999</v>
      </c>
      <c r="AM132">
        <v>23.417999999999999</v>
      </c>
      <c r="AN132">
        <v>18.605</v>
      </c>
      <c r="AO132">
        <v>21.934999999999999</v>
      </c>
      <c r="AP132">
        <v>26.152999999999999</v>
      </c>
      <c r="AQ132">
        <v>29.459</v>
      </c>
      <c r="AR132">
        <v>30.292999999999999</v>
      </c>
      <c r="AS132">
        <v>31.173999999999999</v>
      </c>
      <c r="AT132">
        <v>26.5</v>
      </c>
      <c r="AU132">
        <v>25.177</v>
      </c>
      <c r="AV132">
        <v>27.145</v>
      </c>
      <c r="AW132">
        <v>30.678999999999998</v>
      </c>
      <c r="AX132">
        <v>29.349</v>
      </c>
      <c r="AY132">
        <v>27.704999999999998</v>
      </c>
      <c r="AZ132">
        <v>32.165999999999997</v>
      </c>
      <c r="BA132">
        <v>42.344000000000001</v>
      </c>
      <c r="BB132">
        <v>42.390999999999998</v>
      </c>
      <c r="BC132">
        <v>41.981000000000002</v>
      </c>
      <c r="BD132">
        <v>42.417999999999999</v>
      </c>
      <c r="BE132">
        <v>43.3</v>
      </c>
      <c r="BF132">
        <v>44.508000000000003</v>
      </c>
      <c r="BG132">
        <v>2020</v>
      </c>
      <c r="BH132">
        <v>27.704999999999998</v>
      </c>
      <c r="BI132">
        <v>2020</v>
      </c>
    </row>
    <row r="133" spans="1:61" hidden="1">
      <c r="A133">
        <v>564</v>
      </c>
      <c r="B133" t="s">
        <v>344</v>
      </c>
      <c r="C133" t="s">
        <v>1881</v>
      </c>
      <c r="D133" t="s">
        <v>130</v>
      </c>
      <c r="E133" t="str">
        <f>IF(ISNUMBER(VLOOKUP(B133,'OECD DAC'!B:C,2,FALSE)), "YES", " ")</f>
        <v xml:space="preserve"> </v>
      </c>
      <c r="F133" t="s">
        <v>1882</v>
      </c>
      <c r="G133" t="s">
        <v>1883</v>
      </c>
      <c r="H133" t="s">
        <v>1662</v>
      </c>
      <c r="I133" t="s">
        <v>883</v>
      </c>
      <c r="J133" t="s">
        <v>2015</v>
      </c>
      <c r="K133">
        <v>344.72800000000001</v>
      </c>
      <c r="L133">
        <v>407.80200000000002</v>
      </c>
      <c r="M133">
        <v>475.17899999999997</v>
      </c>
      <c r="N133">
        <v>534.14800000000002</v>
      </c>
      <c r="O133">
        <v>615.38</v>
      </c>
      <c r="P133">
        <v>692.12599999999998</v>
      </c>
      <c r="Q133">
        <v>754.24300000000005</v>
      </c>
      <c r="R133">
        <v>839.18700000000001</v>
      </c>
      <c r="S133">
        <v>990.04</v>
      </c>
      <c r="T133">
        <v>1126.99</v>
      </c>
      <c r="U133">
        <v>1262.31</v>
      </c>
      <c r="V133">
        <v>1499.42</v>
      </c>
      <c r="W133">
        <v>1777.38</v>
      </c>
      <c r="X133">
        <v>1965.62</v>
      </c>
      <c r="Y133">
        <v>2302.25</v>
      </c>
      <c r="Z133">
        <v>2751.78</v>
      </c>
      <c r="AA133">
        <v>3126.74</v>
      </c>
      <c r="AB133">
        <v>3581.17</v>
      </c>
      <c r="AC133">
        <v>3948.89</v>
      </c>
      <c r="AD133">
        <v>4333.3900000000003</v>
      </c>
      <c r="AE133">
        <v>4641.3100000000004</v>
      </c>
      <c r="AF133">
        <v>5106.83</v>
      </c>
      <c r="AG133">
        <v>5401.34</v>
      </c>
      <c r="AH133">
        <v>5914.46</v>
      </c>
      <c r="AI133">
        <v>6842.36</v>
      </c>
      <c r="AJ133">
        <v>7884.63</v>
      </c>
      <c r="AK133">
        <v>9247.41</v>
      </c>
      <c r="AL133">
        <v>10399.51</v>
      </c>
      <c r="AM133">
        <v>11972.97</v>
      </c>
      <c r="AN133">
        <v>14856.46</v>
      </c>
      <c r="AO133">
        <v>16733.02</v>
      </c>
      <c r="AP133">
        <v>20570.400000000001</v>
      </c>
      <c r="AQ133">
        <v>22562.63</v>
      </c>
      <c r="AR133">
        <v>25195.38</v>
      </c>
      <c r="AS133">
        <v>28327.86</v>
      </c>
      <c r="AT133">
        <v>30887.52</v>
      </c>
      <c r="AU133">
        <v>32725.05</v>
      </c>
      <c r="AV133">
        <v>35552.82</v>
      </c>
      <c r="AW133">
        <v>39189.81</v>
      </c>
      <c r="AX133">
        <v>43798.400000000001</v>
      </c>
      <c r="AY133">
        <v>47521.53</v>
      </c>
      <c r="AZ133">
        <v>55488.01</v>
      </c>
      <c r="BA133">
        <v>64315.38</v>
      </c>
      <c r="BB133">
        <v>74601.929999999993</v>
      </c>
      <c r="BC133">
        <v>83739.37</v>
      </c>
      <c r="BD133">
        <v>92727.4</v>
      </c>
      <c r="BE133">
        <v>103620.7</v>
      </c>
      <c r="BF133">
        <v>115792.49</v>
      </c>
      <c r="BG133">
        <v>2021</v>
      </c>
      <c r="BH133">
        <v>55488.01</v>
      </c>
      <c r="BI133">
        <v>2021</v>
      </c>
    </row>
    <row r="134" spans="1:61" hidden="1">
      <c r="A134">
        <v>565</v>
      </c>
      <c r="B134" t="s">
        <v>546</v>
      </c>
      <c r="C134" t="s">
        <v>1881</v>
      </c>
      <c r="D134" t="s">
        <v>230</v>
      </c>
      <c r="E134" t="str">
        <f>IF(ISNUMBER(VLOOKUP(B134,'OECD DAC'!B:C,2,FALSE)), "YES", " ")</f>
        <v xml:space="preserve"> </v>
      </c>
      <c r="F134" t="s">
        <v>1882</v>
      </c>
      <c r="G134" t="s">
        <v>1883</v>
      </c>
      <c r="H134" t="s">
        <v>1662</v>
      </c>
      <c r="I134" t="s">
        <v>883</v>
      </c>
      <c r="J134" t="s">
        <v>2016</v>
      </c>
      <c r="K134" t="s">
        <v>1664</v>
      </c>
      <c r="L134" t="s">
        <v>1664</v>
      </c>
      <c r="M134" t="s">
        <v>1664</v>
      </c>
      <c r="N134" t="s">
        <v>1664</v>
      </c>
      <c r="O134" t="s">
        <v>1664</v>
      </c>
      <c r="P134" t="s">
        <v>1664</v>
      </c>
      <c r="Q134" t="s">
        <v>1664</v>
      </c>
      <c r="R134" t="s">
        <v>1664</v>
      </c>
      <c r="S134" t="s">
        <v>1664</v>
      </c>
      <c r="T134" t="s">
        <v>1664</v>
      </c>
      <c r="U134" t="s">
        <v>1664</v>
      </c>
      <c r="V134" t="s">
        <v>1664</v>
      </c>
      <c r="W134" t="s">
        <v>1664</v>
      </c>
      <c r="X134" t="s">
        <v>1664</v>
      </c>
      <c r="Y134" t="s">
        <v>1664</v>
      </c>
      <c r="Z134" t="s">
        <v>1664</v>
      </c>
      <c r="AA134" t="s">
        <v>1664</v>
      </c>
      <c r="AB134" t="s">
        <v>1664</v>
      </c>
      <c r="AC134" t="s">
        <v>1664</v>
      </c>
      <c r="AD134" t="s">
        <v>1664</v>
      </c>
      <c r="AE134">
        <v>0.14899999999999999</v>
      </c>
      <c r="AF134">
        <v>0.155</v>
      </c>
      <c r="AG134">
        <v>0.16200000000000001</v>
      </c>
      <c r="AH134">
        <v>0.153</v>
      </c>
      <c r="AI134">
        <v>0.16400000000000001</v>
      </c>
      <c r="AJ134">
        <v>0.183</v>
      </c>
      <c r="AK134">
        <v>0.189</v>
      </c>
      <c r="AL134">
        <v>0.193</v>
      </c>
      <c r="AM134">
        <v>0.19400000000000001</v>
      </c>
      <c r="AN134">
        <v>0.182</v>
      </c>
      <c r="AO134">
        <v>0.182</v>
      </c>
      <c r="AP134">
        <v>0.193</v>
      </c>
      <c r="AQ134">
        <v>0.21099999999999999</v>
      </c>
      <c r="AR134">
        <v>0.222</v>
      </c>
      <c r="AS134">
        <v>0.24099999999999999</v>
      </c>
      <c r="AT134">
        <v>0.28799999999999998</v>
      </c>
      <c r="AU134">
        <v>0.29799999999999999</v>
      </c>
      <c r="AV134">
        <v>0.28499999999999998</v>
      </c>
      <c r="AW134">
        <v>0.28499999999999998</v>
      </c>
      <c r="AX134">
        <v>0.27400000000000002</v>
      </c>
      <c r="AY134">
        <v>0.25800000000000001</v>
      </c>
      <c r="AZ134">
        <v>0.215</v>
      </c>
      <c r="BA134">
        <v>0.24399999999999999</v>
      </c>
      <c r="BB134">
        <v>0.29599999999999999</v>
      </c>
      <c r="BC134">
        <v>0.30599999999999999</v>
      </c>
      <c r="BD134">
        <v>0.316</v>
      </c>
      <c r="BE134">
        <v>0.32700000000000001</v>
      </c>
      <c r="BF134">
        <v>0.33800000000000002</v>
      </c>
      <c r="BG134">
        <v>2020</v>
      </c>
      <c r="BH134">
        <v>0.25800000000000001</v>
      </c>
      <c r="BI134">
        <v>2020</v>
      </c>
    </row>
    <row r="135" spans="1:61" hidden="1">
      <c r="A135">
        <v>283</v>
      </c>
      <c r="B135" t="s">
        <v>547</v>
      </c>
      <c r="C135" t="s">
        <v>1881</v>
      </c>
      <c r="D135" t="s">
        <v>228</v>
      </c>
      <c r="E135" t="str">
        <f>IF(ISNUMBER(VLOOKUP(B135,'OECD DAC'!B:C,2,FALSE)), "YES", " ")</f>
        <v xml:space="preserve"> </v>
      </c>
      <c r="F135" t="s">
        <v>1882</v>
      </c>
      <c r="G135" t="s">
        <v>1883</v>
      </c>
      <c r="H135" t="s">
        <v>1662</v>
      </c>
      <c r="I135" t="s">
        <v>883</v>
      </c>
      <c r="J135" t="s">
        <v>2017</v>
      </c>
      <c r="K135">
        <v>4.1040000000000001</v>
      </c>
      <c r="L135">
        <v>4.6449999999999996</v>
      </c>
      <c r="M135">
        <v>5.1319999999999997</v>
      </c>
      <c r="N135">
        <v>5.2690000000000001</v>
      </c>
      <c r="O135">
        <v>5.5</v>
      </c>
      <c r="P135">
        <v>5.8179999999999996</v>
      </c>
      <c r="Q135">
        <v>6.0460000000000003</v>
      </c>
      <c r="R135">
        <v>6.0730000000000004</v>
      </c>
      <c r="S135">
        <v>5.25</v>
      </c>
      <c r="T135">
        <v>5.2640000000000002</v>
      </c>
      <c r="U135">
        <v>5.7229999999999999</v>
      </c>
      <c r="V135">
        <v>6.2919999999999998</v>
      </c>
      <c r="W135">
        <v>7.1529999999999996</v>
      </c>
      <c r="X135">
        <v>7.8120000000000003</v>
      </c>
      <c r="Y135">
        <v>8.33</v>
      </c>
      <c r="Z135">
        <v>8.5150000000000006</v>
      </c>
      <c r="AA135">
        <v>10.039999999999999</v>
      </c>
      <c r="AB135">
        <v>10.849</v>
      </c>
      <c r="AC135">
        <v>11.762</v>
      </c>
      <c r="AD135">
        <v>12.326000000000001</v>
      </c>
      <c r="AE135">
        <v>12.502000000000001</v>
      </c>
      <c r="AF135">
        <v>12.704000000000001</v>
      </c>
      <c r="AG135">
        <v>13.204000000000001</v>
      </c>
      <c r="AH135">
        <v>13.914999999999999</v>
      </c>
      <c r="AI135">
        <v>15.255000000000001</v>
      </c>
      <c r="AJ135">
        <v>16.638000000000002</v>
      </c>
      <c r="AK135">
        <v>18.437999999999999</v>
      </c>
      <c r="AL135">
        <v>21.295999999999999</v>
      </c>
      <c r="AM135">
        <v>25.155999999999999</v>
      </c>
      <c r="AN135">
        <v>27.117000000000001</v>
      </c>
      <c r="AO135">
        <v>29.44</v>
      </c>
      <c r="AP135">
        <v>34.686</v>
      </c>
      <c r="AQ135">
        <v>40.43</v>
      </c>
      <c r="AR135">
        <v>45.6</v>
      </c>
      <c r="AS135">
        <v>49.920999999999999</v>
      </c>
      <c r="AT135">
        <v>54.091999999999999</v>
      </c>
      <c r="AU135">
        <v>57.908000000000001</v>
      </c>
      <c r="AV135">
        <v>62.203000000000003</v>
      </c>
      <c r="AW135">
        <v>64.929000000000002</v>
      </c>
      <c r="AX135">
        <v>66.983999999999995</v>
      </c>
      <c r="AY135">
        <v>53.976999999999997</v>
      </c>
      <c r="AZ135">
        <v>63.604999999999997</v>
      </c>
      <c r="BA135">
        <v>70.492000000000004</v>
      </c>
      <c r="BB135">
        <v>76.549000000000007</v>
      </c>
      <c r="BC135">
        <v>82.364000000000004</v>
      </c>
      <c r="BD135">
        <v>88.210999999999999</v>
      </c>
      <c r="BE135">
        <v>94.474000000000004</v>
      </c>
      <c r="BF135">
        <v>101.182</v>
      </c>
      <c r="BG135">
        <v>2020</v>
      </c>
      <c r="BH135">
        <v>53.976999999999997</v>
      </c>
      <c r="BI135">
        <v>2020</v>
      </c>
    </row>
    <row r="136" spans="1:61" hidden="1">
      <c r="A136">
        <v>853</v>
      </c>
      <c r="B136" t="s">
        <v>364</v>
      </c>
      <c r="C136" t="s">
        <v>1881</v>
      </c>
      <c r="D136" t="s">
        <v>150</v>
      </c>
      <c r="E136" t="str">
        <f>IF(ISNUMBER(VLOOKUP(B136,'OECD DAC'!B:C,2,FALSE)), "YES", " ")</f>
        <v xml:space="preserve"> </v>
      </c>
      <c r="F136" t="s">
        <v>1882</v>
      </c>
      <c r="G136" t="s">
        <v>1883</v>
      </c>
      <c r="H136" t="s">
        <v>1662</v>
      </c>
      <c r="I136" t="s">
        <v>883</v>
      </c>
      <c r="J136" t="s">
        <v>2018</v>
      </c>
      <c r="K136">
        <v>2.74</v>
      </c>
      <c r="L136">
        <v>2.6970000000000001</v>
      </c>
      <c r="M136">
        <v>2.806</v>
      </c>
      <c r="N136">
        <v>3.169</v>
      </c>
      <c r="O136">
        <v>3.1379999999999999</v>
      </c>
      <c r="P136">
        <v>3.25</v>
      </c>
      <c r="Q136">
        <v>3.4340000000000002</v>
      </c>
      <c r="R136">
        <v>3.528</v>
      </c>
      <c r="S136">
        <v>4.6820000000000004</v>
      </c>
      <c r="T136">
        <v>4.4980000000000002</v>
      </c>
      <c r="U136">
        <v>4.5430000000000001</v>
      </c>
      <c r="V136">
        <v>5.3250000000000002</v>
      </c>
      <c r="W136">
        <v>6.2370000000000001</v>
      </c>
      <c r="X136">
        <v>7.1890000000000001</v>
      </c>
      <c r="Y136">
        <v>8.1679999999999993</v>
      </c>
      <c r="Z136">
        <v>9.15</v>
      </c>
      <c r="AA136">
        <v>10.036</v>
      </c>
      <c r="AB136">
        <v>10.457000000000001</v>
      </c>
      <c r="AC136">
        <v>11.526</v>
      </c>
      <c r="AD136">
        <v>13.039</v>
      </c>
      <c r="AE136">
        <v>14.38</v>
      </c>
      <c r="AF136">
        <v>15.355</v>
      </c>
      <c r="AG136">
        <v>17.087</v>
      </c>
      <c r="AH136">
        <v>19.558</v>
      </c>
      <c r="AI136">
        <v>20.234000000000002</v>
      </c>
      <c r="AJ136">
        <v>22.765999999999998</v>
      </c>
      <c r="AK136">
        <v>25.539000000000001</v>
      </c>
      <c r="AL136">
        <v>28.303999999999998</v>
      </c>
      <c r="AM136">
        <v>31.512</v>
      </c>
      <c r="AN136">
        <v>32.012999999999998</v>
      </c>
      <c r="AO136">
        <v>38.752000000000002</v>
      </c>
      <c r="AP136">
        <v>42.642000000000003</v>
      </c>
      <c r="AQ136">
        <v>44.372</v>
      </c>
      <c r="AR136">
        <v>47.720999999999997</v>
      </c>
      <c r="AS136">
        <v>57.131</v>
      </c>
      <c r="AT136">
        <v>60.139000000000003</v>
      </c>
      <c r="AU136">
        <v>65.037999999999997</v>
      </c>
      <c r="AV136">
        <v>72.522000000000006</v>
      </c>
      <c r="AW136">
        <v>79.405000000000001</v>
      </c>
      <c r="AX136">
        <v>83.846000000000004</v>
      </c>
      <c r="AY136">
        <v>85.338999999999999</v>
      </c>
      <c r="AZ136">
        <v>93.2</v>
      </c>
      <c r="BA136">
        <v>103.518</v>
      </c>
      <c r="BB136">
        <v>111.875</v>
      </c>
      <c r="BC136">
        <v>118.684</v>
      </c>
      <c r="BD136">
        <v>125.90300000000001</v>
      </c>
      <c r="BE136">
        <v>133.643</v>
      </c>
      <c r="BF136">
        <v>141.93600000000001</v>
      </c>
      <c r="BG136">
        <v>2020</v>
      </c>
      <c r="BH136">
        <v>85.338999999999999</v>
      </c>
      <c r="BI136">
        <v>2020</v>
      </c>
    </row>
    <row r="137" spans="1:61" hidden="1">
      <c r="A137">
        <v>288</v>
      </c>
      <c r="B137" t="s">
        <v>403</v>
      </c>
      <c r="C137" t="s">
        <v>1881</v>
      </c>
      <c r="D137" t="s">
        <v>188</v>
      </c>
      <c r="E137" t="str">
        <f>IF(ISNUMBER(VLOOKUP(B137,'OECD DAC'!B:C,2,FALSE)), "YES", " ")</f>
        <v xml:space="preserve"> </v>
      </c>
      <c r="F137" t="s">
        <v>1882</v>
      </c>
      <c r="G137" t="s">
        <v>1883</v>
      </c>
      <c r="H137" t="s">
        <v>1662</v>
      </c>
      <c r="I137" t="s">
        <v>883</v>
      </c>
      <c r="J137" t="s">
        <v>2019</v>
      </c>
      <c r="K137">
        <v>515.94600000000003</v>
      </c>
      <c r="L137">
        <v>657.65899999999999</v>
      </c>
      <c r="M137">
        <v>689.173</v>
      </c>
      <c r="N137">
        <v>764.66499999999996</v>
      </c>
      <c r="O137">
        <v>991.18200000000002</v>
      </c>
      <c r="P137">
        <v>1292.43</v>
      </c>
      <c r="Q137">
        <v>1706.82</v>
      </c>
      <c r="R137">
        <v>2318.9</v>
      </c>
      <c r="S137">
        <v>3071.21</v>
      </c>
      <c r="T137">
        <v>4273.29</v>
      </c>
      <c r="U137">
        <v>6031.16</v>
      </c>
      <c r="V137">
        <v>9255.68</v>
      </c>
      <c r="W137">
        <v>10738.28</v>
      </c>
      <c r="X137">
        <v>12645.36</v>
      </c>
      <c r="Y137">
        <v>14992.33</v>
      </c>
      <c r="Z137">
        <v>17789.150000000001</v>
      </c>
      <c r="AA137">
        <v>20132.86</v>
      </c>
      <c r="AB137">
        <v>21702.87</v>
      </c>
      <c r="AC137">
        <v>25248.61</v>
      </c>
      <c r="AD137">
        <v>27563.439999999999</v>
      </c>
      <c r="AE137">
        <v>30874.09</v>
      </c>
      <c r="AF137">
        <v>34883.19</v>
      </c>
      <c r="AG137">
        <v>41135.699999999997</v>
      </c>
      <c r="AH137">
        <v>49411.96</v>
      </c>
      <c r="AI137">
        <v>57501.99</v>
      </c>
      <c r="AJ137">
        <v>66335.83</v>
      </c>
      <c r="AK137">
        <v>75681.66</v>
      </c>
      <c r="AL137">
        <v>89866.05</v>
      </c>
      <c r="AM137">
        <v>107403.59</v>
      </c>
      <c r="AN137">
        <v>111030.93</v>
      </c>
      <c r="AO137">
        <v>129092.88</v>
      </c>
      <c r="AP137">
        <v>141486.45000000001</v>
      </c>
      <c r="AQ137">
        <v>147225.51</v>
      </c>
      <c r="AR137">
        <v>166350.81</v>
      </c>
      <c r="AS137">
        <v>180174.06</v>
      </c>
      <c r="AT137">
        <v>188477.33</v>
      </c>
      <c r="AU137">
        <v>204647.27</v>
      </c>
      <c r="AV137">
        <v>219122.28</v>
      </c>
      <c r="AW137">
        <v>230576.48</v>
      </c>
      <c r="AX137">
        <v>236566.7</v>
      </c>
      <c r="AY137">
        <v>239914.73</v>
      </c>
      <c r="AZ137">
        <v>264103</v>
      </c>
      <c r="BA137">
        <v>293107.56</v>
      </c>
      <c r="BB137">
        <v>318746.33</v>
      </c>
      <c r="BC137">
        <v>341861.15</v>
      </c>
      <c r="BD137">
        <v>369557.32</v>
      </c>
      <c r="BE137">
        <v>398057.35</v>
      </c>
      <c r="BF137">
        <v>429327.18</v>
      </c>
      <c r="BG137">
        <v>2020</v>
      </c>
      <c r="BH137">
        <v>239914.73</v>
      </c>
      <c r="BI137">
        <v>2020</v>
      </c>
    </row>
    <row r="138" spans="1:61" hidden="1">
      <c r="A138">
        <v>293</v>
      </c>
      <c r="B138" t="s">
        <v>411</v>
      </c>
      <c r="C138" t="s">
        <v>1881</v>
      </c>
      <c r="D138" t="s">
        <v>196</v>
      </c>
      <c r="E138" t="str">
        <f>IF(ISNUMBER(VLOOKUP(B138,'OECD DAC'!B:C,2,FALSE)), "YES", " ")</f>
        <v xml:space="preserve"> </v>
      </c>
      <c r="F138" t="s">
        <v>1882</v>
      </c>
      <c r="G138" t="s">
        <v>1883</v>
      </c>
      <c r="H138" t="s">
        <v>1662</v>
      </c>
      <c r="I138" t="s">
        <v>883</v>
      </c>
      <c r="J138" t="s">
        <v>2020</v>
      </c>
      <c r="K138" t="s">
        <v>1686</v>
      </c>
      <c r="L138" t="s">
        <v>1686</v>
      </c>
      <c r="M138" t="s">
        <v>1686</v>
      </c>
      <c r="N138" t="s">
        <v>1686</v>
      </c>
      <c r="O138" t="s">
        <v>1686</v>
      </c>
      <c r="P138" t="s">
        <v>1686</v>
      </c>
      <c r="Q138" t="s">
        <v>1686</v>
      </c>
      <c r="R138">
        <v>1E-3</v>
      </c>
      <c r="S138">
        <v>4.0000000000000001E-3</v>
      </c>
      <c r="T138">
        <v>0.109</v>
      </c>
      <c r="U138">
        <v>5.3220000000000001</v>
      </c>
      <c r="V138">
        <v>26.256</v>
      </c>
      <c r="W138">
        <v>43.99</v>
      </c>
      <c r="X138">
        <v>68.078999999999994</v>
      </c>
      <c r="Y138">
        <v>94.724999999999994</v>
      </c>
      <c r="Z138">
        <v>115.571</v>
      </c>
      <c r="AA138">
        <v>130.81</v>
      </c>
      <c r="AB138">
        <v>149.75</v>
      </c>
      <c r="AC138">
        <v>157.834</v>
      </c>
      <c r="AD138">
        <v>164.77099999999999</v>
      </c>
      <c r="AE138">
        <v>175.86199999999999</v>
      </c>
      <c r="AF138">
        <v>178.97499999999999</v>
      </c>
      <c r="AG138">
        <v>189.74199999999999</v>
      </c>
      <c r="AH138">
        <v>203.61199999999999</v>
      </c>
      <c r="AI138">
        <v>225.69200000000001</v>
      </c>
      <c r="AJ138">
        <v>244.65100000000001</v>
      </c>
      <c r="AK138">
        <v>286.31400000000002</v>
      </c>
      <c r="AL138">
        <v>319.69299999999998</v>
      </c>
      <c r="AM138">
        <v>356.07299999999998</v>
      </c>
      <c r="AN138">
        <v>365.96499999999997</v>
      </c>
      <c r="AO138">
        <v>420.41899999999998</v>
      </c>
      <c r="AP138">
        <v>470.02100000000002</v>
      </c>
      <c r="AQ138">
        <v>508.63299999999998</v>
      </c>
      <c r="AR138">
        <v>546.1</v>
      </c>
      <c r="AS138">
        <v>574.21799999999996</v>
      </c>
      <c r="AT138">
        <v>609.14499999999998</v>
      </c>
      <c r="AU138">
        <v>655.76</v>
      </c>
      <c r="AV138">
        <v>698.24400000000003</v>
      </c>
      <c r="AW138">
        <v>740.82</v>
      </c>
      <c r="AX138">
        <v>770.53099999999995</v>
      </c>
      <c r="AY138">
        <v>717.399</v>
      </c>
      <c r="AZ138">
        <v>871.97799999999995</v>
      </c>
      <c r="BA138">
        <v>958.00199999999995</v>
      </c>
      <c r="BB138">
        <v>1017.54</v>
      </c>
      <c r="BC138">
        <v>1070.47</v>
      </c>
      <c r="BD138">
        <v>1122.8599999999999</v>
      </c>
      <c r="BE138">
        <v>1178.1099999999999</v>
      </c>
      <c r="BF138">
        <v>1236.55</v>
      </c>
      <c r="BG138">
        <v>2021</v>
      </c>
      <c r="BH138">
        <v>871.97799999999995</v>
      </c>
      <c r="BI138">
        <v>2021</v>
      </c>
    </row>
    <row r="139" spans="1:61" hidden="1">
      <c r="A139">
        <v>566</v>
      </c>
      <c r="B139" t="s">
        <v>377</v>
      </c>
      <c r="C139" t="s">
        <v>1881</v>
      </c>
      <c r="D139" t="s">
        <v>163</v>
      </c>
      <c r="E139" t="str">
        <f>IF(ISNUMBER(VLOOKUP(B139,'OECD DAC'!B:C,2,FALSE)), "YES", " ")</f>
        <v xml:space="preserve"> </v>
      </c>
      <c r="F139" t="s">
        <v>1882</v>
      </c>
      <c r="G139" t="s">
        <v>1883</v>
      </c>
      <c r="H139" t="s">
        <v>1662</v>
      </c>
      <c r="I139" t="s">
        <v>883</v>
      </c>
      <c r="J139" t="s">
        <v>2021</v>
      </c>
      <c r="K139">
        <v>278.541</v>
      </c>
      <c r="L139">
        <v>321.79000000000002</v>
      </c>
      <c r="M139">
        <v>362.45</v>
      </c>
      <c r="N139">
        <v>421.75799999999998</v>
      </c>
      <c r="O139">
        <v>599.34400000000005</v>
      </c>
      <c r="P139">
        <v>653.51199999999994</v>
      </c>
      <c r="Q139">
        <v>695.798</v>
      </c>
      <c r="R139">
        <v>780.22</v>
      </c>
      <c r="S139">
        <v>913.255</v>
      </c>
      <c r="T139">
        <v>1057.54</v>
      </c>
      <c r="U139">
        <v>1227.8800000000001</v>
      </c>
      <c r="V139">
        <v>1422.96</v>
      </c>
      <c r="W139">
        <v>1541.53</v>
      </c>
      <c r="X139">
        <v>1682.42</v>
      </c>
      <c r="Y139">
        <v>1932.66</v>
      </c>
      <c r="Z139">
        <v>2176.58</v>
      </c>
      <c r="AA139">
        <v>2481.3000000000002</v>
      </c>
      <c r="AB139">
        <v>2773.37</v>
      </c>
      <c r="AC139">
        <v>3046.22</v>
      </c>
      <c r="AD139">
        <v>3347.59</v>
      </c>
      <c r="AE139">
        <v>3697.56</v>
      </c>
      <c r="AF139">
        <v>4024.4</v>
      </c>
      <c r="AG139">
        <v>4350.5600000000004</v>
      </c>
      <c r="AH139">
        <v>4717.8100000000004</v>
      </c>
      <c r="AI139">
        <v>5323.9</v>
      </c>
      <c r="AJ139">
        <v>5917.28</v>
      </c>
      <c r="AK139">
        <v>6550.42</v>
      </c>
      <c r="AL139">
        <v>7198.24</v>
      </c>
      <c r="AM139">
        <v>8050.2</v>
      </c>
      <c r="AN139">
        <v>8390.42</v>
      </c>
      <c r="AO139">
        <v>9399.4500000000007</v>
      </c>
      <c r="AP139">
        <v>10144.66</v>
      </c>
      <c r="AQ139">
        <v>11060.59</v>
      </c>
      <c r="AR139">
        <v>12050.59</v>
      </c>
      <c r="AS139">
        <v>13206.83</v>
      </c>
      <c r="AT139">
        <v>13944.16</v>
      </c>
      <c r="AU139">
        <v>15132.38</v>
      </c>
      <c r="AV139">
        <v>16556.650000000001</v>
      </c>
      <c r="AW139">
        <v>18265.189999999999</v>
      </c>
      <c r="AX139">
        <v>19517.86</v>
      </c>
      <c r="AY139">
        <v>17938.580000000002</v>
      </c>
      <c r="AZ139">
        <v>19387.21</v>
      </c>
      <c r="BA139">
        <v>21393.31</v>
      </c>
      <c r="BB139">
        <v>23433.46</v>
      </c>
      <c r="BC139">
        <v>25587.83</v>
      </c>
      <c r="BD139">
        <v>27920.9</v>
      </c>
      <c r="BE139">
        <v>30471.38</v>
      </c>
      <c r="BF139">
        <v>33259.769999999997</v>
      </c>
      <c r="BG139">
        <v>2021</v>
      </c>
      <c r="BH139">
        <v>19387.21</v>
      </c>
      <c r="BI139">
        <v>2021</v>
      </c>
    </row>
    <row r="140" spans="1:61">
      <c r="A140">
        <v>964</v>
      </c>
      <c r="B140" t="s">
        <v>441</v>
      </c>
      <c r="C140" t="s">
        <v>1881</v>
      </c>
      <c r="D140" t="s">
        <v>75</v>
      </c>
      <c r="E140" t="str">
        <f>IF(ISNUMBER(VLOOKUP(B140,'OECD DAC'!B:C,2,FALSE)), "YES", " ")</f>
        <v>YES</v>
      </c>
      <c r="F140" t="s">
        <v>1882</v>
      </c>
      <c r="G140" t="s">
        <v>1883</v>
      </c>
      <c r="H140" t="s">
        <v>1662</v>
      </c>
      <c r="I140" t="s">
        <v>883</v>
      </c>
      <c r="J140" t="s">
        <v>2022</v>
      </c>
      <c r="K140">
        <v>0.251</v>
      </c>
      <c r="L140">
        <v>0.27500000000000002</v>
      </c>
      <c r="M140">
        <v>0.55400000000000005</v>
      </c>
      <c r="N140">
        <v>0.69199999999999995</v>
      </c>
      <c r="O140">
        <v>0.85699999999999998</v>
      </c>
      <c r="P140">
        <v>1.0429999999999999</v>
      </c>
      <c r="Q140">
        <v>1.294</v>
      </c>
      <c r="R140">
        <v>1.6919999999999999</v>
      </c>
      <c r="S140">
        <v>2.96</v>
      </c>
      <c r="T140">
        <v>9.6449999999999996</v>
      </c>
      <c r="U140">
        <v>59.095999999999997</v>
      </c>
      <c r="V140">
        <v>85.31</v>
      </c>
      <c r="W140">
        <v>121.163</v>
      </c>
      <c r="X140">
        <v>164.292</v>
      </c>
      <c r="Y140">
        <v>236.10400000000001</v>
      </c>
      <c r="Z140">
        <v>337.88600000000002</v>
      </c>
      <c r="AA140">
        <v>423.26799999999997</v>
      </c>
      <c r="AB140">
        <v>516.36900000000003</v>
      </c>
      <c r="AC140">
        <v>602.08600000000001</v>
      </c>
      <c r="AD140">
        <v>667</v>
      </c>
      <c r="AE140">
        <v>745.84500000000003</v>
      </c>
      <c r="AF140">
        <v>781.1</v>
      </c>
      <c r="AG140">
        <v>812.21400000000006</v>
      </c>
      <c r="AH140">
        <v>847.15200000000004</v>
      </c>
      <c r="AI140">
        <v>933.09199999999998</v>
      </c>
      <c r="AJ140">
        <v>990.53</v>
      </c>
      <c r="AK140">
        <v>1069.43</v>
      </c>
      <c r="AL140">
        <v>1187.51</v>
      </c>
      <c r="AM140">
        <v>1285.57</v>
      </c>
      <c r="AN140">
        <v>1372.03</v>
      </c>
      <c r="AO140">
        <v>1446.84</v>
      </c>
      <c r="AP140">
        <v>1565.25</v>
      </c>
      <c r="AQ140">
        <v>1623.44</v>
      </c>
      <c r="AR140">
        <v>1646.72</v>
      </c>
      <c r="AS140">
        <v>1711.24</v>
      </c>
      <c r="AT140">
        <v>1801.11</v>
      </c>
      <c r="AU140">
        <v>1863.49</v>
      </c>
      <c r="AV140">
        <v>1989.84</v>
      </c>
      <c r="AW140">
        <v>2121.56</v>
      </c>
      <c r="AX140">
        <v>2293.1999999999998</v>
      </c>
      <c r="AY140">
        <v>2326.66</v>
      </c>
      <c r="AZ140">
        <v>2603.11</v>
      </c>
      <c r="BA140">
        <v>2901.49</v>
      </c>
      <c r="BB140">
        <v>3300.8</v>
      </c>
      <c r="BC140">
        <v>3555.24</v>
      </c>
      <c r="BD140">
        <v>3805.88</v>
      </c>
      <c r="BE140">
        <v>4058.39</v>
      </c>
      <c r="BF140">
        <v>4306.13</v>
      </c>
      <c r="BG140">
        <v>2021</v>
      </c>
      <c r="BH140">
        <v>2603.11</v>
      </c>
      <c r="BI140">
        <v>2021</v>
      </c>
    </row>
    <row r="141" spans="1:61">
      <c r="A141">
        <v>182</v>
      </c>
      <c r="B141" t="s">
        <v>445</v>
      </c>
      <c r="C141" t="s">
        <v>1881</v>
      </c>
      <c r="D141" t="s">
        <v>62</v>
      </c>
      <c r="E141" t="str">
        <f>IF(ISNUMBER(VLOOKUP(B141,'OECD DAC'!B:C,2,FALSE)), "YES", " ")</f>
        <v>YES</v>
      </c>
      <c r="F141" t="s">
        <v>1882</v>
      </c>
      <c r="G141" t="s">
        <v>1883</v>
      </c>
      <c r="H141" t="s">
        <v>1662</v>
      </c>
      <c r="I141" t="s">
        <v>883</v>
      </c>
      <c r="J141" t="s">
        <v>2023</v>
      </c>
      <c r="K141">
        <v>8.1370000000000005</v>
      </c>
      <c r="L141">
        <v>9.9239999999999995</v>
      </c>
      <c r="M141">
        <v>12</v>
      </c>
      <c r="N141">
        <v>15.332000000000001</v>
      </c>
      <c r="O141">
        <v>18.827000000000002</v>
      </c>
      <c r="P141">
        <v>23.111999999999998</v>
      </c>
      <c r="Q141">
        <v>28.245000000000001</v>
      </c>
      <c r="R141">
        <v>33.28</v>
      </c>
      <c r="S141">
        <v>39.725000000000001</v>
      </c>
      <c r="T141">
        <v>46.930999999999997</v>
      </c>
      <c r="U141">
        <v>56.350999999999999</v>
      </c>
      <c r="V141">
        <v>64.616</v>
      </c>
      <c r="W141">
        <v>72.644000000000005</v>
      </c>
      <c r="X141">
        <v>75.972999999999999</v>
      </c>
      <c r="Y141">
        <v>82.370999999999995</v>
      </c>
      <c r="Z141">
        <v>89.028999999999996</v>
      </c>
      <c r="AA141">
        <v>94.352000000000004</v>
      </c>
      <c r="AB141">
        <v>102.331</v>
      </c>
      <c r="AC141">
        <v>111.35299999999999</v>
      </c>
      <c r="AD141">
        <v>119.60299999999999</v>
      </c>
      <c r="AE141">
        <v>128.41499999999999</v>
      </c>
      <c r="AF141">
        <v>135.77500000000001</v>
      </c>
      <c r="AG141">
        <v>142.554</v>
      </c>
      <c r="AH141">
        <v>146.06800000000001</v>
      </c>
      <c r="AI141">
        <v>152.24799999999999</v>
      </c>
      <c r="AJ141">
        <v>158.553</v>
      </c>
      <c r="AK141">
        <v>166.26</v>
      </c>
      <c r="AL141">
        <v>175.483</v>
      </c>
      <c r="AM141">
        <v>179.10300000000001</v>
      </c>
      <c r="AN141">
        <v>175.416</v>
      </c>
      <c r="AO141">
        <v>179.61099999999999</v>
      </c>
      <c r="AP141">
        <v>176.096</v>
      </c>
      <c r="AQ141">
        <v>168.29599999999999</v>
      </c>
      <c r="AR141">
        <v>170.49199999999999</v>
      </c>
      <c r="AS141">
        <v>173.054</v>
      </c>
      <c r="AT141">
        <v>179.71299999999999</v>
      </c>
      <c r="AU141">
        <v>186.49</v>
      </c>
      <c r="AV141">
        <v>195.947</v>
      </c>
      <c r="AW141">
        <v>205.184</v>
      </c>
      <c r="AX141">
        <v>214.375</v>
      </c>
      <c r="AY141">
        <v>200.08799999999999</v>
      </c>
      <c r="AZ141">
        <v>211.27799999999999</v>
      </c>
      <c r="BA141">
        <v>226.04</v>
      </c>
      <c r="BB141">
        <v>236.423</v>
      </c>
      <c r="BC141">
        <v>246.78299999999999</v>
      </c>
      <c r="BD141">
        <v>256.80799999999999</v>
      </c>
      <c r="BE141">
        <v>266.42</v>
      </c>
      <c r="BF141">
        <v>276.10000000000002</v>
      </c>
      <c r="BG141">
        <v>2021</v>
      </c>
      <c r="BH141">
        <v>211.27799999999999</v>
      </c>
      <c r="BI141">
        <v>2021</v>
      </c>
    </row>
    <row r="142" spans="1:61" hidden="1">
      <c r="A142">
        <v>359</v>
      </c>
      <c r="B142" t="s">
        <v>579</v>
      </c>
      <c r="C142" t="s">
        <v>1881</v>
      </c>
      <c r="D142" t="s">
        <v>243</v>
      </c>
      <c r="E142" t="str">
        <f>IF(ISNUMBER(VLOOKUP(B142,'OECD DAC'!B:C,2,FALSE)), "YES", " ")</f>
        <v xml:space="preserve"> </v>
      </c>
      <c r="F142" t="s">
        <v>1882</v>
      </c>
      <c r="G142" t="s">
        <v>1883</v>
      </c>
      <c r="H142" t="s">
        <v>1662</v>
      </c>
      <c r="I142" t="s">
        <v>883</v>
      </c>
      <c r="J142" t="s">
        <v>2024</v>
      </c>
      <c r="K142">
        <v>14.436</v>
      </c>
      <c r="L142">
        <v>15.956</v>
      </c>
      <c r="M142">
        <v>16.763999999999999</v>
      </c>
      <c r="N142">
        <v>17.277000000000001</v>
      </c>
      <c r="O142">
        <v>19.163</v>
      </c>
      <c r="P142">
        <v>20.289000000000001</v>
      </c>
      <c r="Q142">
        <v>21.969000000000001</v>
      </c>
      <c r="R142">
        <v>23.878</v>
      </c>
      <c r="S142">
        <v>26.178000000000001</v>
      </c>
      <c r="T142">
        <v>28.266999999999999</v>
      </c>
      <c r="U142">
        <v>30.603999999999999</v>
      </c>
      <c r="V142">
        <v>32.286999999999999</v>
      </c>
      <c r="W142">
        <v>34.630000000000003</v>
      </c>
      <c r="X142">
        <v>36.923000000000002</v>
      </c>
      <c r="Y142">
        <v>39.691000000000003</v>
      </c>
      <c r="Z142">
        <v>42.646999999999998</v>
      </c>
      <c r="AA142">
        <v>45.341000000000001</v>
      </c>
      <c r="AB142">
        <v>48.186999999999998</v>
      </c>
      <c r="AC142">
        <v>54.085999999999999</v>
      </c>
      <c r="AD142">
        <v>57.841000000000001</v>
      </c>
      <c r="AE142">
        <v>61.701999999999998</v>
      </c>
      <c r="AF142">
        <v>69.668999999999997</v>
      </c>
      <c r="AG142">
        <v>72.546000000000006</v>
      </c>
      <c r="AH142">
        <v>75.834000000000003</v>
      </c>
      <c r="AI142">
        <v>80.322000000000003</v>
      </c>
      <c r="AJ142">
        <v>83.915000000000006</v>
      </c>
      <c r="AK142">
        <v>87.275999999999996</v>
      </c>
      <c r="AL142">
        <v>89.524000000000001</v>
      </c>
      <c r="AM142">
        <v>93.638999999999996</v>
      </c>
      <c r="AN142">
        <v>96.385999999999996</v>
      </c>
      <c r="AO142">
        <v>98.381</v>
      </c>
      <c r="AP142">
        <v>100.352</v>
      </c>
      <c r="AQ142">
        <v>101.565</v>
      </c>
      <c r="AR142">
        <v>102.45</v>
      </c>
      <c r="AS142">
        <v>102.446</v>
      </c>
      <c r="AT142">
        <v>103.376</v>
      </c>
      <c r="AU142">
        <v>104.337</v>
      </c>
      <c r="AV142">
        <v>103.446</v>
      </c>
      <c r="AW142">
        <v>104.925</v>
      </c>
      <c r="AX142">
        <v>104.91500000000001</v>
      </c>
      <c r="AY142">
        <v>103.13800000000001</v>
      </c>
      <c r="AZ142">
        <v>106.669</v>
      </c>
      <c r="BA142">
        <v>116.762</v>
      </c>
      <c r="BB142">
        <v>121.068</v>
      </c>
      <c r="BC142">
        <v>121.371</v>
      </c>
      <c r="BD142">
        <v>122.458</v>
      </c>
      <c r="BE142">
        <v>124.17</v>
      </c>
      <c r="BF142">
        <v>126.34699999999999</v>
      </c>
      <c r="BG142">
        <v>2020</v>
      </c>
      <c r="BH142">
        <v>103.13800000000001</v>
      </c>
      <c r="BI142">
        <v>2020</v>
      </c>
    </row>
    <row r="143" spans="1:61" hidden="1">
      <c r="A143">
        <v>453</v>
      </c>
      <c r="B143" t="s">
        <v>580</v>
      </c>
      <c r="C143" t="s">
        <v>1881</v>
      </c>
      <c r="D143" t="s">
        <v>260</v>
      </c>
      <c r="E143" t="str">
        <f>IF(ISNUMBER(VLOOKUP(B143,'OECD DAC'!B:C,2,FALSE)), "YES", " ")</f>
        <v xml:space="preserve"> </v>
      </c>
      <c r="F143" t="s">
        <v>1882</v>
      </c>
      <c r="G143" t="s">
        <v>1883</v>
      </c>
      <c r="H143" t="s">
        <v>1662</v>
      </c>
      <c r="I143" t="s">
        <v>883</v>
      </c>
      <c r="J143" t="s">
        <v>2025</v>
      </c>
      <c r="K143">
        <v>24.375</v>
      </c>
      <c r="L143">
        <v>26.84</v>
      </c>
      <c r="M143">
        <v>23.541</v>
      </c>
      <c r="N143">
        <v>20.042000000000002</v>
      </c>
      <c r="O143">
        <v>20.776</v>
      </c>
      <c r="P143">
        <v>19.434999999999999</v>
      </c>
      <c r="Q143">
        <v>15.34</v>
      </c>
      <c r="R143">
        <v>16.164999999999999</v>
      </c>
      <c r="S143">
        <v>15.506</v>
      </c>
      <c r="T143">
        <v>16.387</v>
      </c>
      <c r="U143">
        <v>22.809000000000001</v>
      </c>
      <c r="V143">
        <v>20.308</v>
      </c>
      <c r="W143">
        <v>23.238</v>
      </c>
      <c r="X143">
        <v>21.126999999999999</v>
      </c>
      <c r="Y143">
        <v>21.643000000000001</v>
      </c>
      <c r="Z143">
        <v>24.972999999999999</v>
      </c>
      <c r="AA143">
        <v>28.248999999999999</v>
      </c>
      <c r="AB143">
        <v>36.314</v>
      </c>
      <c r="AC143">
        <v>30.895</v>
      </c>
      <c r="AD143">
        <v>41.006999999999998</v>
      </c>
      <c r="AE143">
        <v>65.828000000000003</v>
      </c>
      <c r="AF143">
        <v>63.692</v>
      </c>
      <c r="AG143">
        <v>70.375</v>
      </c>
      <c r="AH143">
        <v>86.325000000000003</v>
      </c>
      <c r="AI143">
        <v>111.569</v>
      </c>
      <c r="AJ143">
        <v>162.476</v>
      </c>
      <c r="AK143">
        <v>213.40899999999999</v>
      </c>
      <c r="AL143">
        <v>276.59100000000001</v>
      </c>
      <c r="AM143">
        <v>409.94200000000001</v>
      </c>
      <c r="AN143">
        <v>321.03199999999998</v>
      </c>
      <c r="AO143">
        <v>435.73399999999998</v>
      </c>
      <c r="AP143">
        <v>610.702</v>
      </c>
      <c r="AQ143">
        <v>680.07399999999996</v>
      </c>
      <c r="AR143">
        <v>723.36900000000003</v>
      </c>
      <c r="AS143">
        <v>750.65800000000002</v>
      </c>
      <c r="AT143">
        <v>588.73299999999995</v>
      </c>
      <c r="AU143">
        <v>552.30499999999995</v>
      </c>
      <c r="AV143">
        <v>586.40099999999995</v>
      </c>
      <c r="AW143">
        <v>667.33900000000006</v>
      </c>
      <c r="AX143">
        <v>641.99099999999999</v>
      </c>
      <c r="AY143">
        <v>525.65700000000004</v>
      </c>
      <c r="AZ143">
        <v>653.63800000000003</v>
      </c>
      <c r="BA143">
        <v>821.60400000000004</v>
      </c>
      <c r="BB143">
        <v>831.21400000000006</v>
      </c>
      <c r="BC143">
        <v>839.81100000000004</v>
      </c>
      <c r="BD143">
        <v>866.35599999999999</v>
      </c>
      <c r="BE143">
        <v>899.71799999999996</v>
      </c>
      <c r="BF143">
        <v>935.13699999999994</v>
      </c>
      <c r="BG143">
        <v>2020</v>
      </c>
      <c r="BH143">
        <v>525.65700000000004</v>
      </c>
      <c r="BI143">
        <v>2020</v>
      </c>
    </row>
    <row r="144" spans="1:61" hidden="1">
      <c r="A144">
        <v>968</v>
      </c>
      <c r="B144" t="s">
        <v>549</v>
      </c>
      <c r="C144" t="s">
        <v>1881</v>
      </c>
      <c r="D144" t="s">
        <v>229</v>
      </c>
      <c r="E144" t="str">
        <f>IF(ISNUMBER(VLOOKUP(B144,'OECD DAC'!B:C,2,FALSE)), "YES", " ")</f>
        <v xml:space="preserve"> </v>
      </c>
      <c r="F144" t="s">
        <v>1882</v>
      </c>
      <c r="G144" t="s">
        <v>1883</v>
      </c>
      <c r="H144" t="s">
        <v>1662</v>
      </c>
      <c r="I144" t="s">
        <v>883</v>
      </c>
      <c r="J144" t="s">
        <v>2026</v>
      </c>
      <c r="K144">
        <v>8.3000000000000004E-2</v>
      </c>
      <c r="L144">
        <v>8.3000000000000004E-2</v>
      </c>
      <c r="M144">
        <v>8.3000000000000004E-2</v>
      </c>
      <c r="N144">
        <v>8.3000000000000004E-2</v>
      </c>
      <c r="O144">
        <v>8.3000000000000004E-2</v>
      </c>
      <c r="P144">
        <v>8.3000000000000004E-2</v>
      </c>
      <c r="Q144">
        <v>8.5000000000000006E-2</v>
      </c>
      <c r="R144">
        <v>8.5000000000000006E-2</v>
      </c>
      <c r="S144">
        <v>8.6999999999999994E-2</v>
      </c>
      <c r="T144">
        <v>8.1000000000000003E-2</v>
      </c>
      <c r="U144">
        <v>8.6999999999999994E-2</v>
      </c>
      <c r="V144">
        <v>0.223</v>
      </c>
      <c r="W144">
        <v>0.60899999999999999</v>
      </c>
      <c r="X144">
        <v>2.024</v>
      </c>
      <c r="Y144">
        <v>5.0279999999999996</v>
      </c>
      <c r="Z144">
        <v>7.2869999999999999</v>
      </c>
      <c r="AA144">
        <v>11.002000000000001</v>
      </c>
      <c r="AB144">
        <v>25.548999999999999</v>
      </c>
      <c r="AC144">
        <v>37.759</v>
      </c>
      <c r="AD144">
        <v>55.125999999999998</v>
      </c>
      <c r="AE144">
        <v>80.873000000000005</v>
      </c>
      <c r="AF144">
        <v>117.39100000000001</v>
      </c>
      <c r="AG144">
        <v>152.27199999999999</v>
      </c>
      <c r="AH144">
        <v>191.91800000000001</v>
      </c>
      <c r="AI144">
        <v>244.68799999999999</v>
      </c>
      <c r="AJ144">
        <v>286.86200000000002</v>
      </c>
      <c r="AK144">
        <v>342.76299999999998</v>
      </c>
      <c r="AL144">
        <v>425.69099999999997</v>
      </c>
      <c r="AM144">
        <v>539.83500000000004</v>
      </c>
      <c r="AN144">
        <v>530.89400000000001</v>
      </c>
      <c r="AO144">
        <v>528.51499999999999</v>
      </c>
      <c r="AP144">
        <v>558.89</v>
      </c>
      <c r="AQ144">
        <v>591.79899999999998</v>
      </c>
      <c r="AR144">
        <v>634.96799999999996</v>
      </c>
      <c r="AS144">
        <v>669.70399999999995</v>
      </c>
      <c r="AT144">
        <v>711.93</v>
      </c>
      <c r="AU144">
        <v>763.65300000000002</v>
      </c>
      <c r="AV144">
        <v>857.89599999999996</v>
      </c>
      <c r="AW144">
        <v>951.72900000000004</v>
      </c>
      <c r="AX144">
        <v>1058.97</v>
      </c>
      <c r="AY144">
        <v>1058.93</v>
      </c>
      <c r="AZ144">
        <v>1179.3800000000001</v>
      </c>
      <c r="BA144">
        <v>1257.72</v>
      </c>
      <c r="BB144">
        <v>1355.25</v>
      </c>
      <c r="BC144">
        <v>1445.08</v>
      </c>
      <c r="BD144">
        <v>1538.22</v>
      </c>
      <c r="BE144">
        <v>1635.81</v>
      </c>
      <c r="BF144">
        <v>1738.26</v>
      </c>
      <c r="BG144">
        <v>2020</v>
      </c>
      <c r="BH144">
        <v>1058.93</v>
      </c>
      <c r="BI144">
        <v>2020</v>
      </c>
    </row>
    <row r="145" spans="1:61" hidden="1">
      <c r="A145">
        <v>922</v>
      </c>
      <c r="B145" t="s">
        <v>438</v>
      </c>
      <c r="C145" t="s">
        <v>1881</v>
      </c>
      <c r="D145" t="s">
        <v>1819</v>
      </c>
      <c r="E145" t="str">
        <f>IF(ISNUMBER(VLOOKUP(B145,'OECD DAC'!B:C,2,FALSE)), "YES", " ")</f>
        <v xml:space="preserve"> </v>
      </c>
      <c r="F145" t="s">
        <v>1882</v>
      </c>
      <c r="G145" t="s">
        <v>1883</v>
      </c>
      <c r="H145" t="s">
        <v>1662</v>
      </c>
      <c r="I145" t="s">
        <v>883</v>
      </c>
      <c r="J145" t="s">
        <v>2027</v>
      </c>
      <c r="K145" t="s">
        <v>1664</v>
      </c>
      <c r="L145" t="s">
        <v>1664</v>
      </c>
      <c r="M145" t="s">
        <v>1664</v>
      </c>
      <c r="N145" t="s">
        <v>1664</v>
      </c>
      <c r="O145" t="s">
        <v>1664</v>
      </c>
      <c r="P145" t="s">
        <v>1664</v>
      </c>
      <c r="Q145" t="s">
        <v>1664</v>
      </c>
      <c r="R145" t="s">
        <v>1664</v>
      </c>
      <c r="S145" t="s">
        <v>1664</v>
      </c>
      <c r="T145" t="s">
        <v>1664</v>
      </c>
      <c r="U145" t="s">
        <v>1664</v>
      </c>
      <c r="V145" t="s">
        <v>1664</v>
      </c>
      <c r="W145">
        <v>20.36</v>
      </c>
      <c r="X145">
        <v>183.68</v>
      </c>
      <c r="Y145">
        <v>654.26</v>
      </c>
      <c r="Z145">
        <v>1530.71</v>
      </c>
      <c r="AA145">
        <v>2151.37</v>
      </c>
      <c r="AB145">
        <v>2509.96</v>
      </c>
      <c r="AC145">
        <v>2817.61</v>
      </c>
      <c r="AD145">
        <v>5167.82</v>
      </c>
      <c r="AE145">
        <v>7827.47</v>
      </c>
      <c r="AF145">
        <v>9582.5400000000009</v>
      </c>
      <c r="AG145">
        <v>11604.47</v>
      </c>
      <c r="AH145">
        <v>14152.13</v>
      </c>
      <c r="AI145">
        <v>18243.96</v>
      </c>
      <c r="AJ145">
        <v>23153.9</v>
      </c>
      <c r="AK145">
        <v>28840.560000000001</v>
      </c>
      <c r="AL145">
        <v>35623.160000000003</v>
      </c>
      <c r="AM145">
        <v>44226.32</v>
      </c>
      <c r="AN145">
        <v>41580.160000000003</v>
      </c>
      <c r="AO145">
        <v>49617.63</v>
      </c>
      <c r="AP145">
        <v>60114</v>
      </c>
      <c r="AQ145">
        <v>68103.399999999994</v>
      </c>
      <c r="AR145">
        <v>72985.7</v>
      </c>
      <c r="AS145">
        <v>79030</v>
      </c>
      <c r="AT145">
        <v>83087.399999999994</v>
      </c>
      <c r="AU145">
        <v>85616.1</v>
      </c>
      <c r="AV145">
        <v>91843.199999999997</v>
      </c>
      <c r="AW145">
        <v>103861.7</v>
      </c>
      <c r="AX145">
        <v>109608.3</v>
      </c>
      <c r="AY145">
        <v>107315.3</v>
      </c>
      <c r="AZ145">
        <v>130795.3</v>
      </c>
      <c r="BA145">
        <v>149726.06</v>
      </c>
      <c r="BB145">
        <v>159365.85</v>
      </c>
      <c r="BC145">
        <v>172968.21</v>
      </c>
      <c r="BD145">
        <v>184236.18</v>
      </c>
      <c r="BE145">
        <v>191877.81</v>
      </c>
      <c r="BF145">
        <v>200053.53</v>
      </c>
      <c r="BG145">
        <v>2021</v>
      </c>
      <c r="BH145">
        <v>130795.3</v>
      </c>
      <c r="BI145">
        <v>2021</v>
      </c>
    </row>
    <row r="146" spans="1:61" hidden="1">
      <c r="A146">
        <v>714</v>
      </c>
      <c r="B146" t="s">
        <v>324</v>
      </c>
      <c r="C146" t="s">
        <v>1881</v>
      </c>
      <c r="D146" t="s">
        <v>111</v>
      </c>
      <c r="E146" t="str">
        <f>IF(ISNUMBER(VLOOKUP(B146,'OECD DAC'!B:C,2,FALSE)), "YES", " ")</f>
        <v xml:space="preserve"> </v>
      </c>
      <c r="F146" t="s">
        <v>1882</v>
      </c>
      <c r="G146" t="s">
        <v>1883</v>
      </c>
      <c r="H146" t="s">
        <v>1662</v>
      </c>
      <c r="I146" t="s">
        <v>883</v>
      </c>
      <c r="J146" t="s">
        <v>2028</v>
      </c>
      <c r="K146">
        <v>138.64500000000001</v>
      </c>
      <c r="L146">
        <v>157.387</v>
      </c>
      <c r="M146">
        <v>167.89699999999999</v>
      </c>
      <c r="N146">
        <v>182.25200000000001</v>
      </c>
      <c r="O146">
        <v>203.91200000000001</v>
      </c>
      <c r="P146">
        <v>222.624</v>
      </c>
      <c r="Q146">
        <v>218.26599999999999</v>
      </c>
      <c r="R146">
        <v>220.31700000000001</v>
      </c>
      <c r="S146">
        <v>226.21199999999999</v>
      </c>
      <c r="T146">
        <v>247.10300000000001</v>
      </c>
      <c r="U146">
        <v>244.03100000000001</v>
      </c>
      <c r="V146">
        <v>272.73399999999998</v>
      </c>
      <c r="W146">
        <v>309.77600000000001</v>
      </c>
      <c r="X146">
        <v>321.79899999999998</v>
      </c>
      <c r="Y146">
        <v>199.51400000000001</v>
      </c>
      <c r="Z146">
        <v>385.387</v>
      </c>
      <c r="AA146">
        <v>488.411</v>
      </c>
      <c r="AB146">
        <v>648.27800000000002</v>
      </c>
      <c r="AC146">
        <v>718.38499999999999</v>
      </c>
      <c r="AD146">
        <v>720</v>
      </c>
      <c r="AE146">
        <v>806</v>
      </c>
      <c r="AF146">
        <v>871</v>
      </c>
      <c r="AG146">
        <v>934</v>
      </c>
      <c r="AH146">
        <v>1149</v>
      </c>
      <c r="AI146">
        <v>1372</v>
      </c>
      <c r="AJ146">
        <v>1636</v>
      </c>
      <c r="AK146">
        <v>1831</v>
      </c>
      <c r="AL146">
        <v>2225</v>
      </c>
      <c r="AM146">
        <v>2831</v>
      </c>
      <c r="AN146">
        <v>3223</v>
      </c>
      <c r="AO146">
        <v>3569</v>
      </c>
      <c r="AP146">
        <v>4131</v>
      </c>
      <c r="AQ146">
        <v>4700</v>
      </c>
      <c r="AR146">
        <v>5054</v>
      </c>
      <c r="AS146">
        <v>5619</v>
      </c>
      <c r="AT146">
        <v>6147</v>
      </c>
      <c r="AU146">
        <v>6842</v>
      </c>
      <c r="AV146">
        <v>7694</v>
      </c>
      <c r="AW146">
        <v>8302</v>
      </c>
      <c r="AX146">
        <v>9315</v>
      </c>
      <c r="AY146">
        <v>9746</v>
      </c>
      <c r="AZ146">
        <v>11007.38</v>
      </c>
      <c r="BA146">
        <v>12629.85</v>
      </c>
      <c r="BB146">
        <v>14617.48</v>
      </c>
      <c r="BC146">
        <v>16642.16</v>
      </c>
      <c r="BD146">
        <v>18840.8</v>
      </c>
      <c r="BE146">
        <v>20980</v>
      </c>
      <c r="BF146">
        <v>23379.35</v>
      </c>
      <c r="BG146">
        <v>2019</v>
      </c>
      <c r="BH146">
        <v>9315</v>
      </c>
      <c r="BI146">
        <v>2019</v>
      </c>
    </row>
    <row r="147" spans="1:61" hidden="1">
      <c r="A147">
        <v>862</v>
      </c>
      <c r="B147" t="s">
        <v>382</v>
      </c>
      <c r="C147" t="s">
        <v>1881</v>
      </c>
      <c r="D147" t="s">
        <v>168</v>
      </c>
      <c r="E147" t="str">
        <f>IF(ISNUMBER(VLOOKUP(B147,'OECD DAC'!B:C,2,FALSE)), "YES", " ")</f>
        <v xml:space="preserve"> </v>
      </c>
      <c r="F147" t="s">
        <v>1882</v>
      </c>
      <c r="G147" t="s">
        <v>1883</v>
      </c>
      <c r="H147" t="s">
        <v>1662</v>
      </c>
      <c r="I147" t="s">
        <v>883</v>
      </c>
      <c r="J147" t="s">
        <v>2029</v>
      </c>
      <c r="K147">
        <v>0.114</v>
      </c>
      <c r="L147">
        <v>0.12</v>
      </c>
      <c r="M147">
        <v>0.14399999999999999</v>
      </c>
      <c r="N147">
        <v>0.17</v>
      </c>
      <c r="O147">
        <v>0.20100000000000001</v>
      </c>
      <c r="P147">
        <v>0.23100000000000001</v>
      </c>
      <c r="Q147">
        <v>0.24399999999999999</v>
      </c>
      <c r="R147">
        <v>0.25600000000000001</v>
      </c>
      <c r="S147">
        <v>0.28000000000000003</v>
      </c>
      <c r="T147">
        <v>0.313</v>
      </c>
      <c r="U147">
        <v>0.41</v>
      </c>
      <c r="V147">
        <v>0.41199999999999998</v>
      </c>
      <c r="W147">
        <v>0.46300000000000002</v>
      </c>
      <c r="X147">
        <v>0.496</v>
      </c>
      <c r="Y147">
        <v>0.39</v>
      </c>
      <c r="Z147">
        <v>0.58199999999999996</v>
      </c>
      <c r="AA147">
        <v>0.61899999999999999</v>
      </c>
      <c r="AB147">
        <v>0.69799999999999995</v>
      </c>
      <c r="AC147">
        <v>0.76800000000000002</v>
      </c>
      <c r="AD147">
        <v>0.76600000000000001</v>
      </c>
      <c r="AE147">
        <v>0.82199999999999995</v>
      </c>
      <c r="AF147">
        <v>0.91300000000000003</v>
      </c>
      <c r="AG147">
        <v>0.97799999999999998</v>
      </c>
      <c r="AH147">
        <v>1.056</v>
      </c>
      <c r="AI147">
        <v>1.165</v>
      </c>
      <c r="AJ147">
        <v>1.292</v>
      </c>
      <c r="AK147">
        <v>1.389</v>
      </c>
      <c r="AL147">
        <v>1.5009999999999999</v>
      </c>
      <c r="AM147">
        <v>1.696</v>
      </c>
      <c r="AN147">
        <v>1.7150000000000001</v>
      </c>
      <c r="AO147">
        <v>1.6830000000000001</v>
      </c>
      <c r="AP147">
        <v>1.76</v>
      </c>
      <c r="AQ147">
        <v>1.75</v>
      </c>
      <c r="AR147">
        <v>1.7589999999999999</v>
      </c>
      <c r="AS147">
        <v>1.758</v>
      </c>
      <c r="AT147">
        <v>1.911</v>
      </c>
      <c r="AU147">
        <v>2.089</v>
      </c>
      <c r="AV147">
        <v>2.11</v>
      </c>
      <c r="AW147">
        <v>2.1080000000000001</v>
      </c>
      <c r="AX147">
        <v>2.2309999999999999</v>
      </c>
      <c r="AY147">
        <v>2.177</v>
      </c>
      <c r="AZ147">
        <v>2.0270000000000001</v>
      </c>
      <c r="BA147">
        <v>2.1949999999999998</v>
      </c>
      <c r="BB147">
        <v>2.3919999999999999</v>
      </c>
      <c r="BC147">
        <v>2.5619999999999998</v>
      </c>
      <c r="BD147">
        <v>2.7320000000000002</v>
      </c>
      <c r="BE147">
        <v>2.8980000000000001</v>
      </c>
      <c r="BF147">
        <v>3.06</v>
      </c>
      <c r="BG147">
        <v>2021</v>
      </c>
      <c r="BH147">
        <v>2.0270000000000001</v>
      </c>
      <c r="BI147">
        <v>2021</v>
      </c>
    </row>
    <row r="148" spans="1:61" hidden="1">
      <c r="A148">
        <v>135</v>
      </c>
      <c r="B148" t="s">
        <v>551</v>
      </c>
      <c r="C148" t="s">
        <v>1881</v>
      </c>
      <c r="D148" t="s">
        <v>265</v>
      </c>
      <c r="E148" t="str">
        <f>IF(ISNUMBER(VLOOKUP(B148,'OECD DAC'!B:C,2,FALSE)), "YES", " ")</f>
        <v xml:space="preserve"> </v>
      </c>
      <c r="F148" t="s">
        <v>1882</v>
      </c>
      <c r="G148" t="s">
        <v>1883</v>
      </c>
      <c r="H148" t="s">
        <v>1662</v>
      </c>
      <c r="I148" t="s">
        <v>883</v>
      </c>
      <c r="J148" t="s">
        <v>2030</v>
      </c>
      <c r="K148" t="s">
        <v>1664</v>
      </c>
      <c r="L148" t="s">
        <v>1664</v>
      </c>
      <c r="M148" t="s">
        <v>1664</v>
      </c>
      <c r="N148" t="s">
        <v>1664</v>
      </c>
      <c r="O148" t="s">
        <v>1664</v>
      </c>
      <c r="P148" t="s">
        <v>1664</v>
      </c>
      <c r="Q148" t="s">
        <v>1664</v>
      </c>
      <c r="R148" t="s">
        <v>1664</v>
      </c>
      <c r="S148" t="s">
        <v>1664</v>
      </c>
      <c r="T148" t="s">
        <v>1664</v>
      </c>
      <c r="U148" t="s">
        <v>1664</v>
      </c>
      <c r="V148" t="s">
        <v>1664</v>
      </c>
      <c r="W148" t="s">
        <v>1664</v>
      </c>
      <c r="X148" t="s">
        <v>1664</v>
      </c>
      <c r="Y148" t="s">
        <v>1664</v>
      </c>
      <c r="Z148" t="s">
        <v>1664</v>
      </c>
      <c r="AA148" t="s">
        <v>1664</v>
      </c>
      <c r="AB148">
        <v>0.85899999999999999</v>
      </c>
      <c r="AC148">
        <v>0.94</v>
      </c>
      <c r="AD148">
        <v>1.0409999999999999</v>
      </c>
      <c r="AE148">
        <v>1.091</v>
      </c>
      <c r="AF148">
        <v>1.1830000000000001</v>
      </c>
      <c r="AG148">
        <v>1.2150000000000001</v>
      </c>
      <c r="AH148">
        <v>1.2929999999999999</v>
      </c>
      <c r="AI148">
        <v>1.379</v>
      </c>
      <c r="AJ148">
        <v>1.4359999999999999</v>
      </c>
      <c r="AK148">
        <v>1.5209999999999999</v>
      </c>
      <c r="AL148">
        <v>1.597</v>
      </c>
      <c r="AM148">
        <v>1.6339999999999999</v>
      </c>
      <c r="AN148">
        <v>1.48</v>
      </c>
      <c r="AO148">
        <v>1.419</v>
      </c>
      <c r="AP148">
        <v>1.3029999999999999</v>
      </c>
      <c r="AQ148">
        <v>1.2490000000000001</v>
      </c>
      <c r="AR148">
        <v>1.264</v>
      </c>
      <c r="AS148">
        <v>1.26</v>
      </c>
      <c r="AT148">
        <v>1.2789999999999999</v>
      </c>
      <c r="AU148">
        <v>1.327</v>
      </c>
      <c r="AV148">
        <v>1.353</v>
      </c>
      <c r="AW148">
        <v>1.4019999999999999</v>
      </c>
      <c r="AX148">
        <v>1.444</v>
      </c>
      <c r="AY148">
        <v>1.3520000000000001</v>
      </c>
      <c r="AZ148">
        <v>1.446</v>
      </c>
      <c r="BA148">
        <v>1.506</v>
      </c>
      <c r="BB148">
        <v>1.556</v>
      </c>
      <c r="BC148">
        <v>1.603</v>
      </c>
      <c r="BD148">
        <v>1.653</v>
      </c>
      <c r="BE148">
        <v>1.7030000000000001</v>
      </c>
      <c r="BF148">
        <v>1.7549999999999999</v>
      </c>
      <c r="BG148">
        <v>2020</v>
      </c>
      <c r="BH148">
        <v>1.3520000000000001</v>
      </c>
      <c r="BI148">
        <v>2020</v>
      </c>
    </row>
    <row r="149" spans="1:61" hidden="1">
      <c r="A149">
        <v>716</v>
      </c>
      <c r="B149" t="s">
        <v>357</v>
      </c>
      <c r="C149" t="s">
        <v>1881</v>
      </c>
      <c r="D149" t="s">
        <v>143</v>
      </c>
      <c r="E149" t="str">
        <f>IF(ISNUMBER(VLOOKUP(B149,'OECD DAC'!B:C,2,FALSE)), "YES", " ")</f>
        <v xml:space="preserve"> </v>
      </c>
      <c r="F149" t="s">
        <v>1882</v>
      </c>
      <c r="G149" t="s">
        <v>1883</v>
      </c>
      <c r="H149" t="s">
        <v>1662</v>
      </c>
      <c r="I149" t="s">
        <v>883</v>
      </c>
      <c r="J149" t="s">
        <v>2031</v>
      </c>
      <c r="K149">
        <v>3.0000000000000001E-3</v>
      </c>
      <c r="L149">
        <v>3.0000000000000001E-3</v>
      </c>
      <c r="M149">
        <v>3.0000000000000001E-3</v>
      </c>
      <c r="N149">
        <v>3.0000000000000001E-3</v>
      </c>
      <c r="O149">
        <v>3.0000000000000001E-3</v>
      </c>
      <c r="P149">
        <v>4.0000000000000001E-3</v>
      </c>
      <c r="Q149">
        <v>5.0000000000000001E-3</v>
      </c>
      <c r="R149">
        <v>6.0000000000000001E-3</v>
      </c>
      <c r="S149">
        <v>8.9999999999999993E-3</v>
      </c>
      <c r="T149">
        <v>1.2E-2</v>
      </c>
      <c r="U149">
        <v>1.7000000000000001E-2</v>
      </c>
      <c r="V149">
        <v>2.1999999999999999E-2</v>
      </c>
      <c r="W149">
        <v>3.1E-2</v>
      </c>
      <c r="X149">
        <v>5.3999999999999999E-2</v>
      </c>
      <c r="Y149">
        <v>9.7000000000000003E-2</v>
      </c>
      <c r="Z149">
        <v>0.14799999999999999</v>
      </c>
      <c r="AA149">
        <v>0.3</v>
      </c>
      <c r="AB149">
        <v>0.42199999999999999</v>
      </c>
      <c r="AC149">
        <v>0.501</v>
      </c>
      <c r="AD149">
        <v>0.55400000000000005</v>
      </c>
      <c r="AE149">
        <v>0.61199999999999999</v>
      </c>
      <c r="AF149">
        <v>0.63300000000000001</v>
      </c>
      <c r="AG149">
        <v>0.72599999999999998</v>
      </c>
      <c r="AH149">
        <v>0.89300000000000002</v>
      </c>
      <c r="AI149">
        <v>1.0349999999999999</v>
      </c>
      <c r="AJ149">
        <v>1.321</v>
      </c>
      <c r="AK149">
        <v>1.66</v>
      </c>
      <c r="AL149">
        <v>1.958</v>
      </c>
      <c r="AM149">
        <v>2.7629999999999999</v>
      </c>
      <c r="AN149">
        <v>3.044</v>
      </c>
      <c r="AO149">
        <v>3.653</v>
      </c>
      <c r="AP149">
        <v>4.1100000000000003</v>
      </c>
      <c r="AQ149">
        <v>4.8159999999999998</v>
      </c>
      <c r="AR149">
        <v>5.5890000000000004</v>
      </c>
      <c r="AS149">
        <v>6.444</v>
      </c>
      <c r="AT149">
        <v>7.0309999999999997</v>
      </c>
      <c r="AU149">
        <v>7.6980000000000004</v>
      </c>
      <c r="AV149">
        <v>8.1539999999999999</v>
      </c>
      <c r="AW149">
        <v>8.6189999999999998</v>
      </c>
      <c r="AX149">
        <v>9.4239999999999995</v>
      </c>
      <c r="AY149">
        <v>10.247</v>
      </c>
      <c r="AZ149">
        <v>10.759</v>
      </c>
      <c r="BA149">
        <v>11.553000000000001</v>
      </c>
      <c r="BB149">
        <v>12.339</v>
      </c>
      <c r="BC149">
        <v>13.151999999999999</v>
      </c>
      <c r="BD149">
        <v>14.082000000000001</v>
      </c>
      <c r="BE149">
        <v>15.247999999999999</v>
      </c>
      <c r="BF149">
        <v>16.591999999999999</v>
      </c>
      <c r="BG149">
        <v>2020</v>
      </c>
      <c r="BH149">
        <v>10.247</v>
      </c>
      <c r="BI149">
        <v>2020</v>
      </c>
    </row>
    <row r="150" spans="1:61" hidden="1">
      <c r="A150">
        <v>456</v>
      </c>
      <c r="B150" t="s">
        <v>582</v>
      </c>
      <c r="C150" t="s">
        <v>1881</v>
      </c>
      <c r="D150" t="s">
        <v>245</v>
      </c>
      <c r="E150" t="str">
        <f>IF(ISNUMBER(VLOOKUP(B150,'OECD DAC'!B:C,2,FALSE)), "YES", " ")</f>
        <v xml:space="preserve"> </v>
      </c>
      <c r="F150" t="s">
        <v>1882</v>
      </c>
      <c r="G150" t="s">
        <v>1883</v>
      </c>
      <c r="H150" t="s">
        <v>1662</v>
      </c>
      <c r="I150" t="s">
        <v>883</v>
      </c>
      <c r="J150" t="s">
        <v>2032</v>
      </c>
      <c r="K150">
        <v>547.37900000000002</v>
      </c>
      <c r="L150">
        <v>623.36800000000005</v>
      </c>
      <c r="M150">
        <v>525.33199999999999</v>
      </c>
      <c r="N150">
        <v>446.28800000000001</v>
      </c>
      <c r="O150">
        <v>421.55700000000002</v>
      </c>
      <c r="P150">
        <v>376.31900000000002</v>
      </c>
      <c r="Q150">
        <v>322.02100000000002</v>
      </c>
      <c r="R150">
        <v>320.93200000000002</v>
      </c>
      <c r="S150">
        <v>330.51900000000001</v>
      </c>
      <c r="T150">
        <v>357.065</v>
      </c>
      <c r="U150">
        <v>440.52499999999998</v>
      </c>
      <c r="V150">
        <v>495.17599999999999</v>
      </c>
      <c r="W150">
        <v>513.39300000000003</v>
      </c>
      <c r="X150">
        <v>497.964</v>
      </c>
      <c r="Y150">
        <v>506.23</v>
      </c>
      <c r="Z150">
        <v>536.81899999999996</v>
      </c>
      <c r="AA150">
        <v>594.19000000000005</v>
      </c>
      <c r="AB150">
        <v>621.53300000000002</v>
      </c>
      <c r="AC150">
        <v>550.40800000000002</v>
      </c>
      <c r="AD150">
        <v>606.43899999999996</v>
      </c>
      <c r="AE150">
        <v>710.67899999999997</v>
      </c>
      <c r="AF150">
        <v>690.51700000000005</v>
      </c>
      <c r="AG150">
        <v>711.02099999999996</v>
      </c>
      <c r="AH150">
        <v>809.27800000000002</v>
      </c>
      <c r="AI150">
        <v>970.28399999999999</v>
      </c>
      <c r="AJ150">
        <v>1230.77</v>
      </c>
      <c r="AK150">
        <v>1411.49</v>
      </c>
      <c r="AL150">
        <v>1558.83</v>
      </c>
      <c r="AM150">
        <v>1949.24</v>
      </c>
      <c r="AN150">
        <v>1609.12</v>
      </c>
      <c r="AO150">
        <v>1980.78</v>
      </c>
      <c r="AP150">
        <v>2517.15</v>
      </c>
      <c r="AQ150">
        <v>2759.91</v>
      </c>
      <c r="AR150">
        <v>2799.93</v>
      </c>
      <c r="AS150">
        <v>2836.31</v>
      </c>
      <c r="AT150">
        <v>2453.5100000000002</v>
      </c>
      <c r="AU150">
        <v>2418.5100000000002</v>
      </c>
      <c r="AV150">
        <v>2582.1999999999998</v>
      </c>
      <c r="AW150">
        <v>3062.17</v>
      </c>
      <c r="AX150">
        <v>3013.56</v>
      </c>
      <c r="AY150">
        <v>2637.63</v>
      </c>
      <c r="AZ150">
        <v>3125.78</v>
      </c>
      <c r="BA150">
        <v>3900.62</v>
      </c>
      <c r="BB150">
        <v>3832.15</v>
      </c>
      <c r="BC150">
        <v>3852.04</v>
      </c>
      <c r="BD150">
        <v>3920.89</v>
      </c>
      <c r="BE150">
        <v>4021.64</v>
      </c>
      <c r="BF150">
        <v>4153.8999999999996</v>
      </c>
      <c r="BG150">
        <v>2021</v>
      </c>
      <c r="BH150">
        <v>3125.78</v>
      </c>
      <c r="BI150">
        <v>2021</v>
      </c>
    </row>
    <row r="151" spans="1:61" hidden="1">
      <c r="A151">
        <v>722</v>
      </c>
      <c r="B151" t="s">
        <v>345</v>
      </c>
      <c r="C151" t="s">
        <v>1881</v>
      </c>
      <c r="D151" t="s">
        <v>131</v>
      </c>
      <c r="E151" t="str">
        <f>IF(ISNUMBER(VLOOKUP(B151,'OECD DAC'!B:C,2,FALSE)), "YES", " ")</f>
        <v xml:space="preserve"> </v>
      </c>
      <c r="F151" t="s">
        <v>1882</v>
      </c>
      <c r="G151" t="s">
        <v>1883</v>
      </c>
      <c r="H151" t="s">
        <v>1662</v>
      </c>
      <c r="I151" t="s">
        <v>883</v>
      </c>
      <c r="J151" t="s">
        <v>2033</v>
      </c>
      <c r="K151">
        <v>916.48400000000004</v>
      </c>
      <c r="L151">
        <v>1068.8499999999999</v>
      </c>
      <c r="M151">
        <v>1265.27</v>
      </c>
      <c r="N151">
        <v>1308.97</v>
      </c>
      <c r="O151">
        <v>1463.81</v>
      </c>
      <c r="P151">
        <v>1647.81</v>
      </c>
      <c r="Q151">
        <v>1796.6</v>
      </c>
      <c r="R151">
        <v>1875.78</v>
      </c>
      <c r="S151">
        <v>1838.51</v>
      </c>
      <c r="T151">
        <v>1940.65</v>
      </c>
      <c r="U151">
        <v>1927.19</v>
      </c>
      <c r="V151">
        <v>1962.13</v>
      </c>
      <c r="W151">
        <v>1968.06</v>
      </c>
      <c r="X151">
        <v>1986.14</v>
      </c>
      <c r="Y151">
        <v>2635.14</v>
      </c>
      <c r="Z151">
        <v>3007.53</v>
      </c>
      <c r="AA151">
        <v>3222.88</v>
      </c>
      <c r="AB151">
        <v>3424.7</v>
      </c>
      <c r="AC151">
        <v>3764.28</v>
      </c>
      <c r="AD151">
        <v>4057.71</v>
      </c>
      <c r="AE151">
        <v>4270.6099999999997</v>
      </c>
      <c r="AF151">
        <v>4766.32</v>
      </c>
      <c r="AG151">
        <v>4860.43</v>
      </c>
      <c r="AH151">
        <v>5084.96</v>
      </c>
      <c r="AI151">
        <v>5313.89</v>
      </c>
      <c r="AJ151">
        <v>5804.61</v>
      </c>
      <c r="AK151">
        <v>6111.29</v>
      </c>
      <c r="AL151">
        <v>6698.11</v>
      </c>
      <c r="AM151">
        <v>7516.88</v>
      </c>
      <c r="AN151">
        <v>7593.3</v>
      </c>
      <c r="AO151">
        <v>7976.74</v>
      </c>
      <c r="AP151">
        <v>8394.9599999999991</v>
      </c>
      <c r="AQ151">
        <v>9016.8700000000008</v>
      </c>
      <c r="AR151">
        <v>9343.92</v>
      </c>
      <c r="AS151">
        <v>9775.0400000000009</v>
      </c>
      <c r="AT151">
        <v>10508.65</v>
      </c>
      <c r="AU151">
        <v>11283.4</v>
      </c>
      <c r="AV151">
        <v>12191.8</v>
      </c>
      <c r="AW151">
        <v>12840.09</v>
      </c>
      <c r="AX151">
        <v>13712.8</v>
      </c>
      <c r="AY151">
        <v>14101</v>
      </c>
      <c r="AZ151">
        <v>15319</v>
      </c>
      <c r="BA151">
        <v>16543.82</v>
      </c>
      <c r="BB151">
        <v>18439.919999999998</v>
      </c>
      <c r="BC151">
        <v>20699.25</v>
      </c>
      <c r="BD151">
        <v>22303.599999999999</v>
      </c>
      <c r="BE151">
        <v>24040.62</v>
      </c>
      <c r="BF151">
        <v>25505.37</v>
      </c>
      <c r="BG151">
        <v>2019</v>
      </c>
      <c r="BH151">
        <v>13712.8</v>
      </c>
      <c r="BI151">
        <v>2019</v>
      </c>
    </row>
    <row r="152" spans="1:61" hidden="1">
      <c r="A152">
        <v>942</v>
      </c>
      <c r="B152" t="s">
        <v>425</v>
      </c>
      <c r="C152" t="s">
        <v>1881</v>
      </c>
      <c r="D152" t="s">
        <v>210</v>
      </c>
      <c r="E152" t="str">
        <f>IF(ISNUMBER(VLOOKUP(B152,'OECD DAC'!B:C,2,FALSE)), "YES", " ")</f>
        <v xml:space="preserve"> </v>
      </c>
      <c r="F152" t="s">
        <v>1882</v>
      </c>
      <c r="G152" t="s">
        <v>1883</v>
      </c>
      <c r="H152" t="s">
        <v>1662</v>
      </c>
      <c r="I152" t="s">
        <v>883</v>
      </c>
      <c r="J152" t="s">
        <v>2034</v>
      </c>
      <c r="K152" t="s">
        <v>1664</v>
      </c>
      <c r="L152" t="s">
        <v>1664</v>
      </c>
      <c r="M152" t="s">
        <v>1664</v>
      </c>
      <c r="N152" t="s">
        <v>1664</v>
      </c>
      <c r="O152" t="s">
        <v>1664</v>
      </c>
      <c r="P152" t="s">
        <v>1664</v>
      </c>
      <c r="Q152" t="s">
        <v>1664</v>
      </c>
      <c r="R152" t="s">
        <v>1664</v>
      </c>
      <c r="S152" t="s">
        <v>1664</v>
      </c>
      <c r="T152" t="s">
        <v>1664</v>
      </c>
      <c r="U152" t="s">
        <v>1664</v>
      </c>
      <c r="V152" t="s">
        <v>1664</v>
      </c>
      <c r="W152" t="s">
        <v>1664</v>
      </c>
      <c r="X152" t="s">
        <v>1664</v>
      </c>
      <c r="Y152" t="s">
        <v>1664</v>
      </c>
      <c r="Z152" t="s">
        <v>1664</v>
      </c>
      <c r="AA152" t="s">
        <v>1664</v>
      </c>
      <c r="AB152" t="s">
        <v>1664</v>
      </c>
      <c r="AC152" t="s">
        <v>1664</v>
      </c>
      <c r="AD152" t="s">
        <v>1664</v>
      </c>
      <c r="AE152">
        <v>413.12099999999998</v>
      </c>
      <c r="AF152">
        <v>820.84199999999998</v>
      </c>
      <c r="AG152">
        <v>1037.9000000000001</v>
      </c>
      <c r="AH152">
        <v>1220.1600000000001</v>
      </c>
      <c r="AI152">
        <v>1451.45</v>
      </c>
      <c r="AJ152">
        <v>1846.85</v>
      </c>
      <c r="AK152">
        <v>2181.04</v>
      </c>
      <c r="AL152">
        <v>2523.5</v>
      </c>
      <c r="AM152">
        <v>2908.45</v>
      </c>
      <c r="AN152">
        <v>3052.14</v>
      </c>
      <c r="AO152">
        <v>3250.58</v>
      </c>
      <c r="AP152">
        <v>3612.27</v>
      </c>
      <c r="AQ152">
        <v>3810.06</v>
      </c>
      <c r="AR152">
        <v>4121.2</v>
      </c>
      <c r="AS152">
        <v>4160.55</v>
      </c>
      <c r="AT152">
        <v>4315.0200000000004</v>
      </c>
      <c r="AU152">
        <v>4528.1899999999996</v>
      </c>
      <c r="AV152">
        <v>4760.6899999999996</v>
      </c>
      <c r="AW152">
        <v>5072.93</v>
      </c>
      <c r="AX152">
        <v>5421.85</v>
      </c>
      <c r="AY152">
        <v>5502.22</v>
      </c>
      <c r="AZ152">
        <v>6268.71</v>
      </c>
      <c r="BA152">
        <v>6859.87</v>
      </c>
      <c r="BB152">
        <v>7573.61</v>
      </c>
      <c r="BC152">
        <v>8282.94</v>
      </c>
      <c r="BD152">
        <v>9007.0300000000007</v>
      </c>
      <c r="BE152">
        <v>9772.2800000000007</v>
      </c>
      <c r="BF152">
        <v>10566.18</v>
      </c>
      <c r="BG152">
        <v>2020</v>
      </c>
      <c r="BH152">
        <v>5502.22</v>
      </c>
      <c r="BI152">
        <v>2020</v>
      </c>
    </row>
    <row r="153" spans="1:61" hidden="1">
      <c r="A153">
        <v>718</v>
      </c>
      <c r="B153" t="s">
        <v>552</v>
      </c>
      <c r="C153" t="s">
        <v>1881</v>
      </c>
      <c r="D153" t="s">
        <v>227</v>
      </c>
      <c r="E153" t="str">
        <f>IF(ISNUMBER(VLOOKUP(B153,'OECD DAC'!B:C,2,FALSE)), "YES", " ")</f>
        <v xml:space="preserve"> </v>
      </c>
      <c r="F153" t="s">
        <v>1882</v>
      </c>
      <c r="G153" t="s">
        <v>1883</v>
      </c>
      <c r="H153" t="s">
        <v>1662</v>
      </c>
      <c r="I153" t="s">
        <v>883</v>
      </c>
      <c r="J153" t="s">
        <v>2035</v>
      </c>
      <c r="K153">
        <v>0.94199999999999995</v>
      </c>
      <c r="L153">
        <v>0.97199999999999998</v>
      </c>
      <c r="M153">
        <v>0.96799999999999997</v>
      </c>
      <c r="N153">
        <v>0.99299999999999999</v>
      </c>
      <c r="O153">
        <v>1.0680000000000001</v>
      </c>
      <c r="P153">
        <v>1.2050000000000001</v>
      </c>
      <c r="Q153">
        <v>1.284</v>
      </c>
      <c r="R153">
        <v>1.3959999999999999</v>
      </c>
      <c r="S153">
        <v>1.528</v>
      </c>
      <c r="T153">
        <v>1.7210000000000001</v>
      </c>
      <c r="U153">
        <v>1.9670000000000001</v>
      </c>
      <c r="V153">
        <v>1.98</v>
      </c>
      <c r="W153">
        <v>2.2210000000000001</v>
      </c>
      <c r="X153">
        <v>2.456</v>
      </c>
      <c r="Y153">
        <v>2.4590000000000001</v>
      </c>
      <c r="Z153">
        <v>2.42</v>
      </c>
      <c r="AA153">
        <v>2.5</v>
      </c>
      <c r="AB153">
        <v>2.83</v>
      </c>
      <c r="AC153">
        <v>3.2010000000000001</v>
      </c>
      <c r="AD153">
        <v>3.3279999999999998</v>
      </c>
      <c r="AE153">
        <v>3.5129999999999999</v>
      </c>
      <c r="AF153">
        <v>3.645</v>
      </c>
      <c r="AG153">
        <v>3.8220000000000001</v>
      </c>
      <c r="AH153">
        <v>3.8109999999999999</v>
      </c>
      <c r="AI153">
        <v>4.6159999999999997</v>
      </c>
      <c r="AJ153">
        <v>5.0549999999999997</v>
      </c>
      <c r="AK153">
        <v>5.61</v>
      </c>
      <c r="AL153">
        <v>6.9260000000000002</v>
      </c>
      <c r="AM153">
        <v>9.1470000000000002</v>
      </c>
      <c r="AN153">
        <v>11.532999999999999</v>
      </c>
      <c r="AO153">
        <v>11.705</v>
      </c>
      <c r="AP153">
        <v>12.609</v>
      </c>
      <c r="AQ153">
        <v>14.519</v>
      </c>
      <c r="AR153">
        <v>16.015000000000001</v>
      </c>
      <c r="AS153">
        <v>17.687999999999999</v>
      </c>
      <c r="AT153">
        <v>18.852</v>
      </c>
      <c r="AU153">
        <v>19.847999999999999</v>
      </c>
      <c r="AV153">
        <v>21.474</v>
      </c>
      <c r="AW153">
        <v>22.763000000000002</v>
      </c>
      <c r="AX153">
        <v>23.635000000000002</v>
      </c>
      <c r="AY153">
        <v>21.151</v>
      </c>
      <c r="AZ153">
        <v>24.725999999999999</v>
      </c>
      <c r="BA153">
        <v>27.023</v>
      </c>
      <c r="BB153">
        <v>28.904</v>
      </c>
      <c r="BC153">
        <v>29.73</v>
      </c>
      <c r="BD153">
        <v>31.08</v>
      </c>
      <c r="BE153">
        <v>32.868000000000002</v>
      </c>
      <c r="BF153">
        <v>35.033999999999999</v>
      </c>
      <c r="BG153">
        <v>2020</v>
      </c>
      <c r="BH153">
        <v>21.151</v>
      </c>
      <c r="BI153">
        <v>2020</v>
      </c>
    </row>
    <row r="154" spans="1:61" hidden="1">
      <c r="A154">
        <v>724</v>
      </c>
      <c r="B154" t="s">
        <v>311</v>
      </c>
      <c r="C154" t="s">
        <v>1881</v>
      </c>
      <c r="D154" t="s">
        <v>98</v>
      </c>
      <c r="E154" t="str">
        <f>IF(ISNUMBER(VLOOKUP(B154,'OECD DAC'!B:C,2,FALSE)), "YES", " ")</f>
        <v xml:space="preserve"> </v>
      </c>
      <c r="F154" t="s">
        <v>1882</v>
      </c>
      <c r="G154" t="s">
        <v>1883</v>
      </c>
      <c r="H154" t="s">
        <v>1662</v>
      </c>
      <c r="I154" t="s">
        <v>883</v>
      </c>
      <c r="J154" t="s">
        <v>2036</v>
      </c>
      <c r="K154">
        <v>1.786</v>
      </c>
      <c r="L154">
        <v>2.1139999999999999</v>
      </c>
      <c r="M154">
        <v>2.54</v>
      </c>
      <c r="N154">
        <v>3.36</v>
      </c>
      <c r="O154">
        <v>5.1760000000000002</v>
      </c>
      <c r="P154">
        <v>8.94</v>
      </c>
      <c r="Q154">
        <v>21.151</v>
      </c>
      <c r="R154">
        <v>38.978000000000002</v>
      </c>
      <c r="S154">
        <v>61.027000000000001</v>
      </c>
      <c r="T154">
        <v>103.123</v>
      </c>
      <c r="U154">
        <v>143.57400000000001</v>
      </c>
      <c r="V154">
        <v>336.17200000000003</v>
      </c>
      <c r="W154">
        <v>495.58800000000002</v>
      </c>
      <c r="X154">
        <v>636.69399999999996</v>
      </c>
      <c r="Y154">
        <v>780.74699999999996</v>
      </c>
      <c r="Z154">
        <v>959.63400000000001</v>
      </c>
      <c r="AA154">
        <v>1265.31</v>
      </c>
      <c r="AB154">
        <v>1217.78</v>
      </c>
      <c r="AC154">
        <v>1534.2</v>
      </c>
      <c r="AD154">
        <v>1762.41</v>
      </c>
      <c r="AE154">
        <v>1941.32</v>
      </c>
      <c r="AF154">
        <v>2166.1799999999998</v>
      </c>
      <c r="AG154">
        <v>2631.18</v>
      </c>
      <c r="AH154">
        <v>3254.26</v>
      </c>
      <c r="AI154">
        <v>3913.44</v>
      </c>
      <c r="AJ154">
        <v>4769.79</v>
      </c>
      <c r="AK154">
        <v>5583.98</v>
      </c>
      <c r="AL154">
        <v>6443.98</v>
      </c>
      <c r="AM154">
        <v>7470.55</v>
      </c>
      <c r="AN154">
        <v>8308.2900000000009</v>
      </c>
      <c r="AO154">
        <v>10255.61</v>
      </c>
      <c r="AP154">
        <v>12797.21</v>
      </c>
      <c r="AQ154">
        <v>16514.3</v>
      </c>
      <c r="AR154">
        <v>21317.38</v>
      </c>
      <c r="AS154">
        <v>22689.45</v>
      </c>
      <c r="AT154">
        <v>21583.3</v>
      </c>
      <c r="AU154">
        <v>24296.29</v>
      </c>
      <c r="AV154">
        <v>27465.43</v>
      </c>
      <c r="AW154">
        <v>32401.63</v>
      </c>
      <c r="AX154">
        <v>36730.870000000003</v>
      </c>
      <c r="AY154">
        <v>39938.07</v>
      </c>
      <c r="AZ154">
        <v>45335.03</v>
      </c>
      <c r="BA154">
        <v>52638.66</v>
      </c>
      <c r="BB154">
        <v>61745.89</v>
      </c>
      <c r="BC154">
        <v>71935.73</v>
      </c>
      <c r="BD154">
        <v>83012.73</v>
      </c>
      <c r="BE154">
        <v>94427.54</v>
      </c>
      <c r="BF154">
        <v>105545.14</v>
      </c>
      <c r="BG154">
        <v>2020</v>
      </c>
      <c r="BH154">
        <v>39938.07</v>
      </c>
      <c r="BI154">
        <v>2020</v>
      </c>
    </row>
    <row r="155" spans="1:61" hidden="1">
      <c r="A155">
        <v>576</v>
      </c>
      <c r="B155" t="s">
        <v>554</v>
      </c>
      <c r="C155" t="s">
        <v>1881</v>
      </c>
      <c r="D155" t="s">
        <v>262</v>
      </c>
      <c r="E155" t="str">
        <f>IF(ISNUMBER(VLOOKUP(B155,'OECD DAC'!B:C,2,FALSE)), "YES", " ")</f>
        <v xml:space="preserve"> </v>
      </c>
      <c r="F155" t="s">
        <v>1882</v>
      </c>
      <c r="G155" t="s">
        <v>1883</v>
      </c>
      <c r="H155" t="s">
        <v>1662</v>
      </c>
      <c r="I155" t="s">
        <v>883</v>
      </c>
      <c r="J155" t="s">
        <v>2037</v>
      </c>
      <c r="K155">
        <v>25.87</v>
      </c>
      <c r="L155">
        <v>30.352</v>
      </c>
      <c r="M155">
        <v>33.981000000000002</v>
      </c>
      <c r="N155">
        <v>38.058</v>
      </c>
      <c r="O155">
        <v>41.73</v>
      </c>
      <c r="P155">
        <v>40.863</v>
      </c>
      <c r="Q155">
        <v>40.893000000000001</v>
      </c>
      <c r="R155">
        <v>45.55</v>
      </c>
      <c r="S155">
        <v>53.432000000000002</v>
      </c>
      <c r="T155">
        <v>61.308999999999997</v>
      </c>
      <c r="U155">
        <v>70.492000000000004</v>
      </c>
      <c r="V155">
        <v>78.543000000000006</v>
      </c>
      <c r="W155">
        <v>84.92</v>
      </c>
      <c r="X155">
        <v>97.923000000000002</v>
      </c>
      <c r="Y155">
        <v>112.55500000000001</v>
      </c>
      <c r="Z155">
        <v>124.46299999999999</v>
      </c>
      <c r="AA155">
        <v>135.77699999999999</v>
      </c>
      <c r="AB155">
        <v>148.66399999999999</v>
      </c>
      <c r="AC155">
        <v>143.47499999999999</v>
      </c>
      <c r="AD155">
        <v>146.25299999999999</v>
      </c>
      <c r="AE155">
        <v>165.63200000000001</v>
      </c>
      <c r="AF155">
        <v>160.886</v>
      </c>
      <c r="AG155">
        <v>165.69800000000001</v>
      </c>
      <c r="AH155">
        <v>170.11799999999999</v>
      </c>
      <c r="AI155">
        <v>194.43299999999999</v>
      </c>
      <c r="AJ155">
        <v>212.72300000000001</v>
      </c>
      <c r="AK155">
        <v>236.15899999999999</v>
      </c>
      <c r="AL155">
        <v>272.69799999999998</v>
      </c>
      <c r="AM155">
        <v>273.94200000000001</v>
      </c>
      <c r="AN155">
        <v>282.39499999999998</v>
      </c>
      <c r="AO155">
        <v>326.98</v>
      </c>
      <c r="AP155">
        <v>351.36799999999999</v>
      </c>
      <c r="AQ155">
        <v>368.77100000000002</v>
      </c>
      <c r="AR155">
        <v>384.87</v>
      </c>
      <c r="AS155">
        <v>398.94799999999998</v>
      </c>
      <c r="AT155">
        <v>423.44400000000002</v>
      </c>
      <c r="AU155">
        <v>440.46699999999998</v>
      </c>
      <c r="AV155">
        <v>473.916</v>
      </c>
      <c r="AW155">
        <v>508.495</v>
      </c>
      <c r="AX155">
        <v>512.22</v>
      </c>
      <c r="AY155">
        <v>476.40499999999997</v>
      </c>
      <c r="AZ155">
        <v>533.35199999999998</v>
      </c>
      <c r="BA155">
        <v>573.79499999999996</v>
      </c>
      <c r="BB155">
        <v>601.97</v>
      </c>
      <c r="BC155">
        <v>627.20299999999997</v>
      </c>
      <c r="BD155">
        <v>652.33900000000006</v>
      </c>
      <c r="BE155">
        <v>678.66700000000003</v>
      </c>
      <c r="BF155">
        <v>705.80499999999995</v>
      </c>
      <c r="BG155">
        <v>2021</v>
      </c>
      <c r="BH155">
        <v>533.35199999999998</v>
      </c>
      <c r="BI155">
        <v>2021</v>
      </c>
    </row>
    <row r="156" spans="1:61">
      <c r="A156">
        <v>936</v>
      </c>
      <c r="B156" t="s">
        <v>444</v>
      </c>
      <c r="C156" t="s">
        <v>1881</v>
      </c>
      <c r="D156" t="s">
        <v>76</v>
      </c>
      <c r="E156" t="str">
        <f>IF(ISNUMBER(VLOOKUP(B156,'OECD DAC'!B:C,2,FALSE)), "YES", " ")</f>
        <v>YES</v>
      </c>
      <c r="F156" t="s">
        <v>1882</v>
      </c>
      <c r="G156" t="s">
        <v>1883</v>
      </c>
      <c r="H156" t="s">
        <v>1662</v>
      </c>
      <c r="I156" t="s">
        <v>883</v>
      </c>
      <c r="J156" t="s">
        <v>2038</v>
      </c>
      <c r="K156" t="s">
        <v>1664</v>
      </c>
      <c r="L156" t="s">
        <v>1664</v>
      </c>
      <c r="M156" t="s">
        <v>1664</v>
      </c>
      <c r="N156" t="s">
        <v>1664</v>
      </c>
      <c r="O156" t="s">
        <v>1664</v>
      </c>
      <c r="P156" t="s">
        <v>1664</v>
      </c>
      <c r="Q156" t="s">
        <v>1664</v>
      </c>
      <c r="R156" t="s">
        <v>1664</v>
      </c>
      <c r="S156" t="s">
        <v>1664</v>
      </c>
      <c r="T156" t="s">
        <v>1664</v>
      </c>
      <c r="U156" t="s">
        <v>1664</v>
      </c>
      <c r="V156" t="s">
        <v>1664</v>
      </c>
      <c r="W156" t="s">
        <v>1664</v>
      </c>
      <c r="X156">
        <v>13.971</v>
      </c>
      <c r="Y156">
        <v>16.834</v>
      </c>
      <c r="Z156">
        <v>19.768000000000001</v>
      </c>
      <c r="AA156">
        <v>22.033000000000001</v>
      </c>
      <c r="AB156">
        <v>24.456</v>
      </c>
      <c r="AC156">
        <v>26.687999999999999</v>
      </c>
      <c r="AD156">
        <v>28.584</v>
      </c>
      <c r="AE156">
        <v>31.661000000000001</v>
      </c>
      <c r="AF156">
        <v>34.366</v>
      </c>
      <c r="AG156">
        <v>37.33</v>
      </c>
      <c r="AH156">
        <v>41.48</v>
      </c>
      <c r="AI156">
        <v>46.174999999999997</v>
      </c>
      <c r="AJ156">
        <v>50.485999999999997</v>
      </c>
      <c r="AK156">
        <v>56.362000000000002</v>
      </c>
      <c r="AL156">
        <v>63.162999999999997</v>
      </c>
      <c r="AM156">
        <v>68.590999999999994</v>
      </c>
      <c r="AN156">
        <v>64.096000000000004</v>
      </c>
      <c r="AO156">
        <v>68.188999999999993</v>
      </c>
      <c r="AP156">
        <v>71.305000000000007</v>
      </c>
      <c r="AQ156">
        <v>73.575999999999993</v>
      </c>
      <c r="AR156">
        <v>74.448999999999998</v>
      </c>
      <c r="AS156">
        <v>76.27</v>
      </c>
      <c r="AT156">
        <v>79.768000000000001</v>
      </c>
      <c r="AU156">
        <v>81.013999999999996</v>
      </c>
      <c r="AV156">
        <v>84.442999999999998</v>
      </c>
      <c r="AW156">
        <v>89.43</v>
      </c>
      <c r="AX156">
        <v>94.048000000000002</v>
      </c>
      <c r="AY156">
        <v>92.078999999999994</v>
      </c>
      <c r="AZ156">
        <v>97.123000000000005</v>
      </c>
      <c r="BA156">
        <v>105.048</v>
      </c>
      <c r="BB156">
        <v>114.739</v>
      </c>
      <c r="BC156">
        <v>121.428</v>
      </c>
      <c r="BD156">
        <v>128.33799999999999</v>
      </c>
      <c r="BE156">
        <v>134.66399999999999</v>
      </c>
      <c r="BF156">
        <v>141.21299999999999</v>
      </c>
      <c r="BG156">
        <v>2020</v>
      </c>
      <c r="BH156">
        <v>92.078999999999994</v>
      </c>
      <c r="BI156">
        <v>2020</v>
      </c>
    </row>
    <row r="157" spans="1:61">
      <c r="A157">
        <v>961</v>
      </c>
      <c r="B157" t="s">
        <v>447</v>
      </c>
      <c r="C157" t="s">
        <v>1881</v>
      </c>
      <c r="D157" t="s">
        <v>60</v>
      </c>
      <c r="E157" t="str">
        <f>IF(ISNUMBER(VLOOKUP(B157,'OECD DAC'!B:C,2,FALSE)), "YES", " ")</f>
        <v>YES</v>
      </c>
      <c r="F157" t="s">
        <v>1882</v>
      </c>
      <c r="G157" t="s">
        <v>1883</v>
      </c>
      <c r="H157" t="s">
        <v>1662</v>
      </c>
      <c r="I157" t="s">
        <v>883</v>
      </c>
      <c r="J157" t="s">
        <v>2039</v>
      </c>
      <c r="K157" t="s">
        <v>1664</v>
      </c>
      <c r="L157" t="s">
        <v>1664</v>
      </c>
      <c r="M157" t="s">
        <v>1664</v>
      </c>
      <c r="N157" t="s">
        <v>1664</v>
      </c>
      <c r="O157" t="s">
        <v>1664</v>
      </c>
      <c r="P157" t="s">
        <v>1664</v>
      </c>
      <c r="Q157" t="s">
        <v>1664</v>
      </c>
      <c r="R157" t="s">
        <v>1664</v>
      </c>
      <c r="S157" t="s">
        <v>1664</v>
      </c>
      <c r="T157" t="s">
        <v>1664</v>
      </c>
      <c r="U157" t="s">
        <v>1664</v>
      </c>
      <c r="V157" t="s">
        <v>1664</v>
      </c>
      <c r="W157">
        <v>6.4429999999999996</v>
      </c>
      <c r="X157">
        <v>7.8019999999999996</v>
      </c>
      <c r="Y157">
        <v>9.0449999999999999</v>
      </c>
      <c r="Z157">
        <v>10.561</v>
      </c>
      <c r="AA157">
        <v>12.147</v>
      </c>
      <c r="AB157">
        <v>13.837</v>
      </c>
      <c r="AC157">
        <v>15.352</v>
      </c>
      <c r="AD157">
        <v>17.227</v>
      </c>
      <c r="AE157">
        <v>18.853000000000002</v>
      </c>
      <c r="AF157">
        <v>21.148</v>
      </c>
      <c r="AG157">
        <v>23.548999999999999</v>
      </c>
      <c r="AH157">
        <v>25.613</v>
      </c>
      <c r="AI157">
        <v>27.628</v>
      </c>
      <c r="AJ157">
        <v>29.114000000000001</v>
      </c>
      <c r="AK157">
        <v>31.47</v>
      </c>
      <c r="AL157">
        <v>35.073999999999998</v>
      </c>
      <c r="AM157">
        <v>37.926000000000002</v>
      </c>
      <c r="AN157">
        <v>36.255000000000003</v>
      </c>
      <c r="AO157">
        <v>36.363999999999997</v>
      </c>
      <c r="AP157">
        <v>37.058999999999997</v>
      </c>
      <c r="AQ157">
        <v>36.253</v>
      </c>
      <c r="AR157">
        <v>36.454000000000001</v>
      </c>
      <c r="AS157">
        <v>37.634</v>
      </c>
      <c r="AT157">
        <v>38.853000000000002</v>
      </c>
      <c r="AU157">
        <v>40.442999999999998</v>
      </c>
      <c r="AV157">
        <v>43.011000000000003</v>
      </c>
      <c r="AW157">
        <v>45.863999999999997</v>
      </c>
      <c r="AX157">
        <v>48.396999999999998</v>
      </c>
      <c r="AY157">
        <v>46.917999999999999</v>
      </c>
      <c r="AZ157">
        <v>52.02</v>
      </c>
      <c r="BA157">
        <v>57.109000000000002</v>
      </c>
      <c r="BB157">
        <v>61.829000000000001</v>
      </c>
      <c r="BC157">
        <v>66.055999999999997</v>
      </c>
      <c r="BD157">
        <v>70.116</v>
      </c>
      <c r="BE157">
        <v>74.072000000000003</v>
      </c>
      <c r="BF157">
        <v>77.971999999999994</v>
      </c>
      <c r="BG157">
        <v>2021</v>
      </c>
      <c r="BH157">
        <v>52.02</v>
      </c>
      <c r="BI157">
        <v>2021</v>
      </c>
    </row>
    <row r="158" spans="1:61" hidden="1">
      <c r="A158">
        <v>813</v>
      </c>
      <c r="B158" t="s">
        <v>358</v>
      </c>
      <c r="C158" t="s">
        <v>1881</v>
      </c>
      <c r="D158" t="s">
        <v>144</v>
      </c>
      <c r="E158" t="str">
        <f>IF(ISNUMBER(VLOOKUP(B158,'OECD DAC'!B:C,2,FALSE)), "YES", " ")</f>
        <v xml:space="preserve"> </v>
      </c>
      <c r="F158" t="s">
        <v>1882</v>
      </c>
      <c r="G158" t="s">
        <v>1883</v>
      </c>
      <c r="H158" t="s">
        <v>1662</v>
      </c>
      <c r="I158" t="s">
        <v>883</v>
      </c>
      <c r="J158" t="s">
        <v>2040</v>
      </c>
      <c r="K158">
        <v>0.152</v>
      </c>
      <c r="L158">
        <v>0.16900000000000001</v>
      </c>
      <c r="M158">
        <v>0.187</v>
      </c>
      <c r="N158">
        <v>0.20799999999999999</v>
      </c>
      <c r="O158">
        <v>0.23100000000000001</v>
      </c>
      <c r="P158">
        <v>0.245</v>
      </c>
      <c r="Q158">
        <v>0.25700000000000001</v>
      </c>
      <c r="R158">
        <v>0.311</v>
      </c>
      <c r="S158">
        <v>0.36799999999999999</v>
      </c>
      <c r="T158">
        <v>0.39600000000000002</v>
      </c>
      <c r="U158">
        <v>0.54300000000000004</v>
      </c>
      <c r="V158">
        <v>0.61799999999999999</v>
      </c>
      <c r="W158">
        <v>0.78800000000000003</v>
      </c>
      <c r="X158">
        <v>0.95899999999999996</v>
      </c>
      <c r="Y158">
        <v>1.3260000000000001</v>
      </c>
      <c r="Z158">
        <v>1.599</v>
      </c>
      <c r="AA158">
        <v>1.821</v>
      </c>
      <c r="AB158">
        <v>1.9570000000000001</v>
      </c>
      <c r="AC158">
        <v>2.2040000000000002</v>
      </c>
      <c r="AD158">
        <v>2.3610000000000002</v>
      </c>
      <c r="AE158">
        <v>2.137</v>
      </c>
      <c r="AF158">
        <v>2.161</v>
      </c>
      <c r="AG158">
        <v>2.3380000000000001</v>
      </c>
      <c r="AH158">
        <v>2.6459999999999999</v>
      </c>
      <c r="AI158">
        <v>2.976</v>
      </c>
      <c r="AJ158">
        <v>3.5910000000000002</v>
      </c>
      <c r="AK158">
        <v>4.0990000000000002</v>
      </c>
      <c r="AL158">
        <v>4.7460000000000004</v>
      </c>
      <c r="AM158">
        <v>5.4169999999999998</v>
      </c>
      <c r="AN158">
        <v>5.9279999999999999</v>
      </c>
      <c r="AO158">
        <v>6.8289999999999997</v>
      </c>
      <c r="AP158">
        <v>8.0229999999999997</v>
      </c>
      <c r="AQ158">
        <v>8.76</v>
      </c>
      <c r="AR158">
        <v>9.3810000000000002</v>
      </c>
      <c r="AS158">
        <v>9.85</v>
      </c>
      <c r="AT158">
        <v>10.345000000000001</v>
      </c>
      <c r="AU158">
        <v>10.957000000000001</v>
      </c>
      <c r="AV158">
        <v>11.702999999999999</v>
      </c>
      <c r="AW158">
        <v>12.522</v>
      </c>
      <c r="AX158">
        <v>12.833</v>
      </c>
      <c r="AY158">
        <v>12.696999999999999</v>
      </c>
      <c r="AZ158">
        <v>13.212</v>
      </c>
      <c r="BA158">
        <v>13.349</v>
      </c>
      <c r="BB158">
        <v>14.268000000000001</v>
      </c>
      <c r="BC158">
        <v>15.244</v>
      </c>
      <c r="BD158">
        <v>16.268000000000001</v>
      </c>
      <c r="BE158">
        <v>17.373999999999999</v>
      </c>
      <c r="BF158">
        <v>18.533000000000001</v>
      </c>
      <c r="BG158">
        <v>2017</v>
      </c>
      <c r="BH158">
        <v>12.696999999999999</v>
      </c>
      <c r="BI158" t="s">
        <v>1699</v>
      </c>
    </row>
    <row r="159" spans="1:61" hidden="1">
      <c r="A159">
        <v>726</v>
      </c>
      <c r="B159" t="s">
        <v>307</v>
      </c>
      <c r="C159" t="s">
        <v>1881</v>
      </c>
      <c r="D159" t="s">
        <v>94</v>
      </c>
      <c r="E159" t="str">
        <f>IF(ISNUMBER(VLOOKUP(B159,'OECD DAC'!B:C,2,FALSE)), "YES", " ")</f>
        <v xml:space="preserve"> </v>
      </c>
      <c r="F159" t="s">
        <v>1882</v>
      </c>
      <c r="G159" t="s">
        <v>1883</v>
      </c>
      <c r="H159" t="s">
        <v>1662</v>
      </c>
      <c r="I159" t="s">
        <v>883</v>
      </c>
      <c r="J159" t="s">
        <v>2041</v>
      </c>
      <c r="K159" t="s">
        <v>1664</v>
      </c>
      <c r="L159" t="s">
        <v>1664</v>
      </c>
      <c r="M159" t="s">
        <v>1664</v>
      </c>
      <c r="N159" t="s">
        <v>1664</v>
      </c>
      <c r="O159" t="s">
        <v>1664</v>
      </c>
      <c r="P159" t="s">
        <v>1664</v>
      </c>
      <c r="Q159" t="s">
        <v>1664</v>
      </c>
      <c r="R159" t="s">
        <v>1664</v>
      </c>
      <c r="S159" t="s">
        <v>1664</v>
      </c>
      <c r="T159" t="s">
        <v>1664</v>
      </c>
      <c r="U159" t="s">
        <v>1664</v>
      </c>
      <c r="V159" t="s">
        <v>1664</v>
      </c>
      <c r="W159" t="s">
        <v>1664</v>
      </c>
      <c r="X159" t="s">
        <v>1664</v>
      </c>
      <c r="Y159" t="s">
        <v>1664</v>
      </c>
      <c r="Z159" t="s">
        <v>1664</v>
      </c>
      <c r="AA159" t="s">
        <v>1664</v>
      </c>
      <c r="AB159" t="s">
        <v>1664</v>
      </c>
      <c r="AC159" t="s">
        <v>1664</v>
      </c>
      <c r="AD159" t="s">
        <v>1664</v>
      </c>
      <c r="AE159" t="s">
        <v>1664</v>
      </c>
      <c r="AF159" t="s">
        <v>1664</v>
      </c>
      <c r="AG159" t="s">
        <v>1664</v>
      </c>
      <c r="AH159" t="s">
        <v>1664</v>
      </c>
      <c r="AI159" t="s">
        <v>1664</v>
      </c>
      <c r="AJ159" t="s">
        <v>1664</v>
      </c>
      <c r="AK159" t="s">
        <v>1664</v>
      </c>
      <c r="AL159" t="s">
        <v>1664</v>
      </c>
      <c r="AM159" t="s">
        <v>1664</v>
      </c>
      <c r="AN159" t="s">
        <v>1664</v>
      </c>
      <c r="AO159" t="s">
        <v>1664</v>
      </c>
      <c r="AP159">
        <v>3.915</v>
      </c>
      <c r="AQ159">
        <v>4.04</v>
      </c>
      <c r="AR159">
        <v>4.5739999999999998</v>
      </c>
      <c r="AS159">
        <v>5.0220000000000002</v>
      </c>
      <c r="AT159">
        <v>5.3310000000000004</v>
      </c>
      <c r="AU159">
        <v>5.53</v>
      </c>
      <c r="AV159">
        <v>5.609</v>
      </c>
      <c r="AW159">
        <v>5.85</v>
      </c>
      <c r="AX159">
        <v>6.4770000000000003</v>
      </c>
      <c r="AY159">
        <v>6.9649999999999999</v>
      </c>
      <c r="AZ159">
        <v>7.39</v>
      </c>
      <c r="BA159">
        <v>8.4909999999999997</v>
      </c>
      <c r="BB159">
        <v>9.1850000000000005</v>
      </c>
      <c r="BC159">
        <v>9.9979999999999993</v>
      </c>
      <c r="BD159">
        <v>10.9</v>
      </c>
      <c r="BE159">
        <v>11.895</v>
      </c>
      <c r="BF159">
        <v>12.954000000000001</v>
      </c>
      <c r="BG159">
        <v>2020</v>
      </c>
      <c r="BH159">
        <v>6.9649999999999999</v>
      </c>
      <c r="BI159">
        <v>2020</v>
      </c>
    </row>
    <row r="160" spans="1:61" hidden="1">
      <c r="A160">
        <v>199</v>
      </c>
      <c r="B160" t="s">
        <v>410</v>
      </c>
      <c r="C160" t="s">
        <v>1881</v>
      </c>
      <c r="D160" t="s">
        <v>195</v>
      </c>
      <c r="E160" t="str">
        <f>IF(ISNUMBER(VLOOKUP(B160,'OECD DAC'!B:C,2,FALSE)), "YES", " ")</f>
        <v xml:space="preserve"> </v>
      </c>
      <c r="F160" t="s">
        <v>1882</v>
      </c>
      <c r="G160" t="s">
        <v>1883</v>
      </c>
      <c r="H160" t="s">
        <v>1662</v>
      </c>
      <c r="I160" t="s">
        <v>883</v>
      </c>
      <c r="J160" t="s">
        <v>2042</v>
      </c>
      <c r="K160" t="s">
        <v>1664</v>
      </c>
      <c r="L160" t="s">
        <v>1664</v>
      </c>
      <c r="M160" t="s">
        <v>1664</v>
      </c>
      <c r="N160" t="s">
        <v>1664</v>
      </c>
      <c r="O160" t="s">
        <v>1664</v>
      </c>
      <c r="P160" t="s">
        <v>1664</v>
      </c>
      <c r="Q160" t="s">
        <v>1664</v>
      </c>
      <c r="R160" t="s">
        <v>1664</v>
      </c>
      <c r="S160" t="s">
        <v>1664</v>
      </c>
      <c r="T160" t="s">
        <v>1664</v>
      </c>
      <c r="U160" t="s">
        <v>1664</v>
      </c>
      <c r="V160" t="s">
        <v>1664</v>
      </c>
      <c r="W160" t="s">
        <v>1664</v>
      </c>
      <c r="X160">
        <v>480.99400000000003</v>
      </c>
      <c r="Y160">
        <v>545.09199999999998</v>
      </c>
      <c r="Z160">
        <v>622.90099999999995</v>
      </c>
      <c r="AA160">
        <v>701.80399999999997</v>
      </c>
      <c r="AB160">
        <v>778.64499999999998</v>
      </c>
      <c r="AC160">
        <v>845.73299999999995</v>
      </c>
      <c r="AD160">
        <v>925.69</v>
      </c>
      <c r="AE160">
        <v>1053.1400000000001</v>
      </c>
      <c r="AF160">
        <v>1165.94</v>
      </c>
      <c r="AG160">
        <v>1360.68</v>
      </c>
      <c r="AH160">
        <v>1490.4</v>
      </c>
      <c r="AI160">
        <v>1652.43</v>
      </c>
      <c r="AJ160">
        <v>1837</v>
      </c>
      <c r="AK160">
        <v>2057.59</v>
      </c>
      <c r="AL160">
        <v>2346.65</v>
      </c>
      <c r="AM160">
        <v>2611.63</v>
      </c>
      <c r="AN160">
        <v>2794.23</v>
      </c>
      <c r="AO160">
        <v>3055.61</v>
      </c>
      <c r="AP160">
        <v>3327.05</v>
      </c>
      <c r="AQ160">
        <v>3566.39</v>
      </c>
      <c r="AR160">
        <v>3868.63</v>
      </c>
      <c r="AS160">
        <v>4133.87</v>
      </c>
      <c r="AT160">
        <v>4420.79</v>
      </c>
      <c r="AU160">
        <v>4759.5600000000004</v>
      </c>
      <c r="AV160">
        <v>5078.1899999999996</v>
      </c>
      <c r="AW160">
        <v>5357.64</v>
      </c>
      <c r="AX160">
        <v>5605.04</v>
      </c>
      <c r="AY160">
        <v>5521.08</v>
      </c>
      <c r="AZ160">
        <v>6179.38</v>
      </c>
      <c r="BA160">
        <v>6539.81</v>
      </c>
      <c r="BB160">
        <v>6845.63</v>
      </c>
      <c r="BC160">
        <v>7240.02</v>
      </c>
      <c r="BD160">
        <v>7671.33</v>
      </c>
      <c r="BE160">
        <v>8139.23</v>
      </c>
      <c r="BF160">
        <v>8633.61</v>
      </c>
      <c r="BG160">
        <v>2021</v>
      </c>
      <c r="BH160">
        <v>6179.38</v>
      </c>
      <c r="BI160">
        <v>2021</v>
      </c>
    </row>
    <row r="161" spans="1:61" hidden="1">
      <c r="A161">
        <v>733</v>
      </c>
      <c r="B161" t="s">
        <v>332</v>
      </c>
      <c r="C161" t="s">
        <v>1881</v>
      </c>
      <c r="D161" t="s">
        <v>119</v>
      </c>
      <c r="E161" t="str">
        <f>IF(ISNUMBER(VLOOKUP(B161,'OECD DAC'!B:C,2,FALSE)), "YES", " ")</f>
        <v xml:space="preserve"> </v>
      </c>
      <c r="F161" t="s">
        <v>1882</v>
      </c>
      <c r="G161" t="s">
        <v>1883</v>
      </c>
      <c r="H161" t="s">
        <v>1662</v>
      </c>
      <c r="I161" t="s">
        <v>883</v>
      </c>
      <c r="J161" t="s">
        <v>2043</v>
      </c>
      <c r="K161" t="s">
        <v>1664</v>
      </c>
      <c r="L161" t="s">
        <v>1664</v>
      </c>
      <c r="M161" t="s">
        <v>1664</v>
      </c>
      <c r="N161" t="s">
        <v>1664</v>
      </c>
      <c r="O161" t="s">
        <v>1664</v>
      </c>
      <c r="P161" t="s">
        <v>1664</v>
      </c>
      <c r="Q161" t="s">
        <v>1664</v>
      </c>
      <c r="R161" t="s">
        <v>1664</v>
      </c>
      <c r="S161" t="s">
        <v>1664</v>
      </c>
      <c r="T161" t="s">
        <v>1664</v>
      </c>
      <c r="U161" t="s">
        <v>1664</v>
      </c>
      <c r="V161" t="s">
        <v>1664</v>
      </c>
      <c r="W161" t="s">
        <v>1664</v>
      </c>
      <c r="X161" t="s">
        <v>1664</v>
      </c>
      <c r="Y161" t="s">
        <v>1664</v>
      </c>
      <c r="Z161" t="s">
        <v>1664</v>
      </c>
      <c r="AA161" t="s">
        <v>1664</v>
      </c>
      <c r="AB161" t="s">
        <v>1664</v>
      </c>
      <c r="AC161" t="s">
        <v>1664</v>
      </c>
      <c r="AD161" t="s">
        <v>1664</v>
      </c>
      <c r="AE161" t="s">
        <v>1664</v>
      </c>
      <c r="AF161" t="s">
        <v>1664</v>
      </c>
      <c r="AG161" t="s">
        <v>1664</v>
      </c>
      <c r="AH161" t="s">
        <v>1664</v>
      </c>
      <c r="AI161" t="s">
        <v>1664</v>
      </c>
      <c r="AJ161" t="s">
        <v>1664</v>
      </c>
      <c r="AK161" t="s">
        <v>1664</v>
      </c>
      <c r="AL161" t="s">
        <v>1664</v>
      </c>
      <c r="AM161" t="s">
        <v>1664</v>
      </c>
      <c r="AN161" t="s">
        <v>1664</v>
      </c>
      <c r="AO161" t="s">
        <v>1664</v>
      </c>
      <c r="AP161">
        <v>51.63</v>
      </c>
      <c r="AQ161">
        <v>33.237000000000002</v>
      </c>
      <c r="AR161">
        <v>44.093000000000004</v>
      </c>
      <c r="AS161">
        <v>45.381</v>
      </c>
      <c r="AT161">
        <v>52.875999999999998</v>
      </c>
      <c r="AU161">
        <v>164.374</v>
      </c>
      <c r="AV161">
        <v>397.13799999999998</v>
      </c>
      <c r="AW161">
        <v>660.31500000000005</v>
      </c>
      <c r="AX161">
        <v>840.60699999999997</v>
      </c>
      <c r="AY161">
        <v>1113.17</v>
      </c>
      <c r="AZ161">
        <v>1598.38</v>
      </c>
      <c r="BA161">
        <v>2481.54</v>
      </c>
      <c r="BB161">
        <v>5038.12</v>
      </c>
      <c r="BC161">
        <v>5480.73</v>
      </c>
      <c r="BD161">
        <v>5755.59</v>
      </c>
      <c r="BE161">
        <v>6309.49</v>
      </c>
      <c r="BF161">
        <v>7004.88</v>
      </c>
      <c r="BG161">
        <v>2018</v>
      </c>
      <c r="BH161">
        <v>660.31500000000005</v>
      </c>
      <c r="BI161">
        <v>2018</v>
      </c>
    </row>
    <row r="162" spans="1:61">
      <c r="A162">
        <v>184</v>
      </c>
      <c r="B162" t="s">
        <v>448</v>
      </c>
      <c r="C162" t="s">
        <v>1881</v>
      </c>
      <c r="D162" t="s">
        <v>69</v>
      </c>
      <c r="E162" t="str">
        <f>IF(ISNUMBER(VLOOKUP(B162,'OECD DAC'!B:C,2,FALSE)), "YES", " ")</f>
        <v>YES</v>
      </c>
      <c r="F162" t="s">
        <v>1882</v>
      </c>
      <c r="G162" t="s">
        <v>1883</v>
      </c>
      <c r="H162" t="s">
        <v>1662</v>
      </c>
      <c r="I162" t="s">
        <v>883</v>
      </c>
      <c r="J162" t="s">
        <v>2044</v>
      </c>
      <c r="K162">
        <v>99.197000000000003</v>
      </c>
      <c r="L162">
        <v>113.057</v>
      </c>
      <c r="M162">
        <v>129.887</v>
      </c>
      <c r="N162">
        <v>148.26599999999999</v>
      </c>
      <c r="O162">
        <v>166.14699999999999</v>
      </c>
      <c r="P162">
        <v>185.178</v>
      </c>
      <c r="Q162">
        <v>211.166</v>
      </c>
      <c r="R162">
        <v>235.703</v>
      </c>
      <c r="S162">
        <v>261.46800000000002</v>
      </c>
      <c r="T162">
        <v>293.24200000000002</v>
      </c>
      <c r="U162">
        <v>326.91899999999998</v>
      </c>
      <c r="V162">
        <v>358.83300000000003</v>
      </c>
      <c r="W162">
        <v>386.39</v>
      </c>
      <c r="X162">
        <v>402.72</v>
      </c>
      <c r="Y162">
        <v>426.94900000000001</v>
      </c>
      <c r="Z162">
        <v>459.685</v>
      </c>
      <c r="AA162">
        <v>487.07799999999997</v>
      </c>
      <c r="AB162">
        <v>517.98299999999995</v>
      </c>
      <c r="AC162">
        <v>554.548</v>
      </c>
      <c r="AD162">
        <v>596.12599999999998</v>
      </c>
      <c r="AE162">
        <v>647.851</v>
      </c>
      <c r="AF162">
        <v>700.99300000000005</v>
      </c>
      <c r="AG162">
        <v>749.55200000000002</v>
      </c>
      <c r="AH162">
        <v>802.26599999999996</v>
      </c>
      <c r="AI162">
        <v>859.43700000000001</v>
      </c>
      <c r="AJ162">
        <v>927.35699999999997</v>
      </c>
      <c r="AK162">
        <v>1003.82</v>
      </c>
      <c r="AL162">
        <v>1075.54</v>
      </c>
      <c r="AM162">
        <v>1109.54</v>
      </c>
      <c r="AN162">
        <v>1069.32</v>
      </c>
      <c r="AO162">
        <v>1072.71</v>
      </c>
      <c r="AP162">
        <v>1063.76</v>
      </c>
      <c r="AQ162">
        <v>1031.0999999999999</v>
      </c>
      <c r="AR162">
        <v>1020.35</v>
      </c>
      <c r="AS162">
        <v>1032.1600000000001</v>
      </c>
      <c r="AT162">
        <v>1077.5899999999999</v>
      </c>
      <c r="AU162">
        <v>1113.8399999999999</v>
      </c>
      <c r="AV162">
        <v>1161.8699999999999</v>
      </c>
      <c r="AW162">
        <v>1203.26</v>
      </c>
      <c r="AX162">
        <v>1244.3800000000001</v>
      </c>
      <c r="AY162">
        <v>1121.95</v>
      </c>
      <c r="AZ162">
        <v>1205.06</v>
      </c>
      <c r="BA162">
        <v>1288.1099999999999</v>
      </c>
      <c r="BB162">
        <v>1343.91</v>
      </c>
      <c r="BC162">
        <v>1405.67</v>
      </c>
      <c r="BD162">
        <v>1458.22</v>
      </c>
      <c r="BE162">
        <v>1509.87</v>
      </c>
      <c r="BF162">
        <v>1561.23</v>
      </c>
      <c r="BG162">
        <v>2021</v>
      </c>
      <c r="BH162">
        <v>1205.06</v>
      </c>
      <c r="BI162">
        <v>2021</v>
      </c>
    </row>
    <row r="163" spans="1:61" hidden="1">
      <c r="A163">
        <v>524</v>
      </c>
      <c r="B163" t="s">
        <v>381</v>
      </c>
      <c r="C163" t="s">
        <v>1881</v>
      </c>
      <c r="D163" t="s">
        <v>167</v>
      </c>
      <c r="E163" t="str">
        <f>IF(ISNUMBER(VLOOKUP(B163,'OECD DAC'!B:C,2,FALSE)), "YES", " ")</f>
        <v xml:space="preserve"> </v>
      </c>
      <c r="F163" t="s">
        <v>1882</v>
      </c>
      <c r="G163" t="s">
        <v>1883</v>
      </c>
      <c r="H163" t="s">
        <v>1662</v>
      </c>
      <c r="I163" t="s">
        <v>883</v>
      </c>
      <c r="J163" t="s">
        <v>2045</v>
      </c>
      <c r="K163">
        <v>83.072999999999993</v>
      </c>
      <c r="L163">
        <v>100.61499999999999</v>
      </c>
      <c r="M163">
        <v>117.462</v>
      </c>
      <c r="N163">
        <v>143.93100000000001</v>
      </c>
      <c r="O163">
        <v>181.97900000000001</v>
      </c>
      <c r="P163">
        <v>192.19300000000001</v>
      </c>
      <c r="Q163">
        <v>212.43199999999999</v>
      </c>
      <c r="R163">
        <v>232.84899999999999</v>
      </c>
      <c r="S163">
        <v>262.74599999999998</v>
      </c>
      <c r="T163">
        <v>298.14699999999999</v>
      </c>
      <c r="U163">
        <v>380.875</v>
      </c>
      <c r="V163">
        <v>440.721</v>
      </c>
      <c r="W163">
        <v>503.38099999999997</v>
      </c>
      <c r="X163">
        <v>591.30399999999997</v>
      </c>
      <c r="Y163">
        <v>685.42499999999995</v>
      </c>
      <c r="Z163">
        <v>790.4</v>
      </c>
      <c r="AA163">
        <v>909.18499999999995</v>
      </c>
      <c r="AB163">
        <v>1053.76</v>
      </c>
      <c r="AC163">
        <v>1204.93</v>
      </c>
      <c r="AD163">
        <v>1309.06</v>
      </c>
      <c r="AE163">
        <v>1488.59</v>
      </c>
      <c r="AF163">
        <v>1665.85</v>
      </c>
      <c r="AG163">
        <v>1872.38</v>
      </c>
      <c r="AH163">
        <v>2085.7399999999998</v>
      </c>
      <c r="AI163">
        <v>2392.88</v>
      </c>
      <c r="AJ163">
        <v>2807.11</v>
      </c>
      <c r="AK163">
        <v>3363.2</v>
      </c>
      <c r="AL163">
        <v>4095.66</v>
      </c>
      <c r="AM163">
        <v>5047.8500000000004</v>
      </c>
      <c r="AN163">
        <v>5533.8</v>
      </c>
      <c r="AO163">
        <v>6413.67</v>
      </c>
      <c r="AP163">
        <v>7219.11</v>
      </c>
      <c r="AQ163">
        <v>8732.4599999999991</v>
      </c>
      <c r="AR163">
        <v>9592.1299999999992</v>
      </c>
      <c r="AS163">
        <v>10361.15</v>
      </c>
      <c r="AT163">
        <v>10950.62</v>
      </c>
      <c r="AU163">
        <v>11996.08</v>
      </c>
      <c r="AV163">
        <v>13328.1</v>
      </c>
      <c r="AW163">
        <v>14290.91</v>
      </c>
      <c r="AX163">
        <v>15012.95</v>
      </c>
      <c r="AY163">
        <v>14972.99</v>
      </c>
      <c r="AZ163">
        <v>16392.54</v>
      </c>
      <c r="BA163">
        <v>19775.240000000002</v>
      </c>
      <c r="BB163">
        <v>22937.78</v>
      </c>
      <c r="BC163">
        <v>25657.73</v>
      </c>
      <c r="BD163">
        <v>28363.75</v>
      </c>
      <c r="BE163">
        <v>30976.77</v>
      </c>
      <c r="BF163">
        <v>33432.5</v>
      </c>
      <c r="BG163">
        <v>2020</v>
      </c>
      <c r="BH163">
        <v>14972.99</v>
      </c>
      <c r="BI163">
        <v>2020</v>
      </c>
    </row>
    <row r="164" spans="1:61" hidden="1">
      <c r="A164">
        <v>361</v>
      </c>
      <c r="B164" t="s">
        <v>583</v>
      </c>
      <c r="C164" t="s">
        <v>1881</v>
      </c>
      <c r="D164" t="s">
        <v>239</v>
      </c>
      <c r="E164" t="str">
        <f>IF(ISNUMBER(VLOOKUP(B164,'OECD DAC'!B:C,2,FALSE)), "YES", " ")</f>
        <v xml:space="preserve"> </v>
      </c>
      <c r="F164" t="s">
        <v>1882</v>
      </c>
      <c r="G164" t="s">
        <v>1883</v>
      </c>
      <c r="H164" t="s">
        <v>1662</v>
      </c>
      <c r="I164" t="s">
        <v>883</v>
      </c>
      <c r="J164" t="s">
        <v>2046</v>
      </c>
      <c r="K164">
        <v>0.156</v>
      </c>
      <c r="L164">
        <v>0.187</v>
      </c>
      <c r="M164">
        <v>0.21299999999999999</v>
      </c>
      <c r="N164">
        <v>0.21</v>
      </c>
      <c r="O164">
        <v>0.245</v>
      </c>
      <c r="P164">
        <v>0.27300000000000002</v>
      </c>
      <c r="Q164">
        <v>0.32100000000000001</v>
      </c>
      <c r="R164">
        <v>0.36699999999999999</v>
      </c>
      <c r="S164">
        <v>0.435</v>
      </c>
      <c r="T164">
        <v>0.48499999999999999</v>
      </c>
      <c r="U164">
        <v>0.54800000000000004</v>
      </c>
      <c r="V164">
        <v>0.54400000000000004</v>
      </c>
      <c r="W164">
        <v>0.60199999999999998</v>
      </c>
      <c r="X164">
        <v>0.65600000000000003</v>
      </c>
      <c r="Y164">
        <v>0.73299999999999998</v>
      </c>
      <c r="Z164">
        <v>0.79</v>
      </c>
      <c r="AA164">
        <v>0.84299999999999997</v>
      </c>
      <c r="AB164">
        <v>0.94799999999999995</v>
      </c>
      <c r="AC164">
        <v>0.98799999999999999</v>
      </c>
      <c r="AD164">
        <v>1.0489999999999999</v>
      </c>
      <c r="AE164">
        <v>1.137</v>
      </c>
      <c r="AF164">
        <v>1.2370000000000001</v>
      </c>
      <c r="AG164">
        <v>1.298</v>
      </c>
      <c r="AH164">
        <v>1.2669999999999999</v>
      </c>
      <c r="AI164">
        <v>1.369</v>
      </c>
      <c r="AJ164">
        <v>1.4770000000000001</v>
      </c>
      <c r="AK164">
        <v>1.74</v>
      </c>
      <c r="AL164">
        <v>1.861</v>
      </c>
      <c r="AM164">
        <v>2.1</v>
      </c>
      <c r="AN164">
        <v>2.0910000000000002</v>
      </c>
      <c r="AO164">
        <v>2.1030000000000002</v>
      </c>
      <c r="AP164">
        <v>2.2570000000000001</v>
      </c>
      <c r="AQ164">
        <v>2.2309999999999999</v>
      </c>
      <c r="AR164">
        <v>2.3639999999999999</v>
      </c>
      <c r="AS164">
        <v>2.5760000000000001</v>
      </c>
      <c r="AT164">
        <v>2.5880000000000001</v>
      </c>
      <c r="AU164">
        <v>2.7240000000000002</v>
      </c>
      <c r="AV164">
        <v>2.8639999999999999</v>
      </c>
      <c r="AW164">
        <v>2.9119999999999999</v>
      </c>
      <c r="AX164">
        <v>3.145</v>
      </c>
      <c r="AY164">
        <v>2.649</v>
      </c>
      <c r="AZ164">
        <v>2.5659999999999998</v>
      </c>
      <c r="BA164">
        <v>3.0089999999999999</v>
      </c>
      <c r="BB164">
        <v>3.282</v>
      </c>
      <c r="BC164">
        <v>3.484</v>
      </c>
      <c r="BD164">
        <v>3.6459999999999999</v>
      </c>
      <c r="BE164">
        <v>3.8210000000000002</v>
      </c>
      <c r="BF164">
        <v>4.0039999999999996</v>
      </c>
      <c r="BG164">
        <v>2020</v>
      </c>
      <c r="BH164">
        <v>2.649</v>
      </c>
      <c r="BI164">
        <v>2020</v>
      </c>
    </row>
    <row r="165" spans="1:61" hidden="1">
      <c r="A165">
        <v>362</v>
      </c>
      <c r="B165" t="s">
        <v>432</v>
      </c>
      <c r="C165" t="s">
        <v>1881</v>
      </c>
      <c r="D165" t="s">
        <v>217</v>
      </c>
      <c r="E165" t="str">
        <f>IF(ISNUMBER(VLOOKUP(B165,'OECD DAC'!B:C,2,FALSE)), "YES", " ")</f>
        <v xml:space="preserve"> </v>
      </c>
      <c r="F165" t="s">
        <v>1882</v>
      </c>
      <c r="G165" t="s">
        <v>1883</v>
      </c>
      <c r="H165" t="s">
        <v>1662</v>
      </c>
      <c r="I165" t="s">
        <v>883</v>
      </c>
      <c r="J165" t="s">
        <v>2047</v>
      </c>
      <c r="K165">
        <v>0.46</v>
      </c>
      <c r="L165">
        <v>0.52500000000000002</v>
      </c>
      <c r="M165">
        <v>0.495</v>
      </c>
      <c r="N165">
        <v>0.53200000000000003</v>
      </c>
      <c r="O165">
        <v>0.67900000000000005</v>
      </c>
      <c r="P165">
        <v>0.76800000000000002</v>
      </c>
      <c r="Q165">
        <v>0.91800000000000004</v>
      </c>
      <c r="R165">
        <v>1.014</v>
      </c>
      <c r="S165">
        <v>1.1599999999999999</v>
      </c>
      <c r="T165">
        <v>1.3140000000000001</v>
      </c>
      <c r="U165">
        <v>1.5649999999999999</v>
      </c>
      <c r="V165">
        <v>1.6559999999999999</v>
      </c>
      <c r="W165">
        <v>1.82</v>
      </c>
      <c r="X165">
        <v>1.849</v>
      </c>
      <c r="Y165">
        <v>1.927</v>
      </c>
      <c r="Z165">
        <v>2.06</v>
      </c>
      <c r="AA165">
        <v>2.13</v>
      </c>
      <c r="AB165">
        <v>2.1760000000000002</v>
      </c>
      <c r="AC165">
        <v>2.3690000000000002</v>
      </c>
      <c r="AD165">
        <v>2.4889999999999999</v>
      </c>
      <c r="AE165">
        <v>2.5179999999999998</v>
      </c>
      <c r="AF165">
        <v>2.41</v>
      </c>
      <c r="AG165">
        <v>2.4300000000000002</v>
      </c>
      <c r="AH165">
        <v>2.6659999999999999</v>
      </c>
      <c r="AI165">
        <v>2.88</v>
      </c>
      <c r="AJ165">
        <v>3.0659999999999998</v>
      </c>
      <c r="AK165">
        <v>3.4239999999999999</v>
      </c>
      <c r="AL165">
        <v>3.6070000000000002</v>
      </c>
      <c r="AM165">
        <v>3.8820000000000001</v>
      </c>
      <c r="AN165">
        <v>3.7839999999999998</v>
      </c>
      <c r="AO165">
        <v>4.0140000000000002</v>
      </c>
      <c r="AP165">
        <v>4.2590000000000003</v>
      </c>
      <c r="AQ165">
        <v>4.3360000000000003</v>
      </c>
      <c r="AR165">
        <v>4.4980000000000002</v>
      </c>
      <c r="AS165">
        <v>4.7409999999999997</v>
      </c>
      <c r="AT165">
        <v>4.8869999999999996</v>
      </c>
      <c r="AU165">
        <v>5.0369999999999999</v>
      </c>
      <c r="AV165">
        <v>5.391</v>
      </c>
      <c r="AW165">
        <v>5.5759999999999996</v>
      </c>
      <c r="AX165">
        <v>5.7210000000000001</v>
      </c>
      <c r="AY165">
        <v>4.3650000000000002</v>
      </c>
      <c r="AZ165">
        <v>4.7960000000000003</v>
      </c>
      <c r="BA165">
        <v>5.6219999999999999</v>
      </c>
      <c r="BB165">
        <v>6.1470000000000002</v>
      </c>
      <c r="BC165">
        <v>6.5339999999999998</v>
      </c>
      <c r="BD165">
        <v>6.8220000000000001</v>
      </c>
      <c r="BE165">
        <v>7.0949999999999998</v>
      </c>
      <c r="BF165">
        <v>7.3789999999999996</v>
      </c>
      <c r="BG165">
        <v>2020</v>
      </c>
      <c r="BH165">
        <v>4.3650000000000002</v>
      </c>
      <c r="BI165">
        <v>2020</v>
      </c>
    </row>
    <row r="166" spans="1:61" hidden="1">
      <c r="A166">
        <v>364</v>
      </c>
      <c r="B166" t="s">
        <v>421</v>
      </c>
      <c r="C166" t="s">
        <v>1881</v>
      </c>
      <c r="D166" t="s">
        <v>206</v>
      </c>
      <c r="E166" t="str">
        <f>IF(ISNUMBER(VLOOKUP(B166,'OECD DAC'!B:C,2,FALSE)), "YES", " ")</f>
        <v xml:space="preserve"> </v>
      </c>
      <c r="F166" t="s">
        <v>1882</v>
      </c>
      <c r="G166" t="s">
        <v>1883</v>
      </c>
      <c r="H166" t="s">
        <v>1662</v>
      </c>
      <c r="I166" t="s">
        <v>883</v>
      </c>
      <c r="J166" t="s">
        <v>2048</v>
      </c>
      <c r="K166">
        <v>0.24</v>
      </c>
      <c r="L166">
        <v>0.29799999999999999</v>
      </c>
      <c r="M166">
        <v>0.33200000000000002</v>
      </c>
      <c r="N166">
        <v>0.35599999999999998</v>
      </c>
      <c r="O166">
        <v>0.39400000000000002</v>
      </c>
      <c r="P166">
        <v>0.42499999999999999</v>
      </c>
      <c r="Q166">
        <v>0.46899999999999997</v>
      </c>
      <c r="R166">
        <v>0.51200000000000001</v>
      </c>
      <c r="S166">
        <v>0.58499999999999996</v>
      </c>
      <c r="T166">
        <v>0.626</v>
      </c>
      <c r="U166">
        <v>0.70099999999999996</v>
      </c>
      <c r="V166">
        <v>0.74299999999999999</v>
      </c>
      <c r="W166">
        <v>0.81</v>
      </c>
      <c r="X166">
        <v>0.83499999999999996</v>
      </c>
      <c r="Y166">
        <v>0.84399999999999997</v>
      </c>
      <c r="Z166">
        <v>0.92100000000000004</v>
      </c>
      <c r="AA166">
        <v>0.96699999999999997</v>
      </c>
      <c r="AB166">
        <v>1.014</v>
      </c>
      <c r="AC166">
        <v>1.089</v>
      </c>
      <c r="AD166">
        <v>1.139</v>
      </c>
      <c r="AE166">
        <v>1.155</v>
      </c>
      <c r="AF166">
        <v>1.248</v>
      </c>
      <c r="AG166">
        <v>1.3169999999999999</v>
      </c>
      <c r="AH166">
        <v>1.375</v>
      </c>
      <c r="AI166">
        <v>1.4850000000000001</v>
      </c>
      <c r="AJ166">
        <v>1.5660000000000001</v>
      </c>
      <c r="AK166">
        <v>1.7370000000000001</v>
      </c>
      <c r="AL166">
        <v>1.927</v>
      </c>
      <c r="AM166">
        <v>1.978</v>
      </c>
      <c r="AN166">
        <v>1.929</v>
      </c>
      <c r="AO166">
        <v>1.9450000000000001</v>
      </c>
      <c r="AP166">
        <v>1.927</v>
      </c>
      <c r="AQ166">
        <v>1.9710000000000001</v>
      </c>
      <c r="AR166">
        <v>2.0649999999999999</v>
      </c>
      <c r="AS166">
        <v>2.081</v>
      </c>
      <c r="AT166">
        <v>2.1240000000000001</v>
      </c>
      <c r="AU166">
        <v>2.1989999999999998</v>
      </c>
      <c r="AV166">
        <v>2.2890000000000001</v>
      </c>
      <c r="AW166">
        <v>2.3879999999999999</v>
      </c>
      <c r="AX166">
        <v>2.4569999999999999</v>
      </c>
      <c r="AY166">
        <v>2.355</v>
      </c>
      <c r="AZ166">
        <v>2.3559999999999999</v>
      </c>
      <c r="BA166">
        <v>2.5739999999999998</v>
      </c>
      <c r="BB166">
        <v>2.8149999999999999</v>
      </c>
      <c r="BC166">
        <v>2.964</v>
      </c>
      <c r="BD166">
        <v>3.1110000000000002</v>
      </c>
      <c r="BE166">
        <v>3.26</v>
      </c>
      <c r="BF166">
        <v>3.415</v>
      </c>
      <c r="BG166">
        <v>2020</v>
      </c>
      <c r="BH166">
        <v>2.355</v>
      </c>
      <c r="BI166">
        <v>2020</v>
      </c>
    </row>
    <row r="167" spans="1:61" hidden="1">
      <c r="A167">
        <v>732</v>
      </c>
      <c r="B167" t="s">
        <v>319</v>
      </c>
      <c r="C167" t="s">
        <v>1881</v>
      </c>
      <c r="D167" t="s">
        <v>106</v>
      </c>
      <c r="E167" t="str">
        <f>IF(ISNUMBER(VLOOKUP(B167,'OECD DAC'!B:C,2,FALSE)), "YES", " ")</f>
        <v xml:space="preserve"> </v>
      </c>
      <c r="F167" t="s">
        <v>1882</v>
      </c>
      <c r="G167" t="s">
        <v>1883</v>
      </c>
      <c r="H167" t="s">
        <v>1662</v>
      </c>
      <c r="I167" t="s">
        <v>883</v>
      </c>
      <c r="J167" t="s">
        <v>2049</v>
      </c>
      <c r="K167">
        <v>5.0000000000000001E-3</v>
      </c>
      <c r="L167">
        <v>6.0000000000000001E-3</v>
      </c>
      <c r="M167">
        <v>6.0000000000000001E-3</v>
      </c>
      <c r="N167">
        <v>8.0000000000000002E-3</v>
      </c>
      <c r="O167">
        <v>0.01</v>
      </c>
      <c r="P167">
        <v>1.2999999999999999E-2</v>
      </c>
      <c r="Q167">
        <v>1.9E-2</v>
      </c>
      <c r="R167">
        <v>3.4000000000000002E-2</v>
      </c>
      <c r="S167">
        <v>4.2999999999999997E-2</v>
      </c>
      <c r="T167">
        <v>7.5999999999999998E-2</v>
      </c>
      <c r="U167">
        <v>0.10100000000000001</v>
      </c>
      <c r="V167">
        <v>0.17699999999999999</v>
      </c>
      <c r="W167">
        <v>0.30199999999999999</v>
      </c>
      <c r="X167">
        <v>0.83599999999999997</v>
      </c>
      <c r="Y167">
        <v>1.726</v>
      </c>
      <c r="Z167">
        <v>3.8879999999999999</v>
      </c>
      <c r="AA167">
        <v>10.478</v>
      </c>
      <c r="AB167">
        <v>16.137</v>
      </c>
      <c r="AC167">
        <v>21.936</v>
      </c>
      <c r="AD167">
        <v>27.059000000000001</v>
      </c>
      <c r="AE167">
        <v>33.771000000000001</v>
      </c>
      <c r="AF167">
        <v>40.658999999999999</v>
      </c>
      <c r="AG167">
        <v>47.756</v>
      </c>
      <c r="AH167">
        <v>55.734000000000002</v>
      </c>
      <c r="AI167">
        <v>68.721000000000004</v>
      </c>
      <c r="AJ167">
        <v>85.706999999999994</v>
      </c>
      <c r="AK167">
        <v>98.292000000000002</v>
      </c>
      <c r="AL167">
        <v>119.837</v>
      </c>
      <c r="AM167">
        <v>135.512</v>
      </c>
      <c r="AN167">
        <v>134.215</v>
      </c>
      <c r="AO167">
        <v>170.99299999999999</v>
      </c>
      <c r="AP167">
        <v>209.071</v>
      </c>
      <c r="AQ167">
        <v>225.798</v>
      </c>
      <c r="AR167">
        <v>314.07600000000002</v>
      </c>
      <c r="AS167">
        <v>440.7</v>
      </c>
      <c r="AT167">
        <v>506.351</v>
      </c>
      <c r="AU167">
        <v>743.952</v>
      </c>
      <c r="AV167">
        <v>886.32799999999997</v>
      </c>
      <c r="AW167">
        <v>1361.93</v>
      </c>
      <c r="AX167">
        <v>2029.75</v>
      </c>
      <c r="AY167">
        <v>5169.93</v>
      </c>
      <c r="AZ167">
        <v>14960.54</v>
      </c>
      <c r="BA167">
        <v>32180.85</v>
      </c>
      <c r="BB167">
        <v>70472.89</v>
      </c>
      <c r="BC167">
        <v>106292.38</v>
      </c>
      <c r="BD167">
        <v>139065.07</v>
      </c>
      <c r="BE167">
        <v>162816.04</v>
      </c>
      <c r="BF167">
        <v>186336.45</v>
      </c>
      <c r="BG167">
        <v>2019</v>
      </c>
      <c r="BH167">
        <v>2029.75</v>
      </c>
      <c r="BI167">
        <v>2019</v>
      </c>
    </row>
    <row r="168" spans="1:61" hidden="1">
      <c r="A168">
        <v>366</v>
      </c>
      <c r="B168" t="s">
        <v>390</v>
      </c>
      <c r="C168" t="s">
        <v>1881</v>
      </c>
      <c r="D168" t="s">
        <v>175</v>
      </c>
      <c r="E168" t="str">
        <f>IF(ISNUMBER(VLOOKUP(B168,'OECD DAC'!B:C,2,FALSE)), "YES", " ")</f>
        <v xml:space="preserve"> </v>
      </c>
      <c r="F168" t="s">
        <v>1882</v>
      </c>
      <c r="G168" t="s">
        <v>1883</v>
      </c>
      <c r="H168" t="s">
        <v>1662</v>
      </c>
      <c r="I168" t="s">
        <v>883</v>
      </c>
      <c r="J168" t="s">
        <v>2050</v>
      </c>
      <c r="K168">
        <v>2E-3</v>
      </c>
      <c r="L168">
        <v>3.0000000000000001E-3</v>
      </c>
      <c r="M168">
        <v>3.0000000000000001E-3</v>
      </c>
      <c r="N168">
        <v>3.0000000000000001E-3</v>
      </c>
      <c r="O168">
        <v>2E-3</v>
      </c>
      <c r="P168">
        <v>3.0000000000000001E-3</v>
      </c>
      <c r="Q168">
        <v>3.0000000000000001E-3</v>
      </c>
      <c r="R168">
        <v>3.0000000000000001E-3</v>
      </c>
      <c r="S168">
        <v>3.0000000000000001E-3</v>
      </c>
      <c r="T168">
        <v>4.0000000000000001E-3</v>
      </c>
      <c r="U168">
        <v>6.0000000000000001E-3</v>
      </c>
      <c r="V168">
        <v>6.0000000000000001E-3</v>
      </c>
      <c r="W168">
        <v>8.9999999999999993E-3</v>
      </c>
      <c r="X168">
        <v>2.1000000000000001E-2</v>
      </c>
      <c r="Y168">
        <v>0.11600000000000001</v>
      </c>
      <c r="Z168">
        <v>0.44</v>
      </c>
      <c r="AA168">
        <v>0.495</v>
      </c>
      <c r="AB168">
        <v>0.53100000000000003</v>
      </c>
      <c r="AC168">
        <v>0.63800000000000001</v>
      </c>
      <c r="AD168">
        <v>1.091</v>
      </c>
      <c r="AE168">
        <v>1.792</v>
      </c>
      <c r="AF168">
        <v>2.5419999999999998</v>
      </c>
      <c r="AG168">
        <v>3.4590000000000001</v>
      </c>
      <c r="AH168">
        <v>4.4969999999999999</v>
      </c>
      <c r="AI168">
        <v>5.4669999999999996</v>
      </c>
      <c r="AJ168">
        <v>6.5380000000000003</v>
      </c>
      <c r="AK168">
        <v>7.7160000000000002</v>
      </c>
      <c r="AL168">
        <v>8.6310000000000002</v>
      </c>
      <c r="AM168">
        <v>10.384</v>
      </c>
      <c r="AN168">
        <v>11.391</v>
      </c>
      <c r="AO168">
        <v>12.842000000000001</v>
      </c>
      <c r="AP168">
        <v>15.475</v>
      </c>
      <c r="AQ168">
        <v>17.597000000000001</v>
      </c>
      <c r="AR168">
        <v>18.181999999999999</v>
      </c>
      <c r="AS168">
        <v>18.518000000000001</v>
      </c>
      <c r="AT168">
        <v>17.515000000000001</v>
      </c>
      <c r="AU168">
        <v>20.663</v>
      </c>
      <c r="AV168">
        <v>26.893000000000001</v>
      </c>
      <c r="AW168">
        <v>29.821999999999999</v>
      </c>
      <c r="AX168">
        <v>31.483000000000001</v>
      </c>
      <c r="AY168">
        <v>38.353000000000002</v>
      </c>
      <c r="AZ168">
        <v>56.24</v>
      </c>
      <c r="BA168">
        <v>77.811000000000007</v>
      </c>
      <c r="BB168">
        <v>96.617999999999995</v>
      </c>
      <c r="BC168">
        <v>111.55800000000001</v>
      </c>
      <c r="BD168">
        <v>125.541</v>
      </c>
      <c r="BE168">
        <v>139.45599999999999</v>
      </c>
      <c r="BF168">
        <v>150.84800000000001</v>
      </c>
      <c r="BG168">
        <v>2020</v>
      </c>
      <c r="BH168">
        <v>38.353000000000002</v>
      </c>
      <c r="BI168">
        <v>2020</v>
      </c>
    </row>
    <row r="169" spans="1:61">
      <c r="A169">
        <v>144</v>
      </c>
      <c r="B169" t="s">
        <v>462</v>
      </c>
      <c r="C169" t="s">
        <v>1881</v>
      </c>
      <c r="D169" t="s">
        <v>52</v>
      </c>
      <c r="E169" t="str">
        <f>IF(ISNUMBER(VLOOKUP(B169,'OECD DAC'!B:C,2,FALSE)), "YES", " ")</f>
        <v>YES</v>
      </c>
      <c r="F169" t="s">
        <v>1882</v>
      </c>
      <c r="G169" t="s">
        <v>1883</v>
      </c>
      <c r="H169" t="s">
        <v>1662</v>
      </c>
      <c r="I169" t="s">
        <v>883</v>
      </c>
      <c r="J169" t="s">
        <v>2051</v>
      </c>
      <c r="K169">
        <v>593.76400000000001</v>
      </c>
      <c r="L169">
        <v>648.86800000000005</v>
      </c>
      <c r="M169">
        <v>710.30600000000004</v>
      </c>
      <c r="N169">
        <v>796.53700000000003</v>
      </c>
      <c r="O169">
        <v>895.46400000000006</v>
      </c>
      <c r="P169">
        <v>974.38300000000004</v>
      </c>
      <c r="Q169">
        <v>1065.92</v>
      </c>
      <c r="R169">
        <v>1153.9000000000001</v>
      </c>
      <c r="S169">
        <v>1261.48</v>
      </c>
      <c r="T169">
        <v>1396.98</v>
      </c>
      <c r="U169">
        <v>1538.29</v>
      </c>
      <c r="V169">
        <v>1646.15</v>
      </c>
      <c r="W169">
        <v>1649.47</v>
      </c>
      <c r="X169">
        <v>1657.5</v>
      </c>
      <c r="Y169">
        <v>1767.22</v>
      </c>
      <c r="Z169">
        <v>1906.77</v>
      </c>
      <c r="AA169">
        <v>1956.43</v>
      </c>
      <c r="AB169">
        <v>2047.27</v>
      </c>
      <c r="AC169">
        <v>2152.91</v>
      </c>
      <c r="AD169">
        <v>2264.4899999999998</v>
      </c>
      <c r="AE169">
        <v>2408.15</v>
      </c>
      <c r="AF169">
        <v>2503.73</v>
      </c>
      <c r="AG169">
        <v>2598.34</v>
      </c>
      <c r="AH169">
        <v>2703.55</v>
      </c>
      <c r="AI169">
        <v>2830.19</v>
      </c>
      <c r="AJ169">
        <v>2931.09</v>
      </c>
      <c r="AK169">
        <v>3121.67</v>
      </c>
      <c r="AL169">
        <v>3320.28</v>
      </c>
      <c r="AM169">
        <v>3412.25</v>
      </c>
      <c r="AN169">
        <v>3341.17</v>
      </c>
      <c r="AO169">
        <v>3573.58</v>
      </c>
      <c r="AP169">
        <v>3727.91</v>
      </c>
      <c r="AQ169">
        <v>3743.09</v>
      </c>
      <c r="AR169">
        <v>3822.67</v>
      </c>
      <c r="AS169">
        <v>3992.73</v>
      </c>
      <c r="AT169">
        <v>4260.47</v>
      </c>
      <c r="AU169">
        <v>4415.03</v>
      </c>
      <c r="AV169">
        <v>4625.09</v>
      </c>
      <c r="AW169">
        <v>4828.3100000000004</v>
      </c>
      <c r="AX169">
        <v>5049.62</v>
      </c>
      <c r="AY169">
        <v>4987.26</v>
      </c>
      <c r="AZ169">
        <v>5381.26</v>
      </c>
      <c r="BA169">
        <v>5824.87</v>
      </c>
      <c r="BB169">
        <v>6138.51</v>
      </c>
      <c r="BC169">
        <v>6385.07</v>
      </c>
      <c r="BD169">
        <v>6639.24</v>
      </c>
      <c r="BE169">
        <v>6910.76</v>
      </c>
      <c r="BF169">
        <v>7191.07</v>
      </c>
      <c r="BG169">
        <v>2021</v>
      </c>
      <c r="BH169">
        <v>5381.26</v>
      </c>
      <c r="BI169">
        <v>2021</v>
      </c>
    </row>
    <row r="170" spans="1:61">
      <c r="A170">
        <v>146</v>
      </c>
      <c r="B170" t="s">
        <v>469</v>
      </c>
      <c r="C170" t="s">
        <v>1881</v>
      </c>
      <c r="D170" t="s">
        <v>67</v>
      </c>
      <c r="E170" t="str">
        <f>IF(ISNUMBER(VLOOKUP(B170,'OECD DAC'!B:C,2,FALSE)), "YES", " ")</f>
        <v>YES</v>
      </c>
      <c r="F170" t="s">
        <v>1882</v>
      </c>
      <c r="G170" t="s">
        <v>1883</v>
      </c>
      <c r="H170" t="s">
        <v>1662</v>
      </c>
      <c r="I170" t="s">
        <v>883</v>
      </c>
      <c r="J170" t="s">
        <v>2052</v>
      </c>
      <c r="K170">
        <v>205.61099999999999</v>
      </c>
      <c r="L170">
        <v>220.57</v>
      </c>
      <c r="M170">
        <v>233.18899999999999</v>
      </c>
      <c r="N170">
        <v>240.376</v>
      </c>
      <c r="O170">
        <v>257.51499999999999</v>
      </c>
      <c r="P170">
        <v>273.33499999999998</v>
      </c>
      <c r="Q170">
        <v>286.714</v>
      </c>
      <c r="R170">
        <v>297.29399999999998</v>
      </c>
      <c r="S170">
        <v>315.37200000000001</v>
      </c>
      <c r="T170">
        <v>340.90300000000002</v>
      </c>
      <c r="U170">
        <v>369.81299999999999</v>
      </c>
      <c r="V170">
        <v>386.30399999999997</v>
      </c>
      <c r="W170">
        <v>393.68099999999998</v>
      </c>
      <c r="X170">
        <v>402.029</v>
      </c>
      <c r="Y170">
        <v>412.15899999999999</v>
      </c>
      <c r="Z170">
        <v>417.70800000000003</v>
      </c>
      <c r="AA170">
        <v>421.178</v>
      </c>
      <c r="AB170">
        <v>428.48099999999999</v>
      </c>
      <c r="AC170">
        <v>440.41300000000001</v>
      </c>
      <c r="AD170">
        <v>447.95</v>
      </c>
      <c r="AE170">
        <v>472.72800000000001</v>
      </c>
      <c r="AF170">
        <v>485.22500000000002</v>
      </c>
      <c r="AG170">
        <v>484.08100000000002</v>
      </c>
      <c r="AH170">
        <v>489.31</v>
      </c>
      <c r="AI170">
        <v>503.70600000000002</v>
      </c>
      <c r="AJ170">
        <v>523.14</v>
      </c>
      <c r="AK170">
        <v>556.495</v>
      </c>
      <c r="AL170">
        <v>592.82899999999995</v>
      </c>
      <c r="AM170">
        <v>617.39499999999998</v>
      </c>
      <c r="AN170">
        <v>607.26300000000003</v>
      </c>
      <c r="AO170">
        <v>628.74800000000005</v>
      </c>
      <c r="AP170">
        <v>640.85400000000004</v>
      </c>
      <c r="AQ170">
        <v>649.20600000000002</v>
      </c>
      <c r="AR170">
        <v>661.05499999999995</v>
      </c>
      <c r="AS170">
        <v>673.05100000000004</v>
      </c>
      <c r="AT170">
        <v>675.74900000000002</v>
      </c>
      <c r="AU170">
        <v>685.24599999999998</v>
      </c>
      <c r="AV170">
        <v>693.92200000000003</v>
      </c>
      <c r="AW170">
        <v>719.75300000000004</v>
      </c>
      <c r="AX170">
        <v>727.86400000000003</v>
      </c>
      <c r="AY170">
        <v>705.86</v>
      </c>
      <c r="AZ170">
        <v>742.54700000000003</v>
      </c>
      <c r="BA170">
        <v>773.82600000000002</v>
      </c>
      <c r="BB170">
        <v>795.15</v>
      </c>
      <c r="BC170">
        <v>817.73699999999997</v>
      </c>
      <c r="BD170">
        <v>836.77499999999998</v>
      </c>
      <c r="BE170">
        <v>861.54100000000005</v>
      </c>
      <c r="BF170">
        <v>881.745</v>
      </c>
      <c r="BG170">
        <v>2021</v>
      </c>
      <c r="BH170">
        <v>742.54700000000003</v>
      </c>
      <c r="BI170">
        <v>2021</v>
      </c>
    </row>
    <row r="171" spans="1:61" hidden="1">
      <c r="A171">
        <v>463</v>
      </c>
      <c r="B171" t="s">
        <v>327</v>
      </c>
      <c r="C171" t="s">
        <v>1881</v>
      </c>
      <c r="D171" t="s">
        <v>1846</v>
      </c>
      <c r="E171" t="str">
        <f>IF(ISNUMBER(VLOOKUP(B171,'OECD DAC'!B:C,2,FALSE)), "YES", " ")</f>
        <v xml:space="preserve"> </v>
      </c>
      <c r="F171" t="s">
        <v>1882</v>
      </c>
      <c r="G171" t="s">
        <v>1883</v>
      </c>
      <c r="H171" t="s">
        <v>1662</v>
      </c>
      <c r="I171" t="s">
        <v>883</v>
      </c>
      <c r="J171" t="s">
        <v>2053</v>
      </c>
      <c r="K171">
        <v>51.27</v>
      </c>
      <c r="L171">
        <v>65.777000000000001</v>
      </c>
      <c r="M171">
        <v>68.787999999999997</v>
      </c>
      <c r="N171">
        <v>73.290999999999997</v>
      </c>
      <c r="O171">
        <v>75.341999999999999</v>
      </c>
      <c r="P171">
        <v>83.224999999999994</v>
      </c>
      <c r="Q171">
        <v>99.933000000000007</v>
      </c>
      <c r="R171">
        <v>127.712</v>
      </c>
      <c r="S171">
        <v>186.047</v>
      </c>
      <c r="T171">
        <v>208.892</v>
      </c>
      <c r="U171">
        <v>268.32799999999997</v>
      </c>
      <c r="V171">
        <v>311.56400000000002</v>
      </c>
      <c r="W171">
        <v>371.63</v>
      </c>
      <c r="X171">
        <v>413.755</v>
      </c>
      <c r="Y171">
        <v>506.101</v>
      </c>
      <c r="Z171">
        <v>570.97500000000002</v>
      </c>
      <c r="AA171">
        <v>690.85699999999997</v>
      </c>
      <c r="AB171">
        <v>745.56899999999996</v>
      </c>
      <c r="AC171">
        <v>790.44399999999996</v>
      </c>
      <c r="AD171">
        <v>819.09199999999998</v>
      </c>
      <c r="AE171">
        <v>947.13</v>
      </c>
      <c r="AF171">
        <v>1010.15</v>
      </c>
      <c r="AG171">
        <v>1118.1099999999999</v>
      </c>
      <c r="AH171">
        <v>1074.1600000000001</v>
      </c>
      <c r="AI171">
        <v>1266.8900000000001</v>
      </c>
      <c r="AJ171">
        <v>1506.44</v>
      </c>
      <c r="AK171">
        <v>1726.4</v>
      </c>
      <c r="AL171">
        <v>2020.84</v>
      </c>
      <c r="AM171">
        <v>2448.06</v>
      </c>
      <c r="AN171">
        <v>2520.71</v>
      </c>
      <c r="AO171">
        <v>2791.78</v>
      </c>
      <c r="AP171" t="s">
        <v>1664</v>
      </c>
      <c r="AQ171" t="s">
        <v>1664</v>
      </c>
      <c r="AR171" t="s">
        <v>1664</v>
      </c>
      <c r="AS171" t="s">
        <v>1664</v>
      </c>
      <c r="AT171" t="s">
        <v>1664</v>
      </c>
      <c r="AU171" t="s">
        <v>1664</v>
      </c>
      <c r="AV171" t="s">
        <v>1664</v>
      </c>
      <c r="AW171" t="s">
        <v>1664</v>
      </c>
      <c r="AX171" t="s">
        <v>1664</v>
      </c>
      <c r="AY171" t="s">
        <v>1664</v>
      </c>
      <c r="AZ171" t="s">
        <v>1664</v>
      </c>
      <c r="BA171" t="s">
        <v>1664</v>
      </c>
      <c r="BB171" t="s">
        <v>1664</v>
      </c>
      <c r="BC171" t="s">
        <v>1664</v>
      </c>
      <c r="BD171" t="s">
        <v>1664</v>
      </c>
      <c r="BE171" t="s">
        <v>1664</v>
      </c>
      <c r="BF171" t="s">
        <v>1664</v>
      </c>
      <c r="BG171">
        <v>2010</v>
      </c>
      <c r="BH171">
        <v>2791.78</v>
      </c>
      <c r="BI171">
        <v>2010</v>
      </c>
    </row>
    <row r="172" spans="1:61" hidden="1">
      <c r="A172">
        <v>528</v>
      </c>
      <c r="B172" t="s">
        <v>584</v>
      </c>
      <c r="C172" t="s">
        <v>1881</v>
      </c>
      <c r="D172" t="s">
        <v>1848</v>
      </c>
      <c r="E172" t="str">
        <f>IF(ISNUMBER(VLOOKUP(B172,'OECD DAC'!B:C,2,FALSE)), "YES", " ")</f>
        <v xml:space="preserve"> </v>
      </c>
      <c r="F172" t="s">
        <v>1882</v>
      </c>
      <c r="G172" t="s">
        <v>1883</v>
      </c>
      <c r="H172" t="s">
        <v>1662</v>
      </c>
      <c r="I172" t="s">
        <v>883</v>
      </c>
      <c r="J172" t="s">
        <v>2054</v>
      </c>
      <c r="K172">
        <v>1522.11</v>
      </c>
      <c r="L172">
        <v>1804.43</v>
      </c>
      <c r="M172">
        <v>1938.02</v>
      </c>
      <c r="N172">
        <v>2169.4499999999998</v>
      </c>
      <c r="O172">
        <v>2418.2399999999998</v>
      </c>
      <c r="P172">
        <v>2535.06</v>
      </c>
      <c r="Q172">
        <v>2965.45</v>
      </c>
      <c r="R172">
        <v>3344.94</v>
      </c>
      <c r="S172">
        <v>3615.66</v>
      </c>
      <c r="T172">
        <v>4032.46</v>
      </c>
      <c r="U172">
        <v>4474.29</v>
      </c>
      <c r="V172">
        <v>5018.0200000000004</v>
      </c>
      <c r="W172">
        <v>5609.36</v>
      </c>
      <c r="X172">
        <v>6200.15</v>
      </c>
      <c r="Y172">
        <v>6779.4</v>
      </c>
      <c r="Z172">
        <v>7391.06</v>
      </c>
      <c r="AA172">
        <v>8031.31</v>
      </c>
      <c r="AB172">
        <v>8705.15</v>
      </c>
      <c r="AC172">
        <v>9366.34</v>
      </c>
      <c r="AD172">
        <v>9804.5</v>
      </c>
      <c r="AE172">
        <v>10328.549999999999</v>
      </c>
      <c r="AF172">
        <v>10119.43</v>
      </c>
      <c r="AG172">
        <v>10630.91</v>
      </c>
      <c r="AH172">
        <v>10924.03</v>
      </c>
      <c r="AI172">
        <v>11596.24</v>
      </c>
      <c r="AJ172">
        <v>12036.68</v>
      </c>
      <c r="AK172">
        <v>12572.59</v>
      </c>
      <c r="AL172">
        <v>13363.92</v>
      </c>
      <c r="AM172">
        <v>13115.1</v>
      </c>
      <c r="AN172">
        <v>12919.45</v>
      </c>
      <c r="AO172">
        <v>14060.35</v>
      </c>
      <c r="AP172">
        <v>14262.2</v>
      </c>
      <c r="AQ172">
        <v>14677.77</v>
      </c>
      <c r="AR172">
        <v>15270.73</v>
      </c>
      <c r="AS172">
        <v>16258.05</v>
      </c>
      <c r="AT172">
        <v>17055.080000000002</v>
      </c>
      <c r="AU172">
        <v>17555.27</v>
      </c>
      <c r="AV172">
        <v>17983.349999999999</v>
      </c>
      <c r="AW172">
        <v>18375.02</v>
      </c>
      <c r="AX172">
        <v>18908.63</v>
      </c>
      <c r="AY172">
        <v>19798.599999999999</v>
      </c>
      <c r="AZ172">
        <v>22124.7</v>
      </c>
      <c r="BA172">
        <v>23253.96</v>
      </c>
      <c r="BB172">
        <v>23898.48</v>
      </c>
      <c r="BC172">
        <v>24513.02</v>
      </c>
      <c r="BD172">
        <v>25502.959999999999</v>
      </c>
      <c r="BE172">
        <v>26613.69</v>
      </c>
      <c r="BF172">
        <v>27822.31</v>
      </c>
      <c r="BG172">
        <v>2021</v>
      </c>
      <c r="BH172">
        <v>22124.7</v>
      </c>
      <c r="BI172">
        <v>2021</v>
      </c>
    </row>
    <row r="173" spans="1:61" hidden="1">
      <c r="A173">
        <v>923</v>
      </c>
      <c r="B173" t="s">
        <v>336</v>
      </c>
      <c r="C173" t="s">
        <v>1881</v>
      </c>
      <c r="D173" t="s">
        <v>122</v>
      </c>
      <c r="E173" t="str">
        <f>IF(ISNUMBER(VLOOKUP(B173,'OECD DAC'!B:C,2,FALSE)), "YES", " ")</f>
        <v xml:space="preserve"> </v>
      </c>
      <c r="F173" t="s">
        <v>1882</v>
      </c>
      <c r="G173" t="s">
        <v>1883</v>
      </c>
      <c r="H173" t="s">
        <v>1662</v>
      </c>
      <c r="I173" t="s">
        <v>883</v>
      </c>
      <c r="J173" t="s">
        <v>2055</v>
      </c>
      <c r="K173" t="s">
        <v>1664</v>
      </c>
      <c r="L173" t="s">
        <v>1664</v>
      </c>
      <c r="M173" t="s">
        <v>1664</v>
      </c>
      <c r="N173" t="s">
        <v>1664</v>
      </c>
      <c r="O173" t="s">
        <v>1664</v>
      </c>
      <c r="P173" t="s">
        <v>1664</v>
      </c>
      <c r="Q173" t="s">
        <v>1664</v>
      </c>
      <c r="R173" t="s">
        <v>1664</v>
      </c>
      <c r="S173" t="s">
        <v>1664</v>
      </c>
      <c r="T173" t="s">
        <v>1664</v>
      </c>
      <c r="U173" t="s">
        <v>1664</v>
      </c>
      <c r="V173" t="s">
        <v>1664</v>
      </c>
      <c r="W173">
        <v>1E-3</v>
      </c>
      <c r="X173">
        <v>7.0000000000000001E-3</v>
      </c>
      <c r="Y173">
        <v>0.02</v>
      </c>
      <c r="Z173">
        <v>6.5000000000000002E-2</v>
      </c>
      <c r="AA173">
        <v>0.308</v>
      </c>
      <c r="AB173">
        <v>0.63200000000000001</v>
      </c>
      <c r="AC173">
        <v>1.0249999999999999</v>
      </c>
      <c r="AD173">
        <v>1.345</v>
      </c>
      <c r="AE173">
        <v>1.8069999999999999</v>
      </c>
      <c r="AF173">
        <v>2.512</v>
      </c>
      <c r="AG173">
        <v>3.3450000000000002</v>
      </c>
      <c r="AH173">
        <v>4.758</v>
      </c>
      <c r="AI173">
        <v>6.1580000000000004</v>
      </c>
      <c r="AJ173">
        <v>7.2009999999999996</v>
      </c>
      <c r="AK173">
        <v>9.2720000000000002</v>
      </c>
      <c r="AL173">
        <v>12.78</v>
      </c>
      <c r="AM173">
        <v>17.609000000000002</v>
      </c>
      <c r="AN173">
        <v>20.623000000000001</v>
      </c>
      <c r="AO173">
        <v>24.704999999999998</v>
      </c>
      <c r="AP173">
        <v>30.068999999999999</v>
      </c>
      <c r="AQ173">
        <v>36.161000000000001</v>
      </c>
      <c r="AR173">
        <v>40.524999999999999</v>
      </c>
      <c r="AS173">
        <v>45.604999999999997</v>
      </c>
      <c r="AT173">
        <v>48.402000000000001</v>
      </c>
      <c r="AU173">
        <v>54.79</v>
      </c>
      <c r="AV173">
        <v>64.433999999999997</v>
      </c>
      <c r="AW173">
        <v>71.058999999999997</v>
      </c>
      <c r="AX173">
        <v>79.11</v>
      </c>
      <c r="AY173">
        <v>83.957999999999998</v>
      </c>
      <c r="AZ173">
        <v>95.88</v>
      </c>
      <c r="BA173">
        <v>107.29</v>
      </c>
      <c r="BB173">
        <v>118.985</v>
      </c>
      <c r="BC173">
        <v>131.03200000000001</v>
      </c>
      <c r="BD173">
        <v>144.31399999999999</v>
      </c>
      <c r="BE173">
        <v>158.34100000000001</v>
      </c>
      <c r="BF173">
        <v>173.726</v>
      </c>
      <c r="BG173">
        <v>2020</v>
      </c>
      <c r="BH173">
        <v>83.957999999999998</v>
      </c>
      <c r="BI173">
        <v>2020</v>
      </c>
    </row>
    <row r="174" spans="1:61" hidden="1">
      <c r="A174">
        <v>738</v>
      </c>
      <c r="B174" t="s">
        <v>335</v>
      </c>
      <c r="C174" t="s">
        <v>1881</v>
      </c>
      <c r="D174" t="s">
        <v>121</v>
      </c>
      <c r="E174" t="str">
        <f>IF(ISNUMBER(VLOOKUP(B174,'OECD DAC'!B:C,2,FALSE)), "YES", " ")</f>
        <v xml:space="preserve"> </v>
      </c>
      <c r="F174" t="s">
        <v>1882</v>
      </c>
      <c r="G174" t="s">
        <v>1883</v>
      </c>
      <c r="H174" t="s">
        <v>1662</v>
      </c>
      <c r="I174" t="s">
        <v>883</v>
      </c>
      <c r="J174" t="s">
        <v>2056</v>
      </c>
      <c r="K174">
        <v>89.277000000000001</v>
      </c>
      <c r="L174">
        <v>106.74</v>
      </c>
      <c r="M174">
        <v>129.113</v>
      </c>
      <c r="N174">
        <v>149.29400000000001</v>
      </c>
      <c r="O174">
        <v>175.94499999999999</v>
      </c>
      <c r="P174">
        <v>224.43199999999999</v>
      </c>
      <c r="Q174">
        <v>295.983</v>
      </c>
      <c r="R174">
        <v>400.11900000000003</v>
      </c>
      <c r="S174">
        <v>614.99800000000005</v>
      </c>
      <c r="T174">
        <v>769.62199999999996</v>
      </c>
      <c r="U174">
        <v>1008.78</v>
      </c>
      <c r="V174">
        <v>1319.15</v>
      </c>
      <c r="W174">
        <v>1663.55</v>
      </c>
      <c r="X174">
        <v>2095.4699999999998</v>
      </c>
      <c r="Y174">
        <v>2791.71</v>
      </c>
      <c r="Z174">
        <v>3668.05</v>
      </c>
      <c r="AA174">
        <v>4575.3599999999997</v>
      </c>
      <c r="AB174">
        <v>5718.08</v>
      </c>
      <c r="AC174">
        <v>7631.15</v>
      </c>
      <c r="AD174">
        <v>8770.9599999999991</v>
      </c>
      <c r="AE174">
        <v>9900.61</v>
      </c>
      <c r="AF174">
        <v>11051.22</v>
      </c>
      <c r="AG174">
        <v>12683.64</v>
      </c>
      <c r="AH174">
        <v>14702.61</v>
      </c>
      <c r="AI174">
        <v>16966.87</v>
      </c>
      <c r="AJ174">
        <v>19387.990000000002</v>
      </c>
      <c r="AK174">
        <v>23633.85</v>
      </c>
      <c r="AL174">
        <v>27155.84</v>
      </c>
      <c r="AM174">
        <v>33236.639999999999</v>
      </c>
      <c r="AN174">
        <v>38269.96</v>
      </c>
      <c r="AO174">
        <v>44467.11</v>
      </c>
      <c r="AP174">
        <v>53522.18</v>
      </c>
      <c r="AQ174">
        <v>62318.66</v>
      </c>
      <c r="AR174">
        <v>72977.2</v>
      </c>
      <c r="AS174">
        <v>82603.39</v>
      </c>
      <c r="AT174">
        <v>94349.32</v>
      </c>
      <c r="AU174">
        <v>108362.32</v>
      </c>
      <c r="AV174">
        <v>118744.5</v>
      </c>
      <c r="AW174">
        <v>129014.83</v>
      </c>
      <c r="AX174">
        <v>139893.79999999999</v>
      </c>
      <c r="AY174">
        <v>148522.10999999999</v>
      </c>
      <c r="AZ174">
        <v>162317.45000000001</v>
      </c>
      <c r="BA174">
        <v>178481.06</v>
      </c>
      <c r="BB174">
        <v>198861.08</v>
      </c>
      <c r="BC174">
        <v>221001.76</v>
      </c>
      <c r="BD174">
        <v>245292.59</v>
      </c>
      <c r="BE174">
        <v>273024.78999999998</v>
      </c>
      <c r="BF174">
        <v>303296.61</v>
      </c>
      <c r="BG174">
        <v>2021</v>
      </c>
      <c r="BH174">
        <v>162317.45000000001</v>
      </c>
      <c r="BI174">
        <v>2021</v>
      </c>
    </row>
    <row r="175" spans="1:61" hidden="1">
      <c r="A175">
        <v>578</v>
      </c>
      <c r="B175" t="s">
        <v>418</v>
      </c>
      <c r="C175" t="s">
        <v>1881</v>
      </c>
      <c r="D175" t="s">
        <v>203</v>
      </c>
      <c r="E175" t="str">
        <f>IF(ISNUMBER(VLOOKUP(B175,'OECD DAC'!B:C,2,FALSE)), "YES", " ")</f>
        <v xml:space="preserve"> </v>
      </c>
      <c r="F175" t="s">
        <v>1882</v>
      </c>
      <c r="G175" t="s">
        <v>1883</v>
      </c>
      <c r="H175" t="s">
        <v>1662</v>
      </c>
      <c r="I175" t="s">
        <v>883</v>
      </c>
      <c r="J175" t="s">
        <v>2057</v>
      </c>
      <c r="K175">
        <v>684.36199999999997</v>
      </c>
      <c r="L175">
        <v>785.51400000000001</v>
      </c>
      <c r="M175">
        <v>869.39599999999996</v>
      </c>
      <c r="N175">
        <v>951.41899999999998</v>
      </c>
      <c r="O175">
        <v>1020.74</v>
      </c>
      <c r="P175">
        <v>1091.3900000000001</v>
      </c>
      <c r="Q175">
        <v>1170.83</v>
      </c>
      <c r="R175">
        <v>1342.85</v>
      </c>
      <c r="S175">
        <v>1611.32</v>
      </c>
      <c r="T175">
        <v>1918.33</v>
      </c>
      <c r="U175">
        <v>2263.4699999999998</v>
      </c>
      <c r="V175">
        <v>2583.4899999999998</v>
      </c>
      <c r="W175">
        <v>2935.65</v>
      </c>
      <c r="X175">
        <v>3263.43</v>
      </c>
      <c r="Y175">
        <v>3689.09</v>
      </c>
      <c r="Z175">
        <v>4217.6099999999997</v>
      </c>
      <c r="AA175">
        <v>4638.6000000000004</v>
      </c>
      <c r="AB175">
        <v>4710.3100000000004</v>
      </c>
      <c r="AC175">
        <v>4701.55</v>
      </c>
      <c r="AD175">
        <v>4789.83</v>
      </c>
      <c r="AE175">
        <v>5069.82</v>
      </c>
      <c r="AF175">
        <v>5345</v>
      </c>
      <c r="AG175">
        <v>5769.58</v>
      </c>
      <c r="AH175">
        <v>6317.3</v>
      </c>
      <c r="AI175">
        <v>6954.28</v>
      </c>
      <c r="AJ175">
        <v>7614.41</v>
      </c>
      <c r="AK175">
        <v>8400.64</v>
      </c>
      <c r="AL175">
        <v>9076.2999999999993</v>
      </c>
      <c r="AM175">
        <v>9706.93</v>
      </c>
      <c r="AN175">
        <v>9658.67</v>
      </c>
      <c r="AO175">
        <v>10808.15</v>
      </c>
      <c r="AP175">
        <v>11306.91</v>
      </c>
      <c r="AQ175">
        <v>12357.34</v>
      </c>
      <c r="AR175">
        <v>12915.16</v>
      </c>
      <c r="AS175">
        <v>13230.3</v>
      </c>
      <c r="AT175">
        <v>13743.48</v>
      </c>
      <c r="AU175">
        <v>14590.34</v>
      </c>
      <c r="AV175">
        <v>15488.66</v>
      </c>
      <c r="AW175">
        <v>16373.34</v>
      </c>
      <c r="AX175">
        <v>16892.41</v>
      </c>
      <c r="AY175">
        <v>15653.88</v>
      </c>
      <c r="AZ175">
        <v>16179.83</v>
      </c>
      <c r="BA175">
        <v>17079.650000000001</v>
      </c>
      <c r="BB175">
        <v>17999.82</v>
      </c>
      <c r="BC175">
        <v>19454.009999999998</v>
      </c>
      <c r="BD175">
        <v>20544.939999999999</v>
      </c>
      <c r="BE175">
        <v>21645.89</v>
      </c>
      <c r="BF175">
        <v>22439.48</v>
      </c>
      <c r="BG175">
        <v>2020</v>
      </c>
      <c r="BH175">
        <v>15653.88</v>
      </c>
      <c r="BI175">
        <v>2020</v>
      </c>
    </row>
    <row r="176" spans="1:61" hidden="1">
      <c r="A176">
        <v>537</v>
      </c>
      <c r="B176" t="s">
        <v>351</v>
      </c>
      <c r="C176" t="s">
        <v>1881</v>
      </c>
      <c r="D176" t="s">
        <v>137</v>
      </c>
      <c r="E176" t="str">
        <f>IF(ISNUMBER(VLOOKUP(B176,'OECD DAC'!B:C,2,FALSE)), "YES", " ")</f>
        <v xml:space="preserve"> </v>
      </c>
      <c r="F176" t="s">
        <v>1882</v>
      </c>
      <c r="G176" t="s">
        <v>1883</v>
      </c>
      <c r="H176" t="s">
        <v>1662</v>
      </c>
      <c r="I176" t="s">
        <v>883</v>
      </c>
      <c r="J176" t="s">
        <v>2058</v>
      </c>
      <c r="K176" t="s">
        <v>1664</v>
      </c>
      <c r="L176" t="s">
        <v>1664</v>
      </c>
      <c r="M176" t="s">
        <v>1664</v>
      </c>
      <c r="N176" t="s">
        <v>1664</v>
      </c>
      <c r="O176" t="s">
        <v>1664</v>
      </c>
      <c r="P176" t="s">
        <v>1664</v>
      </c>
      <c r="Q176" t="s">
        <v>1664</v>
      </c>
      <c r="R176" t="s">
        <v>1664</v>
      </c>
      <c r="S176" t="s">
        <v>1664</v>
      </c>
      <c r="T176" t="s">
        <v>1664</v>
      </c>
      <c r="U176" t="s">
        <v>1664</v>
      </c>
      <c r="V176" t="s">
        <v>1664</v>
      </c>
      <c r="W176" t="s">
        <v>1664</v>
      </c>
      <c r="X176" t="s">
        <v>1664</v>
      </c>
      <c r="Y176" t="s">
        <v>1664</v>
      </c>
      <c r="Z176" t="s">
        <v>1664</v>
      </c>
      <c r="AA176" t="s">
        <v>1664</v>
      </c>
      <c r="AB176" t="s">
        <v>1664</v>
      </c>
      <c r="AC176" t="s">
        <v>1664</v>
      </c>
      <c r="AD176" t="s">
        <v>1664</v>
      </c>
      <c r="AE176">
        <v>0.36699999999999999</v>
      </c>
      <c r="AF176">
        <v>0.47699999999999998</v>
      </c>
      <c r="AG176">
        <v>0.47</v>
      </c>
      <c r="AH176">
        <v>0.49</v>
      </c>
      <c r="AI176">
        <v>0.441</v>
      </c>
      <c r="AJ176">
        <v>0.46200000000000002</v>
      </c>
      <c r="AK176">
        <v>0.45400000000000001</v>
      </c>
      <c r="AL176">
        <v>0.54300000000000004</v>
      </c>
      <c r="AM176">
        <v>0.64800000000000002</v>
      </c>
      <c r="AN176">
        <v>0.72699999999999998</v>
      </c>
      <c r="AO176">
        <v>0.88200000000000001</v>
      </c>
      <c r="AP176">
        <v>1.042</v>
      </c>
      <c r="AQ176">
        <v>1.1599999999999999</v>
      </c>
      <c r="AR176">
        <v>1.3959999999999999</v>
      </c>
      <c r="AS176">
        <v>1.4470000000000001</v>
      </c>
      <c r="AT176">
        <v>1.5940000000000001</v>
      </c>
      <c r="AU176">
        <v>1.651</v>
      </c>
      <c r="AV176">
        <v>1.6160000000000001</v>
      </c>
      <c r="AW176">
        <v>1.5840000000000001</v>
      </c>
      <c r="AX176">
        <v>1.704</v>
      </c>
      <c r="AY176">
        <v>1.595</v>
      </c>
      <c r="AZ176">
        <v>1.6850000000000001</v>
      </c>
      <c r="BA176">
        <v>1.8220000000000001</v>
      </c>
      <c r="BB176">
        <v>1.992</v>
      </c>
      <c r="BC176">
        <v>2.1360000000000001</v>
      </c>
      <c r="BD176">
        <v>2.274</v>
      </c>
      <c r="BE176">
        <v>2.4220000000000002</v>
      </c>
      <c r="BF176">
        <v>2.5939999999999999</v>
      </c>
      <c r="BG176">
        <v>2019</v>
      </c>
      <c r="BH176">
        <v>1.704</v>
      </c>
      <c r="BI176">
        <v>2019</v>
      </c>
    </row>
    <row r="177" spans="1:61" hidden="1">
      <c r="A177">
        <v>742</v>
      </c>
      <c r="B177" t="s">
        <v>329</v>
      </c>
      <c r="C177" t="s">
        <v>1881</v>
      </c>
      <c r="D177" t="s">
        <v>116</v>
      </c>
      <c r="E177" t="str">
        <f>IF(ISNUMBER(VLOOKUP(B177,'OECD DAC'!B:C,2,FALSE)), "YES", " ")</f>
        <v xml:space="preserve"> </v>
      </c>
      <c r="F177" t="s">
        <v>1882</v>
      </c>
      <c r="G177" t="s">
        <v>1883</v>
      </c>
      <c r="H177" t="s">
        <v>1662</v>
      </c>
      <c r="I177" t="s">
        <v>883</v>
      </c>
      <c r="J177" t="s">
        <v>2059</v>
      </c>
      <c r="K177">
        <v>421.392</v>
      </c>
      <c r="L177">
        <v>450.02499999999998</v>
      </c>
      <c r="M177">
        <v>458.81599999999997</v>
      </c>
      <c r="N177">
        <v>506.99099999999999</v>
      </c>
      <c r="O177">
        <v>533.86199999999997</v>
      </c>
      <c r="P177">
        <v>575.50300000000004</v>
      </c>
      <c r="Q177">
        <v>621.54300000000001</v>
      </c>
      <c r="R177">
        <v>633.35299999999995</v>
      </c>
      <c r="S177">
        <v>698.58799999999997</v>
      </c>
      <c r="T177">
        <v>734.21600000000001</v>
      </c>
      <c r="U177">
        <v>754.774</v>
      </c>
      <c r="V177">
        <v>772.88900000000001</v>
      </c>
      <c r="W177">
        <v>760.52200000000005</v>
      </c>
      <c r="X177">
        <v>619.82600000000002</v>
      </c>
      <c r="Y177">
        <v>942.13499999999999</v>
      </c>
      <c r="Z177">
        <v>1118.31</v>
      </c>
      <c r="AA177">
        <v>1252.51</v>
      </c>
      <c r="AB177">
        <v>1455.42</v>
      </c>
      <c r="AC177">
        <v>1392.84</v>
      </c>
      <c r="AD177">
        <v>1456.91</v>
      </c>
      <c r="AE177">
        <v>1429.23</v>
      </c>
      <c r="AF177">
        <v>1464.53</v>
      </c>
      <c r="AG177">
        <v>1597.08</v>
      </c>
      <c r="AH177">
        <v>1655.05</v>
      </c>
      <c r="AI177">
        <v>1607.56</v>
      </c>
      <c r="AJ177">
        <v>1622.67</v>
      </c>
      <c r="AK177">
        <v>1657.24</v>
      </c>
      <c r="AL177">
        <v>1719.23</v>
      </c>
      <c r="AM177">
        <v>1999.81</v>
      </c>
      <c r="AN177">
        <v>2144</v>
      </c>
      <c r="AO177">
        <v>2289.16</v>
      </c>
      <c r="AP177">
        <v>2462</v>
      </c>
      <c r="AQ177">
        <v>2667.83</v>
      </c>
      <c r="AR177">
        <v>2879.66</v>
      </c>
      <c r="AS177">
        <v>3047.84</v>
      </c>
      <c r="AT177">
        <v>3334.96</v>
      </c>
      <c r="AU177">
        <v>3574.4</v>
      </c>
      <c r="AV177">
        <v>3713.57</v>
      </c>
      <c r="AW177">
        <v>3950.45</v>
      </c>
      <c r="AX177">
        <v>4230.51</v>
      </c>
      <c r="AY177">
        <v>4359.8500000000004</v>
      </c>
      <c r="AZ177">
        <v>4665.3999999999996</v>
      </c>
      <c r="BA177">
        <v>5061.3</v>
      </c>
      <c r="BB177">
        <v>5478.32</v>
      </c>
      <c r="BC177">
        <v>5935.27</v>
      </c>
      <c r="BD177">
        <v>6418.25</v>
      </c>
      <c r="BE177">
        <v>6937.97</v>
      </c>
      <c r="BF177">
        <v>7499.77</v>
      </c>
      <c r="BG177">
        <v>2020</v>
      </c>
      <c r="BH177">
        <v>4359.8500000000004</v>
      </c>
      <c r="BI177">
        <v>2020</v>
      </c>
    </row>
    <row r="178" spans="1:61" hidden="1">
      <c r="A178">
        <v>866</v>
      </c>
      <c r="B178" t="s">
        <v>402</v>
      </c>
      <c r="C178" t="s">
        <v>1881</v>
      </c>
      <c r="D178" t="s">
        <v>187</v>
      </c>
      <c r="E178" t="str">
        <f>IF(ISNUMBER(VLOOKUP(B178,'OECD DAC'!B:C,2,FALSE)), "YES", " ")</f>
        <v xml:space="preserve"> </v>
      </c>
      <c r="F178" t="s">
        <v>1882</v>
      </c>
      <c r="G178" t="s">
        <v>1883</v>
      </c>
      <c r="H178" t="s">
        <v>1662</v>
      </c>
      <c r="I178" t="s">
        <v>883</v>
      </c>
      <c r="J178" t="s">
        <v>2060</v>
      </c>
      <c r="K178">
        <v>6.2E-2</v>
      </c>
      <c r="L178">
        <v>6.9000000000000006E-2</v>
      </c>
      <c r="M178">
        <v>7.6999999999999999E-2</v>
      </c>
      <c r="N178">
        <v>8.5999999999999993E-2</v>
      </c>
      <c r="O178">
        <v>9.2999999999999999E-2</v>
      </c>
      <c r="P178">
        <v>0.109</v>
      </c>
      <c r="Q178">
        <v>0.129</v>
      </c>
      <c r="R178">
        <v>0.14799999999999999</v>
      </c>
      <c r="S178">
        <v>0.158</v>
      </c>
      <c r="T178">
        <v>0.17100000000000001</v>
      </c>
      <c r="U178">
        <v>0.186</v>
      </c>
      <c r="V178">
        <v>0.218</v>
      </c>
      <c r="W178">
        <v>0.23400000000000001</v>
      </c>
      <c r="X178">
        <v>0.251</v>
      </c>
      <c r="Y178">
        <v>0.25900000000000001</v>
      </c>
      <c r="Z178">
        <v>0.26500000000000001</v>
      </c>
      <c r="AA178">
        <v>0.27400000000000002</v>
      </c>
      <c r="AB178">
        <v>0.27200000000000002</v>
      </c>
      <c r="AC178">
        <v>0.28599999999999998</v>
      </c>
      <c r="AD178">
        <v>0.312</v>
      </c>
      <c r="AE178">
        <v>0.33200000000000002</v>
      </c>
      <c r="AF178">
        <v>0.35399999999999998</v>
      </c>
      <c r="AG178">
        <v>0.39800000000000002</v>
      </c>
      <c r="AH178">
        <v>0.44400000000000001</v>
      </c>
      <c r="AI178">
        <v>0.47199999999999998</v>
      </c>
      <c r="AJ178">
        <v>0.50700000000000001</v>
      </c>
      <c r="AK178">
        <v>0.58699999999999997</v>
      </c>
      <c r="AL178">
        <v>0.59799999999999998</v>
      </c>
      <c r="AM178">
        <v>0.65500000000000003</v>
      </c>
      <c r="AN178">
        <v>0.65200000000000002</v>
      </c>
      <c r="AO178">
        <v>0.70799999999999996</v>
      </c>
      <c r="AP178">
        <v>0.75900000000000001</v>
      </c>
      <c r="AQ178">
        <v>0.79800000000000004</v>
      </c>
      <c r="AR178">
        <v>0.78100000000000003</v>
      </c>
      <c r="AS178">
        <v>0.79700000000000004</v>
      </c>
      <c r="AT178">
        <v>0.84899999999999998</v>
      </c>
      <c r="AU178">
        <v>0.93300000000000005</v>
      </c>
      <c r="AV178">
        <v>1.018</v>
      </c>
      <c r="AW178">
        <v>1.073</v>
      </c>
      <c r="AX178">
        <v>1.1639999999999999</v>
      </c>
      <c r="AY178">
        <v>1.129</v>
      </c>
      <c r="AZ178">
        <v>1.137</v>
      </c>
      <c r="BA178">
        <v>1.1870000000000001</v>
      </c>
      <c r="BB178">
        <v>1.2749999999999999</v>
      </c>
      <c r="BC178">
        <v>1.349</v>
      </c>
      <c r="BD178">
        <v>1.4159999999999999</v>
      </c>
      <c r="BE178">
        <v>1.4810000000000001</v>
      </c>
      <c r="BF178">
        <v>1.5469999999999999</v>
      </c>
      <c r="BG178">
        <v>2020</v>
      </c>
      <c r="BH178">
        <v>1.129</v>
      </c>
      <c r="BI178">
        <v>2020</v>
      </c>
    </row>
    <row r="179" spans="1:61" hidden="1">
      <c r="A179">
        <v>369</v>
      </c>
      <c r="B179" t="s">
        <v>585</v>
      </c>
      <c r="C179" t="s">
        <v>1881</v>
      </c>
      <c r="D179" t="s">
        <v>234</v>
      </c>
      <c r="E179" t="str">
        <f>IF(ISNUMBER(VLOOKUP(B179,'OECD DAC'!B:C,2,FALSE)), "YES", " ")</f>
        <v xml:space="preserve"> </v>
      </c>
      <c r="F179" t="s">
        <v>1882</v>
      </c>
      <c r="G179" t="s">
        <v>1883</v>
      </c>
      <c r="H179" t="s">
        <v>1662</v>
      </c>
      <c r="I179" t="s">
        <v>883</v>
      </c>
      <c r="J179" t="s">
        <v>2061</v>
      </c>
      <c r="K179">
        <v>15.224</v>
      </c>
      <c r="L179">
        <v>17.07</v>
      </c>
      <c r="M179">
        <v>19.873000000000001</v>
      </c>
      <c r="N179">
        <v>18.954000000000001</v>
      </c>
      <c r="O179">
        <v>18.937000000000001</v>
      </c>
      <c r="P179">
        <v>18.382000000000001</v>
      </c>
      <c r="Q179">
        <v>17.556999999999999</v>
      </c>
      <c r="R179">
        <v>17.568999999999999</v>
      </c>
      <c r="S179">
        <v>17.582000000000001</v>
      </c>
      <c r="T179">
        <v>18.689</v>
      </c>
      <c r="U179">
        <v>21.91</v>
      </c>
      <c r="V179">
        <v>22.946999999999999</v>
      </c>
      <c r="W179">
        <v>23.515999999999998</v>
      </c>
      <c r="X179">
        <v>24.911999999999999</v>
      </c>
      <c r="Y179">
        <v>29.815999999999999</v>
      </c>
      <c r="Z179">
        <v>32.243000000000002</v>
      </c>
      <c r="AA179">
        <v>35.182000000000002</v>
      </c>
      <c r="AB179">
        <v>36.488999999999997</v>
      </c>
      <c r="AC179">
        <v>38.720999999999997</v>
      </c>
      <c r="AD179">
        <v>43.628</v>
      </c>
      <c r="AE179">
        <v>52.255000000000003</v>
      </c>
      <c r="AF179">
        <v>55.851999999999997</v>
      </c>
      <c r="AG179">
        <v>57.162999999999997</v>
      </c>
      <c r="AH179">
        <v>72.164000000000001</v>
      </c>
      <c r="AI179">
        <v>84.856999999999999</v>
      </c>
      <c r="AJ179">
        <v>101.863</v>
      </c>
      <c r="AK179">
        <v>117.41200000000001</v>
      </c>
      <c r="AL179">
        <v>138.82</v>
      </c>
      <c r="AM179">
        <v>177.31899999999999</v>
      </c>
      <c r="AN179">
        <v>123.461</v>
      </c>
      <c r="AO179">
        <v>143.589</v>
      </c>
      <c r="AP179">
        <v>165.292</v>
      </c>
      <c r="AQ179">
        <v>165.76599999999999</v>
      </c>
      <c r="AR179">
        <v>175.84800000000001</v>
      </c>
      <c r="AS179">
        <v>177.16399999999999</v>
      </c>
      <c r="AT179">
        <v>160.65799999999999</v>
      </c>
      <c r="AU179">
        <v>149.209</v>
      </c>
      <c r="AV179">
        <v>157.15</v>
      </c>
      <c r="AW179">
        <v>161.28399999999999</v>
      </c>
      <c r="AX179">
        <v>161.33500000000001</v>
      </c>
      <c r="AY179">
        <v>144.422</v>
      </c>
      <c r="AZ179">
        <v>144.577</v>
      </c>
      <c r="BA179">
        <v>171.32599999999999</v>
      </c>
      <c r="BB179">
        <v>169.21600000000001</v>
      </c>
      <c r="BC179">
        <v>170.78700000000001</v>
      </c>
      <c r="BD179">
        <v>173.62299999999999</v>
      </c>
      <c r="BE179">
        <v>176.65299999999999</v>
      </c>
      <c r="BF179">
        <v>180.65100000000001</v>
      </c>
      <c r="BG179">
        <v>2020</v>
      </c>
      <c r="BH179">
        <v>144.422</v>
      </c>
      <c r="BI179">
        <v>2020</v>
      </c>
    </row>
    <row r="180" spans="1:61" hidden="1">
      <c r="A180">
        <v>744</v>
      </c>
      <c r="B180" t="s">
        <v>376</v>
      </c>
      <c r="C180" t="s">
        <v>1881</v>
      </c>
      <c r="D180" t="s">
        <v>162</v>
      </c>
      <c r="E180" t="str">
        <f>IF(ISNUMBER(VLOOKUP(B180,'OECD DAC'!B:C,2,FALSE)), "YES", " ")</f>
        <v xml:space="preserve"> </v>
      </c>
      <c r="F180" t="s">
        <v>1882</v>
      </c>
      <c r="G180" t="s">
        <v>1883</v>
      </c>
      <c r="H180" t="s">
        <v>1662</v>
      </c>
      <c r="I180" t="s">
        <v>883</v>
      </c>
      <c r="J180" t="s">
        <v>2062</v>
      </c>
      <c r="K180">
        <v>3.8740000000000001</v>
      </c>
      <c r="L180">
        <v>4.5540000000000003</v>
      </c>
      <c r="M180">
        <v>5.2569999999999997</v>
      </c>
      <c r="N180">
        <v>6.2460000000000004</v>
      </c>
      <c r="O180">
        <v>7.0339999999999998</v>
      </c>
      <c r="P180">
        <v>7.7149999999999999</v>
      </c>
      <c r="Q180">
        <v>7.8689999999999998</v>
      </c>
      <c r="R180">
        <v>8.8360000000000003</v>
      </c>
      <c r="S180">
        <v>9.4990000000000006</v>
      </c>
      <c r="T180">
        <v>10.507999999999999</v>
      </c>
      <c r="U180">
        <v>12.414</v>
      </c>
      <c r="V180">
        <v>13.773999999999999</v>
      </c>
      <c r="W180">
        <v>15.750999999999999</v>
      </c>
      <c r="X180">
        <v>16.786999999999999</v>
      </c>
      <c r="Y180">
        <v>18.093</v>
      </c>
      <c r="Z180">
        <v>19.497</v>
      </c>
      <c r="AA180">
        <v>21.731000000000002</v>
      </c>
      <c r="AB180">
        <v>24.065999999999999</v>
      </c>
      <c r="AC180">
        <v>26.042000000000002</v>
      </c>
      <c r="AD180">
        <v>28.547000000000001</v>
      </c>
      <c r="AE180">
        <v>30.873999999999999</v>
      </c>
      <c r="AF180">
        <v>33.299999999999997</v>
      </c>
      <c r="AG180">
        <v>34.511000000000003</v>
      </c>
      <c r="AH180">
        <v>37.103999999999999</v>
      </c>
      <c r="AI180">
        <v>40.738999999999997</v>
      </c>
      <c r="AJ180">
        <v>43.92</v>
      </c>
      <c r="AK180">
        <v>47.994999999999997</v>
      </c>
      <c r="AL180">
        <v>52.304000000000002</v>
      </c>
      <c r="AM180">
        <v>57.978000000000002</v>
      </c>
      <c r="AN180">
        <v>61.548000000000002</v>
      </c>
      <c r="AO180">
        <v>66.14</v>
      </c>
      <c r="AP180">
        <v>67.747</v>
      </c>
      <c r="AQ180">
        <v>73.894999999999996</v>
      </c>
      <c r="AR180">
        <v>79.096999999999994</v>
      </c>
      <c r="AS180">
        <v>85.346000000000004</v>
      </c>
      <c r="AT180">
        <v>89.802000000000007</v>
      </c>
      <c r="AU180">
        <v>95.287000000000006</v>
      </c>
      <c r="AV180">
        <v>102.012</v>
      </c>
      <c r="AW180">
        <v>112.985</v>
      </c>
      <c r="AX180">
        <v>122.578</v>
      </c>
      <c r="AY180">
        <v>119.526</v>
      </c>
      <c r="AZ180">
        <v>129.881</v>
      </c>
      <c r="BA180">
        <v>142.233</v>
      </c>
      <c r="BB180" t="s">
        <v>1664</v>
      </c>
      <c r="BC180" t="s">
        <v>1664</v>
      </c>
      <c r="BD180" t="s">
        <v>1664</v>
      </c>
      <c r="BE180" t="s">
        <v>1664</v>
      </c>
      <c r="BF180" t="s">
        <v>1664</v>
      </c>
      <c r="BG180">
        <v>2020</v>
      </c>
      <c r="BH180">
        <v>119.526</v>
      </c>
      <c r="BI180">
        <v>2020</v>
      </c>
    </row>
    <row r="181" spans="1:61" hidden="1">
      <c r="A181">
        <v>186</v>
      </c>
      <c r="B181" t="s">
        <v>433</v>
      </c>
      <c r="C181" t="s">
        <v>1881</v>
      </c>
      <c r="D181" t="s">
        <v>653</v>
      </c>
      <c r="E181" t="str">
        <f>IF(ISNUMBER(VLOOKUP(B181,'OECD DAC'!B:C,2,FALSE)), "YES", " ")</f>
        <v xml:space="preserve"> </v>
      </c>
      <c r="F181" t="s">
        <v>1882</v>
      </c>
      <c r="G181" t="s">
        <v>1883</v>
      </c>
      <c r="H181" t="s">
        <v>1662</v>
      </c>
      <c r="I181" t="s">
        <v>883</v>
      </c>
      <c r="J181" t="s">
        <v>2063</v>
      </c>
      <c r="K181">
        <v>7.0000000000000001E-3</v>
      </c>
      <c r="L181">
        <v>1.0999999999999999E-2</v>
      </c>
      <c r="M181">
        <v>1.4E-2</v>
      </c>
      <c r="N181">
        <v>1.9E-2</v>
      </c>
      <c r="O181">
        <v>0.03</v>
      </c>
      <c r="P181">
        <v>4.8000000000000001E-2</v>
      </c>
      <c r="Q181">
        <v>7.0000000000000007E-2</v>
      </c>
      <c r="R181">
        <v>0.10299999999999999</v>
      </c>
      <c r="S181">
        <v>0.17799999999999999</v>
      </c>
      <c r="T181">
        <v>0.313</v>
      </c>
      <c r="U181">
        <v>0.54100000000000004</v>
      </c>
      <c r="V181">
        <v>0.86799999999999999</v>
      </c>
      <c r="W181">
        <v>1.506</v>
      </c>
      <c r="X181">
        <v>2.73</v>
      </c>
      <c r="Y181">
        <v>5.3289999999999997</v>
      </c>
      <c r="Z181">
        <v>10.694000000000001</v>
      </c>
      <c r="AA181">
        <v>20.350000000000001</v>
      </c>
      <c r="AB181">
        <v>39.723999999999997</v>
      </c>
      <c r="AC181">
        <v>71.944999999999993</v>
      </c>
      <c r="AD181">
        <v>107.374</v>
      </c>
      <c r="AE181">
        <v>171.494</v>
      </c>
      <c r="AF181">
        <v>247.26599999999999</v>
      </c>
      <c r="AG181">
        <v>362.11</v>
      </c>
      <c r="AH181">
        <v>472.17200000000003</v>
      </c>
      <c r="AI181">
        <v>582.85299999999995</v>
      </c>
      <c r="AJ181">
        <v>680.27599999999995</v>
      </c>
      <c r="AK181">
        <v>795.75699999999995</v>
      </c>
      <c r="AL181">
        <v>887.71400000000006</v>
      </c>
      <c r="AM181">
        <v>1002.76</v>
      </c>
      <c r="AN181">
        <v>1006.37</v>
      </c>
      <c r="AO181">
        <v>1167.6600000000001</v>
      </c>
      <c r="AP181">
        <v>1404.93</v>
      </c>
      <c r="AQ181">
        <v>1581.48</v>
      </c>
      <c r="AR181">
        <v>1823.43</v>
      </c>
      <c r="AS181">
        <v>2054.9</v>
      </c>
      <c r="AT181">
        <v>2350.94</v>
      </c>
      <c r="AU181">
        <v>2626.56</v>
      </c>
      <c r="AV181">
        <v>3133.7</v>
      </c>
      <c r="AW181">
        <v>3758.77</v>
      </c>
      <c r="AX181">
        <v>4317.79</v>
      </c>
      <c r="AY181">
        <v>5046.88</v>
      </c>
      <c r="AZ181">
        <v>7153.88</v>
      </c>
      <c r="BA181">
        <v>11334.61</v>
      </c>
      <c r="BB181">
        <v>16342.71</v>
      </c>
      <c r="BC181">
        <v>20586.88</v>
      </c>
      <c r="BD181">
        <v>24586.21</v>
      </c>
      <c r="BE181">
        <v>29071.81</v>
      </c>
      <c r="BF181">
        <v>34680.519999999997</v>
      </c>
      <c r="BG181">
        <v>2021</v>
      </c>
      <c r="BH181">
        <v>7153.88</v>
      </c>
      <c r="BI181">
        <v>2021</v>
      </c>
    </row>
    <row r="182" spans="1:61" hidden="1">
      <c r="A182">
        <v>925</v>
      </c>
      <c r="B182" t="s">
        <v>417</v>
      </c>
      <c r="C182" t="s">
        <v>1881</v>
      </c>
      <c r="D182" t="s">
        <v>202</v>
      </c>
      <c r="E182" t="str">
        <f>IF(ISNUMBER(VLOOKUP(B182,'OECD DAC'!B:C,2,FALSE)), "YES", " ")</f>
        <v xml:space="preserve"> </v>
      </c>
      <c r="F182" t="s">
        <v>1882</v>
      </c>
      <c r="G182" t="s">
        <v>1883</v>
      </c>
      <c r="H182" t="s">
        <v>1662</v>
      </c>
      <c r="I182" t="s">
        <v>883</v>
      </c>
      <c r="J182" t="s">
        <v>2064</v>
      </c>
      <c r="K182" t="s">
        <v>1664</v>
      </c>
      <c r="L182" t="s">
        <v>1664</v>
      </c>
      <c r="M182" t="s">
        <v>1664</v>
      </c>
      <c r="N182" t="s">
        <v>1664</v>
      </c>
      <c r="O182" t="s">
        <v>1664</v>
      </c>
      <c r="P182" t="s">
        <v>1664</v>
      </c>
      <c r="Q182" t="s">
        <v>1664</v>
      </c>
      <c r="R182" t="s">
        <v>1664</v>
      </c>
      <c r="S182" t="s">
        <v>1664</v>
      </c>
      <c r="T182" t="s">
        <v>1664</v>
      </c>
      <c r="U182" t="s">
        <v>1664</v>
      </c>
      <c r="V182" t="s">
        <v>1664</v>
      </c>
      <c r="W182" t="s">
        <v>1686</v>
      </c>
      <c r="X182">
        <v>3.0000000000000001E-3</v>
      </c>
      <c r="Y182">
        <v>2.9000000000000001E-2</v>
      </c>
      <c r="Z182">
        <v>0.22</v>
      </c>
      <c r="AA182">
        <v>2.62</v>
      </c>
      <c r="AB182">
        <v>3.7549999999999999</v>
      </c>
      <c r="AC182">
        <v>4.7300000000000004</v>
      </c>
      <c r="AD182">
        <v>6.7789999999999999</v>
      </c>
      <c r="AE182">
        <v>8.827</v>
      </c>
      <c r="AF182">
        <v>12.186</v>
      </c>
      <c r="AG182">
        <v>15.291</v>
      </c>
      <c r="AH182">
        <v>20.079000000000001</v>
      </c>
      <c r="AI182">
        <v>24.951000000000001</v>
      </c>
      <c r="AJ182">
        <v>30.184000000000001</v>
      </c>
      <c r="AK182">
        <v>37.6</v>
      </c>
      <c r="AL182">
        <v>45.63</v>
      </c>
      <c r="AM182">
        <v>83.602999999999994</v>
      </c>
      <c r="AN182">
        <v>97.361999999999995</v>
      </c>
      <c r="AO182">
        <v>99.146000000000001</v>
      </c>
      <c r="AP182">
        <v>125.599</v>
      </c>
      <c r="AQ182">
        <v>142.096</v>
      </c>
      <c r="AR182">
        <v>146.209</v>
      </c>
      <c r="AS182">
        <v>158.24</v>
      </c>
      <c r="AT182">
        <v>154.21</v>
      </c>
      <c r="AU182">
        <v>145.94300000000001</v>
      </c>
      <c r="AV182">
        <v>162.27799999999999</v>
      </c>
      <c r="AW182">
        <v>170.40100000000001</v>
      </c>
      <c r="AX182">
        <v>185.363</v>
      </c>
      <c r="AY182">
        <v>186.15299999999999</v>
      </c>
      <c r="AZ182">
        <v>222</v>
      </c>
      <c r="BA182">
        <v>268.06900000000002</v>
      </c>
      <c r="BB182">
        <v>297.12700000000001</v>
      </c>
      <c r="BC182">
        <v>321.52600000000001</v>
      </c>
      <c r="BD182">
        <v>350.125</v>
      </c>
      <c r="BE182">
        <v>381.56799999999998</v>
      </c>
      <c r="BF182">
        <v>416.72300000000001</v>
      </c>
      <c r="BG182">
        <v>2020</v>
      </c>
      <c r="BH182">
        <v>186.15299999999999</v>
      </c>
      <c r="BI182">
        <v>2020</v>
      </c>
    </row>
    <row r="183" spans="1:61" hidden="1">
      <c r="A183">
        <v>869</v>
      </c>
      <c r="B183" t="s">
        <v>412</v>
      </c>
      <c r="C183" t="s">
        <v>1881</v>
      </c>
      <c r="D183" t="s">
        <v>197</v>
      </c>
      <c r="E183" t="str">
        <f>IF(ISNUMBER(VLOOKUP(B183,'OECD DAC'!B:C,2,FALSE)), "YES", " ")</f>
        <v xml:space="preserve"> </v>
      </c>
      <c r="F183" t="s">
        <v>1882</v>
      </c>
      <c r="G183" t="s">
        <v>1883</v>
      </c>
      <c r="H183" t="s">
        <v>1662</v>
      </c>
      <c r="I183" t="s">
        <v>883</v>
      </c>
      <c r="J183" t="s">
        <v>2065</v>
      </c>
      <c r="K183" t="s">
        <v>1664</v>
      </c>
      <c r="L183" t="s">
        <v>1664</v>
      </c>
      <c r="M183" t="s">
        <v>1664</v>
      </c>
      <c r="N183" t="s">
        <v>1664</v>
      </c>
      <c r="O183" t="s">
        <v>1664</v>
      </c>
      <c r="P183" t="s">
        <v>1664</v>
      </c>
      <c r="Q183" t="s">
        <v>1664</v>
      </c>
      <c r="R183" t="s">
        <v>1664</v>
      </c>
      <c r="S183" t="s">
        <v>1664</v>
      </c>
      <c r="T183" t="s">
        <v>1664</v>
      </c>
      <c r="U183" t="s">
        <v>1664</v>
      </c>
      <c r="V183" t="s">
        <v>1664</v>
      </c>
      <c r="W183" t="s">
        <v>1664</v>
      </c>
      <c r="X183" t="s">
        <v>1664</v>
      </c>
      <c r="Y183" t="s">
        <v>1664</v>
      </c>
      <c r="Z183" t="s">
        <v>1664</v>
      </c>
      <c r="AA183" t="s">
        <v>1664</v>
      </c>
      <c r="AB183" t="s">
        <v>1664</v>
      </c>
      <c r="AC183" t="s">
        <v>1664</v>
      </c>
      <c r="AD183" t="s">
        <v>1664</v>
      </c>
      <c r="AE183">
        <v>2.5999999999999999E-2</v>
      </c>
      <c r="AF183">
        <v>2.7E-2</v>
      </c>
      <c r="AG183">
        <v>3.1E-2</v>
      </c>
      <c r="AH183">
        <v>0.03</v>
      </c>
      <c r="AI183">
        <v>3.1E-2</v>
      </c>
      <c r="AJ183">
        <v>0.03</v>
      </c>
      <c r="AK183">
        <v>3.2000000000000001E-2</v>
      </c>
      <c r="AL183">
        <v>3.4000000000000002E-2</v>
      </c>
      <c r="AM183">
        <v>3.7999999999999999E-2</v>
      </c>
      <c r="AN183">
        <v>3.5999999999999997E-2</v>
      </c>
      <c r="AO183">
        <v>3.5000000000000003E-2</v>
      </c>
      <c r="AP183">
        <v>3.7999999999999999E-2</v>
      </c>
      <c r="AQ183">
        <v>3.7999999999999999E-2</v>
      </c>
      <c r="AR183">
        <v>0.04</v>
      </c>
      <c r="AS183">
        <v>4.2999999999999997E-2</v>
      </c>
      <c r="AT183">
        <v>4.9000000000000002E-2</v>
      </c>
      <c r="AU183">
        <v>5.6000000000000001E-2</v>
      </c>
      <c r="AV183">
        <v>5.8999999999999997E-2</v>
      </c>
      <c r="AW183">
        <v>6.4000000000000001E-2</v>
      </c>
      <c r="AX183">
        <v>7.8E-2</v>
      </c>
      <c r="AY183">
        <v>0.08</v>
      </c>
      <c r="AZ183">
        <v>8.4000000000000005E-2</v>
      </c>
      <c r="BA183">
        <v>9.0999999999999998E-2</v>
      </c>
      <c r="BB183">
        <v>9.7000000000000003E-2</v>
      </c>
      <c r="BC183">
        <v>0.104</v>
      </c>
      <c r="BD183">
        <v>0.112</v>
      </c>
      <c r="BE183">
        <v>0.12</v>
      </c>
      <c r="BF183">
        <v>0.128</v>
      </c>
      <c r="BG183">
        <v>2019</v>
      </c>
      <c r="BH183">
        <v>7.8E-2</v>
      </c>
      <c r="BI183">
        <v>2019</v>
      </c>
    </row>
    <row r="184" spans="1:61" hidden="1">
      <c r="A184">
        <v>746</v>
      </c>
      <c r="B184" t="s">
        <v>323</v>
      </c>
      <c r="C184" t="s">
        <v>1881</v>
      </c>
      <c r="D184" t="s">
        <v>110</v>
      </c>
      <c r="E184" t="str">
        <f>IF(ISNUMBER(VLOOKUP(B184,'OECD DAC'!B:C,2,FALSE)), "YES", " ")</f>
        <v xml:space="preserve"> </v>
      </c>
      <c r="F184" t="s">
        <v>1882</v>
      </c>
      <c r="G184" t="s">
        <v>1883</v>
      </c>
      <c r="H184" t="s">
        <v>1662</v>
      </c>
      <c r="I184" t="s">
        <v>883</v>
      </c>
      <c r="J184" t="s">
        <v>2066</v>
      </c>
      <c r="K184">
        <v>2.246</v>
      </c>
      <c r="L184">
        <v>3.6360000000000001</v>
      </c>
      <c r="M184">
        <v>5.8869999999999996</v>
      </c>
      <c r="N184">
        <v>8.657</v>
      </c>
      <c r="O184">
        <v>17.018000000000001</v>
      </c>
      <c r="P184">
        <v>34.531999999999996</v>
      </c>
      <c r="Q184">
        <v>73.528000000000006</v>
      </c>
      <c r="R184">
        <v>215.38399999999999</v>
      </c>
      <c r="S184">
        <v>676.10500000000002</v>
      </c>
      <c r="T184">
        <v>1549.41</v>
      </c>
      <c r="U184">
        <v>2381.69</v>
      </c>
      <c r="V184">
        <v>2860.73</v>
      </c>
      <c r="W184">
        <v>4132.9399999999996</v>
      </c>
      <c r="X184">
        <v>5152</v>
      </c>
      <c r="Y184">
        <v>6111.62</v>
      </c>
      <c r="Z184">
        <v>7241.01</v>
      </c>
      <c r="AA184">
        <v>8068.04</v>
      </c>
      <c r="AB184">
        <v>9105.02</v>
      </c>
      <c r="AC184">
        <v>10208.16</v>
      </c>
      <c r="AD184">
        <v>11380.61</v>
      </c>
      <c r="AE184">
        <v>12754.77</v>
      </c>
      <c r="AF184">
        <v>13755.45</v>
      </c>
      <c r="AG184">
        <v>15144.83</v>
      </c>
      <c r="AH184">
        <v>17132.78</v>
      </c>
      <c r="AI184">
        <v>19460.48</v>
      </c>
      <c r="AJ184">
        <v>22186.65</v>
      </c>
      <c r="AK184">
        <v>25785.33</v>
      </c>
      <c r="AL184">
        <v>30181.84</v>
      </c>
      <c r="AM184">
        <v>38570.559999999998</v>
      </c>
      <c r="AN184">
        <v>48948</v>
      </c>
      <c r="AO184">
        <v>53748</v>
      </c>
      <c r="AP184">
        <v>69379</v>
      </c>
      <c r="AQ184">
        <v>77488</v>
      </c>
      <c r="AR184">
        <v>83637</v>
      </c>
      <c r="AS184">
        <v>90352</v>
      </c>
      <c r="AT184">
        <v>96069</v>
      </c>
      <c r="AU184">
        <v>104532</v>
      </c>
      <c r="AV184">
        <v>114083</v>
      </c>
      <c r="AW184">
        <v>127034</v>
      </c>
      <c r="AX184">
        <v>139920</v>
      </c>
      <c r="AY184">
        <v>141274</v>
      </c>
      <c r="AZ184">
        <v>151628.54999999999</v>
      </c>
      <c r="BA184">
        <v>166212.07</v>
      </c>
      <c r="BB184">
        <v>185820.12</v>
      </c>
      <c r="BC184">
        <v>207596.79</v>
      </c>
      <c r="BD184">
        <v>234665.78</v>
      </c>
      <c r="BE184">
        <v>263255.27</v>
      </c>
      <c r="BF184">
        <v>295785.3</v>
      </c>
      <c r="BG184">
        <v>2020</v>
      </c>
      <c r="BH184">
        <v>141274</v>
      </c>
      <c r="BI184">
        <v>2020</v>
      </c>
    </row>
    <row r="185" spans="1:61" hidden="1">
      <c r="A185">
        <v>926</v>
      </c>
      <c r="B185" t="s">
        <v>384</v>
      </c>
      <c r="C185" t="s">
        <v>1881</v>
      </c>
      <c r="D185" t="s">
        <v>170</v>
      </c>
      <c r="E185" t="str">
        <f>IF(ISNUMBER(VLOOKUP(B185,'OECD DAC'!B:C,2,FALSE)), "YES", " ")</f>
        <v xml:space="preserve"> </v>
      </c>
      <c r="F185" t="s">
        <v>1882</v>
      </c>
      <c r="G185" t="s">
        <v>1883</v>
      </c>
      <c r="H185" t="s">
        <v>1662</v>
      </c>
      <c r="I185" t="s">
        <v>883</v>
      </c>
      <c r="J185" t="s">
        <v>2067</v>
      </c>
      <c r="K185" t="s">
        <v>1664</v>
      </c>
      <c r="L185" t="s">
        <v>1664</v>
      </c>
      <c r="M185" t="s">
        <v>1664</v>
      </c>
      <c r="N185" t="s">
        <v>1664</v>
      </c>
      <c r="O185" t="s">
        <v>1664</v>
      </c>
      <c r="P185" t="s">
        <v>1664</v>
      </c>
      <c r="Q185" t="s">
        <v>1664</v>
      </c>
      <c r="R185" t="s">
        <v>1664</v>
      </c>
      <c r="S185" t="s">
        <v>1664</v>
      </c>
      <c r="T185" t="s">
        <v>1664</v>
      </c>
      <c r="U185" t="s">
        <v>1664</v>
      </c>
      <c r="V185" t="s">
        <v>1664</v>
      </c>
      <c r="W185">
        <v>5.1999999999999998E-2</v>
      </c>
      <c r="X185">
        <v>1.587</v>
      </c>
      <c r="Y185">
        <v>12.449</v>
      </c>
      <c r="Z185">
        <v>56.381</v>
      </c>
      <c r="AA185">
        <v>84.308000000000007</v>
      </c>
      <c r="AB185">
        <v>96.558999999999997</v>
      </c>
      <c r="AC185">
        <v>106.10299999999999</v>
      </c>
      <c r="AD185">
        <v>134.904</v>
      </c>
      <c r="AE185">
        <v>175.88800000000001</v>
      </c>
      <c r="AF185">
        <v>203.40299999999999</v>
      </c>
      <c r="AG185">
        <v>225.52099999999999</v>
      </c>
      <c r="AH185">
        <v>267.14800000000002</v>
      </c>
      <c r="AI185">
        <v>344.38600000000002</v>
      </c>
      <c r="AJ185">
        <v>440.495</v>
      </c>
      <c r="AK185">
        <v>544.22500000000002</v>
      </c>
      <c r="AL185">
        <v>723.46400000000006</v>
      </c>
      <c r="AM185">
        <v>954.35599999999999</v>
      </c>
      <c r="AN185">
        <v>912.19</v>
      </c>
      <c r="AO185">
        <v>1079.3499999999999</v>
      </c>
      <c r="AP185">
        <v>1299.99</v>
      </c>
      <c r="AQ185">
        <v>1404.67</v>
      </c>
      <c r="AR185">
        <v>1465.2</v>
      </c>
      <c r="AS185">
        <v>1586.92</v>
      </c>
      <c r="AT185">
        <v>1988.54</v>
      </c>
      <c r="AU185">
        <v>2385.37</v>
      </c>
      <c r="AV185">
        <v>2982.92</v>
      </c>
      <c r="AW185">
        <v>3560.3</v>
      </c>
      <c r="AX185">
        <v>3977.2</v>
      </c>
      <c r="AY185">
        <v>4191.8599999999997</v>
      </c>
      <c r="AZ185">
        <v>5421.21</v>
      </c>
      <c r="BA185" t="s">
        <v>1664</v>
      </c>
      <c r="BB185" t="s">
        <v>1664</v>
      </c>
      <c r="BC185" t="s">
        <v>1664</v>
      </c>
      <c r="BD185" t="s">
        <v>1664</v>
      </c>
      <c r="BE185" t="s">
        <v>1664</v>
      </c>
      <c r="BF185" t="s">
        <v>1664</v>
      </c>
      <c r="BG185">
        <v>2020</v>
      </c>
      <c r="BH185">
        <v>4191.8599999999997</v>
      </c>
      <c r="BI185">
        <v>2020</v>
      </c>
    </row>
    <row r="186" spans="1:61" hidden="1">
      <c r="A186">
        <v>466</v>
      </c>
      <c r="B186" t="s">
        <v>561</v>
      </c>
      <c r="C186" t="s">
        <v>1881</v>
      </c>
      <c r="D186" t="s">
        <v>255</v>
      </c>
      <c r="E186" t="str">
        <f>IF(ISNUMBER(VLOOKUP(B186,'OECD DAC'!B:C,2,FALSE)), "YES", " ")</f>
        <v xml:space="preserve"> </v>
      </c>
      <c r="F186" t="s">
        <v>1882</v>
      </c>
      <c r="G186" t="s">
        <v>1883</v>
      </c>
      <c r="H186" t="s">
        <v>1662</v>
      </c>
      <c r="I186" t="s">
        <v>883</v>
      </c>
      <c r="J186" t="s">
        <v>2068</v>
      </c>
      <c r="K186">
        <v>149.83199999999999</v>
      </c>
      <c r="L186">
        <v>165.202</v>
      </c>
      <c r="M186">
        <v>153.625</v>
      </c>
      <c r="N186">
        <v>140.76400000000001</v>
      </c>
      <c r="O186">
        <v>139.54300000000001</v>
      </c>
      <c r="P186">
        <v>136.964</v>
      </c>
      <c r="Q186">
        <v>108.542</v>
      </c>
      <c r="R186">
        <v>119.18300000000001</v>
      </c>
      <c r="S186">
        <v>121.139</v>
      </c>
      <c r="T186">
        <v>139.82900000000001</v>
      </c>
      <c r="U186">
        <v>180.21</v>
      </c>
      <c r="V186">
        <v>182.892</v>
      </c>
      <c r="W186">
        <v>191.654</v>
      </c>
      <c r="X186">
        <v>196.17099999999999</v>
      </c>
      <c r="Y186">
        <v>210.90100000000001</v>
      </c>
      <c r="Z186">
        <v>233.61099999999999</v>
      </c>
      <c r="AA186">
        <v>260.60700000000003</v>
      </c>
      <c r="AB186">
        <v>279.73599999999999</v>
      </c>
      <c r="AC186">
        <v>269.53899999999999</v>
      </c>
      <c r="AD186">
        <v>304.32100000000003</v>
      </c>
      <c r="AE186">
        <v>381.54899999999998</v>
      </c>
      <c r="AF186">
        <v>379.41199999999998</v>
      </c>
      <c r="AG186">
        <v>403.3</v>
      </c>
      <c r="AH186">
        <v>456.66199999999998</v>
      </c>
      <c r="AI186">
        <v>542.88499999999999</v>
      </c>
      <c r="AJ186">
        <v>663.31799999999998</v>
      </c>
      <c r="AK186">
        <v>815.72299999999996</v>
      </c>
      <c r="AL186">
        <v>947.197</v>
      </c>
      <c r="AM186">
        <v>1158.58</v>
      </c>
      <c r="AN186">
        <v>931.15300000000002</v>
      </c>
      <c r="AO186">
        <v>1064.24</v>
      </c>
      <c r="AP186">
        <v>1287.82</v>
      </c>
      <c r="AQ186">
        <v>1375.68</v>
      </c>
      <c r="AR186">
        <v>1432.67</v>
      </c>
      <c r="AS186">
        <v>1480.52</v>
      </c>
      <c r="AT186">
        <v>1315.25</v>
      </c>
      <c r="AU186">
        <v>1311.25</v>
      </c>
      <c r="AV186">
        <v>1416.14</v>
      </c>
      <c r="AW186">
        <v>1550.59</v>
      </c>
      <c r="AX186">
        <v>1532.22</v>
      </c>
      <c r="AY186">
        <v>1317.95</v>
      </c>
      <c r="AZ186">
        <v>1505.6</v>
      </c>
      <c r="BA186">
        <v>1841.22</v>
      </c>
      <c r="BB186">
        <v>1859.15</v>
      </c>
      <c r="BC186">
        <v>1902.64</v>
      </c>
      <c r="BD186">
        <v>1967.39</v>
      </c>
      <c r="BE186">
        <v>2051.88</v>
      </c>
      <c r="BF186">
        <v>2153.4</v>
      </c>
      <c r="BG186">
        <v>2020</v>
      </c>
      <c r="BH186">
        <v>1317.95</v>
      </c>
      <c r="BI186">
        <v>2020</v>
      </c>
    </row>
    <row r="187" spans="1:61">
      <c r="A187">
        <v>112</v>
      </c>
      <c r="B187" t="s">
        <v>454</v>
      </c>
      <c r="C187" t="s">
        <v>1881</v>
      </c>
      <c r="D187" t="s">
        <v>72</v>
      </c>
      <c r="E187" t="str">
        <f>IF(ISNUMBER(VLOOKUP(B187,'OECD DAC'!B:C,2,FALSE)), "YES", " ")</f>
        <v>YES</v>
      </c>
      <c r="F187" t="s">
        <v>1882</v>
      </c>
      <c r="G187" t="s">
        <v>1883</v>
      </c>
      <c r="H187" t="s">
        <v>1662</v>
      </c>
      <c r="I187" t="s">
        <v>883</v>
      </c>
      <c r="J187" t="s">
        <v>2069</v>
      </c>
      <c r="K187">
        <v>259.49900000000002</v>
      </c>
      <c r="L187">
        <v>289.65300000000002</v>
      </c>
      <c r="M187">
        <v>318.99900000000002</v>
      </c>
      <c r="N187">
        <v>350.81299999999999</v>
      </c>
      <c r="O187">
        <v>377.38600000000002</v>
      </c>
      <c r="P187">
        <v>414.161</v>
      </c>
      <c r="Q187">
        <v>446.36099999999999</v>
      </c>
      <c r="R187">
        <v>496.226</v>
      </c>
      <c r="S187">
        <v>555.98</v>
      </c>
      <c r="T187">
        <v>615.125</v>
      </c>
      <c r="U187">
        <v>669.87300000000005</v>
      </c>
      <c r="V187">
        <v>706.82100000000003</v>
      </c>
      <c r="W187">
        <v>732.29499999999996</v>
      </c>
      <c r="X187">
        <v>771.41399999999999</v>
      </c>
      <c r="Y187">
        <v>812.28899999999999</v>
      </c>
      <c r="Z187">
        <v>853.22799999999995</v>
      </c>
      <c r="AA187">
        <v>911.19100000000003</v>
      </c>
      <c r="AB187">
        <v>952.58500000000004</v>
      </c>
      <c r="AC187">
        <v>998.31799999999998</v>
      </c>
      <c r="AD187">
        <v>1041.97</v>
      </c>
      <c r="AE187">
        <v>1098.5</v>
      </c>
      <c r="AF187">
        <v>1142.02</v>
      </c>
      <c r="AG187">
        <v>1190.3399999999999</v>
      </c>
      <c r="AH187">
        <v>1259.97</v>
      </c>
      <c r="AI187">
        <v>1322.8</v>
      </c>
      <c r="AJ187">
        <v>1399.66</v>
      </c>
      <c r="AK187">
        <v>1476.72</v>
      </c>
      <c r="AL187">
        <v>1552.47</v>
      </c>
      <c r="AM187">
        <v>1598.75</v>
      </c>
      <c r="AN187">
        <v>1557.12</v>
      </c>
      <c r="AO187">
        <v>1612.2</v>
      </c>
      <c r="AP187">
        <v>1669.51</v>
      </c>
      <c r="AQ187">
        <v>1721.36</v>
      </c>
      <c r="AR187">
        <v>1793.16</v>
      </c>
      <c r="AS187">
        <v>1876.16</v>
      </c>
      <c r="AT187">
        <v>1935.21</v>
      </c>
      <c r="AU187">
        <v>2016.64</v>
      </c>
      <c r="AV187">
        <v>2097.14</v>
      </c>
      <c r="AW187">
        <v>2174.38</v>
      </c>
      <c r="AX187">
        <v>2255.2800000000002</v>
      </c>
      <c r="AY187">
        <v>2150.38</v>
      </c>
      <c r="AZ187">
        <v>2317.0500000000002</v>
      </c>
      <c r="BA187">
        <v>2520.29</v>
      </c>
      <c r="BB187">
        <v>2680.71</v>
      </c>
      <c r="BC187">
        <v>2789.46</v>
      </c>
      <c r="BD187">
        <v>2912.46</v>
      </c>
      <c r="BE187">
        <v>3029.33</v>
      </c>
      <c r="BF187">
        <v>3136.54</v>
      </c>
      <c r="BG187">
        <v>2020</v>
      </c>
      <c r="BH187">
        <v>2150.38</v>
      </c>
      <c r="BI187">
        <v>2020</v>
      </c>
    </row>
    <row r="188" spans="1:61">
      <c r="A188">
        <v>111</v>
      </c>
      <c r="B188" t="s">
        <v>465</v>
      </c>
      <c r="C188" t="s">
        <v>1881</v>
      </c>
      <c r="D188" t="s">
        <v>77</v>
      </c>
      <c r="E188" t="str">
        <f>IF(ISNUMBER(VLOOKUP(B188,'OECD DAC'!B:C,2,FALSE)), "YES", " ")</f>
        <v>YES</v>
      </c>
      <c r="F188" t="s">
        <v>1882</v>
      </c>
      <c r="G188" t="s">
        <v>1883</v>
      </c>
      <c r="H188" t="s">
        <v>1662</v>
      </c>
      <c r="I188" t="s">
        <v>883</v>
      </c>
      <c r="J188" t="s">
        <v>2070</v>
      </c>
      <c r="K188">
        <v>2857.33</v>
      </c>
      <c r="L188">
        <v>3207.03</v>
      </c>
      <c r="M188">
        <v>3343.8</v>
      </c>
      <c r="N188">
        <v>3634.03</v>
      </c>
      <c r="O188">
        <v>4037.65</v>
      </c>
      <c r="P188">
        <v>4339</v>
      </c>
      <c r="Q188">
        <v>4579.63</v>
      </c>
      <c r="R188">
        <v>4855.25</v>
      </c>
      <c r="S188">
        <v>5236.43</v>
      </c>
      <c r="T188">
        <v>5641.6</v>
      </c>
      <c r="U188">
        <v>5963.13</v>
      </c>
      <c r="V188">
        <v>6158.13</v>
      </c>
      <c r="W188">
        <v>6520.33</v>
      </c>
      <c r="X188">
        <v>6858.55</v>
      </c>
      <c r="Y188">
        <v>7287.25</v>
      </c>
      <c r="Z188">
        <v>7639.75</v>
      </c>
      <c r="AA188">
        <v>8073.13</v>
      </c>
      <c r="AB188">
        <v>8577.5499999999993</v>
      </c>
      <c r="AC188">
        <v>9062.83</v>
      </c>
      <c r="AD188">
        <v>9631.18</v>
      </c>
      <c r="AE188">
        <v>10250.950000000001</v>
      </c>
      <c r="AF188">
        <v>10581.93</v>
      </c>
      <c r="AG188">
        <v>10929.1</v>
      </c>
      <c r="AH188">
        <v>11456.45</v>
      </c>
      <c r="AI188">
        <v>12217.18</v>
      </c>
      <c r="AJ188">
        <v>13039.2</v>
      </c>
      <c r="AK188">
        <v>13815.6</v>
      </c>
      <c r="AL188">
        <v>14474.25</v>
      </c>
      <c r="AM188">
        <v>14769.85</v>
      </c>
      <c r="AN188">
        <v>14478.05</v>
      </c>
      <c r="AO188">
        <v>15048.98</v>
      </c>
      <c r="AP188">
        <v>15599.73</v>
      </c>
      <c r="AQ188">
        <v>16253.95</v>
      </c>
      <c r="AR188">
        <v>16843.23</v>
      </c>
      <c r="AS188">
        <v>17550.68</v>
      </c>
      <c r="AT188">
        <v>18206.03</v>
      </c>
      <c r="AU188">
        <v>18695.099999999999</v>
      </c>
      <c r="AV188">
        <v>19479.63</v>
      </c>
      <c r="AW188">
        <v>20527.150000000001</v>
      </c>
      <c r="AX188">
        <v>21372.6</v>
      </c>
      <c r="AY188">
        <v>20893.75</v>
      </c>
      <c r="AZ188">
        <v>22997.5</v>
      </c>
      <c r="BA188">
        <v>25346.81</v>
      </c>
      <c r="BB188">
        <v>26695.15</v>
      </c>
      <c r="BC188">
        <v>27745.53</v>
      </c>
      <c r="BD188">
        <v>28790.400000000001</v>
      </c>
      <c r="BE188">
        <v>29855.87</v>
      </c>
      <c r="BF188">
        <v>30966.06</v>
      </c>
      <c r="BG188">
        <v>2021</v>
      </c>
      <c r="BH188">
        <v>22997.5</v>
      </c>
      <c r="BI188">
        <v>2021</v>
      </c>
    </row>
    <row r="189" spans="1:61" hidden="1">
      <c r="A189">
        <v>298</v>
      </c>
      <c r="B189" t="s">
        <v>589</v>
      </c>
      <c r="C189" t="s">
        <v>1881</v>
      </c>
      <c r="D189" t="s">
        <v>235</v>
      </c>
      <c r="E189" t="str">
        <f>IF(ISNUMBER(VLOOKUP(B189,'OECD DAC'!B:C,2,FALSE)), "YES", " ")</f>
        <v xml:space="preserve"> </v>
      </c>
      <c r="F189" t="s">
        <v>1882</v>
      </c>
      <c r="G189" t="s">
        <v>1883</v>
      </c>
      <c r="H189" t="s">
        <v>1662</v>
      </c>
      <c r="I189" t="s">
        <v>883</v>
      </c>
      <c r="J189" t="s">
        <v>2071</v>
      </c>
      <c r="K189">
        <v>0.111</v>
      </c>
      <c r="L189">
        <v>0.14699999999999999</v>
      </c>
      <c r="M189">
        <v>0.154</v>
      </c>
      <c r="N189">
        <v>0.21</v>
      </c>
      <c r="O189">
        <v>0.32500000000000001</v>
      </c>
      <c r="P189">
        <v>0.57399999999999995</v>
      </c>
      <c r="Q189">
        <v>1.0680000000000001</v>
      </c>
      <c r="R189">
        <v>1.9930000000000001</v>
      </c>
      <c r="S189">
        <v>3.27</v>
      </c>
      <c r="T189">
        <v>5.806</v>
      </c>
      <c r="U189">
        <v>13.047000000000001</v>
      </c>
      <c r="V189">
        <v>27.126999999999999</v>
      </c>
      <c r="W189">
        <v>46.734999999999999</v>
      </c>
      <c r="X189">
        <v>70.935000000000002</v>
      </c>
      <c r="Y189">
        <v>105.746</v>
      </c>
      <c r="Z189">
        <v>146.994</v>
      </c>
      <c r="AA189">
        <v>196.21299999999999</v>
      </c>
      <c r="AB189">
        <v>245.85900000000001</v>
      </c>
      <c r="AC189">
        <v>288.791</v>
      </c>
      <c r="AD189">
        <v>295.44200000000001</v>
      </c>
      <c r="AE189">
        <v>299.995</v>
      </c>
      <c r="AF189">
        <v>302.38600000000002</v>
      </c>
      <c r="AG189">
        <v>314.20600000000002</v>
      </c>
      <c r="AH189">
        <v>369.12900000000002</v>
      </c>
      <c r="AI189">
        <v>426.76799999999997</v>
      </c>
      <c r="AJ189">
        <v>461.714</v>
      </c>
      <c r="AK189">
        <v>512.04</v>
      </c>
      <c r="AL189">
        <v>596.91099999999994</v>
      </c>
      <c r="AM189">
        <v>691.07600000000002</v>
      </c>
      <c r="AN189">
        <v>776.21500000000003</v>
      </c>
      <c r="AO189">
        <v>877.84799999999996</v>
      </c>
      <c r="AP189">
        <v>1006.34</v>
      </c>
      <c r="AQ189">
        <v>1131.1099999999999</v>
      </c>
      <c r="AR189">
        <v>1280.07</v>
      </c>
      <c r="AS189">
        <v>1445.38</v>
      </c>
      <c r="AT189">
        <v>1581.55</v>
      </c>
      <c r="AU189">
        <v>1726.41</v>
      </c>
      <c r="AV189">
        <v>1842</v>
      </c>
      <c r="AW189">
        <v>1982.25</v>
      </c>
      <c r="AX189">
        <v>2158.73</v>
      </c>
      <c r="AY189">
        <v>2250.27</v>
      </c>
      <c r="AZ189">
        <v>2583.5500000000002</v>
      </c>
      <c r="BA189">
        <v>2902.46</v>
      </c>
      <c r="BB189">
        <v>3098.82</v>
      </c>
      <c r="BC189">
        <v>3297.46</v>
      </c>
      <c r="BD189">
        <v>3498.17</v>
      </c>
      <c r="BE189">
        <v>3687.53</v>
      </c>
      <c r="BF189">
        <v>3888.1</v>
      </c>
      <c r="BG189">
        <v>2020</v>
      </c>
      <c r="BH189">
        <v>2250.27</v>
      </c>
      <c r="BI189">
        <v>2020</v>
      </c>
    </row>
    <row r="190" spans="1:61" hidden="1">
      <c r="A190">
        <v>927</v>
      </c>
      <c r="B190" t="s">
        <v>352</v>
      </c>
      <c r="C190" t="s">
        <v>1881</v>
      </c>
      <c r="D190" t="s">
        <v>138</v>
      </c>
      <c r="E190" t="str">
        <f>IF(ISNUMBER(VLOOKUP(B190,'OECD DAC'!B:C,2,FALSE)), "YES", " ")</f>
        <v xml:space="preserve"> </v>
      </c>
      <c r="F190" t="s">
        <v>1882</v>
      </c>
      <c r="G190" t="s">
        <v>1883</v>
      </c>
      <c r="H190" t="s">
        <v>1662</v>
      </c>
      <c r="I190" t="s">
        <v>883</v>
      </c>
      <c r="J190" t="s">
        <v>2072</v>
      </c>
      <c r="K190" t="s">
        <v>1664</v>
      </c>
      <c r="L190" t="s">
        <v>1664</v>
      </c>
      <c r="M190" t="s">
        <v>1664</v>
      </c>
      <c r="N190" t="s">
        <v>1664</v>
      </c>
      <c r="O190" t="s">
        <v>1664</v>
      </c>
      <c r="P190" t="s">
        <v>1664</v>
      </c>
      <c r="Q190" t="s">
        <v>1664</v>
      </c>
      <c r="R190" t="s">
        <v>1664</v>
      </c>
      <c r="S190" t="s">
        <v>1664</v>
      </c>
      <c r="T190" t="s">
        <v>1664</v>
      </c>
      <c r="U190" t="s">
        <v>1664</v>
      </c>
      <c r="V190" t="s">
        <v>1664</v>
      </c>
      <c r="W190">
        <v>0.55600000000000005</v>
      </c>
      <c r="X190">
        <v>6.3869999999999996</v>
      </c>
      <c r="Y190">
        <v>81.328000000000003</v>
      </c>
      <c r="Z190">
        <v>379.565</v>
      </c>
      <c r="AA190">
        <v>700.83</v>
      </c>
      <c r="AB190">
        <v>1224.51</v>
      </c>
      <c r="AC190">
        <v>1775.24</v>
      </c>
      <c r="AD190">
        <v>2668.4</v>
      </c>
      <c r="AE190">
        <v>4081.04</v>
      </c>
      <c r="AF190">
        <v>6174.2</v>
      </c>
      <c r="AG190">
        <v>9339.31</v>
      </c>
      <c r="AH190">
        <v>12332.25</v>
      </c>
      <c r="AI190">
        <v>15369.87</v>
      </c>
      <c r="AJ190">
        <v>19960.91</v>
      </c>
      <c r="AK190">
        <v>26022.99</v>
      </c>
      <c r="AL190">
        <v>35333.040000000001</v>
      </c>
      <c r="AM190">
        <v>47317.68</v>
      </c>
      <c r="AN190">
        <v>61477.68</v>
      </c>
      <c r="AO190">
        <v>78936.62</v>
      </c>
      <c r="AP190">
        <v>103232.58</v>
      </c>
      <c r="AQ190">
        <v>127590.24</v>
      </c>
      <c r="AR190">
        <v>153311.34</v>
      </c>
      <c r="AS190">
        <v>186829.5</v>
      </c>
      <c r="AT190">
        <v>221350.91</v>
      </c>
      <c r="AU190">
        <v>255421.86</v>
      </c>
      <c r="AV190">
        <v>317476.37</v>
      </c>
      <c r="AW190">
        <v>424728.74</v>
      </c>
      <c r="AX190">
        <v>529391.49</v>
      </c>
      <c r="AY190">
        <v>602193</v>
      </c>
      <c r="AZ190">
        <v>734587.7</v>
      </c>
      <c r="BA190">
        <v>847378.07</v>
      </c>
      <c r="BB190">
        <v>1005308.44</v>
      </c>
      <c r="BC190">
        <v>1166605.95</v>
      </c>
      <c r="BD190">
        <v>1308151.44</v>
      </c>
      <c r="BE190">
        <v>1456566.4</v>
      </c>
      <c r="BF190">
        <v>1622907.34</v>
      </c>
      <c r="BG190">
        <v>2021</v>
      </c>
      <c r="BH190">
        <v>734587.7</v>
      </c>
      <c r="BI190">
        <v>2021</v>
      </c>
    </row>
    <row r="191" spans="1:61" hidden="1">
      <c r="A191">
        <v>846</v>
      </c>
      <c r="B191" t="s">
        <v>367</v>
      </c>
      <c r="C191" t="s">
        <v>1881</v>
      </c>
      <c r="D191" t="s">
        <v>153</v>
      </c>
      <c r="E191" t="str">
        <f>IF(ISNUMBER(VLOOKUP(B191,'OECD DAC'!B:C,2,FALSE)), "YES", " ")</f>
        <v xml:space="preserve"> </v>
      </c>
      <c r="F191" t="s">
        <v>1882</v>
      </c>
      <c r="G191" t="s">
        <v>1883</v>
      </c>
      <c r="H191" t="s">
        <v>1662</v>
      </c>
      <c r="I191" t="s">
        <v>883</v>
      </c>
      <c r="J191" t="s">
        <v>2073</v>
      </c>
      <c r="K191">
        <v>8.2759999999999998</v>
      </c>
      <c r="L191">
        <v>9.9930000000000003</v>
      </c>
      <c r="M191">
        <v>11.016</v>
      </c>
      <c r="N191">
        <v>11.664999999999999</v>
      </c>
      <c r="O191">
        <v>14.337</v>
      </c>
      <c r="P191">
        <v>13.981</v>
      </c>
      <c r="Q191">
        <v>13.545</v>
      </c>
      <c r="R191">
        <v>15.32</v>
      </c>
      <c r="S191">
        <v>16.536000000000001</v>
      </c>
      <c r="T191">
        <v>17.872</v>
      </c>
      <c r="U191">
        <v>19.768999999999998</v>
      </c>
      <c r="V191">
        <v>22.484999999999999</v>
      </c>
      <c r="W191">
        <v>23.709</v>
      </c>
      <c r="X191">
        <v>24.376000000000001</v>
      </c>
      <c r="Y191">
        <v>27.204000000000001</v>
      </c>
      <c r="Z191">
        <v>27.952999999999999</v>
      </c>
      <c r="AA191">
        <v>29.2</v>
      </c>
      <c r="AB191">
        <v>31.606000000000002</v>
      </c>
      <c r="AC191">
        <v>33.447000000000003</v>
      </c>
      <c r="AD191">
        <v>34.593000000000004</v>
      </c>
      <c r="AE191">
        <v>37.441000000000003</v>
      </c>
      <c r="AF191">
        <v>37.479999999999997</v>
      </c>
      <c r="AG191">
        <v>36.552999999999997</v>
      </c>
      <c r="AH191">
        <v>38.424999999999997</v>
      </c>
      <c r="AI191">
        <v>40.802999999999997</v>
      </c>
      <c r="AJ191">
        <v>43.148000000000003</v>
      </c>
      <c r="AK191">
        <v>48.610999999999997</v>
      </c>
      <c r="AL191">
        <v>52.898000000000003</v>
      </c>
      <c r="AM191">
        <v>59.863</v>
      </c>
      <c r="AN191">
        <v>63.256999999999998</v>
      </c>
      <c r="AO191">
        <v>64.995999999999995</v>
      </c>
      <c r="AP191">
        <v>68.905000000000001</v>
      </c>
      <c r="AQ191">
        <v>69.278000000000006</v>
      </c>
      <c r="AR191">
        <v>71.691999999999993</v>
      </c>
      <c r="AS191">
        <v>74.97</v>
      </c>
      <c r="AT191">
        <v>79.656999999999996</v>
      </c>
      <c r="AU191">
        <v>84.706999999999994</v>
      </c>
      <c r="AV191">
        <v>94.888999999999996</v>
      </c>
      <c r="AW191">
        <v>100.77200000000001</v>
      </c>
      <c r="AX191">
        <v>107.45</v>
      </c>
      <c r="AY191">
        <v>103.476</v>
      </c>
      <c r="AZ191">
        <v>107.32599999999999</v>
      </c>
      <c r="BA191">
        <v>115.086</v>
      </c>
      <c r="BB191">
        <v>122.699</v>
      </c>
      <c r="BC191">
        <v>130.75299999999999</v>
      </c>
      <c r="BD191">
        <v>139.72200000000001</v>
      </c>
      <c r="BE191">
        <v>148.072</v>
      </c>
      <c r="BF191">
        <v>156.738</v>
      </c>
      <c r="BG191">
        <v>2019</v>
      </c>
      <c r="BH191">
        <v>107.45</v>
      </c>
      <c r="BI191">
        <v>2019</v>
      </c>
    </row>
    <row r="192" spans="1:61" hidden="1">
      <c r="A192">
        <v>299</v>
      </c>
      <c r="B192" t="s">
        <v>590</v>
      </c>
      <c r="C192" t="s">
        <v>1881</v>
      </c>
      <c r="D192" t="s">
        <v>1869</v>
      </c>
      <c r="E192" t="str">
        <f>IF(ISNUMBER(VLOOKUP(B192,'OECD DAC'!B:C,2,FALSE)), "YES", " ")</f>
        <v xml:space="preserve"> </v>
      </c>
      <c r="F192" t="s">
        <v>1882</v>
      </c>
      <c r="G192" t="s">
        <v>1883</v>
      </c>
      <c r="H192" t="s">
        <v>1662</v>
      </c>
      <c r="I192" t="s">
        <v>883</v>
      </c>
      <c r="BH192" t="s">
        <v>1870</v>
      </c>
    </row>
    <row r="193" spans="1:61" hidden="1">
      <c r="A193">
        <v>582</v>
      </c>
      <c r="B193" t="s">
        <v>375</v>
      </c>
      <c r="C193" t="s">
        <v>1881</v>
      </c>
      <c r="D193" t="s">
        <v>161</v>
      </c>
      <c r="E193" t="str">
        <f>IF(ISNUMBER(VLOOKUP(B193,'OECD DAC'!B:C,2,FALSE)), "YES", " ")</f>
        <v xml:space="preserve"> </v>
      </c>
      <c r="F193" t="s">
        <v>1882</v>
      </c>
      <c r="G193" t="s">
        <v>1883</v>
      </c>
      <c r="H193" t="s">
        <v>1662</v>
      </c>
      <c r="I193" t="s">
        <v>883</v>
      </c>
      <c r="J193" t="s">
        <v>2074</v>
      </c>
      <c r="K193">
        <v>7.2539999999999996</v>
      </c>
      <c r="L193">
        <v>10.183999999999999</v>
      </c>
      <c r="M193">
        <v>22.027999999999999</v>
      </c>
      <c r="N193">
        <v>35.265999999999998</v>
      </c>
      <c r="O193">
        <v>63.027999999999999</v>
      </c>
      <c r="P193">
        <v>127.562</v>
      </c>
      <c r="Q193">
        <v>774.16</v>
      </c>
      <c r="R193">
        <v>3307.77</v>
      </c>
      <c r="S193">
        <v>14160.43</v>
      </c>
      <c r="T193">
        <v>35670.31</v>
      </c>
      <c r="U193">
        <v>53271.199999999997</v>
      </c>
      <c r="V193">
        <v>97396.6</v>
      </c>
      <c r="W193">
        <v>140344.95999999999</v>
      </c>
      <c r="X193">
        <v>178088.72</v>
      </c>
      <c r="Y193">
        <v>226688.62</v>
      </c>
      <c r="Z193">
        <v>290629.3</v>
      </c>
      <c r="AA193">
        <v>345410.2</v>
      </c>
      <c r="AB193">
        <v>398214.15</v>
      </c>
      <c r="AC193">
        <v>458390.1</v>
      </c>
      <c r="AD193">
        <v>507815.32</v>
      </c>
      <c r="AE193">
        <v>560767.81999999995</v>
      </c>
      <c r="AF193">
        <v>611111.04</v>
      </c>
      <c r="AG193">
        <v>680269.01</v>
      </c>
      <c r="AH193">
        <v>778902.23</v>
      </c>
      <c r="AI193">
        <v>989542.5</v>
      </c>
      <c r="AJ193">
        <v>1160527.3400000001</v>
      </c>
      <c r="AK193">
        <v>1347892.25</v>
      </c>
      <c r="AL193">
        <v>1583050.89</v>
      </c>
      <c r="AM193">
        <v>2051931.24</v>
      </c>
      <c r="AN193">
        <v>2297116.94</v>
      </c>
      <c r="AO193">
        <v>2739843.17</v>
      </c>
      <c r="AP193">
        <v>3539881.31</v>
      </c>
      <c r="AQ193">
        <v>4073762.29</v>
      </c>
      <c r="AR193">
        <v>4473655.5999999996</v>
      </c>
      <c r="AS193">
        <v>4937031.6799999997</v>
      </c>
      <c r="AT193">
        <v>5191323.7300000004</v>
      </c>
      <c r="AU193">
        <v>5639401</v>
      </c>
      <c r="AV193">
        <v>6293904.5499999998</v>
      </c>
      <c r="AW193">
        <v>6977294.1299999999</v>
      </c>
      <c r="AX193">
        <v>7615567.5300000003</v>
      </c>
      <c r="AY193">
        <v>7966121.5499999998</v>
      </c>
      <c r="AZ193">
        <v>8398606.2200000007</v>
      </c>
      <c r="BA193">
        <v>9249159.5600000005</v>
      </c>
      <c r="BB193">
        <v>10424940.57</v>
      </c>
      <c r="BC193">
        <v>11747528.75</v>
      </c>
      <c r="BD193">
        <v>13194905.02</v>
      </c>
      <c r="BE193">
        <v>14750825</v>
      </c>
      <c r="BF193">
        <v>16394773.92</v>
      </c>
      <c r="BG193">
        <v>2020</v>
      </c>
      <c r="BH193">
        <v>7966121.5499999998</v>
      </c>
      <c r="BI193">
        <v>2020</v>
      </c>
    </row>
    <row r="194" spans="1:61" hidden="1">
      <c r="A194">
        <v>487</v>
      </c>
      <c r="B194" t="s">
        <v>387</v>
      </c>
      <c r="C194" t="s">
        <v>1881</v>
      </c>
      <c r="D194" t="s">
        <v>173</v>
      </c>
      <c r="E194" t="str">
        <f>IF(ISNUMBER(VLOOKUP(B194,'OECD DAC'!B:C,2,FALSE)), "YES", " ")</f>
        <v xml:space="preserve"> </v>
      </c>
      <c r="F194" t="s">
        <v>1882</v>
      </c>
      <c r="G194" t="s">
        <v>1883</v>
      </c>
      <c r="H194" t="s">
        <v>1662</v>
      </c>
      <c r="I194" t="s">
        <v>883</v>
      </c>
      <c r="J194" t="s">
        <v>2075</v>
      </c>
      <c r="K194" t="s">
        <v>1664</v>
      </c>
      <c r="L194" t="s">
        <v>1664</v>
      </c>
      <c r="M194" t="s">
        <v>1664</v>
      </c>
      <c r="N194" t="s">
        <v>1664</v>
      </c>
      <c r="O194" t="s">
        <v>1664</v>
      </c>
      <c r="P194" t="s">
        <v>1664</v>
      </c>
      <c r="Q194" t="s">
        <v>1664</v>
      </c>
      <c r="R194" t="s">
        <v>1664</v>
      </c>
      <c r="S194" t="s">
        <v>1664</v>
      </c>
      <c r="T194" t="s">
        <v>1664</v>
      </c>
      <c r="U194" t="s">
        <v>1664</v>
      </c>
      <c r="V194" t="s">
        <v>1664</v>
      </c>
      <c r="W194" t="s">
        <v>1664</v>
      </c>
      <c r="X194" t="s">
        <v>1664</v>
      </c>
      <c r="Y194">
        <v>8.5609999999999999</v>
      </c>
      <c r="Z194">
        <v>9.8849999999999998</v>
      </c>
      <c r="AA194">
        <v>10.882</v>
      </c>
      <c r="AB194">
        <v>12.968999999999999</v>
      </c>
      <c r="AC194">
        <v>15.458</v>
      </c>
      <c r="AD194">
        <v>17.681999999999999</v>
      </c>
      <c r="AE194">
        <v>17.588000000000001</v>
      </c>
      <c r="AF194">
        <v>16.838000000000001</v>
      </c>
      <c r="AG194">
        <v>16.847000000000001</v>
      </c>
      <c r="AH194">
        <v>18.071000000000002</v>
      </c>
      <c r="AI194">
        <v>20.631</v>
      </c>
      <c r="AJ194">
        <v>23.003</v>
      </c>
      <c r="AK194">
        <v>23.831</v>
      </c>
      <c r="AL194">
        <v>23.890999999999998</v>
      </c>
      <c r="AM194">
        <v>26.23</v>
      </c>
      <c r="AN194">
        <v>31.795999999999999</v>
      </c>
      <c r="AO194">
        <v>36.198999999999998</v>
      </c>
      <c r="AP194">
        <v>40.024999999999999</v>
      </c>
      <c r="AQ194">
        <v>47.075000000000003</v>
      </c>
      <c r="AR194">
        <v>48.801000000000002</v>
      </c>
      <c r="AS194">
        <v>50.054000000000002</v>
      </c>
      <c r="AT194">
        <v>54.308</v>
      </c>
      <c r="AU194">
        <v>59.164999999999999</v>
      </c>
      <c r="AV194">
        <v>58.054000000000002</v>
      </c>
      <c r="AW194">
        <v>58.442</v>
      </c>
      <c r="AX194">
        <v>61.073</v>
      </c>
      <c r="AY194">
        <v>53.466000000000001</v>
      </c>
      <c r="AZ194">
        <v>57.417000000000002</v>
      </c>
      <c r="BA194">
        <v>61.436</v>
      </c>
      <c r="BB194">
        <v>65.147000000000006</v>
      </c>
      <c r="BC194">
        <v>68.286000000000001</v>
      </c>
      <c r="BD194">
        <v>71.278999999999996</v>
      </c>
      <c r="BE194">
        <v>74.402000000000001</v>
      </c>
      <c r="BF194">
        <v>77.451999999999998</v>
      </c>
      <c r="BG194">
        <v>2020</v>
      </c>
      <c r="BH194">
        <v>53.466000000000001</v>
      </c>
      <c r="BI194">
        <v>2020</v>
      </c>
    </row>
    <row r="195" spans="1:61" hidden="1">
      <c r="A195">
        <v>474</v>
      </c>
      <c r="B195" t="s">
        <v>320</v>
      </c>
      <c r="C195" t="s">
        <v>1881</v>
      </c>
      <c r="D195" t="s">
        <v>1874</v>
      </c>
      <c r="E195" t="str">
        <f>IF(ISNUMBER(VLOOKUP(B195,'OECD DAC'!B:C,2,FALSE)), "YES", " ")</f>
        <v xml:space="preserve"> </v>
      </c>
      <c r="F195" t="s">
        <v>1882</v>
      </c>
      <c r="G195" t="s">
        <v>1883</v>
      </c>
      <c r="H195" t="s">
        <v>1662</v>
      </c>
      <c r="I195" t="s">
        <v>883</v>
      </c>
      <c r="J195" t="s">
        <v>2076</v>
      </c>
      <c r="K195" t="s">
        <v>1664</v>
      </c>
      <c r="L195" t="s">
        <v>1664</v>
      </c>
      <c r="M195" t="s">
        <v>1664</v>
      </c>
      <c r="N195" t="s">
        <v>1664</v>
      </c>
      <c r="O195" t="s">
        <v>1664</v>
      </c>
      <c r="P195" t="s">
        <v>1664</v>
      </c>
      <c r="Q195" t="s">
        <v>1664</v>
      </c>
      <c r="R195" t="s">
        <v>1664</v>
      </c>
      <c r="S195" t="s">
        <v>1664</v>
      </c>
      <c r="T195" t="s">
        <v>1664</v>
      </c>
      <c r="U195">
        <v>147.958</v>
      </c>
      <c r="V195">
        <v>176.13200000000001</v>
      </c>
      <c r="W195">
        <v>215.69200000000001</v>
      </c>
      <c r="X195">
        <v>261.05900000000003</v>
      </c>
      <c r="Y195">
        <v>336.51400000000001</v>
      </c>
      <c r="Z195">
        <v>518.25199999999995</v>
      </c>
      <c r="AA195">
        <v>741.66700000000003</v>
      </c>
      <c r="AB195">
        <v>884.19200000000001</v>
      </c>
      <c r="AC195">
        <v>859.10400000000004</v>
      </c>
      <c r="AD195">
        <v>1189.8599999999999</v>
      </c>
      <c r="AE195">
        <v>1558.37</v>
      </c>
      <c r="AF195">
        <v>1662.1</v>
      </c>
      <c r="AG195">
        <v>1878.01</v>
      </c>
      <c r="AH195">
        <v>2160.61</v>
      </c>
      <c r="AI195">
        <v>2563.4899999999998</v>
      </c>
      <c r="AJ195">
        <v>3208.5</v>
      </c>
      <c r="AK195">
        <v>3760.04</v>
      </c>
      <c r="AL195">
        <v>4308.6400000000003</v>
      </c>
      <c r="AM195">
        <v>5375.83</v>
      </c>
      <c r="AN195">
        <v>5097.59</v>
      </c>
      <c r="AO195">
        <v>6786.81</v>
      </c>
      <c r="AP195">
        <v>6996.91</v>
      </c>
      <c r="AQ195">
        <v>7586.55</v>
      </c>
      <c r="AR195">
        <v>8684.83</v>
      </c>
      <c r="AS195">
        <v>9289.39</v>
      </c>
      <c r="AT195">
        <v>9797.6</v>
      </c>
      <c r="AU195">
        <v>8891</v>
      </c>
      <c r="AV195">
        <v>10006</v>
      </c>
      <c r="AW195">
        <v>11578.73</v>
      </c>
      <c r="AX195">
        <v>12606.26</v>
      </c>
      <c r="AY195">
        <v>13998.03</v>
      </c>
      <c r="AZ195">
        <v>22798.85</v>
      </c>
      <c r="BA195">
        <v>37112.25</v>
      </c>
      <c r="BB195">
        <v>50137.69</v>
      </c>
      <c r="BC195">
        <v>64133.21</v>
      </c>
      <c r="BD195">
        <v>77378.679999999993</v>
      </c>
      <c r="BE195">
        <v>90749</v>
      </c>
      <c r="BF195">
        <v>105276.4</v>
      </c>
      <c r="BG195">
        <v>2020</v>
      </c>
      <c r="BH195">
        <v>13998.03</v>
      </c>
      <c r="BI195">
        <v>2020</v>
      </c>
    </row>
    <row r="196" spans="1:61" hidden="1">
      <c r="A196">
        <v>754</v>
      </c>
      <c r="B196" t="s">
        <v>331</v>
      </c>
      <c r="C196" t="s">
        <v>1881</v>
      </c>
      <c r="D196" t="s">
        <v>118</v>
      </c>
      <c r="E196" t="str">
        <f>IF(ISNUMBER(VLOOKUP(B196,'OECD DAC'!B:C,2,FALSE)), "YES", " ")</f>
        <v xml:space="preserve"> </v>
      </c>
      <c r="F196" t="s">
        <v>1882</v>
      </c>
      <c r="G196" t="s">
        <v>1883</v>
      </c>
      <c r="H196" t="s">
        <v>1662</v>
      </c>
      <c r="I196" t="s">
        <v>883</v>
      </c>
      <c r="J196" t="s">
        <v>2077</v>
      </c>
      <c r="K196">
        <v>3.0000000000000001E-3</v>
      </c>
      <c r="L196">
        <v>4.0000000000000001E-3</v>
      </c>
      <c r="M196">
        <v>4.0000000000000001E-3</v>
      </c>
      <c r="N196">
        <v>5.0000000000000001E-3</v>
      </c>
      <c r="O196">
        <v>5.0000000000000001E-3</v>
      </c>
      <c r="P196">
        <v>8.0000000000000002E-3</v>
      </c>
      <c r="Q196">
        <v>1.4E-2</v>
      </c>
      <c r="R196">
        <v>2.1999999999999999E-2</v>
      </c>
      <c r="S196">
        <v>3.4000000000000002E-2</v>
      </c>
      <c r="T196">
        <v>0.06</v>
      </c>
      <c r="U196">
        <v>0.124</v>
      </c>
      <c r="V196">
        <v>0.23899999999999999</v>
      </c>
      <c r="W196">
        <v>0.622</v>
      </c>
      <c r="X196">
        <v>1.619</v>
      </c>
      <c r="Y196">
        <v>2.448</v>
      </c>
      <c r="Z196">
        <v>3.29</v>
      </c>
      <c r="AA196">
        <v>4.3449999999999998</v>
      </c>
      <c r="AB196">
        <v>5.657</v>
      </c>
      <c r="AC196">
        <v>6.5880000000000001</v>
      </c>
      <c r="AD196">
        <v>8.1289999999999996</v>
      </c>
      <c r="AE196">
        <v>11.201000000000001</v>
      </c>
      <c r="AF196">
        <v>14.785</v>
      </c>
      <c r="AG196">
        <v>18.446999999999999</v>
      </c>
      <c r="AH196">
        <v>23.202000000000002</v>
      </c>
      <c r="AI196">
        <v>29.73</v>
      </c>
      <c r="AJ196">
        <v>37.189</v>
      </c>
      <c r="AK196">
        <v>45.963999999999999</v>
      </c>
      <c r="AL196">
        <v>56.262999999999998</v>
      </c>
      <c r="AM196">
        <v>67.088999999999999</v>
      </c>
      <c r="AN196">
        <v>77.347999999999999</v>
      </c>
      <c r="AO196">
        <v>97.215999999999994</v>
      </c>
      <c r="AP196">
        <v>114.03</v>
      </c>
      <c r="AQ196">
        <v>131.27199999999999</v>
      </c>
      <c r="AR196">
        <v>151.33099999999999</v>
      </c>
      <c r="AS196">
        <v>167.053</v>
      </c>
      <c r="AT196">
        <v>183.381</v>
      </c>
      <c r="AU196">
        <v>216.09800000000001</v>
      </c>
      <c r="AV196">
        <v>246.25200000000001</v>
      </c>
      <c r="AW196">
        <v>275.17500000000001</v>
      </c>
      <c r="AX196">
        <v>300.44900000000001</v>
      </c>
      <c r="AY196">
        <v>332.22300000000001</v>
      </c>
      <c r="AZ196">
        <v>415.447</v>
      </c>
      <c r="BA196">
        <v>478.38600000000002</v>
      </c>
      <c r="BB196">
        <v>547.22900000000004</v>
      </c>
      <c r="BC196">
        <v>610.33000000000004</v>
      </c>
      <c r="BD196">
        <v>678.40700000000004</v>
      </c>
      <c r="BE196">
        <v>757.56700000000001</v>
      </c>
      <c r="BF196">
        <v>841.98400000000004</v>
      </c>
      <c r="BG196">
        <v>2020</v>
      </c>
      <c r="BH196">
        <v>332.22300000000001</v>
      </c>
      <c r="BI196">
        <v>2020</v>
      </c>
    </row>
    <row r="197" spans="1:61" hidden="1">
      <c r="A197">
        <v>698</v>
      </c>
      <c r="B197" t="s">
        <v>341</v>
      </c>
      <c r="C197" t="s">
        <v>1881</v>
      </c>
      <c r="D197" t="s">
        <v>127</v>
      </c>
      <c r="E197" t="str">
        <f>IF(ISNUMBER(VLOOKUP(B197,'OECD DAC'!B:C,2,FALSE)), "YES", " ")</f>
        <v xml:space="preserve"> </v>
      </c>
      <c r="F197" t="s">
        <v>1882</v>
      </c>
      <c r="G197" t="s">
        <v>1883</v>
      </c>
      <c r="H197" t="s">
        <v>1662</v>
      </c>
      <c r="I197" t="s">
        <v>883</v>
      </c>
      <c r="J197" t="s">
        <v>2078</v>
      </c>
      <c r="K197" t="s">
        <v>1664</v>
      </c>
      <c r="L197" t="s">
        <v>1664</v>
      </c>
      <c r="M197" t="s">
        <v>1664</v>
      </c>
      <c r="N197" t="s">
        <v>1664</v>
      </c>
      <c r="O197" t="s">
        <v>1664</v>
      </c>
      <c r="P197" t="s">
        <v>1664</v>
      </c>
      <c r="Q197" t="s">
        <v>1664</v>
      </c>
      <c r="R197" t="s">
        <v>1664</v>
      </c>
      <c r="S197" t="s">
        <v>1664</v>
      </c>
      <c r="T197" t="s">
        <v>1664</v>
      </c>
      <c r="U197">
        <v>10.144</v>
      </c>
      <c r="V197">
        <v>9.4499999999999993</v>
      </c>
      <c r="W197">
        <v>7.7930000000000001</v>
      </c>
      <c r="X197">
        <v>7.569</v>
      </c>
      <c r="Y197">
        <v>7.9589999999999996</v>
      </c>
      <c r="Z197">
        <v>8.2629999999999999</v>
      </c>
      <c r="AA197">
        <v>10.117000000000001</v>
      </c>
      <c r="AB197">
        <v>10.385999999999999</v>
      </c>
      <c r="AC197">
        <v>12.099</v>
      </c>
      <c r="AD197">
        <v>11.769</v>
      </c>
      <c r="AE197">
        <v>11.34</v>
      </c>
      <c r="AF197">
        <v>11.244</v>
      </c>
      <c r="AG197">
        <v>10.734999999999999</v>
      </c>
      <c r="AH197">
        <v>9.5739999999999998</v>
      </c>
      <c r="AI197">
        <v>9.4649999999999999</v>
      </c>
      <c r="AJ197">
        <v>9.0459999999999994</v>
      </c>
      <c r="AK197">
        <v>8.141</v>
      </c>
      <c r="AL197">
        <v>7.7850000000000001</v>
      </c>
      <c r="AM197">
        <v>6.7069999999999999</v>
      </c>
      <c r="AN197">
        <v>9.6660000000000004</v>
      </c>
      <c r="AO197">
        <v>12.042</v>
      </c>
      <c r="AP197">
        <v>14.1</v>
      </c>
      <c r="AQ197">
        <v>17.116</v>
      </c>
      <c r="AR197">
        <v>19.093</v>
      </c>
      <c r="AS197">
        <v>19.498999999999999</v>
      </c>
      <c r="AT197">
        <v>19.969000000000001</v>
      </c>
      <c r="AU197">
        <v>20.555</v>
      </c>
      <c r="AV197">
        <v>21.385000000000002</v>
      </c>
      <c r="AW197">
        <v>36.942999999999998</v>
      </c>
      <c r="AX197">
        <v>187.41200000000001</v>
      </c>
      <c r="AY197">
        <v>1187.33</v>
      </c>
      <c r="AZ197">
        <v>2884.51</v>
      </c>
      <c r="BA197">
        <v>5989.6</v>
      </c>
      <c r="BB197">
        <v>8920.34</v>
      </c>
      <c r="BC197">
        <v>11838.81</v>
      </c>
      <c r="BD197">
        <v>14362.86</v>
      </c>
      <c r="BE197">
        <v>16247.1</v>
      </c>
      <c r="BF197">
        <v>17502.07</v>
      </c>
      <c r="BG197">
        <v>2019</v>
      </c>
      <c r="BH197">
        <v>187.41200000000001</v>
      </c>
      <c r="BI197">
        <v>2019</v>
      </c>
    </row>
  </sheetData>
  <autoFilter ref="A1:BI197" xr:uid="{2535EED0-1792-47FE-AD50-270119F9EBAA}">
    <filterColumn colId="4">
      <customFilters>
        <customFilter operator="notEqual" val=" "/>
      </customFilters>
    </filterColumn>
  </autoFilter>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9EFBE-9251-425E-BD2B-E58321215237}">
  <dimension ref="A1:FA353"/>
  <sheetViews>
    <sheetView zoomScale="85" zoomScaleNormal="85" workbookViewId="0">
      <pane xSplit="3" ySplit="5" topLeftCell="Q6" activePane="bottomRight" state="frozen"/>
      <selection pane="bottomRight" activeCell="A4" sqref="A4"/>
      <selection pane="bottomLeft" activeCell="A6" sqref="A6"/>
      <selection pane="topRight" activeCell="D1" sqref="D1"/>
    </sheetView>
  </sheetViews>
  <sheetFormatPr defaultColWidth="8.85546875" defaultRowHeight="14.45"/>
  <cols>
    <col min="4" max="4" width="11" customWidth="1"/>
    <col min="5" max="5" width="11.140625" customWidth="1"/>
    <col min="11" max="11" width="11" customWidth="1"/>
    <col min="12" max="12" width="13.42578125" customWidth="1"/>
    <col min="13" max="13" width="14.42578125" customWidth="1"/>
    <col min="14" max="14" width="19.28515625" customWidth="1"/>
    <col min="15" max="15" width="17.85546875" customWidth="1"/>
    <col min="16" max="16" width="16" customWidth="1"/>
    <col min="17" max="17" width="11" customWidth="1"/>
    <col min="18" max="18" width="13.28515625" customWidth="1"/>
    <col min="19" max="19" width="11.5703125" customWidth="1"/>
    <col min="20" max="20" width="10.42578125" customWidth="1"/>
    <col min="24" max="25" width="10.42578125" style="15" bestFit="1" customWidth="1"/>
    <col min="26" max="26" width="10.85546875" style="15" customWidth="1"/>
    <col min="35" max="35" width="11.85546875" customWidth="1"/>
    <col min="46" max="46" width="12.28515625" customWidth="1"/>
    <col min="48" max="48" width="9.140625" style="82"/>
    <col min="70" max="70" width="9.140625" style="82"/>
    <col min="92" max="92" width="9.140625" style="82"/>
    <col min="114" max="114" width="9.140625" style="82"/>
    <col min="136" max="136" width="9.140625" style="82"/>
  </cols>
  <sheetData>
    <row r="1" spans="1:157">
      <c r="A1" t="s">
        <v>92</v>
      </c>
      <c r="B1" t="s">
        <v>2079</v>
      </c>
      <c r="C1" t="s">
        <v>2080</v>
      </c>
    </row>
    <row r="2" spans="1:157">
      <c r="C2" s="31" t="s">
        <v>2081</v>
      </c>
    </row>
    <row r="3" spans="1:157">
      <c r="A3" t="s">
        <v>2082</v>
      </c>
    </row>
    <row r="4" spans="1:157">
      <c r="A4" t="s">
        <v>2083</v>
      </c>
      <c r="D4" t="s">
        <v>48</v>
      </c>
      <c r="E4" t="s">
        <v>48</v>
      </c>
      <c r="F4" t="s">
        <v>48</v>
      </c>
      <c r="G4" t="s">
        <v>48</v>
      </c>
      <c r="H4" t="s">
        <v>48</v>
      </c>
      <c r="I4" t="s">
        <v>48</v>
      </c>
      <c r="J4" t="s">
        <v>48</v>
      </c>
      <c r="K4" t="s">
        <v>48</v>
      </c>
      <c r="L4" t="s">
        <v>48</v>
      </c>
      <c r="M4" t="s">
        <v>48</v>
      </c>
      <c r="N4" t="s">
        <v>48</v>
      </c>
      <c r="O4" t="s">
        <v>48</v>
      </c>
      <c r="P4" t="s">
        <v>48</v>
      </c>
      <c r="Q4" t="s">
        <v>48</v>
      </c>
      <c r="R4" t="s">
        <v>48</v>
      </c>
      <c r="S4" t="s">
        <v>48</v>
      </c>
      <c r="T4" t="s">
        <v>48</v>
      </c>
      <c r="U4" t="s">
        <v>48</v>
      </c>
      <c r="V4" t="s">
        <v>48</v>
      </c>
      <c r="W4" t="s">
        <v>48</v>
      </c>
      <c r="X4" s="15" t="s">
        <v>48</v>
      </c>
      <c r="Y4" s="15" t="s">
        <v>48</v>
      </c>
      <c r="AA4" t="s">
        <v>81</v>
      </c>
      <c r="AB4" t="s">
        <v>81</v>
      </c>
      <c r="AC4" t="s">
        <v>81</v>
      </c>
      <c r="AD4" t="s">
        <v>81</v>
      </c>
      <c r="AE4" t="s">
        <v>81</v>
      </c>
      <c r="AF4" t="s">
        <v>81</v>
      </c>
      <c r="AG4" t="s">
        <v>81</v>
      </c>
      <c r="AH4" t="s">
        <v>81</v>
      </c>
      <c r="AI4" t="s">
        <v>81</v>
      </c>
      <c r="AJ4" t="s">
        <v>81</v>
      </c>
      <c r="AK4" t="s">
        <v>81</v>
      </c>
      <c r="AL4" t="s">
        <v>81</v>
      </c>
      <c r="AM4" t="s">
        <v>81</v>
      </c>
      <c r="AN4" t="s">
        <v>81</v>
      </c>
      <c r="AO4" t="s">
        <v>81</v>
      </c>
      <c r="AP4" t="s">
        <v>81</v>
      </c>
      <c r="AQ4" t="s">
        <v>81</v>
      </c>
      <c r="AR4" t="s">
        <v>81</v>
      </c>
      <c r="AS4" t="s">
        <v>81</v>
      </c>
      <c r="AT4" t="s">
        <v>81</v>
      </c>
      <c r="AU4" t="s">
        <v>81</v>
      </c>
      <c r="AV4" s="82" t="s">
        <v>81</v>
      </c>
      <c r="AW4" t="s">
        <v>82</v>
      </c>
      <c r="AX4" t="s">
        <v>82</v>
      </c>
      <c r="AY4" t="s">
        <v>82</v>
      </c>
      <c r="AZ4" t="s">
        <v>82</v>
      </c>
      <c r="BA4" t="s">
        <v>82</v>
      </c>
      <c r="BB4" t="s">
        <v>82</v>
      </c>
      <c r="BC4" t="s">
        <v>82</v>
      </c>
      <c r="BD4" t="s">
        <v>82</v>
      </c>
      <c r="BE4" t="s">
        <v>82</v>
      </c>
      <c r="BF4" t="s">
        <v>82</v>
      </c>
      <c r="BG4" t="s">
        <v>82</v>
      </c>
      <c r="BH4" t="s">
        <v>82</v>
      </c>
      <c r="BI4" t="s">
        <v>82</v>
      </c>
      <c r="BJ4" t="s">
        <v>82</v>
      </c>
      <c r="BK4" t="s">
        <v>82</v>
      </c>
      <c r="BL4" t="s">
        <v>82</v>
      </c>
      <c r="BM4" t="s">
        <v>82</v>
      </c>
      <c r="BN4" t="s">
        <v>82</v>
      </c>
      <c r="BO4" t="s">
        <v>82</v>
      </c>
      <c r="BP4" t="s">
        <v>82</v>
      </c>
      <c r="BQ4" t="s">
        <v>82</v>
      </c>
      <c r="BR4" s="82" t="s">
        <v>82</v>
      </c>
      <c r="BS4" t="s">
        <v>83</v>
      </c>
      <c r="BT4" t="s">
        <v>83</v>
      </c>
      <c r="BU4" t="s">
        <v>83</v>
      </c>
      <c r="BV4" t="s">
        <v>83</v>
      </c>
      <c r="BW4" t="s">
        <v>83</v>
      </c>
      <c r="BX4" t="s">
        <v>83</v>
      </c>
      <c r="BY4" t="s">
        <v>83</v>
      </c>
      <c r="BZ4" t="s">
        <v>83</v>
      </c>
      <c r="CA4" t="s">
        <v>83</v>
      </c>
      <c r="CB4" t="s">
        <v>83</v>
      </c>
      <c r="CC4" t="s">
        <v>83</v>
      </c>
      <c r="CD4" t="s">
        <v>83</v>
      </c>
      <c r="CE4" t="s">
        <v>83</v>
      </c>
      <c r="CF4" t="s">
        <v>83</v>
      </c>
      <c r="CG4" t="s">
        <v>83</v>
      </c>
      <c r="CH4" t="s">
        <v>83</v>
      </c>
      <c r="CI4" t="s">
        <v>83</v>
      </c>
      <c r="CJ4" t="s">
        <v>83</v>
      </c>
      <c r="CK4" t="s">
        <v>83</v>
      </c>
      <c r="CL4" t="s">
        <v>83</v>
      </c>
      <c r="CM4" t="s">
        <v>83</v>
      </c>
      <c r="CN4" s="82" t="s">
        <v>83</v>
      </c>
      <c r="CO4" t="s">
        <v>84</v>
      </c>
      <c r="CP4" t="s">
        <v>84</v>
      </c>
      <c r="CQ4" t="s">
        <v>84</v>
      </c>
      <c r="CR4" t="s">
        <v>84</v>
      </c>
      <c r="CS4" t="s">
        <v>84</v>
      </c>
      <c r="CT4" t="s">
        <v>84</v>
      </c>
      <c r="CU4" t="s">
        <v>84</v>
      </c>
      <c r="CV4" t="s">
        <v>84</v>
      </c>
      <c r="CW4" t="s">
        <v>84</v>
      </c>
      <c r="CX4" t="s">
        <v>84</v>
      </c>
      <c r="CY4" t="s">
        <v>84</v>
      </c>
      <c r="CZ4" t="s">
        <v>84</v>
      </c>
      <c r="DA4" t="s">
        <v>84</v>
      </c>
      <c r="DB4" t="s">
        <v>84</v>
      </c>
      <c r="DC4" t="s">
        <v>84</v>
      </c>
      <c r="DD4" t="s">
        <v>84</v>
      </c>
      <c r="DE4" t="s">
        <v>84</v>
      </c>
      <c r="DF4" t="s">
        <v>84</v>
      </c>
      <c r="DG4" t="s">
        <v>84</v>
      </c>
      <c r="DH4" t="s">
        <v>84</v>
      </c>
      <c r="DI4" t="s">
        <v>84</v>
      </c>
      <c r="DJ4" s="82" t="s">
        <v>84</v>
      </c>
      <c r="DK4" t="s">
        <v>85</v>
      </c>
      <c r="DL4" t="s">
        <v>85</v>
      </c>
      <c r="DM4" t="s">
        <v>85</v>
      </c>
      <c r="DN4" t="s">
        <v>85</v>
      </c>
      <c r="DO4" t="s">
        <v>85</v>
      </c>
      <c r="DP4" t="s">
        <v>85</v>
      </c>
      <c r="DQ4" t="s">
        <v>85</v>
      </c>
      <c r="DR4" t="s">
        <v>85</v>
      </c>
      <c r="DS4" t="s">
        <v>85</v>
      </c>
      <c r="DT4" t="s">
        <v>85</v>
      </c>
      <c r="DU4" t="s">
        <v>85</v>
      </c>
      <c r="DV4" t="s">
        <v>85</v>
      </c>
      <c r="DW4" t="s">
        <v>85</v>
      </c>
      <c r="DX4" t="s">
        <v>85</v>
      </c>
      <c r="DY4" t="s">
        <v>85</v>
      </c>
      <c r="DZ4" t="s">
        <v>85</v>
      </c>
      <c r="EA4" t="s">
        <v>85</v>
      </c>
      <c r="EB4" t="s">
        <v>85</v>
      </c>
      <c r="EC4" t="s">
        <v>85</v>
      </c>
      <c r="ED4" t="s">
        <v>85</v>
      </c>
      <c r="EE4" t="s">
        <v>85</v>
      </c>
      <c r="EF4" s="82" t="s">
        <v>85</v>
      </c>
      <c r="EG4" t="s">
        <v>86</v>
      </c>
      <c r="EH4" t="s">
        <v>86</v>
      </c>
      <c r="EI4" t="s">
        <v>86</v>
      </c>
      <c r="EJ4" t="s">
        <v>86</v>
      </c>
      <c r="EK4" t="s">
        <v>86</v>
      </c>
      <c r="EL4" t="s">
        <v>86</v>
      </c>
      <c r="EM4" t="s">
        <v>86</v>
      </c>
      <c r="EN4" t="s">
        <v>86</v>
      </c>
      <c r="EO4" t="s">
        <v>86</v>
      </c>
      <c r="EP4" t="s">
        <v>86</v>
      </c>
      <c r="EQ4" t="s">
        <v>86</v>
      </c>
      <c r="ER4" t="s">
        <v>86</v>
      </c>
      <c r="ES4" t="s">
        <v>86</v>
      </c>
      <c r="ET4" t="s">
        <v>86</v>
      </c>
      <c r="EU4" t="s">
        <v>86</v>
      </c>
      <c r="EV4" t="s">
        <v>86</v>
      </c>
      <c r="EW4" t="s">
        <v>86</v>
      </c>
      <c r="EX4" t="s">
        <v>86</v>
      </c>
      <c r="EY4" t="s">
        <v>86</v>
      </c>
      <c r="EZ4" t="s">
        <v>86</v>
      </c>
      <c r="FA4" t="s">
        <v>86</v>
      </c>
    </row>
    <row r="5" spans="1:157">
      <c r="C5" t="s">
        <v>294</v>
      </c>
      <c r="D5">
        <v>2000</v>
      </c>
      <c r="E5">
        <v>2001</v>
      </c>
      <c r="F5">
        <v>2002</v>
      </c>
      <c r="G5">
        <v>2003</v>
      </c>
      <c r="H5">
        <v>2004</v>
      </c>
      <c r="I5">
        <v>2005</v>
      </c>
      <c r="J5">
        <v>2006</v>
      </c>
      <c r="K5">
        <v>2007</v>
      </c>
      <c r="L5">
        <v>2008</v>
      </c>
      <c r="M5">
        <v>2009</v>
      </c>
      <c r="N5">
        <v>2010</v>
      </c>
      <c r="O5">
        <v>2011</v>
      </c>
      <c r="P5">
        <v>2012</v>
      </c>
      <c r="Q5">
        <v>2013</v>
      </c>
      <c r="R5">
        <v>2014</v>
      </c>
      <c r="S5">
        <v>2015</v>
      </c>
      <c r="T5">
        <v>2016</v>
      </c>
      <c r="U5">
        <v>2017</v>
      </c>
      <c r="V5">
        <v>2018</v>
      </c>
      <c r="W5">
        <v>2019</v>
      </c>
      <c r="X5" s="15">
        <v>2020</v>
      </c>
      <c r="Y5" s="15">
        <v>2021</v>
      </c>
      <c r="Z5" s="15" t="s">
        <v>2084</v>
      </c>
      <c r="AA5">
        <v>2000</v>
      </c>
      <c r="AB5">
        <v>2001</v>
      </c>
      <c r="AC5">
        <v>2002</v>
      </c>
      <c r="AD5">
        <v>2003</v>
      </c>
      <c r="AE5">
        <v>2004</v>
      </c>
      <c r="AF5">
        <v>2005</v>
      </c>
      <c r="AG5">
        <v>2006</v>
      </c>
      <c r="AH5">
        <v>2007</v>
      </c>
      <c r="AI5">
        <v>2008</v>
      </c>
      <c r="AJ5">
        <v>2009</v>
      </c>
      <c r="AK5">
        <v>2010</v>
      </c>
      <c r="AL5">
        <v>2011</v>
      </c>
      <c r="AM5">
        <v>2012</v>
      </c>
      <c r="AN5">
        <v>2013</v>
      </c>
      <c r="AO5">
        <v>2014</v>
      </c>
      <c r="AP5">
        <v>2015</v>
      </c>
      <c r="AQ5">
        <v>2016</v>
      </c>
      <c r="AR5">
        <v>2017</v>
      </c>
      <c r="AS5">
        <v>2018</v>
      </c>
      <c r="AT5">
        <v>2019</v>
      </c>
      <c r="AU5">
        <v>2020</v>
      </c>
      <c r="AV5" s="82">
        <v>2021</v>
      </c>
      <c r="AW5">
        <v>2000</v>
      </c>
      <c r="AX5">
        <v>2001</v>
      </c>
      <c r="AY5">
        <v>2002</v>
      </c>
      <c r="AZ5">
        <v>2003</v>
      </c>
      <c r="BA5">
        <v>2004</v>
      </c>
      <c r="BB5">
        <v>2005</v>
      </c>
      <c r="BC5">
        <v>2006</v>
      </c>
      <c r="BD5">
        <v>2007</v>
      </c>
      <c r="BE5">
        <v>2008</v>
      </c>
      <c r="BF5">
        <v>2009</v>
      </c>
      <c r="BG5">
        <v>2010</v>
      </c>
      <c r="BH5">
        <v>2011</v>
      </c>
      <c r="BI5">
        <v>2012</v>
      </c>
      <c r="BJ5">
        <v>2013</v>
      </c>
      <c r="BK5">
        <v>2014</v>
      </c>
      <c r="BL5">
        <v>2015</v>
      </c>
      <c r="BM5">
        <v>2016</v>
      </c>
      <c r="BN5">
        <v>2017</v>
      </c>
      <c r="BO5">
        <v>2018</v>
      </c>
      <c r="BP5">
        <v>2019</v>
      </c>
      <c r="BQ5">
        <v>2020</v>
      </c>
      <c r="BR5" s="82">
        <v>2021</v>
      </c>
      <c r="BS5">
        <v>2000</v>
      </c>
      <c r="BT5">
        <v>2001</v>
      </c>
      <c r="BU5">
        <v>2002</v>
      </c>
      <c r="BV5">
        <v>2003</v>
      </c>
      <c r="BW5">
        <v>2004</v>
      </c>
      <c r="BX5">
        <v>2005</v>
      </c>
      <c r="BY5">
        <v>2006</v>
      </c>
      <c r="BZ5">
        <v>2007</v>
      </c>
      <c r="CA5">
        <v>2008</v>
      </c>
      <c r="CB5">
        <v>2009</v>
      </c>
      <c r="CC5">
        <v>2010</v>
      </c>
      <c r="CD5">
        <v>2011</v>
      </c>
      <c r="CE5">
        <v>2012</v>
      </c>
      <c r="CF5">
        <v>2013</v>
      </c>
      <c r="CG5">
        <v>2014</v>
      </c>
      <c r="CH5">
        <v>2015</v>
      </c>
      <c r="CI5">
        <v>2016</v>
      </c>
      <c r="CJ5">
        <v>2017</v>
      </c>
      <c r="CK5">
        <v>2018</v>
      </c>
      <c r="CL5">
        <v>2019</v>
      </c>
      <c r="CM5">
        <v>2020</v>
      </c>
      <c r="CN5" s="82">
        <v>2021</v>
      </c>
      <c r="CO5">
        <v>2000</v>
      </c>
      <c r="CP5">
        <v>2001</v>
      </c>
      <c r="CQ5">
        <v>2002</v>
      </c>
      <c r="CR5">
        <v>2003</v>
      </c>
      <c r="CS5">
        <v>2004</v>
      </c>
      <c r="CT5">
        <v>2005</v>
      </c>
      <c r="CU5">
        <v>2006</v>
      </c>
      <c r="CV5">
        <v>2007</v>
      </c>
      <c r="CW5">
        <v>2008</v>
      </c>
      <c r="CX5">
        <v>2009</v>
      </c>
      <c r="CY5">
        <v>2010</v>
      </c>
      <c r="CZ5">
        <v>2011</v>
      </c>
      <c r="DA5">
        <v>2012</v>
      </c>
      <c r="DB5">
        <v>2013</v>
      </c>
      <c r="DC5">
        <v>2014</v>
      </c>
      <c r="DD5">
        <v>2015</v>
      </c>
      <c r="DE5">
        <v>2016</v>
      </c>
      <c r="DF5">
        <v>2017</v>
      </c>
      <c r="DG5">
        <v>2018</v>
      </c>
      <c r="DH5">
        <v>2019</v>
      </c>
      <c r="DI5">
        <v>2020</v>
      </c>
      <c r="DJ5" s="82">
        <v>2021</v>
      </c>
      <c r="DK5">
        <v>2000</v>
      </c>
      <c r="DL5">
        <v>2001</v>
      </c>
      <c r="DM5">
        <v>2002</v>
      </c>
      <c r="DN5">
        <v>2003</v>
      </c>
      <c r="DO5">
        <v>2004</v>
      </c>
      <c r="DP5">
        <v>2005</v>
      </c>
      <c r="DQ5">
        <v>2006</v>
      </c>
      <c r="DR5">
        <v>2007</v>
      </c>
      <c r="DS5">
        <v>2008</v>
      </c>
      <c r="DT5">
        <v>2009</v>
      </c>
      <c r="DU5">
        <v>2010</v>
      </c>
      <c r="DV5">
        <v>2011</v>
      </c>
      <c r="DW5">
        <v>2012</v>
      </c>
      <c r="DX5">
        <v>2013</v>
      </c>
      <c r="DY5">
        <v>2014</v>
      </c>
      <c r="DZ5">
        <v>2015</v>
      </c>
      <c r="EA5">
        <v>2016</v>
      </c>
      <c r="EB5">
        <v>2017</v>
      </c>
      <c r="EC5">
        <v>2018</v>
      </c>
      <c r="ED5">
        <v>2019</v>
      </c>
      <c r="EE5">
        <v>2020</v>
      </c>
      <c r="EF5" s="82">
        <v>2021</v>
      </c>
      <c r="EG5">
        <v>2000</v>
      </c>
      <c r="EH5">
        <v>2001</v>
      </c>
      <c r="EI5">
        <v>2002</v>
      </c>
      <c r="EJ5">
        <v>2003</v>
      </c>
      <c r="EK5">
        <v>2004</v>
      </c>
      <c r="EL5">
        <v>2005</v>
      </c>
      <c r="EM5">
        <v>2006</v>
      </c>
      <c r="EN5">
        <v>2007</v>
      </c>
      <c r="EO5">
        <v>2008</v>
      </c>
      <c r="EP5">
        <v>2009</v>
      </c>
      <c r="EQ5">
        <v>2010</v>
      </c>
      <c r="ER5">
        <v>2011</v>
      </c>
      <c r="ES5">
        <v>2012</v>
      </c>
      <c r="ET5">
        <v>2013</v>
      </c>
      <c r="EU5">
        <v>2014</v>
      </c>
      <c r="EV5">
        <v>2015</v>
      </c>
      <c r="EW5">
        <v>2016</v>
      </c>
      <c r="EX5">
        <v>2017</v>
      </c>
      <c r="EY5">
        <v>2018</v>
      </c>
      <c r="EZ5">
        <v>2019</v>
      </c>
      <c r="FA5">
        <v>2020</v>
      </c>
    </row>
    <row r="6" spans="1:157">
      <c r="A6" t="s">
        <v>74</v>
      </c>
      <c r="B6" t="s">
        <v>461</v>
      </c>
      <c r="C6" t="s">
        <v>2085</v>
      </c>
      <c r="D6">
        <v>1.5</v>
      </c>
      <c r="E6">
        <v>1.6</v>
      </c>
      <c r="F6">
        <v>1.6</v>
      </c>
      <c r="G6">
        <v>1.6</v>
      </c>
      <c r="H6">
        <v>1.6</v>
      </c>
      <c r="I6">
        <v>1.6</v>
      </c>
      <c r="J6">
        <v>1.6</v>
      </c>
      <c r="K6">
        <v>1.7</v>
      </c>
      <c r="L6">
        <v>1.7</v>
      </c>
      <c r="M6">
        <v>1.7</v>
      </c>
      <c r="N6">
        <v>1.7</v>
      </c>
      <c r="O6">
        <v>1.7</v>
      </c>
      <c r="P6">
        <v>1.7</v>
      </c>
      <c r="Q6">
        <v>1.7</v>
      </c>
      <c r="R6">
        <v>1.7</v>
      </c>
      <c r="S6">
        <v>1.7</v>
      </c>
      <c r="T6">
        <v>1.7</v>
      </c>
      <c r="U6">
        <v>1.7</v>
      </c>
      <c r="V6">
        <v>1.8</v>
      </c>
      <c r="W6">
        <v>1.9</v>
      </c>
      <c r="X6" s="15">
        <v>2</v>
      </c>
      <c r="Y6" s="15" t="s">
        <v>1870</v>
      </c>
      <c r="Z6" s="15">
        <f>SUM(AU6,BQ6,CM6,DI6,EE6,FA6)</f>
        <v>2</v>
      </c>
      <c r="AA6" t="s">
        <v>1870</v>
      </c>
      <c r="AB6">
        <v>0.6</v>
      </c>
      <c r="AC6">
        <v>0.6</v>
      </c>
      <c r="AD6">
        <v>0.6</v>
      </c>
      <c r="AE6">
        <v>0.6</v>
      </c>
      <c r="AF6">
        <v>0.6</v>
      </c>
      <c r="AG6">
        <v>0.6</v>
      </c>
      <c r="AH6">
        <v>0.6</v>
      </c>
      <c r="AI6">
        <v>0.6</v>
      </c>
      <c r="AJ6">
        <v>0.6</v>
      </c>
      <c r="AK6">
        <v>0.6</v>
      </c>
      <c r="AL6">
        <v>0.6</v>
      </c>
      <c r="AM6">
        <v>0.6</v>
      </c>
      <c r="AN6">
        <v>0.6</v>
      </c>
      <c r="AO6">
        <v>0.6</v>
      </c>
      <c r="AP6">
        <v>0.6</v>
      </c>
      <c r="AQ6">
        <v>0.6</v>
      </c>
      <c r="AR6">
        <v>0.6</v>
      </c>
      <c r="AS6">
        <v>0.6</v>
      </c>
      <c r="AT6">
        <v>0.6</v>
      </c>
      <c r="AU6">
        <v>0.7</v>
      </c>
      <c r="AV6" s="82" t="s">
        <v>1870</v>
      </c>
      <c r="AW6" t="s">
        <v>1870</v>
      </c>
      <c r="AX6">
        <v>0.2</v>
      </c>
      <c r="AY6">
        <v>0.2</v>
      </c>
      <c r="AZ6">
        <v>0.2</v>
      </c>
      <c r="BA6">
        <v>0.2</v>
      </c>
      <c r="BB6">
        <v>0.2</v>
      </c>
      <c r="BC6">
        <v>0.2</v>
      </c>
      <c r="BD6">
        <v>0.2</v>
      </c>
      <c r="BE6">
        <v>0.2</v>
      </c>
      <c r="BF6">
        <v>0.2</v>
      </c>
      <c r="BG6">
        <v>0.2</v>
      </c>
      <c r="BH6">
        <v>0.2</v>
      </c>
      <c r="BI6">
        <v>0.2</v>
      </c>
      <c r="BJ6">
        <v>0.2</v>
      </c>
      <c r="BK6">
        <v>0.2</v>
      </c>
      <c r="BL6">
        <v>0.2</v>
      </c>
      <c r="BM6">
        <v>0.2</v>
      </c>
      <c r="BN6">
        <v>0.2</v>
      </c>
      <c r="BO6">
        <v>0.2</v>
      </c>
      <c r="BP6">
        <v>0.2</v>
      </c>
      <c r="BQ6">
        <v>0.3</v>
      </c>
      <c r="BR6" s="82" t="s">
        <v>1870</v>
      </c>
      <c r="BS6" t="s">
        <v>1870</v>
      </c>
      <c r="BT6">
        <v>0.3</v>
      </c>
      <c r="BU6">
        <v>0.4</v>
      </c>
      <c r="BV6">
        <v>0.4</v>
      </c>
      <c r="BW6">
        <v>0.4</v>
      </c>
      <c r="BX6">
        <v>0.4</v>
      </c>
      <c r="BY6">
        <v>0.4</v>
      </c>
      <c r="BZ6">
        <v>0.4</v>
      </c>
      <c r="CA6">
        <v>0.4</v>
      </c>
      <c r="CB6">
        <v>0.4</v>
      </c>
      <c r="CC6">
        <v>0.4</v>
      </c>
      <c r="CD6">
        <v>0.3</v>
      </c>
      <c r="CE6">
        <v>0.4</v>
      </c>
      <c r="CF6">
        <v>0.3</v>
      </c>
      <c r="CG6">
        <v>0.3</v>
      </c>
      <c r="CH6">
        <v>0.3</v>
      </c>
      <c r="CI6">
        <v>0.4</v>
      </c>
      <c r="CJ6">
        <v>0.4</v>
      </c>
      <c r="CK6">
        <v>0.4</v>
      </c>
      <c r="CL6">
        <v>0.4</v>
      </c>
      <c r="CM6">
        <v>0.4</v>
      </c>
      <c r="CN6" s="82" t="s">
        <v>1870</v>
      </c>
      <c r="CO6" t="s">
        <v>1870</v>
      </c>
      <c r="CP6">
        <v>0.3</v>
      </c>
      <c r="CQ6">
        <v>0.3</v>
      </c>
      <c r="CR6">
        <v>0.2</v>
      </c>
      <c r="CS6">
        <v>0.2</v>
      </c>
      <c r="CT6">
        <v>0.3</v>
      </c>
      <c r="CU6">
        <v>0.2</v>
      </c>
      <c r="CV6">
        <v>0.2</v>
      </c>
      <c r="CW6">
        <v>0.3</v>
      </c>
      <c r="CX6">
        <v>0.3</v>
      </c>
      <c r="CY6">
        <v>0.3</v>
      </c>
      <c r="CZ6">
        <v>0.3</v>
      </c>
      <c r="DA6">
        <v>0.3</v>
      </c>
      <c r="DB6">
        <v>0.3</v>
      </c>
      <c r="DC6">
        <v>0.3</v>
      </c>
      <c r="DD6">
        <v>0.3</v>
      </c>
      <c r="DE6">
        <v>0.3</v>
      </c>
      <c r="DF6">
        <v>0.3</v>
      </c>
      <c r="DG6">
        <v>0.3</v>
      </c>
      <c r="DH6">
        <v>0.3</v>
      </c>
      <c r="DI6">
        <v>0.3</v>
      </c>
      <c r="DJ6" s="82" t="s">
        <v>1870</v>
      </c>
      <c r="DK6" t="s">
        <v>1870</v>
      </c>
      <c r="DL6">
        <v>0</v>
      </c>
      <c r="DM6">
        <v>0</v>
      </c>
      <c r="DN6">
        <v>0</v>
      </c>
      <c r="DO6">
        <v>0</v>
      </c>
      <c r="DP6">
        <v>0</v>
      </c>
      <c r="DQ6">
        <v>0</v>
      </c>
      <c r="DR6">
        <v>0</v>
      </c>
      <c r="DS6">
        <v>0</v>
      </c>
      <c r="DT6">
        <v>0</v>
      </c>
      <c r="DU6">
        <v>0</v>
      </c>
      <c r="DV6">
        <v>0</v>
      </c>
      <c r="DW6">
        <v>0</v>
      </c>
      <c r="DX6">
        <v>0</v>
      </c>
      <c r="DY6">
        <v>0</v>
      </c>
      <c r="DZ6">
        <v>0</v>
      </c>
      <c r="EA6">
        <v>0</v>
      </c>
      <c r="EB6">
        <v>0</v>
      </c>
      <c r="EC6">
        <v>0</v>
      </c>
      <c r="ED6">
        <v>0</v>
      </c>
      <c r="EE6">
        <v>0</v>
      </c>
      <c r="EF6" s="82" t="s">
        <v>1870</v>
      </c>
      <c r="EG6" t="s">
        <v>1870</v>
      </c>
      <c r="EH6">
        <v>0.2</v>
      </c>
      <c r="EI6">
        <v>0.2</v>
      </c>
      <c r="EJ6">
        <v>0.2</v>
      </c>
      <c r="EK6">
        <v>0.3</v>
      </c>
      <c r="EL6">
        <v>0.2</v>
      </c>
      <c r="EM6">
        <v>0.2</v>
      </c>
      <c r="EN6">
        <v>0.3</v>
      </c>
      <c r="EO6">
        <v>0.3</v>
      </c>
      <c r="EP6">
        <v>0.3</v>
      </c>
      <c r="EQ6">
        <v>0.3</v>
      </c>
      <c r="ER6">
        <v>0.3</v>
      </c>
      <c r="ES6">
        <v>0.3</v>
      </c>
      <c r="ET6">
        <v>0.3</v>
      </c>
      <c r="EU6">
        <v>0.3</v>
      </c>
      <c r="EV6">
        <v>0.3</v>
      </c>
      <c r="EW6">
        <v>0.3</v>
      </c>
      <c r="EX6">
        <v>0.3</v>
      </c>
      <c r="EY6">
        <v>0.3</v>
      </c>
      <c r="EZ6">
        <v>0.3</v>
      </c>
      <c r="FA6">
        <v>0.3</v>
      </c>
    </row>
    <row r="7" spans="1:157">
      <c r="A7" t="s">
        <v>53</v>
      </c>
      <c r="B7" t="s">
        <v>458</v>
      </c>
      <c r="C7" t="s">
        <v>2085</v>
      </c>
      <c r="D7">
        <v>1.4</v>
      </c>
      <c r="E7">
        <v>1.4</v>
      </c>
      <c r="F7">
        <v>1.4</v>
      </c>
      <c r="G7">
        <v>1.4</v>
      </c>
      <c r="H7">
        <v>1.4</v>
      </c>
      <c r="I7">
        <v>1.4</v>
      </c>
      <c r="J7">
        <v>1.4</v>
      </c>
      <c r="K7">
        <v>1.3</v>
      </c>
      <c r="L7">
        <v>1.3</v>
      </c>
      <c r="M7">
        <v>1.4</v>
      </c>
      <c r="N7">
        <v>1.4</v>
      </c>
      <c r="O7">
        <v>1.3</v>
      </c>
      <c r="P7">
        <v>1.3</v>
      </c>
      <c r="Q7">
        <v>1.3</v>
      </c>
      <c r="R7">
        <v>1.3</v>
      </c>
      <c r="S7">
        <v>1.3</v>
      </c>
      <c r="T7">
        <v>1.3</v>
      </c>
      <c r="U7">
        <v>1.4</v>
      </c>
      <c r="V7">
        <v>1.4</v>
      </c>
      <c r="W7">
        <v>1.3</v>
      </c>
      <c r="X7" s="15">
        <v>1.4</v>
      </c>
      <c r="Y7" s="15" t="s">
        <v>1870</v>
      </c>
      <c r="Z7" s="15">
        <f t="shared" ref="Z7:Z34" si="0">SUM(AU7,BQ7,CM7,DI7,EE7,FA7)</f>
        <v>1.5</v>
      </c>
      <c r="AA7">
        <v>0.7</v>
      </c>
      <c r="AB7">
        <v>0.7</v>
      </c>
      <c r="AC7">
        <v>0.7</v>
      </c>
      <c r="AD7">
        <v>0.7</v>
      </c>
      <c r="AE7">
        <v>0.8</v>
      </c>
      <c r="AF7">
        <v>0.7</v>
      </c>
      <c r="AG7">
        <v>0.7</v>
      </c>
      <c r="AH7">
        <v>0.7</v>
      </c>
      <c r="AI7">
        <v>0.7</v>
      </c>
      <c r="AJ7">
        <v>0.7</v>
      </c>
      <c r="AK7">
        <v>0.7</v>
      </c>
      <c r="AL7">
        <v>0.7</v>
      </c>
      <c r="AM7">
        <v>0.7</v>
      </c>
      <c r="AN7">
        <v>0.7</v>
      </c>
      <c r="AO7">
        <v>0.7</v>
      </c>
      <c r="AP7">
        <v>0.7</v>
      </c>
      <c r="AQ7">
        <v>0.7</v>
      </c>
      <c r="AR7">
        <v>0.7</v>
      </c>
      <c r="AS7">
        <v>0.7</v>
      </c>
      <c r="AT7">
        <v>0.7</v>
      </c>
      <c r="AU7">
        <v>0.7</v>
      </c>
      <c r="AV7" s="82" t="s">
        <v>1870</v>
      </c>
      <c r="AW7">
        <v>0.2</v>
      </c>
      <c r="AX7">
        <v>0.1</v>
      </c>
      <c r="AY7">
        <v>0.2</v>
      </c>
      <c r="AZ7">
        <v>0.2</v>
      </c>
      <c r="BA7">
        <v>0.2</v>
      </c>
      <c r="BB7">
        <v>0.2</v>
      </c>
      <c r="BC7">
        <v>0.2</v>
      </c>
      <c r="BD7">
        <v>0.2</v>
      </c>
      <c r="BE7">
        <v>0.2</v>
      </c>
      <c r="BF7">
        <v>0.2</v>
      </c>
      <c r="BG7">
        <v>0.2</v>
      </c>
      <c r="BH7">
        <v>0.2</v>
      </c>
      <c r="BI7">
        <v>0.2</v>
      </c>
      <c r="BJ7">
        <v>0.2</v>
      </c>
      <c r="BK7">
        <v>0.2</v>
      </c>
      <c r="BL7">
        <v>0.2</v>
      </c>
      <c r="BM7">
        <v>0.2</v>
      </c>
      <c r="BN7">
        <v>0.2</v>
      </c>
      <c r="BO7">
        <v>0.2</v>
      </c>
      <c r="BP7">
        <v>0.2</v>
      </c>
      <c r="BQ7">
        <v>0.2</v>
      </c>
      <c r="BR7" s="82" t="s">
        <v>1870</v>
      </c>
      <c r="BS7">
        <v>0.3</v>
      </c>
      <c r="BT7">
        <v>0.3</v>
      </c>
      <c r="BU7">
        <v>0.3</v>
      </c>
      <c r="BV7">
        <v>0.3</v>
      </c>
      <c r="BW7">
        <v>0.3</v>
      </c>
      <c r="BX7">
        <v>0.3</v>
      </c>
      <c r="BY7">
        <v>0.3</v>
      </c>
      <c r="BZ7">
        <v>0.3</v>
      </c>
      <c r="CA7">
        <v>0.3</v>
      </c>
      <c r="CB7">
        <v>0.3</v>
      </c>
      <c r="CC7">
        <v>0.3</v>
      </c>
      <c r="CD7">
        <v>0.3</v>
      </c>
      <c r="CE7">
        <v>0.3</v>
      </c>
      <c r="CF7">
        <v>0.3</v>
      </c>
      <c r="CG7">
        <v>0.3</v>
      </c>
      <c r="CH7">
        <v>0.3</v>
      </c>
      <c r="CI7">
        <v>0.3</v>
      </c>
      <c r="CJ7">
        <v>0.3</v>
      </c>
      <c r="CK7">
        <v>0.3</v>
      </c>
      <c r="CL7">
        <v>0.3</v>
      </c>
      <c r="CM7">
        <v>0.3</v>
      </c>
      <c r="CN7" s="82" t="s">
        <v>1870</v>
      </c>
      <c r="CO7">
        <v>0.1</v>
      </c>
      <c r="CP7">
        <v>0.1</v>
      </c>
      <c r="CQ7">
        <v>0.1</v>
      </c>
      <c r="CR7">
        <v>0.1</v>
      </c>
      <c r="CS7">
        <v>0.1</v>
      </c>
      <c r="CT7">
        <v>0.1</v>
      </c>
      <c r="CU7">
        <v>0.1</v>
      </c>
      <c r="CV7">
        <v>0.1</v>
      </c>
      <c r="CW7">
        <v>0.1</v>
      </c>
      <c r="CX7">
        <v>0.1</v>
      </c>
      <c r="CY7">
        <v>0.1</v>
      </c>
      <c r="CZ7">
        <v>0.1</v>
      </c>
      <c r="DA7">
        <v>0.1</v>
      </c>
      <c r="DB7">
        <v>0.1</v>
      </c>
      <c r="DC7">
        <v>0.1</v>
      </c>
      <c r="DD7">
        <v>0.1</v>
      </c>
      <c r="DE7">
        <v>0.1</v>
      </c>
      <c r="DF7">
        <v>0.1</v>
      </c>
      <c r="DG7">
        <v>0.1</v>
      </c>
      <c r="DH7">
        <v>0.1</v>
      </c>
      <c r="DI7">
        <v>0.2</v>
      </c>
      <c r="DJ7" s="82" t="s">
        <v>1870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s="82" t="s">
        <v>1870</v>
      </c>
      <c r="EG7">
        <v>0.1</v>
      </c>
      <c r="EH7">
        <v>0.1</v>
      </c>
      <c r="EI7">
        <v>0.1</v>
      </c>
      <c r="EJ7">
        <v>0.1</v>
      </c>
      <c r="EK7">
        <v>0.1</v>
      </c>
      <c r="EL7">
        <v>0.1</v>
      </c>
      <c r="EM7">
        <v>0.1</v>
      </c>
      <c r="EN7">
        <v>0.1</v>
      </c>
      <c r="EO7">
        <v>0.1</v>
      </c>
      <c r="EP7">
        <v>0.1</v>
      </c>
      <c r="EQ7">
        <v>0.1</v>
      </c>
      <c r="ER7">
        <v>0.1</v>
      </c>
      <c r="ES7">
        <v>0.1</v>
      </c>
      <c r="ET7">
        <v>0.1</v>
      </c>
      <c r="EU7">
        <v>0</v>
      </c>
      <c r="EV7">
        <v>0</v>
      </c>
      <c r="EW7">
        <v>0.1</v>
      </c>
      <c r="EX7">
        <v>0.1</v>
      </c>
      <c r="EY7">
        <v>0.1</v>
      </c>
      <c r="EZ7">
        <v>0.1</v>
      </c>
      <c r="FA7">
        <v>0.1</v>
      </c>
    </row>
    <row r="8" spans="1:157">
      <c r="A8" t="s">
        <v>58</v>
      </c>
      <c r="B8" t="s">
        <v>456</v>
      </c>
      <c r="C8" t="s">
        <v>2085</v>
      </c>
      <c r="D8">
        <v>1.5</v>
      </c>
      <c r="E8">
        <v>1.7</v>
      </c>
      <c r="F8">
        <v>1.7</v>
      </c>
      <c r="G8">
        <v>1.7</v>
      </c>
      <c r="H8">
        <v>1.6</v>
      </c>
      <c r="I8">
        <v>1.7</v>
      </c>
      <c r="J8">
        <v>1.7</v>
      </c>
      <c r="K8">
        <v>1.7</v>
      </c>
      <c r="L8">
        <v>1.8</v>
      </c>
      <c r="M8">
        <v>1.9</v>
      </c>
      <c r="N8">
        <v>1.9</v>
      </c>
      <c r="O8">
        <v>1.9</v>
      </c>
      <c r="P8">
        <v>1.9</v>
      </c>
      <c r="Q8">
        <v>1.9</v>
      </c>
      <c r="R8">
        <v>1.8</v>
      </c>
      <c r="S8">
        <v>1.7</v>
      </c>
      <c r="T8">
        <v>1.7</v>
      </c>
      <c r="U8">
        <v>1.7</v>
      </c>
      <c r="V8">
        <v>1.7</v>
      </c>
      <c r="W8">
        <v>1.7</v>
      </c>
      <c r="X8" s="15">
        <v>1.8</v>
      </c>
      <c r="Y8" s="15" t="s">
        <v>1870</v>
      </c>
      <c r="Z8" s="15">
        <f t="shared" si="0"/>
        <v>1.8000000000000003</v>
      </c>
      <c r="AA8" t="s">
        <v>1870</v>
      </c>
      <c r="AB8">
        <v>1</v>
      </c>
      <c r="AC8">
        <v>1</v>
      </c>
      <c r="AD8">
        <v>1</v>
      </c>
      <c r="AE8">
        <v>1</v>
      </c>
      <c r="AF8">
        <v>1</v>
      </c>
      <c r="AG8">
        <v>1</v>
      </c>
      <c r="AH8">
        <v>1</v>
      </c>
      <c r="AI8">
        <v>1.1000000000000001</v>
      </c>
      <c r="AJ8">
        <v>1.1000000000000001</v>
      </c>
      <c r="AK8">
        <v>1.1000000000000001</v>
      </c>
      <c r="AL8">
        <v>1.1000000000000001</v>
      </c>
      <c r="AM8">
        <v>1.1000000000000001</v>
      </c>
      <c r="AN8">
        <v>1.1000000000000001</v>
      </c>
      <c r="AO8">
        <v>1.1000000000000001</v>
      </c>
      <c r="AP8">
        <v>1</v>
      </c>
      <c r="AQ8">
        <v>1</v>
      </c>
      <c r="AR8">
        <v>1</v>
      </c>
      <c r="AS8">
        <v>1</v>
      </c>
      <c r="AT8">
        <v>1</v>
      </c>
      <c r="AU8">
        <v>1.1000000000000001</v>
      </c>
      <c r="AV8" s="82" t="s">
        <v>1870</v>
      </c>
      <c r="AW8" t="s">
        <v>1870</v>
      </c>
      <c r="AX8">
        <v>0.2</v>
      </c>
      <c r="AY8">
        <v>0.2</v>
      </c>
      <c r="AZ8">
        <v>0.2</v>
      </c>
      <c r="BA8">
        <v>0.2</v>
      </c>
      <c r="BB8">
        <v>0.2</v>
      </c>
      <c r="BC8">
        <v>0.2</v>
      </c>
      <c r="BD8">
        <v>0.2</v>
      </c>
      <c r="BE8">
        <v>0.2</v>
      </c>
      <c r="BF8">
        <v>0.2</v>
      </c>
      <c r="BG8">
        <v>0.2</v>
      </c>
      <c r="BH8">
        <v>0.2</v>
      </c>
      <c r="BI8">
        <v>0.2</v>
      </c>
      <c r="BJ8">
        <v>0.2</v>
      </c>
      <c r="BK8">
        <v>0.2</v>
      </c>
      <c r="BL8">
        <v>0.2</v>
      </c>
      <c r="BM8">
        <v>0.2</v>
      </c>
      <c r="BN8">
        <v>0.2</v>
      </c>
      <c r="BO8">
        <v>0.2</v>
      </c>
      <c r="BP8">
        <v>0.2</v>
      </c>
      <c r="BQ8">
        <v>0.2</v>
      </c>
      <c r="BR8" s="82" t="s">
        <v>1870</v>
      </c>
      <c r="BS8" t="s">
        <v>1870</v>
      </c>
      <c r="BT8">
        <v>0.3</v>
      </c>
      <c r="BU8">
        <v>0.3</v>
      </c>
      <c r="BV8">
        <v>0.3</v>
      </c>
      <c r="BW8">
        <v>0.3</v>
      </c>
      <c r="BX8">
        <v>0.3</v>
      </c>
      <c r="BY8">
        <v>0.3</v>
      </c>
      <c r="BZ8">
        <v>0.3</v>
      </c>
      <c r="CA8">
        <v>0.3</v>
      </c>
      <c r="CB8">
        <v>0.3</v>
      </c>
      <c r="CC8">
        <v>0.3</v>
      </c>
      <c r="CD8">
        <v>0.3</v>
      </c>
      <c r="CE8">
        <v>0.3</v>
      </c>
      <c r="CF8">
        <v>0.3</v>
      </c>
      <c r="CG8">
        <v>0.3</v>
      </c>
      <c r="CH8">
        <v>0.2</v>
      </c>
      <c r="CI8">
        <v>0.3</v>
      </c>
      <c r="CJ8">
        <v>0.3</v>
      </c>
      <c r="CK8">
        <v>0.3</v>
      </c>
      <c r="CL8">
        <v>0.2</v>
      </c>
      <c r="CM8">
        <v>0.3</v>
      </c>
      <c r="CN8" s="82" t="s">
        <v>1870</v>
      </c>
      <c r="CO8" t="s">
        <v>1870</v>
      </c>
      <c r="CP8">
        <v>0.1</v>
      </c>
      <c r="CQ8">
        <v>0.1</v>
      </c>
      <c r="CR8">
        <v>0.1</v>
      </c>
      <c r="CS8">
        <v>0.1</v>
      </c>
      <c r="CT8">
        <v>0.1</v>
      </c>
      <c r="CU8">
        <v>0.1</v>
      </c>
      <c r="CV8">
        <v>0.1</v>
      </c>
      <c r="CW8">
        <v>0.1</v>
      </c>
      <c r="CX8">
        <v>0.1</v>
      </c>
      <c r="CY8">
        <v>0.1</v>
      </c>
      <c r="CZ8">
        <v>0.2</v>
      </c>
      <c r="DA8">
        <v>0.2</v>
      </c>
      <c r="DB8">
        <v>0.2</v>
      </c>
      <c r="DC8">
        <v>0.2</v>
      </c>
      <c r="DD8">
        <v>0.1</v>
      </c>
      <c r="DE8">
        <v>0.1</v>
      </c>
      <c r="DF8">
        <v>0.1</v>
      </c>
      <c r="DG8">
        <v>0.1</v>
      </c>
      <c r="DH8">
        <v>0.1</v>
      </c>
      <c r="DI8">
        <v>0.1</v>
      </c>
      <c r="DJ8" s="82" t="s">
        <v>1870</v>
      </c>
      <c r="DK8" t="s">
        <v>1870</v>
      </c>
      <c r="DL8">
        <v>0</v>
      </c>
      <c r="DM8">
        <v>0</v>
      </c>
      <c r="DN8">
        <v>0</v>
      </c>
      <c r="DO8">
        <v>0</v>
      </c>
      <c r="DP8">
        <v>0</v>
      </c>
      <c r="DQ8">
        <v>0</v>
      </c>
      <c r="DR8">
        <v>0</v>
      </c>
      <c r="DS8">
        <v>0</v>
      </c>
      <c r="DT8">
        <v>0</v>
      </c>
      <c r="DU8">
        <v>0</v>
      </c>
      <c r="DV8">
        <v>0</v>
      </c>
      <c r="DW8">
        <v>0</v>
      </c>
      <c r="DX8">
        <v>0</v>
      </c>
      <c r="DY8">
        <v>0</v>
      </c>
      <c r="DZ8">
        <v>0</v>
      </c>
      <c r="EA8">
        <v>0</v>
      </c>
      <c r="EB8">
        <v>0</v>
      </c>
      <c r="EC8">
        <v>0</v>
      </c>
      <c r="ED8">
        <v>0</v>
      </c>
      <c r="EE8">
        <v>0</v>
      </c>
      <c r="EF8" s="82" t="s">
        <v>1870</v>
      </c>
      <c r="EG8" t="s">
        <v>1870</v>
      </c>
      <c r="EH8">
        <v>0.1</v>
      </c>
      <c r="EI8">
        <v>0.1</v>
      </c>
      <c r="EJ8">
        <v>0.1</v>
      </c>
      <c r="EK8">
        <v>0.1</v>
      </c>
      <c r="EL8">
        <v>0.1</v>
      </c>
      <c r="EM8">
        <v>0.1</v>
      </c>
      <c r="EN8">
        <v>0.1</v>
      </c>
      <c r="EO8">
        <v>0.1</v>
      </c>
      <c r="EP8">
        <v>0.1</v>
      </c>
      <c r="EQ8">
        <v>0.1</v>
      </c>
      <c r="ER8">
        <v>0.1</v>
      </c>
      <c r="ES8">
        <v>0.1</v>
      </c>
      <c r="ET8">
        <v>0.1</v>
      </c>
      <c r="EU8">
        <v>0.1</v>
      </c>
      <c r="EV8">
        <v>0.1</v>
      </c>
      <c r="EW8">
        <v>0.1</v>
      </c>
      <c r="EX8">
        <v>0.1</v>
      </c>
      <c r="EY8">
        <v>0.1</v>
      </c>
      <c r="EZ8">
        <v>0.1</v>
      </c>
      <c r="FA8">
        <v>0.1</v>
      </c>
    </row>
    <row r="9" spans="1:157">
      <c r="A9" t="s">
        <v>64</v>
      </c>
      <c r="B9" t="s">
        <v>455</v>
      </c>
      <c r="C9" t="s">
        <v>2085</v>
      </c>
      <c r="D9" t="s">
        <v>1870</v>
      </c>
      <c r="E9" t="s">
        <v>1870</v>
      </c>
      <c r="F9" t="s">
        <v>1870</v>
      </c>
      <c r="G9" t="s">
        <v>1870</v>
      </c>
      <c r="H9" t="s">
        <v>1870</v>
      </c>
      <c r="I9" t="s">
        <v>1870</v>
      </c>
      <c r="J9" t="s">
        <v>1870</v>
      </c>
      <c r="K9" t="s">
        <v>1870</v>
      </c>
      <c r="L9">
        <v>1.6</v>
      </c>
      <c r="M9">
        <v>1.8</v>
      </c>
      <c r="N9">
        <v>1.8</v>
      </c>
      <c r="O9">
        <v>1.8</v>
      </c>
      <c r="P9">
        <v>1.7</v>
      </c>
      <c r="Q9">
        <v>1.7</v>
      </c>
      <c r="R9">
        <v>1.7</v>
      </c>
      <c r="S9">
        <v>1.7</v>
      </c>
      <c r="T9">
        <v>1.7</v>
      </c>
      <c r="U9">
        <v>1.7</v>
      </c>
      <c r="V9">
        <v>1.7</v>
      </c>
      <c r="W9">
        <v>1.8</v>
      </c>
      <c r="X9" s="15">
        <v>1.9</v>
      </c>
      <c r="Y9" s="15" t="s">
        <v>1870</v>
      </c>
      <c r="Z9" s="15">
        <f t="shared" si="0"/>
        <v>2</v>
      </c>
      <c r="AA9" t="s">
        <v>1870</v>
      </c>
      <c r="AB9" t="s">
        <v>1870</v>
      </c>
      <c r="AC9" t="s">
        <v>1870</v>
      </c>
      <c r="AD9" t="s">
        <v>1870</v>
      </c>
      <c r="AE9" t="s">
        <v>1870</v>
      </c>
      <c r="AF9" t="s">
        <v>1870</v>
      </c>
      <c r="AG9" t="s">
        <v>1870</v>
      </c>
      <c r="AH9" t="s">
        <v>1870</v>
      </c>
      <c r="AI9">
        <v>0.8</v>
      </c>
      <c r="AJ9">
        <v>0.9</v>
      </c>
      <c r="AK9">
        <v>0.8</v>
      </c>
      <c r="AL9">
        <v>0.8</v>
      </c>
      <c r="AM9">
        <v>0.8</v>
      </c>
      <c r="AN9">
        <v>0.8</v>
      </c>
      <c r="AO9">
        <v>0.8</v>
      </c>
      <c r="AP9">
        <v>0.8</v>
      </c>
      <c r="AQ9">
        <v>0.8</v>
      </c>
      <c r="AR9">
        <v>0.8</v>
      </c>
      <c r="AS9">
        <v>0.8</v>
      </c>
      <c r="AT9">
        <v>0.8</v>
      </c>
      <c r="AU9">
        <v>0.9</v>
      </c>
      <c r="AV9" s="82" t="s">
        <v>1870</v>
      </c>
      <c r="AW9" t="s">
        <v>1870</v>
      </c>
      <c r="AX9" t="s">
        <v>1870</v>
      </c>
      <c r="AY9" t="s">
        <v>1870</v>
      </c>
      <c r="AZ9" t="s">
        <v>1870</v>
      </c>
      <c r="BA9" t="s">
        <v>1870</v>
      </c>
      <c r="BB9" t="s">
        <v>1870</v>
      </c>
      <c r="BC9" t="s">
        <v>1870</v>
      </c>
      <c r="BD9" t="s">
        <v>1870</v>
      </c>
      <c r="BE9">
        <v>0.2</v>
      </c>
      <c r="BF9">
        <v>0.2</v>
      </c>
      <c r="BG9">
        <v>0.2</v>
      </c>
      <c r="BH9">
        <v>0.2</v>
      </c>
      <c r="BI9">
        <v>0.2</v>
      </c>
      <c r="BJ9">
        <v>0.2</v>
      </c>
      <c r="BK9">
        <v>0.2</v>
      </c>
      <c r="BL9">
        <v>0.2</v>
      </c>
      <c r="BM9">
        <v>0.2</v>
      </c>
      <c r="BN9">
        <v>0.2</v>
      </c>
      <c r="BO9">
        <v>0.2</v>
      </c>
      <c r="BP9">
        <v>0.2</v>
      </c>
      <c r="BQ9">
        <v>0.2</v>
      </c>
      <c r="BR9" s="82" t="s">
        <v>1870</v>
      </c>
      <c r="BS9" t="s">
        <v>1870</v>
      </c>
      <c r="BT9" t="s">
        <v>1870</v>
      </c>
      <c r="BU9" t="s">
        <v>1870</v>
      </c>
      <c r="BV9" t="s">
        <v>1870</v>
      </c>
      <c r="BW9" t="s">
        <v>1870</v>
      </c>
      <c r="BX9" t="s">
        <v>1870</v>
      </c>
      <c r="BY9" t="s">
        <v>1870</v>
      </c>
      <c r="BZ9" t="s">
        <v>1870</v>
      </c>
      <c r="CA9">
        <v>0.3</v>
      </c>
      <c r="CB9">
        <v>0.3</v>
      </c>
      <c r="CC9">
        <v>0.3</v>
      </c>
      <c r="CD9">
        <v>0.3</v>
      </c>
      <c r="CE9">
        <v>0.3</v>
      </c>
      <c r="CF9">
        <v>0.3</v>
      </c>
      <c r="CG9">
        <v>0.3</v>
      </c>
      <c r="CH9">
        <v>0.3</v>
      </c>
      <c r="CI9">
        <v>0.3</v>
      </c>
      <c r="CJ9">
        <v>0.3</v>
      </c>
      <c r="CK9">
        <v>0.2</v>
      </c>
      <c r="CL9">
        <v>0.2</v>
      </c>
      <c r="CM9">
        <v>0.3</v>
      </c>
      <c r="CN9" s="82" t="s">
        <v>1870</v>
      </c>
      <c r="CO9" t="s">
        <v>1870</v>
      </c>
      <c r="CP9" t="s">
        <v>1870</v>
      </c>
      <c r="CQ9" t="s">
        <v>1870</v>
      </c>
      <c r="CR9" t="s">
        <v>1870</v>
      </c>
      <c r="CS9" t="s">
        <v>1870</v>
      </c>
      <c r="CT9" t="s">
        <v>1870</v>
      </c>
      <c r="CU9" t="s">
        <v>1870</v>
      </c>
      <c r="CV9" t="s">
        <v>1870</v>
      </c>
      <c r="CW9">
        <v>0.2</v>
      </c>
      <c r="CX9">
        <v>0.2</v>
      </c>
      <c r="CY9">
        <v>0.2</v>
      </c>
      <c r="CZ9">
        <v>0.2</v>
      </c>
      <c r="DA9">
        <v>0.2</v>
      </c>
      <c r="DB9">
        <v>0.2</v>
      </c>
      <c r="DC9">
        <v>0.2</v>
      </c>
      <c r="DD9">
        <v>0.2</v>
      </c>
      <c r="DE9">
        <v>0.2</v>
      </c>
      <c r="DF9">
        <v>0.2</v>
      </c>
      <c r="DG9">
        <v>0.2</v>
      </c>
      <c r="DH9">
        <v>0.2</v>
      </c>
      <c r="DI9">
        <v>0.3</v>
      </c>
      <c r="DJ9" s="82" t="s">
        <v>1870</v>
      </c>
      <c r="DK9" t="s">
        <v>1870</v>
      </c>
      <c r="DL9" t="s">
        <v>1870</v>
      </c>
      <c r="DM9" t="s">
        <v>1870</v>
      </c>
      <c r="DN9" t="s">
        <v>1870</v>
      </c>
      <c r="DO9" t="s">
        <v>1870</v>
      </c>
      <c r="DP9" t="s">
        <v>1870</v>
      </c>
      <c r="DQ9" t="s">
        <v>1870</v>
      </c>
      <c r="DR9" t="s">
        <v>1870</v>
      </c>
      <c r="DS9" t="s">
        <v>1870</v>
      </c>
      <c r="DT9" t="s">
        <v>1870</v>
      </c>
      <c r="DU9" t="s">
        <v>1870</v>
      </c>
      <c r="DV9" t="s">
        <v>1870</v>
      </c>
      <c r="DW9" t="s">
        <v>1870</v>
      </c>
      <c r="DX9" t="s">
        <v>1870</v>
      </c>
      <c r="DY9" t="s">
        <v>1870</v>
      </c>
      <c r="DZ9" t="s">
        <v>1870</v>
      </c>
      <c r="EA9" t="s">
        <v>1870</v>
      </c>
      <c r="EB9" t="s">
        <v>1870</v>
      </c>
      <c r="EC9" t="s">
        <v>1870</v>
      </c>
      <c r="ED9" t="s">
        <v>1870</v>
      </c>
      <c r="EE9" t="s">
        <v>1870</v>
      </c>
      <c r="EF9" s="82" t="s">
        <v>1870</v>
      </c>
      <c r="EG9" t="s">
        <v>1870</v>
      </c>
      <c r="EH9" t="s">
        <v>1870</v>
      </c>
      <c r="EI9" t="s">
        <v>1870</v>
      </c>
      <c r="EJ9" t="s">
        <v>1870</v>
      </c>
      <c r="EK9" t="s">
        <v>1870</v>
      </c>
      <c r="EL9" t="s">
        <v>1870</v>
      </c>
      <c r="EM9" t="s">
        <v>1870</v>
      </c>
      <c r="EN9" t="s">
        <v>1870</v>
      </c>
      <c r="EO9">
        <v>0.1</v>
      </c>
      <c r="EP9">
        <v>0.2</v>
      </c>
      <c r="EQ9">
        <v>0.2</v>
      </c>
      <c r="ER9">
        <v>0.2</v>
      </c>
      <c r="ES9">
        <v>0.2</v>
      </c>
      <c r="ET9">
        <v>0.2</v>
      </c>
      <c r="EU9">
        <v>0.1</v>
      </c>
      <c r="EV9">
        <v>0.1</v>
      </c>
      <c r="EW9">
        <v>0.2</v>
      </c>
      <c r="EX9">
        <v>0.2</v>
      </c>
      <c r="EY9">
        <v>0.2</v>
      </c>
      <c r="EZ9">
        <v>0.2</v>
      </c>
      <c r="FA9">
        <v>0.3</v>
      </c>
    </row>
    <row r="10" spans="1:157">
      <c r="A10" t="s">
        <v>1620</v>
      </c>
      <c r="B10" t="s">
        <v>446</v>
      </c>
      <c r="C10" t="s">
        <v>2085</v>
      </c>
      <c r="D10">
        <v>1.9</v>
      </c>
      <c r="E10">
        <v>1.9</v>
      </c>
      <c r="F10">
        <v>2</v>
      </c>
      <c r="G10">
        <v>2.1</v>
      </c>
      <c r="H10">
        <v>2</v>
      </c>
      <c r="I10">
        <v>2</v>
      </c>
      <c r="J10">
        <v>2</v>
      </c>
      <c r="K10">
        <v>1.9</v>
      </c>
      <c r="L10">
        <v>1.9</v>
      </c>
      <c r="M10">
        <v>2</v>
      </c>
      <c r="N10">
        <v>1.9</v>
      </c>
      <c r="O10">
        <v>1.8</v>
      </c>
      <c r="P10">
        <v>1.7</v>
      </c>
      <c r="Q10">
        <v>1.7</v>
      </c>
      <c r="R10">
        <v>1.7</v>
      </c>
      <c r="S10">
        <v>1.8</v>
      </c>
      <c r="T10">
        <v>1.7</v>
      </c>
      <c r="U10">
        <v>1.7</v>
      </c>
      <c r="V10">
        <v>1.9</v>
      </c>
      <c r="W10">
        <v>1.9</v>
      </c>
      <c r="X10" s="15">
        <v>2.1</v>
      </c>
      <c r="Y10" s="15" t="s">
        <v>1870</v>
      </c>
      <c r="Z10" s="15">
        <f t="shared" si="0"/>
        <v>2.1</v>
      </c>
      <c r="AA10">
        <v>1</v>
      </c>
      <c r="AB10">
        <v>1</v>
      </c>
      <c r="AC10">
        <v>1.1000000000000001</v>
      </c>
      <c r="AD10">
        <v>1.1000000000000001</v>
      </c>
      <c r="AE10">
        <v>1.1000000000000001</v>
      </c>
      <c r="AF10">
        <v>1.1000000000000001</v>
      </c>
      <c r="AG10">
        <v>1.1000000000000001</v>
      </c>
      <c r="AH10">
        <v>1</v>
      </c>
      <c r="AI10">
        <v>1</v>
      </c>
      <c r="AJ10">
        <v>1</v>
      </c>
      <c r="AK10">
        <v>1</v>
      </c>
      <c r="AL10">
        <v>0.9</v>
      </c>
      <c r="AM10">
        <v>0.8</v>
      </c>
      <c r="AN10">
        <v>0.9</v>
      </c>
      <c r="AO10">
        <v>0.8</v>
      </c>
      <c r="AP10">
        <v>0.9</v>
      </c>
      <c r="AQ10">
        <v>0.9</v>
      </c>
      <c r="AR10">
        <v>0.9</v>
      </c>
      <c r="AS10">
        <v>0.9</v>
      </c>
      <c r="AT10">
        <v>1</v>
      </c>
      <c r="AU10">
        <v>1</v>
      </c>
      <c r="AV10" s="82" t="s">
        <v>1870</v>
      </c>
      <c r="AW10">
        <v>0.2</v>
      </c>
      <c r="AX10">
        <v>0.2</v>
      </c>
      <c r="AY10">
        <v>0.3</v>
      </c>
      <c r="AZ10">
        <v>0.3</v>
      </c>
      <c r="BA10">
        <v>0.3</v>
      </c>
      <c r="BB10">
        <v>0.3</v>
      </c>
      <c r="BC10">
        <v>0.3</v>
      </c>
      <c r="BD10">
        <v>0.3</v>
      </c>
      <c r="BE10">
        <v>0.3</v>
      </c>
      <c r="BF10">
        <v>0.3</v>
      </c>
      <c r="BG10">
        <v>0.3</v>
      </c>
      <c r="BH10">
        <v>0.2</v>
      </c>
      <c r="BI10">
        <v>0.2</v>
      </c>
      <c r="BJ10">
        <v>0.2</v>
      </c>
      <c r="BK10">
        <v>0.2</v>
      </c>
      <c r="BL10">
        <v>0.3</v>
      </c>
      <c r="BM10">
        <v>0.2</v>
      </c>
      <c r="BN10">
        <v>0.2</v>
      </c>
      <c r="BO10">
        <v>0.3</v>
      </c>
      <c r="BP10">
        <v>0.3</v>
      </c>
      <c r="BQ10">
        <v>0.3</v>
      </c>
      <c r="BR10" s="82" t="s">
        <v>1870</v>
      </c>
      <c r="BS10">
        <v>0.3</v>
      </c>
      <c r="BT10">
        <v>0.3</v>
      </c>
      <c r="BU10">
        <v>0.3</v>
      </c>
      <c r="BV10">
        <v>0.3</v>
      </c>
      <c r="BW10">
        <v>0.3</v>
      </c>
      <c r="BX10">
        <v>0.3</v>
      </c>
      <c r="BY10">
        <v>0.3</v>
      </c>
      <c r="BZ10">
        <v>0.3</v>
      </c>
      <c r="CA10">
        <v>0.3</v>
      </c>
      <c r="CB10">
        <v>0.3</v>
      </c>
      <c r="CC10">
        <v>0.3</v>
      </c>
      <c r="CD10">
        <v>0.3</v>
      </c>
      <c r="CE10">
        <v>0.3</v>
      </c>
      <c r="CF10">
        <v>0.3</v>
      </c>
      <c r="CG10">
        <v>0.3</v>
      </c>
      <c r="CH10">
        <v>0.3</v>
      </c>
      <c r="CI10">
        <v>0.3</v>
      </c>
      <c r="CJ10">
        <v>0.3</v>
      </c>
      <c r="CK10">
        <v>0.3</v>
      </c>
      <c r="CL10">
        <v>0.3</v>
      </c>
      <c r="CM10">
        <v>0.3</v>
      </c>
      <c r="CN10" s="82" t="s">
        <v>1870</v>
      </c>
      <c r="CO10">
        <v>0.2</v>
      </c>
      <c r="CP10">
        <v>0.2</v>
      </c>
      <c r="CQ10">
        <v>0.2</v>
      </c>
      <c r="CR10">
        <v>0.2</v>
      </c>
      <c r="CS10">
        <v>0.2</v>
      </c>
      <c r="CT10">
        <v>0.2</v>
      </c>
      <c r="CU10">
        <v>0.2</v>
      </c>
      <c r="CV10">
        <v>0.2</v>
      </c>
      <c r="CW10">
        <v>0.2</v>
      </c>
      <c r="CX10">
        <v>0.2</v>
      </c>
      <c r="CY10">
        <v>0.2</v>
      </c>
      <c r="CZ10">
        <v>0.2</v>
      </c>
      <c r="DA10">
        <v>0.2</v>
      </c>
      <c r="DB10">
        <v>0.2</v>
      </c>
      <c r="DC10">
        <v>0.2</v>
      </c>
      <c r="DD10">
        <v>0.2</v>
      </c>
      <c r="DE10">
        <v>0.2</v>
      </c>
      <c r="DF10">
        <v>0.2</v>
      </c>
      <c r="DG10">
        <v>0.2</v>
      </c>
      <c r="DH10">
        <v>0.2</v>
      </c>
      <c r="DI10">
        <v>0.2</v>
      </c>
      <c r="DJ10" s="82" t="s">
        <v>1870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s="82" t="s">
        <v>1870</v>
      </c>
      <c r="EG10">
        <v>0.1</v>
      </c>
      <c r="EH10">
        <v>0.1</v>
      </c>
      <c r="EI10">
        <v>0.2</v>
      </c>
      <c r="EJ10">
        <v>0.2</v>
      </c>
      <c r="EK10">
        <v>0.2</v>
      </c>
      <c r="EL10">
        <v>0.2</v>
      </c>
      <c r="EM10">
        <v>0.2</v>
      </c>
      <c r="EN10">
        <v>0.2</v>
      </c>
      <c r="EO10">
        <v>0.2</v>
      </c>
      <c r="EP10">
        <v>0.2</v>
      </c>
      <c r="EQ10">
        <v>0.2</v>
      </c>
      <c r="ER10">
        <v>0.2</v>
      </c>
      <c r="ES10">
        <v>0.2</v>
      </c>
      <c r="ET10">
        <v>0.2</v>
      </c>
      <c r="EU10">
        <v>0.2</v>
      </c>
      <c r="EV10">
        <v>0.2</v>
      </c>
      <c r="EW10">
        <v>0.1</v>
      </c>
      <c r="EX10">
        <v>0.1</v>
      </c>
      <c r="EY10">
        <v>0.1</v>
      </c>
      <c r="EZ10">
        <v>0.1</v>
      </c>
      <c r="FA10">
        <v>0.3</v>
      </c>
    </row>
    <row r="11" spans="1:157" s="15" customFormat="1">
      <c r="A11" s="15" t="s">
        <v>49</v>
      </c>
      <c r="B11" s="15" t="s">
        <v>464</v>
      </c>
      <c r="C11" s="15" t="s">
        <v>2085</v>
      </c>
      <c r="D11" s="15">
        <v>0.9</v>
      </c>
      <c r="E11" s="15">
        <v>0.9</v>
      </c>
      <c r="F11" s="15">
        <v>0.9</v>
      </c>
      <c r="G11" s="15">
        <v>0.9</v>
      </c>
      <c r="H11" s="15">
        <v>0.9</v>
      </c>
      <c r="I11" s="15">
        <v>0.9</v>
      </c>
      <c r="J11" s="15">
        <v>0.9</v>
      </c>
      <c r="K11" s="15">
        <v>0.9</v>
      </c>
      <c r="L11" s="15">
        <v>1</v>
      </c>
      <c r="M11" s="15">
        <v>1.1000000000000001</v>
      </c>
      <c r="N11" s="15">
        <v>1</v>
      </c>
      <c r="O11" s="15">
        <v>1.1000000000000001</v>
      </c>
      <c r="P11" s="15">
        <v>1</v>
      </c>
      <c r="Q11" s="15">
        <v>1</v>
      </c>
      <c r="R11" s="15">
        <v>1</v>
      </c>
      <c r="S11" s="15">
        <v>1</v>
      </c>
      <c r="T11" s="15">
        <v>1</v>
      </c>
      <c r="U11" s="15">
        <v>0.9</v>
      </c>
      <c r="V11" s="15">
        <v>0.9</v>
      </c>
      <c r="W11" s="15">
        <v>1</v>
      </c>
      <c r="X11" s="15">
        <v>1</v>
      </c>
      <c r="Y11" s="15" t="s">
        <v>1870</v>
      </c>
      <c r="Z11" s="15">
        <f t="shared" si="0"/>
        <v>1.0999999999999999</v>
      </c>
      <c r="AA11" s="15">
        <v>0.5</v>
      </c>
      <c r="AB11" s="15">
        <v>0.5</v>
      </c>
      <c r="AC11" s="15">
        <v>0.5</v>
      </c>
      <c r="AD11" s="15">
        <v>0.5</v>
      </c>
      <c r="AE11" s="15">
        <v>0.5</v>
      </c>
      <c r="AF11" s="15">
        <v>0.5</v>
      </c>
      <c r="AG11" s="15">
        <v>0.5</v>
      </c>
      <c r="AH11" s="15">
        <v>0.5</v>
      </c>
      <c r="AI11" s="15">
        <v>0.5</v>
      </c>
      <c r="AJ11" s="15">
        <v>0.6</v>
      </c>
      <c r="AK11" s="15">
        <v>0.6</v>
      </c>
      <c r="AL11" s="15">
        <v>0.6</v>
      </c>
      <c r="AM11" s="15">
        <v>0.5</v>
      </c>
      <c r="AN11" s="15">
        <v>0.5</v>
      </c>
      <c r="AO11" s="15">
        <v>0.5</v>
      </c>
      <c r="AP11" s="15">
        <v>0.5</v>
      </c>
      <c r="AQ11" s="15">
        <v>0.5</v>
      </c>
      <c r="AR11" s="15">
        <v>0.5</v>
      </c>
      <c r="AS11" s="15">
        <v>0.5</v>
      </c>
      <c r="AT11" s="15">
        <v>0.6</v>
      </c>
      <c r="AU11" s="15">
        <v>0.6</v>
      </c>
      <c r="AV11" s="88" t="s">
        <v>1870</v>
      </c>
      <c r="AW11" s="15">
        <v>0.1</v>
      </c>
      <c r="AX11" s="15">
        <v>0.1</v>
      </c>
      <c r="AY11" s="15">
        <v>0.1</v>
      </c>
      <c r="AZ11" s="15">
        <v>0.1</v>
      </c>
      <c r="BA11" s="15">
        <v>0.1</v>
      </c>
      <c r="BB11" s="15">
        <v>0.1</v>
      </c>
      <c r="BC11" s="15">
        <v>0.1</v>
      </c>
      <c r="BD11" s="15">
        <v>0.1</v>
      </c>
      <c r="BE11" s="15">
        <v>0.1</v>
      </c>
      <c r="BF11" s="15">
        <v>0.1</v>
      </c>
      <c r="BG11" s="15">
        <v>0.1</v>
      </c>
      <c r="BH11" s="15">
        <v>0.1</v>
      </c>
      <c r="BI11" s="15">
        <v>0.1</v>
      </c>
      <c r="BJ11" s="15">
        <v>0.1</v>
      </c>
      <c r="BK11" s="15">
        <v>0.1</v>
      </c>
      <c r="BL11" s="15">
        <v>0.1</v>
      </c>
      <c r="BM11" s="15">
        <v>0.1</v>
      </c>
      <c r="BN11" s="15">
        <v>0.1</v>
      </c>
      <c r="BO11" s="15">
        <v>0.1</v>
      </c>
      <c r="BP11" s="15">
        <v>0.1</v>
      </c>
      <c r="BQ11" s="15">
        <v>0.1</v>
      </c>
      <c r="BR11" s="88" t="s">
        <v>1870</v>
      </c>
      <c r="BS11" s="15">
        <v>0.2</v>
      </c>
      <c r="BT11" s="15">
        <v>0.2</v>
      </c>
      <c r="BU11" s="15">
        <v>0.2</v>
      </c>
      <c r="BV11" s="15">
        <v>0.2</v>
      </c>
      <c r="BW11" s="15">
        <v>0.2</v>
      </c>
      <c r="BX11" s="15">
        <v>0.2</v>
      </c>
      <c r="BY11" s="15">
        <v>0.2</v>
      </c>
      <c r="BZ11" s="15">
        <v>0.2</v>
      </c>
      <c r="CA11" s="15">
        <v>0.2</v>
      </c>
      <c r="CB11" s="15">
        <v>0.2</v>
      </c>
      <c r="CC11" s="15">
        <v>0.2</v>
      </c>
      <c r="CD11" s="15">
        <v>0.2</v>
      </c>
      <c r="CE11" s="15">
        <v>0.2</v>
      </c>
      <c r="CF11" s="15">
        <v>0.2</v>
      </c>
      <c r="CG11" s="15">
        <v>0.2</v>
      </c>
      <c r="CH11" s="15">
        <v>0.2</v>
      </c>
      <c r="CI11" s="15">
        <v>0.2</v>
      </c>
      <c r="CJ11" s="15">
        <v>0.2</v>
      </c>
      <c r="CK11" s="15">
        <v>0.2</v>
      </c>
      <c r="CL11" s="15">
        <v>0.2</v>
      </c>
      <c r="CM11" s="15">
        <v>0.2</v>
      </c>
      <c r="CN11" s="88" t="s">
        <v>1870</v>
      </c>
      <c r="CO11" s="15">
        <v>0.1</v>
      </c>
      <c r="CP11" s="15">
        <v>0.1</v>
      </c>
      <c r="CQ11" s="15">
        <v>0.2</v>
      </c>
      <c r="CR11" s="15">
        <v>0.2</v>
      </c>
      <c r="CS11" s="15">
        <v>0.2</v>
      </c>
      <c r="CT11" s="15">
        <v>0.2</v>
      </c>
      <c r="CU11" s="15">
        <v>0.2</v>
      </c>
      <c r="CV11" s="15">
        <v>0.1</v>
      </c>
      <c r="CW11" s="15">
        <v>0.1</v>
      </c>
      <c r="CX11" s="15">
        <v>0.2</v>
      </c>
      <c r="CY11" s="15">
        <v>0.2</v>
      </c>
      <c r="CZ11" s="15">
        <v>0.2</v>
      </c>
      <c r="DA11" s="15">
        <v>0.2</v>
      </c>
      <c r="DB11" s="15">
        <v>0.2</v>
      </c>
      <c r="DC11" s="15">
        <v>0.2</v>
      </c>
      <c r="DD11" s="15">
        <v>0.2</v>
      </c>
      <c r="DE11" s="15">
        <v>0.2</v>
      </c>
      <c r="DF11" s="15">
        <v>0.2</v>
      </c>
      <c r="DG11" s="15">
        <v>0.2</v>
      </c>
      <c r="DH11" s="15">
        <v>0.2</v>
      </c>
      <c r="DI11" s="15">
        <v>0.2</v>
      </c>
      <c r="DJ11" s="88" t="s">
        <v>1870</v>
      </c>
      <c r="DK11" s="15">
        <v>0</v>
      </c>
      <c r="DL11" s="15">
        <v>0</v>
      </c>
      <c r="DM11" s="15">
        <v>0</v>
      </c>
      <c r="DN11" s="15">
        <v>0</v>
      </c>
      <c r="DO11" s="15">
        <v>0</v>
      </c>
      <c r="DP11" s="15">
        <v>0</v>
      </c>
      <c r="DQ11" s="15">
        <v>0</v>
      </c>
      <c r="DR11" s="15">
        <v>0</v>
      </c>
      <c r="DS11" s="15">
        <v>0</v>
      </c>
      <c r="DT11" s="15">
        <v>0</v>
      </c>
      <c r="DU11" s="15">
        <v>0</v>
      </c>
      <c r="DV11" s="15">
        <v>0</v>
      </c>
      <c r="DW11" s="15">
        <v>0</v>
      </c>
      <c r="DX11" s="15">
        <v>0</v>
      </c>
      <c r="DY11" s="15">
        <v>0</v>
      </c>
      <c r="DZ11" s="15">
        <v>0</v>
      </c>
      <c r="EA11" s="15">
        <v>0</v>
      </c>
      <c r="EB11" s="15">
        <v>0</v>
      </c>
      <c r="EC11" s="15">
        <v>0</v>
      </c>
      <c r="ED11" s="15">
        <v>0</v>
      </c>
      <c r="EE11" s="15">
        <v>0</v>
      </c>
      <c r="EF11" s="88" t="s">
        <v>1870</v>
      </c>
      <c r="EG11" s="15">
        <v>0</v>
      </c>
      <c r="EH11" s="15">
        <v>0</v>
      </c>
      <c r="EI11" s="15">
        <v>0</v>
      </c>
      <c r="EJ11" s="15">
        <v>0</v>
      </c>
      <c r="EK11" s="15">
        <v>0</v>
      </c>
      <c r="EL11" s="15">
        <v>0</v>
      </c>
      <c r="EM11" s="15">
        <v>0</v>
      </c>
      <c r="EN11" s="15">
        <v>0</v>
      </c>
      <c r="EO11" s="15">
        <v>0</v>
      </c>
      <c r="EP11" s="15">
        <v>0</v>
      </c>
      <c r="EQ11" s="15">
        <v>0</v>
      </c>
      <c r="ER11" s="15">
        <v>0</v>
      </c>
      <c r="ES11" s="15">
        <v>0</v>
      </c>
      <c r="ET11" s="15">
        <v>0</v>
      </c>
      <c r="EU11" s="15">
        <v>0</v>
      </c>
      <c r="EV11" s="15">
        <v>0</v>
      </c>
      <c r="EW11" s="15">
        <v>0</v>
      </c>
      <c r="EX11" s="15">
        <v>0</v>
      </c>
      <c r="EY11" s="15">
        <v>0</v>
      </c>
      <c r="EZ11" s="15">
        <v>0</v>
      </c>
      <c r="FA11" s="15">
        <v>0</v>
      </c>
    </row>
    <row r="12" spans="1:157">
      <c r="A12" t="s">
        <v>50</v>
      </c>
      <c r="B12" t="s">
        <v>459</v>
      </c>
      <c r="C12" t="s">
        <v>2085</v>
      </c>
      <c r="D12">
        <v>1.3</v>
      </c>
      <c r="E12">
        <v>1.3</v>
      </c>
      <c r="F12">
        <v>1.2</v>
      </c>
      <c r="G12">
        <v>1.3</v>
      </c>
      <c r="H12">
        <v>1.3</v>
      </c>
      <c r="I12">
        <v>1.3</v>
      </c>
      <c r="J12">
        <v>1.2</v>
      </c>
      <c r="K12">
        <v>1.2</v>
      </c>
      <c r="L12">
        <v>1.2</v>
      </c>
      <c r="M12">
        <v>1.4</v>
      </c>
      <c r="N12">
        <v>1.5</v>
      </c>
      <c r="O12">
        <v>1.3</v>
      </c>
      <c r="P12">
        <v>1.4</v>
      </c>
      <c r="Q12">
        <v>1.3</v>
      </c>
      <c r="R12">
        <v>1.3</v>
      </c>
      <c r="S12">
        <v>1.2</v>
      </c>
      <c r="T12">
        <v>1.2</v>
      </c>
      <c r="U12">
        <v>1.1000000000000001</v>
      </c>
      <c r="V12">
        <v>1.1000000000000001</v>
      </c>
      <c r="W12">
        <v>1.2</v>
      </c>
      <c r="X12" s="15">
        <v>1.2</v>
      </c>
      <c r="Y12" s="15" t="s">
        <v>1870</v>
      </c>
      <c r="Z12" s="15">
        <f t="shared" si="0"/>
        <v>1.1000000000000001</v>
      </c>
      <c r="AA12" t="s">
        <v>1870</v>
      </c>
      <c r="AB12">
        <v>0.6</v>
      </c>
      <c r="AC12">
        <v>0.5</v>
      </c>
      <c r="AD12">
        <v>0.6</v>
      </c>
      <c r="AE12">
        <v>0.6</v>
      </c>
      <c r="AF12">
        <v>0.6</v>
      </c>
      <c r="AG12">
        <v>0.5</v>
      </c>
      <c r="AH12">
        <v>0.5</v>
      </c>
      <c r="AI12">
        <v>0.5</v>
      </c>
      <c r="AJ12">
        <v>0.6</v>
      </c>
      <c r="AK12">
        <v>0.6</v>
      </c>
      <c r="AL12">
        <v>0.6</v>
      </c>
      <c r="AM12">
        <v>0.6</v>
      </c>
      <c r="AN12">
        <v>0.6</v>
      </c>
      <c r="AO12">
        <v>0.5</v>
      </c>
      <c r="AP12">
        <v>0.5</v>
      </c>
      <c r="AQ12">
        <v>0.5</v>
      </c>
      <c r="AR12">
        <v>0.5</v>
      </c>
      <c r="AS12">
        <v>0.5</v>
      </c>
      <c r="AT12">
        <v>0.5</v>
      </c>
      <c r="AU12">
        <v>0.5</v>
      </c>
      <c r="AV12" s="82" t="s">
        <v>1870</v>
      </c>
      <c r="AW12" t="s">
        <v>1870</v>
      </c>
      <c r="AX12">
        <v>0.3</v>
      </c>
      <c r="AY12">
        <v>0.3</v>
      </c>
      <c r="AZ12">
        <v>0.3</v>
      </c>
      <c r="BA12">
        <v>0.3</v>
      </c>
      <c r="BB12">
        <v>0.3</v>
      </c>
      <c r="BC12">
        <v>0.3</v>
      </c>
      <c r="BD12">
        <v>0.3</v>
      </c>
      <c r="BE12">
        <v>0.3</v>
      </c>
      <c r="BF12">
        <v>0.3</v>
      </c>
      <c r="BG12">
        <v>0.3</v>
      </c>
      <c r="BH12">
        <v>0.3</v>
      </c>
      <c r="BI12">
        <v>0.3</v>
      </c>
      <c r="BJ12">
        <v>0.3</v>
      </c>
      <c r="BK12">
        <v>0.3</v>
      </c>
      <c r="BL12">
        <v>0.3</v>
      </c>
      <c r="BM12">
        <v>0.3</v>
      </c>
      <c r="BN12">
        <v>0.3</v>
      </c>
      <c r="BO12">
        <v>0.2</v>
      </c>
      <c r="BP12">
        <v>0.3</v>
      </c>
      <c r="BQ12">
        <v>0.3</v>
      </c>
      <c r="BR12" s="82" t="s">
        <v>1870</v>
      </c>
      <c r="BS12" t="s">
        <v>1870</v>
      </c>
      <c r="BT12">
        <v>0.2</v>
      </c>
      <c r="BU12">
        <v>0.2</v>
      </c>
      <c r="BV12">
        <v>0.3</v>
      </c>
      <c r="BW12">
        <v>0.2</v>
      </c>
      <c r="BX12">
        <v>0.2</v>
      </c>
      <c r="BY12">
        <v>0.2</v>
      </c>
      <c r="BZ12">
        <v>0.2</v>
      </c>
      <c r="CA12">
        <v>0.2</v>
      </c>
      <c r="CB12">
        <v>0.3</v>
      </c>
      <c r="CC12">
        <v>0.3</v>
      </c>
      <c r="CD12">
        <v>0.2</v>
      </c>
      <c r="CE12">
        <v>0.2</v>
      </c>
      <c r="CF12">
        <v>0.2</v>
      </c>
      <c r="CG12">
        <v>0.2</v>
      </c>
      <c r="CH12">
        <v>0.2</v>
      </c>
      <c r="CI12">
        <v>0.2</v>
      </c>
      <c r="CJ12">
        <v>0.2</v>
      </c>
      <c r="CK12">
        <v>0.2</v>
      </c>
      <c r="CL12">
        <v>0.3</v>
      </c>
      <c r="CM12">
        <v>0.2</v>
      </c>
      <c r="CN12" s="82" t="s">
        <v>1870</v>
      </c>
      <c r="CO12" t="s">
        <v>1870</v>
      </c>
      <c r="CP12">
        <v>0.1</v>
      </c>
      <c r="CQ12">
        <v>0.1</v>
      </c>
      <c r="CR12">
        <v>0.1</v>
      </c>
      <c r="CS12">
        <v>0.1</v>
      </c>
      <c r="CT12">
        <v>0.1</v>
      </c>
      <c r="CU12">
        <v>0.1</v>
      </c>
      <c r="CV12">
        <v>0.1</v>
      </c>
      <c r="CW12">
        <v>0.1</v>
      </c>
      <c r="CX12">
        <v>0.1</v>
      </c>
      <c r="CY12">
        <v>0.1</v>
      </c>
      <c r="CZ12">
        <v>0.1</v>
      </c>
      <c r="DA12">
        <v>0.1</v>
      </c>
      <c r="DB12">
        <v>0.1</v>
      </c>
      <c r="DC12">
        <v>0.1</v>
      </c>
      <c r="DD12">
        <v>0.1</v>
      </c>
      <c r="DE12">
        <v>0.1</v>
      </c>
      <c r="DF12">
        <v>0.1</v>
      </c>
      <c r="DG12">
        <v>0.1</v>
      </c>
      <c r="DH12">
        <v>0.1</v>
      </c>
      <c r="DI12">
        <v>0.1</v>
      </c>
      <c r="DJ12" s="82" t="s">
        <v>1870</v>
      </c>
      <c r="DK12" t="s">
        <v>1870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s="82" t="s">
        <v>1870</v>
      </c>
      <c r="EG12" t="s">
        <v>1870</v>
      </c>
      <c r="EH12">
        <v>0.1</v>
      </c>
      <c r="EI12">
        <v>0.1</v>
      </c>
      <c r="EJ12">
        <v>0.1</v>
      </c>
      <c r="EK12">
        <v>0.1</v>
      </c>
      <c r="EL12">
        <v>0.1</v>
      </c>
      <c r="EM12">
        <v>0.1</v>
      </c>
      <c r="EN12">
        <v>0.1</v>
      </c>
      <c r="EO12">
        <v>0.1</v>
      </c>
      <c r="EP12">
        <v>0.1</v>
      </c>
      <c r="EQ12">
        <v>0.1</v>
      </c>
      <c r="ER12">
        <v>0.1</v>
      </c>
      <c r="ES12">
        <v>0.2</v>
      </c>
      <c r="ET12">
        <v>0.1</v>
      </c>
      <c r="EU12">
        <v>0.1</v>
      </c>
      <c r="EV12">
        <v>0.1</v>
      </c>
      <c r="EW12">
        <v>0.1</v>
      </c>
      <c r="EX12">
        <v>0</v>
      </c>
      <c r="EY12">
        <v>0</v>
      </c>
      <c r="EZ12">
        <v>0</v>
      </c>
      <c r="FA12">
        <v>0</v>
      </c>
    </row>
    <row r="13" spans="1:157">
      <c r="A13" t="s">
        <v>55</v>
      </c>
      <c r="B13" t="s">
        <v>452</v>
      </c>
      <c r="C13" t="s">
        <v>2085</v>
      </c>
      <c r="D13">
        <v>1.4</v>
      </c>
      <c r="E13">
        <v>1.4</v>
      </c>
      <c r="F13">
        <v>1.5</v>
      </c>
      <c r="G13">
        <v>1.6</v>
      </c>
      <c r="H13">
        <v>1.5</v>
      </c>
      <c r="I13">
        <v>1.5</v>
      </c>
      <c r="J13">
        <v>1.5</v>
      </c>
      <c r="K13">
        <v>1.5</v>
      </c>
      <c r="L13">
        <v>1.5</v>
      </c>
      <c r="M13">
        <v>1.7</v>
      </c>
      <c r="N13">
        <v>1.7</v>
      </c>
      <c r="O13">
        <v>1.6</v>
      </c>
      <c r="P13">
        <v>1.6</v>
      </c>
      <c r="Q13">
        <v>1.6</v>
      </c>
      <c r="R13">
        <v>1.6</v>
      </c>
      <c r="S13">
        <v>1.6</v>
      </c>
      <c r="T13">
        <v>1.6</v>
      </c>
      <c r="U13">
        <v>1.6</v>
      </c>
      <c r="V13">
        <v>1.6</v>
      </c>
      <c r="W13">
        <v>1.6</v>
      </c>
      <c r="X13" s="15">
        <v>1.8</v>
      </c>
      <c r="Y13" s="15" t="s">
        <v>1870</v>
      </c>
      <c r="Z13" s="15">
        <f t="shared" si="0"/>
        <v>1.8</v>
      </c>
      <c r="AA13">
        <v>0.9</v>
      </c>
      <c r="AB13">
        <v>0.9</v>
      </c>
      <c r="AC13">
        <v>0.9</v>
      </c>
      <c r="AD13">
        <v>0.9</v>
      </c>
      <c r="AE13">
        <v>0.9</v>
      </c>
      <c r="AF13">
        <v>0.9</v>
      </c>
      <c r="AG13">
        <v>0.9</v>
      </c>
      <c r="AH13">
        <v>0.9</v>
      </c>
      <c r="AI13">
        <v>0.9</v>
      </c>
      <c r="AJ13">
        <v>1</v>
      </c>
      <c r="AK13">
        <v>1</v>
      </c>
      <c r="AL13">
        <v>0.9</v>
      </c>
      <c r="AM13">
        <v>0.9</v>
      </c>
      <c r="AN13">
        <v>0.9</v>
      </c>
      <c r="AO13">
        <v>0.9</v>
      </c>
      <c r="AP13">
        <v>0.9</v>
      </c>
      <c r="AQ13">
        <v>0.9</v>
      </c>
      <c r="AR13">
        <v>0.9</v>
      </c>
      <c r="AS13">
        <v>0.9</v>
      </c>
      <c r="AT13">
        <v>0.9</v>
      </c>
      <c r="AU13">
        <v>1</v>
      </c>
      <c r="AV13" s="82" t="s">
        <v>1870</v>
      </c>
      <c r="AW13">
        <v>0.1</v>
      </c>
      <c r="AX13">
        <v>0.2</v>
      </c>
      <c r="AY13">
        <v>0.2</v>
      </c>
      <c r="AZ13">
        <v>0.2</v>
      </c>
      <c r="BA13">
        <v>0.2</v>
      </c>
      <c r="BB13">
        <v>0.2</v>
      </c>
      <c r="BC13">
        <v>0.2</v>
      </c>
      <c r="BD13">
        <v>0.3</v>
      </c>
      <c r="BE13">
        <v>0.3</v>
      </c>
      <c r="BF13">
        <v>0.3</v>
      </c>
      <c r="BG13">
        <v>0.3</v>
      </c>
      <c r="BH13">
        <v>0.3</v>
      </c>
      <c r="BI13">
        <v>0.3</v>
      </c>
      <c r="BJ13">
        <v>0.3</v>
      </c>
      <c r="BK13">
        <v>0.3</v>
      </c>
      <c r="BL13">
        <v>0.3</v>
      </c>
      <c r="BM13">
        <v>0.3</v>
      </c>
      <c r="BN13">
        <v>0.3</v>
      </c>
      <c r="BO13">
        <v>0.3</v>
      </c>
      <c r="BP13">
        <v>0.3</v>
      </c>
      <c r="BQ13">
        <v>0.3</v>
      </c>
      <c r="BR13" s="82" t="s">
        <v>1870</v>
      </c>
      <c r="BS13">
        <v>0.2</v>
      </c>
      <c r="BT13">
        <v>0.2</v>
      </c>
      <c r="BU13">
        <v>0.2</v>
      </c>
      <c r="BV13">
        <v>0.2</v>
      </c>
      <c r="BW13">
        <v>0.2</v>
      </c>
      <c r="BX13">
        <v>0.2</v>
      </c>
      <c r="BY13">
        <v>0.2</v>
      </c>
      <c r="BZ13">
        <v>0.2</v>
      </c>
      <c r="CA13">
        <v>0.2</v>
      </c>
      <c r="CB13">
        <v>0.2</v>
      </c>
      <c r="CC13">
        <v>0.2</v>
      </c>
      <c r="CD13">
        <v>0.2</v>
      </c>
      <c r="CE13">
        <v>0.2</v>
      </c>
      <c r="CF13">
        <v>0.2</v>
      </c>
      <c r="CG13">
        <v>0.2</v>
      </c>
      <c r="CH13">
        <v>0.2</v>
      </c>
      <c r="CI13">
        <v>0.2</v>
      </c>
      <c r="CJ13">
        <v>0.2</v>
      </c>
      <c r="CK13">
        <v>0.2</v>
      </c>
      <c r="CL13">
        <v>0.2</v>
      </c>
      <c r="CM13">
        <v>0.2</v>
      </c>
      <c r="CN13" s="82" t="s">
        <v>1870</v>
      </c>
      <c r="CO13">
        <v>0.1</v>
      </c>
      <c r="CP13">
        <v>0.1</v>
      </c>
      <c r="CQ13">
        <v>0.1</v>
      </c>
      <c r="CR13">
        <v>0.1</v>
      </c>
      <c r="CS13">
        <v>0.1</v>
      </c>
      <c r="CT13">
        <v>0.1</v>
      </c>
      <c r="CU13">
        <v>0.1</v>
      </c>
      <c r="CV13">
        <v>0.1</v>
      </c>
      <c r="CW13">
        <v>0.1</v>
      </c>
      <c r="CX13">
        <v>0.1</v>
      </c>
      <c r="CY13">
        <v>0.2</v>
      </c>
      <c r="CZ13">
        <v>0.1</v>
      </c>
      <c r="DA13">
        <v>0.1</v>
      </c>
      <c r="DB13">
        <v>0.2</v>
      </c>
      <c r="DC13">
        <v>0.2</v>
      </c>
      <c r="DD13">
        <v>0.2</v>
      </c>
      <c r="DE13">
        <v>0.2</v>
      </c>
      <c r="DF13">
        <v>0.2</v>
      </c>
      <c r="DG13">
        <v>0.2</v>
      </c>
      <c r="DH13">
        <v>0.2</v>
      </c>
      <c r="DI13">
        <v>0.2</v>
      </c>
      <c r="DJ13" s="82" t="s">
        <v>1870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s="82" t="s">
        <v>1870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0.1</v>
      </c>
    </row>
    <row r="14" spans="1:157">
      <c r="A14" t="s">
        <v>56</v>
      </c>
      <c r="B14" t="s">
        <v>457</v>
      </c>
      <c r="C14" t="s">
        <v>2085</v>
      </c>
      <c r="D14">
        <v>1.6</v>
      </c>
      <c r="E14">
        <v>1.6</v>
      </c>
      <c r="F14">
        <v>1.6</v>
      </c>
      <c r="G14">
        <v>1.6</v>
      </c>
      <c r="H14">
        <v>1.6</v>
      </c>
      <c r="I14">
        <v>1.6</v>
      </c>
      <c r="J14">
        <v>1.5</v>
      </c>
      <c r="K14">
        <v>1.5</v>
      </c>
      <c r="L14">
        <v>1.5</v>
      </c>
      <c r="M14">
        <v>1.6</v>
      </c>
      <c r="N14">
        <v>1.6</v>
      </c>
      <c r="O14">
        <v>1.5</v>
      </c>
      <c r="P14">
        <v>1.5</v>
      </c>
      <c r="Q14">
        <v>1.6</v>
      </c>
      <c r="R14">
        <v>1.6</v>
      </c>
      <c r="S14">
        <v>1.5</v>
      </c>
      <c r="T14">
        <v>1.5</v>
      </c>
      <c r="U14">
        <v>1.6</v>
      </c>
      <c r="V14">
        <v>1.6</v>
      </c>
      <c r="W14">
        <v>1.6</v>
      </c>
      <c r="X14" s="15">
        <v>1.7</v>
      </c>
      <c r="Y14" s="15" t="s">
        <v>1870</v>
      </c>
      <c r="Z14" s="15">
        <f t="shared" si="0"/>
        <v>1.7000000000000002</v>
      </c>
      <c r="AA14">
        <v>0.8</v>
      </c>
      <c r="AB14">
        <v>0.8</v>
      </c>
      <c r="AC14">
        <v>0.8</v>
      </c>
      <c r="AD14">
        <v>0.8</v>
      </c>
      <c r="AE14">
        <v>0.8</v>
      </c>
      <c r="AF14">
        <v>0.8</v>
      </c>
      <c r="AG14">
        <v>0.7</v>
      </c>
      <c r="AH14">
        <v>0.7</v>
      </c>
      <c r="AI14">
        <v>0.7</v>
      </c>
      <c r="AJ14">
        <v>0.8</v>
      </c>
      <c r="AK14">
        <v>0.7</v>
      </c>
      <c r="AL14">
        <v>0.7</v>
      </c>
      <c r="AM14">
        <v>0.7</v>
      </c>
      <c r="AN14">
        <v>0.8</v>
      </c>
      <c r="AO14">
        <v>0.7</v>
      </c>
      <c r="AP14">
        <v>0.7</v>
      </c>
      <c r="AQ14">
        <v>0.7</v>
      </c>
      <c r="AR14">
        <v>0.8</v>
      </c>
      <c r="AS14">
        <v>0.8</v>
      </c>
      <c r="AT14">
        <v>0.8</v>
      </c>
      <c r="AU14">
        <v>0.8</v>
      </c>
      <c r="AV14" s="82" t="s">
        <v>1870</v>
      </c>
      <c r="AW14">
        <v>0.2</v>
      </c>
      <c r="AX14">
        <v>0.2</v>
      </c>
      <c r="AY14">
        <v>0.2</v>
      </c>
      <c r="AZ14">
        <v>0.2</v>
      </c>
      <c r="BA14">
        <v>0.2</v>
      </c>
      <c r="BB14">
        <v>0.2</v>
      </c>
      <c r="BC14">
        <v>0.2</v>
      </c>
      <c r="BD14">
        <v>0.2</v>
      </c>
      <c r="BE14">
        <v>0.2</v>
      </c>
      <c r="BF14">
        <v>0.2</v>
      </c>
      <c r="BG14">
        <v>0.2</v>
      </c>
      <c r="BH14">
        <v>0.2</v>
      </c>
      <c r="BI14">
        <v>0.2</v>
      </c>
      <c r="BJ14">
        <v>0.2</v>
      </c>
      <c r="BK14">
        <v>0.2</v>
      </c>
      <c r="BL14">
        <v>0.2</v>
      </c>
      <c r="BM14">
        <v>0.2</v>
      </c>
      <c r="BN14">
        <v>0.2</v>
      </c>
      <c r="BO14">
        <v>0.3</v>
      </c>
      <c r="BP14">
        <v>0.3</v>
      </c>
      <c r="BQ14">
        <v>0.3</v>
      </c>
      <c r="BR14" s="82" t="s">
        <v>1870</v>
      </c>
      <c r="BS14">
        <v>0.4</v>
      </c>
      <c r="BT14">
        <v>0.4</v>
      </c>
      <c r="BU14">
        <v>0.4</v>
      </c>
      <c r="BV14">
        <v>0.4</v>
      </c>
      <c r="BW14">
        <v>0.4</v>
      </c>
      <c r="BX14">
        <v>0.4</v>
      </c>
      <c r="BY14">
        <v>0.4</v>
      </c>
      <c r="BZ14">
        <v>0.4</v>
      </c>
      <c r="CA14">
        <v>0.4</v>
      </c>
      <c r="CB14">
        <v>0.4</v>
      </c>
      <c r="CC14">
        <v>0.4</v>
      </c>
      <c r="CD14">
        <v>0.4</v>
      </c>
      <c r="CE14">
        <v>0.4</v>
      </c>
      <c r="CF14">
        <v>0.4</v>
      </c>
      <c r="CG14">
        <v>0.4</v>
      </c>
      <c r="CH14">
        <v>0.4</v>
      </c>
      <c r="CI14">
        <v>0.4</v>
      </c>
      <c r="CJ14">
        <v>0.4</v>
      </c>
      <c r="CK14">
        <v>0.4</v>
      </c>
      <c r="CL14">
        <v>0.4</v>
      </c>
      <c r="CM14">
        <v>0.4</v>
      </c>
      <c r="CN14" s="82" t="s">
        <v>1870</v>
      </c>
      <c r="CO14">
        <v>0.1</v>
      </c>
      <c r="CP14">
        <v>0.1</v>
      </c>
      <c r="CQ14">
        <v>0.1</v>
      </c>
      <c r="CR14">
        <v>0.1</v>
      </c>
      <c r="CS14">
        <v>0.1</v>
      </c>
      <c r="CT14">
        <v>0.1</v>
      </c>
      <c r="CU14">
        <v>0.1</v>
      </c>
      <c r="CV14">
        <v>0.1</v>
      </c>
      <c r="CW14">
        <v>0.1</v>
      </c>
      <c r="CX14">
        <v>0.1</v>
      </c>
      <c r="CY14">
        <v>0.1</v>
      </c>
      <c r="CZ14">
        <v>0.1</v>
      </c>
      <c r="DA14">
        <v>0.1</v>
      </c>
      <c r="DB14">
        <v>0.1</v>
      </c>
      <c r="DC14">
        <v>0.1</v>
      </c>
      <c r="DD14">
        <v>0.1</v>
      </c>
      <c r="DE14">
        <v>0.1</v>
      </c>
      <c r="DF14">
        <v>0.1</v>
      </c>
      <c r="DG14">
        <v>0.1</v>
      </c>
      <c r="DH14">
        <v>0.1</v>
      </c>
      <c r="DI14">
        <v>0.1</v>
      </c>
      <c r="DJ14" s="82" t="s">
        <v>1870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s="82" t="s">
        <v>1870</v>
      </c>
      <c r="EG14">
        <v>0.1</v>
      </c>
      <c r="EH14">
        <v>0.1</v>
      </c>
      <c r="EI14">
        <v>0.1</v>
      </c>
      <c r="EJ14">
        <v>0.1</v>
      </c>
      <c r="EK14">
        <v>0.1</v>
      </c>
      <c r="EL14">
        <v>0.1</v>
      </c>
      <c r="EM14">
        <v>0.1</v>
      </c>
      <c r="EN14">
        <v>0.1</v>
      </c>
      <c r="EO14">
        <v>0.1</v>
      </c>
      <c r="EP14">
        <v>0.1</v>
      </c>
      <c r="EQ14">
        <v>0.1</v>
      </c>
      <c r="ER14">
        <v>0.1</v>
      </c>
      <c r="ES14">
        <v>0.1</v>
      </c>
      <c r="ET14">
        <v>0.1</v>
      </c>
      <c r="EU14">
        <v>0.1</v>
      </c>
      <c r="EV14">
        <v>0.1</v>
      </c>
      <c r="EW14">
        <v>0.1</v>
      </c>
      <c r="EX14">
        <v>0.1</v>
      </c>
      <c r="EY14">
        <v>0.1</v>
      </c>
      <c r="EZ14">
        <v>0.1</v>
      </c>
      <c r="FA14">
        <v>0.1</v>
      </c>
    </row>
    <row r="15" spans="1:157">
      <c r="A15" t="s">
        <v>65</v>
      </c>
      <c r="B15" t="s">
        <v>443</v>
      </c>
      <c r="C15" t="s">
        <v>2085</v>
      </c>
      <c r="D15">
        <v>1.1000000000000001</v>
      </c>
      <c r="E15">
        <v>1.5</v>
      </c>
      <c r="F15">
        <v>1.5</v>
      </c>
      <c r="G15">
        <v>1.5</v>
      </c>
      <c r="H15">
        <v>1.6</v>
      </c>
      <c r="I15">
        <v>1.6</v>
      </c>
      <c r="J15">
        <v>1.4</v>
      </c>
      <c r="K15">
        <v>1.5</v>
      </c>
      <c r="L15">
        <v>1.6</v>
      </c>
      <c r="M15">
        <v>1.8</v>
      </c>
      <c r="N15">
        <v>1.8</v>
      </c>
      <c r="O15">
        <v>1.8</v>
      </c>
      <c r="P15">
        <v>1.9</v>
      </c>
      <c r="Q15">
        <v>1.9</v>
      </c>
      <c r="R15">
        <v>2.1</v>
      </c>
      <c r="S15">
        <v>2.1</v>
      </c>
      <c r="T15">
        <v>2.2000000000000002</v>
      </c>
      <c r="U15">
        <v>2.1</v>
      </c>
      <c r="V15">
        <v>2.2999999999999998</v>
      </c>
      <c r="W15">
        <v>2.1</v>
      </c>
      <c r="X15" s="15">
        <v>2.4</v>
      </c>
      <c r="Y15" s="15" t="s">
        <v>1870</v>
      </c>
      <c r="Z15" s="15">
        <f t="shared" si="0"/>
        <v>2.3000000000000003</v>
      </c>
      <c r="AA15" t="s">
        <v>1870</v>
      </c>
      <c r="AB15">
        <v>1</v>
      </c>
      <c r="AC15">
        <v>1</v>
      </c>
      <c r="AD15">
        <v>1</v>
      </c>
      <c r="AE15">
        <v>1.1000000000000001</v>
      </c>
      <c r="AF15">
        <v>1</v>
      </c>
      <c r="AG15">
        <v>0.9</v>
      </c>
      <c r="AH15">
        <v>1</v>
      </c>
      <c r="AI15">
        <v>0.9</v>
      </c>
      <c r="AJ15">
        <v>1.1000000000000001</v>
      </c>
      <c r="AK15">
        <v>1.1000000000000001</v>
      </c>
      <c r="AL15">
        <v>1.1000000000000001</v>
      </c>
      <c r="AM15">
        <v>1.2</v>
      </c>
      <c r="AN15">
        <v>1.2</v>
      </c>
      <c r="AO15">
        <v>1.3</v>
      </c>
      <c r="AP15">
        <v>1.4</v>
      </c>
      <c r="AQ15">
        <v>1.4</v>
      </c>
      <c r="AR15">
        <v>1.4</v>
      </c>
      <c r="AS15">
        <v>1.5</v>
      </c>
      <c r="AT15">
        <v>1.4</v>
      </c>
      <c r="AU15">
        <v>1.5</v>
      </c>
      <c r="AV15" s="82" t="s">
        <v>1870</v>
      </c>
      <c r="AW15" t="s">
        <v>1870</v>
      </c>
      <c r="AX15">
        <v>0.2</v>
      </c>
      <c r="AY15">
        <v>0.2</v>
      </c>
      <c r="AZ15">
        <v>0.2</v>
      </c>
      <c r="BA15">
        <v>0.2</v>
      </c>
      <c r="BB15">
        <v>0.2</v>
      </c>
      <c r="BC15">
        <v>0.2</v>
      </c>
      <c r="BD15">
        <v>0.2</v>
      </c>
      <c r="BE15">
        <v>0.2</v>
      </c>
      <c r="BF15">
        <v>0.3</v>
      </c>
      <c r="BG15">
        <v>0.2</v>
      </c>
      <c r="BH15">
        <v>0.2</v>
      </c>
      <c r="BI15">
        <v>0.3</v>
      </c>
      <c r="BJ15">
        <v>0.3</v>
      </c>
      <c r="BK15">
        <v>0.3</v>
      </c>
      <c r="BL15">
        <v>0.3</v>
      </c>
      <c r="BM15">
        <v>0.3</v>
      </c>
      <c r="BN15">
        <v>0.3</v>
      </c>
      <c r="BO15">
        <v>0.3</v>
      </c>
      <c r="BP15">
        <v>0.3</v>
      </c>
      <c r="BQ15">
        <v>0.3</v>
      </c>
      <c r="BR15" s="82" t="s">
        <v>1870</v>
      </c>
      <c r="BS15" t="s">
        <v>1870</v>
      </c>
      <c r="BT15">
        <v>0.3</v>
      </c>
      <c r="BU15">
        <v>0.3</v>
      </c>
      <c r="BV15">
        <v>0.2</v>
      </c>
      <c r="BW15">
        <v>0.2</v>
      </c>
      <c r="BX15">
        <v>0.2</v>
      </c>
      <c r="BY15">
        <v>0.2</v>
      </c>
      <c r="BZ15">
        <v>0.2</v>
      </c>
      <c r="CA15">
        <v>0.3</v>
      </c>
      <c r="CB15">
        <v>0.4</v>
      </c>
      <c r="CC15">
        <v>0.3</v>
      </c>
      <c r="CD15">
        <v>0.3</v>
      </c>
      <c r="CE15">
        <v>0.3</v>
      </c>
      <c r="CF15">
        <v>0.3</v>
      </c>
      <c r="CG15">
        <v>0.4</v>
      </c>
      <c r="CH15">
        <v>0.3</v>
      </c>
      <c r="CI15">
        <v>0.3</v>
      </c>
      <c r="CJ15">
        <v>0.3</v>
      </c>
      <c r="CK15">
        <v>0.4</v>
      </c>
      <c r="CL15">
        <v>0.4</v>
      </c>
      <c r="CM15">
        <v>0.4</v>
      </c>
      <c r="CN15" s="82" t="s">
        <v>1870</v>
      </c>
      <c r="CO15" t="s">
        <v>1870</v>
      </c>
      <c r="CP15">
        <v>0</v>
      </c>
      <c r="CQ15">
        <v>0</v>
      </c>
      <c r="CR15">
        <v>0.1</v>
      </c>
      <c r="CS15">
        <v>0.1</v>
      </c>
      <c r="CT15">
        <v>0.1</v>
      </c>
      <c r="CU15">
        <v>0.1</v>
      </c>
      <c r="CV15">
        <v>0.1</v>
      </c>
      <c r="CW15">
        <v>0.1</v>
      </c>
      <c r="CX15">
        <v>0.1</v>
      </c>
      <c r="CY15">
        <v>0.1</v>
      </c>
      <c r="CZ15">
        <v>0.1</v>
      </c>
      <c r="DA15">
        <v>0.1</v>
      </c>
      <c r="DB15">
        <v>0.1</v>
      </c>
      <c r="DC15">
        <v>0.1</v>
      </c>
      <c r="DD15">
        <v>0.1</v>
      </c>
      <c r="DE15">
        <v>0.1</v>
      </c>
      <c r="DF15">
        <v>0.1</v>
      </c>
      <c r="DG15">
        <v>0.1</v>
      </c>
      <c r="DH15">
        <v>0.1</v>
      </c>
      <c r="DI15">
        <v>0.1</v>
      </c>
      <c r="DJ15" s="82" t="s">
        <v>1870</v>
      </c>
      <c r="DK15" t="s">
        <v>1870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s="82" t="s">
        <v>1870</v>
      </c>
      <c r="EG15" t="s">
        <v>1870</v>
      </c>
      <c r="EH15">
        <v>0</v>
      </c>
      <c r="EI15">
        <v>0</v>
      </c>
      <c r="EJ15">
        <v>0</v>
      </c>
      <c r="EK15">
        <v>0</v>
      </c>
      <c r="EL15">
        <v>0</v>
      </c>
      <c r="EM15">
        <v>0</v>
      </c>
      <c r="EN15">
        <v>0</v>
      </c>
      <c r="EO15">
        <v>0</v>
      </c>
      <c r="EP15">
        <v>0</v>
      </c>
      <c r="EQ15">
        <v>0.1</v>
      </c>
      <c r="ER15">
        <v>0.1</v>
      </c>
      <c r="ES15">
        <v>0</v>
      </c>
      <c r="ET15">
        <v>0</v>
      </c>
      <c r="EU15">
        <v>0</v>
      </c>
      <c r="EV15">
        <v>0</v>
      </c>
      <c r="EW15">
        <v>0</v>
      </c>
      <c r="EX15">
        <v>0</v>
      </c>
      <c r="EY15">
        <v>0</v>
      </c>
      <c r="EZ15">
        <v>0</v>
      </c>
      <c r="FA15">
        <v>0</v>
      </c>
    </row>
    <row r="16" spans="1:157">
      <c r="A16" t="s">
        <v>68</v>
      </c>
      <c r="B16" t="s">
        <v>442</v>
      </c>
      <c r="C16" t="s">
        <v>2085</v>
      </c>
      <c r="D16">
        <v>2</v>
      </c>
      <c r="E16">
        <v>2</v>
      </c>
      <c r="F16">
        <v>2.2999999999999998</v>
      </c>
      <c r="G16">
        <v>2.1</v>
      </c>
      <c r="H16">
        <v>2</v>
      </c>
      <c r="I16">
        <v>2</v>
      </c>
      <c r="J16">
        <v>2.1</v>
      </c>
      <c r="K16">
        <v>2</v>
      </c>
      <c r="L16">
        <v>2</v>
      </c>
      <c r="M16">
        <v>1.9</v>
      </c>
      <c r="N16">
        <v>1.8</v>
      </c>
      <c r="O16">
        <v>1.9</v>
      </c>
      <c r="P16">
        <v>1.9</v>
      </c>
      <c r="Q16">
        <v>2</v>
      </c>
      <c r="R16">
        <v>1.9</v>
      </c>
      <c r="S16">
        <v>2</v>
      </c>
      <c r="T16">
        <v>2.2999999999999998</v>
      </c>
      <c r="U16">
        <v>2.2999999999999998</v>
      </c>
      <c r="V16">
        <v>2.2000000000000002</v>
      </c>
      <c r="W16">
        <v>2.1</v>
      </c>
      <c r="X16" s="15">
        <v>2.2000000000000002</v>
      </c>
      <c r="Y16" s="15" t="s">
        <v>1870</v>
      </c>
      <c r="Z16" s="15">
        <f t="shared" si="0"/>
        <v>2.0999999999999996</v>
      </c>
      <c r="AA16">
        <v>1.2</v>
      </c>
      <c r="AB16">
        <v>1.2</v>
      </c>
      <c r="AC16">
        <v>1.4</v>
      </c>
      <c r="AD16">
        <v>1.3</v>
      </c>
      <c r="AE16">
        <v>1.1000000000000001</v>
      </c>
      <c r="AF16">
        <v>1.1000000000000001</v>
      </c>
      <c r="AG16">
        <v>1.3</v>
      </c>
      <c r="AH16">
        <v>1.2</v>
      </c>
      <c r="AI16">
        <v>1.2</v>
      </c>
      <c r="AJ16">
        <v>1.1000000000000001</v>
      </c>
      <c r="AK16">
        <v>1.1000000000000001</v>
      </c>
      <c r="AL16">
        <v>1.1000000000000001</v>
      </c>
      <c r="AM16">
        <v>1.1000000000000001</v>
      </c>
      <c r="AN16">
        <v>1.1000000000000001</v>
      </c>
      <c r="AO16">
        <v>1.1000000000000001</v>
      </c>
      <c r="AP16">
        <v>1.2</v>
      </c>
      <c r="AQ16">
        <v>1.3</v>
      </c>
      <c r="AR16">
        <v>1.4</v>
      </c>
      <c r="AS16">
        <v>1.4</v>
      </c>
      <c r="AT16">
        <v>1.3</v>
      </c>
      <c r="AU16">
        <v>1.2</v>
      </c>
      <c r="AV16" s="82" t="s">
        <v>1870</v>
      </c>
      <c r="AW16">
        <v>0.2</v>
      </c>
      <c r="AX16">
        <v>0.3</v>
      </c>
      <c r="AY16">
        <v>0.3</v>
      </c>
      <c r="AZ16">
        <v>0.2</v>
      </c>
      <c r="BA16">
        <v>0.2</v>
      </c>
      <c r="BB16">
        <v>0.2</v>
      </c>
      <c r="BC16">
        <v>0.2</v>
      </c>
      <c r="BD16">
        <v>0.2</v>
      </c>
      <c r="BE16">
        <v>0.2</v>
      </c>
      <c r="BF16">
        <v>0.2</v>
      </c>
      <c r="BG16">
        <v>0.2</v>
      </c>
      <c r="BH16">
        <v>0.3</v>
      </c>
      <c r="BI16">
        <v>0.2</v>
      </c>
      <c r="BJ16">
        <v>0.3</v>
      </c>
      <c r="BK16">
        <v>0.2</v>
      </c>
      <c r="BL16">
        <v>0.2</v>
      </c>
      <c r="BM16">
        <v>0.2</v>
      </c>
      <c r="BN16">
        <v>0.2</v>
      </c>
      <c r="BO16">
        <v>0.2</v>
      </c>
      <c r="BP16">
        <v>0.2</v>
      </c>
      <c r="BQ16">
        <v>0.2</v>
      </c>
      <c r="BR16" s="82" t="s">
        <v>1870</v>
      </c>
      <c r="BS16">
        <v>0.3</v>
      </c>
      <c r="BT16">
        <v>0.3</v>
      </c>
      <c r="BU16">
        <v>0.4</v>
      </c>
      <c r="BV16">
        <v>0.4</v>
      </c>
      <c r="BW16">
        <v>0.5</v>
      </c>
      <c r="BX16">
        <v>0.5</v>
      </c>
      <c r="BY16">
        <v>0.4</v>
      </c>
      <c r="BZ16">
        <v>0.4</v>
      </c>
      <c r="CA16">
        <v>0.4</v>
      </c>
      <c r="CB16">
        <v>0.4</v>
      </c>
      <c r="CC16">
        <v>0.4</v>
      </c>
      <c r="CD16">
        <v>0.4</v>
      </c>
      <c r="CE16">
        <v>0.4</v>
      </c>
      <c r="CF16">
        <v>0.4</v>
      </c>
      <c r="CG16">
        <v>0.4</v>
      </c>
      <c r="CH16">
        <v>0.4</v>
      </c>
      <c r="CI16">
        <v>0.4</v>
      </c>
      <c r="CJ16">
        <v>0.4</v>
      </c>
      <c r="CK16">
        <v>0.4</v>
      </c>
      <c r="CL16">
        <v>0.4</v>
      </c>
      <c r="CM16">
        <v>0.4</v>
      </c>
      <c r="CN16" s="82" t="s">
        <v>1870</v>
      </c>
      <c r="CO16">
        <v>0.2</v>
      </c>
      <c r="CP16">
        <v>0.2</v>
      </c>
      <c r="CQ16">
        <v>0.2</v>
      </c>
      <c r="CR16">
        <v>0.2</v>
      </c>
      <c r="CS16">
        <v>0.2</v>
      </c>
      <c r="CT16">
        <v>0.2</v>
      </c>
      <c r="CU16">
        <v>0.2</v>
      </c>
      <c r="CV16">
        <v>0.1</v>
      </c>
      <c r="CW16">
        <v>0.2</v>
      </c>
      <c r="CX16">
        <v>0.1</v>
      </c>
      <c r="CY16">
        <v>0.2</v>
      </c>
      <c r="CZ16">
        <v>0.2</v>
      </c>
      <c r="DA16">
        <v>0.2</v>
      </c>
      <c r="DB16">
        <v>0.2</v>
      </c>
      <c r="DC16">
        <v>0.2</v>
      </c>
      <c r="DD16">
        <v>0.2</v>
      </c>
      <c r="DE16">
        <v>0.3</v>
      </c>
      <c r="DF16">
        <v>0.3</v>
      </c>
      <c r="DG16">
        <v>0.2</v>
      </c>
      <c r="DH16">
        <v>0.2</v>
      </c>
      <c r="DI16">
        <v>0.3</v>
      </c>
      <c r="DJ16" s="82" t="s">
        <v>1870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s="82" t="s">
        <v>1870</v>
      </c>
      <c r="EG16">
        <v>0.1</v>
      </c>
      <c r="EH16">
        <v>0</v>
      </c>
      <c r="EI16">
        <v>0</v>
      </c>
      <c r="EJ16">
        <v>0.1</v>
      </c>
      <c r="EK16">
        <v>0</v>
      </c>
      <c r="EL16">
        <v>0</v>
      </c>
      <c r="EM16">
        <v>0</v>
      </c>
      <c r="EN16">
        <v>0</v>
      </c>
      <c r="EO16">
        <v>0</v>
      </c>
      <c r="EP16">
        <v>0</v>
      </c>
      <c r="EQ16">
        <v>0</v>
      </c>
      <c r="ER16">
        <v>0</v>
      </c>
      <c r="ES16">
        <v>0</v>
      </c>
      <c r="ET16">
        <v>0</v>
      </c>
      <c r="EU16">
        <v>0</v>
      </c>
      <c r="EV16">
        <v>0</v>
      </c>
      <c r="EW16">
        <v>0</v>
      </c>
      <c r="EX16">
        <v>0</v>
      </c>
      <c r="EY16">
        <v>0</v>
      </c>
      <c r="EZ16">
        <v>0</v>
      </c>
      <c r="FA16">
        <v>0</v>
      </c>
    </row>
    <row r="17" spans="1:157">
      <c r="A17" t="s">
        <v>59</v>
      </c>
      <c r="B17" t="s">
        <v>463</v>
      </c>
      <c r="C17" t="s">
        <v>2085</v>
      </c>
      <c r="D17">
        <v>1.7</v>
      </c>
      <c r="E17">
        <v>1.4</v>
      </c>
      <c r="F17">
        <v>1.4</v>
      </c>
      <c r="G17">
        <v>1.5</v>
      </c>
      <c r="H17">
        <v>1.4</v>
      </c>
      <c r="I17">
        <v>1.4</v>
      </c>
      <c r="J17">
        <v>1.4</v>
      </c>
      <c r="K17">
        <v>1.4</v>
      </c>
      <c r="L17">
        <v>1.3</v>
      </c>
      <c r="M17">
        <v>1.5</v>
      </c>
      <c r="N17">
        <v>1.2</v>
      </c>
      <c r="O17">
        <v>1.6</v>
      </c>
      <c r="P17">
        <v>1.4</v>
      </c>
      <c r="Q17">
        <v>1.4</v>
      </c>
      <c r="R17">
        <v>1.5</v>
      </c>
      <c r="S17">
        <v>1.5</v>
      </c>
      <c r="T17">
        <v>1.3</v>
      </c>
      <c r="U17">
        <v>1.5</v>
      </c>
      <c r="V17">
        <v>1.5</v>
      </c>
      <c r="W17">
        <v>1.5</v>
      </c>
      <c r="X17" s="15">
        <v>1.6</v>
      </c>
      <c r="Y17" s="15" t="s">
        <v>1870</v>
      </c>
      <c r="Z17" s="15">
        <f t="shared" si="0"/>
        <v>1.6</v>
      </c>
      <c r="AA17" t="s">
        <v>1870</v>
      </c>
      <c r="AB17" t="s">
        <v>1870</v>
      </c>
      <c r="AC17" t="s">
        <v>1870</v>
      </c>
      <c r="AD17" t="s">
        <v>1870</v>
      </c>
      <c r="AE17" t="s">
        <v>1870</v>
      </c>
      <c r="AF17">
        <v>0.8</v>
      </c>
      <c r="AG17">
        <v>0.8</v>
      </c>
      <c r="AH17">
        <v>0.7</v>
      </c>
      <c r="AI17">
        <v>0.7</v>
      </c>
      <c r="AJ17">
        <v>0.9</v>
      </c>
      <c r="AK17">
        <v>0.6</v>
      </c>
      <c r="AL17">
        <v>1</v>
      </c>
      <c r="AM17">
        <v>0.7</v>
      </c>
      <c r="AN17">
        <v>0.7</v>
      </c>
      <c r="AO17">
        <v>0.7</v>
      </c>
      <c r="AP17">
        <v>0.7</v>
      </c>
      <c r="AQ17">
        <v>0.7</v>
      </c>
      <c r="AR17">
        <v>0.8</v>
      </c>
      <c r="AS17">
        <v>0.8</v>
      </c>
      <c r="AT17">
        <v>0.8</v>
      </c>
      <c r="AU17">
        <v>0.9</v>
      </c>
      <c r="AV17" s="82" t="s">
        <v>1870</v>
      </c>
      <c r="AW17" t="s">
        <v>1870</v>
      </c>
      <c r="AX17" t="s">
        <v>1870</v>
      </c>
      <c r="AY17" t="s">
        <v>1870</v>
      </c>
      <c r="AZ17" t="s">
        <v>1870</v>
      </c>
      <c r="BA17" t="s">
        <v>1870</v>
      </c>
      <c r="BB17">
        <v>0.1</v>
      </c>
      <c r="BC17">
        <v>0.1</v>
      </c>
      <c r="BD17">
        <v>0.1</v>
      </c>
      <c r="BE17">
        <v>0.1</v>
      </c>
      <c r="BF17">
        <v>0.1</v>
      </c>
      <c r="BG17">
        <v>0.1</v>
      </c>
      <c r="BH17">
        <v>0.1</v>
      </c>
      <c r="BI17">
        <v>0.1</v>
      </c>
      <c r="BJ17">
        <v>0.1</v>
      </c>
      <c r="BK17">
        <v>0.1</v>
      </c>
      <c r="BL17">
        <v>0.1</v>
      </c>
      <c r="BM17">
        <v>0.1</v>
      </c>
      <c r="BN17">
        <v>0.1</v>
      </c>
      <c r="BO17">
        <v>0.1</v>
      </c>
      <c r="BP17">
        <v>0.1</v>
      </c>
      <c r="BQ17">
        <v>0.1</v>
      </c>
      <c r="BR17" s="82" t="s">
        <v>1870</v>
      </c>
      <c r="BS17" t="s">
        <v>1870</v>
      </c>
      <c r="BT17" t="s">
        <v>1870</v>
      </c>
      <c r="BU17" t="s">
        <v>1870</v>
      </c>
      <c r="BV17" t="s">
        <v>1870</v>
      </c>
      <c r="BW17" t="s">
        <v>1870</v>
      </c>
      <c r="BX17">
        <v>0.2</v>
      </c>
      <c r="BY17">
        <v>0.2</v>
      </c>
      <c r="BZ17">
        <v>0.2</v>
      </c>
      <c r="CA17">
        <v>0.2</v>
      </c>
      <c r="CB17">
        <v>0.2</v>
      </c>
      <c r="CC17">
        <v>0.2</v>
      </c>
      <c r="CD17">
        <v>0.2</v>
      </c>
      <c r="CE17">
        <v>0.2</v>
      </c>
      <c r="CF17">
        <v>0.2</v>
      </c>
      <c r="CG17">
        <v>0.2</v>
      </c>
      <c r="CH17">
        <v>0.2</v>
      </c>
      <c r="CI17">
        <v>0.2</v>
      </c>
      <c r="CJ17">
        <v>0.2</v>
      </c>
      <c r="CK17">
        <v>0.2</v>
      </c>
      <c r="CL17">
        <v>0.2</v>
      </c>
      <c r="CM17">
        <v>0.2</v>
      </c>
      <c r="CN17" s="82" t="s">
        <v>1870</v>
      </c>
      <c r="CO17" t="s">
        <v>1870</v>
      </c>
      <c r="CP17" t="s">
        <v>1870</v>
      </c>
      <c r="CQ17" t="s">
        <v>1870</v>
      </c>
      <c r="CR17" t="s">
        <v>1870</v>
      </c>
      <c r="CS17" t="s">
        <v>1870</v>
      </c>
      <c r="CT17">
        <v>0.1</v>
      </c>
      <c r="CU17">
        <v>0.1</v>
      </c>
      <c r="CV17">
        <v>0.1</v>
      </c>
      <c r="CW17">
        <v>0.1</v>
      </c>
      <c r="CX17">
        <v>0.1</v>
      </c>
      <c r="CY17">
        <v>0.1</v>
      </c>
      <c r="CZ17">
        <v>0.1</v>
      </c>
      <c r="DA17">
        <v>0.1</v>
      </c>
      <c r="DB17">
        <v>0.1</v>
      </c>
      <c r="DC17">
        <v>0.1</v>
      </c>
      <c r="DD17">
        <v>0.1</v>
      </c>
      <c r="DE17">
        <v>0.1</v>
      </c>
      <c r="DF17">
        <v>0.1</v>
      </c>
      <c r="DG17">
        <v>0.1</v>
      </c>
      <c r="DH17">
        <v>0.1</v>
      </c>
      <c r="DI17">
        <v>0.1</v>
      </c>
      <c r="DJ17" s="82" t="s">
        <v>1870</v>
      </c>
      <c r="DK17" t="s">
        <v>1870</v>
      </c>
      <c r="DL17" t="s">
        <v>1870</v>
      </c>
      <c r="DM17" t="s">
        <v>1870</v>
      </c>
      <c r="DN17" t="s">
        <v>1870</v>
      </c>
      <c r="DO17" t="s">
        <v>1870</v>
      </c>
      <c r="DP17">
        <v>0</v>
      </c>
      <c r="DQ17">
        <v>0</v>
      </c>
      <c r="DR17">
        <v>0</v>
      </c>
      <c r="DS17">
        <v>0</v>
      </c>
      <c r="DT17">
        <v>0</v>
      </c>
      <c r="DU17">
        <v>0</v>
      </c>
      <c r="DV17">
        <v>0</v>
      </c>
      <c r="DW17">
        <v>0</v>
      </c>
      <c r="DX17">
        <v>0</v>
      </c>
      <c r="DY17">
        <v>0</v>
      </c>
      <c r="DZ17">
        <v>0</v>
      </c>
      <c r="EA17">
        <v>0</v>
      </c>
      <c r="EB17">
        <v>0</v>
      </c>
      <c r="EC17">
        <v>0</v>
      </c>
      <c r="ED17">
        <v>0</v>
      </c>
      <c r="EE17">
        <v>0</v>
      </c>
      <c r="EF17" s="82" t="s">
        <v>1870</v>
      </c>
      <c r="EG17" t="s">
        <v>1870</v>
      </c>
      <c r="EH17" t="s">
        <v>1870</v>
      </c>
      <c r="EI17" t="s">
        <v>1870</v>
      </c>
      <c r="EJ17" t="s">
        <v>1870</v>
      </c>
      <c r="EK17" t="s">
        <v>1870</v>
      </c>
      <c r="EL17">
        <v>0.3</v>
      </c>
      <c r="EM17">
        <v>0.2</v>
      </c>
      <c r="EN17">
        <v>0.3</v>
      </c>
      <c r="EO17">
        <v>0.2</v>
      </c>
      <c r="EP17">
        <v>0.2</v>
      </c>
      <c r="EQ17">
        <v>0.2</v>
      </c>
      <c r="ER17">
        <v>0.2</v>
      </c>
      <c r="ES17">
        <v>0.3</v>
      </c>
      <c r="ET17">
        <v>0.3</v>
      </c>
      <c r="EU17">
        <v>0.3</v>
      </c>
      <c r="EV17">
        <v>0.3</v>
      </c>
      <c r="EW17">
        <v>0.2</v>
      </c>
      <c r="EX17">
        <v>0.3</v>
      </c>
      <c r="EY17">
        <v>0.3</v>
      </c>
      <c r="EZ17">
        <v>0.3</v>
      </c>
      <c r="FA17">
        <v>0.3</v>
      </c>
    </row>
    <row r="18" spans="1:157">
      <c r="A18" t="s">
        <v>61</v>
      </c>
      <c r="B18" t="s">
        <v>466</v>
      </c>
      <c r="C18" t="s">
        <v>2085</v>
      </c>
      <c r="D18">
        <v>1.5</v>
      </c>
      <c r="E18">
        <v>1.5</v>
      </c>
      <c r="F18">
        <v>1.5</v>
      </c>
      <c r="G18">
        <v>1.4</v>
      </c>
      <c r="H18">
        <v>1.4</v>
      </c>
      <c r="I18">
        <v>1.4</v>
      </c>
      <c r="J18">
        <v>1.4</v>
      </c>
      <c r="K18">
        <v>1.5</v>
      </c>
      <c r="L18">
        <v>1.7</v>
      </c>
      <c r="M18">
        <v>1.7</v>
      </c>
      <c r="N18">
        <v>1.7</v>
      </c>
      <c r="O18">
        <v>1.7</v>
      </c>
      <c r="P18">
        <v>1.5</v>
      </c>
      <c r="Q18">
        <v>1.5</v>
      </c>
      <c r="R18">
        <v>1.4</v>
      </c>
      <c r="S18">
        <v>1.1000000000000001</v>
      </c>
      <c r="T18">
        <v>1.1000000000000001</v>
      </c>
      <c r="U18">
        <v>1</v>
      </c>
      <c r="V18">
        <v>1</v>
      </c>
      <c r="W18">
        <v>0.9</v>
      </c>
      <c r="X18" s="15">
        <v>0.9</v>
      </c>
      <c r="Y18" s="15" t="s">
        <v>1870</v>
      </c>
      <c r="Z18" s="15">
        <f t="shared" si="0"/>
        <v>1</v>
      </c>
      <c r="AA18">
        <v>0.9</v>
      </c>
      <c r="AB18">
        <v>0.9</v>
      </c>
      <c r="AC18">
        <v>0.8</v>
      </c>
      <c r="AD18">
        <v>0.8</v>
      </c>
      <c r="AE18">
        <v>0.8</v>
      </c>
      <c r="AF18">
        <v>0.8</v>
      </c>
      <c r="AG18">
        <v>0.8</v>
      </c>
      <c r="AH18">
        <v>0.9</v>
      </c>
      <c r="AI18">
        <v>1</v>
      </c>
      <c r="AJ18">
        <v>1</v>
      </c>
      <c r="AK18">
        <v>1</v>
      </c>
      <c r="AL18">
        <v>0.9</v>
      </c>
      <c r="AM18">
        <v>0.9</v>
      </c>
      <c r="AN18">
        <v>0.8</v>
      </c>
      <c r="AO18">
        <v>0.8</v>
      </c>
      <c r="AP18">
        <v>0.6</v>
      </c>
      <c r="AQ18">
        <v>0.6</v>
      </c>
      <c r="AR18">
        <v>0.6</v>
      </c>
      <c r="AS18">
        <v>0.6</v>
      </c>
      <c r="AT18">
        <v>0.5</v>
      </c>
      <c r="AU18">
        <v>0.5</v>
      </c>
      <c r="AV18" s="82" t="s">
        <v>1870</v>
      </c>
      <c r="AW18">
        <v>0.2</v>
      </c>
      <c r="AX18">
        <v>0.2</v>
      </c>
      <c r="AY18">
        <v>0.2</v>
      </c>
      <c r="AZ18">
        <v>0.2</v>
      </c>
      <c r="BA18">
        <v>0.2</v>
      </c>
      <c r="BB18">
        <v>0.1</v>
      </c>
      <c r="BC18">
        <v>0.1</v>
      </c>
      <c r="BD18">
        <v>0.2</v>
      </c>
      <c r="BE18">
        <v>0.2</v>
      </c>
      <c r="BF18">
        <v>0.2</v>
      </c>
      <c r="BG18">
        <v>0.2</v>
      </c>
      <c r="BH18">
        <v>0.2</v>
      </c>
      <c r="BI18">
        <v>0.2</v>
      </c>
      <c r="BJ18">
        <v>0.1</v>
      </c>
      <c r="BK18">
        <v>0.1</v>
      </c>
      <c r="BL18">
        <v>0.1</v>
      </c>
      <c r="BM18">
        <v>0.1</v>
      </c>
      <c r="BN18">
        <v>0.1</v>
      </c>
      <c r="BO18">
        <v>0.1</v>
      </c>
      <c r="BP18">
        <v>0.1</v>
      </c>
      <c r="BQ18">
        <v>0.1</v>
      </c>
      <c r="BR18" s="82" t="s">
        <v>1870</v>
      </c>
      <c r="BS18">
        <v>0.2</v>
      </c>
      <c r="BT18">
        <v>0.2</v>
      </c>
      <c r="BU18">
        <v>0.2</v>
      </c>
      <c r="BV18">
        <v>0.2</v>
      </c>
      <c r="BW18">
        <v>0.2</v>
      </c>
      <c r="BX18">
        <v>0.2</v>
      </c>
      <c r="BY18">
        <v>0.2</v>
      </c>
      <c r="BZ18">
        <v>0.2</v>
      </c>
      <c r="CA18">
        <v>0.3</v>
      </c>
      <c r="CB18">
        <v>0.3</v>
      </c>
      <c r="CC18">
        <v>0.3</v>
      </c>
      <c r="CD18">
        <v>0.4</v>
      </c>
      <c r="CE18">
        <v>0.3</v>
      </c>
      <c r="CF18">
        <v>0.3</v>
      </c>
      <c r="CG18">
        <v>0.3</v>
      </c>
      <c r="CH18">
        <v>0.2</v>
      </c>
      <c r="CI18">
        <v>0.2</v>
      </c>
      <c r="CJ18">
        <v>0.2</v>
      </c>
      <c r="CK18">
        <v>0.2</v>
      </c>
      <c r="CL18">
        <v>0.2</v>
      </c>
      <c r="CM18">
        <v>0.2</v>
      </c>
      <c r="CN18" s="82" t="s">
        <v>1870</v>
      </c>
      <c r="CO18">
        <v>0.2</v>
      </c>
      <c r="CP18">
        <v>0.2</v>
      </c>
      <c r="CQ18">
        <v>0.2</v>
      </c>
      <c r="CR18">
        <v>0.2</v>
      </c>
      <c r="CS18">
        <v>0.2</v>
      </c>
      <c r="CT18">
        <v>0.2</v>
      </c>
      <c r="CU18">
        <v>0.2</v>
      </c>
      <c r="CV18">
        <v>0.2</v>
      </c>
      <c r="CW18">
        <v>0.2</v>
      </c>
      <c r="CX18">
        <v>0.2</v>
      </c>
      <c r="CY18">
        <v>0.2</v>
      </c>
      <c r="CZ18">
        <v>0.1</v>
      </c>
      <c r="DA18">
        <v>0.1</v>
      </c>
      <c r="DB18">
        <v>0.1</v>
      </c>
      <c r="DC18">
        <v>0.1</v>
      </c>
      <c r="DD18">
        <v>0.1</v>
      </c>
      <c r="DE18">
        <v>0.1</v>
      </c>
      <c r="DF18">
        <v>0.1</v>
      </c>
      <c r="DG18">
        <v>0.1</v>
      </c>
      <c r="DH18">
        <v>0.1</v>
      </c>
      <c r="DI18">
        <v>0.1</v>
      </c>
      <c r="DJ18" s="82" t="s">
        <v>1870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s="82" t="s">
        <v>1870</v>
      </c>
      <c r="EG18">
        <v>0</v>
      </c>
      <c r="EH18">
        <v>0</v>
      </c>
      <c r="EI18">
        <v>0</v>
      </c>
      <c r="EJ18">
        <v>0</v>
      </c>
      <c r="EK18">
        <v>0</v>
      </c>
      <c r="EL18">
        <v>0</v>
      </c>
      <c r="EM18">
        <v>0</v>
      </c>
      <c r="EN18">
        <v>0</v>
      </c>
      <c r="EO18">
        <v>0</v>
      </c>
      <c r="EP18">
        <v>0</v>
      </c>
      <c r="EQ18">
        <v>0</v>
      </c>
      <c r="ER18">
        <v>0.1</v>
      </c>
      <c r="ES18">
        <v>0.1</v>
      </c>
      <c r="ET18">
        <v>0.1</v>
      </c>
      <c r="EU18">
        <v>0.1</v>
      </c>
      <c r="EV18">
        <v>0.1</v>
      </c>
      <c r="EW18">
        <v>0.1</v>
      </c>
      <c r="EX18">
        <v>0.1</v>
      </c>
      <c r="EY18">
        <v>0.1</v>
      </c>
      <c r="EZ18">
        <v>0.1</v>
      </c>
      <c r="FA18">
        <v>0.1</v>
      </c>
    </row>
    <row r="19" spans="1:157">
      <c r="A19" t="s">
        <v>63</v>
      </c>
      <c r="B19" t="s">
        <v>450</v>
      </c>
      <c r="C19" t="s">
        <v>2085</v>
      </c>
      <c r="D19">
        <v>2</v>
      </c>
      <c r="E19">
        <v>1.8</v>
      </c>
      <c r="F19">
        <v>1.9</v>
      </c>
      <c r="G19">
        <v>2</v>
      </c>
      <c r="H19">
        <v>1.9</v>
      </c>
      <c r="I19">
        <v>1.9</v>
      </c>
      <c r="J19">
        <v>1.8</v>
      </c>
      <c r="K19">
        <v>1.8</v>
      </c>
      <c r="L19">
        <v>1.8</v>
      </c>
      <c r="M19">
        <v>2</v>
      </c>
      <c r="N19">
        <v>1.9</v>
      </c>
      <c r="O19">
        <v>1.9</v>
      </c>
      <c r="P19">
        <v>1.9</v>
      </c>
      <c r="Q19">
        <v>1.9</v>
      </c>
      <c r="R19">
        <v>1.9</v>
      </c>
      <c r="S19">
        <v>1.9</v>
      </c>
      <c r="T19">
        <v>1.8</v>
      </c>
      <c r="U19">
        <v>1.8</v>
      </c>
      <c r="V19">
        <v>1.8</v>
      </c>
      <c r="W19">
        <v>1.8</v>
      </c>
      <c r="X19" s="15">
        <v>2</v>
      </c>
      <c r="Y19" s="15" t="s">
        <v>1870</v>
      </c>
      <c r="Z19" s="15">
        <f t="shared" si="0"/>
        <v>1.9</v>
      </c>
      <c r="AA19" t="s">
        <v>1870</v>
      </c>
      <c r="AB19">
        <v>1.1000000000000001</v>
      </c>
      <c r="AC19">
        <v>1.1000000000000001</v>
      </c>
      <c r="AD19">
        <v>1.2</v>
      </c>
      <c r="AE19">
        <v>1.2</v>
      </c>
      <c r="AF19">
        <v>1.2</v>
      </c>
      <c r="AG19">
        <v>1.1000000000000001</v>
      </c>
      <c r="AH19">
        <v>1.1000000000000001</v>
      </c>
      <c r="AI19">
        <v>1.1000000000000001</v>
      </c>
      <c r="AJ19">
        <v>1.2</v>
      </c>
      <c r="AK19">
        <v>1.2</v>
      </c>
      <c r="AL19">
        <v>1.2</v>
      </c>
      <c r="AM19">
        <v>1.2</v>
      </c>
      <c r="AN19">
        <v>1.1000000000000001</v>
      </c>
      <c r="AO19">
        <v>1.1000000000000001</v>
      </c>
      <c r="AP19">
        <v>1.1000000000000001</v>
      </c>
      <c r="AQ19">
        <v>1.1000000000000001</v>
      </c>
      <c r="AR19">
        <v>1.1000000000000001</v>
      </c>
      <c r="AS19">
        <v>1.1000000000000001</v>
      </c>
      <c r="AT19">
        <v>1.1000000000000001</v>
      </c>
      <c r="AU19">
        <v>1.2</v>
      </c>
      <c r="AV19" s="82" t="s">
        <v>1870</v>
      </c>
      <c r="AW19" t="s">
        <v>1870</v>
      </c>
      <c r="AX19">
        <v>0.2</v>
      </c>
      <c r="AY19">
        <v>0.2</v>
      </c>
      <c r="AZ19">
        <v>0.2</v>
      </c>
      <c r="BA19">
        <v>0.2</v>
      </c>
      <c r="BB19">
        <v>0.2</v>
      </c>
      <c r="BC19">
        <v>0.2</v>
      </c>
      <c r="BD19">
        <v>0.2</v>
      </c>
      <c r="BE19">
        <v>0.2</v>
      </c>
      <c r="BF19">
        <v>0.2</v>
      </c>
      <c r="BG19">
        <v>0.2</v>
      </c>
      <c r="BH19">
        <v>0.2</v>
      </c>
      <c r="BI19">
        <v>0.2</v>
      </c>
      <c r="BJ19">
        <v>0.2</v>
      </c>
      <c r="BK19">
        <v>0.2</v>
      </c>
      <c r="BL19">
        <v>0.2</v>
      </c>
      <c r="BM19">
        <v>0.2</v>
      </c>
      <c r="BN19">
        <v>0.2</v>
      </c>
      <c r="BO19">
        <v>0.2</v>
      </c>
      <c r="BP19">
        <v>0.2</v>
      </c>
      <c r="BQ19">
        <v>0.2</v>
      </c>
      <c r="BR19" s="82" t="s">
        <v>1870</v>
      </c>
      <c r="BS19" t="s">
        <v>1870</v>
      </c>
      <c r="BT19">
        <v>0.4</v>
      </c>
      <c r="BU19">
        <v>0.4</v>
      </c>
      <c r="BV19">
        <v>0.4</v>
      </c>
      <c r="BW19">
        <v>0.3</v>
      </c>
      <c r="BX19">
        <v>0.3</v>
      </c>
      <c r="BY19">
        <v>0.3</v>
      </c>
      <c r="BZ19">
        <v>0.3</v>
      </c>
      <c r="CA19">
        <v>0.3</v>
      </c>
      <c r="CB19">
        <v>0.3</v>
      </c>
      <c r="CC19">
        <v>0.3</v>
      </c>
      <c r="CD19">
        <v>0.4</v>
      </c>
      <c r="CE19">
        <v>0.3</v>
      </c>
      <c r="CF19">
        <v>0.3</v>
      </c>
      <c r="CG19">
        <v>0.3</v>
      </c>
      <c r="CH19">
        <v>0.3</v>
      </c>
      <c r="CI19">
        <v>0.3</v>
      </c>
      <c r="CJ19">
        <v>0.3</v>
      </c>
      <c r="CK19">
        <v>0.3</v>
      </c>
      <c r="CL19">
        <v>0.3</v>
      </c>
      <c r="CM19">
        <v>0.3</v>
      </c>
      <c r="CN19" s="82" t="s">
        <v>1870</v>
      </c>
      <c r="CO19" t="s">
        <v>1870</v>
      </c>
      <c r="CP19">
        <v>0.2</v>
      </c>
      <c r="CQ19">
        <v>0.2</v>
      </c>
      <c r="CR19">
        <v>0.2</v>
      </c>
      <c r="CS19">
        <v>0.2</v>
      </c>
      <c r="CT19">
        <v>0.2</v>
      </c>
      <c r="CU19">
        <v>0.2</v>
      </c>
      <c r="CV19">
        <v>0.2</v>
      </c>
      <c r="CW19">
        <v>0.2</v>
      </c>
      <c r="CX19">
        <v>0.2</v>
      </c>
      <c r="CY19">
        <v>0.2</v>
      </c>
      <c r="CZ19">
        <v>0.2</v>
      </c>
      <c r="DA19">
        <v>0.2</v>
      </c>
      <c r="DB19">
        <v>0.2</v>
      </c>
      <c r="DC19">
        <v>0.2</v>
      </c>
      <c r="DD19">
        <v>0.2</v>
      </c>
      <c r="DE19">
        <v>0.2</v>
      </c>
      <c r="DF19">
        <v>0.2</v>
      </c>
      <c r="DG19">
        <v>0.2</v>
      </c>
      <c r="DH19">
        <v>0.2</v>
      </c>
      <c r="DI19">
        <v>0.2</v>
      </c>
      <c r="DJ19" s="82" t="s">
        <v>1870</v>
      </c>
      <c r="DK19" t="s">
        <v>1870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s="82" t="s">
        <v>1870</v>
      </c>
      <c r="EG19" t="s">
        <v>1870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row>
    <row r="20" spans="1:157">
      <c r="A20" t="s">
        <v>57</v>
      </c>
      <c r="B20" t="s">
        <v>451</v>
      </c>
      <c r="C20" t="s">
        <v>2085</v>
      </c>
      <c r="D20" t="s">
        <v>1870</v>
      </c>
      <c r="E20" t="s">
        <v>1870</v>
      </c>
      <c r="F20" t="s">
        <v>1870</v>
      </c>
      <c r="G20" t="s">
        <v>1870</v>
      </c>
      <c r="H20" t="s">
        <v>1870</v>
      </c>
      <c r="I20">
        <v>1.2</v>
      </c>
      <c r="J20">
        <v>1.2</v>
      </c>
      <c r="K20">
        <v>1.2</v>
      </c>
      <c r="L20">
        <v>1.2</v>
      </c>
      <c r="M20">
        <v>1.3</v>
      </c>
      <c r="N20">
        <v>1.2</v>
      </c>
      <c r="O20">
        <v>1.3</v>
      </c>
      <c r="P20">
        <v>1.3</v>
      </c>
      <c r="Q20">
        <v>1.2</v>
      </c>
      <c r="R20">
        <v>1.3</v>
      </c>
      <c r="S20">
        <v>1.2</v>
      </c>
      <c r="T20">
        <v>1.2</v>
      </c>
      <c r="U20">
        <v>1.2</v>
      </c>
      <c r="V20">
        <v>1.2</v>
      </c>
      <c r="W20">
        <v>1.2</v>
      </c>
      <c r="X20" s="15">
        <v>1.3</v>
      </c>
      <c r="Y20" s="15" t="s">
        <v>1870</v>
      </c>
      <c r="Z20" s="15">
        <f t="shared" si="0"/>
        <v>1.3000000000000003</v>
      </c>
      <c r="AA20" t="s">
        <v>1870</v>
      </c>
      <c r="AB20" t="s">
        <v>1870</v>
      </c>
      <c r="AC20" t="s">
        <v>1870</v>
      </c>
      <c r="AD20" t="s">
        <v>1870</v>
      </c>
      <c r="AE20" t="s">
        <v>1870</v>
      </c>
      <c r="AF20">
        <v>0.7</v>
      </c>
      <c r="AG20">
        <v>0.7</v>
      </c>
      <c r="AH20">
        <v>0.7</v>
      </c>
      <c r="AI20">
        <v>0.7</v>
      </c>
      <c r="AJ20">
        <v>0.7</v>
      </c>
      <c r="AK20">
        <v>0.7</v>
      </c>
      <c r="AL20">
        <v>0.7</v>
      </c>
      <c r="AM20">
        <v>0.7</v>
      </c>
      <c r="AN20">
        <v>0.7</v>
      </c>
      <c r="AO20">
        <v>0.7</v>
      </c>
      <c r="AP20">
        <v>0.6</v>
      </c>
      <c r="AQ20">
        <v>0.6</v>
      </c>
      <c r="AR20">
        <v>0.6</v>
      </c>
      <c r="AS20">
        <v>0.6</v>
      </c>
      <c r="AT20">
        <v>0.7</v>
      </c>
      <c r="AU20">
        <v>0.7</v>
      </c>
      <c r="AV20" s="82" t="s">
        <v>1870</v>
      </c>
      <c r="AW20" t="s">
        <v>1870</v>
      </c>
      <c r="AX20" t="s">
        <v>1870</v>
      </c>
      <c r="AY20" t="s">
        <v>1870</v>
      </c>
      <c r="AZ20" t="s">
        <v>1870</v>
      </c>
      <c r="BA20" t="s">
        <v>1870</v>
      </c>
      <c r="BB20">
        <v>0.3</v>
      </c>
      <c r="BC20">
        <v>0.3</v>
      </c>
      <c r="BD20">
        <v>0.3</v>
      </c>
      <c r="BE20">
        <v>0.3</v>
      </c>
      <c r="BF20">
        <v>0.3</v>
      </c>
      <c r="BG20">
        <v>0.3</v>
      </c>
      <c r="BH20">
        <v>0.3</v>
      </c>
      <c r="BI20">
        <v>0.4</v>
      </c>
      <c r="BJ20">
        <v>0.4</v>
      </c>
      <c r="BK20">
        <v>0.4</v>
      </c>
      <c r="BL20">
        <v>0.4</v>
      </c>
      <c r="BM20">
        <v>0.3</v>
      </c>
      <c r="BN20">
        <v>0.3</v>
      </c>
      <c r="BO20">
        <v>0.3</v>
      </c>
      <c r="BP20">
        <v>0.4</v>
      </c>
      <c r="BQ20">
        <v>0.4</v>
      </c>
      <c r="BR20" s="82" t="s">
        <v>1870</v>
      </c>
      <c r="BS20" t="s">
        <v>1870</v>
      </c>
      <c r="BT20" t="s">
        <v>1870</v>
      </c>
      <c r="BU20" t="s">
        <v>1870</v>
      </c>
      <c r="BV20" t="s">
        <v>1870</v>
      </c>
      <c r="BW20" t="s">
        <v>1870</v>
      </c>
      <c r="BX20">
        <v>0.1</v>
      </c>
      <c r="BY20">
        <v>0.1</v>
      </c>
      <c r="BZ20">
        <v>0.1</v>
      </c>
      <c r="CA20">
        <v>0.1</v>
      </c>
      <c r="CB20">
        <v>0.1</v>
      </c>
      <c r="CC20">
        <v>0.1</v>
      </c>
      <c r="CD20">
        <v>0.1</v>
      </c>
      <c r="CE20">
        <v>0.1</v>
      </c>
      <c r="CF20">
        <v>0.1</v>
      </c>
      <c r="CG20">
        <v>0.1</v>
      </c>
      <c r="CH20">
        <v>0.1</v>
      </c>
      <c r="CI20">
        <v>0.1</v>
      </c>
      <c r="CJ20">
        <v>0.1</v>
      </c>
      <c r="CK20">
        <v>0.1</v>
      </c>
      <c r="CL20">
        <v>0.1</v>
      </c>
      <c r="CM20">
        <v>0.1</v>
      </c>
      <c r="CN20" s="82" t="s">
        <v>1870</v>
      </c>
      <c r="CO20" t="s">
        <v>1870</v>
      </c>
      <c r="CP20" t="s">
        <v>1870</v>
      </c>
      <c r="CQ20" t="s">
        <v>1870</v>
      </c>
      <c r="CR20" t="s">
        <v>1870</v>
      </c>
      <c r="CS20" t="s">
        <v>1870</v>
      </c>
      <c r="CT20">
        <v>0</v>
      </c>
      <c r="CU20">
        <v>0</v>
      </c>
      <c r="CV20">
        <v>0</v>
      </c>
      <c r="CW20">
        <v>0</v>
      </c>
      <c r="CX20">
        <v>0</v>
      </c>
      <c r="CY20">
        <v>0</v>
      </c>
      <c r="CZ20">
        <v>0</v>
      </c>
      <c r="DA20">
        <v>0</v>
      </c>
      <c r="DB20">
        <v>0</v>
      </c>
      <c r="DC20">
        <v>0</v>
      </c>
      <c r="DD20">
        <v>0</v>
      </c>
      <c r="DE20">
        <v>0</v>
      </c>
      <c r="DF20">
        <v>0</v>
      </c>
      <c r="DG20">
        <v>0</v>
      </c>
      <c r="DH20">
        <v>0</v>
      </c>
      <c r="DI20">
        <v>0</v>
      </c>
      <c r="DJ20" s="82" t="s">
        <v>1870</v>
      </c>
      <c r="DK20" t="s">
        <v>1870</v>
      </c>
      <c r="DL20" t="s">
        <v>1870</v>
      </c>
      <c r="DM20" t="s">
        <v>1870</v>
      </c>
      <c r="DN20" t="s">
        <v>1870</v>
      </c>
      <c r="DO20" t="s">
        <v>1870</v>
      </c>
      <c r="DP20">
        <v>0</v>
      </c>
      <c r="DQ20">
        <v>0</v>
      </c>
      <c r="DR20">
        <v>0</v>
      </c>
      <c r="DS20">
        <v>0</v>
      </c>
      <c r="DT20">
        <v>0</v>
      </c>
      <c r="DU20">
        <v>0</v>
      </c>
      <c r="DV20">
        <v>0</v>
      </c>
      <c r="DW20">
        <v>0</v>
      </c>
      <c r="DX20">
        <v>0</v>
      </c>
      <c r="DY20">
        <v>0</v>
      </c>
      <c r="DZ20">
        <v>0</v>
      </c>
      <c r="EA20">
        <v>0</v>
      </c>
      <c r="EB20">
        <v>0</v>
      </c>
      <c r="EC20">
        <v>0</v>
      </c>
      <c r="ED20">
        <v>0</v>
      </c>
      <c r="EE20">
        <v>0</v>
      </c>
      <c r="EF20" s="82" t="s">
        <v>1870</v>
      </c>
      <c r="EG20" t="s">
        <v>1870</v>
      </c>
      <c r="EH20" t="s">
        <v>1870</v>
      </c>
      <c r="EI20" t="s">
        <v>1870</v>
      </c>
      <c r="EJ20" t="s">
        <v>1870</v>
      </c>
      <c r="EK20" t="s">
        <v>1870</v>
      </c>
      <c r="EL20">
        <v>0.1</v>
      </c>
      <c r="EM20">
        <v>0.1</v>
      </c>
      <c r="EN20">
        <v>0.1</v>
      </c>
      <c r="EO20">
        <v>0.1</v>
      </c>
      <c r="EP20">
        <v>0.1</v>
      </c>
      <c r="EQ20">
        <v>0.1</v>
      </c>
      <c r="ER20">
        <v>0.1</v>
      </c>
      <c r="ES20">
        <v>0.1</v>
      </c>
      <c r="ET20">
        <v>0.1</v>
      </c>
      <c r="EU20">
        <v>0.1</v>
      </c>
      <c r="EV20">
        <v>0.1</v>
      </c>
      <c r="EW20">
        <v>0.1</v>
      </c>
      <c r="EX20">
        <v>0.1</v>
      </c>
      <c r="EY20">
        <v>0.1</v>
      </c>
      <c r="EZ20">
        <v>0.1</v>
      </c>
      <c r="FA20">
        <v>0.1</v>
      </c>
    </row>
    <row r="21" spans="1:157">
      <c r="A21" t="s">
        <v>2086</v>
      </c>
      <c r="B21" t="s">
        <v>449</v>
      </c>
      <c r="C21" t="s">
        <v>2085</v>
      </c>
      <c r="D21" s="85">
        <f>(USA_KOREA_COFOG!W142/1000)/D86*100</f>
        <v>0.99324114768053173</v>
      </c>
      <c r="E21" s="85">
        <f>(USA_KOREA_COFOG!X142/1000)/E86*100</f>
        <v>1.0374510640627093</v>
      </c>
      <c r="F21" s="85">
        <f>(USA_KOREA_COFOG!Y142/1000)/F86*100</f>
        <v>0.98993133151014223</v>
      </c>
      <c r="G21" s="85">
        <f>(USA_KOREA_COFOG!Z142/1000)/G86*100</f>
        <v>1.0520500555850729</v>
      </c>
      <c r="H21" s="85">
        <f>(USA_KOREA_COFOG!AA142/1000)/H86*100</f>
        <v>1.0180316945777226</v>
      </c>
      <c r="I21" s="85">
        <f>(USA_KOREA_COFOG!AB142/1000)/I86*100</f>
        <v>1.061206678839306</v>
      </c>
      <c r="J21" s="85">
        <f>(USA_KOREA_COFOG!AC142/1000)/J86*100</f>
        <v>1.0996204759042223</v>
      </c>
      <c r="K21" s="85">
        <f>(USA_KOREA_COFOG!AD142/1000)/K86*100</f>
        <v>1.0753811142225806</v>
      </c>
      <c r="L21" s="85">
        <f>(USA_KOREA_COFOG!AE142/1000)/L86*100</f>
        <v>1.0948724875383009</v>
      </c>
      <c r="M21" s="85">
        <f>(USA_KOREA_COFOG!AF142/1000)/M86*100</f>
        <v>1.1279980765717579</v>
      </c>
      <c r="N21" s="85">
        <f>(USA_KOREA_COFOG!AG142/1000)/N86*100</f>
        <v>1.0597747849103352</v>
      </c>
      <c r="O21" s="85">
        <f>(USA_KOREA_COFOG!AH142/1000)/O86*100</f>
        <v>1.056642445749167</v>
      </c>
      <c r="P21" s="85">
        <f>(USA_KOREA_COFOG!AI142/1000)/P86*100</f>
        <v>1.1153721243628878</v>
      </c>
      <c r="Q21" s="85">
        <f>(USA_KOREA_COFOG!AJ142/1000)/Q86*100</f>
        <v>1.1369190905873272</v>
      </c>
      <c r="R21" s="85">
        <f>(USA_KOREA_COFOG!AK142/1000)/R86*100</f>
        <v>1.1441146718756898</v>
      </c>
      <c r="S21" s="85">
        <f>(USA_KOREA_COFOG!AL142/1000)/S86*100</f>
        <v>1.1621388976878693</v>
      </c>
      <c r="T21" s="85">
        <f>(USA_KOREA_COFOG!AM142/1000)/T86*100</f>
        <v>1.2121752805467159</v>
      </c>
      <c r="U21" s="85">
        <f>(USA_KOREA_COFOG!AN142/1000)/U86*100</f>
        <v>1.1955722789523746</v>
      </c>
      <c r="V21" s="85">
        <f>(USA_KOREA_COFOG!AO142/1000)/V86*100</f>
        <v>1.1809497097396755</v>
      </c>
      <c r="W21" s="85">
        <f>(USA_KOREA_COFOG!AP142/1000)/W86*100</f>
        <v>1.2796999529227882</v>
      </c>
      <c r="X21" s="87" t="s">
        <v>1870</v>
      </c>
      <c r="Y21" s="15" t="s">
        <v>1870</v>
      </c>
      <c r="Z21" s="15">
        <f t="shared" si="0"/>
        <v>0</v>
      </c>
      <c r="AA21" t="s">
        <v>1870</v>
      </c>
      <c r="AB21" t="s">
        <v>1870</v>
      </c>
      <c r="AC21" t="s">
        <v>1870</v>
      </c>
      <c r="AD21" t="s">
        <v>1870</v>
      </c>
      <c r="AE21" t="s">
        <v>1870</v>
      </c>
      <c r="AF21" t="s">
        <v>1870</v>
      </c>
      <c r="AG21" t="s">
        <v>1870</v>
      </c>
      <c r="AH21" t="s">
        <v>1870</v>
      </c>
      <c r="AI21" t="s">
        <v>1870</v>
      </c>
      <c r="AJ21" t="s">
        <v>1870</v>
      </c>
      <c r="AK21" t="s">
        <v>1870</v>
      </c>
      <c r="AL21" t="s">
        <v>1870</v>
      </c>
      <c r="AM21" t="s">
        <v>1870</v>
      </c>
      <c r="AN21" t="s">
        <v>1870</v>
      </c>
      <c r="AO21" t="s">
        <v>1870</v>
      </c>
      <c r="AP21" t="s">
        <v>1870</v>
      </c>
      <c r="AQ21" t="s">
        <v>1870</v>
      </c>
      <c r="AR21" t="s">
        <v>1870</v>
      </c>
      <c r="AS21" t="s">
        <v>1870</v>
      </c>
      <c r="AT21" t="s">
        <v>1870</v>
      </c>
      <c r="AU21" t="s">
        <v>1870</v>
      </c>
      <c r="AV21" s="82" t="s">
        <v>1870</v>
      </c>
      <c r="AW21" t="s">
        <v>1870</v>
      </c>
      <c r="AX21" t="s">
        <v>1870</v>
      </c>
      <c r="AY21" t="s">
        <v>1870</v>
      </c>
      <c r="AZ21" t="s">
        <v>1870</v>
      </c>
      <c r="BA21" t="s">
        <v>1870</v>
      </c>
      <c r="BB21" t="s">
        <v>1870</v>
      </c>
      <c r="BC21" t="s">
        <v>1870</v>
      </c>
      <c r="BD21" t="s">
        <v>1870</v>
      </c>
      <c r="BE21" t="s">
        <v>1870</v>
      </c>
      <c r="BF21" t="s">
        <v>1870</v>
      </c>
      <c r="BG21" t="s">
        <v>1870</v>
      </c>
      <c r="BH21" t="s">
        <v>1870</v>
      </c>
      <c r="BI21" t="s">
        <v>1870</v>
      </c>
      <c r="BJ21" t="s">
        <v>1870</v>
      </c>
      <c r="BK21" t="s">
        <v>1870</v>
      </c>
      <c r="BL21" t="s">
        <v>1870</v>
      </c>
      <c r="BM21" t="s">
        <v>1870</v>
      </c>
      <c r="BN21" t="s">
        <v>1870</v>
      </c>
      <c r="BO21" t="s">
        <v>1870</v>
      </c>
      <c r="BP21" t="s">
        <v>1870</v>
      </c>
      <c r="BQ21" t="s">
        <v>1870</v>
      </c>
      <c r="BR21" s="82" t="s">
        <v>1870</v>
      </c>
      <c r="BS21" t="s">
        <v>1870</v>
      </c>
      <c r="BT21" t="s">
        <v>1870</v>
      </c>
      <c r="BU21" t="s">
        <v>1870</v>
      </c>
      <c r="BV21" t="s">
        <v>1870</v>
      </c>
      <c r="BW21" t="s">
        <v>1870</v>
      </c>
      <c r="BX21" t="s">
        <v>1870</v>
      </c>
      <c r="BY21" t="s">
        <v>1870</v>
      </c>
      <c r="BZ21" t="s">
        <v>1870</v>
      </c>
      <c r="CA21" t="s">
        <v>1870</v>
      </c>
      <c r="CB21" t="s">
        <v>1870</v>
      </c>
      <c r="CC21" t="s">
        <v>1870</v>
      </c>
      <c r="CD21" t="s">
        <v>1870</v>
      </c>
      <c r="CE21" t="s">
        <v>1870</v>
      </c>
      <c r="CF21" t="s">
        <v>1870</v>
      </c>
      <c r="CG21" t="s">
        <v>1870</v>
      </c>
      <c r="CH21" t="s">
        <v>1870</v>
      </c>
      <c r="CI21" t="s">
        <v>1870</v>
      </c>
      <c r="CJ21" t="s">
        <v>1870</v>
      </c>
      <c r="CK21" t="s">
        <v>1870</v>
      </c>
      <c r="CL21" t="s">
        <v>1870</v>
      </c>
      <c r="CM21" t="s">
        <v>1870</v>
      </c>
      <c r="CN21" s="82" t="s">
        <v>1870</v>
      </c>
      <c r="CO21" t="s">
        <v>1870</v>
      </c>
      <c r="CP21" t="s">
        <v>1870</v>
      </c>
      <c r="CQ21" t="s">
        <v>1870</v>
      </c>
      <c r="CR21" t="s">
        <v>1870</v>
      </c>
      <c r="CS21" t="s">
        <v>1870</v>
      </c>
      <c r="CT21" t="s">
        <v>1870</v>
      </c>
      <c r="CU21" t="s">
        <v>1870</v>
      </c>
      <c r="CV21" t="s">
        <v>1870</v>
      </c>
      <c r="CW21" t="s">
        <v>1870</v>
      </c>
      <c r="CX21" t="s">
        <v>1870</v>
      </c>
      <c r="CY21" t="s">
        <v>1870</v>
      </c>
      <c r="CZ21" t="s">
        <v>1870</v>
      </c>
      <c r="DA21" t="s">
        <v>1870</v>
      </c>
      <c r="DB21" t="s">
        <v>1870</v>
      </c>
      <c r="DC21" t="s">
        <v>1870</v>
      </c>
      <c r="DD21" t="s">
        <v>1870</v>
      </c>
      <c r="DE21" t="s">
        <v>1870</v>
      </c>
      <c r="DF21" t="s">
        <v>1870</v>
      </c>
      <c r="DG21" t="s">
        <v>1870</v>
      </c>
      <c r="DH21" t="s">
        <v>1870</v>
      </c>
      <c r="DI21" t="s">
        <v>1870</v>
      </c>
      <c r="DJ21" s="82" t="s">
        <v>1870</v>
      </c>
      <c r="DK21" t="s">
        <v>1870</v>
      </c>
      <c r="DL21" t="s">
        <v>1870</v>
      </c>
      <c r="DM21" t="s">
        <v>1870</v>
      </c>
      <c r="DN21" t="s">
        <v>1870</v>
      </c>
      <c r="DO21" t="s">
        <v>1870</v>
      </c>
      <c r="DP21" t="s">
        <v>1870</v>
      </c>
      <c r="DQ21" t="s">
        <v>1870</v>
      </c>
      <c r="DR21" t="s">
        <v>1870</v>
      </c>
      <c r="DS21" t="s">
        <v>1870</v>
      </c>
      <c r="DT21" t="s">
        <v>1870</v>
      </c>
      <c r="DU21" t="s">
        <v>1870</v>
      </c>
      <c r="DV21" t="s">
        <v>1870</v>
      </c>
      <c r="DW21" t="s">
        <v>1870</v>
      </c>
      <c r="DX21" t="s">
        <v>1870</v>
      </c>
      <c r="DY21" t="s">
        <v>1870</v>
      </c>
      <c r="DZ21" t="s">
        <v>1870</v>
      </c>
      <c r="EA21" t="s">
        <v>1870</v>
      </c>
      <c r="EB21" t="s">
        <v>1870</v>
      </c>
      <c r="EC21" t="s">
        <v>1870</v>
      </c>
      <c r="ED21" t="s">
        <v>1870</v>
      </c>
      <c r="EE21" t="s">
        <v>1870</v>
      </c>
      <c r="EF21" s="82" t="s">
        <v>1870</v>
      </c>
      <c r="EG21" t="s">
        <v>1870</v>
      </c>
      <c r="EH21" t="s">
        <v>1870</v>
      </c>
      <c r="EI21" t="s">
        <v>1870</v>
      </c>
      <c r="EJ21" t="s">
        <v>1870</v>
      </c>
      <c r="EK21" t="s">
        <v>1870</v>
      </c>
      <c r="EL21" t="s">
        <v>1870</v>
      </c>
      <c r="EM21" t="s">
        <v>1870</v>
      </c>
      <c r="EN21" t="s">
        <v>1870</v>
      </c>
      <c r="EO21" t="s">
        <v>1870</v>
      </c>
      <c r="EP21" t="s">
        <v>1870</v>
      </c>
      <c r="EQ21" t="s">
        <v>1870</v>
      </c>
      <c r="ER21" t="s">
        <v>1870</v>
      </c>
      <c r="ES21" t="s">
        <v>1870</v>
      </c>
      <c r="ET21" t="s">
        <v>1870</v>
      </c>
      <c r="EU21" t="s">
        <v>1870</v>
      </c>
      <c r="EV21" t="s">
        <v>1870</v>
      </c>
      <c r="EW21" t="s">
        <v>1870</v>
      </c>
      <c r="EX21" t="s">
        <v>1870</v>
      </c>
      <c r="EY21" t="s">
        <v>1870</v>
      </c>
      <c r="EZ21" t="s">
        <v>1870</v>
      </c>
      <c r="FA21" t="s">
        <v>1870</v>
      </c>
    </row>
    <row r="22" spans="1:157">
      <c r="A22" t="s">
        <v>54</v>
      </c>
      <c r="B22" t="s">
        <v>467</v>
      </c>
      <c r="C22" t="s">
        <v>2085</v>
      </c>
      <c r="D22">
        <v>0.9</v>
      </c>
      <c r="E22">
        <v>1</v>
      </c>
      <c r="F22">
        <v>1</v>
      </c>
      <c r="G22">
        <v>1.1000000000000001</v>
      </c>
      <c r="H22">
        <v>1.1000000000000001</v>
      </c>
      <c r="I22">
        <v>1.1000000000000001</v>
      </c>
      <c r="J22">
        <v>1</v>
      </c>
      <c r="K22">
        <v>0.9</v>
      </c>
      <c r="L22">
        <v>0.9</v>
      </c>
      <c r="M22">
        <v>1</v>
      </c>
      <c r="N22">
        <v>1.1000000000000001</v>
      </c>
      <c r="O22">
        <v>1</v>
      </c>
      <c r="P22">
        <v>1</v>
      </c>
      <c r="Q22">
        <v>1</v>
      </c>
      <c r="R22">
        <v>1</v>
      </c>
      <c r="S22">
        <v>1</v>
      </c>
      <c r="T22">
        <v>1</v>
      </c>
      <c r="U22">
        <v>1</v>
      </c>
      <c r="V22">
        <v>1.1000000000000001</v>
      </c>
      <c r="W22">
        <v>1.2</v>
      </c>
      <c r="X22" s="15">
        <v>1.3</v>
      </c>
      <c r="Y22" s="15" t="s">
        <v>1870</v>
      </c>
      <c r="Z22" s="15">
        <f t="shared" si="0"/>
        <v>1.2</v>
      </c>
      <c r="AA22">
        <v>0.5</v>
      </c>
      <c r="AB22">
        <v>0.5</v>
      </c>
      <c r="AC22">
        <v>0.6</v>
      </c>
      <c r="AD22">
        <v>0.6</v>
      </c>
      <c r="AE22">
        <v>0.6</v>
      </c>
      <c r="AF22">
        <v>0.6</v>
      </c>
      <c r="AG22">
        <v>0.5</v>
      </c>
      <c r="AH22">
        <v>0.5</v>
      </c>
      <c r="AI22">
        <v>0.5</v>
      </c>
      <c r="AJ22">
        <v>0.5</v>
      </c>
      <c r="AK22">
        <v>0.6</v>
      </c>
      <c r="AL22">
        <v>0.5</v>
      </c>
      <c r="AM22">
        <v>0.5</v>
      </c>
      <c r="AN22">
        <v>0.5</v>
      </c>
      <c r="AO22">
        <v>0.5</v>
      </c>
      <c r="AP22">
        <v>0.5</v>
      </c>
      <c r="AQ22">
        <v>0.5</v>
      </c>
      <c r="AR22">
        <v>0.5</v>
      </c>
      <c r="AS22">
        <v>0.5</v>
      </c>
      <c r="AT22">
        <v>0.5</v>
      </c>
      <c r="AU22">
        <v>0.5</v>
      </c>
      <c r="AV22" s="82" t="s">
        <v>1870</v>
      </c>
      <c r="AW22">
        <v>0.1</v>
      </c>
      <c r="AX22">
        <v>0.1</v>
      </c>
      <c r="AY22">
        <v>0.1</v>
      </c>
      <c r="AZ22">
        <v>0.1</v>
      </c>
      <c r="BA22">
        <v>0.1</v>
      </c>
      <c r="BB22">
        <v>0.1</v>
      </c>
      <c r="BC22">
        <v>0.1</v>
      </c>
      <c r="BD22">
        <v>0.1</v>
      </c>
      <c r="BE22">
        <v>0.1</v>
      </c>
      <c r="BF22">
        <v>0.1</v>
      </c>
      <c r="BG22">
        <v>0.1</v>
      </c>
      <c r="BH22">
        <v>0.1</v>
      </c>
      <c r="BI22">
        <v>0.1</v>
      </c>
      <c r="BJ22">
        <v>0.1</v>
      </c>
      <c r="BK22">
        <v>0.1</v>
      </c>
      <c r="BL22">
        <v>0.1</v>
      </c>
      <c r="BM22">
        <v>0.1</v>
      </c>
      <c r="BN22">
        <v>0.1</v>
      </c>
      <c r="BO22">
        <v>0.2</v>
      </c>
      <c r="BP22">
        <v>0.3</v>
      </c>
      <c r="BQ22">
        <v>0.3</v>
      </c>
      <c r="BR22" s="82" t="s">
        <v>1870</v>
      </c>
      <c r="BS22">
        <v>0.2</v>
      </c>
      <c r="BT22">
        <v>0.2</v>
      </c>
      <c r="BU22">
        <v>0.2</v>
      </c>
      <c r="BV22">
        <v>0.2</v>
      </c>
      <c r="BW22">
        <v>0.2</v>
      </c>
      <c r="BX22">
        <v>0.2</v>
      </c>
      <c r="BY22">
        <v>0.2</v>
      </c>
      <c r="BZ22">
        <v>0.2</v>
      </c>
      <c r="CA22">
        <v>0.2</v>
      </c>
      <c r="CB22">
        <v>0.2</v>
      </c>
      <c r="CC22">
        <v>0.2</v>
      </c>
      <c r="CD22">
        <v>0.2</v>
      </c>
      <c r="CE22">
        <v>0.2</v>
      </c>
      <c r="CF22">
        <v>0.2</v>
      </c>
      <c r="CG22">
        <v>0.2</v>
      </c>
      <c r="CH22">
        <v>0.2</v>
      </c>
      <c r="CI22">
        <v>0.2</v>
      </c>
      <c r="CJ22">
        <v>0.2</v>
      </c>
      <c r="CK22">
        <v>0.2</v>
      </c>
      <c r="CL22">
        <v>0.2</v>
      </c>
      <c r="CM22">
        <v>0.2</v>
      </c>
      <c r="CN22" s="82" t="s">
        <v>1870</v>
      </c>
      <c r="CO22">
        <v>0.1</v>
      </c>
      <c r="CP22">
        <v>0.1</v>
      </c>
      <c r="CQ22">
        <v>0.1</v>
      </c>
      <c r="CR22">
        <v>0.1</v>
      </c>
      <c r="CS22">
        <v>0.1</v>
      </c>
      <c r="CT22">
        <v>0.1</v>
      </c>
      <c r="CU22">
        <v>0.1</v>
      </c>
      <c r="CV22">
        <v>0.1</v>
      </c>
      <c r="CW22">
        <v>0.1</v>
      </c>
      <c r="CX22">
        <v>0.1</v>
      </c>
      <c r="CY22">
        <v>0.1</v>
      </c>
      <c r="CZ22">
        <v>0.1</v>
      </c>
      <c r="DA22">
        <v>0.1</v>
      </c>
      <c r="DB22">
        <v>0.1</v>
      </c>
      <c r="DC22">
        <v>0.1</v>
      </c>
      <c r="DD22">
        <v>0.1</v>
      </c>
      <c r="DE22">
        <v>0.1</v>
      </c>
      <c r="DF22">
        <v>0.1</v>
      </c>
      <c r="DG22">
        <v>0.2</v>
      </c>
      <c r="DH22">
        <v>0.2</v>
      </c>
      <c r="DI22">
        <v>0.2</v>
      </c>
      <c r="DJ22" s="82" t="s">
        <v>1870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s="82" t="s">
        <v>1870</v>
      </c>
      <c r="EG22">
        <v>0</v>
      </c>
      <c r="EH22">
        <v>0</v>
      </c>
      <c r="EI22">
        <v>0</v>
      </c>
      <c r="EJ22">
        <v>0</v>
      </c>
      <c r="EK22">
        <v>0</v>
      </c>
      <c r="EL22">
        <v>0</v>
      </c>
      <c r="EM22">
        <v>0</v>
      </c>
      <c r="EN22">
        <v>0</v>
      </c>
      <c r="EO22">
        <v>0</v>
      </c>
      <c r="EP22">
        <v>0</v>
      </c>
      <c r="EQ22">
        <v>0</v>
      </c>
      <c r="ER22">
        <v>0</v>
      </c>
      <c r="ES22">
        <v>0</v>
      </c>
      <c r="ET22">
        <v>0.1</v>
      </c>
      <c r="EU22">
        <v>0.1</v>
      </c>
      <c r="EV22">
        <v>0.1</v>
      </c>
      <c r="EW22">
        <v>0.1</v>
      </c>
      <c r="EX22">
        <v>0.1</v>
      </c>
      <c r="EY22">
        <v>0.1</v>
      </c>
      <c r="EZ22">
        <v>0</v>
      </c>
      <c r="FA22">
        <v>0</v>
      </c>
    </row>
    <row r="23" spans="1:157">
      <c r="A23" t="s">
        <v>1633</v>
      </c>
      <c r="B23" t="s">
        <v>460</v>
      </c>
      <c r="C23" t="s">
        <v>2085</v>
      </c>
      <c r="D23">
        <v>1.5</v>
      </c>
      <c r="E23">
        <v>1.6</v>
      </c>
      <c r="F23">
        <v>1.7</v>
      </c>
      <c r="G23">
        <v>1.8</v>
      </c>
      <c r="H23">
        <v>1.7</v>
      </c>
      <c r="I23">
        <v>1.7</v>
      </c>
      <c r="J23">
        <v>1.8</v>
      </c>
      <c r="K23">
        <v>1.8</v>
      </c>
      <c r="L23">
        <v>1.8</v>
      </c>
      <c r="M23">
        <v>2</v>
      </c>
      <c r="N23">
        <v>1.9</v>
      </c>
      <c r="O23">
        <v>1.9</v>
      </c>
      <c r="P23">
        <v>1.9</v>
      </c>
      <c r="Q23">
        <v>2</v>
      </c>
      <c r="R23">
        <v>1.9</v>
      </c>
      <c r="S23">
        <v>1.9</v>
      </c>
      <c r="T23">
        <v>1.9</v>
      </c>
      <c r="U23">
        <v>1.8</v>
      </c>
      <c r="V23">
        <v>1.8</v>
      </c>
      <c r="W23">
        <v>1.8</v>
      </c>
      <c r="X23" s="15">
        <v>2</v>
      </c>
      <c r="Y23" s="15" t="s">
        <v>1870</v>
      </c>
      <c r="Z23" s="15">
        <f t="shared" si="0"/>
        <v>2.0000000000000004</v>
      </c>
      <c r="AA23">
        <v>0.7</v>
      </c>
      <c r="AB23">
        <v>0.7</v>
      </c>
      <c r="AC23">
        <v>0.7</v>
      </c>
      <c r="AD23">
        <v>0.7</v>
      </c>
      <c r="AE23">
        <v>0.7</v>
      </c>
      <c r="AF23">
        <v>0.7</v>
      </c>
      <c r="AG23">
        <v>0.8</v>
      </c>
      <c r="AH23">
        <v>0.8</v>
      </c>
      <c r="AI23">
        <v>0.8</v>
      </c>
      <c r="AJ23">
        <v>0.9</v>
      </c>
      <c r="AK23">
        <v>0.8</v>
      </c>
      <c r="AL23">
        <v>0.8</v>
      </c>
      <c r="AM23">
        <v>0.8</v>
      </c>
      <c r="AN23">
        <v>0.8</v>
      </c>
      <c r="AO23">
        <v>0.8</v>
      </c>
      <c r="AP23">
        <v>0.8</v>
      </c>
      <c r="AQ23">
        <v>0.8</v>
      </c>
      <c r="AR23">
        <v>0.8</v>
      </c>
      <c r="AS23">
        <v>0.9</v>
      </c>
      <c r="AT23">
        <v>0.9</v>
      </c>
      <c r="AU23">
        <v>0.9</v>
      </c>
      <c r="AV23" s="82" t="s">
        <v>1870</v>
      </c>
      <c r="AW23">
        <v>0.2</v>
      </c>
      <c r="AX23">
        <v>0.2</v>
      </c>
      <c r="AY23">
        <v>0.2</v>
      </c>
      <c r="AZ23">
        <v>0.2</v>
      </c>
      <c r="BA23">
        <v>0.2</v>
      </c>
      <c r="BB23">
        <v>0.2</v>
      </c>
      <c r="BC23">
        <v>0.2</v>
      </c>
      <c r="BD23">
        <v>0.2</v>
      </c>
      <c r="BE23">
        <v>0.2</v>
      </c>
      <c r="BF23">
        <v>0.3</v>
      </c>
      <c r="BG23">
        <v>0.2</v>
      </c>
      <c r="BH23">
        <v>0.2</v>
      </c>
      <c r="BI23">
        <v>0.2</v>
      </c>
      <c r="BJ23">
        <v>0.3</v>
      </c>
      <c r="BK23">
        <v>0.2</v>
      </c>
      <c r="BL23">
        <v>0.2</v>
      </c>
      <c r="BM23">
        <v>0.2</v>
      </c>
      <c r="BN23">
        <v>0.2</v>
      </c>
      <c r="BO23">
        <v>0.2</v>
      </c>
      <c r="BP23">
        <v>0.2</v>
      </c>
      <c r="BQ23">
        <v>0.2</v>
      </c>
      <c r="BR23" s="82" t="s">
        <v>1870</v>
      </c>
      <c r="BS23">
        <v>0.2</v>
      </c>
      <c r="BT23">
        <v>0.2</v>
      </c>
      <c r="BU23">
        <v>0.3</v>
      </c>
      <c r="BV23">
        <v>0.3</v>
      </c>
      <c r="BW23">
        <v>0.3</v>
      </c>
      <c r="BX23">
        <v>0.3</v>
      </c>
      <c r="BY23">
        <v>0.3</v>
      </c>
      <c r="BZ23">
        <v>0.3</v>
      </c>
      <c r="CA23">
        <v>0.3</v>
      </c>
      <c r="CB23">
        <v>0.3</v>
      </c>
      <c r="CC23">
        <v>0.3</v>
      </c>
      <c r="CD23">
        <v>0.3</v>
      </c>
      <c r="CE23">
        <v>0.3</v>
      </c>
      <c r="CF23">
        <v>0.3</v>
      </c>
      <c r="CG23">
        <v>0.3</v>
      </c>
      <c r="CH23">
        <v>0.3</v>
      </c>
      <c r="CI23">
        <v>0.3</v>
      </c>
      <c r="CJ23">
        <v>0.3</v>
      </c>
      <c r="CK23">
        <v>0.3</v>
      </c>
      <c r="CL23">
        <v>0.3</v>
      </c>
      <c r="CM23">
        <v>0.3</v>
      </c>
      <c r="CN23" s="82" t="s">
        <v>1870</v>
      </c>
      <c r="CO23">
        <v>0.3</v>
      </c>
      <c r="CP23">
        <v>0.3</v>
      </c>
      <c r="CQ23">
        <v>0.3</v>
      </c>
      <c r="CR23">
        <v>0.3</v>
      </c>
      <c r="CS23">
        <v>0.3</v>
      </c>
      <c r="CT23">
        <v>0.4</v>
      </c>
      <c r="CU23">
        <v>0.4</v>
      </c>
      <c r="CV23">
        <v>0.4</v>
      </c>
      <c r="CW23">
        <v>0.4</v>
      </c>
      <c r="CX23">
        <v>0.4</v>
      </c>
      <c r="CY23">
        <v>0.4</v>
      </c>
      <c r="CZ23">
        <v>0.4</v>
      </c>
      <c r="DA23">
        <v>0.4</v>
      </c>
      <c r="DB23">
        <v>0.4</v>
      </c>
      <c r="DC23">
        <v>0.3</v>
      </c>
      <c r="DD23">
        <v>0.4</v>
      </c>
      <c r="DE23">
        <v>0.4</v>
      </c>
      <c r="DF23">
        <v>0.3</v>
      </c>
      <c r="DG23">
        <v>0.3</v>
      </c>
      <c r="DH23">
        <v>0.3</v>
      </c>
      <c r="DI23">
        <v>0.4</v>
      </c>
      <c r="DJ23" s="82" t="s">
        <v>1870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s="82" t="s">
        <v>1870</v>
      </c>
      <c r="EG23">
        <v>0.1</v>
      </c>
      <c r="EH23">
        <v>0.1</v>
      </c>
      <c r="EI23">
        <v>0.1</v>
      </c>
      <c r="EJ23">
        <v>0.1</v>
      </c>
      <c r="EK23">
        <v>0.1</v>
      </c>
      <c r="EL23">
        <v>0.1</v>
      </c>
      <c r="EM23">
        <v>0.1</v>
      </c>
      <c r="EN23">
        <v>0.1</v>
      </c>
      <c r="EO23">
        <v>0.1</v>
      </c>
      <c r="EP23">
        <v>0.2</v>
      </c>
      <c r="EQ23">
        <v>0.2</v>
      </c>
      <c r="ER23">
        <v>0.2</v>
      </c>
      <c r="ES23">
        <v>0.2</v>
      </c>
      <c r="ET23">
        <v>0.2</v>
      </c>
      <c r="EU23">
        <v>0.2</v>
      </c>
      <c r="EV23">
        <v>0.2</v>
      </c>
      <c r="EW23">
        <v>0.2</v>
      </c>
      <c r="EX23">
        <v>0.2</v>
      </c>
      <c r="EY23">
        <v>0.2</v>
      </c>
      <c r="EZ23">
        <v>0.2</v>
      </c>
      <c r="FA23">
        <v>0.2</v>
      </c>
    </row>
    <row r="24" spans="1:157">
      <c r="A24" t="s">
        <v>71</v>
      </c>
      <c r="B24" t="s">
        <v>453</v>
      </c>
      <c r="C24" t="s">
        <v>2085</v>
      </c>
      <c r="D24" t="s">
        <v>1870</v>
      </c>
      <c r="E24" t="s">
        <v>1870</v>
      </c>
      <c r="F24" t="s">
        <v>1870</v>
      </c>
      <c r="G24" t="s">
        <v>1870</v>
      </c>
      <c r="H24" t="s">
        <v>1870</v>
      </c>
      <c r="I24" t="s">
        <v>1870</v>
      </c>
      <c r="J24" t="s">
        <v>1870</v>
      </c>
      <c r="K24" t="s">
        <v>1870</v>
      </c>
      <c r="L24" t="s">
        <v>1870</v>
      </c>
      <c r="M24">
        <v>2</v>
      </c>
      <c r="N24">
        <v>1.9</v>
      </c>
      <c r="O24">
        <v>2.1</v>
      </c>
      <c r="P24">
        <v>2</v>
      </c>
      <c r="Q24">
        <v>2</v>
      </c>
      <c r="R24">
        <v>1.9</v>
      </c>
      <c r="S24">
        <v>1.8</v>
      </c>
      <c r="T24">
        <v>1.9</v>
      </c>
      <c r="U24">
        <v>1.7</v>
      </c>
      <c r="V24">
        <v>1.8</v>
      </c>
      <c r="W24">
        <v>1.9</v>
      </c>
      <c r="X24" s="15">
        <v>2</v>
      </c>
      <c r="Y24" s="15" t="s">
        <v>1870</v>
      </c>
      <c r="Z24" s="15">
        <f t="shared" si="0"/>
        <v>0</v>
      </c>
      <c r="AA24" t="s">
        <v>1870</v>
      </c>
      <c r="AB24" t="s">
        <v>1870</v>
      </c>
      <c r="AC24" t="s">
        <v>1870</v>
      </c>
      <c r="AD24" t="s">
        <v>1870</v>
      </c>
      <c r="AE24" t="s">
        <v>1870</v>
      </c>
      <c r="AF24" t="s">
        <v>1870</v>
      </c>
      <c r="AG24" t="s">
        <v>1870</v>
      </c>
      <c r="AH24" t="s">
        <v>1870</v>
      </c>
      <c r="AI24" t="s">
        <v>1870</v>
      </c>
      <c r="AJ24" t="s">
        <v>1870</v>
      </c>
      <c r="AK24" t="s">
        <v>1870</v>
      </c>
      <c r="AL24" t="s">
        <v>1870</v>
      </c>
      <c r="AM24" t="s">
        <v>1870</v>
      </c>
      <c r="AN24" t="s">
        <v>1870</v>
      </c>
      <c r="AO24" t="s">
        <v>1870</v>
      </c>
      <c r="AP24" t="s">
        <v>1870</v>
      </c>
      <c r="AQ24" t="s">
        <v>1870</v>
      </c>
      <c r="AR24" t="s">
        <v>1870</v>
      </c>
      <c r="AS24" t="s">
        <v>1870</v>
      </c>
      <c r="AT24" t="s">
        <v>1870</v>
      </c>
      <c r="AU24" t="s">
        <v>1870</v>
      </c>
      <c r="AV24" s="82" t="s">
        <v>1870</v>
      </c>
      <c r="AW24" t="s">
        <v>1870</v>
      </c>
      <c r="AX24" t="s">
        <v>1870</v>
      </c>
      <c r="AY24" t="s">
        <v>1870</v>
      </c>
      <c r="AZ24" t="s">
        <v>1870</v>
      </c>
      <c r="BA24" t="s">
        <v>1870</v>
      </c>
      <c r="BB24" t="s">
        <v>1870</v>
      </c>
      <c r="BC24" t="s">
        <v>1870</v>
      </c>
      <c r="BD24" t="s">
        <v>1870</v>
      </c>
      <c r="BE24" t="s">
        <v>1870</v>
      </c>
      <c r="BF24" t="s">
        <v>1870</v>
      </c>
      <c r="BG24" t="s">
        <v>1870</v>
      </c>
      <c r="BH24" t="s">
        <v>1870</v>
      </c>
      <c r="BI24" t="s">
        <v>1870</v>
      </c>
      <c r="BJ24" t="s">
        <v>1870</v>
      </c>
      <c r="BK24" t="s">
        <v>1870</v>
      </c>
      <c r="BL24" t="s">
        <v>1870</v>
      </c>
      <c r="BM24" t="s">
        <v>1870</v>
      </c>
      <c r="BN24" t="s">
        <v>1870</v>
      </c>
      <c r="BO24" t="s">
        <v>1870</v>
      </c>
      <c r="BP24" t="s">
        <v>1870</v>
      </c>
      <c r="BQ24" t="s">
        <v>1870</v>
      </c>
      <c r="BR24" s="82" t="s">
        <v>1870</v>
      </c>
      <c r="BS24" t="s">
        <v>1870</v>
      </c>
      <c r="BT24" t="s">
        <v>1870</v>
      </c>
      <c r="BU24" t="s">
        <v>1870</v>
      </c>
      <c r="BV24" t="s">
        <v>1870</v>
      </c>
      <c r="BW24" t="s">
        <v>1870</v>
      </c>
      <c r="BX24" t="s">
        <v>1870</v>
      </c>
      <c r="BY24" t="s">
        <v>1870</v>
      </c>
      <c r="BZ24" t="s">
        <v>1870</v>
      </c>
      <c r="CA24" t="s">
        <v>1870</v>
      </c>
      <c r="CB24" t="s">
        <v>1870</v>
      </c>
      <c r="CC24" t="s">
        <v>1870</v>
      </c>
      <c r="CD24" t="s">
        <v>1870</v>
      </c>
      <c r="CE24" t="s">
        <v>1870</v>
      </c>
      <c r="CF24" t="s">
        <v>1870</v>
      </c>
      <c r="CG24" t="s">
        <v>1870</v>
      </c>
      <c r="CH24" t="s">
        <v>1870</v>
      </c>
      <c r="CI24" t="s">
        <v>1870</v>
      </c>
      <c r="CJ24" t="s">
        <v>1870</v>
      </c>
      <c r="CK24" t="s">
        <v>1870</v>
      </c>
      <c r="CL24" t="s">
        <v>1870</v>
      </c>
      <c r="CM24" t="s">
        <v>1870</v>
      </c>
      <c r="CN24" s="82" t="s">
        <v>1870</v>
      </c>
      <c r="CO24" t="s">
        <v>1870</v>
      </c>
      <c r="CP24" t="s">
        <v>1870</v>
      </c>
      <c r="CQ24" t="s">
        <v>1870</v>
      </c>
      <c r="CR24" t="s">
        <v>1870</v>
      </c>
      <c r="CS24" t="s">
        <v>1870</v>
      </c>
      <c r="CT24" t="s">
        <v>1870</v>
      </c>
      <c r="CU24" t="s">
        <v>1870</v>
      </c>
      <c r="CV24" t="s">
        <v>1870</v>
      </c>
      <c r="CW24" t="s">
        <v>1870</v>
      </c>
      <c r="CX24" t="s">
        <v>1870</v>
      </c>
      <c r="CY24" t="s">
        <v>1870</v>
      </c>
      <c r="CZ24" t="s">
        <v>1870</v>
      </c>
      <c r="DA24" t="s">
        <v>1870</v>
      </c>
      <c r="DB24" t="s">
        <v>1870</v>
      </c>
      <c r="DC24" t="s">
        <v>1870</v>
      </c>
      <c r="DD24" t="s">
        <v>1870</v>
      </c>
      <c r="DE24" t="s">
        <v>1870</v>
      </c>
      <c r="DF24" t="s">
        <v>1870</v>
      </c>
      <c r="DG24" t="s">
        <v>1870</v>
      </c>
      <c r="DH24" t="s">
        <v>1870</v>
      </c>
      <c r="DI24" t="s">
        <v>1870</v>
      </c>
      <c r="DJ24" s="82" t="s">
        <v>1870</v>
      </c>
      <c r="DK24" t="s">
        <v>1870</v>
      </c>
      <c r="DL24" t="s">
        <v>1870</v>
      </c>
      <c r="DM24" t="s">
        <v>1870</v>
      </c>
      <c r="DN24" t="s">
        <v>1870</v>
      </c>
      <c r="DO24" t="s">
        <v>1870</v>
      </c>
      <c r="DP24" t="s">
        <v>1870</v>
      </c>
      <c r="DQ24" t="s">
        <v>1870</v>
      </c>
      <c r="DR24" t="s">
        <v>1870</v>
      </c>
      <c r="DS24" t="s">
        <v>1870</v>
      </c>
      <c r="DT24" t="s">
        <v>1870</v>
      </c>
      <c r="DU24" t="s">
        <v>1870</v>
      </c>
      <c r="DV24" t="s">
        <v>1870</v>
      </c>
      <c r="DW24" t="s">
        <v>1870</v>
      </c>
      <c r="DX24" t="s">
        <v>1870</v>
      </c>
      <c r="DY24" t="s">
        <v>1870</v>
      </c>
      <c r="DZ24" t="s">
        <v>1870</v>
      </c>
      <c r="EA24" t="s">
        <v>1870</v>
      </c>
      <c r="EB24" t="s">
        <v>1870</v>
      </c>
      <c r="EC24" t="s">
        <v>1870</v>
      </c>
      <c r="ED24" t="s">
        <v>1870</v>
      </c>
      <c r="EE24" t="s">
        <v>1870</v>
      </c>
      <c r="EF24" s="82" t="s">
        <v>1870</v>
      </c>
      <c r="EG24" t="s">
        <v>1870</v>
      </c>
      <c r="EH24" t="s">
        <v>1870</v>
      </c>
      <c r="EI24" t="s">
        <v>1870</v>
      </c>
      <c r="EJ24" t="s">
        <v>1870</v>
      </c>
      <c r="EK24" t="s">
        <v>1870</v>
      </c>
      <c r="EL24" t="s">
        <v>1870</v>
      </c>
      <c r="EM24" t="s">
        <v>1870</v>
      </c>
      <c r="EN24" t="s">
        <v>1870</v>
      </c>
      <c r="EO24" t="s">
        <v>1870</v>
      </c>
      <c r="EP24" t="s">
        <v>1870</v>
      </c>
      <c r="EQ24" t="s">
        <v>1870</v>
      </c>
      <c r="ER24" t="s">
        <v>1870</v>
      </c>
      <c r="ES24" t="s">
        <v>1870</v>
      </c>
      <c r="ET24" t="s">
        <v>1870</v>
      </c>
      <c r="EU24" t="s">
        <v>1870</v>
      </c>
      <c r="EV24" t="s">
        <v>1870</v>
      </c>
      <c r="EW24" t="s">
        <v>1870</v>
      </c>
      <c r="EX24" t="s">
        <v>1870</v>
      </c>
      <c r="EY24" t="s">
        <v>1870</v>
      </c>
      <c r="EZ24" t="s">
        <v>1870</v>
      </c>
      <c r="FA24" t="s">
        <v>1870</v>
      </c>
    </row>
    <row r="25" spans="1:157">
      <c r="A25" t="s">
        <v>51</v>
      </c>
      <c r="B25" t="s">
        <v>468</v>
      </c>
      <c r="C25" t="s">
        <v>2085</v>
      </c>
      <c r="D25">
        <v>1</v>
      </c>
      <c r="E25">
        <v>1</v>
      </c>
      <c r="F25">
        <v>1.1000000000000001</v>
      </c>
      <c r="G25">
        <v>1.1000000000000001</v>
      </c>
      <c r="H25">
        <v>1</v>
      </c>
      <c r="I25">
        <v>0.9</v>
      </c>
      <c r="J25">
        <v>0.9</v>
      </c>
      <c r="K25">
        <v>0.8</v>
      </c>
      <c r="L25">
        <v>0.8</v>
      </c>
      <c r="M25">
        <v>1</v>
      </c>
      <c r="N25">
        <v>0.9</v>
      </c>
      <c r="O25">
        <v>0.9</v>
      </c>
      <c r="P25">
        <v>0.9</v>
      </c>
      <c r="Q25">
        <v>1</v>
      </c>
      <c r="R25">
        <v>1</v>
      </c>
      <c r="S25">
        <v>1.1000000000000001</v>
      </c>
      <c r="T25">
        <v>1.2</v>
      </c>
      <c r="U25">
        <v>1.2</v>
      </c>
      <c r="V25">
        <v>1.2</v>
      </c>
      <c r="W25">
        <v>1.2</v>
      </c>
      <c r="X25" s="15">
        <v>1.3</v>
      </c>
      <c r="Y25" s="15" t="s">
        <v>1870</v>
      </c>
      <c r="Z25" s="15">
        <f t="shared" si="0"/>
        <v>1.2</v>
      </c>
      <c r="AA25">
        <v>0.4</v>
      </c>
      <c r="AB25">
        <v>0.5</v>
      </c>
      <c r="AC25">
        <v>0.5</v>
      </c>
      <c r="AD25">
        <v>0.5</v>
      </c>
      <c r="AE25">
        <v>0.4</v>
      </c>
      <c r="AF25">
        <v>0.4</v>
      </c>
      <c r="AG25">
        <v>0.4</v>
      </c>
      <c r="AH25">
        <v>0.4</v>
      </c>
      <c r="AI25">
        <v>0.4</v>
      </c>
      <c r="AJ25">
        <v>0.5</v>
      </c>
      <c r="AK25">
        <v>0.5</v>
      </c>
      <c r="AL25">
        <v>0.4</v>
      </c>
      <c r="AM25">
        <v>0.4</v>
      </c>
      <c r="AN25">
        <v>0.5</v>
      </c>
      <c r="AO25">
        <v>0.5</v>
      </c>
      <c r="AP25">
        <v>0.5</v>
      </c>
      <c r="AQ25">
        <v>0.6</v>
      </c>
      <c r="AR25">
        <v>0.6</v>
      </c>
      <c r="AS25">
        <v>0.6</v>
      </c>
      <c r="AT25">
        <v>0.6</v>
      </c>
      <c r="AU25">
        <v>0.6</v>
      </c>
      <c r="AV25" s="82" t="s">
        <v>1870</v>
      </c>
      <c r="AW25">
        <v>0.1</v>
      </c>
      <c r="AX25">
        <v>0.1</v>
      </c>
      <c r="AY25">
        <v>0.2</v>
      </c>
      <c r="AZ25">
        <v>0.2</v>
      </c>
      <c r="BA25">
        <v>0.1</v>
      </c>
      <c r="BB25">
        <v>0.2</v>
      </c>
      <c r="BC25">
        <v>0.2</v>
      </c>
      <c r="BD25">
        <v>0.2</v>
      </c>
      <c r="BE25">
        <v>0.2</v>
      </c>
      <c r="BF25">
        <v>0.2</v>
      </c>
      <c r="BG25">
        <v>0.2</v>
      </c>
      <c r="BH25">
        <v>0.2</v>
      </c>
      <c r="BI25">
        <v>0.2</v>
      </c>
      <c r="BJ25">
        <v>0.2</v>
      </c>
      <c r="BK25">
        <v>0.2</v>
      </c>
      <c r="BL25">
        <v>0.2</v>
      </c>
      <c r="BM25">
        <v>0.2</v>
      </c>
      <c r="BN25">
        <v>0.2</v>
      </c>
      <c r="BO25">
        <v>0.3</v>
      </c>
      <c r="BP25">
        <v>0.3</v>
      </c>
      <c r="BQ25">
        <v>0.3</v>
      </c>
      <c r="BR25" s="82" t="s">
        <v>1870</v>
      </c>
      <c r="BS25">
        <v>0.2</v>
      </c>
      <c r="BT25">
        <v>0.2</v>
      </c>
      <c r="BU25">
        <v>0.2</v>
      </c>
      <c r="BV25">
        <v>0.2</v>
      </c>
      <c r="BW25">
        <v>0.2</v>
      </c>
      <c r="BX25">
        <v>0.2</v>
      </c>
      <c r="BY25">
        <v>0.1</v>
      </c>
      <c r="BZ25">
        <v>0.1</v>
      </c>
      <c r="CA25">
        <v>0.1</v>
      </c>
      <c r="CB25">
        <v>0.2</v>
      </c>
      <c r="CC25">
        <v>0.2</v>
      </c>
      <c r="CD25">
        <v>0.2</v>
      </c>
      <c r="CE25">
        <v>0.2</v>
      </c>
      <c r="CF25">
        <v>0.2</v>
      </c>
      <c r="CG25">
        <v>0.2</v>
      </c>
      <c r="CH25">
        <v>0.2</v>
      </c>
      <c r="CI25">
        <v>0.2</v>
      </c>
      <c r="CJ25">
        <v>0.2</v>
      </c>
      <c r="CK25">
        <v>0.1</v>
      </c>
      <c r="CL25">
        <v>0.2</v>
      </c>
      <c r="CM25">
        <v>0.2</v>
      </c>
      <c r="CN25" s="82" t="s">
        <v>1870</v>
      </c>
      <c r="CO25">
        <v>0.1</v>
      </c>
      <c r="CP25">
        <v>0.1</v>
      </c>
      <c r="CQ25">
        <v>0.1</v>
      </c>
      <c r="CR25">
        <v>0.1</v>
      </c>
      <c r="CS25">
        <v>0.1</v>
      </c>
      <c r="CT25">
        <v>0.1</v>
      </c>
      <c r="CU25">
        <v>0.1</v>
      </c>
      <c r="CV25">
        <v>0.1</v>
      </c>
      <c r="CW25">
        <v>0.1</v>
      </c>
      <c r="CX25">
        <v>0.1</v>
      </c>
      <c r="CY25">
        <v>0.1</v>
      </c>
      <c r="CZ25">
        <v>0.1</v>
      </c>
      <c r="DA25">
        <v>0.1</v>
      </c>
      <c r="DB25">
        <v>0.1</v>
      </c>
      <c r="DC25">
        <v>0.1</v>
      </c>
      <c r="DD25">
        <v>0.1</v>
      </c>
      <c r="DE25">
        <v>0.1</v>
      </c>
      <c r="DF25">
        <v>0.1</v>
      </c>
      <c r="DG25">
        <v>0.1</v>
      </c>
      <c r="DH25">
        <v>0.1</v>
      </c>
      <c r="DI25">
        <v>0.1</v>
      </c>
      <c r="DJ25" s="82" t="s">
        <v>1870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s="82" t="s">
        <v>1870</v>
      </c>
      <c r="EG25">
        <v>0.1</v>
      </c>
      <c r="EH25">
        <v>0.1</v>
      </c>
      <c r="EI25">
        <v>0.2</v>
      </c>
      <c r="EJ25">
        <v>0.2</v>
      </c>
      <c r="EK25">
        <v>0.2</v>
      </c>
      <c r="EL25">
        <v>0</v>
      </c>
      <c r="EM25">
        <v>0</v>
      </c>
      <c r="EN25">
        <v>0</v>
      </c>
      <c r="EO25">
        <v>0</v>
      </c>
      <c r="EP25">
        <v>0</v>
      </c>
      <c r="EQ25">
        <v>0</v>
      </c>
      <c r="ER25">
        <v>0</v>
      </c>
      <c r="ES25">
        <v>0</v>
      </c>
      <c r="ET25">
        <v>0</v>
      </c>
      <c r="EU25">
        <v>0</v>
      </c>
      <c r="EV25">
        <v>0</v>
      </c>
      <c r="EW25">
        <v>0</v>
      </c>
      <c r="EX25">
        <v>0</v>
      </c>
      <c r="EY25">
        <v>0</v>
      </c>
      <c r="EZ25">
        <v>0</v>
      </c>
      <c r="FA25">
        <v>0</v>
      </c>
    </row>
    <row r="26" spans="1:157">
      <c r="A26" t="s">
        <v>1635</v>
      </c>
      <c r="B26" t="s">
        <v>441</v>
      </c>
      <c r="C26" t="s">
        <v>2085</v>
      </c>
      <c r="D26">
        <v>1.8</v>
      </c>
      <c r="E26">
        <v>2</v>
      </c>
      <c r="F26">
        <v>2</v>
      </c>
      <c r="G26">
        <v>2.2000000000000002</v>
      </c>
      <c r="H26">
        <v>2</v>
      </c>
      <c r="I26">
        <v>2.2000000000000002</v>
      </c>
      <c r="J26">
        <v>2.2000000000000002</v>
      </c>
      <c r="K26">
        <v>2.2999999999999998</v>
      </c>
      <c r="L26">
        <v>2.4</v>
      </c>
      <c r="M26">
        <v>2.4</v>
      </c>
      <c r="N26">
        <v>2.4</v>
      </c>
      <c r="O26">
        <v>2.2999999999999998</v>
      </c>
      <c r="P26">
        <v>2.2999999999999998</v>
      </c>
      <c r="Q26">
        <v>2.2000000000000002</v>
      </c>
      <c r="R26">
        <v>2.2000000000000002</v>
      </c>
      <c r="S26">
        <v>2.2000000000000002</v>
      </c>
      <c r="T26">
        <v>2.2000000000000002</v>
      </c>
      <c r="U26">
        <v>2.1</v>
      </c>
      <c r="V26">
        <v>2.1</v>
      </c>
      <c r="W26">
        <v>2.1</v>
      </c>
      <c r="X26" s="15">
        <v>2.2999999999999998</v>
      </c>
      <c r="Y26" s="15" t="s">
        <v>1870</v>
      </c>
      <c r="Z26" s="15">
        <f t="shared" si="0"/>
        <v>2.3000000000000003</v>
      </c>
      <c r="AA26" t="s">
        <v>1870</v>
      </c>
      <c r="AB26">
        <v>1</v>
      </c>
      <c r="AC26">
        <v>1.1000000000000001</v>
      </c>
      <c r="AD26">
        <v>1.2</v>
      </c>
      <c r="AE26">
        <v>1.1000000000000001</v>
      </c>
      <c r="AF26">
        <v>1.1000000000000001</v>
      </c>
      <c r="AG26">
        <v>1.2</v>
      </c>
      <c r="AH26">
        <v>1.2</v>
      </c>
      <c r="AI26">
        <v>1.2</v>
      </c>
      <c r="AJ26">
        <v>1.3</v>
      </c>
      <c r="AK26">
        <v>1.3</v>
      </c>
      <c r="AL26">
        <v>1.3</v>
      </c>
      <c r="AM26">
        <v>1.3</v>
      </c>
      <c r="AN26">
        <v>1.3</v>
      </c>
      <c r="AO26">
        <v>1.2</v>
      </c>
      <c r="AP26">
        <v>1.2</v>
      </c>
      <c r="AQ26">
        <v>1.1000000000000001</v>
      </c>
      <c r="AR26">
        <v>1.1000000000000001</v>
      </c>
      <c r="AS26">
        <v>1.1000000000000001</v>
      </c>
      <c r="AT26">
        <v>1.1000000000000001</v>
      </c>
      <c r="AU26">
        <v>1.1000000000000001</v>
      </c>
      <c r="AV26" s="82" t="s">
        <v>1870</v>
      </c>
      <c r="AW26" t="s">
        <v>1870</v>
      </c>
      <c r="AX26">
        <v>0.2</v>
      </c>
      <c r="AY26">
        <v>0.2</v>
      </c>
      <c r="AZ26">
        <v>0.2</v>
      </c>
      <c r="BA26">
        <v>0.2</v>
      </c>
      <c r="BB26">
        <v>0.2</v>
      </c>
      <c r="BC26">
        <v>0.2</v>
      </c>
      <c r="BD26">
        <v>0.2</v>
      </c>
      <c r="BE26">
        <v>0.2</v>
      </c>
      <c r="BF26">
        <v>0.2</v>
      </c>
      <c r="BG26">
        <v>0.3</v>
      </c>
      <c r="BH26">
        <v>0.2</v>
      </c>
      <c r="BI26">
        <v>0.2</v>
      </c>
      <c r="BJ26">
        <v>0.2</v>
      </c>
      <c r="BK26">
        <v>0.2</v>
      </c>
      <c r="BL26">
        <v>0.2</v>
      </c>
      <c r="BM26">
        <v>0.2</v>
      </c>
      <c r="BN26">
        <v>0.2</v>
      </c>
      <c r="BO26">
        <v>0.2</v>
      </c>
      <c r="BP26">
        <v>0.2</v>
      </c>
      <c r="BQ26">
        <v>0.2</v>
      </c>
      <c r="BR26" s="82" t="s">
        <v>1870</v>
      </c>
      <c r="BS26" t="s">
        <v>1870</v>
      </c>
      <c r="BT26">
        <v>0.5</v>
      </c>
      <c r="BU26">
        <v>0.5</v>
      </c>
      <c r="BV26">
        <v>0.6</v>
      </c>
      <c r="BW26">
        <v>0.5</v>
      </c>
      <c r="BX26">
        <v>0.5</v>
      </c>
      <c r="BY26">
        <v>0.6</v>
      </c>
      <c r="BZ26">
        <v>0.6</v>
      </c>
      <c r="CA26">
        <v>0.6</v>
      </c>
      <c r="CB26">
        <v>0.6</v>
      </c>
      <c r="CC26">
        <v>0.6</v>
      </c>
      <c r="CD26">
        <v>0.5</v>
      </c>
      <c r="CE26">
        <v>0.5</v>
      </c>
      <c r="CF26">
        <v>0.5</v>
      </c>
      <c r="CG26">
        <v>0.5</v>
      </c>
      <c r="CH26">
        <v>0.5</v>
      </c>
      <c r="CI26">
        <v>0.5</v>
      </c>
      <c r="CJ26">
        <v>0.5</v>
      </c>
      <c r="CK26">
        <v>0.5</v>
      </c>
      <c r="CL26">
        <v>0.5</v>
      </c>
      <c r="CM26">
        <v>0.6</v>
      </c>
      <c r="CN26" s="82" t="s">
        <v>1870</v>
      </c>
      <c r="CO26" t="s">
        <v>1870</v>
      </c>
      <c r="CP26">
        <v>0.2</v>
      </c>
      <c r="CQ26">
        <v>0.2</v>
      </c>
      <c r="CR26">
        <v>0.2</v>
      </c>
      <c r="CS26">
        <v>0.2</v>
      </c>
      <c r="CT26">
        <v>0.2</v>
      </c>
      <c r="CU26">
        <v>0.2</v>
      </c>
      <c r="CV26">
        <v>0.2</v>
      </c>
      <c r="CW26">
        <v>0.2</v>
      </c>
      <c r="CX26">
        <v>0.2</v>
      </c>
      <c r="CY26">
        <v>0.2</v>
      </c>
      <c r="CZ26">
        <v>0.2</v>
      </c>
      <c r="DA26">
        <v>0.2</v>
      </c>
      <c r="DB26">
        <v>0.3</v>
      </c>
      <c r="DC26">
        <v>0.3</v>
      </c>
      <c r="DD26">
        <v>0.3</v>
      </c>
      <c r="DE26">
        <v>0.2</v>
      </c>
      <c r="DF26">
        <v>0.2</v>
      </c>
      <c r="DG26">
        <v>0.2</v>
      </c>
      <c r="DH26">
        <v>0.2</v>
      </c>
      <c r="DI26">
        <v>0.2</v>
      </c>
      <c r="DJ26" s="82" t="s">
        <v>1870</v>
      </c>
      <c r="DK26" t="s">
        <v>1870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s="82" t="s">
        <v>1870</v>
      </c>
      <c r="EG26" t="s">
        <v>1870</v>
      </c>
      <c r="EH26">
        <v>0</v>
      </c>
      <c r="EI26">
        <v>0</v>
      </c>
      <c r="EJ26">
        <v>0</v>
      </c>
      <c r="EK26">
        <v>0</v>
      </c>
      <c r="EL26">
        <v>0</v>
      </c>
      <c r="EM26">
        <v>0</v>
      </c>
      <c r="EN26">
        <v>0</v>
      </c>
      <c r="EO26">
        <v>0</v>
      </c>
      <c r="EP26">
        <v>0</v>
      </c>
      <c r="EQ26">
        <v>0</v>
      </c>
      <c r="ER26">
        <v>0.1</v>
      </c>
      <c r="ES26">
        <v>0</v>
      </c>
      <c r="ET26">
        <v>0</v>
      </c>
      <c r="EU26">
        <v>0</v>
      </c>
      <c r="EV26">
        <v>0.1</v>
      </c>
      <c r="EW26">
        <v>0.1</v>
      </c>
      <c r="EX26">
        <v>0</v>
      </c>
      <c r="EY26">
        <v>0.1</v>
      </c>
      <c r="EZ26">
        <v>0.1</v>
      </c>
      <c r="FA26">
        <v>0.2</v>
      </c>
    </row>
    <row r="27" spans="1:157">
      <c r="A27" t="s">
        <v>62</v>
      </c>
      <c r="B27" t="s">
        <v>445</v>
      </c>
      <c r="C27" t="s">
        <v>2085</v>
      </c>
      <c r="D27">
        <v>1.7</v>
      </c>
      <c r="E27">
        <v>1.7</v>
      </c>
      <c r="F27">
        <v>1.8</v>
      </c>
      <c r="G27">
        <v>2</v>
      </c>
      <c r="H27">
        <v>1.9</v>
      </c>
      <c r="I27">
        <v>2</v>
      </c>
      <c r="J27">
        <v>1.9</v>
      </c>
      <c r="K27">
        <v>1.8</v>
      </c>
      <c r="L27">
        <v>1.8</v>
      </c>
      <c r="M27">
        <v>2.1</v>
      </c>
      <c r="N27">
        <v>2</v>
      </c>
      <c r="O27">
        <v>2</v>
      </c>
      <c r="P27">
        <v>1.9</v>
      </c>
      <c r="Q27">
        <v>2</v>
      </c>
      <c r="R27">
        <v>1.9</v>
      </c>
      <c r="S27">
        <v>1.9</v>
      </c>
      <c r="T27">
        <v>1.8</v>
      </c>
      <c r="U27">
        <v>1.7</v>
      </c>
      <c r="V27">
        <v>1.7</v>
      </c>
      <c r="W27">
        <v>1.6</v>
      </c>
      <c r="X27" s="15">
        <v>1.9</v>
      </c>
      <c r="Y27" s="15" t="s">
        <v>1870</v>
      </c>
      <c r="Z27" s="15">
        <f t="shared" si="0"/>
        <v>1.8000000000000003</v>
      </c>
      <c r="AA27">
        <v>1.1000000000000001</v>
      </c>
      <c r="AB27">
        <v>1.1000000000000001</v>
      </c>
      <c r="AC27">
        <v>1.1000000000000001</v>
      </c>
      <c r="AD27">
        <v>1.2</v>
      </c>
      <c r="AE27">
        <v>1.2</v>
      </c>
      <c r="AF27">
        <v>1.2</v>
      </c>
      <c r="AG27">
        <v>1.1000000000000001</v>
      </c>
      <c r="AH27">
        <v>1.1000000000000001</v>
      </c>
      <c r="AI27">
        <v>1.1000000000000001</v>
      </c>
      <c r="AJ27">
        <v>1.2</v>
      </c>
      <c r="AK27">
        <v>1.1000000000000001</v>
      </c>
      <c r="AL27">
        <v>1.1000000000000001</v>
      </c>
      <c r="AM27">
        <v>1</v>
      </c>
      <c r="AN27">
        <v>1.2</v>
      </c>
      <c r="AO27">
        <v>1.1000000000000001</v>
      </c>
      <c r="AP27">
        <v>1.1000000000000001</v>
      </c>
      <c r="AQ27">
        <v>1</v>
      </c>
      <c r="AR27">
        <v>1</v>
      </c>
      <c r="AS27">
        <v>0.9</v>
      </c>
      <c r="AT27">
        <v>1</v>
      </c>
      <c r="AU27">
        <v>1.1000000000000001</v>
      </c>
      <c r="AV27" s="82" t="s">
        <v>1870</v>
      </c>
      <c r="AW27">
        <v>0.1</v>
      </c>
      <c r="AX27">
        <v>0.1</v>
      </c>
      <c r="AY27">
        <v>0.1</v>
      </c>
      <c r="AZ27">
        <v>0.1</v>
      </c>
      <c r="BA27">
        <v>0.1</v>
      </c>
      <c r="BB27">
        <v>0.1</v>
      </c>
      <c r="BC27">
        <v>0.1</v>
      </c>
      <c r="BD27">
        <v>0.1</v>
      </c>
      <c r="BE27">
        <v>0.1</v>
      </c>
      <c r="BF27">
        <v>0.2</v>
      </c>
      <c r="BG27">
        <v>0.2</v>
      </c>
      <c r="BH27">
        <v>0.1</v>
      </c>
      <c r="BI27">
        <v>0.1</v>
      </c>
      <c r="BJ27">
        <v>0.1</v>
      </c>
      <c r="BK27">
        <v>0.1</v>
      </c>
      <c r="BL27">
        <v>0.1</v>
      </c>
      <c r="BM27">
        <v>0.1</v>
      </c>
      <c r="BN27">
        <v>0.1</v>
      </c>
      <c r="BO27">
        <v>0.2</v>
      </c>
      <c r="BP27">
        <v>0.1</v>
      </c>
      <c r="BQ27">
        <v>0.1</v>
      </c>
      <c r="BR27" s="82" t="s">
        <v>1870</v>
      </c>
      <c r="BS27">
        <v>0.3</v>
      </c>
      <c r="BT27">
        <v>0.3</v>
      </c>
      <c r="BU27">
        <v>0.4</v>
      </c>
      <c r="BV27">
        <v>0.4</v>
      </c>
      <c r="BW27">
        <v>0.4</v>
      </c>
      <c r="BX27">
        <v>0.4</v>
      </c>
      <c r="BY27">
        <v>0.4</v>
      </c>
      <c r="BZ27">
        <v>0.3</v>
      </c>
      <c r="CA27">
        <v>0.4</v>
      </c>
      <c r="CB27">
        <v>0.4</v>
      </c>
      <c r="CC27">
        <v>0.4</v>
      </c>
      <c r="CD27">
        <v>0.4</v>
      </c>
      <c r="CE27">
        <v>0.3</v>
      </c>
      <c r="CF27">
        <v>0.4</v>
      </c>
      <c r="CG27">
        <v>0.3</v>
      </c>
      <c r="CH27">
        <v>0.4</v>
      </c>
      <c r="CI27">
        <v>0.3</v>
      </c>
      <c r="CJ27">
        <v>0.3</v>
      </c>
      <c r="CK27">
        <v>0.3</v>
      </c>
      <c r="CL27">
        <v>0.3</v>
      </c>
      <c r="CM27">
        <v>0.4</v>
      </c>
      <c r="CN27" s="82" t="s">
        <v>1870</v>
      </c>
      <c r="CO27">
        <v>0.2</v>
      </c>
      <c r="CP27">
        <v>0.2</v>
      </c>
      <c r="CQ27">
        <v>0.2</v>
      </c>
      <c r="CR27">
        <v>0.2</v>
      </c>
      <c r="CS27">
        <v>0.2</v>
      </c>
      <c r="CT27">
        <v>0.2</v>
      </c>
      <c r="CU27">
        <v>0.2</v>
      </c>
      <c r="CV27">
        <v>0.2</v>
      </c>
      <c r="CW27">
        <v>0.2</v>
      </c>
      <c r="CX27">
        <v>0.2</v>
      </c>
      <c r="CY27">
        <v>0.2</v>
      </c>
      <c r="CZ27">
        <v>0.2</v>
      </c>
      <c r="DA27">
        <v>0.1</v>
      </c>
      <c r="DB27">
        <v>0.2</v>
      </c>
      <c r="DC27">
        <v>0.1</v>
      </c>
      <c r="DD27">
        <v>0.1</v>
      </c>
      <c r="DE27">
        <v>0.1</v>
      </c>
      <c r="DF27">
        <v>0.1</v>
      </c>
      <c r="DG27">
        <v>0.1</v>
      </c>
      <c r="DH27">
        <v>0.1</v>
      </c>
      <c r="DI27">
        <v>0.1</v>
      </c>
      <c r="DJ27" s="82" t="s">
        <v>1870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s="82" t="s">
        <v>1870</v>
      </c>
      <c r="EG27">
        <v>0.1</v>
      </c>
      <c r="EH27">
        <v>0.1</v>
      </c>
      <c r="EI27">
        <v>0</v>
      </c>
      <c r="EJ27">
        <v>0.1</v>
      </c>
      <c r="EK27">
        <v>0.1</v>
      </c>
      <c r="EL27">
        <v>0.1</v>
      </c>
      <c r="EM27">
        <v>0</v>
      </c>
      <c r="EN27">
        <v>0.1</v>
      </c>
      <c r="EO27">
        <v>0.1</v>
      </c>
      <c r="EP27">
        <v>0.1</v>
      </c>
      <c r="EQ27">
        <v>0.1</v>
      </c>
      <c r="ER27">
        <v>0.1</v>
      </c>
      <c r="ES27">
        <v>0.2</v>
      </c>
      <c r="ET27">
        <v>0.2</v>
      </c>
      <c r="EU27">
        <v>0.2</v>
      </c>
      <c r="EV27">
        <v>0.2</v>
      </c>
      <c r="EW27">
        <v>0.1</v>
      </c>
      <c r="EX27">
        <v>0.1</v>
      </c>
      <c r="EY27">
        <v>0.1</v>
      </c>
      <c r="EZ27">
        <v>0.1</v>
      </c>
      <c r="FA27">
        <v>0.1</v>
      </c>
    </row>
    <row r="28" spans="1:157">
      <c r="A28" t="s">
        <v>1637</v>
      </c>
      <c r="B28" t="s">
        <v>444</v>
      </c>
      <c r="C28" t="s">
        <v>2085</v>
      </c>
      <c r="D28">
        <v>3.7</v>
      </c>
      <c r="E28">
        <v>3.7</v>
      </c>
      <c r="F28">
        <v>3.1</v>
      </c>
      <c r="G28">
        <v>2.4</v>
      </c>
      <c r="H28">
        <v>2.2000000000000002</v>
      </c>
      <c r="I28">
        <v>2.1</v>
      </c>
      <c r="J28">
        <v>2.2999999999999998</v>
      </c>
      <c r="K28">
        <v>2.2000000000000002</v>
      </c>
      <c r="L28">
        <v>2.2999999999999998</v>
      </c>
      <c r="M28">
        <v>2.7</v>
      </c>
      <c r="N28">
        <v>2.2999999999999998</v>
      </c>
      <c r="O28">
        <v>2.2999999999999998</v>
      </c>
      <c r="P28">
        <v>2.2999999999999998</v>
      </c>
      <c r="Q28">
        <v>2.6</v>
      </c>
      <c r="R28">
        <v>2.2999999999999998</v>
      </c>
      <c r="S28">
        <v>2.5</v>
      </c>
      <c r="T28">
        <v>2.5</v>
      </c>
      <c r="U28">
        <v>2.2000000000000002</v>
      </c>
      <c r="V28">
        <v>2.2000000000000002</v>
      </c>
      <c r="W28">
        <v>2.2999999999999998</v>
      </c>
      <c r="X28" s="15">
        <v>2.5</v>
      </c>
      <c r="Y28" s="15" t="s">
        <v>1870</v>
      </c>
      <c r="Z28" s="15">
        <f t="shared" si="0"/>
        <v>2.4</v>
      </c>
      <c r="AA28" t="s">
        <v>1870</v>
      </c>
      <c r="AB28">
        <v>1.6</v>
      </c>
      <c r="AC28">
        <v>1.4</v>
      </c>
      <c r="AD28">
        <v>0.8</v>
      </c>
      <c r="AE28">
        <v>0.8</v>
      </c>
      <c r="AF28">
        <v>0.8</v>
      </c>
      <c r="AG28">
        <v>1</v>
      </c>
      <c r="AH28">
        <v>1</v>
      </c>
      <c r="AI28">
        <v>1.1000000000000001</v>
      </c>
      <c r="AJ28">
        <v>1.1000000000000001</v>
      </c>
      <c r="AK28">
        <v>1</v>
      </c>
      <c r="AL28">
        <v>0.9</v>
      </c>
      <c r="AM28">
        <v>0.9</v>
      </c>
      <c r="AN28">
        <v>1</v>
      </c>
      <c r="AO28">
        <v>0.9</v>
      </c>
      <c r="AP28">
        <v>0.9</v>
      </c>
      <c r="AQ28">
        <v>1.1000000000000001</v>
      </c>
      <c r="AR28">
        <v>1</v>
      </c>
      <c r="AS28">
        <v>1</v>
      </c>
      <c r="AT28">
        <v>1</v>
      </c>
      <c r="AU28">
        <v>1.1000000000000001</v>
      </c>
      <c r="AV28" s="82" t="s">
        <v>1870</v>
      </c>
      <c r="AW28" t="s">
        <v>1870</v>
      </c>
      <c r="AX28">
        <v>0.3</v>
      </c>
      <c r="AY28">
        <v>0.3</v>
      </c>
      <c r="AZ28">
        <v>0.2</v>
      </c>
      <c r="BA28">
        <v>0.2</v>
      </c>
      <c r="BB28">
        <v>0.2</v>
      </c>
      <c r="BC28">
        <v>0.2</v>
      </c>
      <c r="BD28">
        <v>0.2</v>
      </c>
      <c r="BE28">
        <v>0.2</v>
      </c>
      <c r="BF28">
        <v>0.4</v>
      </c>
      <c r="BG28">
        <v>0.2</v>
      </c>
      <c r="BH28">
        <v>0.2</v>
      </c>
      <c r="BI28">
        <v>0.2</v>
      </c>
      <c r="BJ28">
        <v>0.2</v>
      </c>
      <c r="BK28">
        <v>0.2</v>
      </c>
      <c r="BL28">
        <v>0.3</v>
      </c>
      <c r="BM28">
        <v>0.2</v>
      </c>
      <c r="BN28">
        <v>0.2</v>
      </c>
      <c r="BO28">
        <v>0.2</v>
      </c>
      <c r="BP28">
        <v>0.2</v>
      </c>
      <c r="BQ28">
        <v>0.2</v>
      </c>
      <c r="BR28" s="82" t="s">
        <v>1870</v>
      </c>
      <c r="BS28" t="s">
        <v>1870</v>
      </c>
      <c r="BT28">
        <v>0.5</v>
      </c>
      <c r="BU28">
        <v>0.4</v>
      </c>
      <c r="BV28">
        <v>0.3</v>
      </c>
      <c r="BW28">
        <v>0.3</v>
      </c>
      <c r="BX28">
        <v>0.3</v>
      </c>
      <c r="BY28">
        <v>0.3</v>
      </c>
      <c r="BZ28">
        <v>0.3</v>
      </c>
      <c r="CA28">
        <v>0.3</v>
      </c>
      <c r="CB28">
        <v>0.3</v>
      </c>
      <c r="CC28">
        <v>0.3</v>
      </c>
      <c r="CD28">
        <v>0.3</v>
      </c>
      <c r="CE28">
        <v>0.3</v>
      </c>
      <c r="CF28">
        <v>0.3</v>
      </c>
      <c r="CG28">
        <v>0.3</v>
      </c>
      <c r="CH28">
        <v>0.3</v>
      </c>
      <c r="CI28">
        <v>0.3</v>
      </c>
      <c r="CJ28">
        <v>0.3</v>
      </c>
      <c r="CK28">
        <v>0.3</v>
      </c>
      <c r="CL28">
        <v>0.3</v>
      </c>
      <c r="CM28">
        <v>0.3</v>
      </c>
      <c r="CN28" s="82" t="s">
        <v>1870</v>
      </c>
      <c r="CO28" t="s">
        <v>1870</v>
      </c>
      <c r="CP28">
        <v>0.3</v>
      </c>
      <c r="CQ28">
        <v>0.3</v>
      </c>
      <c r="CR28">
        <v>0.2</v>
      </c>
      <c r="CS28">
        <v>0.2</v>
      </c>
      <c r="CT28">
        <v>0.2</v>
      </c>
      <c r="CU28">
        <v>0.2</v>
      </c>
      <c r="CV28">
        <v>0.2</v>
      </c>
      <c r="CW28">
        <v>0.2</v>
      </c>
      <c r="CX28">
        <v>0.2</v>
      </c>
      <c r="CY28">
        <v>0.2</v>
      </c>
      <c r="CZ28">
        <v>0.2</v>
      </c>
      <c r="DA28">
        <v>0.2</v>
      </c>
      <c r="DB28">
        <v>0.2</v>
      </c>
      <c r="DC28">
        <v>0.2</v>
      </c>
      <c r="DD28">
        <v>0.2</v>
      </c>
      <c r="DE28">
        <v>0.2</v>
      </c>
      <c r="DF28">
        <v>0.2</v>
      </c>
      <c r="DG28">
        <v>0.2</v>
      </c>
      <c r="DH28">
        <v>0.2</v>
      </c>
      <c r="DI28">
        <v>0.2</v>
      </c>
      <c r="DJ28" s="82" t="s">
        <v>1870</v>
      </c>
      <c r="DK28" t="s">
        <v>1870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s="82" t="s">
        <v>1870</v>
      </c>
      <c r="EG28" t="s">
        <v>1870</v>
      </c>
      <c r="EH28">
        <v>0.9</v>
      </c>
      <c r="EI28">
        <v>0.7</v>
      </c>
      <c r="EJ28">
        <v>0.8</v>
      </c>
      <c r="EK28">
        <v>0.7</v>
      </c>
      <c r="EL28">
        <v>0.7</v>
      </c>
      <c r="EM28">
        <v>0.6</v>
      </c>
      <c r="EN28">
        <v>0.5</v>
      </c>
      <c r="EO28">
        <v>0.5</v>
      </c>
      <c r="EP28">
        <v>0.6</v>
      </c>
      <c r="EQ28">
        <v>0.6</v>
      </c>
      <c r="ER28">
        <v>0.7</v>
      </c>
      <c r="ES28">
        <v>0.7</v>
      </c>
      <c r="ET28">
        <v>0.8</v>
      </c>
      <c r="EU28">
        <v>0.7</v>
      </c>
      <c r="EV28">
        <v>0.8</v>
      </c>
      <c r="EW28">
        <v>0.7</v>
      </c>
      <c r="EX28">
        <v>0.6</v>
      </c>
      <c r="EY28">
        <v>0.5</v>
      </c>
      <c r="EZ28">
        <v>0.5</v>
      </c>
      <c r="FA28">
        <v>0.6</v>
      </c>
    </row>
    <row r="29" spans="1:157">
      <c r="A29" t="s">
        <v>1638</v>
      </c>
      <c r="B29" t="s">
        <v>447</v>
      </c>
      <c r="C29" t="s">
        <v>2085</v>
      </c>
      <c r="D29">
        <v>1.8</v>
      </c>
      <c r="E29">
        <v>1.9</v>
      </c>
      <c r="F29">
        <v>1.9</v>
      </c>
      <c r="G29">
        <v>1.9</v>
      </c>
      <c r="H29">
        <v>1.8</v>
      </c>
      <c r="I29">
        <v>1.8</v>
      </c>
      <c r="J29">
        <v>1.8</v>
      </c>
      <c r="K29">
        <v>1.7</v>
      </c>
      <c r="L29">
        <v>1.7</v>
      </c>
      <c r="M29">
        <v>1.8</v>
      </c>
      <c r="N29">
        <v>1.9</v>
      </c>
      <c r="O29">
        <v>1.8</v>
      </c>
      <c r="P29">
        <v>1.7</v>
      </c>
      <c r="Q29">
        <v>1.8</v>
      </c>
      <c r="R29">
        <v>1.6</v>
      </c>
      <c r="S29">
        <v>1.6</v>
      </c>
      <c r="T29">
        <v>1.7</v>
      </c>
      <c r="U29">
        <v>1.6</v>
      </c>
      <c r="V29">
        <v>1.5</v>
      </c>
      <c r="W29">
        <v>1.6</v>
      </c>
      <c r="X29" s="15">
        <v>1.8</v>
      </c>
      <c r="Y29" s="15" t="s">
        <v>1870</v>
      </c>
      <c r="Z29" s="15">
        <f t="shared" si="0"/>
        <v>1.8000000000000003</v>
      </c>
      <c r="AA29">
        <v>0.8</v>
      </c>
      <c r="AB29">
        <v>0.9</v>
      </c>
      <c r="AC29">
        <v>0.9</v>
      </c>
      <c r="AD29">
        <v>1</v>
      </c>
      <c r="AE29">
        <v>0.9</v>
      </c>
      <c r="AF29">
        <v>0.9</v>
      </c>
      <c r="AG29">
        <v>0.9</v>
      </c>
      <c r="AH29">
        <v>0.8</v>
      </c>
      <c r="AI29">
        <v>0.8</v>
      </c>
      <c r="AJ29">
        <v>0.9</v>
      </c>
      <c r="AK29">
        <v>0.9</v>
      </c>
      <c r="AL29">
        <v>0.9</v>
      </c>
      <c r="AM29">
        <v>0.8</v>
      </c>
      <c r="AN29">
        <v>0.8</v>
      </c>
      <c r="AO29">
        <v>0.7</v>
      </c>
      <c r="AP29">
        <v>0.8</v>
      </c>
      <c r="AQ29">
        <v>0.9</v>
      </c>
      <c r="AR29">
        <v>0.8</v>
      </c>
      <c r="AS29">
        <v>0.8</v>
      </c>
      <c r="AT29">
        <v>0.8</v>
      </c>
      <c r="AU29">
        <v>0.9</v>
      </c>
      <c r="AV29" s="82" t="s">
        <v>1870</v>
      </c>
      <c r="AW29">
        <v>0.1</v>
      </c>
      <c r="AX29">
        <v>0.1</v>
      </c>
      <c r="AY29">
        <v>0.1</v>
      </c>
      <c r="AZ29">
        <v>0.1</v>
      </c>
      <c r="BA29">
        <v>0.1</v>
      </c>
      <c r="BB29">
        <v>0.1</v>
      </c>
      <c r="BC29">
        <v>0.1</v>
      </c>
      <c r="BD29">
        <v>0.1</v>
      </c>
      <c r="BE29">
        <v>0.1</v>
      </c>
      <c r="BF29">
        <v>0.1</v>
      </c>
      <c r="BG29">
        <v>0.1</v>
      </c>
      <c r="BH29">
        <v>0.1</v>
      </c>
      <c r="BI29">
        <v>0.1</v>
      </c>
      <c r="BJ29">
        <v>0.2</v>
      </c>
      <c r="BK29">
        <v>0.1</v>
      </c>
      <c r="BL29">
        <v>0.1</v>
      </c>
      <c r="BM29">
        <v>0.1</v>
      </c>
      <c r="BN29">
        <v>0.2</v>
      </c>
      <c r="BO29">
        <v>0.1</v>
      </c>
      <c r="BP29">
        <v>0.1</v>
      </c>
      <c r="BQ29">
        <v>0.2</v>
      </c>
      <c r="BR29" s="82" t="s">
        <v>1870</v>
      </c>
      <c r="BS29">
        <v>0.6</v>
      </c>
      <c r="BT29">
        <v>0.6</v>
      </c>
      <c r="BU29">
        <v>0.6</v>
      </c>
      <c r="BV29">
        <v>0.6</v>
      </c>
      <c r="BW29">
        <v>0.6</v>
      </c>
      <c r="BX29">
        <v>0.6</v>
      </c>
      <c r="BY29">
        <v>0.5</v>
      </c>
      <c r="BZ29">
        <v>0.5</v>
      </c>
      <c r="CA29">
        <v>0.5</v>
      </c>
      <c r="CB29">
        <v>0.6</v>
      </c>
      <c r="CC29">
        <v>0.6</v>
      </c>
      <c r="CD29">
        <v>0.6</v>
      </c>
      <c r="CE29">
        <v>0.6</v>
      </c>
      <c r="CF29">
        <v>0.5</v>
      </c>
      <c r="CG29">
        <v>0.5</v>
      </c>
      <c r="CH29">
        <v>0.5</v>
      </c>
      <c r="CI29">
        <v>0.5</v>
      </c>
      <c r="CJ29">
        <v>0.5</v>
      </c>
      <c r="CK29">
        <v>0.5</v>
      </c>
      <c r="CL29">
        <v>0.5</v>
      </c>
      <c r="CM29">
        <v>0.5</v>
      </c>
      <c r="CN29" s="82" t="s">
        <v>1870</v>
      </c>
      <c r="CO29">
        <v>0.1</v>
      </c>
      <c r="CP29">
        <v>0.1</v>
      </c>
      <c r="CQ29">
        <v>0.1</v>
      </c>
      <c r="CR29">
        <v>0.1</v>
      </c>
      <c r="CS29">
        <v>0.1</v>
      </c>
      <c r="CT29">
        <v>0.1</v>
      </c>
      <c r="CU29">
        <v>0.1</v>
      </c>
      <c r="CV29">
        <v>0.1</v>
      </c>
      <c r="CW29">
        <v>0.1</v>
      </c>
      <c r="CX29">
        <v>0.1</v>
      </c>
      <c r="CY29">
        <v>0.1</v>
      </c>
      <c r="CZ29">
        <v>0.1</v>
      </c>
      <c r="DA29">
        <v>0.1</v>
      </c>
      <c r="DB29">
        <v>0.1</v>
      </c>
      <c r="DC29">
        <v>0.1</v>
      </c>
      <c r="DD29">
        <v>0.1</v>
      </c>
      <c r="DE29">
        <v>0.1</v>
      </c>
      <c r="DF29">
        <v>0.1</v>
      </c>
      <c r="DG29">
        <v>0.1</v>
      </c>
      <c r="DH29">
        <v>0.1</v>
      </c>
      <c r="DI29">
        <v>0.1</v>
      </c>
      <c r="DJ29" s="82" t="s">
        <v>1870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s="82" t="s">
        <v>1870</v>
      </c>
      <c r="EG29">
        <v>0.2</v>
      </c>
      <c r="EH29">
        <v>0.1</v>
      </c>
      <c r="EI29">
        <v>0.1</v>
      </c>
      <c r="EJ29">
        <v>0.1</v>
      </c>
      <c r="EK29">
        <v>0.1</v>
      </c>
      <c r="EL29">
        <v>0.1</v>
      </c>
      <c r="EM29">
        <v>0.2</v>
      </c>
      <c r="EN29">
        <v>0.2</v>
      </c>
      <c r="EO29">
        <v>0.1</v>
      </c>
      <c r="EP29">
        <v>0.1</v>
      </c>
      <c r="EQ29">
        <v>0.1</v>
      </c>
      <c r="ER29">
        <v>0.1</v>
      </c>
      <c r="ES29">
        <v>0.1</v>
      </c>
      <c r="ET29">
        <v>0.2</v>
      </c>
      <c r="EU29">
        <v>0.2</v>
      </c>
      <c r="EV29">
        <v>0.1</v>
      </c>
      <c r="EW29">
        <v>0.1</v>
      </c>
      <c r="EX29">
        <v>0.1</v>
      </c>
      <c r="EY29">
        <v>0.1</v>
      </c>
      <c r="EZ29">
        <v>0.1</v>
      </c>
      <c r="FA29">
        <v>0.1</v>
      </c>
    </row>
    <row r="30" spans="1:157" ht="14.25" customHeight="1">
      <c r="A30" t="s">
        <v>69</v>
      </c>
      <c r="B30" t="s">
        <v>448</v>
      </c>
      <c r="C30" t="s">
        <v>2085</v>
      </c>
      <c r="D30">
        <v>1.7</v>
      </c>
      <c r="E30">
        <v>1.8</v>
      </c>
      <c r="F30">
        <v>1.8</v>
      </c>
      <c r="G30">
        <v>1.8</v>
      </c>
      <c r="H30">
        <v>1.8</v>
      </c>
      <c r="I30">
        <v>1.8</v>
      </c>
      <c r="J30">
        <v>1.8</v>
      </c>
      <c r="K30">
        <v>1.9</v>
      </c>
      <c r="L30">
        <v>2</v>
      </c>
      <c r="M30">
        <v>2.1</v>
      </c>
      <c r="N30">
        <v>2.2000000000000002</v>
      </c>
      <c r="O30">
        <v>2.2000000000000002</v>
      </c>
      <c r="P30">
        <v>2</v>
      </c>
      <c r="Q30">
        <v>2</v>
      </c>
      <c r="R30">
        <v>2.1</v>
      </c>
      <c r="S30">
        <v>1.9</v>
      </c>
      <c r="T30">
        <v>1.9</v>
      </c>
      <c r="U30">
        <v>1.8</v>
      </c>
      <c r="V30">
        <v>1.8</v>
      </c>
      <c r="W30">
        <v>1.8</v>
      </c>
      <c r="X30" s="15">
        <v>2.1</v>
      </c>
      <c r="Y30" s="15" t="s">
        <v>1870</v>
      </c>
      <c r="Z30" s="15">
        <f t="shared" si="0"/>
        <v>2.1</v>
      </c>
      <c r="AA30">
        <v>1.1000000000000001</v>
      </c>
      <c r="AB30">
        <v>1.2</v>
      </c>
      <c r="AC30">
        <v>1.2</v>
      </c>
      <c r="AD30">
        <v>1.2</v>
      </c>
      <c r="AE30">
        <v>1.2</v>
      </c>
      <c r="AF30">
        <v>1.2</v>
      </c>
      <c r="AG30">
        <v>1.2</v>
      </c>
      <c r="AH30">
        <v>1.2</v>
      </c>
      <c r="AI30">
        <v>1.3</v>
      </c>
      <c r="AJ30">
        <v>1.3</v>
      </c>
      <c r="AK30">
        <v>1.4</v>
      </c>
      <c r="AL30">
        <v>1.4</v>
      </c>
      <c r="AM30">
        <v>1.3</v>
      </c>
      <c r="AN30">
        <v>1.3</v>
      </c>
      <c r="AO30">
        <v>1.3</v>
      </c>
      <c r="AP30">
        <v>1.2</v>
      </c>
      <c r="AQ30">
        <v>1.2</v>
      </c>
      <c r="AR30">
        <v>1.2</v>
      </c>
      <c r="AS30">
        <v>1.1000000000000001</v>
      </c>
      <c r="AT30">
        <v>1.1000000000000001</v>
      </c>
      <c r="AU30">
        <v>1.3</v>
      </c>
      <c r="AV30" s="82" t="s">
        <v>1870</v>
      </c>
      <c r="AW30">
        <v>0.1</v>
      </c>
      <c r="AX30">
        <v>0.1</v>
      </c>
      <c r="AY30">
        <v>0.1</v>
      </c>
      <c r="AZ30">
        <v>0.1</v>
      </c>
      <c r="BA30">
        <v>0.1</v>
      </c>
      <c r="BB30">
        <v>0.1</v>
      </c>
      <c r="BC30">
        <v>0.1</v>
      </c>
      <c r="BD30">
        <v>0.1</v>
      </c>
      <c r="BE30">
        <v>0.1</v>
      </c>
      <c r="BF30">
        <v>0.1</v>
      </c>
      <c r="BG30">
        <v>0.2</v>
      </c>
      <c r="BH30">
        <v>0.2</v>
      </c>
      <c r="BI30">
        <v>0.2</v>
      </c>
      <c r="BJ30">
        <v>0.2</v>
      </c>
      <c r="BK30">
        <v>0.2</v>
      </c>
      <c r="BL30">
        <v>0.2</v>
      </c>
      <c r="BM30">
        <v>0.2</v>
      </c>
      <c r="BN30">
        <v>0.2</v>
      </c>
      <c r="BO30">
        <v>0.2</v>
      </c>
      <c r="BP30">
        <v>0.2</v>
      </c>
      <c r="BQ30">
        <v>0.2</v>
      </c>
      <c r="BR30" s="82" t="s">
        <v>1870</v>
      </c>
      <c r="BS30">
        <v>0.3</v>
      </c>
      <c r="BT30">
        <v>0.3</v>
      </c>
      <c r="BU30">
        <v>0.3</v>
      </c>
      <c r="BV30">
        <v>0.3</v>
      </c>
      <c r="BW30">
        <v>0.3</v>
      </c>
      <c r="BX30">
        <v>0.3</v>
      </c>
      <c r="BY30">
        <v>0.3</v>
      </c>
      <c r="BZ30">
        <v>0.3</v>
      </c>
      <c r="CA30">
        <v>0.3</v>
      </c>
      <c r="CB30">
        <v>0.4</v>
      </c>
      <c r="CC30">
        <v>0.4</v>
      </c>
      <c r="CD30">
        <v>0.4</v>
      </c>
      <c r="CE30">
        <v>0.4</v>
      </c>
      <c r="CF30">
        <v>0.4</v>
      </c>
      <c r="CG30">
        <v>0.4</v>
      </c>
      <c r="CH30">
        <v>0.3</v>
      </c>
      <c r="CI30">
        <v>0.3</v>
      </c>
      <c r="CJ30">
        <v>0.3</v>
      </c>
      <c r="CK30">
        <v>0.3</v>
      </c>
      <c r="CL30">
        <v>0.3</v>
      </c>
      <c r="CM30">
        <v>0.4</v>
      </c>
      <c r="CN30" s="82" t="s">
        <v>1870</v>
      </c>
      <c r="CO30">
        <v>0.1</v>
      </c>
      <c r="CP30">
        <v>0.1</v>
      </c>
      <c r="CQ30">
        <v>0.1</v>
      </c>
      <c r="CR30">
        <v>0.1</v>
      </c>
      <c r="CS30">
        <v>0.1</v>
      </c>
      <c r="CT30">
        <v>0.1</v>
      </c>
      <c r="CU30">
        <v>0.1</v>
      </c>
      <c r="CV30">
        <v>0.2</v>
      </c>
      <c r="CW30">
        <v>0.2</v>
      </c>
      <c r="CX30">
        <v>0.2</v>
      </c>
      <c r="CY30">
        <v>0.2</v>
      </c>
      <c r="CZ30">
        <v>0.2</v>
      </c>
      <c r="DA30">
        <v>0.2</v>
      </c>
      <c r="DB30">
        <v>0.2</v>
      </c>
      <c r="DC30">
        <v>0.2</v>
      </c>
      <c r="DD30">
        <v>0.2</v>
      </c>
      <c r="DE30">
        <v>0.2</v>
      </c>
      <c r="DF30">
        <v>0.2</v>
      </c>
      <c r="DG30">
        <v>0.1</v>
      </c>
      <c r="DH30">
        <v>0.1</v>
      </c>
      <c r="DI30">
        <v>0.2</v>
      </c>
      <c r="DJ30" s="82" t="s">
        <v>1870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s="82" t="s">
        <v>1870</v>
      </c>
      <c r="EG30">
        <v>0</v>
      </c>
      <c r="EH30">
        <v>0</v>
      </c>
      <c r="EI30">
        <v>0</v>
      </c>
      <c r="EJ30">
        <v>0</v>
      </c>
      <c r="EK30">
        <v>0.1</v>
      </c>
      <c r="EL30">
        <v>0</v>
      </c>
      <c r="EM30">
        <v>0</v>
      </c>
      <c r="EN30">
        <v>0</v>
      </c>
      <c r="EO30">
        <v>0</v>
      </c>
      <c r="EP30">
        <v>0</v>
      </c>
      <c r="EQ30">
        <v>0</v>
      </c>
      <c r="ER30">
        <v>0</v>
      </c>
      <c r="ES30">
        <v>0</v>
      </c>
      <c r="ET30">
        <v>0</v>
      </c>
      <c r="EU30">
        <v>0</v>
      </c>
      <c r="EV30">
        <v>0</v>
      </c>
      <c r="EW30">
        <v>0</v>
      </c>
      <c r="EX30">
        <v>0</v>
      </c>
      <c r="EY30">
        <v>0</v>
      </c>
      <c r="EZ30">
        <v>0</v>
      </c>
      <c r="FA30">
        <v>0</v>
      </c>
    </row>
    <row r="31" spans="1:157">
      <c r="A31" t="s">
        <v>52</v>
      </c>
      <c r="B31" t="s">
        <v>462</v>
      </c>
      <c r="C31" t="s">
        <v>2085</v>
      </c>
      <c r="D31">
        <v>1.2</v>
      </c>
      <c r="E31">
        <v>1.3</v>
      </c>
      <c r="F31">
        <v>1.3</v>
      </c>
      <c r="G31">
        <v>1.3</v>
      </c>
      <c r="H31">
        <v>1.3</v>
      </c>
      <c r="I31">
        <v>1.3</v>
      </c>
      <c r="J31">
        <v>1.3</v>
      </c>
      <c r="K31">
        <v>1.3</v>
      </c>
      <c r="L31">
        <v>1.3</v>
      </c>
      <c r="M31">
        <v>1.3</v>
      </c>
      <c r="N31">
        <v>1.3</v>
      </c>
      <c r="O31">
        <v>1.3</v>
      </c>
      <c r="P31">
        <v>1.4</v>
      </c>
      <c r="Q31">
        <v>1.3</v>
      </c>
      <c r="R31">
        <v>1.3</v>
      </c>
      <c r="S31">
        <v>1.3</v>
      </c>
      <c r="T31">
        <v>1.3</v>
      </c>
      <c r="U31">
        <v>1.3</v>
      </c>
      <c r="V31">
        <v>1.3</v>
      </c>
      <c r="W31">
        <v>1.3</v>
      </c>
      <c r="X31" s="15">
        <v>1.4</v>
      </c>
      <c r="Y31" s="15" t="s">
        <v>1870</v>
      </c>
      <c r="Z31" s="15">
        <f t="shared" si="0"/>
        <v>1.4</v>
      </c>
      <c r="AA31" t="s">
        <v>1870</v>
      </c>
      <c r="AB31">
        <v>0.6</v>
      </c>
      <c r="AC31">
        <v>0.6</v>
      </c>
      <c r="AD31">
        <v>0.6</v>
      </c>
      <c r="AE31">
        <v>0.6</v>
      </c>
      <c r="AF31">
        <v>0.6</v>
      </c>
      <c r="AG31">
        <v>0.6</v>
      </c>
      <c r="AH31">
        <v>0.6</v>
      </c>
      <c r="AI31">
        <v>0.6</v>
      </c>
      <c r="AJ31">
        <v>0.6</v>
      </c>
      <c r="AK31">
        <v>0.6</v>
      </c>
      <c r="AL31">
        <v>0.6</v>
      </c>
      <c r="AM31">
        <v>0.6</v>
      </c>
      <c r="AN31">
        <v>0.6</v>
      </c>
      <c r="AO31">
        <v>0.6</v>
      </c>
      <c r="AP31">
        <v>0.6</v>
      </c>
      <c r="AQ31">
        <v>0.6</v>
      </c>
      <c r="AR31">
        <v>0.6</v>
      </c>
      <c r="AS31">
        <v>0.6</v>
      </c>
      <c r="AT31">
        <v>0.6</v>
      </c>
      <c r="AU31">
        <v>0.7</v>
      </c>
      <c r="AV31" s="82" t="s">
        <v>1870</v>
      </c>
      <c r="AW31" t="s">
        <v>1870</v>
      </c>
      <c r="AX31">
        <v>0.3</v>
      </c>
      <c r="AY31">
        <v>0.3</v>
      </c>
      <c r="AZ31">
        <v>0.3</v>
      </c>
      <c r="BA31">
        <v>0.2</v>
      </c>
      <c r="BB31">
        <v>0.2</v>
      </c>
      <c r="BC31">
        <v>0.2</v>
      </c>
      <c r="BD31">
        <v>0.2</v>
      </c>
      <c r="BE31">
        <v>0.2</v>
      </c>
      <c r="BF31">
        <v>0.2</v>
      </c>
      <c r="BG31">
        <v>0.2</v>
      </c>
      <c r="BH31">
        <v>0.2</v>
      </c>
      <c r="BI31">
        <v>0.2</v>
      </c>
      <c r="BJ31">
        <v>0.2</v>
      </c>
      <c r="BK31">
        <v>0.2</v>
      </c>
      <c r="BL31">
        <v>0.2</v>
      </c>
      <c r="BM31">
        <v>0.2</v>
      </c>
      <c r="BN31">
        <v>0.2</v>
      </c>
      <c r="BO31">
        <v>0.2</v>
      </c>
      <c r="BP31">
        <v>0.2</v>
      </c>
      <c r="BQ31">
        <v>0.2</v>
      </c>
      <c r="BR31" s="82" t="s">
        <v>1870</v>
      </c>
      <c r="BS31" t="s">
        <v>1870</v>
      </c>
      <c r="BT31">
        <v>0.3</v>
      </c>
      <c r="BU31">
        <v>0.3</v>
      </c>
      <c r="BV31">
        <v>0.3</v>
      </c>
      <c r="BW31">
        <v>0.3</v>
      </c>
      <c r="BX31">
        <v>0.2</v>
      </c>
      <c r="BY31">
        <v>0.3</v>
      </c>
      <c r="BZ31">
        <v>0.3</v>
      </c>
      <c r="CA31">
        <v>0.3</v>
      </c>
      <c r="CB31">
        <v>0.3</v>
      </c>
      <c r="CC31">
        <v>0.3</v>
      </c>
      <c r="CD31">
        <v>0.3</v>
      </c>
      <c r="CE31">
        <v>0.3</v>
      </c>
      <c r="CF31">
        <v>0.3</v>
      </c>
      <c r="CG31">
        <v>0.3</v>
      </c>
      <c r="CH31">
        <v>0.3</v>
      </c>
      <c r="CI31">
        <v>0.3</v>
      </c>
      <c r="CJ31">
        <v>0.3</v>
      </c>
      <c r="CK31">
        <v>0.3</v>
      </c>
      <c r="CL31">
        <v>0.3</v>
      </c>
      <c r="CM31">
        <v>0.3</v>
      </c>
      <c r="CN31" s="82" t="s">
        <v>1870</v>
      </c>
      <c r="CO31" t="s">
        <v>1870</v>
      </c>
      <c r="CP31">
        <v>0.2</v>
      </c>
      <c r="CQ31">
        <v>0.2</v>
      </c>
      <c r="CR31">
        <v>0.2</v>
      </c>
      <c r="CS31">
        <v>0.2</v>
      </c>
      <c r="CT31">
        <v>0.2</v>
      </c>
      <c r="CU31">
        <v>0.2</v>
      </c>
      <c r="CV31">
        <v>0.2</v>
      </c>
      <c r="CW31">
        <v>0.2</v>
      </c>
      <c r="CX31">
        <v>0.2</v>
      </c>
      <c r="CY31">
        <v>0.2</v>
      </c>
      <c r="CZ31">
        <v>0.2</v>
      </c>
      <c r="DA31">
        <v>0.2</v>
      </c>
      <c r="DB31">
        <v>0.2</v>
      </c>
      <c r="DC31">
        <v>0.2</v>
      </c>
      <c r="DD31">
        <v>0.2</v>
      </c>
      <c r="DE31">
        <v>0.2</v>
      </c>
      <c r="DF31">
        <v>0.2</v>
      </c>
      <c r="DG31">
        <v>0.2</v>
      </c>
      <c r="DH31">
        <v>0.2</v>
      </c>
      <c r="DI31">
        <v>0.2</v>
      </c>
      <c r="DJ31" s="82" t="s">
        <v>1870</v>
      </c>
      <c r="DK31" t="s">
        <v>1870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s="82" t="s">
        <v>1870</v>
      </c>
      <c r="EG31" t="s">
        <v>1870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row>
    <row r="32" spans="1:157">
      <c r="A32" t="s">
        <v>67</v>
      </c>
      <c r="B32" t="s">
        <v>469</v>
      </c>
      <c r="C32" t="s">
        <v>2085</v>
      </c>
      <c r="D32">
        <v>1.4</v>
      </c>
      <c r="E32">
        <v>1.4</v>
      </c>
      <c r="F32">
        <v>1.5</v>
      </c>
      <c r="G32">
        <v>1.5</v>
      </c>
      <c r="H32">
        <v>1.5</v>
      </c>
      <c r="I32">
        <v>1.5</v>
      </c>
      <c r="J32">
        <v>1.4</v>
      </c>
      <c r="K32">
        <v>1.4</v>
      </c>
      <c r="L32">
        <v>1.4</v>
      </c>
      <c r="M32">
        <v>1.5</v>
      </c>
      <c r="N32">
        <v>1.4</v>
      </c>
      <c r="O32">
        <v>1.5</v>
      </c>
      <c r="P32">
        <v>1.5</v>
      </c>
      <c r="Q32">
        <v>1.5</v>
      </c>
      <c r="R32">
        <v>1.5</v>
      </c>
      <c r="S32">
        <v>1.6</v>
      </c>
      <c r="T32">
        <v>1.5</v>
      </c>
      <c r="U32">
        <v>1.5</v>
      </c>
      <c r="V32">
        <v>1.5</v>
      </c>
      <c r="W32">
        <v>1.5</v>
      </c>
      <c r="X32" s="15">
        <v>1.6</v>
      </c>
      <c r="Y32" s="15" t="s">
        <v>1870</v>
      </c>
      <c r="Z32" s="15">
        <f t="shared" si="0"/>
        <v>1.5999999999999999</v>
      </c>
      <c r="AA32">
        <v>0.6</v>
      </c>
      <c r="AB32">
        <v>0.6</v>
      </c>
      <c r="AC32">
        <v>0.6</v>
      </c>
      <c r="AD32">
        <v>0.6</v>
      </c>
      <c r="AE32">
        <v>0.6</v>
      </c>
      <c r="AF32">
        <v>0.6</v>
      </c>
      <c r="AG32">
        <v>0.6</v>
      </c>
      <c r="AH32">
        <v>0.6</v>
      </c>
      <c r="AI32">
        <v>0.6</v>
      </c>
      <c r="AJ32">
        <v>0.6</v>
      </c>
      <c r="AK32">
        <v>0.6</v>
      </c>
      <c r="AL32">
        <v>0.6</v>
      </c>
      <c r="AM32">
        <v>0.6</v>
      </c>
      <c r="AN32">
        <v>0.6</v>
      </c>
      <c r="AO32">
        <v>0.6</v>
      </c>
      <c r="AP32">
        <v>0.6</v>
      </c>
      <c r="AQ32">
        <v>0.6</v>
      </c>
      <c r="AR32">
        <v>0.6</v>
      </c>
      <c r="AS32">
        <v>0.6</v>
      </c>
      <c r="AT32">
        <v>0.6</v>
      </c>
      <c r="AU32">
        <v>0.7</v>
      </c>
      <c r="AV32" s="82" t="s">
        <v>1870</v>
      </c>
      <c r="AW32">
        <v>0.1</v>
      </c>
      <c r="AX32">
        <v>0.1</v>
      </c>
      <c r="AY32">
        <v>0.1</v>
      </c>
      <c r="AZ32">
        <v>0.1</v>
      </c>
      <c r="BA32">
        <v>0.1</v>
      </c>
      <c r="BB32">
        <v>0.1</v>
      </c>
      <c r="BC32">
        <v>0.1</v>
      </c>
      <c r="BD32">
        <v>0.1</v>
      </c>
      <c r="BE32">
        <v>0.1</v>
      </c>
      <c r="BF32">
        <v>0.1</v>
      </c>
      <c r="BG32">
        <v>0.1</v>
      </c>
      <c r="BH32">
        <v>0.1</v>
      </c>
      <c r="BI32">
        <v>0.1</v>
      </c>
      <c r="BJ32">
        <v>0.1</v>
      </c>
      <c r="BK32">
        <v>0.1</v>
      </c>
      <c r="BL32">
        <v>0.1</v>
      </c>
      <c r="BM32">
        <v>0.1</v>
      </c>
      <c r="BN32">
        <v>0.1</v>
      </c>
      <c r="BO32">
        <v>0.1</v>
      </c>
      <c r="BP32">
        <v>0.1</v>
      </c>
      <c r="BQ32">
        <v>0.1</v>
      </c>
      <c r="BR32" s="82" t="s">
        <v>1870</v>
      </c>
      <c r="BS32">
        <v>0.2</v>
      </c>
      <c r="BT32">
        <v>0.2</v>
      </c>
      <c r="BU32">
        <v>0.3</v>
      </c>
      <c r="BV32">
        <v>0.3</v>
      </c>
      <c r="BW32">
        <v>0.3</v>
      </c>
      <c r="BX32">
        <v>0.3</v>
      </c>
      <c r="BY32">
        <v>0.3</v>
      </c>
      <c r="BZ32">
        <v>0.3</v>
      </c>
      <c r="CA32">
        <v>0.2</v>
      </c>
      <c r="CB32">
        <v>0.3</v>
      </c>
      <c r="CC32">
        <v>0.3</v>
      </c>
      <c r="CD32">
        <v>0.3</v>
      </c>
      <c r="CE32">
        <v>0.3</v>
      </c>
      <c r="CF32">
        <v>0.3</v>
      </c>
      <c r="CG32">
        <v>0.3</v>
      </c>
      <c r="CH32">
        <v>0.3</v>
      </c>
      <c r="CI32">
        <v>0.3</v>
      </c>
      <c r="CJ32">
        <v>0.3</v>
      </c>
      <c r="CK32">
        <v>0.3</v>
      </c>
      <c r="CL32">
        <v>0.3</v>
      </c>
      <c r="CM32">
        <v>0.3</v>
      </c>
      <c r="CN32" s="82" t="s">
        <v>1870</v>
      </c>
      <c r="CO32">
        <v>0.1</v>
      </c>
      <c r="CP32">
        <v>0.2</v>
      </c>
      <c r="CQ32">
        <v>0.2</v>
      </c>
      <c r="CR32">
        <v>0.2</v>
      </c>
      <c r="CS32">
        <v>0.2</v>
      </c>
      <c r="CT32">
        <v>0.2</v>
      </c>
      <c r="CU32">
        <v>0.1</v>
      </c>
      <c r="CV32">
        <v>0.1</v>
      </c>
      <c r="CW32">
        <v>0.1</v>
      </c>
      <c r="CX32">
        <v>0.1</v>
      </c>
      <c r="CY32">
        <v>0.1</v>
      </c>
      <c r="CZ32">
        <v>0.2</v>
      </c>
      <c r="DA32">
        <v>0.2</v>
      </c>
      <c r="DB32">
        <v>0.2</v>
      </c>
      <c r="DC32">
        <v>0.2</v>
      </c>
      <c r="DD32">
        <v>0.2</v>
      </c>
      <c r="DE32">
        <v>0.2</v>
      </c>
      <c r="DF32">
        <v>0.2</v>
      </c>
      <c r="DG32">
        <v>0.2</v>
      </c>
      <c r="DH32">
        <v>0.2</v>
      </c>
      <c r="DI32">
        <v>0.2</v>
      </c>
      <c r="DJ32" s="82" t="s">
        <v>1870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s="82" t="s">
        <v>1870</v>
      </c>
      <c r="EG32">
        <v>0.3</v>
      </c>
      <c r="EH32">
        <v>0.3</v>
      </c>
      <c r="EI32">
        <v>0.3</v>
      </c>
      <c r="EJ32">
        <v>0.4</v>
      </c>
      <c r="EK32">
        <v>0.3</v>
      </c>
      <c r="EL32">
        <v>0.3</v>
      </c>
      <c r="EM32">
        <v>0.3</v>
      </c>
      <c r="EN32">
        <v>0.3</v>
      </c>
      <c r="EO32">
        <v>0.3</v>
      </c>
      <c r="EP32">
        <v>0.3</v>
      </c>
      <c r="EQ32">
        <v>0.3</v>
      </c>
      <c r="ER32">
        <v>0.3</v>
      </c>
      <c r="ES32">
        <v>0.3</v>
      </c>
      <c r="ET32">
        <v>0.3</v>
      </c>
      <c r="EU32">
        <v>0.3</v>
      </c>
      <c r="EV32">
        <v>0.3</v>
      </c>
      <c r="EW32">
        <v>0.3</v>
      </c>
      <c r="EX32">
        <v>0.3</v>
      </c>
      <c r="EY32">
        <v>0.3</v>
      </c>
      <c r="EZ32">
        <v>0.3</v>
      </c>
      <c r="FA32">
        <v>0.3</v>
      </c>
    </row>
    <row r="33" spans="1:157">
      <c r="A33" t="s">
        <v>72</v>
      </c>
      <c r="B33" t="s">
        <v>454</v>
      </c>
      <c r="C33" t="s">
        <v>2085</v>
      </c>
      <c r="D33">
        <v>2</v>
      </c>
      <c r="E33">
        <v>2</v>
      </c>
      <c r="F33">
        <v>2.1</v>
      </c>
      <c r="G33">
        <v>2.2000000000000002</v>
      </c>
      <c r="H33">
        <v>2.2999999999999998</v>
      </c>
      <c r="I33">
        <v>2.2999999999999998</v>
      </c>
      <c r="J33">
        <v>2.2999999999999998</v>
      </c>
      <c r="K33">
        <v>2.2999999999999998</v>
      </c>
      <c r="L33">
        <v>2.2999999999999998</v>
      </c>
      <c r="M33">
        <v>2.5</v>
      </c>
      <c r="N33">
        <v>2.4</v>
      </c>
      <c r="O33">
        <v>2.2000000000000002</v>
      </c>
      <c r="P33">
        <v>2.2000000000000002</v>
      </c>
      <c r="Q33">
        <v>2</v>
      </c>
      <c r="R33">
        <v>1.9</v>
      </c>
      <c r="S33">
        <v>1.9</v>
      </c>
      <c r="T33">
        <v>1.8</v>
      </c>
      <c r="U33">
        <v>1.8</v>
      </c>
      <c r="V33">
        <v>1.8</v>
      </c>
      <c r="W33">
        <v>1.8</v>
      </c>
      <c r="X33" s="15">
        <v>2</v>
      </c>
      <c r="Y33" s="15" t="s">
        <v>1870</v>
      </c>
      <c r="Z33" s="15">
        <f t="shared" si="0"/>
        <v>1.9000000000000001</v>
      </c>
      <c r="AA33">
        <v>1</v>
      </c>
      <c r="AB33">
        <v>1.1000000000000001</v>
      </c>
      <c r="AC33">
        <v>1.2</v>
      </c>
      <c r="AD33">
        <v>1.2</v>
      </c>
      <c r="AE33">
        <v>1.3</v>
      </c>
      <c r="AF33">
        <v>1.3</v>
      </c>
      <c r="AG33">
        <v>1.2</v>
      </c>
      <c r="AH33">
        <v>1.3</v>
      </c>
      <c r="AI33">
        <v>1.2</v>
      </c>
      <c r="AJ33">
        <v>1.4</v>
      </c>
      <c r="AK33">
        <v>1.3</v>
      </c>
      <c r="AL33">
        <v>1.2</v>
      </c>
      <c r="AM33">
        <v>1.2</v>
      </c>
      <c r="AN33">
        <v>1.1000000000000001</v>
      </c>
      <c r="AO33">
        <v>1</v>
      </c>
      <c r="AP33">
        <v>1</v>
      </c>
      <c r="AQ33">
        <v>1</v>
      </c>
      <c r="AR33">
        <v>1</v>
      </c>
      <c r="AS33">
        <v>1</v>
      </c>
      <c r="AT33">
        <v>1</v>
      </c>
      <c r="AU33">
        <v>1.1000000000000001</v>
      </c>
      <c r="AV33" s="82" t="s">
        <v>1870</v>
      </c>
      <c r="AW33">
        <v>0.2</v>
      </c>
      <c r="AX33">
        <v>0.2</v>
      </c>
      <c r="AY33">
        <v>0.2</v>
      </c>
      <c r="AZ33">
        <v>0.2</v>
      </c>
      <c r="BA33">
        <v>0.2</v>
      </c>
      <c r="BB33">
        <v>0.2</v>
      </c>
      <c r="BC33">
        <v>0.2</v>
      </c>
      <c r="BD33">
        <v>0.2</v>
      </c>
      <c r="BE33">
        <v>0.2</v>
      </c>
      <c r="BF33">
        <v>0.2</v>
      </c>
      <c r="BG33">
        <v>0.2</v>
      </c>
      <c r="BH33">
        <v>0.2</v>
      </c>
      <c r="BI33">
        <v>0.2</v>
      </c>
      <c r="BJ33">
        <v>0.2</v>
      </c>
      <c r="BK33">
        <v>0.2</v>
      </c>
      <c r="BL33">
        <v>0.2</v>
      </c>
      <c r="BM33">
        <v>0.1</v>
      </c>
      <c r="BN33">
        <v>0.1</v>
      </c>
      <c r="BO33">
        <v>0.1</v>
      </c>
      <c r="BP33">
        <v>0.1</v>
      </c>
      <c r="BQ33">
        <v>0.2</v>
      </c>
      <c r="BR33" s="82" t="s">
        <v>1870</v>
      </c>
      <c r="BS33">
        <v>0.5</v>
      </c>
      <c r="BT33">
        <v>0.5</v>
      </c>
      <c r="BU33">
        <v>0.5</v>
      </c>
      <c r="BV33">
        <v>0.5</v>
      </c>
      <c r="BW33">
        <v>0.6</v>
      </c>
      <c r="BX33">
        <v>0.6</v>
      </c>
      <c r="BY33">
        <v>0.5</v>
      </c>
      <c r="BZ33">
        <v>0.5</v>
      </c>
      <c r="CA33">
        <v>0.5</v>
      </c>
      <c r="CB33">
        <v>0.5</v>
      </c>
      <c r="CC33">
        <v>0.5</v>
      </c>
      <c r="CD33">
        <v>0.5</v>
      </c>
      <c r="CE33">
        <v>0.5</v>
      </c>
      <c r="CF33">
        <v>0.5</v>
      </c>
      <c r="CG33">
        <v>0.4</v>
      </c>
      <c r="CH33">
        <v>0.4</v>
      </c>
      <c r="CI33">
        <v>0.4</v>
      </c>
      <c r="CJ33">
        <v>0.4</v>
      </c>
      <c r="CK33">
        <v>0.4</v>
      </c>
      <c r="CL33">
        <v>0.4</v>
      </c>
      <c r="CM33">
        <v>0.4</v>
      </c>
      <c r="CN33" s="82" t="s">
        <v>1870</v>
      </c>
      <c r="CO33">
        <v>0.2</v>
      </c>
      <c r="CP33">
        <v>0.2</v>
      </c>
      <c r="CQ33">
        <v>0.3</v>
      </c>
      <c r="CR33">
        <v>0.3</v>
      </c>
      <c r="CS33">
        <v>0.3</v>
      </c>
      <c r="CT33">
        <v>0.3</v>
      </c>
      <c r="CU33">
        <v>0.3</v>
      </c>
      <c r="CV33">
        <v>0.3</v>
      </c>
      <c r="CW33">
        <v>0.3</v>
      </c>
      <c r="CX33">
        <v>0.3</v>
      </c>
      <c r="CY33">
        <v>0.3</v>
      </c>
      <c r="CZ33">
        <v>0.3</v>
      </c>
      <c r="DA33">
        <v>0.2</v>
      </c>
      <c r="DB33">
        <v>0.2</v>
      </c>
      <c r="DC33">
        <v>0.2</v>
      </c>
      <c r="DD33">
        <v>0.2</v>
      </c>
      <c r="DE33">
        <v>0.2</v>
      </c>
      <c r="DF33">
        <v>0.2</v>
      </c>
      <c r="DG33">
        <v>0.2</v>
      </c>
      <c r="DH33">
        <v>0.2</v>
      </c>
      <c r="DI33">
        <v>0.2</v>
      </c>
      <c r="DJ33" s="82" t="s">
        <v>1870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s="82" t="s">
        <v>1870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row>
    <row r="34" spans="1:157" s="16" customFormat="1">
      <c r="A34" s="16" t="s">
        <v>77</v>
      </c>
      <c r="B34" s="16" t="s">
        <v>465</v>
      </c>
      <c r="C34" s="16" t="s">
        <v>2085</v>
      </c>
      <c r="D34" s="16">
        <f>USA_KOREA_COFOG!W15/D99*100</f>
        <v>1.9481121261931817</v>
      </c>
      <c r="E34" s="16">
        <f>USA_KOREA_COFOG!X15/E99*100</f>
        <v>2.042160551052596</v>
      </c>
      <c r="F34" s="16">
        <f>USA_KOREA_COFOG!Y15/F99*100</f>
        <v>2.1044733784117633</v>
      </c>
      <c r="G34" s="16">
        <f>USA_KOREA_COFOG!Z15/G99*100</f>
        <v>2.0748137512056526</v>
      </c>
      <c r="H34" s="16">
        <f>USA_KOREA_COFOG!AA15/H99*100</f>
        <v>2.057758009622515</v>
      </c>
      <c r="I34" s="16">
        <f>USA_KOREA_COFOG!AB15/I99*100</f>
        <v>2.0307994355481931</v>
      </c>
      <c r="J34" s="16">
        <f>USA_KOREA_COFOG!AC15/J99*100</f>
        <v>2.030313558585946</v>
      </c>
      <c r="K34" s="16">
        <f>USA_KOREA_COFOG!AD15/K99*100</f>
        <v>2.0754097794358946</v>
      </c>
      <c r="L34" s="16">
        <f>USA_KOREA_COFOG!AE15/L99*100</f>
        <v>2.1767316526572715</v>
      </c>
      <c r="M34" s="16">
        <f>USA_KOREA_COFOG!AF15/M99*100</f>
        <v>2.2668798629649709</v>
      </c>
      <c r="N34" s="16">
        <f>USA_KOREA_COFOG!AG15/N99*100</f>
        <v>2.2107810629026021</v>
      </c>
      <c r="O34" s="16">
        <f>USA_KOREA_COFOG!AH15/O99*100</f>
        <v>2.136575440728782</v>
      </c>
      <c r="P34" s="16">
        <f>USA_KOREA_COFOG!AI15/P99*100</f>
        <v>2.0493480046388726</v>
      </c>
      <c r="Q34" s="16">
        <f>USA_KOREA_COFOG!AJ15/Q99*100</f>
        <v>2.0132718011925266</v>
      </c>
      <c r="R34" s="16">
        <f>USA_KOREA_COFOG!AK15/R99*100</f>
        <v>1.9936549467029194</v>
      </c>
      <c r="S34" s="16">
        <f>USA_KOREA_COFOG!AL15/S99*100</f>
        <v>1.9850565993794362</v>
      </c>
      <c r="T34" s="16">
        <f>USA_KOREA_COFOG!AM15/T99*100</f>
        <v>1.9844772159549833</v>
      </c>
      <c r="U34" s="16">
        <f>USA_KOREA_COFOG!AN15/U99*100</f>
        <v>1.9569160194521147</v>
      </c>
      <c r="V34" s="16">
        <f>USA_KOREA_COFOG!AO15/V99*100</f>
        <v>1.9296395261884869</v>
      </c>
      <c r="W34" s="16">
        <f>USA_KOREA_COFOG!AP15/W99*100</f>
        <v>1.8902707204551623</v>
      </c>
      <c r="X34" s="15">
        <f>USA_KOREA_COFOG!AQ15/X99*100</f>
        <v>1.9599162428956027</v>
      </c>
      <c r="Y34" s="15" t="s">
        <v>1870</v>
      </c>
      <c r="Z34" s="15">
        <f t="shared" si="0"/>
        <v>1.959916242895603</v>
      </c>
      <c r="AA34" s="16">
        <f>USA_KOREA_COFOG!W16/D99*100</f>
        <v>0.78236651237202415</v>
      </c>
      <c r="AB34" s="16">
        <f>USA_KOREA_COFOG!X16/E99*100</f>
        <v>0.81743122473877639</v>
      </c>
      <c r="AC34" s="16">
        <f>USA_KOREA_COFOG!Y16/F99*100</f>
        <v>0.86100410829802998</v>
      </c>
      <c r="AD34" s="16">
        <f>USA_KOREA_COFOG!Z16/G99*100</f>
        <v>0.86676064574977407</v>
      </c>
      <c r="AE34" s="16">
        <f>USA_KOREA_COFOG!AA16/H99*100</f>
        <v>0.87254178132760585</v>
      </c>
      <c r="AF34" s="16">
        <f>USA_KOREA_COFOG!AB16/I99*100</f>
        <v>0.86048223817412117</v>
      </c>
      <c r="AG34" s="16">
        <f>USA_KOREA_COFOG!AC16/J99*100</f>
        <v>0.85844986826486003</v>
      </c>
      <c r="AH34" s="16">
        <f>USA_KOREA_COFOG!AD16/K99*100</f>
        <v>0.88432906713646653</v>
      </c>
      <c r="AI34" s="16">
        <f>USA_KOREA_COFOG!AE16/L99*100</f>
        <v>0.94246048538069105</v>
      </c>
      <c r="AJ34" s="16">
        <f>USA_KOREA_COFOG!AF16/M99*100</f>
        <v>0.98977417538964174</v>
      </c>
      <c r="AK34" s="16">
        <f>USA_KOREA_COFOG!AG16/N99*100</f>
        <v>0.9774748853410663</v>
      </c>
      <c r="AL34" s="16">
        <f>USA_KOREA_COFOG!AH16/O99*100</f>
        <v>0.95450369974352123</v>
      </c>
      <c r="AM34" s="16">
        <f>USA_KOREA_COFOG!AI16/P99*100</f>
        <v>0.92100689370891375</v>
      </c>
      <c r="AN34" s="16">
        <f>USA_KOREA_COFOG!AJ16/Q99*100</f>
        <v>0.90065860289267552</v>
      </c>
      <c r="AO34" s="16">
        <f>USA_KOREA_COFOG!AK16/R99*100</f>
        <v>0.89341267688773318</v>
      </c>
      <c r="AP34" s="16">
        <f>USA_KOREA_COFOG!AL16/S99*100</f>
        <v>0.89201215201776562</v>
      </c>
      <c r="AQ34" s="16">
        <f>USA_KOREA_COFOG!AM16/T99*100</f>
        <v>0.9018405892453103</v>
      </c>
      <c r="AR34" s="16">
        <f>USA_KOREA_COFOG!AN16/U99*100</f>
        <v>0.89786099633309258</v>
      </c>
      <c r="AS34" s="16">
        <f>USA_KOREA_COFOG!AO16/V99*100</f>
        <v>0.89101507028496396</v>
      </c>
      <c r="AT34" s="16">
        <f>USA_KOREA_COFOG!AP16/W99*100</f>
        <v>0.87682359656756792</v>
      </c>
      <c r="AU34" s="16">
        <f>USA_KOREA_COFOG!AQ16/X99*100</f>
        <v>0.91319174394256653</v>
      </c>
      <c r="AV34" s="83" t="s">
        <v>1870</v>
      </c>
      <c r="AW34" s="16">
        <f>USA_KOREA_COFOG!W17/D99*100</f>
        <v>0.25656158697486575</v>
      </c>
      <c r="AX34" s="16">
        <f>USA_KOREA_COFOG!X17/E99*100</f>
        <v>0.26460201494434377</v>
      </c>
      <c r="AY34" s="16">
        <f>USA_KOREA_COFOG!Y17/F99*100</f>
        <v>0.2781564813205113</v>
      </c>
      <c r="AZ34" s="16">
        <f>USA_KOREA_COFOG!Z17/G99*100</f>
        <v>0.27757289561775245</v>
      </c>
      <c r="BA34" s="16">
        <f>USA_KOREA_COFOG!AA17/H99*100</f>
        <v>0.2758410697067572</v>
      </c>
      <c r="BB34" s="16">
        <f>USA_KOREA_COFOG!AB17/I99*100</f>
        <v>0.2753236394870851</v>
      </c>
      <c r="BC34" s="16">
        <f>USA_KOREA_COFOG!AC17/J99*100</f>
        <v>0.28228958568574652</v>
      </c>
      <c r="BD34" s="16">
        <f>USA_KOREA_COFOG!AD17/K99*100</f>
        <v>0.29017047515415306</v>
      </c>
      <c r="BE34" s="16">
        <f>USA_KOREA_COFOG!AE17/L99*100</f>
        <v>0.30264356103819606</v>
      </c>
      <c r="BF34" s="16">
        <f>USA_KOREA_COFOG!AF17/M99*100</f>
        <v>0.3177223452053281</v>
      </c>
      <c r="BG34" s="16">
        <f>USA_KOREA_COFOG!AG17/N99*100</f>
        <v>0.31231352556784581</v>
      </c>
      <c r="BH34" s="16">
        <f>USA_KOREA_COFOG!AH17/O99*100</f>
        <v>0.30321037607702184</v>
      </c>
      <c r="BI34" s="16">
        <f>USA_KOREA_COFOG!AI17/P99*100</f>
        <v>0.29039095112265018</v>
      </c>
      <c r="BJ34" s="16">
        <f>USA_KOREA_COFOG!AJ17/Q99*100</f>
        <v>0.29448033423517939</v>
      </c>
      <c r="BK34" s="16">
        <f>USA_KOREA_COFOG!AK17/R99*100</f>
        <v>0.29172658837150467</v>
      </c>
      <c r="BL34" s="16">
        <f>USA_KOREA_COFOG!AL17/S99*100</f>
        <v>0.29111234025210331</v>
      </c>
      <c r="BM34" s="16">
        <f>USA_KOREA_COFOG!AM17/T99*100</f>
        <v>0.29259003696155683</v>
      </c>
      <c r="BN34" s="16">
        <f>USA_KOREA_COFOG!AN17/U99*100</f>
        <v>0.28747979299401477</v>
      </c>
      <c r="BO34" s="16">
        <f>USA_KOREA_COFOG!AO17/V99*100</f>
        <v>0.28596273715542586</v>
      </c>
      <c r="BP34" s="16">
        <f>USA_KOREA_COFOG!AP17/W99*100</f>
        <v>0.28541216323704183</v>
      </c>
      <c r="BQ34" s="16">
        <f>USA_KOREA_COFOG!AQ17/X99*100</f>
        <v>0.30631169608136405</v>
      </c>
      <c r="BR34" s="83" t="s">
        <v>1870</v>
      </c>
      <c r="BS34" s="16">
        <f>USA_KOREA_COFOG!W18/D99*100</f>
        <v>0.37167286934381694</v>
      </c>
      <c r="BT34" s="16">
        <f>USA_KOREA_COFOG!X18/E99*100</f>
        <v>0.39217798643536672</v>
      </c>
      <c r="BU34" s="16">
        <f>USA_KOREA_COFOG!Y18/F99*100</f>
        <v>0.39344502292046007</v>
      </c>
      <c r="BV34" s="16">
        <f>USA_KOREA_COFOG!Z18/G99*100</f>
        <v>0.37184293563887588</v>
      </c>
      <c r="BW34" s="16">
        <f>USA_KOREA_COFOG!AA18/H99*100</f>
        <v>0.36260413614271048</v>
      </c>
      <c r="BX34" s="16">
        <f>USA_KOREA_COFOG!AB18/I99*100</f>
        <v>0.35661697036628015</v>
      </c>
      <c r="BY34" s="16">
        <f>USA_KOREA_COFOG!AC18/J99*100</f>
        <v>0.35105243348099252</v>
      </c>
      <c r="BZ34" s="16">
        <f>USA_KOREA_COFOG!AD18/K99*100</f>
        <v>0.35304074477088621</v>
      </c>
      <c r="CA34" s="16">
        <f>USA_KOREA_COFOG!AE18/L99*100</f>
        <v>0.36357850621367177</v>
      </c>
      <c r="CB34" s="16">
        <f>USA_KOREA_COFOG!AF18/M99*100</f>
        <v>0.37919471199505461</v>
      </c>
      <c r="CC34" s="16">
        <f>USA_KOREA_COFOG!AG18/N99*100</f>
        <v>0.36879575891522215</v>
      </c>
      <c r="CD34" s="16">
        <f>USA_KOREA_COFOG!AH18/O99*100</f>
        <v>0.35000605779715421</v>
      </c>
      <c r="CE34" s="16">
        <f>USA_KOREA_COFOG!AI18/P99*100</f>
        <v>0.33284217067235966</v>
      </c>
      <c r="CF34" s="16">
        <f>USA_KOREA_COFOG!AJ18/Q99*100</f>
        <v>0.3146664861787199</v>
      </c>
      <c r="CG34" s="16">
        <f>USA_KOREA_COFOG!AK18/R99*100</f>
        <v>0.30938972165181061</v>
      </c>
      <c r="CH34" s="16">
        <f>USA_KOREA_COFOG!AL18/S99*100</f>
        <v>0.30594259154796521</v>
      </c>
      <c r="CI34" s="16">
        <f>USA_KOREA_COFOG!AM18/T99*100</f>
        <v>0.30328802734406346</v>
      </c>
      <c r="CJ34" s="16">
        <f>USA_KOREA_COFOG!AN18/U99*100</f>
        <v>0.29672021491167955</v>
      </c>
      <c r="CK34" s="16">
        <f>USA_KOREA_COFOG!AO18/V99*100</f>
        <v>0.29083433404052683</v>
      </c>
      <c r="CL34" s="16">
        <f>USA_KOREA_COFOG!AP18/W99*100</f>
        <v>0.2872837184058093</v>
      </c>
      <c r="CM34" s="16">
        <f>USA_KOREA_COFOG!AQ18/X99*100</f>
        <v>0.30200418785521987</v>
      </c>
      <c r="CN34" s="83" t="s">
        <v>1870</v>
      </c>
      <c r="CO34" s="16">
        <f>USA_KOREA_COFOG!W19/D99*100</f>
        <v>0.53653563816036554</v>
      </c>
      <c r="CP34" s="16">
        <f>USA_KOREA_COFOG!X19/E99*100</f>
        <v>0.56794932493410932</v>
      </c>
      <c r="CQ34" s="16">
        <f>USA_KOREA_COFOG!Y19/F99*100</f>
        <v>0.57186776587276167</v>
      </c>
      <c r="CR34" s="16">
        <f>USA_KOREA_COFOG!Z19/G99*100</f>
        <v>0.55863727419925013</v>
      </c>
      <c r="CS34" s="16">
        <f>USA_KOREA_COFOG!AA19/H99*100</f>
        <v>0.54677102244544162</v>
      </c>
      <c r="CT34" s="16">
        <f>USA_KOREA_COFOG!AB19/I99*100</f>
        <v>0.53760966930486531</v>
      </c>
      <c r="CU34" s="16">
        <f>USA_KOREA_COFOG!AC19/J99*100</f>
        <v>0.53779785170387095</v>
      </c>
      <c r="CV34" s="16">
        <f>USA_KOREA_COFOG!AD19/K99*100</f>
        <v>0.54786949237438898</v>
      </c>
      <c r="CW34" s="16">
        <f>USA_KOREA_COFOG!AE19/L99*100</f>
        <v>0.56737204507831829</v>
      </c>
      <c r="CX34" s="16">
        <f>USA_KOREA_COFOG!AF19/M99*100</f>
        <v>0.57949792962450064</v>
      </c>
      <c r="CY34" s="16">
        <f>USA_KOREA_COFOG!AG19/N99*100</f>
        <v>0.55219689307846775</v>
      </c>
      <c r="CZ34" s="16">
        <f>USA_KOREA_COFOG!AH19/O99*100</f>
        <v>0.52821427037519242</v>
      </c>
      <c r="DA34" s="16">
        <f>USA_KOREA_COFOG!AI19/P99*100</f>
        <v>0.50510798913494859</v>
      </c>
      <c r="DB34" s="16">
        <f>USA_KOREA_COFOG!AJ19/Q99*100</f>
        <v>0.50346637788595172</v>
      </c>
      <c r="DC34" s="16">
        <f>USA_KOREA_COFOG!AK19/R99*100</f>
        <v>0.49912595979187124</v>
      </c>
      <c r="DD34" s="16">
        <f>USA_KOREA_COFOG!AL19/S99*100</f>
        <v>0.49598951556160242</v>
      </c>
      <c r="DE34" s="16">
        <f>USA_KOREA_COFOG!AM19/T99*100</f>
        <v>0.48675856240405246</v>
      </c>
      <c r="DF34" s="16">
        <f>USA_KOREA_COFOG!AN19/U99*100</f>
        <v>0.47536837198653148</v>
      </c>
      <c r="DG34" s="16">
        <f>USA_KOREA_COFOG!AO19/V99*100</f>
        <v>0.46134022501906008</v>
      </c>
      <c r="DH34" s="16">
        <f>USA_KOREA_COFOG!AP19/W99*100</f>
        <v>0.44121913103693522</v>
      </c>
      <c r="DI34" s="16">
        <f>USA_KOREA_COFOG!AQ19/X99*100</f>
        <v>0.43840861501645229</v>
      </c>
      <c r="DJ34" s="83" t="s">
        <v>1870</v>
      </c>
      <c r="DK34" s="16" t="s">
        <v>1870</v>
      </c>
      <c r="DL34" s="16" t="s">
        <v>1870</v>
      </c>
      <c r="DM34" s="16" t="s">
        <v>1870</v>
      </c>
      <c r="DN34" s="16" t="s">
        <v>1870</v>
      </c>
      <c r="DO34" s="16" t="s">
        <v>1870</v>
      </c>
      <c r="DP34" s="16" t="s">
        <v>1870</v>
      </c>
      <c r="DQ34" s="16" t="s">
        <v>1870</v>
      </c>
      <c r="DR34" s="16" t="s">
        <v>1870</v>
      </c>
      <c r="DS34" s="16" t="s">
        <v>1870</v>
      </c>
      <c r="DT34" s="16" t="s">
        <v>1870</v>
      </c>
      <c r="DU34" s="16" t="s">
        <v>1870</v>
      </c>
      <c r="DV34" s="16" t="s">
        <v>1870</v>
      </c>
      <c r="DW34" s="16" t="s">
        <v>1870</v>
      </c>
      <c r="DX34" s="16" t="s">
        <v>1870</v>
      </c>
      <c r="DY34" s="16" t="s">
        <v>1870</v>
      </c>
      <c r="DZ34" s="16" t="s">
        <v>1870</v>
      </c>
      <c r="EA34" s="16" t="s">
        <v>1870</v>
      </c>
      <c r="EB34" s="16" t="s">
        <v>1870</v>
      </c>
      <c r="EC34" s="16" t="s">
        <v>1870</v>
      </c>
      <c r="ED34" s="16" t="s">
        <v>1870</v>
      </c>
      <c r="EE34" s="16" t="s">
        <v>1870</v>
      </c>
      <c r="EF34" s="83" t="s">
        <v>1870</v>
      </c>
      <c r="EG34"/>
      <c r="EH34"/>
      <c r="EI34"/>
      <c r="EJ34"/>
      <c r="EK34"/>
      <c r="EL34"/>
      <c r="EM34"/>
      <c r="EN34"/>
      <c r="EO34"/>
      <c r="EP34"/>
      <c r="EQ34"/>
      <c r="ER34"/>
      <c r="ES34"/>
      <c r="ET34"/>
      <c r="EU34"/>
      <c r="EV34"/>
      <c r="EW34"/>
      <c r="EX34"/>
      <c r="EY34"/>
      <c r="EZ34"/>
      <c r="FA34"/>
    </row>
    <row r="35" spans="1:157" s="16" customFormat="1">
      <c r="A35" s="16" t="s">
        <v>87</v>
      </c>
      <c r="D35" s="16" cm="1">
        <f t="array" ref="D35">AVERAGE(IF(ISNUMBER(D6:D34),(D6:D34)))</f>
        <v>1.5938982028412967</v>
      </c>
      <c r="E35" s="16" cm="1">
        <f t="array" ref="E35">AVERAGE(IF(ISNUMBER(E6:E34),(E6:E34)))</f>
        <v>1.6338312159659729</v>
      </c>
      <c r="F35" s="16" cm="1">
        <f t="array" ref="F35">AVERAGE(IF(ISNUMBER(F6:F34),(F6:F34)))</f>
        <v>1.6497847965354575</v>
      </c>
      <c r="G35" s="16" cm="1">
        <f t="array" ref="G35">AVERAGE(IF(ISNUMBER(G6:G34),(G6:G34)))</f>
        <v>1.6587255310304125</v>
      </c>
      <c r="H35" s="16" cm="1">
        <f t="array" ref="H35">AVERAGE(IF(ISNUMBER(H6:H34),(H6:H34)))</f>
        <v>1.6106072963153932</v>
      </c>
      <c r="I35" s="16" cm="1">
        <f t="array" ref="I35">AVERAGE(IF(ISNUMBER(I6:I34),(I6:I34)))</f>
        <v>1.6034076338662029</v>
      </c>
      <c r="J35" s="16" cm="1">
        <f t="array" ref="J35">AVERAGE(IF(ISNUMBER(J6:J34),(J6:J34)))</f>
        <v>1.5899975568329683</v>
      </c>
      <c r="K35" s="16" cm="1">
        <f t="array" ref="K35">AVERAGE(IF(ISNUMBER(K6:K34),(K6:K34)))</f>
        <v>1.5796589219873507</v>
      </c>
      <c r="L35" s="16" cm="1">
        <f t="array" ref="L35">AVERAGE(IF(ISNUMBER(L6:L34),(L6:L34)))</f>
        <v>1.6097001478641275</v>
      </c>
      <c r="M35" s="16" cm="1">
        <f t="array" ref="M35">AVERAGE(IF(ISNUMBER(M6:M34),(M6:M34)))</f>
        <v>1.7446509634323009</v>
      </c>
      <c r="N35" s="16" cm="1">
        <f t="array" ref="N35">AVERAGE(IF(ISNUMBER(N6:N34),(N6:N34)))</f>
        <v>1.6920881326832045</v>
      </c>
      <c r="O35" s="16" cm="1">
        <f t="array" ref="O35">AVERAGE(IF(ISNUMBER(O6:O34),(O6:O34)))</f>
        <v>1.6859730305682048</v>
      </c>
      <c r="P35" s="16" cm="1">
        <f t="array" ref="P35">AVERAGE(IF(ISNUMBER(P6:P34),(P6:P34)))</f>
        <v>1.653955866517302</v>
      </c>
      <c r="Q35" s="16" cm="1">
        <f t="array" ref="Q35">AVERAGE(IF(ISNUMBER(Q6:Q34),(Q6:Q34)))</f>
        <v>1.663799685923443</v>
      </c>
      <c r="R35" s="16" cm="1">
        <f t="array" ref="R35">AVERAGE(IF(ISNUMBER(R6:R34),(R6:R34)))</f>
        <v>1.6392334351233999</v>
      </c>
      <c r="S35" s="16" cm="1">
        <f t="array" ref="S35">AVERAGE(IF(ISNUMBER(S6:S34),(S6:S34)))</f>
        <v>1.6257653619678381</v>
      </c>
      <c r="T35" s="16" cm="1">
        <f t="array" ref="T35">AVERAGE(IF(ISNUMBER(T6:T34),(T6:T34)))</f>
        <v>1.6274707757414377</v>
      </c>
      <c r="U35" s="16" cm="1">
        <f t="array" ref="U35">AVERAGE(IF(ISNUMBER(U6:U34),(U6:U34)))</f>
        <v>1.5914651137380857</v>
      </c>
      <c r="V35" s="16" cm="1">
        <f t="array" ref="V35">AVERAGE(IF(ISNUMBER(V6:V34),(V6:V34)))</f>
        <v>1.6072616977906262</v>
      </c>
      <c r="W35" s="16" cm="1">
        <f t="array" ref="W35">AVERAGE(IF(ISNUMBER(W6:W34),(W6:W34)))</f>
        <v>1.6162058852888943</v>
      </c>
      <c r="X35" s="16" cm="1">
        <f t="array" ref="X35">AVERAGE(IF(ISNUMBER(X6:X34),(X6:X34)))</f>
        <v>1.7664255801034141</v>
      </c>
      <c r="Y35" s="15"/>
      <c r="Z35" s="15"/>
      <c r="AV35" s="83"/>
      <c r="BR35" s="83"/>
      <c r="CN35" s="83"/>
      <c r="DJ35" s="83"/>
      <c r="EF35" s="83"/>
      <c r="EG35"/>
      <c r="EH35"/>
      <c r="EI35"/>
      <c r="EJ35"/>
      <c r="EK35"/>
      <c r="EL35"/>
      <c r="EM35"/>
      <c r="EN35"/>
      <c r="EO35"/>
      <c r="EP35"/>
      <c r="EQ35"/>
      <c r="ER35"/>
      <c r="ES35"/>
      <c r="ET35"/>
      <c r="EU35"/>
      <c r="EV35"/>
      <c r="EW35"/>
      <c r="EX35"/>
      <c r="EY35"/>
      <c r="EZ35"/>
      <c r="FA35"/>
    </row>
    <row r="37" spans="1:157">
      <c r="A37" t="s">
        <v>2087</v>
      </c>
      <c r="Z37" s="15" t="s">
        <v>2087</v>
      </c>
      <c r="AS37" s="82"/>
      <c r="AV37"/>
      <c r="BO37" s="82"/>
      <c r="BR37"/>
      <c r="CK37" s="82"/>
      <c r="CN37"/>
      <c r="DG37" s="82"/>
      <c r="DJ37"/>
      <c r="EC37" s="82"/>
      <c r="EF37"/>
    </row>
    <row r="38" spans="1:157">
      <c r="A38" t="s">
        <v>2088</v>
      </c>
      <c r="D38">
        <f>'WEO GOV REV'!AE3</f>
        <v>2000</v>
      </c>
      <c r="E38">
        <f>'WEO GOV REV'!AF3</f>
        <v>2001</v>
      </c>
      <c r="F38">
        <f>'WEO GOV REV'!AG3</f>
        <v>2002</v>
      </c>
      <c r="G38">
        <f>'WEO GOV REV'!AH3</f>
        <v>2003</v>
      </c>
      <c r="H38">
        <f>'WEO GOV REV'!AI3</f>
        <v>2004</v>
      </c>
      <c r="I38">
        <f>'WEO GOV REV'!AJ3</f>
        <v>2005</v>
      </c>
      <c r="J38">
        <f>'WEO GOV REV'!AK3</f>
        <v>2006</v>
      </c>
      <c r="K38">
        <f>'WEO GOV REV'!AL3</f>
        <v>2007</v>
      </c>
      <c r="L38">
        <f>'WEO GOV REV'!AM3</f>
        <v>2008</v>
      </c>
      <c r="M38">
        <f>'WEO GOV REV'!AN3</f>
        <v>2009</v>
      </c>
      <c r="N38">
        <f>'WEO GOV REV'!AO3</f>
        <v>2010</v>
      </c>
      <c r="O38">
        <f>'WEO GOV REV'!AP3</f>
        <v>2011</v>
      </c>
      <c r="P38">
        <f>'WEO GOV REV'!AQ3</f>
        <v>2012</v>
      </c>
      <c r="Q38">
        <f>'WEO GOV REV'!AR3</f>
        <v>2013</v>
      </c>
      <c r="R38">
        <f>'WEO GOV REV'!AS3</f>
        <v>2014</v>
      </c>
      <c r="S38">
        <f>'WEO GOV REV'!AT3</f>
        <v>2015</v>
      </c>
      <c r="T38">
        <f>'WEO GOV REV'!AU3</f>
        <v>2016</v>
      </c>
      <c r="U38">
        <f>'WEO GOV REV'!AV3</f>
        <v>2017</v>
      </c>
      <c r="V38">
        <f>'WEO GOV REV'!AW3</f>
        <v>2018</v>
      </c>
      <c r="W38">
        <f>'WEO GOV REV'!AX3</f>
        <v>2019</v>
      </c>
      <c r="X38" s="15">
        <f>'WEO GOV REV'!AY3</f>
        <v>2020</v>
      </c>
      <c r="Y38" s="15">
        <f>'WEO GOV REV'!AZ3</f>
        <v>2021</v>
      </c>
      <c r="Z38" s="15" t="s">
        <v>2088</v>
      </c>
      <c r="AA38">
        <v>2000</v>
      </c>
      <c r="AB38">
        <v>2001</v>
      </c>
      <c r="AC38">
        <v>2002</v>
      </c>
      <c r="AD38">
        <v>2003</v>
      </c>
      <c r="AE38">
        <v>2004</v>
      </c>
      <c r="AF38">
        <v>2005</v>
      </c>
      <c r="AG38">
        <v>2006</v>
      </c>
      <c r="AH38">
        <v>2007</v>
      </c>
      <c r="AI38">
        <v>2008</v>
      </c>
      <c r="AJ38">
        <v>2009</v>
      </c>
      <c r="AK38">
        <v>2010</v>
      </c>
      <c r="AL38">
        <v>2011</v>
      </c>
      <c r="AM38">
        <v>2012</v>
      </c>
      <c r="AN38">
        <v>2013</v>
      </c>
      <c r="AO38">
        <v>2014</v>
      </c>
      <c r="AP38">
        <v>2015</v>
      </c>
      <c r="AQ38">
        <v>2016</v>
      </c>
      <c r="AR38">
        <v>2017</v>
      </c>
      <c r="AS38" s="82">
        <v>2018</v>
      </c>
      <c r="AT38">
        <v>2019</v>
      </c>
      <c r="AU38">
        <v>2020</v>
      </c>
      <c r="AV38">
        <v>2021</v>
      </c>
      <c r="BO38" s="82"/>
      <c r="BR38"/>
      <c r="CK38" s="82"/>
      <c r="CN38"/>
      <c r="DG38" s="82"/>
      <c r="DJ38"/>
      <c r="EC38" s="82"/>
      <c r="EF38"/>
    </row>
    <row r="39" spans="1:157">
      <c r="A39" t="s">
        <v>74</v>
      </c>
      <c r="B39" t="s">
        <v>461</v>
      </c>
      <c r="C39" t="s">
        <v>2085</v>
      </c>
      <c r="D39">
        <f>'WEO GOV REV'!AE13</f>
        <v>250.661</v>
      </c>
      <c r="E39">
        <f>'WEO GOV REV'!AF13</f>
        <v>259.96499999999997</v>
      </c>
      <c r="F39">
        <f>'WEO GOV REV'!AG13</f>
        <v>274.66399999999999</v>
      </c>
      <c r="G39">
        <f>'WEO GOV REV'!AH13</f>
        <v>298.52800000000002</v>
      </c>
      <c r="H39">
        <f>'WEO GOV REV'!AI13</f>
        <v>323.38600000000002</v>
      </c>
      <c r="I39">
        <f>'WEO GOV REV'!AJ13</f>
        <v>349.84500000000003</v>
      </c>
      <c r="J39">
        <f>'WEO GOV REV'!AK13</f>
        <v>377.59399999999999</v>
      </c>
      <c r="K39">
        <f>'WEO GOV REV'!AL13</f>
        <v>405.37599999999998</v>
      </c>
      <c r="L39">
        <f>'WEO GOV REV'!AM13</f>
        <v>419.75299999999999</v>
      </c>
      <c r="M39">
        <f>'WEO GOV REV'!AN13</f>
        <v>419.791</v>
      </c>
      <c r="N39">
        <f>'WEO GOV REV'!AO13</f>
        <v>434.37400000000002</v>
      </c>
      <c r="O39">
        <f>'WEO GOV REV'!AP13</f>
        <v>466.63499999999999</v>
      </c>
      <c r="P39">
        <f>'WEO GOV REV'!AQ13</f>
        <v>500.983</v>
      </c>
      <c r="Q39">
        <f>'WEO GOV REV'!AR13</f>
        <v>528.10400000000004</v>
      </c>
      <c r="R39">
        <f>'WEO GOV REV'!AS13</f>
        <v>547.55799999999999</v>
      </c>
      <c r="S39">
        <f>'WEO GOV REV'!AT13</f>
        <v>566.89700000000005</v>
      </c>
      <c r="T39">
        <f>'WEO GOV REV'!AU13</f>
        <v>593.66399999999999</v>
      </c>
      <c r="U39">
        <f>'WEO GOV REV'!AV13</f>
        <v>633.42200000000003</v>
      </c>
      <c r="V39">
        <f>'WEO GOV REV'!AW13</f>
        <v>676.76</v>
      </c>
      <c r="W39">
        <f>'WEO GOV REV'!AX13</f>
        <v>690.74300000000005</v>
      </c>
      <c r="X39" s="15">
        <f>'WEO GOV REV'!AY13</f>
        <v>709.49699999999996</v>
      </c>
      <c r="Y39" s="15">
        <f>'WEO GOV REV'!AZ13</f>
        <v>763.26199999999994</v>
      </c>
      <c r="AA39">
        <f>D39/D71*100</f>
        <v>36.523053027135013</v>
      </c>
      <c r="AB39">
        <f t="shared" ref="AB39:AS53" si="1">E39/E71*100</f>
        <v>35.645238251941549</v>
      </c>
      <c r="AC39">
        <f t="shared" si="1"/>
        <v>35.141653371136563</v>
      </c>
      <c r="AD39">
        <f t="shared" si="1"/>
        <v>35.974900671589005</v>
      </c>
      <c r="AE39">
        <f t="shared" si="1"/>
        <v>36.181874937764256</v>
      </c>
      <c r="AF39">
        <f t="shared" si="1"/>
        <v>36.328283195397766</v>
      </c>
      <c r="AG39">
        <f t="shared" si="1"/>
        <v>36.359907172914518</v>
      </c>
      <c r="AH39">
        <f t="shared" si="1"/>
        <v>35.819777151390369</v>
      </c>
      <c r="AI39">
        <f t="shared" si="1"/>
        <v>33.999659803333927</v>
      </c>
      <c r="AJ39">
        <f t="shared" si="1"/>
        <v>33.218408995592412</v>
      </c>
      <c r="AK39">
        <f t="shared" si="1"/>
        <v>31.860550404882058</v>
      </c>
      <c r="AL39">
        <f t="shared" si="1"/>
        <v>31.800122665939757</v>
      </c>
      <c r="AM39">
        <f t="shared" si="1"/>
        <v>33.068621367938853</v>
      </c>
      <c r="AN39">
        <f t="shared" si="1"/>
        <v>33.669365635957924</v>
      </c>
      <c r="AO39">
        <f t="shared" si="1"/>
        <v>33.935619019287024</v>
      </c>
      <c r="AP39">
        <f t="shared" si="1"/>
        <v>34.599168736687282</v>
      </c>
      <c r="AQ39">
        <f t="shared" si="1"/>
        <v>34.940526287910444</v>
      </c>
      <c r="AR39">
        <f t="shared" si="1"/>
        <v>35.144228368518881</v>
      </c>
      <c r="AS39">
        <f t="shared" si="1"/>
        <v>35.731784582893347</v>
      </c>
      <c r="AT39">
        <f>W39/W71*100</f>
        <v>34.641941874169362</v>
      </c>
      <c r="AU39">
        <f t="shared" ref="AU39:AV54" si="2">X39/X71*100</f>
        <v>36.089820542036293</v>
      </c>
      <c r="AV39">
        <f t="shared" si="2"/>
        <v>35.131756399103359</v>
      </c>
    </row>
    <row r="40" spans="1:157">
      <c r="A40" t="s">
        <v>53</v>
      </c>
      <c r="B40" t="s">
        <v>458</v>
      </c>
      <c r="C40" t="s">
        <v>2085</v>
      </c>
      <c r="D40">
        <f>'WEO GOV REV'!AE14</f>
        <v>103.79300000000001</v>
      </c>
      <c r="E40">
        <f>'WEO GOV REV'!AF14</f>
        <v>111.803</v>
      </c>
      <c r="F40">
        <f>'WEO GOV REV'!AG14</f>
        <v>114.651</v>
      </c>
      <c r="G40">
        <f>'WEO GOV REV'!AH14</f>
        <v>112.556</v>
      </c>
      <c r="H40">
        <f>'WEO GOV REV'!AI14</f>
        <v>118.42400000000001</v>
      </c>
      <c r="I40">
        <f>'WEO GOV REV'!AJ14</f>
        <v>123.515</v>
      </c>
      <c r="J40">
        <f>'WEO GOV REV'!AK14</f>
        <v>128.059</v>
      </c>
      <c r="K40">
        <f>'WEO GOV REV'!AL14</f>
        <v>135.91</v>
      </c>
      <c r="L40">
        <f>'WEO GOV REV'!AM14</f>
        <v>142.03299999999999</v>
      </c>
      <c r="M40">
        <f>'WEO GOV REV'!AN14</f>
        <v>140.523</v>
      </c>
      <c r="N40">
        <f>'WEO GOV REV'!AO14</f>
        <v>143.161</v>
      </c>
      <c r="O40">
        <f>'WEO GOV REV'!AP14</f>
        <v>149.83799999999999</v>
      </c>
      <c r="P40">
        <f>'WEO GOV REV'!AQ14</f>
        <v>156.21600000000001</v>
      </c>
      <c r="Q40">
        <f>'WEO GOV REV'!AR14</f>
        <v>160.976</v>
      </c>
      <c r="R40">
        <f>'WEO GOV REV'!AS14</f>
        <v>165.226</v>
      </c>
      <c r="S40">
        <f>'WEO GOV REV'!AT14</f>
        <v>172.06899999999999</v>
      </c>
      <c r="T40">
        <f>'WEO GOV REV'!AU14</f>
        <v>173.571</v>
      </c>
      <c r="U40">
        <f>'WEO GOV REV'!AV14</f>
        <v>179.077</v>
      </c>
      <c r="V40">
        <f>'WEO GOV REV'!AW14</f>
        <v>188.506</v>
      </c>
      <c r="W40">
        <f>'WEO GOV REV'!AX14</f>
        <v>195.483</v>
      </c>
      <c r="X40" s="15">
        <f>'WEO GOV REV'!AY14</f>
        <v>184.91499999999999</v>
      </c>
      <c r="Y40" s="15">
        <f>'WEO GOV REV'!AZ14</f>
        <v>200.71100000000001</v>
      </c>
      <c r="AA40">
        <f t="shared" ref="AA40:AA67" si="3">D40/D72*100</f>
        <v>48.590863552521938</v>
      </c>
      <c r="AB40">
        <f t="shared" si="1"/>
        <v>50.698560253939462</v>
      </c>
      <c r="AC40">
        <f t="shared" si="1"/>
        <v>50.566079343727253</v>
      </c>
      <c r="AD40">
        <f t="shared" si="1"/>
        <v>48.544183418656708</v>
      </c>
      <c r="AE40">
        <f t="shared" si="1"/>
        <v>48.865268126825889</v>
      </c>
      <c r="AF40">
        <f t="shared" si="1"/>
        <v>48.613598346944805</v>
      </c>
      <c r="AG40">
        <f t="shared" si="1"/>
        <v>47.814609594360476</v>
      </c>
      <c r="AH40">
        <f t="shared" si="1"/>
        <v>47.859341216573114</v>
      </c>
      <c r="AI40">
        <f t="shared" si="1"/>
        <v>48.349684438422933</v>
      </c>
      <c r="AJ40">
        <f t="shared" si="1"/>
        <v>48.785255030481459</v>
      </c>
      <c r="AK40">
        <f t="shared" si="1"/>
        <v>48.382038344423904</v>
      </c>
      <c r="AL40">
        <f t="shared" si="1"/>
        <v>48.314733546362959</v>
      </c>
      <c r="AM40">
        <f t="shared" si="1"/>
        <v>49.023859809887242</v>
      </c>
      <c r="AN40">
        <f t="shared" si="1"/>
        <v>49.697755549380993</v>
      </c>
      <c r="AO40">
        <f t="shared" si="1"/>
        <v>49.595672768095667</v>
      </c>
      <c r="AP40">
        <f t="shared" si="1"/>
        <v>49.980974180074298</v>
      </c>
      <c r="AQ40">
        <f t="shared" si="1"/>
        <v>48.536665846401647</v>
      </c>
      <c r="AR40">
        <f t="shared" si="1"/>
        <v>48.48278924199024</v>
      </c>
      <c r="AS40">
        <f t="shared" si="1"/>
        <v>48.90873427705592</v>
      </c>
      <c r="AT40">
        <f t="shared" ref="AT40:AT67" si="4">W40/W72*100</f>
        <v>49.17576266794795</v>
      </c>
      <c r="AU40">
        <f t="shared" si="2"/>
        <v>48.748948779529734</v>
      </c>
      <c r="AV40">
        <f t="shared" si="2"/>
        <v>49.758534348117117</v>
      </c>
    </row>
    <row r="41" spans="1:157">
      <c r="A41" t="s">
        <v>58</v>
      </c>
      <c r="B41" t="s">
        <v>456</v>
      </c>
      <c r="C41" t="s">
        <v>2085</v>
      </c>
      <c r="D41">
        <f>'WEO GOV REV'!AE21</f>
        <v>126.443</v>
      </c>
      <c r="E41">
        <f>'WEO GOV REV'!AF21</f>
        <v>131.143</v>
      </c>
      <c r="F41">
        <f>'WEO GOV REV'!AG21</f>
        <v>136.245</v>
      </c>
      <c r="G41">
        <f>'WEO GOV REV'!AH21</f>
        <v>138.303</v>
      </c>
      <c r="H41">
        <f>'WEO GOV REV'!AI21</f>
        <v>145.68</v>
      </c>
      <c r="I41">
        <f>'WEO GOV REV'!AJ21</f>
        <v>152.374</v>
      </c>
      <c r="J41">
        <f>'WEO GOV REV'!AK21</f>
        <v>159.41800000000001</v>
      </c>
      <c r="K41">
        <f>'WEO GOV REV'!AL21</f>
        <v>167.1</v>
      </c>
      <c r="L41">
        <f>'WEO GOV REV'!AM21</f>
        <v>174.74600000000001</v>
      </c>
      <c r="M41">
        <f>'WEO GOV REV'!AN21</f>
        <v>170.637</v>
      </c>
      <c r="N41">
        <f>'WEO GOV REV'!AO21</f>
        <v>180.81</v>
      </c>
      <c r="O41">
        <f>'WEO GOV REV'!AP21</f>
        <v>191.648</v>
      </c>
      <c r="P41">
        <f>'WEO GOV REV'!AQ21</f>
        <v>201.42500000000001</v>
      </c>
      <c r="Q41">
        <f>'WEO GOV REV'!AR21</f>
        <v>208.17500000000001</v>
      </c>
      <c r="R41">
        <f>'WEO GOV REV'!AS21</f>
        <v>211.755</v>
      </c>
      <c r="S41">
        <f>'WEO GOV REV'!AT21</f>
        <v>213.79300000000001</v>
      </c>
      <c r="T41">
        <f>'WEO GOV REV'!AU21</f>
        <v>218.28800000000001</v>
      </c>
      <c r="U41">
        <f>'WEO GOV REV'!AV21</f>
        <v>228.517</v>
      </c>
      <c r="V41">
        <f>'WEO GOV REV'!AW21</f>
        <v>236.441</v>
      </c>
      <c r="W41">
        <f>'WEO GOV REV'!AX21</f>
        <v>238.77600000000001</v>
      </c>
      <c r="X41" s="15">
        <f>'WEO GOV REV'!AY21</f>
        <v>228.97800000000001</v>
      </c>
      <c r="Y41" s="15">
        <f>'WEO GOV REV'!AZ21</f>
        <v>250.77099999999999</v>
      </c>
      <c r="AA41">
        <f t="shared" si="3"/>
        <v>49.31935906637127</v>
      </c>
      <c r="AB41">
        <f t="shared" si="1"/>
        <v>49.612423629107013</v>
      </c>
      <c r="AC41">
        <f t="shared" si="1"/>
        <v>49.860020859636606</v>
      </c>
      <c r="AD41">
        <f t="shared" si="1"/>
        <v>49.182968766113916</v>
      </c>
      <c r="AE41">
        <f t="shared" si="1"/>
        <v>49.08025065696382</v>
      </c>
      <c r="AF41">
        <f t="shared" si="1"/>
        <v>49.147037289097753</v>
      </c>
      <c r="AG41">
        <f t="shared" si="1"/>
        <v>49.028912720551375</v>
      </c>
      <c r="AH41">
        <f t="shared" si="1"/>
        <v>48.6294413289137</v>
      </c>
      <c r="AI41">
        <f t="shared" si="1"/>
        <v>49.680163301510767</v>
      </c>
      <c r="AJ41">
        <f t="shared" si="1"/>
        <v>49.249725086803295</v>
      </c>
      <c r="AK41">
        <f t="shared" si="1"/>
        <v>49.790714325053706</v>
      </c>
      <c r="AL41">
        <f t="shared" si="1"/>
        <v>50.974551025619199</v>
      </c>
      <c r="AM41">
        <f t="shared" si="1"/>
        <v>52.158995274163267</v>
      </c>
      <c r="AN41">
        <f t="shared" si="1"/>
        <v>52.986917124821829</v>
      </c>
      <c r="AO41">
        <f t="shared" si="1"/>
        <v>52.544143482446827</v>
      </c>
      <c r="AP41">
        <f t="shared" si="1"/>
        <v>51.305969253807284</v>
      </c>
      <c r="AQ41">
        <f t="shared" si="1"/>
        <v>50.75461827313206</v>
      </c>
      <c r="AR41">
        <f t="shared" si="1"/>
        <v>51.346365576901462</v>
      </c>
      <c r="AS41">
        <f t="shared" si="1"/>
        <v>51.396977147092905</v>
      </c>
      <c r="AT41">
        <f t="shared" si="4"/>
        <v>49.936422954659527</v>
      </c>
      <c r="AU41">
        <f t="shared" si="2"/>
        <v>50.116219516999571</v>
      </c>
      <c r="AV41">
        <f t="shared" si="2"/>
        <v>49.466614064503403</v>
      </c>
    </row>
    <row r="42" spans="1:157">
      <c r="A42" t="s">
        <v>64</v>
      </c>
      <c r="B42" t="s">
        <v>455</v>
      </c>
      <c r="C42" t="s">
        <v>2085</v>
      </c>
      <c r="D42">
        <f>'WEO GOV REV'!AE36</f>
        <v>477.79300000000001</v>
      </c>
      <c r="E42">
        <f>'WEO GOV REV'!AF36</f>
        <v>476.49200000000002</v>
      </c>
      <c r="F42">
        <f>'WEO GOV REV'!AG36</f>
        <v>479.387</v>
      </c>
      <c r="G42">
        <f>'WEO GOV REV'!AH36</f>
        <v>503.76499999999999</v>
      </c>
      <c r="H42">
        <f>'WEO GOV REV'!AI36</f>
        <v>532.98800000000006</v>
      </c>
      <c r="I42">
        <f>'WEO GOV REV'!AJ36</f>
        <v>569.68399999999997</v>
      </c>
      <c r="J42">
        <f>'WEO GOV REV'!AK36</f>
        <v>605.95100000000002</v>
      </c>
      <c r="K42">
        <f>'WEO GOV REV'!AL36</f>
        <v>636.40800000000002</v>
      </c>
      <c r="L42">
        <f>'WEO GOV REV'!AM36</f>
        <v>645.58000000000004</v>
      </c>
      <c r="M42">
        <f>'WEO GOV REV'!AN36</f>
        <v>621.29600000000005</v>
      </c>
      <c r="N42">
        <f>'WEO GOV REV'!AO36</f>
        <v>638.53599999999994</v>
      </c>
      <c r="O42">
        <f>'WEO GOV REV'!AP36</f>
        <v>678.87199999999996</v>
      </c>
      <c r="P42">
        <f>'WEO GOV REV'!AQ36</f>
        <v>701.67600000000004</v>
      </c>
      <c r="Q42">
        <f>'WEO GOV REV'!AR36</f>
        <v>731.71900000000005</v>
      </c>
      <c r="R42">
        <f>'WEO GOV REV'!AS36</f>
        <v>768.94100000000003</v>
      </c>
      <c r="S42">
        <f>'WEO GOV REV'!AT36</f>
        <v>795.31200000000001</v>
      </c>
      <c r="T42">
        <f>'WEO GOV REV'!AU36</f>
        <v>816.29200000000003</v>
      </c>
      <c r="U42">
        <f>'WEO GOV REV'!AV36</f>
        <v>863.59799999999996</v>
      </c>
      <c r="V42">
        <f>'WEO GOV REV'!AW36</f>
        <v>917.12400000000002</v>
      </c>
      <c r="W42">
        <f>'WEO GOV REV'!AX36</f>
        <v>939.73500000000001</v>
      </c>
      <c r="X42" s="15">
        <f>'WEO GOV REV'!AY36</f>
        <v>919.04700000000003</v>
      </c>
      <c r="Y42" s="15">
        <f>'WEO GOV REV'!AZ36</f>
        <v>1023.74</v>
      </c>
      <c r="AA42">
        <f t="shared" si="3"/>
        <v>43.197356406014087</v>
      </c>
      <c r="AB42">
        <f t="shared" si="1"/>
        <v>41.631747252171181</v>
      </c>
      <c r="AC42">
        <f t="shared" si="1"/>
        <v>40.160091816133168</v>
      </c>
      <c r="AD42">
        <f t="shared" si="1"/>
        <v>40.14863518629209</v>
      </c>
      <c r="AE42">
        <f t="shared" si="1"/>
        <v>39.902375480074568</v>
      </c>
      <c r="AF42">
        <f t="shared" si="1"/>
        <v>40.073720270964202</v>
      </c>
      <c r="AG42">
        <f t="shared" si="1"/>
        <v>40.488507283175203</v>
      </c>
      <c r="AH42">
        <f t="shared" si="1"/>
        <v>40.338729510794465</v>
      </c>
      <c r="AI42">
        <f t="shared" si="1"/>
        <v>38.959831989571768</v>
      </c>
      <c r="AJ42">
        <f t="shared" si="1"/>
        <v>39.539498386716993</v>
      </c>
      <c r="AK42">
        <f t="shared" si="1"/>
        <v>38.326340746076049</v>
      </c>
      <c r="AL42">
        <f t="shared" si="1"/>
        <v>38.266574974916288</v>
      </c>
      <c r="AM42">
        <f t="shared" si="1"/>
        <v>38.40170753064799</v>
      </c>
      <c r="AN42">
        <f t="shared" si="1"/>
        <v>38.465974503876993</v>
      </c>
      <c r="AO42">
        <f t="shared" si="1"/>
        <v>38.54534061857737</v>
      </c>
      <c r="AP42">
        <f t="shared" si="1"/>
        <v>39.956592512208353</v>
      </c>
      <c r="AQ42">
        <f t="shared" si="1"/>
        <v>40.299969390878481</v>
      </c>
      <c r="AR42">
        <f t="shared" si="1"/>
        <v>40.342981538231562</v>
      </c>
      <c r="AS42">
        <f t="shared" si="1"/>
        <v>41.022149860445154</v>
      </c>
      <c r="AT42">
        <f t="shared" si="4"/>
        <v>40.658463455472919</v>
      </c>
      <c r="AU42">
        <f t="shared" si="2"/>
        <v>41.646894089071758</v>
      </c>
      <c r="AV42">
        <f t="shared" si="2"/>
        <v>41.012431044359957</v>
      </c>
    </row>
    <row r="43" spans="1:157">
      <c r="A43" t="s">
        <v>1620</v>
      </c>
      <c r="B43" t="s">
        <v>446</v>
      </c>
      <c r="C43" t="s">
        <v>2085</v>
      </c>
      <c r="D43">
        <f>'WEO GOV REV'!AE49</f>
        <v>889.40200000000004</v>
      </c>
      <c r="E43">
        <f>'WEO GOV REV'!AF49</f>
        <v>968.47</v>
      </c>
      <c r="F43">
        <f>'WEO GOV REV'!AG49</f>
        <v>1030.83</v>
      </c>
      <c r="G43">
        <f>'WEO GOV REV'!AH49</f>
        <v>1193.23</v>
      </c>
      <c r="H43">
        <f>'WEO GOV REV'!AI49</f>
        <v>1230.28</v>
      </c>
      <c r="I43">
        <f>'WEO GOV REV'!AJ49</f>
        <v>1292.6600000000001</v>
      </c>
      <c r="J43">
        <f>'WEO GOV REV'!AK49</f>
        <v>1388</v>
      </c>
      <c r="K43">
        <f>'WEO GOV REV'!AL49</f>
        <v>1535.86</v>
      </c>
      <c r="L43">
        <f>'WEO GOV REV'!AM49</f>
        <v>1572.85</v>
      </c>
      <c r="M43">
        <f>'WEO GOV REV'!AN49</f>
        <v>1540.05</v>
      </c>
      <c r="N43">
        <f>'WEO GOV REV'!AO49</f>
        <v>1576.31</v>
      </c>
      <c r="O43">
        <f>'WEO GOV REV'!AP49</f>
        <v>1644.73</v>
      </c>
      <c r="P43">
        <f>'WEO GOV REV'!AQ49</f>
        <v>1667.38</v>
      </c>
      <c r="Q43">
        <f>'WEO GOV REV'!AR49</f>
        <v>1713.73</v>
      </c>
      <c r="R43">
        <f>'WEO GOV REV'!AS49</f>
        <v>1762.06</v>
      </c>
      <c r="S43">
        <f>'WEO GOV REV'!AT49</f>
        <v>1909.83</v>
      </c>
      <c r="T43">
        <f>'WEO GOV REV'!AU49</f>
        <v>1940.95</v>
      </c>
      <c r="U43">
        <f>'WEO GOV REV'!AV49</f>
        <v>2068.91</v>
      </c>
      <c r="V43">
        <f>'WEO GOV REV'!AW49</f>
        <v>2245.87</v>
      </c>
      <c r="W43">
        <f>'WEO GOV REV'!AX49</f>
        <v>2395.5</v>
      </c>
      <c r="X43" s="15">
        <f>'WEO GOV REV'!AY49</f>
        <v>2371.1</v>
      </c>
      <c r="Y43" s="15">
        <f>'WEO GOV REV'!AZ49</f>
        <v>2505.36</v>
      </c>
      <c r="AA43">
        <f t="shared" si="3"/>
        <v>37.271329134346622</v>
      </c>
      <c r="AB43">
        <f t="shared" si="1"/>
        <v>37.550259195930408</v>
      </c>
      <c r="AC43">
        <f t="shared" si="1"/>
        <v>38.306862184037037</v>
      </c>
      <c r="AD43">
        <f t="shared" si="1"/>
        <v>42.261417769041429</v>
      </c>
      <c r="AE43">
        <f t="shared" si="1"/>
        <v>39.954403889309269</v>
      </c>
      <c r="AF43">
        <f t="shared" si="1"/>
        <v>39.343194545897255</v>
      </c>
      <c r="AG43">
        <f t="shared" si="1"/>
        <v>39.310313576218959</v>
      </c>
      <c r="AH43">
        <f t="shared" si="1"/>
        <v>39.793964550087701</v>
      </c>
      <c r="AI43">
        <f t="shared" si="1"/>
        <v>38.904389466862568</v>
      </c>
      <c r="AJ43">
        <f t="shared" si="1"/>
        <v>38.946013473871609</v>
      </c>
      <c r="AK43">
        <f t="shared" si="1"/>
        <v>39.478119748451611</v>
      </c>
      <c r="AL43">
        <f t="shared" si="1"/>
        <v>40.48745544417968</v>
      </c>
      <c r="AM43">
        <f t="shared" si="1"/>
        <v>40.778104678263894</v>
      </c>
      <c r="AN43">
        <f t="shared" si="1"/>
        <v>41.366367272455165</v>
      </c>
      <c r="AO43">
        <f t="shared" si="1"/>
        <v>40.546554465606782</v>
      </c>
      <c r="AP43">
        <f t="shared" si="1"/>
        <v>41.290229127120362</v>
      </c>
      <c r="AQ43">
        <f t="shared" si="1"/>
        <v>40.462843479185388</v>
      </c>
      <c r="AR43">
        <f t="shared" si="1"/>
        <v>40.481613230178013</v>
      </c>
      <c r="AS43">
        <f t="shared" si="1"/>
        <v>41.515841077182152</v>
      </c>
      <c r="AT43">
        <f t="shared" si="4"/>
        <v>41.370556183995781</v>
      </c>
      <c r="AU43">
        <f t="shared" si="2"/>
        <v>41.639227379930063</v>
      </c>
      <c r="AV43">
        <f t="shared" si="2"/>
        <v>40.889550426463245</v>
      </c>
    </row>
    <row r="44" spans="1:157">
      <c r="A44" t="s">
        <v>49</v>
      </c>
      <c r="B44" t="s">
        <v>464</v>
      </c>
      <c r="C44" t="s">
        <v>2085</v>
      </c>
      <c r="D44">
        <f>'WEO GOV REV'!AE50</f>
        <v>724.15</v>
      </c>
      <c r="E44">
        <f>'WEO GOV REV'!AF50</f>
        <v>740.322</v>
      </c>
      <c r="F44">
        <f>'WEO GOV REV'!AG50</f>
        <v>750.24900000000002</v>
      </c>
      <c r="G44">
        <f>'WEO GOV REV'!AH50</f>
        <v>768.75099999999998</v>
      </c>
      <c r="H44">
        <f>'WEO GOV REV'!AI50</f>
        <v>829.36300000000006</v>
      </c>
      <c r="I44">
        <f>'WEO GOV REV'!AJ50</f>
        <v>891.26900000000001</v>
      </c>
      <c r="J44">
        <f>'WEO GOV REV'!AK50</f>
        <v>922.16200000000003</v>
      </c>
      <c r="K44">
        <f>'WEO GOV REV'!AL50</f>
        <v>949.61599999999999</v>
      </c>
      <c r="L44">
        <f>'WEO GOV REV'!AM50</f>
        <v>965.31200000000001</v>
      </c>
      <c r="M44">
        <f>'WEO GOV REV'!AN50</f>
        <v>925.44799999999998</v>
      </c>
      <c r="N44">
        <f>'WEO GOV REV'!AO50</f>
        <v>977.23</v>
      </c>
      <c r="O44">
        <f>'WEO GOV REV'!AP50</f>
        <v>1004.2</v>
      </c>
      <c r="P44">
        <f>'WEO GOV REV'!AQ50</f>
        <v>1032.0999999999999</v>
      </c>
      <c r="Q44">
        <f>'WEO GOV REV'!AR50</f>
        <v>1053.31</v>
      </c>
      <c r="R44">
        <f>'WEO GOV REV'!AS50</f>
        <v>1116.6300000000001</v>
      </c>
      <c r="S44">
        <f>'WEO GOV REV'!AT50</f>
        <v>1083.3</v>
      </c>
      <c r="T44">
        <f>'WEO GOV REV'!AU50</f>
        <v>1103.92</v>
      </c>
      <c r="U44">
        <f>'WEO GOV REV'!AV50</f>
        <v>1147.7</v>
      </c>
      <c r="V44">
        <f>'WEO GOV REV'!AW50</f>
        <v>1156.1500000000001</v>
      </c>
      <c r="W44">
        <f>'WEO GOV REV'!AX50</f>
        <v>1242.03</v>
      </c>
      <c r="X44" s="15">
        <f>'WEO GOV REV'!AY50</f>
        <v>1240.52</v>
      </c>
      <c r="Y44" s="15">
        <f>'WEO GOV REV'!AZ50</f>
        <v>1305.3900000000001</v>
      </c>
      <c r="AA44">
        <f t="shared" si="3"/>
        <v>54.574161020717305</v>
      </c>
      <c r="AB44">
        <f t="shared" si="1"/>
        <v>53.977820390366958</v>
      </c>
      <c r="AC44">
        <f t="shared" si="1"/>
        <v>53.198961900912586</v>
      </c>
      <c r="AD44">
        <f t="shared" si="1"/>
        <v>53.506246737428221</v>
      </c>
      <c r="AE44">
        <f t="shared" si="1"/>
        <v>55.070584329349273</v>
      </c>
      <c r="AF44">
        <f t="shared" si="1"/>
        <v>56.196736402728909</v>
      </c>
      <c r="AG44">
        <f t="shared" si="1"/>
        <v>54.816853518481089</v>
      </c>
      <c r="AH44">
        <f t="shared" si="1"/>
        <v>54.611726140840211</v>
      </c>
      <c r="AI44">
        <f t="shared" si="1"/>
        <v>53.58468361948853</v>
      </c>
      <c r="AJ44">
        <f t="shared" si="1"/>
        <v>53.738255890926403</v>
      </c>
      <c r="AK44">
        <f t="shared" si="1"/>
        <v>53.962880950671753</v>
      </c>
      <c r="AL44">
        <f t="shared" si="1"/>
        <v>54.373663264477358</v>
      </c>
      <c r="AM44">
        <f t="shared" si="1"/>
        <v>54.464379947229546</v>
      </c>
      <c r="AN44">
        <f t="shared" si="1"/>
        <v>54.58469798101239</v>
      </c>
      <c r="AO44">
        <f t="shared" si="1"/>
        <v>56.362149638849779</v>
      </c>
      <c r="AP44">
        <f t="shared" si="1"/>
        <v>53.197862853326527</v>
      </c>
      <c r="AQ44">
        <f t="shared" si="1"/>
        <v>52.372841954445612</v>
      </c>
      <c r="AR44">
        <f t="shared" si="1"/>
        <v>52.335655917116597</v>
      </c>
      <c r="AS44">
        <f t="shared" si="1"/>
        <v>51.308735554648251</v>
      </c>
      <c r="AT44">
        <f t="shared" si="4"/>
        <v>53.581042604959364</v>
      </c>
      <c r="AU44">
        <f t="shared" si="2"/>
        <v>53.251257748244306</v>
      </c>
      <c r="AV44">
        <f t="shared" si="2"/>
        <v>52.469974436066046</v>
      </c>
    </row>
    <row r="45" spans="1:157">
      <c r="A45" t="s">
        <v>50</v>
      </c>
      <c r="B45" t="s">
        <v>459</v>
      </c>
      <c r="C45" t="s">
        <v>2085</v>
      </c>
      <c r="D45">
        <f>'WEO GOV REV'!AE63</f>
        <v>73.182000000000002</v>
      </c>
      <c r="E45">
        <f>'WEO GOV REV'!AF63</f>
        <v>73.927999999999997</v>
      </c>
      <c r="F45">
        <f>'WEO GOV REV'!AG63</f>
        <v>76.343999999999994</v>
      </c>
      <c r="G45">
        <f>'WEO GOV REV'!AH63</f>
        <v>76.805000000000007</v>
      </c>
      <c r="H45">
        <f>'WEO GOV REV'!AI63</f>
        <v>79.923000000000002</v>
      </c>
      <c r="I45">
        <f>'WEO GOV REV'!AJ63</f>
        <v>85.265000000000001</v>
      </c>
      <c r="J45">
        <f>'WEO GOV REV'!AK63</f>
        <v>90.227999999999994</v>
      </c>
      <c r="K45">
        <f>'WEO GOV REV'!AL63</f>
        <v>96.888999999999996</v>
      </c>
      <c r="L45">
        <f>'WEO GOV REV'!AM63</f>
        <v>101.11799999999999</v>
      </c>
      <c r="M45">
        <f>'WEO GOV REV'!AN63</f>
        <v>93.789000000000001</v>
      </c>
      <c r="N45">
        <f>'WEO GOV REV'!AO63</f>
        <v>96.65</v>
      </c>
      <c r="O45">
        <f>'WEO GOV REV'!AP63</f>
        <v>104.211</v>
      </c>
      <c r="P45">
        <f>'WEO GOV REV'!AQ63</f>
        <v>107.111</v>
      </c>
      <c r="Q45">
        <f>'WEO GOV REV'!AR63</f>
        <v>110.928</v>
      </c>
      <c r="R45">
        <f>'WEO GOV REV'!AS63</f>
        <v>112.31699999999999</v>
      </c>
      <c r="S45">
        <f>'WEO GOV REV'!AT63</f>
        <v>114.28400000000001</v>
      </c>
      <c r="T45">
        <f>'WEO GOV REV'!AU63</f>
        <v>117.348</v>
      </c>
      <c r="U45">
        <f>'WEO GOV REV'!AV63</f>
        <v>119.89100000000001</v>
      </c>
      <c r="V45">
        <f>'WEO GOV REV'!AW63</f>
        <v>122.496</v>
      </c>
      <c r="W45">
        <f>'WEO GOV REV'!AX63</f>
        <v>125.551</v>
      </c>
      <c r="X45" s="15">
        <f>'WEO GOV REV'!AY63</f>
        <v>122.492</v>
      </c>
      <c r="Y45" s="15">
        <f>'WEO GOV REV'!AZ63</f>
        <v>132.84299999999999</v>
      </c>
      <c r="AA45">
        <f t="shared" si="3"/>
        <v>53.635977191773797</v>
      </c>
      <c r="AB45">
        <f t="shared" si="1"/>
        <v>51.115966479519869</v>
      </c>
      <c r="AC45">
        <f t="shared" si="1"/>
        <v>51.414948210605715</v>
      </c>
      <c r="AD45">
        <f t="shared" si="1"/>
        <v>50.613183612412605</v>
      </c>
      <c r="AE45">
        <f t="shared" si="1"/>
        <v>50.342659897453991</v>
      </c>
      <c r="AF45">
        <f t="shared" si="1"/>
        <v>51.773971230273183</v>
      </c>
      <c r="AG45">
        <f t="shared" si="1"/>
        <v>52.185983562467833</v>
      </c>
      <c r="AH45">
        <f t="shared" si="1"/>
        <v>51.792358022579542</v>
      </c>
      <c r="AI45">
        <f t="shared" si="1"/>
        <v>52.051579028646429</v>
      </c>
      <c r="AJ45">
        <f t="shared" si="1"/>
        <v>51.604153025909639</v>
      </c>
      <c r="AK45">
        <f t="shared" si="1"/>
        <v>51.370500098329465</v>
      </c>
      <c r="AL45">
        <f t="shared" si="1"/>
        <v>52.632349821715373</v>
      </c>
      <c r="AM45">
        <f t="shared" si="1"/>
        <v>53.27924710376697</v>
      </c>
      <c r="AN45">
        <f t="shared" si="1"/>
        <v>54.291042036795048</v>
      </c>
      <c r="AO45">
        <f t="shared" si="1"/>
        <v>54.286432379396508</v>
      </c>
      <c r="AP45">
        <f t="shared" si="1"/>
        <v>54.064384890129389</v>
      </c>
      <c r="AQ45">
        <f t="shared" si="1"/>
        <v>53.948638733346208</v>
      </c>
      <c r="AR45">
        <f t="shared" si="1"/>
        <v>52.978555110229294</v>
      </c>
      <c r="AS45">
        <f t="shared" si="1"/>
        <v>52.468004180444424</v>
      </c>
      <c r="AT45">
        <f t="shared" si="4"/>
        <v>52.345196204326008</v>
      </c>
      <c r="AU45">
        <f t="shared" si="2"/>
        <v>51.468308157734413</v>
      </c>
      <c r="AV45">
        <f t="shared" si="2"/>
        <v>52.606297248171451</v>
      </c>
    </row>
    <row r="46" spans="1:157">
      <c r="A46" t="s">
        <v>55</v>
      </c>
      <c r="B46" t="s">
        <v>452</v>
      </c>
      <c r="C46" t="s">
        <v>2085</v>
      </c>
      <c r="D46">
        <f>'WEO GOV REV'!AE64</f>
        <v>744.22799999999995</v>
      </c>
      <c r="E46">
        <f>'WEO GOV REV'!AF64</f>
        <v>774.31600000000003</v>
      </c>
      <c r="F46">
        <f>'WEO GOV REV'!AG64</f>
        <v>788.11900000000003</v>
      </c>
      <c r="G46">
        <f>'WEO GOV REV'!AH64</f>
        <v>803.18499999999995</v>
      </c>
      <c r="H46">
        <f>'WEO GOV REV'!AI64</f>
        <v>841.68799999999999</v>
      </c>
      <c r="I46">
        <f>'WEO GOV REV'!AJ64</f>
        <v>881.86699999999996</v>
      </c>
      <c r="J46">
        <f>'WEO GOV REV'!AK64</f>
        <v>932.06</v>
      </c>
      <c r="K46">
        <f>'WEO GOV REV'!AL64</f>
        <v>969.30700000000002</v>
      </c>
      <c r="L46">
        <f>'WEO GOV REV'!AM64</f>
        <v>996.83900000000006</v>
      </c>
      <c r="M46">
        <f>'WEO GOV REV'!AN64</f>
        <v>967.76700000000005</v>
      </c>
      <c r="N46">
        <f>'WEO GOV REV'!AO64</f>
        <v>997.54700000000003</v>
      </c>
      <c r="O46">
        <f>'WEO GOV REV'!AP64</f>
        <v>1052.57</v>
      </c>
      <c r="P46">
        <f>'WEO GOV REV'!AQ64</f>
        <v>1088.82</v>
      </c>
      <c r="Q46">
        <f>'WEO GOV REV'!AR64</f>
        <v>1125.1500000000001</v>
      </c>
      <c r="R46">
        <f>'WEO GOV REV'!AS64</f>
        <v>1146.02</v>
      </c>
      <c r="S46">
        <f>'WEO GOV REV'!AT64</f>
        <v>1168.96</v>
      </c>
      <c r="T46">
        <f>'WEO GOV REV'!AU64</f>
        <v>1185.17</v>
      </c>
      <c r="U46">
        <f>'WEO GOV REV'!AV64</f>
        <v>1230.06</v>
      </c>
      <c r="V46">
        <f>'WEO GOV REV'!AW64</f>
        <v>1260.96</v>
      </c>
      <c r="W46">
        <f>'WEO GOV REV'!AX64</f>
        <v>1274.55</v>
      </c>
      <c r="X46" s="15">
        <f>'WEO GOV REV'!AY64</f>
        <v>1210.93</v>
      </c>
      <c r="Y46" s="15">
        <f>'WEO GOV REV'!AZ64</f>
        <v>1310.6199999999999</v>
      </c>
      <c r="AA46">
        <f t="shared" si="3"/>
        <v>50.33362865973664</v>
      </c>
      <c r="AB46">
        <f t="shared" si="1"/>
        <v>50.339097646599917</v>
      </c>
      <c r="AC46">
        <f t="shared" si="1"/>
        <v>49.634973517316091</v>
      </c>
      <c r="AD46">
        <f t="shared" si="1"/>
        <v>49.254907492012478</v>
      </c>
      <c r="AE46">
        <f t="shared" si="1"/>
        <v>49.394255935963194</v>
      </c>
      <c r="AF46">
        <f t="shared" si="1"/>
        <v>49.938388706106196</v>
      </c>
      <c r="AG46">
        <f t="shared" si="1"/>
        <v>50.43205367529692</v>
      </c>
      <c r="AH46">
        <f t="shared" si="1"/>
        <v>49.929276383566162</v>
      </c>
      <c r="AI46">
        <f t="shared" si="1"/>
        <v>50.032574107349006</v>
      </c>
      <c r="AJ46">
        <f t="shared" si="1"/>
        <v>49.977122731638794</v>
      </c>
      <c r="AK46">
        <f t="shared" si="1"/>
        <v>49.995088433260335</v>
      </c>
      <c r="AL46">
        <f t="shared" si="1"/>
        <v>51.136093122227777</v>
      </c>
      <c r="AM46">
        <f t="shared" si="1"/>
        <v>52.126579854461887</v>
      </c>
      <c r="AN46">
        <f t="shared" si="1"/>
        <v>53.143553483626881</v>
      </c>
      <c r="AO46">
        <f t="shared" si="1"/>
        <v>53.308958632783977</v>
      </c>
      <c r="AP46">
        <f t="shared" si="1"/>
        <v>53.172491277866484</v>
      </c>
      <c r="AQ46">
        <f t="shared" si="1"/>
        <v>53.048390201107367</v>
      </c>
      <c r="AR46">
        <f t="shared" si="1"/>
        <v>53.545123713673803</v>
      </c>
      <c r="AS46">
        <f t="shared" si="1"/>
        <v>53.355674879723779</v>
      </c>
      <c r="AT46">
        <f t="shared" si="4"/>
        <v>52.262000926696651</v>
      </c>
      <c r="AU46">
        <f t="shared" si="2"/>
        <v>52.632882892672264</v>
      </c>
      <c r="AV46">
        <f t="shared" si="2"/>
        <v>52.81372023581654</v>
      </c>
    </row>
    <row r="47" spans="1:157">
      <c r="A47" t="s">
        <v>56</v>
      </c>
      <c r="B47" t="s">
        <v>457</v>
      </c>
      <c r="C47" t="s">
        <v>2085</v>
      </c>
      <c r="D47">
        <f>'WEO GOV REV'!AE68</f>
        <v>973.83199999999999</v>
      </c>
      <c r="E47">
        <f>'WEO GOV REV'!AF68</f>
        <v>964.40800000000002</v>
      </c>
      <c r="F47">
        <f>'WEO GOV REV'!AG68</f>
        <v>967.09699999999998</v>
      </c>
      <c r="G47">
        <f>'WEO GOV REV'!AH68</f>
        <v>986.36</v>
      </c>
      <c r="H47">
        <f>'WEO GOV REV'!AI68</f>
        <v>983.23099999999999</v>
      </c>
      <c r="I47">
        <f>'WEO GOV REV'!AJ68</f>
        <v>995.44600000000003</v>
      </c>
      <c r="J47">
        <f>'WEO GOV REV'!AK68</f>
        <v>1039.47</v>
      </c>
      <c r="K47">
        <f>'WEO GOV REV'!AL68</f>
        <v>1091.27</v>
      </c>
      <c r="L47">
        <f>'WEO GOV REV'!AM68</f>
        <v>1122.57</v>
      </c>
      <c r="M47">
        <f>'WEO GOV REV'!AN68</f>
        <v>1101.8</v>
      </c>
      <c r="N47">
        <f>'WEO GOV REV'!AO68</f>
        <v>1122.26</v>
      </c>
      <c r="O47">
        <f>'WEO GOV REV'!AP68</f>
        <v>1194.78</v>
      </c>
      <c r="P47">
        <f>'WEO GOV REV'!AQ68</f>
        <v>1233.3900000000001</v>
      </c>
      <c r="Q47">
        <f>'WEO GOV REV'!AR68</f>
        <v>1264.67</v>
      </c>
      <c r="R47">
        <f>'WEO GOV REV'!AS68</f>
        <v>1313.91</v>
      </c>
      <c r="S47">
        <f>'WEO GOV REV'!AT68</f>
        <v>1364.86</v>
      </c>
      <c r="T47">
        <f>'WEO GOV REV'!AU68</f>
        <v>1426.75</v>
      </c>
      <c r="U47">
        <f>'WEO GOV REV'!AV68</f>
        <v>1486.93</v>
      </c>
      <c r="V47">
        <f>'WEO GOV REV'!AW68</f>
        <v>1557.25</v>
      </c>
      <c r="W47">
        <f>'WEO GOV REV'!AX68</f>
        <v>1613.8</v>
      </c>
      <c r="X47" s="15">
        <f>'WEO GOV REV'!AY68</f>
        <v>1566.89</v>
      </c>
      <c r="Y47" s="15">
        <f>'WEO GOV REV'!AZ68</f>
        <v>1705.77</v>
      </c>
      <c r="AA47">
        <f t="shared" si="3"/>
        <v>46.173088867710717</v>
      </c>
      <c r="AB47">
        <f t="shared" si="1"/>
        <v>44.390805232584903</v>
      </c>
      <c r="AC47">
        <f t="shared" si="1"/>
        <v>43.996551598638838</v>
      </c>
      <c r="AD47">
        <f t="shared" si="1"/>
        <v>44.599990052315775</v>
      </c>
      <c r="AE47">
        <f t="shared" si="1"/>
        <v>43.457339603627815</v>
      </c>
      <c r="AF47">
        <f t="shared" si="1"/>
        <v>43.501361266611603</v>
      </c>
      <c r="AG47">
        <f t="shared" si="1"/>
        <v>43.582185922484783</v>
      </c>
      <c r="AH47">
        <f t="shared" si="1"/>
        <v>43.65865855854053</v>
      </c>
      <c r="AI47">
        <f t="shared" si="1"/>
        <v>44.083031938079472</v>
      </c>
      <c r="AJ47">
        <f t="shared" si="1"/>
        <v>45.049944188442716</v>
      </c>
      <c r="AK47">
        <f t="shared" si="1"/>
        <v>43.763063484635779</v>
      </c>
      <c r="AL47">
        <f t="shared" si="1"/>
        <v>44.356910557032329</v>
      </c>
      <c r="AM47">
        <f t="shared" si="1"/>
        <v>44.927166695200185</v>
      </c>
      <c r="AN47">
        <f t="shared" si="1"/>
        <v>44.98443808134882</v>
      </c>
      <c r="AO47">
        <f t="shared" si="1"/>
        <v>44.882712823193046</v>
      </c>
      <c r="AP47">
        <f t="shared" si="1"/>
        <v>45.101745434838641</v>
      </c>
      <c r="AQ47">
        <f t="shared" si="1"/>
        <v>45.514141523698939</v>
      </c>
      <c r="AR47">
        <f t="shared" si="1"/>
        <v>45.511392157102811</v>
      </c>
      <c r="AS47">
        <f t="shared" si="1"/>
        <v>46.238560985314116</v>
      </c>
      <c r="AT47">
        <f t="shared" si="4"/>
        <v>46.462349029035373</v>
      </c>
      <c r="AU47">
        <f t="shared" si="2"/>
        <v>46.528940835501082</v>
      </c>
      <c r="AV47">
        <f t="shared" si="2"/>
        <v>47.772375665850745</v>
      </c>
    </row>
    <row r="48" spans="1:157">
      <c r="A48" t="s">
        <v>65</v>
      </c>
      <c r="B48" t="s">
        <v>443</v>
      </c>
      <c r="C48" t="s">
        <v>2085</v>
      </c>
      <c r="D48">
        <f>'WEO GOV REV'!AE70</f>
        <v>59.835999999999999</v>
      </c>
      <c r="E48">
        <f>'WEO GOV REV'!AF70</f>
        <v>61.668999999999997</v>
      </c>
      <c r="F48">
        <f>'WEO GOV REV'!AG70</f>
        <v>65.013000000000005</v>
      </c>
      <c r="G48">
        <f>'WEO GOV REV'!AH70</f>
        <v>69.346000000000004</v>
      </c>
      <c r="H48">
        <f>'WEO GOV REV'!AI70</f>
        <v>75.135999999999996</v>
      </c>
      <c r="I48">
        <f>'WEO GOV REV'!AJ70</f>
        <v>78.448999999999998</v>
      </c>
      <c r="J48">
        <f>'WEO GOV REV'!AK70</f>
        <v>85.337999999999994</v>
      </c>
      <c r="K48">
        <f>'WEO GOV REV'!AL70</f>
        <v>93.921000000000006</v>
      </c>
      <c r="L48">
        <f>'WEO GOV REV'!AM70</f>
        <v>98.415999999999997</v>
      </c>
      <c r="M48">
        <f>'WEO GOV REV'!AN70</f>
        <v>92.488</v>
      </c>
      <c r="N48">
        <f>'WEO GOV REV'!AO70</f>
        <v>93.381</v>
      </c>
      <c r="O48">
        <f>'WEO GOV REV'!AP70</f>
        <v>90.784000000000006</v>
      </c>
      <c r="P48">
        <f>'WEO GOV REV'!AQ70</f>
        <v>88.45</v>
      </c>
      <c r="Q48">
        <f>'WEO GOV REV'!AR70</f>
        <v>86.757999999999996</v>
      </c>
      <c r="R48">
        <f>'WEO GOV REV'!AS70</f>
        <v>82.570999999999998</v>
      </c>
      <c r="S48">
        <f>'WEO GOV REV'!AT70</f>
        <v>84.915000000000006</v>
      </c>
      <c r="T48">
        <f>'WEO GOV REV'!AU70</f>
        <v>87.688999999999993</v>
      </c>
      <c r="U48">
        <f>'WEO GOV REV'!AV70</f>
        <v>87.403999999999996</v>
      </c>
      <c r="V48">
        <f>'WEO GOV REV'!AW70</f>
        <v>88.531000000000006</v>
      </c>
      <c r="W48">
        <f>'WEO GOV REV'!AX70</f>
        <v>88.004000000000005</v>
      </c>
      <c r="X48" s="15">
        <f>'WEO GOV REV'!AY70</f>
        <v>80.897000000000006</v>
      </c>
      <c r="Y48" s="15">
        <f>'WEO GOV REV'!AZ70</f>
        <v>89.81</v>
      </c>
      <c r="AA48">
        <f t="shared" si="3"/>
        <v>42.723215879475916</v>
      </c>
      <c r="AB48">
        <f t="shared" si="1"/>
        <v>40.864753826784174</v>
      </c>
      <c r="AC48">
        <f t="shared" si="1"/>
        <v>40.111178292469248</v>
      </c>
      <c r="AD48">
        <f t="shared" si="1"/>
        <v>39.091073079438097</v>
      </c>
      <c r="AE48">
        <f t="shared" si="1"/>
        <v>39.116627273768493</v>
      </c>
      <c r="AF48">
        <f t="shared" si="1"/>
        <v>39.708748184105161</v>
      </c>
      <c r="AG48">
        <f t="shared" si="1"/>
        <v>39.503944006221523</v>
      </c>
      <c r="AH48">
        <f t="shared" si="1"/>
        <v>40.705667180971865</v>
      </c>
      <c r="AI48">
        <f t="shared" si="1"/>
        <v>41.015553369896807</v>
      </c>
      <c r="AJ48">
        <f t="shared" si="1"/>
        <v>39.26803379611939</v>
      </c>
      <c r="AK48">
        <f t="shared" si="1"/>
        <v>41.664881940354448</v>
      </c>
      <c r="AL48">
        <f t="shared" si="1"/>
        <v>44.653432230900904</v>
      </c>
      <c r="AM48">
        <f t="shared" si="1"/>
        <v>46.952718161598042</v>
      </c>
      <c r="AN48">
        <f t="shared" si="1"/>
        <v>48.229970425385247</v>
      </c>
      <c r="AO48">
        <f t="shared" si="1"/>
        <v>46.588164932632196</v>
      </c>
      <c r="AP48">
        <f t="shared" si="1"/>
        <v>48.146216171776224</v>
      </c>
      <c r="AQ48">
        <f t="shared" si="1"/>
        <v>50.253303838527394</v>
      </c>
      <c r="AR48">
        <f t="shared" si="1"/>
        <v>49.407867588452433</v>
      </c>
      <c r="AS48">
        <f t="shared" si="1"/>
        <v>49.304959957228313</v>
      </c>
      <c r="AT48">
        <f t="shared" si="4"/>
        <v>48.024010914051843</v>
      </c>
      <c r="AU48">
        <f t="shared" si="2"/>
        <v>48.931807459201828</v>
      </c>
      <c r="AV48">
        <f t="shared" si="2"/>
        <v>49.122135316961106</v>
      </c>
    </row>
    <row r="49" spans="1:48">
      <c r="A49" t="s">
        <v>68</v>
      </c>
      <c r="B49" t="s">
        <v>442</v>
      </c>
      <c r="C49" t="s">
        <v>2085</v>
      </c>
      <c r="D49">
        <f>'WEO GOV REV'!AE79</f>
        <v>5879.28</v>
      </c>
      <c r="E49">
        <f>'WEO GOV REV'!AF79</f>
        <v>6638.3</v>
      </c>
      <c r="F49">
        <f>'WEO GOV REV'!AG79</f>
        <v>7329.21</v>
      </c>
      <c r="G49">
        <f>'WEO GOV REV'!AH79</f>
        <v>8004.81</v>
      </c>
      <c r="H49">
        <f>'WEO GOV REV'!AI79</f>
        <v>8883.81</v>
      </c>
      <c r="I49">
        <f>'WEO GOV REV'!AJ79</f>
        <v>9373.6299999999992</v>
      </c>
      <c r="J49">
        <f>'WEO GOV REV'!AK79</f>
        <v>10217.200000000001</v>
      </c>
      <c r="K49">
        <f>'WEO GOV REV'!AL79</f>
        <v>11492.67</v>
      </c>
      <c r="L49">
        <f>'WEO GOV REV'!AM79</f>
        <v>12196.28</v>
      </c>
      <c r="M49">
        <f>'WEO GOV REV'!AN79</f>
        <v>12093.52</v>
      </c>
      <c r="N49">
        <f>'WEO GOV REV'!AO79</f>
        <v>12199.55</v>
      </c>
      <c r="O49">
        <f>'WEO GOV REV'!AP79</f>
        <v>12513.78</v>
      </c>
      <c r="P49">
        <f>'WEO GOV REV'!AQ79</f>
        <v>13567.95</v>
      </c>
      <c r="Q49">
        <f>'WEO GOV REV'!AR79</f>
        <v>14406.34</v>
      </c>
      <c r="R49">
        <f>'WEO GOV REV'!AS79</f>
        <v>15507.11</v>
      </c>
      <c r="S49">
        <f>'WEO GOV REV'!AT79</f>
        <v>16914.669999999998</v>
      </c>
      <c r="T49">
        <f>'WEO GOV REV'!AU79</f>
        <v>16293.15</v>
      </c>
      <c r="U49">
        <f>'WEO GOV REV'!AV79</f>
        <v>17288.36</v>
      </c>
      <c r="V49">
        <f>'WEO GOV REV'!AW79</f>
        <v>18983.13</v>
      </c>
      <c r="W49">
        <f>'WEO GOV REV'!AX79</f>
        <v>20736.900000000001</v>
      </c>
      <c r="X49" s="15">
        <f>'WEO GOV REV'!AY79</f>
        <v>20774.79</v>
      </c>
      <c r="Y49" s="15">
        <f>'WEO GOV REV'!AZ79</f>
        <v>22155.26</v>
      </c>
      <c r="AA49">
        <f t="shared" si="3"/>
        <v>44.125322255620475</v>
      </c>
      <c r="AB49">
        <f t="shared" si="1"/>
        <v>43.109483268068082</v>
      </c>
      <c r="AC49">
        <f t="shared" si="1"/>
        <v>42.040087507872606</v>
      </c>
      <c r="AD49">
        <f t="shared" si="1"/>
        <v>41.835943808368533</v>
      </c>
      <c r="AE49">
        <f t="shared" si="1"/>
        <v>42.148389796493504</v>
      </c>
      <c r="AF49">
        <f t="shared" si="1"/>
        <v>41.570010581391116</v>
      </c>
      <c r="AG49">
        <f t="shared" si="1"/>
        <v>42.0179056846642</v>
      </c>
      <c r="AH49">
        <f t="shared" si="1"/>
        <v>44.716176608484297</v>
      </c>
      <c r="AI49">
        <f t="shared" si="1"/>
        <v>44.810648493958091</v>
      </c>
      <c r="AJ49">
        <f t="shared" si="1"/>
        <v>45.707918812499393</v>
      </c>
      <c r="AK49">
        <f t="shared" si="1"/>
        <v>44.473150532221069</v>
      </c>
      <c r="AL49">
        <f t="shared" si="1"/>
        <v>43.905689174253986</v>
      </c>
      <c r="AM49">
        <f t="shared" si="1"/>
        <v>46.914856206888089</v>
      </c>
      <c r="AN49">
        <f t="shared" si="1"/>
        <v>47.559928849965601</v>
      </c>
      <c r="AO49">
        <f t="shared" si="1"/>
        <v>47.361263055789202</v>
      </c>
      <c r="AP49">
        <f t="shared" si="1"/>
        <v>48.414345580698686</v>
      </c>
      <c r="AQ49">
        <f t="shared" si="1"/>
        <v>44.991214740569063</v>
      </c>
      <c r="AR49">
        <f t="shared" si="1"/>
        <v>44.011612632556513</v>
      </c>
      <c r="AS49">
        <f t="shared" si="1"/>
        <v>43.747551416790579</v>
      </c>
      <c r="AT49">
        <f t="shared" si="4"/>
        <v>43.628516444455478</v>
      </c>
      <c r="AU49">
        <f t="shared" si="2"/>
        <v>43.291202388573261</v>
      </c>
      <c r="AV49">
        <f t="shared" si="2"/>
        <v>40.248635731685454</v>
      </c>
    </row>
    <row r="50" spans="1:48">
      <c r="A50" t="s">
        <v>59</v>
      </c>
      <c r="B50" t="s">
        <v>463</v>
      </c>
      <c r="C50" t="s">
        <v>2085</v>
      </c>
      <c r="D50">
        <f>'WEO GOV REV'!AE80</f>
        <v>328.32499999999999</v>
      </c>
      <c r="E50">
        <f>'WEO GOV REV'!AF80</f>
        <v>378.18200000000002</v>
      </c>
      <c r="F50">
        <f>'WEO GOV REV'!AG80</f>
        <v>368.846</v>
      </c>
      <c r="G50">
        <f>'WEO GOV REV'!AH80</f>
        <v>398.63600000000002</v>
      </c>
      <c r="H50">
        <f>'WEO GOV REV'!AI80</f>
        <v>455.834</v>
      </c>
      <c r="I50">
        <f>'WEO GOV REV'!AJ80</f>
        <v>530.76900000000001</v>
      </c>
      <c r="J50">
        <f>'WEO GOV REV'!AK80</f>
        <v>628.64300000000003</v>
      </c>
      <c r="K50">
        <f>'WEO GOV REV'!AL80</f>
        <v>698.27</v>
      </c>
      <c r="L50">
        <f>'WEO GOV REV'!AM80</f>
        <v>814.64400000000001</v>
      </c>
      <c r="M50">
        <f>'WEO GOV REV'!AN80</f>
        <v>731.84</v>
      </c>
      <c r="N50">
        <f>'WEO GOV REV'!AO80</f>
        <v>708.23199999999997</v>
      </c>
      <c r="O50">
        <f>'WEO GOV REV'!AP80</f>
        <v>776.70500000000004</v>
      </c>
      <c r="P50">
        <f>'WEO GOV REV'!AQ80</f>
        <v>832.30600000000004</v>
      </c>
      <c r="Q50">
        <f>'WEO GOV REV'!AR80</f>
        <v>881.02200000000005</v>
      </c>
      <c r="R50">
        <f>'WEO GOV REV'!AS80</f>
        <v>962.279</v>
      </c>
      <c r="S50">
        <f>'WEO GOV REV'!AT80</f>
        <v>995.47299999999996</v>
      </c>
      <c r="T50">
        <f>'WEO GOV REV'!AU80</f>
        <v>1481.78</v>
      </c>
      <c r="U50">
        <f>'WEO GOV REV'!AV80</f>
        <v>1198.5</v>
      </c>
      <c r="V50">
        <f>'WEO GOV REV'!AW80</f>
        <v>1273.01</v>
      </c>
      <c r="W50">
        <f>'WEO GOV REV'!AX80</f>
        <v>1273.8900000000001</v>
      </c>
      <c r="X50" s="15">
        <f>'WEO GOV REV'!AY80</f>
        <v>1231.6099999999999</v>
      </c>
      <c r="Y50" s="15">
        <f>'WEO GOV REV'!AZ80</f>
        <v>1306.72</v>
      </c>
      <c r="AA50">
        <f t="shared" si="3"/>
        <v>46.271567913118105</v>
      </c>
      <c r="AB50">
        <f t="shared" si="1"/>
        <v>47.138581811518968</v>
      </c>
      <c r="AC50">
        <f t="shared" si="1"/>
        <v>43.18331889385815</v>
      </c>
      <c r="AD50">
        <f t="shared" si="1"/>
        <v>45.468346691638168</v>
      </c>
      <c r="AE50">
        <f t="shared" si="1"/>
        <v>46.972808708797523</v>
      </c>
      <c r="AF50">
        <f t="shared" si="1"/>
        <v>50.005087476329102</v>
      </c>
      <c r="AG50">
        <f t="shared" si="1"/>
        <v>51.287651339620801</v>
      </c>
      <c r="AH50">
        <f t="shared" si="1"/>
        <v>50.345722628789794</v>
      </c>
      <c r="AI50">
        <f t="shared" si="1"/>
        <v>51.247397193057495</v>
      </c>
      <c r="AJ50">
        <f t="shared" si="1"/>
        <v>44.997817251704696</v>
      </c>
      <c r="AK50">
        <f t="shared" si="1"/>
        <v>42.132340255923658</v>
      </c>
      <c r="AL50">
        <f t="shared" si="1"/>
        <v>44.005699684421053</v>
      </c>
      <c r="AM50">
        <f t="shared" si="1"/>
        <v>45.107524550716469</v>
      </c>
      <c r="AN50">
        <f t="shared" si="1"/>
        <v>44.718523970256072</v>
      </c>
      <c r="AO50">
        <f t="shared" si="1"/>
        <v>46.122385398493066</v>
      </c>
      <c r="AP50">
        <f t="shared" si="1"/>
        <v>43.078217971741999</v>
      </c>
      <c r="AQ50">
        <f t="shared" si="1"/>
        <v>58.986648408079425</v>
      </c>
      <c r="AR50">
        <f t="shared" si="1"/>
        <v>45.364047903828975</v>
      </c>
      <c r="AS50">
        <f t="shared" si="1"/>
        <v>44.754799765153408</v>
      </c>
      <c r="AT50">
        <f t="shared" si="4"/>
        <v>41.862138768213583</v>
      </c>
      <c r="AU50">
        <f t="shared" si="2"/>
        <v>42.056432198383455</v>
      </c>
      <c r="AV50">
        <f t="shared" si="2"/>
        <v>40.418187442004331</v>
      </c>
    </row>
    <row r="51" spans="1:48">
      <c r="A51" t="s">
        <v>61</v>
      </c>
      <c r="B51" t="s">
        <v>466</v>
      </c>
      <c r="C51" t="s">
        <v>2085</v>
      </c>
      <c r="D51">
        <f>'WEO GOV REV'!AE85</f>
        <v>38.432000000000002</v>
      </c>
      <c r="E51">
        <f>'WEO GOV REV'!AF85</f>
        <v>40.451000000000001</v>
      </c>
      <c r="F51">
        <f>'WEO GOV REV'!AG85</f>
        <v>44.01</v>
      </c>
      <c r="G51">
        <f>'WEO GOV REV'!AH85</f>
        <v>48.055999999999997</v>
      </c>
      <c r="H51">
        <f>'WEO GOV REV'!AI85</f>
        <v>53.316000000000003</v>
      </c>
      <c r="I51">
        <f>'WEO GOV REV'!AJ85</f>
        <v>58.912999999999997</v>
      </c>
      <c r="J51">
        <f>'WEO GOV REV'!AK85</f>
        <v>67.194999999999993</v>
      </c>
      <c r="K51">
        <f>'WEO GOV REV'!AL85</f>
        <v>70.763999999999996</v>
      </c>
      <c r="L51">
        <f>'WEO GOV REV'!AM85</f>
        <v>64.662999999999997</v>
      </c>
      <c r="M51">
        <f>'WEO GOV REV'!AN85</f>
        <v>55.942999999999998</v>
      </c>
      <c r="N51">
        <f>'WEO GOV REV'!AO85</f>
        <v>54.863999999999997</v>
      </c>
      <c r="O51">
        <f>'WEO GOV REV'!AP85</f>
        <v>57.731999999999999</v>
      </c>
      <c r="P51">
        <f>'WEO GOV REV'!AQ85</f>
        <v>59.709000000000003</v>
      </c>
      <c r="Q51">
        <f>'WEO GOV REV'!AR85</f>
        <v>61.3</v>
      </c>
      <c r="R51">
        <f>'WEO GOV REV'!AS85</f>
        <v>66.156999999999996</v>
      </c>
      <c r="S51">
        <f>'WEO GOV REV'!AT85</f>
        <v>70.971999999999994</v>
      </c>
      <c r="T51">
        <f>'WEO GOV REV'!AU85</f>
        <v>73.707999999999998</v>
      </c>
      <c r="U51">
        <f>'WEO GOV REV'!AV85</f>
        <v>76.924999999999997</v>
      </c>
      <c r="V51">
        <f>'WEO GOV REV'!AW85</f>
        <v>83.073999999999998</v>
      </c>
      <c r="W51">
        <f>'WEO GOV REV'!AX85</f>
        <v>88.108999999999995</v>
      </c>
      <c r="X51" s="15">
        <f>'WEO GOV REV'!AY85</f>
        <v>83.616</v>
      </c>
      <c r="Y51" s="15">
        <f>'WEO GOV REV'!AZ85</f>
        <v>96.3</v>
      </c>
      <c r="AA51">
        <f t="shared" si="3"/>
        <v>35.422504055449053</v>
      </c>
      <c r="AB51">
        <f t="shared" si="1"/>
        <v>33.132387029134485</v>
      </c>
      <c r="AC51">
        <f t="shared" si="1"/>
        <v>32.360770011323694</v>
      </c>
      <c r="AD51">
        <f t="shared" si="1"/>
        <v>33.010709109268632</v>
      </c>
      <c r="AE51">
        <f t="shared" si="1"/>
        <v>34.120274672178887</v>
      </c>
      <c r="AF51">
        <f t="shared" si="1"/>
        <v>34.592439491268649</v>
      </c>
      <c r="AG51">
        <f t="shared" si="1"/>
        <v>36.338121092820522</v>
      </c>
      <c r="AH51">
        <f t="shared" si="1"/>
        <v>35.90805297609986</v>
      </c>
      <c r="AI51">
        <f t="shared" si="1"/>
        <v>34.526892456870087</v>
      </c>
      <c r="AJ51">
        <f t="shared" si="1"/>
        <v>33.001020534571346</v>
      </c>
      <c r="AK51">
        <f t="shared" si="1"/>
        <v>32.781439147242821</v>
      </c>
      <c r="AL51">
        <f t="shared" si="1"/>
        <v>33.626700061158516</v>
      </c>
      <c r="AM51">
        <f t="shared" si="1"/>
        <v>34.019702244278207</v>
      </c>
      <c r="AN51">
        <f t="shared" si="1"/>
        <v>34.167358746119241</v>
      </c>
      <c r="AO51">
        <f t="shared" si="1"/>
        <v>33.938153426287869</v>
      </c>
      <c r="AP51">
        <f t="shared" si="1"/>
        <v>27.005985517558912</v>
      </c>
      <c r="AQ51">
        <f t="shared" si="1"/>
        <v>27.293396233401712</v>
      </c>
      <c r="AR51">
        <f t="shared" si="1"/>
        <v>25.907215626841797</v>
      </c>
      <c r="AS51">
        <f t="shared" si="1"/>
        <v>25.479539445838267</v>
      </c>
      <c r="AT51">
        <f t="shared" si="4"/>
        <v>24.713273963957647</v>
      </c>
      <c r="AU51">
        <f t="shared" si="2"/>
        <v>22.425033993171866</v>
      </c>
      <c r="AV51">
        <f t="shared" si="2"/>
        <v>22.845403281861984</v>
      </c>
    </row>
    <row r="52" spans="1:48">
      <c r="A52" t="s">
        <v>63</v>
      </c>
      <c r="B52" t="s">
        <v>450</v>
      </c>
      <c r="C52" t="s">
        <v>2085</v>
      </c>
      <c r="D52">
        <f>'WEO GOV REV'!AE87</f>
        <v>547.66</v>
      </c>
      <c r="E52">
        <f>'WEO GOV REV'!AF87</f>
        <v>575.76599999999996</v>
      </c>
      <c r="F52">
        <f>'WEO GOV REV'!AG87</f>
        <v>591.82500000000005</v>
      </c>
      <c r="G52">
        <f>'WEO GOV REV'!AH87</f>
        <v>613.06299999999999</v>
      </c>
      <c r="H52">
        <f>'WEO GOV REV'!AI87</f>
        <v>630.31799999999998</v>
      </c>
      <c r="I52">
        <f>'WEO GOV REV'!AJ87</f>
        <v>644.64200000000005</v>
      </c>
      <c r="J52">
        <f>'WEO GOV REV'!AK87</f>
        <v>685.93100000000004</v>
      </c>
      <c r="K52">
        <f>'WEO GOV REV'!AL87</f>
        <v>733.83799999999997</v>
      </c>
      <c r="L52">
        <f>'WEO GOV REV'!AM87</f>
        <v>741.38199999999995</v>
      </c>
      <c r="M52">
        <f>'WEO GOV REV'!AN87</f>
        <v>725.37800000000004</v>
      </c>
      <c r="N52">
        <f>'WEO GOV REV'!AO87</f>
        <v>736.16200000000003</v>
      </c>
      <c r="O52">
        <f>'WEO GOV REV'!AP87</f>
        <v>751.52599999999995</v>
      </c>
      <c r="P52">
        <f>'WEO GOV REV'!AQ87</f>
        <v>773.92</v>
      </c>
      <c r="Q52">
        <f>'WEO GOV REV'!AR87</f>
        <v>775.68899999999996</v>
      </c>
      <c r="R52">
        <f>'WEO GOV REV'!AS87</f>
        <v>779.54499999999996</v>
      </c>
      <c r="S52">
        <f>'WEO GOV REV'!AT87</f>
        <v>790.67899999999997</v>
      </c>
      <c r="T52">
        <f>'WEO GOV REV'!AU87</f>
        <v>791.5</v>
      </c>
      <c r="U52">
        <f>'WEO GOV REV'!AV87</f>
        <v>804.81100000000004</v>
      </c>
      <c r="V52">
        <f>'WEO GOV REV'!AW87</f>
        <v>818.52099999999996</v>
      </c>
      <c r="W52">
        <f>'WEO GOV REV'!AX87</f>
        <v>843.21699999999998</v>
      </c>
      <c r="X52" s="15">
        <f>'WEO GOV REV'!AY87</f>
        <v>785.39800000000002</v>
      </c>
      <c r="Y52" s="15">
        <f>'WEO GOV REV'!AZ87</f>
        <v>857.08100000000002</v>
      </c>
      <c r="AA52">
        <f t="shared" si="3"/>
        <v>44.112411498900528</v>
      </c>
      <c r="AB52">
        <f t="shared" si="1"/>
        <v>44.149094422377964</v>
      </c>
      <c r="AC52">
        <f t="shared" si="1"/>
        <v>43.830447469376274</v>
      </c>
      <c r="AD52">
        <f t="shared" si="1"/>
        <v>43.956936666929565</v>
      </c>
      <c r="AE52">
        <f t="shared" si="1"/>
        <v>43.400765671477359</v>
      </c>
      <c r="AF52">
        <f t="shared" si="1"/>
        <v>43.159128036206852</v>
      </c>
      <c r="AG52">
        <f t="shared" si="1"/>
        <v>44.176944528527912</v>
      </c>
      <c r="AH52">
        <f t="shared" si="1"/>
        <v>45.443387580193708</v>
      </c>
      <c r="AI52">
        <f t="shared" si="1"/>
        <v>45.269707516639187</v>
      </c>
      <c r="AJ52">
        <f t="shared" si="1"/>
        <v>45.989754384185233</v>
      </c>
      <c r="AK52">
        <f t="shared" si="1"/>
        <v>45.688024427784121</v>
      </c>
      <c r="AL52">
        <f t="shared" si="1"/>
        <v>45.581285329581014</v>
      </c>
      <c r="AM52">
        <f t="shared" si="1"/>
        <v>47.644610800561452</v>
      </c>
      <c r="AN52">
        <f t="shared" si="1"/>
        <v>48.097287242288019</v>
      </c>
      <c r="AO52">
        <f t="shared" si="1"/>
        <v>47.900959192827862</v>
      </c>
      <c r="AP52">
        <f t="shared" si="1"/>
        <v>47.764776242025903</v>
      </c>
      <c r="AQ52">
        <f t="shared" si="1"/>
        <v>46.674411336309326</v>
      </c>
      <c r="AR52">
        <f t="shared" si="1"/>
        <v>46.344329980018315</v>
      </c>
      <c r="AS52">
        <f t="shared" si="1"/>
        <v>46.207836783542859</v>
      </c>
      <c r="AT52">
        <f t="shared" si="4"/>
        <v>46.933258378185819</v>
      </c>
      <c r="AU52">
        <f t="shared" si="2"/>
        <v>47.399937234453461</v>
      </c>
      <c r="AV52">
        <f t="shared" si="2"/>
        <v>48.274286937322579</v>
      </c>
    </row>
    <row r="53" spans="1:48">
      <c r="A53" t="s">
        <v>57</v>
      </c>
      <c r="B53" t="s">
        <v>451</v>
      </c>
      <c r="C53" t="s">
        <v>2085</v>
      </c>
      <c r="D53">
        <f>'WEO GOV REV'!AE89</f>
        <v>153497.4</v>
      </c>
      <c r="E53">
        <f>'WEO GOV REV'!AF89</f>
        <v>154145.1</v>
      </c>
      <c r="F53">
        <f>'WEO GOV REV'!AG89</f>
        <v>147146.9</v>
      </c>
      <c r="G53">
        <f>'WEO GOV REV'!AH89</f>
        <v>144642.20000000001</v>
      </c>
      <c r="H53">
        <f>'WEO GOV REV'!AI89</f>
        <v>150159.29999999999</v>
      </c>
      <c r="I53">
        <f>'WEO GOV REV'!AJ89</f>
        <v>154861.1</v>
      </c>
      <c r="J53">
        <f>'WEO GOV REV'!AK89</f>
        <v>160700.29999999999</v>
      </c>
      <c r="K53">
        <f>'WEO GOV REV'!AL89</f>
        <v>162980.20000000001</v>
      </c>
      <c r="L53">
        <f>'WEO GOV REV'!AM89</f>
        <v>158334.39999999999</v>
      </c>
      <c r="M53">
        <f>'WEO GOV REV'!AN89</f>
        <v>143495.70000000001</v>
      </c>
      <c r="N53">
        <f>'WEO GOV REV'!AO89</f>
        <v>144931.1</v>
      </c>
      <c r="O53">
        <f>'WEO GOV REV'!AP89</f>
        <v>147449.4</v>
      </c>
      <c r="P53">
        <f>'WEO GOV REV'!AQ89</f>
        <v>152352.20000000001</v>
      </c>
      <c r="Q53">
        <f>'WEO GOV REV'!AR89</f>
        <v>158545.79999999999</v>
      </c>
      <c r="R53">
        <f>'WEO GOV REV'!AS89</f>
        <v>170029.5</v>
      </c>
      <c r="S53">
        <f>'WEO GOV REV'!AT89</f>
        <v>180872.7</v>
      </c>
      <c r="T53">
        <f>'WEO GOV REV'!AU89</f>
        <v>183068</v>
      </c>
      <c r="U53">
        <f>'WEO GOV REV'!AV89</f>
        <v>185762.1</v>
      </c>
      <c r="V53">
        <f>'WEO GOV REV'!AW89</f>
        <v>190742.1</v>
      </c>
      <c r="W53">
        <f>'WEO GOV REV'!AX89</f>
        <v>191079.2</v>
      </c>
      <c r="X53" s="15">
        <f>'WEO GOV REV'!AY89</f>
        <v>191417.7</v>
      </c>
      <c r="Y53" s="15">
        <f>'WEO GOV REV'!AZ89</f>
        <v>192638.06</v>
      </c>
      <c r="AA53">
        <f t="shared" si="3"/>
        <v>28.668719767762628</v>
      </c>
      <c r="AB53">
        <f t="shared" si="1"/>
        <v>28.993504985104028</v>
      </c>
      <c r="AC53">
        <f t="shared" si="1"/>
        <v>28.055839064579747</v>
      </c>
      <c r="AD53">
        <f t="shared" si="1"/>
        <v>27.605127482830085</v>
      </c>
      <c r="AE53">
        <f t="shared" ref="AE53:AE67" si="5">H53/H85*100</f>
        <v>28.364010783512221</v>
      </c>
      <c r="AF53">
        <f t="shared" ref="AF53:AF67" si="6">I53/I85*100</f>
        <v>29.081050222951259</v>
      </c>
      <c r="AG53">
        <f t="shared" ref="AG53:AG67" si="7">J53/J85*100</f>
        <v>30.027886455561241</v>
      </c>
      <c r="AH53">
        <f t="shared" ref="AH53:AH67" si="8">K53/K85*100</f>
        <v>30.221724605475135</v>
      </c>
      <c r="AI53">
        <f t="shared" ref="AI53:AI67" si="9">L53/L85*100</f>
        <v>29.997586315736424</v>
      </c>
      <c r="AJ53">
        <f t="shared" ref="AJ53:AJ67" si="10">M53/M85*100</f>
        <v>28.992638275793514</v>
      </c>
      <c r="AK53">
        <f t="shared" ref="AK53:AK67" si="11">N53/N85*100</f>
        <v>28.669105292538177</v>
      </c>
      <c r="AL53">
        <f t="shared" ref="AL53:AL67" si="12">O53/O85*100</f>
        <v>29.641114896424536</v>
      </c>
      <c r="AM53">
        <f t="shared" ref="AM53:AM67" si="13">P53/P85*100</f>
        <v>30.441532720528592</v>
      </c>
      <c r="AN53">
        <f t="shared" ref="AN53:AN67" si="14">Q53/Q85*100</f>
        <v>31.166819932982186</v>
      </c>
      <c r="AO53">
        <f t="shared" ref="AO53:AO67" si="15">R53/R85*100</f>
        <v>32.772910988219031</v>
      </c>
      <c r="AP53">
        <f t="shared" ref="AP53:AP67" si="16">S53/S85*100</f>
        <v>33.617442670263472</v>
      </c>
      <c r="AQ53">
        <f t="shared" ref="AQ53:AQ67" si="17">T53/T85*100</f>
        <v>33.629666587430556</v>
      </c>
      <c r="AR53">
        <f t="shared" ref="AR53:AR67" si="18">U53/U85*100</f>
        <v>33.587266057102774</v>
      </c>
      <c r="AS53">
        <f t="shared" ref="AS53:AS67" si="19">V53/V85*100</f>
        <v>34.288020878180006</v>
      </c>
      <c r="AT53">
        <f t="shared" si="4"/>
        <v>34.213466568497417</v>
      </c>
      <c r="AU53">
        <f t="shared" si="2"/>
        <v>35.569224056843062</v>
      </c>
      <c r="AV53">
        <f t="shared" si="2"/>
        <v>35.548413241179148</v>
      </c>
    </row>
    <row r="54" spans="1:48">
      <c r="A54" t="s">
        <v>2086</v>
      </c>
      <c r="B54" t="s">
        <v>449</v>
      </c>
      <c r="C54" t="s">
        <v>2085</v>
      </c>
      <c r="D54">
        <f>'WEO GOV REV'!AE94</f>
        <v>134647.24</v>
      </c>
      <c r="E54">
        <f>'WEO GOV REV'!AF94</f>
        <v>141863.85</v>
      </c>
      <c r="F54">
        <f>'WEO GOV REV'!AG94</f>
        <v>155444.45000000001</v>
      </c>
      <c r="G54">
        <f>'WEO GOV REV'!AH94</f>
        <v>168216.32000000001</v>
      </c>
      <c r="H54">
        <f>'WEO GOV REV'!AI94</f>
        <v>175250.01</v>
      </c>
      <c r="I54">
        <f>'WEO GOV REV'!AJ94</f>
        <v>190165</v>
      </c>
      <c r="J54">
        <f>'WEO GOV REV'!AK94</f>
        <v>208091</v>
      </c>
      <c r="K54">
        <f>'WEO GOV REV'!AL94</f>
        <v>241693</v>
      </c>
      <c r="L54">
        <f>'WEO GOV REV'!AM94</f>
        <v>248809</v>
      </c>
      <c r="M54">
        <f>'WEO GOV REV'!AN94</f>
        <v>248278</v>
      </c>
      <c r="N54">
        <f>'WEO GOV REV'!AO94</f>
        <v>268540</v>
      </c>
      <c r="O54">
        <f>'WEO GOV REV'!AP94</f>
        <v>289797</v>
      </c>
      <c r="P54">
        <f>'WEO GOV REV'!AQ94</f>
        <v>307754</v>
      </c>
      <c r="Q54">
        <f>'WEO GOV REV'!AR94</f>
        <v>311136</v>
      </c>
      <c r="R54">
        <f>'WEO GOV REV'!AS94</f>
        <v>318185</v>
      </c>
      <c r="S54">
        <f>'WEO GOV REV'!AT94</f>
        <v>335911</v>
      </c>
      <c r="T54">
        <f>'WEO GOV REV'!AU94</f>
        <v>367888</v>
      </c>
      <c r="U54">
        <f>'WEO GOV REV'!AV94</f>
        <v>400659</v>
      </c>
      <c r="V54">
        <f>'WEO GOV REV'!AW94</f>
        <v>435558</v>
      </c>
      <c r="W54">
        <f>'WEO GOV REV'!AX94</f>
        <v>441148</v>
      </c>
      <c r="X54" s="15">
        <f>'WEO GOV REV'!AY94</f>
        <v>443694</v>
      </c>
      <c r="Y54" s="15">
        <f>'WEO GOV REV'!AZ94</f>
        <v>527994</v>
      </c>
      <c r="AA54">
        <f t="shared" si="3"/>
        <v>20.663006842948565</v>
      </c>
      <c r="AB54">
        <f t="shared" ref="AB54:AB67" si="20">E54/E86*100</f>
        <v>20.065003699322776</v>
      </c>
      <c r="AC54">
        <f t="shared" ref="AC54:AC67" si="21">F54/F86*100</f>
        <v>19.808368694243569</v>
      </c>
      <c r="AD54">
        <f t="shared" ref="AD54:AD67" si="22">G54/G86*100</f>
        <v>20.088766536842773</v>
      </c>
      <c r="AE54">
        <f t="shared" si="5"/>
        <v>19.291328545561605</v>
      </c>
      <c r="AF54">
        <f t="shared" si="6"/>
        <v>19.86165720992831</v>
      </c>
      <c r="AG54">
        <f t="shared" si="7"/>
        <v>20.693187112389946</v>
      </c>
      <c r="AH54">
        <f t="shared" si="8"/>
        <v>22.180584369329083</v>
      </c>
      <c r="AI54">
        <f t="shared" si="9"/>
        <v>21.556525872180316</v>
      </c>
      <c r="AJ54">
        <f t="shared" si="10"/>
        <v>20.59803817620109</v>
      </c>
      <c r="AK54">
        <f t="shared" si="11"/>
        <v>20.303774835718919</v>
      </c>
      <c r="AL54">
        <f t="shared" si="12"/>
        <v>20.864658243727654</v>
      </c>
      <c r="AM54">
        <f t="shared" si="13"/>
        <v>21.370153820749827</v>
      </c>
      <c r="AN54">
        <f t="shared" si="14"/>
        <v>20.73107806723155</v>
      </c>
      <c r="AO54">
        <f t="shared" si="15"/>
        <v>20.358250438759534</v>
      </c>
      <c r="AP54">
        <f t="shared" si="16"/>
        <v>20.259762786995868</v>
      </c>
      <c r="AQ54">
        <f t="shared" si="17"/>
        <v>21.133519717257716</v>
      </c>
      <c r="AR54">
        <f t="shared" si="18"/>
        <v>21.825972165469672</v>
      </c>
      <c r="AS54">
        <f t="shared" si="19"/>
        <v>22.945932883733715</v>
      </c>
      <c r="AT54">
        <f t="shared" si="4"/>
        <v>22.92275699948766</v>
      </c>
      <c r="AU54">
        <f t="shared" si="2"/>
        <v>22.95183763059757</v>
      </c>
      <c r="AV54">
        <f t="shared" si="2"/>
        <v>25.662572127592842</v>
      </c>
    </row>
    <row r="55" spans="1:48">
      <c r="A55" t="s">
        <v>54</v>
      </c>
      <c r="B55" t="s">
        <v>467</v>
      </c>
      <c r="C55" t="s">
        <v>2085</v>
      </c>
      <c r="D55">
        <f>'WEO GOV REV'!AE105</f>
        <v>10.005000000000001</v>
      </c>
      <c r="E55">
        <f>'WEO GOV REV'!AF105</f>
        <v>10.45</v>
      </c>
      <c r="F55">
        <f>'WEO GOV REV'!AG105</f>
        <v>10.952999999999999</v>
      </c>
      <c r="G55">
        <f>'WEO GOV REV'!AH105</f>
        <v>11.438000000000001</v>
      </c>
      <c r="H55">
        <f>'WEO GOV REV'!AI105</f>
        <v>11.919</v>
      </c>
      <c r="I55">
        <f>'WEO GOV REV'!AJ105</f>
        <v>13.092000000000001</v>
      </c>
      <c r="J55">
        <f>'WEO GOV REV'!AK105</f>
        <v>14.116</v>
      </c>
      <c r="K55">
        <f>'WEO GOV REV'!AL105</f>
        <v>15.714</v>
      </c>
      <c r="L55">
        <f>'WEO GOV REV'!AM105</f>
        <v>16.521999999999998</v>
      </c>
      <c r="M55">
        <f>'WEO GOV REV'!AN105</f>
        <v>16.59</v>
      </c>
      <c r="N55">
        <f>'WEO GOV REV'!AO105</f>
        <v>17.681000000000001</v>
      </c>
      <c r="O55">
        <f>'WEO GOV REV'!AP105</f>
        <v>18.684000000000001</v>
      </c>
      <c r="P55">
        <f>'WEO GOV REV'!AQ105</f>
        <v>19.689</v>
      </c>
      <c r="Q55">
        <f>'WEO GOV REV'!AR105</f>
        <v>20.658999999999999</v>
      </c>
      <c r="R55">
        <f>'WEO GOV REV'!AS105</f>
        <v>21.722999999999999</v>
      </c>
      <c r="S55">
        <f>'WEO GOV REV'!AT105</f>
        <v>22.561</v>
      </c>
      <c r="T55">
        <f>'WEO GOV REV'!AU105</f>
        <v>23.571000000000002</v>
      </c>
      <c r="U55">
        <f>'WEO GOV REV'!AV105</f>
        <v>24.762</v>
      </c>
      <c r="V55">
        <f>'WEO GOV REV'!AW105</f>
        <v>27.244</v>
      </c>
      <c r="W55">
        <f>'WEO GOV REV'!AX105</f>
        <v>28.381</v>
      </c>
      <c r="X55" s="15">
        <f>'WEO GOV REV'!AY105</f>
        <v>28.202999999999999</v>
      </c>
      <c r="Y55" s="15">
        <f>'WEO GOV REV'!AZ105</f>
        <v>31.611000000000001</v>
      </c>
      <c r="AA55">
        <f t="shared" si="3"/>
        <v>43.526494387888285</v>
      </c>
      <c r="AB55">
        <f t="shared" si="20"/>
        <v>43.760469011725291</v>
      </c>
      <c r="AC55">
        <f t="shared" si="21"/>
        <v>43.792731198272762</v>
      </c>
      <c r="AD55">
        <f t="shared" si="22"/>
        <v>43.611545354024479</v>
      </c>
      <c r="AE55">
        <f t="shared" si="5"/>
        <v>42.282450601298379</v>
      </c>
      <c r="AF55">
        <f t="shared" si="6"/>
        <v>43.235031868168164</v>
      </c>
      <c r="AG55">
        <f t="shared" si="7"/>
        <v>41.305047549378202</v>
      </c>
      <c r="AH55">
        <f t="shared" si="8"/>
        <v>41.745922108283303</v>
      </c>
      <c r="AI55">
        <f t="shared" si="9"/>
        <v>41.29467633091727</v>
      </c>
      <c r="AJ55">
        <f t="shared" si="10"/>
        <v>42.482906967811324</v>
      </c>
      <c r="AK55">
        <f t="shared" si="11"/>
        <v>41.697521401787611</v>
      </c>
      <c r="AL55">
        <f t="shared" si="12"/>
        <v>42.154186314103285</v>
      </c>
      <c r="AM55">
        <f t="shared" si="13"/>
        <v>42.318273653441082</v>
      </c>
      <c r="AN55">
        <f t="shared" si="14"/>
        <v>42.07964151135554</v>
      </c>
      <c r="AO55">
        <f t="shared" si="15"/>
        <v>41.943580931049794</v>
      </c>
      <c r="AP55">
        <f t="shared" si="16"/>
        <v>41.670052824055261</v>
      </c>
      <c r="AQ55">
        <f t="shared" si="17"/>
        <v>41.93531169940222</v>
      </c>
      <c r="AR55">
        <f t="shared" si="18"/>
        <v>42.569065997352546</v>
      </c>
      <c r="AS55">
        <f t="shared" si="19"/>
        <v>45.134356051820681</v>
      </c>
      <c r="AT55">
        <f t="shared" si="4"/>
        <v>45.261865271752995</v>
      </c>
      <c r="AU55">
        <f t="shared" ref="AU55:AU67" si="23">X55/X87*100</f>
        <v>43.915541645256226</v>
      </c>
      <c r="AV55">
        <f t="shared" ref="AV55:AV67" si="24">Y55/Y87*100</f>
        <v>43.117276372861937</v>
      </c>
    </row>
    <row r="56" spans="1:48">
      <c r="A56" t="s">
        <v>1633</v>
      </c>
      <c r="B56" t="s">
        <v>460</v>
      </c>
      <c r="C56" t="s">
        <v>2085</v>
      </c>
      <c r="D56">
        <f>'WEO GOV REV'!AE127</f>
        <v>192.31100000000001</v>
      </c>
      <c r="E56">
        <f>'WEO GOV REV'!AF127</f>
        <v>200.68299999999999</v>
      </c>
      <c r="F56">
        <f>'WEO GOV REV'!AG127</f>
        <v>203.77</v>
      </c>
      <c r="G56">
        <f>'WEO GOV REV'!AH127</f>
        <v>208.05799999999999</v>
      </c>
      <c r="H56">
        <f>'WEO GOV REV'!AI127</f>
        <v>215.99299999999999</v>
      </c>
      <c r="I56">
        <f>'WEO GOV REV'!AJ127</f>
        <v>225.99100000000001</v>
      </c>
      <c r="J56">
        <f>'WEO GOV REV'!AK127</f>
        <v>246.898</v>
      </c>
      <c r="K56">
        <f>'WEO GOV REV'!AL127</f>
        <v>256.68700000000001</v>
      </c>
      <c r="L56">
        <f>'WEO GOV REV'!AM127</f>
        <v>275.339</v>
      </c>
      <c r="M56">
        <f>'WEO GOV REV'!AN127</f>
        <v>260.36399999999998</v>
      </c>
      <c r="N56">
        <f>'WEO GOV REV'!AO127</f>
        <v>267.166</v>
      </c>
      <c r="O56">
        <f>'WEO GOV REV'!AP127</f>
        <v>270.16300000000001</v>
      </c>
      <c r="P56">
        <f>'WEO GOV REV'!AQ127</f>
        <v>274.44299999999998</v>
      </c>
      <c r="Q56">
        <f>'WEO GOV REV'!AR127</f>
        <v>282.51100000000002</v>
      </c>
      <c r="R56">
        <f>'WEO GOV REV'!AS127</f>
        <v>287.24599999999998</v>
      </c>
      <c r="S56">
        <f>'WEO GOV REV'!AT127</f>
        <v>288.29599999999999</v>
      </c>
      <c r="T56">
        <f>'WEO GOV REV'!AU127</f>
        <v>303.26400000000001</v>
      </c>
      <c r="U56">
        <f>'WEO GOV REV'!AV127</f>
        <v>316.83199999999999</v>
      </c>
      <c r="V56">
        <f>'WEO GOV REV'!AW127</f>
        <v>331.822</v>
      </c>
      <c r="W56">
        <f>'WEO GOV REV'!AX127</f>
        <v>354.351</v>
      </c>
      <c r="X56" s="15">
        <f>'WEO GOV REV'!AY127</f>
        <v>328.59800000000001</v>
      </c>
      <c r="Y56" s="15">
        <f>'WEO GOV REV'!AZ127</f>
        <v>357.25200000000001</v>
      </c>
      <c r="AA56">
        <f t="shared" si="3"/>
        <v>42.546022517350394</v>
      </c>
      <c r="AB56">
        <f t="shared" si="20"/>
        <v>41.645759015192546</v>
      </c>
      <c r="AC56">
        <f t="shared" si="21"/>
        <v>40.661535667891222</v>
      </c>
      <c r="AD56">
        <f t="shared" si="22"/>
        <v>40.57214172890545</v>
      </c>
      <c r="AE56">
        <f t="shared" si="5"/>
        <v>40.80837203326746</v>
      </c>
      <c r="AF56">
        <f t="shared" si="6"/>
        <v>41.02341150480229</v>
      </c>
      <c r="AG56">
        <f t="shared" si="7"/>
        <v>42.237565563702425</v>
      </c>
      <c r="AH56">
        <f t="shared" si="8"/>
        <v>41.456627420579167</v>
      </c>
      <c r="AI56">
        <f t="shared" si="9"/>
        <v>42.543240244870965</v>
      </c>
      <c r="AJ56">
        <f t="shared" si="10"/>
        <v>41.668773866033334</v>
      </c>
      <c r="AK56">
        <f t="shared" si="11"/>
        <v>41.797783747166321</v>
      </c>
      <c r="AL56">
        <f t="shared" si="12"/>
        <v>41.540595271227119</v>
      </c>
      <c r="AM56">
        <f t="shared" si="13"/>
        <v>42.030212905419269</v>
      </c>
      <c r="AN56">
        <f t="shared" si="14"/>
        <v>42.774689876647152</v>
      </c>
      <c r="AO56">
        <f t="shared" si="15"/>
        <v>42.772946572160343</v>
      </c>
      <c r="AP56">
        <f t="shared" si="16"/>
        <v>41.781544561802178</v>
      </c>
      <c r="AQ56">
        <f t="shared" si="17"/>
        <v>42.813519553545845</v>
      </c>
      <c r="AR56">
        <f t="shared" si="18"/>
        <v>42.922673834173729</v>
      </c>
      <c r="AS56">
        <f t="shared" si="19"/>
        <v>42.871779500172487</v>
      </c>
      <c r="AT56">
        <f t="shared" si="4"/>
        <v>43.582660459624506</v>
      </c>
      <c r="AU56">
        <f t="shared" si="23"/>
        <v>41.069872952586884</v>
      </c>
      <c r="AV56">
        <f t="shared" si="24"/>
        <v>41.50622909451284</v>
      </c>
    </row>
    <row r="57" spans="1:48">
      <c r="A57" t="s">
        <v>71</v>
      </c>
      <c r="B57" t="s">
        <v>453</v>
      </c>
      <c r="C57" t="s">
        <v>2085</v>
      </c>
      <c r="D57">
        <f>'WEO GOV REV'!AE128</f>
        <v>45.552999999999997</v>
      </c>
      <c r="E57">
        <f>'WEO GOV REV'!AF128</f>
        <v>48.682000000000002</v>
      </c>
      <c r="F57">
        <f>'WEO GOV REV'!AG128</f>
        <v>52.588999999999999</v>
      </c>
      <c r="G57">
        <f>'WEO GOV REV'!AH128</f>
        <v>57.152000000000001</v>
      </c>
      <c r="H57">
        <f>'WEO GOV REV'!AI128</f>
        <v>62.223999999999997</v>
      </c>
      <c r="I57">
        <f>'WEO GOV REV'!AJ128</f>
        <v>67.953999999999994</v>
      </c>
      <c r="J57">
        <f>'WEO GOV REV'!AK128</f>
        <v>71.783000000000001</v>
      </c>
      <c r="K57">
        <f>'WEO GOV REV'!AL128</f>
        <v>74.552000000000007</v>
      </c>
      <c r="L57">
        <f>'WEO GOV REV'!AM128</f>
        <v>75.885999999999996</v>
      </c>
      <c r="M57">
        <f>'WEO GOV REV'!AN128</f>
        <v>74.149000000000001</v>
      </c>
      <c r="N57">
        <f>'WEO GOV REV'!AO128</f>
        <v>75.599000000000004</v>
      </c>
      <c r="O57">
        <f>'WEO GOV REV'!AP128</f>
        <v>79.031999999999996</v>
      </c>
      <c r="P57">
        <f>'WEO GOV REV'!AQ128</f>
        <v>81.117000000000004</v>
      </c>
      <c r="Q57">
        <f>'WEO GOV REV'!AR128</f>
        <v>85.075000000000003</v>
      </c>
      <c r="R57">
        <f>'WEO GOV REV'!AS128</f>
        <v>89.873999999999995</v>
      </c>
      <c r="S57">
        <f>'WEO GOV REV'!AT128</f>
        <v>94.59</v>
      </c>
      <c r="T57">
        <f>'WEO GOV REV'!AU128</f>
        <v>99.798000000000002</v>
      </c>
      <c r="U57">
        <f>'WEO GOV REV'!AV128</f>
        <v>105.881</v>
      </c>
      <c r="V57">
        <f>'WEO GOV REV'!AW128</f>
        <v>113.026</v>
      </c>
      <c r="W57">
        <f>'WEO GOV REV'!AX128</f>
        <v>116.152</v>
      </c>
      <c r="X57" s="15">
        <f>'WEO GOV REV'!AY128</f>
        <v>122.033</v>
      </c>
      <c r="Y57" s="15">
        <f>'WEO GOV REV'!AZ128</f>
        <v>131.75700000000001</v>
      </c>
      <c r="AA57">
        <f t="shared" si="3"/>
        <v>38.491372754465715</v>
      </c>
      <c r="AB57">
        <f t="shared" si="20"/>
        <v>38.542598589151829</v>
      </c>
      <c r="AC57">
        <f t="shared" si="21"/>
        <v>39.337407526535863</v>
      </c>
      <c r="AD57">
        <f t="shared" si="22"/>
        <v>40.379547397500296</v>
      </c>
      <c r="AE57">
        <f t="shared" si="5"/>
        <v>40.666888875817762</v>
      </c>
      <c r="AF57">
        <f t="shared" si="6"/>
        <v>42.258373443776961</v>
      </c>
      <c r="AG57">
        <f t="shared" si="7"/>
        <v>42.482940657753794</v>
      </c>
      <c r="AH57">
        <f t="shared" si="8"/>
        <v>40.688992708378819</v>
      </c>
      <c r="AI57">
        <f t="shared" si="9"/>
        <v>40.055951438374244</v>
      </c>
      <c r="AJ57">
        <f t="shared" si="10"/>
        <v>38.646242690210876</v>
      </c>
      <c r="AK57">
        <f t="shared" si="11"/>
        <v>37.512156878312133</v>
      </c>
      <c r="AL57">
        <f t="shared" si="12"/>
        <v>37.453439108305609</v>
      </c>
      <c r="AM57">
        <f t="shared" si="13"/>
        <v>37.567384820585019</v>
      </c>
      <c r="AN57">
        <f t="shared" si="14"/>
        <v>37.300835679022086</v>
      </c>
      <c r="AO57">
        <f t="shared" si="15"/>
        <v>37.307286780516556</v>
      </c>
      <c r="AP57">
        <f t="shared" si="16"/>
        <v>37.582991302551228</v>
      </c>
      <c r="AQ57">
        <f t="shared" si="17"/>
        <v>37.430800390068264</v>
      </c>
      <c r="AR57">
        <f t="shared" si="18"/>
        <v>36.968203036894529</v>
      </c>
      <c r="AS57">
        <f t="shared" si="19"/>
        <v>37.349891280641344</v>
      </c>
      <c r="AT57">
        <f t="shared" si="4"/>
        <v>36.28627393400167</v>
      </c>
      <c r="AU57">
        <f t="shared" si="23"/>
        <v>37.648238415499478</v>
      </c>
      <c r="AV57">
        <f t="shared" si="24"/>
        <v>37.637329676921759</v>
      </c>
    </row>
    <row r="58" spans="1:48">
      <c r="A58" t="s">
        <v>51</v>
      </c>
      <c r="B58" t="s">
        <v>468</v>
      </c>
      <c r="C58" t="s">
        <v>2085</v>
      </c>
      <c r="D58">
        <f>'WEO GOV REV'!AE133</f>
        <v>850.73500000000001</v>
      </c>
      <c r="E58">
        <f>'WEO GOV REV'!AF133</f>
        <v>883.35500000000002</v>
      </c>
      <c r="F58">
        <f>'WEO GOV REV'!AG133</f>
        <v>863.03599999999994</v>
      </c>
      <c r="G58">
        <f>'WEO GOV REV'!AH133</f>
        <v>890.779</v>
      </c>
      <c r="H58">
        <f>'WEO GOV REV'!AI133</f>
        <v>993.9</v>
      </c>
      <c r="I58">
        <f>'WEO GOV REV'!AJ133</f>
        <v>1128.3900000000001</v>
      </c>
      <c r="J58">
        <f>'WEO GOV REV'!AK133</f>
        <v>1298.47</v>
      </c>
      <c r="K58">
        <f>'WEO GOV REV'!AL133</f>
        <v>1369.31</v>
      </c>
      <c r="L58">
        <f>'WEO GOV REV'!AM133</f>
        <v>1528.43</v>
      </c>
      <c r="M58">
        <f>'WEO GOV REV'!AN133</f>
        <v>1361.09</v>
      </c>
      <c r="N58">
        <f>'WEO GOV REV'!AO133</f>
        <v>1441.94</v>
      </c>
      <c r="O58">
        <f>'WEO GOV REV'!AP133</f>
        <v>1588.69</v>
      </c>
      <c r="P58">
        <f>'WEO GOV REV'!AQ133</f>
        <v>1672.91</v>
      </c>
      <c r="Q58">
        <f>'WEO GOV REV'!AR133</f>
        <v>1670.72</v>
      </c>
      <c r="R58">
        <f>'WEO GOV REV'!AS133</f>
        <v>1700.95</v>
      </c>
      <c r="S58">
        <f>'WEO GOV REV'!AT133</f>
        <v>1696.27</v>
      </c>
      <c r="T58">
        <f>'WEO GOV REV'!AU133</f>
        <v>1696.4</v>
      </c>
      <c r="U58">
        <f>'WEO GOV REV'!AV133</f>
        <v>1800.47</v>
      </c>
      <c r="V58">
        <f>'WEO GOV REV'!AW133</f>
        <v>1985.28</v>
      </c>
      <c r="W58">
        <f>'WEO GOV REV'!AX133</f>
        <v>2040.38</v>
      </c>
      <c r="X58" s="15">
        <f>'WEO GOV REV'!AY133</f>
        <v>1857.84</v>
      </c>
      <c r="Y58" s="15">
        <f>'WEO GOV REV'!AZ133</f>
        <v>2071.4299999999998</v>
      </c>
      <c r="AA58">
        <f t="shared" si="3"/>
        <v>56.441736107425299</v>
      </c>
      <c r="AB58">
        <f t="shared" si="20"/>
        <v>56.469305955980595</v>
      </c>
      <c r="AC58">
        <f t="shared" si="21"/>
        <v>55.286317367379226</v>
      </c>
      <c r="AD58">
        <f t="shared" si="22"/>
        <v>54.973802279726236</v>
      </c>
      <c r="AE58">
        <f t="shared" si="5"/>
        <v>55.742504290473462</v>
      </c>
      <c r="AF58">
        <f t="shared" si="6"/>
        <v>56.703300016583</v>
      </c>
      <c r="AG58">
        <f t="shared" si="7"/>
        <v>58.586756425064969</v>
      </c>
      <c r="AH58">
        <f t="shared" si="8"/>
        <v>58.264295774348227</v>
      </c>
      <c r="AI58">
        <f t="shared" si="9"/>
        <v>58.625900908675952</v>
      </c>
      <c r="AJ58">
        <f t="shared" si="10"/>
        <v>56.046992357359336</v>
      </c>
      <c r="AK58">
        <f t="shared" si="11"/>
        <v>55.641563893991076</v>
      </c>
      <c r="AL58">
        <f t="shared" si="12"/>
        <v>56.8876491398943</v>
      </c>
      <c r="AM58">
        <f t="shared" si="13"/>
        <v>56.44000607277205</v>
      </c>
      <c r="AN58">
        <f t="shared" si="14"/>
        <v>54.39922897089756</v>
      </c>
      <c r="AO58">
        <f t="shared" si="15"/>
        <v>54.156411881011593</v>
      </c>
      <c r="AP58">
        <f t="shared" si="16"/>
        <v>54.521932263425008</v>
      </c>
      <c r="AQ58">
        <f t="shared" si="17"/>
        <v>54.755257169601215</v>
      </c>
      <c r="AR58">
        <f t="shared" si="18"/>
        <v>54.636187632382303</v>
      </c>
      <c r="AS58">
        <f t="shared" si="19"/>
        <v>55.862010748754884</v>
      </c>
      <c r="AT58">
        <f t="shared" si="4"/>
        <v>57.25807356853413</v>
      </c>
      <c r="AU58">
        <f t="shared" si="23"/>
        <v>54.47572132301196</v>
      </c>
      <c r="AV58">
        <f t="shared" si="24"/>
        <v>49.984677121615391</v>
      </c>
    </row>
    <row r="59" spans="1:48">
      <c r="A59" t="s">
        <v>1635</v>
      </c>
      <c r="B59" t="s">
        <v>441</v>
      </c>
      <c r="C59" t="s">
        <v>2085</v>
      </c>
      <c r="D59">
        <f>'WEO GOV REV'!AE142</f>
        <v>292.14800000000002</v>
      </c>
      <c r="E59">
        <f>'WEO GOV REV'!AF142</f>
        <v>313.40899999999999</v>
      </c>
      <c r="F59">
        <f>'WEO GOV REV'!AG142</f>
        <v>328.06400000000002</v>
      </c>
      <c r="G59">
        <f>'WEO GOV REV'!AH142</f>
        <v>335.3</v>
      </c>
      <c r="H59">
        <f>'WEO GOV REV'!AI142</f>
        <v>358.76100000000002</v>
      </c>
      <c r="I59">
        <f>'WEO GOV REV'!AJ142</f>
        <v>399.16</v>
      </c>
      <c r="J59">
        <f>'WEO GOV REV'!AK142</f>
        <v>437.52600000000001</v>
      </c>
      <c r="K59">
        <f>'WEO GOV REV'!AL142</f>
        <v>487.09</v>
      </c>
      <c r="L59">
        <f>'WEO GOV REV'!AM142</f>
        <v>521.50199999999995</v>
      </c>
      <c r="M59">
        <f>'WEO GOV REV'!AN142</f>
        <v>518.09900000000005</v>
      </c>
      <c r="N59">
        <f>'WEO GOV REV'!AO142</f>
        <v>556.23900000000003</v>
      </c>
      <c r="O59">
        <f>'WEO GOV REV'!AP142</f>
        <v>612.30399999999997</v>
      </c>
      <c r="P59">
        <f>'WEO GOV REV'!AQ142</f>
        <v>638.89700000000005</v>
      </c>
      <c r="Q59">
        <f>'WEO GOV REV'!AR142</f>
        <v>638.14300000000003</v>
      </c>
      <c r="R59">
        <f>'WEO GOV REV'!AS142</f>
        <v>667.27599999999995</v>
      </c>
      <c r="S59">
        <f>'WEO GOV REV'!AT142</f>
        <v>703.86199999999997</v>
      </c>
      <c r="T59">
        <f>'WEO GOV REV'!AU142</f>
        <v>721.56200000000001</v>
      </c>
      <c r="U59">
        <f>'WEO GOV REV'!AV142</f>
        <v>791.649</v>
      </c>
      <c r="V59">
        <f>'WEO GOV REV'!AW142</f>
        <v>876.00599999999997</v>
      </c>
      <c r="W59">
        <f>'WEO GOV REV'!AX142</f>
        <v>941.01800000000003</v>
      </c>
      <c r="X59" s="15">
        <f>'WEO GOV REV'!AY142</f>
        <v>966.27499999999998</v>
      </c>
      <c r="Y59" s="15">
        <f>'WEO GOV REV'!AZ142</f>
        <v>1092.67</v>
      </c>
      <c r="AA59">
        <f t="shared" si="3"/>
        <v>39.170068848085059</v>
      </c>
      <c r="AB59">
        <f t="shared" si="20"/>
        <v>40.124055818717189</v>
      </c>
      <c r="AC59">
        <f t="shared" si="21"/>
        <v>40.391325438862168</v>
      </c>
      <c r="AD59">
        <f t="shared" si="22"/>
        <v>39.579674013636279</v>
      </c>
      <c r="AE59">
        <f t="shared" si="5"/>
        <v>38.448620286102553</v>
      </c>
      <c r="AF59">
        <f t="shared" si="6"/>
        <v>40.297618446690159</v>
      </c>
      <c r="AG59">
        <f t="shared" si="7"/>
        <v>40.912074656592765</v>
      </c>
      <c r="AH59">
        <f t="shared" si="8"/>
        <v>41.017759850443362</v>
      </c>
      <c r="AI59">
        <f t="shared" si="9"/>
        <v>40.565819053027056</v>
      </c>
      <c r="AJ59">
        <f t="shared" si="10"/>
        <v>37.761492095653885</v>
      </c>
      <c r="AK59">
        <f t="shared" si="11"/>
        <v>38.445094136186455</v>
      </c>
      <c r="AL59">
        <f t="shared" si="12"/>
        <v>39.118607251237819</v>
      </c>
      <c r="AM59">
        <f t="shared" si="13"/>
        <v>39.35451879958606</v>
      </c>
      <c r="AN59">
        <f t="shared" si="14"/>
        <v>38.752368344345122</v>
      </c>
      <c r="AO59">
        <f t="shared" si="15"/>
        <v>38.993712161941048</v>
      </c>
      <c r="AP59">
        <f t="shared" si="16"/>
        <v>39.079345514710376</v>
      </c>
      <c r="AQ59">
        <f t="shared" si="17"/>
        <v>38.721001990888062</v>
      </c>
      <c r="AR59">
        <f t="shared" si="18"/>
        <v>39.784555542154145</v>
      </c>
      <c r="AS59">
        <f t="shared" si="19"/>
        <v>41.290654047022002</v>
      </c>
      <c r="AT59">
        <f t="shared" si="4"/>
        <v>41.035147392290256</v>
      </c>
      <c r="AU59">
        <f t="shared" si="23"/>
        <v>41.530563124822713</v>
      </c>
      <c r="AV59">
        <f t="shared" si="24"/>
        <v>41.97556000322691</v>
      </c>
    </row>
    <row r="60" spans="1:48">
      <c r="A60" t="s">
        <v>62</v>
      </c>
      <c r="B60" t="s">
        <v>445</v>
      </c>
      <c r="C60" t="s">
        <v>2085</v>
      </c>
      <c r="D60">
        <f>'WEO GOV REV'!AE143</f>
        <v>50.652999999999999</v>
      </c>
      <c r="E60">
        <f>'WEO GOV REV'!AF143</f>
        <v>53.414000000000001</v>
      </c>
      <c r="F60">
        <f>'WEO GOV REV'!AG143</f>
        <v>57.591999999999999</v>
      </c>
      <c r="G60">
        <f>'WEO GOV REV'!AH143</f>
        <v>58.006</v>
      </c>
      <c r="H60">
        <f>'WEO GOV REV'!AI143</f>
        <v>60.973999999999997</v>
      </c>
      <c r="I60">
        <f>'WEO GOV REV'!AJ143</f>
        <v>64.424999999999997</v>
      </c>
      <c r="J60">
        <f>'WEO GOV REV'!AK143</f>
        <v>68.275000000000006</v>
      </c>
      <c r="K60">
        <f>'WEO GOV REV'!AL143</f>
        <v>73.025000000000006</v>
      </c>
      <c r="L60">
        <f>'WEO GOV REV'!AM143</f>
        <v>74.58</v>
      </c>
      <c r="M60">
        <f>'WEO GOV REV'!AN143</f>
        <v>70.781000000000006</v>
      </c>
      <c r="N60">
        <f>'WEO GOV REV'!AO143</f>
        <v>72.742999999999995</v>
      </c>
      <c r="O60">
        <f>'WEO GOV REV'!AP143</f>
        <v>74.593999999999994</v>
      </c>
      <c r="P60">
        <f>'WEO GOV REV'!AQ143</f>
        <v>71.876999999999995</v>
      </c>
      <c r="Q60">
        <f>'WEO GOV REV'!AR143</f>
        <v>76.409000000000006</v>
      </c>
      <c r="R60">
        <f>'WEO GOV REV'!AS143</f>
        <v>76.8</v>
      </c>
      <c r="S60">
        <f>'WEO GOV REV'!AT143</f>
        <v>78.712000000000003</v>
      </c>
      <c r="T60">
        <f>'WEO GOV REV'!AU143</f>
        <v>80.007000000000005</v>
      </c>
      <c r="U60">
        <f>'WEO GOV REV'!AV143</f>
        <v>83.105000000000004</v>
      </c>
      <c r="V60">
        <f>'WEO GOV REV'!AW143</f>
        <v>88.006</v>
      </c>
      <c r="W60">
        <f>'WEO GOV REV'!AX143</f>
        <v>91.251000000000005</v>
      </c>
      <c r="X60" s="15">
        <f>'WEO GOV REV'!AY143</f>
        <v>87.04</v>
      </c>
      <c r="Y60" s="15">
        <f>'WEO GOV REV'!AZ143</f>
        <v>95.75</v>
      </c>
      <c r="AA60">
        <f t="shared" si="3"/>
        <v>39.444768913288947</v>
      </c>
      <c r="AB60">
        <f t="shared" si="20"/>
        <v>39.34008469895047</v>
      </c>
      <c r="AC60">
        <f t="shared" si="21"/>
        <v>40.400129073894803</v>
      </c>
      <c r="AD60">
        <f t="shared" si="22"/>
        <v>39.711641153435387</v>
      </c>
      <c r="AE60">
        <f t="shared" si="5"/>
        <v>40.049130366244547</v>
      </c>
      <c r="AF60">
        <f t="shared" si="6"/>
        <v>40.633100603583664</v>
      </c>
      <c r="AG60">
        <f t="shared" si="7"/>
        <v>41.065199085769279</v>
      </c>
      <c r="AH60">
        <f t="shared" si="8"/>
        <v>41.613717568083516</v>
      </c>
      <c r="AI60">
        <f t="shared" si="9"/>
        <v>41.640843536959174</v>
      </c>
      <c r="AJ60">
        <f t="shared" si="10"/>
        <v>40.350367127285999</v>
      </c>
      <c r="AK60">
        <f t="shared" si="11"/>
        <v>40.500303433531357</v>
      </c>
      <c r="AL60">
        <f t="shared" si="12"/>
        <v>42.359849173178262</v>
      </c>
      <c r="AM60">
        <f t="shared" si="13"/>
        <v>42.708679944859057</v>
      </c>
      <c r="AN60">
        <f t="shared" si="14"/>
        <v>44.816765596039701</v>
      </c>
      <c r="AO60">
        <f t="shared" si="15"/>
        <v>44.379211113294112</v>
      </c>
      <c r="AP60">
        <f t="shared" si="16"/>
        <v>43.798723520279559</v>
      </c>
      <c r="AQ60">
        <f t="shared" si="17"/>
        <v>42.901496058769908</v>
      </c>
      <c r="AR60">
        <f t="shared" si="18"/>
        <v>42.411978749355697</v>
      </c>
      <c r="AS60">
        <f t="shared" si="19"/>
        <v>42.891258577666875</v>
      </c>
      <c r="AT60">
        <f t="shared" si="4"/>
        <v>42.566064139941695</v>
      </c>
      <c r="AU60">
        <f t="shared" si="23"/>
        <v>43.500859621766423</v>
      </c>
      <c r="AV60">
        <f t="shared" si="24"/>
        <v>45.319436950368711</v>
      </c>
    </row>
    <row r="61" spans="1:48">
      <c r="A61" t="s">
        <v>1637</v>
      </c>
      <c r="B61" t="s">
        <v>444</v>
      </c>
      <c r="C61" t="s">
        <v>2085</v>
      </c>
      <c r="D61">
        <f>'WEO GOV REV'!AE158</f>
        <v>12.709</v>
      </c>
      <c r="E61">
        <f>'WEO GOV REV'!AF158</f>
        <v>13.089</v>
      </c>
      <c r="F61">
        <f>'WEO GOV REV'!AG158</f>
        <v>13.897</v>
      </c>
      <c r="G61">
        <f>'WEO GOV REV'!AH158</f>
        <v>15.455</v>
      </c>
      <c r="H61">
        <f>'WEO GOV REV'!AI158</f>
        <v>16.440999999999999</v>
      </c>
      <c r="I61">
        <f>'WEO GOV REV'!AJ158</f>
        <v>18.605</v>
      </c>
      <c r="J61">
        <f>'WEO GOV REV'!AK158</f>
        <v>19.863</v>
      </c>
      <c r="K61">
        <f>'WEO GOV REV'!AL158</f>
        <v>21.684000000000001</v>
      </c>
      <c r="L61">
        <f>'WEO GOV REV'!AM158</f>
        <v>23.643999999999998</v>
      </c>
      <c r="M61">
        <f>'WEO GOV REV'!AN158</f>
        <v>23.24</v>
      </c>
      <c r="N61">
        <f>'WEO GOV REV'!AO158</f>
        <v>23.838999999999999</v>
      </c>
      <c r="O61">
        <f>'WEO GOV REV'!AP158</f>
        <v>26.597000000000001</v>
      </c>
      <c r="P61">
        <f>'WEO GOV REV'!AQ158</f>
        <v>27.071000000000002</v>
      </c>
      <c r="Q61">
        <f>'WEO GOV REV'!AR158</f>
        <v>29.497</v>
      </c>
      <c r="R61">
        <f>'WEO GOV REV'!AS158</f>
        <v>30.658999999999999</v>
      </c>
      <c r="S61">
        <f>'WEO GOV REV'!AT158</f>
        <v>34.372999999999998</v>
      </c>
      <c r="T61">
        <f>'WEO GOV REV'!AU158</f>
        <v>32.482999999999997</v>
      </c>
      <c r="U61">
        <f>'WEO GOV REV'!AV158</f>
        <v>32.610999999999997</v>
      </c>
      <c r="V61">
        <f>'WEO GOV REV'!AW158</f>
        <v>34.71</v>
      </c>
      <c r="W61">
        <f>'WEO GOV REV'!AX158</f>
        <v>36.988</v>
      </c>
      <c r="X61" s="15">
        <f>'WEO GOV REV'!AY158</f>
        <v>36.881999999999998</v>
      </c>
      <c r="Y61" s="15">
        <f>'WEO GOV REV'!AZ158</f>
        <v>41.093000000000004</v>
      </c>
      <c r="AA61">
        <f t="shared" si="3"/>
        <v>40.140867313098134</v>
      </c>
      <c r="AB61">
        <f t="shared" si="20"/>
        <v>38.087062794622597</v>
      </c>
      <c r="AC61">
        <f t="shared" si="21"/>
        <v>37.227431020626845</v>
      </c>
      <c r="AD61">
        <f t="shared" si="22"/>
        <v>37.258919961427196</v>
      </c>
      <c r="AE61">
        <f t="shared" si="5"/>
        <v>35.605847319978345</v>
      </c>
      <c r="AF61">
        <f t="shared" si="6"/>
        <v>36.851800499148283</v>
      </c>
      <c r="AG61">
        <f t="shared" si="7"/>
        <v>35.241829601504563</v>
      </c>
      <c r="AH61">
        <f t="shared" si="8"/>
        <v>34.330224973481315</v>
      </c>
      <c r="AI61">
        <f t="shared" si="9"/>
        <v>34.47099473691884</v>
      </c>
      <c r="AJ61">
        <f t="shared" si="10"/>
        <v>36.258112830753866</v>
      </c>
      <c r="AK61">
        <f t="shared" si="11"/>
        <v>34.960184193931575</v>
      </c>
      <c r="AL61">
        <f t="shared" si="12"/>
        <v>37.300329570156372</v>
      </c>
      <c r="AM61">
        <f t="shared" si="13"/>
        <v>36.793247798195068</v>
      </c>
      <c r="AN61">
        <f t="shared" si="14"/>
        <v>39.620411288264449</v>
      </c>
      <c r="AO61">
        <f t="shared" si="15"/>
        <v>40.197980857480005</v>
      </c>
      <c r="AP61">
        <f t="shared" si="16"/>
        <v>43.091214522114129</v>
      </c>
      <c r="AQ61">
        <f t="shared" si="17"/>
        <v>40.095539042634606</v>
      </c>
      <c r="AR61">
        <f t="shared" si="18"/>
        <v>38.618950060987885</v>
      </c>
      <c r="AS61">
        <f t="shared" si="19"/>
        <v>38.812479033881246</v>
      </c>
      <c r="AT61">
        <f t="shared" si="4"/>
        <v>39.328853351480092</v>
      </c>
      <c r="AU61">
        <f t="shared" si="23"/>
        <v>40.054735607467499</v>
      </c>
      <c r="AV61">
        <f t="shared" si="24"/>
        <v>42.310266363271317</v>
      </c>
    </row>
    <row r="62" spans="1:48">
      <c r="A62" t="s">
        <v>1638</v>
      </c>
      <c r="B62" t="s">
        <v>447</v>
      </c>
      <c r="C62" t="s">
        <v>2085</v>
      </c>
      <c r="D62">
        <f>'WEO GOV REV'!AE159</f>
        <v>8.2739999999999991</v>
      </c>
      <c r="E62">
        <f>'WEO GOV REV'!AF159</f>
        <v>9.36</v>
      </c>
      <c r="F62">
        <f>'WEO GOV REV'!AG159</f>
        <v>10.57</v>
      </c>
      <c r="G62">
        <f>'WEO GOV REV'!AH159</f>
        <v>11.413</v>
      </c>
      <c r="H62">
        <f>'WEO GOV REV'!AI159</f>
        <v>12.346</v>
      </c>
      <c r="I62">
        <f>'WEO GOV REV'!AJ159</f>
        <v>13.121</v>
      </c>
      <c r="J62">
        <f>'WEO GOV REV'!AK159</f>
        <v>13.944000000000001</v>
      </c>
      <c r="K62">
        <f>'WEO GOV REV'!AL159</f>
        <v>15.208</v>
      </c>
      <c r="L62">
        <f>'WEO GOV REV'!AM159</f>
        <v>16.558</v>
      </c>
      <c r="M62">
        <f>'WEO GOV REV'!AN159</f>
        <v>15.788</v>
      </c>
      <c r="N62">
        <f>'WEO GOV REV'!AO159</f>
        <v>16.21</v>
      </c>
      <c r="O62">
        <f>'WEO GOV REV'!AP159</f>
        <v>16.39</v>
      </c>
      <c r="P62">
        <f>'WEO GOV REV'!AQ159</f>
        <v>16.443999999999999</v>
      </c>
      <c r="Q62">
        <f>'WEO GOV REV'!AR159</f>
        <v>16.655999999999999</v>
      </c>
      <c r="R62">
        <f>'WEO GOV REV'!AS159</f>
        <v>17.062000000000001</v>
      </c>
      <c r="S62">
        <f>'WEO GOV REV'!AT159</f>
        <v>17.818999999999999</v>
      </c>
      <c r="T62">
        <f>'WEO GOV REV'!AU159</f>
        <v>17.893999999999998</v>
      </c>
      <c r="U62">
        <f>'WEO GOV REV'!AV159</f>
        <v>18.931999999999999</v>
      </c>
      <c r="V62">
        <f>'WEO GOV REV'!AW159</f>
        <v>20.294</v>
      </c>
      <c r="W62">
        <f>'WEO GOV REV'!AX159</f>
        <v>21.175999999999998</v>
      </c>
      <c r="X62" s="15">
        <f>'WEO GOV REV'!AY159</f>
        <v>20.413</v>
      </c>
      <c r="Y62" s="15">
        <f>'WEO GOV REV'!AZ159</f>
        <v>22.843</v>
      </c>
      <c r="AA62">
        <f t="shared" si="3"/>
        <v>43.886914549408573</v>
      </c>
      <c r="AB62">
        <f t="shared" si="20"/>
        <v>44.25950444486476</v>
      </c>
      <c r="AC62">
        <f t="shared" si="21"/>
        <v>44.885133126672052</v>
      </c>
      <c r="AD62">
        <f t="shared" si="22"/>
        <v>44.559403427946748</v>
      </c>
      <c r="AE62">
        <f t="shared" si="5"/>
        <v>44.686549876936446</v>
      </c>
      <c r="AF62">
        <f t="shared" si="6"/>
        <v>45.067665040873806</v>
      </c>
      <c r="AG62">
        <f t="shared" si="7"/>
        <v>44.308865586272645</v>
      </c>
      <c r="AH62">
        <f t="shared" si="8"/>
        <v>43.359753663682504</v>
      </c>
      <c r="AI62">
        <f t="shared" si="9"/>
        <v>43.658703791594156</v>
      </c>
      <c r="AJ62">
        <f t="shared" si="10"/>
        <v>43.547096952144528</v>
      </c>
      <c r="AK62">
        <f t="shared" si="11"/>
        <v>44.577054229457715</v>
      </c>
      <c r="AL62">
        <f t="shared" si="12"/>
        <v>44.226773523300686</v>
      </c>
      <c r="AM62">
        <f t="shared" si="13"/>
        <v>45.359004772018864</v>
      </c>
      <c r="AN62">
        <f t="shared" si="14"/>
        <v>45.69045920886596</v>
      </c>
      <c r="AO62">
        <f t="shared" si="15"/>
        <v>45.336663655205399</v>
      </c>
      <c r="AP62">
        <f t="shared" si="16"/>
        <v>45.862610351838981</v>
      </c>
      <c r="AQ62">
        <f t="shared" si="17"/>
        <v>44.244986771505573</v>
      </c>
      <c r="AR62">
        <f t="shared" si="18"/>
        <v>44.016646904280293</v>
      </c>
      <c r="AS62">
        <f t="shared" si="19"/>
        <v>44.248212105354966</v>
      </c>
      <c r="AT62">
        <f t="shared" si="4"/>
        <v>43.754778188730704</v>
      </c>
      <c r="AU62">
        <f t="shared" si="23"/>
        <v>43.50782215780724</v>
      </c>
      <c r="AV62">
        <f t="shared" si="24"/>
        <v>43.9119569396386</v>
      </c>
    </row>
    <row r="63" spans="1:48">
      <c r="A63" t="s">
        <v>69</v>
      </c>
      <c r="B63" t="s">
        <v>448</v>
      </c>
      <c r="C63" t="s">
        <v>2085</v>
      </c>
      <c r="D63">
        <f>'WEO GOV REV'!AE164</f>
        <v>245.833</v>
      </c>
      <c r="E63">
        <f>'WEO GOV REV'!AF164</f>
        <v>266.08499999999998</v>
      </c>
      <c r="F63">
        <f>'WEO GOV REV'!AG164</f>
        <v>287.233</v>
      </c>
      <c r="G63">
        <f>'WEO GOV REV'!AH164</f>
        <v>304.86200000000002</v>
      </c>
      <c r="H63">
        <f>'WEO GOV REV'!AI164</f>
        <v>332.79500000000002</v>
      </c>
      <c r="I63">
        <f>'WEO GOV REV'!AJ164</f>
        <v>368.27800000000002</v>
      </c>
      <c r="J63">
        <f>'WEO GOV REV'!AK164</f>
        <v>407.149</v>
      </c>
      <c r="K63">
        <f>'WEO GOV REV'!AL164</f>
        <v>442.49099999999999</v>
      </c>
      <c r="L63">
        <f>'WEO GOV REV'!AM164</f>
        <v>409.09199999999998</v>
      </c>
      <c r="M63">
        <f>'WEO GOV REV'!AN164</f>
        <v>373.779</v>
      </c>
      <c r="N63">
        <f>'WEO GOV REV'!AO164</f>
        <v>391.62200000000001</v>
      </c>
      <c r="O63">
        <f>'WEO GOV REV'!AP164</f>
        <v>387.37</v>
      </c>
      <c r="P63">
        <f>'WEO GOV REV'!AQ164</f>
        <v>390.99200000000002</v>
      </c>
      <c r="Q63">
        <f>'WEO GOV REV'!AR164</f>
        <v>395.858</v>
      </c>
      <c r="R63">
        <f>'WEO GOV REV'!AS164</f>
        <v>404.59399999999999</v>
      </c>
      <c r="S63">
        <f>'WEO GOV REV'!AT164</f>
        <v>417.17599999999999</v>
      </c>
      <c r="T63">
        <f>'WEO GOV REV'!AU164</f>
        <v>424.78</v>
      </c>
      <c r="U63">
        <f>'WEO GOV REV'!AV164</f>
        <v>443.53100000000001</v>
      </c>
      <c r="V63">
        <f>'WEO GOV REV'!AW164</f>
        <v>471.73</v>
      </c>
      <c r="W63">
        <f>'WEO GOV REV'!AX164</f>
        <v>488.274</v>
      </c>
      <c r="X63" s="15">
        <f>'WEO GOV REV'!AY164</f>
        <v>465.37900000000002</v>
      </c>
      <c r="Y63" s="15">
        <f>'WEO GOV REV'!AZ164</f>
        <v>518.84799999999996</v>
      </c>
      <c r="AA63">
        <f t="shared" si="3"/>
        <v>37.945916576496757</v>
      </c>
      <c r="AB63">
        <f t="shared" si="20"/>
        <v>37.958296302530833</v>
      </c>
      <c r="AC63">
        <f t="shared" si="21"/>
        <v>38.320623519115415</v>
      </c>
      <c r="AD63">
        <f t="shared" si="22"/>
        <v>38.000114675182552</v>
      </c>
      <c r="AE63">
        <f t="shared" si="5"/>
        <v>38.722442715405556</v>
      </c>
      <c r="AF63">
        <f t="shared" si="6"/>
        <v>39.712645723275934</v>
      </c>
      <c r="AG63">
        <f t="shared" si="7"/>
        <v>40.559960949174148</v>
      </c>
      <c r="AH63">
        <f t="shared" si="8"/>
        <v>41.14128716737639</v>
      </c>
      <c r="AI63">
        <f t="shared" si="9"/>
        <v>36.870414766479804</v>
      </c>
      <c r="AJ63">
        <f t="shared" si="10"/>
        <v>34.954831107619796</v>
      </c>
      <c r="AK63">
        <f t="shared" si="11"/>
        <v>36.507723429445051</v>
      </c>
      <c r="AL63">
        <f t="shared" si="12"/>
        <v>36.415168835075583</v>
      </c>
      <c r="AM63">
        <f t="shared" si="13"/>
        <v>37.919891378139859</v>
      </c>
      <c r="AN63">
        <f t="shared" si="14"/>
        <v>38.796295388837166</v>
      </c>
      <c r="AO63">
        <f t="shared" si="15"/>
        <v>39.198767632925126</v>
      </c>
      <c r="AP63">
        <f t="shared" si="16"/>
        <v>38.713796527436223</v>
      </c>
      <c r="AQ63">
        <f t="shared" si="17"/>
        <v>38.136536665948427</v>
      </c>
      <c r="AR63">
        <f t="shared" si="18"/>
        <v>38.173892087755092</v>
      </c>
      <c r="AS63">
        <f t="shared" si="19"/>
        <v>39.204328241610291</v>
      </c>
      <c r="AT63">
        <f t="shared" si="4"/>
        <v>39.238335556662754</v>
      </c>
      <c r="AU63">
        <f t="shared" si="23"/>
        <v>41.479477695084448</v>
      </c>
      <c r="AV63">
        <f t="shared" si="24"/>
        <v>43.055781454865318</v>
      </c>
    </row>
    <row r="64" spans="1:48">
      <c r="A64" t="s">
        <v>52</v>
      </c>
      <c r="B64" t="s">
        <v>462</v>
      </c>
      <c r="C64" t="s">
        <v>2085</v>
      </c>
      <c r="D64">
        <f>'WEO GOV REV'!AE171</f>
        <v>1332.5</v>
      </c>
      <c r="E64">
        <f>'WEO GOV REV'!AF171</f>
        <v>1328.72</v>
      </c>
      <c r="F64">
        <f>'WEO GOV REV'!AG171</f>
        <v>1331.77</v>
      </c>
      <c r="G64">
        <f>'WEO GOV REV'!AH171</f>
        <v>1394.94</v>
      </c>
      <c r="H64">
        <f>'WEO GOV REV'!AI171</f>
        <v>1462.7</v>
      </c>
      <c r="I64">
        <f>'WEO GOV REV'!AJ171</f>
        <v>1556.72</v>
      </c>
      <c r="J64">
        <f>'WEO GOV REV'!AK171</f>
        <v>1629.45</v>
      </c>
      <c r="K64">
        <f>'WEO GOV REV'!AL171</f>
        <v>1715.2</v>
      </c>
      <c r="L64">
        <f>'WEO GOV REV'!AM171</f>
        <v>1737.29</v>
      </c>
      <c r="M64">
        <f>'WEO GOV REV'!AN171</f>
        <v>1686.78</v>
      </c>
      <c r="N64">
        <f>'WEO GOV REV'!AO171</f>
        <v>1761.43</v>
      </c>
      <c r="O64">
        <f>'WEO GOV REV'!AP171</f>
        <v>1803.83</v>
      </c>
      <c r="P64">
        <f>'WEO GOV REV'!AQ171</f>
        <v>1825.89</v>
      </c>
      <c r="Q64">
        <f>'WEO GOV REV'!AR171</f>
        <v>1878.43</v>
      </c>
      <c r="R64">
        <f>'WEO GOV REV'!AS171</f>
        <v>1922.24</v>
      </c>
      <c r="S64">
        <f>'WEO GOV REV'!AT171</f>
        <v>2061.7600000000002</v>
      </c>
      <c r="T64">
        <f>'WEO GOV REV'!AU171</f>
        <v>2197.9299999999998</v>
      </c>
      <c r="U64">
        <f>'WEO GOV REV'!AV171</f>
        <v>2296.5300000000002</v>
      </c>
      <c r="V64">
        <f>'WEO GOV REV'!AW171</f>
        <v>2394.61</v>
      </c>
      <c r="W64">
        <f>'WEO GOV REV'!AX171</f>
        <v>2455.13</v>
      </c>
      <c r="X64" s="15">
        <f>'WEO GOV REV'!AY171</f>
        <v>2424.83</v>
      </c>
      <c r="Y64" s="15">
        <f>'WEO GOV REV'!AZ171</f>
        <v>2667.52</v>
      </c>
      <c r="AA64">
        <f t="shared" si="3"/>
        <v>55.332931918692772</v>
      </c>
      <c r="AB64">
        <f t="shared" si="20"/>
        <v>53.069620126770857</v>
      </c>
      <c r="AC64">
        <f t="shared" si="21"/>
        <v>51.254647197826294</v>
      </c>
      <c r="AD64">
        <f t="shared" si="22"/>
        <v>51.596604464500373</v>
      </c>
      <c r="AE64">
        <f t="shared" si="5"/>
        <v>51.682042548380146</v>
      </c>
      <c r="AF64">
        <f t="shared" si="6"/>
        <v>53.110617551832249</v>
      </c>
      <c r="AG64">
        <f t="shared" si="7"/>
        <v>52.19802221246961</v>
      </c>
      <c r="AH64">
        <f t="shared" si="8"/>
        <v>51.658293878829497</v>
      </c>
      <c r="AI64">
        <f t="shared" si="9"/>
        <v>50.913326983661811</v>
      </c>
      <c r="AJ64">
        <f t="shared" si="10"/>
        <v>50.484710445742053</v>
      </c>
      <c r="AK64">
        <f t="shared" si="11"/>
        <v>49.290347494669213</v>
      </c>
      <c r="AL64">
        <f t="shared" si="12"/>
        <v>48.387165999179167</v>
      </c>
      <c r="AM64">
        <f t="shared" si="13"/>
        <v>48.780285806646376</v>
      </c>
      <c r="AN64">
        <f t="shared" si="14"/>
        <v>49.139214214148751</v>
      </c>
      <c r="AO64">
        <f t="shared" si="15"/>
        <v>48.143500812727133</v>
      </c>
      <c r="AP64">
        <f t="shared" si="16"/>
        <v>48.39278295587107</v>
      </c>
      <c r="AQ64">
        <f t="shared" si="17"/>
        <v>49.782900682441564</v>
      </c>
      <c r="AR64">
        <f t="shared" si="18"/>
        <v>49.653736467830903</v>
      </c>
      <c r="AS64">
        <f t="shared" si="19"/>
        <v>49.595199976803478</v>
      </c>
      <c r="AT64">
        <f t="shared" si="4"/>
        <v>48.620094185305035</v>
      </c>
      <c r="AU64">
        <f t="shared" si="23"/>
        <v>48.620484995769218</v>
      </c>
      <c r="AV64">
        <f t="shared" si="24"/>
        <v>49.570546674942292</v>
      </c>
    </row>
    <row r="65" spans="1:48">
      <c r="A65" t="s">
        <v>67</v>
      </c>
      <c r="B65" t="s">
        <v>469</v>
      </c>
      <c r="C65" t="s">
        <v>2085</v>
      </c>
      <c r="D65">
        <f>'WEO GOV REV'!AE172</f>
        <v>153.33500000000001</v>
      </c>
      <c r="E65">
        <f>'WEO GOV REV'!AF172</f>
        <v>153.881</v>
      </c>
      <c r="F65">
        <f>'WEO GOV REV'!AG172</f>
        <v>156.03</v>
      </c>
      <c r="G65">
        <f>'WEO GOV REV'!AH172</f>
        <v>155.43299999999999</v>
      </c>
      <c r="H65">
        <f>'WEO GOV REV'!AI172</f>
        <v>158.83699999999999</v>
      </c>
      <c r="I65">
        <f>'WEO GOV REV'!AJ172</f>
        <v>165.28</v>
      </c>
      <c r="J65">
        <f>'WEO GOV REV'!AK172</f>
        <v>173.77500000000001</v>
      </c>
      <c r="K65">
        <f>'WEO GOV REV'!AL172</f>
        <v>182.82300000000001</v>
      </c>
      <c r="L65">
        <f>'WEO GOV REV'!AM172</f>
        <v>195.88399999999999</v>
      </c>
      <c r="M65">
        <f>'WEO GOV REV'!AN172</f>
        <v>194.36199999999999</v>
      </c>
      <c r="N65">
        <f>'WEO GOV REV'!AO172</f>
        <v>198.39</v>
      </c>
      <c r="O65">
        <f>'WEO GOV REV'!AP172</f>
        <v>204.22499999999999</v>
      </c>
      <c r="P65">
        <f>'WEO GOV REV'!AQ172</f>
        <v>205.26599999999999</v>
      </c>
      <c r="Q65">
        <f>'WEO GOV REV'!AR172</f>
        <v>210.27600000000001</v>
      </c>
      <c r="R65">
        <f>'WEO GOV REV'!AS172</f>
        <v>212.554</v>
      </c>
      <c r="S65">
        <f>'WEO GOV REV'!AT172</f>
        <v>220.50200000000001</v>
      </c>
      <c r="T65">
        <f>'WEO GOV REV'!AU172</f>
        <v>221.45099999999999</v>
      </c>
      <c r="U65">
        <f>'WEO GOV REV'!AV172</f>
        <v>229.90100000000001</v>
      </c>
      <c r="V65">
        <f>'WEO GOV REV'!AW172</f>
        <v>234.357</v>
      </c>
      <c r="W65">
        <f>'WEO GOV REV'!AX172</f>
        <v>238.78700000000001</v>
      </c>
      <c r="X65" s="15">
        <f>'WEO GOV REV'!AY172</f>
        <v>237.59700000000001</v>
      </c>
      <c r="Y65" s="15">
        <f>'WEO GOV REV'!AZ172</f>
        <v>246.196</v>
      </c>
      <c r="AA65">
        <f t="shared" si="3"/>
        <v>32.436200098153698</v>
      </c>
      <c r="AB65">
        <f t="shared" si="20"/>
        <v>31.713328868050905</v>
      </c>
      <c r="AC65">
        <f t="shared" si="21"/>
        <v>32.232209072448619</v>
      </c>
      <c r="AD65">
        <f t="shared" si="22"/>
        <v>31.7657517729047</v>
      </c>
      <c r="AE65">
        <f t="shared" si="5"/>
        <v>31.533672420022789</v>
      </c>
      <c r="AF65">
        <f t="shared" si="6"/>
        <v>31.593837213747754</v>
      </c>
      <c r="AG65">
        <f t="shared" si="7"/>
        <v>31.226695657642928</v>
      </c>
      <c r="AH65">
        <f t="shared" si="8"/>
        <v>30.839078385166722</v>
      </c>
      <c r="AI65">
        <f t="shared" si="9"/>
        <v>31.727500222709931</v>
      </c>
      <c r="AJ65">
        <f t="shared" si="10"/>
        <v>32.006231237536284</v>
      </c>
      <c r="AK65">
        <f t="shared" si="11"/>
        <v>31.553181878908553</v>
      </c>
      <c r="AL65">
        <f t="shared" si="12"/>
        <v>31.867632877379243</v>
      </c>
      <c r="AM65">
        <f t="shared" si="13"/>
        <v>31.618007227289951</v>
      </c>
      <c r="AN65">
        <f t="shared" si="14"/>
        <v>31.809153550007192</v>
      </c>
      <c r="AO65">
        <f t="shared" si="15"/>
        <v>31.580667735431639</v>
      </c>
      <c r="AP65">
        <f t="shared" si="16"/>
        <v>32.630754910477116</v>
      </c>
      <c r="AQ65">
        <f t="shared" si="17"/>
        <v>32.317007322917604</v>
      </c>
      <c r="AR65">
        <f t="shared" si="18"/>
        <v>33.13066886480037</v>
      </c>
      <c r="AS65">
        <f t="shared" si="19"/>
        <v>32.560753480707966</v>
      </c>
      <c r="AT65">
        <f t="shared" si="4"/>
        <v>32.806540782343951</v>
      </c>
      <c r="AU65">
        <f t="shared" si="23"/>
        <v>33.660640920295812</v>
      </c>
      <c r="AV65">
        <f t="shared" si="24"/>
        <v>33.155611698653416</v>
      </c>
    </row>
    <row r="66" spans="1:48">
      <c r="A66" t="s">
        <v>72</v>
      </c>
      <c r="B66" t="s">
        <v>454</v>
      </c>
      <c r="C66" t="s">
        <v>2085</v>
      </c>
      <c r="D66">
        <f>'WEO GOV REV'!AE189</f>
        <v>388.21300000000002</v>
      </c>
      <c r="E66">
        <f>'WEO GOV REV'!AF189</f>
        <v>398.99200000000002</v>
      </c>
      <c r="F66">
        <f>'WEO GOV REV'!AG189</f>
        <v>404.49900000000002</v>
      </c>
      <c r="G66">
        <f>'WEO GOV REV'!AH189</f>
        <v>427.85500000000002</v>
      </c>
      <c r="H66">
        <f>'WEO GOV REV'!AI189</f>
        <v>461.113</v>
      </c>
      <c r="I66">
        <f>'WEO GOV REV'!AJ189</f>
        <v>493.476</v>
      </c>
      <c r="J66">
        <f>'WEO GOV REV'!AK189</f>
        <v>523.91999999999996</v>
      </c>
      <c r="K66">
        <f>'WEO GOV REV'!AL189</f>
        <v>554.77499999999998</v>
      </c>
      <c r="L66">
        <f>'WEO GOV REV'!AM189</f>
        <v>570.02099999999996</v>
      </c>
      <c r="M66">
        <f>'WEO GOV REV'!AN189</f>
        <v>535.13800000000003</v>
      </c>
      <c r="N66">
        <f>'WEO GOV REV'!AO189</f>
        <v>570.81299999999999</v>
      </c>
      <c r="O66">
        <f>'WEO GOV REV'!AP189</f>
        <v>600.28499999999997</v>
      </c>
      <c r="P66">
        <f>'WEO GOV REV'!AQ189</f>
        <v>618.10599999999999</v>
      </c>
      <c r="Q66">
        <f>'WEO GOV REV'!AR189</f>
        <v>649.72400000000005</v>
      </c>
      <c r="R66">
        <f>'WEO GOV REV'!AS189</f>
        <v>664.37400000000002</v>
      </c>
      <c r="S66">
        <f>'WEO GOV REV'!AT189</f>
        <v>686.72900000000004</v>
      </c>
      <c r="T66">
        <f>'WEO GOV REV'!AU189</f>
        <v>723.404</v>
      </c>
      <c r="U66">
        <f>'WEO GOV REV'!AV189</f>
        <v>764.00199999999995</v>
      </c>
      <c r="V66">
        <f>'WEO GOV REV'!AW189</f>
        <v>788.85199999999998</v>
      </c>
      <c r="W66">
        <f>'WEO GOV REV'!AX189</f>
        <v>812.76599999999996</v>
      </c>
      <c r="X66" s="15">
        <f>'WEO GOV REV'!AY189</f>
        <v>777.58699999999999</v>
      </c>
      <c r="Y66" s="15">
        <f>'WEO GOV REV'!AZ189</f>
        <v>854.72199999999998</v>
      </c>
      <c r="AA66">
        <f t="shared" si="3"/>
        <v>35.340282203004101</v>
      </c>
      <c r="AB66">
        <f t="shared" si="20"/>
        <v>34.937391639375846</v>
      </c>
      <c r="AC66">
        <f t="shared" si="21"/>
        <v>33.981803518322501</v>
      </c>
      <c r="AD66">
        <f t="shared" si="22"/>
        <v>33.957554544949481</v>
      </c>
      <c r="AE66">
        <f t="shared" si="5"/>
        <v>34.858859993952223</v>
      </c>
      <c r="AF66">
        <f t="shared" si="6"/>
        <v>35.256848091679402</v>
      </c>
      <c r="AG66">
        <f t="shared" si="7"/>
        <v>35.478628311392811</v>
      </c>
      <c r="AH66">
        <f t="shared" si="8"/>
        <v>35.73499004811687</v>
      </c>
      <c r="AI66">
        <f t="shared" si="9"/>
        <v>35.654167318217354</v>
      </c>
      <c r="AJ66">
        <f t="shared" si="10"/>
        <v>34.367165022605839</v>
      </c>
      <c r="AK66">
        <f t="shared" si="11"/>
        <v>35.405842947525116</v>
      </c>
      <c r="AL66">
        <f t="shared" si="12"/>
        <v>35.95575947433678</v>
      </c>
      <c r="AM66">
        <f t="shared" si="13"/>
        <v>35.908002974392346</v>
      </c>
      <c r="AN66">
        <f t="shared" si="14"/>
        <v>36.233464944567132</v>
      </c>
      <c r="AO66">
        <f t="shared" si="15"/>
        <v>35.411372164420946</v>
      </c>
      <c r="AP66">
        <f t="shared" si="16"/>
        <v>35.486019605107458</v>
      </c>
      <c r="AQ66">
        <f t="shared" si="17"/>
        <v>35.871747064423992</v>
      </c>
      <c r="AR66">
        <f t="shared" si="18"/>
        <v>36.430662712074543</v>
      </c>
      <c r="AS66">
        <f t="shared" si="19"/>
        <v>36.279399185055041</v>
      </c>
      <c r="AT66">
        <f t="shared" si="4"/>
        <v>36.038363307438537</v>
      </c>
      <c r="AU66">
        <f t="shared" si="23"/>
        <v>36.160446060696245</v>
      </c>
      <c r="AV66">
        <f t="shared" si="24"/>
        <v>36.888370988973044</v>
      </c>
    </row>
    <row r="67" spans="1:48">
      <c r="A67" t="s">
        <v>77</v>
      </c>
      <c r="B67" t="s">
        <v>465</v>
      </c>
      <c r="C67" t="s">
        <v>2085</v>
      </c>
      <c r="D67" t="str">
        <f>'WEO GOV REV'!AE190</f>
        <v>n/a</v>
      </c>
      <c r="E67">
        <f>'WEO GOV REV'!AF190</f>
        <v>3414.06</v>
      </c>
      <c r="F67">
        <f>'WEO GOV REV'!AG190</f>
        <v>3266.46</v>
      </c>
      <c r="G67">
        <f>'WEO GOV REV'!AH190</f>
        <v>3353.77</v>
      </c>
      <c r="H67">
        <f>'WEO GOV REV'!AI190</f>
        <v>3601.49</v>
      </c>
      <c r="I67">
        <f>'WEO GOV REV'!AJ190</f>
        <v>4023.39</v>
      </c>
      <c r="J67">
        <f>'WEO GOV REV'!AK190</f>
        <v>4373.82</v>
      </c>
      <c r="K67">
        <f>'WEO GOV REV'!AL190</f>
        <v>4581.38</v>
      </c>
      <c r="L67">
        <f>'WEO GOV REV'!AM190</f>
        <v>4510.3</v>
      </c>
      <c r="M67">
        <f>'WEO GOV REV'!AN190</f>
        <v>4086.82</v>
      </c>
      <c r="N67">
        <f>'WEO GOV REV'!AO190</f>
        <v>4330.49</v>
      </c>
      <c r="O67">
        <f>'WEO GOV REV'!AP190</f>
        <v>4537.1499999999996</v>
      </c>
      <c r="P67">
        <f>'WEO GOV REV'!AQ190</f>
        <v>4731.97</v>
      </c>
      <c r="Q67">
        <f>'WEO GOV REV'!AR190</f>
        <v>5271.2</v>
      </c>
      <c r="R67">
        <f>'WEO GOV REV'!AS190</f>
        <v>5508.17</v>
      </c>
      <c r="S67">
        <f>'WEO GOV REV'!AT190</f>
        <v>5766.36</v>
      </c>
      <c r="T67">
        <f>'WEO GOV REV'!AU190</f>
        <v>5841.99</v>
      </c>
      <c r="U67">
        <f>'WEO GOV REV'!AV190</f>
        <v>6006.55</v>
      </c>
      <c r="V67">
        <f>'WEO GOV REV'!AW190</f>
        <v>6186.23</v>
      </c>
      <c r="W67">
        <f>'WEO GOV REV'!AX190</f>
        <v>6428.92</v>
      </c>
      <c r="X67" s="15">
        <f>'WEO GOV REV'!AY190</f>
        <v>6436.15</v>
      </c>
      <c r="Y67" s="15">
        <f>'WEO GOV REV'!AZ190</f>
        <v>7179.06</v>
      </c>
      <c r="AA67" t="e">
        <f t="shared" si="3"/>
        <v>#VALUE!</v>
      </c>
      <c r="AB67">
        <f t="shared" si="20"/>
        <v>32.263112683603083</v>
      </c>
      <c r="AC67">
        <f t="shared" si="21"/>
        <v>29.887730920203857</v>
      </c>
      <c r="AD67">
        <f t="shared" si="22"/>
        <v>29.274077048300303</v>
      </c>
      <c r="AE67">
        <f t="shared" si="5"/>
        <v>29.478897748907684</v>
      </c>
      <c r="AF67">
        <f t="shared" si="6"/>
        <v>30.856110804343821</v>
      </c>
      <c r="AG67">
        <f t="shared" si="7"/>
        <v>31.65855988882133</v>
      </c>
      <c r="AH67">
        <f t="shared" si="8"/>
        <v>31.651933606231758</v>
      </c>
      <c r="AI67">
        <f t="shared" si="9"/>
        <v>30.537209247216456</v>
      </c>
      <c r="AJ67">
        <f t="shared" si="10"/>
        <v>28.227696409392149</v>
      </c>
      <c r="AK67">
        <f t="shared" si="11"/>
        <v>28.775970198644689</v>
      </c>
      <c r="AL67">
        <f t="shared" si="12"/>
        <v>29.084798262534029</v>
      </c>
      <c r="AM67">
        <f t="shared" si="13"/>
        <v>29.112738749657773</v>
      </c>
      <c r="AN67">
        <f t="shared" si="14"/>
        <v>31.295660036703172</v>
      </c>
      <c r="AO67">
        <f t="shared" si="15"/>
        <v>31.38436801309123</v>
      </c>
      <c r="AP67">
        <f t="shared" si="16"/>
        <v>31.672802912002236</v>
      </c>
      <c r="AQ67">
        <f t="shared" si="17"/>
        <v>31.248776417350001</v>
      </c>
      <c r="AR67">
        <f t="shared" si="18"/>
        <v>30.835031260860703</v>
      </c>
      <c r="AS67">
        <f t="shared" si="19"/>
        <v>30.136818798518057</v>
      </c>
      <c r="AT67">
        <f t="shared" si="4"/>
        <v>30.080196138981691</v>
      </c>
      <c r="AU67">
        <f t="shared" si="23"/>
        <v>30.804187855219862</v>
      </c>
      <c r="AV67">
        <f t="shared" si="24"/>
        <v>31.216697467115996</v>
      </c>
    </row>
    <row r="69" spans="1:48">
      <c r="A69" t="s">
        <v>2089</v>
      </c>
    </row>
    <row r="70" spans="1:48">
      <c r="A70" t="s">
        <v>2088</v>
      </c>
      <c r="D70">
        <f>'WEO GDP'!AE1</f>
        <v>2000</v>
      </c>
      <c r="E70">
        <f>'WEO GDP'!AF1</f>
        <v>2001</v>
      </c>
      <c r="F70">
        <f>'WEO GDP'!AG1</f>
        <v>2002</v>
      </c>
      <c r="G70">
        <f>'WEO GDP'!AH1</f>
        <v>2003</v>
      </c>
      <c r="H70">
        <f>'WEO GDP'!AI1</f>
        <v>2004</v>
      </c>
      <c r="I70">
        <f>'WEO GDP'!AJ1</f>
        <v>2005</v>
      </c>
      <c r="J70">
        <f>'WEO GDP'!AK1</f>
        <v>2006</v>
      </c>
      <c r="K70">
        <f>'WEO GDP'!AL1</f>
        <v>2007</v>
      </c>
      <c r="L70">
        <f>'WEO GDP'!AM1</f>
        <v>2008</v>
      </c>
      <c r="M70">
        <f>'WEO GDP'!AN1</f>
        <v>2009</v>
      </c>
      <c r="N70">
        <f>'WEO GDP'!AO1</f>
        <v>2010</v>
      </c>
      <c r="O70">
        <f>'WEO GDP'!AP1</f>
        <v>2011</v>
      </c>
      <c r="P70">
        <f>'WEO GDP'!AQ1</f>
        <v>2012</v>
      </c>
      <c r="Q70">
        <f>'WEO GDP'!AR1</f>
        <v>2013</v>
      </c>
      <c r="R70">
        <f>'WEO GDP'!AS1</f>
        <v>2014</v>
      </c>
      <c r="S70">
        <f>'WEO GDP'!AT1</f>
        <v>2015</v>
      </c>
      <c r="T70">
        <f>'WEO GDP'!AU1</f>
        <v>2016</v>
      </c>
      <c r="U70">
        <f>'WEO GDP'!AV1</f>
        <v>2017</v>
      </c>
      <c r="V70">
        <f>'WEO GDP'!AW1</f>
        <v>2018</v>
      </c>
      <c r="W70">
        <f>'WEO GDP'!AX1</f>
        <v>2019</v>
      </c>
      <c r="X70" s="15">
        <f>'WEO GDP'!AY1</f>
        <v>2020</v>
      </c>
      <c r="Y70" s="15">
        <f>'WEO GDP'!AZ1</f>
        <v>2021</v>
      </c>
    </row>
    <row r="71" spans="1:48">
      <c r="A71" t="s">
        <v>74</v>
      </c>
      <c r="B71" t="s">
        <v>461</v>
      </c>
      <c r="C71" t="s">
        <v>2085</v>
      </c>
      <c r="D71">
        <f>'WEO GDP'!AE11</f>
        <v>686.30899999999997</v>
      </c>
      <c r="E71">
        <f>'WEO GDP'!AF11</f>
        <v>729.31200000000001</v>
      </c>
      <c r="F71">
        <f>'WEO GDP'!AG11</f>
        <v>781.59100000000001</v>
      </c>
      <c r="G71">
        <f>'WEO GDP'!AH11</f>
        <v>829.82299999999998</v>
      </c>
      <c r="H71">
        <f>'WEO GDP'!AI11</f>
        <v>893.779</v>
      </c>
      <c r="I71">
        <f>'WEO GDP'!AJ11</f>
        <v>963.01</v>
      </c>
      <c r="J71">
        <f>'WEO GDP'!AK11</f>
        <v>1038.49</v>
      </c>
      <c r="K71">
        <f>'WEO GDP'!AL11</f>
        <v>1131.71</v>
      </c>
      <c r="L71">
        <f>'WEO GDP'!AM11</f>
        <v>1234.58</v>
      </c>
      <c r="M71">
        <f>'WEO GDP'!AN11</f>
        <v>1263.73</v>
      </c>
      <c r="N71">
        <f>'WEO GDP'!AO11</f>
        <v>1363.36</v>
      </c>
      <c r="O71">
        <f>'WEO GDP'!AP11</f>
        <v>1467.4</v>
      </c>
      <c r="P71">
        <f>'WEO GDP'!AQ11</f>
        <v>1514.98</v>
      </c>
      <c r="Q71">
        <f>'WEO GDP'!AR11</f>
        <v>1568.5</v>
      </c>
      <c r="R71">
        <f>'WEO GDP'!AS11</f>
        <v>1613.52</v>
      </c>
      <c r="S71">
        <f>'WEO GDP'!AT11</f>
        <v>1638.47</v>
      </c>
      <c r="T71">
        <f>'WEO GDP'!AU11</f>
        <v>1699.07</v>
      </c>
      <c r="U71">
        <f>'WEO GDP'!AV11</f>
        <v>1802.35</v>
      </c>
      <c r="V71">
        <f>'WEO GDP'!AW11</f>
        <v>1894</v>
      </c>
      <c r="W71">
        <f>'WEO GDP'!AX11</f>
        <v>1993.95</v>
      </c>
      <c r="X71" s="15">
        <f>'WEO GDP'!AY11</f>
        <v>1965.92</v>
      </c>
      <c r="Y71" s="15">
        <f>'WEO GDP'!AZ11</f>
        <v>2172.5700000000002</v>
      </c>
    </row>
    <row r="72" spans="1:48">
      <c r="A72" t="s">
        <v>53</v>
      </c>
      <c r="B72" t="s">
        <v>458</v>
      </c>
      <c r="C72" t="s">
        <v>2085</v>
      </c>
      <c r="D72">
        <f>'WEO GDP'!AE12</f>
        <v>213.60599999999999</v>
      </c>
      <c r="E72">
        <f>'WEO GDP'!AF12</f>
        <v>220.52500000000001</v>
      </c>
      <c r="F72">
        <f>'WEO GDP'!AG12</f>
        <v>226.73500000000001</v>
      </c>
      <c r="G72">
        <f>'WEO GDP'!AH12</f>
        <v>231.863</v>
      </c>
      <c r="H72">
        <f>'WEO GDP'!AI12</f>
        <v>242.34800000000001</v>
      </c>
      <c r="I72">
        <f>'WEO GDP'!AJ12</f>
        <v>254.07499999999999</v>
      </c>
      <c r="J72">
        <f>'WEO GDP'!AK12</f>
        <v>267.82400000000001</v>
      </c>
      <c r="K72">
        <f>'WEO GDP'!AL12</f>
        <v>283.97800000000001</v>
      </c>
      <c r="L72">
        <f>'WEO GDP'!AM12</f>
        <v>293.762</v>
      </c>
      <c r="M72">
        <f>'WEO GDP'!AN12</f>
        <v>288.04399999999998</v>
      </c>
      <c r="N72">
        <f>'WEO GDP'!AO12</f>
        <v>295.89699999999999</v>
      </c>
      <c r="O72">
        <f>'WEO GDP'!AP12</f>
        <v>310.12900000000002</v>
      </c>
      <c r="P72">
        <f>'WEO GDP'!AQ12</f>
        <v>318.65300000000002</v>
      </c>
      <c r="Q72">
        <f>'WEO GDP'!AR12</f>
        <v>323.91000000000003</v>
      </c>
      <c r="R72">
        <f>'WEO GDP'!AS12</f>
        <v>333.14600000000002</v>
      </c>
      <c r="S72">
        <f>'WEO GDP'!AT12</f>
        <v>344.26900000000001</v>
      </c>
      <c r="T72">
        <f>'WEO GDP'!AU12</f>
        <v>357.608</v>
      </c>
      <c r="U72">
        <f>'WEO GDP'!AV12</f>
        <v>369.36200000000002</v>
      </c>
      <c r="V72">
        <f>'WEO GDP'!AW12</f>
        <v>385.42399999999998</v>
      </c>
      <c r="W72">
        <f>'WEO GDP'!AX12</f>
        <v>397.51900000000001</v>
      </c>
      <c r="X72" s="15">
        <f>'WEO GDP'!AY12</f>
        <v>379.32100000000003</v>
      </c>
      <c r="Y72" s="15">
        <f>'WEO GDP'!AZ12</f>
        <v>403.37</v>
      </c>
    </row>
    <row r="73" spans="1:48">
      <c r="A73" t="s">
        <v>58</v>
      </c>
      <c r="B73" t="s">
        <v>456</v>
      </c>
      <c r="C73" t="s">
        <v>2085</v>
      </c>
      <c r="D73">
        <f>'WEO GDP'!AE19</f>
        <v>256.37599999999998</v>
      </c>
      <c r="E73">
        <f>'WEO GDP'!AF19</f>
        <v>264.33499999999998</v>
      </c>
      <c r="F73">
        <f>'WEO GDP'!AG19</f>
        <v>273.255</v>
      </c>
      <c r="G73">
        <f>'WEO GDP'!AH19</f>
        <v>281.20100000000002</v>
      </c>
      <c r="H73">
        <f>'WEO GDP'!AI19</f>
        <v>296.82</v>
      </c>
      <c r="I73">
        <f>'WEO GDP'!AJ19</f>
        <v>310.03699999999998</v>
      </c>
      <c r="J73">
        <f>'WEO GDP'!AK19</f>
        <v>325.15100000000001</v>
      </c>
      <c r="K73">
        <f>'WEO GDP'!AL19</f>
        <v>343.61900000000003</v>
      </c>
      <c r="L73">
        <f>'WEO GDP'!AM19</f>
        <v>351.74200000000002</v>
      </c>
      <c r="M73">
        <f>'WEO GDP'!AN19</f>
        <v>346.47300000000001</v>
      </c>
      <c r="N73">
        <f>'WEO GDP'!AO19</f>
        <v>363.14</v>
      </c>
      <c r="O73">
        <f>'WEO GDP'!AP19</f>
        <v>375.96800000000002</v>
      </c>
      <c r="P73">
        <f>'WEO GDP'!AQ19</f>
        <v>386.17500000000001</v>
      </c>
      <c r="Q73">
        <f>'WEO GDP'!AR19</f>
        <v>392.88</v>
      </c>
      <c r="R73">
        <f>'WEO GDP'!AS19</f>
        <v>403.00400000000002</v>
      </c>
      <c r="S73">
        <f>'WEO GDP'!AT19</f>
        <v>416.702</v>
      </c>
      <c r="T73">
        <f>'WEO GDP'!AU19</f>
        <v>430.08499999999998</v>
      </c>
      <c r="U73">
        <f>'WEO GDP'!AV19</f>
        <v>445.05</v>
      </c>
      <c r="V73">
        <f>'WEO GDP'!AW19</f>
        <v>460.029</v>
      </c>
      <c r="W73">
        <f>'WEO GDP'!AX19</f>
        <v>478.16</v>
      </c>
      <c r="X73" s="15">
        <f>'WEO GDP'!AY19</f>
        <v>456.89400000000001</v>
      </c>
      <c r="Y73" s="15">
        <f>'WEO GDP'!AZ19</f>
        <v>506.95</v>
      </c>
    </row>
    <row r="74" spans="1:48">
      <c r="A74" t="s">
        <v>64</v>
      </c>
      <c r="B74" t="s">
        <v>455</v>
      </c>
      <c r="C74" t="s">
        <v>2085</v>
      </c>
      <c r="D74">
        <f>'WEO GDP'!AE34</f>
        <v>1106.07</v>
      </c>
      <c r="E74">
        <f>'WEO GDP'!AF34</f>
        <v>1144.54</v>
      </c>
      <c r="F74">
        <f>'WEO GDP'!AG34</f>
        <v>1193.69</v>
      </c>
      <c r="G74">
        <f>'WEO GDP'!AH34</f>
        <v>1254.75</v>
      </c>
      <c r="H74">
        <f>'WEO GDP'!AI34</f>
        <v>1335.73</v>
      </c>
      <c r="I74">
        <f>'WEO GDP'!AJ34</f>
        <v>1421.59</v>
      </c>
      <c r="J74">
        <f>'WEO GDP'!AK34</f>
        <v>1496.6</v>
      </c>
      <c r="K74">
        <f>'WEO GDP'!AL34</f>
        <v>1577.66</v>
      </c>
      <c r="L74">
        <f>'WEO GDP'!AM34</f>
        <v>1657.04</v>
      </c>
      <c r="M74">
        <f>'WEO GDP'!AN34</f>
        <v>1571.33</v>
      </c>
      <c r="N74">
        <f>'WEO GDP'!AO34</f>
        <v>1666.05</v>
      </c>
      <c r="O74">
        <f>'WEO GDP'!AP34</f>
        <v>1774.06</v>
      </c>
      <c r="P74">
        <f>'WEO GDP'!AQ34</f>
        <v>1827.2</v>
      </c>
      <c r="Q74">
        <f>'WEO GDP'!AR34</f>
        <v>1902.25</v>
      </c>
      <c r="R74">
        <f>'WEO GDP'!AS34</f>
        <v>1994.9</v>
      </c>
      <c r="S74">
        <f>'WEO GDP'!AT34</f>
        <v>1990.44</v>
      </c>
      <c r="T74">
        <f>'WEO GDP'!AU34</f>
        <v>2025.54</v>
      </c>
      <c r="U74">
        <f>'WEO GDP'!AV34</f>
        <v>2140.64</v>
      </c>
      <c r="V74">
        <f>'WEO GDP'!AW34</f>
        <v>2235.6799999999998</v>
      </c>
      <c r="W74">
        <f>'WEO GDP'!AX34</f>
        <v>2311.29</v>
      </c>
      <c r="X74" s="15">
        <f>'WEO GDP'!AY34</f>
        <v>2206.7600000000002</v>
      </c>
      <c r="Y74" s="15">
        <f>'WEO GDP'!AZ34</f>
        <v>2496.17</v>
      </c>
    </row>
    <row r="75" spans="1:48">
      <c r="A75" t="s">
        <v>1620</v>
      </c>
      <c r="B75" t="s">
        <v>446</v>
      </c>
      <c r="C75" t="s">
        <v>2085</v>
      </c>
      <c r="D75">
        <f>'WEO GDP'!AE47</f>
        <v>2386.29</v>
      </c>
      <c r="E75">
        <f>'WEO GDP'!AF47</f>
        <v>2579.13</v>
      </c>
      <c r="F75">
        <f>'WEO GDP'!AG47</f>
        <v>2690.98</v>
      </c>
      <c r="G75">
        <f>'WEO GDP'!AH47</f>
        <v>2823.45</v>
      </c>
      <c r="H75">
        <f>'WEO GDP'!AI47</f>
        <v>3079.21</v>
      </c>
      <c r="I75">
        <f>'WEO GDP'!AJ47</f>
        <v>3285.6</v>
      </c>
      <c r="J75">
        <f>'WEO GDP'!AK47</f>
        <v>3530.88</v>
      </c>
      <c r="K75">
        <f>'WEO GDP'!AL47</f>
        <v>3859.53</v>
      </c>
      <c r="L75">
        <f>'WEO GDP'!AM47</f>
        <v>4042.86</v>
      </c>
      <c r="M75">
        <f>'WEO GDP'!AN47</f>
        <v>3954.32</v>
      </c>
      <c r="N75">
        <f>'WEO GDP'!AO47</f>
        <v>3992.87</v>
      </c>
      <c r="O75">
        <f>'WEO GDP'!AP47</f>
        <v>4062.32</v>
      </c>
      <c r="P75">
        <f>'WEO GDP'!AQ47</f>
        <v>4088.91</v>
      </c>
      <c r="Q75">
        <f>'WEO GDP'!AR47</f>
        <v>4142.8100000000004</v>
      </c>
      <c r="R75">
        <f>'WEO GDP'!AS47</f>
        <v>4345.7700000000004</v>
      </c>
      <c r="S75">
        <f>'WEO GDP'!AT47</f>
        <v>4625.38</v>
      </c>
      <c r="T75">
        <f>'WEO GDP'!AU47</f>
        <v>4796.87</v>
      </c>
      <c r="U75">
        <f>'WEO GDP'!AV47</f>
        <v>5110.74</v>
      </c>
      <c r="V75">
        <f>'WEO GDP'!AW47</f>
        <v>5409.67</v>
      </c>
      <c r="W75">
        <f>'WEO GDP'!AX47</f>
        <v>5790.35</v>
      </c>
      <c r="X75" s="15">
        <f>'WEO GDP'!AY47</f>
        <v>5694.39</v>
      </c>
      <c r="Y75" s="15">
        <f>'WEO GDP'!AZ47</f>
        <v>6127.14</v>
      </c>
    </row>
    <row r="76" spans="1:48">
      <c r="A76" t="s">
        <v>49</v>
      </c>
      <c r="B76" t="s">
        <v>464</v>
      </c>
      <c r="C76" t="s">
        <v>2085</v>
      </c>
      <c r="D76">
        <f>'WEO GDP'!AE48</f>
        <v>1326.91</v>
      </c>
      <c r="E76">
        <f>'WEO GDP'!AF48</f>
        <v>1371.53</v>
      </c>
      <c r="F76">
        <f>'WEO GDP'!AG48</f>
        <v>1410.27</v>
      </c>
      <c r="G76">
        <f>'WEO GDP'!AH48</f>
        <v>1436.75</v>
      </c>
      <c r="H76">
        <f>'WEO GDP'!AI48</f>
        <v>1506</v>
      </c>
      <c r="I76">
        <f>'WEO GDP'!AJ48</f>
        <v>1585.98</v>
      </c>
      <c r="J76">
        <f>'WEO GDP'!AK48</f>
        <v>1682.26</v>
      </c>
      <c r="K76">
        <f>'WEO GDP'!AL48</f>
        <v>1738.85</v>
      </c>
      <c r="L76">
        <f>'WEO GDP'!AM48</f>
        <v>1801.47</v>
      </c>
      <c r="M76">
        <f>'WEO GDP'!AN48</f>
        <v>1722.14</v>
      </c>
      <c r="N76">
        <f>'WEO GDP'!AO48</f>
        <v>1810.93</v>
      </c>
      <c r="O76">
        <f>'WEO GDP'!AP48</f>
        <v>1846.85</v>
      </c>
      <c r="P76">
        <f>'WEO GDP'!AQ48</f>
        <v>1895</v>
      </c>
      <c r="Q76">
        <f>'WEO GDP'!AR48</f>
        <v>1929.68</v>
      </c>
      <c r="R76">
        <f>'WEO GDP'!AS48</f>
        <v>1981.17</v>
      </c>
      <c r="S76">
        <f>'WEO GDP'!AT48</f>
        <v>2036.36</v>
      </c>
      <c r="T76">
        <f>'WEO GDP'!AU48</f>
        <v>2107.81</v>
      </c>
      <c r="U76">
        <f>'WEO GDP'!AV48</f>
        <v>2192.96</v>
      </c>
      <c r="V76">
        <f>'WEO GDP'!AW48</f>
        <v>2253.3200000000002</v>
      </c>
      <c r="W76">
        <f>'WEO GDP'!AX48</f>
        <v>2318.04</v>
      </c>
      <c r="X76" s="15">
        <f>'WEO GDP'!AY48</f>
        <v>2329.56</v>
      </c>
      <c r="Y76" s="15">
        <f>'WEO GDP'!AZ48</f>
        <v>2487.88</v>
      </c>
    </row>
    <row r="77" spans="1:48">
      <c r="A77" t="s">
        <v>50</v>
      </c>
      <c r="B77" t="s">
        <v>459</v>
      </c>
      <c r="C77" t="s">
        <v>2085</v>
      </c>
      <c r="D77">
        <f>'WEO GDP'!AE61</f>
        <v>136.44200000000001</v>
      </c>
      <c r="E77">
        <f>'WEO GDP'!AF61</f>
        <v>144.62799999999999</v>
      </c>
      <c r="F77">
        <f>'WEO GDP'!AG61</f>
        <v>148.48599999999999</v>
      </c>
      <c r="G77">
        <f>'WEO GDP'!AH61</f>
        <v>151.749</v>
      </c>
      <c r="H77">
        <f>'WEO GDP'!AI61</f>
        <v>158.75800000000001</v>
      </c>
      <c r="I77">
        <f>'WEO GDP'!AJ61</f>
        <v>164.68700000000001</v>
      </c>
      <c r="J77">
        <f>'WEO GDP'!AK61</f>
        <v>172.89699999999999</v>
      </c>
      <c r="K77">
        <f>'WEO GDP'!AL61</f>
        <v>187.072</v>
      </c>
      <c r="L77">
        <f>'WEO GDP'!AM61</f>
        <v>194.26499999999999</v>
      </c>
      <c r="M77">
        <f>'WEO GDP'!AN61</f>
        <v>181.74700000000001</v>
      </c>
      <c r="N77">
        <f>'WEO GDP'!AO61</f>
        <v>188.143</v>
      </c>
      <c r="O77">
        <f>'WEO GDP'!AP61</f>
        <v>197.99799999999999</v>
      </c>
      <c r="P77">
        <f>'WEO GDP'!AQ61</f>
        <v>201.03700000000001</v>
      </c>
      <c r="Q77">
        <f>'WEO GDP'!AR61</f>
        <v>204.321</v>
      </c>
      <c r="R77">
        <f>'WEO GDP'!AS61</f>
        <v>206.89699999999999</v>
      </c>
      <c r="S77">
        <f>'WEO GDP'!AT61</f>
        <v>211.38499999999999</v>
      </c>
      <c r="T77">
        <f>'WEO GDP'!AU61</f>
        <v>217.518</v>
      </c>
      <c r="U77">
        <f>'WEO GDP'!AV61</f>
        <v>226.30099999999999</v>
      </c>
      <c r="V77">
        <f>'WEO GDP'!AW61</f>
        <v>233.46799999999999</v>
      </c>
      <c r="W77">
        <f>'WEO GDP'!AX61</f>
        <v>239.852</v>
      </c>
      <c r="X77" s="15">
        <f>'WEO GDP'!AY61</f>
        <v>237.995</v>
      </c>
      <c r="Y77" s="15">
        <f>'WEO GDP'!AZ61</f>
        <v>252.523</v>
      </c>
    </row>
    <row r="78" spans="1:48">
      <c r="A78" t="s">
        <v>55</v>
      </c>
      <c r="B78" t="s">
        <v>452</v>
      </c>
      <c r="C78" t="s">
        <v>2085</v>
      </c>
      <c r="D78">
        <f>'WEO GDP'!AE62</f>
        <v>1478.59</v>
      </c>
      <c r="E78">
        <f>'WEO GDP'!AF62</f>
        <v>1538.2</v>
      </c>
      <c r="F78">
        <f>'WEO GDP'!AG62</f>
        <v>1587.83</v>
      </c>
      <c r="G78">
        <f>'WEO GDP'!AH62</f>
        <v>1630.67</v>
      </c>
      <c r="H78">
        <f>'WEO GDP'!AI62</f>
        <v>1704.02</v>
      </c>
      <c r="I78">
        <f>'WEO GDP'!AJ62</f>
        <v>1765.91</v>
      </c>
      <c r="J78">
        <f>'WEO GDP'!AK62</f>
        <v>1848.15</v>
      </c>
      <c r="K78">
        <f>'WEO GDP'!AL62</f>
        <v>1941.36</v>
      </c>
      <c r="L78">
        <f>'WEO GDP'!AM62</f>
        <v>1992.38</v>
      </c>
      <c r="M78">
        <f>'WEO GDP'!AN62</f>
        <v>1936.42</v>
      </c>
      <c r="N78">
        <f>'WEO GDP'!AO62</f>
        <v>1995.29</v>
      </c>
      <c r="O78">
        <f>'WEO GDP'!AP62</f>
        <v>2058.37</v>
      </c>
      <c r="P78">
        <f>'WEO GDP'!AQ62</f>
        <v>2088.8000000000002</v>
      </c>
      <c r="Q78">
        <f>'WEO GDP'!AR62</f>
        <v>2117.19</v>
      </c>
      <c r="R78">
        <f>'WEO GDP'!AS62</f>
        <v>2149.77</v>
      </c>
      <c r="S78">
        <f>'WEO GDP'!AT62</f>
        <v>2198.4299999999998</v>
      </c>
      <c r="T78">
        <f>'WEO GDP'!AU62</f>
        <v>2234.13</v>
      </c>
      <c r="U78">
        <f>'WEO GDP'!AV62</f>
        <v>2297.2399999999998</v>
      </c>
      <c r="V78">
        <f>'WEO GDP'!AW62</f>
        <v>2363.31</v>
      </c>
      <c r="W78">
        <f>'WEO GDP'!AX62</f>
        <v>2438.77</v>
      </c>
      <c r="X78" s="15">
        <f>'WEO GDP'!AY62</f>
        <v>2300.71</v>
      </c>
      <c r="Y78" s="15">
        <f>'WEO GDP'!AZ62</f>
        <v>2481.59</v>
      </c>
    </row>
    <row r="79" spans="1:48">
      <c r="A79" t="s">
        <v>56</v>
      </c>
      <c r="B79" t="s">
        <v>457</v>
      </c>
      <c r="C79" t="s">
        <v>2085</v>
      </c>
      <c r="D79">
        <f>'WEO GDP'!AE66</f>
        <v>2109.09</v>
      </c>
      <c r="E79">
        <f>'WEO GDP'!AF66</f>
        <v>2172.54</v>
      </c>
      <c r="F79">
        <f>'WEO GDP'!AG66</f>
        <v>2198.12</v>
      </c>
      <c r="G79">
        <f>'WEO GDP'!AH66</f>
        <v>2211.5700000000002</v>
      </c>
      <c r="H79">
        <f>'WEO GDP'!AI66</f>
        <v>2262.52</v>
      </c>
      <c r="I79">
        <f>'WEO GDP'!AJ66</f>
        <v>2288.31</v>
      </c>
      <c r="J79">
        <f>'WEO GDP'!AK66</f>
        <v>2385.08</v>
      </c>
      <c r="K79">
        <f>'WEO GDP'!AL66</f>
        <v>2499.5500000000002</v>
      </c>
      <c r="L79">
        <f>'WEO GDP'!AM66</f>
        <v>2546.4899999999998</v>
      </c>
      <c r="M79">
        <f>'WEO GDP'!AN66</f>
        <v>2445.73</v>
      </c>
      <c r="N79">
        <f>'WEO GDP'!AO66</f>
        <v>2564.4</v>
      </c>
      <c r="O79">
        <f>'WEO GDP'!AP66</f>
        <v>2693.56</v>
      </c>
      <c r="P79">
        <f>'WEO GDP'!AQ66</f>
        <v>2745.31</v>
      </c>
      <c r="Q79">
        <f>'WEO GDP'!AR66</f>
        <v>2811.35</v>
      </c>
      <c r="R79">
        <f>'WEO GDP'!AS66</f>
        <v>2927.43</v>
      </c>
      <c r="S79">
        <f>'WEO GDP'!AT66</f>
        <v>3026.18</v>
      </c>
      <c r="T79">
        <f>'WEO GDP'!AU66</f>
        <v>3134.74</v>
      </c>
      <c r="U79">
        <f>'WEO GDP'!AV66</f>
        <v>3267.16</v>
      </c>
      <c r="V79">
        <f>'WEO GDP'!AW66</f>
        <v>3367.86</v>
      </c>
      <c r="W79">
        <f>'WEO GDP'!AX66</f>
        <v>3473.35</v>
      </c>
      <c r="X79" s="15">
        <f>'WEO GDP'!AY66</f>
        <v>3367.56</v>
      </c>
      <c r="Y79" s="15">
        <f>'WEO GDP'!AZ66</f>
        <v>3570.62</v>
      </c>
    </row>
    <row r="80" spans="1:48">
      <c r="A80" t="s">
        <v>65</v>
      </c>
      <c r="B80" t="s">
        <v>443</v>
      </c>
      <c r="C80" t="s">
        <v>2085</v>
      </c>
      <c r="D80">
        <f>'WEO GDP'!AE68</f>
        <v>140.05500000000001</v>
      </c>
      <c r="E80">
        <f>'WEO GDP'!AF68</f>
        <v>150.91</v>
      </c>
      <c r="F80">
        <f>'WEO GDP'!AG68</f>
        <v>162.08199999999999</v>
      </c>
      <c r="G80">
        <f>'WEO GDP'!AH68</f>
        <v>177.39599999999999</v>
      </c>
      <c r="H80">
        <f>'WEO GDP'!AI68</f>
        <v>192.08199999999999</v>
      </c>
      <c r="I80">
        <f>'WEO GDP'!AJ68</f>
        <v>197.56100000000001</v>
      </c>
      <c r="J80">
        <f>'WEO GDP'!AK68</f>
        <v>216.024</v>
      </c>
      <c r="K80">
        <f>'WEO GDP'!AL68</f>
        <v>230.732</v>
      </c>
      <c r="L80">
        <f>'WEO GDP'!AM68</f>
        <v>239.94800000000001</v>
      </c>
      <c r="M80">
        <f>'WEO GDP'!AN68</f>
        <v>235.53</v>
      </c>
      <c r="N80">
        <f>'WEO GDP'!AO68</f>
        <v>224.124</v>
      </c>
      <c r="O80">
        <f>'WEO GDP'!AP68</f>
        <v>203.30799999999999</v>
      </c>
      <c r="P80">
        <f>'WEO GDP'!AQ68</f>
        <v>188.381</v>
      </c>
      <c r="Q80">
        <f>'WEO GDP'!AR68</f>
        <v>179.88399999999999</v>
      </c>
      <c r="R80">
        <f>'WEO GDP'!AS68</f>
        <v>177.23599999999999</v>
      </c>
      <c r="S80">
        <f>'WEO GDP'!AT68</f>
        <v>176.369</v>
      </c>
      <c r="T80">
        <f>'WEO GDP'!AU68</f>
        <v>174.494</v>
      </c>
      <c r="U80">
        <f>'WEO GDP'!AV68</f>
        <v>176.90299999999999</v>
      </c>
      <c r="V80">
        <f>'WEO GDP'!AW68</f>
        <v>179.55799999999999</v>
      </c>
      <c r="W80">
        <f>'WEO GDP'!AX68</f>
        <v>183.25</v>
      </c>
      <c r="X80" s="15">
        <f>'WEO GDP'!AY68</f>
        <v>165.32599999999999</v>
      </c>
      <c r="Y80" s="15">
        <f>'WEO GDP'!AZ68</f>
        <v>182.83</v>
      </c>
    </row>
    <row r="81" spans="1:25">
      <c r="A81" t="s">
        <v>68</v>
      </c>
      <c r="B81" t="s">
        <v>442</v>
      </c>
      <c r="C81" t="s">
        <v>2085</v>
      </c>
      <c r="D81">
        <f>'WEO GDP'!AE77</f>
        <v>13324.05</v>
      </c>
      <c r="E81">
        <f>'WEO GDP'!AF77</f>
        <v>15398.7</v>
      </c>
      <c r="F81">
        <f>'WEO GDP'!AG77</f>
        <v>17433.86</v>
      </c>
      <c r="G81">
        <f>'WEO GDP'!AH77</f>
        <v>19133.810000000001</v>
      </c>
      <c r="H81">
        <f>'WEO GDP'!AI77</f>
        <v>21077.46</v>
      </c>
      <c r="I81">
        <f>'WEO GDP'!AJ77</f>
        <v>22549.02</v>
      </c>
      <c r="J81">
        <f>'WEO GDP'!AK77</f>
        <v>24316.3</v>
      </c>
      <c r="K81">
        <f>'WEO GDP'!AL77</f>
        <v>25701.37</v>
      </c>
      <c r="L81">
        <f>'WEO GDP'!AM77</f>
        <v>27217.37</v>
      </c>
      <c r="M81">
        <f>'WEO GDP'!AN77</f>
        <v>26458.26</v>
      </c>
      <c r="N81">
        <f>'WEO GDP'!AO77</f>
        <v>27431.27</v>
      </c>
      <c r="O81">
        <f>'WEO GDP'!AP77</f>
        <v>28501.5</v>
      </c>
      <c r="P81">
        <f>'WEO GDP'!AQ77</f>
        <v>28920.37</v>
      </c>
      <c r="Q81">
        <f>'WEO GDP'!AR77</f>
        <v>30290.92</v>
      </c>
      <c r="R81">
        <f>'WEO GDP'!AS77</f>
        <v>32742.18</v>
      </c>
      <c r="S81">
        <f>'WEO GDP'!AT77</f>
        <v>34937.31</v>
      </c>
      <c r="T81">
        <f>'WEO GDP'!AU77</f>
        <v>36214.07</v>
      </c>
      <c r="U81">
        <f>'WEO GDP'!AV77</f>
        <v>39281.360000000001</v>
      </c>
      <c r="V81">
        <f>'WEO GDP'!AW77</f>
        <v>43392.44</v>
      </c>
      <c r="W81">
        <f>'WEO GDP'!AX77</f>
        <v>47530.61</v>
      </c>
      <c r="X81" s="15">
        <f>'WEO GDP'!AY77</f>
        <v>47988.480000000003</v>
      </c>
      <c r="Y81" s="15">
        <f>'WEO GDP'!AZ77</f>
        <v>55045.99</v>
      </c>
    </row>
    <row r="82" spans="1:25">
      <c r="A82" t="s">
        <v>59</v>
      </c>
      <c r="B82" t="s">
        <v>463</v>
      </c>
      <c r="C82" t="s">
        <v>2085</v>
      </c>
      <c r="D82">
        <f>'WEO GDP'!AE78</f>
        <v>709.56100000000004</v>
      </c>
      <c r="E82">
        <f>'WEO GDP'!AF78</f>
        <v>802.27700000000004</v>
      </c>
      <c r="F82">
        <f>'WEO GDP'!AG78</f>
        <v>854.14</v>
      </c>
      <c r="G82">
        <f>'WEO GDP'!AH78</f>
        <v>876.73299999999995</v>
      </c>
      <c r="H82">
        <f>'WEO GDP'!AI78</f>
        <v>970.42100000000005</v>
      </c>
      <c r="I82">
        <f>'WEO GDP'!AJ78</f>
        <v>1061.43</v>
      </c>
      <c r="J82">
        <f>'WEO GDP'!AK78</f>
        <v>1225.72</v>
      </c>
      <c r="K82">
        <f>'WEO GDP'!AL78</f>
        <v>1386.95</v>
      </c>
      <c r="L82">
        <f>'WEO GDP'!AM78</f>
        <v>1589.63</v>
      </c>
      <c r="M82">
        <f>'WEO GDP'!AN78</f>
        <v>1626.39</v>
      </c>
      <c r="N82">
        <f>'WEO GDP'!AO78</f>
        <v>1680.97</v>
      </c>
      <c r="O82">
        <f>'WEO GDP'!AP78</f>
        <v>1765.01</v>
      </c>
      <c r="P82">
        <f>'WEO GDP'!AQ78</f>
        <v>1845.16</v>
      </c>
      <c r="Q82">
        <f>'WEO GDP'!AR78</f>
        <v>1970.15</v>
      </c>
      <c r="R82">
        <f>'WEO GDP'!AS78</f>
        <v>2086.36</v>
      </c>
      <c r="S82">
        <f>'WEO GDP'!AT78</f>
        <v>2310.85</v>
      </c>
      <c r="T82">
        <f>'WEO GDP'!AU78</f>
        <v>2512.06</v>
      </c>
      <c r="U82">
        <f>'WEO GDP'!AV78</f>
        <v>2641.96</v>
      </c>
      <c r="V82">
        <f>'WEO GDP'!AW78</f>
        <v>2844.41</v>
      </c>
      <c r="W82">
        <f>'WEO GDP'!AX78</f>
        <v>3043.06</v>
      </c>
      <c r="X82" s="15">
        <f>'WEO GDP'!AY78</f>
        <v>2928.47</v>
      </c>
      <c r="Y82" s="15">
        <f>'WEO GDP'!AZ78</f>
        <v>3233</v>
      </c>
    </row>
    <row r="83" spans="1:25">
      <c r="A83" t="s">
        <v>61</v>
      </c>
      <c r="B83" t="s">
        <v>466</v>
      </c>
      <c r="C83" t="s">
        <v>2085</v>
      </c>
      <c r="D83">
        <f>'WEO GDP'!AE83</f>
        <v>108.496</v>
      </c>
      <c r="E83">
        <f>'WEO GDP'!AF83</f>
        <v>122.089</v>
      </c>
      <c r="F83">
        <f>'WEO GDP'!AG83</f>
        <v>135.99799999999999</v>
      </c>
      <c r="G83">
        <f>'WEO GDP'!AH83</f>
        <v>145.577</v>
      </c>
      <c r="H83">
        <f>'WEO GDP'!AI83</f>
        <v>156.25899999999999</v>
      </c>
      <c r="I83">
        <f>'WEO GDP'!AJ83</f>
        <v>170.30600000000001</v>
      </c>
      <c r="J83">
        <f>'WEO GDP'!AK83</f>
        <v>184.916</v>
      </c>
      <c r="K83">
        <f>'WEO GDP'!AL83</f>
        <v>197.07</v>
      </c>
      <c r="L83">
        <f>'WEO GDP'!AM83</f>
        <v>187.28299999999999</v>
      </c>
      <c r="M83">
        <f>'WEO GDP'!AN83</f>
        <v>169.51900000000001</v>
      </c>
      <c r="N83">
        <f>'WEO GDP'!AO83</f>
        <v>167.363</v>
      </c>
      <c r="O83">
        <f>'WEO GDP'!AP83</f>
        <v>171.685</v>
      </c>
      <c r="P83">
        <f>'WEO GDP'!AQ83</f>
        <v>175.51300000000001</v>
      </c>
      <c r="Q83">
        <f>'WEO GDP'!AR83</f>
        <v>179.411</v>
      </c>
      <c r="R83">
        <f>'WEO GDP'!AS83</f>
        <v>194.934</v>
      </c>
      <c r="S83">
        <f>'WEO GDP'!AT83</f>
        <v>262.80099999999999</v>
      </c>
      <c r="T83">
        <f>'WEO GDP'!AU83</f>
        <v>270.05799999999999</v>
      </c>
      <c r="U83">
        <f>'WEO GDP'!AV83</f>
        <v>296.92500000000001</v>
      </c>
      <c r="V83">
        <f>'WEO GDP'!AW83</f>
        <v>326.04199999999997</v>
      </c>
      <c r="W83">
        <f>'WEO GDP'!AX83</f>
        <v>356.52499999999998</v>
      </c>
      <c r="X83" s="15">
        <f>'WEO GDP'!AY83</f>
        <v>372.86900000000003</v>
      </c>
      <c r="Y83" s="15">
        <f>'WEO GDP'!AZ83</f>
        <v>421.529</v>
      </c>
    </row>
    <row r="84" spans="1:25">
      <c r="A84" t="s">
        <v>63</v>
      </c>
      <c r="B84" t="s">
        <v>450</v>
      </c>
      <c r="C84" t="s">
        <v>2085</v>
      </c>
      <c r="D84">
        <f>'WEO GDP'!AE85</f>
        <v>1241.51</v>
      </c>
      <c r="E84">
        <f>'WEO GDP'!AF85</f>
        <v>1304.1400000000001</v>
      </c>
      <c r="F84">
        <f>'WEO GDP'!AG85</f>
        <v>1350.26</v>
      </c>
      <c r="G84">
        <f>'WEO GDP'!AH85</f>
        <v>1394.69</v>
      </c>
      <c r="H84">
        <f>'WEO GDP'!AI85</f>
        <v>1452.32</v>
      </c>
      <c r="I84">
        <f>'WEO GDP'!AJ85</f>
        <v>1493.64</v>
      </c>
      <c r="J84">
        <f>'WEO GDP'!AK85</f>
        <v>1552.69</v>
      </c>
      <c r="K84">
        <f>'WEO GDP'!AL85</f>
        <v>1614.84</v>
      </c>
      <c r="L84">
        <f>'WEO GDP'!AM85</f>
        <v>1637.7</v>
      </c>
      <c r="M84">
        <f>'WEO GDP'!AN85</f>
        <v>1577.26</v>
      </c>
      <c r="N84">
        <f>'WEO GDP'!AO85</f>
        <v>1611.28</v>
      </c>
      <c r="O84">
        <f>'WEO GDP'!AP85</f>
        <v>1648.76</v>
      </c>
      <c r="P84">
        <f>'WEO GDP'!AQ85</f>
        <v>1624.36</v>
      </c>
      <c r="Q84">
        <f>'WEO GDP'!AR85</f>
        <v>1612.75</v>
      </c>
      <c r="R84">
        <f>'WEO GDP'!AS85</f>
        <v>1627.41</v>
      </c>
      <c r="S84">
        <f>'WEO GDP'!AT85</f>
        <v>1655.36</v>
      </c>
      <c r="T84">
        <f>'WEO GDP'!AU85</f>
        <v>1695.79</v>
      </c>
      <c r="U84">
        <f>'WEO GDP'!AV85</f>
        <v>1736.59</v>
      </c>
      <c r="V84">
        <f>'WEO GDP'!AW85</f>
        <v>1771.39</v>
      </c>
      <c r="W84">
        <f>'WEO GDP'!AX85</f>
        <v>1796.63</v>
      </c>
      <c r="X84" s="15">
        <f>'WEO GDP'!AY85</f>
        <v>1656.96</v>
      </c>
      <c r="Y84" s="15">
        <f>'WEO GDP'!AZ85</f>
        <v>1775.44</v>
      </c>
    </row>
    <row r="85" spans="1:25">
      <c r="A85" t="s">
        <v>57</v>
      </c>
      <c r="B85" t="s">
        <v>451</v>
      </c>
      <c r="C85" t="s">
        <v>2085</v>
      </c>
      <c r="D85">
        <f>'WEO GDP'!AE87</f>
        <v>535417.69999999995</v>
      </c>
      <c r="E85">
        <f>'WEO GDP'!AF87</f>
        <v>531653.9</v>
      </c>
      <c r="F85">
        <f>'WEO GDP'!AG87</f>
        <v>524478.69999999995</v>
      </c>
      <c r="G85">
        <f>'WEO GDP'!AH87</f>
        <v>523968.6</v>
      </c>
      <c r="H85">
        <f>'WEO GDP'!AI87</f>
        <v>529400.80000000005</v>
      </c>
      <c r="I85">
        <f>'WEO GDP'!AJ87</f>
        <v>532515.5</v>
      </c>
      <c r="J85">
        <f>'WEO GDP'!AK87</f>
        <v>535170.19999999995</v>
      </c>
      <c r="K85">
        <f>'WEO GDP'!AL87</f>
        <v>539281.6</v>
      </c>
      <c r="L85">
        <f>'WEO GDP'!AM87</f>
        <v>527823.80000000005</v>
      </c>
      <c r="M85">
        <f>'WEO GDP'!AN87</f>
        <v>494938.4</v>
      </c>
      <c r="N85">
        <f>'WEO GDP'!AO87</f>
        <v>505530.6</v>
      </c>
      <c r="O85">
        <f>'WEO GDP'!AP87</f>
        <v>497448.9</v>
      </c>
      <c r="P85">
        <f>'WEO GDP'!AQ87</f>
        <v>500474.8</v>
      </c>
      <c r="Q85">
        <f>'WEO GDP'!AR87</f>
        <v>508700.6</v>
      </c>
      <c r="R85">
        <f>'WEO GDP'!AS87</f>
        <v>518811.1</v>
      </c>
      <c r="S85">
        <f>'WEO GDP'!AT87</f>
        <v>538032.30000000005</v>
      </c>
      <c r="T85">
        <f>'WEO GDP'!AU87</f>
        <v>544364.6</v>
      </c>
      <c r="U85">
        <f>'WEO GDP'!AV87</f>
        <v>553073</v>
      </c>
      <c r="V85">
        <f>'WEO GDP'!AW87</f>
        <v>556293.69999999995</v>
      </c>
      <c r="W85">
        <f>'WEO GDP'!AX87</f>
        <v>558491.19999999995</v>
      </c>
      <c r="X85" s="15">
        <f>'WEO GDP'!AY87</f>
        <v>538155.4</v>
      </c>
      <c r="Y85" s="15">
        <f>'WEO GDP'!AZ87</f>
        <v>541903.4</v>
      </c>
    </row>
    <row r="86" spans="1:25">
      <c r="A86" t="s">
        <v>2086</v>
      </c>
      <c r="B86" t="s">
        <v>449</v>
      </c>
      <c r="C86" t="s">
        <v>2085</v>
      </c>
      <c r="D86">
        <f>'WEO GDP'!AE92</f>
        <v>651634.30000000005</v>
      </c>
      <c r="E86">
        <f>'WEO GDP'!AF92</f>
        <v>707021.3</v>
      </c>
      <c r="F86">
        <f>'WEO GDP'!AG92</f>
        <v>784741.3</v>
      </c>
      <c r="G86">
        <f>'WEO GDP'!AH92</f>
        <v>837365.1</v>
      </c>
      <c r="H86">
        <f>'WEO GDP'!AI92</f>
        <v>908439.3</v>
      </c>
      <c r="I86">
        <f>'WEO GDP'!AJ92</f>
        <v>957447.8</v>
      </c>
      <c r="J86">
        <f>'WEO GDP'!AK92</f>
        <v>1005601.5</v>
      </c>
      <c r="K86">
        <f>'WEO GDP'!AL92</f>
        <v>1089660.2</v>
      </c>
      <c r="L86">
        <f>'WEO GDP'!AM92</f>
        <v>1154216.6000000001</v>
      </c>
      <c r="M86">
        <f>'WEO GDP'!AN92</f>
        <v>1205347.8</v>
      </c>
      <c r="N86">
        <f>'WEO GDP'!AO92</f>
        <v>1322611.2</v>
      </c>
      <c r="O86">
        <f>'WEO GDP'!AP92</f>
        <v>1388937.2</v>
      </c>
      <c r="P86">
        <f>'WEO GDP'!AQ92</f>
        <v>1440111.3</v>
      </c>
      <c r="Q86">
        <f>'WEO GDP'!AR92</f>
        <v>1500819.2</v>
      </c>
      <c r="R86">
        <f>'WEO GDP'!AS92</f>
        <v>1562929</v>
      </c>
      <c r="S86">
        <f>'WEO GDP'!AT92</f>
        <v>1658020.4</v>
      </c>
      <c r="T86">
        <f>'WEO GDP'!AU92</f>
        <v>1740779.6</v>
      </c>
      <c r="U86">
        <f>'WEO GDP'!AV92</f>
        <v>1835698.3</v>
      </c>
      <c r="V86">
        <f>'WEO GDP'!AW92</f>
        <v>1898192.6</v>
      </c>
      <c r="W86">
        <f>'WEO GDP'!AX92</f>
        <v>1924498</v>
      </c>
      <c r="X86" s="15">
        <f>'WEO GDP'!AY92</f>
        <v>1933152.4</v>
      </c>
      <c r="Y86" s="15">
        <f>'WEO GDP'!AZ92</f>
        <v>2057447.7</v>
      </c>
    </row>
    <row r="87" spans="1:25">
      <c r="A87" t="s">
        <v>54</v>
      </c>
      <c r="B87" t="s">
        <v>467</v>
      </c>
      <c r="C87" t="s">
        <v>2085</v>
      </c>
      <c r="D87">
        <f>'WEO GDP'!AE103</f>
        <v>22.986000000000001</v>
      </c>
      <c r="E87">
        <f>'WEO GDP'!AF103</f>
        <v>23.88</v>
      </c>
      <c r="F87">
        <f>'WEO GDP'!AG103</f>
        <v>25.010999999999999</v>
      </c>
      <c r="G87">
        <f>'WEO GDP'!AH103</f>
        <v>26.227</v>
      </c>
      <c r="H87">
        <f>'WEO GDP'!AI103</f>
        <v>28.189</v>
      </c>
      <c r="I87">
        <f>'WEO GDP'!AJ103</f>
        <v>30.280999999999999</v>
      </c>
      <c r="J87">
        <f>'WEO GDP'!AK103</f>
        <v>34.174999999999997</v>
      </c>
      <c r="K87">
        <f>'WEO GDP'!AL103</f>
        <v>37.642000000000003</v>
      </c>
      <c r="L87">
        <f>'WEO GDP'!AM103</f>
        <v>40.01</v>
      </c>
      <c r="M87">
        <f>'WEO GDP'!AN103</f>
        <v>39.051000000000002</v>
      </c>
      <c r="N87">
        <f>'WEO GDP'!AO103</f>
        <v>42.402999999999999</v>
      </c>
      <c r="O87">
        <f>'WEO GDP'!AP103</f>
        <v>44.323</v>
      </c>
      <c r="P87">
        <f>'WEO GDP'!AQ103</f>
        <v>46.526000000000003</v>
      </c>
      <c r="Q87">
        <f>'WEO GDP'!AR103</f>
        <v>49.094999999999999</v>
      </c>
      <c r="R87">
        <f>'WEO GDP'!AS103</f>
        <v>51.790999999999997</v>
      </c>
      <c r="S87">
        <f>'WEO GDP'!AT103</f>
        <v>54.142000000000003</v>
      </c>
      <c r="T87">
        <f>'WEO GDP'!AU103</f>
        <v>56.207999999999998</v>
      </c>
      <c r="U87">
        <f>'WEO GDP'!AV103</f>
        <v>58.168999999999997</v>
      </c>
      <c r="V87">
        <f>'WEO GDP'!AW103</f>
        <v>60.362000000000002</v>
      </c>
      <c r="W87">
        <f>'WEO GDP'!AX103</f>
        <v>62.704000000000001</v>
      </c>
      <c r="X87" s="15">
        <f>'WEO GDP'!AY103</f>
        <v>64.221000000000004</v>
      </c>
      <c r="Y87" s="15">
        <f>'WEO GDP'!AZ103</f>
        <v>73.313999999999993</v>
      </c>
    </row>
    <row r="88" spans="1:25">
      <c r="A88" t="s">
        <v>1633</v>
      </c>
      <c r="B88" t="s">
        <v>460</v>
      </c>
      <c r="C88" t="s">
        <v>2085</v>
      </c>
      <c r="D88">
        <f>'WEO GDP'!AE125</f>
        <v>452.00700000000001</v>
      </c>
      <c r="E88">
        <f>'WEO GDP'!AF125</f>
        <v>481.88099999999997</v>
      </c>
      <c r="F88">
        <f>'WEO GDP'!AG125</f>
        <v>501.137</v>
      </c>
      <c r="G88">
        <f>'WEO GDP'!AH125</f>
        <v>512.80999999999995</v>
      </c>
      <c r="H88">
        <f>'WEO GDP'!AI125</f>
        <v>529.28599999999994</v>
      </c>
      <c r="I88">
        <f>'WEO GDP'!AJ125</f>
        <v>550.88300000000004</v>
      </c>
      <c r="J88">
        <f>'WEO GDP'!AK125</f>
        <v>584.54600000000005</v>
      </c>
      <c r="K88">
        <f>'WEO GDP'!AL125</f>
        <v>619.16999999999996</v>
      </c>
      <c r="L88">
        <f>'WEO GDP'!AM125</f>
        <v>647.19799999999998</v>
      </c>
      <c r="M88">
        <f>'WEO GDP'!AN125</f>
        <v>624.84199999999998</v>
      </c>
      <c r="N88">
        <f>'WEO GDP'!AO125</f>
        <v>639.18700000000001</v>
      </c>
      <c r="O88">
        <f>'WEO GDP'!AP125</f>
        <v>650.35900000000004</v>
      </c>
      <c r="P88">
        <f>'WEO GDP'!AQ125</f>
        <v>652.96600000000001</v>
      </c>
      <c r="Q88">
        <f>'WEO GDP'!AR125</f>
        <v>660.46299999999997</v>
      </c>
      <c r="R88">
        <f>'WEO GDP'!AS125</f>
        <v>671.56</v>
      </c>
      <c r="S88">
        <f>'WEO GDP'!AT125</f>
        <v>690.00800000000004</v>
      </c>
      <c r="T88">
        <f>'WEO GDP'!AU125</f>
        <v>708.33699999999999</v>
      </c>
      <c r="U88">
        <f>'WEO GDP'!AV125</f>
        <v>738.14599999999996</v>
      </c>
      <c r="V88">
        <f>'WEO GDP'!AW125</f>
        <v>773.98699999999997</v>
      </c>
      <c r="W88">
        <f>'WEO GDP'!AX125</f>
        <v>813.05499999999995</v>
      </c>
      <c r="X88" s="15">
        <f>'WEO GDP'!AY125</f>
        <v>800.09500000000003</v>
      </c>
      <c r="Y88" s="15">
        <f>'WEO GDP'!AZ125</f>
        <v>860.71900000000005</v>
      </c>
    </row>
    <row r="89" spans="1:25">
      <c r="A89" t="s">
        <v>71</v>
      </c>
      <c r="B89" t="s">
        <v>453</v>
      </c>
      <c r="C89" t="s">
        <v>2085</v>
      </c>
      <c r="D89">
        <f>'WEO GDP'!AE126</f>
        <v>118.346</v>
      </c>
      <c r="E89">
        <f>'WEO GDP'!AF126</f>
        <v>126.307</v>
      </c>
      <c r="F89">
        <f>'WEO GDP'!AG126</f>
        <v>133.68700000000001</v>
      </c>
      <c r="G89">
        <f>'WEO GDP'!AH126</f>
        <v>141.53700000000001</v>
      </c>
      <c r="H89">
        <f>'WEO GDP'!AI126</f>
        <v>153.00899999999999</v>
      </c>
      <c r="I89">
        <f>'WEO GDP'!AJ126</f>
        <v>160.80600000000001</v>
      </c>
      <c r="J89">
        <f>'WEO GDP'!AK126</f>
        <v>168.96899999999999</v>
      </c>
      <c r="K89">
        <f>'WEO GDP'!AL126</f>
        <v>183.22399999999999</v>
      </c>
      <c r="L89">
        <f>'WEO GDP'!AM126</f>
        <v>189.45</v>
      </c>
      <c r="M89">
        <f>'WEO GDP'!AN126</f>
        <v>191.86600000000001</v>
      </c>
      <c r="N89">
        <f>'WEO GDP'!AO126</f>
        <v>201.53200000000001</v>
      </c>
      <c r="O89">
        <f>'WEO GDP'!AP126</f>
        <v>211.01400000000001</v>
      </c>
      <c r="P89">
        <f>'WEO GDP'!AQ126</f>
        <v>215.92400000000001</v>
      </c>
      <c r="Q89">
        <f>'WEO GDP'!AR126</f>
        <v>228.078</v>
      </c>
      <c r="R89">
        <f>'WEO GDP'!AS126</f>
        <v>240.90199999999999</v>
      </c>
      <c r="S89">
        <f>'WEO GDP'!AT126</f>
        <v>251.68299999999999</v>
      </c>
      <c r="T89">
        <f>'WEO GDP'!AU126</f>
        <v>266.62</v>
      </c>
      <c r="U89">
        <f>'WEO GDP'!AV126</f>
        <v>286.411</v>
      </c>
      <c r="V89">
        <f>'WEO GDP'!AW126</f>
        <v>302.61399999999998</v>
      </c>
      <c r="W89">
        <f>'WEO GDP'!AX126</f>
        <v>320.09899999999999</v>
      </c>
      <c r="X89" s="15">
        <f>'WEO GDP'!AY126</f>
        <v>324.14</v>
      </c>
      <c r="Y89" s="15">
        <f>'WEO GDP'!AZ126</f>
        <v>350.07</v>
      </c>
    </row>
    <row r="90" spans="1:25">
      <c r="A90" t="s">
        <v>51</v>
      </c>
      <c r="B90" t="s">
        <v>468</v>
      </c>
      <c r="C90" t="s">
        <v>2085</v>
      </c>
      <c r="D90">
        <f>'WEO GDP'!AE131</f>
        <v>1507.28</v>
      </c>
      <c r="E90">
        <f>'WEO GDP'!AF131</f>
        <v>1564.31</v>
      </c>
      <c r="F90">
        <f>'WEO GDP'!AG131</f>
        <v>1561.03</v>
      </c>
      <c r="G90">
        <f>'WEO GDP'!AH131</f>
        <v>1620.37</v>
      </c>
      <c r="H90">
        <f>'WEO GDP'!AI131</f>
        <v>1783.02</v>
      </c>
      <c r="I90">
        <f>'WEO GDP'!AJ131</f>
        <v>1989.99</v>
      </c>
      <c r="J90">
        <f>'WEO GDP'!AK131</f>
        <v>2216.3200000000002</v>
      </c>
      <c r="K90">
        <f>'WEO GDP'!AL131</f>
        <v>2350.17</v>
      </c>
      <c r="L90">
        <f>'WEO GDP'!AM131</f>
        <v>2607.09</v>
      </c>
      <c r="M90">
        <f>'WEO GDP'!AN131</f>
        <v>2428.48</v>
      </c>
      <c r="N90">
        <f>'WEO GDP'!AO131</f>
        <v>2591.48</v>
      </c>
      <c r="O90">
        <f>'WEO GDP'!AP131</f>
        <v>2792.68</v>
      </c>
      <c r="P90">
        <f>'WEO GDP'!AQ131</f>
        <v>2964.05</v>
      </c>
      <c r="Q90">
        <f>'WEO GDP'!AR131</f>
        <v>3071.22</v>
      </c>
      <c r="R90">
        <f>'WEO GDP'!AS131</f>
        <v>3140.81</v>
      </c>
      <c r="S90">
        <f>'WEO GDP'!AT131</f>
        <v>3111.17</v>
      </c>
      <c r="T90">
        <f>'WEO GDP'!AU131</f>
        <v>3098.15</v>
      </c>
      <c r="U90">
        <f>'WEO GDP'!AV131</f>
        <v>3295.38</v>
      </c>
      <c r="V90">
        <f>'WEO GDP'!AW131</f>
        <v>3553.9</v>
      </c>
      <c r="W90">
        <f>'WEO GDP'!AX131</f>
        <v>3563.48</v>
      </c>
      <c r="X90" s="15">
        <f>'WEO GDP'!AY131</f>
        <v>3410.4</v>
      </c>
      <c r="Y90" s="15">
        <f>'WEO GDP'!AZ131</f>
        <v>4144.13</v>
      </c>
    </row>
    <row r="91" spans="1:25">
      <c r="A91" t="s">
        <v>1635</v>
      </c>
      <c r="B91" t="s">
        <v>441</v>
      </c>
      <c r="C91" t="s">
        <v>2085</v>
      </c>
      <c r="D91">
        <f>'WEO GDP'!AE140</f>
        <v>745.84500000000003</v>
      </c>
      <c r="E91">
        <f>'WEO GDP'!AF140</f>
        <v>781.1</v>
      </c>
      <c r="F91">
        <f>'WEO GDP'!AG140</f>
        <v>812.21400000000006</v>
      </c>
      <c r="G91">
        <f>'WEO GDP'!AH140</f>
        <v>847.15200000000004</v>
      </c>
      <c r="H91">
        <f>'WEO GDP'!AI140</f>
        <v>933.09199999999998</v>
      </c>
      <c r="I91">
        <f>'WEO GDP'!AJ140</f>
        <v>990.53</v>
      </c>
      <c r="J91">
        <f>'WEO GDP'!AK140</f>
        <v>1069.43</v>
      </c>
      <c r="K91">
        <f>'WEO GDP'!AL140</f>
        <v>1187.51</v>
      </c>
      <c r="L91">
        <f>'WEO GDP'!AM140</f>
        <v>1285.57</v>
      </c>
      <c r="M91">
        <f>'WEO GDP'!AN140</f>
        <v>1372.03</v>
      </c>
      <c r="N91">
        <f>'WEO GDP'!AO140</f>
        <v>1446.84</v>
      </c>
      <c r="O91">
        <f>'WEO GDP'!AP140</f>
        <v>1565.25</v>
      </c>
      <c r="P91">
        <f>'WEO GDP'!AQ140</f>
        <v>1623.44</v>
      </c>
      <c r="Q91">
        <f>'WEO GDP'!AR140</f>
        <v>1646.72</v>
      </c>
      <c r="R91">
        <f>'WEO GDP'!AS140</f>
        <v>1711.24</v>
      </c>
      <c r="S91">
        <f>'WEO GDP'!AT140</f>
        <v>1801.11</v>
      </c>
      <c r="T91">
        <f>'WEO GDP'!AU140</f>
        <v>1863.49</v>
      </c>
      <c r="U91">
        <f>'WEO GDP'!AV140</f>
        <v>1989.84</v>
      </c>
      <c r="V91">
        <f>'WEO GDP'!AW140</f>
        <v>2121.56</v>
      </c>
      <c r="W91">
        <f>'WEO GDP'!AX140</f>
        <v>2293.1999999999998</v>
      </c>
      <c r="X91" s="15">
        <f>'WEO GDP'!AY140</f>
        <v>2326.66</v>
      </c>
      <c r="Y91" s="15">
        <f>'WEO GDP'!AZ140</f>
        <v>2603.11</v>
      </c>
    </row>
    <row r="92" spans="1:25">
      <c r="A92" t="s">
        <v>62</v>
      </c>
      <c r="B92" t="s">
        <v>445</v>
      </c>
      <c r="C92" t="s">
        <v>2085</v>
      </c>
      <c r="D92">
        <f>'WEO GDP'!AE141</f>
        <v>128.41499999999999</v>
      </c>
      <c r="E92">
        <f>'WEO GDP'!AF141</f>
        <v>135.77500000000001</v>
      </c>
      <c r="F92">
        <f>'WEO GDP'!AG141</f>
        <v>142.554</v>
      </c>
      <c r="G92">
        <f>'WEO GDP'!AH141</f>
        <v>146.06800000000001</v>
      </c>
      <c r="H92">
        <f>'WEO GDP'!AI141</f>
        <v>152.24799999999999</v>
      </c>
      <c r="I92">
        <f>'WEO GDP'!AJ141</f>
        <v>158.553</v>
      </c>
      <c r="J92">
        <f>'WEO GDP'!AK141</f>
        <v>166.26</v>
      </c>
      <c r="K92">
        <f>'WEO GDP'!AL141</f>
        <v>175.483</v>
      </c>
      <c r="L92">
        <f>'WEO GDP'!AM141</f>
        <v>179.10300000000001</v>
      </c>
      <c r="M92">
        <f>'WEO GDP'!AN141</f>
        <v>175.416</v>
      </c>
      <c r="N92">
        <f>'WEO GDP'!AO141</f>
        <v>179.61099999999999</v>
      </c>
      <c r="O92">
        <f>'WEO GDP'!AP141</f>
        <v>176.096</v>
      </c>
      <c r="P92">
        <f>'WEO GDP'!AQ141</f>
        <v>168.29599999999999</v>
      </c>
      <c r="Q92">
        <f>'WEO GDP'!AR141</f>
        <v>170.49199999999999</v>
      </c>
      <c r="R92">
        <f>'WEO GDP'!AS141</f>
        <v>173.054</v>
      </c>
      <c r="S92">
        <f>'WEO GDP'!AT141</f>
        <v>179.71299999999999</v>
      </c>
      <c r="T92">
        <f>'WEO GDP'!AU141</f>
        <v>186.49</v>
      </c>
      <c r="U92">
        <f>'WEO GDP'!AV141</f>
        <v>195.947</v>
      </c>
      <c r="V92">
        <f>'WEO GDP'!AW141</f>
        <v>205.184</v>
      </c>
      <c r="W92">
        <f>'WEO GDP'!AX141</f>
        <v>214.375</v>
      </c>
      <c r="X92" s="15">
        <f>'WEO GDP'!AY141</f>
        <v>200.08799999999999</v>
      </c>
      <c r="Y92" s="15">
        <f>'WEO GDP'!AZ141</f>
        <v>211.27799999999999</v>
      </c>
    </row>
    <row r="93" spans="1:25">
      <c r="A93" t="s">
        <v>1637</v>
      </c>
      <c r="B93" t="s">
        <v>444</v>
      </c>
      <c r="C93" t="s">
        <v>2085</v>
      </c>
      <c r="D93">
        <f>'WEO GDP'!AE156</f>
        <v>31.661000000000001</v>
      </c>
      <c r="E93">
        <f>'WEO GDP'!AF156</f>
        <v>34.366</v>
      </c>
      <c r="F93">
        <f>'WEO GDP'!AG156</f>
        <v>37.33</v>
      </c>
      <c r="G93">
        <f>'WEO GDP'!AH156</f>
        <v>41.48</v>
      </c>
      <c r="H93">
        <f>'WEO GDP'!AI156</f>
        <v>46.174999999999997</v>
      </c>
      <c r="I93">
        <f>'WEO GDP'!AJ156</f>
        <v>50.485999999999997</v>
      </c>
      <c r="J93">
        <f>'WEO GDP'!AK156</f>
        <v>56.362000000000002</v>
      </c>
      <c r="K93">
        <f>'WEO GDP'!AL156</f>
        <v>63.162999999999997</v>
      </c>
      <c r="L93">
        <f>'WEO GDP'!AM156</f>
        <v>68.590999999999994</v>
      </c>
      <c r="M93">
        <f>'WEO GDP'!AN156</f>
        <v>64.096000000000004</v>
      </c>
      <c r="N93">
        <f>'WEO GDP'!AO156</f>
        <v>68.188999999999993</v>
      </c>
      <c r="O93">
        <f>'WEO GDP'!AP156</f>
        <v>71.305000000000007</v>
      </c>
      <c r="P93">
        <f>'WEO GDP'!AQ156</f>
        <v>73.575999999999993</v>
      </c>
      <c r="Q93">
        <f>'WEO GDP'!AR156</f>
        <v>74.448999999999998</v>
      </c>
      <c r="R93">
        <f>'WEO GDP'!AS156</f>
        <v>76.27</v>
      </c>
      <c r="S93">
        <f>'WEO GDP'!AT156</f>
        <v>79.768000000000001</v>
      </c>
      <c r="T93">
        <f>'WEO GDP'!AU156</f>
        <v>81.013999999999996</v>
      </c>
      <c r="U93">
        <f>'WEO GDP'!AV156</f>
        <v>84.442999999999998</v>
      </c>
      <c r="V93">
        <f>'WEO GDP'!AW156</f>
        <v>89.43</v>
      </c>
      <c r="W93">
        <f>'WEO GDP'!AX156</f>
        <v>94.048000000000002</v>
      </c>
      <c r="X93" s="15">
        <f>'WEO GDP'!AY156</f>
        <v>92.078999999999994</v>
      </c>
      <c r="Y93" s="15">
        <f>'WEO GDP'!AZ156</f>
        <v>97.123000000000005</v>
      </c>
    </row>
    <row r="94" spans="1:25">
      <c r="A94" t="s">
        <v>1638</v>
      </c>
      <c r="B94" t="s">
        <v>447</v>
      </c>
      <c r="C94" t="s">
        <v>2085</v>
      </c>
      <c r="D94">
        <f>'WEO GDP'!AE157</f>
        <v>18.853000000000002</v>
      </c>
      <c r="E94">
        <f>'WEO GDP'!AF157</f>
        <v>21.148</v>
      </c>
      <c r="F94">
        <f>'WEO GDP'!AG157</f>
        <v>23.548999999999999</v>
      </c>
      <c r="G94">
        <f>'WEO GDP'!AH157</f>
        <v>25.613</v>
      </c>
      <c r="H94">
        <f>'WEO GDP'!AI157</f>
        <v>27.628</v>
      </c>
      <c r="I94">
        <f>'WEO GDP'!AJ157</f>
        <v>29.114000000000001</v>
      </c>
      <c r="J94">
        <f>'WEO GDP'!AK157</f>
        <v>31.47</v>
      </c>
      <c r="K94">
        <f>'WEO GDP'!AL157</f>
        <v>35.073999999999998</v>
      </c>
      <c r="L94">
        <f>'WEO GDP'!AM157</f>
        <v>37.926000000000002</v>
      </c>
      <c r="M94">
        <f>'WEO GDP'!AN157</f>
        <v>36.255000000000003</v>
      </c>
      <c r="N94">
        <f>'WEO GDP'!AO157</f>
        <v>36.363999999999997</v>
      </c>
      <c r="O94">
        <f>'WEO GDP'!AP157</f>
        <v>37.058999999999997</v>
      </c>
      <c r="P94">
        <f>'WEO GDP'!AQ157</f>
        <v>36.253</v>
      </c>
      <c r="Q94">
        <f>'WEO GDP'!AR157</f>
        <v>36.454000000000001</v>
      </c>
      <c r="R94">
        <f>'WEO GDP'!AS157</f>
        <v>37.634</v>
      </c>
      <c r="S94">
        <f>'WEO GDP'!AT157</f>
        <v>38.853000000000002</v>
      </c>
      <c r="T94">
        <f>'WEO GDP'!AU157</f>
        <v>40.442999999999998</v>
      </c>
      <c r="U94">
        <f>'WEO GDP'!AV157</f>
        <v>43.011000000000003</v>
      </c>
      <c r="V94">
        <f>'WEO GDP'!AW157</f>
        <v>45.863999999999997</v>
      </c>
      <c r="W94">
        <f>'WEO GDP'!AX157</f>
        <v>48.396999999999998</v>
      </c>
      <c r="X94" s="15">
        <f>'WEO GDP'!AY157</f>
        <v>46.917999999999999</v>
      </c>
      <c r="Y94" s="15">
        <f>'WEO GDP'!AZ157</f>
        <v>52.02</v>
      </c>
    </row>
    <row r="95" spans="1:25">
      <c r="A95" t="s">
        <v>69</v>
      </c>
      <c r="B95" t="s">
        <v>448</v>
      </c>
      <c r="C95" t="s">
        <v>2085</v>
      </c>
      <c r="D95">
        <f>'WEO GDP'!AE162</f>
        <v>647.851</v>
      </c>
      <c r="E95">
        <f>'WEO GDP'!AF162</f>
        <v>700.99300000000005</v>
      </c>
      <c r="F95">
        <f>'WEO GDP'!AG162</f>
        <v>749.55200000000002</v>
      </c>
      <c r="G95">
        <f>'WEO GDP'!AH162</f>
        <v>802.26599999999996</v>
      </c>
      <c r="H95">
        <f>'WEO GDP'!AI162</f>
        <v>859.43700000000001</v>
      </c>
      <c r="I95">
        <f>'WEO GDP'!AJ162</f>
        <v>927.35699999999997</v>
      </c>
      <c r="J95">
        <f>'WEO GDP'!AK162</f>
        <v>1003.82</v>
      </c>
      <c r="K95">
        <f>'WEO GDP'!AL162</f>
        <v>1075.54</v>
      </c>
      <c r="L95">
        <f>'WEO GDP'!AM162</f>
        <v>1109.54</v>
      </c>
      <c r="M95">
        <f>'WEO GDP'!AN162</f>
        <v>1069.32</v>
      </c>
      <c r="N95">
        <f>'WEO GDP'!AO162</f>
        <v>1072.71</v>
      </c>
      <c r="O95">
        <f>'WEO GDP'!AP162</f>
        <v>1063.76</v>
      </c>
      <c r="P95">
        <f>'WEO GDP'!AQ162</f>
        <v>1031.0999999999999</v>
      </c>
      <c r="Q95">
        <f>'WEO GDP'!AR162</f>
        <v>1020.35</v>
      </c>
      <c r="R95">
        <f>'WEO GDP'!AS162</f>
        <v>1032.1600000000001</v>
      </c>
      <c r="S95">
        <f>'WEO GDP'!AT162</f>
        <v>1077.5899999999999</v>
      </c>
      <c r="T95">
        <f>'WEO GDP'!AU162</f>
        <v>1113.8399999999999</v>
      </c>
      <c r="U95">
        <f>'WEO GDP'!AV162</f>
        <v>1161.8699999999999</v>
      </c>
      <c r="V95">
        <f>'WEO GDP'!AW162</f>
        <v>1203.26</v>
      </c>
      <c r="W95">
        <f>'WEO GDP'!AX162</f>
        <v>1244.3800000000001</v>
      </c>
      <c r="X95" s="15">
        <f>'WEO GDP'!AY162</f>
        <v>1121.95</v>
      </c>
      <c r="Y95" s="15">
        <f>'WEO GDP'!AZ162</f>
        <v>1205.06</v>
      </c>
    </row>
    <row r="96" spans="1:25">
      <c r="A96" t="s">
        <v>52</v>
      </c>
      <c r="B96" t="s">
        <v>462</v>
      </c>
      <c r="C96" t="s">
        <v>2085</v>
      </c>
      <c r="D96">
        <f>'WEO GDP'!AE169</f>
        <v>2408.15</v>
      </c>
      <c r="E96">
        <f>'WEO GDP'!AF169</f>
        <v>2503.73</v>
      </c>
      <c r="F96">
        <f>'WEO GDP'!AG169</f>
        <v>2598.34</v>
      </c>
      <c r="G96">
        <f>'WEO GDP'!AH169</f>
        <v>2703.55</v>
      </c>
      <c r="H96">
        <f>'WEO GDP'!AI169</f>
        <v>2830.19</v>
      </c>
      <c r="I96">
        <f>'WEO GDP'!AJ169</f>
        <v>2931.09</v>
      </c>
      <c r="J96">
        <f>'WEO GDP'!AK169</f>
        <v>3121.67</v>
      </c>
      <c r="K96">
        <f>'WEO GDP'!AL169</f>
        <v>3320.28</v>
      </c>
      <c r="L96">
        <f>'WEO GDP'!AM169</f>
        <v>3412.25</v>
      </c>
      <c r="M96">
        <f>'WEO GDP'!AN169</f>
        <v>3341.17</v>
      </c>
      <c r="N96">
        <f>'WEO GDP'!AO169</f>
        <v>3573.58</v>
      </c>
      <c r="O96">
        <f>'WEO GDP'!AP169</f>
        <v>3727.91</v>
      </c>
      <c r="P96">
        <f>'WEO GDP'!AQ169</f>
        <v>3743.09</v>
      </c>
      <c r="Q96">
        <f>'WEO GDP'!AR169</f>
        <v>3822.67</v>
      </c>
      <c r="R96">
        <f>'WEO GDP'!AS169</f>
        <v>3992.73</v>
      </c>
      <c r="S96">
        <f>'WEO GDP'!AT169</f>
        <v>4260.47</v>
      </c>
      <c r="T96">
        <f>'WEO GDP'!AU169</f>
        <v>4415.03</v>
      </c>
      <c r="U96">
        <f>'WEO GDP'!AV169</f>
        <v>4625.09</v>
      </c>
      <c r="V96">
        <f>'WEO GDP'!AW169</f>
        <v>4828.3100000000004</v>
      </c>
      <c r="W96">
        <f>'WEO GDP'!AX169</f>
        <v>5049.62</v>
      </c>
      <c r="X96" s="15">
        <f>'WEO GDP'!AY169</f>
        <v>4987.26</v>
      </c>
      <c r="Y96" s="15">
        <f>'WEO GDP'!AZ169</f>
        <v>5381.26</v>
      </c>
    </row>
    <row r="97" spans="1:157">
      <c r="A97" t="s">
        <v>67</v>
      </c>
      <c r="B97" t="s">
        <v>469</v>
      </c>
      <c r="C97" t="s">
        <v>2085</v>
      </c>
      <c r="D97">
        <f>'WEO GDP'!AE170</f>
        <v>472.72800000000001</v>
      </c>
      <c r="E97">
        <f>'WEO GDP'!AF170</f>
        <v>485.22500000000002</v>
      </c>
      <c r="F97">
        <f>'WEO GDP'!AG170</f>
        <v>484.08100000000002</v>
      </c>
      <c r="G97">
        <f>'WEO GDP'!AH170</f>
        <v>489.31</v>
      </c>
      <c r="H97">
        <f>'WEO GDP'!AI170</f>
        <v>503.70600000000002</v>
      </c>
      <c r="I97">
        <f>'WEO GDP'!AJ170</f>
        <v>523.14</v>
      </c>
      <c r="J97">
        <f>'WEO GDP'!AK170</f>
        <v>556.495</v>
      </c>
      <c r="K97">
        <f>'WEO GDP'!AL170</f>
        <v>592.82899999999995</v>
      </c>
      <c r="L97">
        <f>'WEO GDP'!AM170</f>
        <v>617.39499999999998</v>
      </c>
      <c r="M97">
        <f>'WEO GDP'!AN170</f>
        <v>607.26300000000003</v>
      </c>
      <c r="N97">
        <f>'WEO GDP'!AO170</f>
        <v>628.74800000000005</v>
      </c>
      <c r="O97">
        <f>'WEO GDP'!AP170</f>
        <v>640.85400000000004</v>
      </c>
      <c r="P97">
        <f>'WEO GDP'!AQ170</f>
        <v>649.20600000000002</v>
      </c>
      <c r="Q97">
        <f>'WEO GDP'!AR170</f>
        <v>661.05499999999995</v>
      </c>
      <c r="R97">
        <f>'WEO GDP'!AS170</f>
        <v>673.05100000000004</v>
      </c>
      <c r="S97">
        <f>'WEO GDP'!AT170</f>
        <v>675.74900000000002</v>
      </c>
      <c r="T97">
        <f>'WEO GDP'!AU170</f>
        <v>685.24599999999998</v>
      </c>
      <c r="U97">
        <f>'WEO GDP'!AV170</f>
        <v>693.92200000000003</v>
      </c>
      <c r="V97">
        <f>'WEO GDP'!AW170</f>
        <v>719.75300000000004</v>
      </c>
      <c r="W97">
        <f>'WEO GDP'!AX170</f>
        <v>727.86400000000003</v>
      </c>
      <c r="X97" s="15">
        <f>'WEO GDP'!AY170</f>
        <v>705.86</v>
      </c>
      <c r="Y97" s="15">
        <f>'WEO GDP'!AZ170</f>
        <v>742.54700000000003</v>
      </c>
    </row>
    <row r="98" spans="1:157">
      <c r="A98" t="s">
        <v>72</v>
      </c>
      <c r="B98" t="s">
        <v>454</v>
      </c>
      <c r="C98" t="s">
        <v>2085</v>
      </c>
      <c r="D98">
        <f>'WEO GDP'!AE187</f>
        <v>1098.5</v>
      </c>
      <c r="E98">
        <f>'WEO GDP'!AF187</f>
        <v>1142.02</v>
      </c>
      <c r="F98">
        <f>'WEO GDP'!AG187</f>
        <v>1190.3399999999999</v>
      </c>
      <c r="G98">
        <f>'WEO GDP'!AH187</f>
        <v>1259.97</v>
      </c>
      <c r="H98">
        <f>'WEO GDP'!AI187</f>
        <v>1322.8</v>
      </c>
      <c r="I98">
        <f>'WEO GDP'!AJ187</f>
        <v>1399.66</v>
      </c>
      <c r="J98">
        <f>'WEO GDP'!AK187</f>
        <v>1476.72</v>
      </c>
      <c r="K98">
        <f>'WEO GDP'!AL187</f>
        <v>1552.47</v>
      </c>
      <c r="L98">
        <f>'WEO GDP'!AM187</f>
        <v>1598.75</v>
      </c>
      <c r="M98">
        <f>'WEO GDP'!AN187</f>
        <v>1557.12</v>
      </c>
      <c r="N98">
        <f>'WEO GDP'!AO187</f>
        <v>1612.2</v>
      </c>
      <c r="O98">
        <f>'WEO GDP'!AP187</f>
        <v>1669.51</v>
      </c>
      <c r="P98">
        <f>'WEO GDP'!AQ187</f>
        <v>1721.36</v>
      </c>
      <c r="Q98">
        <f>'WEO GDP'!AR187</f>
        <v>1793.16</v>
      </c>
      <c r="R98">
        <f>'WEO GDP'!AS187</f>
        <v>1876.16</v>
      </c>
      <c r="S98">
        <f>'WEO GDP'!AT187</f>
        <v>1935.21</v>
      </c>
      <c r="T98">
        <f>'WEO GDP'!AU187</f>
        <v>2016.64</v>
      </c>
      <c r="U98">
        <f>'WEO GDP'!AV187</f>
        <v>2097.14</v>
      </c>
      <c r="V98">
        <f>'WEO GDP'!AW187</f>
        <v>2174.38</v>
      </c>
      <c r="W98">
        <f>'WEO GDP'!AX187</f>
        <v>2255.2800000000002</v>
      </c>
      <c r="X98" s="15">
        <f>'WEO GDP'!AY187</f>
        <v>2150.38</v>
      </c>
      <c r="Y98" s="15">
        <f>'WEO GDP'!AZ187</f>
        <v>2317.0500000000002</v>
      </c>
    </row>
    <row r="99" spans="1:157">
      <c r="A99" t="s">
        <v>77</v>
      </c>
      <c r="B99" t="s">
        <v>465</v>
      </c>
      <c r="C99" t="s">
        <v>2085</v>
      </c>
      <c r="D99">
        <f>'WEO GDP'!AE188</f>
        <v>10250.950000000001</v>
      </c>
      <c r="E99">
        <f>'WEO GDP'!AF188</f>
        <v>10581.93</v>
      </c>
      <c r="F99">
        <f>'WEO GDP'!AG188</f>
        <v>10929.1</v>
      </c>
      <c r="G99">
        <f>'WEO GDP'!AH188</f>
        <v>11456.45</v>
      </c>
      <c r="H99">
        <f>'WEO GDP'!AI188</f>
        <v>12217.18</v>
      </c>
      <c r="I99">
        <f>'WEO GDP'!AJ188</f>
        <v>13039.2</v>
      </c>
      <c r="J99">
        <f>'WEO GDP'!AK188</f>
        <v>13815.6</v>
      </c>
      <c r="K99">
        <f>'WEO GDP'!AL188</f>
        <v>14474.25</v>
      </c>
      <c r="L99">
        <f>'WEO GDP'!AM188</f>
        <v>14769.85</v>
      </c>
      <c r="M99">
        <f>'WEO GDP'!AN188</f>
        <v>14478.05</v>
      </c>
      <c r="N99">
        <f>'WEO GDP'!AO188</f>
        <v>15048.98</v>
      </c>
      <c r="O99">
        <f>'WEO GDP'!AP188</f>
        <v>15599.73</v>
      </c>
      <c r="P99">
        <f>'WEO GDP'!AQ188</f>
        <v>16253.95</v>
      </c>
      <c r="Q99">
        <f>'WEO GDP'!AR188</f>
        <v>16843.23</v>
      </c>
      <c r="R99">
        <f>'WEO GDP'!AS188</f>
        <v>17550.68</v>
      </c>
      <c r="S99">
        <f>'WEO GDP'!AT188</f>
        <v>18206.03</v>
      </c>
      <c r="T99">
        <f>'WEO GDP'!AU188</f>
        <v>18695.099999999999</v>
      </c>
      <c r="U99">
        <f>'WEO GDP'!AV188</f>
        <v>19479.63</v>
      </c>
      <c r="V99">
        <f>'WEO GDP'!AW188</f>
        <v>20527.150000000001</v>
      </c>
      <c r="W99">
        <f>'WEO GDP'!AX188</f>
        <v>21372.6</v>
      </c>
      <c r="X99" s="15">
        <f>'WEO GDP'!AY188</f>
        <v>20893.75</v>
      </c>
      <c r="Y99" s="15">
        <f>'WEO GDP'!AZ188</f>
        <v>22997.5</v>
      </c>
    </row>
    <row r="102" spans="1:157">
      <c r="A102" t="s">
        <v>2082</v>
      </c>
      <c r="D102" s="167" t="s">
        <v>48</v>
      </c>
      <c r="E102" s="167"/>
      <c r="F102" s="167"/>
      <c r="G102" s="167"/>
      <c r="H102" s="167"/>
      <c r="I102" s="167"/>
      <c r="J102" s="167"/>
      <c r="K102" s="167"/>
      <c r="L102" s="167"/>
      <c r="M102" s="167"/>
      <c r="N102" s="167"/>
      <c r="O102" s="167"/>
      <c r="P102" s="167"/>
      <c r="Q102" s="167"/>
      <c r="R102" s="167"/>
      <c r="S102" s="167"/>
      <c r="T102" s="167"/>
      <c r="U102" s="167"/>
      <c r="V102" s="167"/>
      <c r="W102" s="167"/>
      <c r="X102" s="167"/>
      <c r="Y102" s="172"/>
      <c r="AA102" s="167" t="s">
        <v>81</v>
      </c>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72"/>
      <c r="AW102" s="171" t="s">
        <v>82</v>
      </c>
      <c r="AX102" s="167"/>
      <c r="AY102" s="167"/>
      <c r="AZ102" s="167"/>
      <c r="BA102" s="167"/>
      <c r="BB102" s="167"/>
      <c r="BC102" s="167"/>
      <c r="BD102" s="167"/>
      <c r="BE102" s="167"/>
      <c r="BF102" s="167"/>
      <c r="BG102" s="167"/>
      <c r="BH102" s="167"/>
      <c r="BI102" s="167"/>
      <c r="BJ102" s="167"/>
      <c r="BK102" s="167"/>
      <c r="BL102" s="167"/>
      <c r="BM102" s="167"/>
      <c r="BN102" s="167"/>
      <c r="BO102" s="167"/>
      <c r="BP102" s="167"/>
      <c r="BQ102" s="167"/>
      <c r="BR102" s="172"/>
      <c r="BS102" s="171" t="s">
        <v>83</v>
      </c>
      <c r="BT102" s="167"/>
      <c r="BU102" s="167"/>
      <c r="BV102" s="167"/>
      <c r="BW102" s="167"/>
      <c r="BX102" s="167"/>
      <c r="BY102" s="167"/>
      <c r="BZ102" s="167"/>
      <c r="CA102" s="167"/>
      <c r="CB102" s="167"/>
      <c r="CC102" s="167"/>
      <c r="CD102" s="167"/>
      <c r="CE102" s="167"/>
      <c r="CF102" s="167"/>
      <c r="CG102" s="167"/>
      <c r="CH102" s="167"/>
      <c r="CI102" s="167"/>
      <c r="CJ102" s="167"/>
      <c r="CK102" s="167"/>
      <c r="CL102" s="167"/>
      <c r="CM102" s="167"/>
      <c r="CN102" s="172"/>
      <c r="CO102" s="171" t="s">
        <v>84</v>
      </c>
      <c r="CP102" s="167"/>
      <c r="CQ102" s="167"/>
      <c r="CR102" s="167"/>
      <c r="CS102" s="167"/>
      <c r="CT102" s="167"/>
      <c r="CU102" s="167"/>
      <c r="CV102" s="167"/>
      <c r="CW102" s="167"/>
      <c r="CX102" s="167"/>
      <c r="CY102" s="167"/>
      <c r="CZ102" s="167"/>
      <c r="DA102" s="167"/>
      <c r="DB102" s="167"/>
      <c r="DC102" s="167"/>
      <c r="DD102" s="167"/>
      <c r="DE102" s="167"/>
      <c r="DF102" s="167"/>
      <c r="DG102" s="167"/>
      <c r="DH102" s="167"/>
      <c r="DI102" s="167"/>
      <c r="DJ102" s="172"/>
      <c r="EG102" s="171" t="s">
        <v>86</v>
      </c>
      <c r="EH102" s="167"/>
      <c r="EI102" s="167"/>
      <c r="EJ102" s="167"/>
      <c r="EK102" s="167"/>
      <c r="EL102" s="167"/>
      <c r="EM102" s="167"/>
      <c r="EN102" s="167"/>
      <c r="EO102" s="167"/>
      <c r="EP102" s="167"/>
      <c r="EQ102" s="167"/>
      <c r="ER102" s="167"/>
      <c r="ES102" s="167"/>
      <c r="ET102" s="167"/>
      <c r="EU102" s="167"/>
      <c r="EV102" s="167"/>
      <c r="EW102" s="167"/>
      <c r="EX102" s="167"/>
      <c r="EY102" s="167"/>
      <c r="EZ102" s="167"/>
      <c r="FA102" s="167"/>
    </row>
    <row r="103" spans="1:157">
      <c r="A103" t="s">
        <v>2083</v>
      </c>
      <c r="D103" t="s">
        <v>48</v>
      </c>
      <c r="E103" t="s">
        <v>48</v>
      </c>
      <c r="F103" t="s">
        <v>48</v>
      </c>
      <c r="G103" t="s">
        <v>48</v>
      </c>
      <c r="H103" t="s">
        <v>48</v>
      </c>
      <c r="I103" t="s">
        <v>48</v>
      </c>
      <c r="J103" t="s">
        <v>48</v>
      </c>
      <c r="K103" t="s">
        <v>48</v>
      </c>
      <c r="L103" t="s">
        <v>48</v>
      </c>
      <c r="M103" t="s">
        <v>48</v>
      </c>
      <c r="N103" t="s">
        <v>48</v>
      </c>
      <c r="O103" t="s">
        <v>48</v>
      </c>
      <c r="P103" t="s">
        <v>48</v>
      </c>
      <c r="Q103" t="s">
        <v>48</v>
      </c>
      <c r="R103" t="s">
        <v>48</v>
      </c>
      <c r="S103" t="s">
        <v>48</v>
      </c>
      <c r="T103" t="s">
        <v>48</v>
      </c>
      <c r="U103" t="s">
        <v>48</v>
      </c>
      <c r="V103" t="s">
        <v>48</v>
      </c>
      <c r="W103" t="s">
        <v>48</v>
      </c>
      <c r="X103" s="15" t="s">
        <v>48</v>
      </c>
      <c r="Y103" s="88" t="s">
        <v>48</v>
      </c>
      <c r="AA103" t="s">
        <v>81</v>
      </c>
      <c r="AB103" t="s">
        <v>81</v>
      </c>
      <c r="AC103" t="s">
        <v>81</v>
      </c>
      <c r="AD103" t="s">
        <v>81</v>
      </c>
      <c r="AE103" t="s">
        <v>81</v>
      </c>
      <c r="AF103" t="s">
        <v>81</v>
      </c>
      <c r="AG103" t="s">
        <v>81</v>
      </c>
      <c r="AH103" t="s">
        <v>81</v>
      </c>
      <c r="AI103" t="s">
        <v>81</v>
      </c>
      <c r="AJ103" t="s">
        <v>81</v>
      </c>
      <c r="AK103" t="s">
        <v>81</v>
      </c>
      <c r="AL103" t="s">
        <v>81</v>
      </c>
      <c r="AM103" t="s">
        <v>81</v>
      </c>
      <c r="AN103" t="s">
        <v>81</v>
      </c>
      <c r="AO103" t="s">
        <v>81</v>
      </c>
      <c r="AP103" t="s">
        <v>81</v>
      </c>
      <c r="AQ103" t="s">
        <v>81</v>
      </c>
      <c r="AR103" t="s">
        <v>81</v>
      </c>
      <c r="AS103" t="s">
        <v>81</v>
      </c>
      <c r="AT103" t="s">
        <v>81</v>
      </c>
      <c r="AU103" t="s">
        <v>81</v>
      </c>
      <c r="AV103" s="82" t="s">
        <v>81</v>
      </c>
      <c r="AW103" t="s">
        <v>82</v>
      </c>
      <c r="AX103" t="s">
        <v>82</v>
      </c>
      <c r="AY103" t="s">
        <v>82</v>
      </c>
      <c r="AZ103" t="s">
        <v>82</v>
      </c>
      <c r="BA103" t="s">
        <v>82</v>
      </c>
      <c r="BB103" t="s">
        <v>82</v>
      </c>
      <c r="BC103" t="s">
        <v>82</v>
      </c>
      <c r="BD103" t="s">
        <v>82</v>
      </c>
      <c r="BE103" t="s">
        <v>82</v>
      </c>
      <c r="BF103" t="s">
        <v>82</v>
      </c>
      <c r="BG103" t="s">
        <v>82</v>
      </c>
      <c r="BH103" t="s">
        <v>82</v>
      </c>
      <c r="BI103" t="s">
        <v>82</v>
      </c>
      <c r="BJ103" t="s">
        <v>82</v>
      </c>
      <c r="BK103" t="s">
        <v>82</v>
      </c>
      <c r="BL103" t="s">
        <v>82</v>
      </c>
      <c r="BM103" t="s">
        <v>82</v>
      </c>
      <c r="BN103" t="s">
        <v>82</v>
      </c>
      <c r="BO103" t="s">
        <v>82</v>
      </c>
      <c r="BP103" t="s">
        <v>82</v>
      </c>
      <c r="BQ103" t="s">
        <v>82</v>
      </c>
      <c r="BR103" s="82" t="s">
        <v>82</v>
      </c>
      <c r="BS103" t="s">
        <v>83</v>
      </c>
      <c r="BT103" t="s">
        <v>83</v>
      </c>
      <c r="BU103" t="s">
        <v>83</v>
      </c>
      <c r="BV103" t="s">
        <v>83</v>
      </c>
      <c r="BW103" t="s">
        <v>83</v>
      </c>
      <c r="BX103" t="s">
        <v>83</v>
      </c>
      <c r="BY103" t="s">
        <v>83</v>
      </c>
      <c r="BZ103" t="s">
        <v>83</v>
      </c>
      <c r="CA103" t="s">
        <v>83</v>
      </c>
      <c r="CB103" t="s">
        <v>83</v>
      </c>
      <c r="CC103" t="s">
        <v>83</v>
      </c>
      <c r="CD103" t="s">
        <v>83</v>
      </c>
      <c r="CE103" t="s">
        <v>83</v>
      </c>
      <c r="CF103" t="s">
        <v>83</v>
      </c>
      <c r="CG103" t="s">
        <v>83</v>
      </c>
      <c r="CH103" t="s">
        <v>83</v>
      </c>
      <c r="CI103" t="s">
        <v>83</v>
      </c>
      <c r="CJ103" t="s">
        <v>83</v>
      </c>
      <c r="CK103" t="s">
        <v>83</v>
      </c>
      <c r="CL103" t="s">
        <v>83</v>
      </c>
      <c r="CM103" t="s">
        <v>83</v>
      </c>
      <c r="CN103" s="82" t="s">
        <v>83</v>
      </c>
      <c r="CO103" t="s">
        <v>84</v>
      </c>
      <c r="CP103" t="s">
        <v>84</v>
      </c>
      <c r="CQ103" t="s">
        <v>84</v>
      </c>
      <c r="CR103" t="s">
        <v>84</v>
      </c>
      <c r="CS103" t="s">
        <v>84</v>
      </c>
      <c r="CT103" t="s">
        <v>84</v>
      </c>
      <c r="CU103" t="s">
        <v>84</v>
      </c>
      <c r="CV103" t="s">
        <v>84</v>
      </c>
      <c r="CW103" t="s">
        <v>84</v>
      </c>
      <c r="CX103" t="s">
        <v>84</v>
      </c>
      <c r="CY103" t="s">
        <v>84</v>
      </c>
      <c r="CZ103" t="s">
        <v>84</v>
      </c>
      <c r="DA103" t="s">
        <v>84</v>
      </c>
      <c r="DB103" t="s">
        <v>84</v>
      </c>
      <c r="DC103" t="s">
        <v>84</v>
      </c>
      <c r="DD103" t="s">
        <v>84</v>
      </c>
      <c r="DE103" t="s">
        <v>84</v>
      </c>
      <c r="DF103" t="s">
        <v>84</v>
      </c>
      <c r="DG103" t="s">
        <v>84</v>
      </c>
      <c r="DH103" t="s">
        <v>84</v>
      </c>
      <c r="DI103" t="s">
        <v>84</v>
      </c>
      <c r="DJ103" s="82" t="s">
        <v>84</v>
      </c>
      <c r="DK103" t="s">
        <v>85</v>
      </c>
      <c r="DL103" t="s">
        <v>85</v>
      </c>
      <c r="DM103" t="s">
        <v>85</v>
      </c>
      <c r="DN103" t="s">
        <v>85</v>
      </c>
      <c r="DO103" t="s">
        <v>85</v>
      </c>
      <c r="DP103" t="s">
        <v>85</v>
      </c>
      <c r="DQ103" t="s">
        <v>85</v>
      </c>
      <c r="DR103" t="s">
        <v>85</v>
      </c>
      <c r="DS103" t="s">
        <v>85</v>
      </c>
      <c r="DT103" t="s">
        <v>85</v>
      </c>
      <c r="DU103" t="s">
        <v>85</v>
      </c>
      <c r="DV103" t="s">
        <v>85</v>
      </c>
      <c r="DW103" t="s">
        <v>85</v>
      </c>
      <c r="DX103" t="s">
        <v>85</v>
      </c>
      <c r="DY103" t="s">
        <v>85</v>
      </c>
      <c r="DZ103" t="s">
        <v>85</v>
      </c>
      <c r="EA103" t="s">
        <v>85</v>
      </c>
      <c r="EB103" t="s">
        <v>85</v>
      </c>
      <c r="EC103" t="s">
        <v>85</v>
      </c>
      <c r="ED103" t="s">
        <v>85</v>
      </c>
      <c r="EE103" t="s">
        <v>85</v>
      </c>
      <c r="EF103" s="82" t="s">
        <v>85</v>
      </c>
      <c r="EG103" t="s">
        <v>86</v>
      </c>
      <c r="EH103" t="s">
        <v>86</v>
      </c>
      <c r="EI103" t="s">
        <v>86</v>
      </c>
      <c r="EJ103" t="s">
        <v>86</v>
      </c>
      <c r="EK103" t="s">
        <v>86</v>
      </c>
      <c r="EL103" t="s">
        <v>86</v>
      </c>
      <c r="EM103" t="s">
        <v>86</v>
      </c>
      <c r="EN103" t="s">
        <v>86</v>
      </c>
      <c r="EO103" t="s">
        <v>86</v>
      </c>
      <c r="EP103" t="s">
        <v>86</v>
      </c>
      <c r="EQ103" t="s">
        <v>86</v>
      </c>
      <c r="ER103" t="s">
        <v>86</v>
      </c>
      <c r="ES103" t="s">
        <v>86</v>
      </c>
      <c r="ET103" t="s">
        <v>86</v>
      </c>
      <c r="EU103" t="s">
        <v>86</v>
      </c>
      <c r="EV103" t="s">
        <v>86</v>
      </c>
      <c r="EW103" t="s">
        <v>86</v>
      </c>
      <c r="EX103" t="s">
        <v>86</v>
      </c>
      <c r="EY103" t="s">
        <v>86</v>
      </c>
      <c r="EZ103" t="s">
        <v>86</v>
      </c>
      <c r="FA103" t="s">
        <v>86</v>
      </c>
    </row>
    <row r="104" spans="1:157">
      <c r="C104" t="s">
        <v>294</v>
      </c>
      <c r="D104">
        <v>2000</v>
      </c>
      <c r="E104">
        <v>2001</v>
      </c>
      <c r="F104">
        <v>2002</v>
      </c>
      <c r="G104">
        <v>2003</v>
      </c>
      <c r="H104">
        <v>2004</v>
      </c>
      <c r="I104">
        <v>2005</v>
      </c>
      <c r="J104">
        <v>2006</v>
      </c>
      <c r="K104">
        <v>2007</v>
      </c>
      <c r="L104">
        <v>2008</v>
      </c>
      <c r="M104">
        <v>2009</v>
      </c>
      <c r="N104">
        <v>2010</v>
      </c>
      <c r="O104">
        <v>2011</v>
      </c>
      <c r="P104">
        <v>2012</v>
      </c>
      <c r="Q104">
        <v>2013</v>
      </c>
      <c r="R104">
        <v>2014</v>
      </c>
      <c r="S104">
        <v>2015</v>
      </c>
      <c r="T104">
        <v>2016</v>
      </c>
      <c r="U104">
        <v>2017</v>
      </c>
      <c r="V104">
        <v>2018</v>
      </c>
      <c r="W104">
        <v>2019</v>
      </c>
      <c r="X104" s="15">
        <v>2020</v>
      </c>
      <c r="Y104" s="88">
        <v>2021</v>
      </c>
      <c r="AA104">
        <v>2000</v>
      </c>
      <c r="AB104">
        <v>2001</v>
      </c>
      <c r="AC104">
        <v>2002</v>
      </c>
      <c r="AD104">
        <v>2003</v>
      </c>
      <c r="AE104">
        <v>2004</v>
      </c>
      <c r="AF104">
        <v>2005</v>
      </c>
      <c r="AG104">
        <v>2006</v>
      </c>
      <c r="AH104">
        <v>2007</v>
      </c>
      <c r="AI104">
        <v>2008</v>
      </c>
      <c r="AJ104">
        <v>2009</v>
      </c>
      <c r="AK104">
        <v>2010</v>
      </c>
      <c r="AL104">
        <v>2011</v>
      </c>
      <c r="AM104">
        <v>2012</v>
      </c>
      <c r="AN104">
        <v>2013</v>
      </c>
      <c r="AO104">
        <v>2014</v>
      </c>
      <c r="AP104">
        <v>2015</v>
      </c>
      <c r="AQ104">
        <v>2016</v>
      </c>
      <c r="AR104">
        <v>2017</v>
      </c>
      <c r="AS104">
        <v>2018</v>
      </c>
      <c r="AT104">
        <v>2019</v>
      </c>
      <c r="AU104">
        <v>2020</v>
      </c>
      <c r="AV104" s="82">
        <v>2021</v>
      </c>
      <c r="AW104">
        <v>2000</v>
      </c>
      <c r="AX104">
        <v>2001</v>
      </c>
      <c r="AY104">
        <v>2002</v>
      </c>
      <c r="AZ104">
        <v>2003</v>
      </c>
      <c r="BA104">
        <v>2004</v>
      </c>
      <c r="BB104">
        <v>2005</v>
      </c>
      <c r="BC104">
        <v>2006</v>
      </c>
      <c r="BD104">
        <v>2007</v>
      </c>
      <c r="BE104">
        <v>2008</v>
      </c>
      <c r="BF104">
        <v>2009</v>
      </c>
      <c r="BG104">
        <v>2010</v>
      </c>
      <c r="BH104">
        <v>2011</v>
      </c>
      <c r="BI104">
        <v>2012</v>
      </c>
      <c r="BJ104">
        <v>2013</v>
      </c>
      <c r="BK104">
        <v>2014</v>
      </c>
      <c r="BL104">
        <v>2015</v>
      </c>
      <c r="BM104">
        <v>2016</v>
      </c>
      <c r="BN104">
        <v>2017</v>
      </c>
      <c r="BO104">
        <v>2018</v>
      </c>
      <c r="BP104">
        <v>2019</v>
      </c>
      <c r="BQ104">
        <v>2020</v>
      </c>
      <c r="BR104" s="82">
        <v>2021</v>
      </c>
      <c r="BS104">
        <v>2000</v>
      </c>
      <c r="BT104">
        <v>2001</v>
      </c>
      <c r="BU104">
        <v>2002</v>
      </c>
      <c r="BV104">
        <v>2003</v>
      </c>
      <c r="BW104">
        <v>2004</v>
      </c>
      <c r="BX104">
        <v>2005</v>
      </c>
      <c r="BY104">
        <v>2006</v>
      </c>
      <c r="BZ104">
        <v>2007</v>
      </c>
      <c r="CA104">
        <v>2008</v>
      </c>
      <c r="CB104">
        <v>2009</v>
      </c>
      <c r="CC104">
        <v>2010</v>
      </c>
      <c r="CD104">
        <v>2011</v>
      </c>
      <c r="CE104">
        <v>2012</v>
      </c>
      <c r="CF104">
        <v>2013</v>
      </c>
      <c r="CG104">
        <v>2014</v>
      </c>
      <c r="CH104">
        <v>2015</v>
      </c>
      <c r="CI104">
        <v>2016</v>
      </c>
      <c r="CJ104">
        <v>2017</v>
      </c>
      <c r="CK104">
        <v>2018</v>
      </c>
      <c r="CL104">
        <v>2019</v>
      </c>
      <c r="CM104">
        <v>2020</v>
      </c>
      <c r="CN104" s="82">
        <v>2021</v>
      </c>
      <c r="CO104">
        <v>2000</v>
      </c>
      <c r="CP104">
        <v>2001</v>
      </c>
      <c r="CQ104">
        <v>2002</v>
      </c>
      <c r="CR104">
        <v>2003</v>
      </c>
      <c r="CS104">
        <v>2004</v>
      </c>
      <c r="CT104">
        <v>2005</v>
      </c>
      <c r="CU104">
        <v>2006</v>
      </c>
      <c r="CV104">
        <v>2007</v>
      </c>
      <c r="CW104">
        <v>2008</v>
      </c>
      <c r="CX104">
        <v>2009</v>
      </c>
      <c r="CY104">
        <v>2010</v>
      </c>
      <c r="CZ104">
        <v>2011</v>
      </c>
      <c r="DA104">
        <v>2012</v>
      </c>
      <c r="DB104">
        <v>2013</v>
      </c>
      <c r="DC104">
        <v>2014</v>
      </c>
      <c r="DD104">
        <v>2015</v>
      </c>
      <c r="DE104">
        <v>2016</v>
      </c>
      <c r="DF104">
        <v>2017</v>
      </c>
      <c r="DG104">
        <v>2018</v>
      </c>
      <c r="DH104">
        <v>2019</v>
      </c>
      <c r="DI104">
        <v>2020</v>
      </c>
      <c r="DJ104" s="82">
        <v>2021</v>
      </c>
      <c r="DK104">
        <v>2000</v>
      </c>
      <c r="DL104">
        <v>2001</v>
      </c>
      <c r="DM104">
        <v>2002</v>
      </c>
      <c r="DN104">
        <v>2003</v>
      </c>
      <c r="DO104">
        <v>2004</v>
      </c>
      <c r="DP104">
        <v>2005</v>
      </c>
      <c r="DQ104">
        <v>2006</v>
      </c>
      <c r="DR104">
        <v>2007</v>
      </c>
      <c r="DS104">
        <v>2008</v>
      </c>
      <c r="DT104">
        <v>2009</v>
      </c>
      <c r="DU104">
        <v>2010</v>
      </c>
      <c r="DV104">
        <v>2011</v>
      </c>
      <c r="DW104">
        <v>2012</v>
      </c>
      <c r="DX104">
        <v>2013</v>
      </c>
      <c r="DY104">
        <v>2014</v>
      </c>
      <c r="DZ104">
        <v>2015</v>
      </c>
      <c r="EA104">
        <v>2016</v>
      </c>
      <c r="EB104">
        <v>2017</v>
      </c>
      <c r="EC104">
        <v>2018</v>
      </c>
      <c r="ED104">
        <v>2019</v>
      </c>
      <c r="EE104">
        <v>2020</v>
      </c>
      <c r="EF104" s="82">
        <v>2021</v>
      </c>
      <c r="EG104">
        <v>2000</v>
      </c>
      <c r="EH104">
        <v>2001</v>
      </c>
      <c r="EI104">
        <v>2002</v>
      </c>
      <c r="EJ104">
        <v>2003</v>
      </c>
      <c r="EK104">
        <v>2004</v>
      </c>
      <c r="EL104">
        <v>2005</v>
      </c>
      <c r="EM104">
        <v>2006</v>
      </c>
      <c r="EN104">
        <v>2007</v>
      </c>
      <c r="EO104">
        <v>2008</v>
      </c>
      <c r="EP104">
        <v>2009</v>
      </c>
      <c r="EQ104">
        <v>2010</v>
      </c>
      <c r="ER104">
        <v>2011</v>
      </c>
      <c r="ES104">
        <v>2012</v>
      </c>
      <c r="ET104">
        <v>2013</v>
      </c>
      <c r="EU104">
        <v>2014</v>
      </c>
      <c r="EV104">
        <v>2015</v>
      </c>
      <c r="EW104">
        <v>2016</v>
      </c>
      <c r="EX104">
        <v>2017</v>
      </c>
      <c r="EY104">
        <v>2018</v>
      </c>
      <c r="EZ104">
        <v>2019</v>
      </c>
      <c r="FA104">
        <v>2020</v>
      </c>
    </row>
    <row r="105" spans="1:157">
      <c r="A105" t="s">
        <v>74</v>
      </c>
      <c r="B105" t="s">
        <v>461</v>
      </c>
      <c r="C105" t="s">
        <v>2085</v>
      </c>
      <c r="D105" s="16">
        <f t="shared" ref="D105:D119" si="25">D6/AA39*100</f>
        <v>4.1069951049425315</v>
      </c>
      <c r="E105" s="16">
        <f t="shared" ref="E105:X105" si="26">E6/AB39*100</f>
        <v>4.4886780912815203</v>
      </c>
      <c r="F105" s="16">
        <f t="shared" si="26"/>
        <v>4.5530014854513157</v>
      </c>
      <c r="G105" s="16">
        <f t="shared" si="26"/>
        <v>4.4475452888841254</v>
      </c>
      <c r="H105" s="16">
        <f t="shared" si="26"/>
        <v>4.4221036161120146</v>
      </c>
      <c r="I105" s="16">
        <f t="shared" si="26"/>
        <v>4.4042818962683477</v>
      </c>
      <c r="J105" s="16">
        <f t="shared" si="26"/>
        <v>4.4004512783571776</v>
      </c>
      <c r="K105" s="16">
        <f t="shared" si="26"/>
        <v>4.7459815085254187</v>
      </c>
      <c r="L105" s="16">
        <f t="shared" si="26"/>
        <v>5.0000500294220647</v>
      </c>
      <c r="M105" s="16">
        <f t="shared" si="26"/>
        <v>5.1176442563084965</v>
      </c>
      <c r="N105" s="16">
        <f t="shared" si="26"/>
        <v>5.3357521398610404</v>
      </c>
      <c r="O105" s="16">
        <f t="shared" si="26"/>
        <v>5.3458913283401372</v>
      </c>
      <c r="P105" s="16">
        <f t="shared" si="26"/>
        <v>5.1408251377791263</v>
      </c>
      <c r="Q105" s="16">
        <f t="shared" si="26"/>
        <v>5.0491001772378166</v>
      </c>
      <c r="R105" s="16">
        <f t="shared" si="26"/>
        <v>5.009485753107433</v>
      </c>
      <c r="S105" s="16">
        <f t="shared" si="26"/>
        <v>4.9134128421917902</v>
      </c>
      <c r="T105" s="16">
        <f t="shared" si="26"/>
        <v>4.8654104004959038</v>
      </c>
      <c r="U105" s="16">
        <f t="shared" si="26"/>
        <v>4.8372096327566769</v>
      </c>
      <c r="V105" s="16">
        <f t="shared" si="26"/>
        <v>5.0375317690170816</v>
      </c>
      <c r="W105" s="16">
        <f t="shared" si="26"/>
        <v>5.4846809884428795</v>
      </c>
      <c r="X105" s="15">
        <f t="shared" si="26"/>
        <v>5.5417288586139204</v>
      </c>
      <c r="Y105" s="88"/>
      <c r="AA105" s="16" t="e">
        <f>AA6/AA39*100</f>
        <v>#VALUE!</v>
      </c>
      <c r="AB105" s="16">
        <f t="shared" ref="AB105:AU105" si="27">AB6/AB39*100</f>
        <v>1.6832542842305696</v>
      </c>
      <c r="AC105" s="16">
        <f t="shared" si="27"/>
        <v>1.7073755570442433</v>
      </c>
      <c r="AD105" s="16">
        <f t="shared" si="27"/>
        <v>1.6678294833315466</v>
      </c>
      <c r="AE105" s="16">
        <f t="shared" si="27"/>
        <v>1.6582888560420055</v>
      </c>
      <c r="AF105" s="16">
        <f t="shared" si="27"/>
        <v>1.6516057111006301</v>
      </c>
      <c r="AG105" s="16">
        <f t="shared" si="27"/>
        <v>1.6501692293839416</v>
      </c>
      <c r="AH105" s="16">
        <f t="shared" si="27"/>
        <v>1.6750522971266186</v>
      </c>
      <c r="AI105" s="16">
        <f t="shared" si="27"/>
        <v>1.7647235397960228</v>
      </c>
      <c r="AJ105" s="16">
        <f t="shared" si="27"/>
        <v>1.8062273845794692</v>
      </c>
      <c r="AK105" s="16">
        <f t="shared" si="27"/>
        <v>1.8832066375980143</v>
      </c>
      <c r="AL105" s="16">
        <f t="shared" si="27"/>
        <v>1.8867851747082838</v>
      </c>
      <c r="AM105" s="16">
        <f t="shared" si="27"/>
        <v>1.8144088721573384</v>
      </c>
      <c r="AN105" s="16">
        <f t="shared" si="27"/>
        <v>1.7820353566721705</v>
      </c>
      <c r="AO105" s="16">
        <f t="shared" si="27"/>
        <v>1.768053795214388</v>
      </c>
      <c r="AP105" s="16">
        <f t="shared" si="27"/>
        <v>1.734145709008867</v>
      </c>
      <c r="AQ105" s="16">
        <f t="shared" si="27"/>
        <v>1.7172036707632601</v>
      </c>
      <c r="AR105" s="16">
        <f t="shared" si="27"/>
        <v>1.7072504586200035</v>
      </c>
      <c r="AS105" s="16">
        <f t="shared" si="27"/>
        <v>1.6791772563390273</v>
      </c>
      <c r="AT105" s="16">
        <f t="shared" si="27"/>
        <v>1.7320045226661724</v>
      </c>
      <c r="AU105" s="16">
        <f t="shared" si="27"/>
        <v>1.939605100514872</v>
      </c>
      <c r="AW105" s="16" t="e">
        <f t="shared" ref="AW105:AW133" si="28">AW6/AA39*100</f>
        <v>#VALUE!</v>
      </c>
      <c r="AX105" s="16">
        <f t="shared" ref="AX105:BQ105" si="29">AX6/AB39*100</f>
        <v>0.56108476141019004</v>
      </c>
      <c r="AY105" s="16">
        <f t="shared" si="29"/>
        <v>0.56912518568141446</v>
      </c>
      <c r="AZ105" s="16">
        <f t="shared" si="29"/>
        <v>0.55594316111051567</v>
      </c>
      <c r="BA105" s="16">
        <f t="shared" si="29"/>
        <v>0.55276295201400183</v>
      </c>
      <c r="BB105" s="16">
        <f t="shared" si="29"/>
        <v>0.55053523703354346</v>
      </c>
      <c r="BC105" s="16">
        <f t="shared" si="29"/>
        <v>0.55005640979464721</v>
      </c>
      <c r="BD105" s="16">
        <f t="shared" si="29"/>
        <v>0.55835076570887288</v>
      </c>
      <c r="BE105" s="16">
        <f t="shared" si="29"/>
        <v>0.58824117993200764</v>
      </c>
      <c r="BF105" s="16">
        <f t="shared" si="29"/>
        <v>0.6020757948598231</v>
      </c>
      <c r="BG105" s="16">
        <f t="shared" si="29"/>
        <v>0.62773554586600488</v>
      </c>
      <c r="BH105" s="16">
        <f t="shared" si="29"/>
        <v>0.62892839156942792</v>
      </c>
      <c r="BI105" s="16">
        <f t="shared" si="29"/>
        <v>0.60480295738577949</v>
      </c>
      <c r="BJ105" s="16">
        <f t="shared" si="29"/>
        <v>0.5940117855573902</v>
      </c>
      <c r="BK105" s="16">
        <f t="shared" si="29"/>
        <v>0.58935126507146285</v>
      </c>
      <c r="BL105" s="16">
        <f t="shared" si="29"/>
        <v>0.57804856966962248</v>
      </c>
      <c r="BM105" s="16">
        <f t="shared" si="29"/>
        <v>0.57240122358775347</v>
      </c>
      <c r="BN105" s="16">
        <f t="shared" si="29"/>
        <v>0.56908348620666793</v>
      </c>
      <c r="BO105" s="16">
        <f t="shared" si="29"/>
        <v>0.55972575211300912</v>
      </c>
      <c r="BP105" s="16">
        <f t="shared" si="29"/>
        <v>0.57733484088872422</v>
      </c>
      <c r="BQ105" s="16">
        <f t="shared" si="29"/>
        <v>0.83125932879208797</v>
      </c>
      <c r="BS105" s="16" t="e">
        <f t="shared" ref="BS105:BS133" si="30">BS6/AA39*100</f>
        <v>#VALUE!</v>
      </c>
      <c r="BT105" s="16">
        <f t="shared" ref="BT105:CM105" si="31">BT6/AB39*100</f>
        <v>0.84162714211528478</v>
      </c>
      <c r="BU105" s="16">
        <f t="shared" si="31"/>
        <v>1.1382503713628289</v>
      </c>
      <c r="BV105" s="16">
        <f t="shared" si="31"/>
        <v>1.1118863222210313</v>
      </c>
      <c r="BW105" s="16">
        <f t="shared" si="31"/>
        <v>1.1055259040280037</v>
      </c>
      <c r="BX105" s="16">
        <f t="shared" si="31"/>
        <v>1.1010704740670869</v>
      </c>
      <c r="BY105" s="16">
        <f t="shared" si="31"/>
        <v>1.1001128195892944</v>
      </c>
      <c r="BZ105" s="16">
        <f t="shared" si="31"/>
        <v>1.1167015314177458</v>
      </c>
      <c r="CA105" s="16">
        <f t="shared" si="31"/>
        <v>1.1764823598640153</v>
      </c>
      <c r="CB105" s="16">
        <f t="shared" si="31"/>
        <v>1.2041515897196462</v>
      </c>
      <c r="CC105" s="16">
        <f t="shared" si="31"/>
        <v>1.2554710917320098</v>
      </c>
      <c r="CD105" s="16">
        <f t="shared" si="31"/>
        <v>0.94339258735414189</v>
      </c>
      <c r="CE105" s="16">
        <f t="shared" si="31"/>
        <v>1.209605914771559</v>
      </c>
      <c r="CF105" s="16">
        <f t="shared" si="31"/>
        <v>0.89101767833608525</v>
      </c>
      <c r="CG105" s="16">
        <f t="shared" si="31"/>
        <v>0.884026897607194</v>
      </c>
      <c r="CH105" s="16">
        <f t="shared" si="31"/>
        <v>0.8670728545044335</v>
      </c>
      <c r="CI105" s="16">
        <f t="shared" si="31"/>
        <v>1.1448024471755069</v>
      </c>
      <c r="CJ105" s="16">
        <f t="shared" si="31"/>
        <v>1.1381669724133359</v>
      </c>
      <c r="CK105" s="16">
        <f t="shared" si="31"/>
        <v>1.1194515042260182</v>
      </c>
      <c r="CL105" s="16">
        <f t="shared" si="31"/>
        <v>1.1546696817774484</v>
      </c>
      <c r="CM105" s="16">
        <f t="shared" si="31"/>
        <v>1.108345771722784</v>
      </c>
      <c r="CN105" s="16"/>
      <c r="CO105" s="16" t="e">
        <f t="shared" ref="CO105:CO133" si="32">CO6/AA39*100</f>
        <v>#VALUE!</v>
      </c>
      <c r="CP105" s="16">
        <f t="shared" ref="CP105:DI105" si="33">CP6/AB39*100</f>
        <v>0.84162714211528478</v>
      </c>
      <c r="CQ105" s="16">
        <f t="shared" si="33"/>
        <v>0.85368777852212163</v>
      </c>
      <c r="CR105" s="16">
        <f t="shared" si="33"/>
        <v>0.55594316111051567</v>
      </c>
      <c r="CS105" s="16">
        <f t="shared" si="33"/>
        <v>0.55276295201400183</v>
      </c>
      <c r="CT105" s="16">
        <f t="shared" si="33"/>
        <v>0.82580285555031507</v>
      </c>
      <c r="CU105" s="16">
        <f t="shared" si="33"/>
        <v>0.55005640979464721</v>
      </c>
      <c r="CV105" s="16">
        <f t="shared" si="33"/>
        <v>0.55835076570887288</v>
      </c>
      <c r="CW105" s="16">
        <f t="shared" si="33"/>
        <v>0.88236176989801141</v>
      </c>
      <c r="CX105" s="16">
        <f t="shared" si="33"/>
        <v>0.90311369228973459</v>
      </c>
      <c r="CY105" s="16">
        <f t="shared" si="33"/>
        <v>0.94160331879900716</v>
      </c>
      <c r="CZ105" s="16">
        <f t="shared" si="33"/>
        <v>0.94339258735414189</v>
      </c>
      <c r="DA105" s="16">
        <f t="shared" si="33"/>
        <v>0.90720443607866919</v>
      </c>
      <c r="DB105" s="16">
        <f t="shared" si="33"/>
        <v>0.89101767833608525</v>
      </c>
      <c r="DC105" s="16">
        <f t="shared" si="33"/>
        <v>0.884026897607194</v>
      </c>
      <c r="DD105" s="16">
        <f t="shared" si="33"/>
        <v>0.8670728545044335</v>
      </c>
      <c r="DE105" s="16">
        <f t="shared" si="33"/>
        <v>0.85860183538163004</v>
      </c>
      <c r="DF105" s="16">
        <f t="shared" si="33"/>
        <v>0.85362522931000173</v>
      </c>
      <c r="DG105" s="16">
        <f t="shared" si="33"/>
        <v>0.83958862816951363</v>
      </c>
      <c r="DH105" s="16">
        <f t="shared" si="33"/>
        <v>0.86600226133308622</v>
      </c>
      <c r="DI105" s="16">
        <f t="shared" si="33"/>
        <v>0.83125932879208797</v>
      </c>
      <c r="EG105" s="16" t="e">
        <f t="shared" ref="EG105:EG132" si="34">EG6/AA39*100</f>
        <v>#VALUE!</v>
      </c>
      <c r="EH105" s="16">
        <f t="shared" ref="EH105:FA105" si="35">EH6/AB39*100</f>
        <v>0.56108476141019004</v>
      </c>
      <c r="EI105" s="16">
        <f t="shared" si="35"/>
        <v>0.56912518568141446</v>
      </c>
      <c r="EJ105" s="16">
        <f t="shared" si="35"/>
        <v>0.55594316111051567</v>
      </c>
      <c r="EK105" s="16">
        <f t="shared" si="35"/>
        <v>0.82914442802100274</v>
      </c>
      <c r="EL105" s="16">
        <f t="shared" si="35"/>
        <v>0.55053523703354346</v>
      </c>
      <c r="EM105" s="16">
        <f t="shared" si="35"/>
        <v>0.55005640979464721</v>
      </c>
      <c r="EN105" s="16">
        <f t="shared" si="35"/>
        <v>0.83752614856330931</v>
      </c>
      <c r="EO105" s="16">
        <f t="shared" si="35"/>
        <v>0.88236176989801141</v>
      </c>
      <c r="EP105" s="16">
        <f t="shared" si="35"/>
        <v>0.90311369228973459</v>
      </c>
      <c r="EQ105" s="16">
        <f t="shared" si="35"/>
        <v>0.94160331879900716</v>
      </c>
      <c r="ER105" s="16">
        <f t="shared" si="35"/>
        <v>0.94339258735414189</v>
      </c>
      <c r="ES105" s="16">
        <f t="shared" si="35"/>
        <v>0.90720443607866919</v>
      </c>
      <c r="ET105" s="16">
        <f t="shared" si="35"/>
        <v>0.89101767833608525</v>
      </c>
      <c r="EU105" s="16">
        <f t="shared" si="35"/>
        <v>0.884026897607194</v>
      </c>
      <c r="EV105" s="16">
        <f t="shared" si="35"/>
        <v>0.8670728545044335</v>
      </c>
      <c r="EW105" s="16">
        <f t="shared" si="35"/>
        <v>0.85860183538163004</v>
      </c>
      <c r="EX105" s="16">
        <f t="shared" si="35"/>
        <v>0.85362522931000173</v>
      </c>
      <c r="EY105" s="16">
        <f t="shared" si="35"/>
        <v>0.83958862816951363</v>
      </c>
      <c r="EZ105" s="16">
        <f t="shared" si="35"/>
        <v>0.86600226133308622</v>
      </c>
      <c r="FA105" s="16">
        <f t="shared" si="35"/>
        <v>0.83125932879208797</v>
      </c>
    </row>
    <row r="106" spans="1:157">
      <c r="A106" t="s">
        <v>53</v>
      </c>
      <c r="B106" t="s">
        <v>458</v>
      </c>
      <c r="C106" t="s">
        <v>2085</v>
      </c>
      <c r="D106" s="16">
        <f t="shared" si="25"/>
        <v>2.8812000809303129</v>
      </c>
      <c r="E106" s="16">
        <f t="shared" ref="E106:E133" si="36">E7/AB40*100</f>
        <v>2.7614196399023281</v>
      </c>
      <c r="F106" s="16">
        <f t="shared" ref="F106:F133" si="37">F7/AC40*100</f>
        <v>2.7686544382517377</v>
      </c>
      <c r="G106" s="16">
        <f t="shared" ref="G106:G133" si="38">G7/AD40*100</f>
        <v>2.8839706457230179</v>
      </c>
      <c r="H106" s="16">
        <f t="shared" ref="H106:H133" si="39">H7/AE40*100</f>
        <v>2.8650206039316353</v>
      </c>
      <c r="I106" s="16">
        <f t="shared" ref="I106:I133" si="40">I7/AF40*100</f>
        <v>2.8798526494757715</v>
      </c>
      <c r="J106" s="16">
        <f t="shared" ref="J106:J133" si="41">J7/AG40*100</f>
        <v>2.9279753863453561</v>
      </c>
      <c r="K106" s="16">
        <f t="shared" ref="K106:K133" si="42">K7/AH40*100</f>
        <v>2.7162931351629758</v>
      </c>
      <c r="L106" s="16">
        <f t="shared" ref="L106:L133" si="43">L7/AI40*100</f>
        <v>2.6887455732118597</v>
      </c>
      <c r="M106" s="16">
        <f t="shared" ref="M106:M133" si="44">M7/AJ40*100</f>
        <v>2.8697195476897015</v>
      </c>
      <c r="N106" s="16">
        <f t="shared" ref="N106:N133" si="45">N7/AK40*100</f>
        <v>2.8936358365756036</v>
      </c>
      <c r="O106" s="16">
        <f t="shared" ref="O106:O133" si="46">O7/AL40*100</f>
        <v>2.6906906125281975</v>
      </c>
      <c r="P106" s="16">
        <f t="shared" ref="P106:P133" si="47">P7/AM40*100</f>
        <v>2.6517699851487686</v>
      </c>
      <c r="Q106" s="16">
        <f t="shared" ref="Q106:Q133" si="48">Q7/AN40*100</f>
        <v>2.6158122950004978</v>
      </c>
      <c r="R106" s="16">
        <f t="shared" ref="R106:R133" si="49">R7/AO40*100</f>
        <v>2.6211964218706503</v>
      </c>
      <c r="S106" s="16">
        <f t="shared" ref="S106:S133" si="50">S7/AP40*100</f>
        <v>2.6009897192405376</v>
      </c>
      <c r="T106" s="16">
        <f t="shared" ref="T106:T133" si="51">T7/AQ40*100</f>
        <v>2.6783875186523094</v>
      </c>
      <c r="U106" s="16">
        <f t="shared" ref="U106:U133" si="52">U7/AR40*100</f>
        <v>2.8876226427737786</v>
      </c>
      <c r="V106" s="16">
        <f t="shared" ref="V106:V133" si="53">V7/AS40*100</f>
        <v>2.8624744039977505</v>
      </c>
      <c r="W106" s="16">
        <f t="shared" ref="W106:W133" si="54">W7/AT40*100</f>
        <v>2.6435787255157739</v>
      </c>
      <c r="X106" s="15">
        <f t="shared" ref="X106:X133" si="55">X7/AU40*100</f>
        <v>2.8718567990698429</v>
      </c>
      <c r="Y106" s="88"/>
      <c r="AA106" s="16">
        <f t="shared" ref="AA106:AU106" si="56">AA7/AA40*100</f>
        <v>1.4406000404651564</v>
      </c>
      <c r="AB106" s="16">
        <f t="shared" si="56"/>
        <v>1.380709819951164</v>
      </c>
      <c r="AC106" s="16">
        <f t="shared" si="56"/>
        <v>1.3843272191258689</v>
      </c>
      <c r="AD106" s="16">
        <f t="shared" si="56"/>
        <v>1.4419853228615089</v>
      </c>
      <c r="AE106" s="16">
        <f t="shared" si="56"/>
        <v>1.6371546308180773</v>
      </c>
      <c r="AF106" s="16">
        <f t="shared" si="56"/>
        <v>1.4399263247378857</v>
      </c>
      <c r="AG106" s="16">
        <f t="shared" si="56"/>
        <v>1.4639876931726781</v>
      </c>
      <c r="AH106" s="16">
        <f t="shared" si="56"/>
        <v>1.4626193804723715</v>
      </c>
      <c r="AI106" s="16">
        <f t="shared" si="56"/>
        <v>1.4477860778833089</v>
      </c>
      <c r="AJ106" s="16">
        <f t="shared" si="56"/>
        <v>1.4348597738448507</v>
      </c>
      <c r="AK106" s="16">
        <f t="shared" si="56"/>
        <v>1.4468179182878018</v>
      </c>
      <c r="AL106" s="16">
        <f t="shared" si="56"/>
        <v>1.4488334067459525</v>
      </c>
      <c r="AM106" s="16">
        <f t="shared" si="56"/>
        <v>1.4278761458493368</v>
      </c>
      <c r="AN106" s="16">
        <f t="shared" si="56"/>
        <v>1.4085143126925754</v>
      </c>
      <c r="AO106" s="16">
        <f t="shared" si="56"/>
        <v>1.4114134579303499</v>
      </c>
      <c r="AP106" s="16">
        <f t="shared" si="56"/>
        <v>1.4005329257449046</v>
      </c>
      <c r="AQ106" s="16">
        <f t="shared" si="56"/>
        <v>1.4422086638897051</v>
      </c>
      <c r="AR106" s="16">
        <f t="shared" si="56"/>
        <v>1.4438113213868893</v>
      </c>
      <c r="AS106" s="16">
        <f t="shared" si="56"/>
        <v>1.4312372019988753</v>
      </c>
      <c r="AT106" s="16">
        <f t="shared" si="56"/>
        <v>1.4234654675854166</v>
      </c>
      <c r="AU106" s="16">
        <f t="shared" si="56"/>
        <v>1.4359283995349215</v>
      </c>
      <c r="AW106" s="16">
        <f t="shared" si="28"/>
        <v>0.4116000115614733</v>
      </c>
      <c r="AX106" s="16">
        <f t="shared" ref="AX106:AX133" si="57">AX7/AB40*100</f>
        <v>0.19724425999302345</v>
      </c>
      <c r="AY106" s="16">
        <f t="shared" ref="AY106:AY133" si="58">AY7/AC40*100</f>
        <v>0.3955220626073912</v>
      </c>
      <c r="AZ106" s="16">
        <f t="shared" ref="AZ106:AZ133" si="59">AZ7/AD40*100</f>
        <v>0.41199580653185969</v>
      </c>
      <c r="BA106" s="16">
        <f t="shared" ref="BA106:BA133" si="60">BA7/AE40*100</f>
        <v>0.40928865770451933</v>
      </c>
      <c r="BB106" s="16">
        <f t="shared" ref="BB106:BB133" si="61">BB7/AF40*100</f>
        <v>0.41140752135368175</v>
      </c>
      <c r="BC106" s="16">
        <f t="shared" ref="BC106:BC133" si="62">BC7/AG40*100</f>
        <v>0.4182821980493367</v>
      </c>
      <c r="BD106" s="16">
        <f t="shared" ref="BD106:BD133" si="63">BD7/AH40*100</f>
        <v>0.41789125156353468</v>
      </c>
      <c r="BE106" s="16">
        <f t="shared" ref="BE106:BE133" si="64">BE7/AI40*100</f>
        <v>0.41365316510951688</v>
      </c>
      <c r="BF106" s="16">
        <f t="shared" ref="BF106:BF133" si="65">BF7/AJ40*100</f>
        <v>0.40995993538424319</v>
      </c>
      <c r="BG106" s="16">
        <f t="shared" ref="BG106:BG133" si="66">BG7/AK40*100</f>
        <v>0.41337654808222912</v>
      </c>
      <c r="BH106" s="16">
        <f t="shared" ref="BH106:BH133" si="67">BH7/AL40*100</f>
        <v>0.413952401927415</v>
      </c>
      <c r="BI106" s="16">
        <f t="shared" ref="BI106:BI133" si="68">BI7/AM40*100</f>
        <v>0.40796461309981058</v>
      </c>
      <c r="BJ106" s="16">
        <f t="shared" ref="BJ106:BJ133" si="69">BJ7/AN40*100</f>
        <v>0.40243266076930728</v>
      </c>
      <c r="BK106" s="16">
        <f t="shared" ref="BK106:BK133" si="70">BK7/AO40*100</f>
        <v>0.40326098798010007</v>
      </c>
      <c r="BL106" s="16">
        <f t="shared" ref="BL106:BL133" si="71">BL7/AP40*100</f>
        <v>0.40015226449854424</v>
      </c>
      <c r="BM106" s="16">
        <f t="shared" ref="BM106:BM133" si="72">BM7/AQ40*100</f>
        <v>0.41205961825420145</v>
      </c>
      <c r="BN106" s="16">
        <f t="shared" ref="BN106:BN133" si="73">BN7/AR40*100</f>
        <v>0.41251752039625411</v>
      </c>
      <c r="BO106" s="16">
        <f t="shared" ref="BO106:BO133" si="74">BO7/AS40*100</f>
        <v>0.40892491485682153</v>
      </c>
      <c r="BP106" s="16">
        <f t="shared" ref="BP106:BP133" si="75">BP7/AT40*100</f>
        <v>0.40670441931011903</v>
      </c>
      <c r="BQ106" s="16">
        <f t="shared" ref="BQ106:BQ133" si="76">BQ7/AU40*100</f>
        <v>0.41026525700997762</v>
      </c>
      <c r="BS106" s="16">
        <f t="shared" si="30"/>
        <v>0.61740001734220984</v>
      </c>
      <c r="BT106" s="16">
        <f t="shared" ref="BT106:BT133" si="77">BT7/AB40*100</f>
        <v>0.59173277997907037</v>
      </c>
      <c r="BU106" s="16">
        <f t="shared" ref="BU106:BU133" si="78">BU7/AC40*100</f>
        <v>0.59328309391108669</v>
      </c>
      <c r="BV106" s="16">
        <f t="shared" ref="BV106:BV133" si="79">BV7/AD40*100</f>
        <v>0.61799370979778945</v>
      </c>
      <c r="BW106" s="16">
        <f t="shared" ref="BW106:BW133" si="80">BW7/AE40*100</f>
        <v>0.61393298655677897</v>
      </c>
      <c r="BX106" s="16">
        <f t="shared" ref="BX106:BX133" si="81">BX7/AF40*100</f>
        <v>0.61711128203052246</v>
      </c>
      <c r="BY106" s="16">
        <f t="shared" ref="BY106:BY133" si="82">BY7/AG40*100</f>
        <v>0.6274232970740049</v>
      </c>
      <c r="BZ106" s="16">
        <f t="shared" ref="BZ106:BZ133" si="83">BZ7/AH40*100</f>
        <v>0.62683687734530202</v>
      </c>
      <c r="CA106" s="16">
        <f t="shared" ref="CA106:CA133" si="84">CA7/AI40*100</f>
        <v>0.62047974766427527</v>
      </c>
      <c r="CB106" s="16">
        <f t="shared" ref="CB106:CB133" si="85">CB7/AJ40*100</f>
        <v>0.6149399030763647</v>
      </c>
      <c r="CC106" s="16">
        <f t="shared" ref="CC106:CC133" si="86">CC7/AK40*100</f>
        <v>0.62006482212334368</v>
      </c>
      <c r="CD106" s="16">
        <f t="shared" ref="CD106:CD133" si="87">CD7/AL40*100</f>
        <v>0.62092860289112251</v>
      </c>
      <c r="CE106" s="16">
        <f t="shared" ref="CE106:CE133" si="88">CE7/AM40*100</f>
        <v>0.61194691964971581</v>
      </c>
      <c r="CF106" s="16">
        <f t="shared" ref="CF106:CF133" si="89">CF7/AN40*100</f>
        <v>0.60364899115396098</v>
      </c>
      <c r="CG106" s="16">
        <f t="shared" ref="CG106:CG133" si="90">CG7/AO40*100</f>
        <v>0.60489148197014997</v>
      </c>
      <c r="CH106" s="16">
        <f t="shared" ref="CH106:CH133" si="91">CH7/AP40*100</f>
        <v>0.60022839674781636</v>
      </c>
      <c r="CI106" s="16">
        <f t="shared" ref="CI106:CI133" si="92">CI7/AQ40*100</f>
        <v>0.61808942738130224</v>
      </c>
      <c r="CJ106" s="16">
        <f t="shared" ref="CJ106:CJ133" si="93">CJ7/AR40*100</f>
        <v>0.61877628059438117</v>
      </c>
      <c r="CK106" s="16">
        <f t="shared" ref="CK106:CK133" si="94">CK7/AS40*100</f>
        <v>0.61338737228523221</v>
      </c>
      <c r="CL106" s="16">
        <f t="shared" ref="CL106:CL133" si="95">CL7/AT40*100</f>
        <v>0.61005662896517854</v>
      </c>
      <c r="CM106" s="16">
        <f t="shared" ref="CM106:CM133" si="96">CM7/AU40*100</f>
        <v>0.61539788551496644</v>
      </c>
      <c r="CO106" s="16">
        <f t="shared" si="32"/>
        <v>0.20580000578073665</v>
      </c>
      <c r="CP106" s="16">
        <f t="shared" ref="CP106:CP133" si="97">CP7/AB40*100</f>
        <v>0.19724425999302345</v>
      </c>
      <c r="CQ106" s="16">
        <f t="shared" ref="CQ106:CQ133" si="98">CQ7/AC40*100</f>
        <v>0.1977610313036956</v>
      </c>
      <c r="CR106" s="16">
        <f t="shared" ref="CR106:CR133" si="99">CR7/AD40*100</f>
        <v>0.20599790326592984</v>
      </c>
      <c r="CS106" s="16">
        <f t="shared" ref="CS106:CS133" si="100">CS7/AE40*100</f>
        <v>0.20464432885225967</v>
      </c>
      <c r="CT106" s="16">
        <f t="shared" ref="CT106:CT133" si="101">CT7/AF40*100</f>
        <v>0.20570376067684087</v>
      </c>
      <c r="CU106" s="16">
        <f t="shared" ref="CU106:CU133" si="102">CU7/AG40*100</f>
        <v>0.20914109902466835</v>
      </c>
      <c r="CV106" s="16">
        <f t="shared" ref="CV106:CV133" si="103">CV7/AH40*100</f>
        <v>0.20894562578176734</v>
      </c>
      <c r="CW106" s="16">
        <f t="shared" ref="CW106:CW133" si="104">CW7/AI40*100</f>
        <v>0.20682658255475844</v>
      </c>
      <c r="CX106" s="16">
        <f t="shared" ref="CX106:CX133" si="105">CX7/AJ40*100</f>
        <v>0.2049799676921216</v>
      </c>
      <c r="CY106" s="16">
        <f t="shared" ref="CY106:CY133" si="106">CY7/AK40*100</f>
        <v>0.20668827404111456</v>
      </c>
      <c r="CZ106" s="16">
        <f t="shared" ref="CZ106:CZ133" si="107">CZ7/AL40*100</f>
        <v>0.2069762009637075</v>
      </c>
      <c r="DA106" s="16">
        <f t="shared" ref="DA106:DA133" si="108">DA7/AM40*100</f>
        <v>0.20398230654990529</v>
      </c>
      <c r="DB106" s="16">
        <f t="shared" ref="DB106:DB133" si="109">DB7/AN40*100</f>
        <v>0.20121633038465364</v>
      </c>
      <c r="DC106" s="16">
        <f t="shared" ref="DC106:DC133" si="110">DC7/AO40*100</f>
        <v>0.20163049399005004</v>
      </c>
      <c r="DD106" s="16">
        <f t="shared" ref="DD106:DD133" si="111">DD7/AP40*100</f>
        <v>0.20007613224927212</v>
      </c>
      <c r="DE106" s="16">
        <f t="shared" ref="DE106:DE133" si="112">DE7/AQ40*100</f>
        <v>0.20602980912710073</v>
      </c>
      <c r="DF106" s="16">
        <f t="shared" ref="DF106:DF133" si="113">DF7/AR40*100</f>
        <v>0.20625876019812706</v>
      </c>
      <c r="DG106" s="16">
        <f t="shared" ref="DG106:DG133" si="114">DG7/AS40*100</f>
        <v>0.20446245742841077</v>
      </c>
      <c r="DH106" s="16">
        <f t="shared" ref="DH106:DH133" si="115">DH7/AT40*100</f>
        <v>0.20335220965505951</v>
      </c>
      <c r="DI106" s="16">
        <f t="shared" ref="DI106:DI133" si="116">DI7/AU40*100</f>
        <v>0.41026525700997762</v>
      </c>
      <c r="EG106" s="16">
        <f t="shared" si="34"/>
        <v>0.20580000578073665</v>
      </c>
      <c r="EH106" s="16">
        <f t="shared" ref="EH106:EH132" si="117">EH7/AB40*100</f>
        <v>0.19724425999302345</v>
      </c>
      <c r="EI106" s="16">
        <f t="shared" ref="EI106:EI132" si="118">EI7/AC40*100</f>
        <v>0.1977610313036956</v>
      </c>
      <c r="EJ106" s="16">
        <f t="shared" ref="EJ106:EJ132" si="119">EJ7/AD40*100</f>
        <v>0.20599790326592984</v>
      </c>
      <c r="EK106" s="16">
        <f t="shared" ref="EK106:EK132" si="120">EK7/AE40*100</f>
        <v>0.20464432885225967</v>
      </c>
      <c r="EL106" s="16">
        <f t="shared" ref="EL106:EL132" si="121">EL7/AF40*100</f>
        <v>0.20570376067684087</v>
      </c>
      <c r="EM106" s="16">
        <f t="shared" ref="EM106:EM132" si="122">EM7/AG40*100</f>
        <v>0.20914109902466835</v>
      </c>
      <c r="EN106" s="16">
        <f t="shared" ref="EN106:EN132" si="123">EN7/AH40*100</f>
        <v>0.20894562578176734</v>
      </c>
      <c r="EO106" s="16">
        <f t="shared" ref="EO106:EO132" si="124">EO7/AI40*100</f>
        <v>0.20682658255475844</v>
      </c>
      <c r="EP106" s="16">
        <f t="shared" ref="EP106:EP132" si="125">EP7/AJ40*100</f>
        <v>0.2049799676921216</v>
      </c>
      <c r="EQ106" s="16">
        <f t="shared" ref="EQ106:EQ132" si="126">EQ7/AK40*100</f>
        <v>0.20668827404111456</v>
      </c>
      <c r="ER106" s="16">
        <f t="shared" ref="ER106:ER132" si="127">ER7/AL40*100</f>
        <v>0.2069762009637075</v>
      </c>
      <c r="ES106" s="16">
        <f t="shared" ref="ES106:ES132" si="128">ES7/AM40*100</f>
        <v>0.20398230654990529</v>
      </c>
      <c r="ET106" s="16">
        <f t="shared" ref="ET106:ET132" si="129">ET7/AN40*100</f>
        <v>0.20121633038465364</v>
      </c>
      <c r="EU106" s="16">
        <f t="shared" ref="EU106:EU132" si="130">EU7/AO40*100</f>
        <v>0</v>
      </c>
      <c r="EV106" s="16">
        <f t="shared" ref="EV106:EV132" si="131">EV7/AP40*100</f>
        <v>0</v>
      </c>
      <c r="EW106" s="16">
        <f t="shared" ref="EW106:EW132" si="132">EW7/AQ40*100</f>
        <v>0.20602980912710073</v>
      </c>
      <c r="EX106" s="16">
        <f t="shared" ref="EX106:EX132" si="133">EX7/AR40*100</f>
        <v>0.20625876019812706</v>
      </c>
      <c r="EY106" s="16">
        <f t="shared" ref="EY106:EY132" si="134">EY7/AS40*100</f>
        <v>0.20446245742841077</v>
      </c>
      <c r="EZ106" s="16">
        <f t="shared" ref="EZ106:EZ132" si="135">EZ7/AT40*100</f>
        <v>0.20335220965505951</v>
      </c>
      <c r="FA106" s="16">
        <f t="shared" ref="FA106:FA132" si="136">FA7/AU40*100</f>
        <v>0.20513262850498881</v>
      </c>
    </row>
    <row r="107" spans="1:157">
      <c r="A107" t="s">
        <v>58</v>
      </c>
      <c r="B107" t="s">
        <v>456</v>
      </c>
      <c r="C107" t="s">
        <v>2085</v>
      </c>
      <c r="D107" s="16">
        <f t="shared" si="25"/>
        <v>3.041402054680765</v>
      </c>
      <c r="E107" s="16">
        <f t="shared" si="36"/>
        <v>3.4265610821774697</v>
      </c>
      <c r="F107" s="16">
        <f t="shared" si="37"/>
        <v>3.4095453044148405</v>
      </c>
      <c r="G107" s="16">
        <f t="shared" si="38"/>
        <v>3.4564810597022482</v>
      </c>
      <c r="H107" s="16">
        <f t="shared" si="39"/>
        <v>3.2599670510708405</v>
      </c>
      <c r="I107" s="16">
        <f t="shared" si="40"/>
        <v>3.4590080984944942</v>
      </c>
      <c r="J107" s="16">
        <f t="shared" si="41"/>
        <v>3.4673418309099349</v>
      </c>
      <c r="K107" s="16">
        <f t="shared" si="42"/>
        <v>3.4958246558946739</v>
      </c>
      <c r="L107" s="16">
        <f t="shared" si="43"/>
        <v>3.623176496171586</v>
      </c>
      <c r="M107" s="16">
        <f t="shared" si="44"/>
        <v>3.8578895550203067</v>
      </c>
      <c r="N107" s="16">
        <f t="shared" si="45"/>
        <v>3.8159725678889438</v>
      </c>
      <c r="O107" s="16">
        <f t="shared" si="46"/>
        <v>3.7273501419268662</v>
      </c>
      <c r="P107" s="16">
        <f t="shared" si="47"/>
        <v>3.6427082040461709</v>
      </c>
      <c r="Q107" s="16">
        <f t="shared" si="48"/>
        <v>3.5857908010087667</v>
      </c>
      <c r="R107" s="16">
        <f t="shared" si="49"/>
        <v>3.4256910108379968</v>
      </c>
      <c r="S107" s="16">
        <f t="shared" si="50"/>
        <v>3.3134546032844852</v>
      </c>
      <c r="T107" s="16">
        <f t="shared" si="51"/>
        <v>3.3494488932053064</v>
      </c>
      <c r="U107" s="16">
        <f t="shared" si="52"/>
        <v>3.3108477706253812</v>
      </c>
      <c r="V107" s="16">
        <f t="shared" si="53"/>
        <v>3.3075875165474682</v>
      </c>
      <c r="W107" s="16">
        <f t="shared" si="54"/>
        <v>3.4043287432572789</v>
      </c>
      <c r="X107" s="15">
        <f t="shared" si="55"/>
        <v>3.5916515997170029</v>
      </c>
      <c r="Y107" s="88"/>
      <c r="AA107" s="16" t="e">
        <f t="shared" ref="AA107:AU107" si="137">AA8/AA41*100</f>
        <v>#VALUE!</v>
      </c>
      <c r="AB107" s="16">
        <f t="shared" si="137"/>
        <v>2.0156241659867469</v>
      </c>
      <c r="AC107" s="16">
        <f t="shared" si="137"/>
        <v>2.0056148849499063</v>
      </c>
      <c r="AD107" s="16">
        <f t="shared" si="137"/>
        <v>2.0332241527660284</v>
      </c>
      <c r="AE107" s="16">
        <f t="shared" si="137"/>
        <v>2.037479406919275</v>
      </c>
      <c r="AF107" s="16">
        <f t="shared" si="137"/>
        <v>2.0347106461732314</v>
      </c>
      <c r="AG107" s="16">
        <f t="shared" si="137"/>
        <v>2.0396128417117265</v>
      </c>
      <c r="AH107" s="16">
        <f t="shared" si="137"/>
        <v>2.056367444643926</v>
      </c>
      <c r="AI107" s="16">
        <f t="shared" si="137"/>
        <v>2.2141634143270803</v>
      </c>
      <c r="AJ107" s="16">
        <f t="shared" si="137"/>
        <v>2.2335150055380728</v>
      </c>
      <c r="AK107" s="16">
        <f t="shared" si="137"/>
        <v>2.2092472761462307</v>
      </c>
      <c r="AL107" s="16">
        <f t="shared" si="137"/>
        <v>2.1579395558523964</v>
      </c>
      <c r="AM107" s="16">
        <f t="shared" si="137"/>
        <v>2.1089363286583098</v>
      </c>
      <c r="AN107" s="16">
        <f t="shared" si="137"/>
        <v>2.0759841479524437</v>
      </c>
      <c r="AO107" s="16">
        <f t="shared" si="137"/>
        <v>2.0934778399565532</v>
      </c>
      <c r="AP107" s="16">
        <f t="shared" si="137"/>
        <v>1.9490909431085206</v>
      </c>
      <c r="AQ107" s="16">
        <f t="shared" si="137"/>
        <v>1.970264054826651</v>
      </c>
      <c r="AR107" s="16">
        <f t="shared" si="137"/>
        <v>1.947557512132577</v>
      </c>
      <c r="AS107" s="16">
        <f t="shared" si="137"/>
        <v>1.9456397156161578</v>
      </c>
      <c r="AT107" s="16">
        <f t="shared" si="137"/>
        <v>2.0025463195631055</v>
      </c>
      <c r="AU107" s="16">
        <f t="shared" si="137"/>
        <v>2.1948981998270578</v>
      </c>
      <c r="AW107" s="16" t="e">
        <f t="shared" si="28"/>
        <v>#VALUE!</v>
      </c>
      <c r="AX107" s="16">
        <f t="shared" si="57"/>
        <v>0.40312483319734943</v>
      </c>
      <c r="AY107" s="16">
        <f t="shared" si="58"/>
        <v>0.40112297698998128</v>
      </c>
      <c r="AZ107" s="16">
        <f t="shared" si="59"/>
        <v>0.40664483055320566</v>
      </c>
      <c r="BA107" s="16">
        <f t="shared" si="60"/>
        <v>0.40749588138385506</v>
      </c>
      <c r="BB107" s="16">
        <f t="shared" si="61"/>
        <v>0.40694212923464634</v>
      </c>
      <c r="BC107" s="16">
        <f t="shared" si="62"/>
        <v>0.4079225683423453</v>
      </c>
      <c r="BD107" s="16">
        <f t="shared" si="63"/>
        <v>0.41127348892878524</v>
      </c>
      <c r="BE107" s="16">
        <f t="shared" si="64"/>
        <v>0.40257516624128736</v>
      </c>
      <c r="BF107" s="16">
        <f t="shared" si="65"/>
        <v>0.40609363737055859</v>
      </c>
      <c r="BG107" s="16">
        <f t="shared" si="66"/>
        <v>0.40168132293567826</v>
      </c>
      <c r="BH107" s="16">
        <f t="shared" si="67"/>
        <v>0.39235264651861751</v>
      </c>
      <c r="BI107" s="16">
        <f t="shared" si="68"/>
        <v>0.38344296884696538</v>
      </c>
      <c r="BJ107" s="16">
        <f t="shared" si="69"/>
        <v>0.37745166326408075</v>
      </c>
      <c r="BK107" s="16">
        <f t="shared" si="70"/>
        <v>0.38063233453755518</v>
      </c>
      <c r="BL107" s="16">
        <f t="shared" si="71"/>
        <v>0.38981818862170414</v>
      </c>
      <c r="BM107" s="16">
        <f t="shared" si="72"/>
        <v>0.39405281096533018</v>
      </c>
      <c r="BN107" s="16">
        <f t="shared" si="73"/>
        <v>0.38951150242651539</v>
      </c>
      <c r="BO107" s="16">
        <f t="shared" si="74"/>
        <v>0.38912794312323162</v>
      </c>
      <c r="BP107" s="16">
        <f t="shared" si="75"/>
        <v>0.40050926391262104</v>
      </c>
      <c r="BQ107" s="16">
        <f t="shared" si="76"/>
        <v>0.39907239996855592</v>
      </c>
      <c r="BS107" s="16" t="e">
        <f t="shared" si="30"/>
        <v>#VALUE!</v>
      </c>
      <c r="BT107" s="16">
        <f t="shared" si="77"/>
        <v>0.60468724979602406</v>
      </c>
      <c r="BU107" s="16">
        <f t="shared" si="78"/>
        <v>0.6016844654849719</v>
      </c>
      <c r="BV107" s="16">
        <f t="shared" si="79"/>
        <v>0.60996724582980844</v>
      </c>
      <c r="BW107" s="16">
        <f t="shared" si="80"/>
        <v>0.61124382207578243</v>
      </c>
      <c r="BX107" s="16">
        <f t="shared" si="81"/>
        <v>0.61041319385196946</v>
      </c>
      <c r="BY107" s="16">
        <f t="shared" si="82"/>
        <v>0.61188385251351785</v>
      </c>
      <c r="BZ107" s="16">
        <f t="shared" si="83"/>
        <v>0.61691023339317785</v>
      </c>
      <c r="CA107" s="16">
        <f t="shared" si="84"/>
        <v>0.60386274936193096</v>
      </c>
      <c r="CB107" s="16">
        <f t="shared" si="85"/>
        <v>0.60914045605583789</v>
      </c>
      <c r="CC107" s="16">
        <f t="shared" si="86"/>
        <v>0.60252198440351745</v>
      </c>
      <c r="CD107" s="16">
        <f t="shared" si="87"/>
        <v>0.58852896977792624</v>
      </c>
      <c r="CE107" s="16">
        <f t="shared" si="88"/>
        <v>0.57516445327044807</v>
      </c>
      <c r="CF107" s="16">
        <f t="shared" si="89"/>
        <v>0.56617749489612101</v>
      </c>
      <c r="CG107" s="16">
        <f t="shared" si="90"/>
        <v>0.57094850180633272</v>
      </c>
      <c r="CH107" s="16">
        <f t="shared" si="91"/>
        <v>0.38981818862170414</v>
      </c>
      <c r="CI107" s="16">
        <f t="shared" si="92"/>
        <v>0.59107921644799521</v>
      </c>
      <c r="CJ107" s="16">
        <f t="shared" si="93"/>
        <v>0.58426725363977305</v>
      </c>
      <c r="CK107" s="16">
        <f t="shared" si="94"/>
        <v>0.58369191468484727</v>
      </c>
      <c r="CL107" s="16">
        <f t="shared" si="95"/>
        <v>0.40050926391262104</v>
      </c>
      <c r="CM107" s="16">
        <f t="shared" si="96"/>
        <v>0.59860859995283378</v>
      </c>
      <c r="CO107" s="16" t="e">
        <f t="shared" si="32"/>
        <v>#VALUE!</v>
      </c>
      <c r="CP107" s="16">
        <f t="shared" si="97"/>
        <v>0.20156241659867472</v>
      </c>
      <c r="CQ107" s="16">
        <f t="shared" si="98"/>
        <v>0.20056148849499064</v>
      </c>
      <c r="CR107" s="16">
        <f t="shared" si="99"/>
        <v>0.20332241527660283</v>
      </c>
      <c r="CS107" s="16">
        <f t="shared" si="100"/>
        <v>0.20374794069192753</v>
      </c>
      <c r="CT107" s="16">
        <f t="shared" si="101"/>
        <v>0.20347106461732317</v>
      </c>
      <c r="CU107" s="16">
        <f t="shared" si="102"/>
        <v>0.20396128417117265</v>
      </c>
      <c r="CV107" s="16">
        <f t="shared" si="103"/>
        <v>0.20563674446439262</v>
      </c>
      <c r="CW107" s="16">
        <f t="shared" si="104"/>
        <v>0.20128758312064368</v>
      </c>
      <c r="CX107" s="16">
        <f t="shared" si="105"/>
        <v>0.2030468186852793</v>
      </c>
      <c r="CY107" s="16">
        <f t="shared" si="106"/>
        <v>0.20084066146783913</v>
      </c>
      <c r="CZ107" s="16">
        <f t="shared" si="107"/>
        <v>0.39235264651861751</v>
      </c>
      <c r="DA107" s="16">
        <f t="shared" si="108"/>
        <v>0.38344296884696538</v>
      </c>
      <c r="DB107" s="16">
        <f t="shared" si="109"/>
        <v>0.37745166326408075</v>
      </c>
      <c r="DC107" s="16">
        <f t="shared" si="110"/>
        <v>0.38063233453755518</v>
      </c>
      <c r="DD107" s="16">
        <f t="shared" si="111"/>
        <v>0.19490909431085207</v>
      </c>
      <c r="DE107" s="16">
        <f t="shared" si="112"/>
        <v>0.19702640548266509</v>
      </c>
      <c r="DF107" s="16">
        <f t="shared" si="113"/>
        <v>0.19475575121325769</v>
      </c>
      <c r="DG107" s="16">
        <f t="shared" si="114"/>
        <v>0.19456397156161581</v>
      </c>
      <c r="DH107" s="16">
        <f t="shared" si="115"/>
        <v>0.20025463195631052</v>
      </c>
      <c r="DI107" s="16">
        <f t="shared" si="116"/>
        <v>0.19953619998427796</v>
      </c>
      <c r="EG107" s="16" t="e">
        <f t="shared" si="34"/>
        <v>#VALUE!</v>
      </c>
      <c r="EH107" s="16">
        <f t="shared" si="117"/>
        <v>0.20156241659867472</v>
      </c>
      <c r="EI107" s="16">
        <f t="shared" si="118"/>
        <v>0.20056148849499064</v>
      </c>
      <c r="EJ107" s="16">
        <f t="shared" si="119"/>
        <v>0.20332241527660283</v>
      </c>
      <c r="EK107" s="16">
        <f t="shared" si="120"/>
        <v>0.20374794069192753</v>
      </c>
      <c r="EL107" s="16">
        <f t="shared" si="121"/>
        <v>0.20347106461732317</v>
      </c>
      <c r="EM107" s="16">
        <f t="shared" si="122"/>
        <v>0.20396128417117265</v>
      </c>
      <c r="EN107" s="16">
        <f t="shared" si="123"/>
        <v>0.20563674446439262</v>
      </c>
      <c r="EO107" s="16">
        <f t="shared" si="124"/>
        <v>0.20128758312064368</v>
      </c>
      <c r="EP107" s="16">
        <f t="shared" si="125"/>
        <v>0.2030468186852793</v>
      </c>
      <c r="EQ107" s="16">
        <f t="shared" si="126"/>
        <v>0.20084066146783913</v>
      </c>
      <c r="ER107" s="16">
        <f t="shared" si="127"/>
        <v>0.19617632325930875</v>
      </c>
      <c r="ES107" s="16">
        <f t="shared" si="128"/>
        <v>0.19172148442348269</v>
      </c>
      <c r="ET107" s="16">
        <f t="shared" si="129"/>
        <v>0.18872583163204038</v>
      </c>
      <c r="EU107" s="16">
        <f t="shared" si="130"/>
        <v>0.19031616726877759</v>
      </c>
      <c r="EV107" s="16">
        <f t="shared" si="131"/>
        <v>0.19490909431085207</v>
      </c>
      <c r="EW107" s="16">
        <f t="shared" si="132"/>
        <v>0.19702640548266509</v>
      </c>
      <c r="EX107" s="16">
        <f t="shared" si="133"/>
        <v>0.19475575121325769</v>
      </c>
      <c r="EY107" s="16">
        <f t="shared" si="134"/>
        <v>0.19456397156161581</v>
      </c>
      <c r="EZ107" s="16">
        <f t="shared" si="135"/>
        <v>0.20025463195631052</v>
      </c>
      <c r="FA107" s="16">
        <f t="shared" si="136"/>
        <v>0.19953619998427796</v>
      </c>
    </row>
    <row r="108" spans="1:157">
      <c r="A108" t="s">
        <v>64</v>
      </c>
      <c r="B108" t="s">
        <v>455</v>
      </c>
      <c r="C108" t="s">
        <v>2085</v>
      </c>
      <c r="D108" s="16" t="e">
        <f t="shared" si="25"/>
        <v>#VALUE!</v>
      </c>
      <c r="E108" s="16" t="e">
        <f t="shared" si="36"/>
        <v>#VALUE!</v>
      </c>
      <c r="F108" s="16" t="e">
        <f t="shared" si="37"/>
        <v>#VALUE!</v>
      </c>
      <c r="G108" s="16" t="e">
        <f t="shared" si="38"/>
        <v>#VALUE!</v>
      </c>
      <c r="H108" s="16" t="e">
        <f t="shared" si="39"/>
        <v>#VALUE!</v>
      </c>
      <c r="I108" s="16" t="e">
        <f t="shared" si="40"/>
        <v>#VALUE!</v>
      </c>
      <c r="J108" s="16" t="e">
        <f t="shared" si="41"/>
        <v>#VALUE!</v>
      </c>
      <c r="K108" s="16" t="e">
        <f t="shared" si="42"/>
        <v>#VALUE!</v>
      </c>
      <c r="L108" s="16">
        <f t="shared" si="43"/>
        <v>4.1067938907648935</v>
      </c>
      <c r="M108" s="16">
        <f t="shared" si="44"/>
        <v>4.552409801447296</v>
      </c>
      <c r="N108" s="16">
        <f t="shared" si="45"/>
        <v>4.6965088890837796</v>
      </c>
      <c r="O108" s="16">
        <f t="shared" si="46"/>
        <v>4.7038440236156456</v>
      </c>
      <c r="P108" s="16">
        <f t="shared" si="47"/>
        <v>4.4268864832201746</v>
      </c>
      <c r="Q108" s="16">
        <f t="shared" si="48"/>
        <v>4.4194902688053741</v>
      </c>
      <c r="R108" s="16">
        <f t="shared" si="49"/>
        <v>4.4103903940614435</v>
      </c>
      <c r="S108" s="16">
        <f t="shared" si="50"/>
        <v>4.2546170559478549</v>
      </c>
      <c r="T108" s="16">
        <f t="shared" si="51"/>
        <v>4.2183654868600939</v>
      </c>
      <c r="U108" s="16">
        <f t="shared" si="52"/>
        <v>4.2138680265586528</v>
      </c>
      <c r="V108" s="16">
        <f t="shared" si="53"/>
        <v>4.1441026513317709</v>
      </c>
      <c r="W108" s="16">
        <f t="shared" si="54"/>
        <v>4.4271225398649614</v>
      </c>
      <c r="X108" s="15">
        <f t="shared" si="55"/>
        <v>4.5621649382458136</v>
      </c>
      <c r="Y108" s="88"/>
      <c r="AA108" s="16" t="e">
        <f t="shared" ref="AA108:AU108" si="138">AA9/AA42*100</f>
        <v>#VALUE!</v>
      </c>
      <c r="AB108" s="16" t="e">
        <f t="shared" si="138"/>
        <v>#VALUE!</v>
      </c>
      <c r="AC108" s="16" t="e">
        <f t="shared" si="138"/>
        <v>#VALUE!</v>
      </c>
      <c r="AD108" s="16" t="e">
        <f t="shared" si="138"/>
        <v>#VALUE!</v>
      </c>
      <c r="AE108" s="16" t="e">
        <f t="shared" si="138"/>
        <v>#VALUE!</v>
      </c>
      <c r="AF108" s="16" t="e">
        <f t="shared" si="138"/>
        <v>#VALUE!</v>
      </c>
      <c r="AG108" s="16" t="e">
        <f t="shared" si="138"/>
        <v>#VALUE!</v>
      </c>
      <c r="AH108" s="16" t="e">
        <f t="shared" si="138"/>
        <v>#VALUE!</v>
      </c>
      <c r="AI108" s="16">
        <f t="shared" si="138"/>
        <v>2.0533969453824468</v>
      </c>
      <c r="AJ108" s="16">
        <f t="shared" si="138"/>
        <v>2.276204900723648</v>
      </c>
      <c r="AK108" s="16">
        <f t="shared" si="138"/>
        <v>2.0873372840372353</v>
      </c>
      <c r="AL108" s="16">
        <f t="shared" si="138"/>
        <v>2.0905973438291756</v>
      </c>
      <c r="AM108" s="16">
        <f t="shared" si="138"/>
        <v>2.083240697985965</v>
      </c>
      <c r="AN108" s="16">
        <f t="shared" si="138"/>
        <v>2.0797601264966468</v>
      </c>
      <c r="AO108" s="16">
        <f t="shared" si="138"/>
        <v>2.0754778324995029</v>
      </c>
      <c r="AP108" s="16">
        <f t="shared" si="138"/>
        <v>2.002172732210755</v>
      </c>
      <c r="AQ108" s="16">
        <f t="shared" si="138"/>
        <v>1.9851131702871032</v>
      </c>
      <c r="AR108" s="16">
        <f t="shared" si="138"/>
        <v>1.9829967183805426</v>
      </c>
      <c r="AS108" s="16">
        <f t="shared" si="138"/>
        <v>1.9501659535678924</v>
      </c>
      <c r="AT108" s="16">
        <f t="shared" si="138"/>
        <v>1.9676100177177607</v>
      </c>
      <c r="AU108" s="16">
        <f t="shared" si="138"/>
        <v>2.1610254970638065</v>
      </c>
      <c r="AW108" s="16" t="e">
        <f t="shared" si="28"/>
        <v>#VALUE!</v>
      </c>
      <c r="AX108" s="16" t="e">
        <f t="shared" si="57"/>
        <v>#VALUE!</v>
      </c>
      <c r="AY108" s="16" t="e">
        <f t="shared" si="58"/>
        <v>#VALUE!</v>
      </c>
      <c r="AZ108" s="16" t="e">
        <f t="shared" si="59"/>
        <v>#VALUE!</v>
      </c>
      <c r="BA108" s="16" t="e">
        <f t="shared" si="60"/>
        <v>#VALUE!</v>
      </c>
      <c r="BB108" s="16" t="e">
        <f t="shared" si="61"/>
        <v>#VALUE!</v>
      </c>
      <c r="BC108" s="16" t="e">
        <f t="shared" si="62"/>
        <v>#VALUE!</v>
      </c>
      <c r="BD108" s="16" t="e">
        <f t="shared" si="63"/>
        <v>#VALUE!</v>
      </c>
      <c r="BE108" s="16">
        <f t="shared" si="64"/>
        <v>0.51334923634561169</v>
      </c>
      <c r="BF108" s="16">
        <f t="shared" si="65"/>
        <v>0.50582331127192182</v>
      </c>
      <c r="BG108" s="16">
        <f t="shared" si="66"/>
        <v>0.52183432100930882</v>
      </c>
      <c r="BH108" s="16">
        <f t="shared" si="67"/>
        <v>0.5226493359572939</v>
      </c>
      <c r="BI108" s="16">
        <f t="shared" si="68"/>
        <v>0.52081017449649125</v>
      </c>
      <c r="BJ108" s="16">
        <f t="shared" si="69"/>
        <v>0.51994003162416169</v>
      </c>
      <c r="BK108" s="16">
        <f t="shared" si="70"/>
        <v>0.51886945812487573</v>
      </c>
      <c r="BL108" s="16">
        <f t="shared" si="71"/>
        <v>0.50054318305268874</v>
      </c>
      <c r="BM108" s="16">
        <f t="shared" si="72"/>
        <v>0.4962782925717758</v>
      </c>
      <c r="BN108" s="16">
        <f t="shared" si="73"/>
        <v>0.49574917959513565</v>
      </c>
      <c r="BO108" s="16">
        <f t="shared" si="74"/>
        <v>0.48754148839197309</v>
      </c>
      <c r="BP108" s="16">
        <f t="shared" si="75"/>
        <v>0.49190250442944017</v>
      </c>
      <c r="BQ108" s="16">
        <f t="shared" si="76"/>
        <v>0.48022788823640145</v>
      </c>
      <c r="BS108" s="16" t="e">
        <f t="shared" si="30"/>
        <v>#VALUE!</v>
      </c>
      <c r="BT108" s="16" t="e">
        <f t="shared" si="77"/>
        <v>#VALUE!</v>
      </c>
      <c r="BU108" s="16" t="e">
        <f t="shared" si="78"/>
        <v>#VALUE!</v>
      </c>
      <c r="BV108" s="16" t="e">
        <f t="shared" si="79"/>
        <v>#VALUE!</v>
      </c>
      <c r="BW108" s="16" t="e">
        <f t="shared" si="80"/>
        <v>#VALUE!</v>
      </c>
      <c r="BX108" s="16" t="e">
        <f t="shared" si="81"/>
        <v>#VALUE!</v>
      </c>
      <c r="BY108" s="16" t="e">
        <f t="shared" si="82"/>
        <v>#VALUE!</v>
      </c>
      <c r="BZ108" s="16" t="e">
        <f t="shared" si="83"/>
        <v>#VALUE!</v>
      </c>
      <c r="CA108" s="16">
        <f t="shared" si="84"/>
        <v>0.77002385451841748</v>
      </c>
      <c r="CB108" s="16">
        <f t="shared" si="85"/>
        <v>0.75873496690788267</v>
      </c>
      <c r="CC108" s="16">
        <f t="shared" si="86"/>
        <v>0.78275148151396323</v>
      </c>
      <c r="CD108" s="16">
        <f t="shared" si="87"/>
        <v>0.78397400393594097</v>
      </c>
      <c r="CE108" s="16">
        <f t="shared" si="88"/>
        <v>0.78121526174473677</v>
      </c>
      <c r="CF108" s="16">
        <f t="shared" si="89"/>
        <v>0.77991004743624248</v>
      </c>
      <c r="CG108" s="16">
        <f t="shared" si="90"/>
        <v>0.77830418718731342</v>
      </c>
      <c r="CH108" s="16">
        <f t="shared" si="91"/>
        <v>0.75081477457903323</v>
      </c>
      <c r="CI108" s="16">
        <f t="shared" si="92"/>
        <v>0.74441743885766365</v>
      </c>
      <c r="CJ108" s="16">
        <f t="shared" si="93"/>
        <v>0.74362376939270336</v>
      </c>
      <c r="CK108" s="16">
        <f t="shared" si="94"/>
        <v>0.48754148839197309</v>
      </c>
      <c r="CL108" s="16">
        <f t="shared" si="95"/>
        <v>0.49190250442944017</v>
      </c>
      <c r="CM108" s="16">
        <f t="shared" si="96"/>
        <v>0.72034183235460214</v>
      </c>
      <c r="CO108" s="16" t="e">
        <f t="shared" si="32"/>
        <v>#VALUE!</v>
      </c>
      <c r="CP108" s="16" t="e">
        <f t="shared" si="97"/>
        <v>#VALUE!</v>
      </c>
      <c r="CQ108" s="16" t="e">
        <f t="shared" si="98"/>
        <v>#VALUE!</v>
      </c>
      <c r="CR108" s="16" t="e">
        <f t="shared" si="99"/>
        <v>#VALUE!</v>
      </c>
      <c r="CS108" s="16" t="e">
        <f t="shared" si="100"/>
        <v>#VALUE!</v>
      </c>
      <c r="CT108" s="16" t="e">
        <f t="shared" si="101"/>
        <v>#VALUE!</v>
      </c>
      <c r="CU108" s="16" t="e">
        <f t="shared" si="102"/>
        <v>#VALUE!</v>
      </c>
      <c r="CV108" s="16" t="e">
        <f t="shared" si="103"/>
        <v>#VALUE!</v>
      </c>
      <c r="CW108" s="16">
        <f t="shared" si="104"/>
        <v>0.51334923634561169</v>
      </c>
      <c r="CX108" s="16">
        <f t="shared" si="105"/>
        <v>0.50582331127192182</v>
      </c>
      <c r="CY108" s="16">
        <f t="shared" si="106"/>
        <v>0.52183432100930882</v>
      </c>
      <c r="CZ108" s="16">
        <f t="shared" si="107"/>
        <v>0.5226493359572939</v>
      </c>
      <c r="DA108" s="16">
        <f t="shared" si="108"/>
        <v>0.52081017449649125</v>
      </c>
      <c r="DB108" s="16">
        <f t="shared" si="109"/>
        <v>0.51994003162416169</v>
      </c>
      <c r="DC108" s="16">
        <f t="shared" si="110"/>
        <v>0.51886945812487573</v>
      </c>
      <c r="DD108" s="16">
        <f t="shared" si="111"/>
        <v>0.50054318305268874</v>
      </c>
      <c r="DE108" s="16">
        <f t="shared" si="112"/>
        <v>0.4962782925717758</v>
      </c>
      <c r="DF108" s="16">
        <f t="shared" si="113"/>
        <v>0.49574917959513565</v>
      </c>
      <c r="DG108" s="16">
        <f t="shared" si="114"/>
        <v>0.48754148839197309</v>
      </c>
      <c r="DH108" s="16">
        <f t="shared" si="115"/>
        <v>0.49190250442944017</v>
      </c>
      <c r="DI108" s="16">
        <f t="shared" si="116"/>
        <v>0.72034183235460214</v>
      </c>
      <c r="EG108" s="16" t="e">
        <f t="shared" si="34"/>
        <v>#VALUE!</v>
      </c>
      <c r="EH108" s="16" t="e">
        <f t="shared" si="117"/>
        <v>#VALUE!</v>
      </c>
      <c r="EI108" s="16" t="e">
        <f t="shared" si="118"/>
        <v>#VALUE!</v>
      </c>
      <c r="EJ108" s="16" t="e">
        <f t="shared" si="119"/>
        <v>#VALUE!</v>
      </c>
      <c r="EK108" s="16" t="e">
        <f t="shared" si="120"/>
        <v>#VALUE!</v>
      </c>
      <c r="EL108" s="16" t="e">
        <f t="shared" si="121"/>
        <v>#VALUE!</v>
      </c>
      <c r="EM108" s="16" t="e">
        <f t="shared" si="122"/>
        <v>#VALUE!</v>
      </c>
      <c r="EN108" s="16" t="e">
        <f t="shared" si="123"/>
        <v>#VALUE!</v>
      </c>
      <c r="EO108" s="16">
        <f t="shared" si="124"/>
        <v>0.25667461817280585</v>
      </c>
      <c r="EP108" s="16">
        <f t="shared" si="125"/>
        <v>0.50582331127192182</v>
      </c>
      <c r="EQ108" s="16">
        <f t="shared" si="126"/>
        <v>0.52183432100930882</v>
      </c>
      <c r="ER108" s="16">
        <f t="shared" si="127"/>
        <v>0.5226493359572939</v>
      </c>
      <c r="ES108" s="16">
        <f t="shared" si="128"/>
        <v>0.52081017449649125</v>
      </c>
      <c r="ET108" s="16">
        <f t="shared" si="129"/>
        <v>0.51994003162416169</v>
      </c>
      <c r="EU108" s="16">
        <f t="shared" si="130"/>
        <v>0.25943472906243786</v>
      </c>
      <c r="EV108" s="16">
        <f t="shared" si="131"/>
        <v>0.25027159152634437</v>
      </c>
      <c r="EW108" s="16">
        <f t="shared" si="132"/>
        <v>0.4962782925717758</v>
      </c>
      <c r="EX108" s="16">
        <f t="shared" si="133"/>
        <v>0.49574917959513565</v>
      </c>
      <c r="EY108" s="16">
        <f t="shared" si="134"/>
        <v>0.48754148839197309</v>
      </c>
      <c r="EZ108" s="16">
        <f t="shared" si="135"/>
        <v>0.49190250442944017</v>
      </c>
      <c r="FA108" s="16">
        <f t="shared" si="136"/>
        <v>0.72034183235460214</v>
      </c>
    </row>
    <row r="109" spans="1:157">
      <c r="A109" t="s">
        <v>1620</v>
      </c>
      <c r="B109" t="s">
        <v>446</v>
      </c>
      <c r="C109" t="s">
        <v>2085</v>
      </c>
      <c r="D109" s="16">
        <f t="shared" si="25"/>
        <v>5.0977521975439668</v>
      </c>
      <c r="E109" s="16">
        <f t="shared" si="36"/>
        <v>5.0598851797164599</v>
      </c>
      <c r="F109" s="16">
        <f t="shared" si="37"/>
        <v>5.2209966725842296</v>
      </c>
      <c r="G109" s="16">
        <f t="shared" si="38"/>
        <v>4.9690713441666725</v>
      </c>
      <c r="H109" s="16">
        <f t="shared" si="39"/>
        <v>5.0057060181422122</v>
      </c>
      <c r="I109" s="16">
        <f t="shared" si="40"/>
        <v>5.0834712917549849</v>
      </c>
      <c r="J109" s="16">
        <f t="shared" si="41"/>
        <v>5.0877233429394808</v>
      </c>
      <c r="K109" s="16">
        <f t="shared" si="42"/>
        <v>4.7745933874181246</v>
      </c>
      <c r="L109" s="16">
        <f t="shared" si="43"/>
        <v>4.8837676828686778</v>
      </c>
      <c r="M109" s="16">
        <f t="shared" si="44"/>
        <v>5.1353137885133604</v>
      </c>
      <c r="N109" s="16">
        <f t="shared" si="45"/>
        <v>4.8127925344633988</v>
      </c>
      <c r="O109" s="16">
        <f t="shared" si="46"/>
        <v>4.4458215026174512</v>
      </c>
      <c r="P109" s="16">
        <f t="shared" si="47"/>
        <v>4.1689039091268931</v>
      </c>
      <c r="Q109" s="16">
        <f t="shared" si="48"/>
        <v>4.1096187847560595</v>
      </c>
      <c r="R109" s="16">
        <f t="shared" si="49"/>
        <v>4.1927113719169604</v>
      </c>
      <c r="S109" s="16">
        <f t="shared" si="50"/>
        <v>4.3593848667158861</v>
      </c>
      <c r="T109" s="16">
        <f t="shared" si="51"/>
        <v>4.2013854040547152</v>
      </c>
      <c r="U109" s="16">
        <f t="shared" si="52"/>
        <v>4.1994373849031614</v>
      </c>
      <c r="V109" s="16">
        <f t="shared" si="53"/>
        <v>4.576566319510925</v>
      </c>
      <c r="W109" s="16">
        <f t="shared" si="54"/>
        <v>4.5926382801085373</v>
      </c>
      <c r="X109" s="15">
        <f t="shared" si="55"/>
        <v>5.0433212433047965</v>
      </c>
      <c r="Y109" s="88"/>
      <c r="AA109" s="16">
        <f t="shared" ref="AA109:AU109" si="139">AA10/AA43*100</f>
        <v>2.6830274723915619</v>
      </c>
      <c r="AB109" s="16">
        <f t="shared" si="139"/>
        <v>2.6630974630086635</v>
      </c>
      <c r="AC109" s="16">
        <f t="shared" si="139"/>
        <v>2.8715481699213261</v>
      </c>
      <c r="AD109" s="16">
        <f t="shared" si="139"/>
        <v>2.6028468945634953</v>
      </c>
      <c r="AE109" s="16">
        <f t="shared" si="139"/>
        <v>2.7531383099782167</v>
      </c>
      <c r="AF109" s="16">
        <f t="shared" si="139"/>
        <v>2.7959092104652421</v>
      </c>
      <c r="AG109" s="16">
        <f t="shared" si="139"/>
        <v>2.7982478386167147</v>
      </c>
      <c r="AH109" s="16">
        <f t="shared" si="139"/>
        <v>2.5129438881148025</v>
      </c>
      <c r="AI109" s="16">
        <f t="shared" si="139"/>
        <v>2.5704040436150937</v>
      </c>
      <c r="AJ109" s="16">
        <f t="shared" si="139"/>
        <v>2.5676568942566802</v>
      </c>
      <c r="AK109" s="16">
        <f t="shared" si="139"/>
        <v>2.5330487023491575</v>
      </c>
      <c r="AL109" s="16">
        <f t="shared" si="139"/>
        <v>2.2229107513087256</v>
      </c>
      <c r="AM109" s="16">
        <f t="shared" si="139"/>
        <v>1.9618371337067735</v>
      </c>
      <c r="AN109" s="16">
        <f t="shared" si="139"/>
        <v>2.1756805331061488</v>
      </c>
      <c r="AO109" s="16">
        <f t="shared" si="139"/>
        <v>1.9730406456079819</v>
      </c>
      <c r="AP109" s="16">
        <f t="shared" si="139"/>
        <v>2.179692433357943</v>
      </c>
      <c r="AQ109" s="16">
        <f t="shared" si="139"/>
        <v>2.2242628609701436</v>
      </c>
      <c r="AR109" s="16">
        <f t="shared" si="139"/>
        <v>2.2232315567134386</v>
      </c>
      <c r="AS109" s="16">
        <f t="shared" si="139"/>
        <v>2.1678472039788592</v>
      </c>
      <c r="AT109" s="16">
        <f t="shared" si="139"/>
        <v>2.4171780421623881</v>
      </c>
      <c r="AU109" s="16">
        <f t="shared" si="139"/>
        <v>2.4015815444308553</v>
      </c>
      <c r="AW109" s="16">
        <f t="shared" si="28"/>
        <v>0.53660549447831241</v>
      </c>
      <c r="AX109" s="16">
        <f t="shared" si="57"/>
        <v>0.53261949260173269</v>
      </c>
      <c r="AY109" s="16">
        <f t="shared" si="58"/>
        <v>0.78314950088763435</v>
      </c>
      <c r="AZ109" s="16">
        <f t="shared" si="59"/>
        <v>0.70986733488095322</v>
      </c>
      <c r="BA109" s="16">
        <f t="shared" si="60"/>
        <v>0.75085590272133174</v>
      </c>
      <c r="BB109" s="16">
        <f t="shared" si="61"/>
        <v>0.76252069376324771</v>
      </c>
      <c r="BC109" s="16">
        <f t="shared" si="62"/>
        <v>0.76315850144092223</v>
      </c>
      <c r="BD109" s="16">
        <f t="shared" si="63"/>
        <v>0.75388316643444064</v>
      </c>
      <c r="BE109" s="16">
        <f t="shared" si="64"/>
        <v>0.77112121308452797</v>
      </c>
      <c r="BF109" s="16">
        <f t="shared" si="65"/>
        <v>0.77029706827700406</v>
      </c>
      <c r="BG109" s="16">
        <f t="shared" si="66"/>
        <v>0.7599146107047472</v>
      </c>
      <c r="BH109" s="16">
        <f t="shared" si="67"/>
        <v>0.49398016695749458</v>
      </c>
      <c r="BI109" s="16">
        <f t="shared" si="68"/>
        <v>0.49045928342669337</v>
      </c>
      <c r="BJ109" s="16">
        <f t="shared" si="69"/>
        <v>0.48348456291247754</v>
      </c>
      <c r="BK109" s="16">
        <f t="shared" si="70"/>
        <v>0.49326016140199547</v>
      </c>
      <c r="BL109" s="16">
        <f t="shared" si="71"/>
        <v>0.72656414445264772</v>
      </c>
      <c r="BM109" s="16">
        <f t="shared" si="72"/>
        <v>0.49428063577114301</v>
      </c>
      <c r="BN109" s="16">
        <f t="shared" si="73"/>
        <v>0.49405145704743086</v>
      </c>
      <c r="BO109" s="16">
        <f t="shared" si="74"/>
        <v>0.7226157346596197</v>
      </c>
      <c r="BP109" s="16">
        <f t="shared" si="75"/>
        <v>0.72515341264871636</v>
      </c>
      <c r="BQ109" s="16">
        <f t="shared" si="76"/>
        <v>0.72047446332925658</v>
      </c>
      <c r="BS109" s="16">
        <f t="shared" si="30"/>
        <v>0.80490824171746866</v>
      </c>
      <c r="BT109" s="16">
        <f t="shared" si="77"/>
        <v>0.79892923890259893</v>
      </c>
      <c r="BU109" s="16">
        <f t="shared" si="78"/>
        <v>0.78314950088763435</v>
      </c>
      <c r="BV109" s="16">
        <f t="shared" si="79"/>
        <v>0.70986733488095322</v>
      </c>
      <c r="BW109" s="16">
        <f t="shared" si="80"/>
        <v>0.75085590272133174</v>
      </c>
      <c r="BX109" s="16">
        <f t="shared" si="81"/>
        <v>0.76252069376324771</v>
      </c>
      <c r="BY109" s="16">
        <f t="shared" si="82"/>
        <v>0.76315850144092223</v>
      </c>
      <c r="BZ109" s="16">
        <f t="shared" si="83"/>
        <v>0.75388316643444064</v>
      </c>
      <c r="CA109" s="16">
        <f t="shared" si="84"/>
        <v>0.77112121308452797</v>
      </c>
      <c r="CB109" s="16">
        <f t="shared" si="85"/>
        <v>0.77029706827700406</v>
      </c>
      <c r="CC109" s="16">
        <f t="shared" si="86"/>
        <v>0.7599146107047472</v>
      </c>
      <c r="CD109" s="16">
        <f t="shared" si="87"/>
        <v>0.74097025043624176</v>
      </c>
      <c r="CE109" s="16">
        <f t="shared" si="88"/>
        <v>0.73568892514004003</v>
      </c>
      <c r="CF109" s="16">
        <f t="shared" si="89"/>
        <v>0.72522684436871621</v>
      </c>
      <c r="CG109" s="16">
        <f t="shared" si="90"/>
        <v>0.73989024210299315</v>
      </c>
      <c r="CH109" s="16">
        <f t="shared" si="91"/>
        <v>0.72656414445264772</v>
      </c>
      <c r="CI109" s="16">
        <f t="shared" si="92"/>
        <v>0.74142095365671445</v>
      </c>
      <c r="CJ109" s="16">
        <f t="shared" si="93"/>
        <v>0.74107718557114621</v>
      </c>
      <c r="CK109" s="16">
        <f t="shared" si="94"/>
        <v>0.7226157346596197</v>
      </c>
      <c r="CL109" s="16">
        <f t="shared" si="95"/>
        <v>0.72515341264871636</v>
      </c>
      <c r="CM109" s="16">
        <f t="shared" si="96"/>
        <v>0.72047446332925658</v>
      </c>
      <c r="CO109" s="16">
        <f t="shared" si="32"/>
        <v>0.53660549447831241</v>
      </c>
      <c r="CP109" s="16">
        <f t="shared" si="97"/>
        <v>0.53261949260173269</v>
      </c>
      <c r="CQ109" s="16">
        <f t="shared" si="98"/>
        <v>0.52209966725842294</v>
      </c>
      <c r="CR109" s="16">
        <f t="shared" si="99"/>
        <v>0.47324488992063551</v>
      </c>
      <c r="CS109" s="16">
        <f t="shared" si="100"/>
        <v>0.50057060181422119</v>
      </c>
      <c r="CT109" s="16">
        <f t="shared" si="101"/>
        <v>0.50834712917549851</v>
      </c>
      <c r="CU109" s="16">
        <f t="shared" si="102"/>
        <v>0.50877233429394808</v>
      </c>
      <c r="CV109" s="16">
        <f t="shared" si="103"/>
        <v>0.5025887776229605</v>
      </c>
      <c r="CW109" s="16">
        <f t="shared" si="104"/>
        <v>0.51408080872301876</v>
      </c>
      <c r="CX109" s="16">
        <f t="shared" si="105"/>
        <v>0.51353137885133615</v>
      </c>
      <c r="CY109" s="16">
        <f t="shared" si="106"/>
        <v>0.50660974046983154</v>
      </c>
      <c r="CZ109" s="16">
        <f t="shared" si="107"/>
        <v>0.49398016695749458</v>
      </c>
      <c r="DA109" s="16">
        <f t="shared" si="108"/>
        <v>0.49045928342669337</v>
      </c>
      <c r="DB109" s="16">
        <f t="shared" si="109"/>
        <v>0.48348456291247754</v>
      </c>
      <c r="DC109" s="16">
        <f t="shared" si="110"/>
        <v>0.49326016140199547</v>
      </c>
      <c r="DD109" s="16">
        <f t="shared" si="111"/>
        <v>0.48437609630176515</v>
      </c>
      <c r="DE109" s="16">
        <f t="shared" si="112"/>
        <v>0.49428063577114301</v>
      </c>
      <c r="DF109" s="16">
        <f t="shared" si="113"/>
        <v>0.49405145704743086</v>
      </c>
      <c r="DG109" s="16">
        <f t="shared" si="114"/>
        <v>0.48174382310641317</v>
      </c>
      <c r="DH109" s="16">
        <f t="shared" si="115"/>
        <v>0.48343560843247768</v>
      </c>
      <c r="DI109" s="16">
        <f t="shared" si="116"/>
        <v>0.48031630888617116</v>
      </c>
      <c r="EG109" s="16">
        <f t="shared" si="34"/>
        <v>0.2683027472391562</v>
      </c>
      <c r="EH109" s="16">
        <f t="shared" si="117"/>
        <v>0.26630974630086635</v>
      </c>
      <c r="EI109" s="16">
        <f t="shared" si="118"/>
        <v>0.52209966725842294</v>
      </c>
      <c r="EJ109" s="16">
        <f t="shared" si="119"/>
        <v>0.47324488992063551</v>
      </c>
      <c r="EK109" s="16">
        <f t="shared" si="120"/>
        <v>0.50057060181422119</v>
      </c>
      <c r="EL109" s="16">
        <f t="shared" si="121"/>
        <v>0.50834712917549851</v>
      </c>
      <c r="EM109" s="16">
        <f t="shared" si="122"/>
        <v>0.50877233429394808</v>
      </c>
      <c r="EN109" s="16">
        <f t="shared" si="123"/>
        <v>0.5025887776229605</v>
      </c>
      <c r="EO109" s="16">
        <f t="shared" si="124"/>
        <v>0.51408080872301876</v>
      </c>
      <c r="EP109" s="16">
        <f t="shared" si="125"/>
        <v>0.51353137885133615</v>
      </c>
      <c r="EQ109" s="16">
        <f t="shared" si="126"/>
        <v>0.50660974046983154</v>
      </c>
      <c r="ER109" s="16">
        <f t="shared" si="127"/>
        <v>0.49398016695749458</v>
      </c>
      <c r="ES109" s="16">
        <f t="shared" si="128"/>
        <v>0.49045928342669337</v>
      </c>
      <c r="ET109" s="16">
        <f t="shared" si="129"/>
        <v>0.48348456291247754</v>
      </c>
      <c r="EU109" s="16">
        <f t="shared" si="130"/>
        <v>0.49326016140199547</v>
      </c>
      <c r="EV109" s="16">
        <f t="shared" si="131"/>
        <v>0.48437609630176515</v>
      </c>
      <c r="EW109" s="16">
        <f t="shared" si="132"/>
        <v>0.2471403178855715</v>
      </c>
      <c r="EX109" s="16">
        <f t="shared" si="133"/>
        <v>0.24702572852371543</v>
      </c>
      <c r="EY109" s="16">
        <f t="shared" si="134"/>
        <v>0.24087191155320659</v>
      </c>
      <c r="EZ109" s="16">
        <f t="shared" si="135"/>
        <v>0.24171780421623884</v>
      </c>
      <c r="FA109" s="16">
        <f t="shared" si="136"/>
        <v>0.72047446332925658</v>
      </c>
    </row>
    <row r="110" spans="1:157">
      <c r="A110" t="s">
        <v>49</v>
      </c>
      <c r="B110" t="s">
        <v>464</v>
      </c>
      <c r="C110" t="s">
        <v>2085</v>
      </c>
      <c r="D110" s="16">
        <f t="shared" si="25"/>
        <v>1.6491320858938068</v>
      </c>
      <c r="E110" s="16">
        <f t="shared" si="36"/>
        <v>1.6673515038051014</v>
      </c>
      <c r="F110" s="16">
        <f t="shared" si="37"/>
        <v>1.6917623349048116</v>
      </c>
      <c r="G110" s="16">
        <f t="shared" si="38"/>
        <v>1.6820465924597172</v>
      </c>
      <c r="H110" s="16">
        <f t="shared" si="39"/>
        <v>1.6342662983518677</v>
      </c>
      <c r="I110" s="16">
        <f t="shared" si="40"/>
        <v>1.6015164894100435</v>
      </c>
      <c r="J110" s="16">
        <f t="shared" si="41"/>
        <v>1.6418308279890086</v>
      </c>
      <c r="K110" s="16">
        <f t="shared" si="42"/>
        <v>1.6479977169719127</v>
      </c>
      <c r="L110" s="16">
        <f t="shared" si="43"/>
        <v>1.8662049161307432</v>
      </c>
      <c r="M110" s="16">
        <f t="shared" si="44"/>
        <v>2.0469588782946206</v>
      </c>
      <c r="N110" s="16">
        <f t="shared" si="45"/>
        <v>1.8531256715409883</v>
      </c>
      <c r="O110" s="16">
        <f t="shared" si="46"/>
        <v>2.023038239394543</v>
      </c>
      <c r="P110" s="16">
        <f t="shared" si="47"/>
        <v>1.8360623970545491</v>
      </c>
      <c r="Q110" s="16">
        <f t="shared" si="48"/>
        <v>1.8320152661609597</v>
      </c>
      <c r="R110" s="16">
        <f t="shared" si="49"/>
        <v>1.7742403481905373</v>
      </c>
      <c r="S110" s="16">
        <f t="shared" si="50"/>
        <v>1.8797747623003784</v>
      </c>
      <c r="T110" s="16">
        <f t="shared" si="51"/>
        <v>1.9093865497499818</v>
      </c>
      <c r="U110" s="16">
        <f t="shared" si="52"/>
        <v>1.7196689030234382</v>
      </c>
      <c r="V110" s="16">
        <f t="shared" si="53"/>
        <v>1.7540872724127494</v>
      </c>
      <c r="W110" s="16">
        <f t="shared" si="54"/>
        <v>1.866331731117606</v>
      </c>
      <c r="X110" s="15">
        <f t="shared" si="55"/>
        <v>1.8778899171315255</v>
      </c>
      <c r="Y110" s="88"/>
      <c r="AA110" s="16">
        <f t="shared" ref="AA110:AU110" si="140">AA11/AA44*100</f>
        <v>0.91618449216322584</v>
      </c>
      <c r="AB110" s="16">
        <f t="shared" si="140"/>
        <v>0.92630639100283396</v>
      </c>
      <c r="AC110" s="16">
        <f t="shared" si="140"/>
        <v>0.93986796383600646</v>
      </c>
      <c r="AD110" s="16">
        <f t="shared" si="140"/>
        <v>0.93447032914428729</v>
      </c>
      <c r="AE110" s="16">
        <f t="shared" si="140"/>
        <v>0.9079257213065931</v>
      </c>
      <c r="AF110" s="16">
        <f t="shared" si="140"/>
        <v>0.88973138300557975</v>
      </c>
      <c r="AG110" s="16">
        <f t="shared" si="140"/>
        <v>0.91212823777167129</v>
      </c>
      <c r="AH110" s="16">
        <f t="shared" si="140"/>
        <v>0.91555428720661824</v>
      </c>
      <c r="AI110" s="16">
        <f t="shared" si="140"/>
        <v>0.93310245806537162</v>
      </c>
      <c r="AJ110" s="16">
        <f t="shared" si="140"/>
        <v>1.1165230245243385</v>
      </c>
      <c r="AK110" s="16">
        <f t="shared" si="140"/>
        <v>1.111875402924593</v>
      </c>
      <c r="AL110" s="16">
        <f t="shared" si="140"/>
        <v>1.103475403306114</v>
      </c>
      <c r="AM110" s="16">
        <f t="shared" si="140"/>
        <v>0.91803119852727455</v>
      </c>
      <c r="AN110" s="16">
        <f t="shared" si="140"/>
        <v>0.91600763308047983</v>
      </c>
      <c r="AO110" s="16">
        <f t="shared" si="140"/>
        <v>0.88712017409526867</v>
      </c>
      <c r="AP110" s="16">
        <f t="shared" si="140"/>
        <v>0.93988738115018922</v>
      </c>
      <c r="AQ110" s="16">
        <f t="shared" si="140"/>
        <v>0.95469327487499089</v>
      </c>
      <c r="AR110" s="16">
        <f t="shared" si="140"/>
        <v>0.95537161279079885</v>
      </c>
      <c r="AS110" s="16">
        <f t="shared" si="140"/>
        <v>0.97449292911819407</v>
      </c>
      <c r="AT110" s="16">
        <f t="shared" si="140"/>
        <v>1.1197990386705634</v>
      </c>
      <c r="AU110" s="16">
        <f t="shared" si="140"/>
        <v>1.1267339502789151</v>
      </c>
      <c r="AW110" s="16">
        <f t="shared" si="28"/>
        <v>0.18323689843264518</v>
      </c>
      <c r="AX110" s="16">
        <f t="shared" si="57"/>
        <v>0.18526127820056681</v>
      </c>
      <c r="AY110" s="16">
        <f t="shared" si="58"/>
        <v>0.18797359276720133</v>
      </c>
      <c r="AZ110" s="16">
        <f t="shared" si="59"/>
        <v>0.18689406582885748</v>
      </c>
      <c r="BA110" s="16">
        <f t="shared" si="60"/>
        <v>0.18158514426131861</v>
      </c>
      <c r="BB110" s="16">
        <f t="shared" si="61"/>
        <v>0.17794627660111595</v>
      </c>
      <c r="BC110" s="16">
        <f t="shared" si="62"/>
        <v>0.18242564755433427</v>
      </c>
      <c r="BD110" s="16">
        <f t="shared" si="63"/>
        <v>0.18311085744132366</v>
      </c>
      <c r="BE110" s="16">
        <f t="shared" si="64"/>
        <v>0.18662049161307434</v>
      </c>
      <c r="BF110" s="16">
        <f t="shared" si="65"/>
        <v>0.18608717075405645</v>
      </c>
      <c r="BG110" s="16">
        <f t="shared" si="66"/>
        <v>0.18531256715409883</v>
      </c>
      <c r="BH110" s="16">
        <f t="shared" si="67"/>
        <v>0.18391256721768573</v>
      </c>
      <c r="BI110" s="16">
        <f t="shared" si="68"/>
        <v>0.18360623970545492</v>
      </c>
      <c r="BJ110" s="16">
        <f t="shared" si="69"/>
        <v>0.18320152661609596</v>
      </c>
      <c r="BK110" s="16">
        <f t="shared" si="70"/>
        <v>0.17742403481905375</v>
      </c>
      <c r="BL110" s="16">
        <f t="shared" si="71"/>
        <v>0.18797747623003785</v>
      </c>
      <c r="BM110" s="16">
        <f t="shared" si="72"/>
        <v>0.19093865497499821</v>
      </c>
      <c r="BN110" s="16">
        <f t="shared" si="73"/>
        <v>0.19107432255815979</v>
      </c>
      <c r="BO110" s="16">
        <f t="shared" si="74"/>
        <v>0.19489858582363881</v>
      </c>
      <c r="BP110" s="16">
        <f t="shared" si="75"/>
        <v>0.18663317311176059</v>
      </c>
      <c r="BQ110" s="16">
        <f t="shared" si="76"/>
        <v>0.18778899171315255</v>
      </c>
      <c r="BS110" s="16">
        <f t="shared" si="30"/>
        <v>0.36647379686529036</v>
      </c>
      <c r="BT110" s="16">
        <f t="shared" si="77"/>
        <v>0.37052255640113363</v>
      </c>
      <c r="BU110" s="16">
        <f t="shared" si="78"/>
        <v>0.37594718553440265</v>
      </c>
      <c r="BV110" s="16">
        <f t="shared" si="79"/>
        <v>0.37378813165771496</v>
      </c>
      <c r="BW110" s="16">
        <f t="shared" si="80"/>
        <v>0.36317028852263722</v>
      </c>
      <c r="BX110" s="16">
        <f t="shared" si="81"/>
        <v>0.3558925532022319</v>
      </c>
      <c r="BY110" s="16">
        <f t="shared" si="82"/>
        <v>0.36485129510866854</v>
      </c>
      <c r="BZ110" s="16">
        <f t="shared" si="83"/>
        <v>0.36622171488264732</v>
      </c>
      <c r="CA110" s="16">
        <f t="shared" si="84"/>
        <v>0.37324098322614868</v>
      </c>
      <c r="CB110" s="16">
        <f t="shared" si="85"/>
        <v>0.3721743415081129</v>
      </c>
      <c r="CC110" s="16">
        <f t="shared" si="86"/>
        <v>0.37062513430819766</v>
      </c>
      <c r="CD110" s="16">
        <f t="shared" si="87"/>
        <v>0.36782513443537146</v>
      </c>
      <c r="CE110" s="16">
        <f t="shared" si="88"/>
        <v>0.36721247941090984</v>
      </c>
      <c r="CF110" s="16">
        <f t="shared" si="89"/>
        <v>0.36640305323219191</v>
      </c>
      <c r="CG110" s="16">
        <f t="shared" si="90"/>
        <v>0.3548480696381075</v>
      </c>
      <c r="CH110" s="16">
        <f t="shared" si="91"/>
        <v>0.37595495246007571</v>
      </c>
      <c r="CI110" s="16">
        <f t="shared" si="92"/>
        <v>0.38187730994999641</v>
      </c>
      <c r="CJ110" s="16">
        <f t="shared" si="93"/>
        <v>0.38214864511631957</v>
      </c>
      <c r="CK110" s="16">
        <f t="shared" si="94"/>
        <v>0.38979717164727762</v>
      </c>
      <c r="CL110" s="16">
        <f t="shared" si="95"/>
        <v>0.37326634622352117</v>
      </c>
      <c r="CM110" s="16">
        <f t="shared" si="96"/>
        <v>0.37557798342630511</v>
      </c>
      <c r="CO110" s="16">
        <f t="shared" si="32"/>
        <v>0.18323689843264518</v>
      </c>
      <c r="CP110" s="16">
        <f t="shared" si="97"/>
        <v>0.18526127820056681</v>
      </c>
      <c r="CQ110" s="16">
        <f t="shared" si="98"/>
        <v>0.37594718553440265</v>
      </c>
      <c r="CR110" s="16">
        <f t="shared" si="99"/>
        <v>0.37378813165771496</v>
      </c>
      <c r="CS110" s="16">
        <f t="shared" si="100"/>
        <v>0.36317028852263722</v>
      </c>
      <c r="CT110" s="16">
        <f t="shared" si="101"/>
        <v>0.3558925532022319</v>
      </c>
      <c r="CU110" s="16">
        <f t="shared" si="102"/>
        <v>0.36485129510866854</v>
      </c>
      <c r="CV110" s="16">
        <f t="shared" si="103"/>
        <v>0.18311085744132366</v>
      </c>
      <c r="CW110" s="16">
        <f t="shared" si="104"/>
        <v>0.18662049161307434</v>
      </c>
      <c r="CX110" s="16">
        <f t="shared" si="105"/>
        <v>0.3721743415081129</v>
      </c>
      <c r="CY110" s="16">
        <f t="shared" si="106"/>
        <v>0.37062513430819766</v>
      </c>
      <c r="CZ110" s="16">
        <f t="shared" si="107"/>
        <v>0.36782513443537146</v>
      </c>
      <c r="DA110" s="16">
        <f t="shared" si="108"/>
        <v>0.36721247941090984</v>
      </c>
      <c r="DB110" s="16">
        <f t="shared" si="109"/>
        <v>0.36640305323219191</v>
      </c>
      <c r="DC110" s="16">
        <f t="shared" si="110"/>
        <v>0.3548480696381075</v>
      </c>
      <c r="DD110" s="16">
        <f t="shared" si="111"/>
        <v>0.37595495246007571</v>
      </c>
      <c r="DE110" s="16">
        <f t="shared" si="112"/>
        <v>0.38187730994999641</v>
      </c>
      <c r="DF110" s="16">
        <f t="shared" si="113"/>
        <v>0.38214864511631957</v>
      </c>
      <c r="DG110" s="16">
        <f t="shared" si="114"/>
        <v>0.38979717164727762</v>
      </c>
      <c r="DH110" s="16">
        <f t="shared" si="115"/>
        <v>0.37326634622352117</v>
      </c>
      <c r="DI110" s="16">
        <f t="shared" si="116"/>
        <v>0.37557798342630511</v>
      </c>
      <c r="EG110" s="16">
        <f t="shared" si="34"/>
        <v>0</v>
      </c>
      <c r="EH110" s="16">
        <f t="shared" si="117"/>
        <v>0</v>
      </c>
      <c r="EI110" s="16">
        <f t="shared" si="118"/>
        <v>0</v>
      </c>
      <c r="EJ110" s="16">
        <f t="shared" si="119"/>
        <v>0</v>
      </c>
      <c r="EK110" s="16">
        <f t="shared" si="120"/>
        <v>0</v>
      </c>
      <c r="EL110" s="16">
        <f t="shared" si="121"/>
        <v>0</v>
      </c>
      <c r="EM110" s="16">
        <f t="shared" si="122"/>
        <v>0</v>
      </c>
      <c r="EN110" s="16">
        <f t="shared" si="123"/>
        <v>0</v>
      </c>
      <c r="EO110" s="16">
        <f t="shared" si="124"/>
        <v>0</v>
      </c>
      <c r="EP110" s="16">
        <f t="shared" si="125"/>
        <v>0</v>
      </c>
      <c r="EQ110" s="16">
        <f t="shared" si="126"/>
        <v>0</v>
      </c>
      <c r="ER110" s="16">
        <f t="shared" si="127"/>
        <v>0</v>
      </c>
      <c r="ES110" s="16">
        <f t="shared" si="128"/>
        <v>0</v>
      </c>
      <c r="ET110" s="16">
        <f t="shared" si="129"/>
        <v>0</v>
      </c>
      <c r="EU110" s="16">
        <f t="shared" si="130"/>
        <v>0</v>
      </c>
      <c r="EV110" s="16">
        <f t="shared" si="131"/>
        <v>0</v>
      </c>
      <c r="EW110" s="16">
        <f t="shared" si="132"/>
        <v>0</v>
      </c>
      <c r="EX110" s="16">
        <f t="shared" si="133"/>
        <v>0</v>
      </c>
      <c r="EY110" s="16">
        <f t="shared" si="134"/>
        <v>0</v>
      </c>
      <c r="EZ110" s="16">
        <f t="shared" si="135"/>
        <v>0</v>
      </c>
      <c r="FA110" s="16">
        <f t="shared" si="136"/>
        <v>0</v>
      </c>
    </row>
    <row r="111" spans="1:157">
      <c r="A111" t="s">
        <v>50</v>
      </c>
      <c r="B111" t="s">
        <v>459</v>
      </c>
      <c r="C111" t="s">
        <v>2085</v>
      </c>
      <c r="D111" s="16">
        <f t="shared" si="25"/>
        <v>2.4237462764067663</v>
      </c>
      <c r="E111" s="16">
        <f t="shared" si="36"/>
        <v>2.5432366626988423</v>
      </c>
      <c r="F111" s="16">
        <f t="shared" si="37"/>
        <v>2.3339515875510841</v>
      </c>
      <c r="G111" s="16">
        <f t="shared" si="38"/>
        <v>2.5685007486491762</v>
      </c>
      <c r="H111" s="16">
        <f t="shared" si="39"/>
        <v>2.5823029666053574</v>
      </c>
      <c r="I111" s="16">
        <f t="shared" si="40"/>
        <v>2.5109142086436402</v>
      </c>
      <c r="J111" s="16">
        <f t="shared" si="41"/>
        <v>2.2994680143636121</v>
      </c>
      <c r="K111" s="16">
        <f t="shared" si="42"/>
        <v>2.3169441319448025</v>
      </c>
      <c r="L111" s="16">
        <f t="shared" si="43"/>
        <v>2.3054055657746395</v>
      </c>
      <c r="M111" s="16">
        <f t="shared" si="44"/>
        <v>2.7129599419974624</v>
      </c>
      <c r="N111" s="16">
        <f t="shared" si="45"/>
        <v>2.9199637868598032</v>
      </c>
      <c r="O111" s="16">
        <f t="shared" si="46"/>
        <v>2.4699638233967622</v>
      </c>
      <c r="P111" s="16">
        <f t="shared" si="47"/>
        <v>2.6276647589883391</v>
      </c>
      <c r="Q111" s="16">
        <f t="shared" si="48"/>
        <v>2.3945018390307227</v>
      </c>
      <c r="R111" s="16">
        <f t="shared" si="49"/>
        <v>2.3947051648459272</v>
      </c>
      <c r="S111" s="16">
        <f t="shared" si="50"/>
        <v>2.219575793636904</v>
      </c>
      <c r="T111" s="16">
        <f t="shared" si="51"/>
        <v>2.2243378668575517</v>
      </c>
      <c r="U111" s="16">
        <f t="shared" si="52"/>
        <v>2.0763118165667152</v>
      </c>
      <c r="V111" s="16">
        <f t="shared" si="53"/>
        <v>2.0965158045977015</v>
      </c>
      <c r="W111" s="16">
        <f t="shared" si="54"/>
        <v>2.2924739747194365</v>
      </c>
      <c r="X111" s="15">
        <f t="shared" si="55"/>
        <v>2.3315318551415598</v>
      </c>
      <c r="Y111" s="88"/>
      <c r="AA111" s="16" t="e">
        <f t="shared" ref="AA111:AU111" si="141">AA12/AA45*100</f>
        <v>#VALUE!</v>
      </c>
      <c r="AB111" s="16">
        <f t="shared" si="141"/>
        <v>1.1738015366302348</v>
      </c>
      <c r="AC111" s="16">
        <f t="shared" si="141"/>
        <v>0.97247982814628531</v>
      </c>
      <c r="AD111" s="16">
        <f t="shared" si="141"/>
        <v>1.1854618839919275</v>
      </c>
      <c r="AE111" s="16">
        <f t="shared" si="141"/>
        <v>1.191832138433242</v>
      </c>
      <c r="AF111" s="16">
        <f t="shared" si="141"/>
        <v>1.1588834809124493</v>
      </c>
      <c r="AG111" s="16">
        <f t="shared" si="141"/>
        <v>0.95811167265150499</v>
      </c>
      <c r="AH111" s="16">
        <f t="shared" si="141"/>
        <v>0.96539338831033461</v>
      </c>
      <c r="AI111" s="16">
        <f t="shared" si="141"/>
        <v>0.96058565240609983</v>
      </c>
      <c r="AJ111" s="16">
        <f t="shared" si="141"/>
        <v>1.1626971179989125</v>
      </c>
      <c r="AK111" s="16">
        <f t="shared" si="141"/>
        <v>1.1679855147439213</v>
      </c>
      <c r="AL111" s="16">
        <f t="shared" si="141"/>
        <v>1.1399833031061979</v>
      </c>
      <c r="AM111" s="16">
        <f t="shared" si="141"/>
        <v>1.126142039566431</v>
      </c>
      <c r="AN111" s="16">
        <f t="shared" si="141"/>
        <v>1.1051546949372564</v>
      </c>
      <c r="AO111" s="16">
        <f t="shared" si="141"/>
        <v>0.92104044801766438</v>
      </c>
      <c r="AP111" s="16">
        <f t="shared" si="141"/>
        <v>0.92482324734871024</v>
      </c>
      <c r="AQ111" s="16">
        <f t="shared" si="141"/>
        <v>0.9268074445239799</v>
      </c>
      <c r="AR111" s="16">
        <f t="shared" si="141"/>
        <v>0.94377809843941585</v>
      </c>
      <c r="AS111" s="16">
        <f t="shared" si="141"/>
        <v>0.9529617293625916</v>
      </c>
      <c r="AT111" s="16">
        <f t="shared" si="141"/>
        <v>0.95519748946643179</v>
      </c>
      <c r="AU111" s="16">
        <f t="shared" si="141"/>
        <v>0.97147160630898333</v>
      </c>
      <c r="AW111" s="16" t="e">
        <f t="shared" si="28"/>
        <v>#VALUE!</v>
      </c>
      <c r="AX111" s="16">
        <f t="shared" si="57"/>
        <v>0.58690076831511739</v>
      </c>
      <c r="AY111" s="16">
        <f t="shared" si="58"/>
        <v>0.58348789688777103</v>
      </c>
      <c r="AZ111" s="16">
        <f t="shared" si="59"/>
        <v>0.59273094199596377</v>
      </c>
      <c r="BA111" s="16">
        <f t="shared" si="60"/>
        <v>0.59591606921662099</v>
      </c>
      <c r="BB111" s="16">
        <f t="shared" si="61"/>
        <v>0.57944174045622465</v>
      </c>
      <c r="BC111" s="16">
        <f t="shared" si="62"/>
        <v>0.57486700359090304</v>
      </c>
      <c r="BD111" s="16">
        <f t="shared" si="63"/>
        <v>0.57923603298620063</v>
      </c>
      <c r="BE111" s="16">
        <f t="shared" si="64"/>
        <v>0.57635139144365988</v>
      </c>
      <c r="BF111" s="16">
        <f t="shared" si="65"/>
        <v>0.58134855899945626</v>
      </c>
      <c r="BG111" s="16">
        <f t="shared" si="66"/>
        <v>0.58399275737196066</v>
      </c>
      <c r="BH111" s="16">
        <f t="shared" si="67"/>
        <v>0.56999165155309894</v>
      </c>
      <c r="BI111" s="16">
        <f t="shared" si="68"/>
        <v>0.5630710197832155</v>
      </c>
      <c r="BJ111" s="16">
        <f t="shared" si="69"/>
        <v>0.55257734746862819</v>
      </c>
      <c r="BK111" s="16">
        <f t="shared" si="70"/>
        <v>0.55262426881059856</v>
      </c>
      <c r="BL111" s="16">
        <f t="shared" si="71"/>
        <v>0.55489394840922601</v>
      </c>
      <c r="BM111" s="16">
        <f t="shared" si="72"/>
        <v>0.55608446671438794</v>
      </c>
      <c r="BN111" s="16">
        <f t="shared" si="73"/>
        <v>0.56626685906364949</v>
      </c>
      <c r="BO111" s="16">
        <f t="shared" si="74"/>
        <v>0.38118469174503666</v>
      </c>
      <c r="BP111" s="16">
        <f t="shared" si="75"/>
        <v>0.57311849367985912</v>
      </c>
      <c r="BQ111" s="16">
        <f t="shared" si="76"/>
        <v>0.58288296378538995</v>
      </c>
      <c r="BS111" s="16" t="e">
        <f t="shared" si="30"/>
        <v>#VALUE!</v>
      </c>
      <c r="BT111" s="16">
        <f t="shared" si="77"/>
        <v>0.391267178876745</v>
      </c>
      <c r="BU111" s="16">
        <f t="shared" si="78"/>
        <v>0.38899193125851411</v>
      </c>
      <c r="BV111" s="16">
        <f t="shared" si="79"/>
        <v>0.59273094199596377</v>
      </c>
      <c r="BW111" s="16">
        <f t="shared" si="80"/>
        <v>0.39727737947774727</v>
      </c>
      <c r="BX111" s="16">
        <f t="shared" si="81"/>
        <v>0.38629449363748319</v>
      </c>
      <c r="BY111" s="16">
        <f t="shared" si="82"/>
        <v>0.38324466906060201</v>
      </c>
      <c r="BZ111" s="16">
        <f t="shared" si="83"/>
        <v>0.38615735532413381</v>
      </c>
      <c r="CA111" s="16">
        <f t="shared" si="84"/>
        <v>0.38423426096244001</v>
      </c>
      <c r="CB111" s="16">
        <f t="shared" si="85"/>
        <v>0.58134855899945626</v>
      </c>
      <c r="CC111" s="16">
        <f t="shared" si="86"/>
        <v>0.58399275737196066</v>
      </c>
      <c r="CD111" s="16">
        <f t="shared" si="87"/>
        <v>0.3799944343687327</v>
      </c>
      <c r="CE111" s="16">
        <f t="shared" si="88"/>
        <v>0.37538067985547702</v>
      </c>
      <c r="CF111" s="16">
        <f t="shared" si="89"/>
        <v>0.36838489831241883</v>
      </c>
      <c r="CG111" s="16">
        <f t="shared" si="90"/>
        <v>0.36841617920706571</v>
      </c>
      <c r="CH111" s="16">
        <f t="shared" si="91"/>
        <v>0.36992929893948406</v>
      </c>
      <c r="CI111" s="16">
        <f t="shared" si="92"/>
        <v>0.37072297780959201</v>
      </c>
      <c r="CJ111" s="16">
        <f t="shared" si="93"/>
        <v>0.37751123937576636</v>
      </c>
      <c r="CK111" s="16">
        <f t="shared" si="94"/>
        <v>0.38118469174503666</v>
      </c>
      <c r="CL111" s="16">
        <f t="shared" si="95"/>
        <v>0.57311849367985912</v>
      </c>
      <c r="CM111" s="16">
        <f t="shared" si="96"/>
        <v>0.38858864252359337</v>
      </c>
      <c r="CO111" s="16" t="e">
        <f t="shared" si="32"/>
        <v>#VALUE!</v>
      </c>
      <c r="CP111" s="16">
        <f t="shared" si="97"/>
        <v>0.1956335894383725</v>
      </c>
      <c r="CQ111" s="16">
        <f t="shared" si="98"/>
        <v>0.19449596562925706</v>
      </c>
      <c r="CR111" s="16">
        <f t="shared" si="99"/>
        <v>0.19757698066532126</v>
      </c>
      <c r="CS111" s="16">
        <f t="shared" si="100"/>
        <v>0.19863868973887364</v>
      </c>
      <c r="CT111" s="16">
        <f t="shared" si="101"/>
        <v>0.1931472468187416</v>
      </c>
      <c r="CU111" s="16">
        <f t="shared" si="102"/>
        <v>0.191622334530301</v>
      </c>
      <c r="CV111" s="16">
        <f t="shared" si="103"/>
        <v>0.19307867766206691</v>
      </c>
      <c r="CW111" s="16">
        <f t="shared" si="104"/>
        <v>0.19211713048122001</v>
      </c>
      <c r="CX111" s="16">
        <f t="shared" si="105"/>
        <v>0.19378285299981876</v>
      </c>
      <c r="CY111" s="16">
        <f t="shared" si="106"/>
        <v>0.19466425245732022</v>
      </c>
      <c r="CZ111" s="16">
        <f t="shared" si="107"/>
        <v>0.18999721718436635</v>
      </c>
      <c r="DA111" s="16">
        <f t="shared" si="108"/>
        <v>0.18769033992773851</v>
      </c>
      <c r="DB111" s="16">
        <f t="shared" si="109"/>
        <v>0.18419244915620941</v>
      </c>
      <c r="DC111" s="16">
        <f t="shared" si="110"/>
        <v>0.18420808960353285</v>
      </c>
      <c r="DD111" s="16">
        <f t="shared" si="111"/>
        <v>0.18496464946974203</v>
      </c>
      <c r="DE111" s="16">
        <f t="shared" si="112"/>
        <v>0.18536148890479601</v>
      </c>
      <c r="DF111" s="16">
        <f t="shared" si="113"/>
        <v>0.18875561968788318</v>
      </c>
      <c r="DG111" s="16">
        <f t="shared" si="114"/>
        <v>0.19059234587251833</v>
      </c>
      <c r="DH111" s="16">
        <f t="shared" si="115"/>
        <v>0.19103949789328636</v>
      </c>
      <c r="DI111" s="16">
        <f t="shared" si="116"/>
        <v>0.19429432126179669</v>
      </c>
      <c r="EG111" s="16" t="e">
        <f t="shared" si="34"/>
        <v>#VALUE!</v>
      </c>
      <c r="EH111" s="16">
        <f t="shared" si="117"/>
        <v>0.1956335894383725</v>
      </c>
      <c r="EI111" s="16">
        <f t="shared" si="118"/>
        <v>0.19449596562925706</v>
      </c>
      <c r="EJ111" s="16">
        <f t="shared" si="119"/>
        <v>0.19757698066532126</v>
      </c>
      <c r="EK111" s="16">
        <f t="shared" si="120"/>
        <v>0.19863868973887364</v>
      </c>
      <c r="EL111" s="16">
        <f t="shared" si="121"/>
        <v>0.1931472468187416</v>
      </c>
      <c r="EM111" s="16">
        <f t="shared" si="122"/>
        <v>0.191622334530301</v>
      </c>
      <c r="EN111" s="16">
        <f t="shared" si="123"/>
        <v>0.19307867766206691</v>
      </c>
      <c r="EO111" s="16">
        <f t="shared" si="124"/>
        <v>0.19211713048122001</v>
      </c>
      <c r="EP111" s="16">
        <f t="shared" si="125"/>
        <v>0.19378285299981876</v>
      </c>
      <c r="EQ111" s="16">
        <f t="shared" si="126"/>
        <v>0.19466425245732022</v>
      </c>
      <c r="ER111" s="16">
        <f t="shared" si="127"/>
        <v>0.18999721718436635</v>
      </c>
      <c r="ES111" s="16">
        <f t="shared" si="128"/>
        <v>0.37538067985547702</v>
      </c>
      <c r="ET111" s="16">
        <f t="shared" si="129"/>
        <v>0.18419244915620941</v>
      </c>
      <c r="EU111" s="16">
        <f t="shared" si="130"/>
        <v>0.18420808960353285</v>
      </c>
      <c r="EV111" s="16">
        <f t="shared" si="131"/>
        <v>0.18496464946974203</v>
      </c>
      <c r="EW111" s="16">
        <f t="shared" si="132"/>
        <v>0.18536148890479601</v>
      </c>
      <c r="EX111" s="16">
        <f t="shared" si="133"/>
        <v>0</v>
      </c>
      <c r="EY111" s="16">
        <f t="shared" si="134"/>
        <v>0</v>
      </c>
      <c r="EZ111" s="16">
        <f t="shared" si="135"/>
        <v>0</v>
      </c>
      <c r="FA111" s="16">
        <f t="shared" si="136"/>
        <v>0</v>
      </c>
    </row>
    <row r="112" spans="1:157">
      <c r="A112" t="s">
        <v>55</v>
      </c>
      <c r="B112" t="s">
        <v>452</v>
      </c>
      <c r="C112" t="s">
        <v>2085</v>
      </c>
      <c r="D112" s="16">
        <f t="shared" si="25"/>
        <v>2.7814406337842703</v>
      </c>
      <c r="E112" s="16">
        <f t="shared" si="36"/>
        <v>2.7811384499351686</v>
      </c>
      <c r="F112" s="16">
        <f t="shared" si="37"/>
        <v>3.0220626580503702</v>
      </c>
      <c r="G112" s="16">
        <f t="shared" si="38"/>
        <v>3.2484072785223832</v>
      </c>
      <c r="H112" s="16">
        <f t="shared" si="39"/>
        <v>3.0367903546207144</v>
      </c>
      <c r="I112" s="16">
        <f t="shared" si="40"/>
        <v>3.0037012383953594</v>
      </c>
      <c r="J112" s="16">
        <f t="shared" si="41"/>
        <v>2.9742988648799433</v>
      </c>
      <c r="K112" s="16">
        <f t="shared" si="42"/>
        <v>3.0042494276839018</v>
      </c>
      <c r="L112" s="16">
        <f t="shared" si="43"/>
        <v>2.9980468260170396</v>
      </c>
      <c r="M112" s="16">
        <f t="shared" si="44"/>
        <v>3.401556366356778</v>
      </c>
      <c r="N112" s="16">
        <f t="shared" si="45"/>
        <v>3.4003340193494638</v>
      </c>
      <c r="O112" s="16">
        <f t="shared" si="46"/>
        <v>3.128905440968297</v>
      </c>
      <c r="P112" s="16">
        <f t="shared" si="47"/>
        <v>3.0694513326353303</v>
      </c>
      <c r="Q112" s="16">
        <f t="shared" si="48"/>
        <v>3.010713238234902</v>
      </c>
      <c r="R112" s="16">
        <f t="shared" si="49"/>
        <v>3.0013717038097067</v>
      </c>
      <c r="S112" s="16">
        <f t="shared" si="50"/>
        <v>3.0090747330960852</v>
      </c>
      <c r="T112" s="16">
        <f t="shared" si="51"/>
        <v>3.0161141439624695</v>
      </c>
      <c r="U112" s="16">
        <f t="shared" si="52"/>
        <v>2.9881339121668864</v>
      </c>
      <c r="V112" s="16">
        <f t="shared" si="53"/>
        <v>2.9987438142367719</v>
      </c>
      <c r="W112" s="16">
        <f t="shared" si="54"/>
        <v>3.061497783531443</v>
      </c>
      <c r="X112" s="15">
        <f t="shared" si="55"/>
        <v>3.4199152717332959</v>
      </c>
      <c r="Y112" s="88"/>
      <c r="AA112" s="16">
        <f t="shared" ref="AA112:AU112" si="142">AA13/AA46*100</f>
        <v>1.7880689788613169</v>
      </c>
      <c r="AB112" s="16">
        <f t="shared" si="142"/>
        <v>1.7878747178154657</v>
      </c>
      <c r="AC112" s="16">
        <f t="shared" si="142"/>
        <v>1.813237594830222</v>
      </c>
      <c r="AD112" s="16">
        <f t="shared" si="142"/>
        <v>1.8272290941688407</v>
      </c>
      <c r="AE112" s="16">
        <f t="shared" si="142"/>
        <v>1.8220742127724288</v>
      </c>
      <c r="AF112" s="16">
        <f t="shared" si="142"/>
        <v>1.8022207430372157</v>
      </c>
      <c r="AG112" s="16">
        <f t="shared" si="142"/>
        <v>1.784579318927966</v>
      </c>
      <c r="AH112" s="16">
        <f t="shared" si="142"/>
        <v>1.8025496566103412</v>
      </c>
      <c r="AI112" s="16">
        <f t="shared" si="142"/>
        <v>1.7988280956102238</v>
      </c>
      <c r="AJ112" s="16">
        <f t="shared" si="142"/>
        <v>2.0009155096216342</v>
      </c>
      <c r="AK112" s="16">
        <f t="shared" si="142"/>
        <v>2.0001964819702724</v>
      </c>
      <c r="AL112" s="16">
        <f t="shared" si="142"/>
        <v>1.760009310544667</v>
      </c>
      <c r="AM112" s="16">
        <f t="shared" si="142"/>
        <v>1.7265663746073734</v>
      </c>
      <c r="AN112" s="16">
        <f t="shared" si="142"/>
        <v>1.6935261965071324</v>
      </c>
      <c r="AO112" s="16">
        <f t="shared" si="142"/>
        <v>1.6882715833929598</v>
      </c>
      <c r="AP112" s="16">
        <f t="shared" si="142"/>
        <v>1.6926045373665477</v>
      </c>
      <c r="AQ112" s="16">
        <f t="shared" si="142"/>
        <v>1.6965642059788892</v>
      </c>
      <c r="AR112" s="16">
        <f t="shared" si="142"/>
        <v>1.6808253255938734</v>
      </c>
      <c r="AS112" s="16">
        <f t="shared" si="142"/>
        <v>1.6867933955081842</v>
      </c>
      <c r="AT112" s="16">
        <f t="shared" si="142"/>
        <v>1.7220925032364367</v>
      </c>
      <c r="AU112" s="16">
        <f t="shared" si="142"/>
        <v>1.89995292874072</v>
      </c>
      <c r="AW112" s="16">
        <f t="shared" si="28"/>
        <v>0.19867433098459075</v>
      </c>
      <c r="AX112" s="16">
        <f t="shared" si="57"/>
        <v>0.3973054928478813</v>
      </c>
      <c r="AY112" s="16">
        <f t="shared" si="58"/>
        <v>0.40294168774004935</v>
      </c>
      <c r="AZ112" s="16">
        <f t="shared" si="59"/>
        <v>0.4060509098152979</v>
      </c>
      <c r="BA112" s="16">
        <f t="shared" si="60"/>
        <v>0.40490538061609527</v>
      </c>
      <c r="BB112" s="16">
        <f t="shared" si="61"/>
        <v>0.40049349845271454</v>
      </c>
      <c r="BC112" s="16">
        <f t="shared" si="62"/>
        <v>0.39657318198399244</v>
      </c>
      <c r="BD112" s="16">
        <f t="shared" si="63"/>
        <v>0.60084988553678031</v>
      </c>
      <c r="BE112" s="16">
        <f t="shared" si="64"/>
        <v>0.59960936520340791</v>
      </c>
      <c r="BF112" s="16">
        <f t="shared" si="65"/>
        <v>0.60027465288649029</v>
      </c>
      <c r="BG112" s="16">
        <f t="shared" si="66"/>
        <v>0.60005894459108189</v>
      </c>
      <c r="BH112" s="16">
        <f t="shared" si="67"/>
        <v>0.58666977018155564</v>
      </c>
      <c r="BI112" s="16">
        <f t="shared" si="68"/>
        <v>0.57552212486912446</v>
      </c>
      <c r="BJ112" s="16">
        <f t="shared" si="69"/>
        <v>0.56450873216904407</v>
      </c>
      <c r="BK112" s="16">
        <f t="shared" si="70"/>
        <v>0.56275719446431993</v>
      </c>
      <c r="BL112" s="16">
        <f t="shared" si="71"/>
        <v>0.56420151245551586</v>
      </c>
      <c r="BM112" s="16">
        <f t="shared" si="72"/>
        <v>0.56552140199296308</v>
      </c>
      <c r="BN112" s="16">
        <f t="shared" si="73"/>
        <v>0.56027510853129103</v>
      </c>
      <c r="BO112" s="16">
        <f t="shared" si="74"/>
        <v>0.56226446516939477</v>
      </c>
      <c r="BP112" s="16">
        <f t="shared" si="75"/>
        <v>0.57403083441214553</v>
      </c>
      <c r="BQ112" s="16">
        <f t="shared" si="76"/>
        <v>0.56998587862221595</v>
      </c>
      <c r="BS112" s="16">
        <f t="shared" si="30"/>
        <v>0.3973486619691815</v>
      </c>
      <c r="BT112" s="16">
        <f t="shared" si="77"/>
        <v>0.3973054928478813</v>
      </c>
      <c r="BU112" s="16">
        <f t="shared" si="78"/>
        <v>0.40294168774004935</v>
      </c>
      <c r="BV112" s="16">
        <f t="shared" si="79"/>
        <v>0.4060509098152979</v>
      </c>
      <c r="BW112" s="16">
        <f t="shared" si="80"/>
        <v>0.40490538061609527</v>
      </c>
      <c r="BX112" s="16">
        <f t="shared" si="81"/>
        <v>0.40049349845271454</v>
      </c>
      <c r="BY112" s="16">
        <f t="shared" si="82"/>
        <v>0.39657318198399244</v>
      </c>
      <c r="BZ112" s="16">
        <f t="shared" si="83"/>
        <v>0.40056659035785358</v>
      </c>
      <c r="CA112" s="16">
        <f t="shared" si="84"/>
        <v>0.3997395768022719</v>
      </c>
      <c r="CB112" s="16">
        <f t="shared" si="85"/>
        <v>0.40018310192432682</v>
      </c>
      <c r="CC112" s="16">
        <f t="shared" si="86"/>
        <v>0.40003929639405456</v>
      </c>
      <c r="CD112" s="16">
        <f t="shared" si="87"/>
        <v>0.39111318012103713</v>
      </c>
      <c r="CE112" s="16">
        <f t="shared" si="88"/>
        <v>0.38368141657941629</v>
      </c>
      <c r="CF112" s="16">
        <f t="shared" si="89"/>
        <v>0.37633915477936275</v>
      </c>
      <c r="CG112" s="16">
        <f t="shared" si="90"/>
        <v>0.37517146297621334</v>
      </c>
      <c r="CH112" s="16">
        <f t="shared" si="91"/>
        <v>0.37613434163701065</v>
      </c>
      <c r="CI112" s="16">
        <f t="shared" si="92"/>
        <v>0.37701426799530868</v>
      </c>
      <c r="CJ112" s="16">
        <f t="shared" si="93"/>
        <v>0.3735167390208608</v>
      </c>
      <c r="CK112" s="16">
        <f t="shared" si="94"/>
        <v>0.37484297677959649</v>
      </c>
      <c r="CL112" s="16">
        <f t="shared" si="95"/>
        <v>0.38268722294143037</v>
      </c>
      <c r="CM112" s="16">
        <f t="shared" si="96"/>
        <v>0.37999058574814404</v>
      </c>
      <c r="CO112" s="16">
        <f t="shared" si="32"/>
        <v>0.19867433098459075</v>
      </c>
      <c r="CP112" s="16">
        <f t="shared" si="97"/>
        <v>0.19865274642394065</v>
      </c>
      <c r="CQ112" s="16">
        <f t="shared" si="98"/>
        <v>0.20147084387002467</v>
      </c>
      <c r="CR112" s="16">
        <f t="shared" si="99"/>
        <v>0.20302545490764895</v>
      </c>
      <c r="CS112" s="16">
        <f t="shared" si="100"/>
        <v>0.20245269030804763</v>
      </c>
      <c r="CT112" s="16">
        <f t="shared" si="101"/>
        <v>0.20024674922635727</v>
      </c>
      <c r="CU112" s="16">
        <f t="shared" si="102"/>
        <v>0.19828659099199622</v>
      </c>
      <c r="CV112" s="16">
        <f t="shared" si="103"/>
        <v>0.20028329517892679</v>
      </c>
      <c r="CW112" s="16">
        <f t="shared" si="104"/>
        <v>0.19986978840113595</v>
      </c>
      <c r="CX112" s="16">
        <f t="shared" si="105"/>
        <v>0.20009155096216341</v>
      </c>
      <c r="CY112" s="16">
        <f t="shared" si="106"/>
        <v>0.40003929639405456</v>
      </c>
      <c r="CZ112" s="16">
        <f t="shared" si="107"/>
        <v>0.19555659006051856</v>
      </c>
      <c r="DA112" s="16">
        <f t="shared" si="108"/>
        <v>0.19184070828970815</v>
      </c>
      <c r="DB112" s="16">
        <f t="shared" si="109"/>
        <v>0.37633915477936275</v>
      </c>
      <c r="DC112" s="16">
        <f t="shared" si="110"/>
        <v>0.37517146297621334</v>
      </c>
      <c r="DD112" s="16">
        <f t="shared" si="111"/>
        <v>0.37613434163701065</v>
      </c>
      <c r="DE112" s="16">
        <f t="shared" si="112"/>
        <v>0.37701426799530868</v>
      </c>
      <c r="DF112" s="16">
        <f t="shared" si="113"/>
        <v>0.3735167390208608</v>
      </c>
      <c r="DG112" s="16">
        <f t="shared" si="114"/>
        <v>0.37484297677959649</v>
      </c>
      <c r="DH112" s="16">
        <f t="shared" si="115"/>
        <v>0.38268722294143037</v>
      </c>
      <c r="DI112" s="16">
        <f t="shared" si="116"/>
        <v>0.37999058574814404</v>
      </c>
      <c r="EG112" s="16">
        <f t="shared" si="34"/>
        <v>0</v>
      </c>
      <c r="EH112" s="16">
        <f t="shared" si="117"/>
        <v>0</v>
      </c>
      <c r="EI112" s="16">
        <f t="shared" si="118"/>
        <v>0</v>
      </c>
      <c r="EJ112" s="16">
        <f t="shared" si="119"/>
        <v>0</v>
      </c>
      <c r="EK112" s="16">
        <f t="shared" si="120"/>
        <v>0</v>
      </c>
      <c r="EL112" s="16">
        <f t="shared" si="121"/>
        <v>0</v>
      </c>
      <c r="EM112" s="16">
        <f t="shared" si="122"/>
        <v>0</v>
      </c>
      <c r="EN112" s="16">
        <f t="shared" si="123"/>
        <v>0</v>
      </c>
      <c r="EO112" s="16">
        <f t="shared" si="124"/>
        <v>0</v>
      </c>
      <c r="EP112" s="16">
        <f t="shared" si="125"/>
        <v>0</v>
      </c>
      <c r="EQ112" s="16">
        <f t="shared" si="126"/>
        <v>0</v>
      </c>
      <c r="ER112" s="16">
        <f t="shared" si="127"/>
        <v>0</v>
      </c>
      <c r="ES112" s="16">
        <f t="shared" si="128"/>
        <v>0</v>
      </c>
      <c r="ET112" s="16">
        <f t="shared" si="129"/>
        <v>0</v>
      </c>
      <c r="EU112" s="16">
        <f t="shared" si="130"/>
        <v>0</v>
      </c>
      <c r="EV112" s="16">
        <f t="shared" si="131"/>
        <v>0</v>
      </c>
      <c r="EW112" s="16">
        <f t="shared" si="132"/>
        <v>0</v>
      </c>
      <c r="EX112" s="16">
        <f t="shared" si="133"/>
        <v>0</v>
      </c>
      <c r="EY112" s="16">
        <f t="shared" si="134"/>
        <v>0</v>
      </c>
      <c r="EZ112" s="16">
        <f t="shared" si="135"/>
        <v>0</v>
      </c>
      <c r="FA112" s="16">
        <f t="shared" si="136"/>
        <v>0.18999529287407202</v>
      </c>
    </row>
    <row r="113" spans="1:157">
      <c r="A113" t="s">
        <v>56</v>
      </c>
      <c r="B113" t="s">
        <v>457</v>
      </c>
      <c r="C113" t="s">
        <v>2085</v>
      </c>
      <c r="D113" s="16">
        <f t="shared" si="25"/>
        <v>3.4652219273961014</v>
      </c>
      <c r="E113" s="16">
        <f t="shared" si="36"/>
        <v>3.6043500261300196</v>
      </c>
      <c r="F113" s="16">
        <f t="shared" si="37"/>
        <v>3.6366486505490148</v>
      </c>
      <c r="G113" s="16">
        <f t="shared" si="38"/>
        <v>3.5874447463400787</v>
      </c>
      <c r="H113" s="16">
        <f t="shared" si="39"/>
        <v>3.6817716284372644</v>
      </c>
      <c r="I113" s="16">
        <f t="shared" si="40"/>
        <v>3.6780458206673194</v>
      </c>
      <c r="J113" s="16">
        <f t="shared" si="41"/>
        <v>3.4417732113480906</v>
      </c>
      <c r="K113" s="16">
        <f t="shared" si="42"/>
        <v>3.4357445911644238</v>
      </c>
      <c r="L113" s="16">
        <f t="shared" si="43"/>
        <v>3.4026697666960635</v>
      </c>
      <c r="M113" s="16">
        <f t="shared" si="44"/>
        <v>3.5516137229987295</v>
      </c>
      <c r="N113" s="16">
        <f t="shared" si="45"/>
        <v>3.6560511824354429</v>
      </c>
      <c r="O113" s="16">
        <f t="shared" si="46"/>
        <v>3.3816602219655505</v>
      </c>
      <c r="P113" s="16">
        <f t="shared" si="47"/>
        <v>3.3387371391044187</v>
      </c>
      <c r="Q113" s="16">
        <f t="shared" si="48"/>
        <v>3.5567855646136937</v>
      </c>
      <c r="R113" s="16">
        <f t="shared" si="49"/>
        <v>3.5648469073224192</v>
      </c>
      <c r="S113" s="16">
        <f t="shared" si="50"/>
        <v>3.3258136365634572</v>
      </c>
      <c r="T113" s="16">
        <f t="shared" si="51"/>
        <v>3.2956789907131592</v>
      </c>
      <c r="U113" s="16">
        <f t="shared" si="52"/>
        <v>3.5156032900002012</v>
      </c>
      <c r="V113" s="16">
        <f t="shared" si="53"/>
        <v>3.460315299406004</v>
      </c>
      <c r="W113" s="16">
        <f t="shared" si="54"/>
        <v>3.4436485314165322</v>
      </c>
      <c r="X113" s="15">
        <f t="shared" si="55"/>
        <v>3.65364001301942</v>
      </c>
      <c r="Y113" s="88"/>
      <c r="AA113" s="16">
        <f t="shared" ref="AA113:AU113" si="143">AA14/AA47*100</f>
        <v>1.7326109636980507</v>
      </c>
      <c r="AB113" s="16">
        <f t="shared" si="143"/>
        <v>1.8021750130650098</v>
      </c>
      <c r="AC113" s="16">
        <f t="shared" si="143"/>
        <v>1.8183243252745074</v>
      </c>
      <c r="AD113" s="16">
        <f t="shared" si="143"/>
        <v>1.7937223731700394</v>
      </c>
      <c r="AE113" s="16">
        <f t="shared" si="143"/>
        <v>1.8408858142186322</v>
      </c>
      <c r="AF113" s="16">
        <f t="shared" si="143"/>
        <v>1.8390229103336597</v>
      </c>
      <c r="AG113" s="16">
        <f t="shared" si="143"/>
        <v>1.6061608319624423</v>
      </c>
      <c r="AH113" s="16">
        <f t="shared" si="143"/>
        <v>1.6033474758767308</v>
      </c>
      <c r="AI113" s="16">
        <f t="shared" si="143"/>
        <v>1.5879125577914963</v>
      </c>
      <c r="AJ113" s="16">
        <f t="shared" si="143"/>
        <v>1.7758068614993647</v>
      </c>
      <c r="AK113" s="16">
        <f t="shared" si="143"/>
        <v>1.5995223923155062</v>
      </c>
      <c r="AL113" s="16">
        <f t="shared" si="143"/>
        <v>1.5781081035839233</v>
      </c>
      <c r="AM113" s="16">
        <f t="shared" si="143"/>
        <v>1.558077331582062</v>
      </c>
      <c r="AN113" s="16">
        <f t="shared" si="143"/>
        <v>1.7783927823068468</v>
      </c>
      <c r="AO113" s="16">
        <f t="shared" si="143"/>
        <v>1.5596205219535582</v>
      </c>
      <c r="AP113" s="16">
        <f t="shared" si="143"/>
        <v>1.5520463637296134</v>
      </c>
      <c r="AQ113" s="16">
        <f t="shared" si="143"/>
        <v>1.5379835289994741</v>
      </c>
      <c r="AR113" s="16">
        <f t="shared" si="143"/>
        <v>1.7578016450001006</v>
      </c>
      <c r="AS113" s="16">
        <f t="shared" si="143"/>
        <v>1.730157649703002</v>
      </c>
      <c r="AT113" s="16">
        <f t="shared" si="143"/>
        <v>1.7218242657082661</v>
      </c>
      <c r="AU113" s="16">
        <f t="shared" si="143"/>
        <v>1.719360006126786</v>
      </c>
      <c r="AW113" s="16">
        <f t="shared" si="28"/>
        <v>0.43315274092451267</v>
      </c>
      <c r="AX113" s="16">
        <f t="shared" si="57"/>
        <v>0.45054375326625246</v>
      </c>
      <c r="AY113" s="16">
        <f t="shared" si="58"/>
        <v>0.45458108131862685</v>
      </c>
      <c r="AZ113" s="16">
        <f t="shared" si="59"/>
        <v>0.44843059329250984</v>
      </c>
      <c r="BA113" s="16">
        <f t="shared" si="60"/>
        <v>0.46022145355465804</v>
      </c>
      <c r="BB113" s="16">
        <f t="shared" si="61"/>
        <v>0.45975572758341493</v>
      </c>
      <c r="BC113" s="16">
        <f t="shared" si="62"/>
        <v>0.45890309484641217</v>
      </c>
      <c r="BD113" s="16">
        <f t="shared" si="63"/>
        <v>0.45809927882192319</v>
      </c>
      <c r="BE113" s="16">
        <f t="shared" si="64"/>
        <v>0.45368930222614184</v>
      </c>
      <c r="BF113" s="16">
        <f t="shared" si="65"/>
        <v>0.44395171537484118</v>
      </c>
      <c r="BG113" s="16">
        <f t="shared" si="66"/>
        <v>0.45700639780443036</v>
      </c>
      <c r="BH113" s="16">
        <f t="shared" si="67"/>
        <v>0.45088802959540675</v>
      </c>
      <c r="BI113" s="16">
        <f t="shared" si="68"/>
        <v>0.44516495188058924</v>
      </c>
      <c r="BJ113" s="16">
        <f t="shared" si="69"/>
        <v>0.44459819557671171</v>
      </c>
      <c r="BK113" s="16">
        <f t="shared" si="70"/>
        <v>0.44560586341530239</v>
      </c>
      <c r="BL113" s="16">
        <f t="shared" si="71"/>
        <v>0.44344181820846096</v>
      </c>
      <c r="BM113" s="16">
        <f t="shared" si="72"/>
        <v>0.43942386542842116</v>
      </c>
      <c r="BN113" s="16">
        <f t="shared" si="73"/>
        <v>0.43945041125002515</v>
      </c>
      <c r="BO113" s="16">
        <f t="shared" si="74"/>
        <v>0.64880911863862578</v>
      </c>
      <c r="BP113" s="16">
        <f t="shared" si="75"/>
        <v>0.64568409964059981</v>
      </c>
      <c r="BQ113" s="16">
        <f t="shared" si="76"/>
        <v>0.64476000229754471</v>
      </c>
      <c r="BS113" s="16">
        <f t="shared" si="30"/>
        <v>0.86630548184902534</v>
      </c>
      <c r="BT113" s="16">
        <f t="shared" si="77"/>
        <v>0.90108750653250491</v>
      </c>
      <c r="BU113" s="16">
        <f t="shared" si="78"/>
        <v>0.90916216263725369</v>
      </c>
      <c r="BV113" s="16">
        <f t="shared" si="79"/>
        <v>0.89686118658501968</v>
      </c>
      <c r="BW113" s="16">
        <f t="shared" si="80"/>
        <v>0.92044290710931609</v>
      </c>
      <c r="BX113" s="16">
        <f t="shared" si="81"/>
        <v>0.91951145516682986</v>
      </c>
      <c r="BY113" s="16">
        <f t="shared" si="82"/>
        <v>0.91780618969282435</v>
      </c>
      <c r="BZ113" s="16">
        <f t="shared" si="83"/>
        <v>0.91619855764384639</v>
      </c>
      <c r="CA113" s="16">
        <f t="shared" si="84"/>
        <v>0.90737860445228369</v>
      </c>
      <c r="CB113" s="16">
        <f t="shared" si="85"/>
        <v>0.88790343074968237</v>
      </c>
      <c r="CC113" s="16">
        <f t="shared" si="86"/>
        <v>0.91401279560886073</v>
      </c>
      <c r="CD113" s="16">
        <f t="shared" si="87"/>
        <v>0.90177605919081349</v>
      </c>
      <c r="CE113" s="16">
        <f t="shared" si="88"/>
        <v>0.89032990376117849</v>
      </c>
      <c r="CF113" s="16">
        <f t="shared" si="89"/>
        <v>0.88919639115342342</v>
      </c>
      <c r="CG113" s="16">
        <f t="shared" si="90"/>
        <v>0.89121172683060479</v>
      </c>
      <c r="CH113" s="16">
        <f t="shared" si="91"/>
        <v>0.88688363641692192</v>
      </c>
      <c r="CI113" s="16">
        <f t="shared" si="92"/>
        <v>0.87884773085684231</v>
      </c>
      <c r="CJ113" s="16">
        <f t="shared" si="93"/>
        <v>0.8789008225000503</v>
      </c>
      <c r="CK113" s="16">
        <f t="shared" si="94"/>
        <v>0.865078824851501</v>
      </c>
      <c r="CL113" s="16">
        <f t="shared" si="95"/>
        <v>0.86091213285413304</v>
      </c>
      <c r="CM113" s="16">
        <f t="shared" si="96"/>
        <v>0.85968000306339298</v>
      </c>
      <c r="CO113" s="16">
        <f t="shared" si="32"/>
        <v>0.21657637046225633</v>
      </c>
      <c r="CP113" s="16">
        <f t="shared" si="97"/>
        <v>0.22527187663312623</v>
      </c>
      <c r="CQ113" s="16">
        <f t="shared" si="98"/>
        <v>0.22729054065931342</v>
      </c>
      <c r="CR113" s="16">
        <f t="shared" si="99"/>
        <v>0.22421529664625492</v>
      </c>
      <c r="CS113" s="16">
        <f t="shared" si="100"/>
        <v>0.23011072677732902</v>
      </c>
      <c r="CT113" s="16">
        <f t="shared" si="101"/>
        <v>0.22987786379170747</v>
      </c>
      <c r="CU113" s="16">
        <f t="shared" si="102"/>
        <v>0.22945154742320609</v>
      </c>
      <c r="CV113" s="16">
        <f t="shared" si="103"/>
        <v>0.2290496394109616</v>
      </c>
      <c r="CW113" s="16">
        <f t="shared" si="104"/>
        <v>0.22684465111307092</v>
      </c>
      <c r="CX113" s="16">
        <f t="shared" si="105"/>
        <v>0.22197585768742059</v>
      </c>
      <c r="CY113" s="16">
        <f t="shared" si="106"/>
        <v>0.22850319890221518</v>
      </c>
      <c r="CZ113" s="16">
        <f t="shared" si="107"/>
        <v>0.22544401479770337</v>
      </c>
      <c r="DA113" s="16">
        <f t="shared" si="108"/>
        <v>0.22258247594029462</v>
      </c>
      <c r="DB113" s="16">
        <f t="shared" si="109"/>
        <v>0.22229909778835585</v>
      </c>
      <c r="DC113" s="16">
        <f t="shared" si="110"/>
        <v>0.2228029317076512</v>
      </c>
      <c r="DD113" s="16">
        <f t="shared" si="111"/>
        <v>0.22172090910423048</v>
      </c>
      <c r="DE113" s="16">
        <f t="shared" si="112"/>
        <v>0.21971193271421058</v>
      </c>
      <c r="DF113" s="16">
        <f t="shared" si="113"/>
        <v>0.21972520562501258</v>
      </c>
      <c r="DG113" s="16">
        <f t="shared" si="114"/>
        <v>0.21626970621287525</v>
      </c>
      <c r="DH113" s="16">
        <f t="shared" si="115"/>
        <v>0.21522803321353326</v>
      </c>
      <c r="DI113" s="16">
        <f t="shared" si="116"/>
        <v>0.21492000076584825</v>
      </c>
      <c r="EG113" s="16">
        <f t="shared" si="34"/>
        <v>0.21657637046225633</v>
      </c>
      <c r="EH113" s="16">
        <f t="shared" si="117"/>
        <v>0.22527187663312623</v>
      </c>
      <c r="EI113" s="16">
        <f t="shared" si="118"/>
        <v>0.22729054065931342</v>
      </c>
      <c r="EJ113" s="16">
        <f t="shared" si="119"/>
        <v>0.22421529664625492</v>
      </c>
      <c r="EK113" s="16">
        <f t="shared" si="120"/>
        <v>0.23011072677732902</v>
      </c>
      <c r="EL113" s="16">
        <f t="shared" si="121"/>
        <v>0.22987786379170747</v>
      </c>
      <c r="EM113" s="16">
        <f t="shared" si="122"/>
        <v>0.22945154742320609</v>
      </c>
      <c r="EN113" s="16">
        <f t="shared" si="123"/>
        <v>0.2290496394109616</v>
      </c>
      <c r="EO113" s="16">
        <f t="shared" si="124"/>
        <v>0.22684465111307092</v>
      </c>
      <c r="EP113" s="16">
        <f t="shared" si="125"/>
        <v>0.22197585768742059</v>
      </c>
      <c r="EQ113" s="16">
        <f t="shared" si="126"/>
        <v>0.22850319890221518</v>
      </c>
      <c r="ER113" s="16">
        <f t="shared" si="127"/>
        <v>0.22544401479770337</v>
      </c>
      <c r="ES113" s="16">
        <f t="shared" si="128"/>
        <v>0.22258247594029462</v>
      </c>
      <c r="ET113" s="16">
        <f t="shared" si="129"/>
        <v>0.22229909778835585</v>
      </c>
      <c r="EU113" s="16">
        <f t="shared" si="130"/>
        <v>0.2228029317076512</v>
      </c>
      <c r="EV113" s="16">
        <f t="shared" si="131"/>
        <v>0.22172090910423048</v>
      </c>
      <c r="EW113" s="16">
        <f t="shared" si="132"/>
        <v>0.21971193271421058</v>
      </c>
      <c r="EX113" s="16">
        <f t="shared" si="133"/>
        <v>0.21972520562501258</v>
      </c>
      <c r="EY113" s="16">
        <f t="shared" si="134"/>
        <v>0.21626970621287525</v>
      </c>
      <c r="EZ113" s="16">
        <f t="shared" si="135"/>
        <v>0.21522803321353326</v>
      </c>
      <c r="FA113" s="16">
        <f t="shared" si="136"/>
        <v>0.21492000076584825</v>
      </c>
    </row>
    <row r="114" spans="1:157">
      <c r="A114" t="s">
        <v>65</v>
      </c>
      <c r="B114" t="s">
        <v>443</v>
      </c>
      <c r="C114" t="s">
        <v>2085</v>
      </c>
      <c r="D114" s="16">
        <f t="shared" si="25"/>
        <v>2.5747125476301895</v>
      </c>
      <c r="E114" s="16">
        <f t="shared" si="36"/>
        <v>3.6706448945175052</v>
      </c>
      <c r="F114" s="16">
        <f t="shared" si="37"/>
        <v>3.7396059249688522</v>
      </c>
      <c r="G114" s="16">
        <f t="shared" si="38"/>
        <v>3.8371932050875315</v>
      </c>
      <c r="H114" s="16">
        <f t="shared" si="39"/>
        <v>4.090332197614992</v>
      </c>
      <c r="I114" s="16">
        <f t="shared" si="40"/>
        <v>4.0293388061033291</v>
      </c>
      <c r="J114" s="16">
        <f t="shared" si="41"/>
        <v>3.5439499402376438</v>
      </c>
      <c r="K114" s="16">
        <f t="shared" si="42"/>
        <v>3.6849905771872105</v>
      </c>
      <c r="L114" s="16">
        <f t="shared" si="43"/>
        <v>3.9009591936270529</v>
      </c>
      <c r="M114" s="16">
        <f t="shared" si="44"/>
        <v>4.583881152149468</v>
      </c>
      <c r="N114" s="16">
        <f t="shared" si="45"/>
        <v>4.3201850483503073</v>
      </c>
      <c r="O114" s="16">
        <f t="shared" si="46"/>
        <v>4.0310451180824813</v>
      </c>
      <c r="P114" s="16">
        <f t="shared" si="47"/>
        <v>4.0466240814019212</v>
      </c>
      <c r="Q114" s="16">
        <f t="shared" si="48"/>
        <v>3.9394591853200858</v>
      </c>
      <c r="R114" s="16">
        <f t="shared" si="49"/>
        <v>4.5075825653074322</v>
      </c>
      <c r="S114" s="16">
        <f t="shared" si="50"/>
        <v>4.3617134781840665</v>
      </c>
      <c r="T114" s="16">
        <f t="shared" si="51"/>
        <v>4.3778216195874062</v>
      </c>
      <c r="U114" s="16">
        <f t="shared" si="52"/>
        <v>4.2503352249324973</v>
      </c>
      <c r="V114" s="16">
        <f t="shared" si="53"/>
        <v>4.6648450825134695</v>
      </c>
      <c r="W114" s="16">
        <f t="shared" si="54"/>
        <v>4.3728125994272986</v>
      </c>
      <c r="X114" s="15">
        <f t="shared" si="55"/>
        <v>4.9047850970987783</v>
      </c>
      <c r="Y114" s="88"/>
      <c r="AA114" s="16" t="e">
        <f t="shared" ref="AA114:AU114" si="144">AA15/AA48*100</f>
        <v>#VALUE!</v>
      </c>
      <c r="AB114" s="16">
        <f t="shared" si="144"/>
        <v>2.4470965963450033</v>
      </c>
      <c r="AC114" s="16">
        <f t="shared" si="144"/>
        <v>2.4930706166459013</v>
      </c>
      <c r="AD114" s="16">
        <f t="shared" si="144"/>
        <v>2.5581288033916878</v>
      </c>
      <c r="AE114" s="16">
        <f t="shared" si="144"/>
        <v>2.8121033858603073</v>
      </c>
      <c r="AF114" s="16">
        <f t="shared" si="144"/>
        <v>2.5183367538145802</v>
      </c>
      <c r="AG114" s="16">
        <f t="shared" si="144"/>
        <v>2.2782535330099138</v>
      </c>
      <c r="AH114" s="16">
        <f t="shared" si="144"/>
        <v>2.4566603847914736</v>
      </c>
      <c r="AI114" s="16">
        <f t="shared" si="144"/>
        <v>2.194289546415217</v>
      </c>
      <c r="AJ114" s="16">
        <f t="shared" si="144"/>
        <v>2.8012607040913418</v>
      </c>
      <c r="AK114" s="16">
        <f t="shared" si="144"/>
        <v>2.6401130851029655</v>
      </c>
      <c r="AL114" s="16">
        <f t="shared" si="144"/>
        <v>2.4634164610504055</v>
      </c>
      <c r="AM114" s="16">
        <f t="shared" si="144"/>
        <v>2.5557625777275295</v>
      </c>
      <c r="AN114" s="16">
        <f t="shared" si="144"/>
        <v>2.4880794854653172</v>
      </c>
      <c r="AO114" s="16">
        <f t="shared" si="144"/>
        <v>2.7904082547141251</v>
      </c>
      <c r="AP114" s="16">
        <f t="shared" si="144"/>
        <v>2.9078089854560436</v>
      </c>
      <c r="AQ114" s="16">
        <f t="shared" si="144"/>
        <v>2.7858864851919853</v>
      </c>
      <c r="AR114" s="16">
        <f t="shared" si="144"/>
        <v>2.8335568166216647</v>
      </c>
      <c r="AS114" s="16">
        <f t="shared" si="144"/>
        <v>3.0422902712044362</v>
      </c>
      <c r="AT114" s="16">
        <f t="shared" si="144"/>
        <v>2.9152083996181988</v>
      </c>
      <c r="AU114" s="16">
        <f t="shared" si="144"/>
        <v>3.0654906856867368</v>
      </c>
      <c r="AW114" s="16" t="e">
        <f t="shared" si="28"/>
        <v>#VALUE!</v>
      </c>
      <c r="AX114" s="16">
        <f t="shared" si="57"/>
        <v>0.48941931926900067</v>
      </c>
      <c r="AY114" s="16">
        <f t="shared" si="58"/>
        <v>0.49861412332918031</v>
      </c>
      <c r="AZ114" s="16">
        <f t="shared" si="59"/>
        <v>0.51162576067833765</v>
      </c>
      <c r="BA114" s="16">
        <f t="shared" si="60"/>
        <v>0.511291524701874</v>
      </c>
      <c r="BB114" s="16">
        <f t="shared" si="61"/>
        <v>0.50366735076291613</v>
      </c>
      <c r="BC114" s="16">
        <f t="shared" si="62"/>
        <v>0.50627856289109197</v>
      </c>
      <c r="BD114" s="16">
        <f t="shared" si="63"/>
        <v>0.49133207695829473</v>
      </c>
      <c r="BE114" s="16">
        <f t="shared" si="64"/>
        <v>0.48761989920338161</v>
      </c>
      <c r="BF114" s="16">
        <f t="shared" si="65"/>
        <v>0.7639801920249113</v>
      </c>
      <c r="BG114" s="16">
        <f t="shared" si="66"/>
        <v>0.48002056092781187</v>
      </c>
      <c r="BH114" s="16">
        <f t="shared" si="67"/>
        <v>0.44789390200916457</v>
      </c>
      <c r="BI114" s="16">
        <f t="shared" si="68"/>
        <v>0.63894064443188237</v>
      </c>
      <c r="BJ114" s="16">
        <f t="shared" si="69"/>
        <v>0.6220198713663293</v>
      </c>
      <c r="BK114" s="16">
        <f t="shared" si="70"/>
        <v>0.64394036647249031</v>
      </c>
      <c r="BL114" s="16">
        <f t="shared" si="71"/>
        <v>0.62310192545486653</v>
      </c>
      <c r="BM114" s="16">
        <f t="shared" si="72"/>
        <v>0.59697567539828267</v>
      </c>
      <c r="BN114" s="16">
        <f t="shared" si="73"/>
        <v>0.60719074641892812</v>
      </c>
      <c r="BO114" s="16">
        <f t="shared" si="74"/>
        <v>0.60845805424088717</v>
      </c>
      <c r="BP114" s="16">
        <f t="shared" si="75"/>
        <v>0.62468751420389979</v>
      </c>
      <c r="BQ114" s="16">
        <f t="shared" si="76"/>
        <v>0.61309813713734729</v>
      </c>
      <c r="BS114" s="16" t="e">
        <f t="shared" si="30"/>
        <v>#VALUE!</v>
      </c>
      <c r="BT114" s="16">
        <f t="shared" si="77"/>
        <v>0.73412897890350093</v>
      </c>
      <c r="BU114" s="16">
        <f t="shared" si="78"/>
        <v>0.74792118499377036</v>
      </c>
      <c r="BV114" s="16">
        <f t="shared" si="79"/>
        <v>0.51162576067833765</v>
      </c>
      <c r="BW114" s="16">
        <f t="shared" si="80"/>
        <v>0.511291524701874</v>
      </c>
      <c r="BX114" s="16">
        <f t="shared" si="81"/>
        <v>0.50366735076291613</v>
      </c>
      <c r="BY114" s="16">
        <f t="shared" si="82"/>
        <v>0.50627856289109197</v>
      </c>
      <c r="BZ114" s="16">
        <f t="shared" si="83"/>
        <v>0.49133207695829473</v>
      </c>
      <c r="CA114" s="16">
        <f t="shared" si="84"/>
        <v>0.73142984880507245</v>
      </c>
      <c r="CB114" s="16">
        <f t="shared" si="85"/>
        <v>1.0186402560332151</v>
      </c>
      <c r="CC114" s="16">
        <f t="shared" si="86"/>
        <v>0.72003084139171769</v>
      </c>
      <c r="CD114" s="16">
        <f t="shared" si="87"/>
        <v>0.67184085301374685</v>
      </c>
      <c r="CE114" s="16">
        <f t="shared" si="88"/>
        <v>0.63894064443188237</v>
      </c>
      <c r="CF114" s="16">
        <f t="shared" si="89"/>
        <v>0.6220198713663293</v>
      </c>
      <c r="CG114" s="16">
        <f t="shared" si="90"/>
        <v>0.85858715529665386</v>
      </c>
      <c r="CH114" s="16">
        <f t="shared" si="91"/>
        <v>0.62310192545486653</v>
      </c>
      <c r="CI114" s="16">
        <f t="shared" si="92"/>
        <v>0.59697567539828267</v>
      </c>
      <c r="CJ114" s="16">
        <f t="shared" si="93"/>
        <v>0.60719074641892812</v>
      </c>
      <c r="CK114" s="16">
        <f t="shared" si="94"/>
        <v>0.81127740565451645</v>
      </c>
      <c r="CL114" s="16">
        <f t="shared" si="95"/>
        <v>0.83291668560519971</v>
      </c>
      <c r="CM114" s="16">
        <f t="shared" si="96"/>
        <v>0.81746418284979661</v>
      </c>
      <c r="CO114" s="16" t="e">
        <f t="shared" si="32"/>
        <v>#VALUE!</v>
      </c>
      <c r="CP114" s="16">
        <f t="shared" si="97"/>
        <v>0</v>
      </c>
      <c r="CQ114" s="16">
        <f t="shared" si="98"/>
        <v>0</v>
      </c>
      <c r="CR114" s="16">
        <f t="shared" si="99"/>
        <v>0.25581288033916882</v>
      </c>
      <c r="CS114" s="16">
        <f t="shared" si="100"/>
        <v>0.255645762350937</v>
      </c>
      <c r="CT114" s="16">
        <f t="shared" si="101"/>
        <v>0.25183367538145807</v>
      </c>
      <c r="CU114" s="16">
        <f t="shared" si="102"/>
        <v>0.25313928144554598</v>
      </c>
      <c r="CV114" s="16">
        <f t="shared" si="103"/>
        <v>0.24566603847914736</v>
      </c>
      <c r="CW114" s="16">
        <f t="shared" si="104"/>
        <v>0.24380994960169081</v>
      </c>
      <c r="CX114" s="16">
        <f t="shared" si="105"/>
        <v>0.25466006400830377</v>
      </c>
      <c r="CY114" s="16">
        <f t="shared" si="106"/>
        <v>0.24001028046390593</v>
      </c>
      <c r="CZ114" s="16">
        <f t="shared" si="107"/>
        <v>0.22394695100458228</v>
      </c>
      <c r="DA114" s="16">
        <f t="shared" si="108"/>
        <v>0.21298021481062748</v>
      </c>
      <c r="DB114" s="16">
        <f t="shared" si="109"/>
        <v>0.20733995712210979</v>
      </c>
      <c r="DC114" s="16">
        <f t="shared" si="110"/>
        <v>0.21464678882416346</v>
      </c>
      <c r="DD114" s="16">
        <f t="shared" si="111"/>
        <v>0.20770064181828887</v>
      </c>
      <c r="DE114" s="16">
        <f t="shared" si="112"/>
        <v>0.19899189179942756</v>
      </c>
      <c r="DF114" s="16">
        <f t="shared" si="113"/>
        <v>0.20239691547297606</v>
      </c>
      <c r="DG114" s="16">
        <f t="shared" si="114"/>
        <v>0.20281935141362911</v>
      </c>
      <c r="DH114" s="16">
        <f t="shared" si="115"/>
        <v>0.20822917140129993</v>
      </c>
      <c r="DI114" s="16">
        <f t="shared" si="116"/>
        <v>0.20436604571244915</v>
      </c>
      <c r="EG114" s="16" t="e">
        <f t="shared" si="34"/>
        <v>#VALUE!</v>
      </c>
      <c r="EH114" s="16">
        <f t="shared" si="117"/>
        <v>0</v>
      </c>
      <c r="EI114" s="16">
        <f t="shared" si="118"/>
        <v>0</v>
      </c>
      <c r="EJ114" s="16">
        <f t="shared" si="119"/>
        <v>0</v>
      </c>
      <c r="EK114" s="16">
        <f t="shared" si="120"/>
        <v>0</v>
      </c>
      <c r="EL114" s="16">
        <f t="shared" si="121"/>
        <v>0</v>
      </c>
      <c r="EM114" s="16">
        <f t="shared" si="122"/>
        <v>0</v>
      </c>
      <c r="EN114" s="16">
        <f t="shared" si="123"/>
        <v>0</v>
      </c>
      <c r="EO114" s="16">
        <f t="shared" si="124"/>
        <v>0</v>
      </c>
      <c r="EP114" s="16">
        <f t="shared" si="125"/>
        <v>0</v>
      </c>
      <c r="EQ114" s="16">
        <f t="shared" si="126"/>
        <v>0.24001028046390593</v>
      </c>
      <c r="ER114" s="16">
        <f t="shared" si="127"/>
        <v>0.22394695100458228</v>
      </c>
      <c r="ES114" s="16">
        <f t="shared" si="128"/>
        <v>0</v>
      </c>
      <c r="ET114" s="16">
        <f t="shared" si="129"/>
        <v>0</v>
      </c>
      <c r="EU114" s="16">
        <f t="shared" si="130"/>
        <v>0</v>
      </c>
      <c r="EV114" s="16">
        <f t="shared" si="131"/>
        <v>0</v>
      </c>
      <c r="EW114" s="16">
        <f t="shared" si="132"/>
        <v>0</v>
      </c>
      <c r="EX114" s="16">
        <f t="shared" si="133"/>
        <v>0</v>
      </c>
      <c r="EY114" s="16">
        <f t="shared" si="134"/>
        <v>0</v>
      </c>
      <c r="EZ114" s="16">
        <f t="shared" si="135"/>
        <v>0</v>
      </c>
      <c r="FA114" s="16">
        <f t="shared" si="136"/>
        <v>0</v>
      </c>
    </row>
    <row r="115" spans="1:157">
      <c r="A115" t="s">
        <v>68</v>
      </c>
      <c r="B115" t="s">
        <v>442</v>
      </c>
      <c r="C115" t="s">
        <v>2085</v>
      </c>
      <c r="D115" s="16">
        <f t="shared" si="25"/>
        <v>4.5325448014042538</v>
      </c>
      <c r="E115" s="16">
        <f t="shared" si="36"/>
        <v>4.6393504361056301</v>
      </c>
      <c r="F115" s="16">
        <f t="shared" si="37"/>
        <v>5.4709686309984296</v>
      </c>
      <c r="G115" s="16">
        <f t="shared" si="38"/>
        <v>5.0196070862393993</v>
      </c>
      <c r="H115" s="16">
        <f t="shared" si="39"/>
        <v>4.745139754227071</v>
      </c>
      <c r="I115" s="16">
        <f t="shared" si="40"/>
        <v>4.8111606709460482</v>
      </c>
      <c r="J115" s="16">
        <f t="shared" si="41"/>
        <v>4.9978692792545898</v>
      </c>
      <c r="K115" s="16">
        <f t="shared" si="42"/>
        <v>4.4726543092249234</v>
      </c>
      <c r="L115" s="16">
        <f t="shared" si="43"/>
        <v>4.4632248521680378</v>
      </c>
      <c r="M115" s="16">
        <f t="shared" si="44"/>
        <v>4.15682894641097</v>
      </c>
      <c r="N115" s="16">
        <f t="shared" si="45"/>
        <v>4.047385846199246</v>
      </c>
      <c r="O115" s="16">
        <f t="shared" si="46"/>
        <v>4.327457410950168</v>
      </c>
      <c r="P115" s="16">
        <f t="shared" si="47"/>
        <v>4.0498898507143668</v>
      </c>
      <c r="Q115" s="16">
        <f t="shared" si="48"/>
        <v>4.2052207569722775</v>
      </c>
      <c r="R115" s="16">
        <f t="shared" si="49"/>
        <v>4.0117173348225421</v>
      </c>
      <c r="S115" s="16">
        <f t="shared" si="50"/>
        <v>4.1310069897905191</v>
      </c>
      <c r="T115" s="16">
        <f t="shared" si="51"/>
        <v>5.1121091378892354</v>
      </c>
      <c r="U115" s="16">
        <f t="shared" si="52"/>
        <v>5.2258934913433075</v>
      </c>
      <c r="V115" s="16">
        <f t="shared" si="53"/>
        <v>5.0288528814795033</v>
      </c>
      <c r="W115" s="16">
        <f t="shared" si="54"/>
        <v>4.8133655946645835</v>
      </c>
      <c r="X115" s="15">
        <f t="shared" si="55"/>
        <v>5.0818639321985932</v>
      </c>
      <c r="Y115" s="88"/>
      <c r="AA115" s="16">
        <f t="shared" ref="AA115:AU115" si="145">AA16/AA49*100</f>
        <v>2.7195268808425523</v>
      </c>
      <c r="AB115" s="16">
        <f t="shared" si="145"/>
        <v>2.7836102616633775</v>
      </c>
      <c r="AC115" s="16">
        <f t="shared" si="145"/>
        <v>3.3301548188686096</v>
      </c>
      <c r="AD115" s="16">
        <f t="shared" si="145"/>
        <v>3.1073758152910567</v>
      </c>
      <c r="AE115" s="16">
        <f t="shared" si="145"/>
        <v>2.6098268648248895</v>
      </c>
      <c r="AF115" s="16">
        <f t="shared" si="145"/>
        <v>2.6461383690203268</v>
      </c>
      <c r="AG115" s="16">
        <f t="shared" si="145"/>
        <v>3.0939190776337941</v>
      </c>
      <c r="AH115" s="16">
        <f t="shared" si="145"/>
        <v>2.6835925855349538</v>
      </c>
      <c r="AI115" s="16">
        <f t="shared" si="145"/>
        <v>2.6779349113008224</v>
      </c>
      <c r="AJ115" s="16">
        <f t="shared" si="145"/>
        <v>2.406585179501088</v>
      </c>
      <c r="AK115" s="16">
        <f t="shared" si="145"/>
        <v>2.4734024615662058</v>
      </c>
      <c r="AL115" s="16">
        <f t="shared" si="145"/>
        <v>2.5053700800237819</v>
      </c>
      <c r="AM115" s="16">
        <f t="shared" si="145"/>
        <v>2.3446730714662127</v>
      </c>
      <c r="AN115" s="16">
        <f t="shared" si="145"/>
        <v>2.3128714163347528</v>
      </c>
      <c r="AO115" s="16">
        <f t="shared" si="145"/>
        <v>2.3225731938446299</v>
      </c>
      <c r="AP115" s="16">
        <f t="shared" si="145"/>
        <v>2.4786041938743111</v>
      </c>
      <c r="AQ115" s="16">
        <f t="shared" si="145"/>
        <v>2.8894529909808728</v>
      </c>
      <c r="AR115" s="16">
        <f t="shared" si="145"/>
        <v>3.180978646904622</v>
      </c>
      <c r="AS115" s="16">
        <f t="shared" si="145"/>
        <v>3.200179106396047</v>
      </c>
      <c r="AT115" s="16">
        <f t="shared" si="145"/>
        <v>2.9797025109828374</v>
      </c>
      <c r="AU115" s="16">
        <f t="shared" si="145"/>
        <v>2.7719257811992319</v>
      </c>
      <c r="AW115" s="16">
        <f t="shared" si="28"/>
        <v>0.45325448014042541</v>
      </c>
      <c r="AX115" s="16">
        <f t="shared" si="57"/>
        <v>0.69590256541584439</v>
      </c>
      <c r="AY115" s="16">
        <f t="shared" si="58"/>
        <v>0.71360460404327342</v>
      </c>
      <c r="AZ115" s="16">
        <f t="shared" si="59"/>
        <v>0.47805781773708567</v>
      </c>
      <c r="BA115" s="16">
        <f t="shared" si="60"/>
        <v>0.47451397542270723</v>
      </c>
      <c r="BB115" s="16">
        <f t="shared" si="61"/>
        <v>0.4811160670946048</v>
      </c>
      <c r="BC115" s="16">
        <f t="shared" si="62"/>
        <v>0.47598755040519902</v>
      </c>
      <c r="BD115" s="16">
        <f t="shared" si="63"/>
        <v>0.44726543092249238</v>
      </c>
      <c r="BE115" s="16">
        <f t="shared" si="64"/>
        <v>0.44632248521680373</v>
      </c>
      <c r="BF115" s="16">
        <f t="shared" si="65"/>
        <v>0.43756094172747051</v>
      </c>
      <c r="BG115" s="16">
        <f t="shared" si="66"/>
        <v>0.44970953846658285</v>
      </c>
      <c r="BH115" s="16">
        <f t="shared" si="67"/>
        <v>0.68328274909739506</v>
      </c>
      <c r="BI115" s="16">
        <f t="shared" si="68"/>
        <v>0.42630419481203863</v>
      </c>
      <c r="BJ115" s="16">
        <f t="shared" si="69"/>
        <v>0.6307831135458416</v>
      </c>
      <c r="BK115" s="16">
        <f t="shared" si="70"/>
        <v>0.42228603524447816</v>
      </c>
      <c r="BL115" s="16">
        <f t="shared" si="71"/>
        <v>0.41310069897905188</v>
      </c>
      <c r="BM115" s="16">
        <f t="shared" si="72"/>
        <v>0.44453122938167267</v>
      </c>
      <c r="BN115" s="16">
        <f t="shared" si="73"/>
        <v>0.45442552098637468</v>
      </c>
      <c r="BO115" s="16">
        <f t="shared" si="74"/>
        <v>0.45716844377086385</v>
      </c>
      <c r="BP115" s="16">
        <f t="shared" si="75"/>
        <v>0.45841577092043656</v>
      </c>
      <c r="BQ115" s="16">
        <f t="shared" si="76"/>
        <v>0.46198763019987205</v>
      </c>
      <c r="BS115" s="16">
        <f t="shared" si="30"/>
        <v>0.67988172021063809</v>
      </c>
      <c r="BT115" s="16">
        <f t="shared" si="77"/>
        <v>0.69590256541584439</v>
      </c>
      <c r="BU115" s="16">
        <f t="shared" si="78"/>
        <v>0.95147280539103141</v>
      </c>
      <c r="BV115" s="16">
        <f t="shared" si="79"/>
        <v>0.95611563547417133</v>
      </c>
      <c r="BW115" s="16">
        <f t="shared" si="80"/>
        <v>1.1862849385567678</v>
      </c>
      <c r="BX115" s="16">
        <f t="shared" si="81"/>
        <v>1.202790167736512</v>
      </c>
      <c r="BY115" s="16">
        <f t="shared" si="82"/>
        <v>0.95197510081039804</v>
      </c>
      <c r="BZ115" s="16">
        <f t="shared" si="83"/>
        <v>0.89453086184498476</v>
      </c>
      <c r="CA115" s="16">
        <f t="shared" si="84"/>
        <v>0.89264497043360747</v>
      </c>
      <c r="CB115" s="16">
        <f t="shared" si="85"/>
        <v>0.87512188345494102</v>
      </c>
      <c r="CC115" s="16">
        <f t="shared" si="86"/>
        <v>0.8994190769331657</v>
      </c>
      <c r="CD115" s="16">
        <f t="shared" si="87"/>
        <v>0.91104366546319349</v>
      </c>
      <c r="CE115" s="16">
        <f t="shared" si="88"/>
        <v>0.85260838962407726</v>
      </c>
      <c r="CF115" s="16">
        <f t="shared" si="89"/>
        <v>0.84104415139445543</v>
      </c>
      <c r="CG115" s="16">
        <f t="shared" si="90"/>
        <v>0.84457207048895633</v>
      </c>
      <c r="CH115" s="16">
        <f t="shared" si="91"/>
        <v>0.82620139795810377</v>
      </c>
      <c r="CI115" s="16">
        <f t="shared" si="92"/>
        <v>0.88906245876334533</v>
      </c>
      <c r="CJ115" s="16">
        <f t="shared" si="93"/>
        <v>0.90885104197274935</v>
      </c>
      <c r="CK115" s="16">
        <f t="shared" si="94"/>
        <v>0.91433688754172771</v>
      </c>
      <c r="CL115" s="16">
        <f t="shared" si="95"/>
        <v>0.91683154184087312</v>
      </c>
      <c r="CM115" s="16">
        <f t="shared" si="96"/>
        <v>0.92397526039974409</v>
      </c>
      <c r="CO115" s="16">
        <f t="shared" si="32"/>
        <v>0.45325448014042541</v>
      </c>
      <c r="CP115" s="16">
        <f t="shared" si="97"/>
        <v>0.46393504361056292</v>
      </c>
      <c r="CQ115" s="16">
        <f t="shared" si="98"/>
        <v>0.4757364026955157</v>
      </c>
      <c r="CR115" s="16">
        <f t="shared" si="99"/>
        <v>0.47805781773708567</v>
      </c>
      <c r="CS115" s="16">
        <f t="shared" si="100"/>
        <v>0.47451397542270723</v>
      </c>
      <c r="CT115" s="16">
        <f t="shared" si="101"/>
        <v>0.4811160670946048</v>
      </c>
      <c r="CU115" s="16">
        <f t="shared" si="102"/>
        <v>0.47598755040519902</v>
      </c>
      <c r="CV115" s="16">
        <f t="shared" si="103"/>
        <v>0.22363271546124619</v>
      </c>
      <c r="CW115" s="16">
        <f t="shared" si="104"/>
        <v>0.44632248521680373</v>
      </c>
      <c r="CX115" s="16">
        <f t="shared" si="105"/>
        <v>0.21878047086373525</v>
      </c>
      <c r="CY115" s="16">
        <f t="shared" si="106"/>
        <v>0.44970953846658285</v>
      </c>
      <c r="CZ115" s="16">
        <f t="shared" si="107"/>
        <v>0.45552183273159674</v>
      </c>
      <c r="DA115" s="16">
        <f t="shared" si="108"/>
        <v>0.42630419481203863</v>
      </c>
      <c r="DB115" s="16">
        <f t="shared" si="109"/>
        <v>0.42052207569722772</v>
      </c>
      <c r="DC115" s="16">
        <f t="shared" si="110"/>
        <v>0.42228603524447816</v>
      </c>
      <c r="DD115" s="16">
        <f t="shared" si="111"/>
        <v>0.41310069897905188</v>
      </c>
      <c r="DE115" s="16">
        <f t="shared" si="112"/>
        <v>0.66679684407250894</v>
      </c>
      <c r="DF115" s="16">
        <f t="shared" si="113"/>
        <v>0.68163828147956196</v>
      </c>
      <c r="DG115" s="16">
        <f t="shared" si="114"/>
        <v>0.45716844377086385</v>
      </c>
      <c r="DH115" s="16">
        <f t="shared" si="115"/>
        <v>0.45841577092043656</v>
      </c>
      <c r="DI115" s="16">
        <f t="shared" si="116"/>
        <v>0.69298144529980799</v>
      </c>
      <c r="EG115" s="16">
        <f t="shared" si="34"/>
        <v>0.2266272400702127</v>
      </c>
      <c r="EH115" s="16">
        <f t="shared" si="117"/>
        <v>0</v>
      </c>
      <c r="EI115" s="16">
        <f t="shared" si="118"/>
        <v>0</v>
      </c>
      <c r="EJ115" s="16">
        <f t="shared" si="119"/>
        <v>0.23902890886854283</v>
      </c>
      <c r="EK115" s="16">
        <f t="shared" si="120"/>
        <v>0</v>
      </c>
      <c r="EL115" s="16">
        <f t="shared" si="121"/>
        <v>0</v>
      </c>
      <c r="EM115" s="16">
        <f t="shared" si="122"/>
        <v>0</v>
      </c>
      <c r="EN115" s="16">
        <f t="shared" si="123"/>
        <v>0</v>
      </c>
      <c r="EO115" s="16">
        <f t="shared" si="124"/>
        <v>0</v>
      </c>
      <c r="EP115" s="16">
        <f t="shared" si="125"/>
        <v>0</v>
      </c>
      <c r="EQ115" s="16">
        <f t="shared" si="126"/>
        <v>0</v>
      </c>
      <c r="ER115" s="16">
        <f t="shared" si="127"/>
        <v>0</v>
      </c>
      <c r="ES115" s="16">
        <f t="shared" si="128"/>
        <v>0</v>
      </c>
      <c r="ET115" s="16">
        <f t="shared" si="129"/>
        <v>0</v>
      </c>
      <c r="EU115" s="16">
        <f t="shared" si="130"/>
        <v>0</v>
      </c>
      <c r="EV115" s="16">
        <f t="shared" si="131"/>
        <v>0</v>
      </c>
      <c r="EW115" s="16">
        <f t="shared" si="132"/>
        <v>0</v>
      </c>
      <c r="EX115" s="16">
        <f t="shared" si="133"/>
        <v>0</v>
      </c>
      <c r="EY115" s="16">
        <f t="shared" si="134"/>
        <v>0</v>
      </c>
      <c r="EZ115" s="16">
        <f t="shared" si="135"/>
        <v>0</v>
      </c>
      <c r="FA115" s="16">
        <f t="shared" si="136"/>
        <v>0</v>
      </c>
    </row>
    <row r="116" spans="1:157">
      <c r="A116" t="s">
        <v>59</v>
      </c>
      <c r="B116" t="s">
        <v>463</v>
      </c>
      <c r="C116" t="s">
        <v>2085</v>
      </c>
      <c r="D116" s="16">
        <f t="shared" si="25"/>
        <v>3.673962384832103</v>
      </c>
      <c r="E116" s="16">
        <f t="shared" si="36"/>
        <v>2.9699663125161955</v>
      </c>
      <c r="F116" s="16">
        <f t="shared" si="37"/>
        <v>3.2419925931147411</v>
      </c>
      <c r="G116" s="16">
        <f t="shared" si="38"/>
        <v>3.2989983343200309</v>
      </c>
      <c r="H116" s="16">
        <f t="shared" si="39"/>
        <v>2.9804477068406476</v>
      </c>
      <c r="I116" s="16">
        <f t="shared" si="40"/>
        <v>2.799715130310926</v>
      </c>
      <c r="J116" s="16">
        <f t="shared" si="41"/>
        <v>2.7297019134866685</v>
      </c>
      <c r="K116" s="16">
        <f t="shared" si="42"/>
        <v>2.7807724805590959</v>
      </c>
      <c r="L116" s="16">
        <f t="shared" si="43"/>
        <v>2.5367141966306761</v>
      </c>
      <c r="M116" s="16">
        <f t="shared" si="44"/>
        <v>3.3334950262352425</v>
      </c>
      <c r="N116" s="16">
        <f t="shared" si="45"/>
        <v>2.8481683967965301</v>
      </c>
      <c r="O116" s="16">
        <f t="shared" si="46"/>
        <v>3.6358926490752603</v>
      </c>
      <c r="P116" s="16">
        <f t="shared" si="47"/>
        <v>3.103695035239443</v>
      </c>
      <c r="Q116" s="16">
        <f t="shared" si="48"/>
        <v>3.1306936716676765</v>
      </c>
      <c r="R116" s="16">
        <f t="shared" si="49"/>
        <v>3.2522168726533573</v>
      </c>
      <c r="S116" s="16">
        <f t="shared" si="50"/>
        <v>3.4820381868719696</v>
      </c>
      <c r="T116" s="16">
        <f t="shared" si="51"/>
        <v>2.2038885664538594</v>
      </c>
      <c r="U116" s="16">
        <f t="shared" si="52"/>
        <v>3.3065832290362951</v>
      </c>
      <c r="V116" s="16">
        <f t="shared" si="53"/>
        <v>3.3515958240705102</v>
      </c>
      <c r="W116" s="16">
        <f t="shared" si="54"/>
        <v>3.5831900713562388</v>
      </c>
      <c r="X116" s="15">
        <f t="shared" si="55"/>
        <v>3.8044121109766897</v>
      </c>
      <c r="Y116" s="88"/>
      <c r="AA116" s="16" t="e">
        <f t="shared" ref="AA116:AU116" si="146">AA17/AA50*100</f>
        <v>#VALUE!</v>
      </c>
      <c r="AB116" s="16" t="e">
        <f t="shared" si="146"/>
        <v>#VALUE!</v>
      </c>
      <c r="AC116" s="16" t="e">
        <f t="shared" si="146"/>
        <v>#VALUE!</v>
      </c>
      <c r="AD116" s="16" t="e">
        <f t="shared" si="146"/>
        <v>#VALUE!</v>
      </c>
      <c r="AE116" s="16" t="e">
        <f t="shared" si="146"/>
        <v>#VALUE!</v>
      </c>
      <c r="AF116" s="16">
        <f t="shared" si="146"/>
        <v>1.5998372173205295</v>
      </c>
      <c r="AG116" s="16">
        <f t="shared" si="146"/>
        <v>1.5598296648495249</v>
      </c>
      <c r="AH116" s="16">
        <f t="shared" si="146"/>
        <v>1.3903862402795479</v>
      </c>
      <c r="AI116" s="16">
        <f t="shared" si="146"/>
        <v>1.3659230289549793</v>
      </c>
      <c r="AJ116" s="16">
        <f t="shared" si="146"/>
        <v>2.0000970157411455</v>
      </c>
      <c r="AK116" s="16">
        <f t="shared" si="146"/>
        <v>1.4240841983982651</v>
      </c>
      <c r="AL116" s="16">
        <f t="shared" si="146"/>
        <v>2.2724329056720376</v>
      </c>
      <c r="AM116" s="16">
        <f t="shared" si="146"/>
        <v>1.5518475176197215</v>
      </c>
      <c r="AN116" s="16">
        <f t="shared" si="146"/>
        <v>1.5653468358338383</v>
      </c>
      <c r="AO116" s="16">
        <f t="shared" si="146"/>
        <v>1.5177012072382334</v>
      </c>
      <c r="AP116" s="16">
        <f t="shared" si="146"/>
        <v>1.6249511538735857</v>
      </c>
      <c r="AQ116" s="16">
        <f t="shared" si="146"/>
        <v>1.1867092280905398</v>
      </c>
      <c r="AR116" s="16">
        <f t="shared" si="146"/>
        <v>1.7635110554860243</v>
      </c>
      <c r="AS116" s="16">
        <f t="shared" si="146"/>
        <v>1.7875177728376053</v>
      </c>
      <c r="AT116" s="16">
        <f t="shared" si="146"/>
        <v>1.9110347047233276</v>
      </c>
      <c r="AU116" s="16">
        <f t="shared" si="146"/>
        <v>2.1399818124243875</v>
      </c>
      <c r="AW116" s="16" t="e">
        <f t="shared" si="28"/>
        <v>#VALUE!</v>
      </c>
      <c r="AX116" s="16" t="e">
        <f t="shared" si="57"/>
        <v>#VALUE!</v>
      </c>
      <c r="AY116" s="16" t="e">
        <f t="shared" si="58"/>
        <v>#VALUE!</v>
      </c>
      <c r="AZ116" s="16" t="e">
        <f t="shared" si="59"/>
        <v>#VALUE!</v>
      </c>
      <c r="BA116" s="16" t="e">
        <f t="shared" si="60"/>
        <v>#VALUE!</v>
      </c>
      <c r="BB116" s="16">
        <f t="shared" si="61"/>
        <v>0.19997965216506619</v>
      </c>
      <c r="BC116" s="16">
        <f t="shared" si="62"/>
        <v>0.19497870810619061</v>
      </c>
      <c r="BD116" s="16">
        <f t="shared" si="63"/>
        <v>0.19862660575422114</v>
      </c>
      <c r="BE116" s="16">
        <f t="shared" si="64"/>
        <v>0.19513186127928278</v>
      </c>
      <c r="BF116" s="16">
        <f t="shared" si="65"/>
        <v>0.2222330017490162</v>
      </c>
      <c r="BG116" s="16">
        <f t="shared" si="66"/>
        <v>0.23734736639971088</v>
      </c>
      <c r="BH116" s="16">
        <f t="shared" si="67"/>
        <v>0.22724329056720377</v>
      </c>
      <c r="BI116" s="16">
        <f t="shared" si="68"/>
        <v>0.2216925025171031</v>
      </c>
      <c r="BJ116" s="16">
        <f t="shared" si="69"/>
        <v>0.22362097654769122</v>
      </c>
      <c r="BK116" s="16">
        <f t="shared" si="70"/>
        <v>0.21681445817689052</v>
      </c>
      <c r="BL116" s="16">
        <f t="shared" si="71"/>
        <v>0.23213587912479799</v>
      </c>
      <c r="BM116" s="16">
        <f t="shared" si="72"/>
        <v>0.16952988972721997</v>
      </c>
      <c r="BN116" s="16">
        <f t="shared" si="73"/>
        <v>0.22043888193575303</v>
      </c>
      <c r="BO116" s="16">
        <f t="shared" si="74"/>
        <v>0.22343972160470066</v>
      </c>
      <c r="BP116" s="16">
        <f t="shared" si="75"/>
        <v>0.23887933809041595</v>
      </c>
      <c r="BQ116" s="16">
        <f t="shared" si="76"/>
        <v>0.23777575693604311</v>
      </c>
      <c r="BS116" s="16" t="e">
        <f t="shared" si="30"/>
        <v>#VALUE!</v>
      </c>
      <c r="BT116" s="16" t="e">
        <f t="shared" si="77"/>
        <v>#VALUE!</v>
      </c>
      <c r="BU116" s="16" t="e">
        <f t="shared" si="78"/>
        <v>#VALUE!</v>
      </c>
      <c r="BV116" s="16" t="e">
        <f t="shared" si="79"/>
        <v>#VALUE!</v>
      </c>
      <c r="BW116" s="16" t="e">
        <f t="shared" si="80"/>
        <v>#VALUE!</v>
      </c>
      <c r="BX116" s="16">
        <f t="shared" si="81"/>
        <v>0.39995930433013238</v>
      </c>
      <c r="BY116" s="16">
        <f t="shared" si="82"/>
        <v>0.38995741621238122</v>
      </c>
      <c r="BZ116" s="16">
        <f t="shared" si="83"/>
        <v>0.39725321150844228</v>
      </c>
      <c r="CA116" s="16">
        <f t="shared" si="84"/>
        <v>0.39026372255856556</v>
      </c>
      <c r="CB116" s="16">
        <f t="shared" si="85"/>
        <v>0.44446600349803239</v>
      </c>
      <c r="CC116" s="16">
        <f t="shared" si="86"/>
        <v>0.47469473279942176</v>
      </c>
      <c r="CD116" s="16">
        <f t="shared" si="87"/>
        <v>0.45448658113440754</v>
      </c>
      <c r="CE116" s="16">
        <f t="shared" si="88"/>
        <v>0.44338500503420619</v>
      </c>
      <c r="CF116" s="16">
        <f t="shared" si="89"/>
        <v>0.44724195309538245</v>
      </c>
      <c r="CG116" s="16">
        <f t="shared" si="90"/>
        <v>0.43362891635378104</v>
      </c>
      <c r="CH116" s="16">
        <f t="shared" si="91"/>
        <v>0.46427175824959599</v>
      </c>
      <c r="CI116" s="16">
        <f t="shared" si="92"/>
        <v>0.33905977945443994</v>
      </c>
      <c r="CJ116" s="16">
        <f t="shared" si="93"/>
        <v>0.44087776387150607</v>
      </c>
      <c r="CK116" s="16">
        <f t="shared" si="94"/>
        <v>0.44687944320940132</v>
      </c>
      <c r="CL116" s="16">
        <f t="shared" si="95"/>
        <v>0.4777586761808319</v>
      </c>
      <c r="CM116" s="16">
        <f t="shared" si="96"/>
        <v>0.47555151387208622</v>
      </c>
      <c r="CO116" s="16" t="e">
        <f t="shared" si="32"/>
        <v>#VALUE!</v>
      </c>
      <c r="CP116" s="16" t="e">
        <f t="shared" si="97"/>
        <v>#VALUE!</v>
      </c>
      <c r="CQ116" s="16" t="e">
        <f t="shared" si="98"/>
        <v>#VALUE!</v>
      </c>
      <c r="CR116" s="16" t="e">
        <f t="shared" si="99"/>
        <v>#VALUE!</v>
      </c>
      <c r="CS116" s="16" t="e">
        <f t="shared" si="100"/>
        <v>#VALUE!</v>
      </c>
      <c r="CT116" s="16">
        <f t="shared" si="101"/>
        <v>0.19997965216506619</v>
      </c>
      <c r="CU116" s="16">
        <f t="shared" si="102"/>
        <v>0.19497870810619061</v>
      </c>
      <c r="CV116" s="16">
        <f t="shared" si="103"/>
        <v>0.19862660575422114</v>
      </c>
      <c r="CW116" s="16">
        <f t="shared" si="104"/>
        <v>0.19513186127928278</v>
      </c>
      <c r="CX116" s="16">
        <f t="shared" si="105"/>
        <v>0.2222330017490162</v>
      </c>
      <c r="CY116" s="16">
        <f t="shared" si="106"/>
        <v>0.23734736639971088</v>
      </c>
      <c r="CZ116" s="16">
        <f t="shared" si="107"/>
        <v>0.22724329056720377</v>
      </c>
      <c r="DA116" s="16">
        <f t="shared" si="108"/>
        <v>0.2216925025171031</v>
      </c>
      <c r="DB116" s="16">
        <f t="shared" si="109"/>
        <v>0.22362097654769122</v>
      </c>
      <c r="DC116" s="16">
        <f t="shared" si="110"/>
        <v>0.21681445817689052</v>
      </c>
      <c r="DD116" s="16">
        <f t="shared" si="111"/>
        <v>0.23213587912479799</v>
      </c>
      <c r="DE116" s="16">
        <f t="shared" si="112"/>
        <v>0.16952988972721997</v>
      </c>
      <c r="DF116" s="16">
        <f t="shared" si="113"/>
        <v>0.22043888193575303</v>
      </c>
      <c r="DG116" s="16">
        <f t="shared" si="114"/>
        <v>0.22343972160470066</v>
      </c>
      <c r="DH116" s="16">
        <f t="shared" si="115"/>
        <v>0.23887933809041595</v>
      </c>
      <c r="DI116" s="16">
        <f t="shared" si="116"/>
        <v>0.23777575693604311</v>
      </c>
      <c r="EG116" s="16" t="e">
        <f t="shared" si="34"/>
        <v>#VALUE!</v>
      </c>
      <c r="EH116" s="16" t="e">
        <f t="shared" si="117"/>
        <v>#VALUE!</v>
      </c>
      <c r="EI116" s="16" t="e">
        <f t="shared" si="118"/>
        <v>#VALUE!</v>
      </c>
      <c r="EJ116" s="16" t="e">
        <f t="shared" si="119"/>
        <v>#VALUE!</v>
      </c>
      <c r="EK116" s="16" t="e">
        <f t="shared" si="120"/>
        <v>#VALUE!</v>
      </c>
      <c r="EL116" s="16">
        <f t="shared" si="121"/>
        <v>0.59993895649519846</v>
      </c>
      <c r="EM116" s="16">
        <f t="shared" si="122"/>
        <v>0.38995741621238122</v>
      </c>
      <c r="EN116" s="16">
        <f t="shared" si="123"/>
        <v>0.59587981726266337</v>
      </c>
      <c r="EO116" s="16">
        <f t="shared" si="124"/>
        <v>0.39026372255856556</v>
      </c>
      <c r="EP116" s="16">
        <f t="shared" si="125"/>
        <v>0.44446600349803239</v>
      </c>
      <c r="EQ116" s="16">
        <f t="shared" si="126"/>
        <v>0.47469473279942176</v>
      </c>
      <c r="ER116" s="16">
        <f t="shared" si="127"/>
        <v>0.45448658113440754</v>
      </c>
      <c r="ES116" s="16">
        <f t="shared" si="128"/>
        <v>0.66507750755130923</v>
      </c>
      <c r="ET116" s="16">
        <f t="shared" si="129"/>
        <v>0.67086292964307359</v>
      </c>
      <c r="EU116" s="16">
        <f t="shared" si="130"/>
        <v>0.65044337453067147</v>
      </c>
      <c r="EV116" s="16">
        <f t="shared" si="131"/>
        <v>0.69640763737439393</v>
      </c>
      <c r="EW116" s="16">
        <f t="shared" si="132"/>
        <v>0.33905977945443994</v>
      </c>
      <c r="EX116" s="16">
        <f t="shared" si="133"/>
        <v>0.66131664580725902</v>
      </c>
      <c r="EY116" s="16">
        <f t="shared" si="134"/>
        <v>0.67031916481410203</v>
      </c>
      <c r="EZ116" s="16">
        <f t="shared" si="135"/>
        <v>0.71663801427124774</v>
      </c>
      <c r="FA116" s="16">
        <f t="shared" si="136"/>
        <v>0.71332727080812919</v>
      </c>
    </row>
    <row r="117" spans="1:157">
      <c r="A117" t="s">
        <v>61</v>
      </c>
      <c r="B117" t="s">
        <v>466</v>
      </c>
      <c r="C117" t="s">
        <v>2085</v>
      </c>
      <c r="D117" s="16">
        <f t="shared" si="25"/>
        <v>4.2345961698584507</v>
      </c>
      <c r="E117" s="16">
        <f t="shared" si="36"/>
        <v>4.527292279548095</v>
      </c>
      <c r="F117" s="16">
        <f t="shared" si="37"/>
        <v>4.6352419904567146</v>
      </c>
      <c r="G117" s="16">
        <f t="shared" si="38"/>
        <v>4.2410479440652571</v>
      </c>
      <c r="H117" s="16">
        <f t="shared" si="39"/>
        <v>4.1031322679870952</v>
      </c>
      <c r="I117" s="16">
        <f t="shared" si="40"/>
        <v>4.0471271196510115</v>
      </c>
      <c r="J117" s="16">
        <f t="shared" si="41"/>
        <v>3.8527033261403378</v>
      </c>
      <c r="K117" s="16">
        <f t="shared" si="42"/>
        <v>4.1773359335255211</v>
      </c>
      <c r="L117" s="16">
        <f t="shared" si="43"/>
        <v>4.9236982509317535</v>
      </c>
      <c r="M117" s="16">
        <f t="shared" si="44"/>
        <v>5.1513558443415617</v>
      </c>
      <c r="N117" s="16">
        <f t="shared" si="45"/>
        <v>5.1858614027413239</v>
      </c>
      <c r="O117" s="16">
        <f t="shared" si="46"/>
        <v>5.0555064782096588</v>
      </c>
      <c r="P117" s="16">
        <f t="shared" si="47"/>
        <v>4.4092096668843883</v>
      </c>
      <c r="Q117" s="16">
        <f t="shared" si="48"/>
        <v>4.3901549755301801</v>
      </c>
      <c r="R117" s="16">
        <f t="shared" si="49"/>
        <v>4.1251507776954819</v>
      </c>
      <c r="S117" s="16">
        <f t="shared" si="50"/>
        <v>4.0731711097334165</v>
      </c>
      <c r="T117" s="16">
        <f t="shared" si="51"/>
        <v>4.0302789385141375</v>
      </c>
      <c r="U117" s="16">
        <f t="shared" si="52"/>
        <v>3.8599285017874552</v>
      </c>
      <c r="V117" s="16">
        <f t="shared" si="53"/>
        <v>3.9247177215494617</v>
      </c>
      <c r="W117" s="16">
        <f t="shared" si="54"/>
        <v>3.6417675833342793</v>
      </c>
      <c r="X117" s="15">
        <f t="shared" si="55"/>
        <v>4.01337184270953</v>
      </c>
      <c r="Y117" s="88"/>
      <c r="AA117" s="16">
        <f t="shared" ref="AA117:AU117" si="147">AA18/AA51*100</f>
        <v>2.5407577019150707</v>
      </c>
      <c r="AB117" s="16">
        <f t="shared" si="147"/>
        <v>2.7163753677288573</v>
      </c>
      <c r="AC117" s="16">
        <f t="shared" si="147"/>
        <v>2.4721290615769149</v>
      </c>
      <c r="AD117" s="16">
        <f t="shared" si="147"/>
        <v>2.4234559680372905</v>
      </c>
      <c r="AE117" s="16">
        <f t="shared" si="147"/>
        <v>2.3446470102783405</v>
      </c>
      <c r="AF117" s="16">
        <f t="shared" si="147"/>
        <v>2.3126440683720069</v>
      </c>
      <c r="AG117" s="16">
        <f t="shared" si="147"/>
        <v>2.2015447577944789</v>
      </c>
      <c r="AH117" s="16">
        <f t="shared" si="147"/>
        <v>2.5064015601153131</v>
      </c>
      <c r="AI117" s="16">
        <f t="shared" si="147"/>
        <v>2.8962930887833842</v>
      </c>
      <c r="AJ117" s="16">
        <f t="shared" si="147"/>
        <v>3.0302093202009188</v>
      </c>
      <c r="AK117" s="16">
        <f t="shared" si="147"/>
        <v>3.0505067074948964</v>
      </c>
      <c r="AL117" s="16">
        <f t="shared" si="147"/>
        <v>2.6764446061109957</v>
      </c>
      <c r="AM117" s="16">
        <f t="shared" si="147"/>
        <v>2.6455258001306334</v>
      </c>
      <c r="AN117" s="16">
        <f t="shared" si="147"/>
        <v>2.3414159869494298</v>
      </c>
      <c r="AO117" s="16">
        <f t="shared" si="147"/>
        <v>2.3572290158259901</v>
      </c>
      <c r="AP117" s="16">
        <f t="shared" si="147"/>
        <v>2.2217296962182269</v>
      </c>
      <c r="AQ117" s="16">
        <f t="shared" si="147"/>
        <v>2.1983339664622568</v>
      </c>
      <c r="AR117" s="16">
        <f t="shared" si="147"/>
        <v>2.3159571010724731</v>
      </c>
      <c r="AS117" s="16">
        <f t="shared" si="147"/>
        <v>2.3548306329296773</v>
      </c>
      <c r="AT117" s="16">
        <f t="shared" si="147"/>
        <v>2.0232042129634884</v>
      </c>
      <c r="AU117" s="16">
        <f t="shared" si="147"/>
        <v>2.2296510237275164</v>
      </c>
      <c r="AW117" s="16">
        <f t="shared" si="28"/>
        <v>0.56461282264779344</v>
      </c>
      <c r="AX117" s="16">
        <f t="shared" si="57"/>
        <v>0.60363897060641269</v>
      </c>
      <c r="AY117" s="16">
        <f t="shared" si="58"/>
        <v>0.61803226539422873</v>
      </c>
      <c r="AZ117" s="16">
        <f t="shared" si="59"/>
        <v>0.60586399200932262</v>
      </c>
      <c r="BA117" s="16">
        <f t="shared" si="60"/>
        <v>0.58616175256958514</v>
      </c>
      <c r="BB117" s="16">
        <f t="shared" si="61"/>
        <v>0.28908050854650086</v>
      </c>
      <c r="BC117" s="16">
        <f t="shared" si="62"/>
        <v>0.27519309472430986</v>
      </c>
      <c r="BD117" s="16">
        <f t="shared" si="63"/>
        <v>0.55697812447006956</v>
      </c>
      <c r="BE117" s="16">
        <f t="shared" si="64"/>
        <v>0.57925861775667697</v>
      </c>
      <c r="BF117" s="16">
        <f t="shared" si="65"/>
        <v>0.60604186404018379</v>
      </c>
      <c r="BG117" s="16">
        <f t="shared" si="66"/>
        <v>0.61010134149897932</v>
      </c>
      <c r="BH117" s="16">
        <f t="shared" si="67"/>
        <v>0.59476546802466579</v>
      </c>
      <c r="BI117" s="16">
        <f t="shared" si="68"/>
        <v>0.58789462225125177</v>
      </c>
      <c r="BJ117" s="16">
        <f t="shared" si="69"/>
        <v>0.29267699836867872</v>
      </c>
      <c r="BK117" s="16">
        <f t="shared" si="70"/>
        <v>0.29465362697824876</v>
      </c>
      <c r="BL117" s="16">
        <f t="shared" si="71"/>
        <v>0.37028828270303782</v>
      </c>
      <c r="BM117" s="16">
        <f t="shared" si="72"/>
        <v>0.36638899441037615</v>
      </c>
      <c r="BN117" s="16">
        <f t="shared" si="73"/>
        <v>0.38599285017874552</v>
      </c>
      <c r="BO117" s="16">
        <f t="shared" si="74"/>
        <v>0.39247177215494622</v>
      </c>
      <c r="BP117" s="16">
        <f t="shared" si="75"/>
        <v>0.40464084259269772</v>
      </c>
      <c r="BQ117" s="16">
        <f t="shared" si="76"/>
        <v>0.44593020474550321</v>
      </c>
      <c r="BS117" s="16">
        <f t="shared" si="30"/>
        <v>0.56461282264779344</v>
      </c>
      <c r="BT117" s="16">
        <f t="shared" si="77"/>
        <v>0.60363897060641269</v>
      </c>
      <c r="BU117" s="16">
        <f t="shared" si="78"/>
        <v>0.61803226539422873</v>
      </c>
      <c r="BV117" s="16">
        <f t="shared" si="79"/>
        <v>0.60586399200932262</v>
      </c>
      <c r="BW117" s="16">
        <f t="shared" si="80"/>
        <v>0.58616175256958514</v>
      </c>
      <c r="BX117" s="16">
        <f t="shared" si="81"/>
        <v>0.57816101709300172</v>
      </c>
      <c r="BY117" s="16">
        <f t="shared" si="82"/>
        <v>0.55038618944861972</v>
      </c>
      <c r="BZ117" s="16">
        <f t="shared" si="83"/>
        <v>0.55697812447006956</v>
      </c>
      <c r="CA117" s="16">
        <f t="shared" si="84"/>
        <v>0.86888792663501535</v>
      </c>
      <c r="CB117" s="16">
        <f t="shared" si="85"/>
        <v>0.90906279606027562</v>
      </c>
      <c r="CC117" s="16">
        <f t="shared" si="86"/>
        <v>0.91515201224846887</v>
      </c>
      <c r="CD117" s="16">
        <f t="shared" si="87"/>
        <v>1.1895309360493316</v>
      </c>
      <c r="CE117" s="16">
        <f t="shared" si="88"/>
        <v>0.88184193337687777</v>
      </c>
      <c r="CF117" s="16">
        <f t="shared" si="89"/>
        <v>0.87803099510603588</v>
      </c>
      <c r="CG117" s="16">
        <f t="shared" si="90"/>
        <v>0.88396088093474612</v>
      </c>
      <c r="CH117" s="16">
        <f t="shared" si="91"/>
        <v>0.74057656540607564</v>
      </c>
      <c r="CI117" s="16">
        <f t="shared" si="92"/>
        <v>0.73277798882075229</v>
      </c>
      <c r="CJ117" s="16">
        <f t="shared" si="93"/>
        <v>0.77198570035749103</v>
      </c>
      <c r="CK117" s="16">
        <f t="shared" si="94"/>
        <v>0.78494354430989244</v>
      </c>
      <c r="CL117" s="16">
        <f t="shared" si="95"/>
        <v>0.80928168518539545</v>
      </c>
      <c r="CM117" s="16">
        <f t="shared" si="96"/>
        <v>0.89186040949100642</v>
      </c>
      <c r="CO117" s="16">
        <f t="shared" si="32"/>
        <v>0.56461282264779344</v>
      </c>
      <c r="CP117" s="16">
        <f t="shared" si="97"/>
        <v>0.60363897060641269</v>
      </c>
      <c r="CQ117" s="16">
        <f t="shared" si="98"/>
        <v>0.61803226539422873</v>
      </c>
      <c r="CR117" s="16">
        <f t="shared" si="99"/>
        <v>0.60586399200932262</v>
      </c>
      <c r="CS117" s="16">
        <f t="shared" si="100"/>
        <v>0.58616175256958514</v>
      </c>
      <c r="CT117" s="16">
        <f t="shared" si="101"/>
        <v>0.57816101709300172</v>
      </c>
      <c r="CU117" s="16">
        <f t="shared" si="102"/>
        <v>0.55038618944861972</v>
      </c>
      <c r="CV117" s="16">
        <f t="shared" si="103"/>
        <v>0.55697812447006956</v>
      </c>
      <c r="CW117" s="16">
        <f t="shared" si="104"/>
        <v>0.57925861775667697</v>
      </c>
      <c r="CX117" s="16">
        <f t="shared" si="105"/>
        <v>0.60604186404018379</v>
      </c>
      <c r="CY117" s="16">
        <f t="shared" si="106"/>
        <v>0.61010134149897932</v>
      </c>
      <c r="CZ117" s="16">
        <f t="shared" si="107"/>
        <v>0.29738273401233289</v>
      </c>
      <c r="DA117" s="16">
        <f t="shared" si="108"/>
        <v>0.29394731112562589</v>
      </c>
      <c r="DB117" s="16">
        <f t="shared" si="109"/>
        <v>0.29267699836867872</v>
      </c>
      <c r="DC117" s="16">
        <f t="shared" si="110"/>
        <v>0.29465362697824876</v>
      </c>
      <c r="DD117" s="16">
        <f t="shared" si="111"/>
        <v>0.37028828270303782</v>
      </c>
      <c r="DE117" s="16">
        <f t="shared" si="112"/>
        <v>0.36638899441037615</v>
      </c>
      <c r="DF117" s="16">
        <f t="shared" si="113"/>
        <v>0.38599285017874552</v>
      </c>
      <c r="DG117" s="16">
        <f t="shared" si="114"/>
        <v>0.39247177215494622</v>
      </c>
      <c r="DH117" s="16">
        <f t="shared" si="115"/>
        <v>0.40464084259269772</v>
      </c>
      <c r="DI117" s="16">
        <f t="shared" si="116"/>
        <v>0.44593020474550321</v>
      </c>
      <c r="EG117" s="16">
        <f t="shared" si="34"/>
        <v>0</v>
      </c>
      <c r="EH117" s="16">
        <f t="shared" si="117"/>
        <v>0</v>
      </c>
      <c r="EI117" s="16">
        <f t="shared" si="118"/>
        <v>0</v>
      </c>
      <c r="EJ117" s="16">
        <f t="shared" si="119"/>
        <v>0</v>
      </c>
      <c r="EK117" s="16">
        <f t="shared" si="120"/>
        <v>0</v>
      </c>
      <c r="EL117" s="16">
        <f t="shared" si="121"/>
        <v>0</v>
      </c>
      <c r="EM117" s="16">
        <f t="shared" si="122"/>
        <v>0</v>
      </c>
      <c r="EN117" s="16">
        <f t="shared" si="123"/>
        <v>0</v>
      </c>
      <c r="EO117" s="16">
        <f t="shared" si="124"/>
        <v>0</v>
      </c>
      <c r="EP117" s="16">
        <f t="shared" si="125"/>
        <v>0</v>
      </c>
      <c r="EQ117" s="16">
        <f t="shared" si="126"/>
        <v>0</v>
      </c>
      <c r="ER117" s="16">
        <f t="shared" si="127"/>
        <v>0.29738273401233289</v>
      </c>
      <c r="ES117" s="16">
        <f t="shared" si="128"/>
        <v>0.29394731112562589</v>
      </c>
      <c r="ET117" s="16">
        <f t="shared" si="129"/>
        <v>0.29267699836867872</v>
      </c>
      <c r="EU117" s="16">
        <f t="shared" si="130"/>
        <v>0.29465362697824876</v>
      </c>
      <c r="EV117" s="16">
        <f t="shared" si="131"/>
        <v>0.37028828270303782</v>
      </c>
      <c r="EW117" s="16">
        <f t="shared" si="132"/>
        <v>0.36638899441037615</v>
      </c>
      <c r="EX117" s="16">
        <f t="shared" si="133"/>
        <v>0.38599285017874552</v>
      </c>
      <c r="EY117" s="16">
        <f t="shared" si="134"/>
        <v>0.39247177215494622</v>
      </c>
      <c r="EZ117" s="16">
        <f t="shared" si="135"/>
        <v>0.40464084259269772</v>
      </c>
      <c r="FA117" s="16">
        <f t="shared" si="136"/>
        <v>0.44593020474550321</v>
      </c>
    </row>
    <row r="118" spans="1:157">
      <c r="A118" t="s">
        <v>63</v>
      </c>
      <c r="B118" t="s">
        <v>450</v>
      </c>
      <c r="C118" t="s">
        <v>2085</v>
      </c>
      <c r="D118" s="16">
        <f t="shared" si="25"/>
        <v>4.5338713800533181</v>
      </c>
      <c r="E118" s="16">
        <f t="shared" si="36"/>
        <v>4.0770938193641175</v>
      </c>
      <c r="F118" s="16">
        <f t="shared" si="37"/>
        <v>4.3348861572255304</v>
      </c>
      <c r="G118" s="16">
        <f t="shared" si="38"/>
        <v>4.5499075951411196</v>
      </c>
      <c r="H118" s="16">
        <f t="shared" si="39"/>
        <v>4.3778029502568545</v>
      </c>
      <c r="I118" s="16">
        <f t="shared" si="40"/>
        <v>4.4023132219123173</v>
      </c>
      <c r="J118" s="16">
        <f t="shared" si="41"/>
        <v>4.0745235307924554</v>
      </c>
      <c r="K118" s="16">
        <f t="shared" si="42"/>
        <v>3.9609723126902669</v>
      </c>
      <c r="L118" s="16">
        <f t="shared" si="43"/>
        <v>3.9761688306433127</v>
      </c>
      <c r="M118" s="16">
        <f t="shared" si="44"/>
        <v>4.3487946973853626</v>
      </c>
      <c r="N118" s="16">
        <f t="shared" si="45"/>
        <v>4.1586389952211604</v>
      </c>
      <c r="O118" s="16">
        <f t="shared" si="46"/>
        <v>4.1683774081003193</v>
      </c>
      <c r="P118" s="16">
        <f t="shared" si="47"/>
        <v>3.9878592102542894</v>
      </c>
      <c r="Q118" s="16">
        <f t="shared" si="48"/>
        <v>3.950326741774087</v>
      </c>
      <c r="R118" s="16">
        <f t="shared" si="49"/>
        <v>3.9665176481152469</v>
      </c>
      <c r="S118" s="16">
        <f t="shared" si="50"/>
        <v>3.9778266527882993</v>
      </c>
      <c r="T118" s="16">
        <f t="shared" si="51"/>
        <v>3.8565028427037276</v>
      </c>
      <c r="U118" s="16">
        <f t="shared" si="52"/>
        <v>3.8839702737661388</v>
      </c>
      <c r="V118" s="16">
        <f t="shared" si="53"/>
        <v>3.8954431224122539</v>
      </c>
      <c r="W118" s="16">
        <f t="shared" si="54"/>
        <v>3.835233397808631</v>
      </c>
      <c r="X118" s="15">
        <f t="shared" si="55"/>
        <v>4.2194148699130887</v>
      </c>
      <c r="Y118" s="88"/>
      <c r="AA118" s="16" t="e">
        <f t="shared" ref="AA118:AU118" si="148">AA19/AA52*100</f>
        <v>#VALUE!</v>
      </c>
      <c r="AB118" s="16">
        <f t="shared" si="148"/>
        <v>2.4915573340558494</v>
      </c>
      <c r="AC118" s="16">
        <f t="shared" si="148"/>
        <v>2.5096709331305709</v>
      </c>
      <c r="AD118" s="16">
        <f t="shared" si="148"/>
        <v>2.7299445570846714</v>
      </c>
      <c r="AE118" s="16">
        <f t="shared" si="148"/>
        <v>2.7649281791095923</v>
      </c>
      <c r="AF118" s="16">
        <f t="shared" si="148"/>
        <v>2.7804083506814634</v>
      </c>
      <c r="AG118" s="16">
        <f t="shared" si="148"/>
        <v>2.4899866021509451</v>
      </c>
      <c r="AH118" s="16">
        <f t="shared" si="148"/>
        <v>2.4205941910884965</v>
      </c>
      <c r="AI118" s="16">
        <f t="shared" si="148"/>
        <v>2.4298809520598019</v>
      </c>
      <c r="AJ118" s="16">
        <f t="shared" si="148"/>
        <v>2.6092768184312178</v>
      </c>
      <c r="AK118" s="16">
        <f t="shared" si="148"/>
        <v>2.6265088390870486</v>
      </c>
      <c r="AL118" s="16">
        <f t="shared" si="148"/>
        <v>2.6326594156423067</v>
      </c>
      <c r="AM118" s="16">
        <f t="shared" si="148"/>
        <v>2.5186479222658669</v>
      </c>
      <c r="AN118" s="16">
        <f t="shared" si="148"/>
        <v>2.2870312715534191</v>
      </c>
      <c r="AO118" s="16">
        <f t="shared" si="148"/>
        <v>2.2964049541719853</v>
      </c>
      <c r="AP118" s="16">
        <f t="shared" si="148"/>
        <v>2.3029522726669107</v>
      </c>
      <c r="AQ118" s="16">
        <f t="shared" si="148"/>
        <v>2.3567517372078335</v>
      </c>
      <c r="AR118" s="16">
        <f t="shared" si="148"/>
        <v>2.3735373895237517</v>
      </c>
      <c r="AS118" s="16">
        <f t="shared" si="148"/>
        <v>2.3805485748074888</v>
      </c>
      <c r="AT118" s="16">
        <f t="shared" si="148"/>
        <v>2.3437537431052746</v>
      </c>
      <c r="AU118" s="16">
        <f t="shared" si="148"/>
        <v>2.5316489219478528</v>
      </c>
      <c r="AW118" s="16" t="e">
        <f t="shared" si="28"/>
        <v>#VALUE!</v>
      </c>
      <c r="AX118" s="16">
        <f t="shared" si="57"/>
        <v>0.45301042437379074</v>
      </c>
      <c r="AY118" s="16">
        <f t="shared" si="58"/>
        <v>0.4563038060237401</v>
      </c>
      <c r="AZ118" s="16">
        <f t="shared" si="59"/>
        <v>0.454990759514112</v>
      </c>
      <c r="BA118" s="16">
        <f t="shared" si="60"/>
        <v>0.46082136318493211</v>
      </c>
      <c r="BB118" s="16">
        <f t="shared" si="61"/>
        <v>0.46340139178024392</v>
      </c>
      <c r="BC118" s="16">
        <f t="shared" si="62"/>
        <v>0.45272483675471736</v>
      </c>
      <c r="BD118" s="16">
        <f t="shared" si="63"/>
        <v>0.44010803474336296</v>
      </c>
      <c r="BE118" s="16">
        <f t="shared" si="64"/>
        <v>0.44179653673814578</v>
      </c>
      <c r="BF118" s="16">
        <f t="shared" si="65"/>
        <v>0.43487946973853636</v>
      </c>
      <c r="BG118" s="16">
        <f t="shared" si="66"/>
        <v>0.4377514731811748</v>
      </c>
      <c r="BH118" s="16">
        <f t="shared" si="67"/>
        <v>0.43877656927371783</v>
      </c>
      <c r="BI118" s="16">
        <f t="shared" si="68"/>
        <v>0.41977465371097789</v>
      </c>
      <c r="BJ118" s="16">
        <f t="shared" si="69"/>
        <v>0.41582386755516709</v>
      </c>
      <c r="BK118" s="16">
        <f t="shared" si="70"/>
        <v>0.41752817348581556</v>
      </c>
      <c r="BL118" s="16">
        <f t="shared" si="71"/>
        <v>0.41871859503034736</v>
      </c>
      <c r="BM118" s="16">
        <f t="shared" si="72"/>
        <v>0.42850031585596976</v>
      </c>
      <c r="BN118" s="16">
        <f t="shared" si="73"/>
        <v>0.43155225264068203</v>
      </c>
      <c r="BO118" s="16">
        <f t="shared" si="74"/>
        <v>0.43282701360136155</v>
      </c>
      <c r="BP118" s="16">
        <f t="shared" si="75"/>
        <v>0.42613704420095899</v>
      </c>
      <c r="BQ118" s="16">
        <f t="shared" si="76"/>
        <v>0.4219414869913089</v>
      </c>
      <c r="BS118" s="16" t="e">
        <f t="shared" si="30"/>
        <v>#VALUE!</v>
      </c>
      <c r="BT118" s="16">
        <f t="shared" si="77"/>
        <v>0.90602084874758149</v>
      </c>
      <c r="BU118" s="16">
        <f t="shared" si="78"/>
        <v>0.9126076120474802</v>
      </c>
      <c r="BV118" s="16">
        <f t="shared" si="79"/>
        <v>0.909981519028224</v>
      </c>
      <c r="BW118" s="16">
        <f t="shared" si="80"/>
        <v>0.69123204477739808</v>
      </c>
      <c r="BX118" s="16">
        <f t="shared" si="81"/>
        <v>0.69510208767036585</v>
      </c>
      <c r="BY118" s="16">
        <f t="shared" si="82"/>
        <v>0.67908725513207591</v>
      </c>
      <c r="BZ118" s="16">
        <f t="shared" si="83"/>
        <v>0.66016205211504442</v>
      </c>
      <c r="CA118" s="16">
        <f t="shared" si="84"/>
        <v>0.66269480510721868</v>
      </c>
      <c r="CB118" s="16">
        <f t="shared" si="85"/>
        <v>0.65231920460780446</v>
      </c>
      <c r="CC118" s="16">
        <f t="shared" si="86"/>
        <v>0.65662720977176214</v>
      </c>
      <c r="CD118" s="16">
        <f t="shared" si="87"/>
        <v>0.87755313854743566</v>
      </c>
      <c r="CE118" s="16">
        <f t="shared" si="88"/>
        <v>0.62966198056646672</v>
      </c>
      <c r="CF118" s="16">
        <f t="shared" si="89"/>
        <v>0.62373580133275064</v>
      </c>
      <c r="CG118" s="16">
        <f t="shared" si="90"/>
        <v>0.6262922602287232</v>
      </c>
      <c r="CH118" s="16">
        <f t="shared" si="91"/>
        <v>0.62807789254552093</v>
      </c>
      <c r="CI118" s="16">
        <f t="shared" si="92"/>
        <v>0.64275047378395456</v>
      </c>
      <c r="CJ118" s="16">
        <f t="shared" si="93"/>
        <v>0.64732837896102302</v>
      </c>
      <c r="CK118" s="16">
        <f t="shared" si="94"/>
        <v>0.64924052040204239</v>
      </c>
      <c r="CL118" s="16">
        <f t="shared" si="95"/>
        <v>0.63920556630143843</v>
      </c>
      <c r="CM118" s="16">
        <f t="shared" si="96"/>
        <v>0.63291223048696321</v>
      </c>
      <c r="CO118" s="16" t="e">
        <f t="shared" si="32"/>
        <v>#VALUE!</v>
      </c>
      <c r="CP118" s="16">
        <f t="shared" si="97"/>
        <v>0.45301042437379074</v>
      </c>
      <c r="CQ118" s="16">
        <f t="shared" si="98"/>
        <v>0.4563038060237401</v>
      </c>
      <c r="CR118" s="16">
        <f t="shared" si="99"/>
        <v>0.454990759514112</v>
      </c>
      <c r="CS118" s="16">
        <f t="shared" si="100"/>
        <v>0.46082136318493211</v>
      </c>
      <c r="CT118" s="16">
        <f t="shared" si="101"/>
        <v>0.46340139178024392</v>
      </c>
      <c r="CU118" s="16">
        <f t="shared" si="102"/>
        <v>0.45272483675471736</v>
      </c>
      <c r="CV118" s="16">
        <f t="shared" si="103"/>
        <v>0.44010803474336296</v>
      </c>
      <c r="CW118" s="16">
        <f t="shared" si="104"/>
        <v>0.44179653673814578</v>
      </c>
      <c r="CX118" s="16">
        <f t="shared" si="105"/>
        <v>0.43487946973853636</v>
      </c>
      <c r="CY118" s="16">
        <f t="shared" si="106"/>
        <v>0.4377514731811748</v>
      </c>
      <c r="CZ118" s="16">
        <f t="shared" si="107"/>
        <v>0.43877656927371783</v>
      </c>
      <c r="DA118" s="16">
        <f t="shared" si="108"/>
        <v>0.41977465371097789</v>
      </c>
      <c r="DB118" s="16">
        <f t="shared" si="109"/>
        <v>0.41582386755516709</v>
      </c>
      <c r="DC118" s="16">
        <f t="shared" si="110"/>
        <v>0.41752817348581556</v>
      </c>
      <c r="DD118" s="16">
        <f t="shared" si="111"/>
        <v>0.41871859503034736</v>
      </c>
      <c r="DE118" s="16">
        <f t="shared" si="112"/>
        <v>0.42850031585596976</v>
      </c>
      <c r="DF118" s="16">
        <f t="shared" si="113"/>
        <v>0.43155225264068203</v>
      </c>
      <c r="DG118" s="16">
        <f t="shared" si="114"/>
        <v>0.43282701360136155</v>
      </c>
      <c r="DH118" s="16">
        <f t="shared" si="115"/>
        <v>0.42613704420095899</v>
      </c>
      <c r="DI118" s="16">
        <f t="shared" si="116"/>
        <v>0.4219414869913089</v>
      </c>
      <c r="EG118" s="16" t="e">
        <f t="shared" si="34"/>
        <v>#VALUE!</v>
      </c>
      <c r="EH118" s="16">
        <f t="shared" si="117"/>
        <v>0</v>
      </c>
      <c r="EI118" s="16">
        <f t="shared" si="118"/>
        <v>0</v>
      </c>
      <c r="EJ118" s="16">
        <f t="shared" si="119"/>
        <v>0</v>
      </c>
      <c r="EK118" s="16">
        <f t="shared" si="120"/>
        <v>0</v>
      </c>
      <c r="EL118" s="16">
        <f t="shared" si="121"/>
        <v>0</v>
      </c>
      <c r="EM118" s="16">
        <f t="shared" si="122"/>
        <v>0</v>
      </c>
      <c r="EN118" s="16">
        <f t="shared" si="123"/>
        <v>0</v>
      </c>
      <c r="EO118" s="16">
        <f t="shared" si="124"/>
        <v>0</v>
      </c>
      <c r="EP118" s="16">
        <f t="shared" si="125"/>
        <v>0</v>
      </c>
      <c r="EQ118" s="16">
        <f t="shared" si="126"/>
        <v>0</v>
      </c>
      <c r="ER118" s="16">
        <f t="shared" si="127"/>
        <v>0</v>
      </c>
      <c r="ES118" s="16">
        <f t="shared" si="128"/>
        <v>0</v>
      </c>
      <c r="ET118" s="16">
        <f t="shared" si="129"/>
        <v>0</v>
      </c>
      <c r="EU118" s="16">
        <f t="shared" si="130"/>
        <v>0</v>
      </c>
      <c r="EV118" s="16">
        <f t="shared" si="131"/>
        <v>0</v>
      </c>
      <c r="EW118" s="16">
        <f t="shared" si="132"/>
        <v>0</v>
      </c>
      <c r="EX118" s="16">
        <f t="shared" si="133"/>
        <v>0</v>
      </c>
      <c r="EY118" s="16">
        <f t="shared" si="134"/>
        <v>0</v>
      </c>
      <c r="EZ118" s="16">
        <f t="shared" si="135"/>
        <v>0</v>
      </c>
      <c r="FA118" s="16">
        <f t="shared" si="136"/>
        <v>0</v>
      </c>
    </row>
    <row r="119" spans="1:157">
      <c r="A119" t="s">
        <v>57</v>
      </c>
      <c r="B119" t="s">
        <v>451</v>
      </c>
      <c r="C119" t="s">
        <v>2085</v>
      </c>
      <c r="D119" s="16" t="e">
        <f t="shared" si="25"/>
        <v>#VALUE!</v>
      </c>
      <c r="E119" s="16" t="e">
        <f t="shared" si="36"/>
        <v>#VALUE!</v>
      </c>
      <c r="F119" s="16" t="e">
        <f t="shared" si="37"/>
        <v>#VALUE!</v>
      </c>
      <c r="G119" s="16" t="e">
        <f t="shared" si="38"/>
        <v>#VALUE!</v>
      </c>
      <c r="H119" s="16" t="e">
        <f t="shared" si="39"/>
        <v>#VALUE!</v>
      </c>
      <c r="I119" s="16">
        <f t="shared" si="40"/>
        <v>4.1263984305936097</v>
      </c>
      <c r="J119" s="16">
        <f t="shared" si="41"/>
        <v>3.9962852589572018</v>
      </c>
      <c r="K119" s="16">
        <f t="shared" si="42"/>
        <v>3.9706536131382828</v>
      </c>
      <c r="L119" s="16">
        <f t="shared" si="43"/>
        <v>4.0003218504633233</v>
      </c>
      <c r="M119" s="16">
        <f t="shared" si="44"/>
        <v>4.4838968693835426</v>
      </c>
      <c r="N119" s="16">
        <f t="shared" si="45"/>
        <v>4.1856904418720342</v>
      </c>
      <c r="O119" s="16">
        <f t="shared" si="46"/>
        <v>4.3857999422174654</v>
      </c>
      <c r="P119" s="16">
        <f t="shared" si="47"/>
        <v>4.270481423963683</v>
      </c>
      <c r="Q119" s="16">
        <f t="shared" si="48"/>
        <v>3.85024844555958</v>
      </c>
      <c r="R119" s="16">
        <f t="shared" si="49"/>
        <v>3.9666906625026832</v>
      </c>
      <c r="S119" s="16">
        <f t="shared" si="50"/>
        <v>3.569575508078334</v>
      </c>
      <c r="T119" s="16">
        <f t="shared" si="51"/>
        <v>3.5682780169117487</v>
      </c>
      <c r="U119" s="16">
        <f t="shared" si="52"/>
        <v>3.5727826074317632</v>
      </c>
      <c r="V119" s="16">
        <f t="shared" si="53"/>
        <v>3.4997645511924205</v>
      </c>
      <c r="W119" s="16">
        <f t="shared" si="54"/>
        <v>3.5073908620090508</v>
      </c>
      <c r="X119" s="15">
        <f t="shared" si="55"/>
        <v>3.6548449803753784</v>
      </c>
      <c r="Y119" s="88"/>
      <c r="AA119" s="16" t="e">
        <f t="shared" ref="AA119:AU119" si="149">AA20/AA53*100</f>
        <v>#VALUE!</v>
      </c>
      <c r="AB119" s="16" t="e">
        <f t="shared" si="149"/>
        <v>#VALUE!</v>
      </c>
      <c r="AC119" s="16" t="e">
        <f t="shared" si="149"/>
        <v>#VALUE!</v>
      </c>
      <c r="AD119" s="16" t="e">
        <f t="shared" si="149"/>
        <v>#VALUE!</v>
      </c>
      <c r="AE119" s="16" t="e">
        <f t="shared" si="149"/>
        <v>#VALUE!</v>
      </c>
      <c r="AF119" s="16">
        <f t="shared" si="149"/>
        <v>2.4070657511796054</v>
      </c>
      <c r="AG119" s="16">
        <f t="shared" si="149"/>
        <v>2.3311664010583675</v>
      </c>
      <c r="AH119" s="16">
        <f t="shared" si="149"/>
        <v>2.3162146076639982</v>
      </c>
      <c r="AI119" s="16">
        <f t="shared" si="149"/>
        <v>2.3335210794369385</v>
      </c>
      <c r="AJ119" s="16">
        <f t="shared" si="149"/>
        <v>2.4144060065911379</v>
      </c>
      <c r="AK119" s="16">
        <f t="shared" si="149"/>
        <v>2.4416527577586864</v>
      </c>
      <c r="AL119" s="16">
        <f t="shared" si="149"/>
        <v>2.3615845842709429</v>
      </c>
      <c r="AM119" s="16">
        <f t="shared" si="149"/>
        <v>2.2994899975189065</v>
      </c>
      <c r="AN119" s="16">
        <f t="shared" si="149"/>
        <v>2.2459782599097551</v>
      </c>
      <c r="AO119" s="16">
        <f t="shared" si="149"/>
        <v>2.135910356732214</v>
      </c>
      <c r="AP119" s="16">
        <f t="shared" si="149"/>
        <v>1.784787754039167</v>
      </c>
      <c r="AQ119" s="16">
        <f t="shared" si="149"/>
        <v>1.7841390084558744</v>
      </c>
      <c r="AR119" s="16">
        <f t="shared" si="149"/>
        <v>1.7863913037158816</v>
      </c>
      <c r="AS119" s="16">
        <f t="shared" si="149"/>
        <v>1.7498822755962102</v>
      </c>
      <c r="AT119" s="16">
        <f t="shared" si="149"/>
        <v>2.0459780028386132</v>
      </c>
      <c r="AU119" s="16">
        <f t="shared" si="149"/>
        <v>1.9679934509713572</v>
      </c>
      <c r="AW119" s="16" t="e">
        <f t="shared" si="28"/>
        <v>#VALUE!</v>
      </c>
      <c r="AX119" s="16" t="e">
        <f t="shared" si="57"/>
        <v>#VALUE!</v>
      </c>
      <c r="AY119" s="16" t="e">
        <f t="shared" si="58"/>
        <v>#VALUE!</v>
      </c>
      <c r="AZ119" s="16" t="e">
        <f t="shared" si="59"/>
        <v>#VALUE!</v>
      </c>
      <c r="BA119" s="16" t="e">
        <f t="shared" si="60"/>
        <v>#VALUE!</v>
      </c>
      <c r="BB119" s="16">
        <f t="shared" si="61"/>
        <v>1.0315996076484024</v>
      </c>
      <c r="BC119" s="16">
        <f t="shared" si="62"/>
        <v>0.99907131473930044</v>
      </c>
      <c r="BD119" s="16">
        <f t="shared" si="63"/>
        <v>0.9926634032845707</v>
      </c>
      <c r="BE119" s="16">
        <f t="shared" si="64"/>
        <v>1.0000804626158308</v>
      </c>
      <c r="BF119" s="16">
        <f t="shared" si="65"/>
        <v>1.0347454313962021</v>
      </c>
      <c r="BG119" s="16">
        <f t="shared" si="66"/>
        <v>1.0464226104680086</v>
      </c>
      <c r="BH119" s="16">
        <f t="shared" si="67"/>
        <v>1.0121076789732615</v>
      </c>
      <c r="BI119" s="16">
        <f t="shared" si="68"/>
        <v>1.313994284296518</v>
      </c>
      <c r="BJ119" s="16">
        <f t="shared" si="69"/>
        <v>1.2834161485198603</v>
      </c>
      <c r="BK119" s="16">
        <f t="shared" si="70"/>
        <v>1.2205202038469793</v>
      </c>
      <c r="BL119" s="16">
        <f t="shared" si="71"/>
        <v>1.1898585026927782</v>
      </c>
      <c r="BM119" s="16">
        <f t="shared" si="72"/>
        <v>0.89206950422793718</v>
      </c>
      <c r="BN119" s="16">
        <f t="shared" si="73"/>
        <v>0.89319565185794081</v>
      </c>
      <c r="BO119" s="16">
        <f t="shared" si="74"/>
        <v>0.87494113779810512</v>
      </c>
      <c r="BP119" s="16">
        <f t="shared" si="75"/>
        <v>1.1691302873363503</v>
      </c>
      <c r="BQ119" s="16">
        <f t="shared" si="76"/>
        <v>1.1245676862693472</v>
      </c>
      <c r="BS119" s="16" t="e">
        <f t="shared" si="30"/>
        <v>#VALUE!</v>
      </c>
      <c r="BT119" s="16" t="e">
        <f t="shared" si="77"/>
        <v>#VALUE!</v>
      </c>
      <c r="BU119" s="16" t="e">
        <f t="shared" si="78"/>
        <v>#VALUE!</v>
      </c>
      <c r="BV119" s="16" t="e">
        <f t="shared" si="79"/>
        <v>#VALUE!</v>
      </c>
      <c r="BW119" s="16" t="e">
        <f t="shared" si="80"/>
        <v>#VALUE!</v>
      </c>
      <c r="BX119" s="16">
        <f t="shared" si="81"/>
        <v>0.34386653588280075</v>
      </c>
      <c r="BY119" s="16">
        <f t="shared" si="82"/>
        <v>0.33302377157976681</v>
      </c>
      <c r="BZ119" s="16">
        <f t="shared" si="83"/>
        <v>0.33088780109485694</v>
      </c>
      <c r="CA119" s="16">
        <f t="shared" si="84"/>
        <v>0.33336015420527698</v>
      </c>
      <c r="CB119" s="16">
        <f t="shared" si="85"/>
        <v>0.34491514379873406</v>
      </c>
      <c r="CC119" s="16">
        <f t="shared" si="86"/>
        <v>0.34880753682266952</v>
      </c>
      <c r="CD119" s="16">
        <f t="shared" si="87"/>
        <v>0.33736922632442046</v>
      </c>
      <c r="CE119" s="16">
        <f t="shared" si="88"/>
        <v>0.3284985710741295</v>
      </c>
      <c r="CF119" s="16">
        <f t="shared" si="89"/>
        <v>0.32085403712996508</v>
      </c>
      <c r="CG119" s="16">
        <f t="shared" si="90"/>
        <v>0.30513005096174484</v>
      </c>
      <c r="CH119" s="16">
        <f t="shared" si="91"/>
        <v>0.29746462567319454</v>
      </c>
      <c r="CI119" s="16">
        <f t="shared" si="92"/>
        <v>0.29735650140931241</v>
      </c>
      <c r="CJ119" s="16">
        <f t="shared" si="93"/>
        <v>0.29773188395264694</v>
      </c>
      <c r="CK119" s="16">
        <f t="shared" si="94"/>
        <v>0.29164704593270174</v>
      </c>
      <c r="CL119" s="16">
        <f t="shared" si="95"/>
        <v>0.29228257183408757</v>
      </c>
      <c r="CM119" s="16">
        <f t="shared" si="96"/>
        <v>0.28114192156733681</v>
      </c>
      <c r="CO119" s="16" t="e">
        <f t="shared" si="32"/>
        <v>#VALUE!</v>
      </c>
      <c r="CP119" s="16" t="e">
        <f t="shared" si="97"/>
        <v>#VALUE!</v>
      </c>
      <c r="CQ119" s="16" t="e">
        <f t="shared" si="98"/>
        <v>#VALUE!</v>
      </c>
      <c r="CR119" s="16" t="e">
        <f t="shared" si="99"/>
        <v>#VALUE!</v>
      </c>
      <c r="CS119" s="16" t="e">
        <f t="shared" si="100"/>
        <v>#VALUE!</v>
      </c>
      <c r="CT119" s="16">
        <f t="shared" si="101"/>
        <v>0</v>
      </c>
      <c r="CU119" s="16">
        <f t="shared" si="102"/>
        <v>0</v>
      </c>
      <c r="CV119" s="16">
        <f t="shared" si="103"/>
        <v>0</v>
      </c>
      <c r="CW119" s="16">
        <f t="shared" si="104"/>
        <v>0</v>
      </c>
      <c r="CX119" s="16">
        <f t="shared" si="105"/>
        <v>0</v>
      </c>
      <c r="CY119" s="16">
        <f t="shared" si="106"/>
        <v>0</v>
      </c>
      <c r="CZ119" s="16">
        <f t="shared" si="107"/>
        <v>0</v>
      </c>
      <c r="DA119" s="16">
        <f t="shared" si="108"/>
        <v>0</v>
      </c>
      <c r="DB119" s="16">
        <f t="shared" si="109"/>
        <v>0</v>
      </c>
      <c r="DC119" s="16">
        <f t="shared" si="110"/>
        <v>0</v>
      </c>
      <c r="DD119" s="16">
        <f t="shared" si="111"/>
        <v>0</v>
      </c>
      <c r="DE119" s="16">
        <f t="shared" si="112"/>
        <v>0</v>
      </c>
      <c r="DF119" s="16">
        <f t="shared" si="113"/>
        <v>0</v>
      </c>
      <c r="DG119" s="16">
        <f t="shared" si="114"/>
        <v>0</v>
      </c>
      <c r="DH119" s="16">
        <f t="shared" si="115"/>
        <v>0</v>
      </c>
      <c r="DI119" s="16">
        <f t="shared" si="116"/>
        <v>0</v>
      </c>
      <c r="EG119" s="16" t="e">
        <f t="shared" si="34"/>
        <v>#VALUE!</v>
      </c>
      <c r="EH119" s="16" t="e">
        <f t="shared" si="117"/>
        <v>#VALUE!</v>
      </c>
      <c r="EI119" s="16" t="e">
        <f t="shared" si="118"/>
        <v>#VALUE!</v>
      </c>
      <c r="EJ119" s="16" t="e">
        <f t="shared" si="119"/>
        <v>#VALUE!</v>
      </c>
      <c r="EK119" s="16" t="e">
        <f t="shared" si="120"/>
        <v>#VALUE!</v>
      </c>
      <c r="EL119" s="16">
        <f t="shared" si="121"/>
        <v>0.34386653588280075</v>
      </c>
      <c r="EM119" s="16">
        <f t="shared" si="122"/>
        <v>0.33302377157976681</v>
      </c>
      <c r="EN119" s="16">
        <f t="shared" si="123"/>
        <v>0.33088780109485694</v>
      </c>
      <c r="EO119" s="16">
        <f t="shared" si="124"/>
        <v>0.33336015420527698</v>
      </c>
      <c r="EP119" s="16">
        <f t="shared" si="125"/>
        <v>0.34491514379873406</v>
      </c>
      <c r="EQ119" s="16">
        <f t="shared" si="126"/>
        <v>0.34880753682266952</v>
      </c>
      <c r="ER119" s="16">
        <f t="shared" si="127"/>
        <v>0.33736922632442046</v>
      </c>
      <c r="ES119" s="16">
        <f t="shared" si="128"/>
        <v>0.3284985710741295</v>
      </c>
      <c r="ET119" s="16">
        <f t="shared" si="129"/>
        <v>0.32085403712996508</v>
      </c>
      <c r="EU119" s="16">
        <f t="shared" si="130"/>
        <v>0.30513005096174484</v>
      </c>
      <c r="EV119" s="16">
        <f t="shared" si="131"/>
        <v>0.29746462567319454</v>
      </c>
      <c r="EW119" s="16">
        <f t="shared" si="132"/>
        <v>0.29735650140931241</v>
      </c>
      <c r="EX119" s="16">
        <f t="shared" si="133"/>
        <v>0.29773188395264694</v>
      </c>
      <c r="EY119" s="16">
        <f t="shared" si="134"/>
        <v>0.29164704593270174</v>
      </c>
      <c r="EZ119" s="16">
        <f t="shared" si="135"/>
        <v>0.29228257183408757</v>
      </c>
      <c r="FA119" s="16">
        <f t="shared" si="136"/>
        <v>0.28114192156733681</v>
      </c>
    </row>
    <row r="120" spans="1:157">
      <c r="A120" t="s">
        <v>2086</v>
      </c>
      <c r="B120" t="s">
        <v>449</v>
      </c>
      <c r="C120" t="s">
        <v>2085</v>
      </c>
      <c r="D120" s="16"/>
      <c r="E120" s="16">
        <f t="shared" si="36"/>
        <v>5.1704504001547971</v>
      </c>
      <c r="F120" s="16">
        <f t="shared" si="37"/>
        <v>4.9975409221750917</v>
      </c>
      <c r="G120" s="16">
        <f t="shared" si="38"/>
        <v>5.2370067303814523</v>
      </c>
      <c r="H120" s="16">
        <f t="shared" si="39"/>
        <v>5.2771466318318607</v>
      </c>
      <c r="I120" s="16">
        <f t="shared" si="40"/>
        <v>5.3429916125469994</v>
      </c>
      <c r="J120" s="16">
        <f t="shared" si="41"/>
        <v>5.3139251577434869</v>
      </c>
      <c r="K120" s="16">
        <f t="shared" si="42"/>
        <v>4.848299288767155</v>
      </c>
      <c r="L120" s="16">
        <f t="shared" si="43"/>
        <v>5.0790767215012318</v>
      </c>
      <c r="M120" s="16">
        <f t="shared" si="44"/>
        <v>5.4762403434859319</v>
      </c>
      <c r="N120" s="16">
        <f t="shared" si="45"/>
        <v>5.2195948462054078</v>
      </c>
      <c r="O120" s="16">
        <f t="shared" si="46"/>
        <v>5.0642691263194566</v>
      </c>
      <c r="P120" s="16">
        <f t="shared" si="47"/>
        <v>5.2192985306446049</v>
      </c>
      <c r="Q120" s="16">
        <f t="shared" si="48"/>
        <v>5.4841291268127117</v>
      </c>
      <c r="R120" s="16">
        <f t="shared" si="49"/>
        <v>5.6199066580762764</v>
      </c>
      <c r="S120" s="16">
        <f t="shared" si="50"/>
        <v>5.736192027054785</v>
      </c>
      <c r="T120" s="16">
        <f t="shared" si="51"/>
        <v>5.7357945896577212</v>
      </c>
      <c r="U120" s="16">
        <f t="shared" si="52"/>
        <v>5.477750406205776</v>
      </c>
      <c r="V120" s="16">
        <f t="shared" si="53"/>
        <v>5.1466624422005793</v>
      </c>
      <c r="W120" s="16">
        <f t="shared" si="54"/>
        <v>5.5826616010953236</v>
      </c>
      <c r="X120" s="87" t="e">
        <f t="shared" si="55"/>
        <v>#VALUE!</v>
      </c>
      <c r="Y120" s="88"/>
      <c r="AA120" s="16" t="e">
        <f t="shared" ref="AA120:AU120" si="150">AA21/AA54*100</f>
        <v>#VALUE!</v>
      </c>
      <c r="AB120" s="16" t="e">
        <f t="shared" si="150"/>
        <v>#VALUE!</v>
      </c>
      <c r="AC120" s="16" t="e">
        <f t="shared" si="150"/>
        <v>#VALUE!</v>
      </c>
      <c r="AD120" s="16" t="e">
        <f t="shared" si="150"/>
        <v>#VALUE!</v>
      </c>
      <c r="AE120" s="16" t="e">
        <f t="shared" si="150"/>
        <v>#VALUE!</v>
      </c>
      <c r="AF120" s="16" t="e">
        <f t="shared" si="150"/>
        <v>#VALUE!</v>
      </c>
      <c r="AG120" s="16" t="e">
        <f t="shared" si="150"/>
        <v>#VALUE!</v>
      </c>
      <c r="AH120" s="16" t="e">
        <f t="shared" si="150"/>
        <v>#VALUE!</v>
      </c>
      <c r="AI120" s="16" t="e">
        <f t="shared" si="150"/>
        <v>#VALUE!</v>
      </c>
      <c r="AJ120" s="16" t="e">
        <f t="shared" si="150"/>
        <v>#VALUE!</v>
      </c>
      <c r="AK120" s="16" t="e">
        <f t="shared" si="150"/>
        <v>#VALUE!</v>
      </c>
      <c r="AL120" s="16" t="e">
        <f t="shared" si="150"/>
        <v>#VALUE!</v>
      </c>
      <c r="AM120" s="16" t="e">
        <f t="shared" si="150"/>
        <v>#VALUE!</v>
      </c>
      <c r="AN120" s="16" t="e">
        <f t="shared" si="150"/>
        <v>#VALUE!</v>
      </c>
      <c r="AO120" s="16" t="e">
        <f t="shared" si="150"/>
        <v>#VALUE!</v>
      </c>
      <c r="AP120" s="16" t="e">
        <f t="shared" si="150"/>
        <v>#VALUE!</v>
      </c>
      <c r="AQ120" s="16" t="e">
        <f t="shared" si="150"/>
        <v>#VALUE!</v>
      </c>
      <c r="AR120" s="16" t="e">
        <f t="shared" si="150"/>
        <v>#VALUE!</v>
      </c>
      <c r="AS120" s="16" t="e">
        <f t="shared" si="150"/>
        <v>#VALUE!</v>
      </c>
      <c r="AT120" s="16" t="e">
        <f t="shared" si="150"/>
        <v>#VALUE!</v>
      </c>
      <c r="AU120" s="16" t="e">
        <f t="shared" si="150"/>
        <v>#VALUE!</v>
      </c>
      <c r="AW120" s="16" t="e">
        <f t="shared" si="28"/>
        <v>#VALUE!</v>
      </c>
      <c r="AX120" s="16" t="e">
        <f t="shared" si="57"/>
        <v>#VALUE!</v>
      </c>
      <c r="AY120" s="16" t="e">
        <f t="shared" si="58"/>
        <v>#VALUE!</v>
      </c>
      <c r="AZ120" s="16" t="e">
        <f t="shared" si="59"/>
        <v>#VALUE!</v>
      </c>
      <c r="BA120" s="16" t="e">
        <f t="shared" si="60"/>
        <v>#VALUE!</v>
      </c>
      <c r="BB120" s="16" t="e">
        <f t="shared" si="61"/>
        <v>#VALUE!</v>
      </c>
      <c r="BC120" s="16" t="e">
        <f t="shared" si="62"/>
        <v>#VALUE!</v>
      </c>
      <c r="BD120" s="16" t="e">
        <f t="shared" si="63"/>
        <v>#VALUE!</v>
      </c>
      <c r="BE120" s="16" t="e">
        <f t="shared" si="64"/>
        <v>#VALUE!</v>
      </c>
      <c r="BF120" s="16" t="e">
        <f t="shared" si="65"/>
        <v>#VALUE!</v>
      </c>
      <c r="BG120" s="16" t="e">
        <f t="shared" si="66"/>
        <v>#VALUE!</v>
      </c>
      <c r="BH120" s="16" t="e">
        <f t="shared" si="67"/>
        <v>#VALUE!</v>
      </c>
      <c r="BI120" s="16" t="e">
        <f t="shared" si="68"/>
        <v>#VALUE!</v>
      </c>
      <c r="BJ120" s="16" t="e">
        <f t="shared" si="69"/>
        <v>#VALUE!</v>
      </c>
      <c r="BK120" s="16" t="e">
        <f t="shared" si="70"/>
        <v>#VALUE!</v>
      </c>
      <c r="BL120" s="16" t="e">
        <f t="shared" si="71"/>
        <v>#VALUE!</v>
      </c>
      <c r="BM120" s="16" t="e">
        <f t="shared" si="72"/>
        <v>#VALUE!</v>
      </c>
      <c r="BN120" s="16" t="e">
        <f t="shared" si="73"/>
        <v>#VALUE!</v>
      </c>
      <c r="BO120" s="16" t="e">
        <f t="shared" si="74"/>
        <v>#VALUE!</v>
      </c>
      <c r="BP120" s="16" t="e">
        <f t="shared" si="75"/>
        <v>#VALUE!</v>
      </c>
      <c r="BQ120" s="16" t="e">
        <f t="shared" si="76"/>
        <v>#VALUE!</v>
      </c>
      <c r="BS120" s="16" t="e">
        <f t="shared" si="30"/>
        <v>#VALUE!</v>
      </c>
      <c r="BT120" s="16" t="e">
        <f t="shared" si="77"/>
        <v>#VALUE!</v>
      </c>
      <c r="BU120" s="16" t="e">
        <f t="shared" si="78"/>
        <v>#VALUE!</v>
      </c>
      <c r="BV120" s="16" t="e">
        <f t="shared" si="79"/>
        <v>#VALUE!</v>
      </c>
      <c r="BW120" s="16" t="e">
        <f t="shared" si="80"/>
        <v>#VALUE!</v>
      </c>
      <c r="BX120" s="16" t="e">
        <f t="shared" si="81"/>
        <v>#VALUE!</v>
      </c>
      <c r="BY120" s="16" t="e">
        <f t="shared" si="82"/>
        <v>#VALUE!</v>
      </c>
      <c r="BZ120" s="16" t="e">
        <f t="shared" si="83"/>
        <v>#VALUE!</v>
      </c>
      <c r="CA120" s="16" t="e">
        <f t="shared" si="84"/>
        <v>#VALUE!</v>
      </c>
      <c r="CB120" s="16" t="e">
        <f t="shared" si="85"/>
        <v>#VALUE!</v>
      </c>
      <c r="CC120" s="16" t="e">
        <f t="shared" si="86"/>
        <v>#VALUE!</v>
      </c>
      <c r="CD120" s="16" t="e">
        <f t="shared" si="87"/>
        <v>#VALUE!</v>
      </c>
      <c r="CE120" s="16" t="e">
        <f t="shared" si="88"/>
        <v>#VALUE!</v>
      </c>
      <c r="CF120" s="16" t="e">
        <f t="shared" si="89"/>
        <v>#VALUE!</v>
      </c>
      <c r="CG120" s="16" t="e">
        <f t="shared" si="90"/>
        <v>#VALUE!</v>
      </c>
      <c r="CH120" s="16" t="e">
        <f t="shared" si="91"/>
        <v>#VALUE!</v>
      </c>
      <c r="CI120" s="16" t="e">
        <f t="shared" si="92"/>
        <v>#VALUE!</v>
      </c>
      <c r="CJ120" s="16" t="e">
        <f t="shared" si="93"/>
        <v>#VALUE!</v>
      </c>
      <c r="CK120" s="16" t="e">
        <f t="shared" si="94"/>
        <v>#VALUE!</v>
      </c>
      <c r="CL120" s="16" t="e">
        <f t="shared" si="95"/>
        <v>#VALUE!</v>
      </c>
      <c r="CM120" s="16" t="e">
        <f t="shared" si="96"/>
        <v>#VALUE!</v>
      </c>
      <c r="CO120" s="16" t="e">
        <f t="shared" si="32"/>
        <v>#VALUE!</v>
      </c>
      <c r="CP120" s="16" t="e">
        <f t="shared" si="97"/>
        <v>#VALUE!</v>
      </c>
      <c r="CQ120" s="16" t="e">
        <f t="shared" si="98"/>
        <v>#VALUE!</v>
      </c>
      <c r="CR120" s="16" t="e">
        <f t="shared" si="99"/>
        <v>#VALUE!</v>
      </c>
      <c r="CS120" s="16" t="e">
        <f t="shared" si="100"/>
        <v>#VALUE!</v>
      </c>
      <c r="CT120" s="16" t="e">
        <f t="shared" si="101"/>
        <v>#VALUE!</v>
      </c>
      <c r="CU120" s="16" t="e">
        <f t="shared" si="102"/>
        <v>#VALUE!</v>
      </c>
      <c r="CV120" s="16" t="e">
        <f t="shared" si="103"/>
        <v>#VALUE!</v>
      </c>
      <c r="CW120" s="16" t="e">
        <f t="shared" si="104"/>
        <v>#VALUE!</v>
      </c>
      <c r="CX120" s="16" t="e">
        <f t="shared" si="105"/>
        <v>#VALUE!</v>
      </c>
      <c r="CY120" s="16" t="e">
        <f t="shared" si="106"/>
        <v>#VALUE!</v>
      </c>
      <c r="CZ120" s="16" t="e">
        <f t="shared" si="107"/>
        <v>#VALUE!</v>
      </c>
      <c r="DA120" s="16" t="e">
        <f t="shared" si="108"/>
        <v>#VALUE!</v>
      </c>
      <c r="DB120" s="16" t="e">
        <f t="shared" si="109"/>
        <v>#VALUE!</v>
      </c>
      <c r="DC120" s="16" t="e">
        <f t="shared" si="110"/>
        <v>#VALUE!</v>
      </c>
      <c r="DD120" s="16" t="e">
        <f t="shared" si="111"/>
        <v>#VALUE!</v>
      </c>
      <c r="DE120" s="16" t="e">
        <f t="shared" si="112"/>
        <v>#VALUE!</v>
      </c>
      <c r="DF120" s="16" t="e">
        <f t="shared" si="113"/>
        <v>#VALUE!</v>
      </c>
      <c r="DG120" s="16" t="e">
        <f t="shared" si="114"/>
        <v>#VALUE!</v>
      </c>
      <c r="DH120" s="16" t="e">
        <f t="shared" si="115"/>
        <v>#VALUE!</v>
      </c>
      <c r="DI120" s="16" t="e">
        <f t="shared" si="116"/>
        <v>#VALUE!</v>
      </c>
      <c r="EG120" s="16" t="e">
        <f t="shared" si="34"/>
        <v>#VALUE!</v>
      </c>
      <c r="EH120" s="16" t="e">
        <f t="shared" si="117"/>
        <v>#VALUE!</v>
      </c>
      <c r="EI120" s="16" t="e">
        <f t="shared" si="118"/>
        <v>#VALUE!</v>
      </c>
      <c r="EJ120" s="16" t="e">
        <f t="shared" si="119"/>
        <v>#VALUE!</v>
      </c>
      <c r="EK120" s="16" t="e">
        <f t="shared" si="120"/>
        <v>#VALUE!</v>
      </c>
      <c r="EL120" s="16" t="e">
        <f t="shared" si="121"/>
        <v>#VALUE!</v>
      </c>
      <c r="EM120" s="16" t="e">
        <f t="shared" si="122"/>
        <v>#VALUE!</v>
      </c>
      <c r="EN120" s="16" t="e">
        <f t="shared" si="123"/>
        <v>#VALUE!</v>
      </c>
      <c r="EO120" s="16" t="e">
        <f t="shared" si="124"/>
        <v>#VALUE!</v>
      </c>
      <c r="EP120" s="16" t="e">
        <f t="shared" si="125"/>
        <v>#VALUE!</v>
      </c>
      <c r="EQ120" s="16" t="e">
        <f t="shared" si="126"/>
        <v>#VALUE!</v>
      </c>
      <c r="ER120" s="16" t="e">
        <f t="shared" si="127"/>
        <v>#VALUE!</v>
      </c>
      <c r="ES120" s="16" t="e">
        <f t="shared" si="128"/>
        <v>#VALUE!</v>
      </c>
      <c r="ET120" s="16" t="e">
        <f t="shared" si="129"/>
        <v>#VALUE!</v>
      </c>
      <c r="EU120" s="16" t="e">
        <f t="shared" si="130"/>
        <v>#VALUE!</v>
      </c>
      <c r="EV120" s="16" t="e">
        <f t="shared" si="131"/>
        <v>#VALUE!</v>
      </c>
      <c r="EW120" s="16" t="e">
        <f t="shared" si="132"/>
        <v>#VALUE!</v>
      </c>
      <c r="EX120" s="16" t="e">
        <f t="shared" si="133"/>
        <v>#VALUE!</v>
      </c>
      <c r="EY120" s="16" t="e">
        <f t="shared" si="134"/>
        <v>#VALUE!</v>
      </c>
      <c r="EZ120" s="16" t="e">
        <f t="shared" si="135"/>
        <v>#VALUE!</v>
      </c>
      <c r="FA120" s="16" t="e">
        <f t="shared" si="136"/>
        <v>#VALUE!</v>
      </c>
    </row>
    <row r="121" spans="1:157">
      <c r="A121" t="s">
        <v>54</v>
      </c>
      <c r="B121" t="s">
        <v>467</v>
      </c>
      <c r="C121" t="s">
        <v>2085</v>
      </c>
      <c r="D121" s="16">
        <f t="shared" ref="D121:D133" si="151">D22/AA55*100</f>
        <v>2.0677061469265365</v>
      </c>
      <c r="E121" s="16">
        <f t="shared" si="36"/>
        <v>2.2851674641148327</v>
      </c>
      <c r="F121" s="16">
        <f t="shared" si="37"/>
        <v>2.2834839769926045</v>
      </c>
      <c r="G121" s="16">
        <f t="shared" si="38"/>
        <v>2.5222678789998252</v>
      </c>
      <c r="H121" s="16">
        <f t="shared" si="39"/>
        <v>2.6015521436362112</v>
      </c>
      <c r="I121" s="16">
        <f t="shared" si="40"/>
        <v>2.5442331194622669</v>
      </c>
      <c r="J121" s="16">
        <f t="shared" si="41"/>
        <v>2.4210116180221024</v>
      </c>
      <c r="K121" s="16">
        <f t="shared" si="42"/>
        <v>2.1558991981672393</v>
      </c>
      <c r="L121" s="16">
        <f t="shared" si="43"/>
        <v>2.1794576927732718</v>
      </c>
      <c r="M121" s="16">
        <f t="shared" si="44"/>
        <v>2.353887884267631</v>
      </c>
      <c r="N121" s="16">
        <f t="shared" si="45"/>
        <v>2.6380464905831116</v>
      </c>
      <c r="O121" s="16">
        <f t="shared" si="46"/>
        <v>2.3722436309141512</v>
      </c>
      <c r="P121" s="16">
        <f t="shared" si="47"/>
        <v>2.3630453552745188</v>
      </c>
      <c r="Q121" s="16">
        <f t="shared" si="48"/>
        <v>2.3764461009729412</v>
      </c>
      <c r="R121" s="16">
        <f t="shared" si="49"/>
        <v>2.3841550430419374</v>
      </c>
      <c r="S121" s="16">
        <f t="shared" si="50"/>
        <v>2.3998049731838127</v>
      </c>
      <c r="T121" s="16">
        <f t="shared" si="51"/>
        <v>2.3846251750031819</v>
      </c>
      <c r="U121" s="16">
        <f t="shared" si="52"/>
        <v>2.3491236572167029</v>
      </c>
      <c r="V121" s="16">
        <f t="shared" si="53"/>
        <v>2.437167816766995</v>
      </c>
      <c r="W121" s="16">
        <f t="shared" si="54"/>
        <v>2.6512385046333815</v>
      </c>
      <c r="X121" s="15">
        <f t="shared" si="55"/>
        <v>2.9602276353579406</v>
      </c>
      <c r="Y121" s="88"/>
      <c r="AA121" s="16">
        <f t="shared" ref="AA121:AU121" si="152">AA22/AA55*100</f>
        <v>1.1487256371814092</v>
      </c>
      <c r="AB121" s="16">
        <f t="shared" si="152"/>
        <v>1.1425837320574164</v>
      </c>
      <c r="AC121" s="16">
        <f t="shared" si="152"/>
        <v>1.3700903861955627</v>
      </c>
      <c r="AD121" s="16">
        <f t="shared" si="152"/>
        <v>1.37578247945445</v>
      </c>
      <c r="AE121" s="16">
        <f t="shared" si="152"/>
        <v>1.4190284419833878</v>
      </c>
      <c r="AF121" s="16">
        <f t="shared" si="152"/>
        <v>1.3877635197066909</v>
      </c>
      <c r="AG121" s="16">
        <f t="shared" si="152"/>
        <v>1.2105058090110512</v>
      </c>
      <c r="AH121" s="16">
        <f t="shared" si="152"/>
        <v>1.1977217767595774</v>
      </c>
      <c r="AI121" s="16">
        <f t="shared" si="152"/>
        <v>1.2108098293184846</v>
      </c>
      <c r="AJ121" s="16">
        <f t="shared" si="152"/>
        <v>1.1769439421338155</v>
      </c>
      <c r="AK121" s="16">
        <f t="shared" si="152"/>
        <v>1.43893444940897</v>
      </c>
      <c r="AL121" s="16">
        <f t="shared" si="152"/>
        <v>1.1861218154570756</v>
      </c>
      <c r="AM121" s="16">
        <f t="shared" si="152"/>
        <v>1.1815226776372594</v>
      </c>
      <c r="AN121" s="16">
        <f t="shared" si="152"/>
        <v>1.1882230504864706</v>
      </c>
      <c r="AO121" s="16">
        <f t="shared" si="152"/>
        <v>1.1920775215209687</v>
      </c>
      <c r="AP121" s="16">
        <f t="shared" si="152"/>
        <v>1.1999024865919063</v>
      </c>
      <c r="AQ121" s="16">
        <f t="shared" si="152"/>
        <v>1.192312587501591</v>
      </c>
      <c r="AR121" s="16">
        <f t="shared" si="152"/>
        <v>1.1745618286083515</v>
      </c>
      <c r="AS121" s="16">
        <f t="shared" si="152"/>
        <v>1.1078035530759067</v>
      </c>
      <c r="AT121" s="16">
        <f t="shared" si="152"/>
        <v>1.104682710263909</v>
      </c>
      <c r="AU121" s="16">
        <f t="shared" si="152"/>
        <v>1.1385490905222848</v>
      </c>
      <c r="AW121" s="16">
        <f t="shared" si="28"/>
        <v>0.22974512743628184</v>
      </c>
      <c r="AX121" s="16">
        <f t="shared" si="57"/>
        <v>0.22851674641148328</v>
      </c>
      <c r="AY121" s="16">
        <f t="shared" si="58"/>
        <v>0.22834839769926046</v>
      </c>
      <c r="AZ121" s="16">
        <f t="shared" si="59"/>
        <v>0.22929707990907502</v>
      </c>
      <c r="BA121" s="16">
        <f t="shared" si="60"/>
        <v>0.23650474033056465</v>
      </c>
      <c r="BB121" s="16">
        <f t="shared" si="61"/>
        <v>0.23129391995111515</v>
      </c>
      <c r="BC121" s="16">
        <f t="shared" si="62"/>
        <v>0.24210116180221025</v>
      </c>
      <c r="BD121" s="16">
        <f t="shared" si="63"/>
        <v>0.23954435535191551</v>
      </c>
      <c r="BE121" s="16">
        <f t="shared" si="64"/>
        <v>0.2421619658636969</v>
      </c>
      <c r="BF121" s="16">
        <f t="shared" si="65"/>
        <v>0.23538878842676311</v>
      </c>
      <c r="BG121" s="16">
        <f t="shared" si="66"/>
        <v>0.23982240823482837</v>
      </c>
      <c r="BH121" s="16">
        <f t="shared" si="67"/>
        <v>0.23722436309141512</v>
      </c>
      <c r="BI121" s="16">
        <f t="shared" si="68"/>
        <v>0.23630453552745193</v>
      </c>
      <c r="BJ121" s="16">
        <f t="shared" si="69"/>
        <v>0.23764461009729412</v>
      </c>
      <c r="BK121" s="16">
        <f t="shared" si="70"/>
        <v>0.23841550430419375</v>
      </c>
      <c r="BL121" s="16">
        <f t="shared" si="71"/>
        <v>0.23998049731838128</v>
      </c>
      <c r="BM121" s="16">
        <f t="shared" si="72"/>
        <v>0.23846251750031822</v>
      </c>
      <c r="BN121" s="16">
        <f t="shared" si="73"/>
        <v>0.23491236572167029</v>
      </c>
      <c r="BO121" s="16">
        <f t="shared" si="74"/>
        <v>0.44312142123036269</v>
      </c>
      <c r="BP121" s="16">
        <f t="shared" si="75"/>
        <v>0.66280962615834538</v>
      </c>
      <c r="BQ121" s="16">
        <f t="shared" si="76"/>
        <v>0.68312945431337091</v>
      </c>
      <c r="BS121" s="16">
        <f t="shared" si="30"/>
        <v>0.45949025487256367</v>
      </c>
      <c r="BT121" s="16">
        <f t="shared" si="77"/>
        <v>0.45703349282296657</v>
      </c>
      <c r="BU121" s="16">
        <f t="shared" si="78"/>
        <v>0.45669679539852093</v>
      </c>
      <c r="BV121" s="16">
        <f t="shared" si="79"/>
        <v>0.45859415981815005</v>
      </c>
      <c r="BW121" s="16">
        <f t="shared" si="80"/>
        <v>0.4730094806611293</v>
      </c>
      <c r="BX121" s="16">
        <f t="shared" si="81"/>
        <v>0.46258783990223029</v>
      </c>
      <c r="BY121" s="16">
        <f t="shared" si="82"/>
        <v>0.4842023236044205</v>
      </c>
      <c r="BZ121" s="16">
        <f t="shared" si="83"/>
        <v>0.47908871070383102</v>
      </c>
      <c r="CA121" s="16">
        <f t="shared" si="84"/>
        <v>0.4843239317273938</v>
      </c>
      <c r="CB121" s="16">
        <f t="shared" si="85"/>
        <v>0.47077757685352623</v>
      </c>
      <c r="CC121" s="16">
        <f t="shared" si="86"/>
        <v>0.47964481646965673</v>
      </c>
      <c r="CD121" s="16">
        <f t="shared" si="87"/>
        <v>0.47444872618283024</v>
      </c>
      <c r="CE121" s="16">
        <f t="shared" si="88"/>
        <v>0.47260907105490385</v>
      </c>
      <c r="CF121" s="16">
        <f t="shared" si="89"/>
        <v>0.47528922019458825</v>
      </c>
      <c r="CG121" s="16">
        <f t="shared" si="90"/>
        <v>0.47683100860838751</v>
      </c>
      <c r="CH121" s="16">
        <f t="shared" si="91"/>
        <v>0.47996099463676256</v>
      </c>
      <c r="CI121" s="16">
        <f t="shared" si="92"/>
        <v>0.47692503500063643</v>
      </c>
      <c r="CJ121" s="16">
        <f t="shared" si="93"/>
        <v>0.46982473144334058</v>
      </c>
      <c r="CK121" s="16">
        <f t="shared" si="94"/>
        <v>0.44312142123036269</v>
      </c>
      <c r="CL121" s="16">
        <f t="shared" si="95"/>
        <v>0.44187308410556364</v>
      </c>
      <c r="CM121" s="16">
        <f t="shared" si="96"/>
        <v>0.45541963620891401</v>
      </c>
      <c r="CO121" s="16">
        <f t="shared" si="32"/>
        <v>0.22974512743628184</v>
      </c>
      <c r="CP121" s="16">
        <f t="shared" si="97"/>
        <v>0.22851674641148328</v>
      </c>
      <c r="CQ121" s="16">
        <f t="shared" si="98"/>
        <v>0.22834839769926046</v>
      </c>
      <c r="CR121" s="16">
        <f t="shared" si="99"/>
        <v>0.22929707990907502</v>
      </c>
      <c r="CS121" s="16">
        <f t="shared" si="100"/>
        <v>0.23650474033056465</v>
      </c>
      <c r="CT121" s="16">
        <f t="shared" si="101"/>
        <v>0.23129391995111515</v>
      </c>
      <c r="CU121" s="16">
        <f t="shared" si="102"/>
        <v>0.24210116180221025</v>
      </c>
      <c r="CV121" s="16">
        <f t="shared" si="103"/>
        <v>0.23954435535191551</v>
      </c>
      <c r="CW121" s="16">
        <f t="shared" si="104"/>
        <v>0.2421619658636969</v>
      </c>
      <c r="CX121" s="16">
        <f t="shared" si="105"/>
        <v>0.23538878842676311</v>
      </c>
      <c r="CY121" s="16">
        <f t="shared" si="106"/>
        <v>0.23982240823482837</v>
      </c>
      <c r="CZ121" s="16">
        <f t="shared" si="107"/>
        <v>0.23722436309141512</v>
      </c>
      <c r="DA121" s="16">
        <f t="shared" si="108"/>
        <v>0.23630453552745193</v>
      </c>
      <c r="DB121" s="16">
        <f t="shared" si="109"/>
        <v>0.23764461009729412</v>
      </c>
      <c r="DC121" s="16">
        <f t="shared" si="110"/>
        <v>0.23841550430419375</v>
      </c>
      <c r="DD121" s="16">
        <f t="shared" si="111"/>
        <v>0.23998049731838128</v>
      </c>
      <c r="DE121" s="16">
        <f t="shared" si="112"/>
        <v>0.23846251750031822</v>
      </c>
      <c r="DF121" s="16">
        <f t="shared" si="113"/>
        <v>0.23491236572167029</v>
      </c>
      <c r="DG121" s="16">
        <f t="shared" si="114"/>
        <v>0.44312142123036269</v>
      </c>
      <c r="DH121" s="16">
        <f t="shared" si="115"/>
        <v>0.44187308410556364</v>
      </c>
      <c r="DI121" s="16">
        <f t="shared" si="116"/>
        <v>0.45541963620891401</v>
      </c>
      <c r="EG121" s="16">
        <f t="shared" si="34"/>
        <v>0</v>
      </c>
      <c r="EH121" s="16">
        <f t="shared" si="117"/>
        <v>0</v>
      </c>
      <c r="EI121" s="16">
        <f t="shared" si="118"/>
        <v>0</v>
      </c>
      <c r="EJ121" s="16">
        <f t="shared" si="119"/>
        <v>0</v>
      </c>
      <c r="EK121" s="16">
        <f t="shared" si="120"/>
        <v>0</v>
      </c>
      <c r="EL121" s="16">
        <f t="shared" si="121"/>
        <v>0</v>
      </c>
      <c r="EM121" s="16">
        <f t="shared" si="122"/>
        <v>0</v>
      </c>
      <c r="EN121" s="16">
        <f t="shared" si="123"/>
        <v>0</v>
      </c>
      <c r="EO121" s="16">
        <f t="shared" si="124"/>
        <v>0</v>
      </c>
      <c r="EP121" s="16">
        <f t="shared" si="125"/>
        <v>0</v>
      </c>
      <c r="EQ121" s="16">
        <f t="shared" si="126"/>
        <v>0</v>
      </c>
      <c r="ER121" s="16">
        <f t="shared" si="127"/>
        <v>0</v>
      </c>
      <c r="ES121" s="16">
        <f t="shared" si="128"/>
        <v>0</v>
      </c>
      <c r="ET121" s="16">
        <f t="shared" si="129"/>
        <v>0.23764461009729412</v>
      </c>
      <c r="EU121" s="16">
        <f t="shared" si="130"/>
        <v>0.23841550430419375</v>
      </c>
      <c r="EV121" s="16">
        <f t="shared" si="131"/>
        <v>0.23998049731838128</v>
      </c>
      <c r="EW121" s="16">
        <f t="shared" si="132"/>
        <v>0.23846251750031822</v>
      </c>
      <c r="EX121" s="16">
        <f t="shared" si="133"/>
        <v>0.23491236572167029</v>
      </c>
      <c r="EY121" s="16">
        <f t="shared" si="134"/>
        <v>0.22156071061518134</v>
      </c>
      <c r="EZ121" s="16">
        <f t="shared" si="135"/>
        <v>0</v>
      </c>
      <c r="FA121" s="16">
        <f t="shared" si="136"/>
        <v>0</v>
      </c>
    </row>
    <row r="122" spans="1:157">
      <c r="A122" t="s">
        <v>1633</v>
      </c>
      <c r="B122" t="s">
        <v>460</v>
      </c>
      <c r="C122" t="s">
        <v>2085</v>
      </c>
      <c r="D122" s="16">
        <f t="shared" si="151"/>
        <v>3.5255939597838917</v>
      </c>
      <c r="E122" s="16">
        <f t="shared" si="36"/>
        <v>3.8419278165066304</v>
      </c>
      <c r="F122" s="16">
        <f t="shared" si="37"/>
        <v>4.1808553761593945</v>
      </c>
      <c r="G122" s="16">
        <f t="shared" si="38"/>
        <v>4.4365417335550656</v>
      </c>
      <c r="H122" s="16">
        <f t="shared" si="39"/>
        <v>4.1658118550138195</v>
      </c>
      <c r="I122" s="16">
        <f t="shared" si="40"/>
        <v>4.1439752025523147</v>
      </c>
      <c r="J122" s="16">
        <f t="shared" si="41"/>
        <v>4.2616092475435208</v>
      </c>
      <c r="K122" s="16">
        <f t="shared" si="42"/>
        <v>4.3418872011438046</v>
      </c>
      <c r="L122" s="16">
        <f t="shared" si="43"/>
        <v>4.2309894348421402</v>
      </c>
      <c r="M122" s="16">
        <f t="shared" si="44"/>
        <v>4.7997572629088507</v>
      </c>
      <c r="N122" s="16">
        <f t="shared" si="45"/>
        <v>4.5456955600637805</v>
      </c>
      <c r="O122" s="16">
        <f t="shared" si="46"/>
        <v>4.573839126749407</v>
      </c>
      <c r="P122" s="16">
        <f t="shared" si="47"/>
        <v>4.5205576385624706</v>
      </c>
      <c r="Q122" s="16">
        <f t="shared" si="48"/>
        <v>4.6756621866051225</v>
      </c>
      <c r="R122" s="16">
        <f t="shared" si="49"/>
        <v>4.4420601157196264</v>
      </c>
      <c r="S122" s="16">
        <f t="shared" si="50"/>
        <v>4.547462330382662</v>
      </c>
      <c r="T122" s="16">
        <f t="shared" si="51"/>
        <v>4.4378505196792224</v>
      </c>
      <c r="U122" s="16">
        <f t="shared" si="52"/>
        <v>4.1935877689122307</v>
      </c>
      <c r="V122" s="16">
        <f t="shared" si="53"/>
        <v>4.198566098691467</v>
      </c>
      <c r="W122" s="16">
        <f t="shared" si="54"/>
        <v>4.1300828839201804</v>
      </c>
      <c r="X122" s="15">
        <f t="shared" si="55"/>
        <v>4.8697496637228461</v>
      </c>
      <c r="Y122" s="88"/>
      <c r="AA122" s="16">
        <f t="shared" ref="AA122:AU122" si="153">AA23/AA56*100</f>
        <v>1.6452771812324827</v>
      </c>
      <c r="AB122" s="16">
        <f t="shared" si="153"/>
        <v>1.6808434197216504</v>
      </c>
      <c r="AC122" s="16">
        <f t="shared" si="153"/>
        <v>1.721528684300927</v>
      </c>
      <c r="AD122" s="16">
        <f t="shared" si="153"/>
        <v>1.7253217852714144</v>
      </c>
      <c r="AE122" s="16">
        <f t="shared" si="153"/>
        <v>1.7153342932409845</v>
      </c>
      <c r="AF122" s="16">
        <f t="shared" si="153"/>
        <v>1.7063427304627172</v>
      </c>
      <c r="AG122" s="16">
        <f t="shared" si="153"/>
        <v>1.8940485544637871</v>
      </c>
      <c r="AH122" s="16">
        <f t="shared" si="153"/>
        <v>1.9297276449528025</v>
      </c>
      <c r="AI122" s="16">
        <f t="shared" si="153"/>
        <v>1.880439748818729</v>
      </c>
      <c r="AJ122" s="16">
        <f t="shared" si="153"/>
        <v>2.159890768308983</v>
      </c>
      <c r="AK122" s="16">
        <f t="shared" si="153"/>
        <v>1.9139770779215921</v>
      </c>
      <c r="AL122" s="16">
        <f t="shared" si="153"/>
        <v>1.9258270007365925</v>
      </c>
      <c r="AM122" s="16">
        <f t="shared" si="153"/>
        <v>1.9033926899210403</v>
      </c>
      <c r="AN122" s="16">
        <f t="shared" si="153"/>
        <v>1.8702648746420489</v>
      </c>
      <c r="AO122" s="16">
        <f t="shared" si="153"/>
        <v>1.8703411013556326</v>
      </c>
      <c r="AP122" s="16">
        <f t="shared" si="153"/>
        <v>1.9147209812137529</v>
      </c>
      <c r="AQ122" s="16">
        <f t="shared" si="153"/>
        <v>1.8685686398649359</v>
      </c>
      <c r="AR122" s="16">
        <f t="shared" si="153"/>
        <v>1.8638167861832138</v>
      </c>
      <c r="AS122" s="16">
        <f t="shared" si="153"/>
        <v>2.0992830493457335</v>
      </c>
      <c r="AT122" s="16">
        <f t="shared" si="153"/>
        <v>2.0650414419600902</v>
      </c>
      <c r="AU122" s="16">
        <f t="shared" si="153"/>
        <v>2.1913873486752808</v>
      </c>
      <c r="AW122" s="16">
        <f t="shared" si="28"/>
        <v>0.47007919463785225</v>
      </c>
      <c r="AX122" s="16">
        <f t="shared" si="57"/>
        <v>0.4802409770633288</v>
      </c>
      <c r="AY122" s="16">
        <f t="shared" si="58"/>
        <v>0.49186533837169355</v>
      </c>
      <c r="AZ122" s="16">
        <f t="shared" si="59"/>
        <v>0.49294908150611844</v>
      </c>
      <c r="BA122" s="16">
        <f t="shared" si="60"/>
        <v>0.49009551235456705</v>
      </c>
      <c r="BB122" s="16">
        <f t="shared" si="61"/>
        <v>0.48752649441791929</v>
      </c>
      <c r="BC122" s="16">
        <f t="shared" si="62"/>
        <v>0.47351213861594676</v>
      </c>
      <c r="BD122" s="16">
        <f t="shared" si="63"/>
        <v>0.48243191123820062</v>
      </c>
      <c r="BE122" s="16">
        <f t="shared" si="64"/>
        <v>0.47010993720468225</v>
      </c>
      <c r="BF122" s="16">
        <f t="shared" si="65"/>
        <v>0.71996358943632754</v>
      </c>
      <c r="BG122" s="16">
        <f t="shared" si="66"/>
        <v>0.47849426948039803</v>
      </c>
      <c r="BH122" s="16">
        <f t="shared" si="67"/>
        <v>0.48145675018414813</v>
      </c>
      <c r="BI122" s="16">
        <f t="shared" si="68"/>
        <v>0.47584817248026007</v>
      </c>
      <c r="BJ122" s="16">
        <f t="shared" si="69"/>
        <v>0.70134932799076832</v>
      </c>
      <c r="BK122" s="16">
        <f t="shared" si="70"/>
        <v>0.46758527533890815</v>
      </c>
      <c r="BL122" s="16">
        <f t="shared" si="71"/>
        <v>0.47868024530343822</v>
      </c>
      <c r="BM122" s="16">
        <f t="shared" si="72"/>
        <v>0.46714215996623398</v>
      </c>
      <c r="BN122" s="16">
        <f t="shared" si="73"/>
        <v>0.46595419654580345</v>
      </c>
      <c r="BO122" s="16">
        <f t="shared" si="74"/>
        <v>0.46650734429905188</v>
      </c>
      <c r="BP122" s="16">
        <f t="shared" si="75"/>
        <v>0.45889809821335348</v>
      </c>
      <c r="BQ122" s="16">
        <f t="shared" si="76"/>
        <v>0.4869749663722846</v>
      </c>
      <c r="BS122" s="16">
        <f t="shared" si="30"/>
        <v>0.47007919463785225</v>
      </c>
      <c r="BT122" s="16">
        <f t="shared" si="77"/>
        <v>0.4802409770633288</v>
      </c>
      <c r="BU122" s="16">
        <f t="shared" si="78"/>
        <v>0.73779800755754021</v>
      </c>
      <c r="BV122" s="16">
        <f t="shared" si="79"/>
        <v>0.73942362225917757</v>
      </c>
      <c r="BW122" s="16">
        <f t="shared" si="80"/>
        <v>0.73514326853185052</v>
      </c>
      <c r="BX122" s="16">
        <f t="shared" si="81"/>
        <v>0.73128974162687888</v>
      </c>
      <c r="BY122" s="16">
        <f t="shared" si="82"/>
        <v>0.71026820792391998</v>
      </c>
      <c r="BZ122" s="16">
        <f t="shared" si="83"/>
        <v>0.72364786685730076</v>
      </c>
      <c r="CA122" s="16">
        <f t="shared" si="84"/>
        <v>0.7051649058070234</v>
      </c>
      <c r="CB122" s="16">
        <f t="shared" si="85"/>
        <v>0.71996358943632754</v>
      </c>
      <c r="CC122" s="16">
        <f t="shared" si="86"/>
        <v>0.71774140422059696</v>
      </c>
      <c r="CD122" s="16">
        <f t="shared" si="87"/>
        <v>0.72218512527622214</v>
      </c>
      <c r="CE122" s="16">
        <f t="shared" si="88"/>
        <v>0.71377225872038996</v>
      </c>
      <c r="CF122" s="16">
        <f t="shared" si="89"/>
        <v>0.70134932799076832</v>
      </c>
      <c r="CG122" s="16">
        <f t="shared" si="90"/>
        <v>0.70137791300836216</v>
      </c>
      <c r="CH122" s="16">
        <f t="shared" si="91"/>
        <v>0.71802036795515722</v>
      </c>
      <c r="CI122" s="16">
        <f t="shared" si="92"/>
        <v>0.70071323994935097</v>
      </c>
      <c r="CJ122" s="16">
        <f t="shared" si="93"/>
        <v>0.6989312948187052</v>
      </c>
      <c r="CK122" s="16">
        <f t="shared" si="94"/>
        <v>0.6997610164485778</v>
      </c>
      <c r="CL122" s="16">
        <f t="shared" si="95"/>
        <v>0.68834714732003</v>
      </c>
      <c r="CM122" s="16">
        <f t="shared" si="96"/>
        <v>0.73046244955842687</v>
      </c>
      <c r="CO122" s="16">
        <f t="shared" si="32"/>
        <v>0.70511879195677829</v>
      </c>
      <c r="CP122" s="16">
        <f t="shared" si="97"/>
        <v>0.72036146559499314</v>
      </c>
      <c r="CQ122" s="16">
        <f t="shared" si="98"/>
        <v>0.73779800755754021</v>
      </c>
      <c r="CR122" s="16">
        <f t="shared" si="99"/>
        <v>0.73942362225917757</v>
      </c>
      <c r="CS122" s="16">
        <f t="shared" si="100"/>
        <v>0.73514326853185052</v>
      </c>
      <c r="CT122" s="16">
        <f t="shared" si="101"/>
        <v>0.97505298883583857</v>
      </c>
      <c r="CU122" s="16">
        <f t="shared" si="102"/>
        <v>0.94702427723189353</v>
      </c>
      <c r="CV122" s="16">
        <f t="shared" si="103"/>
        <v>0.96486382247640123</v>
      </c>
      <c r="CW122" s="16">
        <f t="shared" si="104"/>
        <v>0.9402198744093645</v>
      </c>
      <c r="CX122" s="16">
        <f t="shared" si="105"/>
        <v>0.95995145258177017</v>
      </c>
      <c r="CY122" s="16">
        <f t="shared" si="106"/>
        <v>0.95698853896079605</v>
      </c>
      <c r="CZ122" s="16">
        <f t="shared" si="107"/>
        <v>0.96291350036829626</v>
      </c>
      <c r="DA122" s="16">
        <f t="shared" si="108"/>
        <v>0.95169634496052014</v>
      </c>
      <c r="DB122" s="16">
        <f t="shared" si="109"/>
        <v>0.93513243732102447</v>
      </c>
      <c r="DC122" s="16">
        <f t="shared" si="110"/>
        <v>0.70137791300836216</v>
      </c>
      <c r="DD122" s="16">
        <f t="shared" si="111"/>
        <v>0.95736049060687645</v>
      </c>
      <c r="DE122" s="16">
        <f t="shared" si="112"/>
        <v>0.93428431993246797</v>
      </c>
      <c r="DF122" s="16">
        <f t="shared" si="113"/>
        <v>0.6989312948187052</v>
      </c>
      <c r="DG122" s="16">
        <f t="shared" si="114"/>
        <v>0.6997610164485778</v>
      </c>
      <c r="DH122" s="16">
        <f t="shared" si="115"/>
        <v>0.68834714732003</v>
      </c>
      <c r="DI122" s="16">
        <f t="shared" si="116"/>
        <v>0.9739499327445692</v>
      </c>
      <c r="EG122" s="16">
        <f t="shared" si="34"/>
        <v>0.23503959731892612</v>
      </c>
      <c r="EH122" s="16">
        <f t="shared" si="117"/>
        <v>0.2401204885316644</v>
      </c>
      <c r="EI122" s="16">
        <f t="shared" si="118"/>
        <v>0.24593266918584678</v>
      </c>
      <c r="EJ122" s="16">
        <f t="shared" si="119"/>
        <v>0.24647454075305922</v>
      </c>
      <c r="EK122" s="16">
        <f t="shared" si="120"/>
        <v>0.24504775617728353</v>
      </c>
      <c r="EL122" s="16">
        <f t="shared" si="121"/>
        <v>0.24376324720895964</v>
      </c>
      <c r="EM122" s="16">
        <f t="shared" si="122"/>
        <v>0.23675606930797338</v>
      </c>
      <c r="EN122" s="16">
        <f t="shared" si="123"/>
        <v>0.24121595561910031</v>
      </c>
      <c r="EO122" s="16">
        <f t="shared" si="124"/>
        <v>0.23505496860234112</v>
      </c>
      <c r="EP122" s="16">
        <f t="shared" si="125"/>
        <v>0.47997572629088509</v>
      </c>
      <c r="EQ122" s="16">
        <f t="shared" si="126"/>
        <v>0.47849426948039803</v>
      </c>
      <c r="ER122" s="16">
        <f t="shared" si="127"/>
        <v>0.48145675018414813</v>
      </c>
      <c r="ES122" s="16">
        <f t="shared" si="128"/>
        <v>0.47584817248026007</v>
      </c>
      <c r="ET122" s="16">
        <f t="shared" si="129"/>
        <v>0.46756621866051223</v>
      </c>
      <c r="EU122" s="16">
        <f t="shared" si="130"/>
        <v>0.46758527533890815</v>
      </c>
      <c r="EV122" s="16">
        <f t="shared" si="131"/>
        <v>0.47868024530343822</v>
      </c>
      <c r="EW122" s="16">
        <f t="shared" si="132"/>
        <v>0.46714215996623398</v>
      </c>
      <c r="EX122" s="16">
        <f t="shared" si="133"/>
        <v>0.46595419654580345</v>
      </c>
      <c r="EY122" s="16">
        <f t="shared" si="134"/>
        <v>0.46650734429905188</v>
      </c>
      <c r="EZ122" s="16">
        <f t="shared" si="135"/>
        <v>0.45889809821335348</v>
      </c>
      <c r="FA122" s="16">
        <f t="shared" si="136"/>
        <v>0.4869749663722846</v>
      </c>
    </row>
    <row r="123" spans="1:157">
      <c r="A123" t="s">
        <v>71</v>
      </c>
      <c r="B123" t="s">
        <v>453</v>
      </c>
      <c r="C123" t="s">
        <v>2085</v>
      </c>
      <c r="D123" s="16" t="e">
        <f t="shared" si="151"/>
        <v>#VALUE!</v>
      </c>
      <c r="E123" s="16" t="e">
        <f t="shared" si="36"/>
        <v>#VALUE!</v>
      </c>
      <c r="F123" s="16" t="e">
        <f t="shared" si="37"/>
        <v>#VALUE!</v>
      </c>
      <c r="G123" s="16" t="e">
        <f t="shared" si="38"/>
        <v>#VALUE!</v>
      </c>
      <c r="H123" s="16" t="e">
        <f t="shared" si="39"/>
        <v>#VALUE!</v>
      </c>
      <c r="I123" s="16" t="e">
        <f t="shared" si="40"/>
        <v>#VALUE!</v>
      </c>
      <c r="J123" s="16" t="e">
        <f t="shared" si="41"/>
        <v>#VALUE!</v>
      </c>
      <c r="K123" s="16" t="e">
        <f t="shared" si="42"/>
        <v>#VALUE!</v>
      </c>
      <c r="L123" s="16" t="e">
        <f t="shared" si="43"/>
        <v>#VALUE!</v>
      </c>
      <c r="M123" s="16">
        <f t="shared" si="44"/>
        <v>5.1751473384671405</v>
      </c>
      <c r="N123" s="16">
        <f t="shared" si="45"/>
        <v>5.0650246696384862</v>
      </c>
      <c r="O123" s="16">
        <f t="shared" si="46"/>
        <v>5.606961737017917</v>
      </c>
      <c r="P123" s="16">
        <f t="shared" si="47"/>
        <v>5.3237669045945983</v>
      </c>
      <c r="Q123" s="16">
        <f t="shared" si="48"/>
        <v>5.3618101674992662</v>
      </c>
      <c r="R123" s="16">
        <f t="shared" si="49"/>
        <v>5.092838863297505</v>
      </c>
      <c r="S123" s="16">
        <f t="shared" si="50"/>
        <v>4.7894005708848715</v>
      </c>
      <c r="T123" s="16">
        <f t="shared" si="51"/>
        <v>5.0760335878474514</v>
      </c>
      <c r="U123" s="16">
        <f t="shared" si="52"/>
        <v>4.5985464814272632</v>
      </c>
      <c r="V123" s="16">
        <f t="shared" si="53"/>
        <v>4.8192911365526516</v>
      </c>
      <c r="W123" s="16">
        <f t="shared" si="54"/>
        <v>5.236139713478889</v>
      </c>
      <c r="X123" s="15">
        <f t="shared" si="55"/>
        <v>5.3123335491219583</v>
      </c>
      <c r="Y123" s="88"/>
      <c r="AA123" s="16" t="e">
        <f t="shared" ref="AA123:AU123" si="154">AA24/AA57*100</f>
        <v>#VALUE!</v>
      </c>
      <c r="AB123" s="16" t="e">
        <f t="shared" si="154"/>
        <v>#VALUE!</v>
      </c>
      <c r="AC123" s="16" t="e">
        <f t="shared" si="154"/>
        <v>#VALUE!</v>
      </c>
      <c r="AD123" s="16" t="e">
        <f t="shared" si="154"/>
        <v>#VALUE!</v>
      </c>
      <c r="AE123" s="16" t="e">
        <f t="shared" si="154"/>
        <v>#VALUE!</v>
      </c>
      <c r="AF123" s="16" t="e">
        <f t="shared" si="154"/>
        <v>#VALUE!</v>
      </c>
      <c r="AG123" s="16" t="e">
        <f t="shared" si="154"/>
        <v>#VALUE!</v>
      </c>
      <c r="AH123" s="16" t="e">
        <f t="shared" si="154"/>
        <v>#VALUE!</v>
      </c>
      <c r="AI123" s="16" t="e">
        <f t="shared" si="154"/>
        <v>#VALUE!</v>
      </c>
      <c r="AJ123" s="16" t="e">
        <f t="shared" si="154"/>
        <v>#VALUE!</v>
      </c>
      <c r="AK123" s="16" t="e">
        <f t="shared" si="154"/>
        <v>#VALUE!</v>
      </c>
      <c r="AL123" s="16" t="e">
        <f t="shared" si="154"/>
        <v>#VALUE!</v>
      </c>
      <c r="AM123" s="16" t="e">
        <f t="shared" si="154"/>
        <v>#VALUE!</v>
      </c>
      <c r="AN123" s="16" t="e">
        <f t="shared" si="154"/>
        <v>#VALUE!</v>
      </c>
      <c r="AO123" s="16" t="e">
        <f t="shared" si="154"/>
        <v>#VALUE!</v>
      </c>
      <c r="AP123" s="16" t="e">
        <f t="shared" si="154"/>
        <v>#VALUE!</v>
      </c>
      <c r="AQ123" s="16" t="e">
        <f t="shared" si="154"/>
        <v>#VALUE!</v>
      </c>
      <c r="AR123" s="16" t="e">
        <f t="shared" si="154"/>
        <v>#VALUE!</v>
      </c>
      <c r="AS123" s="16" t="e">
        <f t="shared" si="154"/>
        <v>#VALUE!</v>
      </c>
      <c r="AT123" s="16" t="e">
        <f t="shared" si="154"/>
        <v>#VALUE!</v>
      </c>
      <c r="AU123" s="16" t="e">
        <f t="shared" si="154"/>
        <v>#VALUE!</v>
      </c>
      <c r="AW123" s="16" t="e">
        <f t="shared" si="28"/>
        <v>#VALUE!</v>
      </c>
      <c r="AX123" s="16" t="e">
        <f t="shared" si="57"/>
        <v>#VALUE!</v>
      </c>
      <c r="AY123" s="16" t="e">
        <f t="shared" si="58"/>
        <v>#VALUE!</v>
      </c>
      <c r="AZ123" s="16" t="e">
        <f t="shared" si="59"/>
        <v>#VALUE!</v>
      </c>
      <c r="BA123" s="16" t="e">
        <f t="shared" si="60"/>
        <v>#VALUE!</v>
      </c>
      <c r="BB123" s="16" t="e">
        <f t="shared" si="61"/>
        <v>#VALUE!</v>
      </c>
      <c r="BC123" s="16" t="e">
        <f t="shared" si="62"/>
        <v>#VALUE!</v>
      </c>
      <c r="BD123" s="16" t="e">
        <f t="shared" si="63"/>
        <v>#VALUE!</v>
      </c>
      <c r="BE123" s="16" t="e">
        <f t="shared" si="64"/>
        <v>#VALUE!</v>
      </c>
      <c r="BF123" s="16" t="e">
        <f t="shared" si="65"/>
        <v>#VALUE!</v>
      </c>
      <c r="BG123" s="16" t="e">
        <f t="shared" si="66"/>
        <v>#VALUE!</v>
      </c>
      <c r="BH123" s="16" t="e">
        <f t="shared" si="67"/>
        <v>#VALUE!</v>
      </c>
      <c r="BI123" s="16" t="e">
        <f t="shared" si="68"/>
        <v>#VALUE!</v>
      </c>
      <c r="BJ123" s="16" t="e">
        <f t="shared" si="69"/>
        <v>#VALUE!</v>
      </c>
      <c r="BK123" s="16" t="e">
        <f t="shared" si="70"/>
        <v>#VALUE!</v>
      </c>
      <c r="BL123" s="16" t="e">
        <f t="shared" si="71"/>
        <v>#VALUE!</v>
      </c>
      <c r="BM123" s="16" t="e">
        <f t="shared" si="72"/>
        <v>#VALUE!</v>
      </c>
      <c r="BN123" s="16" t="e">
        <f t="shared" si="73"/>
        <v>#VALUE!</v>
      </c>
      <c r="BO123" s="16" t="e">
        <f t="shared" si="74"/>
        <v>#VALUE!</v>
      </c>
      <c r="BP123" s="16" t="e">
        <f t="shared" si="75"/>
        <v>#VALUE!</v>
      </c>
      <c r="BQ123" s="16" t="e">
        <f t="shared" si="76"/>
        <v>#VALUE!</v>
      </c>
      <c r="BS123" s="16" t="e">
        <f t="shared" si="30"/>
        <v>#VALUE!</v>
      </c>
      <c r="BT123" s="16" t="e">
        <f t="shared" si="77"/>
        <v>#VALUE!</v>
      </c>
      <c r="BU123" s="16" t="e">
        <f t="shared" si="78"/>
        <v>#VALUE!</v>
      </c>
      <c r="BV123" s="16" t="e">
        <f t="shared" si="79"/>
        <v>#VALUE!</v>
      </c>
      <c r="BW123" s="16" t="e">
        <f t="shared" si="80"/>
        <v>#VALUE!</v>
      </c>
      <c r="BX123" s="16" t="e">
        <f t="shared" si="81"/>
        <v>#VALUE!</v>
      </c>
      <c r="BY123" s="16" t="e">
        <f t="shared" si="82"/>
        <v>#VALUE!</v>
      </c>
      <c r="BZ123" s="16" t="e">
        <f t="shared" si="83"/>
        <v>#VALUE!</v>
      </c>
      <c r="CA123" s="16" t="e">
        <f t="shared" si="84"/>
        <v>#VALUE!</v>
      </c>
      <c r="CB123" s="16" t="e">
        <f t="shared" si="85"/>
        <v>#VALUE!</v>
      </c>
      <c r="CC123" s="16" t="e">
        <f t="shared" si="86"/>
        <v>#VALUE!</v>
      </c>
      <c r="CD123" s="16" t="e">
        <f t="shared" si="87"/>
        <v>#VALUE!</v>
      </c>
      <c r="CE123" s="16" t="e">
        <f t="shared" si="88"/>
        <v>#VALUE!</v>
      </c>
      <c r="CF123" s="16" t="e">
        <f t="shared" si="89"/>
        <v>#VALUE!</v>
      </c>
      <c r="CG123" s="16" t="e">
        <f t="shared" si="90"/>
        <v>#VALUE!</v>
      </c>
      <c r="CH123" s="16" t="e">
        <f t="shared" si="91"/>
        <v>#VALUE!</v>
      </c>
      <c r="CI123" s="16" t="e">
        <f t="shared" si="92"/>
        <v>#VALUE!</v>
      </c>
      <c r="CJ123" s="16" t="e">
        <f t="shared" si="93"/>
        <v>#VALUE!</v>
      </c>
      <c r="CK123" s="16" t="e">
        <f t="shared" si="94"/>
        <v>#VALUE!</v>
      </c>
      <c r="CL123" s="16" t="e">
        <f t="shared" si="95"/>
        <v>#VALUE!</v>
      </c>
      <c r="CM123" s="16" t="e">
        <f t="shared" si="96"/>
        <v>#VALUE!</v>
      </c>
      <c r="CO123" s="16" t="e">
        <f t="shared" si="32"/>
        <v>#VALUE!</v>
      </c>
      <c r="CP123" s="16" t="e">
        <f t="shared" si="97"/>
        <v>#VALUE!</v>
      </c>
      <c r="CQ123" s="16" t="e">
        <f t="shared" si="98"/>
        <v>#VALUE!</v>
      </c>
      <c r="CR123" s="16" t="e">
        <f t="shared" si="99"/>
        <v>#VALUE!</v>
      </c>
      <c r="CS123" s="16" t="e">
        <f t="shared" si="100"/>
        <v>#VALUE!</v>
      </c>
      <c r="CT123" s="16" t="e">
        <f t="shared" si="101"/>
        <v>#VALUE!</v>
      </c>
      <c r="CU123" s="16" t="e">
        <f t="shared" si="102"/>
        <v>#VALUE!</v>
      </c>
      <c r="CV123" s="16" t="e">
        <f t="shared" si="103"/>
        <v>#VALUE!</v>
      </c>
      <c r="CW123" s="16" t="e">
        <f t="shared" si="104"/>
        <v>#VALUE!</v>
      </c>
      <c r="CX123" s="16" t="e">
        <f t="shared" si="105"/>
        <v>#VALUE!</v>
      </c>
      <c r="CY123" s="16" t="e">
        <f t="shared" si="106"/>
        <v>#VALUE!</v>
      </c>
      <c r="CZ123" s="16" t="e">
        <f t="shared" si="107"/>
        <v>#VALUE!</v>
      </c>
      <c r="DA123" s="16" t="e">
        <f t="shared" si="108"/>
        <v>#VALUE!</v>
      </c>
      <c r="DB123" s="16" t="e">
        <f t="shared" si="109"/>
        <v>#VALUE!</v>
      </c>
      <c r="DC123" s="16" t="e">
        <f t="shared" si="110"/>
        <v>#VALUE!</v>
      </c>
      <c r="DD123" s="16" t="e">
        <f t="shared" si="111"/>
        <v>#VALUE!</v>
      </c>
      <c r="DE123" s="16" t="e">
        <f t="shared" si="112"/>
        <v>#VALUE!</v>
      </c>
      <c r="DF123" s="16" t="e">
        <f t="shared" si="113"/>
        <v>#VALUE!</v>
      </c>
      <c r="DG123" s="16" t="e">
        <f t="shared" si="114"/>
        <v>#VALUE!</v>
      </c>
      <c r="DH123" s="16" t="e">
        <f t="shared" si="115"/>
        <v>#VALUE!</v>
      </c>
      <c r="DI123" s="16" t="e">
        <f t="shared" si="116"/>
        <v>#VALUE!</v>
      </c>
      <c r="EG123" s="16" t="e">
        <f t="shared" si="34"/>
        <v>#VALUE!</v>
      </c>
      <c r="EH123" s="16" t="e">
        <f t="shared" si="117"/>
        <v>#VALUE!</v>
      </c>
      <c r="EI123" s="16" t="e">
        <f t="shared" si="118"/>
        <v>#VALUE!</v>
      </c>
      <c r="EJ123" s="16" t="e">
        <f t="shared" si="119"/>
        <v>#VALUE!</v>
      </c>
      <c r="EK123" s="16" t="e">
        <f t="shared" si="120"/>
        <v>#VALUE!</v>
      </c>
      <c r="EL123" s="16" t="e">
        <f t="shared" si="121"/>
        <v>#VALUE!</v>
      </c>
      <c r="EM123" s="16" t="e">
        <f t="shared" si="122"/>
        <v>#VALUE!</v>
      </c>
      <c r="EN123" s="16" t="e">
        <f t="shared" si="123"/>
        <v>#VALUE!</v>
      </c>
      <c r="EO123" s="16" t="e">
        <f t="shared" si="124"/>
        <v>#VALUE!</v>
      </c>
      <c r="EP123" s="16" t="e">
        <f t="shared" si="125"/>
        <v>#VALUE!</v>
      </c>
      <c r="EQ123" s="16" t="e">
        <f t="shared" si="126"/>
        <v>#VALUE!</v>
      </c>
      <c r="ER123" s="16" t="e">
        <f t="shared" si="127"/>
        <v>#VALUE!</v>
      </c>
      <c r="ES123" s="16" t="e">
        <f t="shared" si="128"/>
        <v>#VALUE!</v>
      </c>
      <c r="ET123" s="16" t="e">
        <f t="shared" si="129"/>
        <v>#VALUE!</v>
      </c>
      <c r="EU123" s="16" t="e">
        <f t="shared" si="130"/>
        <v>#VALUE!</v>
      </c>
      <c r="EV123" s="16" t="e">
        <f t="shared" si="131"/>
        <v>#VALUE!</v>
      </c>
      <c r="EW123" s="16" t="e">
        <f t="shared" si="132"/>
        <v>#VALUE!</v>
      </c>
      <c r="EX123" s="16" t="e">
        <f t="shared" si="133"/>
        <v>#VALUE!</v>
      </c>
      <c r="EY123" s="16" t="e">
        <f t="shared" si="134"/>
        <v>#VALUE!</v>
      </c>
      <c r="EZ123" s="16" t="e">
        <f t="shared" si="135"/>
        <v>#VALUE!</v>
      </c>
      <c r="FA123" s="16" t="e">
        <f t="shared" si="136"/>
        <v>#VALUE!</v>
      </c>
    </row>
    <row r="124" spans="1:157">
      <c r="A124" t="s">
        <v>51</v>
      </c>
      <c r="B124" t="s">
        <v>468</v>
      </c>
      <c r="C124" t="s">
        <v>2085</v>
      </c>
      <c r="D124" s="16">
        <f t="shared" si="151"/>
        <v>1.7717385554843752</v>
      </c>
      <c r="E124" s="16">
        <f t="shared" si="36"/>
        <v>1.7708735446111699</v>
      </c>
      <c r="F124" s="16">
        <f t="shared" si="37"/>
        <v>1.9896423787651969</v>
      </c>
      <c r="G124" s="16">
        <f t="shared" si="38"/>
        <v>2.0009530983554846</v>
      </c>
      <c r="H124" s="16">
        <f t="shared" si="39"/>
        <v>1.7939631753697556</v>
      </c>
      <c r="I124" s="16">
        <f t="shared" si="40"/>
        <v>1.5872092095817933</v>
      </c>
      <c r="J124" s="16">
        <f t="shared" si="41"/>
        <v>1.5361833542553931</v>
      </c>
      <c r="K124" s="16">
        <f t="shared" si="42"/>
        <v>1.373053581730945</v>
      </c>
      <c r="L124" s="16">
        <f t="shared" si="43"/>
        <v>1.3645845737128952</v>
      </c>
      <c r="M124" s="16">
        <f t="shared" si="44"/>
        <v>1.784217061325849</v>
      </c>
      <c r="N124" s="16">
        <f t="shared" si="45"/>
        <v>1.6174958736147136</v>
      </c>
      <c r="O124" s="16">
        <f t="shared" si="46"/>
        <v>1.5820657271084979</v>
      </c>
      <c r="P124" s="16">
        <f t="shared" si="47"/>
        <v>1.5946135775385408</v>
      </c>
      <c r="Q124" s="16">
        <f t="shared" si="48"/>
        <v>1.8382613484006896</v>
      </c>
      <c r="R124" s="16">
        <f t="shared" si="49"/>
        <v>1.846503424556865</v>
      </c>
      <c r="S124" s="16">
        <f t="shared" si="50"/>
        <v>2.017536712905375</v>
      </c>
      <c r="T124" s="16">
        <f t="shared" si="51"/>
        <v>2.191570384343315</v>
      </c>
      <c r="U124" s="16">
        <f t="shared" si="52"/>
        <v>2.1963465095225136</v>
      </c>
      <c r="V124" s="16">
        <f t="shared" si="53"/>
        <v>2.1481503868471958</v>
      </c>
      <c r="W124" s="16">
        <f t="shared" si="54"/>
        <v>2.0957743165488778</v>
      </c>
      <c r="X124" s="15">
        <f t="shared" si="55"/>
        <v>2.3863841880893943</v>
      </c>
      <c r="Y124" s="88"/>
      <c r="AA124" s="16">
        <f t="shared" ref="AA124:AU124" si="155">AA25/AA58*100</f>
        <v>0.70869542219375004</v>
      </c>
      <c r="AB124" s="16">
        <f t="shared" si="155"/>
        <v>0.88543677230558493</v>
      </c>
      <c r="AC124" s="16">
        <f t="shared" si="155"/>
        <v>0.90438289943872574</v>
      </c>
      <c r="AD124" s="16">
        <f t="shared" si="155"/>
        <v>0.90952413561612921</v>
      </c>
      <c r="AE124" s="16">
        <f t="shared" si="155"/>
        <v>0.7175852701479023</v>
      </c>
      <c r="AF124" s="16">
        <f t="shared" si="155"/>
        <v>0.70542631536968603</v>
      </c>
      <c r="AG124" s="16">
        <f t="shared" si="155"/>
        <v>0.68274815744684136</v>
      </c>
      <c r="AH124" s="16">
        <f t="shared" si="155"/>
        <v>0.68652679086547252</v>
      </c>
      <c r="AI124" s="16">
        <f t="shared" si="155"/>
        <v>0.68229228685644761</v>
      </c>
      <c r="AJ124" s="16">
        <f t="shared" si="155"/>
        <v>0.8921085306629245</v>
      </c>
      <c r="AK124" s="16">
        <f t="shared" si="155"/>
        <v>0.89860881867484077</v>
      </c>
      <c r="AL124" s="16">
        <f t="shared" si="155"/>
        <v>0.7031403231593325</v>
      </c>
      <c r="AM124" s="16">
        <f t="shared" si="155"/>
        <v>0.70871714557268473</v>
      </c>
      <c r="AN124" s="16">
        <f t="shared" si="155"/>
        <v>0.91913067420034478</v>
      </c>
      <c r="AO124" s="16">
        <f t="shared" si="155"/>
        <v>0.9232517122784325</v>
      </c>
      <c r="AP124" s="16">
        <f t="shared" si="155"/>
        <v>0.91706214222971594</v>
      </c>
      <c r="AQ124" s="16">
        <f t="shared" si="155"/>
        <v>1.0957851921716575</v>
      </c>
      <c r="AR124" s="16">
        <f t="shared" si="155"/>
        <v>1.0981732547612568</v>
      </c>
      <c r="AS124" s="16">
        <f t="shared" si="155"/>
        <v>1.0740751934235979</v>
      </c>
      <c r="AT124" s="16">
        <f t="shared" si="155"/>
        <v>1.0478871582744389</v>
      </c>
      <c r="AU124" s="16">
        <f t="shared" si="155"/>
        <v>1.1014080868104896</v>
      </c>
      <c r="AW124" s="16">
        <f t="shared" si="28"/>
        <v>0.17717385554843751</v>
      </c>
      <c r="AX124" s="16">
        <f t="shared" si="57"/>
        <v>0.17708735446111701</v>
      </c>
      <c r="AY124" s="16">
        <f t="shared" si="58"/>
        <v>0.36175315977549033</v>
      </c>
      <c r="AZ124" s="16">
        <f t="shared" si="59"/>
        <v>0.36380965424645173</v>
      </c>
      <c r="BA124" s="16">
        <f t="shared" si="60"/>
        <v>0.17939631753697557</v>
      </c>
      <c r="BB124" s="16">
        <f t="shared" si="61"/>
        <v>0.35271315768484302</v>
      </c>
      <c r="BC124" s="16">
        <f t="shared" si="62"/>
        <v>0.34137407872342068</v>
      </c>
      <c r="BD124" s="16">
        <f t="shared" si="63"/>
        <v>0.34326339543273626</v>
      </c>
      <c r="BE124" s="16">
        <f t="shared" si="64"/>
        <v>0.3411461434282238</v>
      </c>
      <c r="BF124" s="16">
        <f t="shared" si="65"/>
        <v>0.35684341226516986</v>
      </c>
      <c r="BG124" s="16">
        <f t="shared" si="66"/>
        <v>0.35944352746993635</v>
      </c>
      <c r="BH124" s="16">
        <f t="shared" si="67"/>
        <v>0.35157016157966625</v>
      </c>
      <c r="BI124" s="16">
        <f t="shared" si="68"/>
        <v>0.35435857278634236</v>
      </c>
      <c r="BJ124" s="16">
        <f t="shared" si="69"/>
        <v>0.36765226968013792</v>
      </c>
      <c r="BK124" s="16">
        <f t="shared" si="70"/>
        <v>0.36930068491137302</v>
      </c>
      <c r="BL124" s="16">
        <f t="shared" si="71"/>
        <v>0.36682485689188638</v>
      </c>
      <c r="BM124" s="16">
        <f t="shared" si="72"/>
        <v>0.3652617307238859</v>
      </c>
      <c r="BN124" s="16">
        <f t="shared" si="73"/>
        <v>0.36605775158708564</v>
      </c>
      <c r="BO124" s="16">
        <f t="shared" si="74"/>
        <v>0.53703759671179896</v>
      </c>
      <c r="BP124" s="16">
        <f t="shared" si="75"/>
        <v>0.52394357913721945</v>
      </c>
      <c r="BQ124" s="16">
        <f t="shared" si="76"/>
        <v>0.55070404340524481</v>
      </c>
      <c r="BS124" s="16">
        <f t="shared" si="30"/>
        <v>0.35434771109687502</v>
      </c>
      <c r="BT124" s="16">
        <f t="shared" si="77"/>
        <v>0.35417470892223402</v>
      </c>
      <c r="BU124" s="16">
        <f t="shared" si="78"/>
        <v>0.36175315977549033</v>
      </c>
      <c r="BV124" s="16">
        <f t="shared" si="79"/>
        <v>0.36380965424645173</v>
      </c>
      <c r="BW124" s="16">
        <f t="shared" si="80"/>
        <v>0.35879263507395115</v>
      </c>
      <c r="BX124" s="16">
        <f t="shared" si="81"/>
        <v>0.35271315768484302</v>
      </c>
      <c r="BY124" s="16">
        <f t="shared" si="82"/>
        <v>0.17068703936171034</v>
      </c>
      <c r="BZ124" s="16">
        <f t="shared" si="83"/>
        <v>0.17163169771636813</v>
      </c>
      <c r="CA124" s="16">
        <f t="shared" si="84"/>
        <v>0.1705730717141119</v>
      </c>
      <c r="CB124" s="16">
        <f t="shared" si="85"/>
        <v>0.35684341226516986</v>
      </c>
      <c r="CC124" s="16">
        <f t="shared" si="86"/>
        <v>0.35944352746993635</v>
      </c>
      <c r="CD124" s="16">
        <f t="shared" si="87"/>
        <v>0.35157016157966625</v>
      </c>
      <c r="CE124" s="16">
        <f t="shared" si="88"/>
        <v>0.35435857278634236</v>
      </c>
      <c r="CF124" s="16">
        <f t="shared" si="89"/>
        <v>0.36765226968013792</v>
      </c>
      <c r="CG124" s="16">
        <f t="shared" si="90"/>
        <v>0.36930068491137302</v>
      </c>
      <c r="CH124" s="16">
        <f t="shared" si="91"/>
        <v>0.36682485689188638</v>
      </c>
      <c r="CI124" s="16">
        <f t="shared" si="92"/>
        <v>0.3652617307238859</v>
      </c>
      <c r="CJ124" s="16">
        <f t="shared" si="93"/>
        <v>0.36605775158708564</v>
      </c>
      <c r="CK124" s="16">
        <f t="shared" si="94"/>
        <v>0.17901253223726632</v>
      </c>
      <c r="CL124" s="16">
        <f t="shared" si="95"/>
        <v>0.34929571942481302</v>
      </c>
      <c r="CM124" s="16">
        <f t="shared" si="96"/>
        <v>0.36713602893682989</v>
      </c>
      <c r="CO124" s="16">
        <f t="shared" si="32"/>
        <v>0.17717385554843751</v>
      </c>
      <c r="CP124" s="16">
        <f t="shared" si="97"/>
        <v>0.17708735446111701</v>
      </c>
      <c r="CQ124" s="16">
        <f t="shared" si="98"/>
        <v>0.18087657988774516</v>
      </c>
      <c r="CR124" s="16">
        <f t="shared" si="99"/>
        <v>0.18190482712322587</v>
      </c>
      <c r="CS124" s="16">
        <f t="shared" si="100"/>
        <v>0.17939631753697557</v>
      </c>
      <c r="CT124" s="16">
        <f t="shared" si="101"/>
        <v>0.17635657884242151</v>
      </c>
      <c r="CU124" s="16">
        <f t="shared" si="102"/>
        <v>0.17068703936171034</v>
      </c>
      <c r="CV124" s="16">
        <f t="shared" si="103"/>
        <v>0.17163169771636813</v>
      </c>
      <c r="CW124" s="16">
        <f t="shared" si="104"/>
        <v>0.1705730717141119</v>
      </c>
      <c r="CX124" s="16">
        <f t="shared" si="105"/>
        <v>0.17842170613258493</v>
      </c>
      <c r="CY124" s="16">
        <f t="shared" si="106"/>
        <v>0.17972176373496818</v>
      </c>
      <c r="CZ124" s="16">
        <f t="shared" si="107"/>
        <v>0.17578508078983313</v>
      </c>
      <c r="DA124" s="16">
        <f t="shared" si="108"/>
        <v>0.17717928639317118</v>
      </c>
      <c r="DB124" s="16">
        <f t="shared" si="109"/>
        <v>0.18382613484006896</v>
      </c>
      <c r="DC124" s="16">
        <f t="shared" si="110"/>
        <v>0.18465034245568651</v>
      </c>
      <c r="DD124" s="16">
        <f t="shared" si="111"/>
        <v>0.18341242844594319</v>
      </c>
      <c r="DE124" s="16">
        <f t="shared" si="112"/>
        <v>0.18263086536194295</v>
      </c>
      <c r="DF124" s="16">
        <f t="shared" si="113"/>
        <v>0.18302887579354282</v>
      </c>
      <c r="DG124" s="16">
        <f t="shared" si="114"/>
        <v>0.17901253223726632</v>
      </c>
      <c r="DH124" s="16">
        <f t="shared" si="115"/>
        <v>0.17464785971240651</v>
      </c>
      <c r="DI124" s="16">
        <f t="shared" si="116"/>
        <v>0.18356801446841495</v>
      </c>
      <c r="EG124" s="16">
        <f t="shared" si="34"/>
        <v>0.17717385554843751</v>
      </c>
      <c r="EH124" s="16">
        <f t="shared" si="117"/>
        <v>0.17708735446111701</v>
      </c>
      <c r="EI124" s="16">
        <f t="shared" si="118"/>
        <v>0.36175315977549033</v>
      </c>
      <c r="EJ124" s="16">
        <f t="shared" si="119"/>
        <v>0.36380965424645173</v>
      </c>
      <c r="EK124" s="16">
        <f t="shared" si="120"/>
        <v>0.35879263507395115</v>
      </c>
      <c r="EL124" s="16">
        <f t="shared" si="121"/>
        <v>0</v>
      </c>
      <c r="EM124" s="16">
        <f t="shared" si="122"/>
        <v>0</v>
      </c>
      <c r="EN124" s="16">
        <f t="shared" si="123"/>
        <v>0</v>
      </c>
      <c r="EO124" s="16">
        <f t="shared" si="124"/>
        <v>0</v>
      </c>
      <c r="EP124" s="16">
        <f t="shared" si="125"/>
        <v>0</v>
      </c>
      <c r="EQ124" s="16">
        <f t="shared" si="126"/>
        <v>0</v>
      </c>
      <c r="ER124" s="16">
        <f t="shared" si="127"/>
        <v>0</v>
      </c>
      <c r="ES124" s="16">
        <f t="shared" si="128"/>
        <v>0</v>
      </c>
      <c r="ET124" s="16">
        <f t="shared" si="129"/>
        <v>0</v>
      </c>
      <c r="EU124" s="16">
        <f t="shared" si="130"/>
        <v>0</v>
      </c>
      <c r="EV124" s="16">
        <f t="shared" si="131"/>
        <v>0</v>
      </c>
      <c r="EW124" s="16">
        <f t="shared" si="132"/>
        <v>0</v>
      </c>
      <c r="EX124" s="16">
        <f t="shared" si="133"/>
        <v>0</v>
      </c>
      <c r="EY124" s="16">
        <f t="shared" si="134"/>
        <v>0</v>
      </c>
      <c r="EZ124" s="16">
        <f t="shared" si="135"/>
        <v>0</v>
      </c>
      <c r="FA124" s="16">
        <f t="shared" si="136"/>
        <v>0</v>
      </c>
    </row>
    <row r="125" spans="1:157">
      <c r="A125" t="s">
        <v>1635</v>
      </c>
      <c r="B125" t="s">
        <v>441</v>
      </c>
      <c r="C125" t="s">
        <v>2085</v>
      </c>
      <c r="D125" s="16">
        <f t="shared" si="151"/>
        <v>4.5953455098100964</v>
      </c>
      <c r="E125" s="16">
        <f t="shared" si="36"/>
        <v>4.9845409672345093</v>
      </c>
      <c r="F125" s="16">
        <f t="shared" si="37"/>
        <v>4.9515582325399921</v>
      </c>
      <c r="G125" s="16">
        <f t="shared" si="38"/>
        <v>5.5584085893229949</v>
      </c>
      <c r="H125" s="16">
        <f t="shared" si="39"/>
        <v>5.2017471241299917</v>
      </c>
      <c r="I125" s="16">
        <f t="shared" si="40"/>
        <v>5.459379697364465</v>
      </c>
      <c r="J125" s="16">
        <f t="shared" si="41"/>
        <v>5.3773855725145481</v>
      </c>
      <c r="K125" s="16">
        <f t="shared" si="42"/>
        <v>5.607327187994005</v>
      </c>
      <c r="L125" s="16">
        <f t="shared" si="43"/>
        <v>5.916310963332835</v>
      </c>
      <c r="M125" s="16">
        <f t="shared" si="44"/>
        <v>6.3556810570952651</v>
      </c>
      <c r="N125" s="16">
        <f t="shared" si="45"/>
        <v>6.2426690685119146</v>
      </c>
      <c r="O125" s="16">
        <f t="shared" si="46"/>
        <v>5.8795549269643841</v>
      </c>
      <c r="P125" s="16">
        <f t="shared" si="47"/>
        <v>5.8443098026755482</v>
      </c>
      <c r="Q125" s="16">
        <f t="shared" si="48"/>
        <v>5.6770723803285472</v>
      </c>
      <c r="R125" s="16">
        <f t="shared" si="49"/>
        <v>5.6419352711621586</v>
      </c>
      <c r="S125" s="16">
        <f t="shared" si="50"/>
        <v>5.6295722741105507</v>
      </c>
      <c r="T125" s="16">
        <f t="shared" si="51"/>
        <v>5.6816711523056931</v>
      </c>
      <c r="U125" s="16">
        <f t="shared" si="52"/>
        <v>5.2784302133900249</v>
      </c>
      <c r="V125" s="16">
        <f t="shared" si="53"/>
        <v>5.0858966719406036</v>
      </c>
      <c r="W125" s="16">
        <f t="shared" si="54"/>
        <v>5.1175641698671015</v>
      </c>
      <c r="X125" s="15">
        <f t="shared" si="55"/>
        <v>5.5380900882254007</v>
      </c>
      <c r="Y125" s="88"/>
      <c r="AA125" s="16" t="e">
        <f t="shared" ref="AA125:AU125" si="156">AA26/AA59*100</f>
        <v>#VALUE!</v>
      </c>
      <c r="AB125" s="16">
        <f t="shared" si="156"/>
        <v>2.4922704836172547</v>
      </c>
      <c r="AC125" s="16">
        <f t="shared" si="156"/>
        <v>2.7233570278969959</v>
      </c>
      <c r="AD125" s="16">
        <f t="shared" si="156"/>
        <v>3.0318592305398151</v>
      </c>
      <c r="AE125" s="16">
        <f t="shared" si="156"/>
        <v>2.8609609182714957</v>
      </c>
      <c r="AF125" s="16">
        <f t="shared" si="156"/>
        <v>2.7296898486822325</v>
      </c>
      <c r="AG125" s="16">
        <f t="shared" si="156"/>
        <v>2.9331194031897532</v>
      </c>
      <c r="AH125" s="16">
        <f t="shared" si="156"/>
        <v>2.9255620111273068</v>
      </c>
      <c r="AI125" s="16">
        <f t="shared" si="156"/>
        <v>2.9581554816664175</v>
      </c>
      <c r="AJ125" s="16">
        <f t="shared" si="156"/>
        <v>3.4426605725932689</v>
      </c>
      <c r="AK125" s="16">
        <f t="shared" si="156"/>
        <v>3.3814457454439539</v>
      </c>
      <c r="AL125" s="16">
        <f t="shared" si="156"/>
        <v>3.3232266978494343</v>
      </c>
      <c r="AM125" s="16">
        <f t="shared" si="156"/>
        <v>3.3033055406427017</v>
      </c>
      <c r="AN125" s="16">
        <f t="shared" si="156"/>
        <v>3.3546336792850502</v>
      </c>
      <c r="AO125" s="16">
        <f t="shared" si="156"/>
        <v>3.0774192388157222</v>
      </c>
      <c r="AP125" s="16">
        <f t="shared" si="156"/>
        <v>3.0706757858784814</v>
      </c>
      <c r="AQ125" s="16">
        <f t="shared" si="156"/>
        <v>2.8408355761528465</v>
      </c>
      <c r="AR125" s="16">
        <f t="shared" si="156"/>
        <v>2.7648920165376323</v>
      </c>
      <c r="AS125" s="16">
        <f t="shared" si="156"/>
        <v>2.6640411138736493</v>
      </c>
      <c r="AT125" s="16">
        <f t="shared" si="156"/>
        <v>2.6806288508827674</v>
      </c>
      <c r="AU125" s="16">
        <f t="shared" si="156"/>
        <v>2.6486517813251917</v>
      </c>
      <c r="AW125" s="16" t="e">
        <f t="shared" si="28"/>
        <v>#VALUE!</v>
      </c>
      <c r="AX125" s="16">
        <f t="shared" si="57"/>
        <v>0.49845409672345092</v>
      </c>
      <c r="AY125" s="16">
        <f t="shared" si="58"/>
        <v>0.49515582325399932</v>
      </c>
      <c r="AZ125" s="16">
        <f t="shared" si="59"/>
        <v>0.50530987175663589</v>
      </c>
      <c r="BA125" s="16">
        <f t="shared" si="60"/>
        <v>0.52017471241299917</v>
      </c>
      <c r="BB125" s="16">
        <f t="shared" si="61"/>
        <v>0.4963072452149514</v>
      </c>
      <c r="BC125" s="16">
        <f t="shared" si="62"/>
        <v>0.48885323386495894</v>
      </c>
      <c r="BD125" s="16">
        <f t="shared" si="63"/>
        <v>0.48759366852121788</v>
      </c>
      <c r="BE125" s="16">
        <f t="shared" si="64"/>
        <v>0.49302591361106968</v>
      </c>
      <c r="BF125" s="16">
        <f t="shared" si="65"/>
        <v>0.52964008809127217</v>
      </c>
      <c r="BG125" s="16">
        <f t="shared" si="66"/>
        <v>0.78033363356398933</v>
      </c>
      <c r="BH125" s="16">
        <f t="shared" si="67"/>
        <v>0.51126564582298994</v>
      </c>
      <c r="BI125" s="16">
        <f t="shared" si="68"/>
        <v>0.50820085240656954</v>
      </c>
      <c r="BJ125" s="16">
        <f t="shared" si="69"/>
        <v>0.51609748912077702</v>
      </c>
      <c r="BK125" s="16">
        <f t="shared" si="70"/>
        <v>0.51290320646928711</v>
      </c>
      <c r="BL125" s="16">
        <f t="shared" si="71"/>
        <v>0.51177929764641361</v>
      </c>
      <c r="BM125" s="16">
        <f t="shared" si="72"/>
        <v>0.51651555930051751</v>
      </c>
      <c r="BN125" s="16">
        <f t="shared" si="73"/>
        <v>0.50270763937047858</v>
      </c>
      <c r="BO125" s="16">
        <f t="shared" si="74"/>
        <v>0.48437111161339075</v>
      </c>
      <c r="BP125" s="16">
        <f t="shared" si="75"/>
        <v>0.48738706379686675</v>
      </c>
      <c r="BQ125" s="16">
        <f t="shared" si="76"/>
        <v>0.4815730511500349</v>
      </c>
      <c r="BS125" s="16" t="e">
        <f t="shared" si="30"/>
        <v>#VALUE!</v>
      </c>
      <c r="BT125" s="16">
        <f t="shared" si="77"/>
        <v>1.2461352418086273</v>
      </c>
      <c r="BU125" s="16">
        <f t="shared" si="78"/>
        <v>1.237889558134998</v>
      </c>
      <c r="BV125" s="16">
        <f t="shared" si="79"/>
        <v>1.5159296152699075</v>
      </c>
      <c r="BW125" s="16">
        <f t="shared" si="80"/>
        <v>1.3004367810324979</v>
      </c>
      <c r="BX125" s="16">
        <f t="shared" si="81"/>
        <v>1.2407681130373784</v>
      </c>
      <c r="BY125" s="16">
        <f t="shared" si="82"/>
        <v>1.4665597015948766</v>
      </c>
      <c r="BZ125" s="16">
        <f t="shared" si="83"/>
        <v>1.4627810055636534</v>
      </c>
      <c r="CA125" s="16">
        <f t="shared" si="84"/>
        <v>1.4790777408332088</v>
      </c>
      <c r="CB125" s="16">
        <f t="shared" si="85"/>
        <v>1.5889202642738163</v>
      </c>
      <c r="CC125" s="16">
        <f t="shared" si="86"/>
        <v>1.5606672671279787</v>
      </c>
      <c r="CD125" s="16">
        <f t="shared" si="87"/>
        <v>1.2781641145574749</v>
      </c>
      <c r="CE125" s="16">
        <f t="shared" si="88"/>
        <v>1.2705021310164237</v>
      </c>
      <c r="CF125" s="16">
        <f t="shared" si="89"/>
        <v>1.2902437228019425</v>
      </c>
      <c r="CG125" s="16">
        <f t="shared" si="90"/>
        <v>1.2822580161732176</v>
      </c>
      <c r="CH125" s="16">
        <f t="shared" si="91"/>
        <v>1.279448244116034</v>
      </c>
      <c r="CI125" s="16">
        <f t="shared" si="92"/>
        <v>1.2912888982512938</v>
      </c>
      <c r="CJ125" s="16">
        <f t="shared" si="93"/>
        <v>1.2567690984261966</v>
      </c>
      <c r="CK125" s="16">
        <f t="shared" si="94"/>
        <v>1.2109277790334769</v>
      </c>
      <c r="CL125" s="16">
        <f t="shared" si="95"/>
        <v>1.2184676594921668</v>
      </c>
      <c r="CM125" s="16">
        <f t="shared" si="96"/>
        <v>1.4447191534501045</v>
      </c>
      <c r="CO125" s="16" t="e">
        <f t="shared" si="32"/>
        <v>#VALUE!</v>
      </c>
      <c r="CP125" s="16">
        <f t="shared" si="97"/>
        <v>0.49845409672345092</v>
      </c>
      <c r="CQ125" s="16">
        <f t="shared" si="98"/>
        <v>0.49515582325399932</v>
      </c>
      <c r="CR125" s="16">
        <f t="shared" si="99"/>
        <v>0.50530987175663589</v>
      </c>
      <c r="CS125" s="16">
        <f t="shared" si="100"/>
        <v>0.52017471241299917</v>
      </c>
      <c r="CT125" s="16">
        <f t="shared" si="101"/>
        <v>0.4963072452149514</v>
      </c>
      <c r="CU125" s="16">
        <f t="shared" si="102"/>
        <v>0.48885323386495894</v>
      </c>
      <c r="CV125" s="16">
        <f t="shared" si="103"/>
        <v>0.48759366852121788</v>
      </c>
      <c r="CW125" s="16">
        <f t="shared" si="104"/>
        <v>0.49302591361106968</v>
      </c>
      <c r="CX125" s="16">
        <f t="shared" si="105"/>
        <v>0.52964008809127217</v>
      </c>
      <c r="CY125" s="16">
        <f t="shared" si="106"/>
        <v>0.52022242237599303</v>
      </c>
      <c r="CZ125" s="16">
        <f t="shared" si="107"/>
        <v>0.51126564582298994</v>
      </c>
      <c r="DA125" s="16">
        <f t="shared" si="108"/>
        <v>0.50820085240656954</v>
      </c>
      <c r="DB125" s="16">
        <f t="shared" si="109"/>
        <v>0.77414623368116553</v>
      </c>
      <c r="DC125" s="16">
        <f t="shared" si="110"/>
        <v>0.76935480970393055</v>
      </c>
      <c r="DD125" s="16">
        <f t="shared" si="111"/>
        <v>0.76766894646962036</v>
      </c>
      <c r="DE125" s="16">
        <f t="shared" si="112"/>
        <v>0.51651555930051751</v>
      </c>
      <c r="DF125" s="16">
        <f t="shared" si="113"/>
        <v>0.50270763937047858</v>
      </c>
      <c r="DG125" s="16">
        <f t="shared" si="114"/>
        <v>0.48437111161339075</v>
      </c>
      <c r="DH125" s="16">
        <f t="shared" si="115"/>
        <v>0.48738706379686675</v>
      </c>
      <c r="DI125" s="16">
        <f t="shared" si="116"/>
        <v>0.4815730511500349</v>
      </c>
      <c r="EG125" s="16" t="e">
        <f t="shared" si="34"/>
        <v>#VALUE!</v>
      </c>
      <c r="EH125" s="16">
        <f t="shared" si="117"/>
        <v>0</v>
      </c>
      <c r="EI125" s="16">
        <f t="shared" si="118"/>
        <v>0</v>
      </c>
      <c r="EJ125" s="16">
        <f t="shared" si="119"/>
        <v>0</v>
      </c>
      <c r="EK125" s="16">
        <f t="shared" si="120"/>
        <v>0</v>
      </c>
      <c r="EL125" s="16">
        <f t="shared" si="121"/>
        <v>0</v>
      </c>
      <c r="EM125" s="16">
        <f t="shared" si="122"/>
        <v>0</v>
      </c>
      <c r="EN125" s="16">
        <f t="shared" si="123"/>
        <v>0</v>
      </c>
      <c r="EO125" s="16">
        <f t="shared" si="124"/>
        <v>0</v>
      </c>
      <c r="EP125" s="16">
        <f t="shared" si="125"/>
        <v>0</v>
      </c>
      <c r="EQ125" s="16">
        <f t="shared" si="126"/>
        <v>0</v>
      </c>
      <c r="ER125" s="16">
        <f t="shared" si="127"/>
        <v>0.25563282291149497</v>
      </c>
      <c r="ES125" s="16">
        <f t="shared" si="128"/>
        <v>0</v>
      </c>
      <c r="ET125" s="16">
        <f t="shared" si="129"/>
        <v>0</v>
      </c>
      <c r="EU125" s="16">
        <f t="shared" si="130"/>
        <v>0</v>
      </c>
      <c r="EV125" s="16">
        <f t="shared" si="131"/>
        <v>0.25588964882320681</v>
      </c>
      <c r="EW125" s="16">
        <f t="shared" si="132"/>
        <v>0.25825777965025876</v>
      </c>
      <c r="EX125" s="16">
        <f t="shared" si="133"/>
        <v>0</v>
      </c>
      <c r="EY125" s="16">
        <f t="shared" si="134"/>
        <v>0.24218555580669537</v>
      </c>
      <c r="EZ125" s="16">
        <f t="shared" si="135"/>
        <v>0.24369353189843337</v>
      </c>
      <c r="FA125" s="16">
        <f t="shared" si="136"/>
        <v>0.4815730511500349</v>
      </c>
    </row>
    <row r="126" spans="1:157">
      <c r="A126" t="s">
        <v>62</v>
      </c>
      <c r="B126" t="s">
        <v>445</v>
      </c>
      <c r="C126" t="s">
        <v>2085</v>
      </c>
      <c r="D126" s="16">
        <f t="shared" si="151"/>
        <v>4.309823702446054</v>
      </c>
      <c r="E126" s="16">
        <f t="shared" si="36"/>
        <v>4.3212921705919793</v>
      </c>
      <c r="F126" s="16">
        <f t="shared" si="37"/>
        <v>4.4554313099041538</v>
      </c>
      <c r="G126" s="16">
        <f t="shared" si="38"/>
        <v>5.0363065889735541</v>
      </c>
      <c r="H126" s="16">
        <f t="shared" si="39"/>
        <v>4.744172926165251</v>
      </c>
      <c r="I126" s="16">
        <f t="shared" si="40"/>
        <v>4.9220954598370188</v>
      </c>
      <c r="J126" s="16">
        <f t="shared" si="41"/>
        <v>4.6267887220798238</v>
      </c>
      <c r="K126" s="16">
        <f t="shared" si="42"/>
        <v>4.3254967476891473</v>
      </c>
      <c r="L126" s="16">
        <f t="shared" si="43"/>
        <v>4.3226790024135164</v>
      </c>
      <c r="M126" s="16">
        <f t="shared" si="44"/>
        <v>5.2044136138229184</v>
      </c>
      <c r="N126" s="16">
        <f t="shared" si="45"/>
        <v>4.9382346067662866</v>
      </c>
      <c r="O126" s="16">
        <f t="shared" si="46"/>
        <v>4.721452127516959</v>
      </c>
      <c r="P126" s="16">
        <f t="shared" si="47"/>
        <v>4.4487443827650015</v>
      </c>
      <c r="Q126" s="16">
        <f t="shared" si="48"/>
        <v>4.4626156604588463</v>
      </c>
      <c r="R126" s="16">
        <f t="shared" si="49"/>
        <v>4.2812838541666665</v>
      </c>
      <c r="S126" s="16">
        <f t="shared" si="50"/>
        <v>4.3380259680861872</v>
      </c>
      <c r="T126" s="16">
        <f t="shared" si="51"/>
        <v>4.1956578799355055</v>
      </c>
      <c r="U126" s="16">
        <f t="shared" si="52"/>
        <v>4.0083015462366882</v>
      </c>
      <c r="V126" s="16">
        <f t="shared" si="53"/>
        <v>3.9635115787559938</v>
      </c>
      <c r="W126" s="16">
        <f t="shared" si="54"/>
        <v>3.7588629165707772</v>
      </c>
      <c r="X126" s="15">
        <f t="shared" si="55"/>
        <v>4.3677297794117642</v>
      </c>
      <c r="Y126" s="88"/>
      <c r="AA126" s="16">
        <f t="shared" ref="AA126:AU126" si="157">AA27/AA60*100</f>
        <v>2.7887094545239179</v>
      </c>
      <c r="AB126" s="16">
        <f t="shared" si="157"/>
        <v>2.7961302280301048</v>
      </c>
      <c r="AC126" s="16">
        <f t="shared" si="157"/>
        <v>2.7227635782747606</v>
      </c>
      <c r="AD126" s="16">
        <f t="shared" si="157"/>
        <v>3.0217839533841326</v>
      </c>
      <c r="AE126" s="16">
        <f t="shared" si="157"/>
        <v>2.9963197428412109</v>
      </c>
      <c r="AF126" s="16">
        <f t="shared" si="157"/>
        <v>2.9532572759022115</v>
      </c>
      <c r="AG126" s="16">
        <f t="shared" si="157"/>
        <v>2.6786671548883194</v>
      </c>
      <c r="AH126" s="16">
        <f t="shared" si="157"/>
        <v>2.6433591235878131</v>
      </c>
      <c r="AI126" s="16">
        <f t="shared" si="157"/>
        <v>2.6416371681415933</v>
      </c>
      <c r="AJ126" s="16">
        <f t="shared" si="157"/>
        <v>2.9739506364702391</v>
      </c>
      <c r="AK126" s="16">
        <f t="shared" si="157"/>
        <v>2.7160290337214574</v>
      </c>
      <c r="AL126" s="16">
        <f t="shared" si="157"/>
        <v>2.5967986701343277</v>
      </c>
      <c r="AM126" s="16">
        <f t="shared" si="157"/>
        <v>2.3414444119815796</v>
      </c>
      <c r="AN126" s="16">
        <f t="shared" si="157"/>
        <v>2.6775693962753073</v>
      </c>
      <c r="AO126" s="16">
        <f t="shared" si="157"/>
        <v>2.4786380208333338</v>
      </c>
      <c r="AP126" s="16">
        <f t="shared" si="157"/>
        <v>2.5114887183656878</v>
      </c>
      <c r="AQ126" s="16">
        <f t="shared" si="157"/>
        <v>2.3309210444086141</v>
      </c>
      <c r="AR126" s="16">
        <f t="shared" si="157"/>
        <v>2.3578244389627576</v>
      </c>
      <c r="AS126" s="16">
        <f t="shared" si="157"/>
        <v>2.0983296593414087</v>
      </c>
      <c r="AT126" s="16">
        <f t="shared" si="157"/>
        <v>2.3492893228567358</v>
      </c>
      <c r="AU126" s="16">
        <f t="shared" si="157"/>
        <v>2.528685661764706</v>
      </c>
      <c r="AW126" s="16">
        <f t="shared" si="28"/>
        <v>0.25351904132035619</v>
      </c>
      <c r="AX126" s="16">
        <f t="shared" si="57"/>
        <v>0.25419365709364583</v>
      </c>
      <c r="AY126" s="16">
        <f t="shared" si="58"/>
        <v>0.24752396166134188</v>
      </c>
      <c r="AZ126" s="16">
        <f t="shared" si="59"/>
        <v>0.25181532944867774</v>
      </c>
      <c r="BA126" s="16">
        <f t="shared" si="60"/>
        <v>0.24969331190343425</v>
      </c>
      <c r="BB126" s="16">
        <f t="shared" si="61"/>
        <v>0.24610477299185099</v>
      </c>
      <c r="BC126" s="16">
        <f t="shared" si="62"/>
        <v>0.24351519589893814</v>
      </c>
      <c r="BD126" s="16">
        <f t="shared" si="63"/>
        <v>0.24030537487161932</v>
      </c>
      <c r="BE126" s="16">
        <f t="shared" si="64"/>
        <v>0.24014883346741758</v>
      </c>
      <c r="BF126" s="16">
        <f t="shared" si="65"/>
        <v>0.49565843941170651</v>
      </c>
      <c r="BG126" s="16">
        <f t="shared" si="66"/>
        <v>0.49382346067662869</v>
      </c>
      <c r="BH126" s="16">
        <f t="shared" si="67"/>
        <v>0.23607260637584795</v>
      </c>
      <c r="BI126" s="16">
        <f t="shared" si="68"/>
        <v>0.23414444119815797</v>
      </c>
      <c r="BJ126" s="16">
        <f t="shared" si="69"/>
        <v>0.22313078302294231</v>
      </c>
      <c r="BK126" s="16">
        <f t="shared" si="70"/>
        <v>0.22533072916666669</v>
      </c>
      <c r="BL126" s="16">
        <f t="shared" si="71"/>
        <v>0.22831715621506252</v>
      </c>
      <c r="BM126" s="16">
        <f t="shared" si="72"/>
        <v>0.23309210444086145</v>
      </c>
      <c r="BN126" s="16">
        <f t="shared" si="73"/>
        <v>0.23578244389627578</v>
      </c>
      <c r="BO126" s="16">
        <f t="shared" si="74"/>
        <v>0.46629547985364639</v>
      </c>
      <c r="BP126" s="16">
        <f t="shared" si="75"/>
        <v>0.23492893228567358</v>
      </c>
      <c r="BQ126" s="16">
        <f t="shared" si="76"/>
        <v>0.22988051470588236</v>
      </c>
      <c r="BS126" s="16">
        <f t="shared" si="30"/>
        <v>0.76055712396106845</v>
      </c>
      <c r="BT126" s="16">
        <f t="shared" si="77"/>
        <v>0.7625809712809376</v>
      </c>
      <c r="BU126" s="16">
        <f t="shared" si="78"/>
        <v>0.99009584664536754</v>
      </c>
      <c r="BV126" s="16">
        <f t="shared" si="79"/>
        <v>1.007261317794711</v>
      </c>
      <c r="BW126" s="16">
        <f t="shared" si="80"/>
        <v>0.99877324761373698</v>
      </c>
      <c r="BX126" s="16">
        <f t="shared" si="81"/>
        <v>0.98441909196740396</v>
      </c>
      <c r="BY126" s="16">
        <f t="shared" si="82"/>
        <v>0.97406078359575254</v>
      </c>
      <c r="BZ126" s="16">
        <f t="shared" si="83"/>
        <v>0.72091612461485788</v>
      </c>
      <c r="CA126" s="16">
        <f t="shared" si="84"/>
        <v>0.96059533386967033</v>
      </c>
      <c r="CB126" s="16">
        <f t="shared" si="85"/>
        <v>0.99131687882341302</v>
      </c>
      <c r="CC126" s="16">
        <f t="shared" si="86"/>
        <v>0.98764692135325738</v>
      </c>
      <c r="CD126" s="16">
        <f t="shared" si="87"/>
        <v>0.94429042550339182</v>
      </c>
      <c r="CE126" s="16">
        <f t="shared" si="88"/>
        <v>0.70243332359447397</v>
      </c>
      <c r="CF126" s="16">
        <f t="shared" si="89"/>
        <v>0.89252313209176926</v>
      </c>
      <c r="CG126" s="16">
        <f t="shared" si="90"/>
        <v>0.67599218750000012</v>
      </c>
      <c r="CH126" s="16">
        <f t="shared" si="91"/>
        <v>0.91326862486025007</v>
      </c>
      <c r="CI126" s="16">
        <f t="shared" si="92"/>
        <v>0.69927631332258422</v>
      </c>
      <c r="CJ126" s="16">
        <f t="shared" si="93"/>
        <v>0.70734733168882724</v>
      </c>
      <c r="CK126" s="16">
        <f t="shared" si="94"/>
        <v>0.69944321978046942</v>
      </c>
      <c r="CL126" s="16">
        <f t="shared" si="95"/>
        <v>0.70478679685702073</v>
      </c>
      <c r="CM126" s="16">
        <f t="shared" si="96"/>
        <v>0.91952205882352944</v>
      </c>
      <c r="CO126" s="16">
        <f t="shared" si="32"/>
        <v>0.50703808264071237</v>
      </c>
      <c r="CP126" s="16">
        <f t="shared" si="97"/>
        <v>0.50838731418729166</v>
      </c>
      <c r="CQ126" s="16">
        <f t="shared" si="98"/>
        <v>0.49504792332268377</v>
      </c>
      <c r="CR126" s="16">
        <f t="shared" si="99"/>
        <v>0.50363065889735548</v>
      </c>
      <c r="CS126" s="16">
        <f t="shared" si="100"/>
        <v>0.49938662380686849</v>
      </c>
      <c r="CT126" s="16">
        <f t="shared" si="101"/>
        <v>0.49220954598370198</v>
      </c>
      <c r="CU126" s="16">
        <f t="shared" si="102"/>
        <v>0.48703039179787627</v>
      </c>
      <c r="CV126" s="16">
        <f t="shared" si="103"/>
        <v>0.48061074974323864</v>
      </c>
      <c r="CW126" s="16">
        <f t="shared" si="104"/>
        <v>0.48029766693483517</v>
      </c>
      <c r="CX126" s="16">
        <f t="shared" si="105"/>
        <v>0.49565843941170651</v>
      </c>
      <c r="CY126" s="16">
        <f t="shared" si="106"/>
        <v>0.49382346067662869</v>
      </c>
      <c r="CZ126" s="16">
        <f t="shared" si="107"/>
        <v>0.47214521275169591</v>
      </c>
      <c r="DA126" s="16">
        <f t="shared" si="108"/>
        <v>0.23414444119815797</v>
      </c>
      <c r="DB126" s="16">
        <f t="shared" si="109"/>
        <v>0.44626156604588463</v>
      </c>
      <c r="DC126" s="16">
        <f t="shared" si="110"/>
        <v>0.22533072916666669</v>
      </c>
      <c r="DD126" s="16">
        <f t="shared" si="111"/>
        <v>0.22831715621506252</v>
      </c>
      <c r="DE126" s="16">
        <f t="shared" si="112"/>
        <v>0.23309210444086145</v>
      </c>
      <c r="DF126" s="16">
        <f t="shared" si="113"/>
        <v>0.23578244389627578</v>
      </c>
      <c r="DG126" s="16">
        <f t="shared" si="114"/>
        <v>0.23314773992682319</v>
      </c>
      <c r="DH126" s="16">
        <f t="shared" si="115"/>
        <v>0.23492893228567358</v>
      </c>
      <c r="DI126" s="16">
        <f t="shared" si="116"/>
        <v>0.22988051470588236</v>
      </c>
      <c r="EG126" s="16">
        <f t="shared" si="34"/>
        <v>0.25351904132035619</v>
      </c>
      <c r="EH126" s="16">
        <f t="shared" si="117"/>
        <v>0.25419365709364583</v>
      </c>
      <c r="EI126" s="16">
        <f t="shared" si="118"/>
        <v>0</v>
      </c>
      <c r="EJ126" s="16">
        <f t="shared" si="119"/>
        <v>0.25181532944867774</v>
      </c>
      <c r="EK126" s="16">
        <f t="shared" si="120"/>
        <v>0.24969331190343425</v>
      </c>
      <c r="EL126" s="16">
        <f t="shared" si="121"/>
        <v>0.24610477299185099</v>
      </c>
      <c r="EM126" s="16">
        <f t="shared" si="122"/>
        <v>0</v>
      </c>
      <c r="EN126" s="16">
        <f t="shared" si="123"/>
        <v>0.24030537487161932</v>
      </c>
      <c r="EO126" s="16">
        <f t="shared" si="124"/>
        <v>0.24014883346741758</v>
      </c>
      <c r="EP126" s="16">
        <f t="shared" si="125"/>
        <v>0.24782921970585325</v>
      </c>
      <c r="EQ126" s="16">
        <f t="shared" si="126"/>
        <v>0.24691173033831434</v>
      </c>
      <c r="ER126" s="16">
        <f t="shared" si="127"/>
        <v>0.23607260637584795</v>
      </c>
      <c r="ES126" s="16">
        <f t="shared" si="128"/>
        <v>0.46828888239631594</v>
      </c>
      <c r="ET126" s="16">
        <f t="shared" si="129"/>
        <v>0.44626156604588463</v>
      </c>
      <c r="EU126" s="16">
        <f t="shared" si="130"/>
        <v>0.45066145833333338</v>
      </c>
      <c r="EV126" s="16">
        <f t="shared" si="131"/>
        <v>0.45663431243012503</v>
      </c>
      <c r="EW126" s="16">
        <f t="shared" si="132"/>
        <v>0.23309210444086145</v>
      </c>
      <c r="EX126" s="16">
        <f t="shared" si="133"/>
        <v>0.23578244389627578</v>
      </c>
      <c r="EY126" s="16">
        <f t="shared" si="134"/>
        <v>0.23314773992682319</v>
      </c>
      <c r="EZ126" s="16">
        <f t="shared" si="135"/>
        <v>0.23492893228567358</v>
      </c>
      <c r="FA126" s="16">
        <f t="shared" si="136"/>
        <v>0.22988051470588236</v>
      </c>
    </row>
    <row r="127" spans="1:157">
      <c r="A127" t="s">
        <v>1637</v>
      </c>
      <c r="B127" t="s">
        <v>444</v>
      </c>
      <c r="C127" t="s">
        <v>2085</v>
      </c>
      <c r="D127" s="16">
        <f t="shared" si="151"/>
        <v>9.2175387520654652</v>
      </c>
      <c r="E127" s="16">
        <f t="shared" si="36"/>
        <v>9.7145847658339051</v>
      </c>
      <c r="F127" s="16">
        <f t="shared" si="37"/>
        <v>8.3271929193351077</v>
      </c>
      <c r="G127" s="16">
        <f t="shared" si="38"/>
        <v>6.4414105467486245</v>
      </c>
      <c r="H127" s="16">
        <f t="shared" si="39"/>
        <v>6.1787604160330885</v>
      </c>
      <c r="I127" s="16">
        <f t="shared" si="40"/>
        <v>5.6985004031174409</v>
      </c>
      <c r="J127" s="16">
        <f t="shared" si="41"/>
        <v>6.5263353974726863</v>
      </c>
      <c r="K127" s="16">
        <f t="shared" si="42"/>
        <v>6.4083471684191107</v>
      </c>
      <c r="L127" s="16">
        <f t="shared" si="43"/>
        <v>6.6722762645914386</v>
      </c>
      <c r="M127" s="16">
        <f t="shared" si="44"/>
        <v>7.4466092943201385</v>
      </c>
      <c r="N127" s="16">
        <f t="shared" si="45"/>
        <v>6.5789127060698851</v>
      </c>
      <c r="O127" s="16">
        <f t="shared" si="46"/>
        <v>6.1661653569951493</v>
      </c>
      <c r="P127" s="16">
        <f t="shared" si="47"/>
        <v>6.2511469838572626</v>
      </c>
      <c r="Q127" s="16">
        <f t="shared" si="48"/>
        <v>6.5622741295724989</v>
      </c>
      <c r="R127" s="16">
        <f t="shared" si="49"/>
        <v>5.7216804201050255</v>
      </c>
      <c r="S127" s="16">
        <f t="shared" si="50"/>
        <v>5.8016466412591283</v>
      </c>
      <c r="T127" s="16">
        <f t="shared" si="51"/>
        <v>6.2351075947418648</v>
      </c>
      <c r="U127" s="16">
        <f t="shared" si="52"/>
        <v>5.6966851675814913</v>
      </c>
      <c r="V127" s="16">
        <f t="shared" si="53"/>
        <v>5.6682800345721702</v>
      </c>
      <c r="W127" s="16">
        <f t="shared" si="54"/>
        <v>5.8481237157997192</v>
      </c>
      <c r="X127" s="15">
        <f t="shared" si="55"/>
        <v>6.2414592484138609</v>
      </c>
      <c r="Y127" s="88"/>
      <c r="AA127" s="16" t="e">
        <f t="shared" ref="AA127:AU127" si="158">AA28/AA61*100</f>
        <v>#VALUE!</v>
      </c>
      <c r="AB127" s="16">
        <f t="shared" si="158"/>
        <v>4.2009015203606079</v>
      </c>
      <c r="AC127" s="16">
        <f t="shared" si="158"/>
        <v>3.7606677700223066</v>
      </c>
      <c r="AD127" s="16">
        <f t="shared" si="158"/>
        <v>2.1471368489162082</v>
      </c>
      <c r="AE127" s="16">
        <f t="shared" si="158"/>
        <v>2.2468219694665774</v>
      </c>
      <c r="AF127" s="16">
        <f t="shared" si="158"/>
        <v>2.1708572964256918</v>
      </c>
      <c r="AG127" s="16">
        <f t="shared" si="158"/>
        <v>2.837537129335951</v>
      </c>
      <c r="AH127" s="16">
        <f t="shared" si="158"/>
        <v>2.912885076554141</v>
      </c>
      <c r="AI127" s="16">
        <f t="shared" si="158"/>
        <v>3.1910886482828622</v>
      </c>
      <c r="AJ127" s="16">
        <f t="shared" si="158"/>
        <v>3.0338037865748713</v>
      </c>
      <c r="AK127" s="16">
        <f t="shared" si="158"/>
        <v>2.8603968287260368</v>
      </c>
      <c r="AL127" s="16">
        <f t="shared" si="158"/>
        <v>2.4128473136067976</v>
      </c>
      <c r="AM127" s="16">
        <f t="shared" si="158"/>
        <v>2.4461009936832769</v>
      </c>
      <c r="AN127" s="16">
        <f t="shared" si="158"/>
        <v>2.5239515882971149</v>
      </c>
      <c r="AO127" s="16">
        <f t="shared" si="158"/>
        <v>2.2389184252584888</v>
      </c>
      <c r="AP127" s="16">
        <f t="shared" si="158"/>
        <v>2.0885927908532862</v>
      </c>
      <c r="AQ127" s="16">
        <f t="shared" si="158"/>
        <v>2.7434473416864207</v>
      </c>
      <c r="AR127" s="16">
        <f t="shared" si="158"/>
        <v>2.5894023489006779</v>
      </c>
      <c r="AS127" s="16">
        <f t="shared" si="158"/>
        <v>2.5764909248055319</v>
      </c>
      <c r="AT127" s="16">
        <f t="shared" si="158"/>
        <v>2.5426624851303128</v>
      </c>
      <c r="AU127" s="16">
        <f t="shared" si="158"/>
        <v>2.7462420693020988</v>
      </c>
      <c r="AW127" s="16" t="e">
        <f t="shared" si="28"/>
        <v>#VALUE!</v>
      </c>
      <c r="AX127" s="16">
        <f t="shared" si="57"/>
        <v>0.78766903506761399</v>
      </c>
      <c r="AY127" s="16">
        <f t="shared" si="58"/>
        <v>0.80585737929049428</v>
      </c>
      <c r="AZ127" s="16">
        <f t="shared" si="59"/>
        <v>0.53678421222905204</v>
      </c>
      <c r="BA127" s="16">
        <f t="shared" si="60"/>
        <v>0.56170549236664435</v>
      </c>
      <c r="BB127" s="16">
        <f t="shared" si="61"/>
        <v>0.54271432410642295</v>
      </c>
      <c r="BC127" s="16">
        <f t="shared" si="62"/>
        <v>0.56750742586719016</v>
      </c>
      <c r="BD127" s="16">
        <f t="shared" si="63"/>
        <v>0.58257701531082817</v>
      </c>
      <c r="BE127" s="16">
        <f t="shared" si="64"/>
        <v>0.58019793605142955</v>
      </c>
      <c r="BF127" s="16">
        <f t="shared" si="65"/>
        <v>1.1032013769363169</v>
      </c>
      <c r="BG127" s="16">
        <f t="shared" si="66"/>
        <v>0.57207936574520746</v>
      </c>
      <c r="BH127" s="16">
        <f t="shared" si="67"/>
        <v>0.53618829191262174</v>
      </c>
      <c r="BI127" s="16">
        <f t="shared" si="68"/>
        <v>0.54357799859628386</v>
      </c>
      <c r="BJ127" s="16">
        <f t="shared" si="69"/>
        <v>0.50479031765942295</v>
      </c>
      <c r="BK127" s="16">
        <f t="shared" si="70"/>
        <v>0.49753742783521976</v>
      </c>
      <c r="BL127" s="16">
        <f t="shared" si="71"/>
        <v>0.6961975969510954</v>
      </c>
      <c r="BM127" s="16">
        <f t="shared" si="72"/>
        <v>0.49880860757934919</v>
      </c>
      <c r="BN127" s="16">
        <f t="shared" si="73"/>
        <v>0.51788046978013558</v>
      </c>
      <c r="BO127" s="16">
        <f t="shared" si="74"/>
        <v>0.51529818496110635</v>
      </c>
      <c r="BP127" s="16">
        <f t="shared" si="75"/>
        <v>0.50853249702606262</v>
      </c>
      <c r="BQ127" s="16">
        <f t="shared" si="76"/>
        <v>0.49931673987310887</v>
      </c>
      <c r="BS127" s="16" t="e">
        <f t="shared" si="30"/>
        <v>#VALUE!</v>
      </c>
      <c r="BT127" s="16">
        <f t="shared" si="77"/>
        <v>1.3127817251126899</v>
      </c>
      <c r="BU127" s="16">
        <f t="shared" si="78"/>
        <v>1.0744765057206591</v>
      </c>
      <c r="BV127" s="16">
        <f t="shared" si="79"/>
        <v>0.80517631834357806</v>
      </c>
      <c r="BW127" s="16">
        <f t="shared" si="80"/>
        <v>0.84255823854996648</v>
      </c>
      <c r="BX127" s="16">
        <f t="shared" si="81"/>
        <v>0.81407148615963432</v>
      </c>
      <c r="BY127" s="16">
        <f t="shared" si="82"/>
        <v>0.85126113880078536</v>
      </c>
      <c r="BZ127" s="16">
        <f t="shared" si="83"/>
        <v>0.8738655229662422</v>
      </c>
      <c r="CA127" s="16">
        <f t="shared" si="84"/>
        <v>0.87029690407714411</v>
      </c>
      <c r="CB127" s="16">
        <f t="shared" si="85"/>
        <v>0.82740103270223764</v>
      </c>
      <c r="CC127" s="16">
        <f t="shared" si="86"/>
        <v>0.85811904861781108</v>
      </c>
      <c r="CD127" s="16">
        <f t="shared" si="87"/>
        <v>0.8042824378689325</v>
      </c>
      <c r="CE127" s="16">
        <f t="shared" si="88"/>
        <v>0.81536699789442557</v>
      </c>
      <c r="CF127" s="16">
        <f t="shared" si="89"/>
        <v>0.75718547648913448</v>
      </c>
      <c r="CG127" s="16">
        <f t="shared" si="90"/>
        <v>0.7463061417528295</v>
      </c>
      <c r="CH127" s="16">
        <f t="shared" si="91"/>
        <v>0.6961975969510954</v>
      </c>
      <c r="CI127" s="16">
        <f t="shared" si="92"/>
        <v>0.74821291136902379</v>
      </c>
      <c r="CJ127" s="16">
        <f t="shared" si="93"/>
        <v>0.77682070467020325</v>
      </c>
      <c r="CK127" s="16">
        <f t="shared" si="94"/>
        <v>0.77294727744165947</v>
      </c>
      <c r="CL127" s="16">
        <f t="shared" si="95"/>
        <v>0.76279874553909377</v>
      </c>
      <c r="CM127" s="16">
        <f t="shared" si="96"/>
        <v>0.74897510980966331</v>
      </c>
      <c r="CO127" s="16" t="e">
        <f t="shared" si="32"/>
        <v>#VALUE!</v>
      </c>
      <c r="CP127" s="16">
        <f t="shared" si="97"/>
        <v>0.78766903506761399</v>
      </c>
      <c r="CQ127" s="16">
        <f t="shared" si="98"/>
        <v>0.80585737929049428</v>
      </c>
      <c r="CR127" s="16">
        <f t="shared" si="99"/>
        <v>0.53678421222905204</v>
      </c>
      <c r="CS127" s="16">
        <f t="shared" si="100"/>
        <v>0.56170549236664435</v>
      </c>
      <c r="CT127" s="16">
        <f t="shared" si="101"/>
        <v>0.54271432410642295</v>
      </c>
      <c r="CU127" s="16">
        <f t="shared" si="102"/>
        <v>0.56750742586719016</v>
      </c>
      <c r="CV127" s="16">
        <f t="shared" si="103"/>
        <v>0.58257701531082817</v>
      </c>
      <c r="CW127" s="16">
        <f t="shared" si="104"/>
        <v>0.58019793605142955</v>
      </c>
      <c r="CX127" s="16">
        <f t="shared" si="105"/>
        <v>0.55160068846815846</v>
      </c>
      <c r="CY127" s="16">
        <f t="shared" si="106"/>
        <v>0.57207936574520746</v>
      </c>
      <c r="CZ127" s="16">
        <f t="shared" si="107"/>
        <v>0.53618829191262174</v>
      </c>
      <c r="DA127" s="16">
        <f t="shared" si="108"/>
        <v>0.54357799859628386</v>
      </c>
      <c r="DB127" s="16">
        <f t="shared" si="109"/>
        <v>0.50479031765942295</v>
      </c>
      <c r="DC127" s="16">
        <f t="shared" si="110"/>
        <v>0.49753742783521976</v>
      </c>
      <c r="DD127" s="16">
        <f t="shared" si="111"/>
        <v>0.46413173130073032</v>
      </c>
      <c r="DE127" s="16">
        <f t="shared" si="112"/>
        <v>0.49880860757934919</v>
      </c>
      <c r="DF127" s="16">
        <f t="shared" si="113"/>
        <v>0.51788046978013558</v>
      </c>
      <c r="DG127" s="16">
        <f t="shared" si="114"/>
        <v>0.51529818496110635</v>
      </c>
      <c r="DH127" s="16">
        <f t="shared" si="115"/>
        <v>0.50853249702606262</v>
      </c>
      <c r="DI127" s="16">
        <f t="shared" si="116"/>
        <v>0.49931673987310887</v>
      </c>
      <c r="EG127" s="16" t="e">
        <f t="shared" si="34"/>
        <v>#VALUE!</v>
      </c>
      <c r="EH127" s="16">
        <f t="shared" si="117"/>
        <v>2.3630071052028421</v>
      </c>
      <c r="EI127" s="16">
        <f t="shared" si="118"/>
        <v>1.8803338850111533</v>
      </c>
      <c r="EJ127" s="16">
        <f t="shared" si="119"/>
        <v>2.1471368489162082</v>
      </c>
      <c r="EK127" s="16">
        <f t="shared" si="120"/>
        <v>1.9659692232832551</v>
      </c>
      <c r="EL127" s="16">
        <f t="shared" si="121"/>
        <v>1.8995001343724802</v>
      </c>
      <c r="EM127" s="16">
        <f t="shared" si="122"/>
        <v>1.7025222776015707</v>
      </c>
      <c r="EN127" s="16">
        <f t="shared" si="123"/>
        <v>1.4564425382770705</v>
      </c>
      <c r="EO127" s="16">
        <f t="shared" si="124"/>
        <v>1.4504948401285738</v>
      </c>
      <c r="EP127" s="16">
        <f t="shared" si="125"/>
        <v>1.6548020654044753</v>
      </c>
      <c r="EQ127" s="16">
        <f t="shared" si="126"/>
        <v>1.7162380972356222</v>
      </c>
      <c r="ER127" s="16">
        <f t="shared" si="127"/>
        <v>1.8766590216941759</v>
      </c>
      <c r="ES127" s="16">
        <f t="shared" si="128"/>
        <v>1.9025229950869933</v>
      </c>
      <c r="ET127" s="16">
        <f t="shared" si="129"/>
        <v>2.0191612706376918</v>
      </c>
      <c r="EU127" s="16">
        <f t="shared" si="130"/>
        <v>1.7413809974232686</v>
      </c>
      <c r="EV127" s="16">
        <f t="shared" si="131"/>
        <v>1.8565269252029213</v>
      </c>
      <c r="EW127" s="16">
        <f t="shared" si="132"/>
        <v>1.7458301265277223</v>
      </c>
      <c r="EX127" s="16">
        <f t="shared" si="133"/>
        <v>1.5536414093404065</v>
      </c>
      <c r="EY127" s="16">
        <f t="shared" si="134"/>
        <v>1.2882454624027659</v>
      </c>
      <c r="EZ127" s="16">
        <f t="shared" si="135"/>
        <v>1.2713312425651564</v>
      </c>
      <c r="FA127" s="16">
        <f t="shared" si="136"/>
        <v>1.4979502196193266</v>
      </c>
    </row>
    <row r="128" spans="1:157">
      <c r="A128" t="s">
        <v>1638</v>
      </c>
      <c r="B128" t="s">
        <v>447</v>
      </c>
      <c r="C128" t="s">
        <v>2085</v>
      </c>
      <c r="D128" s="16">
        <f t="shared" si="151"/>
        <v>4.1014503263234241</v>
      </c>
      <c r="E128" s="16">
        <f t="shared" si="36"/>
        <v>4.2928632478632478</v>
      </c>
      <c r="F128" s="16">
        <f t="shared" si="37"/>
        <v>4.2330274361400182</v>
      </c>
      <c r="G128" s="16">
        <f t="shared" si="38"/>
        <v>4.263970910365372</v>
      </c>
      <c r="H128" s="16">
        <f t="shared" si="39"/>
        <v>4.0280576705005666</v>
      </c>
      <c r="I128" s="16">
        <f t="shared" si="40"/>
        <v>3.9939943601859618</v>
      </c>
      <c r="J128" s="16">
        <f t="shared" si="41"/>
        <v>4.0623924268502583</v>
      </c>
      <c r="K128" s="16">
        <f t="shared" si="42"/>
        <v>3.9206864807995787</v>
      </c>
      <c r="L128" s="16">
        <f t="shared" si="43"/>
        <v>3.893839835728953</v>
      </c>
      <c r="M128" s="16">
        <f t="shared" si="44"/>
        <v>4.1334557892069936</v>
      </c>
      <c r="N128" s="16">
        <f t="shared" si="45"/>
        <v>4.2622825416409613</v>
      </c>
      <c r="O128" s="16">
        <f t="shared" si="46"/>
        <v>4.0699328859060397</v>
      </c>
      <c r="P128" s="16">
        <f t="shared" si="47"/>
        <v>3.7478776453417662</v>
      </c>
      <c r="Q128" s="16">
        <f t="shared" si="48"/>
        <v>3.9395533141210382</v>
      </c>
      <c r="R128" s="16">
        <f t="shared" si="49"/>
        <v>3.52915250263744</v>
      </c>
      <c r="S128" s="16">
        <f t="shared" si="50"/>
        <v>3.4886806218081823</v>
      </c>
      <c r="T128" s="16">
        <f t="shared" si="51"/>
        <v>3.8422432100145301</v>
      </c>
      <c r="U128" s="16">
        <f t="shared" si="52"/>
        <v>3.6349883794633433</v>
      </c>
      <c r="V128" s="16">
        <f t="shared" si="53"/>
        <v>3.3899674780723368</v>
      </c>
      <c r="W128" s="16">
        <f t="shared" si="54"/>
        <v>3.6567434831885155</v>
      </c>
      <c r="X128" s="15">
        <f t="shared" si="55"/>
        <v>4.137187086660461</v>
      </c>
      <c r="Y128" s="88"/>
      <c r="AA128" s="16">
        <f t="shared" ref="AA128:AU128" si="159">AA29/AA62*100</f>
        <v>1.8228668116992994</v>
      </c>
      <c r="AB128" s="16">
        <f t="shared" si="159"/>
        <v>2.0334615384615384</v>
      </c>
      <c r="AC128" s="16">
        <f t="shared" si="159"/>
        <v>2.0051182592242194</v>
      </c>
      <c r="AD128" s="16">
        <f t="shared" si="159"/>
        <v>2.2441952159817751</v>
      </c>
      <c r="AE128" s="16">
        <f t="shared" si="159"/>
        <v>2.0140288352502833</v>
      </c>
      <c r="AF128" s="16">
        <f t="shared" si="159"/>
        <v>1.9969971800929809</v>
      </c>
      <c r="AG128" s="16">
        <f t="shared" si="159"/>
        <v>2.0311962134251291</v>
      </c>
      <c r="AH128" s="16">
        <f t="shared" si="159"/>
        <v>1.8450289321409783</v>
      </c>
      <c r="AI128" s="16">
        <f t="shared" si="159"/>
        <v>1.8323952168136248</v>
      </c>
      <c r="AJ128" s="16">
        <f t="shared" si="159"/>
        <v>2.0667278946034968</v>
      </c>
      <c r="AK128" s="16">
        <f t="shared" si="159"/>
        <v>2.0189759407772976</v>
      </c>
      <c r="AL128" s="16">
        <f t="shared" si="159"/>
        <v>2.0349664429530199</v>
      </c>
      <c r="AM128" s="16">
        <f t="shared" si="159"/>
        <v>1.7637071272196547</v>
      </c>
      <c r="AN128" s="16">
        <f t="shared" si="159"/>
        <v>1.7509125840537949</v>
      </c>
      <c r="AO128" s="16">
        <f t="shared" si="159"/>
        <v>1.5440042199038799</v>
      </c>
      <c r="AP128" s="16">
        <f t="shared" si="159"/>
        <v>1.7443403109040911</v>
      </c>
      <c r="AQ128" s="16">
        <f t="shared" si="159"/>
        <v>2.0341287582429866</v>
      </c>
      <c r="AR128" s="16">
        <f t="shared" si="159"/>
        <v>1.8174941897316716</v>
      </c>
      <c r="AS128" s="16">
        <f t="shared" si="159"/>
        <v>1.8079826549719129</v>
      </c>
      <c r="AT128" s="16">
        <f t="shared" si="159"/>
        <v>1.8283717415942577</v>
      </c>
      <c r="AU128" s="16">
        <f t="shared" si="159"/>
        <v>2.0685935433302305</v>
      </c>
      <c r="AW128" s="16">
        <f t="shared" si="28"/>
        <v>0.22785835146241243</v>
      </c>
      <c r="AX128" s="16">
        <f t="shared" si="57"/>
        <v>0.22594017094017096</v>
      </c>
      <c r="AY128" s="16">
        <f t="shared" si="58"/>
        <v>0.22279091769157994</v>
      </c>
      <c r="AZ128" s="16">
        <f t="shared" si="59"/>
        <v>0.22441952159817752</v>
      </c>
      <c r="BA128" s="16">
        <f t="shared" si="60"/>
        <v>0.22378098169447591</v>
      </c>
      <c r="BB128" s="16">
        <f t="shared" si="61"/>
        <v>0.22188857556588679</v>
      </c>
      <c r="BC128" s="16">
        <f t="shared" si="62"/>
        <v>0.22568846815834764</v>
      </c>
      <c r="BD128" s="16">
        <f t="shared" si="63"/>
        <v>0.23062861651762229</v>
      </c>
      <c r="BE128" s="16">
        <f t="shared" si="64"/>
        <v>0.2290494021017031</v>
      </c>
      <c r="BF128" s="16">
        <f t="shared" si="65"/>
        <v>0.22963643273372186</v>
      </c>
      <c r="BG128" s="16">
        <f t="shared" si="66"/>
        <v>0.2243306600863664</v>
      </c>
      <c r="BH128" s="16">
        <f t="shared" si="67"/>
        <v>0.22610738255033555</v>
      </c>
      <c r="BI128" s="16">
        <f t="shared" si="68"/>
        <v>0.22046339090245684</v>
      </c>
      <c r="BJ128" s="16">
        <f t="shared" si="69"/>
        <v>0.43772814601344873</v>
      </c>
      <c r="BK128" s="16">
        <f t="shared" si="70"/>
        <v>0.22057203141484</v>
      </c>
      <c r="BL128" s="16">
        <f t="shared" si="71"/>
        <v>0.21804253886301139</v>
      </c>
      <c r="BM128" s="16">
        <f t="shared" si="72"/>
        <v>0.22601430647144297</v>
      </c>
      <c r="BN128" s="16">
        <f t="shared" si="73"/>
        <v>0.45437354743291791</v>
      </c>
      <c r="BO128" s="16">
        <f t="shared" si="74"/>
        <v>0.22599783187148911</v>
      </c>
      <c r="BP128" s="16">
        <f t="shared" si="75"/>
        <v>0.22854646769928222</v>
      </c>
      <c r="BQ128" s="16">
        <f t="shared" si="76"/>
        <v>0.45968745407338463</v>
      </c>
      <c r="BS128" s="16">
        <f t="shared" si="30"/>
        <v>1.3671501087744744</v>
      </c>
      <c r="BT128" s="16">
        <f t="shared" si="77"/>
        <v>1.3556410256410256</v>
      </c>
      <c r="BU128" s="16">
        <f t="shared" si="78"/>
        <v>1.3367455061494793</v>
      </c>
      <c r="BV128" s="16">
        <f t="shared" si="79"/>
        <v>1.346517129589065</v>
      </c>
      <c r="BW128" s="16">
        <f t="shared" si="80"/>
        <v>1.3426858901668555</v>
      </c>
      <c r="BX128" s="16">
        <f t="shared" si="81"/>
        <v>1.3313314533953204</v>
      </c>
      <c r="BY128" s="16">
        <f t="shared" si="82"/>
        <v>1.1284423407917381</v>
      </c>
      <c r="BZ128" s="16">
        <f t="shared" si="83"/>
        <v>1.1531430825881115</v>
      </c>
      <c r="CA128" s="16">
        <f t="shared" si="84"/>
        <v>1.1452470105085155</v>
      </c>
      <c r="CB128" s="16">
        <f t="shared" si="85"/>
        <v>1.3778185964023308</v>
      </c>
      <c r="CC128" s="16">
        <f t="shared" si="86"/>
        <v>1.3459839605181982</v>
      </c>
      <c r="CD128" s="16">
        <f t="shared" si="87"/>
        <v>1.3566442953020132</v>
      </c>
      <c r="CE128" s="16">
        <f t="shared" si="88"/>
        <v>1.3227803454147411</v>
      </c>
      <c r="CF128" s="16">
        <f t="shared" si="89"/>
        <v>1.0943203650336217</v>
      </c>
      <c r="CG128" s="16">
        <f t="shared" si="90"/>
        <v>1.1028601570742</v>
      </c>
      <c r="CH128" s="16">
        <f t="shared" si="91"/>
        <v>1.090212694315057</v>
      </c>
      <c r="CI128" s="16">
        <f t="shared" si="92"/>
        <v>1.1300715323572148</v>
      </c>
      <c r="CJ128" s="16">
        <f t="shared" si="93"/>
        <v>1.1359338685822946</v>
      </c>
      <c r="CK128" s="16">
        <f t="shared" si="94"/>
        <v>1.1299891593574454</v>
      </c>
      <c r="CL128" s="16">
        <f t="shared" si="95"/>
        <v>1.142732338496411</v>
      </c>
      <c r="CM128" s="16">
        <f t="shared" si="96"/>
        <v>1.1492186351834615</v>
      </c>
      <c r="CO128" s="16">
        <f t="shared" si="32"/>
        <v>0.22785835146241243</v>
      </c>
      <c r="CP128" s="16">
        <f t="shared" si="97"/>
        <v>0.22594017094017096</v>
      </c>
      <c r="CQ128" s="16">
        <f t="shared" si="98"/>
        <v>0.22279091769157994</v>
      </c>
      <c r="CR128" s="16">
        <f t="shared" si="99"/>
        <v>0.22441952159817752</v>
      </c>
      <c r="CS128" s="16">
        <f t="shared" si="100"/>
        <v>0.22378098169447591</v>
      </c>
      <c r="CT128" s="16">
        <f t="shared" si="101"/>
        <v>0.22188857556588679</v>
      </c>
      <c r="CU128" s="16">
        <f t="shared" si="102"/>
        <v>0.22568846815834764</v>
      </c>
      <c r="CV128" s="16">
        <f t="shared" si="103"/>
        <v>0.23062861651762229</v>
      </c>
      <c r="CW128" s="16">
        <f t="shared" si="104"/>
        <v>0.2290494021017031</v>
      </c>
      <c r="CX128" s="16">
        <f t="shared" si="105"/>
        <v>0.22963643273372186</v>
      </c>
      <c r="CY128" s="16">
        <f t="shared" si="106"/>
        <v>0.2243306600863664</v>
      </c>
      <c r="CZ128" s="16">
        <f t="shared" si="107"/>
        <v>0.22610738255033555</v>
      </c>
      <c r="DA128" s="16">
        <f t="shared" si="108"/>
        <v>0.22046339090245684</v>
      </c>
      <c r="DB128" s="16">
        <f t="shared" si="109"/>
        <v>0.21886407300672436</v>
      </c>
      <c r="DC128" s="16">
        <f t="shared" si="110"/>
        <v>0.22057203141484</v>
      </c>
      <c r="DD128" s="16">
        <f t="shared" si="111"/>
        <v>0.21804253886301139</v>
      </c>
      <c r="DE128" s="16">
        <f t="shared" si="112"/>
        <v>0.22601430647144297</v>
      </c>
      <c r="DF128" s="16">
        <f t="shared" si="113"/>
        <v>0.22718677371645896</v>
      </c>
      <c r="DG128" s="16">
        <f t="shared" si="114"/>
        <v>0.22599783187148911</v>
      </c>
      <c r="DH128" s="16">
        <f t="shared" si="115"/>
        <v>0.22854646769928222</v>
      </c>
      <c r="DI128" s="16">
        <f t="shared" si="116"/>
        <v>0.22984372703669231</v>
      </c>
      <c r="EG128" s="16">
        <f t="shared" si="34"/>
        <v>0.45571670292482486</v>
      </c>
      <c r="EH128" s="16">
        <f t="shared" si="117"/>
        <v>0.22594017094017096</v>
      </c>
      <c r="EI128" s="16">
        <f t="shared" si="118"/>
        <v>0.22279091769157994</v>
      </c>
      <c r="EJ128" s="16">
        <f t="shared" si="119"/>
        <v>0.22441952159817752</v>
      </c>
      <c r="EK128" s="16">
        <f t="shared" si="120"/>
        <v>0.22378098169447591</v>
      </c>
      <c r="EL128" s="16">
        <f t="shared" si="121"/>
        <v>0.22188857556588679</v>
      </c>
      <c r="EM128" s="16">
        <f t="shared" si="122"/>
        <v>0.45137693631669529</v>
      </c>
      <c r="EN128" s="16">
        <f t="shared" si="123"/>
        <v>0.46125723303524457</v>
      </c>
      <c r="EO128" s="16">
        <f t="shared" si="124"/>
        <v>0.2290494021017031</v>
      </c>
      <c r="EP128" s="16">
        <f t="shared" si="125"/>
        <v>0.22963643273372186</v>
      </c>
      <c r="EQ128" s="16">
        <f t="shared" si="126"/>
        <v>0.2243306600863664</v>
      </c>
      <c r="ER128" s="16">
        <f t="shared" si="127"/>
        <v>0.22610738255033555</v>
      </c>
      <c r="ES128" s="16">
        <f t="shared" si="128"/>
        <v>0.22046339090245684</v>
      </c>
      <c r="ET128" s="16">
        <f t="shared" si="129"/>
        <v>0.43772814601344873</v>
      </c>
      <c r="EU128" s="16">
        <f t="shared" si="130"/>
        <v>0.44114406282967999</v>
      </c>
      <c r="EV128" s="16">
        <f t="shared" si="131"/>
        <v>0.21804253886301139</v>
      </c>
      <c r="EW128" s="16">
        <f t="shared" si="132"/>
        <v>0.22601430647144297</v>
      </c>
      <c r="EX128" s="16">
        <f t="shared" si="133"/>
        <v>0.22718677371645896</v>
      </c>
      <c r="EY128" s="16">
        <f t="shared" si="134"/>
        <v>0.22599783187148911</v>
      </c>
      <c r="EZ128" s="16">
        <f t="shared" si="135"/>
        <v>0.22854646769928222</v>
      </c>
      <c r="FA128" s="16">
        <f t="shared" si="136"/>
        <v>0.22984372703669231</v>
      </c>
    </row>
    <row r="129" spans="1:157">
      <c r="A129" t="s">
        <v>69</v>
      </c>
      <c r="B129" t="s">
        <v>448</v>
      </c>
      <c r="C129" t="s">
        <v>2085</v>
      </c>
      <c r="D129" s="16">
        <f t="shared" si="151"/>
        <v>4.4800604475395893</v>
      </c>
      <c r="E129" s="16">
        <f t="shared" si="36"/>
        <v>4.7420463385760199</v>
      </c>
      <c r="F129" s="16">
        <f t="shared" si="37"/>
        <v>4.6972095824644109</v>
      </c>
      <c r="G129" s="16">
        <f t="shared" si="38"/>
        <v>4.7368278106159503</v>
      </c>
      <c r="H129" s="16">
        <f t="shared" si="39"/>
        <v>4.6484670743250343</v>
      </c>
      <c r="I129" s="16">
        <f t="shared" si="40"/>
        <v>4.5325612716480483</v>
      </c>
      <c r="J129" s="16">
        <f t="shared" si="41"/>
        <v>4.4378740952329503</v>
      </c>
      <c r="K129" s="16">
        <f t="shared" si="42"/>
        <v>4.6182317832453084</v>
      </c>
      <c r="L129" s="16">
        <f t="shared" si="43"/>
        <v>5.4244033127022773</v>
      </c>
      <c r="M129" s="16">
        <f t="shared" si="44"/>
        <v>6.0077532445643023</v>
      </c>
      <c r="N129" s="16">
        <f t="shared" si="45"/>
        <v>6.0261221279703392</v>
      </c>
      <c r="O129" s="16">
        <f t="shared" si="46"/>
        <v>6.0414384180499265</v>
      </c>
      <c r="P129" s="16">
        <f t="shared" si="47"/>
        <v>5.274276711543969</v>
      </c>
      <c r="Q129" s="16">
        <f t="shared" si="48"/>
        <v>5.1551313854968193</v>
      </c>
      <c r="R129" s="16">
        <f t="shared" si="49"/>
        <v>5.3573112799497773</v>
      </c>
      <c r="S129" s="16">
        <f t="shared" si="50"/>
        <v>4.907811091721479</v>
      </c>
      <c r="T129" s="16">
        <f t="shared" si="51"/>
        <v>4.9820989688780077</v>
      </c>
      <c r="U129" s="16">
        <f t="shared" si="52"/>
        <v>4.7152645474611692</v>
      </c>
      <c r="V129" s="16">
        <f t="shared" si="53"/>
        <v>4.591329786106459</v>
      </c>
      <c r="W129" s="16">
        <f t="shared" si="54"/>
        <v>4.5873505449808922</v>
      </c>
      <c r="X129" s="15">
        <f t="shared" si="55"/>
        <v>5.0627445587359983</v>
      </c>
      <c r="Y129" s="88"/>
      <c r="AA129" s="16">
        <f t="shared" ref="AA129:AU129" si="160">AA30/AA63*100</f>
        <v>2.898862642525617</v>
      </c>
      <c r="AB129" s="16">
        <f t="shared" si="160"/>
        <v>3.161364225717346</v>
      </c>
      <c r="AC129" s="16">
        <f t="shared" si="160"/>
        <v>3.1314730549762735</v>
      </c>
      <c r="AD129" s="16">
        <f t="shared" si="160"/>
        <v>3.1578852070772996</v>
      </c>
      <c r="AE129" s="16">
        <f t="shared" si="160"/>
        <v>3.0989780495500225</v>
      </c>
      <c r="AF129" s="16">
        <f t="shared" si="160"/>
        <v>3.0217075144320322</v>
      </c>
      <c r="AG129" s="16">
        <f t="shared" si="160"/>
        <v>2.9585827301553</v>
      </c>
      <c r="AH129" s="16">
        <f t="shared" si="160"/>
        <v>2.9167779683654578</v>
      </c>
      <c r="AI129" s="16">
        <f t="shared" si="160"/>
        <v>3.52586215325648</v>
      </c>
      <c r="AJ129" s="16">
        <f t="shared" si="160"/>
        <v>3.7190853418731393</v>
      </c>
      <c r="AK129" s="16">
        <f t="shared" si="160"/>
        <v>3.8348049905265786</v>
      </c>
      <c r="AL129" s="16">
        <f t="shared" si="160"/>
        <v>3.8445517205772251</v>
      </c>
      <c r="AM129" s="16">
        <f t="shared" si="160"/>
        <v>3.4282798625035795</v>
      </c>
      <c r="AN129" s="16">
        <f t="shared" si="160"/>
        <v>3.3508354005729322</v>
      </c>
      <c r="AO129" s="16">
        <f t="shared" si="160"/>
        <v>3.3164307923498622</v>
      </c>
      <c r="AP129" s="16">
        <f t="shared" si="160"/>
        <v>3.0996701631925134</v>
      </c>
      <c r="AQ129" s="16">
        <f t="shared" si="160"/>
        <v>3.1465888224492677</v>
      </c>
      <c r="AR129" s="16">
        <f t="shared" si="160"/>
        <v>3.143509698307446</v>
      </c>
      <c r="AS129" s="16">
        <f t="shared" si="160"/>
        <v>2.8058126470650588</v>
      </c>
      <c r="AT129" s="16">
        <f t="shared" si="160"/>
        <v>2.8033808885994342</v>
      </c>
      <c r="AU129" s="16">
        <f t="shared" si="160"/>
        <v>3.134079964931809</v>
      </c>
      <c r="AW129" s="16">
        <f t="shared" si="28"/>
        <v>0.2635329675023288</v>
      </c>
      <c r="AX129" s="16">
        <f t="shared" si="57"/>
        <v>0.26344701880977889</v>
      </c>
      <c r="AY129" s="16">
        <f t="shared" si="58"/>
        <v>0.26095608791468949</v>
      </c>
      <c r="AZ129" s="16">
        <f t="shared" si="59"/>
        <v>0.26315710058977504</v>
      </c>
      <c r="BA129" s="16">
        <f t="shared" si="60"/>
        <v>0.25824817079583523</v>
      </c>
      <c r="BB129" s="16">
        <f t="shared" si="61"/>
        <v>0.25180895953600274</v>
      </c>
      <c r="BC129" s="16">
        <f t="shared" si="62"/>
        <v>0.24654856084627502</v>
      </c>
      <c r="BD129" s="16">
        <f t="shared" si="63"/>
        <v>0.24306483069712151</v>
      </c>
      <c r="BE129" s="16">
        <f t="shared" si="64"/>
        <v>0.27122016563511386</v>
      </c>
      <c r="BF129" s="16">
        <f t="shared" si="65"/>
        <v>0.28608348783639531</v>
      </c>
      <c r="BG129" s="16">
        <f t="shared" si="66"/>
        <v>0.54782928436093992</v>
      </c>
      <c r="BH129" s="16">
        <f t="shared" si="67"/>
        <v>0.54922167436817515</v>
      </c>
      <c r="BI129" s="16">
        <f t="shared" si="68"/>
        <v>0.52742767115439693</v>
      </c>
      <c r="BJ129" s="16">
        <f t="shared" si="69"/>
        <v>0.51551313854968195</v>
      </c>
      <c r="BK129" s="16">
        <f t="shared" si="70"/>
        <v>0.51022012189997878</v>
      </c>
      <c r="BL129" s="16">
        <f t="shared" si="71"/>
        <v>0.51661169386541894</v>
      </c>
      <c r="BM129" s="16">
        <f t="shared" si="72"/>
        <v>0.52443147040821136</v>
      </c>
      <c r="BN129" s="16">
        <f t="shared" si="73"/>
        <v>0.523918283051241</v>
      </c>
      <c r="BO129" s="16">
        <f t="shared" si="74"/>
        <v>0.51014775401182888</v>
      </c>
      <c r="BP129" s="16">
        <f t="shared" si="75"/>
        <v>0.50970561610898801</v>
      </c>
      <c r="BQ129" s="16">
        <f t="shared" si="76"/>
        <v>0.48216614845104749</v>
      </c>
      <c r="BS129" s="16">
        <f t="shared" si="30"/>
        <v>0.7905989025069865</v>
      </c>
      <c r="BT129" s="16">
        <f t="shared" si="77"/>
        <v>0.7903410564293365</v>
      </c>
      <c r="BU129" s="16">
        <f t="shared" si="78"/>
        <v>0.78286826374406837</v>
      </c>
      <c r="BV129" s="16">
        <f t="shared" si="79"/>
        <v>0.7894713017693249</v>
      </c>
      <c r="BW129" s="16">
        <f t="shared" si="80"/>
        <v>0.77474451238750563</v>
      </c>
      <c r="BX129" s="16">
        <f t="shared" si="81"/>
        <v>0.75542687860800806</v>
      </c>
      <c r="BY129" s="16">
        <f t="shared" si="82"/>
        <v>0.73964568253882501</v>
      </c>
      <c r="BZ129" s="16">
        <f t="shared" si="83"/>
        <v>0.72919449209136444</v>
      </c>
      <c r="CA129" s="16">
        <f t="shared" si="84"/>
        <v>0.81366049690534148</v>
      </c>
      <c r="CB129" s="16">
        <f t="shared" si="85"/>
        <v>1.1443339513455812</v>
      </c>
      <c r="CC129" s="16">
        <f t="shared" si="86"/>
        <v>1.0956585687218798</v>
      </c>
      <c r="CD129" s="16">
        <f t="shared" si="87"/>
        <v>1.0984433487363503</v>
      </c>
      <c r="CE129" s="16">
        <f t="shared" si="88"/>
        <v>1.0548553423087939</v>
      </c>
      <c r="CF129" s="16">
        <f t="shared" si="89"/>
        <v>1.0310262770993639</v>
      </c>
      <c r="CG129" s="16">
        <f t="shared" si="90"/>
        <v>1.0204402437999576</v>
      </c>
      <c r="CH129" s="16">
        <f t="shared" si="91"/>
        <v>0.77491754079812836</v>
      </c>
      <c r="CI129" s="16">
        <f t="shared" si="92"/>
        <v>0.78664720561231694</v>
      </c>
      <c r="CJ129" s="16">
        <f t="shared" si="93"/>
        <v>0.78587742457686149</v>
      </c>
      <c r="CK129" s="16">
        <f t="shared" si="94"/>
        <v>0.76522163101774321</v>
      </c>
      <c r="CL129" s="16">
        <f t="shared" si="95"/>
        <v>0.76455842416348196</v>
      </c>
      <c r="CM129" s="16">
        <f t="shared" si="96"/>
        <v>0.96433229690209499</v>
      </c>
      <c r="CO129" s="16">
        <f t="shared" si="32"/>
        <v>0.2635329675023288</v>
      </c>
      <c r="CP129" s="16">
        <f t="shared" si="97"/>
        <v>0.26344701880977889</v>
      </c>
      <c r="CQ129" s="16">
        <f t="shared" si="98"/>
        <v>0.26095608791468949</v>
      </c>
      <c r="CR129" s="16">
        <f t="shared" si="99"/>
        <v>0.26315710058977504</v>
      </c>
      <c r="CS129" s="16">
        <f t="shared" si="100"/>
        <v>0.25824817079583523</v>
      </c>
      <c r="CT129" s="16">
        <f t="shared" si="101"/>
        <v>0.25180895953600274</v>
      </c>
      <c r="CU129" s="16">
        <f t="shared" si="102"/>
        <v>0.24654856084627502</v>
      </c>
      <c r="CV129" s="16">
        <f t="shared" si="103"/>
        <v>0.48612966139424302</v>
      </c>
      <c r="CW129" s="16">
        <f t="shared" si="104"/>
        <v>0.54244033127022773</v>
      </c>
      <c r="CX129" s="16">
        <f t="shared" si="105"/>
        <v>0.57216697567279062</v>
      </c>
      <c r="CY129" s="16">
        <f t="shared" si="106"/>
        <v>0.54782928436093992</v>
      </c>
      <c r="CZ129" s="16">
        <f t="shared" si="107"/>
        <v>0.54922167436817515</v>
      </c>
      <c r="DA129" s="16">
        <f t="shared" si="108"/>
        <v>0.52742767115439693</v>
      </c>
      <c r="DB129" s="16">
        <f t="shared" si="109"/>
        <v>0.51551313854968195</v>
      </c>
      <c r="DC129" s="16">
        <f t="shared" si="110"/>
        <v>0.51022012189997878</v>
      </c>
      <c r="DD129" s="16">
        <f t="shared" si="111"/>
        <v>0.51661169386541894</v>
      </c>
      <c r="DE129" s="16">
        <f t="shared" si="112"/>
        <v>0.52443147040821136</v>
      </c>
      <c r="DF129" s="16">
        <f t="shared" si="113"/>
        <v>0.523918283051241</v>
      </c>
      <c r="DG129" s="16">
        <f t="shared" si="114"/>
        <v>0.25507387700591444</v>
      </c>
      <c r="DH129" s="16">
        <f t="shared" si="115"/>
        <v>0.25485280805449401</v>
      </c>
      <c r="DI129" s="16">
        <f t="shared" si="116"/>
        <v>0.48216614845104749</v>
      </c>
      <c r="EG129" s="16">
        <f t="shared" si="34"/>
        <v>0</v>
      </c>
      <c r="EH129" s="16">
        <f t="shared" si="117"/>
        <v>0</v>
      </c>
      <c r="EI129" s="16">
        <f t="shared" si="118"/>
        <v>0</v>
      </c>
      <c r="EJ129" s="16">
        <f t="shared" si="119"/>
        <v>0</v>
      </c>
      <c r="EK129" s="16">
        <f t="shared" si="120"/>
        <v>0.25824817079583523</v>
      </c>
      <c r="EL129" s="16">
        <f t="shared" si="121"/>
        <v>0</v>
      </c>
      <c r="EM129" s="16">
        <f t="shared" si="122"/>
        <v>0</v>
      </c>
      <c r="EN129" s="16">
        <f t="shared" si="123"/>
        <v>0</v>
      </c>
      <c r="EO129" s="16">
        <f t="shared" si="124"/>
        <v>0</v>
      </c>
      <c r="EP129" s="16">
        <f t="shared" si="125"/>
        <v>0</v>
      </c>
      <c r="EQ129" s="16">
        <f t="shared" si="126"/>
        <v>0</v>
      </c>
      <c r="ER129" s="16">
        <f t="shared" si="127"/>
        <v>0</v>
      </c>
      <c r="ES129" s="16">
        <f t="shared" si="128"/>
        <v>0</v>
      </c>
      <c r="ET129" s="16">
        <f t="shared" si="129"/>
        <v>0</v>
      </c>
      <c r="EU129" s="16">
        <f t="shared" si="130"/>
        <v>0</v>
      </c>
      <c r="EV129" s="16">
        <f t="shared" si="131"/>
        <v>0</v>
      </c>
      <c r="EW129" s="16">
        <f t="shared" si="132"/>
        <v>0</v>
      </c>
      <c r="EX129" s="16">
        <f t="shared" si="133"/>
        <v>0</v>
      </c>
      <c r="EY129" s="16">
        <f t="shared" si="134"/>
        <v>0</v>
      </c>
      <c r="EZ129" s="16">
        <f t="shared" si="135"/>
        <v>0</v>
      </c>
      <c r="FA129" s="16">
        <f t="shared" si="136"/>
        <v>0</v>
      </c>
    </row>
    <row r="130" spans="1:157">
      <c r="A130" t="s">
        <v>52</v>
      </c>
      <c r="B130" t="s">
        <v>462</v>
      </c>
      <c r="C130" t="s">
        <v>2085</v>
      </c>
      <c r="D130" s="16">
        <f t="shared" si="151"/>
        <v>2.1686904315196998</v>
      </c>
      <c r="E130" s="16">
        <f t="shared" si="36"/>
        <v>2.4496124089349149</v>
      </c>
      <c r="F130" s="16">
        <f t="shared" si="37"/>
        <v>2.5363553766791567</v>
      </c>
      <c r="G130" s="16">
        <f t="shared" si="38"/>
        <v>2.5195456435402241</v>
      </c>
      <c r="H130" s="16">
        <f t="shared" si="39"/>
        <v>2.5153804607916865</v>
      </c>
      <c r="I130" s="16">
        <f t="shared" si="40"/>
        <v>2.4477214913407681</v>
      </c>
      <c r="J130" s="16">
        <f t="shared" si="41"/>
        <v>2.4905158182208722</v>
      </c>
      <c r="K130" s="16">
        <f t="shared" si="42"/>
        <v>2.5165368470149252</v>
      </c>
      <c r="L130" s="16">
        <f t="shared" si="43"/>
        <v>2.5533589671269619</v>
      </c>
      <c r="M130" s="16">
        <f t="shared" si="44"/>
        <v>2.5750370528462518</v>
      </c>
      <c r="N130" s="16">
        <f t="shared" si="45"/>
        <v>2.6374332218708663</v>
      </c>
      <c r="O130" s="16">
        <f t="shared" si="46"/>
        <v>2.6866628229932976</v>
      </c>
      <c r="P130" s="16">
        <f t="shared" si="47"/>
        <v>2.8700118846151739</v>
      </c>
      <c r="Q130" s="16">
        <f t="shared" si="48"/>
        <v>2.6455449497718839</v>
      </c>
      <c r="R130" s="16">
        <f t="shared" si="49"/>
        <v>2.7002606334276678</v>
      </c>
      <c r="S130" s="16">
        <f t="shared" si="50"/>
        <v>2.6863509816855502</v>
      </c>
      <c r="T130" s="16">
        <f t="shared" si="51"/>
        <v>2.6113383956722922</v>
      </c>
      <c r="U130" s="16">
        <f t="shared" si="52"/>
        <v>2.6181312676080868</v>
      </c>
      <c r="V130" s="16">
        <f t="shared" si="53"/>
        <v>2.6212214097493955</v>
      </c>
      <c r="W130" s="16">
        <f t="shared" si="54"/>
        <v>2.6737916118494742</v>
      </c>
      <c r="X130" s="15">
        <f t="shared" si="55"/>
        <v>2.8794447445800326</v>
      </c>
      <c r="Y130" s="88"/>
      <c r="AA130" s="16" t="e">
        <f t="shared" ref="AA130:AU130" si="161">AA31/AA64*100</f>
        <v>#VALUE!</v>
      </c>
      <c r="AB130" s="16">
        <f t="shared" si="161"/>
        <v>1.1305903425853452</v>
      </c>
      <c r="AC130" s="16">
        <f t="shared" si="161"/>
        <v>1.1706255584673031</v>
      </c>
      <c r="AD130" s="16">
        <f t="shared" si="161"/>
        <v>1.1628672200954882</v>
      </c>
      <c r="AE130" s="16">
        <f t="shared" si="161"/>
        <v>1.1609448280577015</v>
      </c>
      <c r="AF130" s="16">
        <f t="shared" si="161"/>
        <v>1.1297176113880467</v>
      </c>
      <c r="AG130" s="16">
        <f t="shared" si="161"/>
        <v>1.1494688391788639</v>
      </c>
      <c r="AH130" s="16">
        <f t="shared" si="161"/>
        <v>1.1614785447761193</v>
      </c>
      <c r="AI130" s="16">
        <f t="shared" si="161"/>
        <v>1.1784733694432132</v>
      </c>
      <c r="AJ130" s="16">
        <f t="shared" si="161"/>
        <v>1.1884786397751932</v>
      </c>
      <c r="AK130" s="16">
        <f t="shared" si="161"/>
        <v>1.2172768716327074</v>
      </c>
      <c r="AL130" s="16">
        <f t="shared" si="161"/>
        <v>1.2399982259969065</v>
      </c>
      <c r="AM130" s="16">
        <f t="shared" si="161"/>
        <v>1.2300050934065032</v>
      </c>
      <c r="AN130" s="16">
        <f t="shared" si="161"/>
        <v>1.2210207460485618</v>
      </c>
      <c r="AO130" s="16">
        <f t="shared" si="161"/>
        <v>1.2462741385050773</v>
      </c>
      <c r="AP130" s="16">
        <f t="shared" si="161"/>
        <v>1.2398542992394845</v>
      </c>
      <c r="AQ130" s="16">
        <f t="shared" si="161"/>
        <v>1.2052331056949039</v>
      </c>
      <c r="AR130" s="16">
        <f t="shared" si="161"/>
        <v>1.2083682773575783</v>
      </c>
      <c r="AS130" s="16">
        <f t="shared" si="161"/>
        <v>1.2097944968074132</v>
      </c>
      <c r="AT130" s="16">
        <f t="shared" si="161"/>
        <v>1.2340576670074497</v>
      </c>
      <c r="AU130" s="16">
        <f t="shared" si="161"/>
        <v>1.4397223722900163</v>
      </c>
      <c r="AW130" s="16" t="e">
        <f t="shared" si="28"/>
        <v>#VALUE!</v>
      </c>
      <c r="AX130" s="16">
        <f t="shared" si="57"/>
        <v>0.56529517129267259</v>
      </c>
      <c r="AY130" s="16">
        <f t="shared" si="58"/>
        <v>0.58531277923365155</v>
      </c>
      <c r="AZ130" s="16">
        <f t="shared" si="59"/>
        <v>0.58143361004774408</v>
      </c>
      <c r="BA130" s="16">
        <f t="shared" si="60"/>
        <v>0.3869816093525672</v>
      </c>
      <c r="BB130" s="16">
        <f t="shared" si="61"/>
        <v>0.37657253712934896</v>
      </c>
      <c r="BC130" s="16">
        <f t="shared" si="62"/>
        <v>0.38315627972628802</v>
      </c>
      <c r="BD130" s="16">
        <f t="shared" si="63"/>
        <v>0.38715951492537315</v>
      </c>
      <c r="BE130" s="16">
        <f t="shared" si="64"/>
        <v>0.39282445648107112</v>
      </c>
      <c r="BF130" s="16">
        <f t="shared" si="65"/>
        <v>0.39615954659173108</v>
      </c>
      <c r="BG130" s="16">
        <f t="shared" si="66"/>
        <v>0.40575895721090255</v>
      </c>
      <c r="BH130" s="16">
        <f t="shared" si="67"/>
        <v>0.41333274199896891</v>
      </c>
      <c r="BI130" s="16">
        <f t="shared" si="68"/>
        <v>0.41000169780216783</v>
      </c>
      <c r="BJ130" s="16">
        <f t="shared" si="69"/>
        <v>0.4070069153495206</v>
      </c>
      <c r="BK130" s="16">
        <f t="shared" si="70"/>
        <v>0.4154247128350258</v>
      </c>
      <c r="BL130" s="16">
        <f t="shared" si="71"/>
        <v>0.41328476641316153</v>
      </c>
      <c r="BM130" s="16">
        <f t="shared" si="72"/>
        <v>0.40174436856496804</v>
      </c>
      <c r="BN130" s="16">
        <f t="shared" si="73"/>
        <v>0.40278942578585952</v>
      </c>
      <c r="BO130" s="16">
        <f t="shared" si="74"/>
        <v>0.40326483226913779</v>
      </c>
      <c r="BP130" s="16">
        <f t="shared" si="75"/>
        <v>0.41135255566914991</v>
      </c>
      <c r="BQ130" s="16">
        <f t="shared" si="76"/>
        <v>0.41134924922571897</v>
      </c>
      <c r="BS130" s="16" t="e">
        <f t="shared" si="30"/>
        <v>#VALUE!</v>
      </c>
      <c r="BT130" s="16">
        <f t="shared" si="77"/>
        <v>0.56529517129267259</v>
      </c>
      <c r="BU130" s="16">
        <f t="shared" si="78"/>
        <v>0.58531277923365155</v>
      </c>
      <c r="BV130" s="16">
        <f t="shared" si="79"/>
        <v>0.58143361004774408</v>
      </c>
      <c r="BW130" s="16">
        <f t="shared" si="80"/>
        <v>0.58047241402885075</v>
      </c>
      <c r="BX130" s="16">
        <f t="shared" si="81"/>
        <v>0.37657253712934896</v>
      </c>
      <c r="BY130" s="16">
        <f t="shared" si="82"/>
        <v>0.57473441958943194</v>
      </c>
      <c r="BZ130" s="16">
        <f t="shared" si="83"/>
        <v>0.58073927238805967</v>
      </c>
      <c r="CA130" s="16">
        <f t="shared" si="84"/>
        <v>0.58923668472160662</v>
      </c>
      <c r="CB130" s="16">
        <f t="shared" si="85"/>
        <v>0.5942393198875966</v>
      </c>
      <c r="CC130" s="16">
        <f t="shared" si="86"/>
        <v>0.60863843581635368</v>
      </c>
      <c r="CD130" s="16">
        <f t="shared" si="87"/>
        <v>0.61999911299845323</v>
      </c>
      <c r="CE130" s="16">
        <f t="shared" si="88"/>
        <v>0.61500254670325161</v>
      </c>
      <c r="CF130" s="16">
        <f t="shared" si="89"/>
        <v>0.61051037302428091</v>
      </c>
      <c r="CG130" s="16">
        <f t="shared" si="90"/>
        <v>0.62313706925253864</v>
      </c>
      <c r="CH130" s="16">
        <f t="shared" si="91"/>
        <v>0.61992714961974227</v>
      </c>
      <c r="CI130" s="16">
        <f t="shared" si="92"/>
        <v>0.60261655284745197</v>
      </c>
      <c r="CJ130" s="16">
        <f t="shared" si="93"/>
        <v>0.60418413867878917</v>
      </c>
      <c r="CK130" s="16">
        <f t="shared" si="94"/>
        <v>0.60489724840370662</v>
      </c>
      <c r="CL130" s="16">
        <f t="shared" si="95"/>
        <v>0.61702883350372484</v>
      </c>
      <c r="CM130" s="16">
        <f t="shared" si="96"/>
        <v>0.61702387383857837</v>
      </c>
      <c r="CO130" s="16" t="e">
        <f t="shared" si="32"/>
        <v>#VALUE!</v>
      </c>
      <c r="CP130" s="16">
        <f t="shared" si="97"/>
        <v>0.37686344752844841</v>
      </c>
      <c r="CQ130" s="16">
        <f t="shared" si="98"/>
        <v>0.39020851948910107</v>
      </c>
      <c r="CR130" s="16">
        <f t="shared" si="99"/>
        <v>0.38762240669849607</v>
      </c>
      <c r="CS130" s="16">
        <f t="shared" si="100"/>
        <v>0.3869816093525672</v>
      </c>
      <c r="CT130" s="16">
        <f t="shared" si="101"/>
        <v>0.37657253712934896</v>
      </c>
      <c r="CU130" s="16">
        <f t="shared" si="102"/>
        <v>0.38315627972628802</v>
      </c>
      <c r="CV130" s="16">
        <f t="shared" si="103"/>
        <v>0.38715951492537315</v>
      </c>
      <c r="CW130" s="16">
        <f t="shared" si="104"/>
        <v>0.39282445648107112</v>
      </c>
      <c r="CX130" s="16">
        <f t="shared" si="105"/>
        <v>0.39615954659173108</v>
      </c>
      <c r="CY130" s="16">
        <f t="shared" si="106"/>
        <v>0.40575895721090255</v>
      </c>
      <c r="CZ130" s="16">
        <f t="shared" si="107"/>
        <v>0.41333274199896891</v>
      </c>
      <c r="DA130" s="16">
        <f t="shared" si="108"/>
        <v>0.41000169780216783</v>
      </c>
      <c r="DB130" s="16">
        <f t="shared" si="109"/>
        <v>0.4070069153495206</v>
      </c>
      <c r="DC130" s="16">
        <f t="shared" si="110"/>
        <v>0.4154247128350258</v>
      </c>
      <c r="DD130" s="16">
        <f t="shared" si="111"/>
        <v>0.41328476641316153</v>
      </c>
      <c r="DE130" s="16">
        <f t="shared" si="112"/>
        <v>0.40174436856496804</v>
      </c>
      <c r="DF130" s="16">
        <f t="shared" si="113"/>
        <v>0.40278942578585952</v>
      </c>
      <c r="DG130" s="16">
        <f t="shared" si="114"/>
        <v>0.40326483226913779</v>
      </c>
      <c r="DH130" s="16">
        <f t="shared" si="115"/>
        <v>0.41135255566914991</v>
      </c>
      <c r="DI130" s="16">
        <f t="shared" si="116"/>
        <v>0.41134924922571897</v>
      </c>
      <c r="EG130" s="16" t="e">
        <f t="shared" si="34"/>
        <v>#VALUE!</v>
      </c>
      <c r="EH130" s="16">
        <f t="shared" si="117"/>
        <v>0</v>
      </c>
      <c r="EI130" s="16">
        <f t="shared" si="118"/>
        <v>0</v>
      </c>
      <c r="EJ130" s="16">
        <f t="shared" si="119"/>
        <v>0</v>
      </c>
      <c r="EK130" s="16">
        <f t="shared" si="120"/>
        <v>0</v>
      </c>
      <c r="EL130" s="16">
        <f t="shared" si="121"/>
        <v>0</v>
      </c>
      <c r="EM130" s="16">
        <f t="shared" si="122"/>
        <v>0</v>
      </c>
      <c r="EN130" s="16">
        <f t="shared" si="123"/>
        <v>0</v>
      </c>
      <c r="EO130" s="16">
        <f t="shared" si="124"/>
        <v>0</v>
      </c>
      <c r="EP130" s="16">
        <f t="shared" si="125"/>
        <v>0</v>
      </c>
      <c r="EQ130" s="16">
        <f t="shared" si="126"/>
        <v>0</v>
      </c>
      <c r="ER130" s="16">
        <f t="shared" si="127"/>
        <v>0</v>
      </c>
      <c r="ES130" s="16">
        <f t="shared" si="128"/>
        <v>0</v>
      </c>
      <c r="ET130" s="16">
        <f t="shared" si="129"/>
        <v>0</v>
      </c>
      <c r="EU130" s="16">
        <f t="shared" si="130"/>
        <v>0</v>
      </c>
      <c r="EV130" s="16">
        <f t="shared" si="131"/>
        <v>0</v>
      </c>
      <c r="EW130" s="16">
        <f t="shared" si="132"/>
        <v>0</v>
      </c>
      <c r="EX130" s="16">
        <f t="shared" si="133"/>
        <v>0</v>
      </c>
      <c r="EY130" s="16">
        <f t="shared" si="134"/>
        <v>0</v>
      </c>
      <c r="EZ130" s="16">
        <f t="shared" si="135"/>
        <v>0</v>
      </c>
      <c r="FA130" s="16">
        <f t="shared" si="136"/>
        <v>0</v>
      </c>
    </row>
    <row r="131" spans="1:157">
      <c r="A131" t="s">
        <v>67</v>
      </c>
      <c r="B131" t="s">
        <v>469</v>
      </c>
      <c r="C131" t="s">
        <v>2085</v>
      </c>
      <c r="D131" s="16">
        <f t="shared" si="151"/>
        <v>4.3161652590732702</v>
      </c>
      <c r="E131" s="16">
        <f t="shared" si="36"/>
        <v>4.414547604967475</v>
      </c>
      <c r="F131" s="16">
        <f t="shared" si="37"/>
        <v>4.6537300519130937</v>
      </c>
      <c r="G131" s="16">
        <f t="shared" si="38"/>
        <v>4.7220667425836211</v>
      </c>
      <c r="H131" s="16">
        <f t="shared" si="39"/>
        <v>4.7568198845357195</v>
      </c>
      <c r="I131" s="16">
        <f t="shared" si="40"/>
        <v>4.7477613746369798</v>
      </c>
      <c r="J131" s="16">
        <f t="shared" si="41"/>
        <v>4.4833434038267868</v>
      </c>
      <c r="K131" s="16">
        <f t="shared" si="42"/>
        <v>4.5396946773655387</v>
      </c>
      <c r="L131" s="16">
        <f t="shared" si="43"/>
        <v>4.4125758101733679</v>
      </c>
      <c r="M131" s="16">
        <f t="shared" si="44"/>
        <v>4.6865873987713655</v>
      </c>
      <c r="N131" s="16">
        <f t="shared" si="45"/>
        <v>4.436953475477595</v>
      </c>
      <c r="O131" s="16">
        <f t="shared" si="46"/>
        <v>4.7069702533969897</v>
      </c>
      <c r="P131" s="16">
        <f t="shared" si="47"/>
        <v>4.7441320043260937</v>
      </c>
      <c r="Q131" s="16">
        <f t="shared" si="48"/>
        <v>4.7156237516406998</v>
      </c>
      <c r="R131" s="16">
        <f t="shared" si="49"/>
        <v>4.7497412422255056</v>
      </c>
      <c r="S131" s="16">
        <f t="shared" si="50"/>
        <v>4.9033496294818191</v>
      </c>
      <c r="T131" s="16">
        <f t="shared" si="51"/>
        <v>4.6415188913123</v>
      </c>
      <c r="U131" s="16">
        <f t="shared" si="52"/>
        <v>4.5275270659979725</v>
      </c>
      <c r="V131" s="16">
        <f t="shared" si="53"/>
        <v>4.6067730001664131</v>
      </c>
      <c r="W131" s="16">
        <f t="shared" si="54"/>
        <v>4.5722589588210418</v>
      </c>
      <c r="X131" s="15">
        <f t="shared" si="55"/>
        <v>4.7533260100085437</v>
      </c>
      <c r="Y131" s="88"/>
      <c r="AA131" s="16">
        <f t="shared" ref="AA131:AU131" si="162">AA32/AA65*100</f>
        <v>1.8497851110314016</v>
      </c>
      <c r="AB131" s="16">
        <f t="shared" si="162"/>
        <v>1.891948973557489</v>
      </c>
      <c r="AC131" s="16">
        <f t="shared" si="162"/>
        <v>1.8614920207652375</v>
      </c>
      <c r="AD131" s="16">
        <f t="shared" si="162"/>
        <v>1.8888266970334486</v>
      </c>
      <c r="AE131" s="16">
        <f t="shared" si="162"/>
        <v>1.9027279538142876</v>
      </c>
      <c r="AF131" s="16">
        <f t="shared" si="162"/>
        <v>1.8991045498547916</v>
      </c>
      <c r="AG131" s="16">
        <f t="shared" si="162"/>
        <v>1.9214328873543371</v>
      </c>
      <c r="AH131" s="16">
        <f t="shared" si="162"/>
        <v>1.9455834331566593</v>
      </c>
      <c r="AI131" s="16">
        <f t="shared" si="162"/>
        <v>1.8911039186457292</v>
      </c>
      <c r="AJ131" s="16">
        <f t="shared" si="162"/>
        <v>1.8746349595085463</v>
      </c>
      <c r="AK131" s="16">
        <f t="shared" si="162"/>
        <v>1.9015514894903982</v>
      </c>
      <c r="AL131" s="16">
        <f t="shared" si="162"/>
        <v>1.8827881013587955</v>
      </c>
      <c r="AM131" s="16">
        <f t="shared" si="162"/>
        <v>1.8976528017304377</v>
      </c>
      <c r="AN131" s="16">
        <f t="shared" si="162"/>
        <v>1.8862495006562798</v>
      </c>
      <c r="AO131" s="16">
        <f t="shared" si="162"/>
        <v>1.8998964968902017</v>
      </c>
      <c r="AP131" s="16">
        <f t="shared" si="162"/>
        <v>1.838756111055682</v>
      </c>
      <c r="AQ131" s="16">
        <f t="shared" si="162"/>
        <v>1.85660755652492</v>
      </c>
      <c r="AR131" s="16">
        <f t="shared" si="162"/>
        <v>1.8110108263991891</v>
      </c>
      <c r="AS131" s="16">
        <f t="shared" si="162"/>
        <v>1.842709200066565</v>
      </c>
      <c r="AT131" s="16">
        <f t="shared" si="162"/>
        <v>1.8289035835284166</v>
      </c>
      <c r="AU131" s="16">
        <f t="shared" si="162"/>
        <v>2.0795801293787375</v>
      </c>
      <c r="AW131" s="16">
        <f t="shared" si="28"/>
        <v>0.30829751850523363</v>
      </c>
      <c r="AX131" s="16">
        <f t="shared" si="57"/>
        <v>0.31532482892624819</v>
      </c>
      <c r="AY131" s="16">
        <f t="shared" si="58"/>
        <v>0.31024867012753959</v>
      </c>
      <c r="AZ131" s="16">
        <f t="shared" si="59"/>
        <v>0.31480444950557479</v>
      </c>
      <c r="BA131" s="16">
        <f t="shared" si="60"/>
        <v>0.31712132563571466</v>
      </c>
      <c r="BB131" s="16">
        <f t="shared" si="61"/>
        <v>0.31651742497579866</v>
      </c>
      <c r="BC131" s="16">
        <f t="shared" si="62"/>
        <v>0.32023881455905628</v>
      </c>
      <c r="BD131" s="16">
        <f t="shared" si="63"/>
        <v>0.32426390552610995</v>
      </c>
      <c r="BE131" s="16">
        <f t="shared" si="64"/>
        <v>0.31518398644095491</v>
      </c>
      <c r="BF131" s="16">
        <f t="shared" si="65"/>
        <v>0.31243915991809101</v>
      </c>
      <c r="BG131" s="16">
        <f t="shared" si="66"/>
        <v>0.31692524824839974</v>
      </c>
      <c r="BH131" s="16">
        <f t="shared" si="67"/>
        <v>0.31379801689313264</v>
      </c>
      <c r="BI131" s="16">
        <f t="shared" si="68"/>
        <v>0.31627546695507291</v>
      </c>
      <c r="BJ131" s="16">
        <f t="shared" si="69"/>
        <v>0.31437491677604668</v>
      </c>
      <c r="BK131" s="16">
        <f t="shared" si="70"/>
        <v>0.31664941614836706</v>
      </c>
      <c r="BL131" s="16">
        <f t="shared" si="71"/>
        <v>0.30645935184261369</v>
      </c>
      <c r="BM131" s="16">
        <f t="shared" si="72"/>
        <v>0.30943459275415336</v>
      </c>
      <c r="BN131" s="16">
        <f t="shared" si="73"/>
        <v>0.3018351377331982</v>
      </c>
      <c r="BO131" s="16">
        <f t="shared" si="74"/>
        <v>0.30711820001109419</v>
      </c>
      <c r="BP131" s="16">
        <f t="shared" si="75"/>
        <v>0.30481726392140279</v>
      </c>
      <c r="BQ131" s="16">
        <f t="shared" si="76"/>
        <v>0.29708287562553398</v>
      </c>
      <c r="BS131" s="16">
        <f t="shared" si="30"/>
        <v>0.61659503701046725</v>
      </c>
      <c r="BT131" s="16">
        <f t="shared" si="77"/>
        <v>0.63064965785249638</v>
      </c>
      <c r="BU131" s="16">
        <f t="shared" si="78"/>
        <v>0.93074601038261873</v>
      </c>
      <c r="BV131" s="16">
        <f t="shared" si="79"/>
        <v>0.94441334851672432</v>
      </c>
      <c r="BW131" s="16">
        <f t="shared" si="80"/>
        <v>0.9513639769071438</v>
      </c>
      <c r="BX131" s="16">
        <f t="shared" si="81"/>
        <v>0.9495522749273958</v>
      </c>
      <c r="BY131" s="16">
        <f t="shared" si="82"/>
        <v>0.96071644367716857</v>
      </c>
      <c r="BZ131" s="16">
        <f t="shared" si="83"/>
        <v>0.97279171657832963</v>
      </c>
      <c r="CA131" s="16">
        <f t="shared" si="84"/>
        <v>0.63036797288190982</v>
      </c>
      <c r="CB131" s="16">
        <f t="shared" si="85"/>
        <v>0.93731747975427315</v>
      </c>
      <c r="CC131" s="16">
        <f t="shared" si="86"/>
        <v>0.9507757447451991</v>
      </c>
      <c r="CD131" s="16">
        <f t="shared" si="87"/>
        <v>0.94139405067939774</v>
      </c>
      <c r="CE131" s="16">
        <f t="shared" si="88"/>
        <v>0.94882640086521886</v>
      </c>
      <c r="CF131" s="16">
        <f t="shared" si="89"/>
        <v>0.94312475032813992</v>
      </c>
      <c r="CG131" s="16">
        <f t="shared" si="90"/>
        <v>0.94994824844510084</v>
      </c>
      <c r="CH131" s="16">
        <f t="shared" si="91"/>
        <v>0.91937805552784102</v>
      </c>
      <c r="CI131" s="16">
        <f t="shared" si="92"/>
        <v>0.92830377826246002</v>
      </c>
      <c r="CJ131" s="16">
        <f t="shared" si="93"/>
        <v>0.90550541319959454</v>
      </c>
      <c r="CK131" s="16">
        <f t="shared" si="94"/>
        <v>0.92135460003328251</v>
      </c>
      <c r="CL131" s="16">
        <f t="shared" si="95"/>
        <v>0.91445179176420832</v>
      </c>
      <c r="CM131" s="16">
        <f t="shared" si="96"/>
        <v>0.89124862687660189</v>
      </c>
      <c r="CO131" s="16">
        <f t="shared" si="32"/>
        <v>0.30829751850523363</v>
      </c>
      <c r="CP131" s="16">
        <f t="shared" si="97"/>
        <v>0.63064965785249638</v>
      </c>
      <c r="CQ131" s="16">
        <f t="shared" si="98"/>
        <v>0.62049734025507919</v>
      </c>
      <c r="CR131" s="16">
        <f t="shared" si="99"/>
        <v>0.62960889901114958</v>
      </c>
      <c r="CS131" s="16">
        <f t="shared" si="100"/>
        <v>0.63424265127142931</v>
      </c>
      <c r="CT131" s="16">
        <f t="shared" si="101"/>
        <v>0.63303484995159731</v>
      </c>
      <c r="CU131" s="16">
        <f t="shared" si="102"/>
        <v>0.32023881455905628</v>
      </c>
      <c r="CV131" s="16">
        <f t="shared" si="103"/>
        <v>0.32426390552610995</v>
      </c>
      <c r="CW131" s="16">
        <f t="shared" si="104"/>
        <v>0.31518398644095491</v>
      </c>
      <c r="CX131" s="16">
        <f t="shared" si="105"/>
        <v>0.31243915991809101</v>
      </c>
      <c r="CY131" s="16">
        <f t="shared" si="106"/>
        <v>0.31692524824839974</v>
      </c>
      <c r="CZ131" s="16">
        <f t="shared" si="107"/>
        <v>0.62759603378626527</v>
      </c>
      <c r="DA131" s="16">
        <f t="shared" si="108"/>
        <v>0.63255093391014583</v>
      </c>
      <c r="DB131" s="16">
        <f t="shared" si="109"/>
        <v>0.62874983355209335</v>
      </c>
      <c r="DC131" s="16">
        <f t="shared" si="110"/>
        <v>0.63329883229673412</v>
      </c>
      <c r="DD131" s="16">
        <f t="shared" si="111"/>
        <v>0.61291870368522738</v>
      </c>
      <c r="DE131" s="16">
        <f t="shared" si="112"/>
        <v>0.61886918550830672</v>
      </c>
      <c r="DF131" s="16">
        <f t="shared" si="113"/>
        <v>0.6036702754663964</v>
      </c>
      <c r="DG131" s="16">
        <f t="shared" si="114"/>
        <v>0.61423640002218838</v>
      </c>
      <c r="DH131" s="16">
        <f t="shared" si="115"/>
        <v>0.60963452784280558</v>
      </c>
      <c r="DI131" s="16">
        <f t="shared" si="116"/>
        <v>0.59416575125106796</v>
      </c>
      <c r="EG131" s="16">
        <f t="shared" si="34"/>
        <v>0.92489255551570082</v>
      </c>
      <c r="EH131" s="16">
        <f t="shared" si="117"/>
        <v>0.94597448677874452</v>
      </c>
      <c r="EI131" s="16">
        <f t="shared" si="118"/>
        <v>0.93074601038261873</v>
      </c>
      <c r="EJ131" s="16">
        <f t="shared" si="119"/>
        <v>1.2592177980222992</v>
      </c>
      <c r="EK131" s="16">
        <f t="shared" si="120"/>
        <v>0.9513639769071438</v>
      </c>
      <c r="EL131" s="16">
        <f t="shared" si="121"/>
        <v>0.9495522749273958</v>
      </c>
      <c r="EM131" s="16">
        <f t="shared" si="122"/>
        <v>0.96071644367716857</v>
      </c>
      <c r="EN131" s="16">
        <f t="shared" si="123"/>
        <v>0.97279171657832963</v>
      </c>
      <c r="EO131" s="16">
        <f t="shared" si="124"/>
        <v>0.94555195932286462</v>
      </c>
      <c r="EP131" s="16">
        <f t="shared" si="125"/>
        <v>0.93731747975427315</v>
      </c>
      <c r="EQ131" s="16">
        <f t="shared" si="126"/>
        <v>0.9507757447451991</v>
      </c>
      <c r="ER131" s="16">
        <f t="shared" si="127"/>
        <v>0.94139405067939774</v>
      </c>
      <c r="ES131" s="16">
        <f t="shared" si="128"/>
        <v>0.94882640086521886</v>
      </c>
      <c r="ET131" s="16">
        <f t="shared" si="129"/>
        <v>0.94312475032813992</v>
      </c>
      <c r="EU131" s="16">
        <f t="shared" si="130"/>
        <v>0.94994824844510084</v>
      </c>
      <c r="EV131" s="16">
        <f t="shared" si="131"/>
        <v>0.91937805552784102</v>
      </c>
      <c r="EW131" s="16">
        <f t="shared" si="132"/>
        <v>0.92830377826246002</v>
      </c>
      <c r="EX131" s="16">
        <f t="shared" si="133"/>
        <v>0.90550541319959454</v>
      </c>
      <c r="EY131" s="16">
        <f t="shared" si="134"/>
        <v>0.92135460003328251</v>
      </c>
      <c r="EZ131" s="16">
        <f t="shared" si="135"/>
        <v>0.91445179176420832</v>
      </c>
      <c r="FA131" s="16">
        <f t="shared" si="136"/>
        <v>0.89124862687660189</v>
      </c>
    </row>
    <row r="132" spans="1:157">
      <c r="A132" t="s">
        <v>72</v>
      </c>
      <c r="B132" t="s">
        <v>454</v>
      </c>
      <c r="C132" t="s">
        <v>2085</v>
      </c>
      <c r="D132" s="16">
        <f t="shared" si="151"/>
        <v>5.6592643729086856</v>
      </c>
      <c r="E132" s="16">
        <f t="shared" si="36"/>
        <v>5.724525805028672</v>
      </c>
      <c r="F132" s="16">
        <f t="shared" si="37"/>
        <v>6.1797779475350989</v>
      </c>
      <c r="G132" s="16">
        <f t="shared" si="38"/>
        <v>6.4786761870259797</v>
      </c>
      <c r="H132" s="16">
        <f t="shared" si="39"/>
        <v>6.5980356225046792</v>
      </c>
      <c r="I132" s="16">
        <f t="shared" si="40"/>
        <v>6.5235553502095351</v>
      </c>
      <c r="J132" s="16">
        <f t="shared" si="41"/>
        <v>6.4827759963353184</v>
      </c>
      <c r="K132" s="16">
        <f t="shared" si="42"/>
        <v>6.4362687576044335</v>
      </c>
      <c r="L132" s="16">
        <f t="shared" si="43"/>
        <v>6.4508588280080907</v>
      </c>
      <c r="M132" s="16">
        <f t="shared" si="44"/>
        <v>7.2743852987453703</v>
      </c>
      <c r="N132" s="16">
        <f t="shared" si="45"/>
        <v>6.7785421845683276</v>
      </c>
      <c r="O132" s="16">
        <f t="shared" si="46"/>
        <v>6.118630317265966</v>
      </c>
      <c r="P132" s="16">
        <f t="shared" si="47"/>
        <v>6.1267679006513438</v>
      </c>
      <c r="Q132" s="16">
        <f t="shared" si="48"/>
        <v>5.519759159273784</v>
      </c>
      <c r="R132" s="16">
        <f t="shared" si="49"/>
        <v>5.3655079819499258</v>
      </c>
      <c r="S132" s="16">
        <f t="shared" si="50"/>
        <v>5.3542212430230842</v>
      </c>
      <c r="T132" s="16">
        <f t="shared" si="51"/>
        <v>5.0178765945446804</v>
      </c>
      <c r="U132" s="16">
        <f t="shared" si="52"/>
        <v>4.9408928248878929</v>
      </c>
      <c r="V132" s="16">
        <f t="shared" si="53"/>
        <v>4.9614934106777957</v>
      </c>
      <c r="W132" s="16">
        <f t="shared" si="54"/>
        <v>4.9946774348336431</v>
      </c>
      <c r="X132" s="15">
        <f t="shared" si="55"/>
        <v>5.5309052234669567</v>
      </c>
      <c r="Y132" s="88"/>
      <c r="AA132" s="16">
        <f t="shared" ref="AA132:AU132" si="163">AA33/AA66*100</f>
        <v>2.8296321864543428</v>
      </c>
      <c r="AB132" s="16">
        <f t="shared" si="163"/>
        <v>3.1484891927657697</v>
      </c>
      <c r="AC132" s="16">
        <f t="shared" si="163"/>
        <v>3.5313016843057703</v>
      </c>
      <c r="AD132" s="16">
        <f t="shared" si="163"/>
        <v>3.5338233747414427</v>
      </c>
      <c r="AE132" s="16">
        <f t="shared" si="163"/>
        <v>3.7293244822852532</v>
      </c>
      <c r="AF132" s="16">
        <f t="shared" si="163"/>
        <v>3.6872269370749549</v>
      </c>
      <c r="AG132" s="16">
        <f t="shared" si="163"/>
        <v>3.3823179111314707</v>
      </c>
      <c r="AH132" s="16">
        <f t="shared" si="163"/>
        <v>3.6378910369068547</v>
      </c>
      <c r="AI132" s="16">
        <f t="shared" si="163"/>
        <v>3.3656654754824822</v>
      </c>
      <c r="AJ132" s="16">
        <f t="shared" si="163"/>
        <v>4.0736557672974065</v>
      </c>
      <c r="AK132" s="16">
        <f t="shared" si="163"/>
        <v>3.6717103499745107</v>
      </c>
      <c r="AL132" s="16">
        <f t="shared" si="163"/>
        <v>3.3374347185087085</v>
      </c>
      <c r="AM132" s="16">
        <f t="shared" si="163"/>
        <v>3.3418734003552784</v>
      </c>
      <c r="AN132" s="16">
        <f t="shared" si="163"/>
        <v>3.0358675376005815</v>
      </c>
      <c r="AO132" s="16">
        <f t="shared" si="163"/>
        <v>2.8239515694473289</v>
      </c>
      <c r="AP132" s="16">
        <f t="shared" si="163"/>
        <v>2.8180111805384653</v>
      </c>
      <c r="AQ132" s="16">
        <f t="shared" si="163"/>
        <v>2.7877092191914894</v>
      </c>
      <c r="AR132" s="16">
        <f t="shared" si="163"/>
        <v>2.7449404582710515</v>
      </c>
      <c r="AS132" s="16">
        <f t="shared" si="163"/>
        <v>2.7563852281543313</v>
      </c>
      <c r="AT132" s="16">
        <f t="shared" si="163"/>
        <v>2.7748207971298018</v>
      </c>
      <c r="AU132" s="16">
        <f t="shared" si="163"/>
        <v>3.0419978729068262</v>
      </c>
      <c r="AW132" s="16">
        <f t="shared" si="28"/>
        <v>0.56592643729086867</v>
      </c>
      <c r="AX132" s="16">
        <f t="shared" si="57"/>
        <v>0.57245258050286718</v>
      </c>
      <c r="AY132" s="16">
        <f t="shared" si="58"/>
        <v>0.58855028071762838</v>
      </c>
      <c r="AZ132" s="16">
        <f t="shared" si="59"/>
        <v>0.58897056245690727</v>
      </c>
      <c r="BA132" s="16">
        <f t="shared" si="60"/>
        <v>0.57374222804388519</v>
      </c>
      <c r="BB132" s="16">
        <f t="shared" si="61"/>
        <v>0.56726568262691612</v>
      </c>
      <c r="BC132" s="16">
        <f t="shared" si="62"/>
        <v>0.5637196518552452</v>
      </c>
      <c r="BD132" s="16">
        <f t="shared" si="63"/>
        <v>0.55967554413951615</v>
      </c>
      <c r="BE132" s="16">
        <f t="shared" si="64"/>
        <v>0.56094424591374714</v>
      </c>
      <c r="BF132" s="16">
        <f t="shared" si="65"/>
        <v>0.5819508238996296</v>
      </c>
      <c r="BG132" s="16">
        <f t="shared" si="66"/>
        <v>0.56487851538069389</v>
      </c>
      <c r="BH132" s="16">
        <f t="shared" si="67"/>
        <v>0.55623911975145146</v>
      </c>
      <c r="BI132" s="16">
        <f t="shared" si="68"/>
        <v>0.55697890005921313</v>
      </c>
      <c r="BJ132" s="16">
        <f t="shared" si="69"/>
        <v>0.55197591592737838</v>
      </c>
      <c r="BK132" s="16">
        <f t="shared" si="70"/>
        <v>0.56479031388946588</v>
      </c>
      <c r="BL132" s="16">
        <f t="shared" si="71"/>
        <v>0.56360223610769311</v>
      </c>
      <c r="BM132" s="16">
        <f t="shared" si="72"/>
        <v>0.27877092191914893</v>
      </c>
      <c r="BN132" s="16">
        <f t="shared" si="73"/>
        <v>0.27449404582710518</v>
      </c>
      <c r="BO132" s="16">
        <f t="shared" si="74"/>
        <v>0.27563852281543316</v>
      </c>
      <c r="BP132" s="16">
        <f t="shared" si="75"/>
        <v>0.27748207971298017</v>
      </c>
      <c r="BQ132" s="16">
        <f t="shared" si="76"/>
        <v>0.55309052234669565</v>
      </c>
      <c r="BS132" s="16">
        <f t="shared" si="30"/>
        <v>1.4148160932271714</v>
      </c>
      <c r="BT132" s="16">
        <f t="shared" si="77"/>
        <v>1.431131451257168</v>
      </c>
      <c r="BU132" s="16">
        <f t="shared" si="78"/>
        <v>1.471375701794071</v>
      </c>
      <c r="BV132" s="16">
        <f t="shared" si="79"/>
        <v>1.4724264061422678</v>
      </c>
      <c r="BW132" s="16">
        <f t="shared" si="80"/>
        <v>1.7212266841316552</v>
      </c>
      <c r="BX132" s="16">
        <f t="shared" si="81"/>
        <v>1.7017970478807483</v>
      </c>
      <c r="BY132" s="16">
        <f t="shared" si="82"/>
        <v>1.409299129638113</v>
      </c>
      <c r="BZ132" s="16">
        <f t="shared" si="83"/>
        <v>1.3991888603487901</v>
      </c>
      <c r="CA132" s="16">
        <f t="shared" si="84"/>
        <v>1.4023606147843677</v>
      </c>
      <c r="CB132" s="16">
        <f t="shared" si="85"/>
        <v>1.4548770597490739</v>
      </c>
      <c r="CC132" s="16">
        <f t="shared" si="86"/>
        <v>1.4121962884517347</v>
      </c>
      <c r="CD132" s="16">
        <f t="shared" si="87"/>
        <v>1.3905977993786285</v>
      </c>
      <c r="CE132" s="16">
        <f t="shared" si="88"/>
        <v>1.3924472501480327</v>
      </c>
      <c r="CF132" s="16">
        <f t="shared" si="89"/>
        <v>1.379939789818446</v>
      </c>
      <c r="CG132" s="16">
        <f t="shared" si="90"/>
        <v>1.1295806277789318</v>
      </c>
      <c r="CH132" s="16">
        <f t="shared" si="91"/>
        <v>1.1272044722153862</v>
      </c>
      <c r="CI132" s="16">
        <f t="shared" si="92"/>
        <v>1.1150836876765957</v>
      </c>
      <c r="CJ132" s="16">
        <f t="shared" si="93"/>
        <v>1.0979761833084207</v>
      </c>
      <c r="CK132" s="16">
        <f t="shared" si="94"/>
        <v>1.1025540912617326</v>
      </c>
      <c r="CL132" s="16">
        <f t="shared" si="95"/>
        <v>1.1099283188519207</v>
      </c>
      <c r="CM132" s="16">
        <f t="shared" si="96"/>
        <v>1.1061810446933913</v>
      </c>
      <c r="CO132" s="16">
        <f t="shared" si="32"/>
        <v>0.56592643729086867</v>
      </c>
      <c r="CP132" s="16">
        <f t="shared" si="97"/>
        <v>0.57245258050286718</v>
      </c>
      <c r="CQ132" s="16">
        <f t="shared" si="98"/>
        <v>0.88282542107644257</v>
      </c>
      <c r="CR132" s="16">
        <f t="shared" si="99"/>
        <v>0.88345584368536068</v>
      </c>
      <c r="CS132" s="16">
        <f t="shared" si="100"/>
        <v>0.86061334206582762</v>
      </c>
      <c r="CT132" s="16">
        <f t="shared" si="101"/>
        <v>0.85089852394037413</v>
      </c>
      <c r="CU132" s="16">
        <f t="shared" si="102"/>
        <v>0.84557947778286768</v>
      </c>
      <c r="CV132" s="16">
        <f t="shared" si="103"/>
        <v>0.83951331620927405</v>
      </c>
      <c r="CW132" s="16">
        <f t="shared" si="104"/>
        <v>0.84141636887062055</v>
      </c>
      <c r="CX132" s="16">
        <f t="shared" si="105"/>
        <v>0.8729262358494444</v>
      </c>
      <c r="CY132" s="16">
        <f t="shared" si="106"/>
        <v>0.84731777307104095</v>
      </c>
      <c r="CZ132" s="16">
        <f t="shared" si="107"/>
        <v>0.83435867962717714</v>
      </c>
      <c r="DA132" s="16">
        <f t="shared" si="108"/>
        <v>0.55697890005921313</v>
      </c>
      <c r="DB132" s="16">
        <f t="shared" si="109"/>
        <v>0.55197591592737838</v>
      </c>
      <c r="DC132" s="16">
        <f t="shared" si="110"/>
        <v>0.56479031388946588</v>
      </c>
      <c r="DD132" s="16">
        <f t="shared" si="111"/>
        <v>0.56360223610769311</v>
      </c>
      <c r="DE132" s="16">
        <f t="shared" si="112"/>
        <v>0.55754184383829786</v>
      </c>
      <c r="DF132" s="16">
        <f t="shared" si="113"/>
        <v>0.54898809165421036</v>
      </c>
      <c r="DG132" s="16">
        <f t="shared" si="114"/>
        <v>0.55127704563086632</v>
      </c>
      <c r="DH132" s="16">
        <f t="shared" si="115"/>
        <v>0.55496415942596033</v>
      </c>
      <c r="DI132" s="16">
        <f t="shared" si="116"/>
        <v>0.55309052234669565</v>
      </c>
      <c r="EG132" s="16">
        <f t="shared" si="34"/>
        <v>0</v>
      </c>
      <c r="EH132" s="16">
        <f t="shared" si="117"/>
        <v>0</v>
      </c>
      <c r="EI132" s="16">
        <f t="shared" si="118"/>
        <v>0</v>
      </c>
      <c r="EJ132" s="16">
        <f t="shared" si="119"/>
        <v>0</v>
      </c>
      <c r="EK132" s="16">
        <f t="shared" si="120"/>
        <v>0</v>
      </c>
      <c r="EL132" s="16">
        <f t="shared" si="121"/>
        <v>0</v>
      </c>
      <c r="EM132" s="16">
        <f t="shared" si="122"/>
        <v>0</v>
      </c>
      <c r="EN132" s="16">
        <f t="shared" si="123"/>
        <v>0</v>
      </c>
      <c r="EO132" s="16">
        <f t="shared" si="124"/>
        <v>0</v>
      </c>
      <c r="EP132" s="16">
        <f t="shared" si="125"/>
        <v>0</v>
      </c>
      <c r="EQ132" s="16">
        <f t="shared" si="126"/>
        <v>0</v>
      </c>
      <c r="ER132" s="16">
        <f t="shared" si="127"/>
        <v>0</v>
      </c>
      <c r="ES132" s="16">
        <f t="shared" si="128"/>
        <v>0</v>
      </c>
      <c r="ET132" s="16">
        <f t="shared" si="129"/>
        <v>0</v>
      </c>
      <c r="EU132" s="16">
        <f t="shared" si="130"/>
        <v>0</v>
      </c>
      <c r="EV132" s="16">
        <f t="shared" si="131"/>
        <v>0</v>
      </c>
      <c r="EW132" s="16">
        <f t="shared" si="132"/>
        <v>0</v>
      </c>
      <c r="EX132" s="16">
        <f t="shared" si="133"/>
        <v>0</v>
      </c>
      <c r="EY132" s="16">
        <f t="shared" si="134"/>
        <v>0</v>
      </c>
      <c r="EZ132" s="16">
        <f t="shared" si="135"/>
        <v>0</v>
      </c>
      <c r="FA132" s="16">
        <f t="shared" si="136"/>
        <v>0</v>
      </c>
    </row>
    <row r="133" spans="1:157">
      <c r="A133" t="s">
        <v>77</v>
      </c>
      <c r="B133" t="s">
        <v>465</v>
      </c>
      <c r="C133" t="s">
        <v>2085</v>
      </c>
      <c r="D133" s="16" t="e">
        <f t="shared" si="151"/>
        <v>#VALUE!</v>
      </c>
      <c r="E133" s="16">
        <f t="shared" si="36"/>
        <v>6.3297071521883037</v>
      </c>
      <c r="F133" s="16">
        <f t="shared" si="37"/>
        <v>7.0412617941135069</v>
      </c>
      <c r="G133" s="16">
        <f t="shared" si="38"/>
        <v>7.0875462539172336</v>
      </c>
      <c r="H133" s="16">
        <f t="shared" si="39"/>
        <v>6.980444205037359</v>
      </c>
      <c r="I133" s="16">
        <f t="shared" si="40"/>
        <v>6.5815145934150072</v>
      </c>
      <c r="J133" s="16">
        <f t="shared" si="41"/>
        <v>6.4131582918364263</v>
      </c>
      <c r="K133" s="16">
        <f t="shared" si="42"/>
        <v>6.5569762822555635</v>
      </c>
      <c r="L133" s="16">
        <f t="shared" si="43"/>
        <v>7.1281289492938393</v>
      </c>
      <c r="M133" s="16">
        <f t="shared" si="44"/>
        <v>8.0306937912606866</v>
      </c>
      <c r="N133" s="16">
        <f t="shared" si="45"/>
        <v>7.6827333627372427</v>
      </c>
      <c r="O133" s="16">
        <f t="shared" si="46"/>
        <v>7.3460211806971349</v>
      </c>
      <c r="P133" s="16">
        <f t="shared" si="47"/>
        <v>7.0393514751784156</v>
      </c>
      <c r="Q133" s="16">
        <f t="shared" si="48"/>
        <v>6.4330702686295345</v>
      </c>
      <c r="R133" s="16">
        <f t="shared" si="49"/>
        <v>6.3523820070912844</v>
      </c>
      <c r="S133" s="16">
        <f t="shared" si="50"/>
        <v>6.2673853176007031</v>
      </c>
      <c r="T133" s="16">
        <f t="shared" si="51"/>
        <v>6.3505757455935408</v>
      </c>
      <c r="U133" s="16">
        <f t="shared" si="52"/>
        <v>6.3464051743513323</v>
      </c>
      <c r="V133" s="16">
        <f t="shared" si="53"/>
        <v>6.4029303792455181</v>
      </c>
      <c r="W133" s="16">
        <f t="shared" si="54"/>
        <v>6.2841037063768095</v>
      </c>
      <c r="X133" s="15">
        <f t="shared" si="55"/>
        <v>6.3624993202457985</v>
      </c>
      <c r="Y133" s="88"/>
      <c r="AA133" s="16" t="e">
        <f t="shared" ref="AA133:AU133" si="164">AA34/AA67*100</f>
        <v>#VALUE!</v>
      </c>
      <c r="AB133" s="16">
        <f t="shared" si="164"/>
        <v>2.5336402992331712</v>
      </c>
      <c r="AC133" s="16">
        <f t="shared" si="164"/>
        <v>2.8807944992438297</v>
      </c>
      <c r="AD133" s="16">
        <f t="shared" si="164"/>
        <v>2.9608470467563368</v>
      </c>
      <c r="AE133" s="16">
        <f t="shared" si="164"/>
        <v>2.9598860471638129</v>
      </c>
      <c r="AF133" s="16">
        <f t="shared" si="164"/>
        <v>2.7886931169983527</v>
      </c>
      <c r="AG133" s="16">
        <f t="shared" si="164"/>
        <v>2.7115884970117654</v>
      </c>
      <c r="AH133" s="16">
        <f t="shared" si="164"/>
        <v>2.793917989776006</v>
      </c>
      <c r="AI133" s="16">
        <f t="shared" si="164"/>
        <v>3.0862692060395096</v>
      </c>
      <c r="AJ133" s="16">
        <f t="shared" si="164"/>
        <v>3.5063937242158949</v>
      </c>
      <c r="AK133" s="16">
        <f t="shared" si="164"/>
        <v>3.3968442370262952</v>
      </c>
      <c r="AL133" s="16">
        <f t="shared" si="164"/>
        <v>3.28179584100151</v>
      </c>
      <c r="AM133" s="16">
        <f t="shared" si="164"/>
        <v>3.1635872585836342</v>
      </c>
      <c r="AN133" s="16">
        <f t="shared" si="164"/>
        <v>2.8779025648808623</v>
      </c>
      <c r="AO133" s="16">
        <f t="shared" si="164"/>
        <v>2.8466804764558833</v>
      </c>
      <c r="AP133" s="16">
        <f t="shared" si="164"/>
        <v>2.8163347415007043</v>
      </c>
      <c r="AQ133" s="16">
        <f t="shared" si="164"/>
        <v>2.8860028860028861</v>
      </c>
      <c r="AR133" s="16">
        <f t="shared" si="164"/>
        <v>2.9118212617892136</v>
      </c>
      <c r="AS133" s="16">
        <f t="shared" si="164"/>
        <v>2.9565664386872132</v>
      </c>
      <c r="AT133" s="16">
        <f t="shared" si="164"/>
        <v>2.914953055878748</v>
      </c>
      <c r="AU133" s="16">
        <f t="shared" si="164"/>
        <v>2.9645051777848557</v>
      </c>
      <c r="AW133" s="16" t="e">
        <f t="shared" si="28"/>
        <v>#VALUE!</v>
      </c>
      <c r="AX133" s="16">
        <f t="shared" si="57"/>
        <v>0.8201379003298126</v>
      </c>
      <c r="AY133" s="16">
        <f t="shared" si="58"/>
        <v>0.93067112409152419</v>
      </c>
      <c r="AZ133" s="16">
        <f t="shared" si="59"/>
        <v>0.94818666754130432</v>
      </c>
      <c r="BA133" s="16">
        <f t="shared" si="60"/>
        <v>0.93572382541670263</v>
      </c>
      <c r="BB133" s="16">
        <f t="shared" si="61"/>
        <v>0.89228237879002559</v>
      </c>
      <c r="BC133" s="16">
        <f t="shared" si="62"/>
        <v>0.89166906731415563</v>
      </c>
      <c r="BD133" s="16">
        <f t="shared" si="63"/>
        <v>0.91675434039525205</v>
      </c>
      <c r="BE133" s="16">
        <f t="shared" si="64"/>
        <v>0.99106489590492874</v>
      </c>
      <c r="BF133" s="16">
        <f t="shared" si="65"/>
        <v>1.1255695137050323</v>
      </c>
      <c r="BG133" s="16">
        <f t="shared" si="66"/>
        <v>1.0853275264461992</v>
      </c>
      <c r="BH133" s="16">
        <f t="shared" si="67"/>
        <v>1.0425046560065239</v>
      </c>
      <c r="BI133" s="16">
        <f t="shared" si="68"/>
        <v>0.99747039816397831</v>
      </c>
      <c r="BJ133" s="16">
        <f t="shared" si="69"/>
        <v>0.94096220974351197</v>
      </c>
      <c r="BK133" s="16">
        <f t="shared" si="70"/>
        <v>0.92952831884273723</v>
      </c>
      <c r="BL133" s="16">
        <f t="shared" si="71"/>
        <v>0.91912402278040217</v>
      </c>
      <c r="BM133" s="16">
        <f t="shared" si="72"/>
        <v>0.93632477974114992</v>
      </c>
      <c r="BN133" s="16">
        <f t="shared" si="73"/>
        <v>0.93231555551855894</v>
      </c>
      <c r="BO133" s="16">
        <f t="shared" si="74"/>
        <v>0.94888162903739448</v>
      </c>
      <c r="BP133" s="16">
        <f t="shared" si="75"/>
        <v>0.9488374408143202</v>
      </c>
      <c r="BQ133" s="16">
        <f t="shared" si="76"/>
        <v>0.99438328814586363</v>
      </c>
      <c r="BS133" s="16" t="e">
        <f t="shared" si="30"/>
        <v>#VALUE!</v>
      </c>
      <c r="BT133" s="16">
        <f t="shared" si="77"/>
        <v>1.2155615308459724</v>
      </c>
      <c r="BU133" s="16">
        <f t="shared" si="78"/>
        <v>1.3164098136820903</v>
      </c>
      <c r="BV133" s="16">
        <f t="shared" si="79"/>
        <v>1.2702123282157094</v>
      </c>
      <c r="BW133" s="16">
        <f t="shared" si="80"/>
        <v>1.2300464529958433</v>
      </c>
      <c r="BX133" s="16">
        <f t="shared" si="81"/>
        <v>1.1557417998255204</v>
      </c>
      <c r="BY133" s="16">
        <f t="shared" si="82"/>
        <v>1.1088705067881166</v>
      </c>
      <c r="BZ133" s="16">
        <f t="shared" si="83"/>
        <v>1.1153844474808898</v>
      </c>
      <c r="CA133" s="16">
        <f t="shared" si="84"/>
        <v>1.1906081635367936</v>
      </c>
      <c r="CB133" s="16">
        <f t="shared" si="85"/>
        <v>1.3433427457044842</v>
      </c>
      <c r="CC133" s="16">
        <f t="shared" si="86"/>
        <v>1.2816101642077458</v>
      </c>
      <c r="CD133" s="16">
        <f t="shared" si="87"/>
        <v>1.2033986092591165</v>
      </c>
      <c r="CE133" s="16">
        <f t="shared" si="88"/>
        <v>1.143287045353204</v>
      </c>
      <c r="CF133" s="16">
        <f t="shared" si="89"/>
        <v>1.0054636515404463</v>
      </c>
      <c r="CG133" s="16">
        <f t="shared" si="90"/>
        <v>0.9858083537726684</v>
      </c>
      <c r="CH133" s="16">
        <f t="shared" si="91"/>
        <v>0.96594732205412082</v>
      </c>
      <c r="CI133" s="16">
        <f t="shared" si="92"/>
        <v>0.97055968942089954</v>
      </c>
      <c r="CJ133" s="16">
        <f t="shared" si="93"/>
        <v>0.96228284123165553</v>
      </c>
      <c r="CK133" s="16">
        <f t="shared" si="94"/>
        <v>0.96504656309254599</v>
      </c>
      <c r="CL133" s="16">
        <f t="shared" si="95"/>
        <v>0.95505932567211893</v>
      </c>
      <c r="CM133" s="16">
        <f t="shared" si="96"/>
        <v>0.98039977315631244</v>
      </c>
      <c r="CO133" s="16" t="e">
        <f t="shared" si="32"/>
        <v>#VALUE!</v>
      </c>
      <c r="CP133" s="16">
        <f t="shared" si="97"/>
        <v>1.7603674217793477</v>
      </c>
      <c r="CQ133" s="16">
        <f t="shared" si="98"/>
        <v>1.9133863570960612</v>
      </c>
      <c r="CR133" s="16">
        <f t="shared" si="99"/>
        <v>1.9083002114038825</v>
      </c>
      <c r="CS133" s="16">
        <f t="shared" si="100"/>
        <v>1.8547878794610011</v>
      </c>
      <c r="CT133" s="16">
        <f t="shared" si="101"/>
        <v>1.7423118315649244</v>
      </c>
      <c r="CU133" s="16">
        <f t="shared" si="102"/>
        <v>1.698743889780558</v>
      </c>
      <c r="CV133" s="16">
        <f t="shared" si="103"/>
        <v>1.7309195046034163</v>
      </c>
      <c r="CW133" s="16">
        <f t="shared" si="104"/>
        <v>1.857969536394475</v>
      </c>
      <c r="CX133" s="16">
        <f t="shared" si="105"/>
        <v>2.0529409173880917</v>
      </c>
      <c r="CY133" s="16">
        <f t="shared" si="106"/>
        <v>1.9189514350570029</v>
      </c>
      <c r="CZ133" s="16">
        <f t="shared" si="107"/>
        <v>1.8161180476730991</v>
      </c>
      <c r="DA133" s="16">
        <f t="shared" si="108"/>
        <v>1.7350067730775975</v>
      </c>
      <c r="DB133" s="16">
        <f t="shared" si="109"/>
        <v>1.6087418424647135</v>
      </c>
      <c r="DC133" s="16">
        <f t="shared" si="110"/>
        <v>1.5903648580199956</v>
      </c>
      <c r="DD133" s="16">
        <f t="shared" si="111"/>
        <v>1.5659792312654777</v>
      </c>
      <c r="DE133" s="16">
        <f t="shared" si="112"/>
        <v>1.5576883904286041</v>
      </c>
      <c r="DF133" s="16">
        <f t="shared" si="113"/>
        <v>1.5416503650181883</v>
      </c>
      <c r="DG133" s="16">
        <f t="shared" si="114"/>
        <v>1.5308192550228492</v>
      </c>
      <c r="DH133" s="16">
        <f t="shared" si="115"/>
        <v>1.4668093552260721</v>
      </c>
      <c r="DI133" s="16">
        <f t="shared" si="116"/>
        <v>1.4232110811587673</v>
      </c>
    </row>
    <row r="134" spans="1:157">
      <c r="B134" t="s">
        <v>2090</v>
      </c>
      <c r="D134" s="16" cm="1">
        <f t="array" ref="D134">AVERAGE(IF(ISNUMBER(D105:D133),D105:D133))</f>
        <v>3.8004147962182468</v>
      </c>
      <c r="E134" s="16" cm="1">
        <f t="array" ref="E134">AVERAGE(IF(ISNUMBER(E105:E133),E105:E133))</f>
        <v>4.086888771704035</v>
      </c>
      <c r="F134" s="16" cm="1">
        <f t="array" ref="F134">AVERAGE(IF(ISNUMBER(F105:F133),F105:F133))</f>
        <v>4.176399451278404</v>
      </c>
      <c r="G134" s="16" cm="1">
        <f t="array" ref="G134">AVERAGE(IF(ISNUMBER(G105:G133),G105:G133))</f>
        <v>4.1858365609110058</v>
      </c>
      <c r="H134" s="16" cm="1">
        <f t="array" ref="H134">AVERAGE(IF(ISNUMBER(H105:H133),H105:H133))</f>
        <v>4.0875054847720609</v>
      </c>
      <c r="I134" s="16" cm="1">
        <f t="array" ref="I134">AVERAGE(IF(ISNUMBER(I105:I133),I105:I133))</f>
        <v>4.0504569710565121</v>
      </c>
      <c r="J134" s="16" cm="1">
        <f t="array" ref="J134">AVERAGE(IF(ISNUMBER(J105:J133),J105:J133))</f>
        <v>3.9951553743679873</v>
      </c>
      <c r="K134" s="16" cm="1">
        <f t="array" ref="K134">AVERAGE(IF(ISNUMBER(K105:K133),K105:K133))</f>
        <v>3.9568041845662325</v>
      </c>
      <c r="L134" s="16" cm="1">
        <f t="array" ref="L134">AVERAGE(IF(ISNUMBER(L105:L133),L105:L133))</f>
        <v>4.0823031527758058</v>
      </c>
      <c r="M134" s="16" cm="1">
        <f t="array" ref="M134">AVERAGE(IF(ISNUMBER(M105:M133),M105:M133))</f>
        <v>4.5037305112283317</v>
      </c>
      <c r="N134" s="16" cm="1">
        <f t="array" ref="N134">AVERAGE(IF(ISNUMBER(N105:N133),N105:N133))</f>
        <v>4.3724071549985508</v>
      </c>
      <c r="O134" s="16" cm="1">
        <f t="array" ref="O134">AVERAGE(IF(ISNUMBER(O105:O133),O105:O133))</f>
        <v>4.2916362751477264</v>
      </c>
      <c r="P134" s="16" cm="1">
        <f t="array" ref="P134">AVERAGE(IF(ISNUMBER(P105:P133),P105:P133))</f>
        <v>4.1427127383838327</v>
      </c>
      <c r="Q134" s="16" cm="1">
        <f t="array" ref="Q134">AVERAGE(IF(ISNUMBER(Q105:Q133),Q105:Q133))</f>
        <v>4.0995477910778311</v>
      </c>
      <c r="R134" s="16" cm="1">
        <f t="array" ref="R134">AVERAGE(IF(ISNUMBER(R105:R133),R105:R133))</f>
        <v>4.0451460080850863</v>
      </c>
      <c r="S134" s="16" cm="1">
        <f t="array" ref="S134">AVERAGE(IF(ISNUMBER(S105:S133),S105:S133))</f>
        <v>4.011685183503868</v>
      </c>
      <c r="T134" s="16" cm="1">
        <f t="array" ref="T134">AVERAGE(IF(ISNUMBER(T105:T133),T105:T133))</f>
        <v>4.0100467953841692</v>
      </c>
      <c r="U134" s="16" cm="1">
        <f t="array" ref="U134">AVERAGE(IF(ISNUMBER(U105:U133),U105:U133))</f>
        <v>3.9458681971701672</v>
      </c>
      <c r="V134" s="16" cm="1">
        <f t="array" ref="V134">AVERAGE(IF(ISNUMBER(V105:V133),V105:V133))</f>
        <v>3.9532546780903934</v>
      </c>
      <c r="W134" s="16" cm="1">
        <f t="array" ref="W134">AVERAGE(IF(ISNUMBER(W105:W133),W105:W133))</f>
        <v>4.0054977575358341</v>
      </c>
      <c r="X134" s="16" cm="1">
        <f t="array" ref="X134">AVERAGE(IF(ISNUMBER(X105:X133),X105:X133))</f>
        <v>4.2490883723317934</v>
      </c>
      <c r="AA134" s="16" cm="1">
        <f t="array" ref="AA134">AVERAGE(IF(ISNUMBER(AA105:AA133),AA105:AA133))</f>
        <v>1.9675553984786103</v>
      </c>
      <c r="AB134" s="16" cm="1">
        <f t="array" ref="AB134">AVERAGE(IF(ISNUMBER(AB105:AB133),AB105:AB133))</f>
        <v>2.1237143199957109</v>
      </c>
      <c r="AC134" s="16" cm="1">
        <f t="array" ref="AC134">AVERAGE(IF(ISNUMBER(AC105:AC133),AC105:AC133))</f>
        <v>2.1708915165192613</v>
      </c>
      <c r="AD134" s="16" cm="1">
        <f t="array" ref="AD134">AVERAGE(IF(ISNUMBER(AD105:AD133),AD105:AD133))</f>
        <v>2.1443969946945969</v>
      </c>
      <c r="AE134" s="16" cm="1">
        <f t="array" ref="AE134">AVERAGE(IF(ISNUMBER(AE105:AE133),AE105:AE133))</f>
        <v>2.1334260567764383</v>
      </c>
      <c r="AF134" s="16" cm="1">
        <f t="array" ref="AF134">AVERAGE(IF(ISNUMBER(AF105:AF133),AF105:AF133))</f>
        <v>2.0789701852517228</v>
      </c>
      <c r="AG134" s="16" cm="1">
        <f t="array" ref="AG134">AVERAGE(IF(ISNUMBER(AG105:AG133),AG105:AG133))</f>
        <v>2.0599581148957014</v>
      </c>
      <c r="AH134" s="16" cm="1">
        <f t="array" ref="AH134">AVERAGE(IF(ISNUMBER(AH105:AH133),AH105:AH133))</f>
        <v>2.0524668352617197</v>
      </c>
      <c r="AI134" s="16" cm="1">
        <f t="array" ref="AI134">AVERAGE(IF(ISNUMBER(AI105:AI133),AI105:AI133))</f>
        <v>2.0989976997997721</v>
      </c>
      <c r="AJ134" s="16" cm="1">
        <f t="array" ref="AJ134">AVERAGE(IF(ISNUMBER(AJ105:AJ133),AJ105:AJ133))</f>
        <v>2.2868361511541337</v>
      </c>
      <c r="AK134" s="16" cm="1">
        <f t="array" ref="AK134">AVERAGE(IF(ISNUMBER(AK105:AK133),AK105:AK133))</f>
        <v>2.2202244997446456</v>
      </c>
      <c r="AL134" s="16" cm="1">
        <f t="array" ref="AL134">AVERAGE(IF(ISNUMBER(AL105:AL133),AL105:AL133))</f>
        <v>2.1507424917442828</v>
      </c>
      <c r="AM134" s="16" cm="1">
        <f t="array" ref="AM134">AVERAGE(IF(ISNUMBER(AM105:AM133),AM105:AM133))</f>
        <v>2.0500241486150874</v>
      </c>
      <c r="AN134" s="16" cm="1">
        <f t="array" ref="AN134">AVERAGE(IF(ISNUMBER(AN105:AN133),AN105:AN133))</f>
        <v>2.0337903939554653</v>
      </c>
      <c r="AO134" s="16" cm="1">
        <f t="array" ref="AO134">AVERAGE(IF(ISNUMBER(AO105:AO133),AO105:AO133))</f>
        <v>1.9724306294374157</v>
      </c>
      <c r="AP134" s="16" cm="1">
        <f t="array" ref="AP134">AVERAGE(IF(ISNUMBER(AP105:AP133),AP105:AP133))</f>
        <v>1.9613051866932614</v>
      </c>
      <c r="AQ134" s="16" cm="1">
        <f t="array" ref="AQ134">AVERAGE(IF(ISNUMBER(AQ105:AQ133),AQ105:AQ133))</f>
        <v>1.986833889681336</v>
      </c>
      <c r="AR134" s="16" cm="1">
        <f t="array" ref="AR134">AVERAGE(IF(ISNUMBER(AR105:AR133),AR105:AR133))</f>
        <v>2.0141619240071145</v>
      </c>
      <c r="AS134" s="16" cm="1">
        <f t="array" ref="AS134">AVERAGE(IF(ISNUMBER(AS105:AS133),AS105:AS133))</f>
        <v>2.0012220677252803</v>
      </c>
      <c r="AT134" s="16" cm="1">
        <f t="array" ref="AT134">AVERAGE(IF(ISNUMBER(AT105:AT133),AT105:AT133))</f>
        <v>2.0168621831153568</v>
      </c>
      <c r="AU134" s="16" cm="1">
        <f t="array" ref="AU134">AVERAGE(IF(ISNUMBER(AU105:AU133),AU105:AU133))</f>
        <v>2.1348389632520934</v>
      </c>
      <c r="AW134" s="16" cm="1">
        <f t="array" ref="AW134">AVERAGE(IF(ISNUMBER(AW105:AW133),AW105:AW133))</f>
        <v>0.3518179515249017</v>
      </c>
      <c r="AX134" s="16" cm="1">
        <f t="array" ref="AX134">AVERAGE(IF(ISNUMBER(AX105:AX133),AX105:AX133))</f>
        <v>0.44770064404663984</v>
      </c>
      <c r="AY134" s="16" cm="1">
        <f t="array" ref="AY134">AVERAGE(IF(ISNUMBER(AY105:AY133),AY105:AY133))</f>
        <v>0.48306219597914102</v>
      </c>
      <c r="AZ134" s="16" cm="1">
        <f t="array" ref="AZ134">AVERAGE(IF(ISNUMBER(AZ105:AZ133),AZ105:AZ133))</f>
        <v>0.46125137978264646</v>
      </c>
      <c r="BA134" s="16" cm="1">
        <f t="array" ref="BA134">AVERAGE(IF(ISNUMBER(BA105:BA133),BA105:BA133))</f>
        <v>0.44704117854982778</v>
      </c>
      <c r="BB134" s="16" cm="1">
        <f t="array" ref="BB134">AVERAGE(IF(ISNUMBER(BB105:BB133),BB105:BB133))</f>
        <v>0.4500339567487463</v>
      </c>
      <c r="BC134" s="16" cm="1">
        <f t="array" ref="BC134">AVERAGE(IF(ISNUMBER(BC105:BC133),BC105:BC133))</f>
        <v>0.44785795194060518</v>
      </c>
      <c r="BD134" s="16" cm="1">
        <f t="array" ref="BD134">AVERAGE(IF(ISNUMBER(BD105:BD133),BD105:BD133))</f>
        <v>0.46642041832624564</v>
      </c>
      <c r="BE134" s="16" cm="1">
        <f t="array" ref="BE134">AVERAGE(IF(ISNUMBER(BE105:BE133),BE105:BE133))</f>
        <v>0.47342586133753312</v>
      </c>
      <c r="BF134" s="16" cm="1">
        <f t="array" ref="BF134">AVERAGE(IF(ISNUMBER(BF105:BF133),BF105:BF133))</f>
        <v>0.5325143483372915</v>
      </c>
      <c r="BG134" s="16" cm="1">
        <f t="array" ref="BG134">AVERAGE(IF(ISNUMBER(BG105:BG133),BG105:BG133))</f>
        <v>0.51412269493949259</v>
      </c>
      <c r="BH134" s="16" cm="1">
        <f t="array" ref="BH134">AVERAGE(IF(ISNUMBER(BH105:BH133),BH105:BH133))</f>
        <v>0.48527318629476579</v>
      </c>
      <c r="BI134" s="16" cm="1">
        <f t="array" ref="BI134">AVERAGE(IF(ISNUMBER(BI105:BI133),BI105:BI133))</f>
        <v>0.48757397531652774</v>
      </c>
      <c r="BJ134" s="16" cm="1">
        <f t="array" ref="BJ134">AVERAGE(IF(ISNUMBER(BJ105:BJ133),BJ105:BJ133))</f>
        <v>0.49291753784416276</v>
      </c>
      <c r="BK134" s="16" cm="1">
        <f t="array" ref="BK134">AVERAGE(IF(ISNUMBER(BK105:BK133),BK105:BK133))</f>
        <v>0.46695504355134182</v>
      </c>
      <c r="BL134" s="16" cm="1">
        <f t="array" ref="BL134">AVERAGE(IF(ISNUMBER(BL105:BL133),BL105:BL133))</f>
        <v>0.48339812036229274</v>
      </c>
      <c r="BM134" s="16" cm="1">
        <f t="array" ref="BM134">AVERAGE(IF(ISNUMBER(BM105:BM133),BM105:BM133))</f>
        <v>0.44500147031972864</v>
      </c>
      <c r="BN134" s="16" cm="1">
        <f t="array" ref="BN134">AVERAGE(IF(ISNUMBER(BN105:BN133),BN105:BN133))</f>
        <v>0.45643691160532901</v>
      </c>
      <c r="BO134" s="16" cm="1">
        <f t="array" ref="BO134">AVERAGE(IF(ISNUMBER(BO105:BO133),BO105:BO133))</f>
        <v>0.47881773134733147</v>
      </c>
      <c r="BP134" s="16" cm="1">
        <f t="array" ref="BP134">AVERAGE(IF(ISNUMBER(BP105:BP133),BP105:BP133))</f>
        <v>0.49852603925638472</v>
      </c>
      <c r="BQ134" s="16" cm="1">
        <f t="array" ref="BQ134">AVERAGE(IF(ISNUMBER(BQ105:BQ133),BQ105:BQ133))</f>
        <v>0.52819838458230273</v>
      </c>
      <c r="BS134" s="16" cm="1">
        <f t="array" ref="BS134">AVERAGE(IF(ISNUMBER(BS105:BS133),BS105:BS133))</f>
        <v>0.70203767791260452</v>
      </c>
      <c r="BT134" s="16" cm="1">
        <f t="array" ref="BT134">AVERAGE(IF(ISNUMBER(BT105:BT133),BT105:BT133))</f>
        <v>0.76826739664391808</v>
      </c>
      <c r="BU134" s="16" cm="1">
        <f t="array" ref="BU134">AVERAGE(IF(ISNUMBER(BU105:BU133),BU105:BU133))</f>
        <v>0.82106717561924203</v>
      </c>
      <c r="BV134" s="16" cm="1">
        <f t="array" ref="BV134">AVERAGE(IF(ISNUMBER(BV105:BV133),BV105:BV133))</f>
        <v>0.81655839591610213</v>
      </c>
      <c r="BW134" s="16" cm="1">
        <f t="array" ref="BW134">AVERAGE(IF(ISNUMBER(BW105:BW133),BW105:BW133))</f>
        <v>0.81048243390809593</v>
      </c>
      <c r="BX134" s="16" cm="1">
        <f t="array" ref="BX134">AVERAGE(IF(ISNUMBER(BX105:BX133),BX105:BX133))</f>
        <v>0.75896636653048166</v>
      </c>
      <c r="BY134" s="16" cm="1">
        <f t="array" ref="BY134">AVERAGE(IF(ISNUMBER(BY105:BY133),BY105:BY133))</f>
        <v>0.73671191617088527</v>
      </c>
      <c r="BZ134" s="16" cm="1">
        <f t="array" ref="BZ134">AVERAGE(IF(ISNUMBER(BZ105:BZ133),BZ105:BZ133))</f>
        <v>0.72680742133417842</v>
      </c>
      <c r="CA134" s="16" cm="1">
        <f t="array" ref="CA134">AVERAGE(IF(ISNUMBER(CA105:CA133),CA105:CA133))</f>
        <v>0.7528650966314131</v>
      </c>
      <c r="CB134" s="16" cm="1">
        <f t="array" ref="CB134">AVERAGE(IF(ISNUMBER(CB105:CB133),CB105:CB133))</f>
        <v>0.82409446710626455</v>
      </c>
      <c r="CC134" s="16" cm="1">
        <f t="array" ref="CC134">AVERAGE(IF(ISNUMBER(CC105:CC133),CC105:CC133))</f>
        <v>0.81341672340178561</v>
      </c>
      <c r="CD134" s="16" cm="1">
        <f t="array" ref="CD134">AVERAGE(IF(ISNUMBER(CD105:CD133),CD105:CD133))</f>
        <v>0.79058317890245722</v>
      </c>
      <c r="CE134" s="16" cm="1">
        <f t="array" ref="CE134">AVERAGE(IF(ISNUMBER(CE105:CE133),CE105:CE133))</f>
        <v>0.75968162089449354</v>
      </c>
      <c r="CF134" s="16" cm="1">
        <f t="array" ref="CF134">AVERAGE(IF(ISNUMBER(CF105:CF133),CF105:CF133))</f>
        <v>0.73510591552541038</v>
      </c>
      <c r="CG134" s="16" cm="1">
        <f t="array" ref="CG134">AVERAGE(IF(ISNUMBER(CG105:CG133),CG105:CG133))</f>
        <v>0.7253229902099313</v>
      </c>
      <c r="CH134" s="16" cm="1">
        <f t="array" ref="CH134">AVERAGE(IF(ISNUMBER(CH105:CH133),CH105:CH133))</f>
        <v>0.69905195087362759</v>
      </c>
      <c r="CI134" s="16" cm="1">
        <f t="array" ref="CI134">AVERAGE(IF(ISNUMBER(CI105:CI133),CI105:CI133))</f>
        <v>0.70967463787239715</v>
      </c>
      <c r="CJ134" s="16" cm="1">
        <f t="array" ref="CJ134">AVERAGE(IF(ISNUMBER(CJ105:CJ133),CJ105:CJ133))</f>
        <v>0.71405426686557982</v>
      </c>
      <c r="CK134" s="16" cm="1">
        <f t="array" ref="CK134">AVERAGE(IF(ISNUMBER(CK105:CK133),CK105:CK133))</f>
        <v>0.70111826169109837</v>
      </c>
      <c r="CL134" s="16" cm="1">
        <f t="array" ref="CL134">AVERAGE(IF(ISNUMBER(CL105:CL133),CL105:CL133))</f>
        <v>0.71147705924336013</v>
      </c>
      <c r="CM134" s="16" cm="1">
        <f t="array" ref="CM134">AVERAGE(IF(ISNUMBER(CM105:CM133),CM105:CM133))</f>
        <v>0.74683518421261941</v>
      </c>
      <c r="CO134" s="16" cm="1">
        <f t="array" ref="CO134">AVERAGE(IF(ISNUMBER(CO105:CO133),CO105:CO133))</f>
        <v>0.35623010235132091</v>
      </c>
      <c r="CP134" s="16" cm="1">
        <f t="array" ref="CP134">AVERAGE(IF(ISNUMBER(CP105:CP133),CP105:CP133))</f>
        <v>0.45202723126893951</v>
      </c>
      <c r="CQ134" s="16" cm="1">
        <f t="array" ref="CQ134">AVERAGE(IF(ISNUMBER(CQ105:CQ133),CQ105:CQ133))</f>
        <v>0.48154732208001638</v>
      </c>
      <c r="CR134" s="16" cm="1">
        <f t="array" ref="CR134">AVERAGE(IF(ISNUMBER(CR105:CR133),CR105:CR133))</f>
        <v>0.46769808075881986</v>
      </c>
      <c r="CS134" s="16" cm="1">
        <f t="array" ref="CS134">AVERAGE(IF(ISNUMBER(CS105:CS133),CS105:CS133))</f>
        <v>0.46600861924477077</v>
      </c>
      <c r="CT134" s="16" cm="1">
        <f t="array" ref="CT134">AVERAGE(IF(ISNUMBER(CT105:CT133),CT105:CT133))</f>
        <v>0.44951657335369138</v>
      </c>
      <c r="CU134" s="16" cm="1">
        <f t="array" ref="CU134">AVERAGE(IF(ISNUMBER(CU105:CU133),CU105:CU133))</f>
        <v>0.42332763393377359</v>
      </c>
      <c r="CV134" s="16" cm="1">
        <f t="array" ref="CV134">AVERAGE(IF(ISNUMBER(CV105:CV133),CV105:CV133))</f>
        <v>0.41813429732597418</v>
      </c>
      <c r="CW134" s="16" cm="1">
        <f t="array" ref="CW134">AVERAGE(IF(ISNUMBER(CW105:CW133),CW105:CW133))</f>
        <v>0.44870511122172979</v>
      </c>
      <c r="CX134" s="16" cm="1">
        <f t="array" ref="CX134">AVERAGE(IF(ISNUMBER(CX105:CX133),CX105:CX133))</f>
        <v>0.46081648420791899</v>
      </c>
      <c r="CY134" s="16" cm="1">
        <f t="array" ref="CY134">AVERAGE(IF(ISNUMBER(CY105:CY133),CY105:CY133))</f>
        <v>0.47296664872675248</v>
      </c>
      <c r="CZ134" s="16" cm="1">
        <f t="array" ref="CZ134">AVERAGE(IF(ISNUMBER(CZ105:CZ133),CZ105:CZ133))</f>
        <v>0.46456673802072296</v>
      </c>
      <c r="DA134" s="16" cm="1">
        <f t="array" ref="DA134">AVERAGE(IF(ISNUMBER(DA105:DA133),DA105:DA133))</f>
        <v>0.43642432873821779</v>
      </c>
      <c r="DB134" s="16" cm="1">
        <f t="array" ref="DB134">AVERAGE(IF(ISNUMBER(DB105:DB133),DB105:DB133))</f>
        <v>0.45166595982457136</v>
      </c>
      <c r="DC134" s="16" cm="1">
        <f t="array" ref="DC134">AVERAGE(IF(ISNUMBER(DC105:DC133),DC105:DC133))</f>
        <v>0.43454505848618047</v>
      </c>
      <c r="DD134" s="16" cm="1">
        <f t="array" ref="DD134">AVERAGE(IF(ISNUMBER(DD105:DD133),DD105:DD133))</f>
        <v>0.43625950856674806</v>
      </c>
      <c r="DE134" s="16" cm="1">
        <f t="array" ref="DE134">AVERAGE(IF(ISNUMBER(DE105:DE133),DE105:DE133))</f>
        <v>0.43468420196664503</v>
      </c>
      <c r="DF134" s="16" cm="1">
        <f t="array" ref="DF134">AVERAGE(IF(ISNUMBER(DF105:DF133),DF105:DF133))</f>
        <v>0.42785378046647821</v>
      </c>
      <c r="DG134" s="16" cm="1">
        <f t="array" ref="DG134">AVERAGE(IF(ISNUMBER(DG105:DG133),DG105:DG133))</f>
        <v>0.41568555999835799</v>
      </c>
      <c r="DH134" s="16" cm="1">
        <f t="array" ref="DH134">AVERAGE(IF(ISNUMBER(DH105:DH133),DH105:DH133))</f>
        <v>0.41501284968327118</v>
      </c>
      <c r="DI134" s="16" cm="1">
        <f t="array" ref="DI134">AVERAGE(IF(ISNUMBER(DI105:DI133),DI105:DI133))</f>
        <v>0.45655670839019397</v>
      </c>
      <c r="EG134" s="16" cm="1">
        <f t="array" ref="EG134">AVERAGE(IF(ISNUMBER(EG105:EG133),EG105:EG133))</f>
        <v>0.19757654107870717</v>
      </c>
      <c r="EH134" s="16" cm="1">
        <f t="array" ref="EH134">AVERAGE(IF(ISNUMBER(EH105:EH133),EH105:EH133))</f>
        <v>0.25449695275575818</v>
      </c>
      <c r="EI134" s="16" cm="1">
        <f t="array" ref="EI134">AVERAGE(IF(ISNUMBER(EI105:EI133),EI105:EI133))</f>
        <v>0.24143002265538185</v>
      </c>
      <c r="EJ134" s="16" cm="1">
        <f t="array" ref="EJ134">AVERAGE(IF(ISNUMBER(EJ105:EJ133),EJ105:EJ133))</f>
        <v>0.28661753255385547</v>
      </c>
      <c r="EK134" s="16" cm="1">
        <f t="array" ref="EK134">AVERAGE(IF(ISNUMBER(EK105:EK133),EK105:EK133))</f>
        <v>0.27911968572743445</v>
      </c>
      <c r="EL134" s="16" cm="1">
        <f t="array" ref="EL134">AVERAGE(IF(ISNUMBER(EL105:EL133),EL105:EL133))</f>
        <v>0.25582787198232909</v>
      </c>
      <c r="EM134" s="16" cm="1">
        <f t="array" ref="EM134">AVERAGE(IF(ISNUMBER(EM105:EM133),EM105:EM133))</f>
        <v>0.23869431695733997</v>
      </c>
      <c r="EN134" s="16" cm="1">
        <f t="array" ref="EN134">AVERAGE(IF(ISNUMBER(EN105:EN133),EN105:EN133))</f>
        <v>0.2590242420097737</v>
      </c>
      <c r="EO134" s="16" cm="1">
        <f t="array" ref="EO134">AVERAGE(IF(ISNUMBER(EO105:EO133),EO105:EO133))</f>
        <v>0.24246603940193356</v>
      </c>
      <c r="EP134" s="16" cm="1">
        <f t="array" ref="EP134">AVERAGE(IF(ISNUMBER(EP105:EP133),EP105:EP133))</f>
        <v>0.27250753656398491</v>
      </c>
      <c r="EQ134" s="16" cm="1">
        <f t="array" ref="EQ134">AVERAGE(IF(ISNUMBER(EQ105:EQ133),EQ105:EQ133))</f>
        <v>0.28773103150455898</v>
      </c>
      <c r="ER134" s="16" cm="1">
        <f t="array" ref="ER134">AVERAGE(IF(ISNUMBER(ER105:ER133),ER105:ER133))</f>
        <v>0.31188938359019847</v>
      </c>
      <c r="ES134" s="16" cm="1">
        <f t="array" ref="ES134">AVERAGE(IF(ISNUMBER(ES105:ES133),ES105:ES133))</f>
        <v>0.31598515662512783</v>
      </c>
      <c r="ET134" s="16" cm="1">
        <f t="array" ref="ET134">AVERAGE(IF(ISNUMBER(ET105:ET133),ET105:ET133))</f>
        <v>0.32795217341379512</v>
      </c>
      <c r="EU134" s="16" cm="1">
        <f t="array" ref="EU134">AVERAGE(IF(ISNUMBER(EU105:EU133),EU105:EU133))</f>
        <v>0.29897736829987454</v>
      </c>
      <c r="EV134" s="16" cm="1">
        <f t="array" ref="EV134">AVERAGE(IF(ISNUMBER(EV105:EV133),EV105:EV133))</f>
        <v>0.30740799863218915</v>
      </c>
      <c r="EW134" s="16" cm="1">
        <f t="array" ref="EW134">AVERAGE(IF(ISNUMBER(EW105:EW133),EW105:EW133))</f>
        <v>0.28884838962158371</v>
      </c>
      <c r="EX134" s="16" cm="1">
        <f t="array" ref="EX134">AVERAGE(IF(ISNUMBER(EX105:EX133),EX105:EX133))</f>
        <v>0.27635245526246577</v>
      </c>
      <c r="EY134" s="16" cm="1">
        <f t="array" ref="EY134">AVERAGE(IF(ISNUMBER(EY105:EY133),EY105:EY133))</f>
        <v>0.27448982273748596</v>
      </c>
      <c r="EZ134" s="16" cm="1">
        <f t="array" ref="EZ134">AVERAGE(IF(ISNUMBER(EZ105:EZ133),EZ105:EZ133))</f>
        <v>0.26861034376645426</v>
      </c>
      <c r="FA134" s="16" cm="1">
        <f t="array" ref="FA134">AVERAGE(IF(ISNUMBER(FA105:FA133),FA105:FA133))</f>
        <v>0.32075116344180477</v>
      </c>
    </row>
    <row r="135" spans="1:157">
      <c r="B135" t="s">
        <v>2091</v>
      </c>
      <c r="D135" s="16" cm="1">
        <f t="array" ref="D135">MEDIAN(IF(ISNUMBER(D105:D133),D105:D133))</f>
        <v>3.8877063555777633</v>
      </c>
      <c r="E135" s="16" cm="1">
        <f t="array" ref="E135">MEDIAN(IF(ISNUMBER(E105:E133),E105:E133))</f>
        <v>4.1849785336136822</v>
      </c>
      <c r="F135" s="16" cm="1">
        <f t="array" ref="F135">MEDIAN(IF(ISNUMBER(F105:F133),F105:F133))</f>
        <v>4.2839567966827747</v>
      </c>
      <c r="G135" s="16" cm="1">
        <f t="array" ref="G135">MEDIAN(IF(ISNUMBER(G105:G133),G105:G133))</f>
        <v>4.3502563219602184</v>
      </c>
      <c r="H135" s="16" cm="1">
        <f t="array" ref="H135">MEDIAN(IF(ISNUMBER(H105:H133),H105:H133))</f>
        <v>4.1344720615004569</v>
      </c>
      <c r="I135" s="16" cm="1">
        <f t="array" ref="I135">MEDIAN(IF(ISNUMBER(I105:I133),I105:I133))</f>
        <v>4.1263984305936097</v>
      </c>
      <c r="J135" s="16" cm="1">
        <f t="array" ref="J135">MEDIAN(IF(ISNUMBER(J105:J133),J105:J133))</f>
        <v>4.0623924268502583</v>
      </c>
      <c r="K135" s="16" cm="1">
        <f t="array" ref="K135">MEDIAN(IF(ISNUMBER(K105:K133),K105:K133))</f>
        <v>3.9706536131382828</v>
      </c>
      <c r="L135" s="16" cm="1">
        <f t="array" ref="L135">MEDIAN(IF(ISNUMBER(L105:L133),L105:L133))</f>
        <v>4.0535578706141084</v>
      </c>
      <c r="M135" s="16" cm="1">
        <f t="array" ref="M135">MEDIAN(IF(ISNUMBER(M105:M133),M105:M133))</f>
        <v>4.552409801447296</v>
      </c>
      <c r="N135" s="16" cm="1">
        <f t="array" ref="N135">MEDIAN(IF(ISNUMBER(N105:N133),N105:N133))</f>
        <v>4.3201850483503073</v>
      </c>
      <c r="O135" s="16" cm="1">
        <f t="array" ref="O135">MEDIAN(IF(ISNUMBER(O105:O133),O105:O133))</f>
        <v>4.3857999422174654</v>
      </c>
      <c r="P135" s="16" cm="1">
        <f t="array" ref="P135">MEDIAN(IF(ISNUMBER(P105:P133),P105:P133))</f>
        <v>4.1689039091268931</v>
      </c>
      <c r="Q135" s="16" cm="1">
        <f t="array" ref="Q135">MEDIAN(IF(ISNUMBER(Q105:Q133),Q105:Q133))</f>
        <v>4.1096187847560595</v>
      </c>
      <c r="R135" s="16" cm="1">
        <f t="array" ref="R135">MEDIAN(IF(ISNUMBER(R105:R133),R105:R133))</f>
        <v>4.1251507776954819</v>
      </c>
      <c r="S135" s="16" cm="1">
        <f t="array" ref="S135">MEDIAN(IF(ISNUMBER(S105:S133),S105:S133))</f>
        <v>4.1310069897905191</v>
      </c>
      <c r="T135" s="16" cm="1">
        <f t="array" ref="T135">MEDIAN(IF(ISNUMBER(T105:T133),T105:T133))</f>
        <v>4.1956578799355055</v>
      </c>
      <c r="U135" s="16" cm="1">
        <f t="array" ref="U135">MEDIAN(IF(ISNUMBER(U105:U133),U105:U133))</f>
        <v>4.0083015462366882</v>
      </c>
      <c r="V135" s="16" cm="1">
        <f t="array" ref="V135">MEDIAN(IF(ISNUMBER(V105:V133),V105:V133))</f>
        <v>3.9635115787559938</v>
      </c>
      <c r="W135" s="16" cm="1">
        <f t="array" ref="W135">MEDIAN(IF(ISNUMBER(W105:W133),W105:W133))</f>
        <v>3.835233397808631</v>
      </c>
      <c r="X135" s="15" cm="1">
        <f t="array" ref="X135">MEDIAN(IF(ISNUMBER(X105:X133),X105:X133))</f>
        <v>4.293572324662426</v>
      </c>
      <c r="AA135" s="16" cm="1">
        <f t="array" ref="AA135">MEDIAN(IF(ISNUMBER(AA105:AA133),AA105:AA133))</f>
        <v>1.8228668116992994</v>
      </c>
      <c r="AB135" s="16" cm="1">
        <f t="array" ref="AB135">MEDIAN(IF(ISNUMBER(AB105:AB133),AB105:AB133))</f>
        <v>2.0245428522241427</v>
      </c>
      <c r="AC135" s="16" cm="1">
        <f t="array" ref="AC135">MEDIAN(IF(ISNUMBER(AC105:AC133),AC105:AC133))</f>
        <v>2.0053665720870626</v>
      </c>
      <c r="AD135" s="16" cm="1">
        <f t="array" ref="AD135">MEDIAN(IF(ISNUMBER(AD105:AD133),AD105:AD133))</f>
        <v>2.0901805008411181</v>
      </c>
      <c r="AE135" s="16" cm="1">
        <f t="array" ref="AE135">MEDIAN(IF(ISNUMBER(AE105:AE133),AE105:AE133))</f>
        <v>2.0257541210847791</v>
      </c>
      <c r="AF135" s="16" cm="1">
        <f t="array" ref="AF135">MEDIAN(IF(ISNUMBER(AF105:AF133),AF105:AF133))</f>
        <v>2.0158539131331059</v>
      </c>
      <c r="AG135" s="16" cm="1">
        <f t="array" ref="AG135">MEDIAN(IF(ISNUMBER(AG105:AG133),AG105:AG133))</f>
        <v>2.0354045275684278</v>
      </c>
      <c r="AH135" s="16" cm="1">
        <f t="array" ref="AH135">MEDIAN(IF(ISNUMBER(AH105:AH133),AH105:AH133))</f>
        <v>2.0009754389002925</v>
      </c>
      <c r="AI135" s="16" cm="1">
        <f t="array" ref="AI135">MEDIAN(IF(ISNUMBER(AI105:AI133),AI105:AI133))</f>
        <v>2.0533969453824468</v>
      </c>
      <c r="AJ135" s="16" cm="1">
        <f t="array" ref="AJ135">MEDIAN(IF(ISNUMBER(AJ105:AJ133),AJ105:AJ133))</f>
        <v>2.2335150055380728</v>
      </c>
      <c r="AK135" s="16" cm="1">
        <f t="array" ref="AK135">MEDIAN(IF(ISNUMBER(AK105:AK133),AK105:AK133))</f>
        <v>2.0873372840372353</v>
      </c>
      <c r="AL135" s="16" cm="1">
        <f t="array" ref="AL135">MEDIAN(IF(ISNUMBER(AL105:AL133),AL105:AL133))</f>
        <v>2.1579395558523964</v>
      </c>
      <c r="AM135" s="16" cm="1">
        <f t="array" ref="AM135">MEDIAN(IF(ISNUMBER(AM105:AM133),AM105:AM133))</f>
        <v>1.9618371337067735</v>
      </c>
      <c r="AN135" s="16" cm="1">
        <f t="array" ref="AN135">MEDIAN(IF(ISNUMBER(AN105:AN133),AN105:AN133))</f>
        <v>2.0759841479524437</v>
      </c>
      <c r="AO135" s="16" cm="1">
        <f t="array" ref="AO135">MEDIAN(IF(ISNUMBER(AO105:AO133),AO105:AO133))</f>
        <v>1.9730406456079819</v>
      </c>
      <c r="AP135" s="16" cm="1">
        <f t="array" ref="AP135">MEDIAN(IF(ISNUMBER(AP105:AP133),AP105:AP133))</f>
        <v>1.9147209812137529</v>
      </c>
      <c r="AQ135" s="16" cm="1">
        <f t="array" ref="AQ135">MEDIAN(IF(ISNUMBER(AQ105:AQ133),AQ105:AQ133))</f>
        <v>1.970264054826651</v>
      </c>
      <c r="AR135" s="16" cm="1">
        <f t="array" ref="AR135">MEDIAN(IF(ISNUMBER(AR105:AR133),AR105:AR133))</f>
        <v>1.8638167861832138</v>
      </c>
      <c r="AS135" s="16" cm="1">
        <f t="array" ref="AS135">MEDIAN(IF(ISNUMBER(AS105:AS133),AS105:AS133))</f>
        <v>1.9456397156161578</v>
      </c>
      <c r="AT135" s="16" cm="1">
        <f t="array" ref="AT135">MEDIAN(IF(ISNUMBER(AT105:AT133),AT105:AT133))</f>
        <v>2.0025463195631055</v>
      </c>
      <c r="AU135" s="16" cm="1">
        <f t="array" ref="AU135">MEDIAN(IF(ISNUMBER(AU105:AU133),AU105:AU133))</f>
        <v>2.1610254970638065</v>
      </c>
      <c r="AW135" s="16" cm="1">
        <f t="array" ref="AW135">MEDIAN(IF(ISNUMBER(AW105:AW133),AW105:AW133))</f>
        <v>0.30829751850523363</v>
      </c>
      <c r="AX135" s="16" cm="1">
        <f t="array" ref="AX135">MEDIAN(IF(ISNUMBER(AX105:AX133),AX105:AX133))</f>
        <v>0.4666257007185598</v>
      </c>
      <c r="AY135" s="16" cm="1">
        <f t="array" ref="AY135">MEDIAN(IF(ISNUMBER(AY105:AY133),AY105:AY133))</f>
        <v>0.47408457219771682</v>
      </c>
      <c r="AZ135" s="16" cm="1">
        <f t="array" ref="AZ135">MEDIAN(IF(ISNUMBER(AZ105:AZ133),AZ105:AZ133))</f>
        <v>0.4665242886255988</v>
      </c>
      <c r="BA135" s="16" cm="1">
        <f t="array" ref="BA135">MEDIAN(IF(ISNUMBER(BA105:BA133),BA105:BA133))</f>
        <v>0.46052140836979505</v>
      </c>
      <c r="BB135" s="16" cm="1">
        <f t="array" ref="BB135">MEDIAN(IF(ISNUMBER(BB105:BB133),BB105:BB133))</f>
        <v>0.43558162446854831</v>
      </c>
      <c r="BC135" s="16" cm="1">
        <f t="array" ref="BC135">MEDIAN(IF(ISNUMBER(BC105:BC133),BC105:BC133))</f>
        <v>0.43550351740202703</v>
      </c>
      <c r="BD135" s="16" cm="1">
        <f t="array" ref="BD135">MEDIAN(IF(ISNUMBER(BD105:BD133),BD105:BD133))</f>
        <v>0.45268235487220776</v>
      </c>
      <c r="BE135" s="16" cm="1">
        <f t="array" ref="BE135">MEDIAN(IF(ISNUMBER(BE105:BE133),BE105:BE133))</f>
        <v>0.45368930222614184</v>
      </c>
      <c r="BF135" s="16" cm="1">
        <f t="array" ref="BF135">MEDIAN(IF(ISNUMBER(BF105:BF133),BF105:BF133))</f>
        <v>0.49565843941170651</v>
      </c>
      <c r="BG135" s="16" cm="1">
        <f t="array" ref="BG135">MEDIAN(IF(ISNUMBER(BG105:BG133),BG105:BG133))</f>
        <v>0.48002056092781187</v>
      </c>
      <c r="BH135" s="16" cm="1">
        <f t="array" ref="BH135">MEDIAN(IF(ISNUMBER(BH105:BH133),BH105:BH133))</f>
        <v>0.48145675018414813</v>
      </c>
      <c r="BI135" s="16" cm="1">
        <f t="array" ref="BI135">MEDIAN(IF(ISNUMBER(BI105:BI133),BI105:BI133))</f>
        <v>0.47584817248026007</v>
      </c>
      <c r="BJ135" s="16" cm="1">
        <f t="array" ref="BJ135">MEDIAN(IF(ISNUMBER(BJ105:BJ133),BJ105:BJ133))</f>
        <v>0.48348456291247754</v>
      </c>
      <c r="BK135" s="16" cm="1">
        <f t="array" ref="BK135">MEDIAN(IF(ISNUMBER(BK105:BK133),BK105:BK133))</f>
        <v>0.44560586341530239</v>
      </c>
      <c r="BL135" s="16" cm="1">
        <f t="array" ref="BL135">MEDIAN(IF(ISNUMBER(BL105:BL133),BL105:BL133))</f>
        <v>0.44344181820846096</v>
      </c>
      <c r="BM135" s="16" cm="1">
        <f t="array" ref="BM135">MEDIAN(IF(ISNUMBER(BM105:BM133),BM105:BM133))</f>
        <v>0.43942386542842116</v>
      </c>
      <c r="BN135" s="16" cm="1">
        <f t="array" ref="BN135">MEDIAN(IF(ISNUMBER(BN105:BN133),BN105:BN133))</f>
        <v>0.45437354743291791</v>
      </c>
      <c r="BO135" s="16" cm="1">
        <f t="array" ref="BO135">MEDIAN(IF(ISNUMBER(BO105:BO133),BO105:BO133))</f>
        <v>0.46629547985364639</v>
      </c>
      <c r="BP135" s="16" cm="1">
        <f t="array" ref="BP135">MEDIAN(IF(ISNUMBER(BP105:BP133),BP105:BP133))</f>
        <v>0.48738706379686675</v>
      </c>
      <c r="BQ135" s="16" cm="1">
        <f t="array" ref="BQ135">MEDIAN(IF(ISNUMBER(BQ105:BQ133),BQ105:BQ133))</f>
        <v>0.48216614845104749</v>
      </c>
      <c r="BS135" s="16" cm="1">
        <f t="array" ref="BS135">MEDIAN(IF(ISNUMBER(BS105:BS133),BS105:BS133))</f>
        <v>0.61740001734220984</v>
      </c>
      <c r="BT135" s="16" cm="1">
        <f t="array" ref="BT135">MEDIAN(IF(ISNUMBER(BT105:BT133),BT105:BT133))</f>
        <v>0.7150157721596726</v>
      </c>
      <c r="BU135" s="16" cm="1">
        <f t="array" ref="BU135">MEDIAN(IF(ISNUMBER(BU105:BU133),BU105:BU133))</f>
        <v>0.78300888231585142</v>
      </c>
      <c r="BV135" s="16" cm="1">
        <f t="array" ref="BV135">MEDIAN(IF(ISNUMBER(BV105:BV133),BV105:BV133))</f>
        <v>0.76444746201425118</v>
      </c>
      <c r="BW135" s="16" cm="1">
        <f t="array" ref="BW135">MEDIAN(IF(ISNUMBER(BW105:BW133),BW105:BW133))</f>
        <v>0.74299958562659119</v>
      </c>
      <c r="BX135" s="16" cm="1">
        <f t="array" ref="BX135">MEDIAN(IF(ISNUMBER(BX105:BX133),BX105:BX133))</f>
        <v>0.71319591464862242</v>
      </c>
      <c r="BY135" s="16" cm="1">
        <f t="array" ref="BY135">MEDIAN(IF(ISNUMBER(BY105:BY133),BY105:BY133))</f>
        <v>0.69467773152799794</v>
      </c>
      <c r="BZ135" s="16" cm="1">
        <f t="array" ref="BZ135">MEDIAN(IF(ISNUMBER(BZ105:BZ133),BZ105:BZ133))</f>
        <v>0.69053908836495115</v>
      </c>
      <c r="CA135" s="16" cm="1">
        <f t="array" ref="CA135">MEDIAN(IF(ISNUMBER(CA105:CA133),CA105:CA133))</f>
        <v>0.73142984880507245</v>
      </c>
      <c r="CB135" s="16" cm="1">
        <f t="array" ref="CB135">MEDIAN(IF(ISNUMBER(CB105:CB133),CB105:CB133))</f>
        <v>0.77029706827700406</v>
      </c>
      <c r="CC135" s="16" cm="1">
        <f t="array" ref="CC135">MEDIAN(IF(ISNUMBER(CC105:CC133),CC105:CC133))</f>
        <v>0.7599146107047472</v>
      </c>
      <c r="CD135" s="16" cm="1">
        <f t="array" ref="CD135">MEDIAN(IF(ISNUMBER(CD105:CD133),CD105:CD133))</f>
        <v>0.78397400393594097</v>
      </c>
      <c r="CE135" s="16" cm="1">
        <f t="array" ref="CE135">MEDIAN(IF(ISNUMBER(CE105:CE133),CE105:CE133))</f>
        <v>0.71377225872038996</v>
      </c>
      <c r="CF135" s="16" cm="1">
        <f t="array" ref="CF135">MEDIAN(IF(ISNUMBER(CF105:CF133),CF105:CF133))</f>
        <v>0.72522684436871621</v>
      </c>
      <c r="CG135" s="16" cm="1">
        <f t="array" ref="CG135">MEDIAN(IF(ISNUMBER(CG105:CG133),CG105:CG133))</f>
        <v>0.73989024210299315</v>
      </c>
      <c r="CH135" s="16" cm="1">
        <f t="array" ref="CH135">MEDIAN(IF(ISNUMBER(CH105:CH133),CH105:CH133))</f>
        <v>0.71802036795515722</v>
      </c>
      <c r="CI135" s="16" cm="1">
        <f t="array" ref="CI135">MEDIAN(IF(ISNUMBER(CI105:CI133),CI105:CI133))</f>
        <v>0.70071323994935097</v>
      </c>
      <c r="CJ135" s="16" cm="1">
        <f t="array" ref="CJ135">MEDIAN(IF(ISNUMBER(CJ105:CJ133),CJ105:CJ133))</f>
        <v>0.70734733168882724</v>
      </c>
      <c r="CK135" s="16" cm="1">
        <f t="array" ref="CK135">MEDIAN(IF(ISNUMBER(CK105:CK133),CK105:CK133))</f>
        <v>0.6997610164485778</v>
      </c>
      <c r="CL135" s="16" cm="1">
        <f t="array" ref="CL135">MEDIAN(IF(ISNUMBER(CL105:CL133),CL105:CL133))</f>
        <v>0.70478679685702073</v>
      </c>
      <c r="CM135" s="16" cm="1">
        <f t="array" ref="CM135">MEDIAN(IF(ISNUMBER(CM105:CM133),CM105:CM133))</f>
        <v>0.73046244955842687</v>
      </c>
      <c r="CO135" s="16" cm="1">
        <f t="array" ref="CO135">MEDIAN(IF(ISNUMBER(CO105:CO133),CO105:CO133))</f>
        <v>0.2635329675023288</v>
      </c>
      <c r="CP135" s="16" cm="1">
        <f t="array" ref="CP135">MEDIAN(IF(ISNUMBER(CP105:CP133),CP105:CP133))</f>
        <v>0.41493693595111958</v>
      </c>
      <c r="CQ135" s="16" cm="1">
        <f t="array" ref="CQ135">MEDIAN(IF(ISNUMBER(CQ105:CQ133),CQ105:CQ133))</f>
        <v>0.42325616275642058</v>
      </c>
      <c r="CR135" s="16" cm="1">
        <f t="array" ref="CR135">MEDIAN(IF(ISNUMBER(CR105:CR133),CR105:CR133))</f>
        <v>0.42130658310630403</v>
      </c>
      <c r="CS135" s="16" cm="1">
        <f t="array" ref="CS135">MEDIAN(IF(ISNUMBER(CS105:CS133),CS105:CS133))</f>
        <v>0.42390148626874968</v>
      </c>
      <c r="CT135" s="16" cm="1">
        <f t="array" ref="CT135">MEDIAN(IF(ISNUMBER(CT105:CT133),CT105:CT133))</f>
        <v>0.3662325451657904</v>
      </c>
      <c r="CU135" s="16" cm="1">
        <f t="array" ref="CU135">MEDIAN(IF(ISNUMBER(CU105:CU133),CU105:CU133))</f>
        <v>0.34254505483386244</v>
      </c>
      <c r="CV135" s="16" cm="1">
        <f t="array" ref="CV135">MEDIAN(IF(ISNUMBER(CV105:CV133),CV105:CV133))</f>
        <v>0.28496497200262866</v>
      </c>
      <c r="CW135" s="16" cm="1">
        <f t="array" ref="CW135">MEDIAN(IF(ISNUMBER(CW105:CW133),CW105:CW133))</f>
        <v>0.39282445648107112</v>
      </c>
      <c r="CX135" s="16" cm="1">
        <f t="array" ref="CX135">MEDIAN(IF(ISNUMBER(CX105:CX133),CX105:CX133))</f>
        <v>0.3721743415081129</v>
      </c>
      <c r="CY135" s="16" cm="1">
        <f t="array" ref="CY135">MEDIAN(IF(ISNUMBER(CY105:CY133),CY105:CY133))</f>
        <v>0.40575895721090255</v>
      </c>
      <c r="CZ135" s="16" cm="1">
        <f t="array" ref="CZ135">MEDIAN(IF(ISNUMBER(CZ105:CZ133),CZ105:CZ133))</f>
        <v>0.41333274199896891</v>
      </c>
      <c r="DA135" s="16" cm="1">
        <f t="array" ref="DA135">MEDIAN(IF(ISNUMBER(DA105:DA133),DA105:DA133))</f>
        <v>0.38344296884696538</v>
      </c>
      <c r="DB135" s="16" cm="1">
        <f t="array" ref="DB135">MEDIAN(IF(ISNUMBER(DB105:DB133),DB105:DB133))</f>
        <v>0.4070069153495206</v>
      </c>
      <c r="DC135" s="16" cm="1">
        <f t="array" ref="DC135">MEDIAN(IF(ISNUMBER(DC105:DC133),DC105:DC133))</f>
        <v>0.38063233453755518</v>
      </c>
      <c r="DD135" s="16" cm="1">
        <f t="array" ref="DD135">MEDIAN(IF(ISNUMBER(DD105:DD133),DD105:DD133))</f>
        <v>0.37613434163701065</v>
      </c>
      <c r="DE135" s="16" cm="1">
        <f t="array" ref="DE135">MEDIAN(IF(ISNUMBER(DE105:DE133),DE105:DE133))</f>
        <v>0.38187730994999641</v>
      </c>
      <c r="DF135" s="16" cm="1">
        <f t="array" ref="DF135">MEDIAN(IF(ISNUMBER(DF105:DF133),DF105:DF133))</f>
        <v>0.38599285017874552</v>
      </c>
      <c r="DG135" s="16" cm="1">
        <f t="array" ref="DG135">MEDIAN(IF(ISNUMBER(DG105:DG133),DG105:DG133))</f>
        <v>0.39247177215494622</v>
      </c>
      <c r="DH135" s="16" cm="1">
        <f t="array" ref="DH135">MEDIAN(IF(ISNUMBER(DH105:DH133),DH105:DH133))</f>
        <v>0.40464084259269772</v>
      </c>
      <c r="DI135" s="16" cm="1">
        <f t="array" ref="DI135">MEDIAN(IF(ISNUMBER(DI105:DI133),DI105:DI133))</f>
        <v>0.4219414869913089</v>
      </c>
      <c r="EG135" s="16" cm="1">
        <f t="array" ref="EG135">MEDIAN(IF(ISNUMBER(EG105:EG133),EG105:EG133))</f>
        <v>0.20580000578073665</v>
      </c>
      <c r="EH135" s="16" cm="1">
        <f t="array" ref="EH135">MEDIAN(IF(ISNUMBER(EH105:EH133),EH105:EH133))</f>
        <v>0.17708735446111701</v>
      </c>
      <c r="EI135" s="16" cm="1">
        <f t="array" ref="EI135">MEDIAN(IF(ISNUMBER(EI105:EI133),EI105:EI133))</f>
        <v>0</v>
      </c>
      <c r="EJ135" s="16" cm="1">
        <f t="array" ref="EJ135">MEDIAN(IF(ISNUMBER(EJ105:EJ133),EJ105:EJ133))</f>
        <v>0.20332241527660283</v>
      </c>
      <c r="EK135" s="16" cm="1">
        <f t="array" ref="EK135">MEDIAN(IF(ISNUMBER(EK105:EK133),EK105:EK133))</f>
        <v>0.20374794069192753</v>
      </c>
      <c r="EL135" s="16" cm="1">
        <f t="array" ref="EL135">MEDIAN(IF(ISNUMBER(EL105:EL133),EL105:EL133))</f>
        <v>0.1931472468187416</v>
      </c>
      <c r="EM135" s="16" cm="1">
        <f t="array" ref="EM135">MEDIAN(IF(ISNUMBER(EM105:EM133),EM105:EM133))</f>
        <v>0</v>
      </c>
      <c r="EN135" s="16" cm="1">
        <f t="array" ref="EN135">MEDIAN(IF(ISNUMBER(EN105:EN133),EN105:EN133))</f>
        <v>0.19307867766206691</v>
      </c>
      <c r="EO135" s="16" cm="1">
        <f t="array" ref="EO135">MEDIAN(IF(ISNUMBER(EO105:EO133),EO105:EO133))</f>
        <v>0.19670235680093184</v>
      </c>
      <c r="EP135" s="16" cm="1">
        <f t="array" ref="EP135">MEDIAN(IF(ISNUMBER(EP105:EP133),EP105:EP133))</f>
        <v>0.19841483584254904</v>
      </c>
      <c r="EQ135" s="16" cm="1">
        <f t="array" ref="EQ135">MEDIAN(IF(ISNUMBER(EQ105:EQ133),EQ105:EQ133))</f>
        <v>0.20376446775447685</v>
      </c>
      <c r="ER135" s="16" cm="1">
        <f t="array" ref="ER135">MEDIAN(IF(ISNUMBER(ER105:ER133),ER105:ER133))</f>
        <v>0.22469548290114283</v>
      </c>
      <c r="ES135" s="16" cm="1">
        <f t="array" ref="ES135">MEDIAN(IF(ISNUMBER(ES105:ES133),ES105:ES133))</f>
        <v>0.21222284872618108</v>
      </c>
      <c r="ET135" s="16" cm="1">
        <f t="array" ref="ET135">MEDIAN(IF(ISNUMBER(ET105:ET133),ET105:ET133))</f>
        <v>0.21175771408650473</v>
      </c>
      <c r="EU135" s="16" cm="1">
        <f t="array" ref="EU135">MEDIAN(IF(ISNUMBER(EU105:EU133),EU105:EU133))</f>
        <v>0.20655954948821439</v>
      </c>
      <c r="EV135" s="16" cm="1">
        <f t="array" ref="EV135">MEDIAN(IF(ISNUMBER(EV105:EV133),EV105:EV133))</f>
        <v>0.21988172398362094</v>
      </c>
      <c r="EW135" s="16" cm="1">
        <f t="array" ref="EW135">MEDIAN(IF(ISNUMBER(EW105:EW133),EW105:EW133))</f>
        <v>0.22286311959282679</v>
      </c>
      <c r="EX135" s="16" cm="1">
        <f t="array" ref="EX135">MEDIAN(IF(ISNUMBER(EX105:EX133),EX105:EX133))</f>
        <v>0.21299198291156982</v>
      </c>
      <c r="EY135" s="16" cm="1">
        <f t="array" ref="EY135">MEDIAN(IF(ISNUMBER(EY105:EY133),EY105:EY133))</f>
        <v>0.21891520841402828</v>
      </c>
      <c r="EZ135" s="16" cm="1">
        <f t="array" ref="EZ135">MEDIAN(IF(ISNUMBER(EZ105:EZ133),EZ105:EZ133))</f>
        <v>0.20929012143429637</v>
      </c>
      <c r="FA135" s="16" cm="1">
        <f t="array" ref="FA135">MEDIAN(IF(ISNUMBER(FA105:FA133),FA105:FA133))</f>
        <v>0.21002631463541854</v>
      </c>
    </row>
    <row r="139" spans="1:157">
      <c r="A139" t="s">
        <v>2092</v>
      </c>
      <c r="B139" t="s">
        <v>2093</v>
      </c>
      <c r="D139">
        <v>2001</v>
      </c>
      <c r="E139">
        <v>2002</v>
      </c>
      <c r="F139">
        <v>2003</v>
      </c>
      <c r="G139">
        <v>2004</v>
      </c>
      <c r="H139">
        <v>2005</v>
      </c>
      <c r="I139">
        <v>2006</v>
      </c>
      <c r="J139">
        <v>2007</v>
      </c>
      <c r="K139">
        <v>2008</v>
      </c>
      <c r="L139">
        <v>2009</v>
      </c>
      <c r="M139">
        <v>2010</v>
      </c>
      <c r="N139">
        <v>2011</v>
      </c>
      <c r="O139">
        <v>2012</v>
      </c>
      <c r="P139">
        <v>2013</v>
      </c>
      <c r="Q139">
        <v>2014</v>
      </c>
      <c r="R139">
        <v>2015</v>
      </c>
      <c r="S139">
        <v>2016</v>
      </c>
      <c r="T139">
        <v>2017</v>
      </c>
      <c r="U139">
        <v>2018</v>
      </c>
      <c r="V139">
        <v>2019</v>
      </c>
      <c r="W139">
        <v>2020</v>
      </c>
      <c r="AU139" s="82"/>
      <c r="AV139"/>
      <c r="BQ139" s="82"/>
      <c r="BR139"/>
      <c r="CM139" s="82"/>
      <c r="CN139"/>
      <c r="DI139" s="82"/>
      <c r="DJ139"/>
      <c r="EE139" s="82"/>
      <c r="EF139"/>
    </row>
    <row r="140" spans="1:157">
      <c r="B140" t="s">
        <v>78</v>
      </c>
      <c r="C140" t="s">
        <v>48</v>
      </c>
      <c r="D140" s="15">
        <f>E134</f>
        <v>4.086888771704035</v>
      </c>
      <c r="E140" s="15">
        <f t="shared" ref="E140:W140" si="165">F134</f>
        <v>4.176399451278404</v>
      </c>
      <c r="F140" s="15">
        <f t="shared" si="165"/>
        <v>4.1858365609110058</v>
      </c>
      <c r="G140" s="15">
        <f t="shared" si="165"/>
        <v>4.0875054847720609</v>
      </c>
      <c r="H140" s="15">
        <f t="shared" si="165"/>
        <v>4.0504569710565121</v>
      </c>
      <c r="I140" s="15">
        <f t="shared" si="165"/>
        <v>3.9951553743679873</v>
      </c>
      <c r="J140" s="15">
        <f t="shared" si="165"/>
        <v>3.9568041845662325</v>
      </c>
      <c r="K140" s="15">
        <f t="shared" si="165"/>
        <v>4.0823031527758058</v>
      </c>
      <c r="L140" s="15">
        <f t="shared" si="165"/>
        <v>4.5037305112283317</v>
      </c>
      <c r="M140" s="15">
        <f t="shared" si="165"/>
        <v>4.3724071549985508</v>
      </c>
      <c r="N140" s="15">
        <f t="shared" si="165"/>
        <v>4.2916362751477264</v>
      </c>
      <c r="O140" s="15">
        <f t="shared" si="165"/>
        <v>4.1427127383838327</v>
      </c>
      <c r="P140" s="15">
        <f t="shared" si="165"/>
        <v>4.0995477910778311</v>
      </c>
      <c r="Q140" s="15">
        <f t="shared" si="165"/>
        <v>4.0451460080850863</v>
      </c>
      <c r="R140" s="15">
        <f t="shared" si="165"/>
        <v>4.011685183503868</v>
      </c>
      <c r="S140" s="15">
        <f t="shared" si="165"/>
        <v>4.0100467953841692</v>
      </c>
      <c r="T140" s="15">
        <f t="shared" si="165"/>
        <v>3.9458681971701672</v>
      </c>
      <c r="U140" s="15">
        <f t="shared" si="165"/>
        <v>3.9532546780903934</v>
      </c>
      <c r="V140" s="15">
        <f t="shared" si="165"/>
        <v>4.0054977575358341</v>
      </c>
      <c r="W140" s="15">
        <f t="shared" si="165"/>
        <v>4.2490883723317934</v>
      </c>
      <c r="AU140" s="82"/>
      <c r="AV140"/>
      <c r="BQ140" s="82"/>
      <c r="BR140"/>
      <c r="CM140" s="82"/>
      <c r="CN140"/>
      <c r="DI140" s="82"/>
      <c r="DJ140"/>
      <c r="EE140" s="82"/>
      <c r="EF140"/>
    </row>
    <row r="141" spans="1:157">
      <c r="B141" t="s">
        <v>78</v>
      </c>
      <c r="C141" t="s">
        <v>2094</v>
      </c>
      <c r="D141" s="15">
        <f t="shared" ref="D141:W141" si="166">AB134</f>
        <v>2.1237143199957109</v>
      </c>
      <c r="E141" s="15">
        <f t="shared" si="166"/>
        <v>2.1708915165192613</v>
      </c>
      <c r="F141" s="15">
        <f t="shared" si="166"/>
        <v>2.1443969946945969</v>
      </c>
      <c r="G141" s="15">
        <f t="shared" si="166"/>
        <v>2.1334260567764383</v>
      </c>
      <c r="H141" s="15">
        <f t="shared" si="166"/>
        <v>2.0789701852517228</v>
      </c>
      <c r="I141" s="15">
        <f t="shared" si="166"/>
        <v>2.0599581148957014</v>
      </c>
      <c r="J141" s="15">
        <f t="shared" si="166"/>
        <v>2.0524668352617197</v>
      </c>
      <c r="K141" s="15">
        <f t="shared" si="166"/>
        <v>2.0989976997997721</v>
      </c>
      <c r="L141" s="15">
        <f t="shared" si="166"/>
        <v>2.2868361511541337</v>
      </c>
      <c r="M141" s="15">
        <f t="shared" si="166"/>
        <v>2.2202244997446456</v>
      </c>
      <c r="N141" s="15">
        <f t="shared" si="166"/>
        <v>2.1507424917442828</v>
      </c>
      <c r="O141" s="15">
        <f t="shared" si="166"/>
        <v>2.0500241486150874</v>
      </c>
      <c r="P141" s="15">
        <f t="shared" si="166"/>
        <v>2.0337903939554653</v>
      </c>
      <c r="Q141" s="15">
        <f t="shared" si="166"/>
        <v>1.9724306294374157</v>
      </c>
      <c r="R141" s="15">
        <f t="shared" si="166"/>
        <v>1.9613051866932614</v>
      </c>
      <c r="S141" s="15">
        <f t="shared" si="166"/>
        <v>1.986833889681336</v>
      </c>
      <c r="T141" s="15">
        <f t="shared" si="166"/>
        <v>2.0141619240071145</v>
      </c>
      <c r="U141" s="15">
        <f t="shared" si="166"/>
        <v>2.0012220677252803</v>
      </c>
      <c r="V141" s="15">
        <f t="shared" si="166"/>
        <v>2.0168621831153568</v>
      </c>
      <c r="W141" s="15">
        <f t="shared" si="166"/>
        <v>2.1348389632520934</v>
      </c>
      <c r="AU141" s="82"/>
      <c r="AV141"/>
      <c r="BQ141" s="82"/>
      <c r="BR141"/>
      <c r="CM141" s="82"/>
      <c r="CN141"/>
      <c r="DI141" s="82"/>
      <c r="DJ141"/>
      <c r="EE141" s="82"/>
      <c r="EF141"/>
    </row>
    <row r="142" spans="1:157">
      <c r="B142" t="s">
        <v>78</v>
      </c>
      <c r="C142" t="s">
        <v>2095</v>
      </c>
      <c r="D142" s="15">
        <f t="shared" ref="D142:W142" si="167">AX134</f>
        <v>0.44770064404663984</v>
      </c>
      <c r="E142" s="15">
        <f t="shared" si="167"/>
        <v>0.48306219597914102</v>
      </c>
      <c r="F142" s="15">
        <f t="shared" si="167"/>
        <v>0.46125137978264646</v>
      </c>
      <c r="G142" s="15">
        <f t="shared" si="167"/>
        <v>0.44704117854982778</v>
      </c>
      <c r="H142" s="15">
        <f t="shared" si="167"/>
        <v>0.4500339567487463</v>
      </c>
      <c r="I142" s="15">
        <f t="shared" si="167"/>
        <v>0.44785795194060518</v>
      </c>
      <c r="J142" s="15">
        <f t="shared" si="167"/>
        <v>0.46642041832624564</v>
      </c>
      <c r="K142" s="15">
        <f t="shared" si="167"/>
        <v>0.47342586133753312</v>
      </c>
      <c r="L142" s="15">
        <f t="shared" si="167"/>
        <v>0.5325143483372915</v>
      </c>
      <c r="M142" s="15">
        <f t="shared" si="167"/>
        <v>0.51412269493949259</v>
      </c>
      <c r="N142" s="15">
        <f t="shared" si="167"/>
        <v>0.48527318629476579</v>
      </c>
      <c r="O142" s="15">
        <f t="shared" si="167"/>
        <v>0.48757397531652774</v>
      </c>
      <c r="P142" s="15">
        <f t="shared" si="167"/>
        <v>0.49291753784416276</v>
      </c>
      <c r="Q142" s="15">
        <f t="shared" si="167"/>
        <v>0.46695504355134182</v>
      </c>
      <c r="R142" s="15">
        <f t="shared" si="167"/>
        <v>0.48339812036229274</v>
      </c>
      <c r="S142" s="15">
        <f t="shared" si="167"/>
        <v>0.44500147031972864</v>
      </c>
      <c r="T142" s="15">
        <f t="shared" si="167"/>
        <v>0.45643691160532901</v>
      </c>
      <c r="U142" s="15">
        <f t="shared" si="167"/>
        <v>0.47881773134733147</v>
      </c>
      <c r="V142" s="15">
        <f t="shared" si="167"/>
        <v>0.49852603925638472</v>
      </c>
      <c r="W142" s="15">
        <f t="shared" si="167"/>
        <v>0.52819838458230273</v>
      </c>
      <c r="AU142" s="82"/>
      <c r="AV142"/>
      <c r="BQ142" s="82"/>
      <c r="BR142"/>
      <c r="CM142" s="82"/>
      <c r="CN142"/>
      <c r="DI142" s="82"/>
      <c r="DJ142"/>
      <c r="EE142" s="82"/>
      <c r="EF142"/>
    </row>
    <row r="143" spans="1:157">
      <c r="B143" t="s">
        <v>78</v>
      </c>
      <c r="C143" t="s">
        <v>2096</v>
      </c>
      <c r="D143" s="15">
        <f t="shared" ref="D143:W143" si="168">BT134</f>
        <v>0.76826739664391808</v>
      </c>
      <c r="E143" s="15">
        <f t="shared" si="168"/>
        <v>0.82106717561924203</v>
      </c>
      <c r="F143" s="15">
        <f t="shared" si="168"/>
        <v>0.81655839591610213</v>
      </c>
      <c r="G143" s="15">
        <f t="shared" si="168"/>
        <v>0.81048243390809593</v>
      </c>
      <c r="H143" s="15">
        <f t="shared" si="168"/>
        <v>0.75896636653048166</v>
      </c>
      <c r="I143" s="15">
        <f t="shared" si="168"/>
        <v>0.73671191617088527</v>
      </c>
      <c r="J143" s="15">
        <f t="shared" si="168"/>
        <v>0.72680742133417842</v>
      </c>
      <c r="K143" s="15">
        <f t="shared" si="168"/>
        <v>0.7528650966314131</v>
      </c>
      <c r="L143" s="15">
        <f t="shared" si="168"/>
        <v>0.82409446710626455</v>
      </c>
      <c r="M143" s="15">
        <f t="shared" si="168"/>
        <v>0.81341672340178561</v>
      </c>
      <c r="N143" s="15">
        <f t="shared" si="168"/>
        <v>0.79058317890245722</v>
      </c>
      <c r="O143" s="15">
        <f t="shared" si="168"/>
        <v>0.75968162089449354</v>
      </c>
      <c r="P143" s="15">
        <f t="shared" si="168"/>
        <v>0.73510591552541038</v>
      </c>
      <c r="Q143" s="15">
        <f t="shared" si="168"/>
        <v>0.7253229902099313</v>
      </c>
      <c r="R143" s="15">
        <f t="shared" si="168"/>
        <v>0.69905195087362759</v>
      </c>
      <c r="S143" s="15">
        <f t="shared" si="168"/>
        <v>0.70967463787239715</v>
      </c>
      <c r="T143" s="15">
        <f t="shared" si="168"/>
        <v>0.71405426686557982</v>
      </c>
      <c r="U143" s="15">
        <f t="shared" si="168"/>
        <v>0.70111826169109837</v>
      </c>
      <c r="V143" s="15">
        <f t="shared" si="168"/>
        <v>0.71147705924336013</v>
      </c>
      <c r="W143" s="15">
        <f t="shared" si="168"/>
        <v>0.74683518421261941</v>
      </c>
      <c r="AU143" s="82"/>
      <c r="AV143"/>
      <c r="BQ143" s="82"/>
      <c r="BR143"/>
      <c r="CM143" s="82"/>
      <c r="CN143"/>
      <c r="DI143" s="82"/>
      <c r="DJ143"/>
      <c r="EE143" s="82"/>
      <c r="EF143"/>
    </row>
    <row r="144" spans="1:157">
      <c r="B144" t="s">
        <v>78</v>
      </c>
      <c r="C144" t="str">
        <f>CQ103 &amp;" (left axis)"</f>
        <v>Expenditure on prisons (left axis)</v>
      </c>
      <c r="D144" s="15">
        <f t="shared" ref="D144:W144" si="169">CP134</f>
        <v>0.45202723126893951</v>
      </c>
      <c r="E144" s="15">
        <f t="shared" si="169"/>
        <v>0.48154732208001638</v>
      </c>
      <c r="F144" s="15">
        <f t="shared" si="169"/>
        <v>0.46769808075881986</v>
      </c>
      <c r="G144" s="15">
        <f t="shared" si="169"/>
        <v>0.46600861924477077</v>
      </c>
      <c r="H144" s="15">
        <f t="shared" si="169"/>
        <v>0.44951657335369138</v>
      </c>
      <c r="I144" s="15">
        <f t="shared" si="169"/>
        <v>0.42332763393377359</v>
      </c>
      <c r="J144" s="15">
        <f t="shared" si="169"/>
        <v>0.41813429732597418</v>
      </c>
      <c r="K144" s="15">
        <f t="shared" si="169"/>
        <v>0.44870511122172979</v>
      </c>
      <c r="L144" s="15">
        <f t="shared" si="169"/>
        <v>0.46081648420791899</v>
      </c>
      <c r="M144" s="15">
        <f t="shared" si="169"/>
        <v>0.47296664872675248</v>
      </c>
      <c r="N144" s="15">
        <f t="shared" si="169"/>
        <v>0.46456673802072296</v>
      </c>
      <c r="O144" s="15">
        <f t="shared" si="169"/>
        <v>0.43642432873821779</v>
      </c>
      <c r="P144" s="15">
        <f t="shared" si="169"/>
        <v>0.45166595982457136</v>
      </c>
      <c r="Q144" s="15">
        <f t="shared" si="169"/>
        <v>0.43454505848618047</v>
      </c>
      <c r="R144" s="15">
        <f t="shared" si="169"/>
        <v>0.43625950856674806</v>
      </c>
      <c r="S144" s="15">
        <f t="shared" si="169"/>
        <v>0.43468420196664503</v>
      </c>
      <c r="T144" s="15">
        <f t="shared" si="169"/>
        <v>0.42785378046647821</v>
      </c>
      <c r="U144" s="15">
        <f t="shared" si="169"/>
        <v>0.41568555999835799</v>
      </c>
      <c r="V144" s="15">
        <f t="shared" si="169"/>
        <v>0.41501284968327118</v>
      </c>
      <c r="W144" s="15">
        <f t="shared" si="169"/>
        <v>0.45655670839019397</v>
      </c>
      <c r="AU144" s="82"/>
      <c r="AV144"/>
      <c r="BQ144" s="82"/>
      <c r="BR144"/>
      <c r="CM144" s="82"/>
      <c r="CN144"/>
      <c r="DI144" s="82"/>
      <c r="DJ144"/>
      <c r="EE144" s="82"/>
      <c r="EF144"/>
    </row>
    <row r="145" spans="2:136">
      <c r="B145" t="s">
        <v>2097</v>
      </c>
      <c r="C145" t="s">
        <v>2094</v>
      </c>
      <c r="D145" s="15">
        <f t="shared" ref="D145:W148" si="170">D141/D$140*100</f>
        <v>51.964084139002019</v>
      </c>
      <c r="E145" s="15">
        <f t="shared" si="170"/>
        <v>51.97997801323212</v>
      </c>
      <c r="F145" s="15">
        <f t="shared" si="170"/>
        <v>51.229830966641707</v>
      </c>
      <c r="G145" s="15">
        <f t="shared" si="170"/>
        <v>52.193839610111461</v>
      </c>
      <c r="H145" s="15">
        <f t="shared" si="170"/>
        <v>51.326805842093634</v>
      </c>
      <c r="I145" s="15">
        <f t="shared" si="170"/>
        <v>51.561401794581663</v>
      </c>
      <c r="J145" s="15">
        <f t="shared" si="170"/>
        <v>51.871832406250931</v>
      </c>
      <c r="K145" s="15">
        <f t="shared" si="170"/>
        <v>51.416997250009132</v>
      </c>
      <c r="L145" s="15">
        <f t="shared" si="170"/>
        <v>50.776487302088377</v>
      </c>
      <c r="M145" s="15">
        <f t="shared" si="170"/>
        <v>50.77808221053882</v>
      </c>
      <c r="N145" s="15">
        <f t="shared" si="170"/>
        <v>50.114743045652212</v>
      </c>
      <c r="O145" s="15">
        <f t="shared" si="170"/>
        <v>49.485066382248093</v>
      </c>
      <c r="P145" s="15">
        <f t="shared" si="170"/>
        <v>49.610115495708179</v>
      </c>
      <c r="Q145" s="15">
        <f t="shared" si="170"/>
        <v>48.760431032528686</v>
      </c>
      <c r="R145" s="15">
        <f t="shared" si="170"/>
        <v>48.889808072632135</v>
      </c>
      <c r="S145" s="15">
        <f t="shared" si="170"/>
        <v>49.546401602303348</v>
      </c>
      <c r="T145" s="15">
        <f t="shared" si="170"/>
        <v>51.044835340714066</v>
      </c>
      <c r="U145" s="15">
        <f t="shared" si="170"/>
        <v>50.622138735872291</v>
      </c>
      <c r="V145" s="15">
        <f t="shared" si="170"/>
        <v>50.352348327268125</v>
      </c>
      <c r="W145" s="15">
        <f t="shared" si="170"/>
        <v>50.242282018732112</v>
      </c>
      <c r="AU145" s="82"/>
      <c r="AV145"/>
      <c r="BQ145" s="82"/>
      <c r="BR145"/>
      <c r="CM145" s="82"/>
      <c r="CN145"/>
      <c r="DI145" s="82"/>
      <c r="DJ145"/>
      <c r="EE145" s="82"/>
      <c r="EF145"/>
    </row>
    <row r="146" spans="2:136">
      <c r="B146" t="s">
        <v>2097</v>
      </c>
      <c r="C146" t="s">
        <v>2095</v>
      </c>
      <c r="D146" s="15">
        <f t="shared" ref="D146:R146" si="171">D142/D$140*100</f>
        <v>10.954559055933649</v>
      </c>
      <c r="E146" s="15">
        <f t="shared" si="171"/>
        <v>11.566474941262497</v>
      </c>
      <c r="F146" s="15">
        <f t="shared" si="171"/>
        <v>11.019335635079351</v>
      </c>
      <c r="G146" s="15">
        <f t="shared" si="171"/>
        <v>10.936772567407502</v>
      </c>
      <c r="H146" s="15">
        <f t="shared" si="171"/>
        <v>11.110695903315829</v>
      </c>
      <c r="I146" s="15">
        <f t="shared" si="171"/>
        <v>11.210025893209572</v>
      </c>
      <c r="J146" s="15">
        <f t="shared" si="171"/>
        <v>11.787806435950211</v>
      </c>
      <c r="K146" s="15">
        <f t="shared" si="171"/>
        <v>11.597028530711203</v>
      </c>
      <c r="L146" s="15">
        <f t="shared" si="171"/>
        <v>11.823850183967943</v>
      </c>
      <c r="M146" s="15">
        <f t="shared" si="171"/>
        <v>11.758344470545151</v>
      </c>
      <c r="N146" s="15">
        <f t="shared" si="171"/>
        <v>11.307416453368051</v>
      </c>
      <c r="O146" s="15">
        <f t="shared" si="171"/>
        <v>11.769437228870991</v>
      </c>
      <c r="P146" s="15">
        <f t="shared" si="171"/>
        <v>12.02370512467102</v>
      </c>
      <c r="Q146" s="15">
        <f t="shared" si="171"/>
        <v>11.543589344316192</v>
      </c>
      <c r="R146" s="15">
        <f t="shared" si="171"/>
        <v>12.049752117888906</v>
      </c>
      <c r="S146" s="15">
        <f t="shared" si="170"/>
        <v>11.097164023919994</v>
      </c>
      <c r="T146" s="15">
        <f t="shared" si="170"/>
        <v>11.567464719999236</v>
      </c>
      <c r="U146" s="15">
        <f t="shared" si="170"/>
        <v>12.111987977931712</v>
      </c>
      <c r="V146" s="15">
        <f t="shared" si="170"/>
        <v>12.446044647471627</v>
      </c>
      <c r="W146" s="15">
        <f t="shared" si="170"/>
        <v>12.43086371236004</v>
      </c>
      <c r="AU146" s="82"/>
      <c r="AV146"/>
      <c r="BQ146" s="82"/>
      <c r="BR146"/>
      <c r="CM146" s="82"/>
      <c r="CN146"/>
      <c r="DI146" s="82"/>
      <c r="DJ146"/>
      <c r="EE146" s="82"/>
      <c r="EF146"/>
    </row>
    <row r="147" spans="2:136">
      <c r="B147" t="s">
        <v>2097</v>
      </c>
      <c r="C147" t="s">
        <v>2096</v>
      </c>
      <c r="D147" s="15">
        <f t="shared" si="170"/>
        <v>18.798343668246879</v>
      </c>
      <c r="E147" s="15">
        <f t="shared" si="170"/>
        <v>19.659689768609461</v>
      </c>
      <c r="F147" s="15">
        <f t="shared" si="170"/>
        <v>19.507651195496901</v>
      </c>
      <c r="G147" s="15">
        <f t="shared" si="170"/>
        <v>19.828289819488582</v>
      </c>
      <c r="H147" s="15">
        <f t="shared" si="170"/>
        <v>18.737796054960054</v>
      </c>
      <c r="I147" s="15">
        <f t="shared" si="170"/>
        <v>18.440131788051652</v>
      </c>
      <c r="J147" s="15">
        <f t="shared" si="170"/>
        <v>18.368546620758671</v>
      </c>
      <c r="K147" s="15">
        <f t="shared" si="170"/>
        <v>18.442165328155369</v>
      </c>
      <c r="L147" s="15">
        <f t="shared" si="170"/>
        <v>18.298041258279106</v>
      </c>
      <c r="M147" s="15">
        <f t="shared" si="170"/>
        <v>18.603407563997894</v>
      </c>
      <c r="N147" s="15">
        <f t="shared" si="170"/>
        <v>18.421486077014851</v>
      </c>
      <c r="O147" s="15">
        <f t="shared" si="170"/>
        <v>18.337781759660768</v>
      </c>
      <c r="P147" s="15">
        <f t="shared" si="170"/>
        <v>17.931390313958026</v>
      </c>
      <c r="Q147" s="15">
        <f t="shared" si="170"/>
        <v>17.930699874867774</v>
      </c>
      <c r="R147" s="15">
        <f t="shared" si="170"/>
        <v>17.425394040094265</v>
      </c>
      <c r="S147" s="15">
        <f t="shared" si="170"/>
        <v>17.697415369049555</v>
      </c>
      <c r="T147" s="15">
        <f t="shared" si="170"/>
        <v>18.096252362855747</v>
      </c>
      <c r="U147" s="15">
        <f t="shared" si="170"/>
        <v>17.735216139167921</v>
      </c>
      <c r="V147" s="15">
        <f t="shared" si="170"/>
        <v>17.762512983681155</v>
      </c>
      <c r="W147" s="15">
        <f t="shared" si="170"/>
        <v>17.576362710544778</v>
      </c>
      <c r="AU147" s="82"/>
      <c r="AV147"/>
      <c r="BQ147" s="82"/>
      <c r="BR147"/>
      <c r="CM147" s="82"/>
      <c r="CN147"/>
      <c r="DI147" s="82"/>
      <c r="DJ147"/>
      <c r="EE147" s="82"/>
      <c r="EF147"/>
    </row>
    <row r="148" spans="2:136">
      <c r="B148" t="s">
        <v>2097</v>
      </c>
      <c r="C148" t="s">
        <v>2098</v>
      </c>
      <c r="D148" s="15">
        <f t="shared" si="170"/>
        <v>11.060424115248578</v>
      </c>
      <c r="E148" s="15">
        <f t="shared" si="170"/>
        <v>11.530202694874262</v>
      </c>
      <c r="F148" s="15">
        <f t="shared" si="170"/>
        <v>11.173347882866933</v>
      </c>
      <c r="G148" s="15">
        <f t="shared" si="170"/>
        <v>11.400807191106624</v>
      </c>
      <c r="H148" s="15">
        <f t="shared" si="170"/>
        <v>11.097922445931834</v>
      </c>
      <c r="I148" s="15">
        <f t="shared" si="170"/>
        <v>10.596024291063818</v>
      </c>
      <c r="J148" s="15">
        <f t="shared" si="170"/>
        <v>10.567475109254426</v>
      </c>
      <c r="K148" s="15">
        <f t="shared" si="170"/>
        <v>10.991469629506273</v>
      </c>
      <c r="L148" s="15">
        <f t="shared" si="170"/>
        <v>10.231884058316746</v>
      </c>
      <c r="M148" s="15">
        <f t="shared" si="170"/>
        <v>10.817077000389943</v>
      </c>
      <c r="N148" s="15">
        <f t="shared" si="170"/>
        <v>10.824932688517078</v>
      </c>
      <c r="O148" s="15">
        <f t="shared" si="170"/>
        <v>10.534747550670794</v>
      </c>
      <c r="P148" s="15">
        <f t="shared" si="170"/>
        <v>11.017458091537987</v>
      </c>
      <c r="Q148" s="15">
        <f t="shared" si="170"/>
        <v>10.742382539904606</v>
      </c>
      <c r="R148" s="15">
        <f t="shared" si="170"/>
        <v>10.874719441113081</v>
      </c>
      <c r="S148" s="15">
        <f t="shared" si="170"/>
        <v>10.83987853874911</v>
      </c>
      <c r="T148" s="15">
        <f t="shared" si="170"/>
        <v>10.84308342517166</v>
      </c>
      <c r="U148" s="15">
        <f t="shared" si="170"/>
        <v>10.515021010464054</v>
      </c>
      <c r="V148" s="15">
        <f t="shared" si="170"/>
        <v>10.361080564893022</v>
      </c>
      <c r="W148" s="15">
        <f t="shared" si="170"/>
        <v>10.744815555333981</v>
      </c>
      <c r="AU148" s="82"/>
      <c r="AV148"/>
      <c r="BQ148" s="82"/>
      <c r="BR148"/>
      <c r="CM148" s="82"/>
      <c r="CN148"/>
      <c r="DI148" s="82"/>
      <c r="DJ148"/>
      <c r="EE148" s="82"/>
      <c r="EF148"/>
    </row>
    <row r="149" spans="2:136">
      <c r="C149" t="s">
        <v>2099</v>
      </c>
      <c r="D149" s="15">
        <f>100-SUM(D145:D148)</f>
        <v>7.2225890215688793</v>
      </c>
      <c r="E149" s="15">
        <f t="shared" ref="E149:W149" si="172">100-SUM(E145:E148)</f>
        <v>5.2636545820216583</v>
      </c>
      <c r="F149" s="15">
        <f t="shared" si="172"/>
        <v>7.0698343199151026</v>
      </c>
      <c r="G149" s="15">
        <f t="shared" si="172"/>
        <v>5.6402908118858335</v>
      </c>
      <c r="H149" s="15">
        <f t="shared" si="172"/>
        <v>7.7267797536986507</v>
      </c>
      <c r="I149" s="15">
        <f t="shared" si="172"/>
        <v>8.1924162330933115</v>
      </c>
      <c r="J149" s="15">
        <f t="shared" si="172"/>
        <v>7.4043394277857573</v>
      </c>
      <c r="K149" s="15">
        <f t="shared" si="172"/>
        <v>7.5523392616180303</v>
      </c>
      <c r="L149" s="15">
        <f t="shared" si="172"/>
        <v>8.8697371973478312</v>
      </c>
      <c r="M149" s="15">
        <f t="shared" si="172"/>
        <v>8.043088754528199</v>
      </c>
      <c r="N149" s="15">
        <f t="shared" si="172"/>
        <v>9.3314217354478046</v>
      </c>
      <c r="O149" s="15">
        <f t="shared" si="172"/>
        <v>9.8729670785493511</v>
      </c>
      <c r="P149" s="15">
        <f t="shared" si="172"/>
        <v>9.4173309741247948</v>
      </c>
      <c r="Q149" s="15">
        <f t="shared" si="172"/>
        <v>11.022897208382744</v>
      </c>
      <c r="R149" s="15">
        <f t="shared" si="172"/>
        <v>10.760326328271603</v>
      </c>
      <c r="S149" s="15">
        <f t="shared" si="172"/>
        <v>10.819140465977995</v>
      </c>
      <c r="T149" s="15">
        <f t="shared" si="172"/>
        <v>8.4483641512592982</v>
      </c>
      <c r="U149" s="15">
        <f t="shared" si="172"/>
        <v>9.0156361365640265</v>
      </c>
      <c r="V149" s="15">
        <f t="shared" si="172"/>
        <v>9.078013476686067</v>
      </c>
      <c r="W149" s="15">
        <f t="shared" si="172"/>
        <v>9.0056760030290945</v>
      </c>
    </row>
    <row r="150" spans="2:136">
      <c r="C150" t="s">
        <v>86</v>
      </c>
      <c r="D150" s="15">
        <f>EH134/D$140*100</f>
        <v>6.227156327761894</v>
      </c>
      <c r="E150" s="15">
        <f t="shared" ref="E150:W150" si="173">EI134/E$140*100</f>
        <v>5.7808173157737501</v>
      </c>
      <c r="F150" s="15">
        <f t="shared" si="173"/>
        <v>6.8473178152822101</v>
      </c>
      <c r="G150" s="15">
        <f t="shared" si="173"/>
        <v>6.8286070016857607</v>
      </c>
      <c r="H150" s="15">
        <f t="shared" si="173"/>
        <v>6.3160249278144915</v>
      </c>
      <c r="I150" s="15">
        <f t="shared" si="173"/>
        <v>5.9745940918530653</v>
      </c>
      <c r="J150" s="15">
        <f t="shared" si="173"/>
        <v>6.546299233611669</v>
      </c>
      <c r="K150" s="15">
        <f t="shared" si="173"/>
        <v>5.9394422787309704</v>
      </c>
      <c r="L150" s="15">
        <f t="shared" si="173"/>
        <v>6.0507069835682099</v>
      </c>
      <c r="M150" s="15">
        <f t="shared" si="173"/>
        <v>6.5806092915117453</v>
      </c>
      <c r="N150" s="15">
        <f t="shared" si="173"/>
        <v>7.2673769069458851</v>
      </c>
      <c r="O150" s="15">
        <f t="shared" si="173"/>
        <v>7.6274937843844048</v>
      </c>
      <c r="P150" s="15">
        <f t="shared" si="173"/>
        <v>7.9997158254269731</v>
      </c>
      <c r="Q150" s="15">
        <f t="shared" si="173"/>
        <v>7.3910154961602013</v>
      </c>
      <c r="R150" s="15">
        <f t="shared" si="173"/>
        <v>7.662814617065596</v>
      </c>
      <c r="S150" s="15">
        <f t="shared" si="173"/>
        <v>7.2031176781794022</v>
      </c>
      <c r="T150" s="15">
        <f t="shared" si="173"/>
        <v>7.0035906283097766</v>
      </c>
      <c r="U150" s="15">
        <f t="shared" si="173"/>
        <v>6.9433882987290199</v>
      </c>
      <c r="V150" s="15">
        <f t="shared" si="173"/>
        <v>6.7060415465493168</v>
      </c>
      <c r="W150" s="15">
        <f t="shared" si="173"/>
        <v>7.5487054006783243</v>
      </c>
    </row>
    <row r="187" spans="3:136" s="34" customFormat="1" ht="116.1">
      <c r="C187" s="34">
        <v>2020</v>
      </c>
      <c r="D187" s="34" t="s">
        <v>48</v>
      </c>
      <c r="E187" s="34" t="s">
        <v>81</v>
      </c>
      <c r="F187" s="34" t="str">
        <f>BQ4</f>
        <v>Expenditure on fire protection services</v>
      </c>
      <c r="G187" s="34" t="s">
        <v>83</v>
      </c>
      <c r="H187" s="34" t="s">
        <v>84</v>
      </c>
      <c r="I187" s="34" t="s">
        <v>272</v>
      </c>
      <c r="J187" s="34" t="s">
        <v>1658</v>
      </c>
      <c r="K187" s="34" t="s">
        <v>81</v>
      </c>
      <c r="L187" s="34" t="s">
        <v>82</v>
      </c>
      <c r="M187" s="34" t="s">
        <v>83</v>
      </c>
      <c r="N187" s="34" t="s">
        <v>84</v>
      </c>
      <c r="O187" s="34" t="s">
        <v>2100</v>
      </c>
      <c r="V187" s="34" t="s">
        <v>2101</v>
      </c>
      <c r="W187" s="34" t="s">
        <v>48</v>
      </c>
      <c r="X187" s="34" t="s">
        <v>81</v>
      </c>
      <c r="Y187" s="34" t="s">
        <v>82</v>
      </c>
      <c r="Z187" s="34" t="s">
        <v>83</v>
      </c>
      <c r="AA187" s="34" t="s">
        <v>84</v>
      </c>
      <c r="AB187" s="34" t="s">
        <v>272</v>
      </c>
      <c r="AC187" s="34" t="s">
        <v>2102</v>
      </c>
      <c r="AT187" s="86"/>
      <c r="BP187" s="86"/>
      <c r="CL187" s="86"/>
      <c r="DH187" s="86"/>
      <c r="ED187" s="86"/>
    </row>
    <row r="188" spans="3:136">
      <c r="C188" t="s">
        <v>74</v>
      </c>
      <c r="D188" s="15">
        <f t="shared" ref="D188:D202" si="174">X105</f>
        <v>5.5417288586139204</v>
      </c>
      <c r="E188" s="15">
        <f t="shared" ref="E188:E202" si="175">AU105</f>
        <v>1.939605100514872</v>
      </c>
      <c r="F188" s="15">
        <f t="shared" ref="F188:F202" si="176">BQ105</f>
        <v>0.83125932879208797</v>
      </c>
      <c r="G188" s="15">
        <f t="shared" ref="G188:G202" si="177">CM105</f>
        <v>1.108345771722784</v>
      </c>
      <c r="H188" s="15">
        <f t="shared" ref="H188:H202" si="178">DI105</f>
        <v>0.83125932879208797</v>
      </c>
      <c r="I188" s="15">
        <f>D188-SUM(E188:H188)</f>
        <v>0.83125932879208797</v>
      </c>
      <c r="J188" s="15">
        <f>AV39</f>
        <v>35.131756399103359</v>
      </c>
      <c r="K188" s="7">
        <f>E188/$D188*100</f>
        <v>35</v>
      </c>
      <c r="L188" s="7">
        <f t="shared" ref="L188:N188" si="179">F188/$D188*100</f>
        <v>15</v>
      </c>
      <c r="M188" s="7">
        <f t="shared" si="179"/>
        <v>20</v>
      </c>
      <c r="N188" s="7">
        <f t="shared" si="179"/>
        <v>15</v>
      </c>
      <c r="O188" s="15">
        <f>X6</f>
        <v>2</v>
      </c>
      <c r="V188" t="s">
        <v>77</v>
      </c>
      <c r="W188" s="15">
        <v>6.3624993202457985</v>
      </c>
      <c r="X188" s="15">
        <v>2.9645051777848557</v>
      </c>
      <c r="Y188" s="15">
        <v>0.99438328814586363</v>
      </c>
      <c r="Z188" s="15">
        <v>0.98039977315631244</v>
      </c>
      <c r="AA188" s="15">
        <v>1.4232110811587673</v>
      </c>
      <c r="AB188" s="15">
        <f>IF(Table10[[#This Row],[Expenditure on public order &amp; safety]]-(SUM(Table10[[#This Row],[Expenditure on police services]:[Expenditure on prisons]]))&gt;0, Table10[[#This Row],[Expenditure on public order &amp; safety]]-(SUM(Table10[[#This Row],[Expenditure on police services]:[Expenditure on prisons]])), 0)</f>
        <v>0</v>
      </c>
      <c r="AC188" s="15">
        <v>0</v>
      </c>
      <c r="AT188" s="82"/>
      <c r="AV188"/>
      <c r="BP188" s="82"/>
      <c r="BR188"/>
      <c r="CL188" s="82"/>
      <c r="CN188"/>
      <c r="DH188" s="82"/>
      <c r="DJ188"/>
      <c r="ED188" s="82"/>
      <c r="EF188"/>
    </row>
    <row r="189" spans="3:136">
      <c r="C189" t="s">
        <v>53</v>
      </c>
      <c r="D189" s="15">
        <f t="shared" si="174"/>
        <v>2.8718567990698429</v>
      </c>
      <c r="E189" s="15">
        <f t="shared" si="175"/>
        <v>1.4359283995349215</v>
      </c>
      <c r="F189" s="15">
        <f t="shared" si="176"/>
        <v>0.41026525700997762</v>
      </c>
      <c r="G189" s="15">
        <f t="shared" si="177"/>
        <v>0.61539788551496644</v>
      </c>
      <c r="H189" s="15">
        <f t="shared" si="178"/>
        <v>0.41026525700997762</v>
      </c>
      <c r="I189" s="15">
        <f t="shared" ref="I189:I216" si="180">D189-SUM(E189:H189)</f>
        <v>0</v>
      </c>
      <c r="J189" s="15">
        <f t="shared" ref="J189:J216" si="181">AV40</f>
        <v>49.758534348117117</v>
      </c>
      <c r="K189" s="7">
        <f t="shared" ref="K189:K216" si="182">E189/$D189*100</f>
        <v>50</v>
      </c>
      <c r="L189" s="7">
        <f t="shared" ref="L189:L216" si="183">F189/$D189*100</f>
        <v>14.285714285714288</v>
      </c>
      <c r="M189" s="7">
        <f t="shared" ref="M189:M216" si="184">G189/$D189*100</f>
        <v>21.428571428571434</v>
      </c>
      <c r="N189" s="7">
        <f t="shared" ref="N189:N216" si="185">H189/$D189*100</f>
        <v>14.285714285714288</v>
      </c>
      <c r="O189" s="15">
        <f t="shared" ref="O189:O216" si="186">X7</f>
        <v>1.4</v>
      </c>
      <c r="V189" t="s">
        <v>1637</v>
      </c>
      <c r="W189" s="15">
        <v>6.2414592484138609</v>
      </c>
      <c r="X189" s="15">
        <v>2.7462420693020988</v>
      </c>
      <c r="Y189" s="15">
        <v>0.49931673987310887</v>
      </c>
      <c r="Z189" s="15">
        <v>0.74897510980966331</v>
      </c>
      <c r="AA189" s="15">
        <v>0.49931673987310887</v>
      </c>
      <c r="AB189" s="15">
        <f>IF(Table10[[#This Row],[Expenditure on public order &amp; safety]]-(SUM(Table10[[#This Row],[Expenditure on police services]:[Expenditure on prisons]]))&gt;0, Table10[[#This Row],[Expenditure on public order &amp; safety]]-(SUM(Table10[[#This Row],[Expenditure on police services]:[Expenditure on prisons]])), 0)</f>
        <v>1.7476085895558811</v>
      </c>
      <c r="AC189" s="15">
        <v>0</v>
      </c>
      <c r="AT189" s="82"/>
      <c r="AV189"/>
      <c r="BP189" s="82"/>
      <c r="BR189"/>
      <c r="CL189" s="82"/>
      <c r="CN189"/>
      <c r="DH189" s="82"/>
      <c r="DJ189"/>
      <c r="ED189" s="82"/>
      <c r="EF189"/>
    </row>
    <row r="190" spans="3:136">
      <c r="C190" t="s">
        <v>58</v>
      </c>
      <c r="D190" s="15">
        <f t="shared" si="174"/>
        <v>3.5916515997170029</v>
      </c>
      <c r="E190" s="15">
        <f t="shared" si="175"/>
        <v>2.1948981998270578</v>
      </c>
      <c r="F190" s="15">
        <f t="shared" si="176"/>
        <v>0.39907239996855592</v>
      </c>
      <c r="G190" s="15">
        <f t="shared" si="177"/>
        <v>0.59860859995283378</v>
      </c>
      <c r="H190" s="15">
        <f t="shared" si="178"/>
        <v>0.19953619998427796</v>
      </c>
      <c r="I190" s="15">
        <f t="shared" si="180"/>
        <v>0.1995361999842773</v>
      </c>
      <c r="J190" s="15">
        <f t="shared" si="181"/>
        <v>49.466614064503403</v>
      </c>
      <c r="K190" s="7">
        <f t="shared" si="182"/>
        <v>61.111111111111128</v>
      </c>
      <c r="L190" s="7">
        <f t="shared" si="183"/>
        <v>11.111111111111112</v>
      </c>
      <c r="M190" s="7">
        <f t="shared" si="184"/>
        <v>16.666666666666664</v>
      </c>
      <c r="N190" s="7">
        <f t="shared" si="185"/>
        <v>5.5555555555555562</v>
      </c>
      <c r="O190" s="15">
        <f t="shared" si="186"/>
        <v>1.8</v>
      </c>
      <c r="V190" t="s">
        <v>1761</v>
      </c>
      <c r="W190" s="15">
        <v>5.5826616010953236</v>
      </c>
      <c r="X190" s="15" t="e">
        <v>#N/A</v>
      </c>
      <c r="Y190" s="15" t="e">
        <v>#N/A</v>
      </c>
      <c r="Z190" s="15" t="e">
        <v>#N/A</v>
      </c>
      <c r="AA190" s="15" t="e">
        <v>#N/A</v>
      </c>
      <c r="AB190" s="15" t="e">
        <f>IF(Table10[[#This Row],[Expenditure on public order &amp; safety]]-(SUM(Table10[[#This Row],[Expenditure on police services]:[Expenditure on prisons]]))&gt;0, Table10[[#This Row],[Expenditure on public order &amp; safety]]-(SUM(Table10[[#This Row],[Expenditure on police services]:[Expenditure on prisons]])), 0)</f>
        <v>#N/A</v>
      </c>
      <c r="AC190" s="15">
        <f>Table10[[#This Row],[Expenditure on public order &amp; safety]]</f>
        <v>5.5826616010953236</v>
      </c>
      <c r="AT190" s="82"/>
      <c r="AV190"/>
      <c r="BP190" s="82"/>
      <c r="BR190"/>
      <c r="CL190" s="82"/>
      <c r="CN190"/>
      <c r="DH190" s="82"/>
      <c r="DJ190"/>
      <c r="ED190" s="82"/>
      <c r="EF190"/>
    </row>
    <row r="191" spans="3:136">
      <c r="C191" t="s">
        <v>64</v>
      </c>
      <c r="D191" s="15">
        <f t="shared" si="174"/>
        <v>4.5621649382458136</v>
      </c>
      <c r="E191" s="15">
        <f t="shared" si="175"/>
        <v>2.1610254970638065</v>
      </c>
      <c r="F191" s="15">
        <f t="shared" si="176"/>
        <v>0.48022788823640145</v>
      </c>
      <c r="G191" s="15">
        <f t="shared" si="177"/>
        <v>0.72034183235460214</v>
      </c>
      <c r="H191" s="15">
        <f t="shared" si="178"/>
        <v>0.72034183235460214</v>
      </c>
      <c r="I191" s="15">
        <f t="shared" si="180"/>
        <v>0.48022788823640106</v>
      </c>
      <c r="J191" s="15">
        <f t="shared" si="181"/>
        <v>41.012431044359957</v>
      </c>
      <c r="K191" s="7">
        <f t="shared" si="182"/>
        <v>47.368421052631582</v>
      </c>
      <c r="L191" s="7">
        <f t="shared" si="183"/>
        <v>10.526315789473685</v>
      </c>
      <c r="M191" s="7">
        <f t="shared" si="184"/>
        <v>15.789473684210526</v>
      </c>
      <c r="N191" s="7">
        <f t="shared" si="185"/>
        <v>15.789473684210526</v>
      </c>
      <c r="O191" s="15">
        <f t="shared" si="186"/>
        <v>1.9</v>
      </c>
      <c r="V191" t="s">
        <v>74</v>
      </c>
      <c r="W191" s="15">
        <v>5.5417288586139204</v>
      </c>
      <c r="X191" s="15">
        <v>1.939605100514872</v>
      </c>
      <c r="Y191" s="15">
        <v>0.83125932879208797</v>
      </c>
      <c r="Z191" s="15">
        <v>1.108345771722784</v>
      </c>
      <c r="AA191" s="15">
        <v>0.83125932879208797</v>
      </c>
      <c r="AB191" s="15">
        <f>IF(Table10[[#This Row],[Expenditure on public order &amp; safety]]-(SUM(Table10[[#This Row],[Expenditure on police services]:[Expenditure on prisons]]))&gt;0, Table10[[#This Row],[Expenditure on public order &amp; safety]]-(SUM(Table10[[#This Row],[Expenditure on police services]:[Expenditure on prisons]])), 0)</f>
        <v>0.83125932879208797</v>
      </c>
      <c r="AC191" s="15">
        <v>0</v>
      </c>
      <c r="AT191" s="82"/>
      <c r="AV191"/>
      <c r="BP191" s="82"/>
      <c r="BR191"/>
      <c r="CL191" s="82"/>
      <c r="CN191"/>
      <c r="DH191" s="82"/>
      <c r="DJ191"/>
      <c r="ED191" s="82"/>
      <c r="EF191"/>
    </row>
    <row r="192" spans="3:136">
      <c r="C192" t="s">
        <v>1620</v>
      </c>
      <c r="D192" s="15">
        <f t="shared" si="174"/>
        <v>5.0433212433047965</v>
      </c>
      <c r="E192" s="15">
        <f t="shared" si="175"/>
        <v>2.4015815444308553</v>
      </c>
      <c r="F192" s="15">
        <f t="shared" si="176"/>
        <v>0.72047446332925658</v>
      </c>
      <c r="G192" s="15">
        <f t="shared" si="177"/>
        <v>0.72047446332925658</v>
      </c>
      <c r="H192" s="15">
        <f t="shared" si="178"/>
        <v>0.48031630888617116</v>
      </c>
      <c r="I192" s="15">
        <f t="shared" si="180"/>
        <v>0.72047446332925702</v>
      </c>
      <c r="J192" s="15">
        <f t="shared" si="181"/>
        <v>40.889550426463245</v>
      </c>
      <c r="K192" s="7">
        <f t="shared" si="182"/>
        <v>47.619047619047613</v>
      </c>
      <c r="L192" s="7">
        <f t="shared" si="183"/>
        <v>14.285714285714285</v>
      </c>
      <c r="M192" s="7">
        <f t="shared" si="184"/>
        <v>14.285714285714285</v>
      </c>
      <c r="N192" s="7">
        <f t="shared" si="185"/>
        <v>9.5238095238095255</v>
      </c>
      <c r="O192" s="15">
        <f t="shared" si="186"/>
        <v>2.1</v>
      </c>
      <c r="V192" t="s">
        <v>75</v>
      </c>
      <c r="W192" s="15">
        <v>5.5380900882254007</v>
      </c>
      <c r="X192" s="15">
        <v>2.6486517813251917</v>
      </c>
      <c r="Y192" s="15">
        <v>0.4815730511500349</v>
      </c>
      <c r="Z192" s="15">
        <v>1.4447191534501045</v>
      </c>
      <c r="AA192" s="15">
        <v>0.4815730511500349</v>
      </c>
      <c r="AB192" s="15">
        <f>IF(Table10[[#This Row],[Expenditure on public order &amp; safety]]-(SUM(Table10[[#This Row],[Expenditure on police services]:[Expenditure on prisons]]))&gt;0, Table10[[#This Row],[Expenditure on public order &amp; safety]]-(SUM(Table10[[#This Row],[Expenditure on police services]:[Expenditure on prisons]])), 0)</f>
        <v>0.48157305115003446</v>
      </c>
      <c r="AC192" s="15">
        <v>0</v>
      </c>
      <c r="AT192" s="82"/>
      <c r="AV192"/>
      <c r="BP192" s="82"/>
      <c r="BR192"/>
      <c r="CL192" s="82"/>
      <c r="CN192"/>
      <c r="DH192" s="82"/>
      <c r="DJ192"/>
      <c r="ED192" s="82"/>
      <c r="EF192"/>
    </row>
    <row r="193" spans="3:136">
      <c r="C193" t="s">
        <v>49</v>
      </c>
      <c r="D193" s="15">
        <f t="shared" si="174"/>
        <v>1.8778899171315255</v>
      </c>
      <c r="E193" s="15">
        <f t="shared" si="175"/>
        <v>1.1267339502789151</v>
      </c>
      <c r="F193" s="15">
        <f t="shared" si="176"/>
        <v>0.18778899171315255</v>
      </c>
      <c r="G193" s="15">
        <f t="shared" si="177"/>
        <v>0.37557798342630511</v>
      </c>
      <c r="H193" s="15">
        <f t="shared" si="178"/>
        <v>0.37557798342630511</v>
      </c>
      <c r="I193" s="15">
        <f t="shared" si="180"/>
        <v>-0.18778899171315233</v>
      </c>
      <c r="J193" s="15">
        <f t="shared" si="181"/>
        <v>52.469974436066046</v>
      </c>
      <c r="K193" s="7">
        <f t="shared" si="182"/>
        <v>59.999999999999986</v>
      </c>
      <c r="L193" s="7">
        <f t="shared" si="183"/>
        <v>10</v>
      </c>
      <c r="M193" s="7">
        <f t="shared" si="184"/>
        <v>20</v>
      </c>
      <c r="N193" s="7">
        <f t="shared" si="185"/>
        <v>20</v>
      </c>
      <c r="O193" s="15">
        <f t="shared" si="186"/>
        <v>1</v>
      </c>
      <c r="V193" t="s">
        <v>72</v>
      </c>
      <c r="W193" s="15">
        <v>5.5309052234669567</v>
      </c>
      <c r="X193" s="15">
        <v>3.0419978729068262</v>
      </c>
      <c r="Y193" s="15">
        <v>0.55309052234669565</v>
      </c>
      <c r="Z193" s="15">
        <v>1.1061810446933913</v>
      </c>
      <c r="AA193" s="15">
        <v>0.55309052234669565</v>
      </c>
      <c r="AB193" s="15">
        <f>IF(Table10[[#This Row],[Expenditure on public order &amp; safety]]-(SUM(Table10[[#This Row],[Expenditure on police services]:[Expenditure on prisons]]))&gt;0, Table10[[#This Row],[Expenditure on public order &amp; safety]]-(SUM(Table10[[#This Row],[Expenditure on police services]:[Expenditure on prisons]])), 0)</f>
        <v>0.27654526117334743</v>
      </c>
      <c r="AC193" s="15">
        <v>0</v>
      </c>
      <c r="AT193" s="82"/>
      <c r="AV193"/>
      <c r="BP193" s="82"/>
      <c r="BR193"/>
      <c r="CL193" s="82"/>
      <c r="CN193"/>
      <c r="DH193" s="82"/>
      <c r="DJ193"/>
      <c r="ED193" s="82"/>
      <c r="EF193"/>
    </row>
    <row r="194" spans="3:136">
      <c r="C194" t="s">
        <v>50</v>
      </c>
      <c r="D194" s="15">
        <f t="shared" si="174"/>
        <v>2.3315318551415598</v>
      </c>
      <c r="E194" s="15">
        <f t="shared" si="175"/>
        <v>0.97147160630898333</v>
      </c>
      <c r="F194" s="15">
        <f t="shared" si="176"/>
        <v>0.58288296378538995</v>
      </c>
      <c r="G194" s="15">
        <f t="shared" si="177"/>
        <v>0.38858864252359337</v>
      </c>
      <c r="H194" s="15">
        <f t="shared" si="178"/>
        <v>0.19429432126179669</v>
      </c>
      <c r="I194" s="15">
        <f t="shared" si="180"/>
        <v>0.19429432126179647</v>
      </c>
      <c r="J194" s="15">
        <f t="shared" si="181"/>
        <v>52.606297248171451</v>
      </c>
      <c r="K194" s="7">
        <f t="shared" si="182"/>
        <v>41.666666666666671</v>
      </c>
      <c r="L194" s="7">
        <f t="shared" si="183"/>
        <v>25</v>
      </c>
      <c r="M194" s="7">
        <f t="shared" si="184"/>
        <v>16.666666666666668</v>
      </c>
      <c r="N194" s="7">
        <f t="shared" si="185"/>
        <v>8.3333333333333339</v>
      </c>
      <c r="O194" s="15">
        <f t="shared" si="186"/>
        <v>1.2</v>
      </c>
      <c r="V194" t="s">
        <v>71</v>
      </c>
      <c r="W194" s="15">
        <v>5.3123335491219583</v>
      </c>
      <c r="X194" s="15" t="e">
        <v>#N/A</v>
      </c>
      <c r="Y194" s="15" t="e">
        <v>#N/A</v>
      </c>
      <c r="Z194" s="15" t="e">
        <v>#N/A</v>
      </c>
      <c r="AA194" s="15" t="e">
        <v>#N/A</v>
      </c>
      <c r="AB194" s="15" t="e">
        <f>IF(Table10[[#This Row],[Expenditure on public order &amp; safety]]-(SUM(Table10[[#This Row],[Expenditure on police services]:[Expenditure on prisons]]))&gt;0, Table10[[#This Row],[Expenditure on public order &amp; safety]]-(SUM(Table10[[#This Row],[Expenditure on police services]:[Expenditure on prisons]])), 0)</f>
        <v>#N/A</v>
      </c>
      <c r="AC194" s="15">
        <f>Table10[[#This Row],[Expenditure on public order &amp; safety]]</f>
        <v>5.3123335491219583</v>
      </c>
      <c r="AT194" s="82"/>
      <c r="AV194"/>
      <c r="BP194" s="82"/>
      <c r="BR194"/>
      <c r="CL194" s="82"/>
      <c r="CN194"/>
      <c r="DH194" s="82"/>
      <c r="DJ194"/>
      <c r="ED194" s="82"/>
      <c r="EF194"/>
    </row>
    <row r="195" spans="3:136">
      <c r="C195" t="s">
        <v>55</v>
      </c>
      <c r="D195" s="15">
        <f t="shared" si="174"/>
        <v>3.4199152717332959</v>
      </c>
      <c r="E195" s="15">
        <f t="shared" si="175"/>
        <v>1.89995292874072</v>
      </c>
      <c r="F195" s="15">
        <f t="shared" si="176"/>
        <v>0.56998587862221595</v>
      </c>
      <c r="G195" s="15">
        <f t="shared" si="177"/>
        <v>0.37999058574814404</v>
      </c>
      <c r="H195" s="15">
        <f t="shared" si="178"/>
        <v>0.37999058574814404</v>
      </c>
      <c r="I195" s="15">
        <f t="shared" si="180"/>
        <v>0.1899952928740718</v>
      </c>
      <c r="J195" s="15">
        <f t="shared" si="181"/>
        <v>52.81372023581654</v>
      </c>
      <c r="K195" s="7">
        <f t="shared" si="182"/>
        <v>55.555555555555557</v>
      </c>
      <c r="L195" s="7">
        <f t="shared" si="183"/>
        <v>16.666666666666664</v>
      </c>
      <c r="M195" s="7">
        <f t="shared" si="184"/>
        <v>11.111111111111112</v>
      </c>
      <c r="N195" s="7">
        <f t="shared" si="185"/>
        <v>11.111111111111112</v>
      </c>
      <c r="O195" s="15">
        <f t="shared" si="186"/>
        <v>1.8</v>
      </c>
      <c r="V195" t="s">
        <v>68</v>
      </c>
      <c r="W195" s="15">
        <v>5.0818639321985932</v>
      </c>
      <c r="X195" s="15">
        <v>2.7719257811992319</v>
      </c>
      <c r="Y195" s="15">
        <v>0.46198763019987205</v>
      </c>
      <c r="Z195" s="15">
        <v>0.92397526039974409</v>
      </c>
      <c r="AA195" s="15">
        <v>0.69298144529980799</v>
      </c>
      <c r="AB195" s="15">
        <f>IF(Table10[[#This Row],[Expenditure on public order &amp; safety]]-(SUM(Table10[[#This Row],[Expenditure on police services]:[Expenditure on prisons]]))&gt;0, Table10[[#This Row],[Expenditure on public order &amp; safety]]-(SUM(Table10[[#This Row],[Expenditure on police services]:[Expenditure on prisons]])), 0)</f>
        <v>0.23099381509993666</v>
      </c>
      <c r="AC195" s="15">
        <v>0</v>
      </c>
      <c r="AT195" s="82"/>
      <c r="AV195"/>
      <c r="BP195" s="82"/>
      <c r="BR195"/>
      <c r="CL195" s="82"/>
      <c r="CN195"/>
      <c r="DH195" s="82"/>
      <c r="DJ195"/>
      <c r="ED195" s="82"/>
      <c r="EF195"/>
    </row>
    <row r="196" spans="3:136">
      <c r="C196" t="s">
        <v>56</v>
      </c>
      <c r="D196" s="15">
        <f t="shared" si="174"/>
        <v>3.65364001301942</v>
      </c>
      <c r="E196" s="15">
        <f t="shared" si="175"/>
        <v>1.719360006126786</v>
      </c>
      <c r="F196" s="15">
        <f t="shared" si="176"/>
        <v>0.64476000229754471</v>
      </c>
      <c r="G196" s="15">
        <f t="shared" si="177"/>
        <v>0.85968000306339298</v>
      </c>
      <c r="H196" s="15">
        <f t="shared" si="178"/>
        <v>0.21492000076584825</v>
      </c>
      <c r="I196" s="15">
        <f t="shared" si="180"/>
        <v>0.21492000076584805</v>
      </c>
      <c r="J196" s="15">
        <f t="shared" si="181"/>
        <v>47.772375665850745</v>
      </c>
      <c r="K196" s="7">
        <f t="shared" si="182"/>
        <v>47.058823529411768</v>
      </c>
      <c r="L196" s="7">
        <f t="shared" si="183"/>
        <v>17.647058823529413</v>
      </c>
      <c r="M196" s="7">
        <f t="shared" si="184"/>
        <v>23.529411764705884</v>
      </c>
      <c r="N196" s="7">
        <f t="shared" si="185"/>
        <v>5.882352941176471</v>
      </c>
      <c r="O196" s="15">
        <f t="shared" si="186"/>
        <v>1.7</v>
      </c>
      <c r="V196" t="s">
        <v>69</v>
      </c>
      <c r="W196" s="15">
        <v>5.0627445587359983</v>
      </c>
      <c r="X196" s="15">
        <v>3.134079964931809</v>
      </c>
      <c r="Y196" s="15">
        <v>0.48216614845104749</v>
      </c>
      <c r="Z196" s="15">
        <v>0.96433229690209499</v>
      </c>
      <c r="AA196" s="15">
        <v>0.48216614845104749</v>
      </c>
      <c r="AB196" s="15">
        <f>IF(Table10[[#This Row],[Expenditure on public order &amp; safety]]-(SUM(Table10[[#This Row],[Expenditure on police services]:[Expenditure on prisons]]))&gt;0, Table10[[#This Row],[Expenditure on public order &amp; safety]]-(SUM(Table10[[#This Row],[Expenditure on police services]:[Expenditure on prisons]])), 0)</f>
        <v>0</v>
      </c>
      <c r="AC196" s="15">
        <v>0</v>
      </c>
      <c r="AT196" s="82"/>
      <c r="AV196"/>
      <c r="BP196" s="82"/>
      <c r="BR196"/>
      <c r="CL196" s="82"/>
      <c r="CN196"/>
      <c r="DH196" s="82"/>
      <c r="DJ196"/>
      <c r="ED196" s="82"/>
      <c r="EF196"/>
    </row>
    <row r="197" spans="3:136">
      <c r="C197" t="s">
        <v>65</v>
      </c>
      <c r="D197" s="15">
        <f t="shared" si="174"/>
        <v>4.9047850970987783</v>
      </c>
      <c r="E197" s="15">
        <f t="shared" si="175"/>
        <v>3.0654906856867368</v>
      </c>
      <c r="F197" s="15">
        <f t="shared" si="176"/>
        <v>0.61309813713734729</v>
      </c>
      <c r="G197" s="15">
        <f t="shared" si="177"/>
        <v>0.81746418284979661</v>
      </c>
      <c r="H197" s="15">
        <f t="shared" si="178"/>
        <v>0.20436604571244915</v>
      </c>
      <c r="I197" s="15">
        <f t="shared" si="180"/>
        <v>0.20436604571244832</v>
      </c>
      <c r="J197" s="15">
        <f t="shared" si="181"/>
        <v>49.122135316961106</v>
      </c>
      <c r="K197" s="7">
        <f t="shared" si="182"/>
        <v>62.500000000000014</v>
      </c>
      <c r="L197" s="7">
        <f t="shared" si="183"/>
        <v>12.5</v>
      </c>
      <c r="M197" s="7">
        <f t="shared" si="184"/>
        <v>16.666666666666671</v>
      </c>
      <c r="N197" s="7">
        <f t="shared" si="185"/>
        <v>4.1666666666666679</v>
      </c>
      <c r="O197" s="15">
        <f t="shared" si="186"/>
        <v>2.4</v>
      </c>
      <c r="V197" t="s">
        <v>1620</v>
      </c>
      <c r="W197" s="15">
        <v>5.0433212433047965</v>
      </c>
      <c r="X197" s="15">
        <v>2.4015815444308553</v>
      </c>
      <c r="Y197" s="15">
        <v>0.72047446332925658</v>
      </c>
      <c r="Z197" s="15">
        <v>0.72047446332925658</v>
      </c>
      <c r="AA197" s="15">
        <v>0.48031630888617116</v>
      </c>
      <c r="AB197" s="15">
        <f>IF(Table10[[#This Row],[Expenditure on public order &amp; safety]]-(SUM(Table10[[#This Row],[Expenditure on police services]:[Expenditure on prisons]]))&gt;0, Table10[[#This Row],[Expenditure on public order &amp; safety]]-(SUM(Table10[[#This Row],[Expenditure on police services]:[Expenditure on prisons]])), 0)</f>
        <v>0.72047446332925702</v>
      </c>
      <c r="AC197" s="15">
        <v>0</v>
      </c>
      <c r="AT197" s="82"/>
      <c r="AV197"/>
      <c r="BP197" s="82"/>
      <c r="BR197"/>
      <c r="CL197" s="82"/>
      <c r="CN197"/>
      <c r="DH197" s="82"/>
      <c r="DJ197"/>
      <c r="ED197" s="82"/>
      <c r="EF197"/>
    </row>
    <row r="198" spans="3:136">
      <c r="C198" t="s">
        <v>68</v>
      </c>
      <c r="D198" s="15">
        <f t="shared" si="174"/>
        <v>5.0818639321985932</v>
      </c>
      <c r="E198" s="15">
        <f t="shared" si="175"/>
        <v>2.7719257811992319</v>
      </c>
      <c r="F198" s="15">
        <f t="shared" si="176"/>
        <v>0.46198763019987205</v>
      </c>
      <c r="G198" s="15">
        <f t="shared" si="177"/>
        <v>0.92397526039974409</v>
      </c>
      <c r="H198" s="15">
        <f t="shared" si="178"/>
        <v>0.69298144529980799</v>
      </c>
      <c r="I198" s="15">
        <f t="shared" si="180"/>
        <v>0.23099381509993666</v>
      </c>
      <c r="J198" s="15">
        <f t="shared" si="181"/>
        <v>40.248635731685454</v>
      </c>
      <c r="K198" s="7">
        <f t="shared" si="182"/>
        <v>54.545454545454533</v>
      </c>
      <c r="L198" s="7">
        <f t="shared" si="183"/>
        <v>9.0909090909090899</v>
      </c>
      <c r="M198" s="7">
        <f t="shared" si="184"/>
        <v>18.18181818181818</v>
      </c>
      <c r="N198" s="7">
        <f t="shared" si="185"/>
        <v>13.636363636363633</v>
      </c>
      <c r="O198" s="15">
        <f t="shared" si="186"/>
        <v>2.2000000000000002</v>
      </c>
      <c r="V198" t="s">
        <v>65</v>
      </c>
      <c r="W198" s="15">
        <v>4.9047850970987783</v>
      </c>
      <c r="X198" s="15">
        <v>3.0654906856867368</v>
      </c>
      <c r="Y198" s="15">
        <v>0.61309813713734729</v>
      </c>
      <c r="Z198" s="15">
        <v>0.81746418284979661</v>
      </c>
      <c r="AA198" s="15">
        <v>0.20436604571244915</v>
      </c>
      <c r="AB198" s="15">
        <f>IF(Table10[[#This Row],[Expenditure on public order &amp; safety]]-(SUM(Table10[[#This Row],[Expenditure on police services]:[Expenditure on prisons]]))&gt;0, Table10[[#This Row],[Expenditure on public order &amp; safety]]-(SUM(Table10[[#This Row],[Expenditure on police services]:[Expenditure on prisons]])), 0)</f>
        <v>0.20436604571244832</v>
      </c>
      <c r="AC198" s="15">
        <v>0</v>
      </c>
      <c r="AT198" s="82"/>
      <c r="AV198"/>
      <c r="BP198" s="82"/>
      <c r="BR198"/>
      <c r="CL198" s="82"/>
      <c r="CN198"/>
      <c r="DH198" s="82"/>
      <c r="DJ198"/>
      <c r="ED198" s="82"/>
      <c r="EF198"/>
    </row>
    <row r="199" spans="3:136">
      <c r="C199" t="s">
        <v>59</v>
      </c>
      <c r="D199" s="15">
        <f t="shared" si="174"/>
        <v>3.8044121109766897</v>
      </c>
      <c r="E199" s="15">
        <f t="shared" si="175"/>
        <v>2.1399818124243875</v>
      </c>
      <c r="F199" s="15">
        <f t="shared" si="176"/>
        <v>0.23777575693604311</v>
      </c>
      <c r="G199" s="15">
        <f t="shared" si="177"/>
        <v>0.47555151387208622</v>
      </c>
      <c r="H199" s="15">
        <f t="shared" si="178"/>
        <v>0.23777575693604311</v>
      </c>
      <c r="I199" s="15">
        <f t="shared" si="180"/>
        <v>0.71332727080812974</v>
      </c>
      <c r="J199" s="15">
        <f t="shared" si="181"/>
        <v>40.418187442004331</v>
      </c>
      <c r="K199" s="7">
        <f t="shared" si="182"/>
        <v>56.249999999999986</v>
      </c>
      <c r="L199" s="7">
        <f t="shared" si="183"/>
        <v>6.25</v>
      </c>
      <c r="M199" s="7">
        <f t="shared" si="184"/>
        <v>12.5</v>
      </c>
      <c r="N199" s="7">
        <f t="shared" si="185"/>
        <v>6.25</v>
      </c>
      <c r="O199" s="15">
        <f t="shared" si="186"/>
        <v>1.6</v>
      </c>
      <c r="V199" t="s">
        <v>66</v>
      </c>
      <c r="W199" s="15">
        <v>4.8697496637228461</v>
      </c>
      <c r="X199" s="15">
        <v>2.1913873486752808</v>
      </c>
      <c r="Y199" s="15">
        <v>0.4869749663722846</v>
      </c>
      <c r="Z199" s="15">
        <v>0.73046244955842687</v>
      </c>
      <c r="AA199" s="15">
        <v>0.9739499327445692</v>
      </c>
      <c r="AB199" s="15">
        <f>IF(Table10[[#This Row],[Expenditure on public order &amp; safety]]-(SUM(Table10[[#This Row],[Expenditure on police services]:[Expenditure on prisons]]))&gt;0, Table10[[#This Row],[Expenditure on public order &amp; safety]]-(SUM(Table10[[#This Row],[Expenditure on police services]:[Expenditure on prisons]])), 0)</f>
        <v>0.48697496637228532</v>
      </c>
      <c r="AC199" s="15">
        <v>0</v>
      </c>
      <c r="AT199" s="82"/>
      <c r="AV199"/>
      <c r="BP199" s="82"/>
      <c r="BR199"/>
      <c r="CL199" s="82"/>
      <c r="CN199"/>
      <c r="DH199" s="82"/>
      <c r="DJ199"/>
      <c r="ED199" s="82"/>
      <c r="EF199"/>
    </row>
    <row r="200" spans="3:136">
      <c r="C200" t="s">
        <v>61</v>
      </c>
      <c r="D200" s="15">
        <f t="shared" si="174"/>
        <v>4.01337184270953</v>
      </c>
      <c r="E200" s="15">
        <f t="shared" si="175"/>
        <v>2.2296510237275164</v>
      </c>
      <c r="F200" s="15">
        <f t="shared" si="176"/>
        <v>0.44593020474550321</v>
      </c>
      <c r="G200" s="15">
        <f t="shared" si="177"/>
        <v>0.89186040949100642</v>
      </c>
      <c r="H200" s="15">
        <f t="shared" si="178"/>
        <v>0.44593020474550321</v>
      </c>
      <c r="I200" s="15">
        <f t="shared" si="180"/>
        <v>0</v>
      </c>
      <c r="J200" s="15">
        <f t="shared" si="181"/>
        <v>22.845403281861984</v>
      </c>
      <c r="K200" s="7">
        <f t="shared" si="182"/>
        <v>55.55555555555555</v>
      </c>
      <c r="L200" s="7">
        <f t="shared" si="183"/>
        <v>11.111111111111107</v>
      </c>
      <c r="M200" s="7">
        <f t="shared" si="184"/>
        <v>22.222222222222214</v>
      </c>
      <c r="N200" s="7">
        <f t="shared" si="185"/>
        <v>11.111111111111107</v>
      </c>
      <c r="O200" s="15">
        <f t="shared" si="186"/>
        <v>0.9</v>
      </c>
      <c r="V200" t="s">
        <v>67</v>
      </c>
      <c r="W200" s="15">
        <v>4.7533260100085437</v>
      </c>
      <c r="X200" s="15">
        <v>2.0795801293787375</v>
      </c>
      <c r="Y200" s="15">
        <v>0.29708287562553398</v>
      </c>
      <c r="Z200" s="15">
        <v>0.89124862687660189</v>
      </c>
      <c r="AA200" s="15">
        <v>0.59416575125106796</v>
      </c>
      <c r="AB200" s="15">
        <f>IF(Table10[[#This Row],[Expenditure on public order &amp; safety]]-(SUM(Table10[[#This Row],[Expenditure on police services]:[Expenditure on prisons]]))&gt;0, Table10[[#This Row],[Expenditure on public order &amp; safety]]-(SUM(Table10[[#This Row],[Expenditure on police services]:[Expenditure on prisons]])), 0)</f>
        <v>0.89124862687660267</v>
      </c>
      <c r="AC200" s="15">
        <v>0</v>
      </c>
      <c r="AT200" s="82"/>
      <c r="AV200"/>
      <c r="BP200" s="82"/>
      <c r="BR200"/>
      <c r="CL200" s="82"/>
      <c r="CN200"/>
      <c r="DH200" s="82"/>
      <c r="DJ200"/>
      <c r="ED200" s="82"/>
      <c r="EF200"/>
    </row>
    <row r="201" spans="3:136">
      <c r="C201" t="s">
        <v>63</v>
      </c>
      <c r="D201" s="15">
        <f t="shared" si="174"/>
        <v>4.2194148699130887</v>
      </c>
      <c r="E201" s="15">
        <f t="shared" si="175"/>
        <v>2.5316489219478528</v>
      </c>
      <c r="F201" s="15">
        <f t="shared" si="176"/>
        <v>0.4219414869913089</v>
      </c>
      <c r="G201" s="15">
        <f t="shared" si="177"/>
        <v>0.63291223048696321</v>
      </c>
      <c r="H201" s="15">
        <f t="shared" si="178"/>
        <v>0.4219414869913089</v>
      </c>
      <c r="I201" s="15">
        <f t="shared" si="180"/>
        <v>0.21097074349565492</v>
      </c>
      <c r="J201" s="15">
        <f t="shared" si="181"/>
        <v>48.274286937322579</v>
      </c>
      <c r="K201" s="7">
        <f t="shared" si="182"/>
        <v>59.999999999999986</v>
      </c>
      <c r="L201" s="7">
        <f t="shared" si="183"/>
        <v>10</v>
      </c>
      <c r="M201" s="7">
        <f t="shared" si="184"/>
        <v>14.999999999999996</v>
      </c>
      <c r="N201" s="7">
        <f t="shared" si="185"/>
        <v>10</v>
      </c>
      <c r="O201" s="15">
        <f t="shared" si="186"/>
        <v>2</v>
      </c>
      <c r="V201" t="s">
        <v>64</v>
      </c>
      <c r="W201" s="15">
        <v>4.5621649382458136</v>
      </c>
      <c r="X201" s="15">
        <v>2.1610254970638065</v>
      </c>
      <c r="Y201" s="15">
        <v>0.48022788823640145</v>
      </c>
      <c r="Z201" s="15">
        <v>0.72034183235460214</v>
      </c>
      <c r="AA201" s="15">
        <v>0.72034183235460214</v>
      </c>
      <c r="AB201" s="15">
        <f>IF(Table10[[#This Row],[Expenditure on public order &amp; safety]]-(SUM(Table10[[#This Row],[Expenditure on police services]:[Expenditure on prisons]]))&gt;0, Table10[[#This Row],[Expenditure on public order &amp; safety]]-(SUM(Table10[[#This Row],[Expenditure on police services]:[Expenditure on prisons]])), 0)</f>
        <v>0.48022788823640106</v>
      </c>
      <c r="AC201" s="15">
        <v>0</v>
      </c>
      <c r="AT201" s="82"/>
      <c r="AV201"/>
      <c r="BP201" s="82"/>
      <c r="BR201"/>
      <c r="CL201" s="82"/>
      <c r="CN201"/>
      <c r="DH201" s="82"/>
      <c r="DJ201"/>
      <c r="ED201" s="82"/>
      <c r="EF201"/>
    </row>
    <row r="202" spans="3:136">
      <c r="C202" t="s">
        <v>57</v>
      </c>
      <c r="D202" s="15">
        <f t="shared" si="174"/>
        <v>3.6548449803753784</v>
      </c>
      <c r="E202" s="15">
        <f t="shared" si="175"/>
        <v>1.9679934509713572</v>
      </c>
      <c r="F202" s="15">
        <f t="shared" si="176"/>
        <v>1.1245676862693472</v>
      </c>
      <c r="G202" s="15">
        <f t="shared" si="177"/>
        <v>0.28114192156733681</v>
      </c>
      <c r="H202" s="15">
        <f t="shared" si="178"/>
        <v>0</v>
      </c>
      <c r="I202" s="15">
        <f t="shared" si="180"/>
        <v>0.28114192156733697</v>
      </c>
      <c r="J202" s="15">
        <f t="shared" si="181"/>
        <v>35.548413241179148</v>
      </c>
      <c r="K202" s="7">
        <f t="shared" si="182"/>
        <v>53.846153846153832</v>
      </c>
      <c r="L202" s="7">
        <f t="shared" si="183"/>
        <v>30.76923076923077</v>
      </c>
      <c r="M202" s="7">
        <f t="shared" si="184"/>
        <v>7.6923076923076925</v>
      </c>
      <c r="N202" s="7">
        <f t="shared" si="185"/>
        <v>0</v>
      </c>
      <c r="O202" s="15">
        <f t="shared" si="186"/>
        <v>1.3</v>
      </c>
      <c r="V202" t="s">
        <v>62</v>
      </c>
      <c r="W202" s="15">
        <v>4.3677297794117642</v>
      </c>
      <c r="X202" s="15">
        <v>2.528685661764706</v>
      </c>
      <c r="Y202" s="15">
        <v>0.22988051470588236</v>
      </c>
      <c r="Z202" s="15">
        <v>0.91952205882352944</v>
      </c>
      <c r="AA202" s="15">
        <v>0.22988051470588236</v>
      </c>
      <c r="AB202" s="15">
        <f>IF(Table10[[#This Row],[Expenditure on public order &amp; safety]]-(SUM(Table10[[#This Row],[Expenditure on police services]:[Expenditure on prisons]]))&gt;0, Table10[[#This Row],[Expenditure on public order &amp; safety]]-(SUM(Table10[[#This Row],[Expenditure on police services]:[Expenditure on prisons]])), 0)</f>
        <v>0.459761029411764</v>
      </c>
      <c r="AC202" s="15">
        <v>0</v>
      </c>
      <c r="AT202" s="82"/>
      <c r="AV202"/>
      <c r="BP202" s="82"/>
      <c r="BR202"/>
      <c r="CL202" s="82"/>
      <c r="CN202"/>
      <c r="DH202" s="82"/>
      <c r="DJ202"/>
      <c r="ED202" s="82"/>
      <c r="EF202"/>
    </row>
    <row r="203" spans="3:136">
      <c r="C203" t="s">
        <v>1761</v>
      </c>
      <c r="D203" s="15">
        <f>W120</f>
        <v>5.5826616010953236</v>
      </c>
      <c r="E203" s="15" t="e">
        <v>#N/A</v>
      </c>
      <c r="F203" s="15" t="e">
        <v>#N/A</v>
      </c>
      <c r="G203" s="15" t="e">
        <v>#N/A</v>
      </c>
      <c r="H203" s="15" t="e">
        <v>#N/A</v>
      </c>
      <c r="I203" s="15" t="e">
        <f t="shared" si="180"/>
        <v>#N/A</v>
      </c>
      <c r="J203" s="15">
        <f t="shared" si="181"/>
        <v>25.662572127592842</v>
      </c>
      <c r="K203" s="7" t="e">
        <f t="shared" si="182"/>
        <v>#N/A</v>
      </c>
      <c r="L203" s="7" t="e">
        <f t="shared" si="183"/>
        <v>#N/A</v>
      </c>
      <c r="M203" s="7" t="e">
        <f t="shared" si="184"/>
        <v>#N/A</v>
      </c>
      <c r="N203" s="7" t="e">
        <f t="shared" si="185"/>
        <v>#N/A</v>
      </c>
      <c r="O203" s="15">
        <f>W21</f>
        <v>1.2796999529227882</v>
      </c>
      <c r="V203" t="s">
        <v>63</v>
      </c>
      <c r="W203" s="15">
        <v>4.2194148699130887</v>
      </c>
      <c r="X203" s="15">
        <v>2.5316489219478528</v>
      </c>
      <c r="Y203" s="15">
        <v>0.4219414869913089</v>
      </c>
      <c r="Z203" s="15">
        <v>0.63291223048696321</v>
      </c>
      <c r="AA203" s="15">
        <v>0.4219414869913089</v>
      </c>
      <c r="AB203" s="15">
        <f>IF(Table10[[#This Row],[Expenditure on public order &amp; safety]]-(SUM(Table10[[#This Row],[Expenditure on police services]:[Expenditure on prisons]]))&gt;0, Table10[[#This Row],[Expenditure on public order &amp; safety]]-(SUM(Table10[[#This Row],[Expenditure on police services]:[Expenditure on prisons]])), 0)</f>
        <v>0.21097074349565492</v>
      </c>
      <c r="AC203" s="15">
        <v>0</v>
      </c>
      <c r="AT203" s="82"/>
      <c r="AV203"/>
      <c r="BP203" s="82"/>
      <c r="BR203"/>
      <c r="CL203" s="82"/>
      <c r="CN203"/>
      <c r="DH203" s="82"/>
      <c r="DJ203"/>
      <c r="ED203" s="82"/>
      <c r="EF203"/>
    </row>
    <row r="204" spans="3:136">
      <c r="C204" t="s">
        <v>54</v>
      </c>
      <c r="D204" s="15">
        <f t="shared" ref="D204:D216" si="187">X121</f>
        <v>2.9602276353579406</v>
      </c>
      <c r="E204" s="15">
        <f>AU121</f>
        <v>1.1385490905222848</v>
      </c>
      <c r="F204" s="15">
        <f>BQ121</f>
        <v>0.68312945431337091</v>
      </c>
      <c r="G204" s="15">
        <f>CM121</f>
        <v>0.45541963620891401</v>
      </c>
      <c r="H204" s="15">
        <f>DI121</f>
        <v>0.45541963620891401</v>
      </c>
      <c r="I204" s="15">
        <f t="shared" si="180"/>
        <v>0.22770981810445701</v>
      </c>
      <c r="J204" s="15">
        <f t="shared" si="181"/>
        <v>43.117276372861937</v>
      </c>
      <c r="K204" s="7">
        <f t="shared" si="182"/>
        <v>38.46153846153846</v>
      </c>
      <c r="L204" s="7">
        <f t="shared" si="183"/>
        <v>23.076923076923077</v>
      </c>
      <c r="M204" s="7">
        <f t="shared" si="184"/>
        <v>15.384615384615389</v>
      </c>
      <c r="N204" s="7">
        <f t="shared" si="185"/>
        <v>15.384615384615389</v>
      </c>
      <c r="O204" s="15">
        <f t="shared" si="186"/>
        <v>1.3</v>
      </c>
      <c r="V204" t="s">
        <v>60</v>
      </c>
      <c r="W204" s="15">
        <v>4.137187086660461</v>
      </c>
      <c r="X204" s="15">
        <v>2.0685935433302305</v>
      </c>
      <c r="Y204" s="15">
        <v>0.45968745407338463</v>
      </c>
      <c r="Z204" s="15">
        <v>1.1492186351834615</v>
      </c>
      <c r="AA204" s="15">
        <v>0.22984372703669231</v>
      </c>
      <c r="AB204" s="15">
        <f>IF(Table10[[#This Row],[Expenditure on public order &amp; safety]]-(SUM(Table10[[#This Row],[Expenditure on police services]:[Expenditure on prisons]]))&gt;0, Table10[[#This Row],[Expenditure on public order &amp; safety]]-(SUM(Table10[[#This Row],[Expenditure on police services]:[Expenditure on prisons]])), 0)</f>
        <v>0.22984372703669154</v>
      </c>
      <c r="AC204" s="15">
        <v>0</v>
      </c>
      <c r="AT204" s="82"/>
      <c r="AV204"/>
      <c r="BP204" s="82"/>
      <c r="BR204"/>
      <c r="CL204" s="82"/>
      <c r="CN204"/>
      <c r="DH204" s="82"/>
      <c r="DJ204"/>
      <c r="ED204" s="82"/>
      <c r="EF204"/>
    </row>
    <row r="205" spans="3:136">
      <c r="C205" t="s">
        <v>66</v>
      </c>
      <c r="D205" s="15">
        <f t="shared" si="187"/>
        <v>4.8697496637228461</v>
      </c>
      <c r="E205" s="15">
        <f>AU122</f>
        <v>2.1913873486752808</v>
      </c>
      <c r="F205" s="15">
        <f>BQ122</f>
        <v>0.4869749663722846</v>
      </c>
      <c r="G205" s="15">
        <f>CM122</f>
        <v>0.73046244955842687</v>
      </c>
      <c r="H205" s="15">
        <f>DI122</f>
        <v>0.9739499327445692</v>
      </c>
      <c r="I205" s="15">
        <f t="shared" si="180"/>
        <v>0.48697496637228532</v>
      </c>
      <c r="J205" s="15">
        <f t="shared" si="181"/>
        <v>41.50622909451284</v>
      </c>
      <c r="K205" s="7">
        <f t="shared" si="182"/>
        <v>45</v>
      </c>
      <c r="L205" s="7">
        <f t="shared" si="183"/>
        <v>10</v>
      </c>
      <c r="M205" s="7">
        <f t="shared" si="184"/>
        <v>15</v>
      </c>
      <c r="N205" s="7">
        <f t="shared" si="185"/>
        <v>20</v>
      </c>
      <c r="O205" s="15">
        <f t="shared" si="186"/>
        <v>2</v>
      </c>
      <c r="V205" t="s">
        <v>61</v>
      </c>
      <c r="W205" s="15">
        <v>4.01337184270953</v>
      </c>
      <c r="X205" s="15">
        <v>2.2296510237275164</v>
      </c>
      <c r="Y205" s="15">
        <v>0.44593020474550321</v>
      </c>
      <c r="Z205" s="15">
        <v>0.89186040949100642</v>
      </c>
      <c r="AA205" s="15">
        <v>0.44593020474550321</v>
      </c>
      <c r="AB205" s="15">
        <f>IF(Table10[[#This Row],[Expenditure on public order &amp; safety]]-(SUM(Table10[[#This Row],[Expenditure on police services]:[Expenditure on prisons]]))&gt;0, Table10[[#This Row],[Expenditure on public order &amp; safety]]-(SUM(Table10[[#This Row],[Expenditure on police services]:[Expenditure on prisons]])), 0)</f>
        <v>8.8817841970012523E-16</v>
      </c>
      <c r="AC205" s="15">
        <v>0</v>
      </c>
      <c r="AT205" s="82"/>
      <c r="AV205"/>
      <c r="BP205" s="82"/>
      <c r="BR205"/>
      <c r="CL205" s="82"/>
      <c r="CN205"/>
      <c r="DH205" s="82"/>
      <c r="DJ205"/>
      <c r="ED205" s="82"/>
      <c r="EF205"/>
    </row>
    <row r="206" spans="3:136">
      <c r="C206" t="s">
        <v>71</v>
      </c>
      <c r="D206" s="15">
        <f t="shared" si="187"/>
        <v>5.3123335491219583</v>
      </c>
      <c r="E206" s="15" t="e">
        <v>#N/A</v>
      </c>
      <c r="F206" s="15" t="e">
        <v>#N/A</v>
      </c>
      <c r="G206" s="15" t="e">
        <v>#N/A</v>
      </c>
      <c r="H206" s="15" t="e">
        <v>#N/A</v>
      </c>
      <c r="I206" s="15" t="e">
        <f t="shared" si="180"/>
        <v>#N/A</v>
      </c>
      <c r="J206" s="15">
        <f t="shared" si="181"/>
        <v>37.637329676921759</v>
      </c>
      <c r="K206" s="7" t="e">
        <f t="shared" si="182"/>
        <v>#N/A</v>
      </c>
      <c r="L206" s="7" t="e">
        <f t="shared" si="183"/>
        <v>#N/A</v>
      </c>
      <c r="M206" s="7" t="e">
        <f t="shared" si="184"/>
        <v>#N/A</v>
      </c>
      <c r="N206" s="7" t="e">
        <f t="shared" si="185"/>
        <v>#N/A</v>
      </c>
      <c r="O206" s="15">
        <f t="shared" si="186"/>
        <v>2</v>
      </c>
      <c r="V206" t="s">
        <v>59</v>
      </c>
      <c r="W206" s="15">
        <v>3.8044121109766897</v>
      </c>
      <c r="X206" s="15">
        <v>2.1399818124243875</v>
      </c>
      <c r="Y206" s="15">
        <v>0.23777575693604311</v>
      </c>
      <c r="Z206" s="15">
        <v>0.47555151387208622</v>
      </c>
      <c r="AA206" s="15">
        <v>0.23777575693604311</v>
      </c>
      <c r="AB206" s="15">
        <f>IF(Table10[[#This Row],[Expenditure on public order &amp; safety]]-(SUM(Table10[[#This Row],[Expenditure on police services]:[Expenditure on prisons]]))&gt;0, Table10[[#This Row],[Expenditure on public order &amp; safety]]-(SUM(Table10[[#This Row],[Expenditure on police services]:[Expenditure on prisons]])), 0)</f>
        <v>0.71332727080812974</v>
      </c>
      <c r="AC206" s="15">
        <v>0</v>
      </c>
      <c r="AT206" s="82"/>
      <c r="AV206"/>
      <c r="BP206" s="82"/>
      <c r="BR206"/>
      <c r="CL206" s="82"/>
      <c r="CN206"/>
      <c r="DH206" s="82"/>
      <c r="DJ206"/>
      <c r="ED206" s="82"/>
      <c r="EF206"/>
    </row>
    <row r="207" spans="3:136">
      <c r="C207" t="s">
        <v>51</v>
      </c>
      <c r="D207" s="15">
        <f t="shared" si="187"/>
        <v>2.3863841880893943</v>
      </c>
      <c r="E207" s="15">
        <f t="shared" ref="E207:E216" si="188">AU124</f>
        <v>1.1014080868104896</v>
      </c>
      <c r="F207" s="15">
        <f t="shared" ref="F207:F216" si="189">BQ124</f>
        <v>0.55070404340524481</v>
      </c>
      <c r="G207" s="15">
        <f t="shared" ref="G207:G216" si="190">CM124</f>
        <v>0.36713602893682989</v>
      </c>
      <c r="H207" s="15">
        <f t="shared" ref="H207:H216" si="191">DI124</f>
        <v>0.18356801446841495</v>
      </c>
      <c r="I207" s="15">
        <f t="shared" si="180"/>
        <v>0.18356801446841509</v>
      </c>
      <c r="J207" s="15">
        <f t="shared" si="181"/>
        <v>49.984677121615391</v>
      </c>
      <c r="K207" s="7">
        <f t="shared" si="182"/>
        <v>46.153846153846153</v>
      </c>
      <c r="L207" s="7">
        <f t="shared" si="183"/>
        <v>23.076923076923077</v>
      </c>
      <c r="M207" s="7">
        <f t="shared" si="184"/>
        <v>15.384615384615385</v>
      </c>
      <c r="N207" s="7">
        <f t="shared" si="185"/>
        <v>7.6923076923076925</v>
      </c>
      <c r="O207" s="15">
        <f t="shared" si="186"/>
        <v>1.3</v>
      </c>
      <c r="V207" t="s">
        <v>57</v>
      </c>
      <c r="W207" s="15">
        <v>3.6548449803753784</v>
      </c>
      <c r="X207" s="15">
        <v>1.9679934509713572</v>
      </c>
      <c r="Y207" s="15">
        <v>1.1245676862693472</v>
      </c>
      <c r="Z207" s="15">
        <v>0.28114192156733681</v>
      </c>
      <c r="AA207" s="15">
        <v>0</v>
      </c>
      <c r="AB207" s="15">
        <f>IF(Table10[[#This Row],[Expenditure on public order &amp; safety]]-(SUM(Table10[[#This Row],[Expenditure on police services]:[Expenditure on prisons]]))&gt;0, Table10[[#This Row],[Expenditure on public order &amp; safety]]-(SUM(Table10[[#This Row],[Expenditure on police services]:[Expenditure on prisons]])), 0)</f>
        <v>0.28114192156733697</v>
      </c>
      <c r="AC207" s="15">
        <v>0</v>
      </c>
      <c r="AT207" s="82"/>
      <c r="AV207"/>
      <c r="BP207" s="82"/>
      <c r="BR207"/>
      <c r="CL207" s="82"/>
      <c r="CN207"/>
      <c r="DH207" s="82"/>
      <c r="DJ207"/>
      <c r="ED207" s="82"/>
      <c r="EF207"/>
    </row>
    <row r="208" spans="3:136">
      <c r="C208" t="s">
        <v>75</v>
      </c>
      <c r="D208" s="15">
        <f t="shared" si="187"/>
        <v>5.5380900882254007</v>
      </c>
      <c r="E208" s="15">
        <f t="shared" si="188"/>
        <v>2.6486517813251917</v>
      </c>
      <c r="F208" s="15">
        <f t="shared" si="189"/>
        <v>0.4815730511500349</v>
      </c>
      <c r="G208" s="15">
        <f t="shared" si="190"/>
        <v>1.4447191534501045</v>
      </c>
      <c r="H208" s="15">
        <f t="shared" si="191"/>
        <v>0.4815730511500349</v>
      </c>
      <c r="I208" s="15">
        <f t="shared" si="180"/>
        <v>0.48157305115003446</v>
      </c>
      <c r="J208" s="15">
        <f t="shared" si="181"/>
        <v>41.97556000322691</v>
      </c>
      <c r="K208" s="7">
        <f t="shared" si="182"/>
        <v>47.826086956521742</v>
      </c>
      <c r="L208" s="7">
        <f t="shared" si="183"/>
        <v>8.6956521739130448</v>
      </c>
      <c r="M208" s="7">
        <f t="shared" si="184"/>
        <v>26.086956521739129</v>
      </c>
      <c r="N208" s="7">
        <f t="shared" si="185"/>
        <v>8.6956521739130448</v>
      </c>
      <c r="O208" s="15">
        <f t="shared" si="186"/>
        <v>2.2999999999999998</v>
      </c>
      <c r="V208" t="s">
        <v>56</v>
      </c>
      <c r="W208" s="15">
        <v>3.65364001301942</v>
      </c>
      <c r="X208" s="15">
        <v>1.719360006126786</v>
      </c>
      <c r="Y208" s="15">
        <v>0.64476000229754471</v>
      </c>
      <c r="Z208" s="15">
        <v>0.85968000306339298</v>
      </c>
      <c r="AA208" s="15">
        <v>0.21492000076584825</v>
      </c>
      <c r="AB208" s="15">
        <f>IF(Table10[[#This Row],[Expenditure on public order &amp; safety]]-(SUM(Table10[[#This Row],[Expenditure on police services]:[Expenditure on prisons]]))&gt;0, Table10[[#This Row],[Expenditure on public order &amp; safety]]-(SUM(Table10[[#This Row],[Expenditure on police services]:[Expenditure on prisons]])), 0)</f>
        <v>0.21492000076584805</v>
      </c>
      <c r="AC208" s="15">
        <v>0</v>
      </c>
      <c r="AT208" s="82"/>
      <c r="AV208"/>
      <c r="BP208" s="82"/>
      <c r="BR208"/>
      <c r="CL208" s="82"/>
      <c r="CN208"/>
      <c r="DH208" s="82"/>
      <c r="DJ208"/>
      <c r="ED208" s="82"/>
      <c r="EF208"/>
    </row>
    <row r="209" spans="3:136">
      <c r="C209" t="s">
        <v>62</v>
      </c>
      <c r="D209" s="15">
        <f t="shared" si="187"/>
        <v>4.3677297794117642</v>
      </c>
      <c r="E209" s="15">
        <f t="shared" si="188"/>
        <v>2.528685661764706</v>
      </c>
      <c r="F209" s="15">
        <f t="shared" si="189"/>
        <v>0.22988051470588236</v>
      </c>
      <c r="G209" s="15">
        <f t="shared" si="190"/>
        <v>0.91952205882352944</v>
      </c>
      <c r="H209" s="15">
        <f t="shared" si="191"/>
        <v>0.22988051470588236</v>
      </c>
      <c r="I209" s="15">
        <f t="shared" si="180"/>
        <v>0.459761029411764</v>
      </c>
      <c r="J209" s="15">
        <f t="shared" si="181"/>
        <v>45.319436950368711</v>
      </c>
      <c r="K209" s="7">
        <f t="shared" si="182"/>
        <v>57.894736842105274</v>
      </c>
      <c r="L209" s="7">
        <f t="shared" si="183"/>
        <v>5.2631578947368434</v>
      </c>
      <c r="M209" s="7">
        <f t="shared" si="184"/>
        <v>21.052631578947373</v>
      </c>
      <c r="N209" s="7">
        <f t="shared" si="185"/>
        <v>5.2631578947368434</v>
      </c>
      <c r="O209" s="15">
        <f t="shared" si="186"/>
        <v>1.9</v>
      </c>
      <c r="V209" t="s">
        <v>58</v>
      </c>
      <c r="W209" s="15">
        <v>3.5916515997170029</v>
      </c>
      <c r="X209" s="15">
        <v>2.1948981998270578</v>
      </c>
      <c r="Y209" s="15">
        <v>0.39907239996855592</v>
      </c>
      <c r="Z209" s="15">
        <v>0.59860859995283378</v>
      </c>
      <c r="AA209" s="15">
        <v>0.19953619998427796</v>
      </c>
      <c r="AB209" s="15">
        <f>IF(Table10[[#This Row],[Expenditure on public order &amp; safety]]-(SUM(Table10[[#This Row],[Expenditure on police services]:[Expenditure on prisons]]))&gt;0, Table10[[#This Row],[Expenditure on public order &amp; safety]]-(SUM(Table10[[#This Row],[Expenditure on police services]:[Expenditure on prisons]])), 0)</f>
        <v>0.1995361999842773</v>
      </c>
      <c r="AC209" s="15">
        <v>0</v>
      </c>
      <c r="AT209" s="82"/>
      <c r="AV209"/>
      <c r="BP209" s="82"/>
      <c r="BR209"/>
      <c r="CL209" s="82"/>
      <c r="CN209"/>
      <c r="DH209" s="82"/>
      <c r="DJ209"/>
      <c r="ED209" s="82"/>
      <c r="EF209"/>
    </row>
    <row r="210" spans="3:136">
      <c r="C210" t="s">
        <v>1637</v>
      </c>
      <c r="D210" s="15">
        <f t="shared" si="187"/>
        <v>6.2414592484138609</v>
      </c>
      <c r="E210" s="15">
        <f t="shared" si="188"/>
        <v>2.7462420693020988</v>
      </c>
      <c r="F210" s="15">
        <f t="shared" si="189"/>
        <v>0.49931673987310887</v>
      </c>
      <c r="G210" s="15">
        <f t="shared" si="190"/>
        <v>0.74897510980966331</v>
      </c>
      <c r="H210" s="15">
        <f t="shared" si="191"/>
        <v>0.49931673987310887</v>
      </c>
      <c r="I210" s="15">
        <f t="shared" si="180"/>
        <v>1.7476085895558811</v>
      </c>
      <c r="J210" s="15">
        <f t="shared" si="181"/>
        <v>42.310266363271317</v>
      </c>
      <c r="K210" s="7">
        <f t="shared" si="182"/>
        <v>44</v>
      </c>
      <c r="L210" s="7">
        <f t="shared" si="183"/>
        <v>8</v>
      </c>
      <c r="M210" s="7">
        <f t="shared" si="184"/>
        <v>12</v>
      </c>
      <c r="N210" s="7">
        <f t="shared" si="185"/>
        <v>8</v>
      </c>
      <c r="O210" s="15">
        <f t="shared" si="186"/>
        <v>2.5</v>
      </c>
      <c r="V210" t="s">
        <v>55</v>
      </c>
      <c r="W210" s="15">
        <v>3.4199152717332959</v>
      </c>
      <c r="X210" s="15">
        <v>1.89995292874072</v>
      </c>
      <c r="Y210" s="15">
        <v>0.56998587862221595</v>
      </c>
      <c r="Z210" s="15">
        <v>0.37999058574814404</v>
      </c>
      <c r="AA210" s="15">
        <v>0.37999058574814404</v>
      </c>
      <c r="AB210" s="15">
        <f>IF(Table10[[#This Row],[Expenditure on public order &amp; safety]]-(SUM(Table10[[#This Row],[Expenditure on police services]:[Expenditure on prisons]]))&gt;0, Table10[[#This Row],[Expenditure on public order &amp; safety]]-(SUM(Table10[[#This Row],[Expenditure on police services]:[Expenditure on prisons]])), 0)</f>
        <v>0.1899952928740718</v>
      </c>
      <c r="AC210" s="15">
        <v>0</v>
      </c>
      <c r="AT210" s="82"/>
      <c r="AV210"/>
      <c r="BP210" s="82"/>
      <c r="BR210"/>
      <c r="CL210" s="82"/>
      <c r="CN210"/>
      <c r="DH210" s="82"/>
      <c r="DJ210"/>
      <c r="ED210" s="82"/>
      <c r="EF210"/>
    </row>
    <row r="211" spans="3:136">
      <c r="C211" t="s">
        <v>60</v>
      </c>
      <c r="D211" s="15">
        <f t="shared" si="187"/>
        <v>4.137187086660461</v>
      </c>
      <c r="E211" s="15">
        <f t="shared" si="188"/>
        <v>2.0685935433302305</v>
      </c>
      <c r="F211" s="15">
        <f t="shared" si="189"/>
        <v>0.45968745407338463</v>
      </c>
      <c r="G211" s="15">
        <f t="shared" si="190"/>
        <v>1.1492186351834615</v>
      </c>
      <c r="H211" s="15">
        <f t="shared" si="191"/>
        <v>0.22984372703669231</v>
      </c>
      <c r="I211" s="15">
        <f t="shared" si="180"/>
        <v>0.22984372703669154</v>
      </c>
      <c r="J211" s="15">
        <f t="shared" si="181"/>
        <v>43.9119569396386</v>
      </c>
      <c r="K211" s="7">
        <f t="shared" si="182"/>
        <v>50</v>
      </c>
      <c r="L211" s="7">
        <f t="shared" si="183"/>
        <v>11.111111111111112</v>
      </c>
      <c r="M211" s="7">
        <f t="shared" si="184"/>
        <v>27.777777777777779</v>
      </c>
      <c r="N211" s="7">
        <f t="shared" si="185"/>
        <v>5.5555555555555562</v>
      </c>
      <c r="O211" s="15">
        <f t="shared" si="186"/>
        <v>1.8</v>
      </c>
      <c r="V211" t="s">
        <v>54</v>
      </c>
      <c r="W211" s="15">
        <v>2.9602276353579406</v>
      </c>
      <c r="X211" s="15">
        <v>1.1385490905222848</v>
      </c>
      <c r="Y211" s="15">
        <v>0.68312945431337091</v>
      </c>
      <c r="Z211" s="15">
        <v>0.45541963620891401</v>
      </c>
      <c r="AA211" s="15">
        <v>0.45541963620891401</v>
      </c>
      <c r="AB211" s="15">
        <f>IF(Table10[[#This Row],[Expenditure on public order &amp; safety]]-(SUM(Table10[[#This Row],[Expenditure on police services]:[Expenditure on prisons]]))&gt;0, Table10[[#This Row],[Expenditure on public order &amp; safety]]-(SUM(Table10[[#This Row],[Expenditure on police services]:[Expenditure on prisons]])), 0)</f>
        <v>0.22770981810445701</v>
      </c>
      <c r="AC211" s="15">
        <v>0</v>
      </c>
      <c r="AT211" s="82"/>
      <c r="AV211"/>
      <c r="BP211" s="82"/>
      <c r="BR211"/>
      <c r="CL211" s="82"/>
      <c r="CN211"/>
      <c r="DH211" s="82"/>
      <c r="DJ211"/>
      <c r="ED211" s="82"/>
      <c r="EF211"/>
    </row>
    <row r="212" spans="3:136">
      <c r="C212" t="s">
        <v>69</v>
      </c>
      <c r="D212" s="15">
        <f t="shared" si="187"/>
        <v>5.0627445587359983</v>
      </c>
      <c r="E212" s="15">
        <f t="shared" si="188"/>
        <v>3.134079964931809</v>
      </c>
      <c r="F212" s="15">
        <f t="shared" si="189"/>
        <v>0.48216614845104749</v>
      </c>
      <c r="G212" s="15">
        <f t="shared" si="190"/>
        <v>0.96433229690209499</v>
      </c>
      <c r="H212" s="15">
        <f t="shared" si="191"/>
        <v>0.48216614845104749</v>
      </c>
      <c r="I212" s="15">
        <f t="shared" si="180"/>
        <v>0</v>
      </c>
      <c r="J212" s="15">
        <f t="shared" si="181"/>
        <v>43.055781454865318</v>
      </c>
      <c r="K212" s="7">
        <f t="shared" si="182"/>
        <v>61.904761904761919</v>
      </c>
      <c r="L212" s="7">
        <f t="shared" si="183"/>
        <v>9.5238095238095255</v>
      </c>
      <c r="M212" s="7">
        <f t="shared" si="184"/>
        <v>19.047619047619051</v>
      </c>
      <c r="N212" s="7">
        <f t="shared" si="185"/>
        <v>9.5238095238095255</v>
      </c>
      <c r="O212" s="15">
        <f t="shared" si="186"/>
        <v>2.1</v>
      </c>
      <c r="V212" t="s">
        <v>52</v>
      </c>
      <c r="W212" s="15">
        <v>2.8794447445800326</v>
      </c>
      <c r="X212" s="15">
        <v>1.4397223722900163</v>
      </c>
      <c r="Y212" s="15">
        <v>0.41134924922571897</v>
      </c>
      <c r="Z212" s="15">
        <v>0.61702387383857837</v>
      </c>
      <c r="AA212" s="15">
        <v>0.41134924922571897</v>
      </c>
      <c r="AB212" s="15">
        <f>IF(Table10[[#This Row],[Expenditure on public order &amp; safety]]-(SUM(Table10[[#This Row],[Expenditure on police services]:[Expenditure on prisons]]))&gt;0, Table10[[#This Row],[Expenditure on public order &amp; safety]]-(SUM(Table10[[#This Row],[Expenditure on police services]:[Expenditure on prisons]])), 0)</f>
        <v>0</v>
      </c>
      <c r="AC212" s="15">
        <v>0</v>
      </c>
      <c r="AT212" s="82"/>
      <c r="AV212"/>
      <c r="BP212" s="82"/>
      <c r="BR212"/>
      <c r="CL212" s="82"/>
      <c r="CN212"/>
      <c r="DH212" s="82"/>
      <c r="DJ212"/>
      <c r="ED212" s="82"/>
      <c r="EF212"/>
    </row>
    <row r="213" spans="3:136">
      <c r="C213" t="s">
        <v>52</v>
      </c>
      <c r="D213" s="15">
        <f t="shared" si="187"/>
        <v>2.8794447445800326</v>
      </c>
      <c r="E213" s="15">
        <f t="shared" si="188"/>
        <v>1.4397223722900163</v>
      </c>
      <c r="F213" s="15">
        <f t="shared" si="189"/>
        <v>0.41134924922571897</v>
      </c>
      <c r="G213" s="15">
        <f t="shared" si="190"/>
        <v>0.61702387383857837</v>
      </c>
      <c r="H213" s="15">
        <f t="shared" si="191"/>
        <v>0.41134924922571897</v>
      </c>
      <c r="I213" s="15">
        <f t="shared" si="180"/>
        <v>0</v>
      </c>
      <c r="J213" s="15">
        <f t="shared" si="181"/>
        <v>49.570546674942292</v>
      </c>
      <c r="K213" s="7">
        <f t="shared" si="182"/>
        <v>50</v>
      </c>
      <c r="L213" s="7">
        <f t="shared" si="183"/>
        <v>14.285714285714288</v>
      </c>
      <c r="M213" s="7">
        <f t="shared" si="184"/>
        <v>21.428571428571427</v>
      </c>
      <c r="N213" s="7">
        <f t="shared" si="185"/>
        <v>14.285714285714288</v>
      </c>
      <c r="O213" s="15">
        <f t="shared" si="186"/>
        <v>1.4</v>
      </c>
      <c r="V213" t="s">
        <v>53</v>
      </c>
      <c r="W213" s="15">
        <v>2.8718567990698429</v>
      </c>
      <c r="X213" s="15">
        <v>1.4359283995349215</v>
      </c>
      <c r="Y213" s="15">
        <v>0.41026525700997762</v>
      </c>
      <c r="Z213" s="15">
        <v>0.61539788551496644</v>
      </c>
      <c r="AA213" s="15">
        <v>0.41026525700997762</v>
      </c>
      <c r="AB213" s="15">
        <f>IF(Table10[[#This Row],[Expenditure on public order &amp; safety]]-(SUM(Table10[[#This Row],[Expenditure on police services]:[Expenditure on prisons]]))&gt;0, Table10[[#This Row],[Expenditure on public order &amp; safety]]-(SUM(Table10[[#This Row],[Expenditure on police services]:[Expenditure on prisons]])), 0)</f>
        <v>0</v>
      </c>
      <c r="AC213" s="15">
        <v>0</v>
      </c>
      <c r="AT213" s="82"/>
      <c r="AV213"/>
      <c r="BP213" s="82"/>
      <c r="BR213"/>
      <c r="CL213" s="82"/>
      <c r="CN213"/>
      <c r="DH213" s="82"/>
      <c r="DJ213"/>
      <c r="ED213" s="82"/>
      <c r="EF213"/>
    </row>
    <row r="214" spans="3:136">
      <c r="C214" t="s">
        <v>67</v>
      </c>
      <c r="D214" s="15">
        <f t="shared" si="187"/>
        <v>4.7533260100085437</v>
      </c>
      <c r="E214" s="15">
        <f t="shared" si="188"/>
        <v>2.0795801293787375</v>
      </c>
      <c r="F214" s="15">
        <f t="shared" si="189"/>
        <v>0.29708287562553398</v>
      </c>
      <c r="G214" s="15">
        <f t="shared" si="190"/>
        <v>0.89124862687660189</v>
      </c>
      <c r="H214" s="15">
        <f t="shared" si="191"/>
        <v>0.59416575125106796</v>
      </c>
      <c r="I214" s="15">
        <f t="shared" si="180"/>
        <v>0.89124862687660267</v>
      </c>
      <c r="J214" s="15">
        <f t="shared" si="181"/>
        <v>33.155611698653416</v>
      </c>
      <c r="K214" s="7">
        <f t="shared" si="182"/>
        <v>43.749999999999993</v>
      </c>
      <c r="L214" s="7">
        <f t="shared" si="183"/>
        <v>6.25</v>
      </c>
      <c r="M214" s="7">
        <f t="shared" si="184"/>
        <v>18.75</v>
      </c>
      <c r="N214" s="7">
        <f t="shared" si="185"/>
        <v>12.5</v>
      </c>
      <c r="O214" s="15">
        <f t="shared" si="186"/>
        <v>1.6</v>
      </c>
      <c r="V214" t="s">
        <v>51</v>
      </c>
      <c r="W214" s="15">
        <v>2.3863841880893943</v>
      </c>
      <c r="X214" s="15">
        <v>1.1014080868104896</v>
      </c>
      <c r="Y214" s="15">
        <v>0.55070404340524481</v>
      </c>
      <c r="Z214" s="15">
        <v>0.36713602893682989</v>
      </c>
      <c r="AA214" s="15">
        <v>0.18356801446841495</v>
      </c>
      <c r="AB214" s="15">
        <f>IF(Table10[[#This Row],[Expenditure on public order &amp; safety]]-(SUM(Table10[[#This Row],[Expenditure on police services]:[Expenditure on prisons]]))&gt;0, Table10[[#This Row],[Expenditure on public order &amp; safety]]-(SUM(Table10[[#This Row],[Expenditure on police services]:[Expenditure on prisons]])), 0)</f>
        <v>0.18356801446841509</v>
      </c>
      <c r="AC214" s="15">
        <v>0</v>
      </c>
      <c r="AT214" s="82"/>
      <c r="AV214"/>
      <c r="BP214" s="82"/>
      <c r="BR214"/>
      <c r="CL214" s="82"/>
      <c r="CN214"/>
      <c r="DH214" s="82"/>
      <c r="DJ214"/>
      <c r="ED214" s="82"/>
      <c r="EF214"/>
    </row>
    <row r="215" spans="3:136">
      <c r="C215" t="s">
        <v>72</v>
      </c>
      <c r="D215" s="15">
        <f t="shared" si="187"/>
        <v>5.5309052234669567</v>
      </c>
      <c r="E215" s="15">
        <f t="shared" si="188"/>
        <v>3.0419978729068262</v>
      </c>
      <c r="F215" s="15">
        <f t="shared" si="189"/>
        <v>0.55309052234669565</v>
      </c>
      <c r="G215" s="15">
        <f t="shared" si="190"/>
        <v>1.1061810446933913</v>
      </c>
      <c r="H215" s="15">
        <f t="shared" si="191"/>
        <v>0.55309052234669565</v>
      </c>
      <c r="I215" s="15">
        <f t="shared" si="180"/>
        <v>0.27654526117334743</v>
      </c>
      <c r="J215" s="15">
        <f t="shared" si="181"/>
        <v>36.888370988973044</v>
      </c>
      <c r="K215" s="7">
        <f t="shared" si="182"/>
        <v>55.000000000000007</v>
      </c>
      <c r="L215" s="7">
        <f t="shared" si="183"/>
        <v>10</v>
      </c>
      <c r="M215" s="7">
        <f t="shared" si="184"/>
        <v>20</v>
      </c>
      <c r="N215" s="7">
        <f t="shared" si="185"/>
        <v>10</v>
      </c>
      <c r="O215" s="15">
        <f t="shared" si="186"/>
        <v>2</v>
      </c>
      <c r="V215" t="s">
        <v>50</v>
      </c>
      <c r="W215" s="15">
        <v>2.3315318551415598</v>
      </c>
      <c r="X215" s="15">
        <v>0.97147160630898333</v>
      </c>
      <c r="Y215" s="15">
        <v>0.58288296378538995</v>
      </c>
      <c r="Z215" s="15">
        <v>0.38858864252359337</v>
      </c>
      <c r="AA215" s="15">
        <v>0.19429432126179669</v>
      </c>
      <c r="AB215" s="15">
        <f>IF(Table10[[#This Row],[Expenditure on public order &amp; safety]]-(SUM(Table10[[#This Row],[Expenditure on police services]:[Expenditure on prisons]]))&gt;0, Table10[[#This Row],[Expenditure on public order &amp; safety]]-(SUM(Table10[[#This Row],[Expenditure on police services]:[Expenditure on prisons]])), 0)</f>
        <v>0.19429432126179647</v>
      </c>
      <c r="AC215" s="15">
        <v>0</v>
      </c>
      <c r="AT215" s="82"/>
      <c r="AV215"/>
      <c r="BP215" s="82"/>
      <c r="BR215"/>
      <c r="CL215" s="82"/>
      <c r="CN215"/>
      <c r="DH215" s="82"/>
      <c r="DJ215"/>
      <c r="ED215" s="82"/>
      <c r="EF215"/>
    </row>
    <row r="216" spans="3:136">
      <c r="C216" t="s">
        <v>77</v>
      </c>
      <c r="D216" s="15">
        <f t="shared" si="187"/>
        <v>6.3624993202457985</v>
      </c>
      <c r="E216" s="15">
        <f t="shared" si="188"/>
        <v>2.9645051777848557</v>
      </c>
      <c r="F216" s="15">
        <f t="shared" si="189"/>
        <v>0.99438328814586363</v>
      </c>
      <c r="G216" s="15">
        <f t="shared" si="190"/>
        <v>0.98039977315631244</v>
      </c>
      <c r="H216" s="15">
        <f t="shared" si="191"/>
        <v>1.4232110811587673</v>
      </c>
      <c r="I216" s="15">
        <f t="shared" si="180"/>
        <v>0</v>
      </c>
      <c r="J216" s="15">
        <f t="shared" si="181"/>
        <v>31.216697467115996</v>
      </c>
      <c r="K216" s="7">
        <f t="shared" si="182"/>
        <v>46.593406593406591</v>
      </c>
      <c r="L216" s="7">
        <f t="shared" si="183"/>
        <v>15.628815628815632</v>
      </c>
      <c r="M216" s="7">
        <f t="shared" si="184"/>
        <v>15.409035409035413</v>
      </c>
      <c r="N216" s="7">
        <f t="shared" si="185"/>
        <v>22.368742368742371</v>
      </c>
      <c r="O216" s="15">
        <f t="shared" si="186"/>
        <v>1.9599162428956027</v>
      </c>
      <c r="V216" t="s">
        <v>49</v>
      </c>
      <c r="W216" s="15">
        <v>1.8778899171315255</v>
      </c>
      <c r="X216" s="15">
        <v>1.1267339502789151</v>
      </c>
      <c r="Y216" s="15">
        <v>0.18778899171315255</v>
      </c>
      <c r="Z216" s="15">
        <v>0.37557798342630511</v>
      </c>
      <c r="AA216" s="15">
        <v>0.37557798342630511</v>
      </c>
      <c r="AB216" s="15">
        <f>IF(Table10[[#This Row],[Expenditure on public order &amp; safety]]-(SUM(Table10[[#This Row],[Expenditure on police services]:[Expenditure on prisons]]))&gt;0, Table10[[#This Row],[Expenditure on public order &amp; safety]]-(SUM(Table10[[#This Row],[Expenditure on police services]:[Expenditure on prisons]])), 0)</f>
        <v>0</v>
      </c>
      <c r="AC216" s="15">
        <v>0</v>
      </c>
      <c r="AT216" s="82"/>
      <c r="AV216"/>
      <c r="BP216" s="82"/>
      <c r="BR216"/>
      <c r="CL216" s="82"/>
      <c r="CN216"/>
      <c r="DH216" s="82"/>
      <c r="DJ216"/>
      <c r="ED216" s="82"/>
      <c r="EF216"/>
    </row>
    <row r="217" spans="3:136">
      <c r="C217" t="s">
        <v>2103</v>
      </c>
      <c r="D217" s="15" cm="1">
        <f t="array" ref="D217">AVERAGE(IF(ISNUMBER(D188:D216), (D188:D216)))</f>
        <v>4.2950736560822591</v>
      </c>
      <c r="E217" s="15" cm="1">
        <f t="array" ref="E217">AVERAGE(IF(ISNUMBER(E188:E216), (E188:E216)))</f>
        <v>2.1348389632520934</v>
      </c>
      <c r="F217" s="15" cm="1">
        <f t="array" ref="F217">AVERAGE(IF(ISNUMBER(F188:F216), (F188:F216)))</f>
        <v>0.52819838458230273</v>
      </c>
      <c r="G217" s="15" cm="1">
        <f t="array" ref="G217">AVERAGE(IF(ISNUMBER(G188:G216), (G188:G216)))</f>
        <v>0.74683518421261941</v>
      </c>
      <c r="H217" s="15" cm="1">
        <f t="array" ref="H217">AVERAGE(IF(ISNUMBER(H188:H216), (H188:H216)))</f>
        <v>0.45655670839019397</v>
      </c>
      <c r="I217" s="15" cm="1">
        <f t="array" ref="I217">AVERAGE(IF(ISNUMBER(I188:I216), (I188:I216)))</f>
        <v>0.34327968090235456</v>
      </c>
      <c r="J217" s="15" cm="1">
        <f t="array" ref="J217">AVERAGE(IF(ISNUMBER(J188:J216), (J188:J216)))</f>
        <v>42.19622857772508</v>
      </c>
    </row>
    <row r="218" spans="3:136">
      <c r="C218" t="s">
        <v>2104</v>
      </c>
      <c r="D218" s="15" cm="1">
        <f t="array" ref="D218">MEDIAN(IF(ISNUMBER(D188:D216), (D188:D216)))</f>
        <v>4.3677297794117642</v>
      </c>
      <c r="E218" s="15" cm="1">
        <f t="array" ref="E218">MEDIAN(IF(ISNUMBER(E188:E216), (E188:E216)))</f>
        <v>2.1610254970638065</v>
      </c>
      <c r="F218" s="15" cm="1">
        <f t="array" ref="F218">MEDIAN(IF(ISNUMBER(F188:F216), (F188:F216)))</f>
        <v>0.48216614845104749</v>
      </c>
      <c r="G218" s="15" cm="1">
        <f t="array" ref="G218">MEDIAN(IF(ISNUMBER(G188:G216), (G188:G216)))</f>
        <v>0.73046244955842687</v>
      </c>
      <c r="H218" s="15" cm="1">
        <f t="array" ref="H218">MEDIAN(IF(ISNUMBER(H188:H216), (H188:H216)))</f>
        <v>0.4219414869913089</v>
      </c>
      <c r="I218" s="15" cm="1">
        <f t="array" ref="I218">MEDIAN(IF(ISNUMBER(I188:I216), (I188:I216)))</f>
        <v>0.22770981810445701</v>
      </c>
      <c r="J218" s="15" cm="1">
        <f t="array" ref="J218">MEDIAN(IF(ISNUMBER(J188:J216), (J188:J216)))</f>
        <v>42.310266363271317</v>
      </c>
    </row>
    <row r="219" spans="3:136" s="34" customFormat="1" ht="57.95">
      <c r="D219" s="34" t="s">
        <v>2105</v>
      </c>
      <c r="E219" s="34" t="s">
        <v>48</v>
      </c>
      <c r="N219" s="34" t="s">
        <v>2101</v>
      </c>
      <c r="O219" s="34" t="s">
        <v>81</v>
      </c>
      <c r="X219" s="89"/>
      <c r="Y219" s="89" t="s">
        <v>2101</v>
      </c>
      <c r="Z219" s="89" t="s">
        <v>82</v>
      </c>
      <c r="AH219" s="34" t="s">
        <v>2101</v>
      </c>
      <c r="AI219" s="34" t="s">
        <v>83</v>
      </c>
      <c r="AP219" s="86"/>
      <c r="AS219" s="34" t="s">
        <v>2101</v>
      </c>
      <c r="AT219" s="34" t="s">
        <v>84</v>
      </c>
      <c r="BH219" s="86"/>
      <c r="CD219" s="86"/>
      <c r="CZ219" s="86"/>
      <c r="DV219" s="86"/>
    </row>
    <row r="220" spans="3:136">
      <c r="D220" t="s">
        <v>77</v>
      </c>
      <c r="E220" s="15">
        <v>6.3624993202457985</v>
      </c>
      <c r="N220" t="s">
        <v>2106</v>
      </c>
      <c r="O220" s="16" t="e">
        <v>#N/A</v>
      </c>
      <c r="Y220" s="15" t="s">
        <v>2106</v>
      </c>
      <c r="Z220" s="15" t="e">
        <v>#N/A</v>
      </c>
      <c r="AA220" s="16"/>
      <c r="AB220" s="16"/>
      <c r="AH220" t="s">
        <v>2106</v>
      </c>
      <c r="AI220" s="16" t="e">
        <v>#N/A</v>
      </c>
      <c r="AJ220" s="16"/>
      <c r="AP220" s="82"/>
      <c r="AS220" t="s">
        <v>2106</v>
      </c>
      <c r="AT220" s="16" t="e">
        <v>#N/A</v>
      </c>
      <c r="AV220"/>
      <c r="BH220" s="82"/>
      <c r="BR220"/>
      <c r="CD220" s="82"/>
      <c r="CN220"/>
      <c r="CZ220" s="82"/>
      <c r="DJ220"/>
      <c r="DV220" s="82"/>
      <c r="EF220"/>
    </row>
    <row r="221" spans="3:136">
      <c r="D221" t="s">
        <v>1637</v>
      </c>
      <c r="E221" s="15">
        <v>6.2414592484138609</v>
      </c>
      <c r="N221" t="s">
        <v>71</v>
      </c>
      <c r="O221" s="16" t="e">
        <v>#N/A</v>
      </c>
      <c r="Y221" s="15" t="s">
        <v>71</v>
      </c>
      <c r="Z221" s="15" t="e">
        <v>#N/A</v>
      </c>
      <c r="AA221" s="16"/>
      <c r="AB221" s="16"/>
      <c r="AH221" t="s">
        <v>71</v>
      </c>
      <c r="AI221" s="16" t="e">
        <v>#N/A</v>
      </c>
      <c r="AJ221" s="16"/>
      <c r="AP221" s="82"/>
      <c r="AS221" t="s">
        <v>71</v>
      </c>
      <c r="AT221" s="16" t="e">
        <v>#N/A</v>
      </c>
      <c r="AV221"/>
      <c r="BH221" s="82"/>
      <c r="BR221"/>
      <c r="CD221" s="82"/>
      <c r="CN221"/>
      <c r="CZ221" s="82"/>
      <c r="DJ221"/>
      <c r="DV221" s="82"/>
      <c r="EF221"/>
    </row>
    <row r="222" spans="3:136">
      <c r="D222" t="s">
        <v>2106</v>
      </c>
      <c r="E222" s="15">
        <v>5.5826616010953236</v>
      </c>
      <c r="N222" t="s">
        <v>69</v>
      </c>
      <c r="O222" s="16">
        <v>3.134079964931809</v>
      </c>
      <c r="Y222" s="15" t="s">
        <v>57</v>
      </c>
      <c r="Z222" s="15">
        <v>1.1245676862693472</v>
      </c>
      <c r="AA222" s="16"/>
      <c r="AB222" s="16"/>
      <c r="AH222" t="s">
        <v>2107</v>
      </c>
      <c r="AI222" s="16">
        <v>1.4447191534501045</v>
      </c>
      <c r="AJ222" s="16"/>
      <c r="AP222" s="82"/>
      <c r="AS222" t="s">
        <v>77</v>
      </c>
      <c r="AT222" s="16">
        <v>1.4232110811587673</v>
      </c>
      <c r="AV222"/>
      <c r="BH222" s="82"/>
      <c r="BR222"/>
      <c r="CD222" s="82"/>
      <c r="CN222"/>
      <c r="CZ222" s="82"/>
      <c r="DJ222"/>
      <c r="DV222" s="82"/>
      <c r="EF222"/>
    </row>
    <row r="223" spans="3:136">
      <c r="D223" t="s">
        <v>74</v>
      </c>
      <c r="E223" s="15">
        <v>5.5417288586139204</v>
      </c>
      <c r="N223" t="s">
        <v>65</v>
      </c>
      <c r="O223" s="16">
        <v>3.0654906856867368</v>
      </c>
      <c r="Y223" s="15" t="s">
        <v>77</v>
      </c>
      <c r="Z223" s="15">
        <v>0.99438328814586363</v>
      </c>
      <c r="AA223" s="16"/>
      <c r="AB223" s="16"/>
      <c r="AH223" t="s">
        <v>2108</v>
      </c>
      <c r="AI223" s="16">
        <v>1.1492186351834615</v>
      </c>
      <c r="AJ223" s="16"/>
      <c r="AP223" s="82"/>
      <c r="AS223" t="s">
        <v>2109</v>
      </c>
      <c r="AT223" s="16">
        <v>0.9739499327445692</v>
      </c>
      <c r="AV223"/>
      <c r="BH223" s="82"/>
      <c r="BR223"/>
      <c r="CD223" s="82"/>
      <c r="CN223"/>
      <c r="CZ223" s="82"/>
      <c r="DJ223"/>
      <c r="DV223" s="82"/>
      <c r="EF223"/>
    </row>
    <row r="224" spans="3:136">
      <c r="D224" t="s">
        <v>2107</v>
      </c>
      <c r="E224" s="15">
        <v>5.5380900882254007</v>
      </c>
      <c r="N224" t="s">
        <v>72</v>
      </c>
      <c r="O224" s="16">
        <v>3.0419978729068262</v>
      </c>
      <c r="Y224" s="15" t="s">
        <v>74</v>
      </c>
      <c r="Z224" s="15">
        <v>0.83125932879208797</v>
      </c>
      <c r="AA224" s="16"/>
      <c r="AB224" s="16"/>
      <c r="AH224" t="s">
        <v>74</v>
      </c>
      <c r="AI224" s="16">
        <v>1.108345771722784</v>
      </c>
      <c r="AJ224" s="16"/>
      <c r="AP224" s="82"/>
      <c r="AS224" t="s">
        <v>74</v>
      </c>
      <c r="AT224" s="16">
        <v>0.83125932879208797</v>
      </c>
      <c r="AV224"/>
      <c r="BH224" s="82"/>
      <c r="BR224"/>
      <c r="CD224" s="82"/>
      <c r="CN224"/>
      <c r="CZ224" s="82"/>
      <c r="DJ224"/>
      <c r="DV224" s="82"/>
      <c r="EF224"/>
    </row>
    <row r="225" spans="4:136">
      <c r="D225" t="s">
        <v>72</v>
      </c>
      <c r="E225" s="15">
        <v>5.5309052234669567</v>
      </c>
      <c r="N225" t="s">
        <v>77</v>
      </c>
      <c r="O225" s="16">
        <v>2.9645051777848557</v>
      </c>
      <c r="Y225" s="15" t="s">
        <v>1620</v>
      </c>
      <c r="Z225" s="15">
        <v>0.72047446332925658</v>
      </c>
      <c r="AA225" s="16"/>
      <c r="AB225" s="16"/>
      <c r="AH225" t="s">
        <v>72</v>
      </c>
      <c r="AI225" s="16">
        <v>1.1061810446933913</v>
      </c>
      <c r="AJ225" s="16"/>
      <c r="AP225" s="82"/>
      <c r="AS225" t="s">
        <v>64</v>
      </c>
      <c r="AT225" s="16">
        <v>0.72034183235460214</v>
      </c>
      <c r="AV225"/>
      <c r="BH225" s="82"/>
      <c r="BR225"/>
      <c r="CD225" s="82"/>
      <c r="CN225"/>
      <c r="CZ225" s="82"/>
      <c r="DJ225"/>
      <c r="DV225" s="82"/>
      <c r="EF225"/>
    </row>
    <row r="226" spans="4:136">
      <c r="D226" t="s">
        <v>71</v>
      </c>
      <c r="E226" s="15">
        <v>5.3123335491219583</v>
      </c>
      <c r="N226" t="s">
        <v>68</v>
      </c>
      <c r="O226" s="16">
        <v>2.7719257811992319</v>
      </c>
      <c r="Y226" s="15" t="s">
        <v>54</v>
      </c>
      <c r="Z226" s="15">
        <v>0.68312945431337091</v>
      </c>
      <c r="AA226" s="16"/>
      <c r="AB226" s="16"/>
      <c r="AH226" t="s">
        <v>77</v>
      </c>
      <c r="AI226" s="16">
        <v>0.98039977315631244</v>
      </c>
      <c r="AJ226" s="16"/>
      <c r="AP226" s="82"/>
      <c r="AS226" t="s">
        <v>68</v>
      </c>
      <c r="AT226" s="16">
        <v>0.69298144529980799</v>
      </c>
      <c r="AV226"/>
      <c r="BH226" s="82"/>
      <c r="BR226"/>
      <c r="CD226" s="82"/>
      <c r="CN226"/>
      <c r="CZ226" s="82"/>
      <c r="DJ226"/>
      <c r="DV226" s="82"/>
      <c r="EF226"/>
    </row>
    <row r="227" spans="4:136">
      <c r="D227" t="s">
        <v>68</v>
      </c>
      <c r="E227" s="15">
        <v>5.0818639321985932</v>
      </c>
      <c r="N227" t="s">
        <v>1637</v>
      </c>
      <c r="O227" s="16">
        <v>2.7462420693020988</v>
      </c>
      <c r="Y227" s="15" t="s">
        <v>56</v>
      </c>
      <c r="Z227" s="15">
        <v>0.64476000229754471</v>
      </c>
      <c r="AA227" s="16"/>
      <c r="AB227" s="16"/>
      <c r="AH227" t="s">
        <v>69</v>
      </c>
      <c r="AI227" s="16">
        <v>0.96433229690209499</v>
      </c>
      <c r="AJ227" s="16"/>
      <c r="AP227" s="82"/>
      <c r="AS227" t="s">
        <v>67</v>
      </c>
      <c r="AT227" s="16">
        <v>0.59416575125106796</v>
      </c>
      <c r="AV227"/>
      <c r="BH227" s="82"/>
      <c r="BR227"/>
      <c r="CD227" s="82"/>
      <c r="CN227"/>
      <c r="CZ227" s="82"/>
      <c r="DJ227"/>
      <c r="DV227" s="82"/>
      <c r="EF227"/>
    </row>
    <row r="228" spans="4:136">
      <c r="D228" t="s">
        <v>69</v>
      </c>
      <c r="E228" s="15">
        <v>5.0627445587359983</v>
      </c>
      <c r="N228" t="s">
        <v>2107</v>
      </c>
      <c r="O228" s="16">
        <v>2.6486517813251917</v>
      </c>
      <c r="Y228" s="15" t="s">
        <v>65</v>
      </c>
      <c r="Z228" s="15">
        <v>0.61309813713734729</v>
      </c>
      <c r="AA228" s="16"/>
      <c r="AB228" s="16"/>
      <c r="AH228" t="s">
        <v>68</v>
      </c>
      <c r="AI228" s="16">
        <v>0.92397526039974409</v>
      </c>
      <c r="AJ228" s="16"/>
      <c r="AP228" s="82"/>
      <c r="AS228" t="s">
        <v>72</v>
      </c>
      <c r="AT228" s="16">
        <v>0.55309052234669565</v>
      </c>
      <c r="AV228"/>
      <c r="BH228" s="82"/>
      <c r="BR228"/>
      <c r="CD228" s="82"/>
      <c r="CN228"/>
      <c r="CZ228" s="82"/>
      <c r="DJ228"/>
      <c r="DV228" s="82"/>
      <c r="EF228"/>
    </row>
    <row r="229" spans="4:136">
      <c r="D229" t="s">
        <v>1620</v>
      </c>
      <c r="E229" s="15">
        <v>5.0433212433047965</v>
      </c>
      <c r="N229" t="s">
        <v>63</v>
      </c>
      <c r="O229" s="16">
        <v>2.5316489219478528</v>
      </c>
      <c r="Y229" s="15" t="s">
        <v>50</v>
      </c>
      <c r="Z229" s="15">
        <v>0.58288296378538995</v>
      </c>
      <c r="AA229" s="16"/>
      <c r="AB229" s="16"/>
      <c r="AH229" t="s">
        <v>62</v>
      </c>
      <c r="AI229" s="16">
        <v>0.91952205882352944</v>
      </c>
      <c r="AJ229" s="16"/>
      <c r="AP229" s="82"/>
      <c r="AS229" t="s">
        <v>1637</v>
      </c>
      <c r="AT229" s="16">
        <v>0.49931673987310887</v>
      </c>
      <c r="AV229"/>
      <c r="BH229" s="82"/>
      <c r="BR229"/>
      <c r="CD229" s="82"/>
      <c r="CN229"/>
      <c r="CZ229" s="82"/>
      <c r="DJ229"/>
      <c r="DV229" s="82"/>
      <c r="EF229"/>
    </row>
    <row r="230" spans="4:136">
      <c r="D230" t="s">
        <v>65</v>
      </c>
      <c r="E230" s="15">
        <v>4.9047850970987783</v>
      </c>
      <c r="N230" t="s">
        <v>62</v>
      </c>
      <c r="O230" s="16">
        <v>2.528685661764706</v>
      </c>
      <c r="Y230" s="15" t="s">
        <v>55</v>
      </c>
      <c r="Z230" s="15">
        <v>0.56998587862221595</v>
      </c>
      <c r="AA230" s="16"/>
      <c r="AB230" s="16"/>
      <c r="AH230" t="s">
        <v>61</v>
      </c>
      <c r="AI230" s="16">
        <v>0.89186040949100642</v>
      </c>
      <c r="AJ230" s="16"/>
      <c r="AP230" s="82"/>
      <c r="AS230" t="s">
        <v>69</v>
      </c>
      <c r="AT230" s="16">
        <v>0.48216614845104749</v>
      </c>
      <c r="AV230"/>
      <c r="BH230" s="82"/>
      <c r="BR230"/>
      <c r="CD230" s="82"/>
      <c r="CN230"/>
      <c r="CZ230" s="82"/>
      <c r="DJ230"/>
      <c r="DV230" s="82"/>
      <c r="EF230"/>
    </row>
    <row r="231" spans="4:136">
      <c r="D231" t="s">
        <v>2109</v>
      </c>
      <c r="E231" s="15">
        <v>4.8697496637228461</v>
      </c>
      <c r="N231" t="s">
        <v>1620</v>
      </c>
      <c r="O231" s="16">
        <v>2.4015815444308553</v>
      </c>
      <c r="Y231" s="15" t="s">
        <v>72</v>
      </c>
      <c r="Z231" s="15">
        <v>0.55309052234669565</v>
      </c>
      <c r="AA231" s="16"/>
      <c r="AB231" s="16"/>
      <c r="AH231" t="s">
        <v>67</v>
      </c>
      <c r="AI231" s="16">
        <v>0.89124862687660189</v>
      </c>
      <c r="AJ231" s="16"/>
      <c r="AP231" s="82"/>
      <c r="AS231" t="s">
        <v>2107</v>
      </c>
      <c r="AT231" s="16">
        <v>0.4815730511500349</v>
      </c>
      <c r="AV231"/>
      <c r="BH231" s="82"/>
      <c r="BR231"/>
      <c r="CD231" s="82"/>
      <c r="CN231"/>
      <c r="CZ231" s="82"/>
      <c r="DJ231"/>
      <c r="DV231" s="82"/>
      <c r="EF231"/>
    </row>
    <row r="232" spans="4:136">
      <c r="D232" t="s">
        <v>67</v>
      </c>
      <c r="E232" s="15">
        <v>4.7533260100085437</v>
      </c>
      <c r="N232" t="s">
        <v>61</v>
      </c>
      <c r="O232" s="16">
        <v>2.2296510237275164</v>
      </c>
      <c r="Y232" s="15" t="s">
        <v>51</v>
      </c>
      <c r="Z232" s="15">
        <v>0.55070404340524481</v>
      </c>
      <c r="AA232" s="16"/>
      <c r="AB232" s="16"/>
      <c r="AH232" t="s">
        <v>56</v>
      </c>
      <c r="AI232" s="16">
        <v>0.85968000306339298</v>
      </c>
      <c r="AJ232" s="16"/>
      <c r="AP232" s="82"/>
      <c r="AS232" t="s">
        <v>1620</v>
      </c>
      <c r="AT232" s="16">
        <v>0.48031630888617116</v>
      </c>
      <c r="AV232"/>
      <c r="BH232" s="82"/>
      <c r="BR232"/>
      <c r="CD232" s="82"/>
      <c r="CN232"/>
      <c r="CZ232" s="82"/>
      <c r="DJ232"/>
      <c r="DV232" s="82"/>
      <c r="EF232"/>
    </row>
    <row r="233" spans="4:136">
      <c r="D233" t="s">
        <v>64</v>
      </c>
      <c r="E233" s="15">
        <v>4.5621649382458136</v>
      </c>
      <c r="N233" t="s">
        <v>58</v>
      </c>
      <c r="O233" s="16">
        <v>2.1948981998270578</v>
      </c>
      <c r="Y233" s="15" t="s">
        <v>1637</v>
      </c>
      <c r="Z233" s="15">
        <v>0.49931673987310887</v>
      </c>
      <c r="AA233" s="16"/>
      <c r="AB233" s="16"/>
      <c r="AH233" t="s">
        <v>65</v>
      </c>
      <c r="AI233" s="16">
        <v>0.81746418284979661</v>
      </c>
      <c r="AJ233" s="16"/>
      <c r="AP233" s="82"/>
      <c r="AS233" t="s">
        <v>54</v>
      </c>
      <c r="AT233" s="16">
        <v>0.45541963620891401</v>
      </c>
      <c r="AV233"/>
      <c r="BH233" s="82"/>
      <c r="BR233"/>
      <c r="CD233" s="82"/>
      <c r="CN233"/>
      <c r="CZ233" s="82"/>
      <c r="DJ233"/>
      <c r="DV233" s="82"/>
      <c r="EF233"/>
    </row>
    <row r="234" spans="4:136">
      <c r="D234" t="s">
        <v>62</v>
      </c>
      <c r="E234" s="15">
        <v>4.3677297794117642</v>
      </c>
      <c r="N234" t="s">
        <v>2109</v>
      </c>
      <c r="O234" s="16">
        <v>2.1913873486752808</v>
      </c>
      <c r="Y234" s="15" t="s">
        <v>2109</v>
      </c>
      <c r="Z234" s="15">
        <v>0.4869749663722846</v>
      </c>
      <c r="AA234" s="16"/>
      <c r="AB234" s="16"/>
      <c r="AH234" t="s">
        <v>1637</v>
      </c>
      <c r="AI234" s="16">
        <v>0.74897510980966331</v>
      </c>
      <c r="AJ234" s="16"/>
      <c r="AP234" s="82"/>
      <c r="AS234" t="s">
        <v>61</v>
      </c>
      <c r="AT234" s="16">
        <v>0.44593020474550321</v>
      </c>
      <c r="AV234"/>
      <c r="BH234" s="82"/>
      <c r="BR234"/>
      <c r="CD234" s="82"/>
      <c r="CN234"/>
      <c r="CZ234" s="82"/>
      <c r="DJ234"/>
      <c r="DV234" s="82"/>
      <c r="EF234"/>
    </row>
    <row r="235" spans="4:136">
      <c r="D235" t="s">
        <v>63</v>
      </c>
      <c r="E235" s="15">
        <v>4.2194148699130887</v>
      </c>
      <c r="N235" t="s">
        <v>64</v>
      </c>
      <c r="O235" s="16">
        <v>2.1610254970638065</v>
      </c>
      <c r="Y235" s="15" t="s">
        <v>69</v>
      </c>
      <c r="Z235" s="15">
        <v>0.48216614845104749</v>
      </c>
      <c r="AA235" s="16"/>
      <c r="AB235" s="16"/>
      <c r="AH235" t="s">
        <v>2109</v>
      </c>
      <c r="AI235" s="16">
        <v>0.73046244955842687</v>
      </c>
      <c r="AJ235" s="16"/>
      <c r="AP235" s="82"/>
      <c r="AS235" t="s">
        <v>63</v>
      </c>
      <c r="AT235" s="16">
        <v>0.4219414869913089</v>
      </c>
      <c r="AV235"/>
      <c r="BH235" s="82"/>
      <c r="BR235"/>
      <c r="CD235" s="82"/>
      <c r="CN235"/>
      <c r="CZ235" s="82"/>
      <c r="DJ235"/>
      <c r="DV235" s="82"/>
      <c r="EF235"/>
    </row>
    <row r="236" spans="4:136">
      <c r="D236" t="s">
        <v>60</v>
      </c>
      <c r="E236" s="15">
        <v>4.137187086660461</v>
      </c>
      <c r="N236" t="s">
        <v>59</v>
      </c>
      <c r="O236" s="16">
        <v>2.1399818124243875</v>
      </c>
      <c r="Y236" s="15" t="s">
        <v>2107</v>
      </c>
      <c r="Z236" s="15">
        <v>0.4815730511500349</v>
      </c>
      <c r="AA236" s="16"/>
      <c r="AB236" s="16"/>
      <c r="AH236" t="s">
        <v>1620</v>
      </c>
      <c r="AI236" s="16">
        <v>0.72047446332925658</v>
      </c>
      <c r="AJ236" s="16"/>
      <c r="AP236" s="82"/>
      <c r="AS236" t="s">
        <v>52</v>
      </c>
      <c r="AT236" s="16">
        <v>0.41134924922571897</v>
      </c>
      <c r="AV236"/>
      <c r="BH236" s="82"/>
      <c r="BR236"/>
      <c r="CD236" s="82"/>
      <c r="CN236"/>
      <c r="CZ236" s="82"/>
      <c r="DJ236"/>
      <c r="DV236" s="82"/>
      <c r="EF236"/>
    </row>
    <row r="237" spans="4:136">
      <c r="D237" t="s">
        <v>61</v>
      </c>
      <c r="E237" s="15">
        <v>4.01337184270953</v>
      </c>
      <c r="N237" t="s">
        <v>67</v>
      </c>
      <c r="O237" s="16">
        <v>2.0795801293787375</v>
      </c>
      <c r="Y237" s="15" t="s">
        <v>64</v>
      </c>
      <c r="Z237" s="15">
        <v>0.48022788823640145</v>
      </c>
      <c r="AA237" s="16"/>
      <c r="AB237" s="16"/>
      <c r="AH237" t="s">
        <v>64</v>
      </c>
      <c r="AI237" s="16">
        <v>0.72034183235460214</v>
      </c>
      <c r="AJ237" s="16"/>
      <c r="AP237" s="82"/>
      <c r="AS237" t="s">
        <v>53</v>
      </c>
      <c r="AT237" s="16">
        <v>0.41026525700997762</v>
      </c>
      <c r="AV237"/>
      <c r="BH237" s="82"/>
      <c r="BR237"/>
      <c r="CD237" s="82"/>
      <c r="CN237"/>
      <c r="CZ237" s="82"/>
      <c r="DJ237"/>
      <c r="DV237" s="82"/>
      <c r="EF237"/>
    </row>
    <row r="238" spans="4:136">
      <c r="D238" t="s">
        <v>59</v>
      </c>
      <c r="E238" s="15">
        <v>3.8044121109766897</v>
      </c>
      <c r="N238" t="s">
        <v>60</v>
      </c>
      <c r="O238" s="16">
        <v>2.0685935433302305</v>
      </c>
      <c r="Y238" s="15" t="s">
        <v>68</v>
      </c>
      <c r="Z238" s="15">
        <v>0.46198763019987205</v>
      </c>
      <c r="AA238" s="16"/>
      <c r="AB238" s="16"/>
      <c r="AH238" t="s">
        <v>63</v>
      </c>
      <c r="AI238" s="16">
        <v>0.63291223048696321</v>
      </c>
      <c r="AJ238" s="16"/>
      <c r="AP238" s="82"/>
      <c r="AS238" t="s">
        <v>55</v>
      </c>
      <c r="AT238" s="16">
        <v>0.37999058574814404</v>
      </c>
      <c r="AV238"/>
      <c r="BH238" s="82"/>
      <c r="BR238"/>
      <c r="CD238" s="82"/>
      <c r="CN238"/>
      <c r="CZ238" s="82"/>
      <c r="DJ238"/>
      <c r="DV238" s="82"/>
      <c r="EF238"/>
    </row>
    <row r="239" spans="4:136">
      <c r="D239" t="s">
        <v>57</v>
      </c>
      <c r="E239" s="15">
        <v>3.6548449803753784</v>
      </c>
      <c r="N239" t="s">
        <v>57</v>
      </c>
      <c r="O239" s="16">
        <v>1.9679934509713572</v>
      </c>
      <c r="Y239" s="15" t="s">
        <v>60</v>
      </c>
      <c r="Z239" s="15">
        <v>0.45968745407338463</v>
      </c>
      <c r="AA239" s="16"/>
      <c r="AB239" s="16"/>
      <c r="AH239" t="s">
        <v>52</v>
      </c>
      <c r="AI239" s="16">
        <v>0.61702387383857837</v>
      </c>
      <c r="AJ239" s="16"/>
      <c r="AP239" s="82"/>
      <c r="AS239" t="s">
        <v>49</v>
      </c>
      <c r="AT239" s="16">
        <v>0.37557798342630511</v>
      </c>
      <c r="AV239"/>
      <c r="BH239" s="82"/>
      <c r="BR239"/>
      <c r="CD239" s="82"/>
      <c r="CN239"/>
      <c r="CZ239" s="82"/>
      <c r="DJ239"/>
      <c r="DV239" s="82"/>
      <c r="EF239"/>
    </row>
    <row r="240" spans="4:136">
      <c r="D240" t="s">
        <v>56</v>
      </c>
      <c r="E240" s="15">
        <v>3.65364001301942</v>
      </c>
      <c r="N240" t="s">
        <v>74</v>
      </c>
      <c r="O240" s="16">
        <v>1.939605100514872</v>
      </c>
      <c r="Y240" s="15" t="s">
        <v>61</v>
      </c>
      <c r="Z240" s="15">
        <v>0.44593020474550321</v>
      </c>
      <c r="AA240" s="16"/>
      <c r="AB240" s="16"/>
      <c r="AH240" t="s">
        <v>53</v>
      </c>
      <c r="AI240" s="16">
        <v>0.61539788551496644</v>
      </c>
      <c r="AJ240" s="16"/>
      <c r="AP240" s="82"/>
      <c r="AS240" t="s">
        <v>59</v>
      </c>
      <c r="AT240" s="16">
        <v>0.23777575693604311</v>
      </c>
      <c r="AV240"/>
      <c r="BH240" s="82"/>
      <c r="BR240"/>
      <c r="CD240" s="82"/>
      <c r="CN240"/>
      <c r="CZ240" s="82"/>
      <c r="DJ240"/>
      <c r="DV240" s="82"/>
      <c r="EF240"/>
    </row>
    <row r="241" spans="4:136">
      <c r="D241" t="s">
        <v>58</v>
      </c>
      <c r="E241" s="15">
        <v>3.5916515997170029</v>
      </c>
      <c r="N241" t="s">
        <v>55</v>
      </c>
      <c r="O241" s="16">
        <v>1.89995292874072</v>
      </c>
      <c r="Y241" s="15" t="s">
        <v>63</v>
      </c>
      <c r="Z241" s="15">
        <v>0.4219414869913089</v>
      </c>
      <c r="AA241" s="16"/>
      <c r="AB241" s="16"/>
      <c r="AH241" t="s">
        <v>58</v>
      </c>
      <c r="AI241" s="16">
        <v>0.59860859995283378</v>
      </c>
      <c r="AJ241" s="16"/>
      <c r="AP241" s="82"/>
      <c r="AS241" t="s">
        <v>62</v>
      </c>
      <c r="AT241" s="16">
        <v>0.22988051470588236</v>
      </c>
      <c r="AV241"/>
      <c r="BH241" s="82"/>
      <c r="BR241"/>
      <c r="CD241" s="82"/>
      <c r="CN241"/>
      <c r="CZ241" s="82"/>
      <c r="DJ241"/>
      <c r="DV241" s="82"/>
      <c r="EF241"/>
    </row>
    <row r="242" spans="4:136">
      <c r="D242" t="s">
        <v>55</v>
      </c>
      <c r="E242" s="15">
        <v>3.4199152717332959</v>
      </c>
      <c r="N242" t="s">
        <v>56</v>
      </c>
      <c r="O242" s="16">
        <v>1.719360006126786</v>
      </c>
      <c r="Y242" s="15" t="s">
        <v>52</v>
      </c>
      <c r="Z242" s="15">
        <v>0.41134924922571897</v>
      </c>
      <c r="AA242" s="16"/>
      <c r="AB242" s="16"/>
      <c r="AH242" t="s">
        <v>59</v>
      </c>
      <c r="AI242" s="16">
        <v>0.47555151387208622</v>
      </c>
      <c r="AJ242" s="16"/>
      <c r="AP242" s="82"/>
      <c r="AS242" t="s">
        <v>60</v>
      </c>
      <c r="AT242" s="16">
        <v>0.22984372703669231</v>
      </c>
      <c r="AV242"/>
      <c r="BH242" s="82"/>
      <c r="BR242"/>
      <c r="CD242" s="82"/>
      <c r="CN242"/>
      <c r="CZ242" s="82"/>
      <c r="DJ242"/>
      <c r="DV242" s="82"/>
      <c r="EF242"/>
    </row>
    <row r="243" spans="4:136">
      <c r="D243" t="s">
        <v>54</v>
      </c>
      <c r="E243" s="15">
        <v>2.9602276353579406</v>
      </c>
      <c r="N243" t="s">
        <v>52</v>
      </c>
      <c r="O243" s="16">
        <v>1.4397223722900163</v>
      </c>
      <c r="Y243" s="15" t="s">
        <v>53</v>
      </c>
      <c r="Z243" s="15">
        <v>0.41026525700997762</v>
      </c>
      <c r="AA243" s="16"/>
      <c r="AB243" s="16"/>
      <c r="AH243" t="s">
        <v>54</v>
      </c>
      <c r="AI243" s="16">
        <v>0.45541963620891401</v>
      </c>
      <c r="AJ243" s="16"/>
      <c r="AP243" s="82"/>
      <c r="AS243" t="s">
        <v>56</v>
      </c>
      <c r="AT243" s="16">
        <v>0.21492000076584825</v>
      </c>
      <c r="AV243"/>
      <c r="BH243" s="82"/>
      <c r="BR243"/>
      <c r="CD243" s="82"/>
      <c r="CN243"/>
      <c r="CZ243" s="82"/>
      <c r="DJ243"/>
      <c r="DV243" s="82"/>
      <c r="EF243"/>
    </row>
    <row r="244" spans="4:136">
      <c r="D244" t="s">
        <v>52</v>
      </c>
      <c r="E244" s="15">
        <v>2.8794447445800326</v>
      </c>
      <c r="N244" t="s">
        <v>53</v>
      </c>
      <c r="O244" s="16">
        <v>1.4359283995349215</v>
      </c>
      <c r="Y244" s="15" t="s">
        <v>58</v>
      </c>
      <c r="Z244" s="15">
        <v>0.39907239996855592</v>
      </c>
      <c r="AA244" s="16"/>
      <c r="AB244" s="16"/>
      <c r="AH244" t="s">
        <v>50</v>
      </c>
      <c r="AI244" s="16">
        <v>0.38858864252359337</v>
      </c>
      <c r="AJ244" s="16"/>
      <c r="AP244" s="82"/>
      <c r="AS244" t="s">
        <v>65</v>
      </c>
      <c r="AT244" s="16">
        <v>0.20436604571244915</v>
      </c>
      <c r="AV244"/>
      <c r="BH244" s="82"/>
      <c r="BR244"/>
      <c r="CD244" s="82"/>
      <c r="CN244"/>
      <c r="CZ244" s="82"/>
      <c r="DJ244"/>
      <c r="DV244" s="82"/>
      <c r="EF244"/>
    </row>
    <row r="245" spans="4:136">
      <c r="D245" t="s">
        <v>53</v>
      </c>
      <c r="E245" s="15">
        <v>2.8718567990698429</v>
      </c>
      <c r="N245" t="s">
        <v>54</v>
      </c>
      <c r="O245" s="16">
        <v>1.1385490905222848</v>
      </c>
      <c r="Y245" s="15" t="s">
        <v>67</v>
      </c>
      <c r="Z245" s="15">
        <v>0.29708287562553398</v>
      </c>
      <c r="AA245" s="16"/>
      <c r="AB245" s="16"/>
      <c r="AH245" t="s">
        <v>55</v>
      </c>
      <c r="AI245" s="16">
        <v>0.37999058574814404</v>
      </c>
      <c r="AJ245" s="16"/>
      <c r="AP245" s="82"/>
      <c r="AS245" t="s">
        <v>58</v>
      </c>
      <c r="AT245" s="16">
        <v>0.19953619998427796</v>
      </c>
      <c r="AV245"/>
      <c r="BH245" s="82"/>
      <c r="BR245"/>
      <c r="CD245" s="82"/>
      <c r="CN245"/>
      <c r="CZ245" s="82"/>
      <c r="DJ245"/>
      <c r="DV245" s="82"/>
      <c r="EF245"/>
    </row>
    <row r="246" spans="4:136">
      <c r="D246" t="s">
        <v>51</v>
      </c>
      <c r="E246" s="15">
        <v>2.3863841880893943</v>
      </c>
      <c r="N246" t="s">
        <v>49</v>
      </c>
      <c r="O246" s="16">
        <v>1.1267339502789151</v>
      </c>
      <c r="Y246" s="15" t="s">
        <v>59</v>
      </c>
      <c r="Z246" s="15">
        <v>0.23777575693604311</v>
      </c>
      <c r="AA246" s="16"/>
      <c r="AB246" s="16"/>
      <c r="AH246" t="s">
        <v>49</v>
      </c>
      <c r="AI246" s="16">
        <v>0.37557798342630511</v>
      </c>
      <c r="AJ246" s="16"/>
      <c r="AP246" s="82"/>
      <c r="AS246" t="s">
        <v>50</v>
      </c>
      <c r="AT246" s="16">
        <v>0.19429432126179669</v>
      </c>
      <c r="AV246"/>
      <c r="BH246" s="82"/>
      <c r="BR246"/>
      <c r="CD246" s="82"/>
      <c r="CN246"/>
      <c r="CZ246" s="82"/>
      <c r="DJ246"/>
      <c r="DV246" s="82"/>
      <c r="EF246"/>
    </row>
    <row r="247" spans="4:136">
      <c r="D247" t="s">
        <v>50</v>
      </c>
      <c r="E247" s="15">
        <v>2.3315318551415598</v>
      </c>
      <c r="N247" t="s">
        <v>51</v>
      </c>
      <c r="O247" s="16">
        <v>1.1014080868104896</v>
      </c>
      <c r="Y247" s="15" t="s">
        <v>62</v>
      </c>
      <c r="Z247" s="15">
        <v>0.22988051470588236</v>
      </c>
      <c r="AA247" s="16"/>
      <c r="AB247" s="16"/>
      <c r="AH247" t="s">
        <v>51</v>
      </c>
      <c r="AI247" s="16">
        <v>0.36713602893682989</v>
      </c>
      <c r="AJ247" s="16"/>
      <c r="AP247" s="82"/>
      <c r="AS247" t="s">
        <v>51</v>
      </c>
      <c r="AT247" s="16">
        <v>0.18356801446841495</v>
      </c>
      <c r="AV247"/>
      <c r="BH247" s="82"/>
      <c r="BR247"/>
      <c r="CD247" s="82"/>
      <c r="CN247"/>
      <c r="CZ247" s="82"/>
      <c r="DJ247"/>
      <c r="DV247" s="82"/>
      <c r="EF247"/>
    </row>
    <row r="248" spans="4:136">
      <c r="D248" t="s">
        <v>49</v>
      </c>
      <c r="E248" s="15">
        <v>1.8778899171315255</v>
      </c>
      <c r="N248" t="s">
        <v>50</v>
      </c>
      <c r="O248" s="16">
        <v>0.97147160630898333</v>
      </c>
      <c r="Y248" s="15" t="s">
        <v>49</v>
      </c>
      <c r="Z248" s="15">
        <v>0.18778899171315255</v>
      </c>
      <c r="AA248" s="16"/>
      <c r="AB248" s="16"/>
      <c r="AH248" t="s">
        <v>57</v>
      </c>
      <c r="AI248" s="16">
        <v>0.28114192156733681</v>
      </c>
      <c r="AJ248" s="16"/>
      <c r="AP248" s="82"/>
      <c r="AS248" t="s">
        <v>57</v>
      </c>
      <c r="AT248" s="16">
        <v>0</v>
      </c>
      <c r="AV248"/>
      <c r="BH248" s="82"/>
      <c r="BR248"/>
      <c r="CD248" s="82"/>
      <c r="CN248"/>
      <c r="CZ248" s="82"/>
      <c r="DJ248"/>
      <c r="DV248" s="82"/>
      <c r="EF248"/>
    </row>
    <row r="250" spans="4:136">
      <c r="D250" t="s">
        <v>2103</v>
      </c>
      <c r="E250" s="15">
        <f>AVERAGE(Table4[Expenditure on public order &amp; safety])</f>
        <v>4.29507365608226</v>
      </c>
      <c r="N250" t="s">
        <v>2103</v>
      </c>
      <c r="O250" s="15"/>
      <c r="Y250" t="s">
        <v>2103</v>
      </c>
      <c r="Z250" s="15">
        <f>AVERAGE(Table4[Expenditure on public order &amp; safety])</f>
        <v>4.29507365608226</v>
      </c>
      <c r="AH250" t="s">
        <v>2103</v>
      </c>
      <c r="AI250" s="15">
        <f>AVERAGE(Table4[Expenditure on public order &amp; safety])</f>
        <v>4.29507365608226</v>
      </c>
      <c r="AS250" t="s">
        <v>2103</v>
      </c>
      <c r="AT250" s="15">
        <f>AVERAGE(Table4[Expenditure on public order &amp; safety])</f>
        <v>4.29507365608226</v>
      </c>
    </row>
    <row r="253" spans="4:136">
      <c r="D253" t="s">
        <v>2105</v>
      </c>
      <c r="E253" t="s">
        <v>2110</v>
      </c>
    </row>
    <row r="254" spans="4:136">
      <c r="D254" t="s">
        <v>55</v>
      </c>
      <c r="E254" s="7">
        <v>52.81372023581654</v>
      </c>
      <c r="G254" s="15"/>
    </row>
    <row r="255" spans="4:136">
      <c r="D255" t="s">
        <v>50</v>
      </c>
      <c r="E255" s="7">
        <v>52.606297248171451</v>
      </c>
    </row>
    <row r="256" spans="4:136">
      <c r="D256" t="s">
        <v>49</v>
      </c>
      <c r="E256" s="7">
        <v>52.469974436066046</v>
      </c>
    </row>
    <row r="257" spans="4:5">
      <c r="D257" t="s">
        <v>51</v>
      </c>
      <c r="E257" s="7">
        <v>49.984677121615391</v>
      </c>
    </row>
    <row r="258" spans="4:5">
      <c r="D258" t="s">
        <v>53</v>
      </c>
      <c r="E258" s="7">
        <v>49.758534348117117</v>
      </c>
    </row>
    <row r="259" spans="4:5">
      <c r="D259" t="s">
        <v>52</v>
      </c>
      <c r="E259" s="7">
        <v>49.570546674942292</v>
      </c>
    </row>
    <row r="260" spans="4:5">
      <c r="D260" t="s">
        <v>58</v>
      </c>
      <c r="E260" s="7">
        <v>49.466614064503403</v>
      </c>
    </row>
    <row r="261" spans="4:5">
      <c r="D261" t="s">
        <v>65</v>
      </c>
      <c r="E261" s="7">
        <v>49.122135316961106</v>
      </c>
    </row>
    <row r="262" spans="4:5">
      <c r="D262" t="s">
        <v>63</v>
      </c>
      <c r="E262" s="7">
        <v>48.274286937322579</v>
      </c>
    </row>
    <row r="263" spans="4:5">
      <c r="D263" t="s">
        <v>56</v>
      </c>
      <c r="E263" s="7">
        <v>47.772375665850745</v>
      </c>
    </row>
    <row r="264" spans="4:5">
      <c r="D264" t="s">
        <v>62</v>
      </c>
      <c r="E264" s="7">
        <v>45.319436950368711</v>
      </c>
    </row>
    <row r="265" spans="4:5">
      <c r="D265" t="s">
        <v>1638</v>
      </c>
      <c r="E265" s="7">
        <v>43.9119569396386</v>
      </c>
    </row>
    <row r="266" spans="4:5">
      <c r="D266" t="s">
        <v>54</v>
      </c>
      <c r="E266" s="7">
        <v>43.117276372861937</v>
      </c>
    </row>
    <row r="267" spans="4:5">
      <c r="D267" t="s">
        <v>69</v>
      </c>
      <c r="E267" s="7">
        <v>43.055781454865318</v>
      </c>
    </row>
    <row r="268" spans="4:5">
      <c r="D268" t="s">
        <v>1637</v>
      </c>
      <c r="E268" s="7">
        <v>42.310266363271317</v>
      </c>
    </row>
    <row r="269" spans="4:5">
      <c r="D269" t="s">
        <v>1635</v>
      </c>
      <c r="E269" s="7">
        <v>41.97556000322691</v>
      </c>
    </row>
    <row r="270" spans="4:5">
      <c r="D270" t="s">
        <v>1633</v>
      </c>
      <c r="E270" s="7">
        <v>41.50622909451284</v>
      </c>
    </row>
    <row r="271" spans="4:5">
      <c r="D271" t="s">
        <v>64</v>
      </c>
      <c r="E271" s="7">
        <v>41.012431044359957</v>
      </c>
    </row>
    <row r="272" spans="4:5">
      <c r="D272" t="s">
        <v>1620</v>
      </c>
      <c r="E272" s="7">
        <v>40.889550426463245</v>
      </c>
    </row>
    <row r="273" spans="4:5">
      <c r="D273" t="s">
        <v>59</v>
      </c>
      <c r="E273" s="7">
        <v>40.418187442004331</v>
      </c>
    </row>
    <row r="274" spans="4:5">
      <c r="D274" t="s">
        <v>68</v>
      </c>
      <c r="E274" s="7">
        <v>40.248635731685454</v>
      </c>
    </row>
    <row r="275" spans="4:5">
      <c r="D275" t="s">
        <v>71</v>
      </c>
      <c r="E275" s="7">
        <v>37.637329676921759</v>
      </c>
    </row>
    <row r="276" spans="4:5">
      <c r="D276" t="s">
        <v>72</v>
      </c>
      <c r="E276" s="7">
        <v>36.888370988973044</v>
      </c>
    </row>
    <row r="277" spans="4:5">
      <c r="D277" t="s">
        <v>57</v>
      </c>
      <c r="E277" s="7">
        <v>35.548413241179148</v>
      </c>
    </row>
    <row r="278" spans="4:5">
      <c r="D278" t="s">
        <v>74</v>
      </c>
      <c r="E278" s="7">
        <v>35.131756399103359</v>
      </c>
    </row>
    <row r="279" spans="4:5">
      <c r="D279" t="s">
        <v>67</v>
      </c>
      <c r="E279" s="7">
        <v>33.155611698653416</v>
      </c>
    </row>
    <row r="280" spans="4:5">
      <c r="D280" t="s">
        <v>77</v>
      </c>
      <c r="E280" s="7">
        <v>31.216697467115996</v>
      </c>
    </row>
    <row r="281" spans="4:5">
      <c r="D281" t="s">
        <v>2086</v>
      </c>
      <c r="E281" s="7">
        <v>25.662572127592842</v>
      </c>
    </row>
    <row r="282" spans="4:5">
      <c r="D282" t="s">
        <v>61</v>
      </c>
      <c r="E282" s="7">
        <v>22.845403281861984</v>
      </c>
    </row>
    <row r="286" spans="4:5">
      <c r="D286" t="s">
        <v>947</v>
      </c>
      <c r="E286" t="s">
        <v>48</v>
      </c>
    </row>
    <row r="287" spans="4:5">
      <c r="D287" t="s">
        <v>2105</v>
      </c>
      <c r="E287" t="s">
        <v>2111</v>
      </c>
    </row>
    <row r="288" spans="4:5">
      <c r="D288" t="s">
        <v>1637</v>
      </c>
      <c r="E288">
        <v>2.5</v>
      </c>
    </row>
    <row r="289" spans="4:5">
      <c r="D289" t="s">
        <v>65</v>
      </c>
      <c r="E289">
        <v>2.4</v>
      </c>
    </row>
    <row r="290" spans="4:5">
      <c r="D290" t="s">
        <v>75</v>
      </c>
      <c r="E290">
        <v>2.2999999999999998</v>
      </c>
    </row>
    <row r="291" spans="4:5">
      <c r="D291" t="s">
        <v>68</v>
      </c>
      <c r="E291">
        <v>2.2000000000000002</v>
      </c>
    </row>
    <row r="292" spans="4:5">
      <c r="D292" t="s">
        <v>1620</v>
      </c>
      <c r="E292">
        <v>2.1</v>
      </c>
    </row>
    <row r="293" spans="4:5">
      <c r="D293" t="s">
        <v>69</v>
      </c>
      <c r="E293">
        <v>2.1</v>
      </c>
    </row>
    <row r="294" spans="4:5">
      <c r="D294" t="s">
        <v>74</v>
      </c>
      <c r="E294">
        <v>2</v>
      </c>
    </row>
    <row r="295" spans="4:5">
      <c r="D295" t="s">
        <v>63</v>
      </c>
      <c r="E295">
        <v>2</v>
      </c>
    </row>
    <row r="296" spans="4:5">
      <c r="D296" t="s">
        <v>66</v>
      </c>
      <c r="E296">
        <v>2</v>
      </c>
    </row>
    <row r="297" spans="4:5">
      <c r="D297" t="s">
        <v>71</v>
      </c>
      <c r="E297">
        <v>2</v>
      </c>
    </row>
    <row r="298" spans="4:5">
      <c r="D298" t="s">
        <v>72</v>
      </c>
      <c r="E298">
        <v>2</v>
      </c>
    </row>
    <row r="299" spans="4:5">
      <c r="D299" t="s">
        <v>77</v>
      </c>
      <c r="E299" s="16">
        <v>1.9599162428956027</v>
      </c>
    </row>
    <row r="300" spans="4:5">
      <c r="D300" t="s">
        <v>64</v>
      </c>
      <c r="E300">
        <v>1.9</v>
      </c>
    </row>
    <row r="301" spans="4:5">
      <c r="D301" t="s">
        <v>62</v>
      </c>
      <c r="E301">
        <v>1.9</v>
      </c>
    </row>
    <row r="302" spans="4:5">
      <c r="D302" t="s">
        <v>58</v>
      </c>
      <c r="E302">
        <v>1.8</v>
      </c>
    </row>
    <row r="303" spans="4:5">
      <c r="D303" t="s">
        <v>55</v>
      </c>
      <c r="E303">
        <v>1.8</v>
      </c>
    </row>
    <row r="304" spans="4:5">
      <c r="D304" t="s">
        <v>60</v>
      </c>
      <c r="E304">
        <v>1.8</v>
      </c>
    </row>
    <row r="305" spans="4:5">
      <c r="D305" t="s">
        <v>56</v>
      </c>
      <c r="E305">
        <v>1.7</v>
      </c>
    </row>
    <row r="306" spans="4:5">
      <c r="D306" t="s">
        <v>59</v>
      </c>
      <c r="E306">
        <v>1.6</v>
      </c>
    </row>
    <row r="307" spans="4:5">
      <c r="D307" t="s">
        <v>67</v>
      </c>
      <c r="E307">
        <v>1.6</v>
      </c>
    </row>
    <row r="308" spans="4:5">
      <c r="D308" t="s">
        <v>53</v>
      </c>
      <c r="E308">
        <v>1.4</v>
      </c>
    </row>
    <row r="309" spans="4:5">
      <c r="D309" t="s">
        <v>52</v>
      </c>
      <c r="E309">
        <v>1.4</v>
      </c>
    </row>
    <row r="310" spans="4:5">
      <c r="D310" t="s">
        <v>57</v>
      </c>
      <c r="E310">
        <v>1.3</v>
      </c>
    </row>
    <row r="311" spans="4:5">
      <c r="D311" t="s">
        <v>54</v>
      </c>
      <c r="E311">
        <v>1.3</v>
      </c>
    </row>
    <row r="312" spans="4:5">
      <c r="D312" t="s">
        <v>51</v>
      </c>
      <c r="E312">
        <v>1.3</v>
      </c>
    </row>
    <row r="313" spans="4:5">
      <c r="D313" t="s">
        <v>1761</v>
      </c>
      <c r="E313" s="16">
        <v>1.2796999529227882</v>
      </c>
    </row>
    <row r="314" spans="4:5">
      <c r="D314" t="s">
        <v>50</v>
      </c>
      <c r="E314">
        <v>1.2</v>
      </c>
    </row>
    <row r="315" spans="4:5">
      <c r="D315" t="s">
        <v>49</v>
      </c>
      <c r="E315">
        <v>1</v>
      </c>
    </row>
    <row r="316" spans="4:5">
      <c r="D316" t="s">
        <v>61</v>
      </c>
      <c r="E316">
        <v>0.9</v>
      </c>
    </row>
    <row r="322" spans="4:136" s="34" customFormat="1" ht="87">
      <c r="D322" s="34" t="s">
        <v>2112</v>
      </c>
      <c r="E322" s="34" t="s">
        <v>48</v>
      </c>
      <c r="F322" s="34" t="s">
        <v>81</v>
      </c>
      <c r="G322" s="34" t="s">
        <v>82</v>
      </c>
      <c r="H322" s="34" t="s">
        <v>83</v>
      </c>
      <c r="I322" s="34" t="s">
        <v>84</v>
      </c>
      <c r="J322" s="34" t="s">
        <v>272</v>
      </c>
      <c r="K322" s="34" t="s">
        <v>2102</v>
      </c>
      <c r="M322" s="34" t="s">
        <v>2112</v>
      </c>
      <c r="N322" s="34" t="s">
        <v>48</v>
      </c>
      <c r="O322" s="34" t="s">
        <v>81</v>
      </c>
      <c r="P322" s="34" t="s">
        <v>82</v>
      </c>
      <c r="Q322" s="34" t="s">
        <v>83</v>
      </c>
      <c r="R322" s="34" t="s">
        <v>84</v>
      </c>
      <c r="S322" s="34" t="s">
        <v>272</v>
      </c>
      <c r="T322" s="34" t="s">
        <v>2102</v>
      </c>
      <c r="X322" s="89"/>
      <c r="Y322" s="89"/>
      <c r="Z322" s="89"/>
      <c r="AV322" s="86"/>
      <c r="BR322" s="86"/>
      <c r="CN322" s="86"/>
      <c r="DJ322" s="86"/>
      <c r="EF322" s="86"/>
    </row>
    <row r="323" spans="4:136">
      <c r="D323" t="s">
        <v>74</v>
      </c>
      <c r="E323" s="16">
        <f>X6</f>
        <v>2</v>
      </c>
      <c r="F323" s="16">
        <f>AU6</f>
        <v>0.7</v>
      </c>
      <c r="G323" s="16">
        <f>BQ6</f>
        <v>0.3</v>
      </c>
      <c r="H323" s="16">
        <f>CM6</f>
        <v>0.4</v>
      </c>
      <c r="I323" s="16">
        <f>DI6</f>
        <v>0.3</v>
      </c>
      <c r="J323" s="16">
        <f>E323-(SUM(F323:I323))</f>
        <v>0.30000000000000004</v>
      </c>
      <c r="K323">
        <v>0</v>
      </c>
      <c r="M323" t="s">
        <v>1637</v>
      </c>
      <c r="N323" s="16">
        <v>2.5</v>
      </c>
      <c r="O323" s="16">
        <v>1.1000000000000001</v>
      </c>
      <c r="P323" s="16">
        <v>0.2</v>
      </c>
      <c r="Q323" s="16">
        <v>0.3</v>
      </c>
      <c r="R323" s="16">
        <v>0.2</v>
      </c>
      <c r="S323" s="16">
        <v>0.7</v>
      </c>
      <c r="T323" s="16">
        <v>0</v>
      </c>
    </row>
    <row r="324" spans="4:136">
      <c r="D324" t="s">
        <v>53</v>
      </c>
      <c r="E324">
        <f t="shared" ref="E324:E351" si="192">X7</f>
        <v>1.4</v>
      </c>
      <c r="F324">
        <f t="shared" ref="F324:F351" si="193">AU7</f>
        <v>0.7</v>
      </c>
      <c r="G324">
        <f t="shared" ref="G324:G351" si="194">BQ7</f>
        <v>0.2</v>
      </c>
      <c r="H324">
        <f t="shared" ref="H324:H351" si="195">CM7</f>
        <v>0.3</v>
      </c>
      <c r="I324">
        <f t="shared" ref="I324:I351" si="196">DI7</f>
        <v>0.2</v>
      </c>
      <c r="J324">
        <f t="shared" ref="J324:J351" si="197">E324-(SUM(F324:I324))</f>
        <v>0</v>
      </c>
      <c r="K324">
        <v>0</v>
      </c>
      <c r="M324" t="s">
        <v>65</v>
      </c>
      <c r="N324" s="16">
        <v>2.4</v>
      </c>
      <c r="O324" s="16">
        <v>1.5</v>
      </c>
      <c r="P324" s="16">
        <v>0.3</v>
      </c>
      <c r="Q324" s="16">
        <v>0.4</v>
      </c>
      <c r="R324" s="16">
        <v>0.1</v>
      </c>
      <c r="S324" s="16">
        <v>9.9999999999999645E-2</v>
      </c>
      <c r="T324" s="16">
        <v>0</v>
      </c>
    </row>
    <row r="325" spans="4:136">
      <c r="D325" t="s">
        <v>58</v>
      </c>
      <c r="E325">
        <f t="shared" si="192"/>
        <v>1.8</v>
      </c>
      <c r="F325">
        <f t="shared" si="193"/>
        <v>1.1000000000000001</v>
      </c>
      <c r="G325">
        <f t="shared" si="194"/>
        <v>0.2</v>
      </c>
      <c r="H325">
        <f t="shared" si="195"/>
        <v>0.3</v>
      </c>
      <c r="I325">
        <f t="shared" si="196"/>
        <v>0.1</v>
      </c>
      <c r="J325">
        <f t="shared" si="197"/>
        <v>9.9999999999999867E-2</v>
      </c>
      <c r="K325">
        <v>0</v>
      </c>
      <c r="M325" t="s">
        <v>75</v>
      </c>
      <c r="N325" s="16">
        <v>2.2999999999999998</v>
      </c>
      <c r="O325" s="16">
        <v>1.1000000000000001</v>
      </c>
      <c r="P325" s="16">
        <v>0.2</v>
      </c>
      <c r="Q325" s="16">
        <v>0.6</v>
      </c>
      <c r="R325" s="16">
        <v>0.2</v>
      </c>
      <c r="S325" s="16">
        <v>0.19999999999999973</v>
      </c>
      <c r="T325" s="16">
        <v>0</v>
      </c>
    </row>
    <row r="326" spans="4:136">
      <c r="D326" t="s">
        <v>64</v>
      </c>
      <c r="E326">
        <f t="shared" si="192"/>
        <v>1.9</v>
      </c>
      <c r="F326">
        <f t="shared" si="193"/>
        <v>0.9</v>
      </c>
      <c r="G326">
        <f t="shared" si="194"/>
        <v>0.2</v>
      </c>
      <c r="H326">
        <f t="shared" si="195"/>
        <v>0.3</v>
      </c>
      <c r="I326">
        <f t="shared" si="196"/>
        <v>0.3</v>
      </c>
      <c r="J326">
        <f t="shared" si="197"/>
        <v>0.19999999999999973</v>
      </c>
      <c r="K326">
        <v>0</v>
      </c>
      <c r="M326" t="s">
        <v>68</v>
      </c>
      <c r="N326" s="16">
        <v>2.2000000000000002</v>
      </c>
      <c r="O326" s="16">
        <v>1.2</v>
      </c>
      <c r="P326" s="16">
        <v>0.2</v>
      </c>
      <c r="Q326" s="16">
        <v>0.4</v>
      </c>
      <c r="R326" s="16">
        <v>0.3</v>
      </c>
      <c r="S326" s="16">
        <v>0.10000000000000053</v>
      </c>
      <c r="T326" s="16">
        <v>0</v>
      </c>
    </row>
    <row r="327" spans="4:136">
      <c r="D327" t="s">
        <v>1620</v>
      </c>
      <c r="E327">
        <f t="shared" si="192"/>
        <v>2.1</v>
      </c>
      <c r="F327">
        <f t="shared" si="193"/>
        <v>1</v>
      </c>
      <c r="G327">
        <f t="shared" si="194"/>
        <v>0.3</v>
      </c>
      <c r="H327">
        <f t="shared" si="195"/>
        <v>0.3</v>
      </c>
      <c r="I327">
        <f t="shared" si="196"/>
        <v>0.2</v>
      </c>
      <c r="J327">
        <f t="shared" si="197"/>
        <v>0.30000000000000004</v>
      </c>
      <c r="K327">
        <v>0</v>
      </c>
      <c r="M327" t="s">
        <v>1620</v>
      </c>
      <c r="N327" s="16">
        <v>2.1</v>
      </c>
      <c r="O327" s="16">
        <v>1</v>
      </c>
      <c r="P327" s="16">
        <v>0.3</v>
      </c>
      <c r="Q327" s="16">
        <v>0.3</v>
      </c>
      <c r="R327" s="16">
        <v>0.2</v>
      </c>
      <c r="S327" s="16">
        <v>0.30000000000000004</v>
      </c>
      <c r="T327" s="16">
        <v>0</v>
      </c>
    </row>
    <row r="328" spans="4:136">
      <c r="D328" t="s">
        <v>49</v>
      </c>
      <c r="E328">
        <f t="shared" si="192"/>
        <v>1</v>
      </c>
      <c r="F328">
        <f t="shared" si="193"/>
        <v>0.6</v>
      </c>
      <c r="G328">
        <f t="shared" si="194"/>
        <v>0.1</v>
      </c>
      <c r="H328">
        <f t="shared" si="195"/>
        <v>0.2</v>
      </c>
      <c r="I328">
        <f t="shared" si="196"/>
        <v>0.2</v>
      </c>
      <c r="J328">
        <f t="shared" si="197"/>
        <v>-9.9999999999999867E-2</v>
      </c>
      <c r="K328">
        <v>0</v>
      </c>
      <c r="M328" t="s">
        <v>69</v>
      </c>
      <c r="N328" s="16">
        <v>2.1</v>
      </c>
      <c r="O328" s="16">
        <v>1.3</v>
      </c>
      <c r="P328" s="16">
        <v>0.2</v>
      </c>
      <c r="Q328" s="16">
        <v>0.4</v>
      </c>
      <c r="R328" s="16">
        <v>0.2</v>
      </c>
      <c r="S328" s="16">
        <v>0</v>
      </c>
      <c r="T328" s="16">
        <v>0</v>
      </c>
    </row>
    <row r="329" spans="4:136">
      <c r="D329" t="s">
        <v>50</v>
      </c>
      <c r="E329">
        <f t="shared" si="192"/>
        <v>1.2</v>
      </c>
      <c r="F329">
        <f t="shared" si="193"/>
        <v>0.5</v>
      </c>
      <c r="G329">
        <f t="shared" si="194"/>
        <v>0.3</v>
      </c>
      <c r="H329">
        <f t="shared" si="195"/>
        <v>0.2</v>
      </c>
      <c r="I329">
        <f t="shared" si="196"/>
        <v>0.1</v>
      </c>
      <c r="J329">
        <f t="shared" si="197"/>
        <v>9.9999999999999867E-2</v>
      </c>
      <c r="K329">
        <v>0</v>
      </c>
      <c r="M329" t="s">
        <v>74</v>
      </c>
      <c r="N329" s="16">
        <v>2</v>
      </c>
      <c r="O329" s="16">
        <v>0.7</v>
      </c>
      <c r="P329" s="16">
        <v>0.3</v>
      </c>
      <c r="Q329" s="16">
        <v>0.4</v>
      </c>
      <c r="R329" s="16">
        <v>0.3</v>
      </c>
      <c r="S329" s="16">
        <v>0.30000000000000004</v>
      </c>
      <c r="T329" s="16">
        <v>0</v>
      </c>
    </row>
    <row r="330" spans="4:136">
      <c r="D330" t="s">
        <v>55</v>
      </c>
      <c r="E330">
        <f t="shared" si="192"/>
        <v>1.8</v>
      </c>
      <c r="F330">
        <f t="shared" si="193"/>
        <v>1</v>
      </c>
      <c r="G330">
        <f t="shared" si="194"/>
        <v>0.3</v>
      </c>
      <c r="H330">
        <f t="shared" si="195"/>
        <v>0.2</v>
      </c>
      <c r="I330">
        <f t="shared" si="196"/>
        <v>0.2</v>
      </c>
      <c r="J330">
        <f t="shared" si="197"/>
        <v>0.10000000000000009</v>
      </c>
      <c r="K330">
        <v>0</v>
      </c>
      <c r="M330" t="s">
        <v>63</v>
      </c>
      <c r="N330" s="16">
        <v>2</v>
      </c>
      <c r="O330" s="16">
        <v>1.2</v>
      </c>
      <c r="P330" s="16">
        <v>0.2</v>
      </c>
      <c r="Q330" s="16">
        <v>0.3</v>
      </c>
      <c r="R330" s="16">
        <v>0.2</v>
      </c>
      <c r="S330" s="16">
        <v>0.10000000000000009</v>
      </c>
      <c r="T330" s="16">
        <v>0</v>
      </c>
    </row>
    <row r="331" spans="4:136">
      <c r="D331" t="s">
        <v>56</v>
      </c>
      <c r="E331">
        <f t="shared" si="192"/>
        <v>1.7</v>
      </c>
      <c r="F331">
        <f t="shared" si="193"/>
        <v>0.8</v>
      </c>
      <c r="G331">
        <f t="shared" si="194"/>
        <v>0.3</v>
      </c>
      <c r="H331">
        <f t="shared" si="195"/>
        <v>0.4</v>
      </c>
      <c r="I331">
        <f t="shared" si="196"/>
        <v>0.1</v>
      </c>
      <c r="J331">
        <f t="shared" si="197"/>
        <v>9.9999999999999867E-2</v>
      </c>
      <c r="K331">
        <v>0</v>
      </c>
      <c r="M331" t="s">
        <v>66</v>
      </c>
      <c r="N331" s="16">
        <v>2</v>
      </c>
      <c r="O331" s="16">
        <v>0.9</v>
      </c>
      <c r="P331" s="16">
        <v>0.2</v>
      </c>
      <c r="Q331" s="16">
        <v>0.3</v>
      </c>
      <c r="R331" s="16">
        <v>0.4</v>
      </c>
      <c r="S331" s="16">
        <v>0.19999999999999973</v>
      </c>
      <c r="T331" s="16">
        <v>0</v>
      </c>
    </row>
    <row r="332" spans="4:136">
      <c r="D332" t="s">
        <v>65</v>
      </c>
      <c r="E332">
        <f t="shared" si="192"/>
        <v>2.4</v>
      </c>
      <c r="F332">
        <f t="shared" si="193"/>
        <v>1.5</v>
      </c>
      <c r="G332">
        <f t="shared" si="194"/>
        <v>0.3</v>
      </c>
      <c r="H332">
        <f t="shared" si="195"/>
        <v>0.4</v>
      </c>
      <c r="I332">
        <f t="shared" si="196"/>
        <v>0.1</v>
      </c>
      <c r="J332">
        <f t="shared" si="197"/>
        <v>9.9999999999999645E-2</v>
      </c>
      <c r="K332">
        <v>0</v>
      </c>
      <c r="M332" t="s">
        <v>71</v>
      </c>
      <c r="N332" s="16">
        <v>2</v>
      </c>
      <c r="O332" s="16" t="s">
        <v>1870</v>
      </c>
      <c r="P332" s="16" t="s">
        <v>1870</v>
      </c>
      <c r="Q332" s="16" t="s">
        <v>1870</v>
      </c>
      <c r="R332" s="16" t="s">
        <v>1870</v>
      </c>
      <c r="S332" s="16"/>
      <c r="T332" s="16">
        <v>2</v>
      </c>
    </row>
    <row r="333" spans="4:136">
      <c r="D333" t="s">
        <v>68</v>
      </c>
      <c r="E333">
        <f t="shared" si="192"/>
        <v>2.2000000000000002</v>
      </c>
      <c r="F333">
        <f t="shared" si="193"/>
        <v>1.2</v>
      </c>
      <c r="G333">
        <f t="shared" si="194"/>
        <v>0.2</v>
      </c>
      <c r="H333">
        <f t="shared" si="195"/>
        <v>0.4</v>
      </c>
      <c r="I333">
        <f t="shared" si="196"/>
        <v>0.3</v>
      </c>
      <c r="J333">
        <f t="shared" si="197"/>
        <v>0.10000000000000053</v>
      </c>
      <c r="K333">
        <v>0</v>
      </c>
      <c r="M333" t="s">
        <v>72</v>
      </c>
      <c r="N333" s="16">
        <v>2</v>
      </c>
      <c r="O333" s="16">
        <v>1.1000000000000001</v>
      </c>
      <c r="P333" s="16">
        <v>0.2</v>
      </c>
      <c r="Q333" s="16">
        <v>0.4</v>
      </c>
      <c r="R333" s="16">
        <v>0.2</v>
      </c>
      <c r="S333" s="16">
        <v>9.9999999999999867E-2</v>
      </c>
      <c r="T333" s="16">
        <v>0</v>
      </c>
    </row>
    <row r="334" spans="4:136">
      <c r="D334" t="s">
        <v>59</v>
      </c>
      <c r="E334">
        <f t="shared" si="192"/>
        <v>1.6</v>
      </c>
      <c r="F334">
        <f t="shared" si="193"/>
        <v>0.9</v>
      </c>
      <c r="G334">
        <f t="shared" si="194"/>
        <v>0.1</v>
      </c>
      <c r="H334">
        <f t="shared" si="195"/>
        <v>0.2</v>
      </c>
      <c r="I334">
        <f t="shared" si="196"/>
        <v>0.1</v>
      </c>
      <c r="J334">
        <f t="shared" si="197"/>
        <v>0.30000000000000004</v>
      </c>
      <c r="K334">
        <v>0</v>
      </c>
      <c r="M334" t="s">
        <v>77</v>
      </c>
      <c r="N334" s="16">
        <v>1.9599162428956027</v>
      </c>
      <c r="O334" s="16">
        <v>0.91319174394256653</v>
      </c>
      <c r="P334" s="16">
        <v>0.30631169608136405</v>
      </c>
      <c r="Q334" s="16">
        <v>0.30200418785521987</v>
      </c>
      <c r="R334" s="16">
        <v>0.43840861501645229</v>
      </c>
      <c r="S334" s="16">
        <v>0</v>
      </c>
      <c r="T334" s="16">
        <v>0</v>
      </c>
    </row>
    <row r="335" spans="4:136">
      <c r="D335" t="s">
        <v>61</v>
      </c>
      <c r="E335">
        <f t="shared" si="192"/>
        <v>0.9</v>
      </c>
      <c r="F335">
        <f t="shared" si="193"/>
        <v>0.5</v>
      </c>
      <c r="G335">
        <f t="shared" si="194"/>
        <v>0.1</v>
      </c>
      <c r="H335">
        <f t="shared" si="195"/>
        <v>0.2</v>
      </c>
      <c r="I335">
        <f t="shared" si="196"/>
        <v>0.1</v>
      </c>
      <c r="J335">
        <f t="shared" si="197"/>
        <v>0</v>
      </c>
      <c r="K335">
        <v>0</v>
      </c>
      <c r="M335" t="s">
        <v>64</v>
      </c>
      <c r="N335" s="16">
        <v>1.9</v>
      </c>
      <c r="O335" s="16">
        <v>0.9</v>
      </c>
      <c r="P335" s="16">
        <v>0.2</v>
      </c>
      <c r="Q335" s="16">
        <v>0.3</v>
      </c>
      <c r="R335" s="16">
        <v>0.3</v>
      </c>
      <c r="S335" s="16">
        <v>0.19999999999999973</v>
      </c>
      <c r="T335" s="16">
        <v>0</v>
      </c>
    </row>
    <row r="336" spans="4:136">
      <c r="D336" t="s">
        <v>63</v>
      </c>
      <c r="E336">
        <f t="shared" si="192"/>
        <v>2</v>
      </c>
      <c r="F336">
        <f t="shared" si="193"/>
        <v>1.2</v>
      </c>
      <c r="G336">
        <f t="shared" si="194"/>
        <v>0.2</v>
      </c>
      <c r="H336">
        <f t="shared" si="195"/>
        <v>0.3</v>
      </c>
      <c r="I336">
        <f t="shared" si="196"/>
        <v>0.2</v>
      </c>
      <c r="J336">
        <f t="shared" si="197"/>
        <v>0.10000000000000009</v>
      </c>
      <c r="K336">
        <v>0</v>
      </c>
      <c r="M336" t="s">
        <v>62</v>
      </c>
      <c r="N336" s="16">
        <v>1.9</v>
      </c>
      <c r="O336" s="16">
        <v>1.1000000000000001</v>
      </c>
      <c r="P336" s="16">
        <v>0.1</v>
      </c>
      <c r="Q336" s="16">
        <v>0.4</v>
      </c>
      <c r="R336" s="16">
        <v>0.1</v>
      </c>
      <c r="S336" s="16">
        <v>0.19999999999999973</v>
      </c>
      <c r="T336" s="16">
        <v>0</v>
      </c>
    </row>
    <row r="337" spans="4:20">
      <c r="D337" t="s">
        <v>57</v>
      </c>
      <c r="E337">
        <f t="shared" si="192"/>
        <v>1.3</v>
      </c>
      <c r="F337">
        <f t="shared" si="193"/>
        <v>0.7</v>
      </c>
      <c r="G337">
        <f t="shared" si="194"/>
        <v>0.4</v>
      </c>
      <c r="H337">
        <f t="shared" si="195"/>
        <v>0.1</v>
      </c>
      <c r="I337">
        <f t="shared" si="196"/>
        <v>0</v>
      </c>
      <c r="J337">
        <f t="shared" si="197"/>
        <v>9.9999999999999867E-2</v>
      </c>
      <c r="K337">
        <v>0</v>
      </c>
      <c r="M337" t="s">
        <v>58</v>
      </c>
      <c r="N337" s="16">
        <v>1.8</v>
      </c>
      <c r="O337" s="16">
        <v>1.1000000000000001</v>
      </c>
      <c r="P337" s="16">
        <v>0.2</v>
      </c>
      <c r="Q337" s="16">
        <v>0.3</v>
      </c>
      <c r="R337" s="16">
        <v>0.1</v>
      </c>
      <c r="S337" s="16">
        <v>9.9999999999999867E-2</v>
      </c>
      <c r="T337" s="16">
        <v>0</v>
      </c>
    </row>
    <row r="338" spans="4:20">
      <c r="D338" t="s">
        <v>1761</v>
      </c>
      <c r="E338" s="16">
        <f>W21</f>
        <v>1.2796999529227882</v>
      </c>
      <c r="F338" t="str">
        <f t="shared" si="193"/>
        <v xml:space="preserve"> </v>
      </c>
      <c r="G338" t="str">
        <f t="shared" si="194"/>
        <v xml:space="preserve"> </v>
      </c>
      <c r="H338" t="str">
        <f t="shared" si="195"/>
        <v xml:space="preserve"> </v>
      </c>
      <c r="I338" t="str">
        <f t="shared" si="196"/>
        <v xml:space="preserve"> </v>
      </c>
      <c r="K338" s="16">
        <f>E338</f>
        <v>1.2796999529227882</v>
      </c>
      <c r="M338" t="s">
        <v>55</v>
      </c>
      <c r="N338" s="16">
        <v>1.8</v>
      </c>
      <c r="O338" s="16">
        <v>1</v>
      </c>
      <c r="P338" s="16">
        <v>0.3</v>
      </c>
      <c r="Q338" s="16">
        <v>0.2</v>
      </c>
      <c r="R338" s="16">
        <v>0.2</v>
      </c>
      <c r="S338" s="16">
        <v>0.10000000000000009</v>
      </c>
      <c r="T338" s="16">
        <v>0</v>
      </c>
    </row>
    <row r="339" spans="4:20">
      <c r="D339" t="s">
        <v>54</v>
      </c>
      <c r="E339">
        <f t="shared" si="192"/>
        <v>1.3</v>
      </c>
      <c r="F339">
        <f t="shared" si="193"/>
        <v>0.5</v>
      </c>
      <c r="G339">
        <f t="shared" si="194"/>
        <v>0.3</v>
      </c>
      <c r="H339">
        <f t="shared" si="195"/>
        <v>0.2</v>
      </c>
      <c r="I339">
        <f t="shared" si="196"/>
        <v>0.2</v>
      </c>
      <c r="J339">
        <f t="shared" si="197"/>
        <v>0.10000000000000009</v>
      </c>
      <c r="K339">
        <v>0</v>
      </c>
      <c r="M339" t="s">
        <v>60</v>
      </c>
      <c r="N339" s="16">
        <v>1.8</v>
      </c>
      <c r="O339" s="16">
        <v>0.9</v>
      </c>
      <c r="P339" s="16">
        <v>0.2</v>
      </c>
      <c r="Q339" s="16">
        <v>0.5</v>
      </c>
      <c r="R339" s="16">
        <v>0.1</v>
      </c>
      <c r="S339" s="16">
        <v>9.9999999999999867E-2</v>
      </c>
      <c r="T339" s="16">
        <v>0</v>
      </c>
    </row>
    <row r="340" spans="4:20">
      <c r="D340" t="s">
        <v>66</v>
      </c>
      <c r="E340">
        <f t="shared" si="192"/>
        <v>2</v>
      </c>
      <c r="F340">
        <f t="shared" si="193"/>
        <v>0.9</v>
      </c>
      <c r="G340">
        <f t="shared" si="194"/>
        <v>0.2</v>
      </c>
      <c r="H340">
        <f t="shared" si="195"/>
        <v>0.3</v>
      </c>
      <c r="I340">
        <f t="shared" si="196"/>
        <v>0.4</v>
      </c>
      <c r="J340">
        <f t="shared" si="197"/>
        <v>0.19999999999999973</v>
      </c>
      <c r="K340">
        <v>0</v>
      </c>
      <c r="M340" t="s">
        <v>56</v>
      </c>
      <c r="N340" s="16">
        <v>1.7</v>
      </c>
      <c r="O340" s="16">
        <v>0.8</v>
      </c>
      <c r="P340" s="16">
        <v>0.3</v>
      </c>
      <c r="Q340" s="16">
        <v>0.4</v>
      </c>
      <c r="R340" s="16">
        <v>0.1</v>
      </c>
      <c r="S340" s="16">
        <v>9.9999999999999867E-2</v>
      </c>
      <c r="T340" s="16">
        <v>0</v>
      </c>
    </row>
    <row r="341" spans="4:20">
      <c r="D341" t="s">
        <v>71</v>
      </c>
      <c r="E341">
        <f t="shared" si="192"/>
        <v>2</v>
      </c>
      <c r="F341" t="str">
        <f t="shared" si="193"/>
        <v xml:space="preserve"> </v>
      </c>
      <c r="G341" t="str">
        <f t="shared" si="194"/>
        <v xml:space="preserve"> </v>
      </c>
      <c r="H341" t="str">
        <f t="shared" si="195"/>
        <v xml:space="preserve"> </v>
      </c>
      <c r="I341" t="str">
        <f t="shared" si="196"/>
        <v xml:space="preserve"> </v>
      </c>
      <c r="K341">
        <f>E341</f>
        <v>2</v>
      </c>
      <c r="M341" t="s">
        <v>59</v>
      </c>
      <c r="N341" s="16">
        <v>1.6</v>
      </c>
      <c r="O341" s="16">
        <v>0.9</v>
      </c>
      <c r="P341" s="16">
        <v>0.1</v>
      </c>
      <c r="Q341" s="16">
        <v>0.2</v>
      </c>
      <c r="R341" s="16">
        <v>0.1</v>
      </c>
      <c r="S341" s="16">
        <v>0.30000000000000004</v>
      </c>
      <c r="T341" s="16">
        <v>0</v>
      </c>
    </row>
    <row r="342" spans="4:20">
      <c r="D342" t="s">
        <v>51</v>
      </c>
      <c r="E342">
        <f t="shared" si="192"/>
        <v>1.3</v>
      </c>
      <c r="F342">
        <f t="shared" si="193"/>
        <v>0.6</v>
      </c>
      <c r="G342">
        <f t="shared" si="194"/>
        <v>0.3</v>
      </c>
      <c r="H342">
        <f t="shared" si="195"/>
        <v>0.2</v>
      </c>
      <c r="I342">
        <f t="shared" si="196"/>
        <v>0.1</v>
      </c>
      <c r="J342">
        <f t="shared" si="197"/>
        <v>0.10000000000000009</v>
      </c>
      <c r="K342">
        <v>0</v>
      </c>
      <c r="M342" t="s">
        <v>67</v>
      </c>
      <c r="N342" s="16">
        <v>1.6</v>
      </c>
      <c r="O342" s="16">
        <v>0.7</v>
      </c>
      <c r="P342" s="16">
        <v>0.1</v>
      </c>
      <c r="Q342" s="16">
        <v>0.3</v>
      </c>
      <c r="R342" s="16">
        <v>0.2</v>
      </c>
      <c r="S342" s="16">
        <v>0.30000000000000027</v>
      </c>
      <c r="T342" s="16">
        <v>0</v>
      </c>
    </row>
    <row r="343" spans="4:20">
      <c r="D343" t="s">
        <v>75</v>
      </c>
      <c r="E343">
        <f t="shared" si="192"/>
        <v>2.2999999999999998</v>
      </c>
      <c r="F343">
        <f t="shared" si="193"/>
        <v>1.1000000000000001</v>
      </c>
      <c r="G343">
        <f t="shared" si="194"/>
        <v>0.2</v>
      </c>
      <c r="H343">
        <f t="shared" si="195"/>
        <v>0.6</v>
      </c>
      <c r="I343">
        <f t="shared" si="196"/>
        <v>0.2</v>
      </c>
      <c r="J343">
        <f t="shared" si="197"/>
        <v>0.19999999999999973</v>
      </c>
      <c r="K343">
        <v>0</v>
      </c>
      <c r="M343" t="s">
        <v>53</v>
      </c>
      <c r="N343" s="16">
        <v>1.4</v>
      </c>
      <c r="O343" s="16">
        <v>0.7</v>
      </c>
      <c r="P343" s="16">
        <v>0.2</v>
      </c>
      <c r="Q343" s="16">
        <v>0.3</v>
      </c>
      <c r="R343" s="16">
        <v>0.2</v>
      </c>
      <c r="S343" s="16">
        <v>0</v>
      </c>
      <c r="T343" s="16">
        <v>0</v>
      </c>
    </row>
    <row r="344" spans="4:20">
      <c r="D344" t="s">
        <v>62</v>
      </c>
      <c r="E344">
        <f t="shared" si="192"/>
        <v>1.9</v>
      </c>
      <c r="F344">
        <f t="shared" si="193"/>
        <v>1.1000000000000001</v>
      </c>
      <c r="G344">
        <f t="shared" si="194"/>
        <v>0.1</v>
      </c>
      <c r="H344">
        <f t="shared" si="195"/>
        <v>0.4</v>
      </c>
      <c r="I344">
        <f t="shared" si="196"/>
        <v>0.1</v>
      </c>
      <c r="J344">
        <f t="shared" si="197"/>
        <v>0.19999999999999973</v>
      </c>
      <c r="K344">
        <v>0</v>
      </c>
      <c r="M344" t="s">
        <v>52</v>
      </c>
      <c r="N344" s="16">
        <v>1.4</v>
      </c>
      <c r="O344" s="16">
        <v>0.7</v>
      </c>
      <c r="P344" s="16">
        <v>0.2</v>
      </c>
      <c r="Q344" s="16">
        <v>0.3</v>
      </c>
      <c r="R344" s="16">
        <v>0.2</v>
      </c>
      <c r="S344" s="16">
        <v>0</v>
      </c>
      <c r="T344" s="16">
        <v>0</v>
      </c>
    </row>
    <row r="345" spans="4:20">
      <c r="D345" t="s">
        <v>1637</v>
      </c>
      <c r="E345">
        <f t="shared" si="192"/>
        <v>2.5</v>
      </c>
      <c r="F345">
        <f t="shared" si="193"/>
        <v>1.1000000000000001</v>
      </c>
      <c r="G345">
        <f t="shared" si="194"/>
        <v>0.2</v>
      </c>
      <c r="H345">
        <f t="shared" si="195"/>
        <v>0.3</v>
      </c>
      <c r="I345">
        <f t="shared" si="196"/>
        <v>0.2</v>
      </c>
      <c r="J345">
        <f t="shared" si="197"/>
        <v>0.7</v>
      </c>
      <c r="K345">
        <v>0</v>
      </c>
      <c r="M345" t="s">
        <v>57</v>
      </c>
      <c r="N345" s="16">
        <v>1.3</v>
      </c>
      <c r="O345" s="16">
        <v>0.7</v>
      </c>
      <c r="P345" s="16">
        <v>0.4</v>
      </c>
      <c r="Q345" s="16">
        <v>0.1</v>
      </c>
      <c r="R345" s="16">
        <v>0</v>
      </c>
      <c r="S345" s="16">
        <v>9.9999999999999867E-2</v>
      </c>
      <c r="T345" s="16">
        <v>0</v>
      </c>
    </row>
    <row r="346" spans="4:20">
      <c r="D346" t="s">
        <v>60</v>
      </c>
      <c r="E346">
        <f t="shared" si="192"/>
        <v>1.8</v>
      </c>
      <c r="F346">
        <f t="shared" si="193"/>
        <v>0.9</v>
      </c>
      <c r="G346">
        <f t="shared" si="194"/>
        <v>0.2</v>
      </c>
      <c r="H346">
        <f t="shared" si="195"/>
        <v>0.5</v>
      </c>
      <c r="I346">
        <f t="shared" si="196"/>
        <v>0.1</v>
      </c>
      <c r="J346">
        <f t="shared" si="197"/>
        <v>9.9999999999999867E-2</v>
      </c>
      <c r="K346">
        <v>0</v>
      </c>
      <c r="M346" t="s">
        <v>54</v>
      </c>
      <c r="N346" s="16">
        <v>1.3</v>
      </c>
      <c r="O346" s="16">
        <v>0.5</v>
      </c>
      <c r="P346" s="16">
        <v>0.3</v>
      </c>
      <c r="Q346" s="16">
        <v>0.2</v>
      </c>
      <c r="R346" s="16">
        <v>0.2</v>
      </c>
      <c r="S346" s="16">
        <v>0.10000000000000009</v>
      </c>
      <c r="T346" s="16">
        <v>0</v>
      </c>
    </row>
    <row r="347" spans="4:20">
      <c r="D347" t="s">
        <v>69</v>
      </c>
      <c r="E347">
        <f t="shared" si="192"/>
        <v>2.1</v>
      </c>
      <c r="F347">
        <f t="shared" si="193"/>
        <v>1.3</v>
      </c>
      <c r="G347">
        <f t="shared" si="194"/>
        <v>0.2</v>
      </c>
      <c r="H347">
        <f t="shared" si="195"/>
        <v>0.4</v>
      </c>
      <c r="I347">
        <f t="shared" si="196"/>
        <v>0.2</v>
      </c>
      <c r="J347">
        <f t="shared" si="197"/>
        <v>0</v>
      </c>
      <c r="K347">
        <v>0</v>
      </c>
      <c r="M347" t="s">
        <v>51</v>
      </c>
      <c r="N347" s="16">
        <v>1.3</v>
      </c>
      <c r="O347" s="16">
        <v>0.6</v>
      </c>
      <c r="P347" s="16">
        <v>0.3</v>
      </c>
      <c r="Q347" s="16">
        <v>0.2</v>
      </c>
      <c r="R347" s="16">
        <v>0.1</v>
      </c>
      <c r="S347" s="16">
        <v>0.10000000000000009</v>
      </c>
      <c r="T347" s="16">
        <v>0</v>
      </c>
    </row>
    <row r="348" spans="4:20">
      <c r="D348" t="s">
        <v>52</v>
      </c>
      <c r="E348">
        <f t="shared" si="192"/>
        <v>1.4</v>
      </c>
      <c r="F348">
        <f t="shared" si="193"/>
        <v>0.7</v>
      </c>
      <c r="G348">
        <f t="shared" si="194"/>
        <v>0.2</v>
      </c>
      <c r="H348">
        <f t="shared" si="195"/>
        <v>0.3</v>
      </c>
      <c r="I348">
        <f t="shared" si="196"/>
        <v>0.2</v>
      </c>
      <c r="J348">
        <f t="shared" si="197"/>
        <v>0</v>
      </c>
      <c r="K348">
        <v>0</v>
      </c>
      <c r="M348" t="s">
        <v>1761</v>
      </c>
      <c r="N348" s="16">
        <v>1.2796999529227882</v>
      </c>
      <c r="O348" s="16" t="s">
        <v>1870</v>
      </c>
      <c r="P348" s="16" t="s">
        <v>1870</v>
      </c>
      <c r="Q348" s="16" t="s">
        <v>1870</v>
      </c>
      <c r="R348" s="16" t="s">
        <v>1870</v>
      </c>
      <c r="S348" s="16"/>
      <c r="T348" s="16">
        <v>1.2796999529227882</v>
      </c>
    </row>
    <row r="349" spans="4:20">
      <c r="D349" t="s">
        <v>67</v>
      </c>
      <c r="E349">
        <f t="shared" si="192"/>
        <v>1.6</v>
      </c>
      <c r="F349">
        <f t="shared" si="193"/>
        <v>0.7</v>
      </c>
      <c r="G349">
        <f t="shared" si="194"/>
        <v>0.1</v>
      </c>
      <c r="H349">
        <f t="shared" si="195"/>
        <v>0.3</v>
      </c>
      <c r="I349">
        <f t="shared" si="196"/>
        <v>0.2</v>
      </c>
      <c r="J349">
        <f t="shared" si="197"/>
        <v>0.30000000000000027</v>
      </c>
      <c r="K349">
        <v>0</v>
      </c>
      <c r="M349" t="s">
        <v>50</v>
      </c>
      <c r="N349" s="16">
        <v>1.2</v>
      </c>
      <c r="O349" s="16">
        <v>0.5</v>
      </c>
      <c r="P349" s="16">
        <v>0.3</v>
      </c>
      <c r="Q349" s="16">
        <v>0.2</v>
      </c>
      <c r="R349" s="16">
        <v>0.1</v>
      </c>
      <c r="S349" s="16">
        <v>9.9999999999999867E-2</v>
      </c>
      <c r="T349" s="16">
        <v>0</v>
      </c>
    </row>
    <row r="350" spans="4:20">
      <c r="D350" t="s">
        <v>72</v>
      </c>
      <c r="E350">
        <f t="shared" si="192"/>
        <v>2</v>
      </c>
      <c r="F350">
        <f t="shared" si="193"/>
        <v>1.1000000000000001</v>
      </c>
      <c r="G350">
        <f t="shared" si="194"/>
        <v>0.2</v>
      </c>
      <c r="H350">
        <f t="shared" si="195"/>
        <v>0.4</v>
      </c>
      <c r="I350">
        <f t="shared" si="196"/>
        <v>0.2</v>
      </c>
      <c r="J350">
        <f t="shared" si="197"/>
        <v>9.9999999999999867E-2</v>
      </c>
      <c r="K350">
        <v>0</v>
      </c>
      <c r="M350" t="s">
        <v>49</v>
      </c>
      <c r="N350" s="16">
        <v>1</v>
      </c>
      <c r="O350" s="16">
        <v>0.6</v>
      </c>
      <c r="P350" s="16">
        <v>0.1</v>
      </c>
      <c r="Q350" s="16">
        <v>0.2</v>
      </c>
      <c r="R350" s="16">
        <v>0.2</v>
      </c>
      <c r="S350" s="16">
        <v>0</v>
      </c>
      <c r="T350" s="16">
        <v>0</v>
      </c>
    </row>
    <row r="351" spans="4:20">
      <c r="D351" t="s">
        <v>77</v>
      </c>
      <c r="E351" s="16">
        <f t="shared" si="192"/>
        <v>1.9599162428956027</v>
      </c>
      <c r="F351" s="16">
        <f t="shared" si="193"/>
        <v>0.91319174394256653</v>
      </c>
      <c r="G351" s="16">
        <f t="shared" si="194"/>
        <v>0.30631169608136405</v>
      </c>
      <c r="H351" s="16">
        <f t="shared" si="195"/>
        <v>0.30200418785521987</v>
      </c>
      <c r="I351" s="16">
        <f t="shared" si="196"/>
        <v>0.43840861501645229</v>
      </c>
      <c r="J351" s="16">
        <f t="shared" si="197"/>
        <v>0</v>
      </c>
      <c r="K351">
        <v>0</v>
      </c>
      <c r="M351" t="s">
        <v>61</v>
      </c>
      <c r="N351" s="16">
        <v>0.9</v>
      </c>
      <c r="O351" s="16">
        <v>0.5</v>
      </c>
      <c r="P351" s="16">
        <v>0.1</v>
      </c>
      <c r="Q351" s="16">
        <v>0.2</v>
      </c>
      <c r="R351" s="16">
        <v>0.1</v>
      </c>
      <c r="S351" s="16">
        <v>0</v>
      </c>
      <c r="T351" s="16">
        <v>0</v>
      </c>
    </row>
    <row r="352" spans="4:20">
      <c r="D352" t="s">
        <v>2103</v>
      </c>
    </row>
    <row r="353" spans="4:4">
      <c r="D353" t="s">
        <v>2104</v>
      </c>
    </row>
  </sheetData>
  <mergeCells count="6">
    <mergeCell ref="EG102:FA102"/>
    <mergeCell ref="D102:Y102"/>
    <mergeCell ref="AA102:AV102"/>
    <mergeCell ref="AW102:BR102"/>
    <mergeCell ref="BS102:CN102"/>
    <mergeCell ref="CO102:DJ102"/>
  </mergeCells>
  <conditionalFormatting sqref="K188:K216">
    <cfRule type="top10" dxfId="40" priority="7" bottom="1" rank="5"/>
    <cfRule type="top10" dxfId="39" priority="8" rank="5"/>
  </conditionalFormatting>
  <conditionalFormatting sqref="L188:L216">
    <cfRule type="top10" dxfId="38" priority="5" bottom="1" rank="5"/>
    <cfRule type="top10" dxfId="37" priority="6" rank="5"/>
  </conditionalFormatting>
  <conditionalFormatting sqref="M188:M216">
    <cfRule type="top10" dxfId="36" priority="3" bottom="1" rank="5"/>
    <cfRule type="top10" dxfId="35" priority="4" rank="5"/>
  </conditionalFormatting>
  <conditionalFormatting sqref="N188:N216">
    <cfRule type="top10" dxfId="34" priority="1" bottom="1" rank="5"/>
    <cfRule type="top10" dxfId="33" priority="2" rank="5"/>
  </conditionalFormatting>
  <conditionalFormatting sqref="X6:X35">
    <cfRule type="top10" dxfId="32" priority="11" percent="1" bottom="1" rank="1"/>
    <cfRule type="top10" dxfId="31" priority="12" rank="1"/>
  </conditionalFormatting>
  <conditionalFormatting sqref="X105:X135">
    <cfRule type="top10" dxfId="30" priority="9" percent="1" bottom="1" rank="1"/>
    <cfRule type="top10" dxfId="29" priority="10" rank="1"/>
  </conditionalFormatting>
  <hyperlinks>
    <hyperlink ref="C2" r:id="rId1" xr:uid="{BB5176B0-59B1-49A2-B904-B3E0C1ED32BC}"/>
  </hyperlinks>
  <pageMargins left="0.7" right="0.7" top="0.75" bottom="0.75" header="0.3" footer="0.3"/>
  <pageSetup paperSize="9" orientation="portrait" horizontalDpi="4294967292" verticalDpi="0" r:id="rId2"/>
  <drawing r:id="rId3"/>
  <tableParts count="9">
    <tablePart r:id="rId4"/>
    <tablePart r:id="rId5"/>
    <tablePart r:id="rId6"/>
    <tablePart r:id="rId7"/>
    <tablePart r:id="rId8"/>
    <tablePart r:id="rId9"/>
    <tablePart r:id="rId10"/>
    <tablePart r:id="rId11"/>
    <tablePart r:id="rId1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42FA0-BC3D-4ED2-94E5-1035642E0F93}">
  <dimension ref="A1:P14"/>
  <sheetViews>
    <sheetView showGridLines="0" topLeftCell="A2" workbookViewId="0">
      <selection activeCell="G12" sqref="G12"/>
    </sheetView>
  </sheetViews>
  <sheetFormatPr defaultColWidth="8.85546875" defaultRowHeight="12.6"/>
  <cols>
    <col min="1" max="1" width="25.28515625" style="121" customWidth="1"/>
    <col min="2" max="2" width="2.28515625" style="121" customWidth="1"/>
    <col min="3" max="16384" width="8.85546875" style="121"/>
  </cols>
  <sheetData>
    <row r="1" spans="1:16" hidden="1">
      <c r="A1" s="120" t="e">
        <f ca="1">DotStatQuery(B1)</f>
        <v>#NAME?</v>
      </c>
      <c r="B1" s="120" t="s">
        <v>2113</v>
      </c>
    </row>
    <row r="2" spans="1:16" ht="23.1">
      <c r="A2" s="122" t="s">
        <v>2114</v>
      </c>
    </row>
    <row r="3" spans="1:16" ht="41.45" customHeight="1">
      <c r="A3" s="176" t="s">
        <v>2115</v>
      </c>
      <c r="B3" s="177"/>
      <c r="C3" s="173" t="s">
        <v>2116</v>
      </c>
      <c r="D3" s="174"/>
      <c r="E3" s="175"/>
      <c r="F3" s="173" t="s">
        <v>2117</v>
      </c>
      <c r="G3" s="175"/>
      <c r="H3" s="173" t="s">
        <v>2118</v>
      </c>
      <c r="I3" s="175"/>
      <c r="J3" s="173" t="s">
        <v>2119</v>
      </c>
      <c r="K3" s="175"/>
      <c r="L3" s="173" t="s">
        <v>2120</v>
      </c>
      <c r="M3" s="175"/>
      <c r="N3" s="173" t="s">
        <v>2121</v>
      </c>
      <c r="O3" s="174"/>
      <c r="P3" s="175"/>
    </row>
    <row r="4" spans="1:16">
      <c r="A4" s="176" t="s">
        <v>91</v>
      </c>
      <c r="B4" s="177"/>
      <c r="C4" s="123" t="s">
        <v>2122</v>
      </c>
      <c r="D4" s="123" t="s">
        <v>2101</v>
      </c>
      <c r="E4" s="123" t="s">
        <v>2123</v>
      </c>
      <c r="F4" s="123" t="s">
        <v>2122</v>
      </c>
      <c r="G4" s="123" t="s">
        <v>2101</v>
      </c>
      <c r="H4" s="123" t="s">
        <v>2122</v>
      </c>
      <c r="I4" s="123" t="s">
        <v>2101</v>
      </c>
      <c r="J4" s="123" t="s">
        <v>2122</v>
      </c>
      <c r="K4" s="123" t="s">
        <v>2101</v>
      </c>
      <c r="L4" s="123" t="s">
        <v>2122</v>
      </c>
      <c r="M4" s="123" t="s">
        <v>2101</v>
      </c>
      <c r="N4" s="123" t="s">
        <v>2122</v>
      </c>
      <c r="O4" s="123" t="s">
        <v>2101</v>
      </c>
      <c r="P4" s="123" t="s">
        <v>2123</v>
      </c>
    </row>
    <row r="5" spans="1:16">
      <c r="A5" s="176" t="s">
        <v>1251</v>
      </c>
      <c r="B5" s="177"/>
      <c r="C5" s="178" t="s">
        <v>2124</v>
      </c>
      <c r="D5" s="179"/>
      <c r="E5" s="180"/>
      <c r="F5" s="178" t="s">
        <v>2124</v>
      </c>
      <c r="G5" s="180"/>
      <c r="H5" s="178" t="s">
        <v>2124</v>
      </c>
      <c r="I5" s="180"/>
      <c r="J5" s="178" t="s">
        <v>2124</v>
      </c>
      <c r="K5" s="180"/>
      <c r="L5" s="178" t="s">
        <v>2124</v>
      </c>
      <c r="M5" s="180"/>
      <c r="N5" s="178" t="s">
        <v>2124</v>
      </c>
      <c r="O5" s="179"/>
      <c r="P5" s="180"/>
    </row>
    <row r="6" spans="1:16" ht="12.95">
      <c r="A6" s="124" t="s">
        <v>641</v>
      </c>
      <c r="B6" s="125" t="s">
        <v>484</v>
      </c>
      <c r="C6" s="125" t="s">
        <v>484</v>
      </c>
      <c r="D6" s="125" t="s">
        <v>484</v>
      </c>
      <c r="E6" s="125" t="s">
        <v>484</v>
      </c>
      <c r="F6" s="125" t="s">
        <v>484</v>
      </c>
      <c r="G6" s="125" t="s">
        <v>484</v>
      </c>
      <c r="H6" s="125" t="s">
        <v>484</v>
      </c>
      <c r="I6" s="125" t="s">
        <v>484</v>
      </c>
      <c r="J6" s="125" t="s">
        <v>484</v>
      </c>
      <c r="K6" s="125" t="s">
        <v>484</v>
      </c>
      <c r="L6" s="125" t="s">
        <v>484</v>
      </c>
      <c r="M6" s="125" t="s">
        <v>484</v>
      </c>
      <c r="N6" s="125" t="s">
        <v>484</v>
      </c>
      <c r="O6" s="125" t="s">
        <v>484</v>
      </c>
      <c r="P6" s="125" t="s">
        <v>484</v>
      </c>
    </row>
    <row r="7" spans="1:16" ht="12.95">
      <c r="A7" s="126" t="s">
        <v>2125</v>
      </c>
      <c r="B7" s="125" t="s">
        <v>484</v>
      </c>
      <c r="C7" s="127">
        <v>42.38</v>
      </c>
      <c r="D7" s="127">
        <v>48.68</v>
      </c>
      <c r="E7" s="127" t="s">
        <v>2126</v>
      </c>
      <c r="F7" s="127">
        <v>1.64</v>
      </c>
      <c r="G7" s="127">
        <v>1.76</v>
      </c>
      <c r="H7" s="127">
        <v>6.52</v>
      </c>
      <c r="I7" s="127">
        <v>7.39</v>
      </c>
      <c r="J7" s="127">
        <v>5.16</v>
      </c>
      <c r="K7" s="127">
        <v>5.44</v>
      </c>
      <c r="L7" s="127">
        <v>15.73</v>
      </c>
      <c r="M7" s="127">
        <v>17.87</v>
      </c>
      <c r="N7" s="127">
        <v>3.56</v>
      </c>
      <c r="O7" s="127">
        <v>3.89</v>
      </c>
      <c r="P7" s="127" t="s">
        <v>2126</v>
      </c>
    </row>
    <row r="8" spans="1:16">
      <c r="A8" s="128" t="s">
        <v>2127</v>
      </c>
    </row>
    <row r="10" spans="1:16">
      <c r="A10" s="121" t="s">
        <v>2128</v>
      </c>
    </row>
    <row r="11" spans="1:16">
      <c r="A11" s="121" t="s">
        <v>2129</v>
      </c>
      <c r="D11" s="129">
        <f>K7/D7</f>
        <v>0.11175020542317174</v>
      </c>
    </row>
    <row r="12" spans="1:16">
      <c r="A12" s="121" t="s">
        <v>2130</v>
      </c>
      <c r="D12" s="129">
        <f>I7/D7</f>
        <v>0.15180772391125719</v>
      </c>
    </row>
    <row r="13" spans="1:16">
      <c r="A13" s="121" t="s">
        <v>2131</v>
      </c>
      <c r="D13" s="129">
        <f>M7/D7</f>
        <v>0.36709120788824984</v>
      </c>
    </row>
    <row r="14" spans="1:16">
      <c r="A14" s="121" t="s">
        <v>2132</v>
      </c>
      <c r="D14" s="129">
        <f>G7/D7</f>
        <v>3.6154478225143796E-2</v>
      </c>
    </row>
  </sheetData>
  <mergeCells count="15">
    <mergeCell ref="N3:P3"/>
    <mergeCell ref="A4:B4"/>
    <mergeCell ref="A5:B5"/>
    <mergeCell ref="C5:E5"/>
    <mergeCell ref="F5:G5"/>
    <mergeCell ref="H5:I5"/>
    <mergeCell ref="J5:K5"/>
    <mergeCell ref="L5:M5"/>
    <mergeCell ref="N5:P5"/>
    <mergeCell ref="A3:B3"/>
    <mergeCell ref="C3:E3"/>
    <mergeCell ref="F3:G3"/>
    <mergeCell ref="H3:I3"/>
    <mergeCell ref="J3:K3"/>
    <mergeCell ref="L3:M3"/>
  </mergeCells>
  <hyperlinks>
    <hyperlink ref="A2" r:id="rId1" display="http://stats.oecd.org/OECDStat_Metadata/ShowMetadata.ashx?Dataset=GOV&amp;ShowOnWeb=true&amp;Lang=en" xr:uid="{62DDE30E-8243-4757-A24D-25E2435F2280}"/>
    <hyperlink ref="C3" r:id="rId2" display="http://stats.oecd.org/OECDStat_Metadata/ShowMetadata.ashx?Dataset=GOV&amp;Coords=[IND].[GTE_GDP]&amp;ShowOnWeb=true&amp;Lang=en" xr:uid="{974AF4C1-DBC6-4A70-AAC4-8ECAD61902D2}"/>
    <hyperlink ref="F3" r:id="rId3" display="http://stats.oecd.org/OECDStat_Metadata/ShowMetadata.ashx?Dataset=GOV&amp;Coords=[IND].[GE_F_G030GS13_GDP]&amp;ShowOnWeb=true&amp;Lang=en" xr:uid="{DE6DAFA7-BA34-409D-AEE4-BA116EDE52D9}"/>
    <hyperlink ref="H3" r:id="rId4" display="http://stats.oecd.org/OECDStat_Metadata/ShowMetadata.ashx?Dataset=GOV&amp;Coords=[IND].[GE_F_G070GS13_GDP]&amp;ShowOnWeb=true&amp;Lang=en" xr:uid="{2E318852-D8C3-4E90-9318-42653873F6AF}"/>
    <hyperlink ref="J3" r:id="rId5" display="http://stats.oecd.org/OECDStat_Metadata/ShowMetadata.ashx?Dataset=GOV&amp;Coords=[IND].[GE_F_G090GS13_GDP]&amp;ShowOnWeb=true&amp;Lang=en" xr:uid="{699B032E-DE0E-4C3A-ABBA-E1C1EBDC3995}"/>
    <hyperlink ref="L3" r:id="rId6" display="http://stats.oecd.org/OECDStat_Metadata/ShowMetadata.ashx?Dataset=GOV&amp;Coords=[IND].[GE_F_G100GS13_GDP]&amp;ShowOnWeb=true&amp;Lang=en" xr:uid="{D1E52E56-19FB-440C-9C51-641C06FB1F01}"/>
    <hyperlink ref="N3" r:id="rId7" display="http://stats.oecd.org/OECDStat_Metadata/ShowMetadata.ashx?Dataset=GOV&amp;Coords=[IND].[GINV_GDP]&amp;ShowOnWeb=true&amp;Lang=en" xr:uid="{6167AE1A-5562-4BBD-B3B9-5E8376793BEB}"/>
    <hyperlink ref="A7" r:id="rId8" display="http://stats.oecd.org/OECDStat_Metadata/ShowMetadata.ashx?Dataset=GOV&amp;Coords=[COU].[OAVG]&amp;ShowOnWeb=true&amp;Lang=en" xr:uid="{93716405-A37A-4F74-8548-6EDB05AACE4F}"/>
    <hyperlink ref="C7" r:id="rId9" display="http://stats.oecd.org/OECDStat_Metadata/ShowMetadata.ashx?Dataset=GOV&amp;Coords=[IND].[GTE_GDP],[YEAR].[2019],[COU].[OAVG]&amp;ShowOnWeb=true&amp;Lang=en" xr:uid="{CAF9A56B-8211-45C9-B19F-742E6EE603FC}"/>
    <hyperlink ref="D7" r:id="rId10" display="http://stats.oecd.org/OECDStat_Metadata/ShowMetadata.ashx?Dataset=GOV&amp;Coords=[IND].[GTE_GDP],[YEAR].[2020],[COU].[OAVG]&amp;ShowOnWeb=true&amp;Lang=en" xr:uid="{166987B3-FD17-4209-97B3-6508FD7FA2DE}"/>
    <hyperlink ref="E7" r:id="rId11" display="http://stats.oecd.org/OECDStat_Metadata/ShowMetadata.ashx?Dataset=GOV&amp;Coords=[IND].[GTE_GDP],[YEAR].[2021],[COU].[OAVG]&amp;ShowOnWeb=true&amp;Lang=en" xr:uid="{401AD058-E2A5-4CC9-946D-2A56C50B05F0}"/>
    <hyperlink ref="F7" r:id="rId12" display="http://stats.oecd.org/OECDStat_Metadata/ShowMetadata.ashx?Dataset=GOV&amp;Coords=[IND].[GE_F_G030GS13_GDP],[YEAR].[2019],[COU].[OAVG]&amp;ShowOnWeb=true&amp;Lang=en" xr:uid="{11314FAB-7B74-403F-B760-6E0F03DF190C}"/>
    <hyperlink ref="G7" r:id="rId13" display="http://stats.oecd.org/OECDStat_Metadata/ShowMetadata.ashx?Dataset=GOV&amp;Coords=[IND].[GE_F_G030GS13_GDP],[YEAR].[2020],[COU].[OAVG]&amp;ShowOnWeb=true&amp;Lang=en" xr:uid="{33F7DB81-6467-4A41-B462-82C89A852208}"/>
    <hyperlink ref="H7" r:id="rId14" display="http://stats.oecd.org/OECDStat_Metadata/ShowMetadata.ashx?Dataset=GOV&amp;Coords=[IND].[GE_F_G070GS13_GDP],[YEAR].[2019],[COU].[OAVG]&amp;ShowOnWeb=true&amp;Lang=en" xr:uid="{1C2B2F3E-BD7A-4699-ACCC-A95B7720E85A}"/>
    <hyperlink ref="I7" r:id="rId15" display="http://stats.oecd.org/OECDStat_Metadata/ShowMetadata.ashx?Dataset=GOV&amp;Coords=[IND].[GE_F_G070GS13_GDP],[YEAR].[2020],[COU].[OAVG]&amp;ShowOnWeb=true&amp;Lang=en" xr:uid="{414D6DBC-4FD3-49BF-81CB-800EFD194FF5}"/>
    <hyperlink ref="J7" r:id="rId16" display="http://stats.oecd.org/OECDStat_Metadata/ShowMetadata.ashx?Dataset=GOV&amp;Coords=[IND].[GE_F_G090GS13_GDP],[YEAR].[2019],[COU].[OAVG]&amp;ShowOnWeb=true&amp;Lang=en" xr:uid="{277B5374-4C33-4ADD-9098-E458280455A0}"/>
    <hyperlink ref="K7" r:id="rId17" display="http://stats.oecd.org/OECDStat_Metadata/ShowMetadata.ashx?Dataset=GOV&amp;Coords=%5bIND%5d.%5bGE_F_G090GS13_GDP%5d,%5bYEAR%5d.%5b2020%5d,%5bCOU%5d.%5bOAVG%5d&amp;ShowOnWeb=true&amp;Lang=en" xr:uid="{798CA4EE-6559-475A-BA40-703231D5A766}"/>
    <hyperlink ref="L7" r:id="rId18" display="http://stats.oecd.org/OECDStat_Metadata/ShowMetadata.ashx?Dataset=GOV&amp;Coords=[IND].[GE_F_G100GS13_GDP],[YEAR].[2019],[COU].[OAVG]&amp;ShowOnWeb=true&amp;Lang=en" xr:uid="{06E05BE9-ECAB-415B-9243-CFC740C85043}"/>
    <hyperlink ref="M7" r:id="rId19" display="http://stats.oecd.org/OECDStat_Metadata/ShowMetadata.ashx?Dataset=GOV&amp;Coords=[IND].[GE_F_G100GS13_GDP],[YEAR].[2020],[COU].[OAVG]&amp;ShowOnWeb=true&amp;Lang=en" xr:uid="{4A671BD0-7157-4071-BD4B-0B714DBE6149}"/>
    <hyperlink ref="N7" r:id="rId20" display="http://stats.oecd.org/OECDStat_Metadata/ShowMetadata.ashx?Dataset=GOV&amp;Coords=[IND].[GINV_GDP],[YEAR].[2019],[COU].[OAVG]&amp;ShowOnWeb=true&amp;Lang=en" xr:uid="{1347C80B-3C5A-404B-B160-865526BE6163}"/>
    <hyperlink ref="O7" r:id="rId21" display="http://stats.oecd.org/OECDStat_Metadata/ShowMetadata.ashx?Dataset=GOV&amp;Coords=[IND].[GINV_GDP],[YEAR].[2020],[COU].[OAVG]&amp;ShowOnWeb=true&amp;Lang=en" xr:uid="{99A3862C-13D5-4440-8914-D68D83F5D053}"/>
    <hyperlink ref="P7" r:id="rId22" display="http://stats.oecd.org/OECDStat_Metadata/ShowMetadata.ashx?Dataset=GOV&amp;Coords=[IND].[GINV_GDP],[YEAR].[2021],[COU].[OAVG]&amp;ShowOnWeb=true&amp;Lang=en" xr:uid="{59044413-D81B-4083-ACCC-FCBFFA5BCFE1}"/>
    <hyperlink ref="A8" r:id="rId23" display="https://stats-2.oecd.org/index.aspx?DatasetCode=GOV" xr:uid="{F8359317-3283-483E-A78B-DBAAF91788DB}"/>
  </hyperlinks>
  <pageMargins left="0.75" right="0.75" top="1" bottom="1" header="0.5" footer="0.5"/>
  <pageSetup orientation="portrait" horizontalDpi="0" verticalDpi="0"/>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6B67F-6B2E-4C25-9813-04058E399E25}">
  <dimension ref="A1:P41"/>
  <sheetViews>
    <sheetView workbookViewId="0">
      <selection activeCell="P7" sqref="P7"/>
    </sheetView>
  </sheetViews>
  <sheetFormatPr defaultColWidth="8.85546875" defaultRowHeight="14.45"/>
  <cols>
    <col min="11" max="11" width="23.28515625" bestFit="1" customWidth="1"/>
    <col min="13" max="13" width="9.42578125" bestFit="1" customWidth="1"/>
  </cols>
  <sheetData>
    <row r="1" spans="1:16">
      <c r="B1" t="s">
        <v>878</v>
      </c>
      <c r="C1" t="s">
        <v>2133</v>
      </c>
    </row>
    <row r="2" spans="1:16">
      <c r="C2" t="s">
        <v>2134</v>
      </c>
    </row>
    <row r="3" spans="1:16">
      <c r="B3" t="s">
        <v>2135</v>
      </c>
      <c r="C3" t="s">
        <v>2136</v>
      </c>
    </row>
    <row r="5" spans="1:16">
      <c r="B5" t="s">
        <v>2137</v>
      </c>
    </row>
    <row r="6" spans="1:16">
      <c r="C6" s="167" t="s">
        <v>2138</v>
      </c>
      <c r="D6" s="167"/>
      <c r="E6" s="167"/>
      <c r="F6" s="167"/>
    </row>
    <row r="7" spans="1:16">
      <c r="C7" s="60">
        <v>2017</v>
      </c>
      <c r="D7" s="60">
        <v>2018</v>
      </c>
      <c r="E7" s="60">
        <v>2019</v>
      </c>
      <c r="F7" s="60">
        <v>2020</v>
      </c>
      <c r="G7" t="s">
        <v>2139</v>
      </c>
      <c r="I7" t="s">
        <v>87</v>
      </c>
      <c r="K7" s="1" t="s">
        <v>2140</v>
      </c>
      <c r="M7" s="1" t="s">
        <v>285</v>
      </c>
      <c r="O7" t="s">
        <v>2141</v>
      </c>
      <c r="P7" s="37">
        <f>AVERAGE(N8:N37)</f>
        <v>1.7429614853850213</v>
      </c>
    </row>
    <row r="8" spans="1:16">
      <c r="A8" t="s">
        <v>2142</v>
      </c>
      <c r="B8" s="48" t="s">
        <v>461</v>
      </c>
      <c r="C8" s="37">
        <v>1.9813928351671699</v>
      </c>
      <c r="D8" s="37">
        <v>2.0137928341386502</v>
      </c>
      <c r="E8" s="37">
        <v>2.1150345354001701</v>
      </c>
      <c r="F8" s="37">
        <v>2.1573190260327699</v>
      </c>
      <c r="G8" s="37">
        <f>F8</f>
        <v>2.1573190260327699</v>
      </c>
      <c r="I8" s="61">
        <f>(AVERAGE(G8:G41))/100</f>
        <v>1.8097801036479871E-2</v>
      </c>
      <c r="K8" t="s">
        <v>64</v>
      </c>
      <c r="M8" t="s">
        <v>74</v>
      </c>
      <c r="N8" s="35">
        <f>VLOOKUP(M8,$A$8:$G$41,7,FALSE)</f>
        <v>2.1573190260327699</v>
      </c>
    </row>
    <row r="9" spans="1:16">
      <c r="A9" t="s">
        <v>2143</v>
      </c>
      <c r="B9" s="48" t="s">
        <v>458</v>
      </c>
      <c r="C9" s="37">
        <v>1.3643043338501599</v>
      </c>
      <c r="D9" s="37">
        <v>1.3559977266591801</v>
      </c>
      <c r="E9" s="37">
        <v>1.3330724146853601</v>
      </c>
      <c r="F9" s="37">
        <v>1.42889433675833</v>
      </c>
      <c r="G9" s="37">
        <f t="shared" ref="G9:G41" si="0">F9</f>
        <v>1.42889433675833</v>
      </c>
      <c r="K9" t="s">
        <v>215</v>
      </c>
      <c r="M9" t="s">
        <v>53</v>
      </c>
      <c r="N9" s="35">
        <f t="shared" ref="N9:N37" si="1">VLOOKUP(M9,$A$8:$G$41,7,FALSE)</f>
        <v>1.42889433675833</v>
      </c>
    </row>
    <row r="10" spans="1:16">
      <c r="A10" t="s">
        <v>2144</v>
      </c>
      <c r="B10" s="48" t="s">
        <v>456</v>
      </c>
      <c r="C10" s="37">
        <v>1.6881020810915399</v>
      </c>
      <c r="D10" s="37">
        <v>1.7141582862720599</v>
      </c>
      <c r="E10" s="37">
        <v>1.67023217893818</v>
      </c>
      <c r="F10" s="37">
        <v>1.79790533387778</v>
      </c>
      <c r="G10" s="37">
        <f t="shared" si="0"/>
        <v>1.79790533387778</v>
      </c>
      <c r="K10" t="s">
        <v>2145</v>
      </c>
      <c r="M10" t="s">
        <v>58</v>
      </c>
      <c r="N10" s="35">
        <f t="shared" si="1"/>
        <v>1.79790533387778</v>
      </c>
    </row>
    <row r="11" spans="1:16">
      <c r="A11" t="s">
        <v>2146</v>
      </c>
      <c r="B11" s="48" t="s">
        <v>469</v>
      </c>
      <c r="C11" s="37">
        <v>1.6340415155688199</v>
      </c>
      <c r="D11" s="37">
        <v>1.62269991120116</v>
      </c>
      <c r="E11" s="37">
        <v>1.6421301639223</v>
      </c>
      <c r="F11" s="37">
        <v>1.7035808189977999</v>
      </c>
      <c r="G11" s="37">
        <f t="shared" si="0"/>
        <v>1.7035808189977999</v>
      </c>
      <c r="K11" t="s">
        <v>653</v>
      </c>
      <c r="M11" t="s">
        <v>64</v>
      </c>
      <c r="N11" s="35"/>
    </row>
    <row r="12" spans="1:16">
      <c r="A12" t="s">
        <v>2147</v>
      </c>
      <c r="B12" s="48" t="s">
        <v>507</v>
      </c>
      <c r="C12" s="37"/>
      <c r="D12" s="37"/>
      <c r="E12" s="37">
        <v>2</v>
      </c>
      <c r="F12" s="37"/>
      <c r="G12" s="37">
        <f>E12</f>
        <v>2</v>
      </c>
      <c r="M12" t="s">
        <v>70</v>
      </c>
      <c r="N12" s="35">
        <f t="shared" si="1"/>
        <v>2.13230349767767</v>
      </c>
    </row>
    <row r="13" spans="1:16">
      <c r="A13" t="s">
        <v>2148</v>
      </c>
      <c r="B13" s="48" t="s">
        <v>409</v>
      </c>
      <c r="C13" s="37">
        <v>2.1787758658339</v>
      </c>
      <c r="D13" s="37">
        <v>2.2990693375420501</v>
      </c>
      <c r="E13" s="37">
        <v>2.2152352490594902</v>
      </c>
      <c r="F13" s="37">
        <v>2.5362489348855899</v>
      </c>
      <c r="G13" s="37">
        <f t="shared" si="0"/>
        <v>2.5362489348855899</v>
      </c>
      <c r="M13" t="s">
        <v>49</v>
      </c>
      <c r="N13" s="35">
        <f t="shared" si="1"/>
        <v>0.99917409310807903</v>
      </c>
    </row>
    <row r="14" spans="1:16">
      <c r="A14" t="s">
        <v>2149</v>
      </c>
      <c r="B14" s="48" t="s">
        <v>440</v>
      </c>
      <c r="C14" s="37">
        <v>2.4937528259330199</v>
      </c>
      <c r="D14" s="37">
        <v>2.6451693201432098</v>
      </c>
      <c r="E14" s="37">
        <v>2.39952935580154</v>
      </c>
      <c r="F14" s="37"/>
      <c r="G14" s="37">
        <f>E14</f>
        <v>2.39952935580154</v>
      </c>
      <c r="M14" t="s">
        <v>2150</v>
      </c>
      <c r="N14" s="35"/>
    </row>
    <row r="15" spans="1:16">
      <c r="A15" t="s">
        <v>2151</v>
      </c>
      <c r="B15" s="48" t="s">
        <v>446</v>
      </c>
      <c r="C15" s="37">
        <v>1.74735845649057</v>
      </c>
      <c r="D15" s="37">
        <v>1.8579456752940999</v>
      </c>
      <c r="E15" s="37">
        <v>1.89103061073318</v>
      </c>
      <c r="F15" s="37">
        <v>2.13230349767767</v>
      </c>
      <c r="G15" s="37">
        <f t="shared" si="0"/>
        <v>2.13230349767767</v>
      </c>
      <c r="M15" t="s">
        <v>50</v>
      </c>
      <c r="N15" s="35">
        <f t="shared" si="1"/>
        <v>1.1588868299529</v>
      </c>
    </row>
    <row r="16" spans="1:16">
      <c r="A16" t="s">
        <v>2152</v>
      </c>
      <c r="B16" s="48" t="s">
        <v>457</v>
      </c>
      <c r="C16" s="37">
        <v>1.55719340344519</v>
      </c>
      <c r="D16" s="37">
        <v>1.5810336534178999</v>
      </c>
      <c r="E16" s="37">
        <v>1.5957505002375201</v>
      </c>
      <c r="F16" s="37">
        <v>1.7156338714083801</v>
      </c>
      <c r="G16" s="37">
        <f t="shared" si="0"/>
        <v>1.7156338714083801</v>
      </c>
      <c r="M16" t="s">
        <v>55</v>
      </c>
      <c r="N16" s="35">
        <f t="shared" si="1"/>
        <v>1.7679960215869599</v>
      </c>
    </row>
    <row r="17" spans="1:14">
      <c r="A17" t="s">
        <v>2153</v>
      </c>
      <c r="B17" s="48" t="s">
        <v>464</v>
      </c>
      <c r="C17" s="37">
        <v>0.93394316272623001</v>
      </c>
      <c r="D17" s="37">
        <v>0.94003671297361702</v>
      </c>
      <c r="E17" s="37">
        <v>0.97319080664767699</v>
      </c>
      <c r="F17" s="37">
        <v>0.99917409310807903</v>
      </c>
      <c r="G17" s="37">
        <f t="shared" si="0"/>
        <v>0.99917409310807903</v>
      </c>
      <c r="M17" t="s">
        <v>56</v>
      </c>
      <c r="N17" s="35">
        <f t="shared" si="1"/>
        <v>1.7156338714083801</v>
      </c>
    </row>
    <row r="18" spans="1:14">
      <c r="A18" t="s">
        <v>2154</v>
      </c>
      <c r="B18" s="48" t="s">
        <v>448</v>
      </c>
      <c r="C18" s="37">
        <v>1.82903895196266</v>
      </c>
      <c r="D18" s="37">
        <v>1.789722744646</v>
      </c>
      <c r="E18" s="37">
        <v>1.82219989954797</v>
      </c>
      <c r="F18" s="37">
        <v>2.0870842498939299</v>
      </c>
      <c r="G18" s="37">
        <f t="shared" si="0"/>
        <v>2.0870842498939299</v>
      </c>
      <c r="M18" t="s">
        <v>65</v>
      </c>
      <c r="N18" s="35">
        <f t="shared" si="1"/>
        <v>2.3722765156151699</v>
      </c>
    </row>
    <row r="19" spans="1:14">
      <c r="A19" t="s">
        <v>2155</v>
      </c>
      <c r="B19" s="48" t="s">
        <v>515</v>
      </c>
      <c r="C19" s="37">
        <v>1.9006768860034899</v>
      </c>
      <c r="D19" s="37">
        <v>1.8650012981028801</v>
      </c>
      <c r="E19" s="37">
        <v>1.8018706388496799</v>
      </c>
      <c r="F19" s="37">
        <v>2.0153145421549699</v>
      </c>
      <c r="G19" s="37">
        <f t="shared" si="0"/>
        <v>2.0153145421549699</v>
      </c>
      <c r="M19" t="s">
        <v>68</v>
      </c>
      <c r="N19" s="35">
        <f t="shared" si="1"/>
        <v>2.1332696499941401</v>
      </c>
    </row>
    <row r="20" spans="1:14">
      <c r="A20" t="s">
        <v>2156</v>
      </c>
      <c r="B20" s="48" t="s">
        <v>459</v>
      </c>
      <c r="C20" s="37">
        <v>1.12681782228094</v>
      </c>
      <c r="D20" s="37">
        <v>1.1093882516212501</v>
      </c>
      <c r="E20" s="37">
        <v>1.17402796654687</v>
      </c>
      <c r="F20" s="37">
        <v>1.1588868299529</v>
      </c>
      <c r="G20" s="37">
        <f t="shared" si="0"/>
        <v>1.1588868299529</v>
      </c>
      <c r="M20" t="s">
        <v>59</v>
      </c>
      <c r="N20" s="35">
        <f t="shared" si="1"/>
        <v>1.5970619590827499</v>
      </c>
    </row>
    <row r="21" spans="1:14">
      <c r="A21" t="s">
        <v>2157</v>
      </c>
      <c r="B21" s="48" t="s">
        <v>452</v>
      </c>
      <c r="C21" s="37">
        <v>1.6336546171452599</v>
      </c>
      <c r="D21" s="37">
        <v>1.62314994334208</v>
      </c>
      <c r="E21" s="37">
        <v>1.6372426552785799</v>
      </c>
      <c r="F21" s="37">
        <v>1.7679960215869599</v>
      </c>
      <c r="G21" s="37">
        <f t="shared" si="0"/>
        <v>1.7679960215869599</v>
      </c>
      <c r="M21" t="s">
        <v>61</v>
      </c>
      <c r="N21" s="35">
        <f t="shared" si="1"/>
        <v>0.93564094671332199</v>
      </c>
    </row>
    <row r="22" spans="1:14">
      <c r="A22" t="s">
        <v>2158</v>
      </c>
      <c r="B22" s="48" t="s">
        <v>454</v>
      </c>
      <c r="C22" s="37">
        <v>1.7954903409066501</v>
      </c>
      <c r="D22" s="37">
        <v>1.78469264801921</v>
      </c>
      <c r="E22" s="37">
        <v>1.7720614220033599</v>
      </c>
      <c r="F22" s="37">
        <v>2.0167123872467201</v>
      </c>
      <c r="G22" s="37">
        <f t="shared" si="0"/>
        <v>2.0167123872467201</v>
      </c>
      <c r="M22" t="s">
        <v>63</v>
      </c>
      <c r="N22" s="35">
        <f t="shared" si="1"/>
        <v>2.01495424725523</v>
      </c>
    </row>
    <row r="23" spans="1:14">
      <c r="A23" t="s">
        <v>2159</v>
      </c>
      <c r="B23" s="48" t="s">
        <v>443</v>
      </c>
      <c r="C23" s="37">
        <v>2.1497610676305601</v>
      </c>
      <c r="D23" s="37">
        <v>2.2789333563712302</v>
      </c>
      <c r="E23" s="37">
        <v>2.1009502763654901</v>
      </c>
      <c r="F23" s="37">
        <v>2.3722765156151699</v>
      </c>
      <c r="G23" s="37">
        <f t="shared" si="0"/>
        <v>2.3722765156151699</v>
      </c>
      <c r="M23" t="s">
        <v>57</v>
      </c>
      <c r="N23" s="35">
        <f t="shared" si="1"/>
        <v>1.2936597867456101</v>
      </c>
    </row>
    <row r="24" spans="1:14">
      <c r="A24" t="s">
        <v>2160</v>
      </c>
      <c r="B24" s="48" t="s">
        <v>442</v>
      </c>
      <c r="C24" s="37">
        <v>2.2887676716463701</v>
      </c>
      <c r="D24" s="37">
        <v>2.21291332894977</v>
      </c>
      <c r="E24" s="37">
        <v>2.12917738695127</v>
      </c>
      <c r="F24" s="37">
        <v>2.1332696499941401</v>
      </c>
      <c r="G24" s="37">
        <f t="shared" si="0"/>
        <v>2.1332696499941401</v>
      </c>
      <c r="M24" t="s">
        <v>1761</v>
      </c>
      <c r="N24" s="35">
        <f t="shared" si="1"/>
        <v>1.27969988642753</v>
      </c>
    </row>
    <row r="25" spans="1:14">
      <c r="A25" t="s">
        <v>2161</v>
      </c>
      <c r="B25" s="48" t="s">
        <v>466</v>
      </c>
      <c r="C25" s="37">
        <v>1.0220940117253801</v>
      </c>
      <c r="D25" s="37">
        <v>0.99268202977717002</v>
      </c>
      <c r="E25" s="37">
        <v>0.94025141259192402</v>
      </c>
      <c r="F25" s="37">
        <v>0.93564094671332199</v>
      </c>
      <c r="G25" s="37">
        <f t="shared" si="0"/>
        <v>0.93564094671332199</v>
      </c>
      <c r="M25" t="s">
        <v>54</v>
      </c>
      <c r="N25" s="35">
        <f t="shared" si="1"/>
        <v>1.29382636124926</v>
      </c>
    </row>
    <row r="26" spans="1:14">
      <c r="A26" t="s">
        <v>2162</v>
      </c>
      <c r="B26" s="48" t="s">
        <v>463</v>
      </c>
      <c r="C26" s="37">
        <v>1.46487300021435</v>
      </c>
      <c r="D26" s="37">
        <v>1.44364788895278</v>
      </c>
      <c r="E26" s="37">
        <v>1.4667798919966599</v>
      </c>
      <c r="F26" s="37">
        <v>1.5970619590827499</v>
      </c>
      <c r="G26" s="37">
        <f t="shared" si="0"/>
        <v>1.5970619590827499</v>
      </c>
      <c r="M26" t="s">
        <v>66</v>
      </c>
      <c r="N26" s="35">
        <f t="shared" si="1"/>
        <v>1.9902577429600901</v>
      </c>
    </row>
    <row r="27" spans="1:14">
      <c r="A27" t="s">
        <v>2163</v>
      </c>
      <c r="B27" s="48" t="s">
        <v>524</v>
      </c>
      <c r="C27" s="37">
        <v>1.64345553717687</v>
      </c>
      <c r="D27" s="37">
        <v>1.6647497990281599</v>
      </c>
      <c r="E27" s="37">
        <v>1.63626901325884</v>
      </c>
      <c r="F27" s="37">
        <v>1.7224001685780801</v>
      </c>
      <c r="G27" s="37">
        <f t="shared" si="0"/>
        <v>1.7224001685780801</v>
      </c>
      <c r="M27" t="s">
        <v>71</v>
      </c>
      <c r="N27" s="35"/>
    </row>
    <row r="28" spans="1:14">
      <c r="A28" t="s">
        <v>2164</v>
      </c>
      <c r="B28" s="48" t="s">
        <v>450</v>
      </c>
      <c r="C28" s="37">
        <v>1.8102113517918501</v>
      </c>
      <c r="D28" s="37">
        <v>1.84798253485735</v>
      </c>
      <c r="E28" s="37">
        <v>1.8275287930127999</v>
      </c>
      <c r="F28" s="37">
        <v>2.01495424725523</v>
      </c>
      <c r="G28" s="37">
        <f t="shared" si="0"/>
        <v>2.01495424725523</v>
      </c>
      <c r="M28" t="s">
        <v>51</v>
      </c>
      <c r="N28" s="35">
        <f t="shared" si="1"/>
        <v>1.2982351918353201</v>
      </c>
    </row>
    <row r="29" spans="1:14">
      <c r="A29" t="s">
        <v>2165</v>
      </c>
      <c r="B29" s="48" t="s">
        <v>451</v>
      </c>
      <c r="C29" s="37">
        <v>1.19573727157175</v>
      </c>
      <c r="D29" s="37">
        <v>1.21825912853963</v>
      </c>
      <c r="E29" s="37">
        <v>1.2461789908238501</v>
      </c>
      <c r="F29" s="37">
        <v>1.2936597867456101</v>
      </c>
      <c r="G29" s="37">
        <f t="shared" si="0"/>
        <v>1.2936597867456101</v>
      </c>
      <c r="M29" t="s">
        <v>75</v>
      </c>
      <c r="N29" s="35">
        <f t="shared" si="1"/>
        <v>2.3312694848559001</v>
      </c>
    </row>
    <row r="30" spans="1:14">
      <c r="A30" t="s">
        <v>2166</v>
      </c>
      <c r="B30" s="48" t="s">
        <v>449</v>
      </c>
      <c r="C30" s="37">
        <v>1.1955723440813999</v>
      </c>
      <c r="D30" s="37">
        <v>1.1809497097396799</v>
      </c>
      <c r="E30" s="37">
        <v>1.27969988642753</v>
      </c>
      <c r="F30" s="37"/>
      <c r="G30" s="37">
        <f>E30</f>
        <v>1.27969988642753</v>
      </c>
      <c r="M30" t="s">
        <v>62</v>
      </c>
      <c r="N30" s="35">
        <f t="shared" si="1"/>
        <v>1.9066101811991101</v>
      </c>
    </row>
    <row r="31" spans="1:14">
      <c r="A31" t="s">
        <v>2167</v>
      </c>
      <c r="B31" s="48" t="s">
        <v>536</v>
      </c>
      <c r="C31" s="37">
        <v>1.46975974821139</v>
      </c>
      <c r="D31" s="37">
        <v>1.3696423132597599</v>
      </c>
      <c r="E31" s="37">
        <v>1.39085510083921</v>
      </c>
      <c r="F31" s="37">
        <v>1.5218385534597301</v>
      </c>
      <c r="G31" s="37">
        <f t="shared" si="0"/>
        <v>1.5218385534597301</v>
      </c>
      <c r="M31" t="s">
        <v>76</v>
      </c>
      <c r="N31" s="35">
        <f t="shared" si="1"/>
        <v>2.4887256633152699</v>
      </c>
    </row>
    <row r="32" spans="1:14">
      <c r="A32" t="s">
        <v>2168</v>
      </c>
      <c r="B32" s="48" t="s">
        <v>467</v>
      </c>
      <c r="C32" s="37">
        <v>1.02346990784611</v>
      </c>
      <c r="D32" s="37">
        <v>1.10360446402506</v>
      </c>
      <c r="E32" s="37">
        <v>1.2203814336674199</v>
      </c>
      <c r="F32" s="37">
        <v>1.29382636124926</v>
      </c>
      <c r="G32" s="37">
        <f t="shared" si="0"/>
        <v>1.29382636124926</v>
      </c>
      <c r="M32" t="s">
        <v>60</v>
      </c>
      <c r="N32" s="35">
        <f t="shared" si="1"/>
        <v>1.75326996454263</v>
      </c>
    </row>
    <row r="33" spans="1:14">
      <c r="A33" t="s">
        <v>2169</v>
      </c>
      <c r="B33" s="48" t="s">
        <v>534</v>
      </c>
      <c r="C33" s="37">
        <v>2.3302694557265702</v>
      </c>
      <c r="D33" s="37">
        <v>2.19870262138862</v>
      </c>
      <c r="E33" s="37">
        <v>2.2323393617862002</v>
      </c>
      <c r="F33" s="37">
        <v>2.27723186375608</v>
      </c>
      <c r="G33" s="37">
        <f t="shared" si="0"/>
        <v>2.27723186375608</v>
      </c>
      <c r="M33" t="s">
        <v>69</v>
      </c>
      <c r="N33" s="35">
        <f t="shared" si="1"/>
        <v>2.0870842498939299</v>
      </c>
    </row>
    <row r="34" spans="1:14">
      <c r="A34" t="s">
        <v>2170</v>
      </c>
      <c r="B34" s="48" t="s">
        <v>460</v>
      </c>
      <c r="C34" s="37">
        <v>1.79503783804288</v>
      </c>
      <c r="D34" s="37">
        <v>1.83530214331765</v>
      </c>
      <c r="E34" s="37">
        <v>1.84636955679505</v>
      </c>
      <c r="F34" s="37">
        <v>1.9902577429600901</v>
      </c>
      <c r="G34" s="37">
        <f t="shared" si="0"/>
        <v>1.9902577429600901</v>
      </c>
      <c r="M34" t="s">
        <v>52</v>
      </c>
      <c r="N34" s="35">
        <f t="shared" si="1"/>
        <v>1.38171032946462</v>
      </c>
    </row>
    <row r="35" spans="1:14">
      <c r="A35" t="s">
        <v>2171</v>
      </c>
      <c r="B35" s="48" t="s">
        <v>468</v>
      </c>
      <c r="C35" s="37">
        <v>1.1586820587112501</v>
      </c>
      <c r="D35" s="37">
        <v>1.1555192886687899</v>
      </c>
      <c r="E35" s="37">
        <v>1.2320246141136</v>
      </c>
      <c r="F35" s="37">
        <v>1.2982351918353201</v>
      </c>
      <c r="G35" s="37">
        <f t="shared" si="0"/>
        <v>1.2982351918353201</v>
      </c>
      <c r="M35" t="s">
        <v>67</v>
      </c>
      <c r="N35" s="35">
        <f t="shared" si="1"/>
        <v>1.7035808189977999</v>
      </c>
    </row>
    <row r="36" spans="1:14">
      <c r="A36" t="s">
        <v>2172</v>
      </c>
      <c r="B36" s="48" t="s">
        <v>441</v>
      </c>
      <c r="C36" s="37">
        <v>2.1321476403822399</v>
      </c>
      <c r="D36" s="37">
        <v>2.10698709201505</v>
      </c>
      <c r="E36" s="37">
        <v>2.0899263430692199</v>
      </c>
      <c r="F36" s="37">
        <v>2.3312694848559001</v>
      </c>
      <c r="G36" s="37">
        <f t="shared" si="0"/>
        <v>2.3312694848559001</v>
      </c>
      <c r="M36" t="s">
        <v>72</v>
      </c>
      <c r="N36" s="35">
        <f t="shared" si="1"/>
        <v>2.0167123872467201</v>
      </c>
    </row>
    <row r="37" spans="1:14">
      <c r="A37" t="s">
        <v>2173</v>
      </c>
      <c r="B37" s="48" t="s">
        <v>445</v>
      </c>
      <c r="C37" s="37">
        <v>1.70296887615802</v>
      </c>
      <c r="D37" s="37">
        <v>1.7075297697009</v>
      </c>
      <c r="E37" s="37">
        <v>1.64671545540232</v>
      </c>
      <c r="F37" s="37">
        <v>1.9066101811991101</v>
      </c>
      <c r="G37" s="37">
        <f t="shared" si="0"/>
        <v>1.9066101811991101</v>
      </c>
      <c r="M37" t="s">
        <v>77</v>
      </c>
      <c r="N37" s="35">
        <f t="shared" si="1"/>
        <v>2.0240017275983</v>
      </c>
    </row>
    <row r="38" spans="1:14">
      <c r="A38" t="s">
        <v>2174</v>
      </c>
      <c r="B38" s="48" t="s">
        <v>444</v>
      </c>
      <c r="C38" s="37">
        <v>2.1551732049830399</v>
      </c>
      <c r="D38" s="37">
        <v>2.21099119438923</v>
      </c>
      <c r="E38" s="37">
        <v>2.30549213081362</v>
      </c>
      <c r="F38" s="37">
        <v>2.4887256633152699</v>
      </c>
      <c r="G38" s="37">
        <f t="shared" si="0"/>
        <v>2.4887256633152699</v>
      </c>
    </row>
    <row r="39" spans="1:14">
      <c r="A39" t="s">
        <v>2175</v>
      </c>
      <c r="B39" s="48" t="s">
        <v>447</v>
      </c>
      <c r="C39" s="37">
        <v>1.6042513745698299</v>
      </c>
      <c r="D39" s="37">
        <v>1.5307129610892301</v>
      </c>
      <c r="E39" s="37">
        <v>1.6029397193991499</v>
      </c>
      <c r="F39" s="37">
        <v>1.75326996454263</v>
      </c>
      <c r="G39" s="37">
        <f t="shared" si="0"/>
        <v>1.75326996454263</v>
      </c>
    </row>
    <row r="40" spans="1:14">
      <c r="A40" t="s">
        <v>2176</v>
      </c>
      <c r="B40" s="48" t="s">
        <v>462</v>
      </c>
      <c r="C40" s="37">
        <v>1.2742443721143799</v>
      </c>
      <c r="D40" s="37">
        <v>1.2950711905997701</v>
      </c>
      <c r="E40" s="37">
        <v>1.3024150930991001</v>
      </c>
      <c r="F40" s="37">
        <v>1.38171032946462</v>
      </c>
      <c r="G40" s="37">
        <f t="shared" si="0"/>
        <v>1.38171032946462</v>
      </c>
    </row>
    <row r="41" spans="1:14">
      <c r="A41" t="s">
        <v>2177</v>
      </c>
      <c r="B41" s="48" t="s">
        <v>465</v>
      </c>
      <c r="C41" s="37">
        <v>1.9807832523247499</v>
      </c>
      <c r="D41" s="37">
        <v>1.9540017690709199</v>
      </c>
      <c r="E41" s="37">
        <v>1.9212418976799299</v>
      </c>
      <c r="F41" s="37">
        <v>2.0240017275983</v>
      </c>
      <c r="G41" s="37">
        <f t="shared" si="0"/>
        <v>2.0240017275983</v>
      </c>
    </row>
  </sheetData>
  <mergeCells count="1">
    <mergeCell ref="C6:F6"/>
  </mergeCells>
  <pageMargins left="0.7" right="0.7" top="0.75" bottom="0.75" header="0.3" footer="0.3"/>
  <pageSetup orientation="portrait" r:id="rId1"/>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F2556-42D1-4FA4-A315-21D00AB9502E}">
  <dimension ref="A1:BN270"/>
  <sheetViews>
    <sheetView workbookViewId="0"/>
  </sheetViews>
  <sheetFormatPr defaultColWidth="8.85546875" defaultRowHeight="14.45"/>
  <cols>
    <col min="2" max="2" width="14" customWidth="1"/>
  </cols>
  <sheetData>
    <row r="1" spans="1:66">
      <c r="A1" t="s">
        <v>2178</v>
      </c>
      <c r="B1" t="s">
        <v>2179</v>
      </c>
    </row>
    <row r="2" spans="1:66">
      <c r="A2" t="s">
        <v>2180</v>
      </c>
      <c r="B2" s="38">
        <v>44706</v>
      </c>
      <c r="D2" t="s">
        <v>2181</v>
      </c>
    </row>
    <row r="3" spans="1:66">
      <c r="A3">
        <v>1</v>
      </c>
      <c r="B3">
        <v>2</v>
      </c>
      <c r="C3">
        <v>3</v>
      </c>
      <c r="D3">
        <v>4</v>
      </c>
      <c r="E3">
        <v>5</v>
      </c>
      <c r="F3">
        <v>6</v>
      </c>
      <c r="G3">
        <v>7</v>
      </c>
      <c r="H3">
        <v>8</v>
      </c>
      <c r="I3">
        <v>9</v>
      </c>
      <c r="J3">
        <v>10</v>
      </c>
      <c r="K3">
        <v>11</v>
      </c>
      <c r="L3">
        <v>12</v>
      </c>
      <c r="M3">
        <v>13</v>
      </c>
      <c r="N3">
        <v>14</v>
      </c>
      <c r="O3">
        <v>15</v>
      </c>
      <c r="P3">
        <v>16</v>
      </c>
      <c r="Q3">
        <v>17</v>
      </c>
      <c r="R3">
        <v>18</v>
      </c>
      <c r="S3">
        <v>19</v>
      </c>
      <c r="T3">
        <v>20</v>
      </c>
      <c r="U3">
        <v>21</v>
      </c>
      <c r="V3">
        <v>22</v>
      </c>
      <c r="W3">
        <v>23</v>
      </c>
      <c r="X3">
        <v>24</v>
      </c>
      <c r="Y3">
        <v>25</v>
      </c>
      <c r="Z3">
        <v>26</v>
      </c>
      <c r="AA3">
        <v>27</v>
      </c>
      <c r="AB3">
        <v>28</v>
      </c>
      <c r="AC3">
        <v>29</v>
      </c>
      <c r="AD3">
        <v>30</v>
      </c>
      <c r="AE3">
        <v>31</v>
      </c>
      <c r="AF3">
        <v>32</v>
      </c>
      <c r="AG3">
        <v>33</v>
      </c>
      <c r="AH3">
        <v>34</v>
      </c>
      <c r="AI3">
        <v>35</v>
      </c>
      <c r="AJ3">
        <v>36</v>
      </c>
      <c r="AK3">
        <v>37</v>
      </c>
      <c r="AL3">
        <v>38</v>
      </c>
      <c r="AM3">
        <v>39</v>
      </c>
      <c r="AN3">
        <v>40</v>
      </c>
      <c r="AO3">
        <v>41</v>
      </c>
      <c r="AP3">
        <v>42</v>
      </c>
      <c r="AQ3">
        <v>43</v>
      </c>
      <c r="AR3">
        <v>44</v>
      </c>
      <c r="AS3">
        <v>45</v>
      </c>
      <c r="AT3">
        <v>46</v>
      </c>
      <c r="AU3">
        <v>47</v>
      </c>
      <c r="AV3">
        <v>48</v>
      </c>
      <c r="AW3">
        <v>49</v>
      </c>
      <c r="AX3">
        <v>50</v>
      </c>
      <c r="AY3">
        <v>51</v>
      </c>
      <c r="AZ3">
        <v>52</v>
      </c>
      <c r="BA3">
        <v>53</v>
      </c>
      <c r="BB3">
        <v>54</v>
      </c>
      <c r="BC3">
        <v>55</v>
      </c>
      <c r="BD3">
        <v>56</v>
      </c>
      <c r="BE3">
        <v>57</v>
      </c>
      <c r="BF3">
        <v>58</v>
      </c>
      <c r="BG3">
        <v>59</v>
      </c>
      <c r="BH3">
        <v>60</v>
      </c>
      <c r="BI3">
        <v>61</v>
      </c>
      <c r="BJ3">
        <v>62</v>
      </c>
      <c r="BK3">
        <v>63</v>
      </c>
      <c r="BL3">
        <v>64</v>
      </c>
      <c r="BM3">
        <v>65</v>
      </c>
    </row>
    <row r="4" spans="1:66">
      <c r="A4" t="s">
        <v>2182</v>
      </c>
      <c r="B4" t="s">
        <v>642</v>
      </c>
      <c r="C4" t="s">
        <v>2183</v>
      </c>
      <c r="D4" t="s">
        <v>2184</v>
      </c>
      <c r="E4" t="s">
        <v>2185</v>
      </c>
      <c r="F4" t="s">
        <v>2186</v>
      </c>
      <c r="G4" t="s">
        <v>2187</v>
      </c>
      <c r="H4" t="s">
        <v>2188</v>
      </c>
      <c r="I4" t="s">
        <v>2189</v>
      </c>
      <c r="J4" t="s">
        <v>2190</v>
      </c>
      <c r="K4" t="s">
        <v>2191</v>
      </c>
      <c r="L4" t="s">
        <v>2192</v>
      </c>
      <c r="M4" t="s">
        <v>2193</v>
      </c>
      <c r="N4" t="s">
        <v>2194</v>
      </c>
      <c r="O4" t="s">
        <v>2195</v>
      </c>
      <c r="P4" t="s">
        <v>2196</v>
      </c>
      <c r="Q4" t="s">
        <v>2197</v>
      </c>
      <c r="R4" t="s">
        <v>2198</v>
      </c>
      <c r="S4" t="s">
        <v>2199</v>
      </c>
      <c r="T4" t="s">
        <v>2200</v>
      </c>
      <c r="U4" t="s">
        <v>2201</v>
      </c>
      <c r="V4" t="s">
        <v>2202</v>
      </c>
      <c r="W4" t="s">
        <v>2203</v>
      </c>
      <c r="X4" t="s">
        <v>2204</v>
      </c>
      <c r="Y4" t="s">
        <v>2205</v>
      </c>
      <c r="Z4" t="s">
        <v>2206</v>
      </c>
      <c r="AA4" t="s">
        <v>2207</v>
      </c>
      <c r="AB4" t="s">
        <v>2208</v>
      </c>
      <c r="AC4" t="s">
        <v>2209</v>
      </c>
      <c r="AD4" t="s">
        <v>2210</v>
      </c>
      <c r="AE4" t="s">
        <v>2211</v>
      </c>
      <c r="AF4" t="s">
        <v>2212</v>
      </c>
      <c r="AG4" t="s">
        <v>2213</v>
      </c>
      <c r="AH4" t="s">
        <v>2214</v>
      </c>
      <c r="AI4" t="s">
        <v>2215</v>
      </c>
      <c r="AJ4" t="s">
        <v>2216</v>
      </c>
      <c r="AK4" t="s">
        <v>2217</v>
      </c>
      <c r="AL4" t="s">
        <v>2218</v>
      </c>
      <c r="AM4" t="s">
        <v>2219</v>
      </c>
      <c r="AN4" t="s">
        <v>2220</v>
      </c>
      <c r="AO4" t="s">
        <v>2221</v>
      </c>
      <c r="AP4" t="s">
        <v>2222</v>
      </c>
      <c r="AQ4" t="s">
        <v>2223</v>
      </c>
      <c r="AR4" t="s">
        <v>2224</v>
      </c>
      <c r="AS4" t="s">
        <v>2225</v>
      </c>
      <c r="AT4" t="s">
        <v>2226</v>
      </c>
      <c r="AU4" t="s">
        <v>2227</v>
      </c>
      <c r="AV4" t="s">
        <v>2228</v>
      </c>
      <c r="AW4" t="s">
        <v>2229</v>
      </c>
      <c r="AX4" t="s">
        <v>2230</v>
      </c>
      <c r="AY4" t="s">
        <v>2231</v>
      </c>
      <c r="AZ4" t="s">
        <v>2232</v>
      </c>
      <c r="BA4" t="s">
        <v>2233</v>
      </c>
      <c r="BB4" t="s">
        <v>2234</v>
      </c>
      <c r="BC4" t="s">
        <v>2235</v>
      </c>
      <c r="BD4" t="s">
        <v>2236</v>
      </c>
      <c r="BE4" t="s">
        <v>2237</v>
      </c>
      <c r="BF4" t="s">
        <v>2238</v>
      </c>
      <c r="BG4" t="s">
        <v>2239</v>
      </c>
      <c r="BH4" t="s">
        <v>2240</v>
      </c>
      <c r="BI4" t="s">
        <v>2241</v>
      </c>
      <c r="BJ4" t="s">
        <v>2242</v>
      </c>
      <c r="BK4" t="s">
        <v>2243</v>
      </c>
      <c r="BL4" t="s">
        <v>2122</v>
      </c>
      <c r="BM4" t="s">
        <v>2101</v>
      </c>
      <c r="BN4" t="s">
        <v>2123</v>
      </c>
    </row>
    <row r="5" spans="1:66">
      <c r="A5" t="s">
        <v>246</v>
      </c>
      <c r="B5" t="s">
        <v>498</v>
      </c>
      <c r="C5" t="s">
        <v>2244</v>
      </c>
      <c r="D5" t="s">
        <v>2245</v>
      </c>
      <c r="AG5">
        <v>10360</v>
      </c>
      <c r="AH5">
        <v>11760</v>
      </c>
      <c r="AI5">
        <v>12230</v>
      </c>
      <c r="AJ5">
        <v>13190</v>
      </c>
      <c r="AK5">
        <v>13990</v>
      </c>
      <c r="AL5">
        <v>14620</v>
      </c>
      <c r="AM5">
        <v>15640</v>
      </c>
      <c r="AN5">
        <v>16230</v>
      </c>
      <c r="AO5">
        <v>16370</v>
      </c>
      <c r="AP5">
        <v>17220</v>
      </c>
      <c r="AQ5">
        <v>17620</v>
      </c>
      <c r="AR5">
        <v>17880</v>
      </c>
      <c r="AS5">
        <v>20000</v>
      </c>
      <c r="AT5">
        <v>19170</v>
      </c>
      <c r="AU5">
        <v>17890</v>
      </c>
      <c r="AV5">
        <v>20070</v>
      </c>
      <c r="AW5">
        <v>22630</v>
      </c>
      <c r="AX5">
        <v>19200</v>
      </c>
      <c r="AY5">
        <v>23340</v>
      </c>
      <c r="AZ5">
        <v>21680</v>
      </c>
      <c r="BA5">
        <v>25510</v>
      </c>
      <c r="BB5">
        <v>23770</v>
      </c>
      <c r="BC5">
        <v>22380</v>
      </c>
      <c r="BD5">
        <v>22450</v>
      </c>
      <c r="BE5">
        <v>23520</v>
      </c>
      <c r="BF5">
        <v>24510</v>
      </c>
      <c r="BG5">
        <v>25350</v>
      </c>
      <c r="BH5">
        <v>26560</v>
      </c>
      <c r="BI5">
        <v>26840</v>
      </c>
      <c r="BJ5">
        <v>27120</v>
      </c>
    </row>
    <row r="6" spans="1:66">
      <c r="A6" t="s">
        <v>2246</v>
      </c>
      <c r="B6" t="s">
        <v>2247</v>
      </c>
      <c r="C6" t="s">
        <v>2244</v>
      </c>
      <c r="D6" t="s">
        <v>2245</v>
      </c>
      <c r="AB6">
        <v>599.48260890384211</v>
      </c>
      <c r="AC6">
        <v>569.78352533534257</v>
      </c>
      <c r="AD6">
        <v>512.96609275149069</v>
      </c>
      <c r="AE6">
        <v>519.1450582485071</v>
      </c>
      <c r="AF6">
        <v>591.66174660452054</v>
      </c>
      <c r="AG6">
        <v>668.6272259139289</v>
      </c>
      <c r="AH6">
        <v>692.91737596574171</v>
      </c>
      <c r="AI6">
        <v>673.3263444959149</v>
      </c>
      <c r="AJ6">
        <v>678.36453773137907</v>
      </c>
      <c r="AK6">
        <v>664.82488659002001</v>
      </c>
      <c r="AL6">
        <v>678.03790690986045</v>
      </c>
      <c r="AM6">
        <v>685.58321334226514</v>
      </c>
      <c r="AN6">
        <v>733.61839665916875</v>
      </c>
      <c r="AO6">
        <v>748.93721720540952</v>
      </c>
      <c r="AP6">
        <v>750.46509591954737</v>
      </c>
      <c r="AQ6">
        <v>693.2625104648132</v>
      </c>
      <c r="AR6">
        <v>672.08302059033747</v>
      </c>
      <c r="AS6">
        <v>666.86982583894667</v>
      </c>
      <c r="AT6">
        <v>639.79849198084105</v>
      </c>
      <c r="AU6">
        <v>624.48863867734781</v>
      </c>
      <c r="AV6">
        <v>674.62336041821493</v>
      </c>
      <c r="AW6">
        <v>821.06498689681598</v>
      </c>
      <c r="AX6">
        <v>1027.7684575319549</v>
      </c>
      <c r="AY6">
        <v>1156.4599435007449</v>
      </c>
      <c r="AZ6">
        <v>1267.6826134162916</v>
      </c>
      <c r="BA6">
        <v>1353.5832860010464</v>
      </c>
      <c r="BB6">
        <v>1368.6589459165109</v>
      </c>
      <c r="BC6">
        <v>1436.9091021327376</v>
      </c>
      <c r="BD6">
        <v>1563.6763705025082</v>
      </c>
      <c r="BE6">
        <v>1669.1342258209454</v>
      </c>
      <c r="BF6">
        <v>1697.8441634346227</v>
      </c>
      <c r="BG6">
        <v>1677.0948184831882</v>
      </c>
      <c r="BH6">
        <v>1579.4345124616109</v>
      </c>
      <c r="BI6">
        <v>1475.405526966576</v>
      </c>
      <c r="BJ6">
        <v>1441.5317462260487</v>
      </c>
      <c r="BK6">
        <v>1494.7101705913351</v>
      </c>
      <c r="BL6">
        <v>1535.7768561897083</v>
      </c>
      <c r="BM6">
        <v>1406.2890068375611</v>
      </c>
    </row>
    <row r="7" spans="1:66">
      <c r="A7" t="s">
        <v>96</v>
      </c>
      <c r="B7" t="s">
        <v>309</v>
      </c>
      <c r="C7" t="s">
        <v>2244</v>
      </c>
      <c r="D7" t="s">
        <v>2245</v>
      </c>
      <c r="BB7">
        <v>450</v>
      </c>
      <c r="BC7">
        <v>510</v>
      </c>
      <c r="BD7">
        <v>530</v>
      </c>
      <c r="BE7">
        <v>630</v>
      </c>
      <c r="BF7">
        <v>650</v>
      </c>
      <c r="BG7">
        <v>630</v>
      </c>
      <c r="BH7">
        <v>590</v>
      </c>
      <c r="BI7">
        <v>550</v>
      </c>
      <c r="BJ7">
        <v>530</v>
      </c>
      <c r="BK7">
        <v>510</v>
      </c>
      <c r="BL7">
        <v>520</v>
      </c>
      <c r="BM7">
        <v>500</v>
      </c>
    </row>
    <row r="8" spans="1:66">
      <c r="A8" t="s">
        <v>2248</v>
      </c>
      <c r="B8" t="s">
        <v>2249</v>
      </c>
      <c r="C8" t="s">
        <v>2244</v>
      </c>
      <c r="D8" t="s">
        <v>2245</v>
      </c>
      <c r="G8">
        <v>113.68277472058526</v>
      </c>
      <c r="H8">
        <v>122.15156272385477</v>
      </c>
      <c r="I8">
        <v>128.21042676301371</v>
      </c>
      <c r="J8">
        <v>133.15485877570364</v>
      </c>
      <c r="K8">
        <v>136.07607334275079</v>
      </c>
      <c r="L8">
        <v>128.7928325631751</v>
      </c>
      <c r="M8">
        <v>130.41721966074599</v>
      </c>
      <c r="N8">
        <v>143.03375231741384</v>
      </c>
      <c r="O8">
        <v>170.46472985842399</v>
      </c>
      <c r="P8">
        <v>179.00273562914427</v>
      </c>
      <c r="Q8">
        <v>192.90734726694834</v>
      </c>
      <c r="R8">
        <v>216.29480942373115</v>
      </c>
      <c r="S8">
        <v>300.83741276568259</v>
      </c>
      <c r="T8">
        <v>358.21459856614496</v>
      </c>
      <c r="U8">
        <v>422.63865691886997</v>
      </c>
      <c r="V8">
        <v>455.23102231578662</v>
      </c>
      <c r="W8">
        <v>478.7362829944903</v>
      </c>
      <c r="X8">
        <v>558.91495078217213</v>
      </c>
      <c r="Y8">
        <v>646.0210275827535</v>
      </c>
      <c r="Z8">
        <v>762.94678987285249</v>
      </c>
      <c r="AA8">
        <v>876.47386651233273</v>
      </c>
      <c r="AB8">
        <v>925.18526836317437</v>
      </c>
      <c r="AC8">
        <v>757.90897705844679</v>
      </c>
      <c r="AD8">
        <v>685.7663047711851</v>
      </c>
      <c r="AE8">
        <v>623.02092445469304</v>
      </c>
      <c r="AF8">
        <v>614.85520770036067</v>
      </c>
      <c r="AG8">
        <v>630.14266957359143</v>
      </c>
      <c r="AH8">
        <v>563.56610294230472</v>
      </c>
      <c r="AI8">
        <v>556.06500185794789</v>
      </c>
      <c r="AJ8">
        <v>541.61507762749432</v>
      </c>
      <c r="AK8">
        <v>552.70621322585191</v>
      </c>
      <c r="AL8">
        <v>471.93220842623009</v>
      </c>
      <c r="AM8">
        <v>416.30053970101289</v>
      </c>
      <c r="AN8">
        <v>407.93306547563424</v>
      </c>
      <c r="AO8">
        <v>427.10040886360719</v>
      </c>
      <c r="AP8">
        <v>465.58207757127695</v>
      </c>
      <c r="AQ8">
        <v>463.57813314945201</v>
      </c>
      <c r="AR8">
        <v>465.94105102583501</v>
      </c>
      <c r="AS8">
        <v>456.07518216728391</v>
      </c>
      <c r="AT8">
        <v>480.2458283079614</v>
      </c>
      <c r="AU8">
        <v>525.02689151855236</v>
      </c>
      <c r="AV8">
        <v>587.68286695619395</v>
      </c>
      <c r="AW8">
        <v>714.61172102650107</v>
      </c>
      <c r="AX8">
        <v>844.71263233899606</v>
      </c>
      <c r="AY8">
        <v>1032.3732017779234</v>
      </c>
      <c r="AZ8">
        <v>1199.4658612487503</v>
      </c>
      <c r="BA8">
        <v>1446.554278398391</v>
      </c>
      <c r="BB8">
        <v>1518.4442377621783</v>
      </c>
      <c r="BC8">
        <v>1575.796472718062</v>
      </c>
      <c r="BD8">
        <v>1605.6730496717275</v>
      </c>
      <c r="BE8">
        <v>1774.0349978438137</v>
      </c>
      <c r="BF8">
        <v>1931.8079561786863</v>
      </c>
      <c r="BG8">
        <v>2061.5229367964707</v>
      </c>
      <c r="BH8">
        <v>2005.4769118277557</v>
      </c>
      <c r="BI8">
        <v>1782.1539902421143</v>
      </c>
      <c r="BJ8">
        <v>1611.4894834184674</v>
      </c>
      <c r="BK8">
        <v>1611.865619502046</v>
      </c>
      <c r="BL8">
        <v>1669.1533225326964</v>
      </c>
      <c r="BM8">
        <v>1654.4256598084712</v>
      </c>
    </row>
    <row r="9" spans="1:66">
      <c r="A9" t="s">
        <v>136</v>
      </c>
      <c r="B9" t="s">
        <v>350</v>
      </c>
      <c r="C9" t="s">
        <v>2244</v>
      </c>
      <c r="D9" t="s">
        <v>2245</v>
      </c>
      <c r="AD9">
        <v>590</v>
      </c>
      <c r="AE9">
        <v>680</v>
      </c>
      <c r="AF9">
        <v>660</v>
      </c>
      <c r="AG9">
        <v>650</v>
      </c>
      <c r="AH9">
        <v>850</v>
      </c>
      <c r="AI9">
        <v>780</v>
      </c>
      <c r="AJ9">
        <v>900</v>
      </c>
      <c r="AK9">
        <v>330</v>
      </c>
      <c r="AL9">
        <v>290</v>
      </c>
      <c r="AM9">
        <v>180</v>
      </c>
      <c r="AN9">
        <v>370</v>
      </c>
      <c r="AO9">
        <v>360</v>
      </c>
      <c r="AP9">
        <v>450</v>
      </c>
      <c r="AQ9">
        <v>410</v>
      </c>
      <c r="AR9">
        <v>330</v>
      </c>
      <c r="AS9">
        <v>360</v>
      </c>
      <c r="AT9">
        <v>390</v>
      </c>
      <c r="AU9">
        <v>590</v>
      </c>
      <c r="AV9">
        <v>710</v>
      </c>
      <c r="AW9">
        <v>1010</v>
      </c>
      <c r="AX9">
        <v>1370</v>
      </c>
      <c r="AY9">
        <v>1810</v>
      </c>
      <c r="AZ9">
        <v>2460</v>
      </c>
      <c r="BA9">
        <v>3030</v>
      </c>
      <c r="BB9">
        <v>3170</v>
      </c>
      <c r="BC9">
        <v>3230</v>
      </c>
      <c r="BD9">
        <v>3410</v>
      </c>
      <c r="BE9">
        <v>4170</v>
      </c>
      <c r="BF9">
        <v>4780</v>
      </c>
      <c r="BG9">
        <v>5010</v>
      </c>
      <c r="BH9">
        <v>4520</v>
      </c>
      <c r="BI9">
        <v>3770</v>
      </c>
      <c r="BJ9">
        <v>3450</v>
      </c>
      <c r="BK9">
        <v>3210</v>
      </c>
      <c r="BL9">
        <v>2970</v>
      </c>
      <c r="BM9">
        <v>2140</v>
      </c>
    </row>
    <row r="10" spans="1:66">
      <c r="A10" t="s">
        <v>192</v>
      </c>
      <c r="B10" t="s">
        <v>407</v>
      </c>
      <c r="C10" t="s">
        <v>2244</v>
      </c>
      <c r="D10" t="s">
        <v>2245</v>
      </c>
      <c r="AE10">
        <v>700</v>
      </c>
      <c r="AF10">
        <v>730</v>
      </c>
      <c r="AG10">
        <v>730</v>
      </c>
      <c r="AH10">
        <v>760</v>
      </c>
      <c r="AI10">
        <v>650</v>
      </c>
      <c r="AJ10">
        <v>410</v>
      </c>
      <c r="AK10">
        <v>280</v>
      </c>
      <c r="AL10">
        <v>320</v>
      </c>
      <c r="AM10">
        <v>380</v>
      </c>
      <c r="AN10">
        <v>640</v>
      </c>
      <c r="AO10">
        <v>890</v>
      </c>
      <c r="AP10">
        <v>800</v>
      </c>
      <c r="AQ10">
        <v>860</v>
      </c>
      <c r="AR10">
        <v>950</v>
      </c>
      <c r="AS10">
        <v>1100</v>
      </c>
      <c r="AT10">
        <v>1280</v>
      </c>
      <c r="AU10">
        <v>1370</v>
      </c>
      <c r="AV10">
        <v>1650</v>
      </c>
      <c r="AW10">
        <v>2100</v>
      </c>
      <c r="AX10">
        <v>2620</v>
      </c>
      <c r="AY10">
        <v>3050</v>
      </c>
      <c r="AZ10">
        <v>3460</v>
      </c>
      <c r="BA10">
        <v>4040</v>
      </c>
      <c r="BB10">
        <v>4280</v>
      </c>
      <c r="BC10">
        <v>4360</v>
      </c>
      <c r="BD10">
        <v>4410</v>
      </c>
      <c r="BE10">
        <v>4360</v>
      </c>
      <c r="BF10">
        <v>4540</v>
      </c>
      <c r="BG10">
        <v>4540</v>
      </c>
      <c r="BH10">
        <v>4390</v>
      </c>
      <c r="BI10">
        <v>4320</v>
      </c>
      <c r="BJ10">
        <v>4290</v>
      </c>
      <c r="BK10">
        <v>4860</v>
      </c>
      <c r="BL10">
        <v>5230</v>
      </c>
      <c r="BM10">
        <v>5210</v>
      </c>
    </row>
    <row r="11" spans="1:66">
      <c r="A11" t="s">
        <v>256</v>
      </c>
      <c r="B11" t="s">
        <v>495</v>
      </c>
      <c r="C11" t="s">
        <v>2244</v>
      </c>
      <c r="D11" t="s">
        <v>2245</v>
      </c>
    </row>
    <row r="12" spans="1:66">
      <c r="A12" t="s">
        <v>2250</v>
      </c>
      <c r="B12" t="s">
        <v>2251</v>
      </c>
      <c r="C12" t="s">
        <v>2244</v>
      </c>
      <c r="D12" t="s">
        <v>2245</v>
      </c>
      <c r="AA12">
        <v>2937.6155320775561</v>
      </c>
      <c r="AB12">
        <v>2565.6688230118743</v>
      </c>
      <c r="AC12">
        <v>2523.7950668501412</v>
      </c>
      <c r="AD12">
        <v>2488.7246565450178</v>
      </c>
      <c r="AE12">
        <v>2656.4074120960086</v>
      </c>
      <c r="AF12">
        <v>2733.4528550527007</v>
      </c>
      <c r="AG12">
        <v>2775.7226423712168</v>
      </c>
      <c r="AH12">
        <v>2640.8426114450385</v>
      </c>
      <c r="AI12">
        <v>3004.246600374257</v>
      </c>
      <c r="AJ12">
        <v>2192.530314507982</v>
      </c>
      <c r="AK12">
        <v>2236.7441543303034</v>
      </c>
      <c r="AL12">
        <v>2139.6204299557412</v>
      </c>
      <c r="AM12">
        <v>2131.6545287811791</v>
      </c>
      <c r="AN12">
        <v>2184.6013609707829</v>
      </c>
      <c r="AO12">
        <v>2314.7261638143959</v>
      </c>
      <c r="AP12">
        <v>2423.5691681279864</v>
      </c>
      <c r="AQ12">
        <v>2438.8727730628311</v>
      </c>
      <c r="AR12">
        <v>2455.1493692220915</v>
      </c>
      <c r="AS12">
        <v>2614.4940735192527</v>
      </c>
      <c r="AT12">
        <v>2726.0452108954787</v>
      </c>
      <c r="AU12">
        <v>2689.0506819457919</v>
      </c>
      <c r="AV12">
        <v>2869.3131517033853</v>
      </c>
      <c r="AW12">
        <v>3328.0597936463546</v>
      </c>
      <c r="AX12">
        <v>3790.7814279615209</v>
      </c>
      <c r="AY12">
        <v>4374.3788471437838</v>
      </c>
      <c r="AZ12">
        <v>5021.8082641798801</v>
      </c>
      <c r="BA12">
        <v>5882.1618180076512</v>
      </c>
      <c r="BB12">
        <v>5999.4342963243325</v>
      </c>
      <c r="BC12">
        <v>6275.7872613660529</v>
      </c>
      <c r="BD12">
        <v>6229.7130689921323</v>
      </c>
      <c r="BE12">
        <v>6954.3389471466726</v>
      </c>
      <c r="BF12">
        <v>7359.8428569813886</v>
      </c>
      <c r="BG12">
        <v>7381.6785514454314</v>
      </c>
      <c r="BH12">
        <v>6880.2267443960136</v>
      </c>
      <c r="BI12">
        <v>6415.155407177027</v>
      </c>
      <c r="BJ12">
        <v>5940.740119977615</v>
      </c>
      <c r="BK12">
        <v>6171.0117675155989</v>
      </c>
      <c r="BL12">
        <v>6419.0812391317004</v>
      </c>
      <c r="BM12">
        <v>5932.7418697621351</v>
      </c>
    </row>
    <row r="13" spans="1:66">
      <c r="A13" t="s">
        <v>255</v>
      </c>
      <c r="B13" t="s">
        <v>561</v>
      </c>
      <c r="C13" t="s">
        <v>2244</v>
      </c>
      <c r="D13" t="s">
        <v>2245</v>
      </c>
      <c r="AS13">
        <v>31400</v>
      </c>
      <c r="AT13">
        <v>31970</v>
      </c>
      <c r="AU13">
        <v>30940</v>
      </c>
      <c r="AV13">
        <v>32780</v>
      </c>
      <c r="AW13">
        <v>36160</v>
      </c>
      <c r="AX13">
        <v>37500</v>
      </c>
      <c r="AY13">
        <v>39380</v>
      </c>
      <c r="AZ13">
        <v>39590</v>
      </c>
      <c r="BA13">
        <v>39910</v>
      </c>
      <c r="BB13">
        <v>35000</v>
      </c>
      <c r="BC13">
        <v>33400</v>
      </c>
      <c r="BD13">
        <v>35030</v>
      </c>
      <c r="BE13">
        <v>39220</v>
      </c>
      <c r="BF13">
        <v>42840</v>
      </c>
      <c r="BG13">
        <v>44370</v>
      </c>
      <c r="BH13">
        <v>42870</v>
      </c>
      <c r="BI13">
        <v>40550</v>
      </c>
      <c r="BJ13">
        <v>39280</v>
      </c>
      <c r="BK13">
        <v>41470</v>
      </c>
      <c r="BL13">
        <v>43830</v>
      </c>
      <c r="BM13">
        <v>39410</v>
      </c>
    </row>
    <row r="14" spans="1:66">
      <c r="A14" t="s">
        <v>219</v>
      </c>
      <c r="B14" t="s">
        <v>434</v>
      </c>
      <c r="C14" t="s">
        <v>2244</v>
      </c>
      <c r="D14" t="s">
        <v>2245</v>
      </c>
      <c r="I14">
        <v>1120</v>
      </c>
      <c r="J14">
        <v>1230</v>
      </c>
      <c r="K14">
        <v>1350</v>
      </c>
      <c r="L14">
        <v>1240</v>
      </c>
      <c r="M14">
        <v>1210</v>
      </c>
      <c r="N14">
        <v>1300</v>
      </c>
      <c r="O14">
        <v>1320</v>
      </c>
      <c r="P14">
        <v>1470</v>
      </c>
      <c r="Q14">
        <v>1470</v>
      </c>
      <c r="R14">
        <v>1820</v>
      </c>
      <c r="S14">
        <v>2470</v>
      </c>
      <c r="T14">
        <v>2720</v>
      </c>
      <c r="U14">
        <v>2360</v>
      </c>
      <c r="V14">
        <v>2220</v>
      </c>
      <c r="W14">
        <v>2190</v>
      </c>
      <c r="X14">
        <v>2630</v>
      </c>
      <c r="Y14">
        <v>2910</v>
      </c>
      <c r="Z14">
        <v>2820</v>
      </c>
      <c r="AA14">
        <v>2670</v>
      </c>
      <c r="AB14">
        <v>2870</v>
      </c>
      <c r="AC14">
        <v>2830</v>
      </c>
      <c r="AD14">
        <v>2700</v>
      </c>
      <c r="AE14">
        <v>3020</v>
      </c>
      <c r="AF14">
        <v>3590</v>
      </c>
      <c r="AG14">
        <v>3960</v>
      </c>
      <c r="AH14">
        <v>2930</v>
      </c>
      <c r="AI14">
        <v>3190</v>
      </c>
      <c r="AJ14">
        <v>3860</v>
      </c>
      <c r="AK14">
        <v>6070</v>
      </c>
      <c r="AL14">
        <v>7120</v>
      </c>
      <c r="AM14">
        <v>7620</v>
      </c>
      <c r="AN14">
        <v>7360</v>
      </c>
      <c r="AO14">
        <v>7740</v>
      </c>
      <c r="AP14">
        <v>8150</v>
      </c>
      <c r="AQ14">
        <v>8030</v>
      </c>
      <c r="AR14">
        <v>7580</v>
      </c>
      <c r="AS14">
        <v>7470</v>
      </c>
      <c r="AT14">
        <v>7000</v>
      </c>
      <c r="AU14">
        <v>4040</v>
      </c>
      <c r="AV14">
        <v>3650</v>
      </c>
      <c r="AW14">
        <v>3370</v>
      </c>
      <c r="AX14">
        <v>4260</v>
      </c>
      <c r="AY14">
        <v>5480</v>
      </c>
      <c r="AZ14">
        <v>6510</v>
      </c>
      <c r="BA14">
        <v>7670</v>
      </c>
      <c r="BB14">
        <v>7790</v>
      </c>
      <c r="BC14">
        <v>9270</v>
      </c>
      <c r="BD14">
        <v>10710</v>
      </c>
      <c r="BE14">
        <v>11870</v>
      </c>
      <c r="BF14">
        <v>12840</v>
      </c>
      <c r="BG14">
        <v>12330</v>
      </c>
      <c r="BH14">
        <v>12590</v>
      </c>
      <c r="BI14">
        <v>12220</v>
      </c>
      <c r="BJ14">
        <v>13140</v>
      </c>
      <c r="BK14">
        <v>12430</v>
      </c>
      <c r="BL14">
        <v>11250</v>
      </c>
      <c r="BM14">
        <v>9070</v>
      </c>
    </row>
    <row r="15" spans="1:66">
      <c r="A15" t="s">
        <v>178</v>
      </c>
      <c r="B15" t="s">
        <v>393</v>
      </c>
      <c r="C15" t="s">
        <v>2244</v>
      </c>
      <c r="D15" t="s">
        <v>2245</v>
      </c>
      <c r="AK15">
        <v>310</v>
      </c>
      <c r="AL15">
        <v>360</v>
      </c>
      <c r="AM15">
        <v>400</v>
      </c>
      <c r="AN15">
        <v>470</v>
      </c>
      <c r="AO15">
        <v>520</v>
      </c>
      <c r="AP15">
        <v>560</v>
      </c>
      <c r="AQ15">
        <v>590</v>
      </c>
      <c r="AR15">
        <v>610</v>
      </c>
      <c r="AS15">
        <v>660</v>
      </c>
      <c r="AT15">
        <v>710</v>
      </c>
      <c r="AU15">
        <v>800</v>
      </c>
      <c r="AV15">
        <v>960</v>
      </c>
      <c r="AW15">
        <v>1180</v>
      </c>
      <c r="AX15">
        <v>1540</v>
      </c>
      <c r="AY15">
        <v>2020</v>
      </c>
      <c r="AZ15">
        <v>2760</v>
      </c>
      <c r="BA15">
        <v>3600</v>
      </c>
      <c r="BB15">
        <v>3340</v>
      </c>
      <c r="BC15">
        <v>3470</v>
      </c>
      <c r="BD15">
        <v>3530</v>
      </c>
      <c r="BE15">
        <v>3880</v>
      </c>
      <c r="BF15">
        <v>4110</v>
      </c>
      <c r="BG15">
        <v>4140</v>
      </c>
      <c r="BH15">
        <v>4010</v>
      </c>
      <c r="BI15">
        <v>3760</v>
      </c>
      <c r="BJ15">
        <v>3950</v>
      </c>
      <c r="BK15">
        <v>4240</v>
      </c>
      <c r="BL15">
        <v>4660</v>
      </c>
      <c r="BM15">
        <v>4220</v>
      </c>
    </row>
    <row r="16" spans="1:66">
      <c r="A16" t="s">
        <v>491</v>
      </c>
      <c r="B16" t="s">
        <v>492</v>
      </c>
      <c r="C16" t="s">
        <v>2244</v>
      </c>
      <c r="D16" t="s">
        <v>2245</v>
      </c>
    </row>
    <row r="17" spans="1:65">
      <c r="A17" t="s">
        <v>231</v>
      </c>
      <c r="B17" t="s">
        <v>565</v>
      </c>
      <c r="C17" t="s">
        <v>2244</v>
      </c>
      <c r="D17" t="s">
        <v>2245</v>
      </c>
      <c r="X17">
        <v>1740</v>
      </c>
      <c r="Y17">
        <v>2180</v>
      </c>
      <c r="Z17">
        <v>2430</v>
      </c>
      <c r="AA17">
        <v>2470</v>
      </c>
      <c r="AB17">
        <v>2690</v>
      </c>
      <c r="AC17">
        <v>3170</v>
      </c>
      <c r="AD17">
        <v>3610</v>
      </c>
      <c r="AE17">
        <v>3970</v>
      </c>
      <c r="AF17">
        <v>4880</v>
      </c>
      <c r="AG17">
        <v>6040</v>
      </c>
      <c r="AH17">
        <v>6450</v>
      </c>
      <c r="AI17">
        <v>6820</v>
      </c>
      <c r="AJ17">
        <v>7230</v>
      </c>
      <c r="AK17">
        <v>7470</v>
      </c>
      <c r="AL17">
        <v>7960</v>
      </c>
      <c r="AM17">
        <v>8450</v>
      </c>
      <c r="AN17">
        <v>8140</v>
      </c>
      <c r="AO17">
        <v>8700</v>
      </c>
      <c r="AP17">
        <v>9080</v>
      </c>
      <c r="AQ17">
        <v>9270</v>
      </c>
      <c r="AR17">
        <v>9610</v>
      </c>
      <c r="AS17">
        <v>10100</v>
      </c>
      <c r="AT17">
        <v>9850</v>
      </c>
      <c r="AU17">
        <v>9660</v>
      </c>
      <c r="AV17">
        <v>10530</v>
      </c>
      <c r="AW17">
        <v>11450</v>
      </c>
      <c r="AX17">
        <v>12420</v>
      </c>
      <c r="AY17">
        <v>13810</v>
      </c>
      <c r="AZ17">
        <v>15090</v>
      </c>
      <c r="BA17">
        <v>15250</v>
      </c>
      <c r="BB17">
        <v>13600</v>
      </c>
      <c r="BC17">
        <v>12690</v>
      </c>
      <c r="BD17">
        <v>12370</v>
      </c>
      <c r="BE17">
        <v>12780</v>
      </c>
      <c r="BF17">
        <v>12620</v>
      </c>
      <c r="BG17">
        <v>12760</v>
      </c>
      <c r="BH17">
        <v>12850</v>
      </c>
      <c r="BI17">
        <v>13580</v>
      </c>
      <c r="BJ17">
        <v>14320</v>
      </c>
      <c r="BK17">
        <v>15880</v>
      </c>
      <c r="BL17">
        <v>16420</v>
      </c>
      <c r="BM17">
        <v>13750</v>
      </c>
    </row>
    <row r="18" spans="1:65">
      <c r="A18" t="s">
        <v>74</v>
      </c>
      <c r="B18" t="s">
        <v>461</v>
      </c>
      <c r="C18" t="s">
        <v>2244</v>
      </c>
      <c r="D18" t="s">
        <v>2245</v>
      </c>
      <c r="G18">
        <v>1870</v>
      </c>
      <c r="H18">
        <v>1970</v>
      </c>
      <c r="I18">
        <v>2110</v>
      </c>
      <c r="J18">
        <v>2270</v>
      </c>
      <c r="K18">
        <v>2350</v>
      </c>
      <c r="L18">
        <v>2540</v>
      </c>
      <c r="M18">
        <v>2730</v>
      </c>
      <c r="N18">
        <v>2980</v>
      </c>
      <c r="O18">
        <v>3270</v>
      </c>
      <c r="P18">
        <v>3470</v>
      </c>
      <c r="Q18">
        <v>3890</v>
      </c>
      <c r="R18">
        <v>4650</v>
      </c>
      <c r="S18">
        <v>5950</v>
      </c>
      <c r="T18">
        <v>7220</v>
      </c>
      <c r="U18">
        <v>7870</v>
      </c>
      <c r="V18">
        <v>8080</v>
      </c>
      <c r="W18">
        <v>8470</v>
      </c>
      <c r="X18">
        <v>9600</v>
      </c>
      <c r="Y18">
        <v>10830</v>
      </c>
      <c r="Z18">
        <v>11870</v>
      </c>
      <c r="AA18">
        <v>12080</v>
      </c>
      <c r="AB18">
        <v>11590</v>
      </c>
      <c r="AC18">
        <v>12030</v>
      </c>
      <c r="AD18">
        <v>12010</v>
      </c>
      <c r="AE18">
        <v>12300</v>
      </c>
      <c r="AF18">
        <v>12550</v>
      </c>
      <c r="AG18">
        <v>14120</v>
      </c>
      <c r="AH18">
        <v>15590</v>
      </c>
      <c r="AI18">
        <v>17330</v>
      </c>
      <c r="AJ18">
        <v>18220</v>
      </c>
      <c r="AK18">
        <v>18540</v>
      </c>
      <c r="AL18">
        <v>18900</v>
      </c>
      <c r="AM18">
        <v>18860</v>
      </c>
      <c r="AN18">
        <v>19290</v>
      </c>
      <c r="AO18">
        <v>20480</v>
      </c>
      <c r="AP18">
        <v>21930</v>
      </c>
      <c r="AQ18">
        <v>21780</v>
      </c>
      <c r="AR18">
        <v>21440</v>
      </c>
      <c r="AS18">
        <v>21130</v>
      </c>
      <c r="AT18">
        <v>20160</v>
      </c>
      <c r="AU18">
        <v>20030</v>
      </c>
      <c r="AV18">
        <v>21170</v>
      </c>
      <c r="AW18">
        <v>25570</v>
      </c>
      <c r="AX18">
        <v>30390</v>
      </c>
      <c r="AY18">
        <v>34150</v>
      </c>
      <c r="AZ18">
        <v>37340</v>
      </c>
      <c r="BA18">
        <v>42360</v>
      </c>
      <c r="BB18">
        <v>44050</v>
      </c>
      <c r="BC18">
        <v>46690</v>
      </c>
      <c r="BD18">
        <v>50380</v>
      </c>
      <c r="BE18">
        <v>60260</v>
      </c>
      <c r="BF18">
        <v>66050</v>
      </c>
      <c r="BG18">
        <v>65180</v>
      </c>
      <c r="BH18">
        <v>60490</v>
      </c>
      <c r="BI18">
        <v>54090</v>
      </c>
      <c r="BJ18">
        <v>51480</v>
      </c>
      <c r="BK18">
        <v>53070</v>
      </c>
      <c r="BL18">
        <v>54910</v>
      </c>
      <c r="BM18">
        <v>53680</v>
      </c>
    </row>
    <row r="19" spans="1:65">
      <c r="A19" t="s">
        <v>53</v>
      </c>
      <c r="B19" t="s">
        <v>458</v>
      </c>
      <c r="C19" t="s">
        <v>2244</v>
      </c>
      <c r="D19" t="s">
        <v>2245</v>
      </c>
      <c r="G19">
        <v>1060</v>
      </c>
      <c r="H19">
        <v>1140</v>
      </c>
      <c r="I19">
        <v>1240</v>
      </c>
      <c r="J19">
        <v>1340</v>
      </c>
      <c r="K19">
        <v>1470</v>
      </c>
      <c r="L19">
        <v>1560</v>
      </c>
      <c r="M19">
        <v>1680</v>
      </c>
      <c r="N19">
        <v>1850</v>
      </c>
      <c r="O19">
        <v>2070</v>
      </c>
      <c r="P19">
        <v>2320</v>
      </c>
      <c r="Q19">
        <v>2760</v>
      </c>
      <c r="R19">
        <v>3580</v>
      </c>
      <c r="S19">
        <v>4650</v>
      </c>
      <c r="T19">
        <v>5540</v>
      </c>
      <c r="U19">
        <v>5980</v>
      </c>
      <c r="V19">
        <v>6660</v>
      </c>
      <c r="W19">
        <v>7540</v>
      </c>
      <c r="X19">
        <v>9620</v>
      </c>
      <c r="Y19">
        <v>11460</v>
      </c>
      <c r="Z19">
        <v>11180</v>
      </c>
      <c r="AA19">
        <v>10380</v>
      </c>
      <c r="AB19">
        <v>9600</v>
      </c>
      <c r="AC19">
        <v>9270</v>
      </c>
      <c r="AD19">
        <v>9360</v>
      </c>
      <c r="AE19">
        <v>10820</v>
      </c>
      <c r="AF19">
        <v>13810</v>
      </c>
      <c r="AG19">
        <v>18070</v>
      </c>
      <c r="AH19">
        <v>19300</v>
      </c>
      <c r="AI19">
        <v>20630</v>
      </c>
      <c r="AJ19">
        <v>21810</v>
      </c>
      <c r="AK19">
        <v>24520</v>
      </c>
      <c r="AL19">
        <v>24870</v>
      </c>
      <c r="AM19">
        <v>26140</v>
      </c>
      <c r="AN19">
        <v>28190</v>
      </c>
      <c r="AO19">
        <v>30090</v>
      </c>
      <c r="AP19">
        <v>29560</v>
      </c>
      <c r="AQ19">
        <v>27970</v>
      </c>
      <c r="AR19">
        <v>27080</v>
      </c>
      <c r="AS19">
        <v>26810</v>
      </c>
      <c r="AT19">
        <v>25320</v>
      </c>
      <c r="AU19">
        <v>25030</v>
      </c>
      <c r="AV19">
        <v>28100</v>
      </c>
      <c r="AW19">
        <v>33850</v>
      </c>
      <c r="AX19">
        <v>38770</v>
      </c>
      <c r="AY19">
        <v>41500</v>
      </c>
      <c r="AZ19">
        <v>44540</v>
      </c>
      <c r="BA19">
        <v>49210</v>
      </c>
      <c r="BB19">
        <v>49150</v>
      </c>
      <c r="BC19">
        <v>49750</v>
      </c>
      <c r="BD19">
        <v>50700</v>
      </c>
      <c r="BE19">
        <v>50100</v>
      </c>
      <c r="BF19">
        <v>50720</v>
      </c>
      <c r="BG19">
        <v>50390</v>
      </c>
      <c r="BH19">
        <v>47480</v>
      </c>
      <c r="BI19">
        <v>46240</v>
      </c>
      <c r="BJ19">
        <v>45040</v>
      </c>
      <c r="BK19">
        <v>49010</v>
      </c>
      <c r="BL19">
        <v>51010</v>
      </c>
      <c r="BM19">
        <v>48360</v>
      </c>
    </row>
    <row r="20" spans="1:65">
      <c r="A20" t="s">
        <v>182</v>
      </c>
      <c r="B20" t="s">
        <v>397</v>
      </c>
      <c r="C20" t="s">
        <v>2244</v>
      </c>
      <c r="D20" t="s">
        <v>2245</v>
      </c>
      <c r="AM20">
        <v>80</v>
      </c>
      <c r="AN20">
        <v>180</v>
      </c>
      <c r="AO20">
        <v>240</v>
      </c>
      <c r="AP20">
        <v>410</v>
      </c>
      <c r="AQ20">
        <v>510</v>
      </c>
      <c r="AR20">
        <v>600</v>
      </c>
      <c r="AS20">
        <v>630</v>
      </c>
      <c r="AT20">
        <v>680</v>
      </c>
      <c r="AU20">
        <v>740</v>
      </c>
      <c r="AV20">
        <v>840</v>
      </c>
      <c r="AW20">
        <v>960</v>
      </c>
      <c r="AX20">
        <v>1290</v>
      </c>
      <c r="AY20">
        <v>1920</v>
      </c>
      <c r="AZ20">
        <v>2730</v>
      </c>
      <c r="BA20">
        <v>3890</v>
      </c>
      <c r="BB20">
        <v>4820</v>
      </c>
      <c r="BC20">
        <v>5410</v>
      </c>
      <c r="BD20">
        <v>5570</v>
      </c>
      <c r="BE20">
        <v>6480</v>
      </c>
      <c r="BF20">
        <v>7450</v>
      </c>
      <c r="BG20">
        <v>7740</v>
      </c>
      <c r="BH20">
        <v>6610</v>
      </c>
      <c r="BI20">
        <v>4790</v>
      </c>
      <c r="BJ20">
        <v>4110</v>
      </c>
      <c r="BK20">
        <v>4080</v>
      </c>
      <c r="BL20">
        <v>4510</v>
      </c>
      <c r="BM20">
        <v>4480</v>
      </c>
    </row>
    <row r="21" spans="1:65">
      <c r="A21" t="s">
        <v>93</v>
      </c>
      <c r="B21" t="s">
        <v>305</v>
      </c>
      <c r="C21" t="s">
        <v>2244</v>
      </c>
      <c r="D21" t="s">
        <v>2245</v>
      </c>
      <c r="G21">
        <v>70</v>
      </c>
      <c r="H21">
        <v>80</v>
      </c>
      <c r="I21">
        <v>80</v>
      </c>
      <c r="J21">
        <v>70</v>
      </c>
      <c r="K21">
        <v>60</v>
      </c>
      <c r="L21">
        <v>50</v>
      </c>
      <c r="M21">
        <v>50</v>
      </c>
      <c r="N21">
        <v>50</v>
      </c>
      <c r="O21">
        <v>70</v>
      </c>
      <c r="P21">
        <v>70</v>
      </c>
      <c r="Q21">
        <v>70</v>
      </c>
      <c r="R21">
        <v>80</v>
      </c>
      <c r="S21">
        <v>100</v>
      </c>
      <c r="T21">
        <v>110</v>
      </c>
      <c r="U21">
        <v>120</v>
      </c>
      <c r="V21">
        <v>140</v>
      </c>
      <c r="W21">
        <v>150</v>
      </c>
      <c r="X21">
        <v>180</v>
      </c>
      <c r="Y21">
        <v>220</v>
      </c>
      <c r="Z21">
        <v>250</v>
      </c>
      <c r="AA21">
        <v>240</v>
      </c>
      <c r="AB21">
        <v>230</v>
      </c>
      <c r="AC21">
        <v>220</v>
      </c>
      <c r="AD21">
        <v>240</v>
      </c>
      <c r="AE21">
        <v>250</v>
      </c>
      <c r="AF21">
        <v>260</v>
      </c>
      <c r="AG21">
        <v>250</v>
      </c>
      <c r="AH21">
        <v>230</v>
      </c>
      <c r="AI21">
        <v>220</v>
      </c>
      <c r="AJ21">
        <v>220</v>
      </c>
      <c r="AK21">
        <v>210</v>
      </c>
      <c r="AL21">
        <v>180</v>
      </c>
      <c r="AM21">
        <v>160</v>
      </c>
      <c r="AN21">
        <v>150</v>
      </c>
      <c r="AO21">
        <v>140</v>
      </c>
      <c r="AP21">
        <v>150</v>
      </c>
      <c r="AQ21">
        <v>150</v>
      </c>
      <c r="AR21">
        <v>140</v>
      </c>
      <c r="AS21">
        <v>130</v>
      </c>
      <c r="AT21">
        <v>130</v>
      </c>
      <c r="AU21">
        <v>130</v>
      </c>
      <c r="AV21">
        <v>120</v>
      </c>
      <c r="AW21">
        <v>120</v>
      </c>
      <c r="AX21">
        <v>140</v>
      </c>
      <c r="AY21">
        <v>150</v>
      </c>
      <c r="AZ21">
        <v>170</v>
      </c>
      <c r="BA21">
        <v>190</v>
      </c>
      <c r="BB21">
        <v>200</v>
      </c>
      <c r="BC21">
        <v>220</v>
      </c>
      <c r="BD21">
        <v>230</v>
      </c>
      <c r="BE21">
        <v>250</v>
      </c>
      <c r="BF21">
        <v>260</v>
      </c>
      <c r="BG21">
        <v>260</v>
      </c>
      <c r="BH21">
        <v>260</v>
      </c>
      <c r="BI21">
        <v>260</v>
      </c>
      <c r="BJ21">
        <v>260</v>
      </c>
      <c r="BK21">
        <v>250</v>
      </c>
      <c r="BL21">
        <v>240</v>
      </c>
      <c r="BM21">
        <v>230</v>
      </c>
    </row>
    <row r="22" spans="1:65">
      <c r="A22" t="s">
        <v>58</v>
      </c>
      <c r="B22" t="s">
        <v>456</v>
      </c>
      <c r="C22" t="s">
        <v>2244</v>
      </c>
      <c r="D22" t="s">
        <v>2245</v>
      </c>
      <c r="G22">
        <v>1450</v>
      </c>
      <c r="H22">
        <v>1530</v>
      </c>
      <c r="I22">
        <v>1670</v>
      </c>
      <c r="J22">
        <v>1800</v>
      </c>
      <c r="K22">
        <v>1950</v>
      </c>
      <c r="L22">
        <v>2100</v>
      </c>
      <c r="M22">
        <v>2270</v>
      </c>
      <c r="N22">
        <v>2510</v>
      </c>
      <c r="O22">
        <v>2790</v>
      </c>
      <c r="P22">
        <v>3080</v>
      </c>
      <c r="Q22">
        <v>3640</v>
      </c>
      <c r="R22">
        <v>4690</v>
      </c>
      <c r="S22">
        <v>6000</v>
      </c>
      <c r="T22">
        <v>6910</v>
      </c>
      <c r="U22">
        <v>7580</v>
      </c>
      <c r="V22">
        <v>8220</v>
      </c>
      <c r="W22">
        <v>9560</v>
      </c>
      <c r="X22">
        <v>11730</v>
      </c>
      <c r="Y22">
        <v>13980</v>
      </c>
      <c r="Z22">
        <v>13190</v>
      </c>
      <c r="AA22">
        <v>11180</v>
      </c>
      <c r="AB22">
        <v>9430</v>
      </c>
      <c r="AC22">
        <v>8860</v>
      </c>
      <c r="AD22">
        <v>8820</v>
      </c>
      <c r="AE22">
        <v>10170</v>
      </c>
      <c r="AF22">
        <v>13090</v>
      </c>
      <c r="AG22">
        <v>17010</v>
      </c>
      <c r="AH22">
        <v>18030</v>
      </c>
      <c r="AI22">
        <v>19310</v>
      </c>
      <c r="AJ22">
        <v>20580</v>
      </c>
      <c r="AK22">
        <v>23170</v>
      </c>
      <c r="AL22">
        <v>23410</v>
      </c>
      <c r="AM22">
        <v>25090</v>
      </c>
      <c r="AN22">
        <v>27070</v>
      </c>
      <c r="AO22">
        <v>28550</v>
      </c>
      <c r="AP22">
        <v>28450</v>
      </c>
      <c r="AQ22">
        <v>26530</v>
      </c>
      <c r="AR22">
        <v>25980</v>
      </c>
      <c r="AS22">
        <v>25890</v>
      </c>
      <c r="AT22">
        <v>24460</v>
      </c>
      <c r="AU22">
        <v>24060</v>
      </c>
      <c r="AV22">
        <v>27100</v>
      </c>
      <c r="AW22">
        <v>32910</v>
      </c>
      <c r="AX22">
        <v>37780</v>
      </c>
      <c r="AY22">
        <v>39940</v>
      </c>
      <c r="AZ22">
        <v>42740</v>
      </c>
      <c r="BA22">
        <v>46570</v>
      </c>
      <c r="BB22">
        <v>46980</v>
      </c>
      <c r="BC22">
        <v>47080</v>
      </c>
      <c r="BD22">
        <v>46490</v>
      </c>
      <c r="BE22">
        <v>47130</v>
      </c>
      <c r="BF22">
        <v>47900</v>
      </c>
      <c r="BG22">
        <v>47820</v>
      </c>
      <c r="BH22">
        <v>45570</v>
      </c>
      <c r="BI22">
        <v>43400</v>
      </c>
      <c r="BJ22">
        <v>42520</v>
      </c>
      <c r="BK22">
        <v>46070</v>
      </c>
      <c r="BL22">
        <v>48060</v>
      </c>
      <c r="BM22">
        <v>45800</v>
      </c>
    </row>
    <row r="23" spans="1:65">
      <c r="A23" t="s">
        <v>126</v>
      </c>
      <c r="B23" t="s">
        <v>340</v>
      </c>
      <c r="C23" t="s">
        <v>2244</v>
      </c>
      <c r="D23" t="s">
        <v>2245</v>
      </c>
      <c r="G23">
        <v>90</v>
      </c>
      <c r="H23">
        <v>100</v>
      </c>
      <c r="I23">
        <v>110</v>
      </c>
      <c r="J23">
        <v>110</v>
      </c>
      <c r="K23">
        <v>110</v>
      </c>
      <c r="L23">
        <v>120</v>
      </c>
      <c r="M23">
        <v>120</v>
      </c>
      <c r="N23">
        <v>120</v>
      </c>
      <c r="O23">
        <v>120</v>
      </c>
      <c r="P23">
        <v>120</v>
      </c>
      <c r="Q23">
        <v>130</v>
      </c>
      <c r="R23">
        <v>160</v>
      </c>
      <c r="S23">
        <v>190</v>
      </c>
      <c r="T23">
        <v>200</v>
      </c>
      <c r="U23">
        <v>210</v>
      </c>
      <c r="V23">
        <v>230</v>
      </c>
      <c r="W23">
        <v>250</v>
      </c>
      <c r="X23">
        <v>310</v>
      </c>
      <c r="Y23">
        <v>390</v>
      </c>
      <c r="Z23">
        <v>410</v>
      </c>
      <c r="AA23">
        <v>360</v>
      </c>
      <c r="AB23">
        <v>290</v>
      </c>
      <c r="AC23">
        <v>270</v>
      </c>
      <c r="AD23">
        <v>260</v>
      </c>
      <c r="AE23">
        <v>270</v>
      </c>
      <c r="AF23">
        <v>310</v>
      </c>
      <c r="AG23">
        <v>360</v>
      </c>
      <c r="AH23">
        <v>340</v>
      </c>
      <c r="AI23">
        <v>370</v>
      </c>
      <c r="AJ23">
        <v>380</v>
      </c>
      <c r="AK23">
        <v>370</v>
      </c>
      <c r="AL23">
        <v>380</v>
      </c>
      <c r="AM23">
        <v>330</v>
      </c>
      <c r="AN23">
        <v>360</v>
      </c>
      <c r="AO23">
        <v>350</v>
      </c>
      <c r="AP23">
        <v>380</v>
      </c>
      <c r="AQ23">
        <v>370</v>
      </c>
      <c r="AR23">
        <v>410</v>
      </c>
      <c r="AS23">
        <v>480</v>
      </c>
      <c r="AT23">
        <v>530</v>
      </c>
      <c r="AU23">
        <v>530</v>
      </c>
      <c r="AV23">
        <v>600</v>
      </c>
      <c r="AW23">
        <v>730</v>
      </c>
      <c r="AX23">
        <v>820</v>
      </c>
      <c r="AY23">
        <v>860</v>
      </c>
      <c r="AZ23">
        <v>920</v>
      </c>
      <c r="BA23">
        <v>1030</v>
      </c>
      <c r="BB23">
        <v>1090</v>
      </c>
      <c r="BC23">
        <v>1080</v>
      </c>
      <c r="BD23">
        <v>1090</v>
      </c>
      <c r="BE23">
        <v>1120</v>
      </c>
      <c r="BF23">
        <v>1220</v>
      </c>
      <c r="BG23">
        <v>1270</v>
      </c>
      <c r="BH23">
        <v>1180</v>
      </c>
      <c r="BI23">
        <v>1110</v>
      </c>
      <c r="BJ23">
        <v>1090</v>
      </c>
      <c r="BK23">
        <v>1200</v>
      </c>
      <c r="BL23">
        <v>1250</v>
      </c>
      <c r="BM23">
        <v>1280</v>
      </c>
    </row>
    <row r="24" spans="1:65">
      <c r="A24" t="s">
        <v>112</v>
      </c>
      <c r="B24" t="s">
        <v>325</v>
      </c>
      <c r="C24" t="s">
        <v>2244</v>
      </c>
      <c r="D24" t="s">
        <v>2245</v>
      </c>
      <c r="G24">
        <v>80</v>
      </c>
      <c r="H24">
        <v>80</v>
      </c>
      <c r="I24">
        <v>80</v>
      </c>
      <c r="J24">
        <v>80</v>
      </c>
      <c r="K24">
        <v>80</v>
      </c>
      <c r="L24">
        <v>90</v>
      </c>
      <c r="M24">
        <v>90</v>
      </c>
      <c r="N24">
        <v>90</v>
      </c>
      <c r="O24">
        <v>90</v>
      </c>
      <c r="P24">
        <v>90</v>
      </c>
      <c r="Q24">
        <v>90</v>
      </c>
      <c r="R24">
        <v>110</v>
      </c>
      <c r="S24">
        <v>140</v>
      </c>
      <c r="T24">
        <v>160</v>
      </c>
      <c r="U24">
        <v>170</v>
      </c>
      <c r="V24">
        <v>170</v>
      </c>
      <c r="W24">
        <v>200</v>
      </c>
      <c r="X24">
        <v>250</v>
      </c>
      <c r="Y24">
        <v>300</v>
      </c>
      <c r="Z24">
        <v>300</v>
      </c>
      <c r="AA24">
        <v>280</v>
      </c>
      <c r="AB24">
        <v>240</v>
      </c>
      <c r="AC24">
        <v>210</v>
      </c>
      <c r="AD24">
        <v>210</v>
      </c>
      <c r="AE24">
        <v>240</v>
      </c>
      <c r="AF24">
        <v>270</v>
      </c>
      <c r="AG24">
        <v>330</v>
      </c>
      <c r="AH24">
        <v>330</v>
      </c>
      <c r="AI24">
        <v>330</v>
      </c>
      <c r="AJ24">
        <v>360</v>
      </c>
      <c r="AK24">
        <v>370</v>
      </c>
      <c r="AL24">
        <v>360</v>
      </c>
      <c r="AM24">
        <v>280</v>
      </c>
      <c r="AN24">
        <v>250</v>
      </c>
      <c r="AO24">
        <v>250</v>
      </c>
      <c r="AP24">
        <v>250</v>
      </c>
      <c r="AQ24">
        <v>250</v>
      </c>
      <c r="AR24">
        <v>270</v>
      </c>
      <c r="AS24">
        <v>270</v>
      </c>
      <c r="AT24">
        <v>280</v>
      </c>
      <c r="AU24">
        <v>270</v>
      </c>
      <c r="AV24">
        <v>320</v>
      </c>
      <c r="AW24">
        <v>390</v>
      </c>
      <c r="AX24">
        <v>460</v>
      </c>
      <c r="AY24">
        <v>490</v>
      </c>
      <c r="AZ24">
        <v>510</v>
      </c>
      <c r="BA24">
        <v>570</v>
      </c>
      <c r="BB24">
        <v>610</v>
      </c>
      <c r="BC24">
        <v>650</v>
      </c>
      <c r="BD24">
        <v>680</v>
      </c>
      <c r="BE24">
        <v>730</v>
      </c>
      <c r="BF24">
        <v>770</v>
      </c>
      <c r="BG24">
        <v>760</v>
      </c>
      <c r="BH24">
        <v>700</v>
      </c>
      <c r="BI24">
        <v>680</v>
      </c>
      <c r="BJ24">
        <v>670</v>
      </c>
      <c r="BK24">
        <v>750</v>
      </c>
      <c r="BL24">
        <v>770</v>
      </c>
      <c r="BM24">
        <v>770</v>
      </c>
    </row>
    <row r="25" spans="1:65">
      <c r="A25" t="s">
        <v>149</v>
      </c>
      <c r="B25" t="s">
        <v>363</v>
      </c>
      <c r="C25" t="s">
        <v>2244</v>
      </c>
      <c r="D25" t="s">
        <v>2245</v>
      </c>
      <c r="R25">
        <v>120</v>
      </c>
      <c r="S25">
        <v>160</v>
      </c>
      <c r="T25">
        <v>210</v>
      </c>
      <c r="U25">
        <v>200</v>
      </c>
      <c r="V25">
        <v>170</v>
      </c>
      <c r="W25">
        <v>170</v>
      </c>
      <c r="X25">
        <v>190</v>
      </c>
      <c r="Y25">
        <v>230</v>
      </c>
      <c r="Z25">
        <v>260</v>
      </c>
      <c r="AA25">
        <v>250</v>
      </c>
      <c r="AB25">
        <v>230</v>
      </c>
      <c r="AC25">
        <v>220</v>
      </c>
      <c r="AD25">
        <v>230</v>
      </c>
      <c r="AE25">
        <v>250</v>
      </c>
      <c r="AF25">
        <v>280</v>
      </c>
      <c r="AG25">
        <v>290</v>
      </c>
      <c r="AH25">
        <v>300</v>
      </c>
      <c r="AI25">
        <v>320</v>
      </c>
      <c r="AJ25">
        <v>320</v>
      </c>
      <c r="AK25">
        <v>330</v>
      </c>
      <c r="AL25">
        <v>320</v>
      </c>
      <c r="AM25">
        <v>320</v>
      </c>
      <c r="AN25">
        <v>340</v>
      </c>
      <c r="AO25">
        <v>370</v>
      </c>
      <c r="AP25">
        <v>400</v>
      </c>
      <c r="AQ25">
        <v>420</v>
      </c>
      <c r="AR25">
        <v>420</v>
      </c>
      <c r="AS25">
        <v>440</v>
      </c>
      <c r="AT25">
        <v>440</v>
      </c>
      <c r="AU25">
        <v>440</v>
      </c>
      <c r="AV25">
        <v>460</v>
      </c>
      <c r="AW25">
        <v>510</v>
      </c>
      <c r="AX25">
        <v>550</v>
      </c>
      <c r="AY25">
        <v>570</v>
      </c>
      <c r="AZ25">
        <v>610</v>
      </c>
      <c r="BA25">
        <v>660</v>
      </c>
      <c r="BB25">
        <v>730</v>
      </c>
      <c r="BC25">
        <v>800</v>
      </c>
      <c r="BD25">
        <v>890</v>
      </c>
      <c r="BE25">
        <v>970</v>
      </c>
      <c r="BF25">
        <v>1040</v>
      </c>
      <c r="BG25">
        <v>1110</v>
      </c>
      <c r="BH25">
        <v>1220</v>
      </c>
      <c r="BI25">
        <v>1370</v>
      </c>
      <c r="BJ25">
        <v>1520</v>
      </c>
      <c r="BK25">
        <v>1750</v>
      </c>
      <c r="BL25">
        <v>1930</v>
      </c>
      <c r="BM25">
        <v>2030</v>
      </c>
    </row>
    <row r="26" spans="1:65">
      <c r="A26" t="s">
        <v>220</v>
      </c>
      <c r="B26" t="s">
        <v>435</v>
      </c>
      <c r="C26" t="s">
        <v>2244</v>
      </c>
      <c r="D26" t="s">
        <v>2245</v>
      </c>
      <c r="AA26">
        <v>2360</v>
      </c>
      <c r="AB26">
        <v>2090</v>
      </c>
      <c r="AC26">
        <v>2010</v>
      </c>
      <c r="AD26">
        <v>1950</v>
      </c>
      <c r="AE26">
        <v>2190</v>
      </c>
      <c r="AF26">
        <v>2720</v>
      </c>
      <c r="AG26">
        <v>3110</v>
      </c>
      <c r="AH26">
        <v>2830</v>
      </c>
      <c r="AI26">
        <v>2250</v>
      </c>
      <c r="AJ26">
        <v>1620</v>
      </c>
      <c r="AK26">
        <v>1430</v>
      </c>
      <c r="AL26">
        <v>1250</v>
      </c>
      <c r="AM26">
        <v>1240</v>
      </c>
      <c r="AN26">
        <v>1520</v>
      </c>
      <c r="AO26">
        <v>1590</v>
      </c>
      <c r="AP26">
        <v>1460</v>
      </c>
      <c r="AQ26">
        <v>1440</v>
      </c>
      <c r="AR26">
        <v>1480</v>
      </c>
      <c r="AS26">
        <v>1660</v>
      </c>
      <c r="AT26">
        <v>1770</v>
      </c>
      <c r="AU26">
        <v>1970</v>
      </c>
      <c r="AV26">
        <v>2370</v>
      </c>
      <c r="AW26">
        <v>3060</v>
      </c>
      <c r="AX26">
        <v>3800</v>
      </c>
      <c r="AY26">
        <v>4300</v>
      </c>
      <c r="AZ26">
        <v>4820</v>
      </c>
      <c r="BA26">
        <v>6070</v>
      </c>
      <c r="BB26">
        <v>6680</v>
      </c>
      <c r="BC26">
        <v>7010</v>
      </c>
      <c r="BD26">
        <v>7260</v>
      </c>
      <c r="BE26">
        <v>7490</v>
      </c>
      <c r="BF26">
        <v>7590</v>
      </c>
      <c r="BG26">
        <v>7700</v>
      </c>
      <c r="BH26">
        <v>7430</v>
      </c>
      <c r="BI26">
        <v>7400</v>
      </c>
      <c r="BJ26">
        <v>7610</v>
      </c>
      <c r="BK26">
        <v>8530</v>
      </c>
      <c r="BL26">
        <v>9500</v>
      </c>
      <c r="BM26">
        <v>9630</v>
      </c>
    </row>
    <row r="27" spans="1:65">
      <c r="A27" t="s">
        <v>242</v>
      </c>
      <c r="B27" t="s">
        <v>500</v>
      </c>
      <c r="C27" t="s">
        <v>2244</v>
      </c>
      <c r="D27" t="s">
        <v>2245</v>
      </c>
      <c r="AA27">
        <v>8520</v>
      </c>
      <c r="AB27">
        <v>9150</v>
      </c>
      <c r="AC27">
        <v>9310</v>
      </c>
      <c r="AD27">
        <v>7900</v>
      </c>
      <c r="AE27">
        <v>7230</v>
      </c>
      <c r="AF27">
        <v>7700</v>
      </c>
      <c r="AG27">
        <v>7800</v>
      </c>
      <c r="AH27">
        <v>7660</v>
      </c>
      <c r="AI27">
        <v>9070</v>
      </c>
      <c r="AJ27">
        <v>9800</v>
      </c>
      <c r="AK27">
        <v>9890</v>
      </c>
      <c r="AL27">
        <v>10030</v>
      </c>
      <c r="AM27">
        <v>9680</v>
      </c>
      <c r="AN27">
        <v>10380</v>
      </c>
      <c r="AO27">
        <v>10790</v>
      </c>
      <c r="AP27">
        <v>10310</v>
      </c>
      <c r="AQ27">
        <v>10070</v>
      </c>
      <c r="AR27">
        <v>9870</v>
      </c>
      <c r="AS27">
        <v>10940</v>
      </c>
      <c r="AT27">
        <v>11500</v>
      </c>
      <c r="AU27">
        <v>12060</v>
      </c>
      <c r="AV27">
        <v>12940</v>
      </c>
      <c r="AW27">
        <v>14570</v>
      </c>
      <c r="AX27">
        <v>16550</v>
      </c>
      <c r="AY27">
        <v>17890</v>
      </c>
      <c r="AZ27">
        <v>19660</v>
      </c>
      <c r="BA27">
        <v>20860</v>
      </c>
      <c r="BB27">
        <v>18830</v>
      </c>
      <c r="BC27">
        <v>18970</v>
      </c>
      <c r="BD27">
        <v>18160</v>
      </c>
      <c r="BE27">
        <v>22010</v>
      </c>
      <c r="BF27">
        <v>23790</v>
      </c>
      <c r="BG27">
        <v>24070</v>
      </c>
      <c r="BH27">
        <v>22580</v>
      </c>
      <c r="BI27">
        <v>21570</v>
      </c>
      <c r="BJ27">
        <v>21250</v>
      </c>
      <c r="BK27">
        <v>22000</v>
      </c>
      <c r="BL27">
        <v>22230</v>
      </c>
      <c r="BM27">
        <v>19900</v>
      </c>
    </row>
    <row r="28" spans="1:65">
      <c r="A28" t="s">
        <v>249</v>
      </c>
      <c r="B28" t="s">
        <v>499</v>
      </c>
      <c r="C28" t="s">
        <v>2244</v>
      </c>
      <c r="D28" t="s">
        <v>2245</v>
      </c>
      <c r="G28">
        <v>1550</v>
      </c>
      <c r="H28">
        <v>1650</v>
      </c>
      <c r="I28">
        <v>1760</v>
      </c>
      <c r="J28">
        <v>1900</v>
      </c>
      <c r="K28">
        <v>2040</v>
      </c>
      <c r="L28">
        <v>2230</v>
      </c>
      <c r="M28">
        <v>2450</v>
      </c>
      <c r="N28">
        <v>2760</v>
      </c>
      <c r="O28">
        <v>2920</v>
      </c>
      <c r="P28">
        <v>3110</v>
      </c>
      <c r="Q28">
        <v>3190</v>
      </c>
      <c r="R28">
        <v>3740</v>
      </c>
      <c r="S28">
        <v>3840</v>
      </c>
      <c r="T28">
        <v>4640</v>
      </c>
      <c r="U28">
        <v>3120</v>
      </c>
      <c r="V28">
        <v>3360</v>
      </c>
      <c r="W28">
        <v>3720</v>
      </c>
      <c r="X28">
        <v>5200</v>
      </c>
      <c r="Y28">
        <v>6050</v>
      </c>
      <c r="Z28">
        <v>5790</v>
      </c>
      <c r="AA28">
        <v>6360</v>
      </c>
      <c r="AB28">
        <v>6640</v>
      </c>
      <c r="AC28">
        <v>7700</v>
      </c>
      <c r="AD28">
        <v>8510</v>
      </c>
      <c r="AE28">
        <v>9400</v>
      </c>
      <c r="AF28">
        <v>10800</v>
      </c>
      <c r="AG28">
        <v>11710</v>
      </c>
      <c r="AH28">
        <v>12440</v>
      </c>
      <c r="AI28">
        <v>11870</v>
      </c>
      <c r="AJ28">
        <v>11330</v>
      </c>
      <c r="AK28">
        <v>11550</v>
      </c>
      <c r="AL28">
        <v>11310</v>
      </c>
      <c r="AM28">
        <v>11600</v>
      </c>
      <c r="AN28">
        <v>14260</v>
      </c>
      <c r="AO28">
        <v>15930</v>
      </c>
      <c r="AP28">
        <v>15180</v>
      </c>
      <c r="AQ28">
        <v>16810</v>
      </c>
      <c r="AR28">
        <v>24150</v>
      </c>
      <c r="AS28">
        <v>26360</v>
      </c>
      <c r="AT28">
        <v>26560</v>
      </c>
      <c r="AU28">
        <v>27190</v>
      </c>
      <c r="AV28">
        <v>27770</v>
      </c>
      <c r="AW28">
        <v>29270</v>
      </c>
      <c r="AX28">
        <v>30570</v>
      </c>
      <c r="AY28">
        <v>30760</v>
      </c>
      <c r="AZ28">
        <v>31090</v>
      </c>
      <c r="BA28">
        <v>30960</v>
      </c>
      <c r="BB28">
        <v>29010</v>
      </c>
      <c r="BC28">
        <v>28370</v>
      </c>
      <c r="BD28">
        <v>28030</v>
      </c>
      <c r="BE28">
        <v>28550</v>
      </c>
      <c r="BF28">
        <v>27490</v>
      </c>
      <c r="BG28">
        <v>28110</v>
      </c>
      <c r="BH28">
        <v>28670</v>
      </c>
      <c r="BI28">
        <v>29020</v>
      </c>
      <c r="BJ28">
        <v>30090</v>
      </c>
      <c r="BK28">
        <v>31150</v>
      </c>
      <c r="BL28">
        <v>32260</v>
      </c>
      <c r="BM28">
        <v>26070</v>
      </c>
    </row>
    <row r="29" spans="1:65">
      <c r="A29" t="s">
        <v>198</v>
      </c>
      <c r="B29" t="s">
        <v>413</v>
      </c>
      <c r="C29" t="s">
        <v>2244</v>
      </c>
      <c r="D29" t="s">
        <v>2245</v>
      </c>
      <c r="AO29">
        <v>760</v>
      </c>
      <c r="AP29">
        <v>1010</v>
      </c>
      <c r="AQ29">
        <v>1330</v>
      </c>
      <c r="AR29">
        <v>1400</v>
      </c>
      <c r="AS29">
        <v>1540</v>
      </c>
      <c r="AT29">
        <v>1620</v>
      </c>
      <c r="AU29">
        <v>1750</v>
      </c>
      <c r="AV29">
        <v>2030</v>
      </c>
      <c r="AW29">
        <v>2700</v>
      </c>
      <c r="AX29">
        <v>3060</v>
      </c>
      <c r="AY29">
        <v>3410</v>
      </c>
      <c r="AZ29">
        <v>3920</v>
      </c>
      <c r="BA29">
        <v>4730</v>
      </c>
      <c r="BB29">
        <v>4970</v>
      </c>
      <c r="BC29">
        <v>4960</v>
      </c>
      <c r="BD29">
        <v>5010</v>
      </c>
      <c r="BE29">
        <v>4990</v>
      </c>
      <c r="BF29">
        <v>5270</v>
      </c>
      <c r="BG29">
        <v>5300</v>
      </c>
      <c r="BH29">
        <v>5210</v>
      </c>
      <c r="BI29">
        <v>5130</v>
      </c>
      <c r="BJ29">
        <v>5120</v>
      </c>
      <c r="BK29">
        <v>5750</v>
      </c>
      <c r="BL29">
        <v>6180</v>
      </c>
      <c r="BM29">
        <v>6080</v>
      </c>
    </row>
    <row r="30" spans="1:65">
      <c r="A30" t="s">
        <v>200</v>
      </c>
      <c r="B30" t="s">
        <v>415</v>
      </c>
      <c r="C30" t="s">
        <v>2244</v>
      </c>
      <c r="D30" t="s">
        <v>2245</v>
      </c>
      <c r="AK30">
        <v>1800</v>
      </c>
      <c r="AL30">
        <v>1600</v>
      </c>
      <c r="AM30">
        <v>1460</v>
      </c>
      <c r="AN30">
        <v>1370</v>
      </c>
      <c r="AO30">
        <v>1450</v>
      </c>
      <c r="AP30">
        <v>1540</v>
      </c>
      <c r="AQ30">
        <v>1560</v>
      </c>
      <c r="AR30">
        <v>1410</v>
      </c>
      <c r="AS30">
        <v>1380</v>
      </c>
      <c r="AT30">
        <v>1300</v>
      </c>
      <c r="AU30">
        <v>1380</v>
      </c>
      <c r="AV30">
        <v>1630</v>
      </c>
      <c r="AW30">
        <v>2170</v>
      </c>
      <c r="AX30">
        <v>2820</v>
      </c>
      <c r="AY30">
        <v>3510</v>
      </c>
      <c r="AZ30">
        <v>4310</v>
      </c>
      <c r="BA30">
        <v>5470</v>
      </c>
      <c r="BB30">
        <v>5660</v>
      </c>
      <c r="BC30">
        <v>6150</v>
      </c>
      <c r="BD30">
        <v>6340</v>
      </c>
      <c r="BE30">
        <v>6630</v>
      </c>
      <c r="BF30">
        <v>7030</v>
      </c>
      <c r="BG30">
        <v>7620</v>
      </c>
      <c r="BH30">
        <v>6750</v>
      </c>
      <c r="BI30">
        <v>5640</v>
      </c>
      <c r="BJ30">
        <v>5320</v>
      </c>
      <c r="BK30">
        <v>5730</v>
      </c>
      <c r="BL30">
        <v>6370</v>
      </c>
      <c r="BM30">
        <v>6360</v>
      </c>
    </row>
    <row r="31" spans="1:65">
      <c r="A31" t="s">
        <v>174</v>
      </c>
      <c r="B31" t="s">
        <v>388</v>
      </c>
      <c r="C31" t="s">
        <v>2244</v>
      </c>
      <c r="D31" t="s">
        <v>2245</v>
      </c>
      <c r="G31">
        <v>330</v>
      </c>
      <c r="H31">
        <v>340</v>
      </c>
      <c r="I31">
        <v>350</v>
      </c>
      <c r="J31">
        <v>370</v>
      </c>
      <c r="K31">
        <v>390</v>
      </c>
      <c r="L31">
        <v>420</v>
      </c>
      <c r="M31">
        <v>420</v>
      </c>
      <c r="N31">
        <v>420</v>
      </c>
      <c r="O31">
        <v>420</v>
      </c>
      <c r="P31">
        <v>450</v>
      </c>
      <c r="Q31">
        <v>520</v>
      </c>
      <c r="R31">
        <v>600</v>
      </c>
      <c r="S31">
        <v>730</v>
      </c>
      <c r="T31">
        <v>840</v>
      </c>
      <c r="U31">
        <v>800</v>
      </c>
      <c r="V31">
        <v>850</v>
      </c>
      <c r="W31">
        <v>930</v>
      </c>
      <c r="X31">
        <v>1120</v>
      </c>
      <c r="Y31">
        <v>1420</v>
      </c>
      <c r="Z31">
        <v>1430</v>
      </c>
      <c r="AA31">
        <v>1290</v>
      </c>
      <c r="AB31">
        <v>1150</v>
      </c>
      <c r="AC31">
        <v>1160</v>
      </c>
      <c r="AD31">
        <v>1200</v>
      </c>
      <c r="AE31">
        <v>1350</v>
      </c>
      <c r="AF31">
        <v>1610</v>
      </c>
      <c r="AG31">
        <v>1870</v>
      </c>
      <c r="AH31">
        <v>2080</v>
      </c>
      <c r="AI31">
        <v>2260</v>
      </c>
      <c r="AJ31">
        <v>2420</v>
      </c>
      <c r="AK31">
        <v>2680</v>
      </c>
      <c r="AL31">
        <v>2790</v>
      </c>
      <c r="AM31">
        <v>2780</v>
      </c>
      <c r="AN31">
        <v>2860</v>
      </c>
      <c r="AO31">
        <v>2880</v>
      </c>
      <c r="AP31">
        <v>2890</v>
      </c>
      <c r="AQ31">
        <v>2780</v>
      </c>
      <c r="AR31">
        <v>2880</v>
      </c>
      <c r="AS31">
        <v>3150</v>
      </c>
      <c r="AT31">
        <v>3130</v>
      </c>
      <c r="AU31">
        <v>3200</v>
      </c>
      <c r="AV31">
        <v>3420</v>
      </c>
      <c r="AW31">
        <v>3560</v>
      </c>
      <c r="AX31">
        <v>3620</v>
      </c>
      <c r="AY31">
        <v>3740</v>
      </c>
      <c r="AZ31">
        <v>3670</v>
      </c>
      <c r="BA31">
        <v>3880</v>
      </c>
      <c r="BB31">
        <v>4050</v>
      </c>
      <c r="BC31">
        <v>3880</v>
      </c>
      <c r="BD31">
        <v>4050</v>
      </c>
      <c r="BE31">
        <v>4100</v>
      </c>
      <c r="BF31">
        <v>4180</v>
      </c>
      <c r="BG31">
        <v>4260</v>
      </c>
      <c r="BH31">
        <v>4400</v>
      </c>
      <c r="BI31">
        <v>4340</v>
      </c>
      <c r="BJ31">
        <v>4420</v>
      </c>
      <c r="BK31">
        <v>4620</v>
      </c>
      <c r="BL31">
        <v>4690</v>
      </c>
      <c r="BM31">
        <v>4110</v>
      </c>
    </row>
    <row r="32" spans="1:65">
      <c r="A32" t="s">
        <v>264</v>
      </c>
      <c r="B32" t="s">
        <v>501</v>
      </c>
      <c r="C32" t="s">
        <v>2244</v>
      </c>
      <c r="D32" t="s">
        <v>2245</v>
      </c>
      <c r="BC32">
        <v>103480</v>
      </c>
      <c r="BD32">
        <v>101610</v>
      </c>
      <c r="BE32">
        <v>100100</v>
      </c>
      <c r="BF32">
        <v>101760</v>
      </c>
      <c r="BG32">
        <v>99920</v>
      </c>
      <c r="BH32">
        <v>101120</v>
      </c>
      <c r="BI32">
        <v>103620</v>
      </c>
      <c r="BJ32">
        <v>112940</v>
      </c>
      <c r="BK32">
        <v>117000</v>
      </c>
      <c r="BL32">
        <v>117740</v>
      </c>
      <c r="BM32">
        <v>112240</v>
      </c>
    </row>
    <row r="33" spans="1:65">
      <c r="A33" t="s">
        <v>157</v>
      </c>
      <c r="B33" t="s">
        <v>371</v>
      </c>
      <c r="C33" t="s">
        <v>2244</v>
      </c>
      <c r="D33" t="s">
        <v>2245</v>
      </c>
      <c r="U33">
        <v>550</v>
      </c>
      <c r="V33">
        <v>580</v>
      </c>
      <c r="W33">
        <v>650</v>
      </c>
      <c r="X33">
        <v>760</v>
      </c>
      <c r="Y33">
        <v>820</v>
      </c>
      <c r="Z33">
        <v>900</v>
      </c>
      <c r="AA33">
        <v>860</v>
      </c>
      <c r="AB33">
        <v>840</v>
      </c>
      <c r="AC33">
        <v>850</v>
      </c>
      <c r="AD33">
        <v>840</v>
      </c>
      <c r="AE33">
        <v>740</v>
      </c>
      <c r="AF33">
        <v>720</v>
      </c>
      <c r="AG33">
        <v>710</v>
      </c>
      <c r="AH33">
        <v>720</v>
      </c>
      <c r="AI33">
        <v>720</v>
      </c>
      <c r="AJ33">
        <v>740</v>
      </c>
      <c r="AK33">
        <v>770</v>
      </c>
      <c r="AL33">
        <v>790</v>
      </c>
      <c r="AM33">
        <v>810</v>
      </c>
      <c r="AN33">
        <v>850</v>
      </c>
      <c r="AO33">
        <v>900</v>
      </c>
      <c r="AP33">
        <v>950</v>
      </c>
      <c r="AQ33">
        <v>990</v>
      </c>
      <c r="AR33">
        <v>980</v>
      </c>
      <c r="AS33">
        <v>980</v>
      </c>
      <c r="AT33">
        <v>950</v>
      </c>
      <c r="AU33">
        <v>920</v>
      </c>
      <c r="AV33">
        <v>910</v>
      </c>
      <c r="AW33">
        <v>950</v>
      </c>
      <c r="AX33">
        <v>1020</v>
      </c>
      <c r="AY33">
        <v>1110</v>
      </c>
      <c r="AZ33">
        <v>1220</v>
      </c>
      <c r="BA33">
        <v>1480</v>
      </c>
      <c r="BB33">
        <v>1620</v>
      </c>
      <c r="BC33">
        <v>1780</v>
      </c>
      <c r="BD33">
        <v>2000</v>
      </c>
      <c r="BE33">
        <v>2250</v>
      </c>
      <c r="BF33">
        <v>2590</v>
      </c>
      <c r="BG33">
        <v>2830</v>
      </c>
      <c r="BH33">
        <v>2960</v>
      </c>
      <c r="BI33">
        <v>3040</v>
      </c>
      <c r="BJ33">
        <v>3090</v>
      </c>
      <c r="BK33">
        <v>3370</v>
      </c>
      <c r="BL33">
        <v>3520</v>
      </c>
      <c r="BM33">
        <v>3180</v>
      </c>
    </row>
    <row r="34" spans="1:65">
      <c r="A34" t="s">
        <v>204</v>
      </c>
      <c r="B34" t="s">
        <v>419</v>
      </c>
      <c r="C34" t="s">
        <v>2244</v>
      </c>
      <c r="D34" t="s">
        <v>2245</v>
      </c>
      <c r="K34">
        <v>270</v>
      </c>
      <c r="L34">
        <v>320</v>
      </c>
      <c r="M34">
        <v>380</v>
      </c>
      <c r="N34">
        <v>420</v>
      </c>
      <c r="O34">
        <v>450</v>
      </c>
      <c r="P34">
        <v>510</v>
      </c>
      <c r="Q34">
        <v>590</v>
      </c>
      <c r="R34">
        <v>730</v>
      </c>
      <c r="S34">
        <v>960</v>
      </c>
      <c r="T34">
        <v>1180</v>
      </c>
      <c r="U34">
        <v>1400</v>
      </c>
      <c r="V34">
        <v>1520</v>
      </c>
      <c r="W34">
        <v>1710</v>
      </c>
      <c r="X34">
        <v>2000</v>
      </c>
      <c r="Y34">
        <v>2180</v>
      </c>
      <c r="Z34">
        <v>2120</v>
      </c>
      <c r="AA34">
        <v>2060</v>
      </c>
      <c r="AB34">
        <v>1780</v>
      </c>
      <c r="AC34">
        <v>1680</v>
      </c>
      <c r="AD34">
        <v>1550</v>
      </c>
      <c r="AE34">
        <v>1750</v>
      </c>
      <c r="AF34">
        <v>2030</v>
      </c>
      <c r="AG34">
        <v>2310</v>
      </c>
      <c r="AH34">
        <v>2490</v>
      </c>
      <c r="AI34">
        <v>2350</v>
      </c>
      <c r="AJ34">
        <v>2390</v>
      </c>
      <c r="AK34">
        <v>2340</v>
      </c>
      <c r="AL34">
        <v>2310</v>
      </c>
      <c r="AM34">
        <v>2670</v>
      </c>
      <c r="AN34">
        <v>3430</v>
      </c>
      <c r="AO34">
        <v>4350</v>
      </c>
      <c r="AP34">
        <v>5020</v>
      </c>
      <c r="AQ34">
        <v>4840</v>
      </c>
      <c r="AR34">
        <v>4120</v>
      </c>
      <c r="AS34">
        <v>3930</v>
      </c>
      <c r="AT34">
        <v>3350</v>
      </c>
      <c r="AU34">
        <v>3100</v>
      </c>
      <c r="AV34">
        <v>2990</v>
      </c>
      <c r="AW34">
        <v>3350</v>
      </c>
      <c r="AX34">
        <v>4000</v>
      </c>
      <c r="AY34">
        <v>4850</v>
      </c>
      <c r="AZ34">
        <v>6190</v>
      </c>
      <c r="BA34">
        <v>7620</v>
      </c>
      <c r="BB34">
        <v>8320</v>
      </c>
      <c r="BC34">
        <v>9650</v>
      </c>
      <c r="BD34">
        <v>11080</v>
      </c>
      <c r="BE34">
        <v>12310</v>
      </c>
      <c r="BF34">
        <v>12790</v>
      </c>
      <c r="BG34">
        <v>12120</v>
      </c>
      <c r="BH34">
        <v>10190</v>
      </c>
      <c r="BI34">
        <v>8920</v>
      </c>
      <c r="BJ34">
        <v>8700</v>
      </c>
      <c r="BK34">
        <v>9170</v>
      </c>
      <c r="BL34">
        <v>9270</v>
      </c>
      <c r="BM34">
        <v>7850</v>
      </c>
    </row>
    <row r="35" spans="1:65">
      <c r="A35" t="s">
        <v>237</v>
      </c>
      <c r="B35" t="s">
        <v>566</v>
      </c>
      <c r="C35" t="s">
        <v>2244</v>
      </c>
      <c r="D35" t="s">
        <v>2245</v>
      </c>
      <c r="AE35">
        <v>5910</v>
      </c>
      <c r="AF35">
        <v>6690</v>
      </c>
      <c r="AG35">
        <v>7430</v>
      </c>
      <c r="AH35">
        <v>7860</v>
      </c>
      <c r="AI35">
        <v>7600</v>
      </c>
      <c r="AJ35">
        <v>7570</v>
      </c>
      <c r="AK35">
        <v>7460</v>
      </c>
      <c r="AL35">
        <v>7690</v>
      </c>
      <c r="AM35">
        <v>8010</v>
      </c>
      <c r="AN35">
        <v>8340</v>
      </c>
      <c r="AO35">
        <v>8700</v>
      </c>
      <c r="AP35">
        <v>9050</v>
      </c>
      <c r="AQ35">
        <v>9420</v>
      </c>
      <c r="AR35">
        <v>9820</v>
      </c>
      <c r="AS35">
        <v>10780</v>
      </c>
      <c r="AT35">
        <v>10630</v>
      </c>
      <c r="AU35">
        <v>10650</v>
      </c>
      <c r="AV35">
        <v>11300</v>
      </c>
      <c r="AW35">
        <v>12290</v>
      </c>
      <c r="AX35">
        <v>13240</v>
      </c>
      <c r="AY35">
        <v>14220</v>
      </c>
      <c r="AZ35">
        <v>15530</v>
      </c>
      <c r="BA35">
        <v>16180</v>
      </c>
      <c r="BB35">
        <v>15730</v>
      </c>
      <c r="BC35">
        <v>15540</v>
      </c>
      <c r="BD35">
        <v>15050</v>
      </c>
      <c r="BE35">
        <v>15720</v>
      </c>
      <c r="BF35">
        <v>15660</v>
      </c>
      <c r="BG35">
        <v>15630</v>
      </c>
      <c r="BH35">
        <v>15740</v>
      </c>
      <c r="BI35">
        <v>15920</v>
      </c>
      <c r="BJ35">
        <v>16070</v>
      </c>
      <c r="BK35">
        <v>16700</v>
      </c>
      <c r="BL35">
        <v>17380</v>
      </c>
      <c r="BM35">
        <v>14350</v>
      </c>
    </row>
    <row r="36" spans="1:65">
      <c r="A36" t="s">
        <v>253</v>
      </c>
      <c r="B36" t="s">
        <v>567</v>
      </c>
      <c r="C36" t="s">
        <v>2244</v>
      </c>
      <c r="D36" t="s">
        <v>2245</v>
      </c>
      <c r="AH36">
        <v>12090</v>
      </c>
      <c r="AI36">
        <v>12460</v>
      </c>
      <c r="AJ36">
        <v>13580</v>
      </c>
      <c r="AK36">
        <v>15160</v>
      </c>
      <c r="AL36">
        <v>15030</v>
      </c>
      <c r="AM36">
        <v>15090</v>
      </c>
      <c r="AN36">
        <v>15680</v>
      </c>
      <c r="AO36">
        <v>16210</v>
      </c>
      <c r="AP36">
        <v>16220</v>
      </c>
      <c r="AQ36">
        <v>14420</v>
      </c>
      <c r="AR36">
        <v>14040</v>
      </c>
      <c r="AS36">
        <v>14680</v>
      </c>
      <c r="AT36">
        <v>16070</v>
      </c>
      <c r="AU36">
        <v>17140</v>
      </c>
      <c r="AV36">
        <v>17800</v>
      </c>
      <c r="AW36">
        <v>19990</v>
      </c>
      <c r="AX36">
        <v>23090</v>
      </c>
      <c r="AY36">
        <v>27580</v>
      </c>
      <c r="AZ36">
        <v>30930</v>
      </c>
      <c r="BA36">
        <v>34150</v>
      </c>
      <c r="BB36">
        <v>32460</v>
      </c>
      <c r="BC36">
        <v>33300</v>
      </c>
      <c r="BD36">
        <v>35520</v>
      </c>
      <c r="BE36">
        <v>42370</v>
      </c>
      <c r="BF36">
        <v>45320</v>
      </c>
      <c r="BG36">
        <v>43090</v>
      </c>
      <c r="BH36">
        <v>38850</v>
      </c>
      <c r="BI36">
        <v>33170</v>
      </c>
      <c r="BJ36">
        <v>29800</v>
      </c>
      <c r="BK36">
        <v>29390</v>
      </c>
      <c r="BL36">
        <v>32230</v>
      </c>
      <c r="BM36">
        <v>31510</v>
      </c>
    </row>
    <row r="37" spans="1:65">
      <c r="A37" t="s">
        <v>151</v>
      </c>
      <c r="B37" t="s">
        <v>365</v>
      </c>
      <c r="C37" t="s">
        <v>2244</v>
      </c>
      <c r="D37" t="s">
        <v>2245</v>
      </c>
      <c r="AA37">
        <v>270</v>
      </c>
      <c r="AB37">
        <v>250</v>
      </c>
      <c r="AC37">
        <v>280</v>
      </c>
      <c r="AD37">
        <v>280</v>
      </c>
      <c r="AE37">
        <v>330</v>
      </c>
      <c r="AF37">
        <v>470</v>
      </c>
      <c r="AG37">
        <v>520</v>
      </c>
      <c r="AH37">
        <v>550</v>
      </c>
      <c r="AI37">
        <v>560</v>
      </c>
      <c r="AJ37">
        <v>480</v>
      </c>
      <c r="AK37">
        <v>450</v>
      </c>
      <c r="AL37">
        <v>420</v>
      </c>
      <c r="AM37">
        <v>450</v>
      </c>
      <c r="AN37">
        <v>460</v>
      </c>
      <c r="AO37">
        <v>510</v>
      </c>
      <c r="AP37">
        <v>550</v>
      </c>
      <c r="AQ37">
        <v>530</v>
      </c>
      <c r="AR37">
        <v>560</v>
      </c>
      <c r="AS37">
        <v>700</v>
      </c>
      <c r="AT37">
        <v>750</v>
      </c>
      <c r="AU37">
        <v>810</v>
      </c>
      <c r="AV37">
        <v>910</v>
      </c>
      <c r="AW37">
        <v>1030</v>
      </c>
      <c r="AX37">
        <v>1200</v>
      </c>
      <c r="AY37">
        <v>1330</v>
      </c>
      <c r="AZ37">
        <v>1640</v>
      </c>
      <c r="BA37">
        <v>1770</v>
      </c>
      <c r="BB37">
        <v>1860</v>
      </c>
      <c r="BC37">
        <v>2040</v>
      </c>
      <c r="BD37">
        <v>2240</v>
      </c>
      <c r="BE37">
        <v>2390</v>
      </c>
      <c r="BF37">
        <v>2410</v>
      </c>
      <c r="BG37">
        <v>2460</v>
      </c>
      <c r="BH37">
        <v>2520</v>
      </c>
      <c r="BI37">
        <v>2650</v>
      </c>
      <c r="BJ37">
        <v>2800</v>
      </c>
      <c r="BK37">
        <v>2970</v>
      </c>
      <c r="BL37">
        <v>3150</v>
      </c>
      <c r="BM37">
        <v>2840</v>
      </c>
    </row>
    <row r="38" spans="1:65">
      <c r="A38" t="s">
        <v>199</v>
      </c>
      <c r="B38" t="s">
        <v>414</v>
      </c>
      <c r="C38" t="s">
        <v>2244</v>
      </c>
      <c r="D38" t="s">
        <v>2245</v>
      </c>
      <c r="G38">
        <v>80</v>
      </c>
      <c r="H38">
        <v>80</v>
      </c>
      <c r="I38">
        <v>90</v>
      </c>
      <c r="J38">
        <v>90</v>
      </c>
      <c r="K38">
        <v>100</v>
      </c>
      <c r="L38">
        <v>100</v>
      </c>
      <c r="M38">
        <v>120</v>
      </c>
      <c r="N38">
        <v>140</v>
      </c>
      <c r="O38">
        <v>160</v>
      </c>
      <c r="P38">
        <v>200</v>
      </c>
      <c r="Q38">
        <v>260</v>
      </c>
      <c r="R38">
        <v>350</v>
      </c>
      <c r="S38">
        <v>440</v>
      </c>
      <c r="T38">
        <v>520</v>
      </c>
      <c r="U38">
        <v>540</v>
      </c>
      <c r="V38">
        <v>580</v>
      </c>
      <c r="W38">
        <v>690</v>
      </c>
      <c r="X38">
        <v>890</v>
      </c>
      <c r="Y38">
        <v>1110</v>
      </c>
      <c r="Z38">
        <v>1340</v>
      </c>
      <c r="AA38">
        <v>1290</v>
      </c>
      <c r="AB38">
        <v>1170</v>
      </c>
      <c r="AC38">
        <v>1090</v>
      </c>
      <c r="AD38">
        <v>1070</v>
      </c>
      <c r="AE38">
        <v>1150</v>
      </c>
      <c r="AF38">
        <v>1340</v>
      </c>
      <c r="AG38">
        <v>1980</v>
      </c>
      <c r="AH38">
        <v>2320</v>
      </c>
      <c r="AI38">
        <v>2720</v>
      </c>
      <c r="AJ38">
        <v>3070</v>
      </c>
      <c r="AK38">
        <v>3270</v>
      </c>
      <c r="AL38">
        <v>3330</v>
      </c>
      <c r="AM38">
        <v>2960</v>
      </c>
      <c r="AN38">
        <v>3260</v>
      </c>
      <c r="AO38">
        <v>3180</v>
      </c>
      <c r="AP38">
        <v>3330</v>
      </c>
      <c r="AQ38">
        <v>3210</v>
      </c>
      <c r="AR38">
        <v>3150</v>
      </c>
      <c r="AS38">
        <v>3170</v>
      </c>
      <c r="AT38">
        <v>3260</v>
      </c>
      <c r="AU38">
        <v>2930</v>
      </c>
      <c r="AV38">
        <v>3370</v>
      </c>
      <c r="AW38">
        <v>3920</v>
      </c>
      <c r="AX38">
        <v>4930</v>
      </c>
      <c r="AY38">
        <v>5440</v>
      </c>
      <c r="AZ38">
        <v>5730</v>
      </c>
      <c r="BA38">
        <v>5740</v>
      </c>
      <c r="BB38">
        <v>5330</v>
      </c>
      <c r="BC38">
        <v>5610</v>
      </c>
      <c r="BD38">
        <v>6610</v>
      </c>
      <c r="BE38">
        <v>7250</v>
      </c>
      <c r="BF38">
        <v>7570</v>
      </c>
      <c r="BG38">
        <v>7700</v>
      </c>
      <c r="BH38">
        <v>6780</v>
      </c>
      <c r="BI38">
        <v>6950</v>
      </c>
      <c r="BJ38">
        <v>7050</v>
      </c>
      <c r="BK38">
        <v>7510</v>
      </c>
      <c r="BL38">
        <v>7510</v>
      </c>
      <c r="BM38">
        <v>6640</v>
      </c>
    </row>
    <row r="39" spans="1:65">
      <c r="A39" t="s">
        <v>99</v>
      </c>
      <c r="B39" t="s">
        <v>312</v>
      </c>
      <c r="C39" t="s">
        <v>2244</v>
      </c>
      <c r="D39" t="s">
        <v>2245</v>
      </c>
      <c r="G39">
        <v>80</v>
      </c>
      <c r="H39">
        <v>80</v>
      </c>
      <c r="I39">
        <v>80</v>
      </c>
      <c r="J39">
        <v>90</v>
      </c>
      <c r="K39">
        <v>90</v>
      </c>
      <c r="L39">
        <v>100</v>
      </c>
      <c r="M39">
        <v>100</v>
      </c>
      <c r="N39">
        <v>110</v>
      </c>
      <c r="O39">
        <v>110</v>
      </c>
      <c r="P39">
        <v>110</v>
      </c>
      <c r="Q39">
        <v>120</v>
      </c>
      <c r="R39">
        <v>140</v>
      </c>
      <c r="S39">
        <v>170</v>
      </c>
      <c r="T39">
        <v>190</v>
      </c>
      <c r="U39">
        <v>210</v>
      </c>
      <c r="V39">
        <v>240</v>
      </c>
      <c r="W39">
        <v>280</v>
      </c>
      <c r="X39">
        <v>310</v>
      </c>
      <c r="Y39">
        <v>360</v>
      </c>
      <c r="Z39">
        <v>350</v>
      </c>
      <c r="AA39">
        <v>340</v>
      </c>
      <c r="AB39">
        <v>270</v>
      </c>
      <c r="AC39">
        <v>270</v>
      </c>
      <c r="AD39">
        <v>290</v>
      </c>
      <c r="AE39">
        <v>340</v>
      </c>
      <c r="AF39">
        <v>420</v>
      </c>
      <c r="AG39">
        <v>490</v>
      </c>
      <c r="AH39">
        <v>490</v>
      </c>
      <c r="AI39">
        <v>480</v>
      </c>
      <c r="AJ39">
        <v>480</v>
      </c>
      <c r="AK39">
        <v>470</v>
      </c>
      <c r="AL39">
        <v>450</v>
      </c>
      <c r="AM39">
        <v>370</v>
      </c>
      <c r="AN39">
        <v>350</v>
      </c>
      <c r="AO39">
        <v>300</v>
      </c>
      <c r="AP39">
        <v>300</v>
      </c>
      <c r="AQ39">
        <v>280</v>
      </c>
      <c r="AR39">
        <v>280</v>
      </c>
      <c r="AS39">
        <v>260</v>
      </c>
      <c r="AT39">
        <v>260</v>
      </c>
      <c r="AU39">
        <v>250</v>
      </c>
      <c r="AV39">
        <v>260</v>
      </c>
      <c r="AW39">
        <v>300</v>
      </c>
      <c r="AX39">
        <v>340</v>
      </c>
      <c r="AY39">
        <v>350</v>
      </c>
      <c r="AZ39">
        <v>380</v>
      </c>
      <c r="BA39">
        <v>420</v>
      </c>
      <c r="BB39">
        <v>480</v>
      </c>
      <c r="BC39">
        <v>510</v>
      </c>
      <c r="BD39">
        <v>530</v>
      </c>
      <c r="BE39">
        <v>570</v>
      </c>
      <c r="BF39">
        <v>380</v>
      </c>
      <c r="BG39">
        <v>390</v>
      </c>
      <c r="BH39">
        <v>400</v>
      </c>
      <c r="BI39">
        <v>410</v>
      </c>
      <c r="BJ39">
        <v>440</v>
      </c>
      <c r="BK39">
        <v>490</v>
      </c>
      <c r="BL39">
        <v>520</v>
      </c>
      <c r="BM39">
        <v>500</v>
      </c>
    </row>
    <row r="40" spans="1:65">
      <c r="A40" t="s">
        <v>64</v>
      </c>
      <c r="B40" t="s">
        <v>455</v>
      </c>
      <c r="C40" t="s">
        <v>2244</v>
      </c>
      <c r="D40" t="s">
        <v>2245</v>
      </c>
      <c r="AR40">
        <v>21210</v>
      </c>
      <c r="AS40">
        <v>22620</v>
      </c>
      <c r="AT40">
        <v>23030</v>
      </c>
      <c r="AU40">
        <v>23610</v>
      </c>
      <c r="AV40">
        <v>25860</v>
      </c>
      <c r="AW40">
        <v>29900</v>
      </c>
      <c r="AX40">
        <v>34810</v>
      </c>
      <c r="AY40">
        <v>38510</v>
      </c>
      <c r="AZ40">
        <v>43090</v>
      </c>
      <c r="BA40">
        <v>45650</v>
      </c>
      <c r="BB40">
        <v>43230</v>
      </c>
      <c r="BC40">
        <v>44490</v>
      </c>
      <c r="BD40">
        <v>47190</v>
      </c>
      <c r="BE40">
        <v>51080</v>
      </c>
      <c r="BF40">
        <v>52800</v>
      </c>
      <c r="BG40">
        <v>52200</v>
      </c>
      <c r="BH40">
        <v>47590</v>
      </c>
      <c r="BI40">
        <v>43890</v>
      </c>
      <c r="BJ40">
        <v>42900</v>
      </c>
      <c r="BK40">
        <v>45080</v>
      </c>
      <c r="BL40">
        <v>46540</v>
      </c>
      <c r="BM40">
        <v>43540</v>
      </c>
    </row>
    <row r="41" spans="1:65">
      <c r="A41" t="s">
        <v>2252</v>
      </c>
      <c r="B41" t="s">
        <v>2253</v>
      </c>
      <c r="C41" t="s">
        <v>2244</v>
      </c>
      <c r="D41" t="s">
        <v>2245</v>
      </c>
      <c r="AK41">
        <v>2240.1361905520548</v>
      </c>
      <c r="AL41">
        <v>2442.0702117360161</v>
      </c>
      <c r="AM41">
        <v>2718.0234311089202</v>
      </c>
      <c r="AN41">
        <v>3176.0101056260978</v>
      </c>
      <c r="AO41">
        <v>3629.7618981341157</v>
      </c>
      <c r="AP41">
        <v>3828.0637178995444</v>
      </c>
      <c r="AQ41">
        <v>3868.2944025910188</v>
      </c>
      <c r="AR41">
        <v>3914.3440827757167</v>
      </c>
      <c r="AS41">
        <v>4089.1593429378886</v>
      </c>
      <c r="AT41">
        <v>4169.7950321818062</v>
      </c>
      <c r="AU41">
        <v>4429.5807586936062</v>
      </c>
      <c r="AV41">
        <v>5188.4688946546657</v>
      </c>
      <c r="AW41">
        <v>6381.5331758890661</v>
      </c>
      <c r="AX41">
        <v>7741.508360271504</v>
      </c>
      <c r="AY41">
        <v>8871.0611355535475</v>
      </c>
      <c r="AZ41">
        <v>10310.350927143725</v>
      </c>
      <c r="BA41">
        <v>12410.744131309302</v>
      </c>
      <c r="BB41">
        <v>12770.635293588999</v>
      </c>
      <c r="BC41">
        <v>12820.350008780641</v>
      </c>
      <c r="BD41">
        <v>12940.808102716119</v>
      </c>
      <c r="BE41">
        <v>13086.74570684947</v>
      </c>
      <c r="BF41">
        <v>13429.644714598309</v>
      </c>
      <c r="BG41">
        <v>13566.644581418783</v>
      </c>
      <c r="BH41">
        <v>13254.528515417711</v>
      </c>
      <c r="BI41">
        <v>12863.936957097727</v>
      </c>
      <c r="BJ41">
        <v>13085.333283861621</v>
      </c>
      <c r="BK41">
        <v>14661.749068506249</v>
      </c>
      <c r="BL41">
        <v>15928.315953575106</v>
      </c>
      <c r="BM41">
        <v>15794.580019700767</v>
      </c>
    </row>
    <row r="42" spans="1:65">
      <c r="A42" t="s">
        <v>67</v>
      </c>
      <c r="B42" t="s">
        <v>469</v>
      </c>
      <c r="C42" t="s">
        <v>2244</v>
      </c>
      <c r="D42" t="s">
        <v>2245</v>
      </c>
      <c r="AN42">
        <v>46740</v>
      </c>
      <c r="AO42">
        <v>49730</v>
      </c>
      <c r="AP42">
        <v>49340</v>
      </c>
      <c r="AQ42">
        <v>46200</v>
      </c>
      <c r="AR42">
        <v>44280</v>
      </c>
      <c r="AS42">
        <v>44680</v>
      </c>
      <c r="AT42">
        <v>42110</v>
      </c>
      <c r="AU42">
        <v>40760</v>
      </c>
      <c r="AV42">
        <v>46780</v>
      </c>
      <c r="AW42">
        <v>55200</v>
      </c>
      <c r="AX42">
        <v>63080</v>
      </c>
      <c r="AY42">
        <v>65590</v>
      </c>
      <c r="AZ42">
        <v>64480</v>
      </c>
      <c r="BA42">
        <v>65260</v>
      </c>
      <c r="BB42">
        <v>72470</v>
      </c>
      <c r="BC42">
        <v>79850</v>
      </c>
      <c r="BD42">
        <v>82280</v>
      </c>
      <c r="BE42">
        <v>87770</v>
      </c>
      <c r="BF42">
        <v>91700</v>
      </c>
      <c r="BG42">
        <v>89400</v>
      </c>
      <c r="BH42">
        <v>87960</v>
      </c>
      <c r="BI42">
        <v>84420</v>
      </c>
      <c r="BJ42">
        <v>81880</v>
      </c>
      <c r="BK42">
        <v>83280</v>
      </c>
      <c r="BL42">
        <v>84260</v>
      </c>
      <c r="BM42">
        <v>82620</v>
      </c>
    </row>
    <row r="43" spans="1:65">
      <c r="A43" t="s">
        <v>512</v>
      </c>
      <c r="B43" t="s">
        <v>513</v>
      </c>
      <c r="C43" t="s">
        <v>2244</v>
      </c>
      <c r="D43" t="s">
        <v>2245</v>
      </c>
      <c r="AS43">
        <v>42510</v>
      </c>
      <c r="AT43">
        <v>41460</v>
      </c>
      <c r="AU43">
        <v>40720</v>
      </c>
      <c r="AV43">
        <v>43340</v>
      </c>
      <c r="AW43">
        <v>50340</v>
      </c>
      <c r="AX43">
        <v>56280</v>
      </c>
      <c r="AY43">
        <v>60750</v>
      </c>
      <c r="AZ43">
        <v>66220</v>
      </c>
    </row>
    <row r="44" spans="1:65">
      <c r="A44" t="s">
        <v>232</v>
      </c>
      <c r="B44" t="s">
        <v>507</v>
      </c>
      <c r="C44" t="s">
        <v>2244</v>
      </c>
      <c r="D44" t="s">
        <v>2245</v>
      </c>
      <c r="G44">
        <v>580</v>
      </c>
      <c r="H44">
        <v>630</v>
      </c>
      <c r="I44">
        <v>670</v>
      </c>
      <c r="J44">
        <v>670</v>
      </c>
      <c r="K44">
        <v>750</v>
      </c>
      <c r="L44">
        <v>760</v>
      </c>
      <c r="M44">
        <v>780</v>
      </c>
      <c r="N44">
        <v>830</v>
      </c>
      <c r="O44">
        <v>880</v>
      </c>
      <c r="P44">
        <v>1060</v>
      </c>
      <c r="Q44">
        <v>1150</v>
      </c>
      <c r="R44">
        <v>1360</v>
      </c>
      <c r="S44">
        <v>1650</v>
      </c>
      <c r="T44">
        <v>1150</v>
      </c>
      <c r="U44">
        <v>1010</v>
      </c>
      <c r="V44">
        <v>1060</v>
      </c>
      <c r="W44">
        <v>1360</v>
      </c>
      <c r="X44">
        <v>1790</v>
      </c>
      <c r="Y44">
        <v>2300</v>
      </c>
      <c r="Z44">
        <v>2780</v>
      </c>
      <c r="AA44">
        <v>2280</v>
      </c>
      <c r="AB44">
        <v>1820</v>
      </c>
      <c r="AC44">
        <v>1590</v>
      </c>
      <c r="AD44">
        <v>1430</v>
      </c>
      <c r="AE44">
        <v>1470</v>
      </c>
      <c r="AF44">
        <v>1660</v>
      </c>
      <c r="AG44">
        <v>1930</v>
      </c>
      <c r="AH44">
        <v>2200</v>
      </c>
      <c r="AI44">
        <v>2350</v>
      </c>
      <c r="AJ44">
        <v>2600</v>
      </c>
      <c r="AK44">
        <v>3120</v>
      </c>
      <c r="AL44">
        <v>3440</v>
      </c>
      <c r="AM44">
        <v>3730</v>
      </c>
      <c r="AN44">
        <v>4420</v>
      </c>
      <c r="AO44">
        <v>5070</v>
      </c>
      <c r="AP44">
        <v>5590</v>
      </c>
      <c r="AQ44">
        <v>5490</v>
      </c>
      <c r="AR44">
        <v>5120</v>
      </c>
      <c r="AS44">
        <v>5060</v>
      </c>
      <c r="AT44">
        <v>4800</v>
      </c>
      <c r="AU44">
        <v>4540</v>
      </c>
      <c r="AV44">
        <v>4510</v>
      </c>
      <c r="AW44">
        <v>5190</v>
      </c>
      <c r="AX44">
        <v>6210</v>
      </c>
      <c r="AY44">
        <v>7340</v>
      </c>
      <c r="AZ44">
        <v>8690</v>
      </c>
      <c r="BA44">
        <v>10050</v>
      </c>
      <c r="BB44">
        <v>9950</v>
      </c>
      <c r="BC44">
        <v>10750</v>
      </c>
      <c r="BD44">
        <v>12190</v>
      </c>
      <c r="BE44">
        <v>14270</v>
      </c>
      <c r="BF44">
        <v>15160</v>
      </c>
      <c r="BG44">
        <v>14940</v>
      </c>
      <c r="BH44">
        <v>14130</v>
      </c>
      <c r="BI44">
        <v>13370</v>
      </c>
      <c r="BJ44">
        <v>13270</v>
      </c>
      <c r="BK44">
        <v>14550</v>
      </c>
      <c r="BL44">
        <v>14990</v>
      </c>
      <c r="BM44">
        <v>13470</v>
      </c>
    </row>
    <row r="45" spans="1:65">
      <c r="A45" t="s">
        <v>224</v>
      </c>
      <c r="B45" t="s">
        <v>439</v>
      </c>
      <c r="C45" t="s">
        <v>2244</v>
      </c>
      <c r="D45" t="s">
        <v>2245</v>
      </c>
      <c r="G45">
        <v>70</v>
      </c>
      <c r="H45">
        <v>80</v>
      </c>
      <c r="I45">
        <v>90</v>
      </c>
      <c r="J45">
        <v>100</v>
      </c>
      <c r="K45">
        <v>110</v>
      </c>
      <c r="L45">
        <v>100</v>
      </c>
      <c r="M45">
        <v>90</v>
      </c>
      <c r="N45">
        <v>110</v>
      </c>
      <c r="O45">
        <v>120</v>
      </c>
      <c r="P45">
        <v>130</v>
      </c>
      <c r="Q45">
        <v>130</v>
      </c>
      <c r="R45">
        <v>160</v>
      </c>
      <c r="S45">
        <v>180</v>
      </c>
      <c r="T45">
        <v>200</v>
      </c>
      <c r="U45">
        <v>190</v>
      </c>
      <c r="V45">
        <v>190</v>
      </c>
      <c r="W45">
        <v>200</v>
      </c>
      <c r="X45">
        <v>210</v>
      </c>
      <c r="Y45">
        <v>220</v>
      </c>
      <c r="Z45">
        <v>220</v>
      </c>
      <c r="AA45">
        <v>220</v>
      </c>
      <c r="AB45">
        <v>220</v>
      </c>
      <c r="AC45">
        <v>250</v>
      </c>
      <c r="AD45">
        <v>290</v>
      </c>
      <c r="AE45">
        <v>310</v>
      </c>
      <c r="AF45">
        <v>320</v>
      </c>
      <c r="AG45">
        <v>330</v>
      </c>
      <c r="AH45">
        <v>320</v>
      </c>
      <c r="AI45">
        <v>330</v>
      </c>
      <c r="AJ45">
        <v>350</v>
      </c>
      <c r="AK45">
        <v>390</v>
      </c>
      <c r="AL45">
        <v>420</v>
      </c>
      <c r="AM45">
        <v>470</v>
      </c>
      <c r="AN45">
        <v>540</v>
      </c>
      <c r="AO45">
        <v>650</v>
      </c>
      <c r="AP45">
        <v>750</v>
      </c>
      <c r="AQ45">
        <v>800</v>
      </c>
      <c r="AR45">
        <v>860</v>
      </c>
      <c r="AS45">
        <v>940</v>
      </c>
      <c r="AT45">
        <v>1010</v>
      </c>
      <c r="AU45">
        <v>1110</v>
      </c>
      <c r="AV45">
        <v>1280</v>
      </c>
      <c r="AW45">
        <v>1510</v>
      </c>
      <c r="AX45">
        <v>1760</v>
      </c>
      <c r="AY45">
        <v>2060</v>
      </c>
      <c r="AZ45">
        <v>2510</v>
      </c>
      <c r="BA45">
        <v>3100</v>
      </c>
      <c r="BB45">
        <v>3680</v>
      </c>
      <c r="BC45">
        <v>4340</v>
      </c>
      <c r="BD45">
        <v>5040</v>
      </c>
      <c r="BE45">
        <v>5910</v>
      </c>
      <c r="BF45">
        <v>6740</v>
      </c>
      <c r="BG45">
        <v>7470</v>
      </c>
      <c r="BH45">
        <v>7890</v>
      </c>
      <c r="BI45">
        <v>8210</v>
      </c>
      <c r="BJ45">
        <v>8670</v>
      </c>
      <c r="BK45">
        <v>9540</v>
      </c>
      <c r="BL45">
        <v>10310</v>
      </c>
      <c r="BM45">
        <v>10550</v>
      </c>
    </row>
    <row r="46" spans="1:65">
      <c r="A46" t="s">
        <v>651</v>
      </c>
      <c r="B46" t="s">
        <v>360</v>
      </c>
      <c r="C46" t="s">
        <v>2244</v>
      </c>
      <c r="D46" t="s">
        <v>2245</v>
      </c>
      <c r="G46">
        <v>160</v>
      </c>
      <c r="H46">
        <v>180</v>
      </c>
      <c r="I46">
        <v>220</v>
      </c>
      <c r="J46">
        <v>210</v>
      </c>
      <c r="K46">
        <v>230</v>
      </c>
      <c r="L46">
        <v>240</v>
      </c>
      <c r="M46">
        <v>270</v>
      </c>
      <c r="N46">
        <v>280</v>
      </c>
      <c r="O46">
        <v>300</v>
      </c>
      <c r="P46">
        <v>300</v>
      </c>
      <c r="Q46">
        <v>320</v>
      </c>
      <c r="R46">
        <v>380</v>
      </c>
      <c r="S46">
        <v>480</v>
      </c>
      <c r="T46">
        <v>600</v>
      </c>
      <c r="U46">
        <v>680</v>
      </c>
      <c r="V46">
        <v>780</v>
      </c>
      <c r="W46">
        <v>950</v>
      </c>
      <c r="X46">
        <v>1130</v>
      </c>
      <c r="Y46">
        <v>1160</v>
      </c>
      <c r="Z46">
        <v>1130</v>
      </c>
      <c r="AA46">
        <v>960</v>
      </c>
      <c r="AB46">
        <v>720</v>
      </c>
      <c r="AC46">
        <v>660</v>
      </c>
      <c r="AD46">
        <v>640</v>
      </c>
      <c r="AE46">
        <v>730</v>
      </c>
      <c r="AF46">
        <v>810</v>
      </c>
      <c r="AG46">
        <v>910</v>
      </c>
      <c r="AH46">
        <v>830</v>
      </c>
      <c r="AI46">
        <v>780</v>
      </c>
      <c r="AJ46">
        <v>760</v>
      </c>
      <c r="AK46">
        <v>780</v>
      </c>
      <c r="AL46">
        <v>750</v>
      </c>
      <c r="AM46">
        <v>680</v>
      </c>
      <c r="AN46">
        <v>700</v>
      </c>
      <c r="AO46">
        <v>540</v>
      </c>
      <c r="AP46">
        <v>670</v>
      </c>
      <c r="AQ46">
        <v>760</v>
      </c>
      <c r="AR46">
        <v>730</v>
      </c>
      <c r="AS46">
        <v>650</v>
      </c>
      <c r="AT46">
        <v>600</v>
      </c>
      <c r="AU46">
        <v>570</v>
      </c>
      <c r="AV46">
        <v>630</v>
      </c>
      <c r="AW46">
        <v>770</v>
      </c>
      <c r="AX46">
        <v>930</v>
      </c>
      <c r="AY46">
        <v>940</v>
      </c>
      <c r="AZ46">
        <v>970</v>
      </c>
      <c r="BA46">
        <v>1090</v>
      </c>
      <c r="BB46">
        <v>1190</v>
      </c>
      <c r="BC46">
        <v>1230</v>
      </c>
      <c r="BD46">
        <v>1110</v>
      </c>
      <c r="BE46">
        <v>1240</v>
      </c>
      <c r="BF46">
        <v>1350</v>
      </c>
      <c r="BG46">
        <v>1450</v>
      </c>
      <c r="BH46">
        <v>2050</v>
      </c>
      <c r="BI46">
        <v>2050</v>
      </c>
      <c r="BJ46">
        <v>2030</v>
      </c>
      <c r="BK46">
        <v>2180</v>
      </c>
      <c r="BL46">
        <v>2290</v>
      </c>
      <c r="BM46">
        <v>2280</v>
      </c>
    </row>
    <row r="47" spans="1:65">
      <c r="A47" t="s">
        <v>133</v>
      </c>
      <c r="B47" t="s">
        <v>347</v>
      </c>
      <c r="C47" t="s">
        <v>2244</v>
      </c>
      <c r="D47" t="s">
        <v>2245</v>
      </c>
      <c r="L47">
        <v>110</v>
      </c>
      <c r="M47">
        <v>130</v>
      </c>
      <c r="N47">
        <v>160</v>
      </c>
      <c r="O47">
        <v>160</v>
      </c>
      <c r="P47">
        <v>170</v>
      </c>
      <c r="Q47">
        <v>190</v>
      </c>
      <c r="R47">
        <v>220</v>
      </c>
      <c r="S47">
        <v>280</v>
      </c>
      <c r="T47">
        <v>360</v>
      </c>
      <c r="U47">
        <v>340</v>
      </c>
      <c r="V47">
        <v>340</v>
      </c>
      <c r="W47">
        <v>520</v>
      </c>
      <c r="X47">
        <v>640</v>
      </c>
      <c r="Y47">
        <v>640</v>
      </c>
      <c r="Z47">
        <v>800</v>
      </c>
      <c r="AA47">
        <v>780</v>
      </c>
      <c r="AB47">
        <v>700</v>
      </c>
      <c r="AC47">
        <v>720</v>
      </c>
      <c r="AD47">
        <v>780</v>
      </c>
      <c r="AE47">
        <v>950</v>
      </c>
      <c r="AF47">
        <v>1110</v>
      </c>
      <c r="AG47">
        <v>1180</v>
      </c>
      <c r="AH47">
        <v>1080</v>
      </c>
      <c r="AI47">
        <v>970</v>
      </c>
      <c r="AJ47">
        <v>900</v>
      </c>
      <c r="AK47">
        <v>930</v>
      </c>
      <c r="AL47">
        <v>950</v>
      </c>
      <c r="AM47">
        <v>850</v>
      </c>
      <c r="AN47">
        <v>830</v>
      </c>
      <c r="AO47">
        <v>740</v>
      </c>
      <c r="AP47">
        <v>760</v>
      </c>
      <c r="AQ47">
        <v>740</v>
      </c>
      <c r="AR47">
        <v>730</v>
      </c>
      <c r="AS47">
        <v>700</v>
      </c>
      <c r="AT47">
        <v>670</v>
      </c>
      <c r="AU47">
        <v>670</v>
      </c>
      <c r="AV47">
        <v>790</v>
      </c>
      <c r="AW47">
        <v>990</v>
      </c>
      <c r="AX47">
        <v>1100</v>
      </c>
      <c r="AY47">
        <v>1160</v>
      </c>
      <c r="AZ47">
        <v>1200</v>
      </c>
      <c r="BA47">
        <v>1310</v>
      </c>
      <c r="BB47">
        <v>1410</v>
      </c>
      <c r="BC47">
        <v>1400</v>
      </c>
      <c r="BD47">
        <v>1420</v>
      </c>
      <c r="BE47">
        <v>1420</v>
      </c>
      <c r="BF47">
        <v>1480</v>
      </c>
      <c r="BG47">
        <v>1540</v>
      </c>
      <c r="BH47">
        <v>1500</v>
      </c>
      <c r="BI47">
        <v>1440</v>
      </c>
      <c r="BJ47">
        <v>1390</v>
      </c>
      <c r="BK47">
        <v>1490</v>
      </c>
      <c r="BL47">
        <v>1540</v>
      </c>
      <c r="BM47">
        <v>1520</v>
      </c>
    </row>
    <row r="48" spans="1:65">
      <c r="A48" t="s">
        <v>100</v>
      </c>
      <c r="B48" t="s">
        <v>313</v>
      </c>
      <c r="C48" t="s">
        <v>2244</v>
      </c>
      <c r="D48" t="s">
        <v>2245</v>
      </c>
      <c r="AM48">
        <v>160</v>
      </c>
      <c r="AN48">
        <v>150</v>
      </c>
      <c r="AO48">
        <v>130</v>
      </c>
      <c r="AP48">
        <v>120</v>
      </c>
      <c r="AQ48">
        <v>120</v>
      </c>
      <c r="AR48">
        <v>110</v>
      </c>
      <c r="AS48">
        <v>130</v>
      </c>
      <c r="AT48">
        <v>140</v>
      </c>
      <c r="AU48">
        <v>190</v>
      </c>
      <c r="AV48">
        <v>170</v>
      </c>
      <c r="AW48">
        <v>190</v>
      </c>
      <c r="AX48">
        <v>200</v>
      </c>
      <c r="AY48">
        <v>230</v>
      </c>
      <c r="AZ48">
        <v>260</v>
      </c>
      <c r="BA48">
        <v>290</v>
      </c>
      <c r="BB48">
        <v>300</v>
      </c>
      <c r="BC48">
        <v>320</v>
      </c>
      <c r="BD48">
        <v>340</v>
      </c>
      <c r="BE48">
        <v>380</v>
      </c>
      <c r="BF48">
        <v>410</v>
      </c>
      <c r="BG48">
        <v>440</v>
      </c>
      <c r="BH48">
        <v>460</v>
      </c>
      <c r="BI48">
        <v>470</v>
      </c>
      <c r="BJ48">
        <v>460</v>
      </c>
      <c r="BK48">
        <v>500</v>
      </c>
      <c r="BL48">
        <v>530</v>
      </c>
      <c r="BM48">
        <v>550</v>
      </c>
    </row>
    <row r="49" spans="1:65">
      <c r="A49" t="s">
        <v>134</v>
      </c>
      <c r="B49" t="s">
        <v>348</v>
      </c>
      <c r="C49" t="s">
        <v>2244</v>
      </c>
      <c r="D49" t="s">
        <v>2245</v>
      </c>
      <c r="G49">
        <v>150</v>
      </c>
      <c r="H49">
        <v>150</v>
      </c>
      <c r="I49">
        <v>160</v>
      </c>
      <c r="J49">
        <v>170</v>
      </c>
      <c r="K49">
        <v>180</v>
      </c>
      <c r="L49">
        <v>190</v>
      </c>
      <c r="M49">
        <v>200</v>
      </c>
      <c r="N49">
        <v>220</v>
      </c>
      <c r="O49">
        <v>220</v>
      </c>
      <c r="P49">
        <v>230</v>
      </c>
      <c r="Q49">
        <v>270</v>
      </c>
      <c r="R49">
        <v>340</v>
      </c>
      <c r="S49">
        <v>420</v>
      </c>
      <c r="T49">
        <v>500</v>
      </c>
      <c r="U49">
        <v>480</v>
      </c>
      <c r="V49">
        <v>450</v>
      </c>
      <c r="W49">
        <v>490</v>
      </c>
      <c r="X49">
        <v>610</v>
      </c>
      <c r="Y49">
        <v>830</v>
      </c>
      <c r="Z49">
        <v>1090</v>
      </c>
      <c r="AA49">
        <v>1220</v>
      </c>
      <c r="AB49">
        <v>1080</v>
      </c>
      <c r="AC49">
        <v>1060</v>
      </c>
      <c r="AD49">
        <v>990</v>
      </c>
      <c r="AE49">
        <v>980</v>
      </c>
      <c r="AF49">
        <v>1050</v>
      </c>
      <c r="AG49">
        <v>930</v>
      </c>
      <c r="AH49">
        <v>940</v>
      </c>
      <c r="AI49">
        <v>930</v>
      </c>
      <c r="AJ49">
        <v>960</v>
      </c>
      <c r="AK49">
        <v>1060</v>
      </c>
      <c r="AL49">
        <v>910</v>
      </c>
      <c r="AM49">
        <v>760</v>
      </c>
      <c r="AN49">
        <v>480</v>
      </c>
      <c r="AO49">
        <v>470</v>
      </c>
      <c r="AP49">
        <v>590</v>
      </c>
      <c r="AQ49">
        <v>580</v>
      </c>
      <c r="AR49">
        <v>490</v>
      </c>
      <c r="AS49">
        <v>570</v>
      </c>
      <c r="AT49">
        <v>630</v>
      </c>
      <c r="AU49">
        <v>670</v>
      </c>
      <c r="AV49">
        <v>700</v>
      </c>
      <c r="AW49">
        <v>770</v>
      </c>
      <c r="AX49">
        <v>1120</v>
      </c>
      <c r="AY49">
        <v>1600</v>
      </c>
      <c r="AZ49">
        <v>1700</v>
      </c>
      <c r="BA49">
        <v>2140</v>
      </c>
      <c r="BB49">
        <v>2480</v>
      </c>
      <c r="BC49">
        <v>2750</v>
      </c>
      <c r="BD49">
        <v>2710</v>
      </c>
      <c r="BE49">
        <v>3500</v>
      </c>
      <c r="BF49">
        <v>3740</v>
      </c>
      <c r="BG49">
        <v>3990</v>
      </c>
      <c r="BH49">
        <v>3090</v>
      </c>
      <c r="BI49">
        <v>2210</v>
      </c>
      <c r="BJ49">
        <v>1700</v>
      </c>
      <c r="BK49">
        <v>1790</v>
      </c>
      <c r="BL49">
        <v>1810</v>
      </c>
      <c r="BM49">
        <v>1770</v>
      </c>
    </row>
    <row r="50" spans="1:65">
      <c r="A50" t="s">
        <v>194</v>
      </c>
      <c r="B50" t="s">
        <v>409</v>
      </c>
      <c r="C50" t="s">
        <v>2244</v>
      </c>
      <c r="D50" t="s">
        <v>2245</v>
      </c>
      <c r="G50">
        <v>280</v>
      </c>
      <c r="H50">
        <v>280</v>
      </c>
      <c r="I50">
        <v>310</v>
      </c>
      <c r="J50">
        <v>310</v>
      </c>
      <c r="K50">
        <v>320</v>
      </c>
      <c r="L50">
        <v>300</v>
      </c>
      <c r="M50">
        <v>300</v>
      </c>
      <c r="N50">
        <v>320</v>
      </c>
      <c r="O50">
        <v>330</v>
      </c>
      <c r="P50">
        <v>360</v>
      </c>
      <c r="Q50">
        <v>390</v>
      </c>
      <c r="R50">
        <v>460</v>
      </c>
      <c r="S50">
        <v>550</v>
      </c>
      <c r="T50">
        <v>590</v>
      </c>
      <c r="U50">
        <v>620</v>
      </c>
      <c r="V50">
        <v>690</v>
      </c>
      <c r="W50">
        <v>850</v>
      </c>
      <c r="X50">
        <v>1060</v>
      </c>
      <c r="Y50">
        <v>1250</v>
      </c>
      <c r="Z50">
        <v>1350</v>
      </c>
      <c r="AA50">
        <v>1330</v>
      </c>
      <c r="AB50">
        <v>1280</v>
      </c>
      <c r="AC50">
        <v>1280</v>
      </c>
      <c r="AD50">
        <v>1210</v>
      </c>
      <c r="AE50">
        <v>1220</v>
      </c>
      <c r="AF50">
        <v>1240</v>
      </c>
      <c r="AG50">
        <v>1300</v>
      </c>
      <c r="AH50">
        <v>1250</v>
      </c>
      <c r="AI50">
        <v>1330</v>
      </c>
      <c r="AJ50">
        <v>1380</v>
      </c>
      <c r="AK50">
        <v>1560</v>
      </c>
      <c r="AL50">
        <v>1740</v>
      </c>
      <c r="AM50">
        <v>2050</v>
      </c>
      <c r="AN50">
        <v>2350</v>
      </c>
      <c r="AO50">
        <v>2540</v>
      </c>
      <c r="AP50">
        <v>2660</v>
      </c>
      <c r="AQ50">
        <v>2570</v>
      </c>
      <c r="AR50">
        <v>2330</v>
      </c>
      <c r="AS50">
        <v>2340</v>
      </c>
      <c r="AT50">
        <v>2330</v>
      </c>
      <c r="AU50">
        <v>2370</v>
      </c>
      <c r="AV50">
        <v>2370</v>
      </c>
      <c r="AW50">
        <v>2620</v>
      </c>
      <c r="AX50">
        <v>3000</v>
      </c>
      <c r="AY50">
        <v>3500</v>
      </c>
      <c r="AZ50">
        <v>4130</v>
      </c>
      <c r="BA50">
        <v>4710</v>
      </c>
      <c r="BB50">
        <v>5130</v>
      </c>
      <c r="BC50">
        <v>5620</v>
      </c>
      <c r="BD50">
        <v>6310</v>
      </c>
      <c r="BE50">
        <v>7290</v>
      </c>
      <c r="BF50">
        <v>7950</v>
      </c>
      <c r="BG50">
        <v>8200</v>
      </c>
      <c r="BH50">
        <v>7330</v>
      </c>
      <c r="BI50">
        <v>6460</v>
      </c>
      <c r="BJ50">
        <v>5930</v>
      </c>
      <c r="BK50">
        <v>6260</v>
      </c>
      <c r="BL50">
        <v>6570</v>
      </c>
      <c r="BM50">
        <v>5790</v>
      </c>
    </row>
    <row r="51" spans="1:65">
      <c r="A51" t="s">
        <v>129</v>
      </c>
      <c r="B51" t="s">
        <v>343</v>
      </c>
      <c r="C51" t="s">
        <v>2244</v>
      </c>
      <c r="D51" t="s">
        <v>2245</v>
      </c>
      <c r="AA51">
        <v>660</v>
      </c>
      <c r="AB51">
        <v>590</v>
      </c>
      <c r="AC51">
        <v>550</v>
      </c>
      <c r="AD51">
        <v>550</v>
      </c>
      <c r="AE51">
        <v>620</v>
      </c>
      <c r="AF51">
        <v>780</v>
      </c>
      <c r="AG51">
        <v>960</v>
      </c>
      <c r="AH51">
        <v>930</v>
      </c>
      <c r="AI51">
        <v>980</v>
      </c>
      <c r="AJ51">
        <v>950</v>
      </c>
      <c r="AK51">
        <v>1100</v>
      </c>
      <c r="AL51">
        <v>1080</v>
      </c>
      <c r="AM51">
        <v>870</v>
      </c>
      <c r="AN51">
        <v>850</v>
      </c>
      <c r="AO51">
        <v>780</v>
      </c>
      <c r="AP51">
        <v>790</v>
      </c>
      <c r="AQ51">
        <v>730</v>
      </c>
      <c r="AR51">
        <v>700</v>
      </c>
      <c r="AS51">
        <v>730</v>
      </c>
      <c r="AT51">
        <v>700</v>
      </c>
      <c r="AU51">
        <v>680</v>
      </c>
      <c r="AV51">
        <v>790</v>
      </c>
      <c r="AW51">
        <v>950</v>
      </c>
      <c r="AX51">
        <v>1090</v>
      </c>
      <c r="AY51">
        <v>1130</v>
      </c>
      <c r="AZ51">
        <v>1170</v>
      </c>
      <c r="BA51">
        <v>1290</v>
      </c>
      <c r="BB51">
        <v>1370</v>
      </c>
      <c r="BC51">
        <v>1380</v>
      </c>
      <c r="BD51">
        <v>1410</v>
      </c>
      <c r="BE51">
        <v>1420</v>
      </c>
      <c r="BF51">
        <v>1490</v>
      </c>
      <c r="BG51">
        <v>1490</v>
      </c>
      <c r="BH51">
        <v>1380</v>
      </c>
      <c r="BI51">
        <v>1320</v>
      </c>
      <c r="BJ51">
        <v>1280</v>
      </c>
      <c r="BK51">
        <v>1370</v>
      </c>
      <c r="BL51">
        <v>1380</v>
      </c>
      <c r="BM51">
        <v>1400</v>
      </c>
    </row>
    <row r="52" spans="1:65">
      <c r="A52" t="s">
        <v>155</v>
      </c>
      <c r="B52" t="s">
        <v>369</v>
      </c>
      <c r="C52" t="s">
        <v>2244</v>
      </c>
      <c r="D52" t="s">
        <v>2245</v>
      </c>
      <c r="AA52">
        <v>510</v>
      </c>
      <c r="AB52">
        <v>470</v>
      </c>
      <c r="AC52">
        <v>450</v>
      </c>
      <c r="AD52">
        <v>450</v>
      </c>
      <c r="AE52">
        <v>510</v>
      </c>
      <c r="AF52">
        <v>650</v>
      </c>
      <c r="AG52">
        <v>840</v>
      </c>
      <c r="AH52">
        <v>900</v>
      </c>
      <c r="AI52">
        <v>900</v>
      </c>
      <c r="AJ52">
        <v>910</v>
      </c>
      <c r="AK52">
        <v>1040</v>
      </c>
      <c r="AL52">
        <v>1190</v>
      </c>
      <c r="AM52">
        <v>1300</v>
      </c>
      <c r="AN52">
        <v>1410</v>
      </c>
      <c r="AO52">
        <v>1350</v>
      </c>
      <c r="AP52">
        <v>1350</v>
      </c>
      <c r="AQ52">
        <v>1330</v>
      </c>
      <c r="AR52">
        <v>1370</v>
      </c>
      <c r="AS52">
        <v>1410</v>
      </c>
      <c r="AT52">
        <v>1350</v>
      </c>
      <c r="AU52">
        <v>1300</v>
      </c>
      <c r="AV52">
        <v>1520</v>
      </c>
      <c r="AW52">
        <v>1900</v>
      </c>
      <c r="AX52">
        <v>2160</v>
      </c>
      <c r="AY52">
        <v>2300</v>
      </c>
      <c r="AZ52">
        <v>2820</v>
      </c>
      <c r="BA52">
        <v>3300</v>
      </c>
      <c r="BB52">
        <v>3480</v>
      </c>
      <c r="BC52">
        <v>3400</v>
      </c>
      <c r="BD52">
        <v>3510</v>
      </c>
      <c r="BE52">
        <v>3440</v>
      </c>
      <c r="BF52">
        <v>3490</v>
      </c>
      <c r="BG52">
        <v>3360</v>
      </c>
      <c r="BH52">
        <v>3210</v>
      </c>
      <c r="BI52">
        <v>3130</v>
      </c>
      <c r="BJ52">
        <v>3080</v>
      </c>
      <c r="BK52">
        <v>3400</v>
      </c>
      <c r="BL52">
        <v>3630</v>
      </c>
      <c r="BM52">
        <v>3060</v>
      </c>
    </row>
    <row r="53" spans="1:65">
      <c r="A53" t="s">
        <v>225</v>
      </c>
      <c r="B53" t="s">
        <v>440</v>
      </c>
      <c r="C53" t="s">
        <v>2244</v>
      </c>
      <c r="D53" t="s">
        <v>2245</v>
      </c>
      <c r="G53">
        <v>360</v>
      </c>
      <c r="H53">
        <v>350</v>
      </c>
      <c r="I53">
        <v>350</v>
      </c>
      <c r="J53">
        <v>370</v>
      </c>
      <c r="K53">
        <v>390</v>
      </c>
      <c r="L53">
        <v>410</v>
      </c>
      <c r="M53">
        <v>440</v>
      </c>
      <c r="N53">
        <v>470</v>
      </c>
      <c r="O53">
        <v>520</v>
      </c>
      <c r="P53">
        <v>570</v>
      </c>
      <c r="Q53">
        <v>630</v>
      </c>
      <c r="R53">
        <v>760</v>
      </c>
      <c r="S53">
        <v>880</v>
      </c>
      <c r="T53">
        <v>970</v>
      </c>
      <c r="U53">
        <v>1050</v>
      </c>
      <c r="V53">
        <v>1250</v>
      </c>
      <c r="W53">
        <v>1480</v>
      </c>
      <c r="X53">
        <v>1740</v>
      </c>
      <c r="Y53">
        <v>1950</v>
      </c>
      <c r="Z53">
        <v>1420</v>
      </c>
      <c r="AA53">
        <v>1020</v>
      </c>
      <c r="AB53">
        <v>940</v>
      </c>
      <c r="AC53">
        <v>1110</v>
      </c>
      <c r="AD53">
        <v>1240</v>
      </c>
      <c r="AE53">
        <v>1440</v>
      </c>
      <c r="AF53">
        <v>1600</v>
      </c>
      <c r="AG53">
        <v>1650</v>
      </c>
      <c r="AH53">
        <v>1660</v>
      </c>
      <c r="AI53">
        <v>1750</v>
      </c>
      <c r="AJ53">
        <v>1950</v>
      </c>
      <c r="AK53">
        <v>2350</v>
      </c>
      <c r="AL53">
        <v>2740</v>
      </c>
      <c r="AM53">
        <v>2980</v>
      </c>
      <c r="AN53">
        <v>3180</v>
      </c>
      <c r="AO53">
        <v>3240</v>
      </c>
      <c r="AP53">
        <v>3350</v>
      </c>
      <c r="AQ53">
        <v>3400</v>
      </c>
      <c r="AR53">
        <v>3460</v>
      </c>
      <c r="AS53">
        <v>3570</v>
      </c>
      <c r="AT53">
        <v>3670</v>
      </c>
      <c r="AU53">
        <v>3770</v>
      </c>
      <c r="AV53">
        <v>4030</v>
      </c>
      <c r="AW53">
        <v>4380</v>
      </c>
      <c r="AX53">
        <v>4640</v>
      </c>
      <c r="AY53">
        <v>5060</v>
      </c>
      <c r="AZ53">
        <v>5680</v>
      </c>
      <c r="BA53">
        <v>6410</v>
      </c>
      <c r="BB53">
        <v>6540</v>
      </c>
      <c r="BC53">
        <v>7260</v>
      </c>
      <c r="BD53">
        <v>8090</v>
      </c>
      <c r="BE53">
        <v>9280</v>
      </c>
      <c r="BF53">
        <v>9930</v>
      </c>
      <c r="BG53">
        <v>10350</v>
      </c>
      <c r="BH53">
        <v>10700</v>
      </c>
      <c r="BI53">
        <v>11100</v>
      </c>
      <c r="BJ53">
        <v>11500</v>
      </c>
      <c r="BK53">
        <v>11970</v>
      </c>
      <c r="BL53">
        <v>12090</v>
      </c>
      <c r="BM53">
        <v>11530</v>
      </c>
    </row>
    <row r="54" spans="1:65">
      <c r="A54" t="s">
        <v>2254</v>
      </c>
      <c r="B54" t="s">
        <v>2255</v>
      </c>
      <c r="C54" t="s">
        <v>2244</v>
      </c>
      <c r="D54" t="s">
        <v>2245</v>
      </c>
      <c r="G54">
        <v>480.0740854907994</v>
      </c>
      <c r="H54">
        <v>519.95878443330434</v>
      </c>
      <c r="I54">
        <v>564.02919549631952</v>
      </c>
      <c r="J54">
        <v>607.25483867896071</v>
      </c>
      <c r="K54">
        <v>609.5463319174487</v>
      </c>
      <c r="L54">
        <v>644.40861551924786</v>
      </c>
      <c r="M54">
        <v>671.60974082259952</v>
      </c>
      <c r="N54">
        <v>702.87048865645431</v>
      </c>
      <c r="O54">
        <v>754.84259247241505</v>
      </c>
      <c r="P54">
        <v>798.10669162352644</v>
      </c>
      <c r="Q54">
        <v>947.45926334190199</v>
      </c>
      <c r="R54">
        <v>1050.6718056468953</v>
      </c>
      <c r="S54">
        <v>1240.4040023793084</v>
      </c>
      <c r="T54">
        <v>1570.0020134018869</v>
      </c>
      <c r="U54">
        <v>1596.5612488344291</v>
      </c>
      <c r="V54">
        <v>1722.2678666749343</v>
      </c>
      <c r="W54">
        <v>1877.6492011220046</v>
      </c>
      <c r="X54">
        <v>2073.8924562215493</v>
      </c>
      <c r="Y54">
        <v>2388.1122325355082</v>
      </c>
      <c r="Z54">
        <v>2655.2137184426488</v>
      </c>
      <c r="AA54">
        <v>2823.7642543561224</v>
      </c>
      <c r="AB54">
        <v>2704.6952111768064</v>
      </c>
      <c r="AC54">
        <v>2636.6392082014122</v>
      </c>
      <c r="AD54">
        <v>2589.868521887257</v>
      </c>
      <c r="AE54">
        <v>2514.4139874968141</v>
      </c>
      <c r="AF54">
        <v>2578.8445022003257</v>
      </c>
      <c r="AG54">
        <v>2793.6435456721647</v>
      </c>
      <c r="AH54">
        <v>2831.8302642681956</v>
      </c>
      <c r="AI54">
        <v>2827.0798928174613</v>
      </c>
      <c r="AJ54">
        <v>2817.7591526317783</v>
      </c>
      <c r="AK54">
        <v>2919.3741899678885</v>
      </c>
      <c r="AL54">
        <v>2966.6577714074065</v>
      </c>
      <c r="AM54">
        <v>3003.8345181088366</v>
      </c>
      <c r="AN54">
        <v>3368.4985628341715</v>
      </c>
      <c r="AO54">
        <v>3666.2970508257622</v>
      </c>
      <c r="AP54">
        <v>3834.1392376012318</v>
      </c>
      <c r="AQ54">
        <v>4025.7134305982436</v>
      </c>
      <c r="AR54">
        <v>4537.0092471353428</v>
      </c>
      <c r="AS54">
        <v>4871.156171332037</v>
      </c>
      <c r="AT54">
        <v>4987.9886314549149</v>
      </c>
      <c r="AU54">
        <v>5193.7944670837533</v>
      </c>
      <c r="AV54">
        <v>5657.4949662089221</v>
      </c>
      <c r="AW54">
        <v>6289.9299263476669</v>
      </c>
      <c r="AX54">
        <v>6845.2234543366449</v>
      </c>
      <c r="AY54">
        <v>7585.6137001791558</v>
      </c>
      <c r="AZ54">
        <v>8296.4156021373765</v>
      </c>
      <c r="BA54">
        <v>9201.0198878777283</v>
      </c>
      <c r="BB54">
        <v>8842.1385936790957</v>
      </c>
      <c r="BC54">
        <v>8956.4178155422633</v>
      </c>
      <c r="BD54">
        <v>8807.1637707348309</v>
      </c>
      <c r="BE54">
        <v>9483.1928990158995</v>
      </c>
      <c r="BF54">
        <v>9873.8994055743879</v>
      </c>
      <c r="BG54">
        <v>9873.8004752722572</v>
      </c>
      <c r="BH54">
        <v>9851.5914508209444</v>
      </c>
      <c r="BI54">
        <v>9366.8364024344155</v>
      </c>
      <c r="BJ54">
        <v>9312.5965925178243</v>
      </c>
      <c r="BK54">
        <v>9617.8791215329074</v>
      </c>
      <c r="BL54">
        <v>9996.385831345302</v>
      </c>
      <c r="BM54">
        <v>8875.0859088101279</v>
      </c>
    </row>
    <row r="55" spans="1:65">
      <c r="A55" t="s">
        <v>211</v>
      </c>
      <c r="B55" t="s">
        <v>426</v>
      </c>
      <c r="C55" t="s">
        <v>2244</v>
      </c>
      <c r="D55" t="s">
        <v>2245</v>
      </c>
      <c r="Q55">
        <v>850</v>
      </c>
      <c r="R55">
        <v>1040</v>
      </c>
      <c r="S55">
        <v>1240</v>
      </c>
      <c r="T55">
        <v>1500</v>
      </c>
      <c r="U55">
        <v>1550</v>
      </c>
      <c r="V55">
        <v>1600</v>
      </c>
      <c r="W55">
        <v>1790</v>
      </c>
      <c r="X55">
        <v>1990</v>
      </c>
      <c r="Y55">
        <v>2140</v>
      </c>
      <c r="Z55">
        <v>2430</v>
      </c>
      <c r="AA55">
        <v>2340</v>
      </c>
      <c r="AB55">
        <v>2180</v>
      </c>
      <c r="AC55">
        <v>2310</v>
      </c>
      <c r="AD55">
        <v>2310</v>
      </c>
      <c r="AE55">
        <v>2390</v>
      </c>
      <c r="AF55">
        <v>2490</v>
      </c>
      <c r="AG55">
        <v>2780</v>
      </c>
      <c r="AH55">
        <v>2750</v>
      </c>
      <c r="AI55">
        <v>2650</v>
      </c>
      <c r="AJ55">
        <v>2340</v>
      </c>
      <c r="AK55">
        <v>2130</v>
      </c>
      <c r="AL55">
        <v>1870</v>
      </c>
      <c r="AM55">
        <v>2140</v>
      </c>
      <c r="AN55">
        <v>2550</v>
      </c>
      <c r="AO55">
        <v>2710</v>
      </c>
      <c r="AP55">
        <v>2500</v>
      </c>
      <c r="AQ55">
        <v>2240</v>
      </c>
      <c r="AR55">
        <v>2400</v>
      </c>
      <c r="AS55">
        <v>2620</v>
      </c>
      <c r="AT55">
        <v>2760</v>
      </c>
      <c r="AU55">
        <v>2820</v>
      </c>
      <c r="AV55">
        <v>3100</v>
      </c>
      <c r="AW55">
        <v>3490</v>
      </c>
      <c r="AX55">
        <v>3960</v>
      </c>
      <c r="AY55">
        <v>4530</v>
      </c>
      <c r="AZ55">
        <v>5000</v>
      </c>
      <c r="BA55">
        <v>5460</v>
      </c>
      <c r="BB55">
        <v>5520</v>
      </c>
      <c r="BC55">
        <v>5610</v>
      </c>
      <c r="BD55">
        <v>5930</v>
      </c>
      <c r="BE55">
        <v>6280</v>
      </c>
      <c r="BF55">
        <v>6640</v>
      </c>
      <c r="BG55">
        <v>6840</v>
      </c>
      <c r="BH55">
        <v>7230</v>
      </c>
      <c r="BI55">
        <v>7480</v>
      </c>
      <c r="BJ55">
        <v>7950</v>
      </c>
      <c r="BK55">
        <v>8630</v>
      </c>
    </row>
    <row r="56" spans="1:65">
      <c r="A56" t="s">
        <v>2256</v>
      </c>
      <c r="B56" t="s">
        <v>517</v>
      </c>
      <c r="C56" t="s">
        <v>2244</v>
      </c>
      <c r="D56" t="s">
        <v>2245</v>
      </c>
      <c r="BF56">
        <v>20580</v>
      </c>
      <c r="BG56">
        <v>20460</v>
      </c>
      <c r="BH56">
        <v>20210</v>
      </c>
      <c r="BI56">
        <v>19680</v>
      </c>
      <c r="BJ56">
        <v>19610</v>
      </c>
      <c r="BK56">
        <v>20090</v>
      </c>
      <c r="BL56">
        <v>20370</v>
      </c>
      <c r="BM56">
        <v>17150</v>
      </c>
    </row>
    <row r="57" spans="1:65">
      <c r="A57" t="s">
        <v>261</v>
      </c>
      <c r="B57" t="s">
        <v>510</v>
      </c>
      <c r="C57" t="s">
        <v>2244</v>
      </c>
      <c r="D57" t="s">
        <v>2245</v>
      </c>
      <c r="BC57">
        <v>70220</v>
      </c>
      <c r="BD57">
        <v>71050</v>
      </c>
      <c r="BE57">
        <v>49570</v>
      </c>
      <c r="BF57">
        <v>44030</v>
      </c>
      <c r="BG57">
        <v>42930</v>
      </c>
      <c r="BH57">
        <v>44380</v>
      </c>
      <c r="BI57">
        <v>45880</v>
      </c>
      <c r="BJ57">
        <v>52840</v>
      </c>
      <c r="BK57">
        <v>59380</v>
      </c>
      <c r="BL57">
        <v>68200</v>
      </c>
      <c r="BM57">
        <v>64000</v>
      </c>
    </row>
    <row r="58" spans="1:65">
      <c r="A58" t="s">
        <v>251</v>
      </c>
      <c r="B58" t="s">
        <v>511</v>
      </c>
      <c r="C58" t="s">
        <v>2244</v>
      </c>
      <c r="D58" t="s">
        <v>2245</v>
      </c>
      <c r="V58">
        <v>1520</v>
      </c>
      <c r="W58">
        <v>1800</v>
      </c>
      <c r="X58">
        <v>2400</v>
      </c>
      <c r="Y58">
        <v>3390</v>
      </c>
      <c r="Z58">
        <v>4050</v>
      </c>
      <c r="AA58">
        <v>4490</v>
      </c>
      <c r="AB58">
        <v>4220</v>
      </c>
      <c r="AC58">
        <v>4360</v>
      </c>
      <c r="AD58">
        <v>4480</v>
      </c>
      <c r="AE58">
        <v>5020</v>
      </c>
      <c r="AF58">
        <v>6300</v>
      </c>
      <c r="AG58">
        <v>7910</v>
      </c>
      <c r="AH58">
        <v>8570</v>
      </c>
      <c r="AI58">
        <v>9300</v>
      </c>
      <c r="AJ58">
        <v>9460</v>
      </c>
      <c r="AK58">
        <v>11020</v>
      </c>
      <c r="AL58">
        <v>10970</v>
      </c>
      <c r="AM58">
        <v>11680</v>
      </c>
      <c r="AN58">
        <v>12810</v>
      </c>
      <c r="AO58">
        <v>13880</v>
      </c>
      <c r="AP58">
        <v>14280</v>
      </c>
      <c r="AQ58">
        <v>15490</v>
      </c>
      <c r="AR58">
        <v>14340</v>
      </c>
      <c r="AS58">
        <v>14180</v>
      </c>
      <c r="AT58">
        <v>14170</v>
      </c>
      <c r="AU58">
        <v>14510</v>
      </c>
      <c r="AV58">
        <v>16710</v>
      </c>
      <c r="AW58">
        <v>20260</v>
      </c>
      <c r="AX58">
        <v>23990</v>
      </c>
      <c r="AY58">
        <v>25600</v>
      </c>
      <c r="AZ58">
        <v>27340</v>
      </c>
      <c r="BA58">
        <v>31970</v>
      </c>
      <c r="BB58">
        <v>32780</v>
      </c>
      <c r="BC58">
        <v>32040</v>
      </c>
      <c r="BD58">
        <v>32550</v>
      </c>
      <c r="BE58">
        <v>29680</v>
      </c>
      <c r="BF58">
        <v>27830</v>
      </c>
      <c r="BG58">
        <v>26530</v>
      </c>
      <c r="BH58">
        <v>26010</v>
      </c>
      <c r="BI58">
        <v>24720</v>
      </c>
      <c r="BJ58">
        <v>24960</v>
      </c>
      <c r="BK58">
        <v>27330</v>
      </c>
      <c r="BL58">
        <v>28600</v>
      </c>
      <c r="BM58">
        <v>26440</v>
      </c>
    </row>
    <row r="59" spans="1:65">
      <c r="A59" t="s">
        <v>70</v>
      </c>
      <c r="B59" t="s">
        <v>446</v>
      </c>
      <c r="C59" t="s">
        <v>2244</v>
      </c>
      <c r="D59" t="s">
        <v>2245</v>
      </c>
      <c r="AK59">
        <v>3360</v>
      </c>
      <c r="AL59">
        <v>3500</v>
      </c>
      <c r="AM59">
        <v>4170</v>
      </c>
      <c r="AN59">
        <v>5150</v>
      </c>
      <c r="AO59">
        <v>5980</v>
      </c>
      <c r="AP59">
        <v>6160</v>
      </c>
      <c r="AQ59">
        <v>6110</v>
      </c>
      <c r="AR59">
        <v>6110</v>
      </c>
      <c r="AS59">
        <v>6340</v>
      </c>
      <c r="AT59">
        <v>6350</v>
      </c>
      <c r="AU59">
        <v>6650</v>
      </c>
      <c r="AV59">
        <v>8110</v>
      </c>
      <c r="AW59">
        <v>10260</v>
      </c>
      <c r="AX59">
        <v>12480</v>
      </c>
      <c r="AY59">
        <v>14000</v>
      </c>
      <c r="AZ59">
        <v>15850</v>
      </c>
      <c r="BA59">
        <v>18510</v>
      </c>
      <c r="BB59">
        <v>18840</v>
      </c>
      <c r="BC59">
        <v>19400</v>
      </c>
      <c r="BD59">
        <v>19460</v>
      </c>
      <c r="BE59">
        <v>19440</v>
      </c>
      <c r="BF59">
        <v>19410</v>
      </c>
      <c r="BG59">
        <v>18900</v>
      </c>
      <c r="BH59">
        <v>18370</v>
      </c>
      <c r="BI59">
        <v>17670</v>
      </c>
      <c r="BJ59">
        <v>18310</v>
      </c>
      <c r="BK59">
        <v>20560</v>
      </c>
      <c r="BL59">
        <v>22110</v>
      </c>
      <c r="BM59">
        <v>22070</v>
      </c>
    </row>
    <row r="60" spans="1:65">
      <c r="A60" t="s">
        <v>56</v>
      </c>
      <c r="B60" t="s">
        <v>457</v>
      </c>
      <c r="C60" t="s">
        <v>2244</v>
      </c>
      <c r="D60" t="s">
        <v>2245</v>
      </c>
      <c r="Q60">
        <v>3600</v>
      </c>
      <c r="R60">
        <v>4670</v>
      </c>
      <c r="S60">
        <v>5800</v>
      </c>
      <c r="T60">
        <v>6720</v>
      </c>
      <c r="U60">
        <v>7130</v>
      </c>
      <c r="V60">
        <v>7670</v>
      </c>
      <c r="W60">
        <v>8870</v>
      </c>
      <c r="X60">
        <v>11050</v>
      </c>
      <c r="Y60">
        <v>13010</v>
      </c>
      <c r="Z60">
        <v>12540</v>
      </c>
      <c r="AA60">
        <v>11120</v>
      </c>
      <c r="AB60">
        <v>10020</v>
      </c>
      <c r="AC60">
        <v>9880</v>
      </c>
      <c r="AD60">
        <v>9840</v>
      </c>
      <c r="AE60">
        <v>11240</v>
      </c>
      <c r="AF60">
        <v>14240</v>
      </c>
      <c r="AG60">
        <v>18620</v>
      </c>
      <c r="AH60">
        <v>19760</v>
      </c>
      <c r="AI60">
        <v>21300</v>
      </c>
      <c r="AJ60">
        <v>22890</v>
      </c>
      <c r="AK60">
        <v>25810</v>
      </c>
      <c r="AL60">
        <v>25990</v>
      </c>
      <c r="AM60">
        <v>27530</v>
      </c>
      <c r="AN60">
        <v>29520</v>
      </c>
      <c r="AO60">
        <v>30860</v>
      </c>
      <c r="AP60">
        <v>30140</v>
      </c>
      <c r="AQ60">
        <v>27950</v>
      </c>
      <c r="AR60">
        <v>26840</v>
      </c>
      <c r="AS60">
        <v>26180</v>
      </c>
      <c r="AT60">
        <v>24770</v>
      </c>
      <c r="AU60">
        <v>23680</v>
      </c>
      <c r="AV60">
        <v>26140</v>
      </c>
      <c r="AW60">
        <v>31670</v>
      </c>
      <c r="AX60">
        <v>35770</v>
      </c>
      <c r="AY60">
        <v>38270</v>
      </c>
      <c r="AZ60">
        <v>40470</v>
      </c>
      <c r="BA60">
        <v>43650</v>
      </c>
      <c r="BB60">
        <v>43660</v>
      </c>
      <c r="BC60">
        <v>44680</v>
      </c>
      <c r="BD60">
        <v>47320</v>
      </c>
      <c r="BE60">
        <v>46560</v>
      </c>
      <c r="BF60">
        <v>47220</v>
      </c>
      <c r="BG60">
        <v>47640</v>
      </c>
      <c r="BH60">
        <v>45780</v>
      </c>
      <c r="BI60">
        <v>44280</v>
      </c>
      <c r="BJ60">
        <v>43760</v>
      </c>
      <c r="BK60">
        <v>47470</v>
      </c>
      <c r="BL60">
        <v>49190</v>
      </c>
      <c r="BM60">
        <v>47520</v>
      </c>
    </row>
    <row r="61" spans="1:65">
      <c r="A61" t="s">
        <v>154</v>
      </c>
      <c r="B61" t="s">
        <v>368</v>
      </c>
      <c r="C61" t="s">
        <v>2244</v>
      </c>
      <c r="D61" t="s">
        <v>2245</v>
      </c>
      <c r="BH61">
        <v>2550</v>
      </c>
      <c r="BI61">
        <v>2640</v>
      </c>
      <c r="BJ61">
        <v>2730</v>
      </c>
      <c r="BK61">
        <v>3010</v>
      </c>
      <c r="BL61">
        <v>3310</v>
      </c>
      <c r="BM61">
        <v>3310</v>
      </c>
    </row>
    <row r="62" spans="1:65">
      <c r="A62" t="s">
        <v>205</v>
      </c>
      <c r="B62" t="s">
        <v>420</v>
      </c>
      <c r="C62" t="s">
        <v>2244</v>
      </c>
      <c r="D62" t="s">
        <v>2245</v>
      </c>
      <c r="X62">
        <v>710</v>
      </c>
      <c r="Y62">
        <v>960</v>
      </c>
      <c r="Z62">
        <v>1160</v>
      </c>
      <c r="AA62">
        <v>1210</v>
      </c>
      <c r="AB62">
        <v>1220</v>
      </c>
      <c r="AC62">
        <v>1330</v>
      </c>
      <c r="AD62">
        <v>1480</v>
      </c>
      <c r="AE62">
        <v>1790</v>
      </c>
      <c r="AF62">
        <v>2170</v>
      </c>
      <c r="AG62">
        <v>2560</v>
      </c>
      <c r="AH62">
        <v>2600</v>
      </c>
      <c r="AI62">
        <v>2810</v>
      </c>
      <c r="AJ62">
        <v>2960</v>
      </c>
      <c r="AK62">
        <v>3200</v>
      </c>
      <c r="AL62">
        <v>3410</v>
      </c>
      <c r="AM62">
        <v>3490</v>
      </c>
      <c r="AN62">
        <v>3720</v>
      </c>
      <c r="AO62">
        <v>3890</v>
      </c>
      <c r="AP62">
        <v>4010</v>
      </c>
      <c r="AQ62">
        <v>4200</v>
      </c>
      <c r="AR62">
        <v>4200</v>
      </c>
      <c r="AS62">
        <v>4220</v>
      </c>
      <c r="AT62">
        <v>4470</v>
      </c>
      <c r="AU62">
        <v>4270</v>
      </c>
      <c r="AV62">
        <v>4680</v>
      </c>
      <c r="AW62">
        <v>4950</v>
      </c>
      <c r="AX62">
        <v>5050</v>
      </c>
      <c r="AY62">
        <v>5490</v>
      </c>
      <c r="AZ62">
        <v>5760</v>
      </c>
      <c r="BA62">
        <v>6340</v>
      </c>
      <c r="BB62">
        <v>6520</v>
      </c>
      <c r="BC62">
        <v>6730</v>
      </c>
      <c r="BD62">
        <v>6920</v>
      </c>
      <c r="BE62">
        <v>6850</v>
      </c>
      <c r="BF62">
        <v>6700</v>
      </c>
      <c r="BG62">
        <v>7740</v>
      </c>
      <c r="BH62">
        <v>6880</v>
      </c>
      <c r="BI62">
        <v>7320</v>
      </c>
      <c r="BJ62">
        <v>7070</v>
      </c>
      <c r="BK62">
        <v>7700</v>
      </c>
      <c r="BL62">
        <v>8250</v>
      </c>
      <c r="BM62">
        <v>7270</v>
      </c>
    </row>
    <row r="63" spans="1:65">
      <c r="A63" t="s">
        <v>49</v>
      </c>
      <c r="B63" t="s">
        <v>464</v>
      </c>
      <c r="C63" t="s">
        <v>2244</v>
      </c>
      <c r="D63" t="s">
        <v>2245</v>
      </c>
      <c r="M63">
        <v>2870</v>
      </c>
      <c r="N63">
        <v>3140</v>
      </c>
      <c r="O63">
        <v>3310</v>
      </c>
      <c r="P63">
        <v>3670</v>
      </c>
      <c r="Q63">
        <v>4310</v>
      </c>
      <c r="R63">
        <v>5580</v>
      </c>
      <c r="S63">
        <v>6800</v>
      </c>
      <c r="T63">
        <v>8080</v>
      </c>
      <c r="U63">
        <v>8960</v>
      </c>
      <c r="V63">
        <v>9780</v>
      </c>
      <c r="W63">
        <v>11170</v>
      </c>
      <c r="X63">
        <v>13560</v>
      </c>
      <c r="Y63">
        <v>15090</v>
      </c>
      <c r="Z63">
        <v>14180</v>
      </c>
      <c r="AA63">
        <v>12860</v>
      </c>
      <c r="AB63">
        <v>11710</v>
      </c>
      <c r="AC63">
        <v>11520</v>
      </c>
      <c r="AD63">
        <v>11840</v>
      </c>
      <c r="AE63">
        <v>14070</v>
      </c>
      <c r="AF63">
        <v>17760</v>
      </c>
      <c r="AG63">
        <v>22130</v>
      </c>
      <c r="AH63">
        <v>23050</v>
      </c>
      <c r="AI63">
        <v>24370</v>
      </c>
      <c r="AJ63">
        <v>25540</v>
      </c>
      <c r="AK63">
        <v>28700</v>
      </c>
      <c r="AL63">
        <v>28570</v>
      </c>
      <c r="AM63">
        <v>30360</v>
      </c>
      <c r="AN63">
        <v>32560</v>
      </c>
      <c r="AO63">
        <v>34770</v>
      </c>
      <c r="AP63">
        <v>35150</v>
      </c>
      <c r="AQ63">
        <v>33460</v>
      </c>
      <c r="AR63">
        <v>33060</v>
      </c>
      <c r="AS63">
        <v>32580</v>
      </c>
      <c r="AT63">
        <v>31410</v>
      </c>
      <c r="AU63">
        <v>30850</v>
      </c>
      <c r="AV63">
        <v>34750</v>
      </c>
      <c r="AW63">
        <v>42640</v>
      </c>
      <c r="AX63">
        <v>49610</v>
      </c>
      <c r="AY63">
        <v>53540</v>
      </c>
      <c r="AZ63">
        <v>55740</v>
      </c>
      <c r="BA63">
        <v>60390</v>
      </c>
      <c r="BB63">
        <v>60090</v>
      </c>
      <c r="BC63">
        <v>61220</v>
      </c>
      <c r="BD63">
        <v>61990</v>
      </c>
      <c r="BE63">
        <v>61650</v>
      </c>
      <c r="BF63">
        <v>63200</v>
      </c>
      <c r="BG63">
        <v>63670</v>
      </c>
      <c r="BH63">
        <v>60510</v>
      </c>
      <c r="BI63">
        <v>58040</v>
      </c>
      <c r="BJ63">
        <v>56690</v>
      </c>
      <c r="BK63">
        <v>61260</v>
      </c>
      <c r="BL63">
        <v>63460</v>
      </c>
      <c r="BM63">
        <v>63010</v>
      </c>
    </row>
    <row r="64" spans="1:65">
      <c r="A64" t="s">
        <v>207</v>
      </c>
      <c r="B64" t="s">
        <v>422</v>
      </c>
      <c r="C64" t="s">
        <v>2244</v>
      </c>
      <c r="D64" t="s">
        <v>2245</v>
      </c>
      <c r="G64">
        <v>220</v>
      </c>
      <c r="H64">
        <v>240</v>
      </c>
      <c r="I64">
        <v>260</v>
      </c>
      <c r="J64">
        <v>230</v>
      </c>
      <c r="K64">
        <v>250</v>
      </c>
      <c r="L64">
        <v>250</v>
      </c>
      <c r="M64">
        <v>250</v>
      </c>
      <c r="N64">
        <v>280</v>
      </c>
      <c r="O64">
        <v>340</v>
      </c>
      <c r="P64">
        <v>370</v>
      </c>
      <c r="Q64">
        <v>430</v>
      </c>
      <c r="R64">
        <v>520</v>
      </c>
      <c r="S64">
        <v>610</v>
      </c>
      <c r="T64">
        <v>710</v>
      </c>
      <c r="U64">
        <v>780</v>
      </c>
      <c r="V64">
        <v>830</v>
      </c>
      <c r="W64">
        <v>900</v>
      </c>
      <c r="X64">
        <v>1030</v>
      </c>
      <c r="Y64">
        <v>1140</v>
      </c>
      <c r="Z64">
        <v>1210</v>
      </c>
      <c r="AA64">
        <v>1240</v>
      </c>
      <c r="AB64">
        <v>1240</v>
      </c>
      <c r="AC64">
        <v>1300</v>
      </c>
      <c r="AD64">
        <v>1100</v>
      </c>
      <c r="AE64">
        <v>1030</v>
      </c>
      <c r="AF64">
        <v>940</v>
      </c>
      <c r="AG64">
        <v>920</v>
      </c>
      <c r="AH64">
        <v>910</v>
      </c>
      <c r="AI64">
        <v>870</v>
      </c>
      <c r="AJ64">
        <v>1040</v>
      </c>
      <c r="AK64">
        <v>1360</v>
      </c>
      <c r="AL64">
        <v>1620</v>
      </c>
      <c r="AM64">
        <v>1750</v>
      </c>
      <c r="AN64">
        <v>1960</v>
      </c>
      <c r="AO64">
        <v>2170</v>
      </c>
      <c r="AP64">
        <v>2360</v>
      </c>
      <c r="AQ64">
        <v>2450</v>
      </c>
      <c r="AR64">
        <v>2540</v>
      </c>
      <c r="AS64">
        <v>2680</v>
      </c>
      <c r="AT64">
        <v>2740</v>
      </c>
      <c r="AU64">
        <v>2890</v>
      </c>
      <c r="AV64">
        <v>2640</v>
      </c>
      <c r="AW64">
        <v>2560</v>
      </c>
      <c r="AX64">
        <v>3040</v>
      </c>
      <c r="AY64">
        <v>3640</v>
      </c>
      <c r="AZ64">
        <v>4430</v>
      </c>
      <c r="BA64">
        <v>4760</v>
      </c>
      <c r="BB64">
        <v>4920</v>
      </c>
      <c r="BC64">
        <v>5330</v>
      </c>
      <c r="BD64">
        <v>5540</v>
      </c>
      <c r="BE64">
        <v>5790</v>
      </c>
      <c r="BF64">
        <v>6030</v>
      </c>
      <c r="BG64">
        <v>6330</v>
      </c>
      <c r="BH64">
        <v>6580</v>
      </c>
      <c r="BI64">
        <v>6860</v>
      </c>
      <c r="BJ64">
        <v>7090</v>
      </c>
      <c r="BK64">
        <v>7780</v>
      </c>
      <c r="BL64">
        <v>8100</v>
      </c>
      <c r="BM64">
        <v>7260</v>
      </c>
    </row>
    <row r="65" spans="1:65">
      <c r="A65" t="s">
        <v>164</v>
      </c>
      <c r="B65" t="s">
        <v>378</v>
      </c>
      <c r="C65" t="s">
        <v>2244</v>
      </c>
      <c r="D65" t="s">
        <v>2245</v>
      </c>
      <c r="G65">
        <v>190</v>
      </c>
      <c r="H65">
        <v>230</v>
      </c>
      <c r="I65">
        <v>240</v>
      </c>
      <c r="J65">
        <v>250</v>
      </c>
      <c r="K65">
        <v>230</v>
      </c>
      <c r="L65">
        <v>250</v>
      </c>
      <c r="M65">
        <v>280</v>
      </c>
      <c r="N65">
        <v>310</v>
      </c>
      <c r="O65">
        <v>330</v>
      </c>
      <c r="P65">
        <v>320</v>
      </c>
      <c r="Q65">
        <v>440</v>
      </c>
      <c r="R65">
        <v>530</v>
      </c>
      <c r="S65">
        <v>710</v>
      </c>
      <c r="T65">
        <v>910</v>
      </c>
      <c r="U65">
        <v>1060</v>
      </c>
      <c r="V65">
        <v>1100</v>
      </c>
      <c r="W65">
        <v>1320</v>
      </c>
      <c r="X65">
        <v>1640</v>
      </c>
      <c r="Y65">
        <v>1990</v>
      </c>
      <c r="Z65">
        <v>2200</v>
      </c>
      <c r="AA65">
        <v>2260</v>
      </c>
      <c r="AB65">
        <v>2190</v>
      </c>
      <c r="AC65">
        <v>2270</v>
      </c>
      <c r="AD65">
        <v>2400</v>
      </c>
      <c r="AE65">
        <v>2590</v>
      </c>
      <c r="AF65">
        <v>2810</v>
      </c>
      <c r="AG65">
        <v>2750</v>
      </c>
      <c r="AH65">
        <v>2550</v>
      </c>
      <c r="AI65">
        <v>2370</v>
      </c>
      <c r="AJ65">
        <v>1980</v>
      </c>
      <c r="AK65">
        <v>1900</v>
      </c>
      <c r="AL65">
        <v>1730</v>
      </c>
      <c r="AM65">
        <v>1620</v>
      </c>
      <c r="AN65">
        <v>1550</v>
      </c>
      <c r="AO65">
        <v>1520</v>
      </c>
      <c r="AP65">
        <v>1510</v>
      </c>
      <c r="AQ65">
        <v>1540</v>
      </c>
      <c r="AR65">
        <v>1530</v>
      </c>
      <c r="AS65">
        <v>1590</v>
      </c>
      <c r="AT65">
        <v>1670</v>
      </c>
      <c r="AU65">
        <v>1730</v>
      </c>
      <c r="AV65">
        <v>1930</v>
      </c>
      <c r="AW65">
        <v>2250</v>
      </c>
      <c r="AX65">
        <v>2710</v>
      </c>
      <c r="AY65">
        <v>3110</v>
      </c>
      <c r="AZ65">
        <v>3600</v>
      </c>
      <c r="BA65">
        <v>4210</v>
      </c>
      <c r="BB65">
        <v>4290</v>
      </c>
      <c r="BC65">
        <v>4470</v>
      </c>
      <c r="BD65">
        <v>4600</v>
      </c>
      <c r="BE65">
        <v>5200</v>
      </c>
      <c r="BF65">
        <v>5520</v>
      </c>
      <c r="BG65">
        <v>5490</v>
      </c>
      <c r="BH65">
        <v>4850</v>
      </c>
      <c r="BI65">
        <v>4370</v>
      </c>
      <c r="BJ65">
        <v>3950</v>
      </c>
      <c r="BK65">
        <v>3980</v>
      </c>
      <c r="BL65">
        <v>4010</v>
      </c>
      <c r="BM65">
        <v>3570</v>
      </c>
    </row>
    <row r="66" spans="1:65">
      <c r="A66" t="s">
        <v>2257</v>
      </c>
      <c r="B66" t="s">
        <v>2258</v>
      </c>
      <c r="C66" t="s">
        <v>2244</v>
      </c>
      <c r="D66" t="s">
        <v>2245</v>
      </c>
      <c r="G66">
        <v>72.571329277976844</v>
      </c>
      <c r="H66">
        <v>78.761383649534991</v>
      </c>
      <c r="I66">
        <v>87.189802042780656</v>
      </c>
      <c r="J66">
        <v>98.535361531400852</v>
      </c>
      <c r="K66">
        <v>106.41885047306334</v>
      </c>
      <c r="L66">
        <v>100.43560605808032</v>
      </c>
      <c r="M66">
        <v>97.430596082274775</v>
      </c>
      <c r="N66">
        <v>109.20252732010599</v>
      </c>
      <c r="O66">
        <v>122.14441521868621</v>
      </c>
      <c r="P66">
        <v>125.49017367390442</v>
      </c>
      <c r="Q66">
        <v>132.43706777801279</v>
      </c>
      <c r="R66">
        <v>159.81834334500599</v>
      </c>
      <c r="S66">
        <v>187.17512664100229</v>
      </c>
      <c r="T66">
        <v>217.89180037251074</v>
      </c>
      <c r="U66">
        <v>213.49009108595476</v>
      </c>
      <c r="V66">
        <v>226.92147953394809</v>
      </c>
      <c r="W66">
        <v>240.76265091247626</v>
      </c>
      <c r="X66">
        <v>265.92862566458933</v>
      </c>
      <c r="Y66">
        <v>294.14436175373197</v>
      </c>
      <c r="Z66">
        <v>311.28996986065277</v>
      </c>
      <c r="AA66">
        <v>310.92372599883123</v>
      </c>
      <c r="AB66">
        <v>306.66517712776715</v>
      </c>
      <c r="AC66">
        <v>324.38752707665651</v>
      </c>
      <c r="AD66">
        <v>346.53061165529243</v>
      </c>
      <c r="AE66">
        <v>367.97176482598917</v>
      </c>
      <c r="AF66">
        <v>384.4758217690719</v>
      </c>
      <c r="AG66">
        <v>404.2418837511691</v>
      </c>
      <c r="AH66">
        <v>406.28795271625859</v>
      </c>
      <c r="AI66">
        <v>421.84911262988925</v>
      </c>
      <c r="AJ66">
        <v>451.9574996636257</v>
      </c>
      <c r="AK66">
        <v>501.77088591806</v>
      </c>
      <c r="AL66">
        <v>545.03660671020589</v>
      </c>
      <c r="AM66">
        <v>612.01373817199908</v>
      </c>
      <c r="AN66">
        <v>704.21706085219341</v>
      </c>
      <c r="AO66">
        <v>819.74716265088023</v>
      </c>
      <c r="AP66">
        <v>888.28212705995406</v>
      </c>
      <c r="AQ66">
        <v>832.33062705004556</v>
      </c>
      <c r="AR66">
        <v>854.71387737715565</v>
      </c>
      <c r="AS66">
        <v>909.84556599936013</v>
      </c>
      <c r="AT66">
        <v>980.93780323000715</v>
      </c>
      <c r="AU66">
        <v>1061.6873120134485</v>
      </c>
      <c r="AV66">
        <v>1206.5716941848239</v>
      </c>
      <c r="AW66">
        <v>1418.9886804744754</v>
      </c>
      <c r="AX66">
        <v>1633.9147868117182</v>
      </c>
      <c r="AY66">
        <v>1891.2723321687695</v>
      </c>
      <c r="AZ66">
        <v>2269.6189692391949</v>
      </c>
      <c r="BA66">
        <v>2765.0286284201902</v>
      </c>
      <c r="BB66">
        <v>3211.9900921904318</v>
      </c>
      <c r="BC66">
        <v>3750.4903866957125</v>
      </c>
      <c r="BD66">
        <v>4331.5982087951115</v>
      </c>
      <c r="BE66">
        <v>5058.8429745099284</v>
      </c>
      <c r="BF66">
        <v>5685.8906597402793</v>
      </c>
      <c r="BG66">
        <v>6182.564577832416</v>
      </c>
      <c r="BH66">
        <v>6431.9391934181258</v>
      </c>
      <c r="BI66">
        <v>6637.4471643585066</v>
      </c>
      <c r="BJ66">
        <v>6975.0778471011054</v>
      </c>
      <c r="BK66">
        <v>7650.701874216511</v>
      </c>
      <c r="BL66">
        <v>8233.9896480262414</v>
      </c>
      <c r="BM66">
        <v>8323.8802367527278</v>
      </c>
    </row>
    <row r="67" spans="1:65">
      <c r="A67" t="s">
        <v>2259</v>
      </c>
      <c r="B67" t="s">
        <v>2260</v>
      </c>
      <c r="C67" t="s">
        <v>2244</v>
      </c>
      <c r="D67" t="s">
        <v>2245</v>
      </c>
      <c r="L67">
        <v>194.390470252862</v>
      </c>
      <c r="M67">
        <v>200.49960098375919</v>
      </c>
      <c r="N67">
        <v>214.24007621681346</v>
      </c>
      <c r="O67">
        <v>226.1193229097739</v>
      </c>
      <c r="P67">
        <v>238.59816566951838</v>
      </c>
      <c r="Q67">
        <v>254.83318997918812</v>
      </c>
      <c r="R67">
        <v>304.32825493000229</v>
      </c>
      <c r="S67">
        <v>388.73540484224839</v>
      </c>
      <c r="T67">
        <v>468.05013021372531</v>
      </c>
      <c r="U67">
        <v>514.36488062547062</v>
      </c>
      <c r="V67">
        <v>528.66938020461203</v>
      </c>
      <c r="W67">
        <v>564.6746972245295</v>
      </c>
      <c r="X67">
        <v>656.53453238487623</v>
      </c>
      <c r="Y67">
        <v>777.17962074079423</v>
      </c>
      <c r="Z67">
        <v>877.77717476228588</v>
      </c>
      <c r="AA67">
        <v>856.8458161497241</v>
      </c>
      <c r="AB67">
        <v>796.05100108575243</v>
      </c>
      <c r="AC67">
        <v>767.32285131619949</v>
      </c>
      <c r="AD67">
        <v>766.5939632209446</v>
      </c>
      <c r="AE67">
        <v>791.61752073483842</v>
      </c>
      <c r="AF67">
        <v>828.19493679845777</v>
      </c>
      <c r="AG67">
        <v>856.15602488598381</v>
      </c>
      <c r="AH67">
        <v>824.82595154225282</v>
      </c>
      <c r="AI67">
        <v>861.03900280502762</v>
      </c>
      <c r="AJ67">
        <v>902.09220974508185</v>
      </c>
      <c r="AK67">
        <v>997.41016749243795</v>
      </c>
      <c r="AL67">
        <v>1056.2649401328108</v>
      </c>
      <c r="AM67">
        <v>1114.2791083821755</v>
      </c>
      <c r="AN67">
        <v>1140.0606822105676</v>
      </c>
      <c r="AO67">
        <v>1194.8994052146395</v>
      </c>
      <c r="AP67">
        <v>1232.8814426351269</v>
      </c>
      <c r="AQ67">
        <v>1198.824436485434</v>
      </c>
      <c r="AR67">
        <v>1211.5590737067762</v>
      </c>
      <c r="AS67">
        <v>1274.1036698086714</v>
      </c>
      <c r="AT67">
        <v>1292.611896139277</v>
      </c>
      <c r="AU67">
        <v>1261.1657620176259</v>
      </c>
      <c r="AV67">
        <v>1340.7530571226403</v>
      </c>
      <c r="AW67">
        <v>1522.5076010877956</v>
      </c>
      <c r="AX67">
        <v>1741.8617403935211</v>
      </c>
      <c r="AY67">
        <v>1954.7752624474708</v>
      </c>
      <c r="AZ67">
        <v>2209.4161272363485</v>
      </c>
      <c r="BA67">
        <v>2473.8263674717728</v>
      </c>
      <c r="BB67">
        <v>2564.3140112721612</v>
      </c>
      <c r="BC67">
        <v>2794.9008598186565</v>
      </c>
      <c r="BD67">
        <v>3000.8369945176128</v>
      </c>
      <c r="BE67">
        <v>3285.9854857696614</v>
      </c>
      <c r="BF67">
        <v>3410.4249217267839</v>
      </c>
      <c r="BG67">
        <v>3442.6076029295814</v>
      </c>
      <c r="BH67">
        <v>3321.5486369241944</v>
      </c>
      <c r="BI67">
        <v>3278.3834460843846</v>
      </c>
      <c r="BJ67">
        <v>3324.9580684081147</v>
      </c>
      <c r="BK67">
        <v>3470.2915243918919</v>
      </c>
      <c r="BL67">
        <v>3534.0635761151575</v>
      </c>
      <c r="BM67">
        <v>3257.91511173155</v>
      </c>
    </row>
    <row r="68" spans="1:65">
      <c r="A68" t="s">
        <v>493</v>
      </c>
      <c r="B68" t="s">
        <v>2261</v>
      </c>
      <c r="C68" t="s">
        <v>2244</v>
      </c>
      <c r="D68" t="s">
        <v>2245</v>
      </c>
      <c r="G68">
        <v>143.33573393948765</v>
      </c>
      <c r="H68">
        <v>156.65045938242986</v>
      </c>
      <c r="I68">
        <v>174.99973921292616</v>
      </c>
      <c r="J68">
        <v>193.62325910474624</v>
      </c>
      <c r="K68">
        <v>212.71581087035571</v>
      </c>
      <c r="L68">
        <v>223.64043052475003</v>
      </c>
      <c r="M68">
        <v>242.66868264374517</v>
      </c>
      <c r="N68">
        <v>276.3384668699307</v>
      </c>
      <c r="O68">
        <v>306.5770903767708</v>
      </c>
      <c r="P68">
        <v>334.53042420515027</v>
      </c>
      <c r="Q68">
        <v>392.56118638948743</v>
      </c>
      <c r="R68">
        <v>498.62178691571893</v>
      </c>
      <c r="S68">
        <v>604.69547964674382</v>
      </c>
      <c r="T68">
        <v>705.88436689239416</v>
      </c>
      <c r="U68">
        <v>731.97115472263374</v>
      </c>
      <c r="V68">
        <v>791.86724426624198</v>
      </c>
      <c r="W68">
        <v>934.91692884550707</v>
      </c>
      <c r="X68">
        <v>1134.7317581925158</v>
      </c>
      <c r="Y68">
        <v>1288.4701518663137</v>
      </c>
      <c r="Z68">
        <v>1339.3958488053122</v>
      </c>
      <c r="AA68">
        <v>1291.6325734818322</v>
      </c>
      <c r="AB68">
        <v>1257.5847467354599</v>
      </c>
      <c r="AC68">
        <v>1297.0505116671191</v>
      </c>
      <c r="AD68">
        <v>1382.5058663132399</v>
      </c>
      <c r="AE68">
        <v>1588.1403461093794</v>
      </c>
      <c r="AF68">
        <v>1938.9989179688068</v>
      </c>
      <c r="AG68">
        <v>2476.0559042072377</v>
      </c>
      <c r="AH68">
        <v>2654.4877775267073</v>
      </c>
      <c r="AI68">
        <v>2757.1446863055203</v>
      </c>
      <c r="AJ68">
        <v>2866.6497230293953</v>
      </c>
      <c r="AK68">
        <v>3068.2794858588518</v>
      </c>
      <c r="AL68">
        <v>3317.73968231956</v>
      </c>
      <c r="AM68">
        <v>3654.2236613122627</v>
      </c>
      <c r="AN68">
        <v>4133.3202790050882</v>
      </c>
      <c r="AO68">
        <v>4364.2230134814272</v>
      </c>
      <c r="AP68">
        <v>4231.3911561527984</v>
      </c>
      <c r="AQ68">
        <v>3701.8758457295244</v>
      </c>
      <c r="AR68">
        <v>3661.2805286241487</v>
      </c>
      <c r="AS68">
        <v>3869.8573156068646</v>
      </c>
      <c r="AT68">
        <v>3956.6750504345514</v>
      </c>
      <c r="AU68">
        <v>3909.5102617651942</v>
      </c>
      <c r="AV68">
        <v>4092.3832945938475</v>
      </c>
      <c r="AW68">
        <v>4602.6515156940141</v>
      </c>
      <c r="AX68">
        <v>5040.2080429825182</v>
      </c>
      <c r="AY68">
        <v>5325.6751572415906</v>
      </c>
      <c r="AZ68">
        <v>5692.2493674783409</v>
      </c>
      <c r="BA68">
        <v>6199.2537805576585</v>
      </c>
      <c r="BB68">
        <v>6545.356345987967</v>
      </c>
      <c r="BC68">
        <v>7358.3740105539473</v>
      </c>
      <c r="BD68">
        <v>8162.3307759868076</v>
      </c>
      <c r="BE68">
        <v>9119.7982943297447</v>
      </c>
      <c r="BF68">
        <v>9711.4125782531592</v>
      </c>
      <c r="BG68">
        <v>9931.0746862664928</v>
      </c>
      <c r="BH68">
        <v>9810.5252785612556</v>
      </c>
      <c r="BI68">
        <v>9884.6052752220567</v>
      </c>
      <c r="BJ68">
        <v>10219.685713096364</v>
      </c>
      <c r="BK68">
        <v>11083.025997129589</v>
      </c>
      <c r="BL68">
        <v>11685.842471638871</v>
      </c>
      <c r="BM68">
        <v>11745.24381060104</v>
      </c>
    </row>
    <row r="69" spans="1:65">
      <c r="A69" t="s">
        <v>2262</v>
      </c>
      <c r="B69" t="s">
        <v>2263</v>
      </c>
      <c r="C69" t="s">
        <v>2244</v>
      </c>
      <c r="D69" t="s">
        <v>2245</v>
      </c>
      <c r="AJ69">
        <v>2294.4389090337377</v>
      </c>
      <c r="AK69">
        <v>2167.7607080463181</v>
      </c>
      <c r="AL69">
        <v>2084.9269185949906</v>
      </c>
      <c r="AM69">
        <v>1870.8875296576234</v>
      </c>
      <c r="AN69">
        <v>1909.4536083103126</v>
      </c>
      <c r="AO69">
        <v>1922.31096734982</v>
      </c>
      <c r="AP69">
        <v>1993.4387080719539</v>
      </c>
      <c r="AQ69">
        <v>1839.5125216017802</v>
      </c>
      <c r="AR69">
        <v>1706.7890355640166</v>
      </c>
      <c r="AS69">
        <v>1791.1370214139577</v>
      </c>
      <c r="AT69">
        <v>1710.8503817023611</v>
      </c>
      <c r="AU69">
        <v>1869.9215570360957</v>
      </c>
      <c r="AV69">
        <v>2209.1143981664063</v>
      </c>
      <c r="AW69">
        <v>2906.9601971406278</v>
      </c>
      <c r="AX69">
        <v>3745.9305717462889</v>
      </c>
      <c r="AY69">
        <v>4645.9248894053117</v>
      </c>
      <c r="AZ69">
        <v>5776.0362448671758</v>
      </c>
      <c r="BA69">
        <v>7072.2469303126627</v>
      </c>
      <c r="BB69">
        <v>6982.4247212059909</v>
      </c>
      <c r="BC69">
        <v>7477.140657230937</v>
      </c>
      <c r="BD69">
        <v>8112.1790112777344</v>
      </c>
      <c r="BE69">
        <v>9316.9895057229751</v>
      </c>
      <c r="BF69">
        <v>10272.95572108411</v>
      </c>
      <c r="BG69">
        <v>10174.419737179884</v>
      </c>
      <c r="BH69">
        <v>8865.335516050538</v>
      </c>
      <c r="BI69">
        <v>7746.4604981891644</v>
      </c>
      <c r="BJ69">
        <v>7447.8890263017192</v>
      </c>
      <c r="BK69">
        <v>7868.3160539169839</v>
      </c>
      <c r="BL69">
        <v>8253.2135701302122</v>
      </c>
      <c r="BM69">
        <v>7914.5577390392427</v>
      </c>
    </row>
    <row r="70" spans="1:65">
      <c r="A70" t="s">
        <v>485</v>
      </c>
      <c r="B70" t="s">
        <v>2264</v>
      </c>
      <c r="C70" t="s">
        <v>2244</v>
      </c>
      <c r="D70" t="s">
        <v>2245</v>
      </c>
      <c r="Q70">
        <v>1746.9984705374022</v>
      </c>
      <c r="R70">
        <v>2213.0896480446745</v>
      </c>
      <c r="S70">
        <v>2698.9463704544482</v>
      </c>
      <c r="T70">
        <v>3107.2013578765541</v>
      </c>
      <c r="U70">
        <v>3283.1462792093557</v>
      </c>
      <c r="V70">
        <v>3501.7814886266901</v>
      </c>
      <c r="W70">
        <v>3955.1635203727928</v>
      </c>
      <c r="X70">
        <v>4890.3193443254877</v>
      </c>
      <c r="Y70">
        <v>5857.9231643992543</v>
      </c>
      <c r="Z70">
        <v>5890.318296442565</v>
      </c>
      <c r="AA70">
        <v>5394.5938845835644</v>
      </c>
      <c r="AB70">
        <v>4822.2870730345976</v>
      </c>
      <c r="AC70">
        <v>4642.9257306528552</v>
      </c>
      <c r="AD70">
        <v>4628.281600121144</v>
      </c>
      <c r="AE70">
        <v>5299.7428502587945</v>
      </c>
      <c r="AF70">
        <v>6705.8939969689509</v>
      </c>
      <c r="AG70">
        <v>8595.6987130870875</v>
      </c>
      <c r="AH70">
        <v>9184.6876481563995</v>
      </c>
      <c r="AI70">
        <v>9869.4996835281127</v>
      </c>
      <c r="AJ70">
        <v>10490.440070701019</v>
      </c>
      <c r="AK70">
        <v>11566.06148345568</v>
      </c>
      <c r="AL70">
        <v>11379.083391944634</v>
      </c>
      <c r="AM70">
        <v>11563.287370147109</v>
      </c>
      <c r="AN70">
        <v>12030.861719005974</v>
      </c>
      <c r="AO70">
        <v>12752.235774352815</v>
      </c>
      <c r="AP70">
        <v>13010.40322377231</v>
      </c>
      <c r="AQ70">
        <v>12611.892826944526</v>
      </c>
      <c r="AR70">
        <v>12483.501032496837</v>
      </c>
      <c r="AS70">
        <v>12578.309591472838</v>
      </c>
      <c r="AT70">
        <v>12166.459015862241</v>
      </c>
      <c r="AU70">
        <v>12102.004813602651</v>
      </c>
      <c r="AV70">
        <v>13675.432189169878</v>
      </c>
      <c r="AW70">
        <v>16633.074225873297</v>
      </c>
      <c r="AX70">
        <v>19258.722971205869</v>
      </c>
      <c r="AY70">
        <v>20869.388962378667</v>
      </c>
      <c r="AZ70">
        <v>22590.468992487247</v>
      </c>
      <c r="BA70">
        <v>24620.791167519492</v>
      </c>
      <c r="BB70">
        <v>24402.649813310225</v>
      </c>
      <c r="BC70">
        <v>24606.648219572213</v>
      </c>
      <c r="BD70">
        <v>25069.707541048661</v>
      </c>
      <c r="BE70">
        <v>25379.12083583045</v>
      </c>
      <c r="BF70">
        <v>26068.599870012833</v>
      </c>
      <c r="BG70">
        <v>26091.415287701213</v>
      </c>
      <c r="BH70">
        <v>24725.678513408871</v>
      </c>
      <c r="BI70">
        <v>23415.919695316719</v>
      </c>
      <c r="BJ70">
        <v>22917.13086605904</v>
      </c>
      <c r="BK70">
        <v>24466.360923762277</v>
      </c>
      <c r="BL70">
        <v>25372.078892419195</v>
      </c>
      <c r="BM70">
        <v>24056.823734464822</v>
      </c>
    </row>
    <row r="71" spans="1:65">
      <c r="A71" t="s">
        <v>191</v>
      </c>
      <c r="B71" t="s">
        <v>406</v>
      </c>
      <c r="C71" t="s">
        <v>2244</v>
      </c>
      <c r="D71" t="s">
        <v>2245</v>
      </c>
      <c r="G71">
        <v>380</v>
      </c>
      <c r="H71">
        <v>350</v>
      </c>
      <c r="I71">
        <v>380</v>
      </c>
      <c r="J71">
        <v>430</v>
      </c>
      <c r="K71">
        <v>450</v>
      </c>
      <c r="L71">
        <v>460</v>
      </c>
      <c r="M71">
        <v>470</v>
      </c>
      <c r="N71">
        <v>500</v>
      </c>
      <c r="O71">
        <v>520</v>
      </c>
      <c r="P71">
        <v>510</v>
      </c>
      <c r="Q71">
        <v>510</v>
      </c>
      <c r="R71">
        <v>600</v>
      </c>
      <c r="S71">
        <v>830</v>
      </c>
      <c r="T71">
        <v>1090</v>
      </c>
      <c r="U71">
        <v>1280</v>
      </c>
      <c r="V71">
        <v>1360</v>
      </c>
      <c r="W71">
        <v>1550</v>
      </c>
      <c r="X71">
        <v>1820</v>
      </c>
      <c r="Y71">
        <v>2110</v>
      </c>
      <c r="Z71">
        <v>2460</v>
      </c>
      <c r="AA71">
        <v>2390</v>
      </c>
      <c r="AB71">
        <v>2110</v>
      </c>
      <c r="AC71">
        <v>1890</v>
      </c>
      <c r="AD71">
        <v>1820</v>
      </c>
      <c r="AE71">
        <v>1770</v>
      </c>
      <c r="AF71">
        <v>1640</v>
      </c>
      <c r="AG71">
        <v>1510</v>
      </c>
      <c r="AH71">
        <v>1360</v>
      </c>
      <c r="AI71">
        <v>1370</v>
      </c>
      <c r="AJ71">
        <v>1480</v>
      </c>
      <c r="AK71">
        <v>1600</v>
      </c>
      <c r="AL71">
        <v>1670</v>
      </c>
      <c r="AM71">
        <v>1820</v>
      </c>
      <c r="AN71">
        <v>1970</v>
      </c>
      <c r="AO71">
        <v>2080</v>
      </c>
      <c r="AP71">
        <v>2180</v>
      </c>
      <c r="AQ71">
        <v>2160</v>
      </c>
      <c r="AR71">
        <v>1780</v>
      </c>
      <c r="AS71">
        <v>1550</v>
      </c>
      <c r="AT71">
        <v>1550</v>
      </c>
      <c r="AU71">
        <v>1730</v>
      </c>
      <c r="AV71">
        <v>2110</v>
      </c>
      <c r="AW71">
        <v>2550</v>
      </c>
      <c r="AX71">
        <v>2880</v>
      </c>
      <c r="AY71">
        <v>3100</v>
      </c>
      <c r="AZ71">
        <v>3300</v>
      </c>
      <c r="BA71">
        <v>3850</v>
      </c>
      <c r="BB71">
        <v>4060</v>
      </c>
      <c r="BC71">
        <v>4400</v>
      </c>
      <c r="BD71">
        <v>4880</v>
      </c>
      <c r="BE71">
        <v>5390</v>
      </c>
      <c r="BF71">
        <v>5810</v>
      </c>
      <c r="BG71">
        <v>6110</v>
      </c>
      <c r="BH71">
        <v>5970</v>
      </c>
      <c r="BI71">
        <v>5800</v>
      </c>
      <c r="BJ71">
        <v>5860</v>
      </c>
      <c r="BK71">
        <v>6090</v>
      </c>
      <c r="BL71">
        <v>6090</v>
      </c>
      <c r="BM71">
        <v>5530</v>
      </c>
    </row>
    <row r="72" spans="1:65">
      <c r="A72" t="s">
        <v>160</v>
      </c>
      <c r="B72" t="s">
        <v>374</v>
      </c>
      <c r="C72" t="s">
        <v>2244</v>
      </c>
      <c r="D72" t="s">
        <v>2245</v>
      </c>
      <c r="L72">
        <v>170</v>
      </c>
      <c r="M72">
        <v>180</v>
      </c>
      <c r="N72">
        <v>190</v>
      </c>
      <c r="O72">
        <v>220</v>
      </c>
      <c r="P72">
        <v>240</v>
      </c>
      <c r="Q72">
        <v>260</v>
      </c>
      <c r="R72">
        <v>290</v>
      </c>
      <c r="S72">
        <v>300</v>
      </c>
      <c r="T72">
        <v>330</v>
      </c>
      <c r="U72">
        <v>350</v>
      </c>
      <c r="V72">
        <v>370</v>
      </c>
      <c r="W72">
        <v>390</v>
      </c>
      <c r="X72">
        <v>420</v>
      </c>
      <c r="Y72">
        <v>490</v>
      </c>
      <c r="Z72">
        <v>520</v>
      </c>
      <c r="AA72">
        <v>550</v>
      </c>
      <c r="AB72">
        <v>560</v>
      </c>
      <c r="AC72">
        <v>640</v>
      </c>
      <c r="AD72">
        <v>680</v>
      </c>
      <c r="AE72">
        <v>740</v>
      </c>
      <c r="AF72">
        <v>870</v>
      </c>
      <c r="AG72">
        <v>840</v>
      </c>
      <c r="AH72">
        <v>780</v>
      </c>
      <c r="AI72">
        <v>760</v>
      </c>
      <c r="AJ72">
        <v>750</v>
      </c>
      <c r="AK72">
        <v>750</v>
      </c>
      <c r="AL72">
        <v>760</v>
      </c>
      <c r="AM72">
        <v>820</v>
      </c>
      <c r="AN72">
        <v>920</v>
      </c>
      <c r="AO72">
        <v>1020</v>
      </c>
      <c r="AP72">
        <v>1130</v>
      </c>
      <c r="AQ72">
        <v>1210</v>
      </c>
      <c r="AR72">
        <v>1310</v>
      </c>
      <c r="AS72">
        <v>1420</v>
      </c>
      <c r="AT72">
        <v>1430</v>
      </c>
      <c r="AU72">
        <v>1330</v>
      </c>
      <c r="AV72">
        <v>1240</v>
      </c>
      <c r="AW72">
        <v>1200</v>
      </c>
      <c r="AX72">
        <v>1220</v>
      </c>
      <c r="AY72">
        <v>1320</v>
      </c>
      <c r="AZ72">
        <v>1530</v>
      </c>
      <c r="BA72">
        <v>1840</v>
      </c>
      <c r="BB72">
        <v>2120</v>
      </c>
      <c r="BC72">
        <v>2370</v>
      </c>
      <c r="BD72">
        <v>2560</v>
      </c>
      <c r="BE72">
        <v>2840</v>
      </c>
      <c r="BF72">
        <v>3030</v>
      </c>
      <c r="BG72">
        <v>3230</v>
      </c>
      <c r="BH72">
        <v>3340</v>
      </c>
      <c r="BI72">
        <v>3440</v>
      </c>
      <c r="BJ72">
        <v>3030</v>
      </c>
      <c r="BK72">
        <v>2790</v>
      </c>
      <c r="BL72">
        <v>2690</v>
      </c>
      <c r="BM72">
        <v>3000</v>
      </c>
    </row>
    <row r="73" spans="1:65">
      <c r="A73" t="s">
        <v>2265</v>
      </c>
      <c r="B73" t="s">
        <v>623</v>
      </c>
      <c r="C73" t="s">
        <v>2244</v>
      </c>
      <c r="D73" t="s">
        <v>2245</v>
      </c>
      <c r="Q73">
        <v>2899.2773328519906</v>
      </c>
      <c r="R73">
        <v>3723.5140390861684</v>
      </c>
      <c r="S73">
        <v>4622.8156113775285</v>
      </c>
      <c r="T73">
        <v>5329.9350562528107</v>
      </c>
      <c r="U73">
        <v>5651.6300901348186</v>
      </c>
      <c r="V73">
        <v>6070.7360898801335</v>
      </c>
      <c r="W73">
        <v>6891.9770098598119</v>
      </c>
      <c r="X73">
        <v>8548.5528302666989</v>
      </c>
      <c r="Y73">
        <v>10265.480164561426</v>
      </c>
      <c r="Z73">
        <v>10165.531342185957</v>
      </c>
      <c r="AA73">
        <v>9203.9295996680976</v>
      </c>
      <c r="AB73">
        <v>8203.8571584250603</v>
      </c>
      <c r="AC73">
        <v>7974.3050903298263</v>
      </c>
      <c r="AD73">
        <v>7987.2885463943912</v>
      </c>
      <c r="AE73">
        <v>9230.2994660249788</v>
      </c>
      <c r="AF73">
        <v>11815.779290305687</v>
      </c>
      <c r="AG73">
        <v>15367.151495695996</v>
      </c>
      <c r="AH73">
        <v>16472.5338675315</v>
      </c>
      <c r="AI73">
        <v>17757.869082122947</v>
      </c>
      <c r="AJ73">
        <v>18996.885254342997</v>
      </c>
      <c r="AK73">
        <v>21316.62635033669</v>
      </c>
      <c r="AL73">
        <v>20989.463902421376</v>
      </c>
      <c r="AM73">
        <v>21525.74087361075</v>
      </c>
      <c r="AN73">
        <v>22654.452784399306</v>
      </c>
      <c r="AO73">
        <v>23912.436026742798</v>
      </c>
      <c r="AP73">
        <v>23860.471363142453</v>
      </c>
      <c r="AQ73">
        <v>22815.467995351966</v>
      </c>
      <c r="AR73">
        <v>22413.463633454066</v>
      </c>
      <c r="AS73">
        <v>22209.799463905751</v>
      </c>
      <c r="AT73">
        <v>21290.932146151048</v>
      </c>
      <c r="AU73">
        <v>20776.899367966609</v>
      </c>
      <c r="AV73">
        <v>23374.014186847136</v>
      </c>
      <c r="AW73">
        <v>28384.818813205195</v>
      </c>
      <c r="AX73">
        <v>32458.689262429398</v>
      </c>
      <c r="AY73">
        <v>34589.846410275968</v>
      </c>
      <c r="AZ73">
        <v>36746.315929960016</v>
      </c>
      <c r="BA73">
        <v>39610.818903805368</v>
      </c>
      <c r="BB73">
        <v>39760.065543467899</v>
      </c>
      <c r="BC73">
        <v>39883.578488089246</v>
      </c>
      <c r="BD73">
        <v>40383.935356986607</v>
      </c>
      <c r="BE73">
        <v>39315.873937137723</v>
      </c>
      <c r="BF73">
        <v>39502.755539950631</v>
      </c>
      <c r="BG73">
        <v>39387.99305413977</v>
      </c>
      <c r="BH73">
        <v>37741.240298805387</v>
      </c>
      <c r="BI73">
        <v>36360.027701543928</v>
      </c>
      <c r="BJ73">
        <v>35887.83450034244</v>
      </c>
      <c r="BK73">
        <v>38869.818610142887</v>
      </c>
      <c r="BL73">
        <v>40308.20160061006</v>
      </c>
      <c r="BM73">
        <v>38125.185682495852</v>
      </c>
    </row>
    <row r="74" spans="1:65">
      <c r="A74" t="s">
        <v>102</v>
      </c>
      <c r="B74" t="s">
        <v>315</v>
      </c>
      <c r="C74" t="s">
        <v>2244</v>
      </c>
      <c r="D74" t="s">
        <v>2245</v>
      </c>
      <c r="AM74">
        <v>270</v>
      </c>
      <c r="AN74">
        <v>270</v>
      </c>
      <c r="AO74">
        <v>300</v>
      </c>
      <c r="AP74">
        <v>320</v>
      </c>
      <c r="AQ74">
        <v>330</v>
      </c>
      <c r="AR74">
        <v>310</v>
      </c>
      <c r="AS74">
        <v>300</v>
      </c>
      <c r="AT74">
        <v>310</v>
      </c>
      <c r="AU74">
        <v>300</v>
      </c>
      <c r="AV74">
        <v>300</v>
      </c>
      <c r="AW74">
        <v>340</v>
      </c>
      <c r="AX74">
        <v>390</v>
      </c>
      <c r="AY74">
        <v>410</v>
      </c>
      <c r="AZ74">
        <v>420</v>
      </c>
      <c r="BA74">
        <v>410</v>
      </c>
      <c r="BB74">
        <v>480</v>
      </c>
      <c r="BC74">
        <v>510</v>
      </c>
      <c r="BD74">
        <v>600</v>
      </c>
    </row>
    <row r="75" spans="1:65">
      <c r="A75" t="s">
        <v>69</v>
      </c>
      <c r="B75" t="s">
        <v>448</v>
      </c>
      <c r="C75" t="s">
        <v>2244</v>
      </c>
      <c r="D75" t="s">
        <v>2245</v>
      </c>
      <c r="G75">
        <v>500</v>
      </c>
      <c r="H75">
        <v>570</v>
      </c>
      <c r="I75">
        <v>640</v>
      </c>
      <c r="J75">
        <v>730</v>
      </c>
      <c r="K75">
        <v>840</v>
      </c>
      <c r="L75">
        <v>930</v>
      </c>
      <c r="M75">
        <v>1010</v>
      </c>
      <c r="N75">
        <v>1110</v>
      </c>
      <c r="O75">
        <v>1170</v>
      </c>
      <c r="P75">
        <v>1310</v>
      </c>
      <c r="Q75">
        <v>1590</v>
      </c>
      <c r="R75">
        <v>2090</v>
      </c>
      <c r="S75">
        <v>2730</v>
      </c>
      <c r="T75">
        <v>3240</v>
      </c>
      <c r="U75">
        <v>3430</v>
      </c>
      <c r="V75">
        <v>3640</v>
      </c>
      <c r="W75">
        <v>4040</v>
      </c>
      <c r="X75">
        <v>5010</v>
      </c>
      <c r="Y75">
        <v>6210</v>
      </c>
      <c r="Z75">
        <v>6310</v>
      </c>
      <c r="AA75">
        <v>5680</v>
      </c>
      <c r="AB75">
        <v>4860</v>
      </c>
      <c r="AC75">
        <v>4580</v>
      </c>
      <c r="AD75">
        <v>4550</v>
      </c>
      <c r="AE75">
        <v>5400</v>
      </c>
      <c r="AF75">
        <v>7110</v>
      </c>
      <c r="AG75">
        <v>9410</v>
      </c>
      <c r="AH75">
        <v>10700</v>
      </c>
      <c r="AI75">
        <v>12210</v>
      </c>
      <c r="AJ75">
        <v>13700</v>
      </c>
      <c r="AK75">
        <v>15610</v>
      </c>
      <c r="AL75">
        <v>15010</v>
      </c>
      <c r="AM75">
        <v>14470</v>
      </c>
      <c r="AN75">
        <v>14830</v>
      </c>
      <c r="AO75">
        <v>15560</v>
      </c>
      <c r="AP75">
        <v>15820</v>
      </c>
      <c r="AQ75">
        <v>15440</v>
      </c>
      <c r="AR75">
        <v>15480</v>
      </c>
      <c r="AS75">
        <v>15790</v>
      </c>
      <c r="AT75">
        <v>15540</v>
      </c>
      <c r="AU75">
        <v>15630</v>
      </c>
      <c r="AV75">
        <v>18080</v>
      </c>
      <c r="AW75">
        <v>22130</v>
      </c>
      <c r="AX75">
        <v>25910</v>
      </c>
      <c r="AY75">
        <v>27850</v>
      </c>
      <c r="AZ75">
        <v>29770</v>
      </c>
      <c r="BA75">
        <v>32250</v>
      </c>
      <c r="BB75">
        <v>32560</v>
      </c>
      <c r="BC75">
        <v>31970</v>
      </c>
      <c r="BD75">
        <v>31020</v>
      </c>
      <c r="BE75">
        <v>29540</v>
      </c>
      <c r="BF75">
        <v>29230</v>
      </c>
      <c r="BG75">
        <v>29140</v>
      </c>
      <c r="BH75">
        <v>28450</v>
      </c>
      <c r="BI75">
        <v>27550</v>
      </c>
      <c r="BJ75">
        <v>27100</v>
      </c>
      <c r="BK75">
        <v>29310</v>
      </c>
      <c r="BL75">
        <v>30380</v>
      </c>
      <c r="BM75">
        <v>27360</v>
      </c>
    </row>
    <row r="76" spans="1:65">
      <c r="A76" t="s">
        <v>248</v>
      </c>
      <c r="B76" t="s">
        <v>515</v>
      </c>
      <c r="C76" t="s">
        <v>2244</v>
      </c>
      <c r="D76" t="s">
        <v>2245</v>
      </c>
      <c r="AS76">
        <v>4170</v>
      </c>
      <c r="AT76">
        <v>4310</v>
      </c>
      <c r="AU76">
        <v>4620</v>
      </c>
      <c r="AV76">
        <v>5730</v>
      </c>
      <c r="AW76">
        <v>7500</v>
      </c>
      <c r="AX76">
        <v>9730</v>
      </c>
      <c r="AY76">
        <v>11500</v>
      </c>
      <c r="AZ76">
        <v>13430</v>
      </c>
      <c r="BA76">
        <v>15210</v>
      </c>
      <c r="BB76">
        <v>14650</v>
      </c>
      <c r="BC76">
        <v>14710</v>
      </c>
      <c r="BD76">
        <v>15990</v>
      </c>
      <c r="BE76">
        <v>16890</v>
      </c>
      <c r="BF76">
        <v>18260</v>
      </c>
      <c r="BG76">
        <v>19010</v>
      </c>
      <c r="BH76">
        <v>18710</v>
      </c>
      <c r="BI76">
        <v>18440</v>
      </c>
      <c r="BJ76">
        <v>18790</v>
      </c>
      <c r="BK76">
        <v>21330</v>
      </c>
      <c r="BL76">
        <v>23270</v>
      </c>
    </row>
    <row r="77" spans="1:65">
      <c r="A77" t="s">
        <v>115</v>
      </c>
      <c r="B77" t="s">
        <v>328</v>
      </c>
      <c r="C77" t="s">
        <v>2244</v>
      </c>
      <c r="D77" t="s">
        <v>2245</v>
      </c>
      <c r="AB77">
        <v>210</v>
      </c>
      <c r="AC77">
        <v>200</v>
      </c>
      <c r="AD77">
        <v>190</v>
      </c>
      <c r="AE77">
        <v>230</v>
      </c>
      <c r="AF77">
        <v>280</v>
      </c>
      <c r="AG77">
        <v>270</v>
      </c>
      <c r="AH77">
        <v>260</v>
      </c>
      <c r="AI77">
        <v>260</v>
      </c>
      <c r="AJ77">
        <v>250</v>
      </c>
      <c r="AK77">
        <v>220</v>
      </c>
      <c r="AL77">
        <v>210</v>
      </c>
      <c r="AM77">
        <v>160</v>
      </c>
      <c r="AN77">
        <v>150</v>
      </c>
      <c r="AO77">
        <v>150</v>
      </c>
      <c r="AP77">
        <v>140</v>
      </c>
      <c r="AQ77">
        <v>130</v>
      </c>
      <c r="AR77">
        <v>120</v>
      </c>
      <c r="AS77">
        <v>130</v>
      </c>
      <c r="AT77">
        <v>130</v>
      </c>
      <c r="AU77">
        <v>120</v>
      </c>
      <c r="AV77">
        <v>110</v>
      </c>
      <c r="AW77">
        <v>140</v>
      </c>
      <c r="AX77">
        <v>160</v>
      </c>
      <c r="AY77">
        <v>180</v>
      </c>
      <c r="AZ77">
        <v>220</v>
      </c>
      <c r="BA77">
        <v>280</v>
      </c>
      <c r="BB77">
        <v>340</v>
      </c>
      <c r="BC77">
        <v>380</v>
      </c>
      <c r="BD77">
        <v>390</v>
      </c>
      <c r="BE77">
        <v>410</v>
      </c>
      <c r="BF77">
        <v>470</v>
      </c>
      <c r="BG77">
        <v>550</v>
      </c>
      <c r="BH77">
        <v>600</v>
      </c>
      <c r="BI77">
        <v>670</v>
      </c>
      <c r="BJ77">
        <v>740</v>
      </c>
      <c r="BK77">
        <v>800</v>
      </c>
      <c r="BL77">
        <v>850</v>
      </c>
      <c r="BM77">
        <v>890</v>
      </c>
    </row>
    <row r="78" spans="1:65">
      <c r="A78" t="s">
        <v>2150</v>
      </c>
      <c r="B78" t="s">
        <v>2266</v>
      </c>
      <c r="C78" t="s">
        <v>2244</v>
      </c>
      <c r="D78" t="s">
        <v>2245</v>
      </c>
      <c r="Q78">
        <v>2412.8148496040708</v>
      </c>
      <c r="R78">
        <v>3093.0895371225806</v>
      </c>
      <c r="S78">
        <v>3832.0987454237697</v>
      </c>
      <c r="T78">
        <v>4423.5768843554142</v>
      </c>
      <c r="U78">
        <v>4689.8711716216776</v>
      </c>
      <c r="V78">
        <v>5030.2663273984936</v>
      </c>
      <c r="W78">
        <v>5700.2930844914899</v>
      </c>
      <c r="X78">
        <v>7049.0065908023371</v>
      </c>
      <c r="Y78">
        <v>8435.6089467088386</v>
      </c>
      <c r="Z78">
        <v>8347.8847521658172</v>
      </c>
      <c r="AA78">
        <v>7550.6166452077068</v>
      </c>
      <c r="AB78">
        <v>6717.4898056278344</v>
      </c>
      <c r="AC78">
        <v>6523.0812115612807</v>
      </c>
      <c r="AD78">
        <v>6533.2429329819233</v>
      </c>
      <c r="AE78">
        <v>7555.3862052329214</v>
      </c>
      <c r="AF78">
        <v>9659.1031330276783</v>
      </c>
      <c r="AG78">
        <v>12519.572743510204</v>
      </c>
      <c r="AH78">
        <v>13414.374958168561</v>
      </c>
      <c r="AI78">
        <v>14446.789596593082</v>
      </c>
      <c r="AJ78">
        <v>15443.749874764088</v>
      </c>
      <c r="AK78">
        <v>17322.534374884443</v>
      </c>
      <c r="AL78">
        <v>17057.438003965468</v>
      </c>
      <c r="AM78">
        <v>17532.640022848205</v>
      </c>
      <c r="AN78">
        <v>18514.405497670145</v>
      </c>
      <c r="AO78">
        <v>19634.107613678389</v>
      </c>
      <c r="AP78">
        <v>19673.613595373685</v>
      </c>
      <c r="AQ78">
        <v>18888.796148825222</v>
      </c>
      <c r="AR78">
        <v>18610.753336267448</v>
      </c>
      <c r="AS78">
        <v>18527.838179365637</v>
      </c>
      <c r="AT78">
        <v>17836.475745841664</v>
      </c>
      <c r="AU78">
        <v>17520.642789344543</v>
      </c>
      <c r="AV78">
        <v>19778.53687493004</v>
      </c>
      <c r="AW78">
        <v>24059.568863325159</v>
      </c>
      <c r="AX78">
        <v>27642.789949182654</v>
      </c>
      <c r="AY78">
        <v>29631.280439591075</v>
      </c>
      <c r="AZ78">
        <v>31682.175900399176</v>
      </c>
      <c r="BA78">
        <v>34455.993925915718</v>
      </c>
      <c r="BB78">
        <v>34614.720428780245</v>
      </c>
      <c r="BC78">
        <v>34804.907400581331</v>
      </c>
      <c r="BD78">
        <v>35262.643012364839</v>
      </c>
      <c r="BE78">
        <v>34543.500654116237</v>
      </c>
      <c r="BF78">
        <v>34849.237517204543</v>
      </c>
      <c r="BG78">
        <v>34817.382786620423</v>
      </c>
      <c r="BH78">
        <v>33421.070386741041</v>
      </c>
      <c r="BI78">
        <v>32199.789099447913</v>
      </c>
      <c r="BJ78">
        <v>31863.49310482615</v>
      </c>
      <c r="BK78">
        <v>34586.194439878083</v>
      </c>
      <c r="BL78">
        <v>36000.05303431931</v>
      </c>
      <c r="BM78">
        <v>34260.433374997883</v>
      </c>
    </row>
    <row r="79" spans="1:65">
      <c r="A79" t="s">
        <v>2267</v>
      </c>
      <c r="B79" t="s">
        <v>2268</v>
      </c>
      <c r="C79" t="s">
        <v>2244</v>
      </c>
      <c r="D79" t="s">
        <v>2245</v>
      </c>
      <c r="Y79">
        <v>918.42278065041376</v>
      </c>
      <c r="Z79">
        <v>1013.2403434900889</v>
      </c>
      <c r="AA79">
        <v>1075.8018067959374</v>
      </c>
      <c r="AB79">
        <v>1065.1857338508376</v>
      </c>
      <c r="AC79">
        <v>949.82702286890969</v>
      </c>
      <c r="AD79">
        <v>907.66994634424987</v>
      </c>
      <c r="AE79">
        <v>902.07063277169482</v>
      </c>
      <c r="AF79">
        <v>932.6018154228218</v>
      </c>
      <c r="AG79">
        <v>949.67831688674994</v>
      </c>
      <c r="AH79">
        <v>842.25078424168146</v>
      </c>
      <c r="AI79">
        <v>1025.4887701077671</v>
      </c>
      <c r="AJ79">
        <v>595.41136049467241</v>
      </c>
      <c r="AK79">
        <v>591.16642169208421</v>
      </c>
      <c r="AL79">
        <v>534.29814601932549</v>
      </c>
      <c r="AM79">
        <v>495.9063332319663</v>
      </c>
      <c r="AN79">
        <v>519.53391205261971</v>
      </c>
      <c r="AO79">
        <v>563.69707988567347</v>
      </c>
      <c r="AP79">
        <v>628.66588046701872</v>
      </c>
      <c r="AQ79">
        <v>630.31475159049808</v>
      </c>
      <c r="AR79">
        <v>664.33171967407191</v>
      </c>
      <c r="AS79">
        <v>718.76822482826412</v>
      </c>
      <c r="AT79">
        <v>776.13360673890281</v>
      </c>
      <c r="AU79">
        <v>771.02482277827266</v>
      </c>
      <c r="AV79">
        <v>763.83313768122707</v>
      </c>
      <c r="AW79">
        <v>905.71721901708918</v>
      </c>
      <c r="AX79">
        <v>1049.9535424553196</v>
      </c>
      <c r="AY79">
        <v>1261.3900197629753</v>
      </c>
      <c r="AZ79">
        <v>1500.9390344675123</v>
      </c>
      <c r="BA79">
        <v>1815.8385789625891</v>
      </c>
      <c r="BB79">
        <v>1973.1340936001036</v>
      </c>
      <c r="BC79">
        <v>2128.2836313908747</v>
      </c>
      <c r="BD79">
        <v>1958.7893120020315</v>
      </c>
      <c r="BE79">
        <v>2117.5055623883009</v>
      </c>
      <c r="BF79">
        <v>2180.2462349678358</v>
      </c>
      <c r="BG79">
        <v>2261.0175628621341</v>
      </c>
      <c r="BH79">
        <v>1988.4079378567369</v>
      </c>
      <c r="BI79">
        <v>1802.9731107138171</v>
      </c>
      <c r="BJ79">
        <v>1659.0506273331282</v>
      </c>
      <c r="BK79">
        <v>1674.8703667158045</v>
      </c>
      <c r="BL79">
        <v>1757.8862983241702</v>
      </c>
      <c r="BM79">
        <v>1629.6181019873322</v>
      </c>
    </row>
    <row r="80" spans="1:65">
      <c r="A80" t="s">
        <v>50</v>
      </c>
      <c r="B80" t="s">
        <v>459</v>
      </c>
      <c r="C80" t="s">
        <v>2244</v>
      </c>
      <c r="D80" t="s">
        <v>2245</v>
      </c>
      <c r="G80">
        <v>1370</v>
      </c>
      <c r="H80">
        <v>1470</v>
      </c>
      <c r="I80">
        <v>1620</v>
      </c>
      <c r="J80">
        <v>1810</v>
      </c>
      <c r="K80">
        <v>1970</v>
      </c>
      <c r="L80">
        <v>2060</v>
      </c>
      <c r="M80">
        <v>2090</v>
      </c>
      <c r="N80">
        <v>2270</v>
      </c>
      <c r="O80">
        <v>2460</v>
      </c>
      <c r="P80">
        <v>2690</v>
      </c>
      <c r="Q80">
        <v>3170</v>
      </c>
      <c r="R80">
        <v>4030</v>
      </c>
      <c r="S80">
        <v>5130</v>
      </c>
      <c r="T80">
        <v>6320</v>
      </c>
      <c r="U80">
        <v>6840</v>
      </c>
      <c r="V80">
        <v>7190</v>
      </c>
      <c r="W80">
        <v>7910</v>
      </c>
      <c r="X80">
        <v>9540</v>
      </c>
      <c r="Y80">
        <v>11450</v>
      </c>
      <c r="Z80">
        <v>11980</v>
      </c>
      <c r="AA80">
        <v>11700</v>
      </c>
      <c r="AB80">
        <v>10840</v>
      </c>
      <c r="AC80">
        <v>10790</v>
      </c>
      <c r="AD80">
        <v>11130</v>
      </c>
      <c r="AE80">
        <v>13010</v>
      </c>
      <c r="AF80">
        <v>16480</v>
      </c>
      <c r="AG80">
        <v>21540</v>
      </c>
      <c r="AH80">
        <v>24110</v>
      </c>
      <c r="AI80">
        <v>26000</v>
      </c>
      <c r="AJ80">
        <v>25100</v>
      </c>
      <c r="AK80">
        <v>24170</v>
      </c>
      <c r="AL80">
        <v>20680</v>
      </c>
      <c r="AM80">
        <v>20170</v>
      </c>
      <c r="AN80">
        <v>22030</v>
      </c>
      <c r="AO80">
        <v>24970</v>
      </c>
      <c r="AP80">
        <v>26680</v>
      </c>
      <c r="AQ80">
        <v>25820</v>
      </c>
      <c r="AR80">
        <v>26050</v>
      </c>
      <c r="AS80">
        <v>26480</v>
      </c>
      <c r="AT80">
        <v>25850</v>
      </c>
      <c r="AU80">
        <v>25620</v>
      </c>
      <c r="AV80">
        <v>28800</v>
      </c>
      <c r="AW80">
        <v>35380</v>
      </c>
      <c r="AX80">
        <v>40230</v>
      </c>
      <c r="AY80">
        <v>42840</v>
      </c>
      <c r="AZ80">
        <v>46190</v>
      </c>
      <c r="BA80">
        <v>50160</v>
      </c>
      <c r="BB80">
        <v>48950</v>
      </c>
      <c r="BC80">
        <v>49750</v>
      </c>
      <c r="BD80">
        <v>50260</v>
      </c>
      <c r="BE80">
        <v>48970</v>
      </c>
      <c r="BF80">
        <v>49510</v>
      </c>
      <c r="BG80">
        <v>49420</v>
      </c>
      <c r="BH80">
        <v>47180</v>
      </c>
      <c r="BI80">
        <v>45530</v>
      </c>
      <c r="BJ80">
        <v>44840</v>
      </c>
      <c r="BK80">
        <v>48220</v>
      </c>
      <c r="BL80">
        <v>49990</v>
      </c>
      <c r="BM80">
        <v>49800</v>
      </c>
    </row>
    <row r="81" spans="1:65">
      <c r="A81" t="s">
        <v>181</v>
      </c>
      <c r="B81" t="s">
        <v>396</v>
      </c>
      <c r="C81" t="s">
        <v>2244</v>
      </c>
      <c r="D81" t="s">
        <v>2245</v>
      </c>
      <c r="G81">
        <v>280</v>
      </c>
      <c r="H81">
        <v>290</v>
      </c>
      <c r="I81">
        <v>300</v>
      </c>
      <c r="J81">
        <v>290</v>
      </c>
      <c r="K81">
        <v>300</v>
      </c>
      <c r="L81">
        <v>340</v>
      </c>
      <c r="M81">
        <v>350</v>
      </c>
      <c r="N81">
        <v>350</v>
      </c>
      <c r="O81">
        <v>400</v>
      </c>
      <c r="P81">
        <v>440</v>
      </c>
      <c r="Q81">
        <v>530</v>
      </c>
      <c r="R81">
        <v>720</v>
      </c>
      <c r="S81">
        <v>930</v>
      </c>
      <c r="T81">
        <v>1120</v>
      </c>
      <c r="U81">
        <v>1220</v>
      </c>
      <c r="V81">
        <v>1300</v>
      </c>
      <c r="W81">
        <v>1360</v>
      </c>
      <c r="X81">
        <v>1660</v>
      </c>
      <c r="Y81">
        <v>1870</v>
      </c>
      <c r="Z81">
        <v>2040</v>
      </c>
      <c r="AA81">
        <v>1800</v>
      </c>
      <c r="AB81">
        <v>1580</v>
      </c>
      <c r="AC81">
        <v>1660</v>
      </c>
      <c r="AD81">
        <v>1580</v>
      </c>
      <c r="AE81">
        <v>1790</v>
      </c>
      <c r="AF81">
        <v>1770</v>
      </c>
      <c r="AG81">
        <v>1790</v>
      </c>
      <c r="AH81">
        <v>1790</v>
      </c>
      <c r="AI81">
        <v>1790</v>
      </c>
      <c r="AJ81">
        <v>1790</v>
      </c>
      <c r="AK81">
        <v>1990</v>
      </c>
      <c r="AL81">
        <v>2090</v>
      </c>
      <c r="AM81">
        <v>2230</v>
      </c>
      <c r="AN81">
        <v>2460</v>
      </c>
      <c r="AO81">
        <v>2660</v>
      </c>
      <c r="AP81">
        <v>2580</v>
      </c>
      <c r="AQ81">
        <v>2290</v>
      </c>
      <c r="AR81">
        <v>2350</v>
      </c>
      <c r="AS81">
        <v>2230</v>
      </c>
      <c r="AT81">
        <v>2140</v>
      </c>
      <c r="AU81">
        <v>2160</v>
      </c>
      <c r="AV81">
        <v>2410</v>
      </c>
      <c r="AW81">
        <v>3020</v>
      </c>
      <c r="AX81">
        <v>3570</v>
      </c>
      <c r="AY81">
        <v>3590</v>
      </c>
      <c r="AZ81">
        <v>3790</v>
      </c>
      <c r="BA81">
        <v>3980</v>
      </c>
      <c r="BB81">
        <v>3850</v>
      </c>
      <c r="BC81">
        <v>3650</v>
      </c>
      <c r="BD81">
        <v>3770</v>
      </c>
      <c r="BE81">
        <v>4140</v>
      </c>
      <c r="BF81">
        <v>4710</v>
      </c>
      <c r="BG81">
        <v>5020</v>
      </c>
      <c r="BH81">
        <v>5100</v>
      </c>
      <c r="BI81">
        <v>5280</v>
      </c>
      <c r="BJ81">
        <v>5370</v>
      </c>
      <c r="BK81">
        <v>5910</v>
      </c>
      <c r="BL81">
        <v>5800</v>
      </c>
      <c r="BM81">
        <v>4890</v>
      </c>
    </row>
    <row r="82" spans="1:65">
      <c r="A82" t="s">
        <v>55</v>
      </c>
      <c r="B82" t="s">
        <v>452</v>
      </c>
      <c r="C82" t="s">
        <v>2244</v>
      </c>
      <c r="D82" t="s">
        <v>2245</v>
      </c>
      <c r="G82">
        <v>1550</v>
      </c>
      <c r="H82">
        <v>1700</v>
      </c>
      <c r="I82">
        <v>1870</v>
      </c>
      <c r="J82">
        <v>2030</v>
      </c>
      <c r="K82">
        <v>2200</v>
      </c>
      <c r="L82">
        <v>2360</v>
      </c>
      <c r="M82">
        <v>2560</v>
      </c>
      <c r="N82">
        <v>2820</v>
      </c>
      <c r="O82">
        <v>3020</v>
      </c>
      <c r="P82">
        <v>3250</v>
      </c>
      <c r="Q82">
        <v>3670</v>
      </c>
      <c r="R82">
        <v>4690</v>
      </c>
      <c r="S82">
        <v>5790</v>
      </c>
      <c r="T82">
        <v>6720</v>
      </c>
      <c r="U82">
        <v>7140</v>
      </c>
      <c r="V82">
        <v>7810</v>
      </c>
      <c r="W82">
        <v>8830</v>
      </c>
      <c r="X82">
        <v>10820</v>
      </c>
      <c r="Y82">
        <v>13080</v>
      </c>
      <c r="Z82">
        <v>13190</v>
      </c>
      <c r="AA82">
        <v>12040</v>
      </c>
      <c r="AB82">
        <v>10450</v>
      </c>
      <c r="AC82">
        <v>9820</v>
      </c>
      <c r="AD82">
        <v>9770</v>
      </c>
      <c r="AE82">
        <v>11330</v>
      </c>
      <c r="AF82">
        <v>14460</v>
      </c>
      <c r="AG82">
        <v>18520</v>
      </c>
      <c r="AH82">
        <v>19490</v>
      </c>
      <c r="AI82">
        <v>20640</v>
      </c>
      <c r="AJ82">
        <v>21420</v>
      </c>
      <c r="AK82">
        <v>23840</v>
      </c>
      <c r="AL82">
        <v>23580</v>
      </c>
      <c r="AM82">
        <v>24380</v>
      </c>
      <c r="AN82">
        <v>25740</v>
      </c>
      <c r="AO82">
        <v>27110</v>
      </c>
      <c r="AP82">
        <v>26930</v>
      </c>
      <c r="AQ82">
        <v>25830</v>
      </c>
      <c r="AR82">
        <v>25430</v>
      </c>
      <c r="AS82">
        <v>24990</v>
      </c>
      <c r="AT82">
        <v>23870</v>
      </c>
      <c r="AU82">
        <v>23150</v>
      </c>
      <c r="AV82">
        <v>26000</v>
      </c>
      <c r="AW82">
        <v>31460</v>
      </c>
      <c r="AX82">
        <v>35920</v>
      </c>
      <c r="AY82">
        <v>37890</v>
      </c>
      <c r="AZ82">
        <v>40160</v>
      </c>
      <c r="BA82">
        <v>43540</v>
      </c>
      <c r="BB82">
        <v>44070</v>
      </c>
      <c r="BC82">
        <v>43970</v>
      </c>
      <c r="BD82">
        <v>44440</v>
      </c>
      <c r="BE82">
        <v>43410</v>
      </c>
      <c r="BF82">
        <v>43800</v>
      </c>
      <c r="BG82">
        <v>43340</v>
      </c>
      <c r="BH82">
        <v>41130</v>
      </c>
      <c r="BI82">
        <v>39100</v>
      </c>
      <c r="BJ82">
        <v>38320</v>
      </c>
      <c r="BK82">
        <v>41200</v>
      </c>
      <c r="BL82">
        <v>42550</v>
      </c>
      <c r="BM82">
        <v>39500</v>
      </c>
    </row>
    <row r="83" spans="1:65">
      <c r="A83" t="s">
        <v>522</v>
      </c>
      <c r="B83" t="s">
        <v>523</v>
      </c>
      <c r="C83" t="s">
        <v>2244</v>
      </c>
      <c r="D83" t="s">
        <v>2245</v>
      </c>
    </row>
    <row r="84" spans="1:65">
      <c r="A84" t="s">
        <v>169</v>
      </c>
      <c r="B84" t="s">
        <v>383</v>
      </c>
      <c r="C84" t="s">
        <v>2244</v>
      </c>
      <c r="D84" t="s">
        <v>2245</v>
      </c>
      <c r="AL84">
        <v>2120</v>
      </c>
      <c r="AM84">
        <v>2130</v>
      </c>
      <c r="AN84">
        <v>2200</v>
      </c>
      <c r="AO84">
        <v>2140</v>
      </c>
      <c r="AP84">
        <v>1930</v>
      </c>
      <c r="AQ84">
        <v>1950</v>
      </c>
      <c r="AR84">
        <v>2050</v>
      </c>
      <c r="AS84">
        <v>2210</v>
      </c>
      <c r="AT84">
        <v>2260</v>
      </c>
      <c r="AU84">
        <v>2270</v>
      </c>
      <c r="AV84">
        <v>2380</v>
      </c>
      <c r="AW84">
        <v>2440</v>
      </c>
      <c r="AX84">
        <v>2560</v>
      </c>
      <c r="AY84">
        <v>2560</v>
      </c>
      <c r="AZ84">
        <v>2570</v>
      </c>
      <c r="BA84">
        <v>2590</v>
      </c>
      <c r="BB84">
        <v>2820</v>
      </c>
      <c r="BC84">
        <v>2900</v>
      </c>
      <c r="BD84">
        <v>3070</v>
      </c>
      <c r="BE84">
        <v>3150</v>
      </c>
      <c r="BF84">
        <v>3180</v>
      </c>
      <c r="BG84">
        <v>3150</v>
      </c>
      <c r="BH84">
        <v>3490</v>
      </c>
      <c r="BI84">
        <v>3410</v>
      </c>
      <c r="BJ84">
        <v>3450</v>
      </c>
      <c r="BK84">
        <v>3400</v>
      </c>
      <c r="BL84">
        <v>3930</v>
      </c>
      <c r="BM84">
        <v>3950</v>
      </c>
    </row>
    <row r="85" spans="1:65">
      <c r="A85" t="s">
        <v>201</v>
      </c>
      <c r="B85" t="s">
        <v>416</v>
      </c>
      <c r="C85" t="s">
        <v>2244</v>
      </c>
      <c r="D85" t="s">
        <v>2245</v>
      </c>
      <c r="G85">
        <v>330</v>
      </c>
      <c r="H85">
        <v>410</v>
      </c>
      <c r="I85">
        <v>340</v>
      </c>
      <c r="J85">
        <v>360</v>
      </c>
      <c r="K85">
        <v>420</v>
      </c>
      <c r="L85">
        <v>440</v>
      </c>
      <c r="M85">
        <v>460</v>
      </c>
      <c r="N85">
        <v>530</v>
      </c>
      <c r="O85">
        <v>570</v>
      </c>
      <c r="P85">
        <v>610</v>
      </c>
      <c r="Q85">
        <v>690</v>
      </c>
      <c r="R85">
        <v>910</v>
      </c>
      <c r="S85">
        <v>1700</v>
      </c>
      <c r="T85">
        <v>2870</v>
      </c>
      <c r="U85">
        <v>4450</v>
      </c>
      <c r="V85">
        <v>4010</v>
      </c>
      <c r="W85">
        <v>3090</v>
      </c>
      <c r="X85">
        <v>3520</v>
      </c>
      <c r="Y85">
        <v>4590</v>
      </c>
      <c r="Z85">
        <v>5290</v>
      </c>
      <c r="AA85">
        <v>4840</v>
      </c>
      <c r="AB85">
        <v>4260</v>
      </c>
      <c r="AC85">
        <v>4310</v>
      </c>
      <c r="AD85">
        <v>3860</v>
      </c>
      <c r="AE85">
        <v>3840</v>
      </c>
      <c r="AF85">
        <v>3430</v>
      </c>
      <c r="AG85">
        <v>4150</v>
      </c>
      <c r="AH85">
        <v>4580</v>
      </c>
      <c r="AI85">
        <v>4820</v>
      </c>
      <c r="AJ85">
        <v>5170</v>
      </c>
      <c r="AK85">
        <v>5120</v>
      </c>
      <c r="AL85">
        <v>4430</v>
      </c>
      <c r="AM85">
        <v>4130</v>
      </c>
      <c r="AN85">
        <v>3910</v>
      </c>
      <c r="AO85">
        <v>4100</v>
      </c>
      <c r="AP85">
        <v>4270</v>
      </c>
      <c r="AQ85">
        <v>3940</v>
      </c>
      <c r="AR85">
        <v>3280</v>
      </c>
      <c r="AS85">
        <v>3100</v>
      </c>
      <c r="AT85">
        <v>3430</v>
      </c>
      <c r="AU85">
        <v>3610</v>
      </c>
      <c r="AV85">
        <v>3880</v>
      </c>
      <c r="AW85">
        <v>4310</v>
      </c>
      <c r="AX85">
        <v>5520</v>
      </c>
      <c r="AY85">
        <v>5740</v>
      </c>
      <c r="AZ85">
        <v>6590</v>
      </c>
      <c r="BA85">
        <v>7320</v>
      </c>
      <c r="BB85">
        <v>7590</v>
      </c>
      <c r="BC85">
        <v>7850</v>
      </c>
      <c r="BD85">
        <v>8120</v>
      </c>
      <c r="BE85">
        <v>9090</v>
      </c>
      <c r="BF85">
        <v>9330</v>
      </c>
      <c r="BG85">
        <v>9330</v>
      </c>
      <c r="BH85">
        <v>7970</v>
      </c>
      <c r="BI85">
        <v>7080</v>
      </c>
      <c r="BJ85">
        <v>6510</v>
      </c>
      <c r="BK85">
        <v>6830</v>
      </c>
      <c r="BL85">
        <v>7170</v>
      </c>
      <c r="BM85">
        <v>7030</v>
      </c>
    </row>
    <row r="86" spans="1:65">
      <c r="A86" t="s">
        <v>72</v>
      </c>
      <c r="B86" t="s">
        <v>454</v>
      </c>
      <c r="C86" t="s">
        <v>2244</v>
      </c>
      <c r="D86" t="s">
        <v>2245</v>
      </c>
      <c r="O86">
        <v>2530</v>
      </c>
      <c r="P86">
        <v>2790</v>
      </c>
      <c r="Q86">
        <v>3200</v>
      </c>
      <c r="R86">
        <v>3910</v>
      </c>
      <c r="S86">
        <v>4370</v>
      </c>
      <c r="T86">
        <v>4880</v>
      </c>
      <c r="U86">
        <v>5020</v>
      </c>
      <c r="V86">
        <v>5230</v>
      </c>
      <c r="W86">
        <v>5950</v>
      </c>
      <c r="X86">
        <v>7580</v>
      </c>
      <c r="Y86">
        <v>9550</v>
      </c>
      <c r="Z86">
        <v>10660</v>
      </c>
      <c r="AA86">
        <v>10660</v>
      </c>
      <c r="AB86">
        <v>9860</v>
      </c>
      <c r="AC86">
        <v>9270</v>
      </c>
      <c r="AD86">
        <v>9160</v>
      </c>
      <c r="AE86">
        <v>10250</v>
      </c>
      <c r="AF86">
        <v>12710</v>
      </c>
      <c r="AG86">
        <v>16160</v>
      </c>
      <c r="AH86">
        <v>17380</v>
      </c>
      <c r="AI86">
        <v>18570</v>
      </c>
      <c r="AJ86">
        <v>19390</v>
      </c>
      <c r="AK86">
        <v>21480</v>
      </c>
      <c r="AL86">
        <v>21360</v>
      </c>
      <c r="AM86">
        <v>21890</v>
      </c>
      <c r="AN86">
        <v>21070</v>
      </c>
      <c r="AO86">
        <v>22790</v>
      </c>
      <c r="AP86">
        <v>25570</v>
      </c>
      <c r="AQ86">
        <v>26900</v>
      </c>
      <c r="AR86">
        <v>28060</v>
      </c>
      <c r="AS86">
        <v>29280</v>
      </c>
      <c r="AT86">
        <v>28940</v>
      </c>
      <c r="AU86">
        <v>29180</v>
      </c>
      <c r="AV86">
        <v>32270</v>
      </c>
      <c r="AW86">
        <v>37860</v>
      </c>
      <c r="AX86">
        <v>42810</v>
      </c>
      <c r="AY86">
        <v>45160</v>
      </c>
      <c r="AZ86">
        <v>47650</v>
      </c>
      <c r="BA86">
        <v>48690</v>
      </c>
      <c r="BB86">
        <v>44420</v>
      </c>
      <c r="BC86">
        <v>41940</v>
      </c>
      <c r="BD86">
        <v>41300</v>
      </c>
      <c r="BE86">
        <v>41940</v>
      </c>
      <c r="BF86">
        <v>42920</v>
      </c>
      <c r="BG86">
        <v>44670</v>
      </c>
      <c r="BH86">
        <v>44730</v>
      </c>
      <c r="BI86">
        <v>43460</v>
      </c>
      <c r="BJ86">
        <v>41880</v>
      </c>
      <c r="BK86">
        <v>42410</v>
      </c>
      <c r="BL86">
        <v>43460</v>
      </c>
      <c r="BM86">
        <v>39830</v>
      </c>
    </row>
    <row r="87" spans="1:65">
      <c r="A87" t="s">
        <v>179</v>
      </c>
      <c r="B87" t="s">
        <v>394</v>
      </c>
      <c r="C87" t="s">
        <v>2244</v>
      </c>
      <c r="D87" t="s">
        <v>2245</v>
      </c>
      <c r="AK87">
        <v>750</v>
      </c>
      <c r="AL87">
        <v>540</v>
      </c>
      <c r="AM87">
        <v>510</v>
      </c>
      <c r="AN87">
        <v>550</v>
      </c>
      <c r="AO87">
        <v>670</v>
      </c>
      <c r="AP87">
        <v>820</v>
      </c>
      <c r="AQ87">
        <v>870</v>
      </c>
      <c r="AR87">
        <v>840</v>
      </c>
      <c r="AS87">
        <v>790</v>
      </c>
      <c r="AT87">
        <v>780</v>
      </c>
      <c r="AU87">
        <v>840</v>
      </c>
      <c r="AV87">
        <v>990</v>
      </c>
      <c r="AW87">
        <v>1210</v>
      </c>
      <c r="AX87">
        <v>1520</v>
      </c>
      <c r="AY87">
        <v>1910</v>
      </c>
      <c r="AZ87">
        <v>2380</v>
      </c>
      <c r="BA87">
        <v>2820</v>
      </c>
      <c r="BB87">
        <v>2950</v>
      </c>
      <c r="BC87">
        <v>3210</v>
      </c>
      <c r="BD87">
        <v>3520</v>
      </c>
      <c r="BE87">
        <v>4150</v>
      </c>
      <c r="BF87">
        <v>4530</v>
      </c>
      <c r="BG87">
        <v>4740</v>
      </c>
      <c r="BH87">
        <v>4410</v>
      </c>
      <c r="BI87">
        <v>4080</v>
      </c>
      <c r="BJ87">
        <v>4040</v>
      </c>
      <c r="BK87">
        <v>4460</v>
      </c>
      <c r="BL87">
        <v>4690</v>
      </c>
      <c r="BM87">
        <v>4260</v>
      </c>
    </row>
    <row r="88" spans="1:65">
      <c r="A88" t="s">
        <v>145</v>
      </c>
      <c r="B88" t="s">
        <v>359</v>
      </c>
      <c r="C88" t="s">
        <v>2244</v>
      </c>
      <c r="D88" t="s">
        <v>2245</v>
      </c>
      <c r="G88">
        <v>190</v>
      </c>
      <c r="H88">
        <v>200</v>
      </c>
      <c r="I88">
        <v>210</v>
      </c>
      <c r="J88">
        <v>230</v>
      </c>
      <c r="K88">
        <v>250</v>
      </c>
      <c r="L88">
        <v>240</v>
      </c>
      <c r="M88">
        <v>220</v>
      </c>
      <c r="N88">
        <v>220</v>
      </c>
      <c r="O88">
        <v>250</v>
      </c>
      <c r="P88">
        <v>270</v>
      </c>
      <c r="Q88">
        <v>260</v>
      </c>
      <c r="R88">
        <v>280</v>
      </c>
      <c r="S88">
        <v>320</v>
      </c>
      <c r="T88">
        <v>300</v>
      </c>
      <c r="U88">
        <v>290</v>
      </c>
      <c r="V88">
        <v>300</v>
      </c>
      <c r="W88">
        <v>350</v>
      </c>
      <c r="X88">
        <v>380</v>
      </c>
      <c r="Y88">
        <v>420</v>
      </c>
      <c r="Z88">
        <v>410</v>
      </c>
      <c r="AA88">
        <v>360</v>
      </c>
      <c r="AB88">
        <v>320</v>
      </c>
      <c r="AC88">
        <v>340</v>
      </c>
      <c r="AD88">
        <v>350</v>
      </c>
      <c r="AE88">
        <v>390</v>
      </c>
      <c r="AF88">
        <v>420</v>
      </c>
      <c r="AG88">
        <v>440</v>
      </c>
      <c r="AH88">
        <v>400</v>
      </c>
      <c r="AI88">
        <v>400</v>
      </c>
      <c r="AJ88">
        <v>410</v>
      </c>
      <c r="AK88">
        <v>430</v>
      </c>
      <c r="AL88">
        <v>420</v>
      </c>
      <c r="AM88">
        <v>370</v>
      </c>
      <c r="AN88">
        <v>370</v>
      </c>
      <c r="AO88">
        <v>380</v>
      </c>
      <c r="AP88">
        <v>390</v>
      </c>
      <c r="AQ88">
        <v>390</v>
      </c>
      <c r="AR88">
        <v>390</v>
      </c>
      <c r="AS88">
        <v>340</v>
      </c>
      <c r="AT88">
        <v>300</v>
      </c>
      <c r="AU88">
        <v>270</v>
      </c>
      <c r="AV88">
        <v>320</v>
      </c>
      <c r="AW88">
        <v>380</v>
      </c>
      <c r="AX88">
        <v>460</v>
      </c>
      <c r="AY88">
        <v>600</v>
      </c>
      <c r="AZ88">
        <v>790</v>
      </c>
      <c r="BA88">
        <v>1150</v>
      </c>
      <c r="BB88">
        <v>1190</v>
      </c>
      <c r="BC88">
        <v>1240</v>
      </c>
      <c r="BD88">
        <v>1380</v>
      </c>
      <c r="BE88">
        <v>1530</v>
      </c>
      <c r="BF88">
        <v>1840</v>
      </c>
      <c r="BG88">
        <v>1880</v>
      </c>
      <c r="BH88">
        <v>1940</v>
      </c>
      <c r="BI88">
        <v>1810</v>
      </c>
      <c r="BJ88">
        <v>1880</v>
      </c>
      <c r="BK88">
        <v>2120</v>
      </c>
      <c r="BL88">
        <v>2230</v>
      </c>
      <c r="BM88">
        <v>2340</v>
      </c>
    </row>
    <row r="89" spans="1:65">
      <c r="A89" t="s">
        <v>527</v>
      </c>
      <c r="B89" t="s">
        <v>528</v>
      </c>
      <c r="C89" t="s">
        <v>2244</v>
      </c>
      <c r="D89" t="s">
        <v>2245</v>
      </c>
    </row>
    <row r="90" spans="1:65">
      <c r="A90" t="s">
        <v>117</v>
      </c>
      <c r="B90" t="s">
        <v>330</v>
      </c>
      <c r="C90" t="s">
        <v>2244</v>
      </c>
      <c r="D90" t="s">
        <v>2245</v>
      </c>
      <c r="AG90">
        <v>400</v>
      </c>
      <c r="AH90">
        <v>390</v>
      </c>
      <c r="AI90">
        <v>410</v>
      </c>
      <c r="AJ90">
        <v>420</v>
      </c>
      <c r="AK90">
        <v>460</v>
      </c>
      <c r="AL90">
        <v>490</v>
      </c>
      <c r="AM90">
        <v>500</v>
      </c>
      <c r="AN90">
        <v>500</v>
      </c>
      <c r="AO90">
        <v>510</v>
      </c>
      <c r="AP90">
        <v>510</v>
      </c>
      <c r="AQ90">
        <v>470</v>
      </c>
      <c r="AR90">
        <v>450</v>
      </c>
      <c r="AS90">
        <v>400</v>
      </c>
      <c r="AT90">
        <v>360</v>
      </c>
      <c r="AU90">
        <v>350</v>
      </c>
      <c r="AV90">
        <v>340</v>
      </c>
      <c r="AW90">
        <v>370</v>
      </c>
      <c r="AX90">
        <v>360</v>
      </c>
      <c r="AY90">
        <v>400</v>
      </c>
      <c r="AZ90">
        <v>470</v>
      </c>
      <c r="BA90">
        <v>620</v>
      </c>
      <c r="BB90">
        <v>670</v>
      </c>
      <c r="BC90">
        <v>690</v>
      </c>
      <c r="BD90">
        <v>680</v>
      </c>
      <c r="BE90">
        <v>700</v>
      </c>
      <c r="BF90">
        <v>700</v>
      </c>
      <c r="BG90">
        <v>740</v>
      </c>
      <c r="BH90">
        <v>760</v>
      </c>
      <c r="BI90">
        <v>780</v>
      </c>
      <c r="BJ90">
        <v>820</v>
      </c>
      <c r="BK90">
        <v>860</v>
      </c>
      <c r="BL90">
        <v>950</v>
      </c>
      <c r="BM90">
        <v>1020</v>
      </c>
    </row>
    <row r="91" spans="1:65">
      <c r="A91" t="s">
        <v>109</v>
      </c>
      <c r="B91" t="s">
        <v>322</v>
      </c>
      <c r="C91" t="s">
        <v>2244</v>
      </c>
      <c r="D91" t="s">
        <v>2245</v>
      </c>
      <c r="M91">
        <v>110</v>
      </c>
      <c r="N91">
        <v>110</v>
      </c>
      <c r="O91">
        <v>110</v>
      </c>
      <c r="P91">
        <v>110</v>
      </c>
      <c r="Q91">
        <v>120</v>
      </c>
      <c r="R91">
        <v>150</v>
      </c>
      <c r="S91">
        <v>180</v>
      </c>
      <c r="T91">
        <v>230</v>
      </c>
      <c r="U91">
        <v>230</v>
      </c>
      <c r="V91">
        <v>240</v>
      </c>
      <c r="W91">
        <v>260</v>
      </c>
      <c r="X91">
        <v>310</v>
      </c>
      <c r="Y91">
        <v>380</v>
      </c>
      <c r="Z91">
        <v>390</v>
      </c>
      <c r="AA91">
        <v>340</v>
      </c>
      <c r="AB91">
        <v>300</v>
      </c>
      <c r="AC91">
        <v>290</v>
      </c>
      <c r="AD91">
        <v>300</v>
      </c>
      <c r="AE91">
        <v>300</v>
      </c>
      <c r="AF91">
        <v>320</v>
      </c>
      <c r="AG91">
        <v>300</v>
      </c>
      <c r="AH91">
        <v>300</v>
      </c>
      <c r="AI91">
        <v>310</v>
      </c>
      <c r="AJ91">
        <v>400</v>
      </c>
      <c r="AK91">
        <v>520</v>
      </c>
      <c r="AL91">
        <v>710</v>
      </c>
      <c r="AM91">
        <v>690</v>
      </c>
      <c r="AN91">
        <v>690</v>
      </c>
      <c r="AO91">
        <v>700</v>
      </c>
      <c r="AP91">
        <v>690</v>
      </c>
      <c r="AQ91">
        <v>660</v>
      </c>
      <c r="AR91">
        <v>640</v>
      </c>
      <c r="AS91">
        <v>620</v>
      </c>
      <c r="AT91">
        <v>560</v>
      </c>
      <c r="AU91">
        <v>440</v>
      </c>
      <c r="AV91">
        <v>390</v>
      </c>
      <c r="AW91">
        <v>470</v>
      </c>
      <c r="AX91">
        <v>520</v>
      </c>
      <c r="AY91">
        <v>640</v>
      </c>
      <c r="AZ91">
        <v>700</v>
      </c>
      <c r="BA91">
        <v>810</v>
      </c>
      <c r="BB91">
        <v>880</v>
      </c>
      <c r="BC91">
        <v>890</v>
      </c>
      <c r="BD91">
        <v>760</v>
      </c>
      <c r="BE91">
        <v>760</v>
      </c>
      <c r="BF91">
        <v>730</v>
      </c>
      <c r="BG91">
        <v>650</v>
      </c>
      <c r="BH91">
        <v>620</v>
      </c>
      <c r="BI91">
        <v>620</v>
      </c>
      <c r="BJ91">
        <v>660</v>
      </c>
      <c r="BK91">
        <v>720</v>
      </c>
      <c r="BL91">
        <v>750</v>
      </c>
      <c r="BM91">
        <v>750</v>
      </c>
    </row>
    <row r="92" spans="1:65">
      <c r="A92" t="s">
        <v>108</v>
      </c>
      <c r="B92" t="s">
        <v>321</v>
      </c>
      <c r="C92" t="s">
        <v>2244</v>
      </c>
      <c r="D92" t="s">
        <v>2245</v>
      </c>
      <c r="Q92">
        <v>120</v>
      </c>
      <c r="R92">
        <v>130</v>
      </c>
      <c r="S92">
        <v>150</v>
      </c>
      <c r="T92">
        <v>170</v>
      </c>
      <c r="U92">
        <v>150</v>
      </c>
      <c r="V92">
        <v>140</v>
      </c>
      <c r="W92">
        <v>160</v>
      </c>
      <c r="X92">
        <v>180</v>
      </c>
      <c r="Y92">
        <v>150</v>
      </c>
      <c r="Z92">
        <v>190</v>
      </c>
      <c r="AA92">
        <v>200</v>
      </c>
      <c r="AB92">
        <v>190</v>
      </c>
      <c r="AC92">
        <v>190</v>
      </c>
      <c r="AD92">
        <v>200</v>
      </c>
      <c r="AE92">
        <v>160</v>
      </c>
      <c r="AF92">
        <v>170</v>
      </c>
      <c r="AG92">
        <v>180</v>
      </c>
      <c r="AH92">
        <v>210</v>
      </c>
      <c r="AI92">
        <v>220</v>
      </c>
      <c r="AJ92">
        <v>240</v>
      </c>
      <c r="AK92">
        <v>240</v>
      </c>
      <c r="AL92">
        <v>230</v>
      </c>
      <c r="AM92">
        <v>220</v>
      </c>
      <c r="AN92">
        <v>220</v>
      </c>
      <c r="AO92">
        <v>240</v>
      </c>
      <c r="AP92">
        <v>240</v>
      </c>
      <c r="AQ92">
        <v>160</v>
      </c>
      <c r="AR92">
        <v>160</v>
      </c>
      <c r="AS92">
        <v>210</v>
      </c>
      <c r="AT92">
        <v>250</v>
      </c>
      <c r="AU92">
        <v>300</v>
      </c>
      <c r="AV92">
        <v>330</v>
      </c>
      <c r="AW92">
        <v>380</v>
      </c>
      <c r="AX92">
        <v>430</v>
      </c>
      <c r="AY92">
        <v>440</v>
      </c>
      <c r="AZ92">
        <v>470</v>
      </c>
      <c r="BA92">
        <v>510</v>
      </c>
      <c r="BB92">
        <v>560</v>
      </c>
      <c r="BC92">
        <v>580</v>
      </c>
      <c r="BD92">
        <v>640</v>
      </c>
      <c r="BE92">
        <v>630</v>
      </c>
      <c r="BF92">
        <v>640</v>
      </c>
      <c r="BG92">
        <v>640</v>
      </c>
      <c r="BH92">
        <v>640</v>
      </c>
      <c r="BI92">
        <v>650</v>
      </c>
      <c r="BJ92">
        <v>680</v>
      </c>
      <c r="BK92">
        <v>720</v>
      </c>
      <c r="BL92">
        <v>800</v>
      </c>
      <c r="BM92">
        <v>760</v>
      </c>
    </row>
    <row r="93" spans="1:65">
      <c r="A93" t="s">
        <v>190</v>
      </c>
      <c r="B93" t="s">
        <v>405</v>
      </c>
      <c r="C93" t="s">
        <v>2244</v>
      </c>
      <c r="D93" t="s">
        <v>2245</v>
      </c>
      <c r="AA93">
        <v>130</v>
      </c>
      <c r="AB93">
        <v>130</v>
      </c>
      <c r="AC93">
        <v>130</v>
      </c>
      <c r="AD93">
        <v>150</v>
      </c>
      <c r="AE93">
        <v>170</v>
      </c>
      <c r="AF93">
        <v>210</v>
      </c>
      <c r="AG93">
        <v>250</v>
      </c>
      <c r="AH93">
        <v>230</v>
      </c>
      <c r="AI93">
        <v>260</v>
      </c>
      <c r="AJ93">
        <v>270</v>
      </c>
      <c r="AK93">
        <v>380</v>
      </c>
      <c r="AL93">
        <v>370</v>
      </c>
      <c r="AM93">
        <v>270</v>
      </c>
      <c r="AN93">
        <v>250</v>
      </c>
      <c r="AO93">
        <v>360</v>
      </c>
      <c r="AP93">
        <v>870</v>
      </c>
      <c r="AQ93">
        <v>700</v>
      </c>
      <c r="AR93">
        <v>820</v>
      </c>
      <c r="AS93">
        <v>770</v>
      </c>
      <c r="AT93">
        <v>900</v>
      </c>
      <c r="AU93">
        <v>1270</v>
      </c>
      <c r="AV93">
        <v>1190</v>
      </c>
      <c r="AW93">
        <v>1720</v>
      </c>
      <c r="AX93">
        <v>3890</v>
      </c>
      <c r="AY93">
        <v>8110</v>
      </c>
      <c r="AZ93">
        <v>11600</v>
      </c>
      <c r="BA93">
        <v>14250</v>
      </c>
      <c r="BB93">
        <v>12530</v>
      </c>
      <c r="BC93">
        <v>9970</v>
      </c>
      <c r="BD93">
        <v>11540</v>
      </c>
      <c r="BE93">
        <v>13870</v>
      </c>
      <c r="BF93">
        <v>14030</v>
      </c>
      <c r="BG93">
        <v>13230</v>
      </c>
      <c r="BH93">
        <v>10850</v>
      </c>
      <c r="BI93">
        <v>8270</v>
      </c>
      <c r="BJ93">
        <v>6510</v>
      </c>
      <c r="BK93">
        <v>6730</v>
      </c>
      <c r="BL93">
        <v>6280</v>
      </c>
      <c r="BM93">
        <v>5810</v>
      </c>
    </row>
    <row r="94" spans="1:65">
      <c r="A94" t="s">
        <v>65</v>
      </c>
      <c r="B94" t="s">
        <v>443</v>
      </c>
      <c r="C94" t="s">
        <v>2244</v>
      </c>
      <c r="D94" t="s">
        <v>2245</v>
      </c>
      <c r="G94">
        <v>620</v>
      </c>
      <c r="H94">
        <v>700</v>
      </c>
      <c r="I94">
        <v>790</v>
      </c>
      <c r="J94">
        <v>900</v>
      </c>
      <c r="K94">
        <v>1000</v>
      </c>
      <c r="L94">
        <v>1090</v>
      </c>
      <c r="M94">
        <v>1200</v>
      </c>
      <c r="N94">
        <v>1370</v>
      </c>
      <c r="AY94">
        <v>24570</v>
      </c>
      <c r="AZ94">
        <v>26370</v>
      </c>
      <c r="BA94">
        <v>28710</v>
      </c>
      <c r="BB94">
        <v>29420</v>
      </c>
      <c r="BC94">
        <v>27610</v>
      </c>
      <c r="BD94">
        <v>24560</v>
      </c>
      <c r="BE94">
        <v>23180</v>
      </c>
      <c r="BF94">
        <v>22430</v>
      </c>
      <c r="BG94">
        <v>22010</v>
      </c>
      <c r="BH94">
        <v>20190</v>
      </c>
      <c r="BI94">
        <v>18640</v>
      </c>
      <c r="BJ94">
        <v>17960</v>
      </c>
      <c r="BK94">
        <v>19080</v>
      </c>
      <c r="BL94">
        <v>19670</v>
      </c>
      <c r="BM94">
        <v>17950</v>
      </c>
    </row>
    <row r="95" spans="1:65">
      <c r="A95" t="s">
        <v>216</v>
      </c>
      <c r="B95" t="s">
        <v>431</v>
      </c>
      <c r="C95" t="s">
        <v>2244</v>
      </c>
      <c r="D95" t="s">
        <v>2245</v>
      </c>
      <c r="X95">
        <v>1150</v>
      </c>
      <c r="Y95">
        <v>1300</v>
      </c>
      <c r="Z95">
        <v>1310</v>
      </c>
      <c r="AA95">
        <v>1300</v>
      </c>
      <c r="AB95">
        <v>1280</v>
      </c>
      <c r="AC95">
        <v>1340</v>
      </c>
      <c r="AD95">
        <v>1500</v>
      </c>
      <c r="AE95">
        <v>1790</v>
      </c>
      <c r="AF95">
        <v>2200</v>
      </c>
      <c r="AG95">
        <v>2490</v>
      </c>
      <c r="AH95">
        <v>2670</v>
      </c>
      <c r="AI95">
        <v>2840</v>
      </c>
      <c r="AJ95">
        <v>3040</v>
      </c>
      <c r="AK95">
        <v>3140</v>
      </c>
      <c r="AL95">
        <v>3120</v>
      </c>
      <c r="AM95">
        <v>3210</v>
      </c>
      <c r="AN95">
        <v>3310</v>
      </c>
      <c r="AO95">
        <v>3500</v>
      </c>
      <c r="AP95">
        <v>3660</v>
      </c>
      <c r="AQ95">
        <v>3990</v>
      </c>
      <c r="AR95">
        <v>4310</v>
      </c>
      <c r="AS95">
        <v>4610</v>
      </c>
      <c r="AT95">
        <v>4510</v>
      </c>
      <c r="AU95">
        <v>4650</v>
      </c>
      <c r="AV95">
        <v>5290</v>
      </c>
      <c r="AW95">
        <v>5350</v>
      </c>
      <c r="AX95">
        <v>6650</v>
      </c>
      <c r="AY95">
        <v>6430</v>
      </c>
      <c r="AZ95">
        <v>6830</v>
      </c>
      <c r="BA95">
        <v>7260</v>
      </c>
      <c r="BB95">
        <v>6720</v>
      </c>
      <c r="BC95">
        <v>6940</v>
      </c>
      <c r="BD95">
        <v>7060</v>
      </c>
      <c r="BE95">
        <v>7030</v>
      </c>
      <c r="BF95">
        <v>7350</v>
      </c>
      <c r="BG95">
        <v>7520</v>
      </c>
      <c r="BH95">
        <v>7750</v>
      </c>
      <c r="BI95">
        <v>8350</v>
      </c>
      <c r="BJ95">
        <v>8740</v>
      </c>
      <c r="BK95">
        <v>9560</v>
      </c>
      <c r="BL95">
        <v>9770</v>
      </c>
      <c r="BM95">
        <v>9410</v>
      </c>
    </row>
    <row r="96" spans="1:65">
      <c r="A96" t="s">
        <v>529</v>
      </c>
      <c r="B96" t="s">
        <v>530</v>
      </c>
      <c r="C96" t="s">
        <v>2244</v>
      </c>
      <c r="D96" t="s">
        <v>2245</v>
      </c>
      <c r="Q96">
        <v>1890</v>
      </c>
      <c r="R96">
        <v>2440</v>
      </c>
      <c r="S96">
        <v>3130</v>
      </c>
      <c r="T96">
        <v>3800</v>
      </c>
      <c r="U96">
        <v>4330</v>
      </c>
      <c r="V96">
        <v>5140</v>
      </c>
      <c r="W96">
        <v>6160</v>
      </c>
      <c r="X96">
        <v>7550</v>
      </c>
      <c r="Y96">
        <v>9270</v>
      </c>
      <c r="Z96">
        <v>9100</v>
      </c>
      <c r="AA96">
        <v>8020</v>
      </c>
      <c r="AB96">
        <v>7270</v>
      </c>
      <c r="AC96">
        <v>6740</v>
      </c>
      <c r="AD96">
        <v>7060</v>
      </c>
      <c r="AE96">
        <v>8540</v>
      </c>
      <c r="AF96">
        <v>11470</v>
      </c>
      <c r="AG96">
        <v>15170</v>
      </c>
      <c r="AH96">
        <v>16970</v>
      </c>
      <c r="AI96">
        <v>15690</v>
      </c>
      <c r="AJ96">
        <v>16510</v>
      </c>
      <c r="AK96">
        <v>17440</v>
      </c>
      <c r="AL96">
        <v>16600</v>
      </c>
      <c r="AM96">
        <v>17830</v>
      </c>
      <c r="AN96">
        <v>19470</v>
      </c>
      <c r="AO96">
        <v>20780</v>
      </c>
      <c r="AP96">
        <v>20540</v>
      </c>
      <c r="AQ96">
        <v>20440</v>
      </c>
      <c r="AR96">
        <v>19740</v>
      </c>
      <c r="AS96">
        <v>20290</v>
      </c>
      <c r="AT96">
        <v>19390</v>
      </c>
      <c r="AU96">
        <v>18760</v>
      </c>
      <c r="AV96">
        <v>20440</v>
      </c>
      <c r="AW96">
        <v>25730</v>
      </c>
      <c r="AX96">
        <v>30920</v>
      </c>
      <c r="AY96">
        <v>30240</v>
      </c>
      <c r="AZ96">
        <v>34800</v>
      </c>
    </row>
    <row r="97" spans="1:65">
      <c r="A97" t="s">
        <v>183</v>
      </c>
      <c r="B97" t="s">
        <v>398</v>
      </c>
      <c r="C97" t="s">
        <v>2244</v>
      </c>
      <c r="D97" t="s">
        <v>2245</v>
      </c>
      <c r="G97">
        <v>260</v>
      </c>
      <c r="H97">
        <v>280</v>
      </c>
      <c r="I97">
        <v>280</v>
      </c>
      <c r="J97">
        <v>290</v>
      </c>
      <c r="K97">
        <v>290</v>
      </c>
      <c r="L97">
        <v>290</v>
      </c>
      <c r="M97">
        <v>310</v>
      </c>
      <c r="N97">
        <v>330</v>
      </c>
      <c r="O97">
        <v>350</v>
      </c>
      <c r="P97">
        <v>360</v>
      </c>
      <c r="Q97">
        <v>390</v>
      </c>
      <c r="R97">
        <v>450</v>
      </c>
      <c r="S97">
        <v>540</v>
      </c>
      <c r="T97">
        <v>610</v>
      </c>
      <c r="U97">
        <v>690</v>
      </c>
      <c r="V97">
        <v>800</v>
      </c>
      <c r="W97">
        <v>920</v>
      </c>
      <c r="X97">
        <v>1080</v>
      </c>
      <c r="Y97">
        <v>1210</v>
      </c>
      <c r="Z97">
        <v>1240</v>
      </c>
      <c r="AA97">
        <v>1170</v>
      </c>
      <c r="AB97">
        <v>1110</v>
      </c>
      <c r="AC97">
        <v>1130</v>
      </c>
      <c r="AD97">
        <v>1160</v>
      </c>
      <c r="AE97">
        <v>1070</v>
      </c>
      <c r="AF97">
        <v>1020</v>
      </c>
      <c r="AG97">
        <v>980</v>
      </c>
      <c r="AH97">
        <v>980</v>
      </c>
      <c r="AI97">
        <v>930</v>
      </c>
      <c r="AJ97">
        <v>970</v>
      </c>
      <c r="AK97">
        <v>1030</v>
      </c>
      <c r="AL97">
        <v>1140</v>
      </c>
      <c r="AM97">
        <v>1230</v>
      </c>
      <c r="AN97">
        <v>1360</v>
      </c>
      <c r="AO97">
        <v>1440</v>
      </c>
      <c r="AP97">
        <v>1530</v>
      </c>
      <c r="AQ97">
        <v>1610</v>
      </c>
      <c r="AR97">
        <v>1650</v>
      </c>
      <c r="AS97">
        <v>1670</v>
      </c>
      <c r="AT97">
        <v>1600</v>
      </c>
      <c r="AU97">
        <v>1600</v>
      </c>
      <c r="AV97">
        <v>1670</v>
      </c>
      <c r="AW97">
        <v>1850</v>
      </c>
      <c r="AX97">
        <v>2000</v>
      </c>
      <c r="AY97">
        <v>2150</v>
      </c>
      <c r="AZ97">
        <v>2370</v>
      </c>
      <c r="BA97">
        <v>2610</v>
      </c>
      <c r="BB97">
        <v>2650</v>
      </c>
      <c r="BC97">
        <v>2730</v>
      </c>
      <c r="BD97">
        <v>2910</v>
      </c>
      <c r="BE97">
        <v>3160</v>
      </c>
      <c r="BF97">
        <v>3380</v>
      </c>
      <c r="BG97">
        <v>3550</v>
      </c>
      <c r="BH97">
        <v>3700</v>
      </c>
      <c r="BI97">
        <v>3870</v>
      </c>
      <c r="BJ97">
        <v>4100</v>
      </c>
      <c r="BK97">
        <v>4400</v>
      </c>
      <c r="BL97">
        <v>4610</v>
      </c>
      <c r="BM97">
        <v>4490</v>
      </c>
    </row>
    <row r="98" spans="1:65">
      <c r="A98" t="s">
        <v>531</v>
      </c>
      <c r="B98" t="s">
        <v>532</v>
      </c>
      <c r="C98" t="s">
        <v>2244</v>
      </c>
      <c r="D98" t="s">
        <v>2245</v>
      </c>
    </row>
    <row r="99" spans="1:65">
      <c r="A99" t="s">
        <v>214</v>
      </c>
      <c r="B99" t="s">
        <v>429</v>
      </c>
      <c r="C99" t="s">
        <v>2244</v>
      </c>
      <c r="D99" t="s">
        <v>2245</v>
      </c>
      <c r="G99">
        <v>280</v>
      </c>
      <c r="H99">
        <v>250</v>
      </c>
      <c r="I99">
        <v>280</v>
      </c>
      <c r="J99">
        <v>310</v>
      </c>
      <c r="K99">
        <v>320</v>
      </c>
      <c r="L99">
        <v>340</v>
      </c>
      <c r="M99">
        <v>330</v>
      </c>
      <c r="N99">
        <v>350</v>
      </c>
      <c r="O99">
        <v>360</v>
      </c>
      <c r="P99">
        <v>380</v>
      </c>
      <c r="Q99">
        <v>390</v>
      </c>
      <c r="R99">
        <v>430</v>
      </c>
      <c r="S99">
        <v>540</v>
      </c>
      <c r="T99">
        <v>680</v>
      </c>
      <c r="U99">
        <v>660</v>
      </c>
      <c r="V99">
        <v>610</v>
      </c>
      <c r="W99">
        <v>620</v>
      </c>
      <c r="X99">
        <v>670</v>
      </c>
      <c r="Y99">
        <v>760</v>
      </c>
      <c r="Z99">
        <v>740</v>
      </c>
      <c r="AA99">
        <v>590</v>
      </c>
      <c r="AB99">
        <v>510</v>
      </c>
      <c r="AC99">
        <v>470</v>
      </c>
      <c r="AD99">
        <v>500</v>
      </c>
      <c r="AE99">
        <v>520</v>
      </c>
      <c r="AF99">
        <v>460</v>
      </c>
      <c r="AG99">
        <v>470</v>
      </c>
      <c r="AH99">
        <v>360</v>
      </c>
      <c r="AI99">
        <v>400</v>
      </c>
      <c r="AJ99">
        <v>330</v>
      </c>
      <c r="AK99">
        <v>390</v>
      </c>
      <c r="AL99">
        <v>460</v>
      </c>
      <c r="AM99">
        <v>570</v>
      </c>
      <c r="AN99">
        <v>670</v>
      </c>
      <c r="AO99">
        <v>830</v>
      </c>
      <c r="AP99">
        <v>890</v>
      </c>
      <c r="AQ99">
        <v>880</v>
      </c>
      <c r="AR99">
        <v>860</v>
      </c>
      <c r="AS99">
        <v>890</v>
      </c>
      <c r="AT99">
        <v>880</v>
      </c>
      <c r="AU99">
        <v>890</v>
      </c>
      <c r="AV99">
        <v>940</v>
      </c>
      <c r="AW99">
        <v>1030</v>
      </c>
      <c r="AX99">
        <v>1090</v>
      </c>
      <c r="AY99">
        <v>1470</v>
      </c>
      <c r="AZ99">
        <v>2280</v>
      </c>
      <c r="BA99">
        <v>3850</v>
      </c>
      <c r="BB99">
        <v>4190</v>
      </c>
      <c r="BC99">
        <v>4510</v>
      </c>
      <c r="BD99">
        <v>4820</v>
      </c>
      <c r="BE99">
        <v>5290</v>
      </c>
      <c r="BF99">
        <v>5540</v>
      </c>
      <c r="BG99">
        <v>5570</v>
      </c>
      <c r="BH99">
        <v>5470</v>
      </c>
      <c r="BI99">
        <v>5600</v>
      </c>
      <c r="BJ99">
        <v>5910</v>
      </c>
      <c r="BK99">
        <v>6290</v>
      </c>
      <c r="BL99">
        <v>6630</v>
      </c>
      <c r="BM99">
        <v>7130</v>
      </c>
    </row>
    <row r="100" spans="1:65">
      <c r="A100" t="s">
        <v>622</v>
      </c>
      <c r="B100" t="s">
        <v>2269</v>
      </c>
      <c r="C100" t="s">
        <v>2244</v>
      </c>
      <c r="D100" t="s">
        <v>2245</v>
      </c>
      <c r="G100">
        <v>1532.6914646896601</v>
      </c>
      <c r="H100">
        <v>1624.9132426940164</v>
      </c>
      <c r="I100">
        <v>1746.846140292615</v>
      </c>
      <c r="J100">
        <v>1893.0239372981505</v>
      </c>
      <c r="K100">
        <v>2062.2548990749387</v>
      </c>
      <c r="L100">
        <v>2192.1921443008055</v>
      </c>
      <c r="M100">
        <v>2400.1616566991042</v>
      </c>
      <c r="N100">
        <v>2611.8411416067124</v>
      </c>
      <c r="O100">
        <v>2770.4315586215916</v>
      </c>
      <c r="P100">
        <v>3018.933474786998</v>
      </c>
      <c r="Q100">
        <v>3457.1393338313806</v>
      </c>
      <c r="R100">
        <v>4226.5955944781881</v>
      </c>
      <c r="S100">
        <v>4935.7259967470654</v>
      </c>
      <c r="T100">
        <v>5517.2891463249862</v>
      </c>
      <c r="U100">
        <v>5852.8438084605305</v>
      </c>
      <c r="V100">
        <v>6283.4254594752756</v>
      </c>
      <c r="W100">
        <v>7179.6478445033408</v>
      </c>
      <c r="X100">
        <v>8620.4334857476679</v>
      </c>
      <c r="Y100">
        <v>9962.5853803050122</v>
      </c>
      <c r="Z100">
        <v>10367.16544006046</v>
      </c>
      <c r="AA100">
        <v>9868.3655553639092</v>
      </c>
      <c r="AB100">
        <v>9459.0060737175827</v>
      </c>
      <c r="AC100">
        <v>9809.9194671132482</v>
      </c>
      <c r="AD100">
        <v>10264.331493065039</v>
      </c>
      <c r="AE100">
        <v>11587.069200386999</v>
      </c>
      <c r="AF100">
        <v>13899.104495509044</v>
      </c>
      <c r="AG100">
        <v>16926.150466499374</v>
      </c>
      <c r="AH100">
        <v>17823.972737609252</v>
      </c>
      <c r="AI100">
        <v>18633.569522907772</v>
      </c>
      <c r="AJ100">
        <v>19380.745169256108</v>
      </c>
      <c r="AK100">
        <v>21079.962657645519</v>
      </c>
      <c r="AL100">
        <v>21588.642952244663</v>
      </c>
      <c r="AM100">
        <v>22740.481880409847</v>
      </c>
      <c r="AN100">
        <v>24280.4765069819</v>
      </c>
      <c r="AO100">
        <v>25503.718530133869</v>
      </c>
      <c r="AP100">
        <v>25626.841715867649</v>
      </c>
      <c r="AQ100">
        <v>24641.367956180595</v>
      </c>
      <c r="AR100">
        <v>24923.220967358797</v>
      </c>
      <c r="AS100">
        <v>25970.98203998441</v>
      </c>
      <c r="AT100">
        <v>25953.855897062469</v>
      </c>
      <c r="AU100">
        <v>25780.281420588381</v>
      </c>
      <c r="AV100">
        <v>27773.262352969301</v>
      </c>
      <c r="AW100">
        <v>31678.527014736213</v>
      </c>
      <c r="AX100">
        <v>34858.330800255069</v>
      </c>
      <c r="AY100">
        <v>36564.098007304216</v>
      </c>
      <c r="AZ100">
        <v>37984.013164305383</v>
      </c>
      <c r="BA100">
        <v>39595.749376018772</v>
      </c>
      <c r="BB100">
        <v>38905.944878293674</v>
      </c>
      <c r="BC100">
        <v>39981.00445991772</v>
      </c>
      <c r="BD100">
        <v>41320.704026071617</v>
      </c>
      <c r="BE100">
        <v>42673.132925174235</v>
      </c>
      <c r="BF100">
        <v>43486.524912950226</v>
      </c>
      <c r="BG100">
        <v>43643.418468100826</v>
      </c>
      <c r="BH100">
        <v>42393.921223916484</v>
      </c>
      <c r="BI100">
        <v>41495.288426595092</v>
      </c>
      <c r="BJ100">
        <v>41786.507628858919</v>
      </c>
      <c r="BK100">
        <v>44702.402383004483</v>
      </c>
      <c r="BL100">
        <v>46262.689939203112</v>
      </c>
      <c r="BM100">
        <v>44475.6210116246</v>
      </c>
    </row>
    <row r="101" spans="1:65">
      <c r="A101" t="s">
        <v>259</v>
      </c>
      <c r="B101" t="s">
        <v>520</v>
      </c>
      <c r="C101" t="s">
        <v>2244</v>
      </c>
      <c r="D101" t="s">
        <v>2245</v>
      </c>
      <c r="H101">
        <v>570</v>
      </c>
      <c r="I101">
        <v>630</v>
      </c>
      <c r="J101">
        <v>700</v>
      </c>
      <c r="K101">
        <v>710</v>
      </c>
      <c r="L101">
        <v>710</v>
      </c>
      <c r="M101">
        <v>740</v>
      </c>
      <c r="N101">
        <v>840</v>
      </c>
      <c r="O101">
        <v>930</v>
      </c>
      <c r="P101">
        <v>1060</v>
      </c>
      <c r="Q101">
        <v>1300</v>
      </c>
      <c r="R101">
        <v>1750</v>
      </c>
      <c r="S101">
        <v>2150</v>
      </c>
      <c r="T101">
        <v>2450</v>
      </c>
      <c r="U101">
        <v>2900</v>
      </c>
      <c r="V101">
        <v>3340</v>
      </c>
      <c r="W101">
        <v>3930</v>
      </c>
      <c r="X101">
        <v>4700</v>
      </c>
      <c r="Y101">
        <v>5730</v>
      </c>
      <c r="Z101">
        <v>6360</v>
      </c>
      <c r="AA101">
        <v>6290</v>
      </c>
      <c r="AB101">
        <v>5890</v>
      </c>
      <c r="AC101">
        <v>6170</v>
      </c>
      <c r="AD101">
        <v>6090</v>
      </c>
      <c r="AE101">
        <v>7230</v>
      </c>
      <c r="AF101">
        <v>9080</v>
      </c>
      <c r="AG101">
        <v>10770</v>
      </c>
      <c r="AH101">
        <v>11550</v>
      </c>
      <c r="AI101">
        <v>12660</v>
      </c>
      <c r="AJ101">
        <v>14320</v>
      </c>
      <c r="AK101">
        <v>16560</v>
      </c>
      <c r="AL101">
        <v>19560</v>
      </c>
      <c r="AM101">
        <v>21820</v>
      </c>
      <c r="AN101">
        <v>23570</v>
      </c>
      <c r="AO101">
        <v>24140</v>
      </c>
      <c r="AP101">
        <v>26080</v>
      </c>
      <c r="AQ101">
        <v>25110</v>
      </c>
      <c r="AR101">
        <v>25800</v>
      </c>
      <c r="AS101">
        <v>26930</v>
      </c>
      <c r="AT101">
        <v>26350</v>
      </c>
      <c r="AU101">
        <v>25270</v>
      </c>
      <c r="AV101">
        <v>26340</v>
      </c>
      <c r="AW101">
        <v>28120</v>
      </c>
      <c r="AX101">
        <v>28890</v>
      </c>
      <c r="AY101">
        <v>30290</v>
      </c>
      <c r="AZ101">
        <v>32070</v>
      </c>
      <c r="BA101">
        <v>33950</v>
      </c>
      <c r="BB101">
        <v>32350</v>
      </c>
      <c r="BC101">
        <v>33620</v>
      </c>
      <c r="BD101">
        <v>35690</v>
      </c>
      <c r="BE101">
        <v>36340</v>
      </c>
      <c r="BF101">
        <v>38570</v>
      </c>
      <c r="BG101">
        <v>40240</v>
      </c>
      <c r="BH101">
        <v>41180</v>
      </c>
      <c r="BI101">
        <v>42970</v>
      </c>
      <c r="BJ101">
        <v>46390</v>
      </c>
      <c r="BK101">
        <v>50060</v>
      </c>
      <c r="BL101">
        <v>50480</v>
      </c>
      <c r="BM101">
        <v>48630</v>
      </c>
    </row>
    <row r="102" spans="1:65">
      <c r="A102" t="s">
        <v>148</v>
      </c>
      <c r="B102" t="s">
        <v>362</v>
      </c>
      <c r="C102" t="s">
        <v>2244</v>
      </c>
      <c r="D102" t="s">
        <v>2245</v>
      </c>
      <c r="G102">
        <v>180</v>
      </c>
      <c r="H102">
        <v>180</v>
      </c>
      <c r="I102">
        <v>190</v>
      </c>
      <c r="J102">
        <v>210</v>
      </c>
      <c r="K102">
        <v>220</v>
      </c>
      <c r="L102">
        <v>230</v>
      </c>
      <c r="M102">
        <v>250</v>
      </c>
      <c r="N102">
        <v>250</v>
      </c>
      <c r="O102">
        <v>260</v>
      </c>
      <c r="P102">
        <v>270</v>
      </c>
      <c r="Q102">
        <v>280</v>
      </c>
      <c r="R102">
        <v>320</v>
      </c>
      <c r="S102">
        <v>360</v>
      </c>
      <c r="T102">
        <v>380</v>
      </c>
      <c r="U102">
        <v>410</v>
      </c>
      <c r="V102">
        <v>460</v>
      </c>
      <c r="W102">
        <v>610</v>
      </c>
      <c r="X102">
        <v>830</v>
      </c>
      <c r="Y102">
        <v>1090</v>
      </c>
      <c r="Z102">
        <v>1090</v>
      </c>
      <c r="AA102">
        <v>1020</v>
      </c>
      <c r="AB102">
        <v>1000</v>
      </c>
      <c r="AC102">
        <v>1080</v>
      </c>
      <c r="AD102">
        <v>1160</v>
      </c>
      <c r="AE102">
        <v>1260</v>
      </c>
      <c r="AF102">
        <v>1410</v>
      </c>
      <c r="AG102">
        <v>1410</v>
      </c>
      <c r="AH102">
        <v>1270</v>
      </c>
      <c r="AI102">
        <v>1110</v>
      </c>
      <c r="AJ102">
        <v>940</v>
      </c>
      <c r="AK102">
        <v>930</v>
      </c>
      <c r="AL102">
        <v>950</v>
      </c>
      <c r="AM102">
        <v>880</v>
      </c>
      <c r="AN102">
        <v>900</v>
      </c>
      <c r="AO102">
        <v>870</v>
      </c>
      <c r="AP102">
        <v>910</v>
      </c>
      <c r="AQ102">
        <v>910</v>
      </c>
      <c r="AR102">
        <v>930</v>
      </c>
      <c r="AS102">
        <v>1020</v>
      </c>
      <c r="AT102">
        <v>1040</v>
      </c>
      <c r="AU102">
        <v>1060</v>
      </c>
      <c r="AV102">
        <v>1120</v>
      </c>
      <c r="AW102">
        <v>1200</v>
      </c>
      <c r="AX102">
        <v>1280</v>
      </c>
      <c r="AY102">
        <v>1350</v>
      </c>
      <c r="AZ102">
        <v>1480</v>
      </c>
      <c r="BA102">
        <v>1620</v>
      </c>
      <c r="BB102">
        <v>1660</v>
      </c>
      <c r="BC102">
        <v>1730</v>
      </c>
      <c r="BD102">
        <v>1860</v>
      </c>
      <c r="BE102">
        <v>1950</v>
      </c>
      <c r="BF102">
        <v>2000</v>
      </c>
      <c r="BG102">
        <v>1990</v>
      </c>
      <c r="BH102">
        <v>2040</v>
      </c>
      <c r="BI102">
        <v>2110</v>
      </c>
      <c r="BJ102">
        <v>2230</v>
      </c>
      <c r="BK102">
        <v>2310</v>
      </c>
      <c r="BL102">
        <v>2380</v>
      </c>
      <c r="BM102">
        <v>2180</v>
      </c>
    </row>
    <row r="103" spans="1:65">
      <c r="A103" t="s">
        <v>2270</v>
      </c>
      <c r="B103" t="s">
        <v>2271</v>
      </c>
      <c r="C103" t="s">
        <v>2244</v>
      </c>
      <c r="D103" t="s">
        <v>2245</v>
      </c>
      <c r="AB103">
        <v>325.10729442682384</v>
      </c>
      <c r="AC103">
        <v>311.82145908713039</v>
      </c>
      <c r="AD103">
        <v>313.70689226578645</v>
      </c>
      <c r="AE103">
        <v>353.15514996632857</v>
      </c>
      <c r="AF103">
        <v>413.63941430544156</v>
      </c>
      <c r="AG103">
        <v>436.2828953985736</v>
      </c>
      <c r="AH103">
        <v>413.26725740522153</v>
      </c>
      <c r="AI103">
        <v>384.62700237609209</v>
      </c>
      <c r="AJ103">
        <v>367.30398860769037</v>
      </c>
      <c r="AK103">
        <v>358.54007497728003</v>
      </c>
      <c r="AL103">
        <v>345.92877968980173</v>
      </c>
      <c r="AM103">
        <v>310.33697320226935</v>
      </c>
      <c r="AN103">
        <v>315.37838191310561</v>
      </c>
      <c r="AO103">
        <v>315.00674179943763</v>
      </c>
      <c r="AP103">
        <v>328.08194457359252</v>
      </c>
      <c r="AQ103">
        <v>326.55663203776703</v>
      </c>
      <c r="AR103">
        <v>328.63745750401614</v>
      </c>
      <c r="AS103">
        <v>330.83547607586394</v>
      </c>
      <c r="AT103">
        <v>329.51842698900714</v>
      </c>
      <c r="AU103">
        <v>335.92911935687624</v>
      </c>
      <c r="AV103">
        <v>361.48534214220211</v>
      </c>
      <c r="AW103">
        <v>415.4065843716827</v>
      </c>
      <c r="AX103">
        <v>469.89974905219321</v>
      </c>
      <c r="AY103">
        <v>520.13252292250934</v>
      </c>
      <c r="AZ103">
        <v>586.53940526027009</v>
      </c>
      <c r="BA103">
        <v>687.48166840431281</v>
      </c>
      <c r="BB103">
        <v>741.18695118865503</v>
      </c>
      <c r="BC103">
        <v>772.46502476384364</v>
      </c>
      <c r="BD103">
        <v>798.3831523844035</v>
      </c>
      <c r="BE103">
        <v>832.83324521441534</v>
      </c>
      <c r="BF103">
        <v>883.42210693756181</v>
      </c>
      <c r="BG103">
        <v>923.49561417102484</v>
      </c>
      <c r="BH103">
        <v>934.53034620535561</v>
      </c>
      <c r="BI103">
        <v>908.448772871301</v>
      </c>
      <c r="BJ103">
        <v>900.5191666426565</v>
      </c>
      <c r="BK103">
        <v>946.94085970240019</v>
      </c>
      <c r="BL103">
        <v>979.85433336474512</v>
      </c>
      <c r="BM103">
        <v>959.02900148741401</v>
      </c>
    </row>
    <row r="104" spans="1:65">
      <c r="A104" t="s">
        <v>238</v>
      </c>
      <c r="B104" t="s">
        <v>509</v>
      </c>
      <c r="C104" t="s">
        <v>2244</v>
      </c>
      <c r="D104" t="s">
        <v>2245</v>
      </c>
      <c r="AP104">
        <v>5570</v>
      </c>
      <c r="AQ104">
        <v>5470</v>
      </c>
      <c r="AR104">
        <v>5230</v>
      </c>
      <c r="AS104">
        <v>5260</v>
      </c>
      <c r="AT104">
        <v>5350</v>
      </c>
      <c r="AU104">
        <v>5660</v>
      </c>
      <c r="AV104">
        <v>6730</v>
      </c>
      <c r="AW104">
        <v>8590</v>
      </c>
      <c r="AX104">
        <v>10250</v>
      </c>
      <c r="AY104">
        <v>11410</v>
      </c>
      <c r="AZ104">
        <v>12760</v>
      </c>
      <c r="BA104">
        <v>14360</v>
      </c>
      <c r="BB104">
        <v>14220</v>
      </c>
      <c r="BC104">
        <v>14210</v>
      </c>
      <c r="BD104">
        <v>14180</v>
      </c>
      <c r="BE104">
        <v>13590</v>
      </c>
      <c r="BF104">
        <v>13750</v>
      </c>
      <c r="BG104">
        <v>13420</v>
      </c>
      <c r="BH104">
        <v>13140</v>
      </c>
      <c r="BI104">
        <v>12550</v>
      </c>
      <c r="BJ104">
        <v>12840</v>
      </c>
      <c r="BK104">
        <v>14280</v>
      </c>
      <c r="BL104">
        <v>15320</v>
      </c>
      <c r="BM104">
        <v>14530</v>
      </c>
    </row>
    <row r="105" spans="1:65">
      <c r="A105" t="s">
        <v>128</v>
      </c>
      <c r="B105" t="s">
        <v>342</v>
      </c>
      <c r="C105" t="s">
        <v>2244</v>
      </c>
      <c r="D105" t="s">
        <v>2245</v>
      </c>
      <c r="Y105">
        <v>250</v>
      </c>
      <c r="Z105">
        <v>250</v>
      </c>
      <c r="AA105">
        <v>250</v>
      </c>
      <c r="AB105">
        <v>240</v>
      </c>
      <c r="AC105">
        <v>260</v>
      </c>
      <c r="AD105">
        <v>280</v>
      </c>
      <c r="AE105">
        <v>320</v>
      </c>
      <c r="AF105">
        <v>340</v>
      </c>
      <c r="AG105">
        <v>380</v>
      </c>
      <c r="AH105">
        <v>370</v>
      </c>
      <c r="AI105">
        <v>420</v>
      </c>
      <c r="AJ105">
        <v>450</v>
      </c>
      <c r="AK105">
        <v>390</v>
      </c>
      <c r="AL105">
        <v>310</v>
      </c>
      <c r="AM105">
        <v>260</v>
      </c>
      <c r="AN105">
        <v>310</v>
      </c>
      <c r="AO105">
        <v>360</v>
      </c>
      <c r="AP105">
        <v>390</v>
      </c>
      <c r="AQ105">
        <v>400</v>
      </c>
      <c r="AR105">
        <v>450</v>
      </c>
      <c r="AS105">
        <v>550</v>
      </c>
      <c r="AT105">
        <v>640</v>
      </c>
      <c r="AU105">
        <v>720</v>
      </c>
      <c r="AV105">
        <v>660</v>
      </c>
      <c r="AW105">
        <v>650</v>
      </c>
      <c r="AX105">
        <v>690</v>
      </c>
      <c r="AY105">
        <v>790</v>
      </c>
      <c r="AZ105">
        <v>900</v>
      </c>
      <c r="BA105">
        <v>1010</v>
      </c>
      <c r="BB105">
        <v>1160</v>
      </c>
      <c r="BC105">
        <v>1130</v>
      </c>
      <c r="BD105">
        <v>1240</v>
      </c>
      <c r="BE105">
        <v>1300</v>
      </c>
      <c r="BF105">
        <v>1390</v>
      </c>
      <c r="BG105">
        <v>1430</v>
      </c>
      <c r="BH105">
        <v>1410</v>
      </c>
      <c r="BI105">
        <v>1360</v>
      </c>
      <c r="BJ105">
        <v>1340</v>
      </c>
      <c r="BK105">
        <v>1410</v>
      </c>
      <c r="BL105">
        <v>1390</v>
      </c>
      <c r="BM105">
        <v>1320</v>
      </c>
    </row>
    <row r="106" spans="1:65">
      <c r="A106" t="s">
        <v>68</v>
      </c>
      <c r="B106" t="s">
        <v>442</v>
      </c>
      <c r="C106" t="s">
        <v>2244</v>
      </c>
      <c r="D106" t="s">
        <v>2245</v>
      </c>
      <c r="AL106">
        <v>3660</v>
      </c>
      <c r="AM106">
        <v>4030</v>
      </c>
      <c r="AN106">
        <v>4250</v>
      </c>
      <c r="AO106">
        <v>4370</v>
      </c>
      <c r="AP106">
        <v>4400</v>
      </c>
      <c r="AQ106">
        <v>4410</v>
      </c>
      <c r="AR106">
        <v>4490</v>
      </c>
      <c r="AS106">
        <v>4620</v>
      </c>
      <c r="AT106">
        <v>4790</v>
      </c>
      <c r="AU106">
        <v>5290</v>
      </c>
      <c r="AV106">
        <v>6630</v>
      </c>
      <c r="AW106">
        <v>8650</v>
      </c>
      <c r="AX106">
        <v>10390</v>
      </c>
      <c r="AY106">
        <v>11250</v>
      </c>
      <c r="AZ106">
        <v>11770</v>
      </c>
      <c r="BA106">
        <v>13250</v>
      </c>
      <c r="BB106">
        <v>13420</v>
      </c>
      <c r="BC106">
        <v>13270</v>
      </c>
      <c r="BD106">
        <v>13260</v>
      </c>
      <c r="BE106">
        <v>13090</v>
      </c>
      <c r="BF106">
        <v>13520</v>
      </c>
      <c r="BG106">
        <v>13560</v>
      </c>
      <c r="BH106">
        <v>13230</v>
      </c>
      <c r="BI106">
        <v>13100</v>
      </c>
      <c r="BJ106">
        <v>13190</v>
      </c>
      <c r="BK106">
        <v>14980</v>
      </c>
      <c r="BL106">
        <v>16520</v>
      </c>
      <c r="BM106">
        <v>15890</v>
      </c>
    </row>
    <row r="107" spans="1:65">
      <c r="A107" t="s">
        <v>2272</v>
      </c>
      <c r="B107" t="s">
        <v>2273</v>
      </c>
      <c r="C107" t="s">
        <v>2244</v>
      </c>
      <c r="D107" t="s">
        <v>2245</v>
      </c>
      <c r="I107">
        <v>176.89930226665192</v>
      </c>
      <c r="J107">
        <v>191.50196528815965</v>
      </c>
      <c r="K107">
        <v>200.09619009470399</v>
      </c>
      <c r="L107">
        <v>200.41396100514112</v>
      </c>
      <c r="M107">
        <v>205.52407436093415</v>
      </c>
      <c r="N107">
        <v>223.29942824614403</v>
      </c>
      <c r="O107">
        <v>240.84454179570744</v>
      </c>
      <c r="P107">
        <v>255.44908028098908</v>
      </c>
      <c r="Q107">
        <v>276.28102888790625</v>
      </c>
      <c r="R107">
        <v>333.2821018399145</v>
      </c>
      <c r="S107">
        <v>413.20526906016943</v>
      </c>
      <c r="T107">
        <v>486.10740683061999</v>
      </c>
      <c r="U107">
        <v>509.3569044878318</v>
      </c>
      <c r="V107">
        <v>530.55610361493996</v>
      </c>
      <c r="W107">
        <v>573.1717105092863</v>
      </c>
      <c r="X107">
        <v>660.12762890043621</v>
      </c>
      <c r="Y107">
        <v>755.61225221982886</v>
      </c>
      <c r="Z107">
        <v>815.42331408387474</v>
      </c>
      <c r="AA107">
        <v>802.53264600140255</v>
      </c>
      <c r="AB107">
        <v>749.99285302764758</v>
      </c>
      <c r="AC107">
        <v>743.91482057859855</v>
      </c>
      <c r="AD107">
        <v>757.7608900561313</v>
      </c>
      <c r="AE107">
        <v>800.05845737904508</v>
      </c>
      <c r="AF107">
        <v>863.70935660106329</v>
      </c>
      <c r="AG107">
        <v>915.69574896287099</v>
      </c>
      <c r="AH107">
        <v>909.70277695166203</v>
      </c>
      <c r="AI107">
        <v>953.51666936120284</v>
      </c>
      <c r="AJ107">
        <v>948.95384080795816</v>
      </c>
      <c r="AK107">
        <v>1004.7490257509215</v>
      </c>
      <c r="AL107">
        <v>1048.9694923254831</v>
      </c>
      <c r="AM107">
        <v>1117.5526798677224</v>
      </c>
      <c r="AN107">
        <v>1212.2115665457591</v>
      </c>
      <c r="AO107">
        <v>1340.4631553466334</v>
      </c>
      <c r="AP107">
        <v>1434.0346000016543</v>
      </c>
      <c r="AQ107">
        <v>1389.8314071381189</v>
      </c>
      <c r="AR107">
        <v>1366.8937917619821</v>
      </c>
      <c r="AS107">
        <v>1417.6311743268391</v>
      </c>
      <c r="AT107">
        <v>1428.161784874776</v>
      </c>
      <c r="AU107">
        <v>1446.1869667540382</v>
      </c>
      <c r="AV107">
        <v>1570.1995442159384</v>
      </c>
      <c r="AW107">
        <v>1829.1619684644461</v>
      </c>
      <c r="AX107">
        <v>2137.6946799766974</v>
      </c>
      <c r="AY107">
        <v>2487.5124205338116</v>
      </c>
      <c r="AZ107">
        <v>2955.9455442482868</v>
      </c>
      <c r="BA107">
        <v>3493.0749330568706</v>
      </c>
      <c r="BB107">
        <v>3759.1618664366847</v>
      </c>
      <c r="BC107">
        <v>4198.3014851159933</v>
      </c>
      <c r="BD107">
        <v>4674.9301581083882</v>
      </c>
      <c r="BE107">
        <v>5296.645820685686</v>
      </c>
      <c r="BF107">
        <v>5725.6675433501114</v>
      </c>
      <c r="BG107">
        <v>5909.7087434624427</v>
      </c>
      <c r="BH107">
        <v>5732.7928711238164</v>
      </c>
      <c r="BI107">
        <v>5624.7946501541765</v>
      </c>
      <c r="BJ107">
        <v>5748.9848480301025</v>
      </c>
      <c r="BK107">
        <v>6177.9240138571895</v>
      </c>
      <c r="BL107">
        <v>6510.1329799764289</v>
      </c>
      <c r="BM107">
        <v>6269.8165231032717</v>
      </c>
    </row>
    <row r="108" spans="1:65">
      <c r="A108" t="s">
        <v>2274</v>
      </c>
      <c r="B108" t="s">
        <v>2275</v>
      </c>
      <c r="C108" t="s">
        <v>2244</v>
      </c>
      <c r="D108" t="s">
        <v>2245</v>
      </c>
      <c r="I108">
        <v>164.38200903903748</v>
      </c>
      <c r="J108">
        <v>177.51512780781067</v>
      </c>
      <c r="K108">
        <v>185.3428858452456</v>
      </c>
      <c r="L108">
        <v>185.83215126542206</v>
      </c>
      <c r="M108">
        <v>190.8323497670041</v>
      </c>
      <c r="N108">
        <v>207.15994311363127</v>
      </c>
      <c r="O108">
        <v>224.43555879983339</v>
      </c>
      <c r="P108">
        <v>237.70041141200323</v>
      </c>
      <c r="Q108">
        <v>256.40926232320976</v>
      </c>
      <c r="R108">
        <v>306.11830622925282</v>
      </c>
      <c r="S108">
        <v>380.17544264462009</v>
      </c>
      <c r="T108">
        <v>447.00280725661344</v>
      </c>
      <c r="U108">
        <v>470.43796852427943</v>
      </c>
      <c r="V108">
        <v>489.85828136026089</v>
      </c>
      <c r="W108">
        <v>527.79765367107325</v>
      </c>
      <c r="X108">
        <v>607.47812340088296</v>
      </c>
      <c r="Y108">
        <v>695.7489798483748</v>
      </c>
      <c r="Z108">
        <v>754.35354781999797</v>
      </c>
      <c r="AA108">
        <v>748.92745167656039</v>
      </c>
      <c r="AB108">
        <v>705.62634933173842</v>
      </c>
      <c r="AC108">
        <v>689.23796446195377</v>
      </c>
      <c r="AD108">
        <v>695.88467746754145</v>
      </c>
      <c r="AE108">
        <v>729.70285907824587</v>
      </c>
      <c r="AF108">
        <v>785.78015121494138</v>
      </c>
      <c r="AG108">
        <v>830.58020264795073</v>
      </c>
      <c r="AH108">
        <v>819.84394862407055</v>
      </c>
      <c r="AI108">
        <v>852.3922119884744</v>
      </c>
      <c r="AJ108">
        <v>845.22746357956498</v>
      </c>
      <c r="AK108">
        <v>889.41426616092758</v>
      </c>
      <c r="AL108">
        <v>919.05403579830806</v>
      </c>
      <c r="AM108">
        <v>968.98118539039092</v>
      </c>
      <c r="AN108">
        <v>1045.4705309725364</v>
      </c>
      <c r="AO108">
        <v>1150.7638499291131</v>
      </c>
      <c r="AP108">
        <v>1227.2365577176315</v>
      </c>
      <c r="AQ108">
        <v>1189.0212003436902</v>
      </c>
      <c r="AR108">
        <v>1169.3210578250817</v>
      </c>
      <c r="AS108">
        <v>1209.411989335262</v>
      </c>
      <c r="AT108">
        <v>1218.7488615296904</v>
      </c>
      <c r="AU108">
        <v>1234.8039292786182</v>
      </c>
      <c r="AV108">
        <v>1337.6020586113673</v>
      </c>
      <c r="AW108">
        <v>1554.1387835084208</v>
      </c>
      <c r="AX108">
        <v>1808.2309439074784</v>
      </c>
      <c r="AY108">
        <v>2096.7360172387785</v>
      </c>
      <c r="AZ108">
        <v>2477.3877992550301</v>
      </c>
      <c r="BA108">
        <v>2917.7098436814163</v>
      </c>
      <c r="BB108">
        <v>3133.1227444574861</v>
      </c>
      <c r="BC108">
        <v>3478.9495663874236</v>
      </c>
      <c r="BD108">
        <v>3828.9222743462865</v>
      </c>
      <c r="BE108">
        <v>4306.2039715103592</v>
      </c>
      <c r="BF108">
        <v>4640.0086586835669</v>
      </c>
      <c r="BG108">
        <v>4785.8542376487767</v>
      </c>
      <c r="BH108">
        <v>4642.4163723055035</v>
      </c>
      <c r="BI108">
        <v>4541.3994346646441</v>
      </c>
      <c r="BJ108">
        <v>4617.042927860829</v>
      </c>
      <c r="BK108">
        <v>4935.7917624773918</v>
      </c>
      <c r="BL108">
        <v>5178.7462796944455</v>
      </c>
      <c r="BM108">
        <v>4978.733367808507</v>
      </c>
    </row>
    <row r="109" spans="1:65">
      <c r="A109" t="s">
        <v>2276</v>
      </c>
      <c r="B109" t="s">
        <v>615</v>
      </c>
      <c r="C109" t="s">
        <v>2244</v>
      </c>
      <c r="D109" t="s">
        <v>2245</v>
      </c>
      <c r="N109">
        <v>135.24292521878036</v>
      </c>
      <c r="O109">
        <v>153.39852333700858</v>
      </c>
      <c r="P109">
        <v>160.46448494640447</v>
      </c>
      <c r="Q109">
        <v>169.04546821360051</v>
      </c>
      <c r="R109">
        <v>181.56304210624609</v>
      </c>
      <c r="S109">
        <v>229.95603540907871</v>
      </c>
      <c r="T109">
        <v>270.21068489090919</v>
      </c>
      <c r="U109">
        <v>297.52923424098083</v>
      </c>
      <c r="V109">
        <v>310.76438507068877</v>
      </c>
      <c r="W109">
        <v>329.14958798433116</v>
      </c>
      <c r="X109">
        <v>379.19432177360943</v>
      </c>
      <c r="Y109">
        <v>439.41302969857895</v>
      </c>
      <c r="Z109">
        <v>499.20296142428782</v>
      </c>
      <c r="AA109">
        <v>533.90035312126804</v>
      </c>
      <c r="AB109">
        <v>536.51356555797531</v>
      </c>
      <c r="AC109">
        <v>471.06809538888166</v>
      </c>
      <c r="AD109">
        <v>446.41231198135193</v>
      </c>
      <c r="AE109">
        <v>445.15298774998473</v>
      </c>
      <c r="AF109">
        <v>472.55718875090622</v>
      </c>
      <c r="AG109">
        <v>490.47986357151291</v>
      </c>
      <c r="AH109">
        <v>461.52875403187232</v>
      </c>
      <c r="AI109">
        <v>448.90653986785287</v>
      </c>
      <c r="AJ109">
        <v>435.05461001932827</v>
      </c>
      <c r="AK109">
        <v>433.68614896854314</v>
      </c>
      <c r="AL109">
        <v>403.78075003683449</v>
      </c>
      <c r="AM109">
        <v>379.02216668885768</v>
      </c>
      <c r="AN109">
        <v>389.00759791521398</v>
      </c>
      <c r="AO109">
        <v>410.92579711415488</v>
      </c>
      <c r="AP109">
        <v>429.72529167255772</v>
      </c>
      <c r="AQ109">
        <v>425.89079169718758</v>
      </c>
      <c r="AR109">
        <v>429.80953552426837</v>
      </c>
      <c r="AS109">
        <v>439.68160768428731</v>
      </c>
      <c r="AT109">
        <v>454.78820344052167</v>
      </c>
      <c r="AU109">
        <v>473.94866755165606</v>
      </c>
      <c r="AV109">
        <v>511.26352470061596</v>
      </c>
      <c r="AW109">
        <v>589.8003886180361</v>
      </c>
      <c r="AX109">
        <v>667.76944870730028</v>
      </c>
      <c r="AY109">
        <v>761.72127352859457</v>
      </c>
      <c r="AZ109">
        <v>863.65671327885843</v>
      </c>
      <c r="BA109">
        <v>1003.1637751071141</v>
      </c>
      <c r="BB109">
        <v>1077.4417951249543</v>
      </c>
      <c r="BC109">
        <v>1147.5468591722315</v>
      </c>
      <c r="BD109">
        <v>1120.4994803215664</v>
      </c>
      <c r="BE109">
        <v>1172.6149887161907</v>
      </c>
      <c r="BF109">
        <v>1245.7260896622108</v>
      </c>
      <c r="BG109">
        <v>1314.8214400472011</v>
      </c>
      <c r="BH109">
        <v>1317.0160664538919</v>
      </c>
      <c r="BI109">
        <v>1279.6775432039715</v>
      </c>
      <c r="BJ109">
        <v>1253.8815960398742</v>
      </c>
      <c r="BK109">
        <v>1296.1077752128979</v>
      </c>
      <c r="BL109">
        <v>1333.3400471158207</v>
      </c>
      <c r="BM109">
        <v>1305.1476468765529</v>
      </c>
    </row>
    <row r="110" spans="1:65">
      <c r="A110" t="s">
        <v>2277</v>
      </c>
      <c r="B110" t="s">
        <v>2278</v>
      </c>
      <c r="C110" t="s">
        <v>2244</v>
      </c>
      <c r="D110" t="s">
        <v>2245</v>
      </c>
      <c r="G110">
        <v>104.73040984336153</v>
      </c>
      <c r="H110">
        <v>111.71659960696697</v>
      </c>
      <c r="I110">
        <v>115.87735620673762</v>
      </c>
      <c r="J110">
        <v>122.33089137968915</v>
      </c>
      <c r="K110">
        <v>127.37190522805409</v>
      </c>
      <c r="L110">
        <v>126.7053868482075</v>
      </c>
      <c r="M110">
        <v>134.20545009349101</v>
      </c>
      <c r="N110">
        <v>150.92086558674796</v>
      </c>
      <c r="O110">
        <v>180.01674752515714</v>
      </c>
      <c r="P110">
        <v>190.37226625635526</v>
      </c>
      <c r="Q110">
        <v>201.62196222541931</v>
      </c>
      <c r="R110">
        <v>208.74172755255205</v>
      </c>
      <c r="S110">
        <v>268.45911898316047</v>
      </c>
      <c r="T110">
        <v>307.34898796669881</v>
      </c>
      <c r="U110">
        <v>358.353305320478</v>
      </c>
      <c r="V110">
        <v>387.79424483583296</v>
      </c>
      <c r="W110">
        <v>414.47681164549977</v>
      </c>
      <c r="X110">
        <v>479.68534498209465</v>
      </c>
      <c r="Y110">
        <v>562.84628638270158</v>
      </c>
      <c r="Z110">
        <v>676.04599551778949</v>
      </c>
      <c r="AA110">
        <v>783.47611628865093</v>
      </c>
      <c r="AB110">
        <v>835.47629958420362</v>
      </c>
      <c r="AC110">
        <v>699.73049914458784</v>
      </c>
      <c r="AD110">
        <v>637.51033173632698</v>
      </c>
      <c r="AE110">
        <v>582.89408558110006</v>
      </c>
      <c r="AF110">
        <v>572.34367677567775</v>
      </c>
      <c r="AG110">
        <v>584.00680152851328</v>
      </c>
      <c r="AH110">
        <v>533.80952929874309</v>
      </c>
      <c r="AI110">
        <v>524.76666110318342</v>
      </c>
      <c r="AJ110">
        <v>507.22892040734513</v>
      </c>
      <c r="AK110">
        <v>512.08243230689277</v>
      </c>
      <c r="AL110">
        <v>458.0059368014891</v>
      </c>
      <c r="AM110">
        <v>436.36717293442882</v>
      </c>
      <c r="AN110">
        <v>444.93593511587511</v>
      </c>
      <c r="AO110">
        <v>481.79190446095151</v>
      </c>
      <c r="AP110">
        <v>501.36916388442268</v>
      </c>
      <c r="AQ110">
        <v>488.59537343601369</v>
      </c>
      <c r="AR110">
        <v>491.93839096598327</v>
      </c>
      <c r="AS110">
        <v>504.25351057231768</v>
      </c>
      <c r="AT110">
        <v>528.98246971711399</v>
      </c>
      <c r="AU110">
        <v>562.88315268899407</v>
      </c>
      <c r="AV110">
        <v>607.94127503745551</v>
      </c>
      <c r="AW110">
        <v>718.37527376581056</v>
      </c>
      <c r="AX110">
        <v>828.18613633010909</v>
      </c>
      <c r="AY110">
        <v>985.19372694515334</v>
      </c>
      <c r="AZ110">
        <v>1127.5519110196824</v>
      </c>
      <c r="BA110">
        <v>1318.9738168441243</v>
      </c>
      <c r="BB110">
        <v>1382.2703634010768</v>
      </c>
      <c r="BC110">
        <v>1461.9502071416343</v>
      </c>
      <c r="BD110">
        <v>1540.6112513086885</v>
      </c>
      <c r="BE110">
        <v>1719.0438451222299</v>
      </c>
      <c r="BF110">
        <v>1872.4339618139927</v>
      </c>
      <c r="BG110">
        <v>2006.1709138280055</v>
      </c>
      <c r="BH110">
        <v>1979.7702822464935</v>
      </c>
      <c r="BI110">
        <v>1867.3850677460409</v>
      </c>
      <c r="BJ110">
        <v>1753.5372094619386</v>
      </c>
      <c r="BK110">
        <v>1744.7264193915537</v>
      </c>
      <c r="BL110">
        <v>1740.0192759173135</v>
      </c>
      <c r="BM110">
        <v>1664.7563947917524</v>
      </c>
    </row>
    <row r="111" spans="1:65">
      <c r="A111" t="s">
        <v>171</v>
      </c>
      <c r="B111" t="s">
        <v>385</v>
      </c>
      <c r="C111" t="s">
        <v>2244</v>
      </c>
      <c r="D111" t="s">
        <v>2245</v>
      </c>
      <c r="N111">
        <v>70</v>
      </c>
      <c r="O111">
        <v>80</v>
      </c>
      <c r="P111">
        <v>80</v>
      </c>
      <c r="Q111">
        <v>90</v>
      </c>
      <c r="R111">
        <v>110</v>
      </c>
      <c r="S111">
        <v>160</v>
      </c>
      <c r="T111">
        <v>220</v>
      </c>
      <c r="U111">
        <v>270</v>
      </c>
      <c r="V111">
        <v>300</v>
      </c>
      <c r="W111">
        <v>360</v>
      </c>
      <c r="X111">
        <v>400</v>
      </c>
      <c r="Y111">
        <v>470</v>
      </c>
      <c r="Z111">
        <v>530</v>
      </c>
      <c r="AA111">
        <v>560</v>
      </c>
      <c r="AB111">
        <v>530</v>
      </c>
      <c r="AC111">
        <v>520</v>
      </c>
      <c r="AD111">
        <v>500</v>
      </c>
      <c r="AE111">
        <v>520</v>
      </c>
      <c r="AF111">
        <v>510</v>
      </c>
      <c r="AG111">
        <v>510</v>
      </c>
      <c r="AH111">
        <v>530</v>
      </c>
      <c r="AI111">
        <v>560</v>
      </c>
      <c r="AJ111">
        <v>610</v>
      </c>
      <c r="AK111">
        <v>660</v>
      </c>
      <c r="AL111">
        <v>740</v>
      </c>
      <c r="AM111">
        <v>850</v>
      </c>
      <c r="AN111">
        <v>990</v>
      </c>
      <c r="AO111">
        <v>1090</v>
      </c>
      <c r="AP111">
        <v>1100</v>
      </c>
      <c r="AQ111">
        <v>660</v>
      </c>
      <c r="AR111">
        <v>570</v>
      </c>
      <c r="AS111">
        <v>580</v>
      </c>
      <c r="AT111">
        <v>720</v>
      </c>
      <c r="AU111">
        <v>790</v>
      </c>
      <c r="AV111">
        <v>900</v>
      </c>
      <c r="AW111">
        <v>1080</v>
      </c>
      <c r="AX111">
        <v>1220</v>
      </c>
      <c r="AY111">
        <v>1380</v>
      </c>
      <c r="AZ111">
        <v>1600</v>
      </c>
      <c r="BA111">
        <v>1940</v>
      </c>
      <c r="BB111">
        <v>2150</v>
      </c>
      <c r="BC111">
        <v>2530</v>
      </c>
      <c r="BD111">
        <v>3010</v>
      </c>
      <c r="BE111">
        <v>3580</v>
      </c>
      <c r="BF111">
        <v>3730</v>
      </c>
      <c r="BG111">
        <v>3620</v>
      </c>
      <c r="BH111">
        <v>3430</v>
      </c>
      <c r="BI111">
        <v>3400</v>
      </c>
      <c r="BJ111">
        <v>3530</v>
      </c>
      <c r="BK111">
        <v>3840</v>
      </c>
      <c r="BL111">
        <v>4050</v>
      </c>
      <c r="BM111">
        <v>3870</v>
      </c>
    </row>
    <row r="112" spans="1:65">
      <c r="A112" t="s">
        <v>2279</v>
      </c>
      <c r="B112" t="s">
        <v>2280</v>
      </c>
      <c r="C112" t="s">
        <v>2244</v>
      </c>
      <c r="D112" t="s">
        <v>2245</v>
      </c>
      <c r="AB112">
        <v>333.94355938275726</v>
      </c>
      <c r="AC112">
        <v>318.84873157931042</v>
      </c>
      <c r="AD112">
        <v>321.03451499389149</v>
      </c>
      <c r="AE112">
        <v>360.32536453393357</v>
      </c>
      <c r="AF112">
        <v>417.34479166524119</v>
      </c>
      <c r="AG112">
        <v>440.4490277294388</v>
      </c>
      <c r="AH112">
        <v>426.0464168869367</v>
      </c>
      <c r="AI112">
        <v>410.03900846883755</v>
      </c>
      <c r="AJ112">
        <v>398.38232950381803</v>
      </c>
      <c r="AK112">
        <v>392.46698889703197</v>
      </c>
      <c r="AL112">
        <v>379.51429326409436</v>
      </c>
      <c r="AM112">
        <v>351.61111325658493</v>
      </c>
      <c r="AN112">
        <v>362.95593235562802</v>
      </c>
      <c r="AO112">
        <v>375.3134236517883</v>
      </c>
      <c r="AP112">
        <v>394.10155712681114</v>
      </c>
      <c r="AQ112">
        <v>396.17687783541567</v>
      </c>
      <c r="AR112">
        <v>400.57151561297491</v>
      </c>
      <c r="AS112">
        <v>409.07854352258022</v>
      </c>
      <c r="AT112">
        <v>419.2998254392682</v>
      </c>
      <c r="AU112">
        <v>430.96345034460296</v>
      </c>
      <c r="AV112">
        <v>464.57764382455969</v>
      </c>
      <c r="AW112">
        <v>527.15007779871598</v>
      </c>
      <c r="AX112">
        <v>589.17337991118109</v>
      </c>
      <c r="AY112">
        <v>651.04789709115914</v>
      </c>
      <c r="AZ112">
        <v>732.6491792006575</v>
      </c>
      <c r="BA112">
        <v>846.01738997462337</v>
      </c>
      <c r="BB112">
        <v>926.33130616057724</v>
      </c>
      <c r="BC112">
        <v>991.50831938050783</v>
      </c>
      <c r="BD112">
        <v>909.92635564426212</v>
      </c>
      <c r="BE112">
        <v>897.712506150477</v>
      </c>
      <c r="BF112">
        <v>929.7198516246699</v>
      </c>
      <c r="BG112">
        <v>965.56973205438896</v>
      </c>
      <c r="BH112">
        <v>981.91047288099719</v>
      </c>
      <c r="BI112">
        <v>982.26617376837339</v>
      </c>
      <c r="BJ112">
        <v>1000.9104295922519</v>
      </c>
      <c r="BK112">
        <v>1068.9394709075393</v>
      </c>
      <c r="BL112">
        <v>1127.4294981732548</v>
      </c>
      <c r="BM112">
        <v>1123.4642131734563</v>
      </c>
    </row>
    <row r="113" spans="1:65">
      <c r="A113" t="s">
        <v>263</v>
      </c>
      <c r="B113" t="s">
        <v>541</v>
      </c>
      <c r="C113" t="s">
        <v>2244</v>
      </c>
      <c r="D113" t="s">
        <v>2245</v>
      </c>
      <c r="AP113">
        <v>17050</v>
      </c>
      <c r="AQ113">
        <v>18800</v>
      </c>
      <c r="AR113">
        <v>21310</v>
      </c>
      <c r="AS113">
        <v>21880</v>
      </c>
      <c r="AT113">
        <v>22480</v>
      </c>
      <c r="AU113">
        <v>23780</v>
      </c>
      <c r="AV113">
        <v>27790</v>
      </c>
      <c r="AW113">
        <v>34170</v>
      </c>
      <c r="AX113">
        <v>39600</v>
      </c>
      <c r="AY113">
        <v>44420</v>
      </c>
      <c r="AZ113">
        <v>47220</v>
      </c>
      <c r="BA113">
        <v>42870</v>
      </c>
      <c r="BB113">
        <v>45990</v>
      </c>
      <c r="BC113">
        <v>71570</v>
      </c>
      <c r="BD113">
        <v>74390</v>
      </c>
      <c r="BE113">
        <v>82210</v>
      </c>
      <c r="BF113">
        <v>87840</v>
      </c>
      <c r="BG113">
        <v>89000</v>
      </c>
      <c r="BH113">
        <v>83990</v>
      </c>
      <c r="BI113">
        <v>78860</v>
      </c>
      <c r="BJ113">
        <v>78810</v>
      </c>
      <c r="BK113">
        <v>83660</v>
      </c>
      <c r="BL113">
        <v>83920</v>
      </c>
    </row>
    <row r="114" spans="1:65">
      <c r="A114" t="s">
        <v>142</v>
      </c>
      <c r="B114" t="s">
        <v>356</v>
      </c>
      <c r="C114" t="s">
        <v>2244</v>
      </c>
      <c r="D114" t="s">
        <v>2245</v>
      </c>
      <c r="G114">
        <v>90</v>
      </c>
      <c r="H114">
        <v>100</v>
      </c>
      <c r="I114">
        <v>110</v>
      </c>
      <c r="J114">
        <v>110</v>
      </c>
      <c r="K114">
        <v>110</v>
      </c>
      <c r="L114">
        <v>110</v>
      </c>
      <c r="M114">
        <v>100</v>
      </c>
      <c r="N114">
        <v>110</v>
      </c>
      <c r="O114">
        <v>120</v>
      </c>
      <c r="P114">
        <v>120</v>
      </c>
      <c r="Q114">
        <v>120</v>
      </c>
      <c r="R114">
        <v>140</v>
      </c>
      <c r="S114">
        <v>170</v>
      </c>
      <c r="T114">
        <v>190</v>
      </c>
      <c r="U114">
        <v>180</v>
      </c>
      <c r="V114">
        <v>190</v>
      </c>
      <c r="W114">
        <v>210</v>
      </c>
      <c r="X114">
        <v>220</v>
      </c>
      <c r="Y114">
        <v>270</v>
      </c>
      <c r="Z114">
        <v>290</v>
      </c>
      <c r="AA114">
        <v>290</v>
      </c>
      <c r="AB114">
        <v>280</v>
      </c>
      <c r="AC114">
        <v>280</v>
      </c>
      <c r="AD114">
        <v>290</v>
      </c>
      <c r="AE114">
        <v>310</v>
      </c>
      <c r="AF114">
        <v>350</v>
      </c>
      <c r="AG114">
        <v>390</v>
      </c>
      <c r="AH114">
        <v>390</v>
      </c>
      <c r="AI114">
        <v>380</v>
      </c>
      <c r="AJ114">
        <v>350</v>
      </c>
      <c r="AK114">
        <v>340</v>
      </c>
      <c r="AL114">
        <v>320</v>
      </c>
      <c r="AM114">
        <v>340</v>
      </c>
      <c r="AN114">
        <v>370</v>
      </c>
      <c r="AO114">
        <v>400</v>
      </c>
      <c r="AP114">
        <v>410</v>
      </c>
      <c r="AQ114">
        <v>410</v>
      </c>
      <c r="AR114">
        <v>440</v>
      </c>
      <c r="AS114">
        <v>440</v>
      </c>
      <c r="AT114">
        <v>450</v>
      </c>
      <c r="AU114">
        <v>460</v>
      </c>
      <c r="AV114">
        <v>520</v>
      </c>
      <c r="AW114">
        <v>610</v>
      </c>
      <c r="AX114">
        <v>710</v>
      </c>
      <c r="AY114">
        <v>790</v>
      </c>
      <c r="AZ114">
        <v>910</v>
      </c>
      <c r="BA114">
        <v>1000</v>
      </c>
      <c r="BB114">
        <v>1120</v>
      </c>
      <c r="BC114">
        <v>1220</v>
      </c>
      <c r="BD114">
        <v>1360</v>
      </c>
      <c r="BE114">
        <v>1480</v>
      </c>
      <c r="BF114">
        <v>1520</v>
      </c>
      <c r="BG114">
        <v>1560</v>
      </c>
      <c r="BH114">
        <v>1600</v>
      </c>
      <c r="BI114">
        <v>1680</v>
      </c>
      <c r="BJ114">
        <v>1820</v>
      </c>
      <c r="BK114">
        <v>2010</v>
      </c>
      <c r="BL114">
        <v>2120</v>
      </c>
      <c r="BM114">
        <v>1920</v>
      </c>
    </row>
    <row r="115" spans="1:65">
      <c r="A115" t="s">
        <v>2281</v>
      </c>
      <c r="B115" t="s">
        <v>2282</v>
      </c>
      <c r="C115" t="s">
        <v>2244</v>
      </c>
      <c r="D115" t="s">
        <v>2245</v>
      </c>
    </row>
    <row r="116" spans="1:65">
      <c r="A116" t="s">
        <v>61</v>
      </c>
      <c r="B116" t="s">
        <v>466</v>
      </c>
      <c r="C116" t="s">
        <v>2244</v>
      </c>
      <c r="D116" t="s">
        <v>2245</v>
      </c>
      <c r="Q116">
        <v>2070</v>
      </c>
      <c r="R116">
        <v>2540</v>
      </c>
      <c r="S116">
        <v>2990</v>
      </c>
      <c r="T116">
        <v>3390</v>
      </c>
      <c r="U116">
        <v>3280</v>
      </c>
      <c r="V116">
        <v>3580</v>
      </c>
      <c r="W116">
        <v>4120</v>
      </c>
      <c r="X116">
        <v>5120</v>
      </c>
      <c r="Y116">
        <v>6380</v>
      </c>
      <c r="Z116">
        <v>6780</v>
      </c>
      <c r="AA116">
        <v>6390</v>
      </c>
      <c r="AB116">
        <v>5720</v>
      </c>
      <c r="AC116">
        <v>5610</v>
      </c>
      <c r="AD116">
        <v>5630</v>
      </c>
      <c r="AE116">
        <v>6370</v>
      </c>
      <c r="AF116">
        <v>8220</v>
      </c>
      <c r="AG116">
        <v>10420</v>
      </c>
      <c r="AH116">
        <v>11100</v>
      </c>
      <c r="AI116">
        <v>12560</v>
      </c>
      <c r="AJ116">
        <v>13130</v>
      </c>
      <c r="AK116">
        <v>14440</v>
      </c>
      <c r="AL116">
        <v>14600</v>
      </c>
      <c r="AM116">
        <v>15480</v>
      </c>
      <c r="AN116">
        <v>16920</v>
      </c>
      <c r="AO116">
        <v>18880</v>
      </c>
      <c r="AP116">
        <v>20650</v>
      </c>
      <c r="AQ116">
        <v>21430</v>
      </c>
      <c r="AR116">
        <v>22690</v>
      </c>
      <c r="AS116">
        <v>24130</v>
      </c>
      <c r="AT116">
        <v>24080</v>
      </c>
      <c r="AU116">
        <v>24920</v>
      </c>
      <c r="AV116">
        <v>29980</v>
      </c>
      <c r="AW116">
        <v>37840</v>
      </c>
      <c r="AX116">
        <v>44640</v>
      </c>
      <c r="AY116">
        <v>47950</v>
      </c>
      <c r="AZ116">
        <v>50530</v>
      </c>
      <c r="BA116">
        <v>50940</v>
      </c>
      <c r="BB116">
        <v>46810</v>
      </c>
      <c r="BC116">
        <v>44850</v>
      </c>
      <c r="BD116">
        <v>42220</v>
      </c>
      <c r="BE116">
        <v>40730</v>
      </c>
      <c r="BF116">
        <v>43510</v>
      </c>
      <c r="BG116">
        <v>46410</v>
      </c>
      <c r="BH116">
        <v>50390</v>
      </c>
      <c r="BI116">
        <v>51810</v>
      </c>
      <c r="BJ116">
        <v>53350</v>
      </c>
      <c r="BK116">
        <v>59350</v>
      </c>
      <c r="BL116">
        <v>63300</v>
      </c>
      <c r="BM116">
        <v>65750</v>
      </c>
    </row>
    <row r="117" spans="1:65">
      <c r="A117" t="s">
        <v>158</v>
      </c>
      <c r="B117" t="s">
        <v>372</v>
      </c>
      <c r="C117" t="s">
        <v>2244</v>
      </c>
      <c r="D117" t="s">
        <v>2245</v>
      </c>
      <c r="G117">
        <v>210</v>
      </c>
      <c r="H117">
        <v>210</v>
      </c>
      <c r="I117">
        <v>220</v>
      </c>
      <c r="J117">
        <v>250</v>
      </c>
      <c r="K117">
        <v>270</v>
      </c>
      <c r="L117">
        <v>290</v>
      </c>
      <c r="M117">
        <v>320</v>
      </c>
      <c r="N117">
        <v>360</v>
      </c>
      <c r="O117">
        <v>390</v>
      </c>
      <c r="P117">
        <v>450</v>
      </c>
      <c r="Q117">
        <v>540</v>
      </c>
      <c r="R117">
        <v>730</v>
      </c>
      <c r="S117">
        <v>1090</v>
      </c>
      <c r="T117">
        <v>1460</v>
      </c>
      <c r="U117">
        <v>1980</v>
      </c>
      <c r="V117">
        <v>2060</v>
      </c>
      <c r="W117">
        <v>2000</v>
      </c>
      <c r="X117">
        <v>2240</v>
      </c>
      <c r="Y117">
        <v>2050</v>
      </c>
      <c r="Z117">
        <v>2320</v>
      </c>
      <c r="AA117">
        <v>3070</v>
      </c>
      <c r="AB117">
        <v>3260</v>
      </c>
      <c r="AC117">
        <v>3070</v>
      </c>
      <c r="AD117">
        <v>3420</v>
      </c>
      <c r="AE117">
        <v>3600</v>
      </c>
      <c r="AF117">
        <v>3470</v>
      </c>
      <c r="AG117">
        <v>2970</v>
      </c>
      <c r="AH117">
        <v>2530</v>
      </c>
      <c r="AI117">
        <v>2540</v>
      </c>
      <c r="AN117">
        <v>1290</v>
      </c>
      <c r="AO117">
        <v>1600</v>
      </c>
      <c r="AP117">
        <v>1790</v>
      </c>
      <c r="AQ117">
        <v>1780</v>
      </c>
      <c r="AR117">
        <v>1740</v>
      </c>
      <c r="AS117">
        <v>1760</v>
      </c>
      <c r="AT117">
        <v>1790</v>
      </c>
      <c r="AU117">
        <v>1880</v>
      </c>
      <c r="AV117">
        <v>2200</v>
      </c>
      <c r="AW117">
        <v>2520</v>
      </c>
      <c r="AX117">
        <v>2960</v>
      </c>
      <c r="AY117">
        <v>3480</v>
      </c>
      <c r="AZ117">
        <v>4270</v>
      </c>
      <c r="BA117">
        <v>4970</v>
      </c>
      <c r="BB117">
        <v>5560</v>
      </c>
      <c r="BC117">
        <v>6250</v>
      </c>
      <c r="BD117">
        <v>6870</v>
      </c>
      <c r="BE117">
        <v>7130</v>
      </c>
      <c r="BF117">
        <v>6990</v>
      </c>
      <c r="BG117">
        <v>6500</v>
      </c>
      <c r="BH117">
        <v>5370</v>
      </c>
      <c r="BI117">
        <v>5500</v>
      </c>
      <c r="BJ117">
        <v>5420</v>
      </c>
      <c r="BK117">
        <v>4530</v>
      </c>
      <c r="BL117">
        <v>3640</v>
      </c>
      <c r="BM117">
        <v>2960</v>
      </c>
    </row>
    <row r="118" spans="1:65">
      <c r="A118" t="s">
        <v>185</v>
      </c>
      <c r="B118" t="s">
        <v>400</v>
      </c>
      <c r="C118" t="s">
        <v>2244</v>
      </c>
      <c r="D118" t="s">
        <v>2245</v>
      </c>
      <c r="Y118">
        <v>3910</v>
      </c>
      <c r="Z118">
        <v>3420</v>
      </c>
      <c r="AA118">
        <v>3010</v>
      </c>
      <c r="AB118">
        <v>2350</v>
      </c>
      <c r="AC118">
        <v>2540</v>
      </c>
      <c r="AD118">
        <v>2760</v>
      </c>
      <c r="AE118">
        <v>3060</v>
      </c>
      <c r="AF118">
        <v>3540</v>
      </c>
      <c r="AG118">
        <v>3730</v>
      </c>
      <c r="AH118">
        <v>3730</v>
      </c>
      <c r="AI118">
        <v>7070</v>
      </c>
      <c r="AJ118">
        <v>70</v>
      </c>
      <c r="AK118">
        <v>50</v>
      </c>
      <c r="AL118">
        <v>40</v>
      </c>
      <c r="AM118">
        <v>60</v>
      </c>
      <c r="AN118">
        <v>130</v>
      </c>
      <c r="AO118">
        <v>390</v>
      </c>
      <c r="AP118">
        <v>750</v>
      </c>
      <c r="AQ118">
        <v>920</v>
      </c>
      <c r="AR118">
        <v>1290</v>
      </c>
      <c r="AS118">
        <v>1600</v>
      </c>
      <c r="AT118">
        <v>1730</v>
      </c>
      <c r="AU118">
        <v>1420</v>
      </c>
      <c r="AV118">
        <v>850</v>
      </c>
      <c r="AW118">
        <v>1370</v>
      </c>
      <c r="AX118">
        <v>1430</v>
      </c>
      <c r="AY118">
        <v>1820</v>
      </c>
      <c r="AZ118">
        <v>2400</v>
      </c>
      <c r="BA118">
        <v>3550</v>
      </c>
      <c r="BB118">
        <v>4160</v>
      </c>
      <c r="BC118">
        <v>4580</v>
      </c>
      <c r="BD118">
        <v>4960</v>
      </c>
      <c r="BE118">
        <v>6310</v>
      </c>
      <c r="BF118">
        <v>7050</v>
      </c>
      <c r="BG118">
        <v>6750</v>
      </c>
      <c r="BH118">
        <v>5800</v>
      </c>
      <c r="BI118">
        <v>5340</v>
      </c>
      <c r="BJ118">
        <v>4640</v>
      </c>
      <c r="BK118">
        <v>5040</v>
      </c>
      <c r="BL118">
        <v>5810</v>
      </c>
      <c r="BM118">
        <v>4680</v>
      </c>
    </row>
    <row r="119" spans="1:65">
      <c r="A119" t="s">
        <v>59</v>
      </c>
      <c r="B119" t="s">
        <v>463</v>
      </c>
      <c r="C119" t="s">
        <v>2244</v>
      </c>
      <c r="D119" t="s">
        <v>2245</v>
      </c>
      <c r="G119">
        <v>1540</v>
      </c>
      <c r="H119">
        <v>1740</v>
      </c>
      <c r="I119">
        <v>2050</v>
      </c>
      <c r="J119">
        <v>2440</v>
      </c>
      <c r="K119">
        <v>2980</v>
      </c>
      <c r="L119">
        <v>3110</v>
      </c>
      <c r="M119">
        <v>2790</v>
      </c>
      <c r="N119">
        <v>2490</v>
      </c>
      <c r="AP119">
        <v>28480</v>
      </c>
      <c r="AQ119">
        <v>29270</v>
      </c>
      <c r="AR119">
        <v>30400</v>
      </c>
      <c r="AS119">
        <v>31540</v>
      </c>
      <c r="AT119">
        <v>30700</v>
      </c>
      <c r="AU119">
        <v>30930</v>
      </c>
      <c r="AV119">
        <v>33710</v>
      </c>
      <c r="AW119">
        <v>42020</v>
      </c>
      <c r="AX119">
        <v>50520</v>
      </c>
      <c r="AY119">
        <v>53450</v>
      </c>
      <c r="AZ119">
        <v>61880</v>
      </c>
      <c r="BA119">
        <v>50060</v>
      </c>
      <c r="BB119">
        <v>41860</v>
      </c>
      <c r="BC119">
        <v>36270</v>
      </c>
      <c r="BD119">
        <v>37610</v>
      </c>
      <c r="BE119">
        <v>40690</v>
      </c>
      <c r="BF119">
        <v>46960</v>
      </c>
      <c r="BG119">
        <v>48090</v>
      </c>
      <c r="BH119">
        <v>49940</v>
      </c>
      <c r="BI119">
        <v>54910</v>
      </c>
      <c r="BJ119">
        <v>60230</v>
      </c>
      <c r="BK119">
        <v>67760</v>
      </c>
      <c r="BL119">
        <v>72900</v>
      </c>
      <c r="BM119">
        <v>62410</v>
      </c>
    </row>
    <row r="120" spans="1:65">
      <c r="A120" t="s">
        <v>258</v>
      </c>
      <c r="B120" t="s">
        <v>524</v>
      </c>
      <c r="C120" t="s">
        <v>2244</v>
      </c>
      <c r="D120" t="s">
        <v>2245</v>
      </c>
      <c r="G120">
        <v>1320</v>
      </c>
      <c r="H120">
        <v>1330</v>
      </c>
      <c r="I120">
        <v>1310</v>
      </c>
      <c r="J120">
        <v>1440</v>
      </c>
      <c r="K120">
        <v>1470</v>
      </c>
      <c r="L120">
        <v>1480</v>
      </c>
      <c r="M120">
        <v>1730</v>
      </c>
      <c r="N120">
        <v>1910</v>
      </c>
      <c r="AP120">
        <v>18960</v>
      </c>
      <c r="AQ120">
        <v>18770</v>
      </c>
      <c r="AR120">
        <v>18480</v>
      </c>
      <c r="AS120">
        <v>19360</v>
      </c>
      <c r="AT120">
        <v>19310</v>
      </c>
      <c r="AU120">
        <v>18540</v>
      </c>
      <c r="AV120">
        <v>18650</v>
      </c>
      <c r="AW120">
        <v>20010</v>
      </c>
      <c r="AX120">
        <v>21500</v>
      </c>
      <c r="AY120">
        <v>22370</v>
      </c>
      <c r="AZ120">
        <v>24040</v>
      </c>
      <c r="BA120">
        <v>26270</v>
      </c>
      <c r="BB120">
        <v>27400</v>
      </c>
      <c r="BC120">
        <v>29770</v>
      </c>
      <c r="BD120">
        <v>31760</v>
      </c>
      <c r="BE120">
        <v>32540</v>
      </c>
      <c r="BF120">
        <v>34670</v>
      </c>
      <c r="BG120">
        <v>36300</v>
      </c>
      <c r="BH120">
        <v>36200</v>
      </c>
      <c r="BI120">
        <v>36540</v>
      </c>
      <c r="BJ120">
        <v>37970</v>
      </c>
      <c r="BK120">
        <v>41320</v>
      </c>
      <c r="BL120">
        <v>43540</v>
      </c>
      <c r="BM120">
        <v>42610</v>
      </c>
    </row>
    <row r="121" spans="1:65">
      <c r="A121" t="s">
        <v>63</v>
      </c>
      <c r="B121" t="s">
        <v>450</v>
      </c>
      <c r="C121" t="s">
        <v>2244</v>
      </c>
      <c r="D121" t="s">
        <v>2245</v>
      </c>
      <c r="G121">
        <v>960</v>
      </c>
      <c r="H121">
        <v>1060</v>
      </c>
      <c r="I121">
        <v>1160</v>
      </c>
      <c r="J121">
        <v>1280</v>
      </c>
      <c r="K121">
        <v>1410</v>
      </c>
      <c r="L121">
        <v>1550</v>
      </c>
      <c r="M121">
        <v>1700</v>
      </c>
      <c r="N121">
        <v>1850</v>
      </c>
      <c r="O121">
        <v>2060</v>
      </c>
      <c r="P121">
        <v>2250</v>
      </c>
      <c r="Q121">
        <v>2620</v>
      </c>
      <c r="R121">
        <v>3250</v>
      </c>
      <c r="S121">
        <v>3930</v>
      </c>
      <c r="T121">
        <v>4320</v>
      </c>
      <c r="U121">
        <v>4510</v>
      </c>
      <c r="V121">
        <v>4730</v>
      </c>
      <c r="W121">
        <v>5270</v>
      </c>
      <c r="X121">
        <v>6740</v>
      </c>
      <c r="Y121">
        <v>8430</v>
      </c>
      <c r="Z121">
        <v>8710</v>
      </c>
      <c r="AA121">
        <v>8220</v>
      </c>
      <c r="AB121">
        <v>7630</v>
      </c>
      <c r="AC121">
        <v>7760</v>
      </c>
      <c r="AD121">
        <v>8030</v>
      </c>
      <c r="AE121">
        <v>9380</v>
      </c>
      <c r="AF121">
        <v>12160</v>
      </c>
      <c r="AG121">
        <v>15950</v>
      </c>
      <c r="AH121">
        <v>17300</v>
      </c>
      <c r="AI121">
        <v>18660</v>
      </c>
      <c r="AJ121">
        <v>20370</v>
      </c>
      <c r="AK121">
        <v>22960</v>
      </c>
      <c r="AL121">
        <v>21590</v>
      </c>
      <c r="AM121">
        <v>20860</v>
      </c>
      <c r="AN121">
        <v>20670</v>
      </c>
      <c r="AO121">
        <v>21830</v>
      </c>
      <c r="AP121">
        <v>22300</v>
      </c>
      <c r="AQ121">
        <v>22220</v>
      </c>
      <c r="AR121">
        <v>21990</v>
      </c>
      <c r="AS121">
        <v>21910</v>
      </c>
      <c r="AT121">
        <v>21190</v>
      </c>
      <c r="AU121">
        <v>20770</v>
      </c>
      <c r="AV121">
        <v>23410</v>
      </c>
      <c r="AW121">
        <v>28360</v>
      </c>
      <c r="AX121">
        <v>32480</v>
      </c>
      <c r="AY121">
        <v>34280</v>
      </c>
      <c r="AZ121">
        <v>35930</v>
      </c>
      <c r="BA121">
        <v>37980</v>
      </c>
      <c r="BB121">
        <v>37990</v>
      </c>
      <c r="BC121">
        <v>37960</v>
      </c>
      <c r="BD121">
        <v>37980</v>
      </c>
      <c r="BE121">
        <v>36220</v>
      </c>
      <c r="BF121">
        <v>35570</v>
      </c>
      <c r="BG121">
        <v>34910</v>
      </c>
      <c r="BH121">
        <v>33000</v>
      </c>
      <c r="BI121">
        <v>31970</v>
      </c>
      <c r="BJ121">
        <v>31380</v>
      </c>
      <c r="BK121">
        <v>33850</v>
      </c>
      <c r="BL121">
        <v>34910</v>
      </c>
      <c r="BM121">
        <v>32360</v>
      </c>
    </row>
    <row r="122" spans="1:65">
      <c r="A122" t="s">
        <v>180</v>
      </c>
      <c r="B122" t="s">
        <v>395</v>
      </c>
      <c r="C122" t="s">
        <v>2244</v>
      </c>
      <c r="D122" t="s">
        <v>2245</v>
      </c>
      <c r="M122">
        <v>620</v>
      </c>
      <c r="N122">
        <v>650</v>
      </c>
      <c r="O122">
        <v>720</v>
      </c>
      <c r="P122">
        <v>760</v>
      </c>
      <c r="Q122">
        <v>980</v>
      </c>
      <c r="R122">
        <v>1020</v>
      </c>
      <c r="S122">
        <v>1180</v>
      </c>
      <c r="T122">
        <v>1370</v>
      </c>
      <c r="U122">
        <v>1380</v>
      </c>
      <c r="V122">
        <v>1460</v>
      </c>
      <c r="W122">
        <v>1410</v>
      </c>
      <c r="X122">
        <v>1320</v>
      </c>
      <c r="Y122">
        <v>1220</v>
      </c>
      <c r="Z122">
        <v>1300</v>
      </c>
      <c r="AA122">
        <v>1350</v>
      </c>
      <c r="AB122">
        <v>1390</v>
      </c>
      <c r="AC122">
        <v>1130</v>
      </c>
      <c r="AD122">
        <v>920</v>
      </c>
      <c r="AE122">
        <v>950</v>
      </c>
      <c r="AF122">
        <v>1170</v>
      </c>
      <c r="AG122">
        <v>1480</v>
      </c>
      <c r="AH122">
        <v>1690</v>
      </c>
      <c r="AI122">
        <v>1770</v>
      </c>
      <c r="AJ122">
        <v>1730</v>
      </c>
      <c r="AK122">
        <v>1610</v>
      </c>
      <c r="AL122">
        <v>1840</v>
      </c>
      <c r="AM122">
        <v>1880</v>
      </c>
      <c r="AN122">
        <v>2290</v>
      </c>
      <c r="AO122">
        <v>2520</v>
      </c>
      <c r="AP122">
        <v>2770</v>
      </c>
      <c r="AQ122">
        <v>2890</v>
      </c>
      <c r="AR122">
        <v>3120</v>
      </c>
      <c r="AS122">
        <v>3240</v>
      </c>
      <c r="AT122">
        <v>3240</v>
      </c>
      <c r="AU122">
        <v>3260</v>
      </c>
      <c r="AV122">
        <v>3440</v>
      </c>
      <c r="AW122">
        <v>3650</v>
      </c>
      <c r="AX122">
        <v>3800</v>
      </c>
      <c r="AY122">
        <v>4080</v>
      </c>
      <c r="AZ122">
        <v>4320</v>
      </c>
      <c r="BA122">
        <v>4560</v>
      </c>
      <c r="BB122">
        <v>4330</v>
      </c>
      <c r="BC122">
        <v>4390</v>
      </c>
      <c r="BD122">
        <v>4590</v>
      </c>
      <c r="BE122">
        <v>4980</v>
      </c>
      <c r="BF122">
        <v>5010</v>
      </c>
      <c r="BG122">
        <v>4910</v>
      </c>
      <c r="BH122">
        <v>4700</v>
      </c>
      <c r="BI122">
        <v>4600</v>
      </c>
      <c r="BJ122">
        <v>4750</v>
      </c>
      <c r="BK122">
        <v>5010</v>
      </c>
      <c r="BL122">
        <v>5250</v>
      </c>
      <c r="BM122">
        <v>4670</v>
      </c>
    </row>
    <row r="123" spans="1:65">
      <c r="A123" t="s">
        <v>176</v>
      </c>
      <c r="B123" t="s">
        <v>391</v>
      </c>
      <c r="C123" t="s">
        <v>2244</v>
      </c>
      <c r="D123" t="s">
        <v>2245</v>
      </c>
      <c r="W123">
        <v>1160</v>
      </c>
      <c r="X123">
        <v>1540</v>
      </c>
      <c r="Y123">
        <v>1810</v>
      </c>
      <c r="Z123">
        <v>2040</v>
      </c>
      <c r="AA123">
        <v>1980</v>
      </c>
      <c r="AB123">
        <v>1750</v>
      </c>
      <c r="AC123">
        <v>1730</v>
      </c>
      <c r="AD123">
        <v>1670</v>
      </c>
      <c r="AE123">
        <v>1870</v>
      </c>
      <c r="AF123">
        <v>2100</v>
      </c>
      <c r="AG123">
        <v>2160</v>
      </c>
      <c r="AH123">
        <v>1560</v>
      </c>
      <c r="AI123">
        <v>1270</v>
      </c>
      <c r="AJ123">
        <v>1090</v>
      </c>
      <c r="AK123">
        <v>1240</v>
      </c>
      <c r="AL123">
        <v>1280</v>
      </c>
      <c r="AM123">
        <v>1340</v>
      </c>
      <c r="AN123">
        <v>1420</v>
      </c>
      <c r="AO123">
        <v>1430</v>
      </c>
      <c r="AP123">
        <v>1450</v>
      </c>
      <c r="AQ123">
        <v>1480</v>
      </c>
      <c r="AR123">
        <v>1530</v>
      </c>
      <c r="AS123">
        <v>1670</v>
      </c>
      <c r="AT123">
        <v>1740</v>
      </c>
      <c r="AU123">
        <v>1780</v>
      </c>
      <c r="AV123">
        <v>1900</v>
      </c>
      <c r="AW123">
        <v>2160</v>
      </c>
      <c r="AX123">
        <v>2340</v>
      </c>
      <c r="AY123">
        <v>2510</v>
      </c>
      <c r="AZ123">
        <v>2730</v>
      </c>
      <c r="BA123">
        <v>3110</v>
      </c>
      <c r="BB123">
        <v>3380</v>
      </c>
      <c r="BC123">
        <v>3520</v>
      </c>
      <c r="BD123">
        <v>3620</v>
      </c>
      <c r="BE123">
        <v>3720</v>
      </c>
      <c r="BF123">
        <v>3830</v>
      </c>
      <c r="BG123">
        <v>3920</v>
      </c>
      <c r="BH123">
        <v>3950</v>
      </c>
      <c r="BI123">
        <v>4000</v>
      </c>
      <c r="BJ123">
        <v>4080</v>
      </c>
      <c r="BK123">
        <v>4270</v>
      </c>
      <c r="BL123">
        <v>4410</v>
      </c>
      <c r="BM123">
        <v>4310</v>
      </c>
    </row>
    <row r="124" spans="1:65">
      <c r="A124" t="s">
        <v>57</v>
      </c>
      <c r="B124" t="s">
        <v>451</v>
      </c>
      <c r="C124" t="s">
        <v>2244</v>
      </c>
      <c r="D124" t="s">
        <v>2245</v>
      </c>
      <c r="G124">
        <v>610</v>
      </c>
      <c r="H124">
        <v>700</v>
      </c>
      <c r="I124">
        <v>810</v>
      </c>
      <c r="J124">
        <v>900</v>
      </c>
      <c r="K124">
        <v>1040</v>
      </c>
      <c r="L124">
        <v>1210</v>
      </c>
      <c r="M124">
        <v>1430</v>
      </c>
      <c r="N124">
        <v>1680</v>
      </c>
      <c r="O124">
        <v>1880</v>
      </c>
      <c r="P124">
        <v>2140</v>
      </c>
      <c r="Q124">
        <v>2720</v>
      </c>
      <c r="R124">
        <v>3620</v>
      </c>
      <c r="S124">
        <v>4430</v>
      </c>
      <c r="T124">
        <v>5170</v>
      </c>
      <c r="U124">
        <v>5410</v>
      </c>
      <c r="V124">
        <v>5940</v>
      </c>
      <c r="W124">
        <v>7450</v>
      </c>
      <c r="X124">
        <v>9450</v>
      </c>
      <c r="Y124">
        <v>10850</v>
      </c>
      <c r="Z124">
        <v>11120</v>
      </c>
      <c r="AA124">
        <v>10550</v>
      </c>
      <c r="AB124">
        <v>10270</v>
      </c>
      <c r="AC124">
        <v>10520</v>
      </c>
      <c r="AD124">
        <v>11470</v>
      </c>
      <c r="AE124">
        <v>13860</v>
      </c>
      <c r="AF124">
        <v>18180</v>
      </c>
      <c r="AG124">
        <v>24920</v>
      </c>
      <c r="AH124">
        <v>27010</v>
      </c>
      <c r="AI124">
        <v>27820</v>
      </c>
      <c r="AJ124">
        <v>28580</v>
      </c>
      <c r="AK124">
        <v>30540</v>
      </c>
      <c r="AL124">
        <v>33350</v>
      </c>
      <c r="AM124">
        <v>37120</v>
      </c>
      <c r="AN124">
        <v>42550</v>
      </c>
      <c r="AO124">
        <v>43940</v>
      </c>
      <c r="AP124">
        <v>40760</v>
      </c>
      <c r="AQ124">
        <v>35010</v>
      </c>
      <c r="AR124">
        <v>34320</v>
      </c>
      <c r="AS124">
        <v>36810</v>
      </c>
      <c r="AT124">
        <v>37380</v>
      </c>
      <c r="AU124">
        <v>35360</v>
      </c>
      <c r="AV124">
        <v>35660</v>
      </c>
      <c r="AW124">
        <v>39000</v>
      </c>
      <c r="AX124">
        <v>41280</v>
      </c>
      <c r="AY124">
        <v>40590</v>
      </c>
      <c r="AZ124">
        <v>39310</v>
      </c>
      <c r="BA124">
        <v>39380</v>
      </c>
      <c r="BB124">
        <v>39230</v>
      </c>
      <c r="BC124">
        <v>43910</v>
      </c>
      <c r="BD124">
        <v>47470</v>
      </c>
      <c r="BE124">
        <v>50060</v>
      </c>
      <c r="BF124">
        <v>48850</v>
      </c>
      <c r="BG124">
        <v>44440</v>
      </c>
      <c r="BH124">
        <v>39380</v>
      </c>
      <c r="BI124">
        <v>38490</v>
      </c>
      <c r="BJ124">
        <v>38990</v>
      </c>
      <c r="BK124">
        <v>41850</v>
      </c>
      <c r="BL124">
        <v>42330</v>
      </c>
    </row>
    <row r="125" spans="1:65">
      <c r="A125" t="s">
        <v>212</v>
      </c>
      <c r="B125" t="s">
        <v>427</v>
      </c>
      <c r="C125" t="s">
        <v>2244</v>
      </c>
      <c r="D125" t="s">
        <v>2245</v>
      </c>
      <c r="AL125">
        <v>1430</v>
      </c>
      <c r="AM125">
        <v>1310</v>
      </c>
      <c r="AN125">
        <v>1280</v>
      </c>
      <c r="AO125">
        <v>1340</v>
      </c>
      <c r="AP125">
        <v>1390</v>
      </c>
      <c r="AQ125">
        <v>1390</v>
      </c>
      <c r="AR125">
        <v>1290</v>
      </c>
      <c r="AS125">
        <v>1270</v>
      </c>
      <c r="AT125">
        <v>1360</v>
      </c>
      <c r="AU125">
        <v>1530</v>
      </c>
      <c r="AV125">
        <v>1810</v>
      </c>
      <c r="AW125">
        <v>2300</v>
      </c>
      <c r="AX125">
        <v>2930</v>
      </c>
      <c r="AY125">
        <v>3860</v>
      </c>
      <c r="AZ125">
        <v>4980</v>
      </c>
      <c r="BA125">
        <v>6110</v>
      </c>
      <c r="BB125">
        <v>6790</v>
      </c>
      <c r="BC125">
        <v>7440</v>
      </c>
      <c r="BD125">
        <v>8280</v>
      </c>
      <c r="BE125">
        <v>9940</v>
      </c>
      <c r="BF125">
        <v>11840</v>
      </c>
      <c r="BG125">
        <v>12080</v>
      </c>
      <c r="BH125">
        <v>11380</v>
      </c>
      <c r="BI125">
        <v>8770</v>
      </c>
      <c r="BJ125">
        <v>8040</v>
      </c>
      <c r="BK125">
        <v>8070</v>
      </c>
      <c r="BL125">
        <v>8820</v>
      </c>
      <c r="BM125">
        <v>8710</v>
      </c>
    </row>
    <row r="126" spans="1:65">
      <c r="A126" t="s">
        <v>139</v>
      </c>
      <c r="B126" t="s">
        <v>353</v>
      </c>
      <c r="C126" t="s">
        <v>2244</v>
      </c>
      <c r="D126" t="s">
        <v>2245</v>
      </c>
      <c r="G126">
        <v>100</v>
      </c>
      <c r="H126">
        <v>100</v>
      </c>
      <c r="I126">
        <v>110</v>
      </c>
      <c r="J126">
        <v>100</v>
      </c>
      <c r="K126">
        <v>120</v>
      </c>
      <c r="L126">
        <v>120</v>
      </c>
      <c r="M126">
        <v>130</v>
      </c>
      <c r="N126">
        <v>140</v>
      </c>
      <c r="O126">
        <v>130</v>
      </c>
      <c r="P126">
        <v>160</v>
      </c>
      <c r="Q126">
        <v>190</v>
      </c>
      <c r="R126">
        <v>200</v>
      </c>
      <c r="S126">
        <v>230</v>
      </c>
      <c r="T126">
        <v>250</v>
      </c>
      <c r="U126">
        <v>250</v>
      </c>
      <c r="V126">
        <v>280</v>
      </c>
      <c r="W126">
        <v>320</v>
      </c>
      <c r="X126">
        <v>390</v>
      </c>
      <c r="Y126">
        <v>450</v>
      </c>
      <c r="Z126">
        <v>450</v>
      </c>
      <c r="AA126">
        <v>390</v>
      </c>
      <c r="AB126">
        <v>340</v>
      </c>
      <c r="AC126">
        <v>310</v>
      </c>
      <c r="AD126">
        <v>310</v>
      </c>
      <c r="AE126">
        <v>340</v>
      </c>
      <c r="AF126">
        <v>370</v>
      </c>
      <c r="AG126">
        <v>410</v>
      </c>
      <c r="AH126">
        <v>400</v>
      </c>
      <c r="AI126">
        <v>370</v>
      </c>
      <c r="AJ126">
        <v>350</v>
      </c>
      <c r="AK126">
        <v>330</v>
      </c>
      <c r="AL126">
        <v>270</v>
      </c>
      <c r="AM126">
        <v>260</v>
      </c>
      <c r="AN126">
        <v>270</v>
      </c>
      <c r="AO126">
        <v>340</v>
      </c>
      <c r="AP126">
        <v>390</v>
      </c>
      <c r="AQ126">
        <v>430</v>
      </c>
      <c r="AR126">
        <v>430</v>
      </c>
      <c r="AS126">
        <v>410</v>
      </c>
      <c r="AT126">
        <v>400</v>
      </c>
      <c r="AU126">
        <v>380</v>
      </c>
      <c r="AV126">
        <v>400</v>
      </c>
      <c r="AW126">
        <v>450</v>
      </c>
      <c r="AX126">
        <v>510</v>
      </c>
      <c r="AY126">
        <v>580</v>
      </c>
      <c r="AZ126">
        <v>700</v>
      </c>
      <c r="BA126">
        <v>820</v>
      </c>
      <c r="BB126">
        <v>820</v>
      </c>
      <c r="BC126">
        <v>920</v>
      </c>
      <c r="BD126">
        <v>1000</v>
      </c>
      <c r="BE126">
        <v>1050</v>
      </c>
      <c r="BF126">
        <v>1110</v>
      </c>
      <c r="BG126">
        <v>1230</v>
      </c>
      <c r="BH126">
        <v>1300</v>
      </c>
      <c r="BI126">
        <v>1460</v>
      </c>
      <c r="BJ126">
        <v>1510</v>
      </c>
      <c r="BK126">
        <v>1680</v>
      </c>
      <c r="BL126">
        <v>1830</v>
      </c>
      <c r="BM126">
        <v>1840</v>
      </c>
    </row>
    <row r="127" spans="1:65">
      <c r="A127" t="s">
        <v>123</v>
      </c>
      <c r="B127" t="s">
        <v>337</v>
      </c>
      <c r="C127" t="s">
        <v>2244</v>
      </c>
      <c r="D127" t="s">
        <v>2245</v>
      </c>
      <c r="AK127">
        <v>520</v>
      </c>
      <c r="AL127">
        <v>450</v>
      </c>
      <c r="AM127">
        <v>370</v>
      </c>
      <c r="AN127">
        <v>360</v>
      </c>
      <c r="AO127">
        <v>390</v>
      </c>
      <c r="AP127">
        <v>390</v>
      </c>
      <c r="AQ127">
        <v>360</v>
      </c>
      <c r="AR127">
        <v>300</v>
      </c>
      <c r="AS127">
        <v>280</v>
      </c>
      <c r="AT127">
        <v>280</v>
      </c>
      <c r="AU127">
        <v>290</v>
      </c>
      <c r="AV127">
        <v>340</v>
      </c>
      <c r="AW127">
        <v>400</v>
      </c>
      <c r="AX127">
        <v>450</v>
      </c>
      <c r="AY127">
        <v>500</v>
      </c>
      <c r="AZ127">
        <v>610</v>
      </c>
      <c r="BA127">
        <v>760</v>
      </c>
      <c r="BB127">
        <v>860</v>
      </c>
      <c r="BC127">
        <v>850</v>
      </c>
      <c r="BD127">
        <v>880</v>
      </c>
      <c r="BE127">
        <v>1040</v>
      </c>
      <c r="BF127">
        <v>1190</v>
      </c>
      <c r="BG127">
        <v>1250</v>
      </c>
      <c r="BH127">
        <v>1180</v>
      </c>
      <c r="BI127">
        <v>1110</v>
      </c>
      <c r="BJ127">
        <v>1110</v>
      </c>
      <c r="BK127">
        <v>1220</v>
      </c>
      <c r="BL127">
        <v>1240</v>
      </c>
      <c r="BM127">
        <v>1170</v>
      </c>
    </row>
    <row r="128" spans="1:65">
      <c r="A128" t="s">
        <v>132</v>
      </c>
      <c r="B128" t="s">
        <v>346</v>
      </c>
      <c r="C128" t="s">
        <v>2244</v>
      </c>
      <c r="D128" t="s">
        <v>2245</v>
      </c>
      <c r="AN128">
        <v>250</v>
      </c>
      <c r="AO128">
        <v>320</v>
      </c>
      <c r="AP128">
        <v>320</v>
      </c>
      <c r="AQ128">
        <v>290</v>
      </c>
      <c r="AR128">
        <v>300</v>
      </c>
      <c r="AS128">
        <v>300</v>
      </c>
      <c r="AT128">
        <v>310</v>
      </c>
      <c r="AU128">
        <v>320</v>
      </c>
      <c r="AV128">
        <v>350</v>
      </c>
      <c r="AW128">
        <v>400</v>
      </c>
      <c r="AX128">
        <v>460</v>
      </c>
      <c r="AY128">
        <v>520</v>
      </c>
      <c r="AZ128">
        <v>590</v>
      </c>
      <c r="BA128">
        <v>670</v>
      </c>
      <c r="BB128">
        <v>700</v>
      </c>
      <c r="BC128">
        <v>750</v>
      </c>
      <c r="BD128">
        <v>810</v>
      </c>
      <c r="BE128">
        <v>880</v>
      </c>
      <c r="BF128">
        <v>970</v>
      </c>
      <c r="BG128">
        <v>1020</v>
      </c>
      <c r="BH128">
        <v>1060</v>
      </c>
      <c r="BI128">
        <v>1140</v>
      </c>
      <c r="BJ128">
        <v>1230</v>
      </c>
      <c r="BK128">
        <v>1380</v>
      </c>
      <c r="BL128">
        <v>1530</v>
      </c>
      <c r="BM128">
        <v>1500</v>
      </c>
    </row>
    <row r="129" spans="1:65">
      <c r="A129" t="s">
        <v>152</v>
      </c>
      <c r="B129" t="s">
        <v>366</v>
      </c>
      <c r="C129" t="s">
        <v>2244</v>
      </c>
      <c r="D129" t="s">
        <v>2245</v>
      </c>
      <c r="W129">
        <v>870</v>
      </c>
      <c r="X129">
        <v>860</v>
      </c>
      <c r="Y129">
        <v>690</v>
      </c>
      <c r="Z129">
        <v>660</v>
      </c>
      <c r="AA129">
        <v>790</v>
      </c>
      <c r="AB129">
        <v>780</v>
      </c>
      <c r="AC129">
        <v>590</v>
      </c>
      <c r="AD129">
        <v>540</v>
      </c>
      <c r="AE129">
        <v>520</v>
      </c>
      <c r="AF129">
        <v>550</v>
      </c>
      <c r="AG129">
        <v>640</v>
      </c>
      <c r="AH129">
        <v>670</v>
      </c>
      <c r="AI129">
        <v>720</v>
      </c>
      <c r="AJ129">
        <v>960</v>
      </c>
      <c r="AK129">
        <v>1030</v>
      </c>
      <c r="AL129">
        <v>1020</v>
      </c>
      <c r="AM129">
        <v>1050</v>
      </c>
      <c r="AN129">
        <v>1150</v>
      </c>
      <c r="AO129">
        <v>1090</v>
      </c>
      <c r="AP129">
        <v>1340</v>
      </c>
      <c r="AQ129">
        <v>1470</v>
      </c>
      <c r="AR129">
        <v>1300</v>
      </c>
      <c r="AS129">
        <v>1330</v>
      </c>
      <c r="AT129">
        <v>1340</v>
      </c>
      <c r="AU129">
        <v>1250</v>
      </c>
      <c r="AV129">
        <v>1310</v>
      </c>
      <c r="AW129">
        <v>1480</v>
      </c>
      <c r="AX129">
        <v>1700</v>
      </c>
      <c r="AY129">
        <v>1710</v>
      </c>
      <c r="AZ129">
        <v>1820</v>
      </c>
      <c r="BA129">
        <v>1930</v>
      </c>
      <c r="BB129">
        <v>1900</v>
      </c>
      <c r="BC129">
        <v>2050</v>
      </c>
      <c r="BD129">
        <v>2090</v>
      </c>
      <c r="BE129">
        <v>2620</v>
      </c>
      <c r="BF129">
        <v>2980</v>
      </c>
      <c r="BG129">
        <v>3220</v>
      </c>
      <c r="BH129">
        <v>3470</v>
      </c>
      <c r="BI129">
        <v>2920</v>
      </c>
      <c r="BJ129">
        <v>3020</v>
      </c>
      <c r="BK129">
        <v>3100</v>
      </c>
      <c r="BL129">
        <v>3430</v>
      </c>
      <c r="BM129">
        <v>2960</v>
      </c>
    </row>
    <row r="130" spans="1:65">
      <c r="A130" t="s">
        <v>239</v>
      </c>
      <c r="B130" t="s">
        <v>583</v>
      </c>
      <c r="C130" t="s">
        <v>2244</v>
      </c>
      <c r="D130" t="s">
        <v>2245</v>
      </c>
      <c r="X130">
        <v>1370</v>
      </c>
      <c r="Y130">
        <v>1670</v>
      </c>
      <c r="Z130">
        <v>1850</v>
      </c>
      <c r="AA130">
        <v>1940</v>
      </c>
      <c r="AB130">
        <v>2010</v>
      </c>
      <c r="AC130">
        <v>2240</v>
      </c>
      <c r="AD130">
        <v>2510</v>
      </c>
      <c r="AE130">
        <v>3070</v>
      </c>
      <c r="AF130">
        <v>3690</v>
      </c>
      <c r="AG130">
        <v>4390</v>
      </c>
      <c r="AH130">
        <v>4660</v>
      </c>
      <c r="AI130">
        <v>5220</v>
      </c>
      <c r="AJ130">
        <v>5260</v>
      </c>
      <c r="AK130">
        <v>5710</v>
      </c>
      <c r="AL130">
        <v>6190</v>
      </c>
      <c r="AM130">
        <v>6710</v>
      </c>
      <c r="AN130">
        <v>7310</v>
      </c>
      <c r="AO130">
        <v>7690</v>
      </c>
      <c r="AP130">
        <v>8080</v>
      </c>
      <c r="AQ130">
        <v>7830</v>
      </c>
      <c r="AR130">
        <v>8280</v>
      </c>
      <c r="AS130">
        <v>9120</v>
      </c>
      <c r="AT130">
        <v>9440</v>
      </c>
      <c r="AU130">
        <v>9370</v>
      </c>
      <c r="AV130">
        <v>9270</v>
      </c>
      <c r="AW130">
        <v>10390</v>
      </c>
      <c r="AX130">
        <v>11640</v>
      </c>
      <c r="AY130">
        <v>12440</v>
      </c>
      <c r="AZ130">
        <v>13050</v>
      </c>
      <c r="BA130">
        <v>14850</v>
      </c>
      <c r="BB130">
        <v>14620</v>
      </c>
      <c r="BC130">
        <v>14690</v>
      </c>
      <c r="BD130">
        <v>15450</v>
      </c>
      <c r="BE130">
        <v>15470</v>
      </c>
      <c r="BF130">
        <v>16610</v>
      </c>
      <c r="BG130">
        <v>16490</v>
      </c>
      <c r="BH130">
        <v>16410</v>
      </c>
      <c r="BI130">
        <v>18510</v>
      </c>
      <c r="BJ130">
        <v>18840</v>
      </c>
      <c r="BK130">
        <v>19790</v>
      </c>
      <c r="BL130">
        <v>21160</v>
      </c>
      <c r="BM130">
        <v>19080</v>
      </c>
    </row>
    <row r="131" spans="1:65">
      <c r="A131" t="s">
        <v>73</v>
      </c>
      <c r="B131" t="s">
        <v>449</v>
      </c>
      <c r="C131" t="s">
        <v>2244</v>
      </c>
      <c r="D131" t="s">
        <v>2245</v>
      </c>
      <c r="G131">
        <v>120</v>
      </c>
      <c r="H131">
        <v>120</v>
      </c>
      <c r="I131">
        <v>130</v>
      </c>
      <c r="J131">
        <v>130</v>
      </c>
      <c r="K131">
        <v>140</v>
      </c>
      <c r="L131">
        <v>150</v>
      </c>
      <c r="M131">
        <v>190</v>
      </c>
      <c r="N131">
        <v>240</v>
      </c>
      <c r="O131">
        <v>280</v>
      </c>
      <c r="P131">
        <v>310</v>
      </c>
      <c r="Q131">
        <v>340</v>
      </c>
      <c r="R131">
        <v>430</v>
      </c>
      <c r="S131">
        <v>550</v>
      </c>
      <c r="T131">
        <v>660</v>
      </c>
      <c r="U131">
        <v>810</v>
      </c>
      <c r="V131">
        <v>970</v>
      </c>
      <c r="W131">
        <v>1280</v>
      </c>
      <c r="X131">
        <v>1680</v>
      </c>
      <c r="Y131">
        <v>1870</v>
      </c>
      <c r="Z131">
        <v>2030</v>
      </c>
      <c r="AA131">
        <v>2050</v>
      </c>
      <c r="AB131">
        <v>2170</v>
      </c>
      <c r="AC131">
        <v>2340</v>
      </c>
      <c r="AD131">
        <v>2480</v>
      </c>
      <c r="AE131">
        <v>2850</v>
      </c>
      <c r="AF131">
        <v>3530</v>
      </c>
      <c r="AG131">
        <v>4520</v>
      </c>
      <c r="AH131">
        <v>5380</v>
      </c>
      <c r="AI131">
        <v>6450</v>
      </c>
      <c r="AJ131">
        <v>7570</v>
      </c>
      <c r="AK131">
        <v>8310</v>
      </c>
      <c r="AL131">
        <v>9010</v>
      </c>
      <c r="AM131">
        <v>10090</v>
      </c>
      <c r="AN131">
        <v>11820</v>
      </c>
      <c r="AO131">
        <v>13320</v>
      </c>
      <c r="AP131">
        <v>13550</v>
      </c>
      <c r="AQ131">
        <v>10330</v>
      </c>
      <c r="AR131">
        <v>10430</v>
      </c>
      <c r="AS131">
        <v>11030</v>
      </c>
      <c r="AT131">
        <v>11950</v>
      </c>
      <c r="AU131">
        <v>12850</v>
      </c>
      <c r="AV131">
        <v>13790</v>
      </c>
      <c r="AW131">
        <v>16200</v>
      </c>
      <c r="AX131">
        <v>18520</v>
      </c>
      <c r="AY131">
        <v>20800</v>
      </c>
      <c r="AZ131">
        <v>23440</v>
      </c>
      <c r="BA131">
        <v>23860</v>
      </c>
      <c r="BB131">
        <v>22040</v>
      </c>
      <c r="BC131">
        <v>22290</v>
      </c>
      <c r="BD131">
        <v>23590</v>
      </c>
      <c r="BE131">
        <v>25660</v>
      </c>
      <c r="BF131">
        <v>26980</v>
      </c>
      <c r="BG131">
        <v>28160</v>
      </c>
      <c r="BH131">
        <v>28720</v>
      </c>
      <c r="BI131">
        <v>29330</v>
      </c>
      <c r="BJ131">
        <v>30300</v>
      </c>
      <c r="BK131">
        <v>32750</v>
      </c>
      <c r="BL131">
        <v>33830</v>
      </c>
      <c r="BM131">
        <v>32930</v>
      </c>
    </row>
    <row r="132" spans="1:65">
      <c r="A132" t="s">
        <v>254</v>
      </c>
      <c r="B132" t="s">
        <v>571</v>
      </c>
      <c r="C132" t="s">
        <v>2244</v>
      </c>
      <c r="D132" t="s">
        <v>2245</v>
      </c>
      <c r="AN132">
        <v>20520</v>
      </c>
      <c r="AO132">
        <v>20870</v>
      </c>
      <c r="AP132">
        <v>21480</v>
      </c>
      <c r="AQ132">
        <v>19680</v>
      </c>
      <c r="AR132">
        <v>16870</v>
      </c>
      <c r="AS132">
        <v>17980</v>
      </c>
      <c r="AT132">
        <v>18660</v>
      </c>
      <c r="AU132">
        <v>18930</v>
      </c>
      <c r="AV132">
        <v>22600</v>
      </c>
      <c r="AW132">
        <v>28510</v>
      </c>
      <c r="AX132">
        <v>35220</v>
      </c>
      <c r="AY132">
        <v>42300</v>
      </c>
      <c r="AZ132">
        <v>47580</v>
      </c>
      <c r="BA132">
        <v>51710</v>
      </c>
      <c r="BB132">
        <v>45000</v>
      </c>
      <c r="BC132">
        <v>42490</v>
      </c>
      <c r="BD132">
        <v>43790</v>
      </c>
      <c r="BE132">
        <v>49690</v>
      </c>
      <c r="BF132">
        <v>53060</v>
      </c>
      <c r="BG132">
        <v>51000</v>
      </c>
      <c r="BH132">
        <v>41820</v>
      </c>
      <c r="BI132">
        <v>35330</v>
      </c>
      <c r="BJ132">
        <v>31400</v>
      </c>
      <c r="BK132">
        <v>33430</v>
      </c>
      <c r="BL132">
        <v>36290</v>
      </c>
    </row>
    <row r="133" spans="1:65">
      <c r="A133" t="s">
        <v>2283</v>
      </c>
      <c r="B133" t="s">
        <v>2284</v>
      </c>
      <c r="C133" t="s">
        <v>2244</v>
      </c>
      <c r="D133" t="s">
        <v>2245</v>
      </c>
      <c r="K133">
        <v>449.47502971191494</v>
      </c>
      <c r="L133">
        <v>464.59662508028498</v>
      </c>
      <c r="M133">
        <v>498.82496482491263</v>
      </c>
      <c r="N133">
        <v>532.64992869237028</v>
      </c>
      <c r="O133">
        <v>563.87666030674291</v>
      </c>
      <c r="P133">
        <v>618.54839637486441</v>
      </c>
      <c r="Q133">
        <v>681.23838112908754</v>
      </c>
      <c r="R133">
        <v>827.27481922492177</v>
      </c>
      <c r="S133">
        <v>1058.5179369296447</v>
      </c>
      <c r="T133">
        <v>1249.5515354632946</v>
      </c>
      <c r="U133">
        <v>1327.9077997337554</v>
      </c>
      <c r="V133">
        <v>1362.159300251649</v>
      </c>
      <c r="W133">
        <v>1478.190252260609</v>
      </c>
      <c r="X133">
        <v>1735.1301193845766</v>
      </c>
      <c r="Y133">
        <v>2012.3407219322871</v>
      </c>
      <c r="Z133">
        <v>2166.4407653914254</v>
      </c>
      <c r="AA133">
        <v>2061.7015255320321</v>
      </c>
      <c r="AB133">
        <v>1814.1519689704992</v>
      </c>
      <c r="AC133">
        <v>1731.6384886831281</v>
      </c>
      <c r="AD133">
        <v>1675.3654695371304</v>
      </c>
      <c r="AE133">
        <v>1738.6406225072233</v>
      </c>
      <c r="AF133">
        <v>1895.5429790996809</v>
      </c>
      <c r="AG133">
        <v>2036.4819150735393</v>
      </c>
      <c r="AH133">
        <v>2066.8226615349568</v>
      </c>
      <c r="AI133">
        <v>2123.1284649002091</v>
      </c>
      <c r="AJ133">
        <v>2314.1976247701778</v>
      </c>
      <c r="AK133">
        <v>2621.2727537783171</v>
      </c>
      <c r="AL133">
        <v>2875.8764977932506</v>
      </c>
      <c r="AM133">
        <v>3279.4979097524088</v>
      </c>
      <c r="AN133">
        <v>3497.1617246320857</v>
      </c>
      <c r="AO133">
        <v>3880.5608884846251</v>
      </c>
      <c r="AP133">
        <v>4191.7328240850638</v>
      </c>
      <c r="AQ133">
        <v>4170.6184294971117</v>
      </c>
      <c r="AR133">
        <v>3946.6952696547228</v>
      </c>
      <c r="AS133">
        <v>4016.9695672273092</v>
      </c>
      <c r="AT133">
        <v>3872.7266298849659</v>
      </c>
      <c r="AU133">
        <v>3642.2459032478005</v>
      </c>
      <c r="AV133">
        <v>3651.5165910587789</v>
      </c>
      <c r="AW133">
        <v>3928.4866946805359</v>
      </c>
      <c r="AX133">
        <v>4377.7962812986862</v>
      </c>
      <c r="AY133">
        <v>5032.6711202784973</v>
      </c>
      <c r="AZ133">
        <v>5862.5290234424829</v>
      </c>
      <c r="BA133">
        <v>6743.0411693945243</v>
      </c>
      <c r="BB133">
        <v>6878.6655476484402</v>
      </c>
      <c r="BC133">
        <v>7627.6535222884459</v>
      </c>
      <c r="BD133">
        <v>8469.265093056667</v>
      </c>
      <c r="BE133">
        <v>9354.5082964238427</v>
      </c>
      <c r="BF133">
        <v>9799.0530556465274</v>
      </c>
      <c r="BG133">
        <v>9628.1295058369597</v>
      </c>
      <c r="BH133">
        <v>8814.3030154547905</v>
      </c>
      <c r="BI133">
        <v>8086.4334229513706</v>
      </c>
      <c r="BJ133">
        <v>7959.4018759432574</v>
      </c>
      <c r="BK133">
        <v>8241.9076380526094</v>
      </c>
      <c r="BL133">
        <v>8317.3916967638143</v>
      </c>
      <c r="BM133">
        <v>7211.510471923777</v>
      </c>
    </row>
    <row r="134" spans="1:65">
      <c r="A134" t="s">
        <v>147</v>
      </c>
      <c r="B134" t="s">
        <v>361</v>
      </c>
      <c r="C134" t="s">
        <v>2244</v>
      </c>
      <c r="D134" t="s">
        <v>2245</v>
      </c>
      <c r="AE134">
        <v>550</v>
      </c>
      <c r="AF134">
        <v>430</v>
      </c>
      <c r="AG134">
        <v>250</v>
      </c>
      <c r="AH134">
        <v>210</v>
      </c>
      <c r="AI134">
        <v>190</v>
      </c>
      <c r="AJ134">
        <v>210</v>
      </c>
      <c r="AK134">
        <v>250</v>
      </c>
      <c r="AL134">
        <v>280</v>
      </c>
      <c r="AM134">
        <v>310</v>
      </c>
      <c r="AN134">
        <v>350</v>
      </c>
      <c r="AO134">
        <v>380</v>
      </c>
      <c r="AP134">
        <v>370</v>
      </c>
      <c r="AQ134">
        <v>310</v>
      </c>
      <c r="AR134">
        <v>290</v>
      </c>
      <c r="AS134">
        <v>280</v>
      </c>
      <c r="AT134">
        <v>310</v>
      </c>
      <c r="AU134">
        <v>320</v>
      </c>
      <c r="AV134">
        <v>340</v>
      </c>
      <c r="AW134">
        <v>390</v>
      </c>
      <c r="AX134">
        <v>460</v>
      </c>
      <c r="AY134">
        <v>510</v>
      </c>
      <c r="AZ134">
        <v>620</v>
      </c>
      <c r="BA134">
        <v>750</v>
      </c>
      <c r="BB134">
        <v>890</v>
      </c>
      <c r="BC134">
        <v>1000</v>
      </c>
      <c r="BD134">
        <v>1140</v>
      </c>
      <c r="BE134">
        <v>1370</v>
      </c>
      <c r="BF134">
        <v>1610</v>
      </c>
      <c r="BG134">
        <v>1830</v>
      </c>
      <c r="BH134">
        <v>1980</v>
      </c>
      <c r="BI134">
        <v>2130</v>
      </c>
      <c r="BJ134">
        <v>2260</v>
      </c>
      <c r="BK134">
        <v>2480</v>
      </c>
      <c r="BL134">
        <v>2540</v>
      </c>
      <c r="BM134">
        <v>2520</v>
      </c>
    </row>
    <row r="135" spans="1:65">
      <c r="A135" t="s">
        <v>159</v>
      </c>
      <c r="B135" t="s">
        <v>373</v>
      </c>
      <c r="C135" t="s">
        <v>2244</v>
      </c>
      <c r="D135" t="s">
        <v>2245</v>
      </c>
      <c r="AI135">
        <v>1310</v>
      </c>
      <c r="AJ135">
        <v>1700</v>
      </c>
      <c r="AK135">
        <v>1920</v>
      </c>
      <c r="AL135">
        <v>2220</v>
      </c>
      <c r="AM135">
        <v>2610</v>
      </c>
      <c r="AN135">
        <v>3160</v>
      </c>
      <c r="AO135">
        <v>3720</v>
      </c>
      <c r="AP135">
        <v>4000</v>
      </c>
      <c r="AQ135">
        <v>4250</v>
      </c>
      <c r="AR135">
        <v>4490</v>
      </c>
      <c r="AS135">
        <v>4600</v>
      </c>
      <c r="AT135">
        <v>4460</v>
      </c>
      <c r="AU135">
        <v>4200</v>
      </c>
      <c r="AV135">
        <v>3790</v>
      </c>
      <c r="AW135">
        <v>4730</v>
      </c>
      <c r="AX135">
        <v>4890</v>
      </c>
      <c r="AY135">
        <v>4860</v>
      </c>
      <c r="AZ135">
        <v>5410</v>
      </c>
      <c r="BA135">
        <v>6060</v>
      </c>
      <c r="BB135">
        <v>6870</v>
      </c>
      <c r="BC135">
        <v>7470</v>
      </c>
      <c r="BD135">
        <v>7560</v>
      </c>
      <c r="BE135">
        <v>7560</v>
      </c>
      <c r="BF135">
        <v>7640</v>
      </c>
      <c r="BG135">
        <v>7550</v>
      </c>
      <c r="BH135">
        <v>7300</v>
      </c>
      <c r="BI135">
        <v>7250</v>
      </c>
      <c r="BJ135">
        <v>7490</v>
      </c>
      <c r="BK135">
        <v>7750</v>
      </c>
      <c r="BL135">
        <v>7420</v>
      </c>
      <c r="BM135">
        <v>5370</v>
      </c>
    </row>
    <row r="136" spans="1:65">
      <c r="A136" t="s">
        <v>103</v>
      </c>
      <c r="B136" t="s">
        <v>316</v>
      </c>
      <c r="C136" t="s">
        <v>2244</v>
      </c>
      <c r="D136" t="s">
        <v>2245</v>
      </c>
      <c r="AU136">
        <v>250</v>
      </c>
      <c r="AV136">
        <v>180</v>
      </c>
      <c r="AW136">
        <v>210</v>
      </c>
      <c r="AX136">
        <v>250</v>
      </c>
      <c r="AY136">
        <v>290</v>
      </c>
      <c r="AZ136">
        <v>330</v>
      </c>
      <c r="BA136">
        <v>390</v>
      </c>
      <c r="BB136">
        <v>430</v>
      </c>
      <c r="BC136">
        <v>460</v>
      </c>
      <c r="BD136">
        <v>520</v>
      </c>
      <c r="BE136">
        <v>570</v>
      </c>
      <c r="BF136">
        <v>650</v>
      </c>
      <c r="BG136">
        <v>650</v>
      </c>
      <c r="BH136">
        <v>650</v>
      </c>
      <c r="BI136">
        <v>640</v>
      </c>
      <c r="BJ136">
        <v>640</v>
      </c>
      <c r="BK136">
        <v>630</v>
      </c>
      <c r="BL136">
        <v>610</v>
      </c>
      <c r="BM136">
        <v>570</v>
      </c>
    </row>
    <row r="137" spans="1:65">
      <c r="A137" t="s">
        <v>209</v>
      </c>
      <c r="B137" t="s">
        <v>424</v>
      </c>
      <c r="C137" t="s">
        <v>2244</v>
      </c>
      <c r="D137" t="s">
        <v>2245</v>
      </c>
      <c r="AU137">
        <v>5170</v>
      </c>
      <c r="AV137">
        <v>5160</v>
      </c>
      <c r="AW137">
        <v>5140</v>
      </c>
      <c r="AX137">
        <v>6860</v>
      </c>
      <c r="AY137">
        <v>8600</v>
      </c>
      <c r="AZ137">
        <v>10400</v>
      </c>
      <c r="BA137">
        <v>12200</v>
      </c>
      <c r="BB137">
        <v>12090</v>
      </c>
      <c r="BC137">
        <v>12380</v>
      </c>
      <c r="BD137">
        <v>4690</v>
      </c>
      <c r="BE137">
        <v>11550</v>
      </c>
      <c r="BF137">
        <v>10750</v>
      </c>
      <c r="BG137">
        <v>7610</v>
      </c>
      <c r="BH137">
        <v>5690</v>
      </c>
      <c r="BI137">
        <v>4550</v>
      </c>
      <c r="BJ137">
        <v>5410</v>
      </c>
      <c r="BK137">
        <v>6800</v>
      </c>
      <c r="BL137">
        <v>7720</v>
      </c>
      <c r="BM137">
        <v>4960</v>
      </c>
    </row>
    <row r="138" spans="1:65">
      <c r="A138" t="s">
        <v>217</v>
      </c>
      <c r="B138" t="s">
        <v>432</v>
      </c>
      <c r="C138" t="s">
        <v>2244</v>
      </c>
      <c r="D138" t="s">
        <v>2245</v>
      </c>
      <c r="AA138">
        <v>1530</v>
      </c>
      <c r="AB138">
        <v>1510</v>
      </c>
      <c r="AC138">
        <v>1660</v>
      </c>
      <c r="AD138">
        <v>1940</v>
      </c>
      <c r="AE138">
        <v>2500</v>
      </c>
      <c r="AF138">
        <v>2830</v>
      </c>
      <c r="AG138">
        <v>3330</v>
      </c>
      <c r="AH138">
        <v>3570</v>
      </c>
      <c r="AI138">
        <v>3730</v>
      </c>
      <c r="AJ138">
        <v>3850</v>
      </c>
      <c r="AK138">
        <v>4400</v>
      </c>
      <c r="AL138">
        <v>4420</v>
      </c>
      <c r="AM138">
        <v>4510</v>
      </c>
      <c r="AN138">
        <v>4650</v>
      </c>
      <c r="AO138">
        <v>4850</v>
      </c>
      <c r="AP138">
        <v>4760</v>
      </c>
      <c r="AQ138">
        <v>4930</v>
      </c>
      <c r="AR138">
        <v>5150</v>
      </c>
      <c r="AS138">
        <v>5250</v>
      </c>
      <c r="AT138">
        <v>4990</v>
      </c>
      <c r="AU138">
        <v>5010</v>
      </c>
      <c r="AV138">
        <v>5370</v>
      </c>
      <c r="AW138">
        <v>6000</v>
      </c>
      <c r="AX138">
        <v>6230</v>
      </c>
      <c r="AY138">
        <v>7260</v>
      </c>
      <c r="AZ138">
        <v>7500</v>
      </c>
      <c r="BA138">
        <v>8090</v>
      </c>
      <c r="BB138">
        <v>8020</v>
      </c>
      <c r="BC138">
        <v>8170</v>
      </c>
      <c r="BD138">
        <v>8820</v>
      </c>
      <c r="BE138">
        <v>8850</v>
      </c>
      <c r="BF138">
        <v>8790</v>
      </c>
      <c r="BG138">
        <v>8840</v>
      </c>
      <c r="BH138">
        <v>8740</v>
      </c>
      <c r="BI138">
        <v>9430</v>
      </c>
      <c r="BJ138">
        <v>10060</v>
      </c>
      <c r="BK138">
        <v>10720</v>
      </c>
      <c r="BL138">
        <v>10950</v>
      </c>
      <c r="BM138">
        <v>8560</v>
      </c>
    </row>
    <row r="139" spans="1:65">
      <c r="A139" t="s">
        <v>497</v>
      </c>
      <c r="B139" t="s">
        <v>2285</v>
      </c>
      <c r="C139" t="s">
        <v>2244</v>
      </c>
      <c r="D139" t="s">
        <v>2245</v>
      </c>
      <c r="K139">
        <v>488.73571831086059</v>
      </c>
      <c r="L139">
        <v>503.32860458711303</v>
      </c>
      <c r="M139">
        <v>538.34222601789077</v>
      </c>
      <c r="N139">
        <v>573.21707728548211</v>
      </c>
      <c r="O139">
        <v>610.00689947708929</v>
      </c>
      <c r="P139">
        <v>668.80280933087852</v>
      </c>
      <c r="Q139">
        <v>734.93986304121927</v>
      </c>
      <c r="R139">
        <v>888.99609934760656</v>
      </c>
      <c r="S139">
        <v>1129.6321047156489</v>
      </c>
      <c r="T139">
        <v>1308.7084066213285</v>
      </c>
      <c r="U139">
        <v>1388.289157503352</v>
      </c>
      <c r="V139">
        <v>1427.6106401760628</v>
      </c>
      <c r="W139">
        <v>1557.0369938725692</v>
      </c>
      <c r="X139">
        <v>1831.6518139178913</v>
      </c>
      <c r="Y139">
        <v>2131.1633976955786</v>
      </c>
      <c r="Z139">
        <v>2317.8689961793484</v>
      </c>
      <c r="AA139">
        <v>2202.7466597377629</v>
      </c>
      <c r="AB139">
        <v>1940.8679501922186</v>
      </c>
      <c r="AC139">
        <v>1852.3583842518492</v>
      </c>
      <c r="AD139">
        <v>1791.8677601456943</v>
      </c>
      <c r="AE139">
        <v>1859.1450482235925</v>
      </c>
      <c r="AF139">
        <v>2003.6273894250176</v>
      </c>
      <c r="AG139">
        <v>2149.0914767113172</v>
      </c>
      <c r="AH139">
        <v>2149.7447727956992</v>
      </c>
      <c r="AI139">
        <v>2209.7835913641497</v>
      </c>
      <c r="AJ139">
        <v>2397.1869909457691</v>
      </c>
      <c r="AK139">
        <v>2708.7795689948462</v>
      </c>
      <c r="AL139">
        <v>2953.6322804019301</v>
      </c>
      <c r="AM139">
        <v>3330.3353254710119</v>
      </c>
      <c r="AN139">
        <v>3570.8214518832542</v>
      </c>
      <c r="AO139">
        <v>3948.8545583329451</v>
      </c>
      <c r="AP139">
        <v>4271.9074328781298</v>
      </c>
      <c r="AQ139">
        <v>4251.6654067110603</v>
      </c>
      <c r="AR139">
        <v>4055.4959331337909</v>
      </c>
      <c r="AS139">
        <v>4151.557585206524</v>
      </c>
      <c r="AT139">
        <v>4035.3577323453951</v>
      </c>
      <c r="AU139">
        <v>3784.2280628607123</v>
      </c>
      <c r="AV139">
        <v>3772.9386901760045</v>
      </c>
      <c r="AW139">
        <v>4092.3094957709623</v>
      </c>
      <c r="AX139">
        <v>4581.623880733534</v>
      </c>
      <c r="AY139">
        <v>5275.7765147852242</v>
      </c>
      <c r="AZ139">
        <v>6155.4840472885962</v>
      </c>
      <c r="BA139">
        <v>7096.5796499520329</v>
      </c>
      <c r="BB139">
        <v>7266.1586263648205</v>
      </c>
      <c r="BC139">
        <v>8049.5751939350384</v>
      </c>
      <c r="BD139">
        <v>8873.4308592704547</v>
      </c>
      <c r="BE139">
        <v>9788.235559544386</v>
      </c>
      <c r="BF139">
        <v>10197.814183075025</v>
      </c>
      <c r="BG139">
        <v>10091.687209630723</v>
      </c>
      <c r="BH139">
        <v>9129.0370495599418</v>
      </c>
      <c r="BI139">
        <v>8413.952247921552</v>
      </c>
      <c r="BJ139">
        <v>8301.2537172517004</v>
      </c>
      <c r="BK139">
        <v>8634.3071989918462</v>
      </c>
      <c r="BL139">
        <v>8740.0102643707542</v>
      </c>
      <c r="BM139">
        <v>7611.8367501578223</v>
      </c>
    </row>
    <row r="140" spans="1:65">
      <c r="A140" t="s">
        <v>2286</v>
      </c>
      <c r="B140" t="s">
        <v>1521</v>
      </c>
      <c r="C140" t="s">
        <v>2244</v>
      </c>
      <c r="D140" t="s">
        <v>2245</v>
      </c>
      <c r="AD140">
        <v>231.44587058864718</v>
      </c>
      <c r="AE140">
        <v>260.33285458622379</v>
      </c>
      <c r="AF140">
        <v>301.74786565737605</v>
      </c>
      <c r="AG140">
        <v>318.90349270075501</v>
      </c>
      <c r="AH140">
        <v>321.49236594251784</v>
      </c>
      <c r="AI140">
        <v>310.02261339414383</v>
      </c>
      <c r="AJ140">
        <v>306.81199575586197</v>
      </c>
      <c r="AK140">
        <v>283.76339617853529</v>
      </c>
      <c r="AL140">
        <v>273.13018333741087</v>
      </c>
      <c r="AM140">
        <v>249.7896635679202</v>
      </c>
      <c r="AN140">
        <v>262.11696447998111</v>
      </c>
      <c r="AO140">
        <v>274.04298109875549</v>
      </c>
      <c r="AP140">
        <v>287.90813520451127</v>
      </c>
      <c r="AQ140">
        <v>286.58993327062558</v>
      </c>
      <c r="AR140">
        <v>288.51627796520285</v>
      </c>
      <c r="AS140">
        <v>299.18454640401666</v>
      </c>
      <c r="AT140">
        <v>306.03239865310104</v>
      </c>
      <c r="AU140">
        <v>317.76850679411461</v>
      </c>
      <c r="AV140">
        <v>341.3443445946649</v>
      </c>
      <c r="AW140">
        <v>392.08208636719922</v>
      </c>
      <c r="AX140">
        <v>445.47806919635156</v>
      </c>
      <c r="AY140">
        <v>497.07590665852064</v>
      </c>
      <c r="AZ140">
        <v>568.29936713868176</v>
      </c>
      <c r="BA140">
        <v>659.4662614639002</v>
      </c>
      <c r="BB140">
        <v>718.74478846826719</v>
      </c>
      <c r="BC140">
        <v>768.97118595823792</v>
      </c>
      <c r="BD140">
        <v>819.11414560599974</v>
      </c>
      <c r="BE140">
        <v>888.98749403736758</v>
      </c>
      <c r="BF140">
        <v>962.2188252939585</v>
      </c>
      <c r="BG140">
        <v>1008.4978508927383</v>
      </c>
      <c r="BH140">
        <v>999.67140347794418</v>
      </c>
      <c r="BI140">
        <v>984.70857559792751</v>
      </c>
      <c r="BJ140">
        <v>993.47439320291642</v>
      </c>
      <c r="BK140">
        <v>1044.9750425968398</v>
      </c>
      <c r="BL140">
        <v>1089.6424479606817</v>
      </c>
      <c r="BM140">
        <v>1061.826777964375</v>
      </c>
    </row>
    <row r="141" spans="1:65">
      <c r="A141" t="s">
        <v>306</v>
      </c>
      <c r="B141" t="s">
        <v>299</v>
      </c>
      <c r="C141" t="s">
        <v>2244</v>
      </c>
      <c r="D141" t="s">
        <v>2245</v>
      </c>
      <c r="AK141">
        <v>489.56480606352591</v>
      </c>
      <c r="AL141">
        <v>460.81241821110797</v>
      </c>
      <c r="AM141">
        <v>401.10341561607277</v>
      </c>
      <c r="AN141">
        <v>402.13432633032795</v>
      </c>
      <c r="AO141">
        <v>404.70907428030284</v>
      </c>
      <c r="AP141">
        <v>415.11096175425723</v>
      </c>
      <c r="AQ141">
        <v>403.56882048314782</v>
      </c>
      <c r="AR141">
        <v>398.42662963595802</v>
      </c>
      <c r="AS141">
        <v>403.38212041113815</v>
      </c>
      <c r="AT141">
        <v>421.96481549869111</v>
      </c>
      <c r="AU141">
        <v>444.4516305506188</v>
      </c>
      <c r="AV141">
        <v>481.51993925676663</v>
      </c>
      <c r="AW141">
        <v>550.28198572048234</v>
      </c>
      <c r="AX141">
        <v>616.4515255480128</v>
      </c>
      <c r="AY141">
        <v>693.52583291028884</v>
      </c>
      <c r="AZ141">
        <v>793.39633526664397</v>
      </c>
      <c r="BA141">
        <v>911.43596897453767</v>
      </c>
      <c r="BB141">
        <v>997.43648393494675</v>
      </c>
      <c r="BC141">
        <v>1055.5596162128099</v>
      </c>
      <c r="BD141">
        <v>826.52023366970639</v>
      </c>
      <c r="BE141">
        <v>713.34520786070652</v>
      </c>
      <c r="BF141">
        <v>685.26657593698906</v>
      </c>
      <c r="BG141">
        <v>705.06808951145968</v>
      </c>
      <c r="BH141">
        <v>686.98473293681047</v>
      </c>
      <c r="BI141">
        <v>662.94435207845504</v>
      </c>
      <c r="BJ141">
        <v>649.39219550432972</v>
      </c>
      <c r="BK141">
        <v>659.11084167950423</v>
      </c>
      <c r="BL141">
        <v>683.20664211989765</v>
      </c>
      <c r="BM141">
        <v>668.81542350927668</v>
      </c>
    </row>
    <row r="142" spans="1:65">
      <c r="A142" t="s">
        <v>574</v>
      </c>
      <c r="B142" t="s">
        <v>575</v>
      </c>
      <c r="C142" t="s">
        <v>2244</v>
      </c>
      <c r="D142" t="s">
        <v>2245</v>
      </c>
      <c r="Q142">
        <v>5120</v>
      </c>
      <c r="R142">
        <v>6500</v>
      </c>
      <c r="S142">
        <v>8210</v>
      </c>
      <c r="T142">
        <v>10150</v>
      </c>
      <c r="U142">
        <v>11190</v>
      </c>
      <c r="V142">
        <v>12370</v>
      </c>
      <c r="W142">
        <v>14760</v>
      </c>
      <c r="X142">
        <v>18510</v>
      </c>
      <c r="Y142">
        <v>22610</v>
      </c>
      <c r="Z142">
        <v>22620</v>
      </c>
      <c r="AA142">
        <v>20320</v>
      </c>
      <c r="AB142">
        <v>18770</v>
      </c>
      <c r="AC142">
        <v>19020</v>
      </c>
      <c r="AD142">
        <v>19730</v>
      </c>
      <c r="AE142">
        <v>22870</v>
      </c>
      <c r="AF142">
        <v>31170</v>
      </c>
      <c r="AG142">
        <v>41490</v>
      </c>
      <c r="AH142">
        <v>43620</v>
      </c>
      <c r="AI142">
        <v>45470</v>
      </c>
      <c r="AJ142">
        <v>47570</v>
      </c>
      <c r="AK142">
        <v>54350</v>
      </c>
      <c r="AL142">
        <v>56680</v>
      </c>
      <c r="AM142">
        <v>62010</v>
      </c>
      <c r="AN142">
        <v>70050</v>
      </c>
      <c r="AO142">
        <v>78570</v>
      </c>
      <c r="AP142">
        <v>80150</v>
      </c>
      <c r="AQ142">
        <v>77660</v>
      </c>
      <c r="AR142">
        <v>78660</v>
      </c>
      <c r="AS142">
        <v>78870</v>
      </c>
      <c r="AT142">
        <v>68260</v>
      </c>
      <c r="AU142">
        <v>65050</v>
      </c>
      <c r="AV142">
        <v>68450</v>
      </c>
      <c r="AW142">
        <v>78700</v>
      </c>
      <c r="AX142">
        <v>92710</v>
      </c>
      <c r="AY142">
        <v>104050</v>
      </c>
      <c r="AZ142">
        <v>112190</v>
      </c>
      <c r="BA142">
        <v>121900</v>
      </c>
      <c r="BB142">
        <v>116440</v>
      </c>
    </row>
    <row r="143" spans="1:65">
      <c r="A143" t="s">
        <v>167</v>
      </c>
      <c r="B143" t="s">
        <v>381</v>
      </c>
      <c r="C143" t="s">
        <v>2244</v>
      </c>
      <c r="D143" t="s">
        <v>2245</v>
      </c>
      <c r="H143">
        <v>130</v>
      </c>
      <c r="I143">
        <v>130</v>
      </c>
      <c r="J143">
        <v>130</v>
      </c>
      <c r="K143">
        <v>150</v>
      </c>
      <c r="L143">
        <v>170</v>
      </c>
      <c r="M143">
        <v>160</v>
      </c>
      <c r="N143">
        <v>170</v>
      </c>
      <c r="O143">
        <v>170</v>
      </c>
      <c r="P143">
        <v>170</v>
      </c>
      <c r="Q143">
        <v>180</v>
      </c>
      <c r="R143">
        <v>210</v>
      </c>
      <c r="S143">
        <v>250</v>
      </c>
      <c r="T143">
        <v>270</v>
      </c>
      <c r="U143">
        <v>260</v>
      </c>
      <c r="V143">
        <v>260</v>
      </c>
      <c r="W143">
        <v>240</v>
      </c>
      <c r="X143">
        <v>260</v>
      </c>
      <c r="Y143">
        <v>280</v>
      </c>
      <c r="Z143">
        <v>300</v>
      </c>
      <c r="AA143">
        <v>310</v>
      </c>
      <c r="AB143">
        <v>310</v>
      </c>
      <c r="AC143">
        <v>330</v>
      </c>
      <c r="AD143">
        <v>370</v>
      </c>
      <c r="AE143">
        <v>410</v>
      </c>
      <c r="AF143">
        <v>430</v>
      </c>
      <c r="AG143">
        <v>460</v>
      </c>
      <c r="AH143">
        <v>440</v>
      </c>
      <c r="AI143">
        <v>460</v>
      </c>
      <c r="AJ143">
        <v>490</v>
      </c>
      <c r="AK143">
        <v>550</v>
      </c>
      <c r="AL143">
        <v>600</v>
      </c>
      <c r="AM143">
        <v>640</v>
      </c>
      <c r="AN143">
        <v>690</v>
      </c>
      <c r="AO143">
        <v>740</v>
      </c>
      <c r="AP143">
        <v>800</v>
      </c>
      <c r="AQ143">
        <v>820</v>
      </c>
      <c r="AR143">
        <v>840</v>
      </c>
      <c r="AS143">
        <v>870</v>
      </c>
      <c r="AT143">
        <v>830</v>
      </c>
      <c r="AU143">
        <v>840</v>
      </c>
      <c r="AV143">
        <v>940</v>
      </c>
      <c r="AW143">
        <v>1060</v>
      </c>
      <c r="AX143">
        <v>1210</v>
      </c>
      <c r="AY143">
        <v>1360</v>
      </c>
      <c r="AZ143">
        <v>1550</v>
      </c>
      <c r="BA143">
        <v>1790</v>
      </c>
      <c r="BB143">
        <v>2010</v>
      </c>
      <c r="BC143">
        <v>2410</v>
      </c>
      <c r="BD143">
        <v>2850</v>
      </c>
      <c r="BE143">
        <v>3360</v>
      </c>
      <c r="BF143">
        <v>3490</v>
      </c>
      <c r="BG143">
        <v>3640</v>
      </c>
      <c r="BH143">
        <v>3760</v>
      </c>
      <c r="BI143">
        <v>3810</v>
      </c>
      <c r="BJ143">
        <v>3870</v>
      </c>
      <c r="BK143">
        <v>4040</v>
      </c>
      <c r="BL143">
        <v>4010</v>
      </c>
      <c r="BM143">
        <v>3720</v>
      </c>
    </row>
    <row r="144" spans="1:65">
      <c r="A144" t="s">
        <v>334</v>
      </c>
      <c r="B144" t="s">
        <v>2287</v>
      </c>
      <c r="C144" t="s">
        <v>2244</v>
      </c>
      <c r="D144" t="s">
        <v>2245</v>
      </c>
      <c r="L144">
        <v>114.09992095241034</v>
      </c>
      <c r="M144">
        <v>115.2411984103385</v>
      </c>
      <c r="N144">
        <v>124.76222223718311</v>
      </c>
      <c r="O144">
        <v>134.6526526661722</v>
      </c>
      <c r="P144">
        <v>141.12773953470256</v>
      </c>
      <c r="Q144">
        <v>151.6708075279972</v>
      </c>
      <c r="R144">
        <v>176.59268267949722</v>
      </c>
      <c r="S144">
        <v>220.4334084346774</v>
      </c>
      <c r="T144">
        <v>263.55208856686659</v>
      </c>
      <c r="U144">
        <v>289.25350699642144</v>
      </c>
      <c r="V144">
        <v>303.8502431582769</v>
      </c>
      <c r="W144">
        <v>329.58510357241619</v>
      </c>
      <c r="X144">
        <v>372.57000241047439</v>
      </c>
      <c r="Y144">
        <v>427.77527048580328</v>
      </c>
      <c r="Z144">
        <v>476.99546128499111</v>
      </c>
      <c r="AA144">
        <v>509.60565150980233</v>
      </c>
      <c r="AB144">
        <v>508.15931288270133</v>
      </c>
      <c r="AC144">
        <v>484.27717946866659</v>
      </c>
      <c r="AD144">
        <v>491.87852753744693</v>
      </c>
      <c r="AE144">
        <v>511.71237847123024</v>
      </c>
      <c r="AF144">
        <v>540.32607653542516</v>
      </c>
      <c r="AG144">
        <v>555.17806748135683</v>
      </c>
      <c r="AH144">
        <v>533.17975124633517</v>
      </c>
      <c r="AI144">
        <v>528.09411232807565</v>
      </c>
      <c r="AJ144">
        <v>505.2765981960535</v>
      </c>
      <c r="AK144">
        <v>507.72232492794853</v>
      </c>
      <c r="AL144">
        <v>492.16679815202241</v>
      </c>
      <c r="AM144">
        <v>506.34787417323605</v>
      </c>
      <c r="AN144">
        <v>543.05812635052462</v>
      </c>
      <c r="AO144">
        <v>594.4536625076563</v>
      </c>
      <c r="AP144">
        <v>617.04793232960947</v>
      </c>
      <c r="AQ144">
        <v>578.64791789997071</v>
      </c>
      <c r="AR144">
        <v>581.59274883226374</v>
      </c>
      <c r="AS144">
        <v>588.33483367988038</v>
      </c>
      <c r="AT144">
        <v>611.08020716991064</v>
      </c>
      <c r="AU144">
        <v>626.32332845310953</v>
      </c>
      <c r="AV144">
        <v>691.44088065464086</v>
      </c>
      <c r="AW144">
        <v>802.12169405238967</v>
      </c>
      <c r="AX144">
        <v>917.41849572615854</v>
      </c>
      <c r="AY144">
        <v>1038.4510598823019</v>
      </c>
      <c r="AZ144">
        <v>1206.4591874348471</v>
      </c>
      <c r="BA144">
        <v>1385.3804146475952</v>
      </c>
      <c r="BB144">
        <v>1508.0742025574148</v>
      </c>
      <c r="BC144">
        <v>1654.4599991365035</v>
      </c>
      <c r="BD144">
        <v>1821.1387443731269</v>
      </c>
      <c r="BE144">
        <v>2021.0494789140555</v>
      </c>
      <c r="BF144">
        <v>2126.0673741755013</v>
      </c>
      <c r="BG144">
        <v>2164.369110901438</v>
      </c>
      <c r="BH144">
        <v>2126.866618685302</v>
      </c>
      <c r="BI144">
        <v>2135.444729268992</v>
      </c>
      <c r="BJ144">
        <v>2177.9312757875814</v>
      </c>
      <c r="BK144">
        <v>2292.2850136179859</v>
      </c>
      <c r="BL144">
        <v>2361.9857605485968</v>
      </c>
      <c r="BM144">
        <v>2217.1490291966129</v>
      </c>
    </row>
    <row r="145" spans="1:65">
      <c r="A145" t="s">
        <v>2288</v>
      </c>
      <c r="B145" t="s">
        <v>2289</v>
      </c>
      <c r="C145" t="s">
        <v>2244</v>
      </c>
      <c r="D145" t="s">
        <v>2245</v>
      </c>
      <c r="H145">
        <v>142.82706520600067</v>
      </c>
      <c r="I145">
        <v>156.87906484784654</v>
      </c>
      <c r="J145">
        <v>170.65415513665474</v>
      </c>
      <c r="K145">
        <v>178.56653699339213</v>
      </c>
      <c r="L145">
        <v>178.98960308621216</v>
      </c>
      <c r="M145">
        <v>183.61272140912325</v>
      </c>
      <c r="N145">
        <v>199.81747355198181</v>
      </c>
      <c r="O145">
        <v>216.36970597111534</v>
      </c>
      <c r="P145">
        <v>228.70287732171735</v>
      </c>
      <c r="Q145">
        <v>246.56794954611183</v>
      </c>
      <c r="R145">
        <v>294.38493581668439</v>
      </c>
      <c r="S145">
        <v>365.12486404806543</v>
      </c>
      <c r="T145">
        <v>432.11030159356358</v>
      </c>
      <c r="U145">
        <v>454.26854370920643</v>
      </c>
      <c r="V145">
        <v>472.74785064931086</v>
      </c>
      <c r="W145">
        <v>508.19981248886222</v>
      </c>
      <c r="X145">
        <v>583.30025329061846</v>
      </c>
      <c r="Y145">
        <v>665.67380611210774</v>
      </c>
      <c r="Z145">
        <v>718.85485885451931</v>
      </c>
      <c r="AA145">
        <v>715.48626170619298</v>
      </c>
      <c r="AB145">
        <v>676.38400050671601</v>
      </c>
      <c r="AC145">
        <v>662.50163808724449</v>
      </c>
      <c r="AD145">
        <v>670.57378465339684</v>
      </c>
      <c r="AE145">
        <v>703.62355672015076</v>
      </c>
      <c r="AF145">
        <v>760.09928824945268</v>
      </c>
      <c r="AG145">
        <v>803.78494394254244</v>
      </c>
      <c r="AH145">
        <v>796.60422205399868</v>
      </c>
      <c r="AI145">
        <v>826.76240684462448</v>
      </c>
      <c r="AJ145">
        <v>816.86984454896435</v>
      </c>
      <c r="AK145">
        <v>856.54464011168977</v>
      </c>
      <c r="AL145">
        <v>881.17106205730215</v>
      </c>
      <c r="AM145">
        <v>929.06077413344246</v>
      </c>
      <c r="AN145">
        <v>999.1435344897593</v>
      </c>
      <c r="AO145">
        <v>1098.135053126148</v>
      </c>
      <c r="AP145">
        <v>1167.7753623028925</v>
      </c>
      <c r="AQ145">
        <v>1128.4973440329566</v>
      </c>
      <c r="AR145">
        <v>1109.4044572575149</v>
      </c>
      <c r="AS145">
        <v>1146.7259155417989</v>
      </c>
      <c r="AT145">
        <v>1155.267662236965</v>
      </c>
      <c r="AU145">
        <v>1174.8102058002091</v>
      </c>
      <c r="AV145">
        <v>1277.2985664292153</v>
      </c>
      <c r="AW145">
        <v>1485.1594853921258</v>
      </c>
      <c r="AX145">
        <v>1726.2997855659128</v>
      </c>
      <c r="AY145">
        <v>2000.7103959463877</v>
      </c>
      <c r="AZ145">
        <v>2363.2143140668923</v>
      </c>
      <c r="BA145">
        <v>2780.5369725155238</v>
      </c>
      <c r="BB145">
        <v>2991.0276177134065</v>
      </c>
      <c r="BC145">
        <v>3329.7935136244969</v>
      </c>
      <c r="BD145">
        <v>3678.4165114888769</v>
      </c>
      <c r="BE145">
        <v>4149.9730160518375</v>
      </c>
      <c r="BF145">
        <v>4486.9267238907387</v>
      </c>
      <c r="BG145">
        <v>4629.9939362827326</v>
      </c>
      <c r="BH145">
        <v>4511.7890127196188</v>
      </c>
      <c r="BI145">
        <v>4418.700349123852</v>
      </c>
      <c r="BJ145">
        <v>4495.3982090453637</v>
      </c>
      <c r="BK145">
        <v>4801.5834361594088</v>
      </c>
      <c r="BL145">
        <v>5036.2612976298315</v>
      </c>
      <c r="BM145">
        <v>4843.2864030727187</v>
      </c>
    </row>
    <row r="146" spans="1:65">
      <c r="A146" t="s">
        <v>125</v>
      </c>
      <c r="B146" t="s">
        <v>339</v>
      </c>
      <c r="C146" t="s">
        <v>2244</v>
      </c>
      <c r="D146" t="s">
        <v>2245</v>
      </c>
      <c r="K146">
        <v>80</v>
      </c>
      <c r="L146">
        <v>80</v>
      </c>
      <c r="M146">
        <v>80</v>
      </c>
      <c r="N146">
        <v>80</v>
      </c>
      <c r="O146">
        <v>90</v>
      </c>
      <c r="P146">
        <v>90</v>
      </c>
      <c r="Q146">
        <v>100</v>
      </c>
      <c r="R146">
        <v>150</v>
      </c>
      <c r="S146">
        <v>220</v>
      </c>
      <c r="T146">
        <v>230</v>
      </c>
      <c r="U146">
        <v>280</v>
      </c>
      <c r="V146">
        <v>310</v>
      </c>
      <c r="W146">
        <v>340</v>
      </c>
      <c r="X146">
        <v>400</v>
      </c>
      <c r="Y146">
        <v>440</v>
      </c>
      <c r="Z146">
        <v>510</v>
      </c>
      <c r="AA146">
        <v>610</v>
      </c>
      <c r="AB146">
        <v>540</v>
      </c>
      <c r="AC146">
        <v>490</v>
      </c>
      <c r="AD146">
        <v>410</v>
      </c>
      <c r="AE146">
        <v>390</v>
      </c>
      <c r="AF146">
        <v>420</v>
      </c>
      <c r="AG146">
        <v>500</v>
      </c>
      <c r="AH146">
        <v>520</v>
      </c>
      <c r="AI146">
        <v>550</v>
      </c>
      <c r="AJ146">
        <v>580</v>
      </c>
      <c r="AK146">
        <v>650</v>
      </c>
      <c r="AL146">
        <v>660</v>
      </c>
      <c r="AM146">
        <v>680</v>
      </c>
      <c r="AN146">
        <v>690</v>
      </c>
      <c r="AO146">
        <v>700</v>
      </c>
      <c r="AP146">
        <v>690</v>
      </c>
      <c r="AQ146">
        <v>620</v>
      </c>
      <c r="AR146">
        <v>610</v>
      </c>
      <c r="AS146">
        <v>580</v>
      </c>
      <c r="AT146">
        <v>640</v>
      </c>
      <c r="AU146">
        <v>590</v>
      </c>
      <c r="AV146">
        <v>670</v>
      </c>
      <c r="AW146">
        <v>810</v>
      </c>
      <c r="AX146">
        <v>1020</v>
      </c>
      <c r="AY146">
        <v>1130</v>
      </c>
      <c r="AZ146">
        <v>1300</v>
      </c>
      <c r="BA146">
        <v>1290</v>
      </c>
      <c r="BB146">
        <v>1190</v>
      </c>
      <c r="BC146">
        <v>1270</v>
      </c>
      <c r="BD146">
        <v>1360</v>
      </c>
      <c r="BE146">
        <v>1500</v>
      </c>
      <c r="BF146">
        <v>1460</v>
      </c>
      <c r="BG146">
        <v>1350</v>
      </c>
      <c r="BH146">
        <v>1310</v>
      </c>
      <c r="BI146">
        <v>1270</v>
      </c>
      <c r="BJ146">
        <v>1190</v>
      </c>
      <c r="BK146">
        <v>1230</v>
      </c>
      <c r="BL146">
        <v>1290</v>
      </c>
      <c r="BM146">
        <v>1100</v>
      </c>
    </row>
    <row r="147" spans="1:65">
      <c r="A147" t="s">
        <v>2290</v>
      </c>
      <c r="B147" t="s">
        <v>2291</v>
      </c>
      <c r="C147" t="s">
        <v>2244</v>
      </c>
      <c r="D147" t="s">
        <v>2245</v>
      </c>
      <c r="K147">
        <v>200.04700038083834</v>
      </c>
      <c r="L147">
        <v>197.25217968387358</v>
      </c>
      <c r="M147">
        <v>201.74701275733656</v>
      </c>
      <c r="N147">
        <v>223.8271602759456</v>
      </c>
      <c r="O147">
        <v>249.15441418961183</v>
      </c>
      <c r="P147">
        <v>265.68603610255076</v>
      </c>
      <c r="Q147">
        <v>290.67682573366949</v>
      </c>
      <c r="R147">
        <v>350.90559961072631</v>
      </c>
      <c r="S147">
        <v>422.48523552052137</v>
      </c>
      <c r="T147">
        <v>484.63318849322229</v>
      </c>
      <c r="U147">
        <v>498.38372821252403</v>
      </c>
      <c r="V147">
        <v>531.82392832365861</v>
      </c>
      <c r="W147">
        <v>579.8507732547007</v>
      </c>
      <c r="X147">
        <v>668.19695550151573</v>
      </c>
      <c r="Y147">
        <v>744.55650253279919</v>
      </c>
      <c r="Z147">
        <v>767.00584273407264</v>
      </c>
      <c r="AA147">
        <v>747.43043461875823</v>
      </c>
      <c r="AB147">
        <v>696.42480578785262</v>
      </c>
      <c r="AC147">
        <v>713.05861898773912</v>
      </c>
      <c r="AD147">
        <v>731.29467187870466</v>
      </c>
      <c r="AE147">
        <v>795.24642667781848</v>
      </c>
      <c r="AF147">
        <v>872.60624218958981</v>
      </c>
      <c r="AG147">
        <v>958.75051201574252</v>
      </c>
      <c r="AH147">
        <v>991.53585004335264</v>
      </c>
      <c r="AI147">
        <v>1000.5326569277765</v>
      </c>
      <c r="AJ147">
        <v>1057.8853791668507</v>
      </c>
      <c r="AK147">
        <v>1081.0858498594687</v>
      </c>
      <c r="AL147">
        <v>1107.904471772342</v>
      </c>
      <c r="AM147">
        <v>1184.3492097958722</v>
      </c>
      <c r="AN147">
        <v>1349.7826603380158</v>
      </c>
      <c r="AO147">
        <v>1555.4060366805888</v>
      </c>
      <c r="AP147">
        <v>1703.0442239964232</v>
      </c>
      <c r="AQ147">
        <v>1650.5891456091613</v>
      </c>
      <c r="AR147">
        <v>1587.8562531741679</v>
      </c>
      <c r="AS147">
        <v>1632.1174444213304</v>
      </c>
      <c r="AT147">
        <v>1643.021061174835</v>
      </c>
      <c r="AU147">
        <v>1720.2075230573944</v>
      </c>
      <c r="AV147">
        <v>1915.3765416788651</v>
      </c>
      <c r="AW147">
        <v>2273.6424700408675</v>
      </c>
      <c r="AX147">
        <v>2688.4120611777762</v>
      </c>
      <c r="AY147">
        <v>3188.2209386450859</v>
      </c>
      <c r="AZ147">
        <v>3873.783282576288</v>
      </c>
      <c r="BA147">
        <v>4697.9503370371694</v>
      </c>
      <c r="BB147">
        <v>5131.8506453067594</v>
      </c>
      <c r="BC147">
        <v>5764.7321683609516</v>
      </c>
      <c r="BD147">
        <v>6495.1392093387458</v>
      </c>
      <c r="BE147">
        <v>7457.7024116876573</v>
      </c>
      <c r="BF147">
        <v>8250.4775751834877</v>
      </c>
      <c r="BG147">
        <v>8652.6055874753165</v>
      </c>
      <c r="BH147">
        <v>8475.4138478697059</v>
      </c>
      <c r="BI147">
        <v>8316.5348949845593</v>
      </c>
      <c r="BJ147">
        <v>8521.0737627957224</v>
      </c>
      <c r="BK147">
        <v>9312.5542036137704</v>
      </c>
      <c r="BL147">
        <v>9980.7372455280347</v>
      </c>
      <c r="BM147">
        <v>9860.5651167323958</v>
      </c>
    </row>
    <row r="148" spans="1:65">
      <c r="A148" t="s">
        <v>244</v>
      </c>
      <c r="B148" t="s">
        <v>536</v>
      </c>
      <c r="C148" t="s">
        <v>2244</v>
      </c>
      <c r="D148" t="s">
        <v>2245</v>
      </c>
      <c r="AP148">
        <v>2600</v>
      </c>
      <c r="AQ148">
        <v>2860</v>
      </c>
      <c r="AR148">
        <v>2980</v>
      </c>
      <c r="AS148">
        <v>3210</v>
      </c>
      <c r="AT148">
        <v>3450</v>
      </c>
      <c r="AU148">
        <v>3820</v>
      </c>
      <c r="AV148">
        <v>4700</v>
      </c>
      <c r="AW148">
        <v>6010</v>
      </c>
      <c r="AX148">
        <v>7560</v>
      </c>
      <c r="AY148">
        <v>8800</v>
      </c>
      <c r="AZ148">
        <v>10600</v>
      </c>
      <c r="BA148">
        <v>12680</v>
      </c>
      <c r="BB148">
        <v>12460</v>
      </c>
      <c r="BC148">
        <v>12570</v>
      </c>
      <c r="BD148">
        <v>13320</v>
      </c>
      <c r="BE148">
        <v>14100</v>
      </c>
      <c r="BF148">
        <v>15340</v>
      </c>
      <c r="BG148">
        <v>16070</v>
      </c>
      <c r="BH148">
        <v>15190</v>
      </c>
      <c r="BI148">
        <v>14890</v>
      </c>
      <c r="BJ148">
        <v>15280</v>
      </c>
      <c r="BK148">
        <v>17470</v>
      </c>
      <c r="BL148">
        <v>19060</v>
      </c>
      <c r="BM148">
        <v>19620</v>
      </c>
    </row>
    <row r="149" spans="1:65">
      <c r="A149" t="s">
        <v>54</v>
      </c>
      <c r="B149" t="s">
        <v>467</v>
      </c>
      <c r="C149" t="s">
        <v>2244</v>
      </c>
      <c r="D149" t="s">
        <v>2245</v>
      </c>
      <c r="G149">
        <v>1630</v>
      </c>
      <c r="H149">
        <v>1680</v>
      </c>
      <c r="I149">
        <v>1870</v>
      </c>
      <c r="J149">
        <v>1920</v>
      </c>
      <c r="K149">
        <v>2020</v>
      </c>
      <c r="L149">
        <v>2070</v>
      </c>
      <c r="M149">
        <v>2240</v>
      </c>
      <c r="N149">
        <v>2560</v>
      </c>
      <c r="O149">
        <v>3220</v>
      </c>
      <c r="P149">
        <v>3440</v>
      </c>
      <c r="Q149">
        <v>4050</v>
      </c>
      <c r="R149">
        <v>5200</v>
      </c>
      <c r="S149">
        <v>6850</v>
      </c>
      <c r="T149">
        <v>7890</v>
      </c>
      <c r="U149">
        <v>8470</v>
      </c>
      <c r="V149">
        <v>9030</v>
      </c>
      <c r="W149">
        <v>10600</v>
      </c>
      <c r="X149">
        <v>12870</v>
      </c>
      <c r="Y149">
        <v>15390</v>
      </c>
      <c r="Z149">
        <v>15400</v>
      </c>
      <c r="AA149">
        <v>14850</v>
      </c>
      <c r="AB149">
        <v>13410</v>
      </c>
      <c r="AC149">
        <v>12990</v>
      </c>
      <c r="AD149">
        <v>13050</v>
      </c>
      <c r="AE149">
        <v>15520</v>
      </c>
      <c r="AF149">
        <v>19980</v>
      </c>
      <c r="AG149">
        <v>25870</v>
      </c>
      <c r="AH149">
        <v>28540</v>
      </c>
      <c r="AI149">
        <v>31330</v>
      </c>
      <c r="AJ149">
        <v>35170</v>
      </c>
      <c r="AK149">
        <v>38990</v>
      </c>
      <c r="AL149">
        <v>40050</v>
      </c>
      <c r="AM149">
        <v>41330</v>
      </c>
      <c r="AN149">
        <v>45760</v>
      </c>
      <c r="AO149">
        <v>48560</v>
      </c>
      <c r="AP149">
        <v>49360</v>
      </c>
      <c r="AQ149">
        <v>46350</v>
      </c>
      <c r="AR149">
        <v>46520</v>
      </c>
      <c r="AS149">
        <v>45690</v>
      </c>
      <c r="AT149">
        <v>45000</v>
      </c>
      <c r="AU149">
        <v>42520</v>
      </c>
      <c r="AV149">
        <v>46050</v>
      </c>
      <c r="AW149">
        <v>62680</v>
      </c>
      <c r="AX149">
        <v>73180</v>
      </c>
      <c r="AY149">
        <v>71370</v>
      </c>
      <c r="AZ149">
        <v>85730</v>
      </c>
      <c r="BA149">
        <v>86000</v>
      </c>
      <c r="BB149">
        <v>70650</v>
      </c>
      <c r="BC149">
        <v>77640</v>
      </c>
      <c r="BD149">
        <v>79210</v>
      </c>
      <c r="BE149">
        <v>87950</v>
      </c>
      <c r="BF149">
        <v>85160</v>
      </c>
      <c r="BG149">
        <v>86760</v>
      </c>
      <c r="BH149">
        <v>73530</v>
      </c>
      <c r="BI149">
        <v>73730</v>
      </c>
      <c r="BJ149">
        <v>75800</v>
      </c>
      <c r="BK149">
        <v>79540</v>
      </c>
      <c r="BL149">
        <v>77110</v>
      </c>
      <c r="BM149">
        <v>81110</v>
      </c>
    </row>
    <row r="150" spans="1:65">
      <c r="A150" t="s">
        <v>240</v>
      </c>
      <c r="B150" t="s">
        <v>534</v>
      </c>
      <c r="C150" t="s">
        <v>2244</v>
      </c>
      <c r="D150" t="s">
        <v>2245</v>
      </c>
      <c r="AP150">
        <v>2720</v>
      </c>
      <c r="AQ150">
        <v>2870</v>
      </c>
      <c r="AR150">
        <v>2990</v>
      </c>
      <c r="AS150">
        <v>3320</v>
      </c>
      <c r="AT150">
        <v>3600</v>
      </c>
      <c r="AU150">
        <v>3940</v>
      </c>
      <c r="AV150">
        <v>4670</v>
      </c>
      <c r="AW150">
        <v>5830</v>
      </c>
      <c r="AX150">
        <v>7390</v>
      </c>
      <c r="AY150">
        <v>8930</v>
      </c>
      <c r="AZ150">
        <v>11230</v>
      </c>
      <c r="BA150">
        <v>13530</v>
      </c>
      <c r="BB150">
        <v>14120</v>
      </c>
      <c r="BC150">
        <v>12650</v>
      </c>
      <c r="BD150">
        <v>12740</v>
      </c>
      <c r="BE150">
        <v>13800</v>
      </c>
      <c r="BF150">
        <v>14850</v>
      </c>
      <c r="BG150">
        <v>15340</v>
      </c>
      <c r="BH150">
        <v>15110</v>
      </c>
      <c r="BI150">
        <v>14800</v>
      </c>
      <c r="BJ150">
        <v>14870</v>
      </c>
      <c r="BK150">
        <v>16550</v>
      </c>
      <c r="BL150">
        <v>17810</v>
      </c>
      <c r="BM150">
        <v>17890</v>
      </c>
    </row>
    <row r="151" spans="1:65">
      <c r="A151" t="s">
        <v>257</v>
      </c>
      <c r="B151" t="s">
        <v>537</v>
      </c>
      <c r="C151" t="s">
        <v>2244</v>
      </c>
      <c r="D151" t="s">
        <v>2245</v>
      </c>
      <c r="AC151">
        <v>4770</v>
      </c>
      <c r="AD151">
        <v>4600</v>
      </c>
      <c r="AE151">
        <v>5220</v>
      </c>
      <c r="AF151">
        <v>6510</v>
      </c>
      <c r="AG151">
        <v>7490</v>
      </c>
      <c r="AH151">
        <v>8080</v>
      </c>
      <c r="AI151">
        <v>8980</v>
      </c>
      <c r="AJ151">
        <v>9990</v>
      </c>
      <c r="AK151">
        <v>12570</v>
      </c>
      <c r="AL151">
        <v>14310</v>
      </c>
      <c r="AM151">
        <v>16030</v>
      </c>
      <c r="AN151">
        <v>17430</v>
      </c>
      <c r="AO151">
        <v>17490</v>
      </c>
      <c r="AP151">
        <v>17330</v>
      </c>
      <c r="AQ151">
        <v>15700</v>
      </c>
      <c r="AR151">
        <v>14640</v>
      </c>
      <c r="AS151">
        <v>14720</v>
      </c>
      <c r="AT151">
        <v>15760</v>
      </c>
      <c r="AU151">
        <v>16290</v>
      </c>
      <c r="AV151">
        <v>17840</v>
      </c>
      <c r="AW151">
        <v>22220</v>
      </c>
      <c r="AX151">
        <v>23950</v>
      </c>
      <c r="AY151">
        <v>26190</v>
      </c>
      <c r="AZ151">
        <v>34150</v>
      </c>
      <c r="BA151">
        <v>33780</v>
      </c>
      <c r="BB151">
        <v>36100</v>
      </c>
      <c r="BC151">
        <v>45260</v>
      </c>
      <c r="BD151">
        <v>54490</v>
      </c>
      <c r="BE151">
        <v>60790</v>
      </c>
      <c r="BF151">
        <v>69510</v>
      </c>
      <c r="BG151">
        <v>72140</v>
      </c>
      <c r="BH151">
        <v>62080</v>
      </c>
      <c r="BI151">
        <v>63700</v>
      </c>
      <c r="BJ151">
        <v>69960</v>
      </c>
      <c r="BK151">
        <v>76480</v>
      </c>
      <c r="BL151">
        <v>75690</v>
      </c>
    </row>
    <row r="152" spans="1:65">
      <c r="A152" t="s">
        <v>572</v>
      </c>
      <c r="B152" t="s">
        <v>573</v>
      </c>
      <c r="C152" t="s">
        <v>2244</v>
      </c>
      <c r="D152" t="s">
        <v>2245</v>
      </c>
    </row>
    <row r="153" spans="1:65">
      <c r="A153" t="s">
        <v>156</v>
      </c>
      <c r="B153" t="s">
        <v>370</v>
      </c>
      <c r="C153" t="s">
        <v>2244</v>
      </c>
      <c r="D153" t="s">
        <v>2245</v>
      </c>
      <c r="M153">
        <v>220</v>
      </c>
      <c r="N153">
        <v>240</v>
      </c>
      <c r="O153">
        <v>250</v>
      </c>
      <c r="P153">
        <v>270</v>
      </c>
      <c r="Q153">
        <v>290</v>
      </c>
      <c r="R153">
        <v>350</v>
      </c>
      <c r="S153">
        <v>440</v>
      </c>
      <c r="T153">
        <v>540</v>
      </c>
      <c r="U153">
        <v>580</v>
      </c>
      <c r="V153">
        <v>600</v>
      </c>
      <c r="W153">
        <v>650</v>
      </c>
      <c r="X153">
        <v>780</v>
      </c>
      <c r="Y153">
        <v>980</v>
      </c>
      <c r="Z153">
        <v>960</v>
      </c>
      <c r="AA153">
        <v>940</v>
      </c>
      <c r="AB153">
        <v>790</v>
      </c>
      <c r="AC153">
        <v>730</v>
      </c>
      <c r="AD153">
        <v>680</v>
      </c>
      <c r="AE153">
        <v>770</v>
      </c>
      <c r="AF153">
        <v>860</v>
      </c>
      <c r="AG153">
        <v>1080</v>
      </c>
      <c r="AH153">
        <v>1110</v>
      </c>
      <c r="AI153">
        <v>1160</v>
      </c>
      <c r="AJ153">
        <v>1240</v>
      </c>
      <c r="AK153">
        <v>1270</v>
      </c>
      <c r="AL153">
        <v>1230</v>
      </c>
      <c r="AM153">
        <v>1350</v>
      </c>
      <c r="AN153">
        <v>1300</v>
      </c>
      <c r="AO153">
        <v>1510</v>
      </c>
      <c r="AP153">
        <v>1460</v>
      </c>
      <c r="AQ153">
        <v>1460</v>
      </c>
      <c r="AR153">
        <v>1410</v>
      </c>
      <c r="AS153">
        <v>1390</v>
      </c>
      <c r="AT153">
        <v>1400</v>
      </c>
      <c r="AU153">
        <v>1370</v>
      </c>
      <c r="AV153">
        <v>1540</v>
      </c>
      <c r="AW153">
        <v>1830</v>
      </c>
      <c r="AX153">
        <v>2070</v>
      </c>
      <c r="AY153">
        <v>2240</v>
      </c>
      <c r="AZ153">
        <v>2380</v>
      </c>
      <c r="BA153">
        <v>2700</v>
      </c>
      <c r="BB153">
        <v>2880</v>
      </c>
      <c r="BC153">
        <v>2930</v>
      </c>
      <c r="BD153">
        <v>3000</v>
      </c>
      <c r="BE153">
        <v>2980</v>
      </c>
      <c r="BF153">
        <v>3090</v>
      </c>
      <c r="BG153">
        <v>3060</v>
      </c>
      <c r="BH153">
        <v>3020</v>
      </c>
      <c r="BI153">
        <v>2880</v>
      </c>
      <c r="BJ153">
        <v>2880</v>
      </c>
      <c r="BK153">
        <v>3090</v>
      </c>
      <c r="BL153">
        <v>3200</v>
      </c>
      <c r="BM153">
        <v>3020</v>
      </c>
    </row>
    <row r="154" spans="1:65">
      <c r="A154" t="s">
        <v>576</v>
      </c>
      <c r="B154" t="s">
        <v>577</v>
      </c>
      <c r="C154" t="s">
        <v>2244</v>
      </c>
      <c r="D154" t="s">
        <v>2245</v>
      </c>
    </row>
    <row r="155" spans="1:65">
      <c r="A155" t="s">
        <v>189</v>
      </c>
      <c r="B155" t="s">
        <v>404</v>
      </c>
      <c r="C155" t="s">
        <v>2244</v>
      </c>
      <c r="D155" t="s">
        <v>2245</v>
      </c>
      <c r="AP155">
        <v>630</v>
      </c>
      <c r="AQ155">
        <v>580</v>
      </c>
      <c r="AR155">
        <v>510</v>
      </c>
      <c r="AS155">
        <v>490</v>
      </c>
      <c r="AT155">
        <v>500</v>
      </c>
      <c r="AU155">
        <v>590</v>
      </c>
      <c r="AV155">
        <v>710</v>
      </c>
      <c r="AW155">
        <v>910</v>
      </c>
      <c r="AX155">
        <v>1120</v>
      </c>
      <c r="AY155">
        <v>1280</v>
      </c>
      <c r="AZ155">
        <v>1440</v>
      </c>
      <c r="BA155">
        <v>1870</v>
      </c>
      <c r="BB155">
        <v>1950</v>
      </c>
      <c r="BC155">
        <v>2380</v>
      </c>
      <c r="BD155">
        <v>2730</v>
      </c>
      <c r="BE155">
        <v>3140</v>
      </c>
      <c r="BF155">
        <v>3620</v>
      </c>
      <c r="BG155">
        <v>3740</v>
      </c>
      <c r="BH155">
        <v>3300</v>
      </c>
      <c r="BI155">
        <v>3180</v>
      </c>
      <c r="BJ155">
        <v>3330</v>
      </c>
      <c r="BK155">
        <v>3920</v>
      </c>
      <c r="BL155">
        <v>4580</v>
      </c>
      <c r="BM155">
        <v>4560</v>
      </c>
    </row>
    <row r="156" spans="1:65">
      <c r="A156" t="s">
        <v>97</v>
      </c>
      <c r="B156" t="s">
        <v>310</v>
      </c>
      <c r="C156" t="s">
        <v>2244</v>
      </c>
      <c r="D156" t="s">
        <v>2245</v>
      </c>
      <c r="G156">
        <v>130</v>
      </c>
      <c r="H156">
        <v>130</v>
      </c>
      <c r="I156">
        <v>140</v>
      </c>
      <c r="J156">
        <v>140</v>
      </c>
      <c r="K156">
        <v>150</v>
      </c>
      <c r="L156">
        <v>160</v>
      </c>
      <c r="M156">
        <v>170</v>
      </c>
      <c r="N156">
        <v>170</v>
      </c>
      <c r="O156">
        <v>180</v>
      </c>
      <c r="P156">
        <v>180</v>
      </c>
      <c r="Q156">
        <v>190</v>
      </c>
      <c r="R156">
        <v>210</v>
      </c>
      <c r="S156">
        <v>260</v>
      </c>
      <c r="T156">
        <v>310</v>
      </c>
      <c r="U156">
        <v>300</v>
      </c>
      <c r="V156">
        <v>310</v>
      </c>
      <c r="W156">
        <v>310</v>
      </c>
      <c r="X156">
        <v>390</v>
      </c>
      <c r="Y156">
        <v>500</v>
      </c>
      <c r="Z156">
        <v>510</v>
      </c>
      <c r="AA156">
        <v>520</v>
      </c>
      <c r="AB156">
        <v>480</v>
      </c>
      <c r="AC156">
        <v>430</v>
      </c>
      <c r="AD156">
        <v>400</v>
      </c>
      <c r="AE156">
        <v>400</v>
      </c>
      <c r="AF156">
        <v>370</v>
      </c>
      <c r="AG156">
        <v>340</v>
      </c>
      <c r="AH156">
        <v>300</v>
      </c>
      <c r="AI156">
        <v>310</v>
      </c>
      <c r="AJ156">
        <v>280</v>
      </c>
      <c r="AK156">
        <v>290</v>
      </c>
      <c r="AL156">
        <v>290</v>
      </c>
      <c r="AM156">
        <v>290</v>
      </c>
      <c r="AN156">
        <v>280</v>
      </c>
      <c r="AO156">
        <v>300</v>
      </c>
      <c r="AP156">
        <v>300</v>
      </c>
      <c r="AQ156">
        <v>300</v>
      </c>
      <c r="AR156">
        <v>280</v>
      </c>
      <c r="AS156">
        <v>290</v>
      </c>
      <c r="AT156">
        <v>300</v>
      </c>
      <c r="AU156">
        <v>280</v>
      </c>
      <c r="AV156">
        <v>340</v>
      </c>
      <c r="AW156">
        <v>340</v>
      </c>
      <c r="AX156">
        <v>340</v>
      </c>
      <c r="AY156">
        <v>330</v>
      </c>
      <c r="AZ156">
        <v>380</v>
      </c>
      <c r="BA156">
        <v>450</v>
      </c>
      <c r="BB156">
        <v>470</v>
      </c>
      <c r="BC156">
        <v>470</v>
      </c>
      <c r="BD156">
        <v>480</v>
      </c>
      <c r="BE156">
        <v>500</v>
      </c>
      <c r="BF156">
        <v>520</v>
      </c>
      <c r="BG156">
        <v>520</v>
      </c>
      <c r="BH156">
        <v>490</v>
      </c>
      <c r="BI156">
        <v>470</v>
      </c>
      <c r="BJ156">
        <v>470</v>
      </c>
      <c r="BK156">
        <v>500</v>
      </c>
      <c r="BL156">
        <v>520</v>
      </c>
      <c r="BM156">
        <v>470</v>
      </c>
    </row>
    <row r="157" spans="1:65">
      <c r="A157" t="s">
        <v>208</v>
      </c>
      <c r="B157" t="s">
        <v>423</v>
      </c>
      <c r="C157" t="s">
        <v>2244</v>
      </c>
      <c r="D157" t="s">
        <v>2245</v>
      </c>
      <c r="AP157">
        <v>1760</v>
      </c>
      <c r="AQ157">
        <v>1860</v>
      </c>
      <c r="AR157">
        <v>1980</v>
      </c>
      <c r="AS157">
        <v>2070</v>
      </c>
      <c r="AT157">
        <v>2240</v>
      </c>
      <c r="AU157">
        <v>2620</v>
      </c>
      <c r="AV157">
        <v>3400</v>
      </c>
      <c r="AW157">
        <v>3770</v>
      </c>
      <c r="AX157">
        <v>3460</v>
      </c>
      <c r="AY157">
        <v>4540</v>
      </c>
      <c r="AZ157">
        <v>4480</v>
      </c>
      <c r="BA157">
        <v>5420</v>
      </c>
      <c r="BB157">
        <v>5460</v>
      </c>
      <c r="BC157">
        <v>5960</v>
      </c>
      <c r="BD157">
        <v>6590</v>
      </c>
      <c r="BE157">
        <v>6630</v>
      </c>
      <c r="BF157">
        <v>6800</v>
      </c>
      <c r="BG157">
        <v>7320</v>
      </c>
      <c r="BH157">
        <v>7650</v>
      </c>
      <c r="BI157">
        <v>8070</v>
      </c>
      <c r="BJ157">
        <v>8600</v>
      </c>
      <c r="BK157">
        <v>9210</v>
      </c>
      <c r="BL157">
        <v>9640</v>
      </c>
      <c r="BM157">
        <v>6490</v>
      </c>
    </row>
    <row r="158" spans="1:65">
      <c r="A158" t="s">
        <v>487</v>
      </c>
      <c r="B158" t="s">
        <v>2292</v>
      </c>
      <c r="C158" t="s">
        <v>2244</v>
      </c>
      <c r="D158" t="s">
        <v>2245</v>
      </c>
      <c r="AN158">
        <v>2477.2932601370567</v>
      </c>
      <c r="AO158">
        <v>2709.2086405775071</v>
      </c>
      <c r="AP158">
        <v>2880.3267406509021</v>
      </c>
      <c r="AQ158">
        <v>2897.3341879405812</v>
      </c>
      <c r="AR158">
        <v>2895.7074188653987</v>
      </c>
      <c r="AS158">
        <v>3061.306156673767</v>
      </c>
      <c r="AT158">
        <v>3166.1768108492897</v>
      </c>
      <c r="AU158">
        <v>3133.3060011706671</v>
      </c>
      <c r="AV158">
        <v>3358.5082396789594</v>
      </c>
      <c r="AW158">
        <v>3856.8605089156613</v>
      </c>
      <c r="AX158">
        <v>4382.4093555439795</v>
      </c>
      <c r="AY158">
        <v>5015.3765436675722</v>
      </c>
      <c r="AZ158">
        <v>5768.407993765436</v>
      </c>
      <c r="BA158">
        <v>6712.2517764571603</v>
      </c>
      <c r="BB158">
        <v>6961.7714146681819</v>
      </c>
      <c r="BC158">
        <v>7405.1181726753784</v>
      </c>
      <c r="BD158">
        <v>7534.3226740183281</v>
      </c>
      <c r="BE158">
        <v>8294.4985460325024</v>
      </c>
      <c r="BF158">
        <v>8694.3823251166723</v>
      </c>
      <c r="BG158">
        <v>8657.6644793051018</v>
      </c>
      <c r="BH158">
        <v>7984.3324030873264</v>
      </c>
      <c r="BI158">
        <v>7593.1043141114278</v>
      </c>
      <c r="BJ158">
        <v>7185.1458283440115</v>
      </c>
      <c r="BK158">
        <v>7331.426505578992</v>
      </c>
      <c r="BL158">
        <v>7471.4256727235497</v>
      </c>
      <c r="BM158">
        <v>6892.3571516341945</v>
      </c>
    </row>
    <row r="159" spans="1:65">
      <c r="A159" t="s">
        <v>215</v>
      </c>
      <c r="B159" t="s">
        <v>430</v>
      </c>
      <c r="C159" t="s">
        <v>2244</v>
      </c>
      <c r="D159" t="s">
        <v>2245</v>
      </c>
      <c r="G159">
        <v>360</v>
      </c>
      <c r="H159">
        <v>390</v>
      </c>
      <c r="I159">
        <v>440</v>
      </c>
      <c r="J159">
        <v>480</v>
      </c>
      <c r="K159">
        <v>510</v>
      </c>
      <c r="L159">
        <v>560</v>
      </c>
      <c r="M159">
        <v>610</v>
      </c>
      <c r="N159">
        <v>640</v>
      </c>
      <c r="O159">
        <v>680</v>
      </c>
      <c r="P159">
        <v>730</v>
      </c>
      <c r="Q159">
        <v>820</v>
      </c>
      <c r="R159">
        <v>990</v>
      </c>
      <c r="S159">
        <v>1210</v>
      </c>
      <c r="T159">
        <v>1460</v>
      </c>
      <c r="U159">
        <v>1540</v>
      </c>
      <c r="V159">
        <v>1480</v>
      </c>
      <c r="W159">
        <v>1590</v>
      </c>
      <c r="X159">
        <v>1890</v>
      </c>
      <c r="Y159">
        <v>2560</v>
      </c>
      <c r="Z159">
        <v>3270</v>
      </c>
      <c r="AA159">
        <v>3000</v>
      </c>
      <c r="AB159">
        <v>2400</v>
      </c>
      <c r="AC159">
        <v>2200</v>
      </c>
      <c r="AD159">
        <v>2270</v>
      </c>
      <c r="AE159">
        <v>2080</v>
      </c>
      <c r="AF159">
        <v>2040</v>
      </c>
      <c r="AG159">
        <v>2090</v>
      </c>
      <c r="AH159">
        <v>2370</v>
      </c>
      <c r="AI159">
        <v>2790</v>
      </c>
      <c r="AJ159">
        <v>3250</v>
      </c>
      <c r="AK159">
        <v>3770</v>
      </c>
      <c r="AL159">
        <v>4490</v>
      </c>
      <c r="AM159">
        <v>5310</v>
      </c>
      <c r="AN159">
        <v>4790</v>
      </c>
      <c r="AO159">
        <v>4620</v>
      </c>
      <c r="AP159">
        <v>4660</v>
      </c>
      <c r="AQ159">
        <v>5000</v>
      </c>
      <c r="AR159">
        <v>5510</v>
      </c>
      <c r="AS159">
        <v>6210</v>
      </c>
      <c r="AT159">
        <v>6740</v>
      </c>
      <c r="AU159">
        <v>7100</v>
      </c>
      <c r="AV159">
        <v>7360</v>
      </c>
      <c r="AW159">
        <v>7820</v>
      </c>
      <c r="AX159">
        <v>8050</v>
      </c>
      <c r="AY159">
        <v>8690</v>
      </c>
      <c r="AZ159">
        <v>9250</v>
      </c>
      <c r="BA159">
        <v>9780</v>
      </c>
      <c r="BB159">
        <v>8820</v>
      </c>
      <c r="BC159">
        <v>9040</v>
      </c>
      <c r="BD159">
        <v>9310</v>
      </c>
      <c r="BE159">
        <v>10050</v>
      </c>
      <c r="BF159">
        <v>10270</v>
      </c>
      <c r="BG159">
        <v>10500</v>
      </c>
      <c r="BH159">
        <v>10160</v>
      </c>
      <c r="BI159">
        <v>9390</v>
      </c>
      <c r="BJ159">
        <v>8920</v>
      </c>
      <c r="BK159">
        <v>9180</v>
      </c>
      <c r="BL159">
        <v>9470</v>
      </c>
      <c r="BM159">
        <v>8480</v>
      </c>
    </row>
    <row r="160" spans="1:65">
      <c r="A160" t="s">
        <v>186</v>
      </c>
      <c r="B160" t="s">
        <v>401</v>
      </c>
      <c r="C160" t="s">
        <v>2244</v>
      </c>
      <c r="D160" t="s">
        <v>2245</v>
      </c>
      <c r="AN160">
        <v>3070</v>
      </c>
      <c r="AO160">
        <v>2690</v>
      </c>
      <c r="AP160">
        <v>2590</v>
      </c>
      <c r="AQ160">
        <v>2690</v>
      </c>
      <c r="AR160">
        <v>2830</v>
      </c>
      <c r="AS160">
        <v>2960</v>
      </c>
      <c r="AT160">
        <v>3110</v>
      </c>
      <c r="AU160">
        <v>3100</v>
      </c>
      <c r="AV160">
        <v>3130</v>
      </c>
      <c r="AW160">
        <v>3280</v>
      </c>
      <c r="AX160">
        <v>3440</v>
      </c>
      <c r="AY160">
        <v>3310</v>
      </c>
      <c r="AZ160">
        <v>3450</v>
      </c>
      <c r="BA160">
        <v>3280</v>
      </c>
      <c r="BB160">
        <v>3470</v>
      </c>
      <c r="BC160">
        <v>3550</v>
      </c>
      <c r="BD160">
        <v>3570</v>
      </c>
      <c r="BE160">
        <v>3470</v>
      </c>
      <c r="BF160">
        <v>3880</v>
      </c>
      <c r="BG160">
        <v>4040</v>
      </c>
      <c r="BH160">
        <v>4290</v>
      </c>
      <c r="BI160">
        <v>4250</v>
      </c>
      <c r="BJ160">
        <v>4440</v>
      </c>
      <c r="BK160">
        <v>4840</v>
      </c>
      <c r="BL160">
        <v>5050</v>
      </c>
      <c r="BM160">
        <v>4940</v>
      </c>
    </row>
    <row r="161" spans="1:65">
      <c r="A161" t="s">
        <v>2293</v>
      </c>
      <c r="B161" t="s">
        <v>2294</v>
      </c>
      <c r="C161" t="s">
        <v>2244</v>
      </c>
      <c r="D161" t="s">
        <v>2245</v>
      </c>
      <c r="G161">
        <v>135.42274291988898</v>
      </c>
      <c r="H161">
        <v>146.05731468395879</v>
      </c>
      <c r="I161">
        <v>160.76537585345918</v>
      </c>
      <c r="J161">
        <v>175.03407551147706</v>
      </c>
      <c r="K161">
        <v>183.27472080432477</v>
      </c>
      <c r="L161">
        <v>183.64568777828572</v>
      </c>
      <c r="M161">
        <v>188.40847671115378</v>
      </c>
      <c r="N161">
        <v>205.27867578951873</v>
      </c>
      <c r="O161">
        <v>222.42672996614908</v>
      </c>
      <c r="P161">
        <v>235.17812851162896</v>
      </c>
      <c r="Q161">
        <v>253.70180359595233</v>
      </c>
      <c r="R161">
        <v>303.15065372160888</v>
      </c>
      <c r="S161">
        <v>376.06274314955959</v>
      </c>
      <c r="T161">
        <v>444.9270854283958</v>
      </c>
      <c r="U161">
        <v>467.71631317706664</v>
      </c>
      <c r="V161">
        <v>486.61079251986439</v>
      </c>
      <c r="W161">
        <v>523.50575081798763</v>
      </c>
      <c r="X161">
        <v>601.14442789878706</v>
      </c>
      <c r="Y161">
        <v>686.55976491390425</v>
      </c>
      <c r="Z161">
        <v>742.16466599922421</v>
      </c>
      <c r="AA161">
        <v>739.34519285880504</v>
      </c>
      <c r="AB161">
        <v>699.59885583541393</v>
      </c>
      <c r="AC161">
        <v>686.13890716606738</v>
      </c>
      <c r="AD161">
        <v>694.72571506353677</v>
      </c>
      <c r="AE161">
        <v>727.56112764967565</v>
      </c>
      <c r="AF161">
        <v>783.86790446600912</v>
      </c>
      <c r="AG161">
        <v>829.24440817487709</v>
      </c>
      <c r="AH161">
        <v>822.77968917313581</v>
      </c>
      <c r="AI161">
        <v>856.82624086328565</v>
      </c>
      <c r="AJ161">
        <v>847.91724072000807</v>
      </c>
      <c r="AK161">
        <v>891.45365472734511</v>
      </c>
      <c r="AL161">
        <v>919.10523081640554</v>
      </c>
      <c r="AM161">
        <v>972.60508850531494</v>
      </c>
      <c r="AN161">
        <v>1047.8951584635454</v>
      </c>
      <c r="AO161">
        <v>1154.0089237343377</v>
      </c>
      <c r="AP161">
        <v>1228.7224640698432</v>
      </c>
      <c r="AQ161">
        <v>1188.2483483810413</v>
      </c>
      <c r="AR161">
        <v>1169.0745934100164</v>
      </c>
      <c r="AS161">
        <v>1209.8484807505909</v>
      </c>
      <c r="AT161">
        <v>1218.6771291825112</v>
      </c>
      <c r="AU161">
        <v>1239.1685495181544</v>
      </c>
      <c r="AV161">
        <v>1348.5984548136812</v>
      </c>
      <c r="AW161">
        <v>1570.2645408313974</v>
      </c>
      <c r="AX161">
        <v>1828.8261759218121</v>
      </c>
      <c r="AY161">
        <v>2123.3342136618066</v>
      </c>
      <c r="AZ161">
        <v>2512.7586398649382</v>
      </c>
      <c r="BA161">
        <v>2961.3960072394707</v>
      </c>
      <c r="BB161">
        <v>3187.3121035227737</v>
      </c>
      <c r="BC161">
        <v>3556.7400722170155</v>
      </c>
      <c r="BD161">
        <v>3964.2209450368214</v>
      </c>
      <c r="BE161">
        <v>4497.813754107453</v>
      </c>
      <c r="BF161">
        <v>4876.4214703914377</v>
      </c>
      <c r="BG161">
        <v>5037.6066059844115</v>
      </c>
      <c r="BH161">
        <v>4914.6055447952358</v>
      </c>
      <c r="BI161">
        <v>4819.9034651007123</v>
      </c>
      <c r="BJ161">
        <v>4912.1367659843227</v>
      </c>
      <c r="BK161">
        <v>5257.1702606647268</v>
      </c>
      <c r="BL161">
        <v>5522.640711341247</v>
      </c>
      <c r="BM161">
        <v>5317.700253594614</v>
      </c>
    </row>
    <row r="162" spans="1:65">
      <c r="A162" t="s">
        <v>193</v>
      </c>
      <c r="B162" t="s">
        <v>408</v>
      </c>
      <c r="C162" t="s">
        <v>2244</v>
      </c>
      <c r="D162" t="s">
        <v>2245</v>
      </c>
      <c r="AK162">
        <v>1750</v>
      </c>
      <c r="AL162">
        <v>1460</v>
      </c>
      <c r="AM162">
        <v>1400</v>
      </c>
      <c r="AN162">
        <v>1790</v>
      </c>
      <c r="AO162">
        <v>2190</v>
      </c>
      <c r="AP162">
        <v>2220</v>
      </c>
      <c r="AQ162">
        <v>2010</v>
      </c>
      <c r="AR162">
        <v>1910</v>
      </c>
      <c r="AS162">
        <v>1920</v>
      </c>
      <c r="AT162">
        <v>1820</v>
      </c>
      <c r="AU162">
        <v>1850</v>
      </c>
      <c r="AV162">
        <v>2110</v>
      </c>
      <c r="AW162">
        <v>2590</v>
      </c>
      <c r="AX162">
        <v>3020</v>
      </c>
      <c r="AY162">
        <v>3350</v>
      </c>
      <c r="AZ162">
        <v>3620</v>
      </c>
      <c r="BA162">
        <v>4370</v>
      </c>
      <c r="BB162">
        <v>4650</v>
      </c>
      <c r="BC162">
        <v>4740</v>
      </c>
      <c r="BD162">
        <v>4840</v>
      </c>
      <c r="BE162">
        <v>4770</v>
      </c>
      <c r="BF162">
        <v>5030</v>
      </c>
      <c r="BG162">
        <v>5220</v>
      </c>
      <c r="BH162">
        <v>5130</v>
      </c>
      <c r="BI162">
        <v>5000</v>
      </c>
      <c r="BJ162">
        <v>4940</v>
      </c>
      <c r="BK162">
        <v>5500</v>
      </c>
      <c r="BL162">
        <v>5890</v>
      </c>
      <c r="BM162">
        <v>5750</v>
      </c>
    </row>
    <row r="163" spans="1:65">
      <c r="A163" t="s">
        <v>113</v>
      </c>
      <c r="B163" t="s">
        <v>326</v>
      </c>
      <c r="C163" t="s">
        <v>2244</v>
      </c>
      <c r="D163" t="s">
        <v>2245</v>
      </c>
      <c r="N163">
        <v>60</v>
      </c>
      <c r="O163">
        <v>60</v>
      </c>
      <c r="P163">
        <v>70</v>
      </c>
      <c r="Q163">
        <v>80</v>
      </c>
      <c r="R163">
        <v>90</v>
      </c>
      <c r="S163">
        <v>100</v>
      </c>
      <c r="T163">
        <v>120</v>
      </c>
      <c r="U163">
        <v>140</v>
      </c>
      <c r="V163">
        <v>160</v>
      </c>
      <c r="W163">
        <v>170</v>
      </c>
      <c r="X163">
        <v>220</v>
      </c>
      <c r="Y163">
        <v>250</v>
      </c>
      <c r="Z163">
        <v>240</v>
      </c>
      <c r="AA163">
        <v>200</v>
      </c>
      <c r="AB163">
        <v>170</v>
      </c>
      <c r="AC163">
        <v>160</v>
      </c>
      <c r="AD163">
        <v>180</v>
      </c>
      <c r="AE163">
        <v>200</v>
      </c>
      <c r="AF163">
        <v>240</v>
      </c>
      <c r="AG163">
        <v>290</v>
      </c>
      <c r="AH163">
        <v>290</v>
      </c>
      <c r="AI163">
        <v>290</v>
      </c>
      <c r="AJ163">
        <v>320</v>
      </c>
      <c r="AK163">
        <v>330</v>
      </c>
      <c r="AL163">
        <v>320</v>
      </c>
      <c r="AM163">
        <v>280</v>
      </c>
      <c r="AN163">
        <v>270</v>
      </c>
      <c r="AO163">
        <v>270</v>
      </c>
      <c r="AP163">
        <v>280</v>
      </c>
      <c r="AQ163">
        <v>280</v>
      </c>
      <c r="AR163">
        <v>290</v>
      </c>
      <c r="AS163">
        <v>280</v>
      </c>
      <c r="AT163">
        <v>300</v>
      </c>
      <c r="AU163">
        <v>290</v>
      </c>
      <c r="AV163">
        <v>350</v>
      </c>
      <c r="AW163">
        <v>400</v>
      </c>
      <c r="AX163">
        <v>460</v>
      </c>
      <c r="AY163">
        <v>500</v>
      </c>
      <c r="AZ163">
        <v>530</v>
      </c>
      <c r="BA163">
        <v>610</v>
      </c>
      <c r="BB163">
        <v>660</v>
      </c>
      <c r="BC163">
        <v>700</v>
      </c>
      <c r="BD163">
        <v>730</v>
      </c>
      <c r="BE163">
        <v>730</v>
      </c>
      <c r="BF163">
        <v>780</v>
      </c>
      <c r="BG163">
        <v>810</v>
      </c>
      <c r="BH163">
        <v>800</v>
      </c>
      <c r="BI163">
        <v>780</v>
      </c>
      <c r="BJ163">
        <v>770</v>
      </c>
      <c r="BK163">
        <v>830</v>
      </c>
      <c r="BL163">
        <v>870</v>
      </c>
      <c r="BM163">
        <v>830</v>
      </c>
    </row>
    <row r="164" spans="1:65">
      <c r="A164" t="s">
        <v>252</v>
      </c>
      <c r="B164" t="s">
        <v>540</v>
      </c>
      <c r="C164" t="s">
        <v>2244</v>
      </c>
      <c r="D164" t="s">
        <v>2245</v>
      </c>
      <c r="Q164">
        <v>1090</v>
      </c>
      <c r="R164">
        <v>1260</v>
      </c>
      <c r="S164">
        <v>1560</v>
      </c>
      <c r="T164">
        <v>1990</v>
      </c>
      <c r="U164">
        <v>2120</v>
      </c>
      <c r="V164">
        <v>2320</v>
      </c>
      <c r="W164">
        <v>2660</v>
      </c>
      <c r="X164">
        <v>3300</v>
      </c>
      <c r="Y164">
        <v>4280</v>
      </c>
      <c r="Z164">
        <v>4670</v>
      </c>
      <c r="AA164">
        <v>4550</v>
      </c>
      <c r="AB164">
        <v>3940</v>
      </c>
      <c r="AC164">
        <v>3830</v>
      </c>
      <c r="AD164">
        <v>3690</v>
      </c>
      <c r="AE164">
        <v>4000</v>
      </c>
      <c r="AF164">
        <v>4930</v>
      </c>
      <c r="AG164">
        <v>6260</v>
      </c>
      <c r="AH164">
        <v>6910</v>
      </c>
      <c r="AI164">
        <v>7600</v>
      </c>
      <c r="AJ164">
        <v>7940</v>
      </c>
      <c r="AK164">
        <v>8720</v>
      </c>
      <c r="AL164">
        <v>8570</v>
      </c>
      <c r="AM164">
        <v>8600</v>
      </c>
      <c r="AN164">
        <v>9250</v>
      </c>
      <c r="AO164">
        <v>10010</v>
      </c>
      <c r="AP164">
        <v>10530</v>
      </c>
      <c r="AQ164">
        <v>10260</v>
      </c>
      <c r="AR164">
        <v>10710</v>
      </c>
      <c r="AS164">
        <v>11400</v>
      </c>
      <c r="AT164">
        <v>10950</v>
      </c>
      <c r="AU164">
        <v>10710</v>
      </c>
      <c r="AV164">
        <v>12170</v>
      </c>
      <c r="AW164">
        <v>14100</v>
      </c>
      <c r="AX164">
        <v>15660</v>
      </c>
      <c r="AY164">
        <v>16350</v>
      </c>
      <c r="AZ164">
        <v>17580</v>
      </c>
      <c r="BA164">
        <v>20410</v>
      </c>
      <c r="BB164">
        <v>20310</v>
      </c>
      <c r="BC164">
        <v>21370</v>
      </c>
      <c r="BD164">
        <v>22120</v>
      </c>
      <c r="BE164">
        <v>22160</v>
      </c>
      <c r="BF164">
        <v>23370</v>
      </c>
      <c r="BG164">
        <v>24560</v>
      </c>
      <c r="BH164">
        <v>25230</v>
      </c>
      <c r="BI164">
        <v>23590</v>
      </c>
      <c r="BJ164">
        <v>24140</v>
      </c>
      <c r="BK164">
        <v>27090</v>
      </c>
      <c r="BL164">
        <v>28340</v>
      </c>
      <c r="BM164">
        <v>25860</v>
      </c>
    </row>
    <row r="165" spans="1:65">
      <c r="A165" t="s">
        <v>120</v>
      </c>
      <c r="B165" t="s">
        <v>333</v>
      </c>
      <c r="C165" t="s">
        <v>2244</v>
      </c>
      <c r="D165" t="s">
        <v>2245</v>
      </c>
      <c r="H165">
        <v>30</v>
      </c>
      <c r="I165">
        <v>30</v>
      </c>
      <c r="J165">
        <v>20</v>
      </c>
      <c r="K165">
        <v>20</v>
      </c>
      <c r="L165">
        <v>10</v>
      </c>
      <c r="M165">
        <v>10</v>
      </c>
      <c r="N165">
        <v>20</v>
      </c>
      <c r="O165">
        <v>20</v>
      </c>
      <c r="P165">
        <v>20</v>
      </c>
      <c r="Q165">
        <v>20</v>
      </c>
      <c r="R165">
        <v>20</v>
      </c>
      <c r="S165">
        <v>30</v>
      </c>
      <c r="T165">
        <v>40</v>
      </c>
      <c r="U165">
        <v>40</v>
      </c>
      <c r="V165">
        <v>40</v>
      </c>
      <c r="W165">
        <v>30</v>
      </c>
      <c r="X165">
        <v>30</v>
      </c>
      <c r="Y165">
        <v>30</v>
      </c>
      <c r="Z165">
        <v>30</v>
      </c>
      <c r="AA165">
        <v>30</v>
      </c>
      <c r="AB165">
        <v>30</v>
      </c>
      <c r="AC165">
        <v>40</v>
      </c>
      <c r="AD165">
        <v>30</v>
      </c>
      <c r="AE165">
        <v>40</v>
      </c>
      <c r="AF165">
        <v>40</v>
      </c>
      <c r="AG165">
        <v>40</v>
      </c>
      <c r="AH165">
        <v>40</v>
      </c>
      <c r="AI165">
        <v>40</v>
      </c>
      <c r="AJ165">
        <v>40</v>
      </c>
      <c r="AK165">
        <v>50</v>
      </c>
      <c r="AL165">
        <v>60</v>
      </c>
      <c r="AM165">
        <v>70</v>
      </c>
      <c r="AN165">
        <v>90</v>
      </c>
      <c r="AO165">
        <v>120</v>
      </c>
      <c r="AP165">
        <v>130</v>
      </c>
      <c r="AQ165">
        <v>120</v>
      </c>
      <c r="AR165">
        <v>120</v>
      </c>
      <c r="AS165">
        <v>130</v>
      </c>
      <c r="AT165">
        <v>140</v>
      </c>
      <c r="AU165">
        <v>130</v>
      </c>
      <c r="AV165">
        <v>150</v>
      </c>
      <c r="AW165">
        <v>170</v>
      </c>
      <c r="AX165">
        <v>200</v>
      </c>
      <c r="AY165">
        <v>230</v>
      </c>
      <c r="AZ165">
        <v>270</v>
      </c>
      <c r="BA165">
        <v>350</v>
      </c>
      <c r="BB165">
        <v>460</v>
      </c>
      <c r="BC165">
        <v>620</v>
      </c>
      <c r="BD165">
        <v>800</v>
      </c>
      <c r="BE165">
        <v>990</v>
      </c>
      <c r="BF165">
        <v>1160</v>
      </c>
      <c r="BG165">
        <v>1210</v>
      </c>
      <c r="BH165">
        <v>1170</v>
      </c>
      <c r="BI165">
        <v>1200</v>
      </c>
      <c r="BJ165">
        <v>1180</v>
      </c>
      <c r="BK165">
        <v>1220</v>
      </c>
      <c r="BL165">
        <v>1270</v>
      </c>
      <c r="BM165">
        <v>1350</v>
      </c>
    </row>
    <row r="166" spans="1:65">
      <c r="A166" t="s">
        <v>2295</v>
      </c>
      <c r="B166" t="s">
        <v>2296</v>
      </c>
      <c r="C166" t="s">
        <v>2244</v>
      </c>
      <c r="D166" t="s">
        <v>2245</v>
      </c>
      <c r="AN166">
        <v>1270.9620927908695</v>
      </c>
      <c r="AO166">
        <v>1456.6999554588681</v>
      </c>
      <c r="AP166">
        <v>1583.7862741377596</v>
      </c>
      <c r="AQ166">
        <v>1637.7318123044781</v>
      </c>
      <c r="AR166">
        <v>1693.2738714700934</v>
      </c>
      <c r="AS166">
        <v>1773.8219132942149</v>
      </c>
      <c r="AT166">
        <v>1826.8913487043642</v>
      </c>
      <c r="AU166">
        <v>1809.8792764371815</v>
      </c>
      <c r="AV166">
        <v>1891.3856356863348</v>
      </c>
      <c r="AW166">
        <v>2145.0510882716676</v>
      </c>
      <c r="AX166">
        <v>2420.2697759644952</v>
      </c>
      <c r="AY166">
        <v>2756.5476867771677</v>
      </c>
      <c r="AZ166">
        <v>3223.1277556263149</v>
      </c>
      <c r="BA166">
        <v>3794.3650200893676</v>
      </c>
      <c r="BB166">
        <v>4167.0844031190363</v>
      </c>
      <c r="BC166">
        <v>4522.5802455868125</v>
      </c>
      <c r="BD166">
        <v>4279.9320588788069</v>
      </c>
      <c r="BE166">
        <v>4565.9831859869764</v>
      </c>
      <c r="BF166">
        <v>4625.6105100927452</v>
      </c>
      <c r="BG166">
        <v>4482.2990446558288</v>
      </c>
      <c r="BH166">
        <v>4039.4292794086559</v>
      </c>
      <c r="BI166">
        <v>3957.2731910461416</v>
      </c>
      <c r="BJ166">
        <v>3730.3380482000075</v>
      </c>
      <c r="BK166">
        <v>3572.5834593668737</v>
      </c>
      <c r="BL166">
        <v>3462.4784701211638</v>
      </c>
      <c r="BM166">
        <v>3096.3701358219596</v>
      </c>
    </row>
    <row r="167" spans="1:65">
      <c r="A167" t="s">
        <v>213</v>
      </c>
      <c r="B167" t="s">
        <v>428</v>
      </c>
      <c r="C167" t="s">
        <v>2244</v>
      </c>
      <c r="D167" t="s">
        <v>2245</v>
      </c>
      <c r="AU167">
        <v>1970</v>
      </c>
      <c r="AV167">
        <v>2440</v>
      </c>
      <c r="AW167">
        <v>3100</v>
      </c>
      <c r="AX167">
        <v>3660</v>
      </c>
      <c r="AY167">
        <v>4320</v>
      </c>
      <c r="AZ167">
        <v>5120</v>
      </c>
      <c r="BA167">
        <v>6470</v>
      </c>
      <c r="BB167">
        <v>6740</v>
      </c>
      <c r="BC167">
        <v>6920</v>
      </c>
      <c r="BD167">
        <v>7260</v>
      </c>
      <c r="BE167">
        <v>7000</v>
      </c>
      <c r="BF167">
        <v>7330</v>
      </c>
      <c r="BG167">
        <v>7320</v>
      </c>
      <c r="BH167">
        <v>7250</v>
      </c>
      <c r="BI167">
        <v>7090</v>
      </c>
      <c r="BJ167">
        <v>7400</v>
      </c>
      <c r="BK167">
        <v>8430</v>
      </c>
      <c r="BL167">
        <v>9130</v>
      </c>
      <c r="BM167">
        <v>7900</v>
      </c>
    </row>
    <row r="168" spans="1:65">
      <c r="A168" t="s">
        <v>166</v>
      </c>
      <c r="B168" t="s">
        <v>380</v>
      </c>
      <c r="C168" t="s">
        <v>2244</v>
      </c>
      <c r="D168" t="s">
        <v>2245</v>
      </c>
      <c r="AB168">
        <v>1440</v>
      </c>
      <c r="AC168">
        <v>1320</v>
      </c>
      <c r="AD168">
        <v>1230</v>
      </c>
      <c r="AE168">
        <v>1350</v>
      </c>
      <c r="AF168">
        <v>1520</v>
      </c>
      <c r="AG168">
        <v>1690</v>
      </c>
      <c r="AH168">
        <v>1590</v>
      </c>
      <c r="AI168">
        <v>1430</v>
      </c>
      <c r="AJ168">
        <v>1200</v>
      </c>
      <c r="AK168">
        <v>810</v>
      </c>
      <c r="AL168">
        <v>510</v>
      </c>
      <c r="AM168">
        <v>430</v>
      </c>
      <c r="AN168">
        <v>460</v>
      </c>
      <c r="AO168">
        <v>550</v>
      </c>
      <c r="AP168">
        <v>580</v>
      </c>
      <c r="AQ168">
        <v>520</v>
      </c>
      <c r="AR168">
        <v>480</v>
      </c>
      <c r="AS168">
        <v>470</v>
      </c>
      <c r="AT168">
        <v>480</v>
      </c>
      <c r="AU168">
        <v>530</v>
      </c>
      <c r="AV168">
        <v>610</v>
      </c>
      <c r="AW168">
        <v>760</v>
      </c>
      <c r="AX168">
        <v>900</v>
      </c>
      <c r="AY168">
        <v>1120</v>
      </c>
      <c r="AZ168">
        <v>1410</v>
      </c>
      <c r="BA168">
        <v>1800</v>
      </c>
      <c r="BB168">
        <v>1790</v>
      </c>
      <c r="BC168">
        <v>2000</v>
      </c>
      <c r="BD168">
        <v>2590</v>
      </c>
      <c r="BE168">
        <v>3650</v>
      </c>
      <c r="BF168">
        <v>4330</v>
      </c>
      <c r="BG168">
        <v>4210</v>
      </c>
      <c r="BH168">
        <v>3800</v>
      </c>
      <c r="BI168">
        <v>3490</v>
      </c>
      <c r="BJ168">
        <v>3240</v>
      </c>
      <c r="BK168">
        <v>3690</v>
      </c>
      <c r="BL168">
        <v>3850</v>
      </c>
      <c r="BM168">
        <v>3740</v>
      </c>
    </row>
    <row r="169" spans="1:65">
      <c r="A169" t="s">
        <v>559</v>
      </c>
      <c r="B169" t="s">
        <v>560</v>
      </c>
      <c r="C169" t="s">
        <v>2244</v>
      </c>
      <c r="D169" t="s">
        <v>2245</v>
      </c>
    </row>
    <row r="170" spans="1:65">
      <c r="A170" t="s">
        <v>95</v>
      </c>
      <c r="B170" t="s">
        <v>308</v>
      </c>
      <c r="C170" t="s">
        <v>2244</v>
      </c>
      <c r="D170" t="s">
        <v>2245</v>
      </c>
      <c r="AL170">
        <v>210</v>
      </c>
      <c r="AM170">
        <v>190</v>
      </c>
      <c r="AN170">
        <v>190</v>
      </c>
      <c r="AO170">
        <v>210</v>
      </c>
      <c r="AP170">
        <v>250</v>
      </c>
      <c r="AQ170">
        <v>290</v>
      </c>
      <c r="AR170">
        <v>330</v>
      </c>
      <c r="AS170">
        <v>320</v>
      </c>
      <c r="AT170">
        <v>320</v>
      </c>
      <c r="AU170">
        <v>290</v>
      </c>
      <c r="AV170">
        <v>320</v>
      </c>
      <c r="AW170">
        <v>360</v>
      </c>
      <c r="AX170">
        <v>400</v>
      </c>
      <c r="AY170">
        <v>420</v>
      </c>
      <c r="AZ170">
        <v>460</v>
      </c>
      <c r="BA170">
        <v>500</v>
      </c>
      <c r="BB170">
        <v>540</v>
      </c>
      <c r="BC170">
        <v>520</v>
      </c>
      <c r="BD170">
        <v>540</v>
      </c>
      <c r="BE170">
        <v>600</v>
      </c>
      <c r="BF170">
        <v>670</v>
      </c>
      <c r="BG170">
        <v>690</v>
      </c>
      <c r="BH170">
        <v>640</v>
      </c>
      <c r="BI170">
        <v>530</v>
      </c>
      <c r="BJ170">
        <v>470</v>
      </c>
      <c r="BK170">
        <v>460</v>
      </c>
      <c r="BL170">
        <v>490</v>
      </c>
      <c r="BM170">
        <v>460</v>
      </c>
    </row>
    <row r="171" spans="1:65">
      <c r="A171" t="s">
        <v>135</v>
      </c>
      <c r="B171" t="s">
        <v>349</v>
      </c>
      <c r="C171" t="s">
        <v>2244</v>
      </c>
      <c r="D171" t="s">
        <v>2245</v>
      </c>
      <c r="H171">
        <v>180</v>
      </c>
      <c r="I171">
        <v>230</v>
      </c>
      <c r="J171">
        <v>260</v>
      </c>
      <c r="K171">
        <v>260</v>
      </c>
      <c r="L171">
        <v>270</v>
      </c>
      <c r="M171">
        <v>290</v>
      </c>
      <c r="N171">
        <v>280</v>
      </c>
      <c r="O171">
        <v>290</v>
      </c>
      <c r="P171">
        <v>280</v>
      </c>
      <c r="Q171">
        <v>290</v>
      </c>
      <c r="R171">
        <v>340</v>
      </c>
      <c r="S171">
        <v>480</v>
      </c>
      <c r="T171">
        <v>510</v>
      </c>
      <c r="U171">
        <v>540</v>
      </c>
      <c r="V171">
        <v>550</v>
      </c>
      <c r="W171">
        <v>570</v>
      </c>
      <c r="X171">
        <v>640</v>
      </c>
      <c r="Y171">
        <v>710</v>
      </c>
      <c r="Z171">
        <v>720</v>
      </c>
      <c r="AA171">
        <v>670</v>
      </c>
      <c r="AB171">
        <v>640</v>
      </c>
      <c r="AC171">
        <v>610</v>
      </c>
      <c r="AD171">
        <v>580</v>
      </c>
      <c r="AE171">
        <v>610</v>
      </c>
      <c r="AF171">
        <v>670</v>
      </c>
      <c r="AG171">
        <v>740</v>
      </c>
      <c r="AH171">
        <v>760</v>
      </c>
      <c r="AI171">
        <v>730</v>
      </c>
      <c r="AJ171">
        <v>810</v>
      </c>
      <c r="AK171">
        <v>920</v>
      </c>
      <c r="AL171">
        <v>970</v>
      </c>
      <c r="AM171">
        <v>870</v>
      </c>
      <c r="AN171">
        <v>900</v>
      </c>
      <c r="AO171">
        <v>970</v>
      </c>
      <c r="AP171">
        <v>870</v>
      </c>
      <c r="AQ171">
        <v>830</v>
      </c>
      <c r="AR171">
        <v>820</v>
      </c>
      <c r="AS171">
        <v>730</v>
      </c>
      <c r="AT171">
        <v>650</v>
      </c>
      <c r="AU171">
        <v>650</v>
      </c>
      <c r="AV171">
        <v>710</v>
      </c>
      <c r="AW171">
        <v>800</v>
      </c>
      <c r="AX171">
        <v>940</v>
      </c>
      <c r="AY171">
        <v>1140</v>
      </c>
      <c r="AZ171">
        <v>1220</v>
      </c>
      <c r="BA171">
        <v>1380</v>
      </c>
      <c r="BB171">
        <v>1450</v>
      </c>
      <c r="BC171">
        <v>1500</v>
      </c>
      <c r="BD171">
        <v>1600</v>
      </c>
      <c r="BE171">
        <v>1760</v>
      </c>
      <c r="BF171">
        <v>1850</v>
      </c>
      <c r="BG171">
        <v>1750</v>
      </c>
      <c r="BH171">
        <v>1640</v>
      </c>
      <c r="BI171">
        <v>1510</v>
      </c>
      <c r="BJ171">
        <v>1530</v>
      </c>
      <c r="BK171">
        <v>1640</v>
      </c>
      <c r="BL171">
        <v>1720</v>
      </c>
      <c r="BM171">
        <v>1670</v>
      </c>
    </row>
    <row r="172" spans="1:65">
      <c r="A172" t="s">
        <v>221</v>
      </c>
      <c r="B172" t="s">
        <v>436</v>
      </c>
      <c r="C172" t="s">
        <v>2244</v>
      </c>
      <c r="D172" t="s">
        <v>2245</v>
      </c>
      <c r="W172">
        <v>1010</v>
      </c>
      <c r="X172">
        <v>1220</v>
      </c>
      <c r="Y172">
        <v>1240</v>
      </c>
      <c r="Z172">
        <v>1280</v>
      </c>
      <c r="AA172">
        <v>1190</v>
      </c>
      <c r="AB172">
        <v>1070</v>
      </c>
      <c r="AC172">
        <v>1030</v>
      </c>
      <c r="AD172">
        <v>1060</v>
      </c>
      <c r="AE172">
        <v>1250</v>
      </c>
      <c r="AF172">
        <v>1620</v>
      </c>
      <c r="AG172">
        <v>2060</v>
      </c>
      <c r="AH172">
        <v>2220</v>
      </c>
      <c r="AI172">
        <v>2430</v>
      </c>
      <c r="AJ172">
        <v>2620</v>
      </c>
      <c r="AK172">
        <v>2990</v>
      </c>
      <c r="AL172">
        <v>3120</v>
      </c>
      <c r="AM172">
        <v>3230</v>
      </c>
      <c r="AN172">
        <v>3470</v>
      </c>
      <c r="AO172">
        <v>3780</v>
      </c>
      <c r="AP172">
        <v>3900</v>
      </c>
      <c r="AQ172">
        <v>3780</v>
      </c>
      <c r="AR172">
        <v>3660</v>
      </c>
      <c r="AS172">
        <v>3900</v>
      </c>
      <c r="AT172">
        <v>3970</v>
      </c>
      <c r="AU172">
        <v>3960</v>
      </c>
      <c r="AV172">
        <v>4410</v>
      </c>
      <c r="AW172">
        <v>5170</v>
      </c>
      <c r="AX172">
        <v>5600</v>
      </c>
      <c r="AY172">
        <v>5930</v>
      </c>
      <c r="AZ172">
        <v>6490</v>
      </c>
      <c r="BA172">
        <v>7400</v>
      </c>
      <c r="BB172">
        <v>7800</v>
      </c>
      <c r="BC172">
        <v>8080</v>
      </c>
      <c r="BD172">
        <v>8400</v>
      </c>
      <c r="BE172">
        <v>9550</v>
      </c>
      <c r="BF172">
        <v>10520</v>
      </c>
      <c r="BG172">
        <v>10820</v>
      </c>
      <c r="BH172">
        <v>10700</v>
      </c>
      <c r="BI172">
        <v>10640</v>
      </c>
      <c r="BJ172">
        <v>10980</v>
      </c>
      <c r="BK172">
        <v>12270</v>
      </c>
      <c r="BL172">
        <v>12890</v>
      </c>
      <c r="BM172">
        <v>10230</v>
      </c>
    </row>
    <row r="173" spans="1:65">
      <c r="A173" t="s">
        <v>104</v>
      </c>
      <c r="B173" t="s">
        <v>317</v>
      </c>
      <c r="C173" t="s">
        <v>2244</v>
      </c>
      <c r="D173" t="s">
        <v>2245</v>
      </c>
      <c r="G173">
        <v>50</v>
      </c>
      <c r="H173">
        <v>50</v>
      </c>
      <c r="I173">
        <v>50</v>
      </c>
      <c r="J173">
        <v>50</v>
      </c>
      <c r="K173">
        <v>60</v>
      </c>
      <c r="L173">
        <v>60</v>
      </c>
      <c r="M173">
        <v>60</v>
      </c>
      <c r="N173">
        <v>60</v>
      </c>
      <c r="O173">
        <v>60</v>
      </c>
      <c r="P173">
        <v>70</v>
      </c>
      <c r="Q173">
        <v>80</v>
      </c>
      <c r="R173">
        <v>90</v>
      </c>
      <c r="S173">
        <v>110</v>
      </c>
      <c r="T173">
        <v>130</v>
      </c>
      <c r="U173">
        <v>130</v>
      </c>
      <c r="V173">
        <v>130</v>
      </c>
      <c r="W173">
        <v>150</v>
      </c>
      <c r="X173">
        <v>170</v>
      </c>
      <c r="Y173">
        <v>190</v>
      </c>
      <c r="Z173">
        <v>190</v>
      </c>
      <c r="AA173">
        <v>180</v>
      </c>
      <c r="AB173">
        <v>170</v>
      </c>
      <c r="AC173">
        <v>170</v>
      </c>
      <c r="AD173">
        <v>160</v>
      </c>
      <c r="AE173">
        <v>150</v>
      </c>
      <c r="AF173">
        <v>150</v>
      </c>
      <c r="AG173">
        <v>160</v>
      </c>
      <c r="AH173">
        <v>160</v>
      </c>
      <c r="AI173">
        <v>180</v>
      </c>
      <c r="AJ173">
        <v>210</v>
      </c>
      <c r="AK173">
        <v>200</v>
      </c>
      <c r="AL173">
        <v>220</v>
      </c>
      <c r="AM173">
        <v>160</v>
      </c>
      <c r="AN173">
        <v>160</v>
      </c>
      <c r="AO173">
        <v>170</v>
      </c>
      <c r="AP173">
        <v>200</v>
      </c>
      <c r="AQ173">
        <v>200</v>
      </c>
      <c r="AR173">
        <v>180</v>
      </c>
      <c r="AS173">
        <v>160</v>
      </c>
      <c r="AT173">
        <v>140</v>
      </c>
      <c r="AU173">
        <v>170</v>
      </c>
      <c r="AV173">
        <v>220</v>
      </c>
      <c r="AW173">
        <v>300</v>
      </c>
      <c r="AX173">
        <v>300</v>
      </c>
      <c r="AY173">
        <v>310</v>
      </c>
      <c r="AZ173">
        <v>330</v>
      </c>
      <c r="BA173">
        <v>370</v>
      </c>
      <c r="BB173">
        <v>410</v>
      </c>
      <c r="BC173">
        <v>450</v>
      </c>
      <c r="BD173">
        <v>490</v>
      </c>
      <c r="BE173">
        <v>460</v>
      </c>
      <c r="BF173">
        <v>410</v>
      </c>
      <c r="BG173">
        <v>370</v>
      </c>
      <c r="BH173">
        <v>350</v>
      </c>
      <c r="BI173">
        <v>340</v>
      </c>
      <c r="BJ173">
        <v>370</v>
      </c>
      <c r="BK173">
        <v>430</v>
      </c>
      <c r="BL173">
        <v>550</v>
      </c>
      <c r="BM173">
        <v>580</v>
      </c>
    </row>
    <row r="174" spans="1:65">
      <c r="A174" t="s">
        <v>222</v>
      </c>
      <c r="B174" t="s">
        <v>437</v>
      </c>
      <c r="C174" t="s">
        <v>2244</v>
      </c>
      <c r="D174" t="s">
        <v>2245</v>
      </c>
      <c r="G174">
        <v>240</v>
      </c>
      <c r="H174">
        <v>250</v>
      </c>
      <c r="I174">
        <v>270</v>
      </c>
      <c r="J174">
        <v>300</v>
      </c>
      <c r="K174">
        <v>320</v>
      </c>
      <c r="L174">
        <v>330</v>
      </c>
      <c r="M174">
        <v>340</v>
      </c>
      <c r="N174">
        <v>350</v>
      </c>
      <c r="O174">
        <v>370</v>
      </c>
      <c r="P174">
        <v>390</v>
      </c>
      <c r="Q174">
        <v>440</v>
      </c>
      <c r="R174">
        <v>570</v>
      </c>
      <c r="S174">
        <v>750</v>
      </c>
      <c r="T174">
        <v>860</v>
      </c>
      <c r="U174">
        <v>920</v>
      </c>
      <c r="V174">
        <v>970</v>
      </c>
      <c r="W174">
        <v>1130</v>
      </c>
      <c r="X174">
        <v>1450</v>
      </c>
      <c r="Y174">
        <v>1790</v>
      </c>
      <c r="Z174">
        <v>1930</v>
      </c>
      <c r="AA174">
        <v>1860</v>
      </c>
      <c r="AB174">
        <v>1810</v>
      </c>
      <c r="AC174">
        <v>1950</v>
      </c>
      <c r="AD174">
        <v>1920</v>
      </c>
      <c r="AE174">
        <v>1860</v>
      </c>
      <c r="AF174">
        <v>1960</v>
      </c>
      <c r="AG174">
        <v>2140</v>
      </c>
      <c r="AH174">
        <v>2260</v>
      </c>
      <c r="AI174">
        <v>2400</v>
      </c>
      <c r="AJ174">
        <v>2560</v>
      </c>
      <c r="AK174">
        <v>2880</v>
      </c>
      <c r="AL174">
        <v>3230</v>
      </c>
      <c r="AM174">
        <v>3600</v>
      </c>
      <c r="AN174">
        <v>4050</v>
      </c>
      <c r="AO174">
        <v>4500</v>
      </c>
      <c r="AP174">
        <v>4620</v>
      </c>
      <c r="AQ174">
        <v>3640</v>
      </c>
      <c r="AR174">
        <v>3380</v>
      </c>
      <c r="AS174">
        <v>3460</v>
      </c>
      <c r="AT174">
        <v>3550</v>
      </c>
      <c r="AU174">
        <v>3790</v>
      </c>
      <c r="AV174">
        <v>4160</v>
      </c>
      <c r="AW174">
        <v>4740</v>
      </c>
      <c r="AX174">
        <v>5270</v>
      </c>
      <c r="AY174">
        <v>5840</v>
      </c>
      <c r="AZ174">
        <v>6630</v>
      </c>
      <c r="BA174">
        <v>7510</v>
      </c>
      <c r="BB174">
        <v>7600</v>
      </c>
      <c r="BC174">
        <v>8260</v>
      </c>
      <c r="BD174">
        <v>9050</v>
      </c>
      <c r="BE174">
        <v>10180</v>
      </c>
      <c r="BF174">
        <v>10840</v>
      </c>
      <c r="BG174">
        <v>11140</v>
      </c>
      <c r="BH174">
        <v>10680</v>
      </c>
      <c r="BI174">
        <v>10150</v>
      </c>
      <c r="BJ174">
        <v>9950</v>
      </c>
      <c r="BK174">
        <v>10650</v>
      </c>
      <c r="BL174">
        <v>11260</v>
      </c>
      <c r="BM174">
        <v>10570</v>
      </c>
    </row>
    <row r="175" spans="1:65">
      <c r="A175" t="s">
        <v>502</v>
      </c>
      <c r="B175" t="s">
        <v>2297</v>
      </c>
      <c r="C175" t="s">
        <v>2244</v>
      </c>
      <c r="D175" t="s">
        <v>2245</v>
      </c>
      <c r="G175">
        <v>3189.3918412500821</v>
      </c>
      <c r="H175">
        <v>3317.4253983875742</v>
      </c>
      <c r="I175">
        <v>3503.4260980750792</v>
      </c>
      <c r="J175">
        <v>3762.6350301998632</v>
      </c>
      <c r="K175">
        <v>4066.7866206702097</v>
      </c>
      <c r="L175">
        <v>4235.2457266869724</v>
      </c>
      <c r="M175">
        <v>4594.9099147897696</v>
      </c>
      <c r="N175">
        <v>4911.4830275637587</v>
      </c>
      <c r="O175">
        <v>5063.4287905227584</v>
      </c>
      <c r="P175">
        <v>5434.1913416493908</v>
      </c>
      <c r="Q175">
        <v>6066.8977432710872</v>
      </c>
      <c r="R175">
        <v>7043.3694667732907</v>
      </c>
      <c r="S175">
        <v>7711.4971977102159</v>
      </c>
      <c r="T175">
        <v>8213.9766999224139</v>
      </c>
      <c r="U175">
        <v>8648.6176713974546</v>
      </c>
      <c r="V175">
        <v>9256.5560886488965</v>
      </c>
      <c r="W175">
        <v>10385.375787436042</v>
      </c>
      <c r="X175">
        <v>11773.614692868758</v>
      </c>
      <c r="Y175">
        <v>12913.008503781326</v>
      </c>
      <c r="Z175">
        <v>13853.15945987299</v>
      </c>
      <c r="AA175">
        <v>13709.850148855032</v>
      </c>
      <c r="AB175">
        <v>14045.981976783671</v>
      </c>
      <c r="AC175">
        <v>15624.465940112395</v>
      </c>
      <c r="AD175">
        <v>16835.7555354668</v>
      </c>
      <c r="AE175">
        <v>18419.711693428053</v>
      </c>
      <c r="AF175">
        <v>20615.635333352762</v>
      </c>
      <c r="AG175">
        <v>22630.7145921954</v>
      </c>
      <c r="AH175">
        <v>22875.597751166813</v>
      </c>
      <c r="AI175">
        <v>23149.455146094097</v>
      </c>
      <c r="AJ175">
        <v>23355.702494996782</v>
      </c>
      <c r="AK175">
        <v>24713.567467687521</v>
      </c>
      <c r="AL175">
        <v>25400.253874700833</v>
      </c>
      <c r="AM175">
        <v>26624.42665390476</v>
      </c>
      <c r="AN175">
        <v>27959.607608833358</v>
      </c>
      <c r="AO175">
        <v>29149.247811591049</v>
      </c>
      <c r="AP175">
        <v>30110.344452935547</v>
      </c>
      <c r="AQ175">
        <v>30855.652199223918</v>
      </c>
      <c r="AR175">
        <v>32453.797474338189</v>
      </c>
      <c r="AS175">
        <v>34661.751698572065</v>
      </c>
      <c r="AT175">
        <v>35384.667947185197</v>
      </c>
      <c r="AU175">
        <v>35968.910126142298</v>
      </c>
      <c r="AV175">
        <v>38420.673987392685</v>
      </c>
      <c r="AW175">
        <v>42193.450114312051</v>
      </c>
      <c r="AX175">
        <v>45073.875173844135</v>
      </c>
      <c r="AY175">
        <v>46945.471124742937</v>
      </c>
      <c r="AZ175">
        <v>47993.846027039719</v>
      </c>
      <c r="BA175">
        <v>48763.167986350185</v>
      </c>
      <c r="BB175">
        <v>47382.032883595552</v>
      </c>
      <c r="BC175">
        <v>48687.298476687392</v>
      </c>
      <c r="BD175">
        <v>50295.418684241798</v>
      </c>
      <c r="BE175">
        <v>52616.557903823836</v>
      </c>
      <c r="BF175">
        <v>53872.356248249052</v>
      </c>
      <c r="BG175">
        <v>55450.949260956841</v>
      </c>
      <c r="BH175">
        <v>55739.271673850308</v>
      </c>
      <c r="BI175">
        <v>55805.206012766452</v>
      </c>
      <c r="BJ175">
        <v>57600.938671088697</v>
      </c>
      <c r="BK175">
        <v>61624.439645615021</v>
      </c>
      <c r="BL175">
        <v>63980.410374053019</v>
      </c>
      <c r="BM175">
        <v>62025.976549731487</v>
      </c>
    </row>
    <row r="176" spans="1:65">
      <c r="A176" t="s">
        <v>177</v>
      </c>
      <c r="B176" t="s">
        <v>392</v>
      </c>
      <c r="C176" t="s">
        <v>2244</v>
      </c>
      <c r="D176" t="s">
        <v>2245</v>
      </c>
      <c r="AA176">
        <v>1980</v>
      </c>
      <c r="AB176">
        <v>1840</v>
      </c>
      <c r="AC176">
        <v>1670</v>
      </c>
      <c r="AD176">
        <v>1320</v>
      </c>
      <c r="AE176">
        <v>1340</v>
      </c>
      <c r="AF176">
        <v>1600</v>
      </c>
      <c r="AG176">
        <v>1690</v>
      </c>
      <c r="AH176">
        <v>1850</v>
      </c>
      <c r="AI176">
        <v>1990</v>
      </c>
      <c r="AJ176">
        <v>2150</v>
      </c>
      <c r="AK176">
        <v>2300</v>
      </c>
      <c r="AL176">
        <v>2200</v>
      </c>
      <c r="AM176">
        <v>2270</v>
      </c>
      <c r="AN176">
        <v>2460</v>
      </c>
      <c r="AO176">
        <v>2510</v>
      </c>
      <c r="AP176">
        <v>2500</v>
      </c>
      <c r="AQ176">
        <v>2370</v>
      </c>
      <c r="AR176">
        <v>2240</v>
      </c>
      <c r="AS176">
        <v>2240</v>
      </c>
      <c r="AT176">
        <v>2090</v>
      </c>
      <c r="AU176">
        <v>2010</v>
      </c>
      <c r="AV176">
        <v>2280</v>
      </c>
      <c r="AW176">
        <v>2900</v>
      </c>
      <c r="AX176">
        <v>3530</v>
      </c>
      <c r="AY176">
        <v>4030</v>
      </c>
      <c r="AZ176">
        <v>4230</v>
      </c>
      <c r="BA176">
        <v>4320</v>
      </c>
      <c r="BB176">
        <v>4250</v>
      </c>
      <c r="BC176">
        <v>4500</v>
      </c>
      <c r="BD176">
        <v>5130</v>
      </c>
      <c r="BE176">
        <v>5730</v>
      </c>
      <c r="BF176">
        <v>5950</v>
      </c>
      <c r="BG176">
        <v>5790</v>
      </c>
      <c r="BH176">
        <v>5310</v>
      </c>
      <c r="BI176">
        <v>4740</v>
      </c>
      <c r="BJ176">
        <v>4620</v>
      </c>
      <c r="BK176">
        <v>4920</v>
      </c>
      <c r="BL176">
        <v>5160</v>
      </c>
      <c r="BM176">
        <v>4500</v>
      </c>
    </row>
    <row r="177" spans="1:65">
      <c r="A177" t="s">
        <v>557</v>
      </c>
      <c r="B177" t="s">
        <v>558</v>
      </c>
      <c r="C177" t="s">
        <v>2244</v>
      </c>
      <c r="D177" t="s">
        <v>2245</v>
      </c>
      <c r="L177">
        <v>1830</v>
      </c>
      <c r="M177">
        <v>2160</v>
      </c>
      <c r="N177">
        <v>2520</v>
      </c>
      <c r="O177">
        <v>3220</v>
      </c>
      <c r="P177">
        <v>3420</v>
      </c>
      <c r="Q177">
        <v>3780</v>
      </c>
      <c r="R177">
        <v>4000</v>
      </c>
      <c r="S177">
        <v>5280</v>
      </c>
      <c r="T177">
        <v>6400</v>
      </c>
      <c r="U177">
        <v>6440</v>
      </c>
      <c r="V177">
        <v>6580</v>
      </c>
      <c r="W177">
        <v>6980</v>
      </c>
      <c r="X177">
        <v>6900</v>
      </c>
      <c r="Y177">
        <v>7980</v>
      </c>
      <c r="Z177">
        <v>7940</v>
      </c>
      <c r="AA177">
        <v>7160</v>
      </c>
      <c r="AB177">
        <v>5920</v>
      </c>
      <c r="AC177">
        <v>5480</v>
      </c>
      <c r="AD177">
        <v>5510</v>
      </c>
      <c r="AE177">
        <v>6170</v>
      </c>
      <c r="AF177">
        <v>8070</v>
      </c>
      <c r="AG177">
        <v>13270</v>
      </c>
      <c r="AH177">
        <v>14540</v>
      </c>
      <c r="AI177">
        <v>14760</v>
      </c>
      <c r="AJ177">
        <v>15200</v>
      </c>
      <c r="AK177">
        <v>16070</v>
      </c>
      <c r="AL177">
        <v>15880</v>
      </c>
      <c r="AM177">
        <v>16320</v>
      </c>
      <c r="AN177">
        <v>17720</v>
      </c>
      <c r="AO177">
        <v>18240</v>
      </c>
      <c r="AP177">
        <v>17810</v>
      </c>
      <c r="AQ177">
        <v>14520</v>
      </c>
      <c r="AR177">
        <v>13650</v>
      </c>
      <c r="AS177">
        <v>13210</v>
      </c>
    </row>
    <row r="178" spans="1:65">
      <c r="A178" t="s">
        <v>101</v>
      </c>
      <c r="B178" t="s">
        <v>314</v>
      </c>
      <c r="C178" t="s">
        <v>2244</v>
      </c>
      <c r="D178" t="s">
        <v>2245</v>
      </c>
      <c r="G178">
        <v>150</v>
      </c>
      <c r="H178">
        <v>160</v>
      </c>
      <c r="I178">
        <v>160</v>
      </c>
      <c r="J178">
        <v>170</v>
      </c>
      <c r="K178">
        <v>170</v>
      </c>
      <c r="L178">
        <v>170</v>
      </c>
      <c r="M178">
        <v>160</v>
      </c>
      <c r="N178">
        <v>150</v>
      </c>
      <c r="O178">
        <v>150</v>
      </c>
      <c r="P178">
        <v>160</v>
      </c>
      <c r="Q178">
        <v>150</v>
      </c>
      <c r="R178">
        <v>160</v>
      </c>
      <c r="S178">
        <v>210</v>
      </c>
      <c r="T178">
        <v>230</v>
      </c>
      <c r="U178">
        <v>220</v>
      </c>
      <c r="V178">
        <v>230</v>
      </c>
      <c r="W178">
        <v>280</v>
      </c>
      <c r="X178">
        <v>350</v>
      </c>
      <c r="Y178">
        <v>410</v>
      </c>
      <c r="Z178">
        <v>390</v>
      </c>
      <c r="AA178">
        <v>360</v>
      </c>
      <c r="AB178">
        <v>290</v>
      </c>
      <c r="AC178">
        <v>210</v>
      </c>
      <c r="AD178">
        <v>220</v>
      </c>
      <c r="AE178">
        <v>250</v>
      </c>
      <c r="AF178">
        <v>270</v>
      </c>
      <c r="AG178">
        <v>330</v>
      </c>
      <c r="AH178">
        <v>320</v>
      </c>
      <c r="AI178">
        <v>340</v>
      </c>
      <c r="AJ178">
        <v>360</v>
      </c>
      <c r="AK178">
        <v>420</v>
      </c>
      <c r="AL178">
        <v>390</v>
      </c>
      <c r="AM178">
        <v>300</v>
      </c>
      <c r="AN178">
        <v>260</v>
      </c>
      <c r="AO178">
        <v>240</v>
      </c>
      <c r="AP178">
        <v>240</v>
      </c>
      <c r="AQ178">
        <v>250</v>
      </c>
      <c r="AR178">
        <v>240</v>
      </c>
      <c r="AS178">
        <v>220</v>
      </c>
      <c r="AT178">
        <v>220</v>
      </c>
      <c r="AU178">
        <v>220</v>
      </c>
      <c r="AV178">
        <v>250</v>
      </c>
      <c r="AW178">
        <v>280</v>
      </c>
      <c r="AX178">
        <v>330</v>
      </c>
      <c r="AY178">
        <v>360</v>
      </c>
      <c r="AZ178">
        <v>380</v>
      </c>
      <c r="BA178">
        <v>440</v>
      </c>
      <c r="BB178">
        <v>480</v>
      </c>
      <c r="BC178">
        <v>520</v>
      </c>
      <c r="BD178">
        <v>520</v>
      </c>
      <c r="BE178">
        <v>550</v>
      </c>
      <c r="BF178">
        <v>570</v>
      </c>
      <c r="BG178">
        <v>590</v>
      </c>
      <c r="BH178">
        <v>560</v>
      </c>
      <c r="BI178">
        <v>530</v>
      </c>
      <c r="BJ178">
        <v>520</v>
      </c>
      <c r="BK178">
        <v>570</v>
      </c>
      <c r="BL178">
        <v>590</v>
      </c>
      <c r="BM178">
        <v>550</v>
      </c>
    </row>
    <row r="179" spans="1:65">
      <c r="A179" t="s">
        <v>141</v>
      </c>
      <c r="B179" t="s">
        <v>355</v>
      </c>
      <c r="C179" t="s">
        <v>2244</v>
      </c>
      <c r="D179" t="s">
        <v>2245</v>
      </c>
      <c r="G179">
        <v>100</v>
      </c>
      <c r="H179">
        <v>110</v>
      </c>
      <c r="I179">
        <v>110</v>
      </c>
      <c r="J179">
        <v>110</v>
      </c>
      <c r="K179">
        <v>110</v>
      </c>
      <c r="L179">
        <v>100</v>
      </c>
      <c r="M179">
        <v>100</v>
      </c>
      <c r="N179">
        <v>120</v>
      </c>
      <c r="O179">
        <v>170</v>
      </c>
      <c r="P179">
        <v>180</v>
      </c>
      <c r="Q179">
        <v>200</v>
      </c>
      <c r="R179">
        <v>220</v>
      </c>
      <c r="S179">
        <v>340</v>
      </c>
      <c r="T179">
        <v>400</v>
      </c>
      <c r="U179">
        <v>510</v>
      </c>
      <c r="V179">
        <v>560</v>
      </c>
      <c r="W179">
        <v>560</v>
      </c>
      <c r="X179">
        <v>640</v>
      </c>
      <c r="Y179">
        <v>760</v>
      </c>
      <c r="Z179">
        <v>970</v>
      </c>
      <c r="AA179">
        <v>1260</v>
      </c>
      <c r="AB179">
        <v>1450</v>
      </c>
      <c r="AC179">
        <v>1130</v>
      </c>
      <c r="AD179">
        <v>970</v>
      </c>
      <c r="AE179">
        <v>790</v>
      </c>
      <c r="AF179">
        <v>710</v>
      </c>
      <c r="AG179">
        <v>680</v>
      </c>
      <c r="AH179">
        <v>550</v>
      </c>
      <c r="AI179">
        <v>560</v>
      </c>
      <c r="AJ179">
        <v>510</v>
      </c>
      <c r="AK179">
        <v>510</v>
      </c>
      <c r="AL179">
        <v>360</v>
      </c>
      <c r="AM179">
        <v>310</v>
      </c>
      <c r="AN179">
        <v>310</v>
      </c>
      <c r="AO179">
        <v>390</v>
      </c>
      <c r="AP179">
        <v>440</v>
      </c>
      <c r="AQ179">
        <v>440</v>
      </c>
      <c r="AR179">
        <v>460</v>
      </c>
      <c r="AS179">
        <v>470</v>
      </c>
      <c r="AT179">
        <v>530</v>
      </c>
      <c r="AU179">
        <v>630</v>
      </c>
      <c r="AV179">
        <v>710</v>
      </c>
      <c r="AW179">
        <v>870</v>
      </c>
      <c r="AX179">
        <v>1030</v>
      </c>
      <c r="AY179">
        <v>1350</v>
      </c>
      <c r="AZ179">
        <v>1610</v>
      </c>
      <c r="BA179">
        <v>1970</v>
      </c>
      <c r="BB179">
        <v>2050</v>
      </c>
      <c r="BC179">
        <v>2150</v>
      </c>
      <c r="BD179">
        <v>2180</v>
      </c>
      <c r="BE179">
        <v>2440</v>
      </c>
      <c r="BF179">
        <v>2690</v>
      </c>
      <c r="BG179">
        <v>2940</v>
      </c>
      <c r="BH179">
        <v>2820</v>
      </c>
      <c r="BI179">
        <v>2430</v>
      </c>
      <c r="BJ179">
        <v>2090</v>
      </c>
      <c r="BK179">
        <v>1960</v>
      </c>
      <c r="BL179">
        <v>2030</v>
      </c>
      <c r="BM179">
        <v>2000</v>
      </c>
    </row>
    <row r="180" spans="1:65">
      <c r="A180" t="s">
        <v>140</v>
      </c>
      <c r="B180" t="s">
        <v>354</v>
      </c>
      <c r="C180" t="s">
        <v>2244</v>
      </c>
      <c r="D180" t="s">
        <v>2245</v>
      </c>
      <c r="G180">
        <v>140</v>
      </c>
      <c r="H180">
        <v>150</v>
      </c>
      <c r="I180">
        <v>160</v>
      </c>
      <c r="J180">
        <v>200</v>
      </c>
      <c r="K180">
        <v>230</v>
      </c>
      <c r="L180">
        <v>290</v>
      </c>
      <c r="M180">
        <v>290</v>
      </c>
      <c r="N180">
        <v>310</v>
      </c>
      <c r="O180">
        <v>310</v>
      </c>
      <c r="P180">
        <v>320</v>
      </c>
      <c r="Q180">
        <v>330</v>
      </c>
      <c r="R180">
        <v>380</v>
      </c>
      <c r="S180">
        <v>510</v>
      </c>
      <c r="T180">
        <v>570</v>
      </c>
      <c r="U180">
        <v>600</v>
      </c>
      <c r="V180">
        <v>680</v>
      </c>
      <c r="W180">
        <v>650</v>
      </c>
      <c r="X180">
        <v>500</v>
      </c>
      <c r="Y180">
        <v>600</v>
      </c>
      <c r="Z180">
        <v>660</v>
      </c>
      <c r="AA180">
        <v>680</v>
      </c>
      <c r="AB180">
        <v>680</v>
      </c>
      <c r="AC180">
        <v>700</v>
      </c>
      <c r="AD180">
        <v>690</v>
      </c>
      <c r="AE180">
        <v>750</v>
      </c>
      <c r="AF180">
        <v>860</v>
      </c>
      <c r="AG180">
        <v>680</v>
      </c>
      <c r="AH180">
        <v>360</v>
      </c>
      <c r="AI180">
        <v>310</v>
      </c>
      <c r="AJ180">
        <v>220</v>
      </c>
      <c r="AK180">
        <v>240</v>
      </c>
      <c r="AL180">
        <v>290</v>
      </c>
      <c r="AM180">
        <v>450</v>
      </c>
      <c r="AN180">
        <v>610</v>
      </c>
      <c r="AO180">
        <v>880</v>
      </c>
      <c r="AP180">
        <v>880</v>
      </c>
      <c r="AQ180">
        <v>880</v>
      </c>
      <c r="AR180">
        <v>930</v>
      </c>
      <c r="AS180">
        <v>960</v>
      </c>
      <c r="AT180">
        <v>970</v>
      </c>
      <c r="AU180">
        <v>960</v>
      </c>
      <c r="AV180">
        <v>1000</v>
      </c>
      <c r="AW180">
        <v>1080</v>
      </c>
      <c r="AX180">
        <v>1160</v>
      </c>
      <c r="AY180">
        <v>1200</v>
      </c>
      <c r="AZ180">
        <v>1290</v>
      </c>
      <c r="BA180">
        <v>1390</v>
      </c>
      <c r="BB180">
        <v>1380</v>
      </c>
      <c r="BC180">
        <v>1460</v>
      </c>
      <c r="BD180">
        <v>1570</v>
      </c>
      <c r="BE180">
        <v>1670</v>
      </c>
      <c r="BF180">
        <v>1740</v>
      </c>
      <c r="BG180">
        <v>1830</v>
      </c>
      <c r="BH180">
        <v>1890</v>
      </c>
      <c r="BI180">
        <v>1960</v>
      </c>
      <c r="BJ180">
        <v>2030</v>
      </c>
      <c r="BK180">
        <v>1970</v>
      </c>
      <c r="BL180">
        <v>1900</v>
      </c>
      <c r="BM180">
        <v>1850</v>
      </c>
    </row>
    <row r="181" spans="1:65">
      <c r="A181" t="s">
        <v>66</v>
      </c>
      <c r="B181" t="s">
        <v>460</v>
      </c>
      <c r="C181" t="s">
        <v>2244</v>
      </c>
      <c r="D181" t="s">
        <v>2245</v>
      </c>
      <c r="G181">
        <v>1220</v>
      </c>
      <c r="H181">
        <v>1310</v>
      </c>
      <c r="I181">
        <v>1460</v>
      </c>
      <c r="J181">
        <v>1700</v>
      </c>
      <c r="K181">
        <v>1840</v>
      </c>
      <c r="L181">
        <v>2000</v>
      </c>
      <c r="M181">
        <v>2230</v>
      </c>
      <c r="N181">
        <v>2550</v>
      </c>
      <c r="O181">
        <v>2890</v>
      </c>
      <c r="P181">
        <v>3290</v>
      </c>
      <c r="Q181">
        <v>3850</v>
      </c>
      <c r="R181">
        <v>5070</v>
      </c>
      <c r="S181">
        <v>6370</v>
      </c>
      <c r="T181">
        <v>7630</v>
      </c>
      <c r="U181">
        <v>8350</v>
      </c>
      <c r="V181">
        <v>9100</v>
      </c>
      <c r="W181">
        <v>10460</v>
      </c>
      <c r="X181">
        <v>12760</v>
      </c>
      <c r="Y181">
        <v>14830</v>
      </c>
      <c r="Z181">
        <v>14000</v>
      </c>
      <c r="AA181">
        <v>12350</v>
      </c>
      <c r="AB181">
        <v>11070</v>
      </c>
      <c r="AC181">
        <v>10730</v>
      </c>
      <c r="AD181">
        <v>10330</v>
      </c>
      <c r="AE181">
        <v>11690</v>
      </c>
      <c r="AF181">
        <v>14720</v>
      </c>
      <c r="AG181">
        <v>18570</v>
      </c>
      <c r="AH181">
        <v>19540</v>
      </c>
      <c r="AI181">
        <v>20320</v>
      </c>
      <c r="AJ181">
        <v>21280</v>
      </c>
      <c r="AK181">
        <v>23520</v>
      </c>
      <c r="AL181">
        <v>24040</v>
      </c>
      <c r="AM181">
        <v>25370</v>
      </c>
      <c r="AN181">
        <v>27690</v>
      </c>
      <c r="AO181">
        <v>29750</v>
      </c>
      <c r="AP181">
        <v>29800</v>
      </c>
      <c r="AQ181">
        <v>28260</v>
      </c>
      <c r="AR181">
        <v>28670</v>
      </c>
      <c r="AS181">
        <v>28840</v>
      </c>
      <c r="AT181">
        <v>27420</v>
      </c>
      <c r="AU181">
        <v>27090</v>
      </c>
      <c r="AV181">
        <v>31030</v>
      </c>
      <c r="AW181">
        <v>37390</v>
      </c>
      <c r="AX181">
        <v>42110</v>
      </c>
      <c r="AY181">
        <v>45950</v>
      </c>
      <c r="AZ181">
        <v>49150</v>
      </c>
      <c r="BA181">
        <v>52770</v>
      </c>
      <c r="BB181">
        <v>53840</v>
      </c>
      <c r="BC181">
        <v>54070</v>
      </c>
      <c r="BD181">
        <v>54590</v>
      </c>
      <c r="BE181">
        <v>52980</v>
      </c>
      <c r="BF181">
        <v>52980</v>
      </c>
      <c r="BG181">
        <v>52000</v>
      </c>
      <c r="BH181">
        <v>49850</v>
      </c>
      <c r="BI181">
        <v>46930</v>
      </c>
      <c r="BJ181">
        <v>47160</v>
      </c>
      <c r="BK181">
        <v>51320</v>
      </c>
      <c r="BL181">
        <v>53230</v>
      </c>
      <c r="BM181">
        <v>51070</v>
      </c>
    </row>
    <row r="182" spans="1:65">
      <c r="A182" t="s">
        <v>51</v>
      </c>
      <c r="B182" t="s">
        <v>468</v>
      </c>
      <c r="C182" t="s">
        <v>2244</v>
      </c>
      <c r="D182" t="s">
        <v>2245</v>
      </c>
      <c r="G182">
        <v>1610</v>
      </c>
      <c r="H182">
        <v>1710</v>
      </c>
      <c r="I182">
        <v>1860</v>
      </c>
      <c r="J182">
        <v>2050</v>
      </c>
      <c r="K182">
        <v>2240</v>
      </c>
      <c r="L182">
        <v>2470</v>
      </c>
      <c r="M182">
        <v>2630</v>
      </c>
      <c r="N182">
        <v>2850</v>
      </c>
      <c r="O182">
        <v>3120</v>
      </c>
      <c r="P182">
        <v>3570</v>
      </c>
      <c r="Q182">
        <v>4230</v>
      </c>
      <c r="R182">
        <v>5320</v>
      </c>
      <c r="S182">
        <v>6750</v>
      </c>
      <c r="T182">
        <v>8380</v>
      </c>
      <c r="U182">
        <v>9150</v>
      </c>
      <c r="V182">
        <v>9960</v>
      </c>
      <c r="W182">
        <v>11110</v>
      </c>
      <c r="X182">
        <v>13110</v>
      </c>
      <c r="Y182">
        <v>15650</v>
      </c>
      <c r="Z182">
        <v>16410</v>
      </c>
      <c r="AA182">
        <v>15750</v>
      </c>
      <c r="AB182">
        <v>14930</v>
      </c>
      <c r="AC182">
        <v>15140</v>
      </c>
      <c r="AD182">
        <v>15710</v>
      </c>
      <c r="AE182">
        <v>17550</v>
      </c>
      <c r="AF182">
        <v>20830</v>
      </c>
      <c r="AG182">
        <v>23970</v>
      </c>
      <c r="AH182">
        <v>25080</v>
      </c>
      <c r="AI182">
        <v>26500</v>
      </c>
      <c r="AJ182">
        <v>27820</v>
      </c>
      <c r="AK182">
        <v>30780</v>
      </c>
      <c r="AL182">
        <v>30210</v>
      </c>
      <c r="AM182">
        <v>30850</v>
      </c>
      <c r="AN182">
        <v>32690</v>
      </c>
      <c r="AO182">
        <v>35790</v>
      </c>
      <c r="AP182">
        <v>37910</v>
      </c>
      <c r="AQ182">
        <v>36100</v>
      </c>
      <c r="AR182">
        <v>35540</v>
      </c>
      <c r="AS182">
        <v>36540</v>
      </c>
      <c r="AT182">
        <v>38220</v>
      </c>
      <c r="AU182">
        <v>39890</v>
      </c>
      <c r="AV182">
        <v>44750</v>
      </c>
      <c r="AW182">
        <v>54140</v>
      </c>
      <c r="AX182">
        <v>63830</v>
      </c>
      <c r="AY182">
        <v>70020</v>
      </c>
      <c r="AZ182">
        <v>78470</v>
      </c>
      <c r="BA182">
        <v>87470</v>
      </c>
      <c r="BB182">
        <v>87830</v>
      </c>
      <c r="BC182">
        <v>88490</v>
      </c>
      <c r="BD182">
        <v>90330</v>
      </c>
      <c r="BE182">
        <v>99110</v>
      </c>
      <c r="BF182">
        <v>104190</v>
      </c>
      <c r="BG182">
        <v>104370</v>
      </c>
      <c r="BH182">
        <v>92910</v>
      </c>
      <c r="BI182">
        <v>81370</v>
      </c>
      <c r="BJ182">
        <v>75650</v>
      </c>
      <c r="BK182">
        <v>80320</v>
      </c>
      <c r="BL182">
        <v>81640</v>
      </c>
      <c r="BM182">
        <v>78290</v>
      </c>
    </row>
    <row r="183" spans="1:65">
      <c r="A183" t="s">
        <v>124</v>
      </c>
      <c r="B183" t="s">
        <v>338</v>
      </c>
      <c r="C183" t="s">
        <v>2244</v>
      </c>
      <c r="D183" t="s">
        <v>2245</v>
      </c>
      <c r="G183">
        <v>50</v>
      </c>
      <c r="H183">
        <v>50</v>
      </c>
      <c r="I183">
        <v>50</v>
      </c>
      <c r="J183">
        <v>50</v>
      </c>
      <c r="K183">
        <v>70</v>
      </c>
      <c r="L183">
        <v>80</v>
      </c>
      <c r="M183">
        <v>70</v>
      </c>
      <c r="N183">
        <v>70</v>
      </c>
      <c r="O183">
        <v>70</v>
      </c>
      <c r="P183">
        <v>70</v>
      </c>
      <c r="Q183">
        <v>80</v>
      </c>
      <c r="R183">
        <v>80</v>
      </c>
      <c r="S183">
        <v>100</v>
      </c>
      <c r="T183">
        <v>110</v>
      </c>
      <c r="U183">
        <v>120</v>
      </c>
      <c r="V183">
        <v>120</v>
      </c>
      <c r="W183">
        <v>120</v>
      </c>
      <c r="X183">
        <v>130</v>
      </c>
      <c r="Y183">
        <v>140</v>
      </c>
      <c r="Z183">
        <v>160</v>
      </c>
      <c r="AA183">
        <v>150</v>
      </c>
      <c r="AB183">
        <v>140</v>
      </c>
      <c r="AC183">
        <v>160</v>
      </c>
      <c r="AD183">
        <v>160</v>
      </c>
      <c r="AE183">
        <v>170</v>
      </c>
      <c r="AF183">
        <v>180</v>
      </c>
      <c r="AG183">
        <v>200</v>
      </c>
      <c r="AH183">
        <v>210</v>
      </c>
      <c r="AI183">
        <v>210</v>
      </c>
      <c r="AJ183">
        <v>210</v>
      </c>
      <c r="AK183">
        <v>200</v>
      </c>
      <c r="AL183">
        <v>190</v>
      </c>
      <c r="AM183">
        <v>200</v>
      </c>
      <c r="AN183">
        <v>200</v>
      </c>
      <c r="AO183">
        <v>210</v>
      </c>
      <c r="AP183">
        <v>220</v>
      </c>
      <c r="AQ183">
        <v>210</v>
      </c>
      <c r="AR183">
        <v>220</v>
      </c>
      <c r="AS183">
        <v>230</v>
      </c>
      <c r="AT183">
        <v>240</v>
      </c>
      <c r="AU183">
        <v>240</v>
      </c>
      <c r="AV183">
        <v>260</v>
      </c>
      <c r="AW183">
        <v>280</v>
      </c>
      <c r="AX183">
        <v>310</v>
      </c>
      <c r="AY183">
        <v>340</v>
      </c>
      <c r="AZ183">
        <v>370</v>
      </c>
      <c r="BA183">
        <v>430</v>
      </c>
      <c r="BB183">
        <v>480</v>
      </c>
      <c r="BC183">
        <v>540</v>
      </c>
      <c r="BD183">
        <v>630</v>
      </c>
      <c r="BE183">
        <v>770</v>
      </c>
      <c r="BF183">
        <v>860</v>
      </c>
      <c r="BG183">
        <v>880</v>
      </c>
      <c r="BH183">
        <v>890</v>
      </c>
      <c r="BI183">
        <v>880</v>
      </c>
      <c r="BJ183">
        <v>990</v>
      </c>
      <c r="BK183">
        <v>1120</v>
      </c>
      <c r="BL183">
        <v>1230</v>
      </c>
      <c r="BM183">
        <v>1190</v>
      </c>
    </row>
    <row r="184" spans="1:65">
      <c r="A184" t="s">
        <v>241</v>
      </c>
      <c r="B184" t="s">
        <v>545</v>
      </c>
      <c r="C184" t="s">
        <v>2244</v>
      </c>
      <c r="D184" t="s">
        <v>2245</v>
      </c>
      <c r="BE184">
        <v>8870</v>
      </c>
      <c r="BF184">
        <v>13000</v>
      </c>
      <c r="BG184">
        <v>14920</v>
      </c>
      <c r="BH184">
        <v>13690</v>
      </c>
      <c r="BI184">
        <v>12720</v>
      </c>
      <c r="BJ184">
        <v>12340</v>
      </c>
      <c r="BK184">
        <v>14290</v>
      </c>
      <c r="BL184">
        <v>16620</v>
      </c>
      <c r="BM184">
        <v>15990</v>
      </c>
    </row>
    <row r="185" spans="1:65">
      <c r="A185" t="s">
        <v>71</v>
      </c>
      <c r="B185" t="s">
        <v>453</v>
      </c>
      <c r="C185" t="s">
        <v>2244</v>
      </c>
      <c r="D185" t="s">
        <v>2245</v>
      </c>
      <c r="X185">
        <v>6530</v>
      </c>
      <c r="Y185">
        <v>7670</v>
      </c>
      <c r="Z185">
        <v>8240</v>
      </c>
      <c r="AA185">
        <v>7860</v>
      </c>
      <c r="AB185">
        <v>7370</v>
      </c>
      <c r="AC185">
        <v>7010</v>
      </c>
      <c r="AD185">
        <v>6950</v>
      </c>
      <c r="AE185">
        <v>7860</v>
      </c>
      <c r="AF185">
        <v>10010</v>
      </c>
      <c r="AG185">
        <v>12550</v>
      </c>
      <c r="AH185">
        <v>13570</v>
      </c>
      <c r="AI185">
        <v>13640</v>
      </c>
      <c r="AJ185">
        <v>12160</v>
      </c>
      <c r="AK185">
        <v>12050</v>
      </c>
      <c r="AL185">
        <v>12360</v>
      </c>
      <c r="AM185">
        <v>13400</v>
      </c>
      <c r="AN185">
        <v>15280</v>
      </c>
      <c r="AO185">
        <v>16730</v>
      </c>
      <c r="AP185">
        <v>17160</v>
      </c>
      <c r="AQ185">
        <v>15790</v>
      </c>
      <c r="AR185">
        <v>15040</v>
      </c>
      <c r="AS185">
        <v>14080</v>
      </c>
      <c r="AT185">
        <v>13810</v>
      </c>
      <c r="AU185">
        <v>14170</v>
      </c>
      <c r="AV185">
        <v>16960</v>
      </c>
      <c r="AW185">
        <v>21500</v>
      </c>
      <c r="AX185">
        <v>25440</v>
      </c>
      <c r="AY185">
        <v>26400</v>
      </c>
      <c r="AZ185">
        <v>28150</v>
      </c>
      <c r="BA185">
        <v>28630</v>
      </c>
      <c r="BB185">
        <v>29690</v>
      </c>
      <c r="BC185">
        <v>29680</v>
      </c>
      <c r="BD185">
        <v>32230</v>
      </c>
      <c r="BE185">
        <v>36700</v>
      </c>
      <c r="BF185">
        <v>39930</v>
      </c>
      <c r="BG185">
        <v>41680</v>
      </c>
      <c r="BH185">
        <v>40650</v>
      </c>
      <c r="BI185">
        <v>39440</v>
      </c>
      <c r="BJ185">
        <v>38910</v>
      </c>
      <c r="BK185">
        <v>41680</v>
      </c>
      <c r="BL185">
        <v>42870</v>
      </c>
    </row>
    <row r="186" spans="1:65">
      <c r="A186" t="s">
        <v>2298</v>
      </c>
      <c r="B186" t="s">
        <v>2299</v>
      </c>
      <c r="C186" t="s">
        <v>2244</v>
      </c>
      <c r="D186" t="s">
        <v>2245</v>
      </c>
      <c r="G186">
        <v>1446.1589985530877</v>
      </c>
      <c r="H186">
        <v>1531.6436367544077</v>
      </c>
      <c r="I186">
        <v>1646.1338684981829</v>
      </c>
      <c r="J186">
        <v>1781.7066871538364</v>
      </c>
      <c r="K186">
        <v>1938.453336250569</v>
      </c>
      <c r="L186">
        <v>2057.7493405336058</v>
      </c>
      <c r="M186">
        <v>2251.1244731927986</v>
      </c>
      <c r="N186">
        <v>2444.4719441171615</v>
      </c>
      <c r="O186">
        <v>2587.4548988680149</v>
      </c>
      <c r="P186">
        <v>2811.6822943751858</v>
      </c>
      <c r="Q186">
        <v>3212.3485784560889</v>
      </c>
      <c r="R186">
        <v>3918.0077478482585</v>
      </c>
      <c r="S186">
        <v>4566.1188268485757</v>
      </c>
      <c r="T186">
        <v>5099.7518170811982</v>
      </c>
      <c r="U186">
        <v>5377.0505434667893</v>
      </c>
      <c r="V186">
        <v>5751.9063704678983</v>
      </c>
      <c r="W186">
        <v>6563.4822437601706</v>
      </c>
      <c r="X186">
        <v>7864.5170108988586</v>
      </c>
      <c r="Y186">
        <v>9071.2590435234815</v>
      </c>
      <c r="Z186">
        <v>9433.9856142788958</v>
      </c>
      <c r="AA186">
        <v>8957.8330471792033</v>
      </c>
      <c r="AB186">
        <v>8554.1079963745578</v>
      </c>
      <c r="AC186">
        <v>8843.9436313221286</v>
      </c>
      <c r="AD186">
        <v>9254.5676990849897</v>
      </c>
      <c r="AE186">
        <v>10402.308359011173</v>
      </c>
      <c r="AF186">
        <v>12464.76285126428</v>
      </c>
      <c r="AG186">
        <v>15141.042494310057</v>
      </c>
      <c r="AH186">
        <v>15930.646530004931</v>
      </c>
      <c r="AI186">
        <v>16665.214977989104</v>
      </c>
      <c r="AJ186">
        <v>17317.268686324769</v>
      </c>
      <c r="AK186">
        <v>18794.931595563459</v>
      </c>
      <c r="AL186">
        <v>19270.046246490456</v>
      </c>
      <c r="AM186">
        <v>20292.047056959291</v>
      </c>
      <c r="AN186">
        <v>21608.877895385824</v>
      </c>
      <c r="AO186">
        <v>22639.843678667658</v>
      </c>
      <c r="AP186">
        <v>22713.295986951689</v>
      </c>
      <c r="AQ186">
        <v>21889.006015021361</v>
      </c>
      <c r="AR186">
        <v>22163.80214064497</v>
      </c>
      <c r="AS186">
        <v>23136.608242312883</v>
      </c>
      <c r="AT186">
        <v>23107.611063102624</v>
      </c>
      <c r="AU186">
        <v>22973.102563294407</v>
      </c>
      <c r="AV186">
        <v>24709.184159605335</v>
      </c>
      <c r="AW186">
        <v>28162.114539022004</v>
      </c>
      <c r="AX186">
        <v>30988.135650723496</v>
      </c>
      <c r="AY186">
        <v>32502.328414282005</v>
      </c>
      <c r="AZ186">
        <v>33759.808475693579</v>
      </c>
      <c r="BA186">
        <v>35176.306495160257</v>
      </c>
      <c r="BB186">
        <v>34530.643913627326</v>
      </c>
      <c r="BC186">
        <v>35470.45081694625</v>
      </c>
      <c r="BD186">
        <v>36603.651087455117</v>
      </c>
      <c r="BE186">
        <v>37734.22073163453</v>
      </c>
      <c r="BF186">
        <v>38372.947547105949</v>
      </c>
      <c r="BG186">
        <v>38467.956075225316</v>
      </c>
      <c r="BH186">
        <v>37342.261007595538</v>
      </c>
      <c r="BI186">
        <v>36464.323235511307</v>
      </c>
      <c r="BJ186">
        <v>36639.773939199971</v>
      </c>
      <c r="BK186">
        <v>39049.678320674349</v>
      </c>
      <c r="BL186">
        <v>40277.189920304416</v>
      </c>
      <c r="BM186">
        <v>38595.674864000503</v>
      </c>
    </row>
    <row r="187" spans="1:65">
      <c r="A187" t="s">
        <v>233</v>
      </c>
      <c r="B187" t="s">
        <v>578</v>
      </c>
      <c r="C187" t="s">
        <v>2244</v>
      </c>
      <c r="D187" t="s">
        <v>2245</v>
      </c>
      <c r="L187">
        <v>160</v>
      </c>
      <c r="M187">
        <v>230</v>
      </c>
      <c r="N187">
        <v>280</v>
      </c>
      <c r="O187">
        <v>320</v>
      </c>
      <c r="P187">
        <v>330</v>
      </c>
      <c r="Q187">
        <v>360</v>
      </c>
      <c r="R187">
        <v>310</v>
      </c>
      <c r="S187">
        <v>700</v>
      </c>
      <c r="T187">
        <v>1510</v>
      </c>
      <c r="U187">
        <v>2770</v>
      </c>
      <c r="V187">
        <v>2720</v>
      </c>
      <c r="W187">
        <v>2650</v>
      </c>
      <c r="X187">
        <v>3070</v>
      </c>
      <c r="Y187">
        <v>3960</v>
      </c>
      <c r="Z187">
        <v>5480</v>
      </c>
      <c r="AA187">
        <v>6210</v>
      </c>
      <c r="AB187">
        <v>6160</v>
      </c>
      <c r="AC187">
        <v>6320</v>
      </c>
      <c r="AD187">
        <v>6560</v>
      </c>
      <c r="AE187">
        <v>5930</v>
      </c>
      <c r="AF187">
        <v>5390</v>
      </c>
      <c r="AG187">
        <v>5210</v>
      </c>
      <c r="AH187">
        <v>5660</v>
      </c>
      <c r="AI187">
        <v>5710</v>
      </c>
      <c r="AJ187">
        <v>6040</v>
      </c>
      <c r="AK187">
        <v>6510</v>
      </c>
      <c r="AL187">
        <v>6280</v>
      </c>
      <c r="AM187">
        <v>6160</v>
      </c>
      <c r="AN187">
        <v>6270</v>
      </c>
      <c r="AO187">
        <v>6470</v>
      </c>
      <c r="AP187">
        <v>6810</v>
      </c>
      <c r="AQ187">
        <v>6530</v>
      </c>
      <c r="AR187">
        <v>6370</v>
      </c>
      <c r="AS187">
        <v>7070</v>
      </c>
      <c r="AT187">
        <v>7830</v>
      </c>
      <c r="AU187">
        <v>8000</v>
      </c>
      <c r="AV187">
        <v>8290</v>
      </c>
      <c r="AW187">
        <v>9410</v>
      </c>
      <c r="AX187">
        <v>10690</v>
      </c>
      <c r="AY187">
        <v>12660</v>
      </c>
      <c r="AZ187">
        <v>14560</v>
      </c>
      <c r="BA187">
        <v>17430</v>
      </c>
      <c r="BB187">
        <v>17740</v>
      </c>
      <c r="BC187">
        <v>16080</v>
      </c>
      <c r="BD187">
        <v>18620</v>
      </c>
      <c r="BE187">
        <v>22270</v>
      </c>
      <c r="BF187">
        <v>23340</v>
      </c>
      <c r="BG187">
        <v>21920</v>
      </c>
      <c r="BH187">
        <v>20160</v>
      </c>
      <c r="BI187">
        <v>18190</v>
      </c>
      <c r="BJ187">
        <v>16130</v>
      </c>
      <c r="BK187">
        <v>16370</v>
      </c>
      <c r="BL187">
        <v>16430</v>
      </c>
      <c r="BM187">
        <v>15030</v>
      </c>
    </row>
    <row r="188" spans="1:65">
      <c r="A188" t="s">
        <v>2300</v>
      </c>
      <c r="B188" t="s">
        <v>2301</v>
      </c>
      <c r="C188" t="s">
        <v>2244</v>
      </c>
      <c r="D188" t="s">
        <v>2245</v>
      </c>
      <c r="AU188">
        <v>4213.3762269151484</v>
      </c>
      <c r="AV188">
        <v>4713.5627497698879</v>
      </c>
      <c r="AW188">
        <v>5714.5842118619439</v>
      </c>
      <c r="AX188">
        <v>6865.7239221803748</v>
      </c>
      <c r="AY188">
        <v>8308.3398057432478</v>
      </c>
      <c r="AZ188">
        <v>9776.2531756952903</v>
      </c>
      <c r="BA188">
        <v>11188.359644054488</v>
      </c>
      <c r="BB188">
        <v>11032.821371452759</v>
      </c>
      <c r="BC188">
        <v>11524.020390270411</v>
      </c>
      <c r="BD188">
        <v>12475.166442839341</v>
      </c>
      <c r="BE188">
        <v>13799.012818636747</v>
      </c>
      <c r="BF188">
        <v>14880.083370190758</v>
      </c>
      <c r="BG188">
        <v>15113.736502957312</v>
      </c>
      <c r="BH188">
        <v>14099.333534451338</v>
      </c>
      <c r="BI188">
        <v>12991.321349280692</v>
      </c>
      <c r="BJ188">
        <v>12281.652984905486</v>
      </c>
      <c r="BK188">
        <v>13033.731543990049</v>
      </c>
      <c r="BL188">
        <v>13614.919910547793</v>
      </c>
      <c r="BM188">
        <v>12307.742084856434</v>
      </c>
    </row>
    <row r="189" spans="1:65">
      <c r="A189" t="s">
        <v>130</v>
      </c>
      <c r="B189" t="s">
        <v>344</v>
      </c>
      <c r="C189" t="s">
        <v>2244</v>
      </c>
      <c r="D189" t="s">
        <v>2245</v>
      </c>
      <c r="G189">
        <v>90</v>
      </c>
      <c r="H189">
        <v>100</v>
      </c>
      <c r="I189">
        <v>100</v>
      </c>
      <c r="J189">
        <v>110</v>
      </c>
      <c r="K189">
        <v>120</v>
      </c>
      <c r="L189">
        <v>130</v>
      </c>
      <c r="M189">
        <v>150</v>
      </c>
      <c r="N189">
        <v>160</v>
      </c>
      <c r="O189">
        <v>170</v>
      </c>
      <c r="P189">
        <v>180</v>
      </c>
      <c r="Q189">
        <v>170</v>
      </c>
      <c r="R189">
        <v>150</v>
      </c>
      <c r="S189">
        <v>150</v>
      </c>
      <c r="T189">
        <v>160</v>
      </c>
      <c r="U189">
        <v>180</v>
      </c>
      <c r="V189">
        <v>200</v>
      </c>
      <c r="W189">
        <v>240</v>
      </c>
      <c r="X189">
        <v>270</v>
      </c>
      <c r="Y189">
        <v>320</v>
      </c>
      <c r="Z189">
        <v>350</v>
      </c>
      <c r="AA189">
        <v>360</v>
      </c>
      <c r="AB189">
        <v>350</v>
      </c>
      <c r="AC189">
        <v>350</v>
      </c>
      <c r="AD189">
        <v>340</v>
      </c>
      <c r="AE189">
        <v>360</v>
      </c>
      <c r="AF189">
        <v>370</v>
      </c>
      <c r="AG189">
        <v>400</v>
      </c>
      <c r="AH189">
        <v>400</v>
      </c>
      <c r="AI189">
        <v>400</v>
      </c>
      <c r="AJ189">
        <v>400</v>
      </c>
      <c r="AK189">
        <v>430</v>
      </c>
      <c r="AL189">
        <v>440</v>
      </c>
      <c r="AM189">
        <v>440</v>
      </c>
      <c r="AN189">
        <v>470</v>
      </c>
      <c r="AO189">
        <v>480</v>
      </c>
      <c r="AP189">
        <v>470</v>
      </c>
      <c r="AQ189">
        <v>450</v>
      </c>
      <c r="AR189">
        <v>440</v>
      </c>
      <c r="AS189">
        <v>480</v>
      </c>
      <c r="AT189">
        <v>510</v>
      </c>
      <c r="AU189">
        <v>530</v>
      </c>
      <c r="AV189">
        <v>570</v>
      </c>
      <c r="AW189">
        <v>660</v>
      </c>
      <c r="AX189">
        <v>740</v>
      </c>
      <c r="AY189">
        <v>800</v>
      </c>
      <c r="AZ189">
        <v>860</v>
      </c>
      <c r="BA189">
        <v>920</v>
      </c>
      <c r="BB189">
        <v>950</v>
      </c>
      <c r="BC189">
        <v>970</v>
      </c>
      <c r="BD189">
        <v>1030</v>
      </c>
      <c r="BE189">
        <v>1120</v>
      </c>
      <c r="BF189">
        <v>1210</v>
      </c>
      <c r="BG189">
        <v>1230</v>
      </c>
      <c r="BH189">
        <v>1260</v>
      </c>
      <c r="BI189">
        <v>1310</v>
      </c>
      <c r="BJ189">
        <v>1400</v>
      </c>
      <c r="BK189">
        <v>1480</v>
      </c>
      <c r="BL189">
        <v>1410</v>
      </c>
      <c r="BM189">
        <v>1270</v>
      </c>
    </row>
    <row r="190" spans="1:65">
      <c r="A190" t="s">
        <v>228</v>
      </c>
      <c r="B190" t="s">
        <v>547</v>
      </c>
      <c r="C190" t="s">
        <v>2244</v>
      </c>
      <c r="D190" t="s">
        <v>2245</v>
      </c>
      <c r="G190">
        <v>490</v>
      </c>
      <c r="H190">
        <v>530</v>
      </c>
      <c r="I190">
        <v>550</v>
      </c>
      <c r="J190">
        <v>590</v>
      </c>
      <c r="K190">
        <v>630</v>
      </c>
      <c r="L190">
        <v>670</v>
      </c>
      <c r="M190">
        <v>710</v>
      </c>
      <c r="N190">
        <v>770</v>
      </c>
      <c r="O190">
        <v>810</v>
      </c>
      <c r="P190">
        <v>890</v>
      </c>
      <c r="Q190">
        <v>960</v>
      </c>
      <c r="R190">
        <v>1090</v>
      </c>
      <c r="S190">
        <v>1220</v>
      </c>
      <c r="T190">
        <v>1370</v>
      </c>
      <c r="U190">
        <v>1350</v>
      </c>
      <c r="V190">
        <v>1550</v>
      </c>
      <c r="W190">
        <v>1790</v>
      </c>
      <c r="X190">
        <v>2020</v>
      </c>
      <c r="Y190">
        <v>2260</v>
      </c>
      <c r="Z190">
        <v>2470</v>
      </c>
      <c r="AA190">
        <v>2630</v>
      </c>
      <c r="AB190">
        <v>2540</v>
      </c>
      <c r="AC190">
        <v>2570</v>
      </c>
      <c r="AD190">
        <v>2840</v>
      </c>
      <c r="AE190">
        <v>2910</v>
      </c>
      <c r="AF190">
        <v>3260</v>
      </c>
      <c r="AG190">
        <v>2750</v>
      </c>
      <c r="AH190">
        <v>2560</v>
      </c>
      <c r="AI190">
        <v>2640</v>
      </c>
      <c r="AJ190">
        <v>2730</v>
      </c>
      <c r="AK190">
        <v>3010</v>
      </c>
      <c r="AL190">
        <v>3240</v>
      </c>
      <c r="AM190">
        <v>3410</v>
      </c>
      <c r="AN190">
        <v>3410</v>
      </c>
      <c r="AO190">
        <v>3570</v>
      </c>
      <c r="AP190">
        <v>3610</v>
      </c>
      <c r="AQ190">
        <v>3680</v>
      </c>
      <c r="AR190">
        <v>3750</v>
      </c>
      <c r="AS190">
        <v>3880</v>
      </c>
      <c r="AT190">
        <v>3830</v>
      </c>
      <c r="AU190">
        <v>3940</v>
      </c>
      <c r="AV190">
        <v>4040</v>
      </c>
      <c r="AW190">
        <v>4460</v>
      </c>
      <c r="AX190">
        <v>4790</v>
      </c>
      <c r="AY190">
        <v>5100</v>
      </c>
      <c r="AZ190">
        <v>5770</v>
      </c>
      <c r="BA190">
        <v>6540</v>
      </c>
      <c r="BB190">
        <v>6900</v>
      </c>
      <c r="BC190">
        <v>7260</v>
      </c>
      <c r="BD190">
        <v>8550</v>
      </c>
      <c r="BE190">
        <v>9540</v>
      </c>
      <c r="BF190">
        <v>10630</v>
      </c>
      <c r="BG190">
        <v>11190</v>
      </c>
      <c r="BH190">
        <v>12200</v>
      </c>
      <c r="BI190">
        <v>12780</v>
      </c>
      <c r="BJ190">
        <v>13750</v>
      </c>
      <c r="BK190">
        <v>14490</v>
      </c>
      <c r="BL190">
        <v>14920</v>
      </c>
      <c r="BM190">
        <v>12420</v>
      </c>
    </row>
    <row r="191" spans="1:65">
      <c r="A191" t="s">
        <v>196</v>
      </c>
      <c r="B191" t="s">
        <v>411</v>
      </c>
      <c r="C191" t="s">
        <v>2244</v>
      </c>
      <c r="D191" t="s">
        <v>2245</v>
      </c>
      <c r="G191">
        <v>290</v>
      </c>
      <c r="H191">
        <v>300</v>
      </c>
      <c r="I191">
        <v>340</v>
      </c>
      <c r="J191">
        <v>380</v>
      </c>
      <c r="K191">
        <v>450</v>
      </c>
      <c r="L191">
        <v>490</v>
      </c>
      <c r="M191">
        <v>470</v>
      </c>
      <c r="N191">
        <v>480</v>
      </c>
      <c r="O191">
        <v>500</v>
      </c>
      <c r="P191">
        <v>560</v>
      </c>
      <c r="Q191">
        <v>630</v>
      </c>
      <c r="R191">
        <v>740</v>
      </c>
      <c r="S191">
        <v>930</v>
      </c>
      <c r="T191">
        <v>1080</v>
      </c>
      <c r="U191">
        <v>1070</v>
      </c>
      <c r="V191">
        <v>1020</v>
      </c>
      <c r="W191">
        <v>870</v>
      </c>
      <c r="X191">
        <v>910</v>
      </c>
      <c r="Y191">
        <v>1020</v>
      </c>
      <c r="Z191">
        <v>1170</v>
      </c>
      <c r="AA191">
        <v>1130</v>
      </c>
      <c r="AB191">
        <v>920</v>
      </c>
      <c r="AC191">
        <v>890</v>
      </c>
      <c r="AD191">
        <v>840</v>
      </c>
      <c r="AE191">
        <v>840</v>
      </c>
      <c r="AF191">
        <v>950</v>
      </c>
      <c r="AG191">
        <v>790</v>
      </c>
      <c r="AH191">
        <v>790</v>
      </c>
      <c r="AI191">
        <v>840</v>
      </c>
      <c r="AJ191">
        <v>1220</v>
      </c>
      <c r="AK191">
        <v>1420</v>
      </c>
      <c r="AL191">
        <v>1550</v>
      </c>
      <c r="AM191">
        <v>1760</v>
      </c>
      <c r="AN191">
        <v>1950</v>
      </c>
      <c r="AO191">
        <v>2150</v>
      </c>
      <c r="AP191">
        <v>2280</v>
      </c>
      <c r="AQ191">
        <v>2150</v>
      </c>
      <c r="AR191">
        <v>2030</v>
      </c>
      <c r="AS191">
        <v>1970</v>
      </c>
      <c r="AT191">
        <v>1900</v>
      </c>
      <c r="AU191">
        <v>1960</v>
      </c>
      <c r="AV191">
        <v>2080</v>
      </c>
      <c r="AW191">
        <v>2280</v>
      </c>
      <c r="AX191">
        <v>2540</v>
      </c>
      <c r="AY191">
        <v>2810</v>
      </c>
      <c r="AZ191">
        <v>3210</v>
      </c>
      <c r="BA191">
        <v>3790</v>
      </c>
      <c r="BB191">
        <v>3970</v>
      </c>
      <c r="BC191">
        <v>4410</v>
      </c>
      <c r="BD191">
        <v>4970</v>
      </c>
      <c r="BE191">
        <v>5790</v>
      </c>
      <c r="BF191">
        <v>6420</v>
      </c>
      <c r="BG191">
        <v>6530</v>
      </c>
      <c r="BH191">
        <v>6340</v>
      </c>
      <c r="BI191">
        <v>6110</v>
      </c>
      <c r="BJ191">
        <v>6060</v>
      </c>
      <c r="BK191">
        <v>6470</v>
      </c>
      <c r="BL191">
        <v>6790</v>
      </c>
      <c r="BM191">
        <v>6030</v>
      </c>
    </row>
    <row r="192" spans="1:65">
      <c r="A192" t="s">
        <v>163</v>
      </c>
      <c r="B192" t="s">
        <v>377</v>
      </c>
      <c r="C192" t="s">
        <v>2244</v>
      </c>
      <c r="D192" t="s">
        <v>2245</v>
      </c>
      <c r="G192">
        <v>250</v>
      </c>
      <c r="H192">
        <v>220</v>
      </c>
      <c r="I192">
        <v>190</v>
      </c>
      <c r="J192">
        <v>210</v>
      </c>
      <c r="K192">
        <v>220</v>
      </c>
      <c r="L192">
        <v>230</v>
      </c>
      <c r="M192">
        <v>250</v>
      </c>
      <c r="N192">
        <v>270</v>
      </c>
      <c r="O192">
        <v>250</v>
      </c>
      <c r="P192">
        <v>250</v>
      </c>
      <c r="Q192">
        <v>250</v>
      </c>
      <c r="R192">
        <v>300</v>
      </c>
      <c r="S192">
        <v>360</v>
      </c>
      <c r="T192">
        <v>430</v>
      </c>
      <c r="U192">
        <v>480</v>
      </c>
      <c r="V192">
        <v>510</v>
      </c>
      <c r="W192">
        <v>570</v>
      </c>
      <c r="X192">
        <v>670</v>
      </c>
      <c r="Y192">
        <v>790</v>
      </c>
      <c r="Z192">
        <v>850</v>
      </c>
      <c r="AA192">
        <v>840</v>
      </c>
      <c r="AB192">
        <v>770</v>
      </c>
      <c r="AC192">
        <v>660</v>
      </c>
      <c r="AD192">
        <v>590</v>
      </c>
      <c r="AE192">
        <v>620</v>
      </c>
      <c r="AF192">
        <v>690</v>
      </c>
      <c r="AG192">
        <v>750</v>
      </c>
      <c r="AH192">
        <v>800</v>
      </c>
      <c r="AI192">
        <v>830</v>
      </c>
      <c r="AJ192">
        <v>830</v>
      </c>
      <c r="AK192">
        <v>880</v>
      </c>
      <c r="AL192">
        <v>930</v>
      </c>
      <c r="AM192">
        <v>1050</v>
      </c>
      <c r="AN192">
        <v>1160</v>
      </c>
      <c r="AO192">
        <v>1320</v>
      </c>
      <c r="AP192">
        <v>1390</v>
      </c>
      <c r="AQ192">
        <v>1310</v>
      </c>
      <c r="AR192">
        <v>1250</v>
      </c>
      <c r="AS192">
        <v>1180</v>
      </c>
      <c r="AT192">
        <v>1170</v>
      </c>
      <c r="AU192">
        <v>1130</v>
      </c>
      <c r="AV192">
        <v>1170</v>
      </c>
      <c r="AW192">
        <v>1290</v>
      </c>
      <c r="AX192">
        <v>1380</v>
      </c>
      <c r="AY192">
        <v>1490</v>
      </c>
      <c r="AZ192">
        <v>1720</v>
      </c>
      <c r="BA192">
        <v>2010</v>
      </c>
      <c r="BB192">
        <v>2170</v>
      </c>
      <c r="BC192">
        <v>2370</v>
      </c>
      <c r="BD192">
        <v>2520</v>
      </c>
      <c r="BE192">
        <v>2860</v>
      </c>
      <c r="BF192">
        <v>3160</v>
      </c>
      <c r="BG192">
        <v>3330</v>
      </c>
      <c r="BH192">
        <v>3380</v>
      </c>
      <c r="BI192">
        <v>3450</v>
      </c>
      <c r="BJ192">
        <v>3530</v>
      </c>
      <c r="BK192">
        <v>3710</v>
      </c>
      <c r="BL192">
        <v>3850</v>
      </c>
      <c r="BM192">
        <v>3430</v>
      </c>
    </row>
    <row r="193" spans="1:65">
      <c r="A193" t="s">
        <v>230</v>
      </c>
      <c r="B193" t="s">
        <v>546</v>
      </c>
      <c r="C193" t="s">
        <v>2244</v>
      </c>
      <c r="D193" t="s">
        <v>2245</v>
      </c>
      <c r="AU193">
        <v>9200</v>
      </c>
      <c r="AV193">
        <v>8810</v>
      </c>
      <c r="AW193">
        <v>9420</v>
      </c>
      <c r="AX193">
        <v>10350</v>
      </c>
      <c r="AY193">
        <v>10830</v>
      </c>
      <c r="AZ193">
        <v>11780</v>
      </c>
      <c r="BA193">
        <v>11800</v>
      </c>
      <c r="BB193">
        <v>11090</v>
      </c>
      <c r="BC193">
        <v>11400</v>
      </c>
      <c r="BD193">
        <v>12270</v>
      </c>
      <c r="BE193">
        <v>12760</v>
      </c>
      <c r="BF193">
        <v>12870</v>
      </c>
      <c r="BG193">
        <v>14150</v>
      </c>
      <c r="BH193">
        <v>15860</v>
      </c>
      <c r="BI193">
        <v>16720</v>
      </c>
      <c r="BJ193">
        <v>16540</v>
      </c>
      <c r="BK193">
        <v>17380</v>
      </c>
      <c r="BL193">
        <v>16710</v>
      </c>
      <c r="BM193">
        <v>14390</v>
      </c>
    </row>
    <row r="194" spans="1:65">
      <c r="A194" t="s">
        <v>150</v>
      </c>
      <c r="B194" t="s">
        <v>364</v>
      </c>
      <c r="C194" t="s">
        <v>2244</v>
      </c>
      <c r="D194" t="s">
        <v>2245</v>
      </c>
      <c r="G194">
        <v>110</v>
      </c>
      <c r="H194">
        <v>120</v>
      </c>
      <c r="I194">
        <v>120</v>
      </c>
      <c r="J194">
        <v>140</v>
      </c>
      <c r="K194">
        <v>150</v>
      </c>
      <c r="L194">
        <v>160</v>
      </c>
      <c r="M194">
        <v>180</v>
      </c>
      <c r="N194">
        <v>200</v>
      </c>
      <c r="O194">
        <v>220</v>
      </c>
      <c r="P194">
        <v>240</v>
      </c>
      <c r="Q194">
        <v>270</v>
      </c>
      <c r="R194">
        <v>350</v>
      </c>
      <c r="S194">
        <v>440</v>
      </c>
      <c r="T194">
        <v>490</v>
      </c>
      <c r="U194">
        <v>470</v>
      </c>
      <c r="V194">
        <v>470</v>
      </c>
      <c r="W194">
        <v>570</v>
      </c>
      <c r="X194">
        <v>640</v>
      </c>
      <c r="Y194">
        <v>710</v>
      </c>
      <c r="Z194">
        <v>720</v>
      </c>
      <c r="AA194">
        <v>650</v>
      </c>
      <c r="AB194">
        <v>610</v>
      </c>
      <c r="AC194">
        <v>600</v>
      </c>
      <c r="AD194">
        <v>610</v>
      </c>
      <c r="AE194">
        <v>640</v>
      </c>
      <c r="AF194">
        <v>690</v>
      </c>
      <c r="AG194">
        <v>790</v>
      </c>
      <c r="AH194">
        <v>800</v>
      </c>
      <c r="AI194">
        <v>740</v>
      </c>
      <c r="AJ194">
        <v>790</v>
      </c>
      <c r="AK194">
        <v>840</v>
      </c>
      <c r="AL194">
        <v>980</v>
      </c>
      <c r="AM194">
        <v>1030</v>
      </c>
      <c r="AN194">
        <v>950</v>
      </c>
      <c r="AO194">
        <v>930</v>
      </c>
      <c r="AP194">
        <v>850</v>
      </c>
      <c r="AQ194">
        <v>720</v>
      </c>
      <c r="AR194">
        <v>630</v>
      </c>
      <c r="AS194">
        <v>570</v>
      </c>
      <c r="AT194">
        <v>510</v>
      </c>
      <c r="AU194">
        <v>480</v>
      </c>
      <c r="AV194">
        <v>470</v>
      </c>
      <c r="AW194">
        <v>540</v>
      </c>
      <c r="AX194">
        <v>650</v>
      </c>
      <c r="AY194">
        <v>790</v>
      </c>
      <c r="AZ194">
        <v>1070</v>
      </c>
      <c r="BA194">
        <v>1400</v>
      </c>
      <c r="BB194">
        <v>1510</v>
      </c>
      <c r="BC194">
        <v>1740</v>
      </c>
      <c r="BD194">
        <v>1820</v>
      </c>
      <c r="BE194">
        <v>2270</v>
      </c>
      <c r="BF194">
        <v>2500</v>
      </c>
      <c r="BG194">
        <v>2990</v>
      </c>
      <c r="BH194">
        <v>2860</v>
      </c>
      <c r="BI194">
        <v>2710</v>
      </c>
      <c r="BJ194">
        <v>2590</v>
      </c>
      <c r="BK194">
        <v>2600</v>
      </c>
      <c r="BL194">
        <v>2720</v>
      </c>
      <c r="BM194">
        <v>2720</v>
      </c>
    </row>
    <row r="195" spans="1:65">
      <c r="A195" t="s">
        <v>75</v>
      </c>
      <c r="B195" t="s">
        <v>441</v>
      </c>
      <c r="C195" t="s">
        <v>2244</v>
      </c>
      <c r="D195" t="s">
        <v>2245</v>
      </c>
      <c r="AK195">
        <v>2080</v>
      </c>
      <c r="AL195">
        <v>2480</v>
      </c>
      <c r="AM195">
        <v>2760</v>
      </c>
      <c r="AN195">
        <v>3250</v>
      </c>
      <c r="AO195">
        <v>3840</v>
      </c>
      <c r="AP195">
        <v>4240</v>
      </c>
      <c r="AQ195">
        <v>4360</v>
      </c>
      <c r="AR195">
        <v>4440</v>
      </c>
      <c r="AS195">
        <v>4670</v>
      </c>
      <c r="AT195">
        <v>4710</v>
      </c>
      <c r="AU195">
        <v>4900</v>
      </c>
      <c r="AV195">
        <v>5500</v>
      </c>
      <c r="AW195">
        <v>6250</v>
      </c>
      <c r="AX195">
        <v>7340</v>
      </c>
      <c r="AY195">
        <v>8460</v>
      </c>
      <c r="AZ195">
        <v>9940</v>
      </c>
      <c r="BA195">
        <v>11980</v>
      </c>
      <c r="BB195">
        <v>12500</v>
      </c>
      <c r="BC195">
        <v>12740</v>
      </c>
      <c r="BD195">
        <v>12890</v>
      </c>
      <c r="BE195">
        <v>13160</v>
      </c>
      <c r="BF195">
        <v>13390</v>
      </c>
      <c r="BG195">
        <v>13560</v>
      </c>
      <c r="BH195">
        <v>13310</v>
      </c>
      <c r="BI195">
        <v>12720</v>
      </c>
      <c r="BJ195">
        <v>12730</v>
      </c>
      <c r="BK195">
        <v>14150</v>
      </c>
      <c r="BL195">
        <v>15360</v>
      </c>
      <c r="BM195">
        <v>15260</v>
      </c>
    </row>
    <row r="196" spans="1:65">
      <c r="A196" t="s">
        <v>2302</v>
      </c>
      <c r="B196" t="s">
        <v>2303</v>
      </c>
      <c r="C196" t="s">
        <v>2244</v>
      </c>
      <c r="D196" t="s">
        <v>2245</v>
      </c>
      <c r="Y196">
        <v>645.37185454946359</v>
      </c>
      <c r="Z196">
        <v>690.8665860022345</v>
      </c>
      <c r="AA196">
        <v>732.64146161531391</v>
      </c>
      <c r="AB196">
        <v>719.73142576723501</v>
      </c>
      <c r="AC196">
        <v>624.79505561199494</v>
      </c>
      <c r="AD196">
        <v>594.9160147932173</v>
      </c>
      <c r="AE196">
        <v>589.12269088634798</v>
      </c>
      <c r="AF196">
        <v>630.53650905228551</v>
      </c>
      <c r="AG196">
        <v>651.31482614850165</v>
      </c>
      <c r="AH196">
        <v>615.55697050117635</v>
      </c>
      <c r="AI196">
        <v>749.05304411006125</v>
      </c>
      <c r="AJ196">
        <v>401.35013904418571</v>
      </c>
      <c r="AK196">
        <v>374.69527830768055</v>
      </c>
      <c r="AL196">
        <v>323.16894724296242</v>
      </c>
      <c r="AM196">
        <v>288.85729310361097</v>
      </c>
      <c r="AN196">
        <v>300.31165393732249</v>
      </c>
      <c r="AO196">
        <v>327.85460573664449</v>
      </c>
      <c r="AP196">
        <v>370.8020096817238</v>
      </c>
      <c r="AQ196">
        <v>379.5925017639704</v>
      </c>
      <c r="AR196">
        <v>398.56803738035086</v>
      </c>
      <c r="AS196">
        <v>415.34384672928309</v>
      </c>
      <c r="AT196">
        <v>436.09341518059836</v>
      </c>
      <c r="AU196">
        <v>457.64974095523985</v>
      </c>
      <c r="AV196">
        <v>475.2097544311477</v>
      </c>
      <c r="AW196">
        <v>585.95094068224819</v>
      </c>
      <c r="AX196">
        <v>677.76862863210579</v>
      </c>
      <c r="AY196">
        <v>819.46275449171549</v>
      </c>
      <c r="AZ196">
        <v>972.03930657570891</v>
      </c>
      <c r="BA196">
        <v>1185.7778838803076</v>
      </c>
      <c r="BB196">
        <v>1260.8007562679272</v>
      </c>
      <c r="BC196">
        <v>1321.9777490923209</v>
      </c>
      <c r="BD196">
        <v>1368.2502269879467</v>
      </c>
      <c r="BE196">
        <v>1527.5730319273948</v>
      </c>
      <c r="BF196">
        <v>1660.1595033404865</v>
      </c>
      <c r="BG196">
        <v>1736.0948289078246</v>
      </c>
      <c r="BH196">
        <v>1653.7342023744059</v>
      </c>
      <c r="BI196">
        <v>1498.3120542508004</v>
      </c>
      <c r="BJ196">
        <v>1362.9455734136891</v>
      </c>
      <c r="BK196">
        <v>1373.7724218104652</v>
      </c>
      <c r="BL196">
        <v>1435.170220113502</v>
      </c>
      <c r="BM196">
        <v>1336.1028510183578</v>
      </c>
    </row>
    <row r="197" spans="1:65">
      <c r="A197" t="s">
        <v>243</v>
      </c>
      <c r="B197" t="s">
        <v>579</v>
      </c>
      <c r="C197" t="s">
        <v>2244</v>
      </c>
      <c r="D197" t="s">
        <v>2245</v>
      </c>
      <c r="G197">
        <v>820</v>
      </c>
      <c r="H197">
        <v>900</v>
      </c>
      <c r="I197">
        <v>960</v>
      </c>
      <c r="J197">
        <v>1060</v>
      </c>
      <c r="K197">
        <v>1160</v>
      </c>
      <c r="L197">
        <v>1240</v>
      </c>
      <c r="M197">
        <v>1370</v>
      </c>
      <c r="N197">
        <v>1560</v>
      </c>
      <c r="O197">
        <v>1750</v>
      </c>
      <c r="P197">
        <v>1910</v>
      </c>
      <c r="Q197">
        <v>2100</v>
      </c>
      <c r="R197">
        <v>2380</v>
      </c>
      <c r="S197">
        <v>2590</v>
      </c>
      <c r="T197">
        <v>2660</v>
      </c>
      <c r="U197">
        <v>2650</v>
      </c>
      <c r="V197">
        <v>2740</v>
      </c>
      <c r="W197">
        <v>2980</v>
      </c>
      <c r="X197">
        <v>3390</v>
      </c>
      <c r="Y197">
        <v>3720</v>
      </c>
      <c r="Z197">
        <v>3890</v>
      </c>
      <c r="AA197">
        <v>3770</v>
      </c>
      <c r="AB197">
        <v>3670</v>
      </c>
      <c r="AC197">
        <v>3970</v>
      </c>
      <c r="AD197">
        <v>4280</v>
      </c>
      <c r="AE197">
        <v>4750</v>
      </c>
      <c r="AF197">
        <v>5350</v>
      </c>
      <c r="AG197">
        <v>5860</v>
      </c>
      <c r="AH197">
        <v>6050</v>
      </c>
      <c r="AI197">
        <v>5950</v>
      </c>
      <c r="AJ197">
        <v>6300</v>
      </c>
      <c r="AK197">
        <v>6760</v>
      </c>
      <c r="AL197">
        <v>7100</v>
      </c>
      <c r="AM197">
        <v>7370</v>
      </c>
      <c r="AN197">
        <v>7820</v>
      </c>
      <c r="AO197">
        <v>8130</v>
      </c>
      <c r="AP197">
        <v>8510</v>
      </c>
      <c r="AQ197">
        <v>8690</v>
      </c>
      <c r="AR197">
        <v>9590</v>
      </c>
      <c r="AS197">
        <v>10550</v>
      </c>
      <c r="AT197">
        <v>10950</v>
      </c>
      <c r="AU197">
        <v>11250</v>
      </c>
      <c r="AV197">
        <v>12170</v>
      </c>
      <c r="AW197">
        <v>14260</v>
      </c>
      <c r="AX197">
        <v>14750</v>
      </c>
      <c r="AY197">
        <v>15030</v>
      </c>
      <c r="AZ197">
        <v>15860</v>
      </c>
      <c r="BA197">
        <v>16360</v>
      </c>
      <c r="BB197">
        <v>16580</v>
      </c>
      <c r="BC197">
        <v>16920</v>
      </c>
      <c r="BD197">
        <v>17670</v>
      </c>
      <c r="BE197">
        <v>18680</v>
      </c>
      <c r="BF197">
        <v>19170</v>
      </c>
      <c r="BG197">
        <v>19280</v>
      </c>
      <c r="BH197">
        <v>19420</v>
      </c>
      <c r="BI197">
        <v>19710</v>
      </c>
      <c r="BJ197">
        <v>20000</v>
      </c>
      <c r="BK197">
        <v>21080</v>
      </c>
      <c r="BL197">
        <v>22060</v>
      </c>
      <c r="BM197">
        <v>21160</v>
      </c>
    </row>
    <row r="198" spans="1:65">
      <c r="A198" t="s">
        <v>543</v>
      </c>
      <c r="B198" t="s">
        <v>544</v>
      </c>
      <c r="C198" t="s">
        <v>2244</v>
      </c>
      <c r="D198" t="s">
        <v>2245</v>
      </c>
    </row>
    <row r="199" spans="1:65">
      <c r="A199" t="s">
        <v>62</v>
      </c>
      <c r="B199" t="s">
        <v>445</v>
      </c>
      <c r="C199" t="s">
        <v>2244</v>
      </c>
      <c r="D199" t="s">
        <v>2245</v>
      </c>
      <c r="G199">
        <v>410</v>
      </c>
      <c r="H199">
        <v>430</v>
      </c>
      <c r="I199">
        <v>470</v>
      </c>
      <c r="J199">
        <v>520</v>
      </c>
      <c r="K199">
        <v>570</v>
      </c>
      <c r="L199">
        <v>640</v>
      </c>
      <c r="M199">
        <v>730</v>
      </c>
      <c r="N199">
        <v>790</v>
      </c>
      <c r="O199">
        <v>950</v>
      </c>
      <c r="P199">
        <v>1070</v>
      </c>
      <c r="Q199">
        <v>1270</v>
      </c>
      <c r="R199">
        <v>1700</v>
      </c>
      <c r="S199">
        <v>2070</v>
      </c>
      <c r="T199">
        <v>2210</v>
      </c>
      <c r="U199">
        <v>2330</v>
      </c>
      <c r="V199">
        <v>2430</v>
      </c>
      <c r="W199">
        <v>2530</v>
      </c>
      <c r="X199">
        <v>2870</v>
      </c>
      <c r="Y199">
        <v>3350</v>
      </c>
      <c r="Z199">
        <v>3420</v>
      </c>
      <c r="AA199">
        <v>3230</v>
      </c>
      <c r="AB199">
        <v>2830</v>
      </c>
      <c r="AC199">
        <v>2520</v>
      </c>
      <c r="AD199">
        <v>2530</v>
      </c>
      <c r="AE199">
        <v>3080</v>
      </c>
      <c r="AF199">
        <v>4160</v>
      </c>
      <c r="AG199">
        <v>5630</v>
      </c>
      <c r="AH199">
        <v>6320</v>
      </c>
      <c r="AI199">
        <v>7130</v>
      </c>
      <c r="AJ199">
        <v>8180</v>
      </c>
      <c r="AK199">
        <v>9860</v>
      </c>
      <c r="AL199">
        <v>10100</v>
      </c>
      <c r="AM199">
        <v>10450</v>
      </c>
      <c r="AN199">
        <v>11210</v>
      </c>
      <c r="AO199">
        <v>12100</v>
      </c>
      <c r="AP199">
        <v>12370</v>
      </c>
      <c r="AQ199">
        <v>12190</v>
      </c>
      <c r="AR199">
        <v>12260</v>
      </c>
      <c r="AS199">
        <v>12180</v>
      </c>
      <c r="AT199">
        <v>11850</v>
      </c>
      <c r="AU199">
        <v>11780</v>
      </c>
      <c r="AV199">
        <v>13290</v>
      </c>
      <c r="AW199">
        <v>16190</v>
      </c>
      <c r="AX199">
        <v>18600</v>
      </c>
      <c r="AY199">
        <v>19410</v>
      </c>
      <c r="AZ199">
        <v>20860</v>
      </c>
      <c r="BA199">
        <v>22640</v>
      </c>
      <c r="BB199">
        <v>22990</v>
      </c>
      <c r="BC199">
        <v>23030</v>
      </c>
      <c r="BD199">
        <v>22770</v>
      </c>
      <c r="BE199">
        <v>21170</v>
      </c>
      <c r="BF199">
        <v>21380</v>
      </c>
      <c r="BG199">
        <v>21200</v>
      </c>
      <c r="BH199">
        <v>20460</v>
      </c>
      <c r="BI199">
        <v>19940</v>
      </c>
      <c r="BJ199">
        <v>20060</v>
      </c>
      <c r="BK199">
        <v>22060</v>
      </c>
      <c r="BL199">
        <v>23200</v>
      </c>
      <c r="BM199">
        <v>21810</v>
      </c>
    </row>
    <row r="200" spans="1:65">
      <c r="A200" t="s">
        <v>188</v>
      </c>
      <c r="B200" t="s">
        <v>403</v>
      </c>
      <c r="C200" t="s">
        <v>2244</v>
      </c>
      <c r="D200" t="s">
        <v>2245</v>
      </c>
      <c r="AN200">
        <v>1680</v>
      </c>
      <c r="AO200">
        <v>1840</v>
      </c>
      <c r="AP200">
        <v>1840</v>
      </c>
      <c r="AQ200">
        <v>1730</v>
      </c>
      <c r="AR200">
        <v>1600</v>
      </c>
      <c r="AS200">
        <v>1440</v>
      </c>
      <c r="AT200">
        <v>1410</v>
      </c>
      <c r="AU200">
        <v>1330</v>
      </c>
      <c r="AV200">
        <v>1230</v>
      </c>
      <c r="AW200">
        <v>1350</v>
      </c>
      <c r="AX200">
        <v>1520</v>
      </c>
      <c r="AY200">
        <v>1840</v>
      </c>
      <c r="AZ200">
        <v>2320</v>
      </c>
      <c r="BA200">
        <v>3080</v>
      </c>
      <c r="BB200">
        <v>3450</v>
      </c>
      <c r="BC200">
        <v>4070</v>
      </c>
      <c r="BD200">
        <v>4480</v>
      </c>
      <c r="BE200">
        <v>4750</v>
      </c>
      <c r="BF200">
        <v>5510</v>
      </c>
      <c r="BG200">
        <v>5810</v>
      </c>
      <c r="BH200">
        <v>5640</v>
      </c>
      <c r="BI200">
        <v>5400</v>
      </c>
      <c r="BJ200">
        <v>5370</v>
      </c>
      <c r="BK200">
        <v>5600</v>
      </c>
      <c r="BL200">
        <v>5510</v>
      </c>
      <c r="BM200">
        <v>5180</v>
      </c>
    </row>
    <row r="201" spans="1:65">
      <c r="A201" t="s">
        <v>173</v>
      </c>
      <c r="B201" t="s">
        <v>387</v>
      </c>
      <c r="C201" t="s">
        <v>2244</v>
      </c>
      <c r="D201" t="s">
        <v>2245</v>
      </c>
      <c r="AO201">
        <v>1470</v>
      </c>
      <c r="AP201">
        <v>1630</v>
      </c>
      <c r="AQ201">
        <v>1780</v>
      </c>
      <c r="AR201">
        <v>1800</v>
      </c>
      <c r="AS201">
        <v>1550</v>
      </c>
      <c r="AT201">
        <v>1370</v>
      </c>
      <c r="AU201">
        <v>1190</v>
      </c>
      <c r="AV201">
        <v>1370</v>
      </c>
      <c r="AW201">
        <v>1640</v>
      </c>
      <c r="AX201">
        <v>1780</v>
      </c>
      <c r="AY201">
        <v>1710</v>
      </c>
      <c r="AZ201">
        <v>1790</v>
      </c>
      <c r="BA201">
        <v>2040</v>
      </c>
      <c r="BB201">
        <v>2250</v>
      </c>
      <c r="BC201">
        <v>2510</v>
      </c>
      <c r="BD201">
        <v>2880</v>
      </c>
      <c r="BE201">
        <v>3210</v>
      </c>
      <c r="BF201">
        <v>3470</v>
      </c>
      <c r="BG201">
        <v>3560</v>
      </c>
      <c r="BH201">
        <v>3670</v>
      </c>
      <c r="BI201">
        <v>3900</v>
      </c>
      <c r="BJ201">
        <v>3930</v>
      </c>
      <c r="BK201">
        <v>4190</v>
      </c>
      <c r="BL201">
        <v>4270</v>
      </c>
      <c r="BM201">
        <v>3710</v>
      </c>
    </row>
    <row r="202" spans="1:65">
      <c r="A202" t="s">
        <v>2304</v>
      </c>
      <c r="B202" t="s">
        <v>2305</v>
      </c>
      <c r="C202" t="s">
        <v>2244</v>
      </c>
      <c r="D202" t="s">
        <v>2245</v>
      </c>
      <c r="AA202">
        <v>1463.4802536905672</v>
      </c>
      <c r="AB202">
        <v>1314.8626022545325</v>
      </c>
      <c r="AC202">
        <v>1353.5071362085657</v>
      </c>
      <c r="AD202">
        <v>1292.5412219399527</v>
      </c>
      <c r="AE202">
        <v>1408.5484070246505</v>
      </c>
      <c r="AF202">
        <v>1399.2048527147715</v>
      </c>
      <c r="AG202">
        <v>1436.5727167987582</v>
      </c>
      <c r="AH202">
        <v>1449.4220211568143</v>
      </c>
      <c r="AI202">
        <v>1477.5773230951461</v>
      </c>
      <c r="AJ202">
        <v>1482.2259473510385</v>
      </c>
      <c r="AK202">
        <v>1644.0998180281381</v>
      </c>
      <c r="AL202">
        <v>1718.8912977870643</v>
      </c>
      <c r="AM202">
        <v>1851.7026892133983</v>
      </c>
      <c r="AN202">
        <v>2046.742047604356</v>
      </c>
      <c r="AO202">
        <v>2180.8857820043177</v>
      </c>
      <c r="AP202">
        <v>2135.49693551682</v>
      </c>
      <c r="AQ202">
        <v>1983.8729564630421</v>
      </c>
      <c r="AR202">
        <v>1987.7131876117157</v>
      </c>
      <c r="AS202">
        <v>1892.0203905322708</v>
      </c>
      <c r="AT202">
        <v>1827.9054339605391</v>
      </c>
      <c r="AU202">
        <v>1791.2168304269815</v>
      </c>
      <c r="AV202">
        <v>1921.9168935218802</v>
      </c>
      <c r="AW202">
        <v>2255.5216888843815</v>
      </c>
      <c r="AX202">
        <v>2577.3896892634598</v>
      </c>
      <c r="AY202">
        <v>2652.7452182888364</v>
      </c>
      <c r="AZ202">
        <v>2809.4096797955103</v>
      </c>
      <c r="BA202">
        <v>2978.2988296857211</v>
      </c>
      <c r="BB202">
        <v>2945.3416440018523</v>
      </c>
      <c r="BC202">
        <v>2943.9844199355766</v>
      </c>
      <c r="BD202">
        <v>3104.6486347305172</v>
      </c>
      <c r="BE202">
        <v>3350.4363586125219</v>
      </c>
      <c r="BF202">
        <v>3729.9505397138619</v>
      </c>
      <c r="BG202">
        <v>3874.2162257798495</v>
      </c>
      <c r="BH202">
        <v>3904.1280201779232</v>
      </c>
      <c r="BI202">
        <v>3941.3235440884041</v>
      </c>
      <c r="BJ202">
        <v>4000.0394267054739</v>
      </c>
      <c r="BK202">
        <v>4289.3824459506732</v>
      </c>
      <c r="BL202">
        <v>4353.6754873866721</v>
      </c>
      <c r="BM202">
        <v>3914.9937500040196</v>
      </c>
    </row>
    <row r="203" spans="1:65">
      <c r="A203" t="s">
        <v>2306</v>
      </c>
      <c r="B203" t="s">
        <v>2307</v>
      </c>
      <c r="C203" t="s">
        <v>2244</v>
      </c>
      <c r="D203" t="s">
        <v>2245</v>
      </c>
      <c r="G203">
        <v>1514.6408838775901</v>
      </c>
      <c r="H203">
        <v>1606.1494779810364</v>
      </c>
      <c r="I203">
        <v>1728.08171038207</v>
      </c>
      <c r="J203">
        <v>1874.2851579245712</v>
      </c>
      <c r="K203">
        <v>2043.045486173502</v>
      </c>
      <c r="L203">
        <v>2173.6368967440476</v>
      </c>
      <c r="M203">
        <v>2381.7444564142625</v>
      </c>
      <c r="N203">
        <v>2593.6016851311092</v>
      </c>
      <c r="O203">
        <v>2751.3201161365191</v>
      </c>
      <c r="P203">
        <v>2997.8647708218323</v>
      </c>
      <c r="Q203">
        <v>3436.77686868312</v>
      </c>
      <c r="R203">
        <v>4204.2886397100874</v>
      </c>
      <c r="S203">
        <v>4900.4290465304803</v>
      </c>
      <c r="T203">
        <v>5480.8685825727316</v>
      </c>
      <c r="U203">
        <v>5790.0908212559352</v>
      </c>
      <c r="V203">
        <v>6218.4078409195599</v>
      </c>
      <c r="W203">
        <v>7117.9031633459454</v>
      </c>
      <c r="X203">
        <v>8542.0217293002952</v>
      </c>
      <c r="Y203">
        <v>9850.8940180982081</v>
      </c>
      <c r="Z203">
        <v>10221.443843835363</v>
      </c>
      <c r="AA203">
        <v>9754.1407242092027</v>
      </c>
      <c r="AB203">
        <v>9383.8536737400718</v>
      </c>
      <c r="AC203">
        <v>9762.7104518335236</v>
      </c>
      <c r="AD203">
        <v>10247.865362916737</v>
      </c>
      <c r="AE203">
        <v>11591.370949616146</v>
      </c>
      <c r="AF203">
        <v>13961.177915479282</v>
      </c>
      <c r="AG203">
        <v>17042.013641746558</v>
      </c>
      <c r="AH203">
        <v>17951.471383071879</v>
      </c>
      <c r="AI203">
        <v>18760.77422074003</v>
      </c>
      <c r="AJ203">
        <v>19483.153129294431</v>
      </c>
      <c r="AK203">
        <v>21140.362287392185</v>
      </c>
      <c r="AL203">
        <v>21632.024386597324</v>
      </c>
      <c r="AM203">
        <v>22795.887868332356</v>
      </c>
      <c r="AN203">
        <v>24394.243018129837</v>
      </c>
      <c r="AO203">
        <v>25624.251088389152</v>
      </c>
      <c r="AP203">
        <v>25735.775509637977</v>
      </c>
      <c r="AQ203">
        <v>24750.506955826804</v>
      </c>
      <c r="AR203">
        <v>25073.321124250921</v>
      </c>
      <c r="AS203">
        <v>26141.132580605128</v>
      </c>
      <c r="AT203">
        <v>26157.174390970082</v>
      </c>
      <c r="AU203">
        <v>26011.056816571963</v>
      </c>
      <c r="AV203">
        <v>28054.725281301464</v>
      </c>
      <c r="AW203">
        <v>32033.697170965363</v>
      </c>
      <c r="AX203">
        <v>35257.417757747244</v>
      </c>
      <c r="AY203">
        <v>36941.368032392384</v>
      </c>
      <c r="AZ203">
        <v>38314.7774928914</v>
      </c>
      <c r="BA203">
        <v>39881.021965770677</v>
      </c>
      <c r="BB203">
        <v>39245.930898381368</v>
      </c>
      <c r="BC203">
        <v>40373.936359228639</v>
      </c>
      <c r="BD203">
        <v>41713.38914370758</v>
      </c>
      <c r="BE203">
        <v>42981.769811322301</v>
      </c>
      <c r="BF203">
        <v>43722.883147789573</v>
      </c>
      <c r="BG203">
        <v>43848.785898710332</v>
      </c>
      <c r="BH203">
        <v>42627.60409918287</v>
      </c>
      <c r="BI203">
        <v>41824.704730206926</v>
      </c>
      <c r="BJ203">
        <v>42234.718460353994</v>
      </c>
      <c r="BK203">
        <v>45192.344315215254</v>
      </c>
      <c r="BL203">
        <v>46754.018967299533</v>
      </c>
      <c r="BM203">
        <v>44967.235834214043</v>
      </c>
    </row>
    <row r="204" spans="1:65">
      <c r="A204" t="s">
        <v>525</v>
      </c>
      <c r="B204" t="s">
        <v>526</v>
      </c>
      <c r="C204" t="s">
        <v>2244</v>
      </c>
      <c r="D204" t="s">
        <v>2245</v>
      </c>
      <c r="L204">
        <v>2090</v>
      </c>
      <c r="M204">
        <v>2520</v>
      </c>
      <c r="N204">
        <v>2430</v>
      </c>
      <c r="O204">
        <v>2400</v>
      </c>
      <c r="P204">
        <v>2640</v>
      </c>
      <c r="Q204">
        <v>2660</v>
      </c>
      <c r="R204">
        <v>3320</v>
      </c>
      <c r="S204">
        <v>4580</v>
      </c>
      <c r="T204">
        <v>5100</v>
      </c>
      <c r="U204">
        <v>5590</v>
      </c>
      <c r="V204">
        <v>5890</v>
      </c>
      <c r="W204">
        <v>6760</v>
      </c>
      <c r="X204">
        <v>7980</v>
      </c>
      <c r="Y204">
        <v>9140</v>
      </c>
      <c r="Z204">
        <v>9600</v>
      </c>
      <c r="AA204">
        <v>9130</v>
      </c>
      <c r="AB204">
        <v>8190</v>
      </c>
      <c r="AC204">
        <v>8030</v>
      </c>
      <c r="AD204">
        <v>8340</v>
      </c>
      <c r="AE204">
        <v>10250</v>
      </c>
      <c r="AF204">
        <v>13000</v>
      </c>
      <c r="AG204">
        <v>15360</v>
      </c>
      <c r="AH204">
        <v>14940</v>
      </c>
      <c r="AI204">
        <v>15270</v>
      </c>
      <c r="AJ204">
        <v>16030</v>
      </c>
      <c r="AK204">
        <v>17260</v>
      </c>
      <c r="AL204">
        <v>17400</v>
      </c>
      <c r="AM204">
        <v>17470</v>
      </c>
      <c r="AN204">
        <v>17920</v>
      </c>
      <c r="AO204">
        <v>17780</v>
      </c>
      <c r="AP204">
        <v>17250</v>
      </c>
      <c r="AQ204">
        <v>16660</v>
      </c>
      <c r="AR204">
        <v>16170</v>
      </c>
      <c r="AS204">
        <v>15770</v>
      </c>
    </row>
    <row r="205" spans="1:65">
      <c r="A205" t="s">
        <v>260</v>
      </c>
      <c r="B205" t="s">
        <v>580</v>
      </c>
      <c r="C205" t="s">
        <v>2244</v>
      </c>
      <c r="D205" t="s">
        <v>2245</v>
      </c>
      <c r="AU205">
        <v>28400</v>
      </c>
      <c r="AV205">
        <v>30680</v>
      </c>
      <c r="AW205">
        <v>36160</v>
      </c>
      <c r="AX205">
        <v>38260</v>
      </c>
      <c r="AY205">
        <v>50810</v>
      </c>
      <c r="AZ205">
        <v>58030</v>
      </c>
      <c r="BA205">
        <v>65580</v>
      </c>
      <c r="BB205">
        <v>61250</v>
      </c>
      <c r="BC205">
        <v>63620</v>
      </c>
      <c r="BD205">
        <v>66950</v>
      </c>
      <c r="BE205">
        <v>72880</v>
      </c>
      <c r="BF205">
        <v>79390</v>
      </c>
      <c r="BG205">
        <v>80890</v>
      </c>
      <c r="BH205">
        <v>73440</v>
      </c>
      <c r="BI205">
        <v>64550</v>
      </c>
      <c r="BJ205">
        <v>56920</v>
      </c>
      <c r="BK205">
        <v>58830</v>
      </c>
      <c r="BL205">
        <v>61210</v>
      </c>
      <c r="BM205">
        <v>55990</v>
      </c>
    </row>
    <row r="206" spans="1:65">
      <c r="A206" t="s">
        <v>229</v>
      </c>
      <c r="B206" t="s">
        <v>549</v>
      </c>
      <c r="C206" t="s">
        <v>2244</v>
      </c>
      <c r="D206" t="s">
        <v>2245</v>
      </c>
      <c r="AK206">
        <v>1250</v>
      </c>
      <c r="AL206">
        <v>1190</v>
      </c>
      <c r="AM206">
        <v>1270</v>
      </c>
      <c r="AN206">
        <v>1490</v>
      </c>
      <c r="AO206">
        <v>1640</v>
      </c>
      <c r="AP206">
        <v>1590</v>
      </c>
      <c r="AQ206">
        <v>1580</v>
      </c>
      <c r="AR206">
        <v>1610</v>
      </c>
      <c r="AS206">
        <v>1710</v>
      </c>
      <c r="AT206">
        <v>1760</v>
      </c>
      <c r="AU206">
        <v>1950</v>
      </c>
      <c r="AV206">
        <v>2250</v>
      </c>
      <c r="AW206">
        <v>2960</v>
      </c>
      <c r="AX206">
        <v>3880</v>
      </c>
      <c r="AY206">
        <v>4900</v>
      </c>
      <c r="AZ206">
        <v>6390</v>
      </c>
      <c r="BA206">
        <v>8800</v>
      </c>
      <c r="BB206">
        <v>9220</v>
      </c>
      <c r="BC206">
        <v>8640</v>
      </c>
      <c r="BD206">
        <v>8650</v>
      </c>
      <c r="BE206">
        <v>8760</v>
      </c>
      <c r="BF206">
        <v>9320</v>
      </c>
      <c r="BG206">
        <v>9700</v>
      </c>
      <c r="BH206">
        <v>9600</v>
      </c>
      <c r="BI206">
        <v>9620</v>
      </c>
      <c r="BJ206">
        <v>10110</v>
      </c>
      <c r="BK206">
        <v>11430</v>
      </c>
      <c r="BL206">
        <v>12620</v>
      </c>
      <c r="BM206">
        <v>12600</v>
      </c>
    </row>
    <row r="207" spans="1:65">
      <c r="A207" t="s">
        <v>223</v>
      </c>
      <c r="B207" t="s">
        <v>438</v>
      </c>
      <c r="C207" t="s">
        <v>2244</v>
      </c>
      <c r="D207" t="s">
        <v>2245</v>
      </c>
      <c r="AJ207">
        <v>3440</v>
      </c>
      <c r="AK207">
        <v>3090</v>
      </c>
      <c r="AL207">
        <v>2920</v>
      </c>
      <c r="AM207">
        <v>2650</v>
      </c>
      <c r="AN207">
        <v>2640</v>
      </c>
      <c r="AO207">
        <v>2600</v>
      </c>
      <c r="AP207">
        <v>2650</v>
      </c>
      <c r="AQ207">
        <v>2130</v>
      </c>
      <c r="AR207">
        <v>1750</v>
      </c>
      <c r="AS207">
        <v>1710</v>
      </c>
      <c r="AT207">
        <v>1780</v>
      </c>
      <c r="AU207">
        <v>2100</v>
      </c>
      <c r="AV207">
        <v>2590</v>
      </c>
      <c r="AW207">
        <v>3410</v>
      </c>
      <c r="AX207">
        <v>4450</v>
      </c>
      <c r="AY207">
        <v>5810</v>
      </c>
      <c r="AZ207">
        <v>7560</v>
      </c>
      <c r="BA207">
        <v>9580</v>
      </c>
      <c r="BB207">
        <v>9230</v>
      </c>
      <c r="BC207">
        <v>9980</v>
      </c>
      <c r="BD207">
        <v>11060</v>
      </c>
      <c r="BE207">
        <v>13490</v>
      </c>
      <c r="BF207">
        <v>15190</v>
      </c>
      <c r="BG207">
        <v>14630</v>
      </c>
      <c r="BH207">
        <v>11780</v>
      </c>
      <c r="BI207">
        <v>9730</v>
      </c>
      <c r="BJ207">
        <v>9210</v>
      </c>
      <c r="BK207">
        <v>10250</v>
      </c>
      <c r="BL207">
        <v>11250</v>
      </c>
      <c r="BM207">
        <v>10690</v>
      </c>
    </row>
    <row r="208" spans="1:65">
      <c r="A208" t="s">
        <v>111</v>
      </c>
      <c r="B208" t="s">
        <v>324</v>
      </c>
      <c r="C208" t="s">
        <v>2244</v>
      </c>
      <c r="D208" t="s">
        <v>2245</v>
      </c>
      <c r="G208">
        <v>40</v>
      </c>
      <c r="H208">
        <v>40</v>
      </c>
      <c r="I208">
        <v>40</v>
      </c>
      <c r="J208">
        <v>40</v>
      </c>
      <c r="K208">
        <v>40</v>
      </c>
      <c r="L208">
        <v>50</v>
      </c>
      <c r="M208">
        <v>50</v>
      </c>
      <c r="N208">
        <v>50</v>
      </c>
      <c r="O208">
        <v>60</v>
      </c>
      <c r="P208">
        <v>60</v>
      </c>
      <c r="Q208">
        <v>60</v>
      </c>
      <c r="R208">
        <v>70</v>
      </c>
      <c r="S208">
        <v>80</v>
      </c>
      <c r="T208">
        <v>100</v>
      </c>
      <c r="U208">
        <v>130</v>
      </c>
      <c r="V208">
        <v>160</v>
      </c>
      <c r="W208">
        <v>180</v>
      </c>
      <c r="X208">
        <v>230</v>
      </c>
      <c r="Y208">
        <v>270</v>
      </c>
      <c r="Z208">
        <v>280</v>
      </c>
      <c r="AA208">
        <v>270</v>
      </c>
      <c r="AB208">
        <v>260</v>
      </c>
      <c r="AC208">
        <v>250</v>
      </c>
      <c r="AD208">
        <v>260</v>
      </c>
      <c r="AE208">
        <v>290</v>
      </c>
      <c r="AF208">
        <v>320</v>
      </c>
      <c r="AG208">
        <v>350</v>
      </c>
      <c r="AH208">
        <v>350</v>
      </c>
      <c r="AI208">
        <v>350</v>
      </c>
      <c r="AJ208">
        <v>320</v>
      </c>
      <c r="AK208">
        <v>340</v>
      </c>
      <c r="AL208">
        <v>310</v>
      </c>
      <c r="AM208">
        <v>150</v>
      </c>
      <c r="AN208">
        <v>210</v>
      </c>
      <c r="AO208">
        <v>220</v>
      </c>
      <c r="AP208">
        <v>260</v>
      </c>
      <c r="AQ208">
        <v>260</v>
      </c>
      <c r="AR208">
        <v>280</v>
      </c>
      <c r="AS208">
        <v>280</v>
      </c>
      <c r="AT208">
        <v>270</v>
      </c>
      <c r="AU208">
        <v>260</v>
      </c>
      <c r="AV208">
        <v>250</v>
      </c>
      <c r="AW208">
        <v>270</v>
      </c>
      <c r="AX208">
        <v>320</v>
      </c>
      <c r="AY208">
        <v>360</v>
      </c>
      <c r="AZ208">
        <v>410</v>
      </c>
      <c r="BA208">
        <v>490</v>
      </c>
      <c r="BB208">
        <v>550</v>
      </c>
      <c r="BC208">
        <v>600</v>
      </c>
      <c r="BD208">
        <v>650</v>
      </c>
      <c r="BE208">
        <v>700</v>
      </c>
      <c r="BF208">
        <v>720</v>
      </c>
      <c r="BG208">
        <v>740</v>
      </c>
      <c r="BH208">
        <v>750</v>
      </c>
      <c r="BI208">
        <v>740</v>
      </c>
      <c r="BJ208">
        <v>730</v>
      </c>
      <c r="BK208">
        <v>780</v>
      </c>
      <c r="BL208">
        <v>830</v>
      </c>
      <c r="BM208">
        <v>780</v>
      </c>
    </row>
    <row r="209" spans="1:65">
      <c r="A209" t="s">
        <v>483</v>
      </c>
      <c r="B209" t="s">
        <v>2308</v>
      </c>
      <c r="C209" t="s">
        <v>2244</v>
      </c>
      <c r="D209" t="s">
        <v>2245</v>
      </c>
      <c r="G209">
        <v>86.670073325957802</v>
      </c>
      <c r="H209">
        <v>93.943382584618661</v>
      </c>
      <c r="I209">
        <v>104.55732012769268</v>
      </c>
      <c r="J209">
        <v>109.33641733617715</v>
      </c>
      <c r="K209">
        <v>105.386701162557</v>
      </c>
      <c r="L209">
        <v>106.57795509566917</v>
      </c>
      <c r="M209">
        <v>103.98937412362834</v>
      </c>
      <c r="N209">
        <v>111.35084872821562</v>
      </c>
      <c r="O209">
        <v>117.97680270426083</v>
      </c>
      <c r="P209">
        <v>121.91023596645437</v>
      </c>
      <c r="Q209">
        <v>125.77601675856393</v>
      </c>
      <c r="R209">
        <v>141.99044390999688</v>
      </c>
      <c r="S209">
        <v>164.53134274200613</v>
      </c>
      <c r="T209">
        <v>187.66324945406924</v>
      </c>
      <c r="U209">
        <v>181.74083444455312</v>
      </c>
      <c r="V209">
        <v>184.702314588174</v>
      </c>
      <c r="W209">
        <v>203.53255179986755</v>
      </c>
      <c r="X209">
        <v>222.24356218233163</v>
      </c>
      <c r="Y209">
        <v>267.03706350390576</v>
      </c>
      <c r="Z209">
        <v>293.21057494280922</v>
      </c>
      <c r="AA209">
        <v>287.26890767034592</v>
      </c>
      <c r="AB209">
        <v>281.22711449243616</v>
      </c>
      <c r="AC209">
        <v>279.33284313994136</v>
      </c>
      <c r="AD209">
        <v>288.94520835768969</v>
      </c>
      <c r="AE209">
        <v>308.49527642540352</v>
      </c>
      <c r="AF209">
        <v>343.54789113372226</v>
      </c>
      <c r="AG209">
        <v>381.49056573271054</v>
      </c>
      <c r="AH209">
        <v>378.89946336998202</v>
      </c>
      <c r="AI209">
        <v>375.43322161718095</v>
      </c>
      <c r="AJ209">
        <v>347.96956999958837</v>
      </c>
      <c r="AK209">
        <v>349.69929774894155</v>
      </c>
      <c r="AL209">
        <v>335.4132921070813</v>
      </c>
      <c r="AM209">
        <v>349.28709768636168</v>
      </c>
      <c r="AN209">
        <v>374.67990043958878</v>
      </c>
      <c r="AO209">
        <v>406.1564980055918</v>
      </c>
      <c r="AP209">
        <v>414.14414770611603</v>
      </c>
      <c r="AQ209">
        <v>415.4534236668315</v>
      </c>
      <c r="AR209">
        <v>435.83023258708931</v>
      </c>
      <c r="AS209">
        <v>445.11813330849878</v>
      </c>
      <c r="AT209">
        <v>454.66417875293956</v>
      </c>
      <c r="AU209">
        <v>461.42361188504708</v>
      </c>
      <c r="AV209">
        <v>513.93464024006209</v>
      </c>
      <c r="AW209">
        <v>599.66352017333929</v>
      </c>
      <c r="AX209">
        <v>688.32379577915776</v>
      </c>
      <c r="AY209">
        <v>762.13526386566218</v>
      </c>
      <c r="AZ209">
        <v>871.01192941264594</v>
      </c>
      <c r="BA209">
        <v>949.19161808427623</v>
      </c>
      <c r="BB209">
        <v>1053.0155009218968</v>
      </c>
      <c r="BC209">
        <v>1147.1261430674022</v>
      </c>
      <c r="BD209">
        <v>1277.1295372609559</v>
      </c>
      <c r="BE209">
        <v>1390.2097494663278</v>
      </c>
      <c r="BF209">
        <v>1437.0894296352301</v>
      </c>
      <c r="BG209">
        <v>1480.6725852128716</v>
      </c>
      <c r="BH209">
        <v>1525.6178110427807</v>
      </c>
      <c r="BI209">
        <v>1603.348426951532</v>
      </c>
      <c r="BJ209">
        <v>1733.6859257734525</v>
      </c>
      <c r="BK209">
        <v>1904.4494825211686</v>
      </c>
      <c r="BL209">
        <v>1996.1603672351289</v>
      </c>
      <c r="BM209">
        <v>1834.9134625163647</v>
      </c>
    </row>
    <row r="210" spans="1:65">
      <c r="A210" t="s">
        <v>245</v>
      </c>
      <c r="B210" t="s">
        <v>582</v>
      </c>
      <c r="C210" t="s">
        <v>2244</v>
      </c>
      <c r="D210" t="s">
        <v>2245</v>
      </c>
      <c r="O210">
        <v>930</v>
      </c>
      <c r="P210">
        <v>1000</v>
      </c>
      <c r="Q210">
        <v>1150</v>
      </c>
      <c r="R210">
        <v>1600</v>
      </c>
      <c r="S210">
        <v>3160</v>
      </c>
      <c r="T210">
        <v>4500</v>
      </c>
      <c r="U210">
        <v>8020</v>
      </c>
      <c r="V210">
        <v>8770</v>
      </c>
      <c r="W210">
        <v>8890</v>
      </c>
      <c r="X210">
        <v>11170</v>
      </c>
      <c r="Y210">
        <v>14270</v>
      </c>
      <c r="Z210">
        <v>16530</v>
      </c>
      <c r="AA210">
        <v>13970</v>
      </c>
      <c r="AB210">
        <v>11320</v>
      </c>
      <c r="AC210">
        <v>10130</v>
      </c>
      <c r="AD210">
        <v>9010</v>
      </c>
      <c r="AE210">
        <v>9140</v>
      </c>
      <c r="AF210">
        <v>7700</v>
      </c>
      <c r="AG210">
        <v>7630</v>
      </c>
      <c r="AH210">
        <v>7080</v>
      </c>
      <c r="AI210">
        <v>7390</v>
      </c>
      <c r="AJ210">
        <v>8310</v>
      </c>
      <c r="AK210">
        <v>8500</v>
      </c>
      <c r="AL210">
        <v>8050</v>
      </c>
      <c r="AM210">
        <v>7720</v>
      </c>
      <c r="AN210">
        <v>7810</v>
      </c>
      <c r="AO210">
        <v>8030</v>
      </c>
      <c r="AP210">
        <v>8230</v>
      </c>
      <c r="AQ210">
        <v>8010</v>
      </c>
      <c r="AR210">
        <v>7650</v>
      </c>
      <c r="AS210">
        <v>8150</v>
      </c>
      <c r="AT210">
        <v>8520</v>
      </c>
      <c r="AU210">
        <v>8370</v>
      </c>
      <c r="AV210">
        <v>9480</v>
      </c>
      <c r="AW210">
        <v>11040</v>
      </c>
      <c r="AX210">
        <v>12650</v>
      </c>
      <c r="AY210">
        <v>14160</v>
      </c>
      <c r="AZ210">
        <v>15800</v>
      </c>
      <c r="BA210">
        <v>18460</v>
      </c>
      <c r="BB210">
        <v>17900</v>
      </c>
      <c r="BC210">
        <v>18750</v>
      </c>
      <c r="BD210">
        <v>20880</v>
      </c>
      <c r="BE210">
        <v>24040</v>
      </c>
      <c r="BF210">
        <v>25440</v>
      </c>
      <c r="BG210">
        <v>25550</v>
      </c>
      <c r="BH210">
        <v>23710</v>
      </c>
      <c r="BI210">
        <v>21610</v>
      </c>
      <c r="BJ210">
        <v>19990</v>
      </c>
      <c r="BK210">
        <v>21610</v>
      </c>
      <c r="BL210">
        <v>22840</v>
      </c>
      <c r="BM210">
        <v>21930</v>
      </c>
    </row>
    <row r="211" spans="1:65">
      <c r="A211" t="s">
        <v>106</v>
      </c>
      <c r="B211" t="s">
        <v>319</v>
      </c>
      <c r="C211" t="s">
        <v>2244</v>
      </c>
      <c r="D211" t="s">
        <v>2245</v>
      </c>
      <c r="G211">
        <v>140</v>
      </c>
      <c r="H211">
        <v>140</v>
      </c>
      <c r="I211">
        <v>140</v>
      </c>
      <c r="J211">
        <v>140</v>
      </c>
      <c r="K211">
        <v>140</v>
      </c>
      <c r="L211">
        <v>140</v>
      </c>
      <c r="M211">
        <v>150</v>
      </c>
      <c r="N211">
        <v>160</v>
      </c>
      <c r="O211">
        <v>170</v>
      </c>
      <c r="P211">
        <v>180</v>
      </c>
      <c r="Q211">
        <v>190</v>
      </c>
      <c r="R211">
        <v>220</v>
      </c>
      <c r="S211">
        <v>290</v>
      </c>
      <c r="T211">
        <v>380</v>
      </c>
      <c r="U211">
        <v>440</v>
      </c>
      <c r="V211">
        <v>480</v>
      </c>
      <c r="W211">
        <v>460</v>
      </c>
      <c r="X211">
        <v>490</v>
      </c>
      <c r="Y211">
        <v>480</v>
      </c>
      <c r="Z211">
        <v>500</v>
      </c>
      <c r="AA211">
        <v>470</v>
      </c>
      <c r="AB211">
        <v>430</v>
      </c>
      <c r="AC211">
        <v>380</v>
      </c>
      <c r="AD211">
        <v>390</v>
      </c>
      <c r="AE211">
        <v>540</v>
      </c>
      <c r="AF211">
        <v>790</v>
      </c>
      <c r="AG211">
        <v>780</v>
      </c>
      <c r="AH211">
        <v>720</v>
      </c>
      <c r="AI211">
        <v>530</v>
      </c>
      <c r="AJ211">
        <v>450</v>
      </c>
      <c r="AK211">
        <v>340</v>
      </c>
      <c r="AL211">
        <v>310</v>
      </c>
      <c r="AM211">
        <v>320</v>
      </c>
      <c r="AN211">
        <v>400</v>
      </c>
      <c r="AO211">
        <v>400</v>
      </c>
      <c r="AP211">
        <v>380</v>
      </c>
      <c r="AQ211">
        <v>340</v>
      </c>
      <c r="AR211">
        <v>330</v>
      </c>
      <c r="AS211">
        <v>340</v>
      </c>
      <c r="AT211">
        <v>370</v>
      </c>
      <c r="AU211">
        <v>430</v>
      </c>
      <c r="AV211">
        <v>520</v>
      </c>
      <c r="AW211">
        <v>620</v>
      </c>
      <c r="AX211">
        <v>760</v>
      </c>
      <c r="AY211">
        <v>930</v>
      </c>
      <c r="AZ211">
        <v>1170</v>
      </c>
      <c r="BA211">
        <v>1370</v>
      </c>
      <c r="BB211">
        <v>1340</v>
      </c>
      <c r="BC211">
        <v>1260</v>
      </c>
      <c r="BD211">
        <v>1280</v>
      </c>
      <c r="BE211">
        <v>1140</v>
      </c>
      <c r="BF211">
        <v>1080</v>
      </c>
      <c r="BG211">
        <v>1150</v>
      </c>
      <c r="BH211">
        <v>1220</v>
      </c>
      <c r="BI211">
        <v>1180</v>
      </c>
      <c r="BJ211">
        <v>1050</v>
      </c>
      <c r="BK211">
        <v>840</v>
      </c>
      <c r="BL211">
        <v>690</v>
      </c>
      <c r="BM211">
        <v>530</v>
      </c>
    </row>
    <row r="212" spans="1:65">
      <c r="A212" t="s">
        <v>131</v>
      </c>
      <c r="B212" t="s">
        <v>345</v>
      </c>
      <c r="C212" t="s">
        <v>2244</v>
      </c>
      <c r="D212" t="s">
        <v>2245</v>
      </c>
      <c r="M212">
        <v>340</v>
      </c>
      <c r="N212">
        <v>310</v>
      </c>
      <c r="O212">
        <v>320</v>
      </c>
      <c r="P212">
        <v>320</v>
      </c>
      <c r="Q212">
        <v>350</v>
      </c>
      <c r="R212">
        <v>370</v>
      </c>
      <c r="S212">
        <v>450</v>
      </c>
      <c r="T212">
        <v>560</v>
      </c>
      <c r="U212">
        <v>600</v>
      </c>
      <c r="V212">
        <v>590</v>
      </c>
      <c r="W212">
        <v>580</v>
      </c>
      <c r="X212">
        <v>720</v>
      </c>
      <c r="Y212">
        <v>840</v>
      </c>
      <c r="Z212">
        <v>840</v>
      </c>
      <c r="AA212">
        <v>770</v>
      </c>
      <c r="AB212">
        <v>600</v>
      </c>
      <c r="AC212">
        <v>560</v>
      </c>
      <c r="AD212">
        <v>560</v>
      </c>
      <c r="AE212">
        <v>640</v>
      </c>
      <c r="AF212">
        <v>830</v>
      </c>
      <c r="AG212">
        <v>950</v>
      </c>
      <c r="AH212">
        <v>940</v>
      </c>
      <c r="AI212">
        <v>920</v>
      </c>
      <c r="AJ212">
        <v>930</v>
      </c>
      <c r="AK212">
        <v>980</v>
      </c>
      <c r="AL212">
        <v>930</v>
      </c>
      <c r="AM212">
        <v>770</v>
      </c>
      <c r="AN212">
        <v>740</v>
      </c>
      <c r="AO212">
        <v>700</v>
      </c>
      <c r="AP212">
        <v>710</v>
      </c>
      <c r="AQ212">
        <v>690</v>
      </c>
      <c r="AR212">
        <v>690</v>
      </c>
      <c r="AS212">
        <v>670</v>
      </c>
      <c r="AT212">
        <v>650</v>
      </c>
      <c r="AU212">
        <v>620</v>
      </c>
      <c r="AV212">
        <v>730</v>
      </c>
      <c r="AW212">
        <v>870</v>
      </c>
      <c r="AX212">
        <v>990</v>
      </c>
      <c r="AY212">
        <v>1030</v>
      </c>
      <c r="AZ212">
        <v>1100</v>
      </c>
      <c r="BA212">
        <v>1240</v>
      </c>
      <c r="BB212">
        <v>1330</v>
      </c>
      <c r="BC212">
        <v>1330</v>
      </c>
      <c r="BD212">
        <v>1300</v>
      </c>
      <c r="BE212">
        <v>1320</v>
      </c>
      <c r="BF212">
        <v>1340</v>
      </c>
      <c r="BG212">
        <v>1370</v>
      </c>
      <c r="BH212">
        <v>1320</v>
      </c>
      <c r="BI212">
        <v>1270</v>
      </c>
      <c r="BJ212">
        <v>1280</v>
      </c>
      <c r="BK212">
        <v>1390</v>
      </c>
      <c r="BL212">
        <v>1430</v>
      </c>
      <c r="BM212">
        <v>1430</v>
      </c>
    </row>
    <row r="213" spans="1:65">
      <c r="A213" t="s">
        <v>262</v>
      </c>
      <c r="B213" t="s">
        <v>554</v>
      </c>
      <c r="C213" t="s">
        <v>2244</v>
      </c>
      <c r="D213" t="s">
        <v>2245</v>
      </c>
      <c r="G213">
        <v>490</v>
      </c>
      <c r="H213">
        <v>530</v>
      </c>
      <c r="I213">
        <v>510</v>
      </c>
      <c r="J213">
        <v>540</v>
      </c>
      <c r="K213">
        <v>590</v>
      </c>
      <c r="L213">
        <v>660</v>
      </c>
      <c r="M213">
        <v>750</v>
      </c>
      <c r="N213">
        <v>850</v>
      </c>
      <c r="O213">
        <v>970</v>
      </c>
      <c r="P213">
        <v>1090</v>
      </c>
      <c r="Q213">
        <v>1280</v>
      </c>
      <c r="R213">
        <v>1600</v>
      </c>
      <c r="S213">
        <v>2090</v>
      </c>
      <c r="T213">
        <v>2660</v>
      </c>
      <c r="U213">
        <v>2930</v>
      </c>
      <c r="V213">
        <v>3020</v>
      </c>
      <c r="W213">
        <v>3370</v>
      </c>
      <c r="X213">
        <v>3990</v>
      </c>
      <c r="Y213">
        <v>4730</v>
      </c>
      <c r="Z213">
        <v>5380</v>
      </c>
      <c r="AA213">
        <v>5680</v>
      </c>
      <c r="AB213">
        <v>6170</v>
      </c>
      <c r="AC213">
        <v>6930</v>
      </c>
      <c r="AD213">
        <v>7100</v>
      </c>
      <c r="AE213">
        <v>7330</v>
      </c>
      <c r="AF213">
        <v>8080</v>
      </c>
      <c r="AG213">
        <v>9320</v>
      </c>
      <c r="AH213">
        <v>10320</v>
      </c>
      <c r="AI213">
        <v>11450</v>
      </c>
      <c r="AJ213">
        <v>12970</v>
      </c>
      <c r="AK213">
        <v>15270</v>
      </c>
      <c r="AL213">
        <v>17710</v>
      </c>
      <c r="AM213">
        <v>20780</v>
      </c>
      <c r="AN213">
        <v>23630</v>
      </c>
      <c r="AO213">
        <v>25620</v>
      </c>
      <c r="AP213">
        <v>27730</v>
      </c>
      <c r="AQ213">
        <v>24010</v>
      </c>
      <c r="AR213">
        <v>23360</v>
      </c>
      <c r="AS213">
        <v>23680</v>
      </c>
      <c r="AT213">
        <v>22130</v>
      </c>
      <c r="AU213">
        <v>22000</v>
      </c>
      <c r="AV213">
        <v>23440</v>
      </c>
      <c r="AW213">
        <v>26150</v>
      </c>
      <c r="AX213">
        <v>28820</v>
      </c>
      <c r="AY213">
        <v>32550</v>
      </c>
      <c r="AZ213">
        <v>36010</v>
      </c>
      <c r="BA213">
        <v>37230</v>
      </c>
      <c r="BB213">
        <v>37320</v>
      </c>
      <c r="BC213">
        <v>44930</v>
      </c>
      <c r="BD213">
        <v>48290</v>
      </c>
      <c r="BE213">
        <v>51740</v>
      </c>
      <c r="BF213">
        <v>54480</v>
      </c>
      <c r="BG213">
        <v>56380</v>
      </c>
      <c r="BH213">
        <v>53160</v>
      </c>
      <c r="BI213">
        <v>53060</v>
      </c>
      <c r="BJ213">
        <v>54460</v>
      </c>
      <c r="BK213">
        <v>56900</v>
      </c>
      <c r="BL213">
        <v>58390</v>
      </c>
      <c r="BM213">
        <v>54920</v>
      </c>
    </row>
    <row r="214" spans="1:65">
      <c r="A214" t="s">
        <v>144</v>
      </c>
      <c r="B214" t="s">
        <v>358</v>
      </c>
      <c r="C214" t="s">
        <v>2244</v>
      </c>
      <c r="D214" t="s">
        <v>2245</v>
      </c>
      <c r="AA214">
        <v>760</v>
      </c>
      <c r="AB214">
        <v>710</v>
      </c>
      <c r="AC214">
        <v>670</v>
      </c>
      <c r="AD214">
        <v>610</v>
      </c>
      <c r="AE214">
        <v>580</v>
      </c>
      <c r="AF214">
        <v>590</v>
      </c>
      <c r="AG214">
        <v>600</v>
      </c>
      <c r="AH214">
        <v>590</v>
      </c>
      <c r="AI214">
        <v>630</v>
      </c>
      <c r="AJ214">
        <v>660</v>
      </c>
      <c r="AK214">
        <v>800</v>
      </c>
      <c r="AL214">
        <v>860</v>
      </c>
      <c r="AM214">
        <v>1000</v>
      </c>
      <c r="AN214">
        <v>1200</v>
      </c>
      <c r="AO214">
        <v>1320</v>
      </c>
      <c r="AP214">
        <v>1310</v>
      </c>
      <c r="AQ214">
        <v>1230</v>
      </c>
      <c r="AR214">
        <v>1160</v>
      </c>
      <c r="AS214">
        <v>980</v>
      </c>
      <c r="AT214">
        <v>920</v>
      </c>
      <c r="AU214">
        <v>830</v>
      </c>
      <c r="AV214">
        <v>860</v>
      </c>
      <c r="AW214">
        <v>900</v>
      </c>
      <c r="AX214">
        <v>980</v>
      </c>
      <c r="AY214">
        <v>1040</v>
      </c>
      <c r="AZ214">
        <v>1120</v>
      </c>
      <c r="BA214">
        <v>1230</v>
      </c>
      <c r="BB214">
        <v>1310</v>
      </c>
      <c r="BC214">
        <v>1470</v>
      </c>
      <c r="BD214">
        <v>1620</v>
      </c>
      <c r="BE214">
        <v>1820</v>
      </c>
      <c r="BF214">
        <v>2160</v>
      </c>
      <c r="BG214">
        <v>2190</v>
      </c>
      <c r="BH214">
        <v>2130</v>
      </c>
      <c r="BI214">
        <v>2140</v>
      </c>
      <c r="BJ214">
        <v>2220</v>
      </c>
      <c r="BK214">
        <v>2360</v>
      </c>
      <c r="BL214">
        <v>2370</v>
      </c>
      <c r="BM214">
        <v>2300</v>
      </c>
    </row>
    <row r="215" spans="1:65">
      <c r="A215" t="s">
        <v>98</v>
      </c>
      <c r="B215" t="s">
        <v>311</v>
      </c>
      <c r="C215" t="s">
        <v>2244</v>
      </c>
      <c r="D215" t="s">
        <v>2245</v>
      </c>
      <c r="I215">
        <v>150</v>
      </c>
      <c r="J215">
        <v>160</v>
      </c>
      <c r="K215">
        <v>150</v>
      </c>
      <c r="L215">
        <v>140</v>
      </c>
      <c r="M215">
        <v>140</v>
      </c>
      <c r="N215">
        <v>150</v>
      </c>
      <c r="O215">
        <v>160</v>
      </c>
      <c r="P215">
        <v>160</v>
      </c>
      <c r="Q215">
        <v>170</v>
      </c>
      <c r="R215">
        <v>190</v>
      </c>
      <c r="S215">
        <v>220</v>
      </c>
      <c r="T215">
        <v>250</v>
      </c>
      <c r="U215">
        <v>220</v>
      </c>
      <c r="V215">
        <v>210</v>
      </c>
      <c r="W215">
        <v>240</v>
      </c>
      <c r="X215">
        <v>310</v>
      </c>
      <c r="Y215">
        <v>370</v>
      </c>
      <c r="Z215">
        <v>360</v>
      </c>
      <c r="AA215">
        <v>350</v>
      </c>
      <c r="AB215">
        <v>300</v>
      </c>
      <c r="AC215">
        <v>290</v>
      </c>
      <c r="AD215">
        <v>240</v>
      </c>
      <c r="AE215">
        <v>170</v>
      </c>
      <c r="AF215">
        <v>180</v>
      </c>
      <c r="AG215">
        <v>170</v>
      </c>
      <c r="AH215">
        <v>210</v>
      </c>
      <c r="AI215">
        <v>190</v>
      </c>
      <c r="AJ215">
        <v>170</v>
      </c>
      <c r="AK215">
        <v>130</v>
      </c>
      <c r="AL215">
        <v>160</v>
      </c>
      <c r="AM215">
        <v>160</v>
      </c>
      <c r="AN215">
        <v>180</v>
      </c>
      <c r="AO215">
        <v>210</v>
      </c>
      <c r="AP215">
        <v>200</v>
      </c>
      <c r="AQ215">
        <v>170</v>
      </c>
      <c r="AR215">
        <v>150</v>
      </c>
      <c r="AS215">
        <v>140</v>
      </c>
      <c r="AT215">
        <v>150</v>
      </c>
      <c r="AU215">
        <v>200</v>
      </c>
      <c r="AV215">
        <v>270</v>
      </c>
      <c r="AW215">
        <v>280</v>
      </c>
      <c r="AX215">
        <v>290</v>
      </c>
      <c r="AY215">
        <v>300</v>
      </c>
      <c r="AZ215">
        <v>360</v>
      </c>
      <c r="BA215">
        <v>420</v>
      </c>
      <c r="BB215">
        <v>440</v>
      </c>
      <c r="BC215">
        <v>420</v>
      </c>
      <c r="BD215">
        <v>430</v>
      </c>
      <c r="BE215">
        <v>530</v>
      </c>
      <c r="BF215">
        <v>660</v>
      </c>
      <c r="BG215">
        <v>700</v>
      </c>
      <c r="BH215">
        <v>550</v>
      </c>
      <c r="BI215">
        <v>490</v>
      </c>
      <c r="BJ215">
        <v>520</v>
      </c>
      <c r="BK215">
        <v>490</v>
      </c>
      <c r="BL215">
        <v>530</v>
      </c>
      <c r="BM215">
        <v>510</v>
      </c>
    </row>
    <row r="216" spans="1:65">
      <c r="A216" t="s">
        <v>172</v>
      </c>
      <c r="B216" t="s">
        <v>386</v>
      </c>
      <c r="C216" t="s">
        <v>2244</v>
      </c>
      <c r="D216" t="s">
        <v>2245</v>
      </c>
      <c r="L216">
        <v>300</v>
      </c>
      <c r="M216">
        <v>300</v>
      </c>
      <c r="N216">
        <v>300</v>
      </c>
      <c r="O216">
        <v>310</v>
      </c>
      <c r="P216">
        <v>320</v>
      </c>
      <c r="Q216">
        <v>350</v>
      </c>
      <c r="R216">
        <v>380</v>
      </c>
      <c r="S216">
        <v>440</v>
      </c>
      <c r="T216">
        <v>480</v>
      </c>
      <c r="U216">
        <v>530</v>
      </c>
      <c r="V216">
        <v>610</v>
      </c>
      <c r="W216">
        <v>710</v>
      </c>
      <c r="X216">
        <v>780</v>
      </c>
      <c r="Y216">
        <v>740</v>
      </c>
      <c r="Z216">
        <v>740</v>
      </c>
      <c r="AA216">
        <v>690</v>
      </c>
      <c r="AB216">
        <v>670</v>
      </c>
      <c r="AC216">
        <v>690</v>
      </c>
      <c r="AD216">
        <v>720</v>
      </c>
      <c r="AE216">
        <v>760</v>
      </c>
      <c r="AF216">
        <v>820</v>
      </c>
      <c r="AG216">
        <v>860</v>
      </c>
      <c r="AH216">
        <v>860</v>
      </c>
      <c r="AI216">
        <v>900</v>
      </c>
      <c r="AJ216">
        <v>930</v>
      </c>
      <c r="AK216">
        <v>1060</v>
      </c>
      <c r="AL216">
        <v>1170</v>
      </c>
      <c r="AM216">
        <v>1290</v>
      </c>
      <c r="AN216">
        <v>1480</v>
      </c>
      <c r="AO216">
        <v>1590</v>
      </c>
      <c r="AP216">
        <v>1690</v>
      </c>
      <c r="AQ216">
        <v>1750</v>
      </c>
      <c r="AR216">
        <v>1810</v>
      </c>
      <c r="AS216">
        <v>1900</v>
      </c>
      <c r="AT216">
        <v>1950</v>
      </c>
      <c r="AU216">
        <v>2000</v>
      </c>
      <c r="AV216">
        <v>2130</v>
      </c>
      <c r="AW216">
        <v>2270</v>
      </c>
      <c r="AX216">
        <v>2420</v>
      </c>
      <c r="AY216">
        <v>2570</v>
      </c>
      <c r="AZ216">
        <v>2680</v>
      </c>
      <c r="BA216">
        <v>2870</v>
      </c>
      <c r="BB216">
        <v>2820</v>
      </c>
      <c r="BC216">
        <v>2880</v>
      </c>
      <c r="BD216">
        <v>3060</v>
      </c>
      <c r="BE216">
        <v>3210</v>
      </c>
      <c r="BF216">
        <v>3350</v>
      </c>
      <c r="BG216">
        <v>3400</v>
      </c>
      <c r="BH216">
        <v>3440</v>
      </c>
      <c r="BI216">
        <v>3510</v>
      </c>
      <c r="BJ216">
        <v>3600</v>
      </c>
      <c r="BK216">
        <v>3820</v>
      </c>
      <c r="BL216">
        <v>3980</v>
      </c>
      <c r="BM216">
        <v>3630</v>
      </c>
    </row>
    <row r="217" spans="1:65">
      <c r="A217" t="s">
        <v>265</v>
      </c>
      <c r="B217" t="s">
        <v>551</v>
      </c>
      <c r="C217" t="s">
        <v>2244</v>
      </c>
      <c r="D217" t="s">
        <v>2245</v>
      </c>
    </row>
    <row r="218" spans="1:65">
      <c r="A218" t="s">
        <v>94</v>
      </c>
      <c r="B218" t="s">
        <v>307</v>
      </c>
      <c r="C218" t="s">
        <v>2244</v>
      </c>
      <c r="D218" t="s">
        <v>2245</v>
      </c>
      <c r="G218">
        <v>70</v>
      </c>
      <c r="H218">
        <v>70</v>
      </c>
      <c r="I218">
        <v>70</v>
      </c>
      <c r="J218">
        <v>70</v>
      </c>
      <c r="K218">
        <v>80</v>
      </c>
      <c r="L218">
        <v>90</v>
      </c>
      <c r="M218">
        <v>90</v>
      </c>
      <c r="N218">
        <v>90</v>
      </c>
      <c r="O218">
        <v>100</v>
      </c>
      <c r="P218">
        <v>100</v>
      </c>
      <c r="Q218">
        <v>120</v>
      </c>
      <c r="R218">
        <v>140</v>
      </c>
      <c r="S218">
        <v>130</v>
      </c>
      <c r="T218">
        <v>190</v>
      </c>
      <c r="U218">
        <v>180</v>
      </c>
      <c r="V218">
        <v>160</v>
      </c>
      <c r="W218">
        <v>130</v>
      </c>
      <c r="X218">
        <v>110</v>
      </c>
      <c r="Y218">
        <v>100</v>
      </c>
      <c r="Z218">
        <v>110</v>
      </c>
      <c r="AA218">
        <v>110</v>
      </c>
      <c r="AB218">
        <v>100</v>
      </c>
      <c r="AC218">
        <v>110</v>
      </c>
      <c r="AD218">
        <v>120</v>
      </c>
      <c r="AE218">
        <v>130</v>
      </c>
      <c r="AF218">
        <v>150</v>
      </c>
      <c r="AG218">
        <v>150</v>
      </c>
      <c r="AH218">
        <v>150</v>
      </c>
      <c r="AI218">
        <v>130</v>
      </c>
      <c r="BH218">
        <v>400</v>
      </c>
      <c r="BI218">
        <v>400</v>
      </c>
      <c r="BJ218">
        <v>380</v>
      </c>
      <c r="BK218">
        <v>400</v>
      </c>
      <c r="BL218">
        <v>420</v>
      </c>
      <c r="BM218">
        <v>420</v>
      </c>
    </row>
    <row r="219" spans="1:65">
      <c r="A219" t="s">
        <v>210</v>
      </c>
      <c r="B219" t="s">
        <v>425</v>
      </c>
      <c r="C219" t="s">
        <v>2244</v>
      </c>
      <c r="D219" t="s">
        <v>2245</v>
      </c>
      <c r="AP219">
        <v>2990</v>
      </c>
      <c r="AQ219">
        <v>2990</v>
      </c>
      <c r="AR219">
        <v>2610</v>
      </c>
      <c r="AS219">
        <v>1610</v>
      </c>
      <c r="AT219">
        <v>1540</v>
      </c>
      <c r="AU219">
        <v>1520</v>
      </c>
      <c r="AV219">
        <v>2390</v>
      </c>
      <c r="AW219">
        <v>3250</v>
      </c>
      <c r="AX219">
        <v>3830</v>
      </c>
      <c r="AY219">
        <v>4200</v>
      </c>
      <c r="AZ219">
        <v>4830</v>
      </c>
      <c r="BA219">
        <v>6030</v>
      </c>
      <c r="BB219">
        <v>6450</v>
      </c>
      <c r="BC219">
        <v>6220</v>
      </c>
      <c r="BD219">
        <v>6190</v>
      </c>
      <c r="BE219">
        <v>6080</v>
      </c>
      <c r="BF219">
        <v>6460</v>
      </c>
      <c r="BG219">
        <v>6240</v>
      </c>
      <c r="BH219">
        <v>5960</v>
      </c>
      <c r="BI219">
        <v>5700</v>
      </c>
      <c r="BJ219">
        <v>5570</v>
      </c>
      <c r="BK219">
        <v>6410</v>
      </c>
      <c r="BL219">
        <v>7040</v>
      </c>
      <c r="BM219">
        <v>7430</v>
      </c>
    </row>
    <row r="220" spans="1:65">
      <c r="A220" t="s">
        <v>2309</v>
      </c>
      <c r="B220" t="s">
        <v>2310</v>
      </c>
      <c r="C220" t="s">
        <v>2244</v>
      </c>
      <c r="D220" t="s">
        <v>2245</v>
      </c>
      <c r="G220">
        <v>120.57086205126166</v>
      </c>
      <c r="H220">
        <v>127.4876114616807</v>
      </c>
      <c r="I220">
        <v>133.53175445492968</v>
      </c>
      <c r="J220">
        <v>141.23850337746413</v>
      </c>
      <c r="K220">
        <v>146.6296242910629</v>
      </c>
      <c r="L220">
        <v>150.41723829065532</v>
      </c>
      <c r="M220">
        <v>156.99594377121352</v>
      </c>
      <c r="N220">
        <v>170.1480389939932</v>
      </c>
      <c r="O220">
        <v>191.46652093845518</v>
      </c>
      <c r="P220">
        <v>204.05831943550805</v>
      </c>
      <c r="Q220">
        <v>217.63763977419799</v>
      </c>
      <c r="R220">
        <v>251.97887539135209</v>
      </c>
      <c r="S220">
        <v>329.69180494789947</v>
      </c>
      <c r="T220">
        <v>385.03495029275098</v>
      </c>
      <c r="U220">
        <v>412.86742647417009</v>
      </c>
      <c r="V220">
        <v>424.68231429336021</v>
      </c>
      <c r="W220">
        <v>446.79137548926832</v>
      </c>
      <c r="X220">
        <v>522.85287254675814</v>
      </c>
      <c r="Y220">
        <v>623.95538632370915</v>
      </c>
      <c r="Z220">
        <v>718.00669112810601</v>
      </c>
      <c r="AA220">
        <v>753.99019120434696</v>
      </c>
      <c r="AB220">
        <v>742.19966733975571</v>
      </c>
      <c r="AC220">
        <v>652.09924511105771</v>
      </c>
      <c r="AD220">
        <v>588.36858983080685</v>
      </c>
      <c r="AE220">
        <v>565.38039864115251</v>
      </c>
      <c r="AF220">
        <v>604.16982620770261</v>
      </c>
      <c r="AG220">
        <v>655.48043304172813</v>
      </c>
      <c r="AH220">
        <v>641.21774062193901</v>
      </c>
      <c r="AI220">
        <v>626.62561665009321</v>
      </c>
      <c r="AJ220">
        <v>623.57496944456807</v>
      </c>
      <c r="AK220">
        <v>620.18220828904532</v>
      </c>
      <c r="AL220">
        <v>594.28079854035218</v>
      </c>
      <c r="AM220">
        <v>575.81121040514427</v>
      </c>
      <c r="AN220">
        <v>601.11980102345092</v>
      </c>
      <c r="AO220">
        <v>617.93826739035774</v>
      </c>
      <c r="AP220">
        <v>634.25771974973395</v>
      </c>
      <c r="AQ220">
        <v>599.30624925255438</v>
      </c>
      <c r="AR220">
        <v>587.60018107595533</v>
      </c>
      <c r="AS220">
        <v>580.4803408658945</v>
      </c>
      <c r="AT220">
        <v>574.10994064468923</v>
      </c>
      <c r="AU220">
        <v>583.13065363833448</v>
      </c>
      <c r="AV220">
        <v>638.26977098982445</v>
      </c>
      <c r="AW220">
        <v>776.55344276346602</v>
      </c>
      <c r="AX220">
        <v>951.87863885957631</v>
      </c>
      <c r="AY220">
        <v>1104.3104932902979</v>
      </c>
      <c r="AZ220">
        <v>1238.2531926970469</v>
      </c>
      <c r="BA220">
        <v>1389.8064363283613</v>
      </c>
      <c r="BB220">
        <v>1428.1356643955123</v>
      </c>
      <c r="BC220">
        <v>1491.9467734263899</v>
      </c>
      <c r="BD220">
        <v>1579.2577173970299</v>
      </c>
      <c r="BE220">
        <v>1710.07119008982</v>
      </c>
      <c r="BF220">
        <v>1790.9043052030959</v>
      </c>
      <c r="BG220">
        <v>1831.0032664903954</v>
      </c>
      <c r="BH220">
        <v>1750.1566808857656</v>
      </c>
      <c r="BI220">
        <v>1598.0334962773404</v>
      </c>
      <c r="BJ220">
        <v>1508.945221169839</v>
      </c>
      <c r="BK220">
        <v>1540.7211845181698</v>
      </c>
      <c r="BL220">
        <v>1588.3722510099644</v>
      </c>
      <c r="BM220">
        <v>1505.5744931382471</v>
      </c>
    </row>
    <row r="221" spans="1:65">
      <c r="A221" t="s">
        <v>119</v>
      </c>
      <c r="B221" t="s">
        <v>332</v>
      </c>
      <c r="C221" t="s">
        <v>2244</v>
      </c>
      <c r="D221" t="s">
        <v>2245</v>
      </c>
      <c r="BD221">
        <v>810</v>
      </c>
      <c r="BE221">
        <v>850</v>
      </c>
      <c r="BF221">
        <v>1160</v>
      </c>
      <c r="BG221">
        <v>1250</v>
      </c>
      <c r="BH221">
        <v>1090</v>
      </c>
    </row>
    <row r="222" spans="1:65">
      <c r="A222" t="s">
        <v>496</v>
      </c>
      <c r="B222" t="s">
        <v>2311</v>
      </c>
      <c r="C222" t="s">
        <v>2244</v>
      </c>
      <c r="D222" t="s">
        <v>2245</v>
      </c>
      <c r="G222">
        <v>120.59510525166073</v>
      </c>
      <c r="H222">
        <v>127.5147321687575</v>
      </c>
      <c r="I222">
        <v>133.56039907026661</v>
      </c>
      <c r="J222">
        <v>141.26403336178939</v>
      </c>
      <c r="K222">
        <v>146.66179927202421</v>
      </c>
      <c r="L222">
        <v>150.445266576146</v>
      </c>
      <c r="M222">
        <v>157.02161335567411</v>
      </c>
      <c r="N222">
        <v>170.16614688081904</v>
      </c>
      <c r="O222">
        <v>191.48140504625798</v>
      </c>
      <c r="P222">
        <v>204.08176894173587</v>
      </c>
      <c r="Q222">
        <v>217.67207233461707</v>
      </c>
      <c r="R222">
        <v>252.03168129787315</v>
      </c>
      <c r="S222">
        <v>329.75091327353914</v>
      </c>
      <c r="T222">
        <v>385.09631995900628</v>
      </c>
      <c r="U222">
        <v>412.92828467067244</v>
      </c>
      <c r="V222">
        <v>424.73070084574096</v>
      </c>
      <c r="W222">
        <v>446.89008971861506</v>
      </c>
      <c r="X222">
        <v>523.03931309918232</v>
      </c>
      <c r="Y222">
        <v>624.17557324289862</v>
      </c>
      <c r="Z222">
        <v>718.22969923552205</v>
      </c>
      <c r="AA222">
        <v>754.19410646315589</v>
      </c>
      <c r="AB222">
        <v>742.38049660156003</v>
      </c>
      <c r="AC222">
        <v>652.30325594546832</v>
      </c>
      <c r="AD222">
        <v>588.62629140221122</v>
      </c>
      <c r="AE222">
        <v>565.67423394215029</v>
      </c>
      <c r="AF222">
        <v>604.53246324020995</v>
      </c>
      <c r="AG222">
        <v>655.93892321887233</v>
      </c>
      <c r="AH222">
        <v>641.75269167622514</v>
      </c>
      <c r="AI222">
        <v>627.22115497737354</v>
      </c>
      <c r="AJ222">
        <v>624.18613234122631</v>
      </c>
      <c r="AK222">
        <v>620.88937688826559</v>
      </c>
      <c r="AL222">
        <v>595.04031786689677</v>
      </c>
      <c r="AM222">
        <v>576.59339937819425</v>
      </c>
      <c r="AN222">
        <v>601.87957119912062</v>
      </c>
      <c r="AO222">
        <v>618.72242234068767</v>
      </c>
      <c r="AP222">
        <v>635.10415419208334</v>
      </c>
      <c r="AQ222">
        <v>600.14996133698332</v>
      </c>
      <c r="AR222">
        <v>588.43659490987807</v>
      </c>
      <c r="AS222">
        <v>581.30269605879039</v>
      </c>
      <c r="AT222">
        <v>574.91532274311464</v>
      </c>
      <c r="AU222">
        <v>583.88250038084664</v>
      </c>
      <c r="AV222">
        <v>639.06177700456226</v>
      </c>
      <c r="AW222">
        <v>777.50691150963473</v>
      </c>
      <c r="AX222">
        <v>952.99603439498799</v>
      </c>
      <c r="AY222">
        <v>1105.5612777090266</v>
      </c>
      <c r="AZ222">
        <v>1239.4293950864412</v>
      </c>
      <c r="BA222">
        <v>1390.842916714995</v>
      </c>
      <c r="BB222">
        <v>1429.0444590901877</v>
      </c>
      <c r="BC222">
        <v>1492.8481850973899</v>
      </c>
      <c r="BD222">
        <v>1580.1371469109542</v>
      </c>
      <c r="BE222">
        <v>1711.0165477219427</v>
      </c>
      <c r="BF222">
        <v>1791.9445829909671</v>
      </c>
      <c r="BG222">
        <v>1832.0887340111203</v>
      </c>
      <c r="BH222">
        <v>1751.3080166701752</v>
      </c>
      <c r="BI222">
        <v>1599.1666358524817</v>
      </c>
      <c r="BJ222">
        <v>1510.1144247470963</v>
      </c>
      <c r="BK222">
        <v>1541.9962420597201</v>
      </c>
      <c r="BL222">
        <v>1589.6248763577557</v>
      </c>
      <c r="BM222">
        <v>1506.5013936964206</v>
      </c>
    </row>
    <row r="223" spans="1:65">
      <c r="A223" t="s">
        <v>2312</v>
      </c>
      <c r="B223" t="s">
        <v>2313</v>
      </c>
      <c r="C223" t="s">
        <v>2244</v>
      </c>
      <c r="D223" t="s">
        <v>2245</v>
      </c>
      <c r="AU223">
        <v>4271.2898062281229</v>
      </c>
      <c r="AV223">
        <v>4738.3136458426306</v>
      </c>
      <c r="AW223">
        <v>5615.2942664243938</v>
      </c>
      <c r="AX223">
        <v>6585.32706153032</v>
      </c>
      <c r="AY223">
        <v>7793.6916497325919</v>
      </c>
      <c r="AZ223">
        <v>9025.3522598540603</v>
      </c>
      <c r="BA223">
        <v>10263.028008758149</v>
      </c>
      <c r="BB223">
        <v>10083.921814184498</v>
      </c>
      <c r="BC223">
        <v>10478.770403925451</v>
      </c>
      <c r="BD223">
        <v>11173.620624293875</v>
      </c>
      <c r="BE223">
        <v>12316.274291768574</v>
      </c>
      <c r="BF223">
        <v>13233.53012681855</v>
      </c>
      <c r="BG223">
        <v>13430.280639021219</v>
      </c>
      <c r="BH223">
        <v>12680.169913993672</v>
      </c>
      <c r="BI223">
        <v>11768.480225090736</v>
      </c>
      <c r="BJ223">
        <v>11235.006063706625</v>
      </c>
      <c r="BK223">
        <v>11885.226270452982</v>
      </c>
      <c r="BL223">
        <v>12406.386335411293</v>
      </c>
      <c r="BM223">
        <v>11188.137586865667</v>
      </c>
    </row>
    <row r="224" spans="1:65">
      <c r="A224" t="s">
        <v>2314</v>
      </c>
      <c r="B224" t="s">
        <v>357</v>
      </c>
      <c r="C224" t="s">
        <v>2244</v>
      </c>
      <c r="D224" t="s">
        <v>2245</v>
      </c>
      <c r="AV224">
        <v>600</v>
      </c>
      <c r="AW224">
        <v>700</v>
      </c>
      <c r="AX224">
        <v>820</v>
      </c>
      <c r="AY224">
        <v>940</v>
      </c>
      <c r="AZ224">
        <v>960</v>
      </c>
      <c r="BA224">
        <v>1020</v>
      </c>
      <c r="BB224">
        <v>1060</v>
      </c>
      <c r="BC224">
        <v>1130</v>
      </c>
      <c r="BD224">
        <v>1180</v>
      </c>
      <c r="BE224">
        <v>1230</v>
      </c>
      <c r="BF224">
        <v>1430</v>
      </c>
      <c r="BG224">
        <v>1630</v>
      </c>
      <c r="BH224">
        <v>1650</v>
      </c>
      <c r="BI224">
        <v>1690</v>
      </c>
      <c r="BJ224">
        <v>1700</v>
      </c>
      <c r="BK224">
        <v>1870</v>
      </c>
      <c r="BL224">
        <v>1950</v>
      </c>
      <c r="BM224">
        <v>2060</v>
      </c>
    </row>
    <row r="225" spans="1:65">
      <c r="A225" t="s">
        <v>175</v>
      </c>
      <c r="B225" t="s">
        <v>390</v>
      </c>
      <c r="C225" t="s">
        <v>2244</v>
      </c>
      <c r="D225" t="s">
        <v>2245</v>
      </c>
      <c r="G225">
        <v>270</v>
      </c>
      <c r="H225">
        <v>230</v>
      </c>
      <c r="I225">
        <v>250</v>
      </c>
      <c r="J225">
        <v>370</v>
      </c>
      <c r="K225">
        <v>450</v>
      </c>
      <c r="L225">
        <v>510</v>
      </c>
      <c r="M225">
        <v>520</v>
      </c>
      <c r="N225">
        <v>530</v>
      </c>
      <c r="O225">
        <v>570</v>
      </c>
      <c r="P225">
        <v>610</v>
      </c>
      <c r="Q225">
        <v>690</v>
      </c>
      <c r="R225">
        <v>770</v>
      </c>
      <c r="S225">
        <v>980</v>
      </c>
      <c r="T225">
        <v>1320</v>
      </c>
      <c r="U225">
        <v>1420</v>
      </c>
      <c r="V225">
        <v>1640</v>
      </c>
      <c r="W225">
        <v>1930</v>
      </c>
      <c r="X225">
        <v>2170</v>
      </c>
      <c r="Y225">
        <v>2290</v>
      </c>
      <c r="Z225">
        <v>2640</v>
      </c>
      <c r="AA225">
        <v>2510</v>
      </c>
      <c r="AB225">
        <v>2320</v>
      </c>
      <c r="AC225">
        <v>2340</v>
      </c>
      <c r="AD225">
        <v>2380</v>
      </c>
      <c r="AE225">
        <v>2460</v>
      </c>
      <c r="AF225">
        <v>2520</v>
      </c>
      <c r="AG225">
        <v>2980</v>
      </c>
      <c r="AH225">
        <v>2230</v>
      </c>
      <c r="AI225">
        <v>1420</v>
      </c>
      <c r="AJ225">
        <v>1140</v>
      </c>
      <c r="AK225">
        <v>1040</v>
      </c>
      <c r="AL225">
        <v>970</v>
      </c>
      <c r="AM225">
        <v>1100</v>
      </c>
      <c r="AN225">
        <v>1320</v>
      </c>
      <c r="AO225">
        <v>1630</v>
      </c>
      <c r="AP225">
        <v>1840</v>
      </c>
      <c r="AQ225">
        <v>2050</v>
      </c>
      <c r="AR225">
        <v>1950</v>
      </c>
      <c r="AS225">
        <v>1970</v>
      </c>
      <c r="AT225">
        <v>1670</v>
      </c>
      <c r="AU225">
        <v>1930</v>
      </c>
      <c r="AV225">
        <v>2200</v>
      </c>
      <c r="AW225">
        <v>2820</v>
      </c>
      <c r="AX225">
        <v>3320</v>
      </c>
      <c r="AY225">
        <v>4040</v>
      </c>
      <c r="AZ225">
        <v>5050</v>
      </c>
      <c r="BA225">
        <v>6330</v>
      </c>
      <c r="BB225">
        <v>6960</v>
      </c>
      <c r="BC225">
        <v>7620</v>
      </c>
      <c r="BD225">
        <v>7920</v>
      </c>
      <c r="BE225">
        <v>8550</v>
      </c>
      <c r="BF225">
        <v>8950</v>
      </c>
      <c r="BG225">
        <v>9260</v>
      </c>
      <c r="BH225">
        <v>8890</v>
      </c>
      <c r="BI225">
        <v>6940</v>
      </c>
      <c r="BJ225">
        <v>5940</v>
      </c>
      <c r="BK225">
        <v>5970</v>
      </c>
      <c r="BL225">
        <v>6190</v>
      </c>
      <c r="BM225">
        <v>4620</v>
      </c>
    </row>
    <row r="226" spans="1:65">
      <c r="A226" t="s">
        <v>76</v>
      </c>
      <c r="B226" t="s">
        <v>444</v>
      </c>
      <c r="C226" t="s">
        <v>2244</v>
      </c>
      <c r="D226" t="s">
        <v>2245</v>
      </c>
      <c r="AN226">
        <v>4220</v>
      </c>
      <c r="AO226">
        <v>5020</v>
      </c>
      <c r="AP226">
        <v>5420</v>
      </c>
      <c r="AQ226">
        <v>5430</v>
      </c>
      <c r="AR226">
        <v>5380</v>
      </c>
      <c r="AS226">
        <v>5540</v>
      </c>
      <c r="AT226">
        <v>5730</v>
      </c>
      <c r="AU226">
        <v>6040</v>
      </c>
      <c r="AV226">
        <v>6980</v>
      </c>
      <c r="AW226">
        <v>9060</v>
      </c>
      <c r="AX226">
        <v>11370</v>
      </c>
      <c r="AY226">
        <v>12950</v>
      </c>
      <c r="AZ226">
        <v>14940</v>
      </c>
      <c r="BA226">
        <v>17290</v>
      </c>
      <c r="BB226">
        <v>17150</v>
      </c>
      <c r="BC226">
        <v>17550</v>
      </c>
      <c r="BD226">
        <v>17510</v>
      </c>
      <c r="BE226">
        <v>17760</v>
      </c>
      <c r="BF226">
        <v>18200</v>
      </c>
      <c r="BG226">
        <v>18280</v>
      </c>
      <c r="BH226">
        <v>17700</v>
      </c>
      <c r="BI226">
        <v>16790</v>
      </c>
      <c r="BJ226">
        <v>16620</v>
      </c>
      <c r="BK226">
        <v>18340</v>
      </c>
      <c r="BL226">
        <v>19250</v>
      </c>
      <c r="BM226">
        <v>18920</v>
      </c>
    </row>
    <row r="227" spans="1:65">
      <c r="A227" t="s">
        <v>60</v>
      </c>
      <c r="B227" t="s">
        <v>447</v>
      </c>
      <c r="C227" t="s">
        <v>2244</v>
      </c>
      <c r="D227" t="s">
        <v>2245</v>
      </c>
      <c r="AP227">
        <v>11240</v>
      </c>
      <c r="AQ227">
        <v>11000</v>
      </c>
      <c r="AR227">
        <v>11320</v>
      </c>
      <c r="AS227">
        <v>11270</v>
      </c>
      <c r="AT227">
        <v>10950</v>
      </c>
      <c r="AU227">
        <v>10920</v>
      </c>
      <c r="AV227">
        <v>12630</v>
      </c>
      <c r="AW227">
        <v>15610</v>
      </c>
      <c r="AX227">
        <v>18310</v>
      </c>
      <c r="AY227">
        <v>19820</v>
      </c>
      <c r="AZ227">
        <v>21800</v>
      </c>
      <c r="BA227">
        <v>24660</v>
      </c>
      <c r="BB227">
        <v>24450</v>
      </c>
      <c r="BC227">
        <v>24620</v>
      </c>
      <c r="BD227">
        <v>24630</v>
      </c>
      <c r="BE227">
        <v>23260</v>
      </c>
      <c r="BF227">
        <v>23240</v>
      </c>
      <c r="BG227">
        <v>23620</v>
      </c>
      <c r="BH227">
        <v>22270</v>
      </c>
      <c r="BI227">
        <v>21790</v>
      </c>
      <c r="BJ227">
        <v>22140</v>
      </c>
      <c r="BK227">
        <v>24640</v>
      </c>
      <c r="BL227">
        <v>25980</v>
      </c>
      <c r="BM227">
        <v>25340</v>
      </c>
    </row>
    <row r="228" spans="1:65">
      <c r="A228" t="s">
        <v>52</v>
      </c>
      <c r="B228" t="s">
        <v>462</v>
      </c>
      <c r="C228" t="s">
        <v>2244</v>
      </c>
      <c r="D228" t="s">
        <v>2245</v>
      </c>
      <c r="G228">
        <v>2310</v>
      </c>
      <c r="H228">
        <v>2490</v>
      </c>
      <c r="I228">
        <v>2740</v>
      </c>
      <c r="J228">
        <v>2960</v>
      </c>
      <c r="K228">
        <v>3190</v>
      </c>
      <c r="L228">
        <v>3460</v>
      </c>
      <c r="M228">
        <v>3770</v>
      </c>
      <c r="N228">
        <v>4100</v>
      </c>
      <c r="O228">
        <v>4690</v>
      </c>
      <c r="P228">
        <v>4990</v>
      </c>
      <c r="Q228">
        <v>5670</v>
      </c>
      <c r="R228">
        <v>7050</v>
      </c>
      <c r="S228">
        <v>8580</v>
      </c>
      <c r="T228">
        <v>10160</v>
      </c>
      <c r="U228">
        <v>10720</v>
      </c>
      <c r="V228">
        <v>11290</v>
      </c>
      <c r="W228">
        <v>12460</v>
      </c>
      <c r="X228">
        <v>14790</v>
      </c>
      <c r="Y228">
        <v>17300</v>
      </c>
      <c r="Z228">
        <v>17530</v>
      </c>
      <c r="AA228">
        <v>15760</v>
      </c>
      <c r="AB228">
        <v>13550</v>
      </c>
      <c r="AC228">
        <v>13020</v>
      </c>
      <c r="AD228">
        <v>13080</v>
      </c>
      <c r="AE228">
        <v>15330</v>
      </c>
      <c r="AF228">
        <v>19360</v>
      </c>
      <c r="AG228">
        <v>24190</v>
      </c>
      <c r="AH228">
        <v>26090</v>
      </c>
      <c r="AI228">
        <v>27760</v>
      </c>
      <c r="AJ228">
        <v>29110</v>
      </c>
      <c r="AK228">
        <v>31340</v>
      </c>
      <c r="AL228">
        <v>28200</v>
      </c>
      <c r="AM228">
        <v>27690</v>
      </c>
      <c r="AN228">
        <v>28070</v>
      </c>
      <c r="AO228">
        <v>30400</v>
      </c>
      <c r="AP228">
        <v>31390</v>
      </c>
      <c r="AQ228">
        <v>31110</v>
      </c>
      <c r="AR228">
        <v>31300</v>
      </c>
      <c r="AS228">
        <v>31610</v>
      </c>
      <c r="AT228">
        <v>29720</v>
      </c>
      <c r="AU228">
        <v>29090</v>
      </c>
      <c r="AV228">
        <v>32750</v>
      </c>
      <c r="AW228">
        <v>39790</v>
      </c>
      <c r="AX228">
        <v>45770</v>
      </c>
      <c r="AY228">
        <v>49150</v>
      </c>
      <c r="AZ228">
        <v>52310</v>
      </c>
      <c r="BA228">
        <v>55720</v>
      </c>
      <c r="BB228">
        <v>52640</v>
      </c>
      <c r="BC228">
        <v>54630</v>
      </c>
      <c r="BD228">
        <v>56700</v>
      </c>
      <c r="BE228">
        <v>59090</v>
      </c>
      <c r="BF228">
        <v>61800</v>
      </c>
      <c r="BG228">
        <v>61870</v>
      </c>
      <c r="BH228">
        <v>58420</v>
      </c>
      <c r="BI228">
        <v>54360</v>
      </c>
      <c r="BJ228">
        <v>53030</v>
      </c>
      <c r="BK228">
        <v>55640</v>
      </c>
      <c r="BL228">
        <v>56410</v>
      </c>
      <c r="BM228">
        <v>54050</v>
      </c>
    </row>
    <row r="229" spans="1:65">
      <c r="A229" t="s">
        <v>165</v>
      </c>
      <c r="B229" t="s">
        <v>379</v>
      </c>
      <c r="C229" t="s">
        <v>2244</v>
      </c>
      <c r="D229" t="s">
        <v>2245</v>
      </c>
      <c r="Q229">
        <v>300</v>
      </c>
      <c r="R229">
        <v>370</v>
      </c>
      <c r="S229">
        <v>470</v>
      </c>
      <c r="AI229">
        <v>1290</v>
      </c>
      <c r="AJ229">
        <v>1350</v>
      </c>
      <c r="AK229">
        <v>1570</v>
      </c>
      <c r="AL229">
        <v>1580</v>
      </c>
      <c r="AM229">
        <v>1570</v>
      </c>
      <c r="AN229">
        <v>1820</v>
      </c>
      <c r="AO229">
        <v>1930</v>
      </c>
      <c r="AP229">
        <v>1960</v>
      </c>
      <c r="AQ229">
        <v>1740</v>
      </c>
      <c r="AR229">
        <v>1730</v>
      </c>
      <c r="AS229">
        <v>1670</v>
      </c>
      <c r="AT229">
        <v>1700</v>
      </c>
      <c r="AU229">
        <v>1570</v>
      </c>
      <c r="AV229">
        <v>1700</v>
      </c>
      <c r="AW229">
        <v>2160</v>
      </c>
      <c r="AX229">
        <v>3080</v>
      </c>
      <c r="AY229">
        <v>3300</v>
      </c>
      <c r="AZ229">
        <v>3480</v>
      </c>
      <c r="BA229">
        <v>3360</v>
      </c>
      <c r="BB229">
        <v>3320</v>
      </c>
      <c r="BC229">
        <v>3460</v>
      </c>
      <c r="BD229">
        <v>3860</v>
      </c>
      <c r="BE229">
        <v>4310</v>
      </c>
      <c r="BF229">
        <v>4420</v>
      </c>
      <c r="BG229">
        <v>4130</v>
      </c>
      <c r="BH229">
        <v>3800</v>
      </c>
      <c r="BI229">
        <v>3450</v>
      </c>
      <c r="BJ229">
        <v>3390</v>
      </c>
      <c r="BK229">
        <v>3620</v>
      </c>
      <c r="BL229">
        <v>3690</v>
      </c>
      <c r="BM229">
        <v>3410</v>
      </c>
    </row>
    <row r="230" spans="1:65">
      <c r="A230" t="s">
        <v>250</v>
      </c>
      <c r="B230" t="s">
        <v>570</v>
      </c>
      <c r="C230" t="s">
        <v>2244</v>
      </c>
      <c r="D230" t="s">
        <v>2245</v>
      </c>
      <c r="BF230">
        <v>27540</v>
      </c>
      <c r="BG230">
        <v>28670</v>
      </c>
      <c r="BH230">
        <v>29560</v>
      </c>
      <c r="BI230">
        <v>30890</v>
      </c>
      <c r="BJ230">
        <v>28210</v>
      </c>
      <c r="BK230">
        <v>27510</v>
      </c>
    </row>
    <row r="231" spans="1:65">
      <c r="A231" t="s">
        <v>227</v>
      </c>
      <c r="B231" t="s">
        <v>552</v>
      </c>
      <c r="C231" t="s">
        <v>2244</v>
      </c>
      <c r="D231" t="s">
        <v>2245</v>
      </c>
      <c r="G231">
        <v>290</v>
      </c>
      <c r="H231">
        <v>310</v>
      </c>
      <c r="I231">
        <v>330</v>
      </c>
      <c r="J231">
        <v>320</v>
      </c>
      <c r="K231">
        <v>360</v>
      </c>
      <c r="L231">
        <v>350</v>
      </c>
      <c r="M231">
        <v>350</v>
      </c>
      <c r="N231">
        <v>330</v>
      </c>
      <c r="O231">
        <v>350</v>
      </c>
      <c r="P231">
        <v>410</v>
      </c>
      <c r="Q231">
        <v>480</v>
      </c>
      <c r="R231">
        <v>630</v>
      </c>
      <c r="S231">
        <v>770</v>
      </c>
      <c r="T231">
        <v>870</v>
      </c>
      <c r="U231">
        <v>910</v>
      </c>
      <c r="V231">
        <v>870</v>
      </c>
      <c r="W231">
        <v>1170</v>
      </c>
      <c r="X231">
        <v>1760</v>
      </c>
      <c r="Y231">
        <v>2110</v>
      </c>
      <c r="Z231">
        <v>2300</v>
      </c>
      <c r="AA231">
        <v>2290</v>
      </c>
      <c r="AB231">
        <v>2190</v>
      </c>
      <c r="AC231">
        <v>2220</v>
      </c>
      <c r="AD231">
        <v>2490</v>
      </c>
      <c r="AE231">
        <v>2740</v>
      </c>
      <c r="AF231">
        <v>3200</v>
      </c>
      <c r="AG231">
        <v>3970</v>
      </c>
      <c r="AH231">
        <v>4540</v>
      </c>
      <c r="AI231">
        <v>5030</v>
      </c>
      <c r="AJ231">
        <v>5200</v>
      </c>
      <c r="AK231">
        <v>6000</v>
      </c>
      <c r="AL231">
        <v>6390</v>
      </c>
      <c r="AM231">
        <v>6530</v>
      </c>
      <c r="AN231">
        <v>6460</v>
      </c>
      <c r="AO231">
        <v>6740</v>
      </c>
      <c r="AP231">
        <v>7330</v>
      </c>
      <c r="AQ231">
        <v>7320</v>
      </c>
      <c r="AR231">
        <v>7290</v>
      </c>
      <c r="AS231">
        <v>7290</v>
      </c>
      <c r="AT231">
        <v>7310</v>
      </c>
      <c r="AU231">
        <v>6850</v>
      </c>
      <c r="AV231">
        <v>7490</v>
      </c>
      <c r="AW231">
        <v>9280</v>
      </c>
      <c r="AX231">
        <v>11140</v>
      </c>
      <c r="AY231">
        <v>12580</v>
      </c>
      <c r="AZ231">
        <v>12280</v>
      </c>
      <c r="BA231">
        <v>11180</v>
      </c>
      <c r="BB231">
        <v>10230</v>
      </c>
      <c r="BC231">
        <v>10220</v>
      </c>
      <c r="BD231">
        <v>10570</v>
      </c>
      <c r="BE231">
        <v>11540</v>
      </c>
      <c r="BF231">
        <v>12700</v>
      </c>
      <c r="BG231">
        <v>13350</v>
      </c>
      <c r="BH231">
        <v>14020</v>
      </c>
      <c r="BI231">
        <v>13840</v>
      </c>
      <c r="BJ231">
        <v>14320</v>
      </c>
      <c r="BK231">
        <v>15750</v>
      </c>
      <c r="BL231">
        <v>15790</v>
      </c>
      <c r="BM231">
        <v>12200</v>
      </c>
    </row>
    <row r="232" spans="1:65">
      <c r="A232" t="s">
        <v>114</v>
      </c>
      <c r="B232" t="s">
        <v>327</v>
      </c>
      <c r="C232" t="s">
        <v>2244</v>
      </c>
      <c r="D232" t="s">
        <v>2245</v>
      </c>
      <c r="AS232">
        <v>4070</v>
      </c>
      <c r="AT232">
        <v>4380</v>
      </c>
      <c r="AU232">
        <v>4680</v>
      </c>
      <c r="AV232">
        <v>5150</v>
      </c>
      <c r="AW232">
        <v>5830</v>
      </c>
      <c r="AX232">
        <v>6400</v>
      </c>
      <c r="AY232">
        <v>7140</v>
      </c>
      <c r="AZ232">
        <v>7990</v>
      </c>
      <c r="BA232">
        <v>8970</v>
      </c>
      <c r="BB232">
        <v>9940</v>
      </c>
      <c r="BC232">
        <v>10800</v>
      </c>
      <c r="BD232">
        <v>5680</v>
      </c>
      <c r="BE232">
        <v>2860</v>
      </c>
      <c r="BF232">
        <v>1350</v>
      </c>
      <c r="BG232">
        <v>1130</v>
      </c>
      <c r="BH232">
        <v>950</v>
      </c>
      <c r="BI232">
        <v>830</v>
      </c>
      <c r="BJ232">
        <v>800</v>
      </c>
      <c r="BK232">
        <v>920</v>
      </c>
      <c r="BL232">
        <v>1170</v>
      </c>
    </row>
    <row r="233" spans="1:65">
      <c r="A233" t="s">
        <v>247</v>
      </c>
      <c r="B233" t="s">
        <v>586</v>
      </c>
      <c r="C233" t="s">
        <v>2244</v>
      </c>
      <c r="D233" t="s">
        <v>2245</v>
      </c>
      <c r="BG233">
        <v>23280</v>
      </c>
      <c r="BH233">
        <v>25530</v>
      </c>
      <c r="BI233">
        <v>27300</v>
      </c>
      <c r="BJ233">
        <v>26200</v>
      </c>
      <c r="BK233">
        <v>28340</v>
      </c>
      <c r="BL233">
        <v>30250</v>
      </c>
    </row>
    <row r="234" spans="1:65">
      <c r="A234" t="s">
        <v>105</v>
      </c>
      <c r="B234" t="s">
        <v>318</v>
      </c>
      <c r="C234" t="s">
        <v>2244</v>
      </c>
      <c r="D234" t="s">
        <v>2245</v>
      </c>
      <c r="G234">
        <v>110</v>
      </c>
      <c r="H234">
        <v>110</v>
      </c>
      <c r="I234">
        <v>110</v>
      </c>
      <c r="J234">
        <v>120</v>
      </c>
      <c r="K234">
        <v>120</v>
      </c>
      <c r="L234">
        <v>130</v>
      </c>
      <c r="M234">
        <v>130</v>
      </c>
      <c r="N234">
        <v>140</v>
      </c>
      <c r="O234">
        <v>140</v>
      </c>
      <c r="P234">
        <v>140</v>
      </c>
      <c r="Q234">
        <v>150</v>
      </c>
      <c r="R234">
        <v>160</v>
      </c>
      <c r="S234">
        <v>190</v>
      </c>
      <c r="T234">
        <v>230</v>
      </c>
      <c r="U234">
        <v>220</v>
      </c>
      <c r="V234">
        <v>230</v>
      </c>
      <c r="W234">
        <v>240</v>
      </c>
      <c r="X234">
        <v>220</v>
      </c>
      <c r="Y234">
        <v>240</v>
      </c>
      <c r="Z234">
        <v>230</v>
      </c>
      <c r="AA234">
        <v>210</v>
      </c>
      <c r="AB234">
        <v>190</v>
      </c>
      <c r="AC234">
        <v>180</v>
      </c>
      <c r="AD234">
        <v>210</v>
      </c>
      <c r="AE234">
        <v>210</v>
      </c>
      <c r="AF234">
        <v>210</v>
      </c>
      <c r="AG234">
        <v>270</v>
      </c>
      <c r="AH234">
        <v>270</v>
      </c>
      <c r="AI234">
        <v>270</v>
      </c>
      <c r="AJ234">
        <v>290</v>
      </c>
      <c r="AK234">
        <v>330</v>
      </c>
      <c r="AL234">
        <v>240</v>
      </c>
      <c r="AM234">
        <v>220</v>
      </c>
      <c r="AN234">
        <v>210</v>
      </c>
      <c r="AO234">
        <v>200</v>
      </c>
      <c r="AP234">
        <v>210</v>
      </c>
      <c r="AQ234">
        <v>220</v>
      </c>
      <c r="AR234">
        <v>200</v>
      </c>
      <c r="AS234">
        <v>180</v>
      </c>
      <c r="AT234">
        <v>190</v>
      </c>
      <c r="AU234">
        <v>200</v>
      </c>
      <c r="AV234">
        <v>210</v>
      </c>
      <c r="AW234">
        <v>340</v>
      </c>
      <c r="AX234">
        <v>470</v>
      </c>
      <c r="AY234">
        <v>530</v>
      </c>
      <c r="AZ234">
        <v>630</v>
      </c>
      <c r="BA234">
        <v>700</v>
      </c>
      <c r="BB234">
        <v>830</v>
      </c>
      <c r="BC234">
        <v>910</v>
      </c>
      <c r="BD234">
        <v>890</v>
      </c>
      <c r="BE234">
        <v>960</v>
      </c>
      <c r="BF234">
        <v>970</v>
      </c>
      <c r="BG234">
        <v>980</v>
      </c>
      <c r="BH234">
        <v>880</v>
      </c>
      <c r="BI234">
        <v>730</v>
      </c>
      <c r="BJ234">
        <v>640</v>
      </c>
      <c r="BK234">
        <v>680</v>
      </c>
      <c r="BL234">
        <v>700</v>
      </c>
      <c r="BM234">
        <v>630</v>
      </c>
    </row>
    <row r="235" spans="1:65">
      <c r="A235" t="s">
        <v>2315</v>
      </c>
      <c r="B235" t="s">
        <v>2316</v>
      </c>
      <c r="C235" t="s">
        <v>2244</v>
      </c>
      <c r="D235" t="s">
        <v>2245</v>
      </c>
      <c r="G235">
        <v>73.448910019662662</v>
      </c>
      <c r="H235">
        <v>79.704233926287486</v>
      </c>
      <c r="I235">
        <v>88.226077169584457</v>
      </c>
      <c r="J235">
        <v>99.702088397131291</v>
      </c>
      <c r="K235">
        <v>107.6751225799665</v>
      </c>
      <c r="L235">
        <v>101.62303026562532</v>
      </c>
      <c r="M235">
        <v>98.585753938051695</v>
      </c>
      <c r="N235">
        <v>110.49981395174147</v>
      </c>
      <c r="O235">
        <v>123.5968070727284</v>
      </c>
      <c r="P235">
        <v>126.98263602800445</v>
      </c>
      <c r="Q235">
        <v>134.0149197899988</v>
      </c>
      <c r="R235">
        <v>161.72555270738542</v>
      </c>
      <c r="S235">
        <v>189.41120272943579</v>
      </c>
      <c r="T235">
        <v>220.49673810747362</v>
      </c>
      <c r="U235">
        <v>216.0410693877063</v>
      </c>
      <c r="V235">
        <v>229.62847094890017</v>
      </c>
      <c r="W235">
        <v>243.62606310414697</v>
      </c>
      <c r="X235">
        <v>269.08129870513477</v>
      </c>
      <c r="Y235">
        <v>297.62545209067537</v>
      </c>
      <c r="Z235">
        <v>314.97078952660593</v>
      </c>
      <c r="AA235">
        <v>314.59441475450967</v>
      </c>
      <c r="AB235">
        <v>310.28240682811833</v>
      </c>
      <c r="AC235">
        <v>328.21420597709022</v>
      </c>
      <c r="AD235">
        <v>350.61556146367496</v>
      </c>
      <c r="AE235">
        <v>372.29963282273536</v>
      </c>
      <c r="AF235">
        <v>388.98183104022871</v>
      </c>
      <c r="AG235">
        <v>408.96257720897154</v>
      </c>
      <c r="AH235">
        <v>411.02062352876294</v>
      </c>
      <c r="AI235">
        <v>426.75679873654457</v>
      </c>
      <c r="AJ235">
        <v>457.21756601098701</v>
      </c>
      <c r="AK235">
        <v>507.62280347872161</v>
      </c>
      <c r="AL235">
        <v>551.40950420192883</v>
      </c>
      <c r="AM235">
        <v>619.18246566656956</v>
      </c>
      <c r="AN235">
        <v>712.47077152693123</v>
      </c>
      <c r="AO235">
        <v>829.34696931896372</v>
      </c>
      <c r="AP235">
        <v>898.6626173771665</v>
      </c>
      <c r="AQ235">
        <v>842.03210755585917</v>
      </c>
      <c r="AR235">
        <v>864.6549982621267</v>
      </c>
      <c r="AS235">
        <v>920.4139183618463</v>
      </c>
      <c r="AT235">
        <v>992.32643398273774</v>
      </c>
      <c r="AU235">
        <v>1074.0148839597653</v>
      </c>
      <c r="AV235">
        <v>1220.568608952881</v>
      </c>
      <c r="AW235">
        <v>1435.4387001728971</v>
      </c>
      <c r="AX235">
        <v>1652.8334848208103</v>
      </c>
      <c r="AY235">
        <v>1913.1219672081309</v>
      </c>
      <c r="AZ235">
        <v>2295.7692052623415</v>
      </c>
      <c r="BA235">
        <v>2796.7766410413133</v>
      </c>
      <c r="BB235">
        <v>3248.7443260706696</v>
      </c>
      <c r="BC235">
        <v>3793.2827820443426</v>
      </c>
      <c r="BD235">
        <v>4380.8694585197045</v>
      </c>
      <c r="BE235">
        <v>5116.1525155335712</v>
      </c>
      <c r="BF235">
        <v>5750.0705530384785</v>
      </c>
      <c r="BG235">
        <v>6252.1216467319691</v>
      </c>
      <c r="BH235">
        <v>6504.085281021109</v>
      </c>
      <c r="BI235">
        <v>6711.6758769948019</v>
      </c>
      <c r="BJ235">
        <v>7052.8222387071555</v>
      </c>
      <c r="BK235">
        <v>7735.792434653893</v>
      </c>
      <c r="BL235">
        <v>8325.4333206840856</v>
      </c>
      <c r="BM235">
        <v>8416.251396823609</v>
      </c>
    </row>
    <row r="236" spans="1:65">
      <c r="A236" t="s">
        <v>2317</v>
      </c>
      <c r="B236" t="s">
        <v>2318</v>
      </c>
      <c r="C236" t="s">
        <v>2244</v>
      </c>
      <c r="D236" t="s">
        <v>2245</v>
      </c>
      <c r="AJ236">
        <v>2312.0809662189808</v>
      </c>
      <c r="AK236">
        <v>2185.3574538167163</v>
      </c>
      <c r="AL236">
        <v>2147.7083540670315</v>
      </c>
      <c r="AM236">
        <v>1977.6803236455164</v>
      </c>
      <c r="AN236">
        <v>2059.4436446410255</v>
      </c>
      <c r="AO236">
        <v>2127.6088177167844</v>
      </c>
      <c r="AP236">
        <v>2230.7233193845182</v>
      </c>
      <c r="AQ236">
        <v>2101.6976673507756</v>
      </c>
      <c r="AR236">
        <v>1986.5775992512663</v>
      </c>
      <c r="AS236">
        <v>2080.8458000768687</v>
      </c>
      <c r="AT236">
        <v>2011.4849874774009</v>
      </c>
      <c r="AU236">
        <v>2174.8971253610694</v>
      </c>
      <c r="AV236">
        <v>2544.076248245432</v>
      </c>
      <c r="AW236">
        <v>3258.1656481844843</v>
      </c>
      <c r="AX236">
        <v>4126.5725138175421</v>
      </c>
      <c r="AY236">
        <v>5047.4353425774307</v>
      </c>
      <c r="AZ236">
        <v>6209.3964862808634</v>
      </c>
      <c r="BA236">
        <v>7572.1808149027338</v>
      </c>
      <c r="BB236">
        <v>7533.9831599661084</v>
      </c>
      <c r="BC236">
        <v>7997.84561149416</v>
      </c>
      <c r="BD236">
        <v>8581.2967100442529</v>
      </c>
      <c r="BE236">
        <v>9687.1208377792555</v>
      </c>
      <c r="BF236">
        <v>10571.013711374739</v>
      </c>
      <c r="BG236">
        <v>10490.916416171845</v>
      </c>
      <c r="BH236">
        <v>9277.9802976193751</v>
      </c>
      <c r="BI236">
        <v>8205.6101100339911</v>
      </c>
      <c r="BJ236">
        <v>7935.4483136705312</v>
      </c>
      <c r="BK236">
        <v>8445.3621348871857</v>
      </c>
      <c r="BL236">
        <v>8901.1580827505477</v>
      </c>
      <c r="BM236">
        <v>8575.5008087474671</v>
      </c>
    </row>
    <row r="237" spans="1:65">
      <c r="A237" t="s">
        <v>116</v>
      </c>
      <c r="B237" t="s">
        <v>329</v>
      </c>
      <c r="C237" t="s">
        <v>2244</v>
      </c>
      <c r="D237" t="s">
        <v>2245</v>
      </c>
      <c r="G237">
        <v>90</v>
      </c>
      <c r="H237">
        <v>90</v>
      </c>
      <c r="I237">
        <v>100</v>
      </c>
      <c r="J237">
        <v>110</v>
      </c>
      <c r="K237">
        <v>120</v>
      </c>
      <c r="L237">
        <v>120</v>
      </c>
      <c r="M237">
        <v>130</v>
      </c>
      <c r="N237">
        <v>140</v>
      </c>
      <c r="O237">
        <v>130</v>
      </c>
      <c r="P237">
        <v>130</v>
      </c>
      <c r="Q237">
        <v>140</v>
      </c>
      <c r="R237">
        <v>170</v>
      </c>
      <c r="S237">
        <v>220</v>
      </c>
      <c r="T237">
        <v>260</v>
      </c>
      <c r="U237">
        <v>270</v>
      </c>
      <c r="V237">
        <v>290</v>
      </c>
      <c r="W237">
        <v>330</v>
      </c>
      <c r="X237">
        <v>350</v>
      </c>
      <c r="Y237">
        <v>420</v>
      </c>
      <c r="Z237">
        <v>390</v>
      </c>
      <c r="AA237">
        <v>320</v>
      </c>
      <c r="AB237">
        <v>250</v>
      </c>
      <c r="AC237">
        <v>230</v>
      </c>
      <c r="AD237">
        <v>230</v>
      </c>
      <c r="AE237">
        <v>250</v>
      </c>
      <c r="AF237">
        <v>310</v>
      </c>
      <c r="AG237">
        <v>390</v>
      </c>
      <c r="AH237">
        <v>400</v>
      </c>
      <c r="AI237">
        <v>400</v>
      </c>
      <c r="AJ237">
        <v>400</v>
      </c>
      <c r="AK237">
        <v>420</v>
      </c>
      <c r="AL237">
        <v>330</v>
      </c>
      <c r="AM237">
        <v>310</v>
      </c>
      <c r="AN237">
        <v>300</v>
      </c>
      <c r="AO237">
        <v>310</v>
      </c>
      <c r="AP237">
        <v>350</v>
      </c>
      <c r="AQ237">
        <v>330</v>
      </c>
      <c r="AR237">
        <v>310</v>
      </c>
      <c r="AS237">
        <v>310</v>
      </c>
      <c r="AT237">
        <v>290</v>
      </c>
      <c r="AU237">
        <v>300</v>
      </c>
      <c r="AV237">
        <v>350</v>
      </c>
      <c r="AW237">
        <v>390</v>
      </c>
      <c r="AX237">
        <v>400</v>
      </c>
      <c r="AY237">
        <v>410</v>
      </c>
      <c r="AZ237">
        <v>420</v>
      </c>
      <c r="BA237">
        <v>470</v>
      </c>
      <c r="BB237">
        <v>530</v>
      </c>
      <c r="BC237">
        <v>560</v>
      </c>
      <c r="BD237">
        <v>610</v>
      </c>
      <c r="BE237">
        <v>590</v>
      </c>
      <c r="BF237">
        <v>620</v>
      </c>
      <c r="BG237">
        <v>640</v>
      </c>
      <c r="BH237">
        <v>640</v>
      </c>
      <c r="BI237">
        <v>670</v>
      </c>
      <c r="BJ237">
        <v>720</v>
      </c>
      <c r="BK237">
        <v>880</v>
      </c>
      <c r="BL237">
        <v>920</v>
      </c>
      <c r="BM237">
        <v>920</v>
      </c>
    </row>
    <row r="238" spans="1:65">
      <c r="A238" t="s">
        <v>203</v>
      </c>
      <c r="B238" t="s">
        <v>418</v>
      </c>
      <c r="C238" t="s">
        <v>2244</v>
      </c>
      <c r="D238" t="s">
        <v>2245</v>
      </c>
      <c r="G238">
        <v>110</v>
      </c>
      <c r="H238">
        <v>120</v>
      </c>
      <c r="I238">
        <v>130</v>
      </c>
      <c r="J238">
        <v>140</v>
      </c>
      <c r="K238">
        <v>160</v>
      </c>
      <c r="L238">
        <v>170</v>
      </c>
      <c r="M238">
        <v>180</v>
      </c>
      <c r="N238">
        <v>190</v>
      </c>
      <c r="O238">
        <v>210</v>
      </c>
      <c r="P238">
        <v>210</v>
      </c>
      <c r="Q238">
        <v>220</v>
      </c>
      <c r="R238">
        <v>260</v>
      </c>
      <c r="S238">
        <v>330</v>
      </c>
      <c r="T238">
        <v>380</v>
      </c>
      <c r="U238">
        <v>420</v>
      </c>
      <c r="V238">
        <v>450</v>
      </c>
      <c r="W238">
        <v>530</v>
      </c>
      <c r="X238">
        <v>610</v>
      </c>
      <c r="Y238">
        <v>710</v>
      </c>
      <c r="Z238">
        <v>760</v>
      </c>
      <c r="AA238">
        <v>760</v>
      </c>
      <c r="AB238">
        <v>760</v>
      </c>
      <c r="AC238">
        <v>790</v>
      </c>
      <c r="AD238">
        <v>790</v>
      </c>
      <c r="AE238">
        <v>830</v>
      </c>
      <c r="AF238">
        <v>950</v>
      </c>
      <c r="AG238">
        <v>1160</v>
      </c>
      <c r="AH238">
        <v>1320</v>
      </c>
      <c r="AI238">
        <v>1490</v>
      </c>
      <c r="AJ238">
        <v>1660</v>
      </c>
      <c r="AK238">
        <v>1880</v>
      </c>
      <c r="AL238">
        <v>2130</v>
      </c>
      <c r="AM238">
        <v>2400</v>
      </c>
      <c r="AN238">
        <v>2740</v>
      </c>
      <c r="AO238">
        <v>2950</v>
      </c>
      <c r="AP238">
        <v>2680</v>
      </c>
      <c r="AQ238">
        <v>2080</v>
      </c>
      <c r="AR238">
        <v>1980</v>
      </c>
      <c r="AS238">
        <v>1980</v>
      </c>
      <c r="AT238">
        <v>1960</v>
      </c>
      <c r="AU238">
        <v>1990</v>
      </c>
      <c r="AV238">
        <v>2180</v>
      </c>
      <c r="AW238">
        <v>2530</v>
      </c>
      <c r="AX238">
        <v>2790</v>
      </c>
      <c r="AY238">
        <v>3100</v>
      </c>
      <c r="AZ238">
        <v>3530</v>
      </c>
      <c r="BA238">
        <v>3970</v>
      </c>
      <c r="BB238">
        <v>4140</v>
      </c>
      <c r="BC238">
        <v>4580</v>
      </c>
      <c r="BD238">
        <v>4950</v>
      </c>
      <c r="BE238">
        <v>5520</v>
      </c>
      <c r="BF238">
        <v>5720</v>
      </c>
      <c r="BG238">
        <v>5760</v>
      </c>
      <c r="BH238">
        <v>5710</v>
      </c>
      <c r="BI238">
        <v>5700</v>
      </c>
      <c r="BJ238">
        <v>5970</v>
      </c>
      <c r="BK238">
        <v>6610</v>
      </c>
      <c r="BL238">
        <v>7260</v>
      </c>
      <c r="BM238">
        <v>7040</v>
      </c>
    </row>
    <row r="239" spans="1:65">
      <c r="A239" t="s">
        <v>122</v>
      </c>
      <c r="B239" t="s">
        <v>336</v>
      </c>
      <c r="C239" t="s">
        <v>2244</v>
      </c>
      <c r="D239" t="s">
        <v>2245</v>
      </c>
      <c r="AK239">
        <v>280</v>
      </c>
      <c r="AL239">
        <v>240</v>
      </c>
      <c r="AM239">
        <v>220</v>
      </c>
      <c r="AN239">
        <v>210</v>
      </c>
      <c r="AO239">
        <v>170</v>
      </c>
      <c r="AP239">
        <v>170</v>
      </c>
      <c r="AQ239">
        <v>180</v>
      </c>
      <c r="AR239">
        <v>180</v>
      </c>
      <c r="AS239">
        <v>170</v>
      </c>
      <c r="AT239">
        <v>160</v>
      </c>
      <c r="AU239">
        <v>170</v>
      </c>
      <c r="AV239">
        <v>210</v>
      </c>
      <c r="AW239">
        <v>270</v>
      </c>
      <c r="AX239">
        <v>380</v>
      </c>
      <c r="AY239">
        <v>470</v>
      </c>
      <c r="AZ239">
        <v>580</v>
      </c>
      <c r="BA239">
        <v>750</v>
      </c>
      <c r="BB239">
        <v>800</v>
      </c>
      <c r="BC239">
        <v>920</v>
      </c>
      <c r="BD239">
        <v>1020</v>
      </c>
      <c r="BE239">
        <v>1150</v>
      </c>
      <c r="BF239">
        <v>1330</v>
      </c>
      <c r="BG239">
        <v>1350</v>
      </c>
      <c r="BH239">
        <v>1260</v>
      </c>
      <c r="BI239">
        <v>1110</v>
      </c>
      <c r="BJ239">
        <v>1030</v>
      </c>
      <c r="BK239">
        <v>1030</v>
      </c>
      <c r="BL239">
        <v>1070</v>
      </c>
      <c r="BM239">
        <v>1060</v>
      </c>
    </row>
    <row r="240" spans="1:65">
      <c r="A240" t="s">
        <v>202</v>
      </c>
      <c r="B240" t="s">
        <v>417</v>
      </c>
      <c r="C240" t="s">
        <v>2244</v>
      </c>
      <c r="D240" t="s">
        <v>2245</v>
      </c>
      <c r="AL240">
        <v>800</v>
      </c>
      <c r="AM240">
        <v>680</v>
      </c>
      <c r="AN240">
        <v>610</v>
      </c>
      <c r="AO240">
        <v>610</v>
      </c>
      <c r="AP240">
        <v>550</v>
      </c>
      <c r="AQ240">
        <v>560</v>
      </c>
      <c r="AR240">
        <v>620</v>
      </c>
      <c r="AS240">
        <v>600</v>
      </c>
      <c r="AT240">
        <v>650</v>
      </c>
      <c r="AU240">
        <v>750</v>
      </c>
      <c r="AV240">
        <v>990</v>
      </c>
      <c r="AW240">
        <v>1310</v>
      </c>
      <c r="AX240">
        <v>1590</v>
      </c>
      <c r="AY240">
        <v>1890</v>
      </c>
      <c r="AZ240">
        <v>2320</v>
      </c>
      <c r="BA240">
        <v>3040</v>
      </c>
      <c r="BB240">
        <v>3550</v>
      </c>
      <c r="BC240">
        <v>4070</v>
      </c>
      <c r="BD240">
        <v>4730</v>
      </c>
      <c r="BE240">
        <v>5560</v>
      </c>
      <c r="BF240">
        <v>6510</v>
      </c>
      <c r="BG240">
        <v>7200</v>
      </c>
      <c r="BH240">
        <v>7030</v>
      </c>
      <c r="BI240">
        <v>6830</v>
      </c>
      <c r="BJ240">
        <v>6380</v>
      </c>
      <c r="BK240">
        <v>6740</v>
      </c>
      <c r="BL240">
        <v>7220</v>
      </c>
    </row>
    <row r="241" spans="1:65">
      <c r="A241" t="s">
        <v>2319</v>
      </c>
      <c r="B241" t="s">
        <v>2320</v>
      </c>
      <c r="C241" t="s">
        <v>2244</v>
      </c>
      <c r="D241" t="s">
        <v>2245</v>
      </c>
      <c r="K241">
        <v>477.18339706366481</v>
      </c>
      <c r="L241">
        <v>490.82995277287864</v>
      </c>
      <c r="M241">
        <v>524.52529098563275</v>
      </c>
      <c r="N241">
        <v>557.31557455343955</v>
      </c>
      <c r="O241">
        <v>592.22731897047197</v>
      </c>
      <c r="P241">
        <v>649.35257902322826</v>
      </c>
      <c r="Q241">
        <v>713.62228127736773</v>
      </c>
      <c r="R241">
        <v>864.49124677731731</v>
      </c>
      <c r="S241">
        <v>1105.9663345747229</v>
      </c>
      <c r="T241">
        <v>1282.6782415424632</v>
      </c>
      <c r="U241">
        <v>1365.0210321787604</v>
      </c>
      <c r="V241">
        <v>1403.2559047569459</v>
      </c>
      <c r="W241">
        <v>1529.6035959908061</v>
      </c>
      <c r="X241">
        <v>1803.3040623551406</v>
      </c>
      <c r="Y241">
        <v>2105.5443097398384</v>
      </c>
      <c r="Z241">
        <v>2289.3708069970216</v>
      </c>
      <c r="AA241">
        <v>2173.7655764357214</v>
      </c>
      <c r="AB241">
        <v>1908.5803763035924</v>
      </c>
      <c r="AC241">
        <v>1810.807858204621</v>
      </c>
      <c r="AD241">
        <v>1745.43616424689</v>
      </c>
      <c r="AE241">
        <v>1808.5514710761472</v>
      </c>
      <c r="AF241">
        <v>1949.2781987824144</v>
      </c>
      <c r="AG241">
        <v>2087.2157333659261</v>
      </c>
      <c r="AH241">
        <v>2086.6297887152236</v>
      </c>
      <c r="AI241">
        <v>2152.8681356036645</v>
      </c>
      <c r="AJ241">
        <v>2351.8870792405169</v>
      </c>
      <c r="AK241">
        <v>2675.0530715079767</v>
      </c>
      <c r="AL241">
        <v>2930.9104529950018</v>
      </c>
      <c r="AM241">
        <v>3310.1195491894991</v>
      </c>
      <c r="AN241">
        <v>3542.8825858212072</v>
      </c>
      <c r="AO241">
        <v>3924.9970372655798</v>
      </c>
      <c r="AP241">
        <v>4259.555923094058</v>
      </c>
      <c r="AQ241">
        <v>4241.9104983716979</v>
      </c>
      <c r="AR241">
        <v>4024.7347702279635</v>
      </c>
      <c r="AS241">
        <v>4109.3905764063138</v>
      </c>
      <c r="AT241">
        <v>3984.1364884995191</v>
      </c>
      <c r="AU241">
        <v>3722.5309163357479</v>
      </c>
      <c r="AV241">
        <v>3697.7096207808736</v>
      </c>
      <c r="AW241">
        <v>4001.3346959802134</v>
      </c>
      <c r="AX241">
        <v>4490.9385664887905</v>
      </c>
      <c r="AY241">
        <v>5189.7842030261354</v>
      </c>
      <c r="AZ241">
        <v>6077.9732475825676</v>
      </c>
      <c r="BA241">
        <v>7030.9648457837811</v>
      </c>
      <c r="BB241">
        <v>7204.608675968183</v>
      </c>
      <c r="BC241">
        <v>8005.2389819296777</v>
      </c>
      <c r="BD241">
        <v>8840.713661865444</v>
      </c>
      <c r="BE241">
        <v>9767.9648842078714</v>
      </c>
      <c r="BF241">
        <v>10179.76157860312</v>
      </c>
      <c r="BG241">
        <v>10066.96033241168</v>
      </c>
      <c r="BH241">
        <v>9071.7544688399539</v>
      </c>
      <c r="BI241">
        <v>8332.0417180089898</v>
      </c>
      <c r="BJ241">
        <v>8206.7551094893643</v>
      </c>
      <c r="BK241">
        <v>8530.8638729145714</v>
      </c>
      <c r="BL241">
        <v>8628.9993835675268</v>
      </c>
      <c r="BM241">
        <v>7503.4862561768632</v>
      </c>
    </row>
    <row r="242" spans="1:65">
      <c r="A242" t="s">
        <v>137</v>
      </c>
      <c r="B242" t="s">
        <v>351</v>
      </c>
      <c r="C242" t="s">
        <v>2244</v>
      </c>
      <c r="D242" t="s">
        <v>2245</v>
      </c>
      <c r="AU242">
        <v>750</v>
      </c>
      <c r="AV242">
        <v>670</v>
      </c>
      <c r="AW242">
        <v>780</v>
      </c>
      <c r="AX242">
        <v>930</v>
      </c>
      <c r="AY242">
        <v>1310</v>
      </c>
      <c r="AZ242">
        <v>1840</v>
      </c>
      <c r="BA242">
        <v>2980</v>
      </c>
      <c r="BB242">
        <v>2330</v>
      </c>
      <c r="BC242">
        <v>2850</v>
      </c>
      <c r="BD242">
        <v>3730</v>
      </c>
      <c r="BE242">
        <v>3570</v>
      </c>
      <c r="BF242">
        <v>3210</v>
      </c>
      <c r="BG242">
        <v>2710</v>
      </c>
      <c r="BH242">
        <v>2200</v>
      </c>
      <c r="BI242">
        <v>1750</v>
      </c>
      <c r="BJ242">
        <v>1800</v>
      </c>
      <c r="BK242">
        <v>1820</v>
      </c>
      <c r="BL242">
        <v>2050</v>
      </c>
      <c r="BM242">
        <v>1990</v>
      </c>
    </row>
    <row r="243" spans="1:65">
      <c r="A243" t="s">
        <v>2321</v>
      </c>
      <c r="B243" t="s">
        <v>2322</v>
      </c>
      <c r="C243" t="s">
        <v>2244</v>
      </c>
      <c r="D243" t="s">
        <v>2245</v>
      </c>
      <c r="AK243">
        <v>1222.9806792126594</v>
      </c>
      <c r="AL243">
        <v>1182.0489083181869</v>
      </c>
      <c r="AM243">
        <v>1223.5196457763102</v>
      </c>
      <c r="AN243">
        <v>1270.1310420655627</v>
      </c>
      <c r="AO243">
        <v>1456.1030100413375</v>
      </c>
      <c r="AP243">
        <v>1582.6452152168029</v>
      </c>
      <c r="AQ243">
        <v>1635.2956929798734</v>
      </c>
      <c r="AR243">
        <v>1691.1428440470097</v>
      </c>
      <c r="AS243">
        <v>1775.9368685646702</v>
      </c>
      <c r="AT243">
        <v>1831.7240728997167</v>
      </c>
      <c r="AU243">
        <v>1816.53160557509</v>
      </c>
      <c r="AV243">
        <v>1897.020329267513</v>
      </c>
      <c r="AW243">
        <v>2150.5458662936981</v>
      </c>
      <c r="AX243">
        <v>2427.2833645929345</v>
      </c>
      <c r="AY243">
        <v>2768.1808080222822</v>
      </c>
      <c r="AZ243">
        <v>3239.1716703305833</v>
      </c>
      <c r="BA243">
        <v>3814.2500695647113</v>
      </c>
      <c r="BB243">
        <v>4188.9999077220646</v>
      </c>
      <c r="BC243">
        <v>4545.7589826894427</v>
      </c>
      <c r="BD243">
        <v>4296.2051369310675</v>
      </c>
      <c r="BE243">
        <v>4581.8764123333394</v>
      </c>
      <c r="BF243">
        <v>4639.1805914792494</v>
      </c>
      <c r="BG243">
        <v>4493.1982838248869</v>
      </c>
      <c r="BH243">
        <v>4043.8293125195542</v>
      </c>
      <c r="BI243">
        <v>3957.9548580888063</v>
      </c>
      <c r="BJ243">
        <v>3727.949940144224</v>
      </c>
      <c r="BK243">
        <v>3565.1392725344663</v>
      </c>
      <c r="BL243">
        <v>3452.5906178239961</v>
      </c>
      <c r="BM243">
        <v>3088.8995656304105</v>
      </c>
    </row>
    <row r="244" spans="1:65">
      <c r="A244" t="s">
        <v>187</v>
      </c>
      <c r="B244" t="s">
        <v>402</v>
      </c>
      <c r="C244" t="s">
        <v>2244</v>
      </c>
      <c r="D244" t="s">
        <v>2245</v>
      </c>
      <c r="AB244">
        <v>690</v>
      </c>
      <c r="AC244">
        <v>690</v>
      </c>
      <c r="AD244">
        <v>720</v>
      </c>
      <c r="AE244">
        <v>770</v>
      </c>
      <c r="AF244">
        <v>870</v>
      </c>
      <c r="AG244">
        <v>1070</v>
      </c>
      <c r="AH244">
        <v>1160</v>
      </c>
      <c r="AI244">
        <v>1220</v>
      </c>
      <c r="AJ244">
        <v>1350</v>
      </c>
      <c r="AK244">
        <v>1450</v>
      </c>
      <c r="AL244">
        <v>1530</v>
      </c>
      <c r="AM244">
        <v>1820</v>
      </c>
      <c r="AN244">
        <v>2090</v>
      </c>
      <c r="AO244">
        <v>2370</v>
      </c>
      <c r="AP244">
        <v>2340</v>
      </c>
      <c r="AQ244">
        <v>2240</v>
      </c>
      <c r="AR244">
        <v>2170</v>
      </c>
      <c r="AS244">
        <v>2080</v>
      </c>
      <c r="AT244">
        <v>2030</v>
      </c>
      <c r="AU244">
        <v>2000</v>
      </c>
      <c r="AV244">
        <v>2000</v>
      </c>
      <c r="AW244">
        <v>2160</v>
      </c>
      <c r="AX244">
        <v>2410</v>
      </c>
      <c r="AY244">
        <v>2720</v>
      </c>
      <c r="AZ244">
        <v>2900</v>
      </c>
      <c r="BA244">
        <v>3270</v>
      </c>
      <c r="BB244">
        <v>3180</v>
      </c>
      <c r="BC244">
        <v>3370</v>
      </c>
      <c r="BD244">
        <v>3810</v>
      </c>
      <c r="BE244">
        <v>4320</v>
      </c>
      <c r="BF244">
        <v>4540</v>
      </c>
      <c r="BG244">
        <v>4600</v>
      </c>
      <c r="BH244">
        <v>4440</v>
      </c>
      <c r="BI244">
        <v>4410</v>
      </c>
      <c r="BJ244">
        <v>4590</v>
      </c>
      <c r="BK244">
        <v>4800</v>
      </c>
      <c r="BL244">
        <v>5150</v>
      </c>
      <c r="BM244">
        <v>5190</v>
      </c>
    </row>
    <row r="245" spans="1:65">
      <c r="A245" t="s">
        <v>2323</v>
      </c>
      <c r="B245" t="s">
        <v>2324</v>
      </c>
      <c r="C245" t="s">
        <v>2244</v>
      </c>
      <c r="D245" t="s">
        <v>2245</v>
      </c>
      <c r="G245">
        <v>86.670073325957944</v>
      </c>
      <c r="H245">
        <v>93.943382584618789</v>
      </c>
      <c r="I245">
        <v>104.55732012769279</v>
      </c>
      <c r="J245">
        <v>109.33641733617726</v>
      </c>
      <c r="K245">
        <v>105.38670116255712</v>
      </c>
      <c r="L245">
        <v>106.57795509566931</v>
      </c>
      <c r="M245">
        <v>103.98937412362845</v>
      </c>
      <c r="N245">
        <v>111.35084872821581</v>
      </c>
      <c r="O245">
        <v>117.97680270426099</v>
      </c>
      <c r="P245">
        <v>121.91023596645452</v>
      </c>
      <c r="Q245">
        <v>125.77601675856407</v>
      </c>
      <c r="R245">
        <v>141.99044390999705</v>
      </c>
      <c r="S245">
        <v>164.5313427420063</v>
      </c>
      <c r="T245">
        <v>187.66324945406944</v>
      </c>
      <c r="U245">
        <v>181.74083444455323</v>
      </c>
      <c r="V245">
        <v>184.70231458817415</v>
      </c>
      <c r="W245">
        <v>203.53255179986763</v>
      </c>
      <c r="X245">
        <v>222.24356218233186</v>
      </c>
      <c r="Y245">
        <v>267.03706350390593</v>
      </c>
      <c r="Z245">
        <v>293.21057494280939</v>
      </c>
      <c r="AA245">
        <v>287.26890767034604</v>
      </c>
      <c r="AB245">
        <v>281.22711449243639</v>
      </c>
      <c r="AC245">
        <v>279.33284313994147</v>
      </c>
      <c r="AD245">
        <v>288.94520835768981</v>
      </c>
      <c r="AE245">
        <v>308.49527642540363</v>
      </c>
      <c r="AF245">
        <v>343.54789113372237</v>
      </c>
      <c r="AG245">
        <v>381.49056573271071</v>
      </c>
      <c r="AH245">
        <v>378.89946336998219</v>
      </c>
      <c r="AI245">
        <v>375.43322161718118</v>
      </c>
      <c r="AJ245">
        <v>347.96956999958854</v>
      </c>
      <c r="AK245">
        <v>349.69929774894166</v>
      </c>
      <c r="AL245">
        <v>335.41329210708147</v>
      </c>
      <c r="AM245">
        <v>349.28709768636173</v>
      </c>
      <c r="AN245">
        <v>374.67990043958878</v>
      </c>
      <c r="AO245">
        <v>406.1564980055918</v>
      </c>
      <c r="AP245">
        <v>414.14414770611603</v>
      </c>
      <c r="AQ245">
        <v>415.4534236668315</v>
      </c>
      <c r="AR245">
        <v>435.83023258708931</v>
      </c>
      <c r="AS245">
        <v>445.11813330849878</v>
      </c>
      <c r="AT245">
        <v>454.66417875293956</v>
      </c>
      <c r="AU245">
        <v>461.42361188504708</v>
      </c>
      <c r="AV245">
        <v>513.93464024006209</v>
      </c>
      <c r="AW245">
        <v>599.66352017333929</v>
      </c>
      <c r="AX245">
        <v>688.32379577915776</v>
      </c>
      <c r="AY245">
        <v>762.13526386566252</v>
      </c>
      <c r="AZ245">
        <v>871.01192941264628</v>
      </c>
      <c r="BA245">
        <v>949.19161808427657</v>
      </c>
      <c r="BB245">
        <v>1053.0155009218968</v>
      </c>
      <c r="BC245">
        <v>1147.1261430674022</v>
      </c>
      <c r="BD245">
        <v>1277.1295372609559</v>
      </c>
      <c r="BE245">
        <v>1390.2097494663276</v>
      </c>
      <c r="BF245">
        <v>1437.0894296352301</v>
      </c>
      <c r="BG245">
        <v>1480.672585212872</v>
      </c>
      <c r="BH245">
        <v>1525.6178110427807</v>
      </c>
      <c r="BI245">
        <v>1603.348426951532</v>
      </c>
      <c r="BJ245">
        <v>1733.6859257734516</v>
      </c>
      <c r="BK245">
        <v>1904.449482521168</v>
      </c>
      <c r="BL245">
        <v>1996.1603672351278</v>
      </c>
      <c r="BM245">
        <v>1834.9134625163638</v>
      </c>
    </row>
    <row r="246" spans="1:65">
      <c r="A246" t="s">
        <v>2325</v>
      </c>
      <c r="B246" t="s">
        <v>2326</v>
      </c>
      <c r="C246" t="s">
        <v>2244</v>
      </c>
      <c r="D246" t="s">
        <v>2245</v>
      </c>
      <c r="G246">
        <v>120.59510525166081</v>
      </c>
      <c r="H246">
        <v>127.51473216875756</v>
      </c>
      <c r="I246">
        <v>133.5603990702667</v>
      </c>
      <c r="J246">
        <v>141.26403336178947</v>
      </c>
      <c r="K246">
        <v>146.66179927202427</v>
      </c>
      <c r="L246">
        <v>150.44526657614603</v>
      </c>
      <c r="M246">
        <v>157.02161335567422</v>
      </c>
      <c r="N246">
        <v>170.16614688081924</v>
      </c>
      <c r="O246">
        <v>191.48140504625815</v>
      </c>
      <c r="P246">
        <v>204.0817689417361</v>
      </c>
      <c r="Q246">
        <v>217.67207233461724</v>
      </c>
      <c r="R246">
        <v>252.03168129787343</v>
      </c>
      <c r="S246">
        <v>329.7509132735396</v>
      </c>
      <c r="T246">
        <v>385.09631995900679</v>
      </c>
      <c r="U246">
        <v>412.92828467067295</v>
      </c>
      <c r="V246">
        <v>424.73070084574135</v>
      </c>
      <c r="W246">
        <v>446.89008971861574</v>
      </c>
      <c r="X246">
        <v>523.03931309918289</v>
      </c>
      <c r="Y246">
        <v>624.1755732428993</v>
      </c>
      <c r="Z246">
        <v>718.22969923552319</v>
      </c>
      <c r="AA246">
        <v>754.1941064631568</v>
      </c>
      <c r="AB246">
        <v>742.38049660156071</v>
      </c>
      <c r="AC246">
        <v>652.30325594546878</v>
      </c>
      <c r="AD246">
        <v>588.6262914022119</v>
      </c>
      <c r="AE246">
        <v>565.67423394215075</v>
      </c>
      <c r="AF246">
        <v>604.53246324021063</v>
      </c>
      <c r="AG246">
        <v>655.93892321887256</v>
      </c>
      <c r="AH246">
        <v>641.75269167622582</v>
      </c>
      <c r="AI246">
        <v>627.22115497737389</v>
      </c>
      <c r="AJ246">
        <v>624.18613234122677</v>
      </c>
      <c r="AK246">
        <v>620.88937688826593</v>
      </c>
      <c r="AL246">
        <v>595.04031786689677</v>
      </c>
      <c r="AM246">
        <v>576.59339937819448</v>
      </c>
      <c r="AN246">
        <v>601.87957119912062</v>
      </c>
      <c r="AO246">
        <v>618.72242234068779</v>
      </c>
      <c r="AP246">
        <v>635.10415419208346</v>
      </c>
      <c r="AQ246">
        <v>600.14996133698332</v>
      </c>
      <c r="AR246">
        <v>588.43659490987829</v>
      </c>
      <c r="AS246">
        <v>581.30269605879027</v>
      </c>
      <c r="AT246">
        <v>574.91532274311453</v>
      </c>
      <c r="AU246">
        <v>583.88250038084675</v>
      </c>
      <c r="AV246">
        <v>639.06177700456249</v>
      </c>
      <c r="AW246">
        <v>777.50691150963507</v>
      </c>
      <c r="AX246">
        <v>952.99603439498833</v>
      </c>
      <c r="AY246">
        <v>1105.5612777090266</v>
      </c>
      <c r="AZ246">
        <v>1239.4293950864417</v>
      </c>
      <c r="BA246">
        <v>1390.8429167149957</v>
      </c>
      <c r="BB246">
        <v>1429.0444590901884</v>
      </c>
      <c r="BC246">
        <v>1492.848185097391</v>
      </c>
      <c r="BD246">
        <v>1580.1371469109547</v>
      </c>
      <c r="BE246">
        <v>1711.016547721943</v>
      </c>
      <c r="BF246">
        <v>1791.9445829909666</v>
      </c>
      <c r="BG246">
        <v>1832.0887340111206</v>
      </c>
      <c r="BH246">
        <v>1751.3080166701754</v>
      </c>
      <c r="BI246">
        <v>1599.1666358524817</v>
      </c>
      <c r="BJ246">
        <v>1510.1144247470957</v>
      </c>
      <c r="BK246">
        <v>1541.9962420597205</v>
      </c>
      <c r="BL246">
        <v>1589.6248763577569</v>
      </c>
      <c r="BM246">
        <v>1506.501393696421</v>
      </c>
    </row>
    <row r="247" spans="1:65">
      <c r="A247" t="s">
        <v>234</v>
      </c>
      <c r="B247" t="s">
        <v>585</v>
      </c>
      <c r="C247" t="s">
        <v>2244</v>
      </c>
      <c r="D247" t="s">
        <v>2245</v>
      </c>
      <c r="G247">
        <v>640</v>
      </c>
      <c r="H247">
        <v>750</v>
      </c>
      <c r="I247">
        <v>800</v>
      </c>
      <c r="J247">
        <v>820</v>
      </c>
      <c r="K247">
        <v>760</v>
      </c>
      <c r="L247">
        <v>770</v>
      </c>
      <c r="M247">
        <v>790</v>
      </c>
      <c r="N247">
        <v>810</v>
      </c>
      <c r="O247">
        <v>830</v>
      </c>
      <c r="P247">
        <v>870</v>
      </c>
      <c r="Q247">
        <v>1000</v>
      </c>
      <c r="R247">
        <v>1200</v>
      </c>
      <c r="S247">
        <v>1500</v>
      </c>
      <c r="T247">
        <v>2170</v>
      </c>
      <c r="U247">
        <v>2530</v>
      </c>
      <c r="V247">
        <v>2810</v>
      </c>
      <c r="W247">
        <v>3360</v>
      </c>
      <c r="X247">
        <v>3940</v>
      </c>
      <c r="Y247">
        <v>5140</v>
      </c>
      <c r="Z247">
        <v>6060</v>
      </c>
      <c r="AA247">
        <v>6710</v>
      </c>
      <c r="AB247">
        <v>6120</v>
      </c>
      <c r="AC247">
        <v>6030</v>
      </c>
      <c r="AD247">
        <v>5900</v>
      </c>
      <c r="AE247">
        <v>5090</v>
      </c>
      <c r="AF247">
        <v>4280</v>
      </c>
      <c r="AG247">
        <v>3930</v>
      </c>
      <c r="AH247">
        <v>3630</v>
      </c>
      <c r="AI247">
        <v>3710</v>
      </c>
      <c r="AJ247">
        <v>3890</v>
      </c>
      <c r="AK247">
        <v>4420</v>
      </c>
      <c r="AL247">
        <v>4080</v>
      </c>
      <c r="AM247">
        <v>3880</v>
      </c>
      <c r="AN247">
        <v>3970</v>
      </c>
      <c r="AO247">
        <v>4230</v>
      </c>
      <c r="AP247">
        <v>4500</v>
      </c>
      <c r="AQ247">
        <v>4620</v>
      </c>
      <c r="AR247">
        <v>4890</v>
      </c>
      <c r="AS247">
        <v>5400</v>
      </c>
      <c r="AT247">
        <v>6070</v>
      </c>
      <c r="AU247">
        <v>6760</v>
      </c>
      <c r="AV247">
        <v>8070</v>
      </c>
      <c r="AW247">
        <v>9700</v>
      </c>
      <c r="AX247">
        <v>11190</v>
      </c>
      <c r="AY247">
        <v>13280</v>
      </c>
      <c r="AZ247">
        <v>15000</v>
      </c>
      <c r="BA247">
        <v>17350</v>
      </c>
      <c r="BB247">
        <v>16200</v>
      </c>
      <c r="BC247">
        <v>16460</v>
      </c>
      <c r="BD247">
        <v>14970</v>
      </c>
      <c r="BE247">
        <v>16840</v>
      </c>
      <c r="BF247">
        <v>18750</v>
      </c>
      <c r="BG247">
        <v>18560</v>
      </c>
      <c r="BH247">
        <v>18910</v>
      </c>
      <c r="BI247">
        <v>16880</v>
      </c>
      <c r="BJ247">
        <v>15980</v>
      </c>
      <c r="BK247">
        <v>15990</v>
      </c>
      <c r="BL247">
        <v>16580</v>
      </c>
      <c r="BM247">
        <v>15420</v>
      </c>
    </row>
    <row r="248" spans="1:65">
      <c r="A248" t="s">
        <v>162</v>
      </c>
      <c r="B248" t="s">
        <v>376</v>
      </c>
      <c r="C248" t="s">
        <v>2244</v>
      </c>
      <c r="D248" t="s">
        <v>2245</v>
      </c>
      <c r="L248">
        <v>220</v>
      </c>
      <c r="M248">
        <v>250</v>
      </c>
      <c r="N248">
        <v>260</v>
      </c>
      <c r="O248">
        <v>270</v>
      </c>
      <c r="P248">
        <v>310</v>
      </c>
      <c r="Q248">
        <v>400</v>
      </c>
      <c r="R248">
        <v>460</v>
      </c>
      <c r="S248">
        <v>610</v>
      </c>
      <c r="T248">
        <v>760</v>
      </c>
      <c r="U248">
        <v>810</v>
      </c>
      <c r="V248">
        <v>850</v>
      </c>
      <c r="W248">
        <v>940</v>
      </c>
      <c r="X248">
        <v>1130</v>
      </c>
      <c r="Y248">
        <v>1360</v>
      </c>
      <c r="Z248">
        <v>1420</v>
      </c>
      <c r="AA248">
        <v>1280</v>
      </c>
      <c r="AB248">
        <v>1180</v>
      </c>
      <c r="AC248">
        <v>1160</v>
      </c>
      <c r="AD248">
        <v>1150</v>
      </c>
      <c r="AE248">
        <v>1140</v>
      </c>
      <c r="AF248">
        <v>1270</v>
      </c>
      <c r="AG248">
        <v>1330</v>
      </c>
      <c r="AH248">
        <v>1290</v>
      </c>
      <c r="AI248">
        <v>1410</v>
      </c>
      <c r="AJ248">
        <v>1460</v>
      </c>
      <c r="AK248">
        <v>1680</v>
      </c>
      <c r="AL248">
        <v>1660</v>
      </c>
      <c r="AM248">
        <v>1710</v>
      </c>
      <c r="AN248">
        <v>1790</v>
      </c>
      <c r="AO248">
        <v>1970</v>
      </c>
      <c r="AP248">
        <v>2120</v>
      </c>
      <c r="AQ248">
        <v>2150</v>
      </c>
      <c r="AR248">
        <v>2260</v>
      </c>
      <c r="AS248">
        <v>2270</v>
      </c>
      <c r="AT248">
        <v>2240</v>
      </c>
      <c r="AU248">
        <v>2180</v>
      </c>
      <c r="AV248">
        <v>2450</v>
      </c>
      <c r="AW248">
        <v>2900</v>
      </c>
      <c r="AX248">
        <v>3160</v>
      </c>
      <c r="AY248">
        <v>3330</v>
      </c>
      <c r="AZ248">
        <v>3540</v>
      </c>
      <c r="BA248">
        <v>3860</v>
      </c>
      <c r="BB248">
        <v>4070</v>
      </c>
      <c r="BC248">
        <v>4210</v>
      </c>
      <c r="BD248">
        <v>4130</v>
      </c>
      <c r="BE248">
        <v>4320</v>
      </c>
      <c r="BF248">
        <v>4360</v>
      </c>
      <c r="BG248">
        <v>4380</v>
      </c>
      <c r="BH248">
        <v>4190</v>
      </c>
      <c r="BI248">
        <v>3980</v>
      </c>
      <c r="BJ248">
        <v>3750</v>
      </c>
      <c r="BK248">
        <v>3730</v>
      </c>
      <c r="BL248">
        <v>3580</v>
      </c>
      <c r="BM248">
        <v>3300</v>
      </c>
    </row>
    <row r="249" spans="1:65">
      <c r="A249" t="s">
        <v>653</v>
      </c>
      <c r="B249" t="s">
        <v>433</v>
      </c>
      <c r="C249" t="s">
        <v>2244</v>
      </c>
      <c r="D249" t="s">
        <v>2245</v>
      </c>
      <c r="L249">
        <v>470</v>
      </c>
      <c r="M249">
        <v>520</v>
      </c>
      <c r="N249">
        <v>560</v>
      </c>
      <c r="O249">
        <v>560</v>
      </c>
      <c r="P249">
        <v>530</v>
      </c>
      <c r="Q249">
        <v>560</v>
      </c>
      <c r="R249">
        <v>640</v>
      </c>
      <c r="S249">
        <v>860</v>
      </c>
      <c r="T249">
        <v>1110</v>
      </c>
      <c r="U249">
        <v>1310</v>
      </c>
      <c r="V249">
        <v>1410</v>
      </c>
      <c r="W249">
        <v>1530</v>
      </c>
      <c r="X249">
        <v>1820</v>
      </c>
      <c r="Y249">
        <v>1860</v>
      </c>
      <c r="Z249">
        <v>1860</v>
      </c>
      <c r="AA249">
        <v>1570</v>
      </c>
      <c r="AB249">
        <v>1400</v>
      </c>
      <c r="AC249">
        <v>1310</v>
      </c>
      <c r="AD249">
        <v>1310</v>
      </c>
      <c r="AE249">
        <v>1450</v>
      </c>
      <c r="AF249">
        <v>1740</v>
      </c>
      <c r="AG249">
        <v>1860</v>
      </c>
      <c r="AH249">
        <v>1920</v>
      </c>
      <c r="AI249">
        <v>2310</v>
      </c>
      <c r="AJ249">
        <v>2590</v>
      </c>
      <c r="AK249">
        <v>2940</v>
      </c>
      <c r="AL249">
        <v>3140</v>
      </c>
      <c r="AM249">
        <v>2680</v>
      </c>
      <c r="AN249">
        <v>2850</v>
      </c>
      <c r="AO249">
        <v>2920</v>
      </c>
      <c r="AP249">
        <v>3190</v>
      </c>
      <c r="AQ249">
        <v>3440</v>
      </c>
      <c r="AR249">
        <v>3590</v>
      </c>
      <c r="AS249">
        <v>4320</v>
      </c>
      <c r="AT249">
        <v>3580</v>
      </c>
      <c r="AU249">
        <v>3590</v>
      </c>
      <c r="AV249">
        <v>3950</v>
      </c>
      <c r="AW249">
        <v>5270</v>
      </c>
      <c r="AX249">
        <v>6820</v>
      </c>
      <c r="AY249">
        <v>7880</v>
      </c>
      <c r="AZ249">
        <v>8950</v>
      </c>
      <c r="BA249">
        <v>9850</v>
      </c>
      <c r="BB249">
        <v>9640</v>
      </c>
      <c r="BC249">
        <v>10490</v>
      </c>
      <c r="BD249">
        <v>11310</v>
      </c>
      <c r="BE249">
        <v>11960</v>
      </c>
      <c r="BF249">
        <v>12600</v>
      </c>
      <c r="BG249">
        <v>12630</v>
      </c>
      <c r="BH249">
        <v>12030</v>
      </c>
      <c r="BI249">
        <v>11260</v>
      </c>
      <c r="BJ249">
        <v>10970</v>
      </c>
      <c r="BK249">
        <v>10510</v>
      </c>
      <c r="BL249">
        <v>9690</v>
      </c>
      <c r="BM249">
        <v>9050</v>
      </c>
    </row>
    <row r="250" spans="1:65">
      <c r="A250" t="s">
        <v>197</v>
      </c>
      <c r="B250" t="s">
        <v>412</v>
      </c>
      <c r="C250" t="s">
        <v>2244</v>
      </c>
      <c r="D250" t="s">
        <v>2245</v>
      </c>
      <c r="AT250">
        <v>2710</v>
      </c>
      <c r="AU250">
        <v>3310</v>
      </c>
      <c r="AV250">
        <v>2490</v>
      </c>
      <c r="AW250">
        <v>3240</v>
      </c>
      <c r="AX250">
        <v>3630</v>
      </c>
      <c r="AY250">
        <v>3780</v>
      </c>
      <c r="AZ250">
        <v>4500</v>
      </c>
      <c r="BA250">
        <v>4660</v>
      </c>
      <c r="BB250">
        <v>4830</v>
      </c>
      <c r="BC250">
        <v>4400</v>
      </c>
      <c r="BD250">
        <v>4730</v>
      </c>
      <c r="BE250">
        <v>4430</v>
      </c>
      <c r="BF250">
        <v>5560</v>
      </c>
      <c r="BG250">
        <v>4670</v>
      </c>
      <c r="BH250">
        <v>5440</v>
      </c>
      <c r="BI250">
        <v>5060</v>
      </c>
      <c r="BJ250">
        <v>4810</v>
      </c>
      <c r="BK250">
        <v>5440</v>
      </c>
      <c r="BL250">
        <v>5620</v>
      </c>
      <c r="BM250">
        <v>5820</v>
      </c>
    </row>
    <row r="251" spans="1:65">
      <c r="A251" t="s">
        <v>121</v>
      </c>
      <c r="B251" t="s">
        <v>335</v>
      </c>
      <c r="C251" t="s">
        <v>2244</v>
      </c>
      <c r="D251" t="s">
        <v>2245</v>
      </c>
      <c r="AI251">
        <v>200</v>
      </c>
      <c r="AJ251">
        <v>190</v>
      </c>
      <c r="AK251">
        <v>180</v>
      </c>
      <c r="AL251">
        <v>170</v>
      </c>
      <c r="AM251">
        <v>160</v>
      </c>
      <c r="AN251">
        <v>170</v>
      </c>
      <c r="AO251">
        <v>190</v>
      </c>
      <c r="AP251">
        <v>220</v>
      </c>
      <c r="AQ251">
        <v>270</v>
      </c>
      <c r="AR251">
        <v>330</v>
      </c>
      <c r="AS251">
        <v>410</v>
      </c>
      <c r="AT251">
        <v>410</v>
      </c>
      <c r="AU251">
        <v>420</v>
      </c>
      <c r="AV251">
        <v>430</v>
      </c>
      <c r="AW251">
        <v>470</v>
      </c>
      <c r="AX251">
        <v>500</v>
      </c>
      <c r="AY251">
        <v>520</v>
      </c>
      <c r="AZ251">
        <v>540</v>
      </c>
      <c r="BA251">
        <v>600</v>
      </c>
      <c r="BB251">
        <v>670</v>
      </c>
      <c r="BC251">
        <v>720</v>
      </c>
      <c r="BD251">
        <v>770</v>
      </c>
      <c r="BE251">
        <v>810</v>
      </c>
      <c r="BF251">
        <v>890</v>
      </c>
      <c r="BG251">
        <v>970</v>
      </c>
      <c r="BH251">
        <v>980</v>
      </c>
      <c r="BI251">
        <v>970</v>
      </c>
      <c r="BJ251">
        <v>970</v>
      </c>
      <c r="BK251">
        <v>1030</v>
      </c>
      <c r="BL251">
        <v>1100</v>
      </c>
      <c r="BM251">
        <v>1080</v>
      </c>
    </row>
    <row r="252" spans="1:65">
      <c r="A252" t="s">
        <v>110</v>
      </c>
      <c r="B252" t="s">
        <v>323</v>
      </c>
      <c r="C252" t="s">
        <v>2244</v>
      </c>
      <c r="D252" t="s">
        <v>2245</v>
      </c>
      <c r="AC252">
        <v>180</v>
      </c>
      <c r="AD252">
        <v>200</v>
      </c>
      <c r="AE252">
        <v>250</v>
      </c>
      <c r="AF252">
        <v>310</v>
      </c>
      <c r="AG252">
        <v>400</v>
      </c>
      <c r="AH252">
        <v>400</v>
      </c>
      <c r="AI252">
        <v>320</v>
      </c>
      <c r="AJ252">
        <v>250</v>
      </c>
      <c r="AK252">
        <v>190</v>
      </c>
      <c r="AL252">
        <v>180</v>
      </c>
      <c r="AM252">
        <v>180</v>
      </c>
      <c r="AN252">
        <v>230</v>
      </c>
      <c r="AO252">
        <v>280</v>
      </c>
      <c r="AP252">
        <v>300</v>
      </c>
      <c r="AQ252">
        <v>290</v>
      </c>
      <c r="AR252">
        <v>290</v>
      </c>
      <c r="AS252">
        <v>270</v>
      </c>
      <c r="AT252">
        <v>250</v>
      </c>
      <c r="AU252">
        <v>250</v>
      </c>
      <c r="AV252">
        <v>260</v>
      </c>
      <c r="AW252">
        <v>280</v>
      </c>
      <c r="AX252">
        <v>310</v>
      </c>
      <c r="AY252">
        <v>350</v>
      </c>
      <c r="AZ252">
        <v>390</v>
      </c>
      <c r="BA252">
        <v>430</v>
      </c>
      <c r="BB252">
        <v>550</v>
      </c>
      <c r="BC252">
        <v>680</v>
      </c>
      <c r="BD252">
        <v>850</v>
      </c>
      <c r="BE252">
        <v>830</v>
      </c>
      <c r="BF252">
        <v>800</v>
      </c>
      <c r="BG252">
        <v>820</v>
      </c>
      <c r="BH252">
        <v>830</v>
      </c>
      <c r="BI252">
        <v>800</v>
      </c>
      <c r="BJ252">
        <v>740</v>
      </c>
      <c r="BK252">
        <v>750</v>
      </c>
      <c r="BL252">
        <v>790</v>
      </c>
      <c r="BM252">
        <v>800</v>
      </c>
    </row>
    <row r="253" spans="1:65">
      <c r="A253" t="s">
        <v>170</v>
      </c>
      <c r="B253" t="s">
        <v>384</v>
      </c>
      <c r="C253" t="s">
        <v>2244</v>
      </c>
      <c r="D253" t="s">
        <v>2245</v>
      </c>
      <c r="AH253">
        <v>1620</v>
      </c>
      <c r="AI253">
        <v>1610</v>
      </c>
      <c r="AJ253">
        <v>1520</v>
      </c>
      <c r="AK253">
        <v>1410</v>
      </c>
      <c r="AL253">
        <v>1230</v>
      </c>
      <c r="AM253">
        <v>1000</v>
      </c>
      <c r="AN253">
        <v>920</v>
      </c>
      <c r="AO253">
        <v>860</v>
      </c>
      <c r="AP253">
        <v>890</v>
      </c>
      <c r="AQ253">
        <v>850</v>
      </c>
      <c r="AR253">
        <v>760</v>
      </c>
      <c r="AS253">
        <v>680</v>
      </c>
      <c r="AT253">
        <v>720</v>
      </c>
      <c r="AU253">
        <v>790</v>
      </c>
      <c r="AV253">
        <v>980</v>
      </c>
      <c r="AW253">
        <v>1270</v>
      </c>
      <c r="AX253">
        <v>1540</v>
      </c>
      <c r="AY253">
        <v>1950</v>
      </c>
      <c r="AZ253">
        <v>2590</v>
      </c>
      <c r="BA253">
        <v>3210</v>
      </c>
      <c r="BB253">
        <v>2840</v>
      </c>
      <c r="BC253">
        <v>3030</v>
      </c>
      <c r="BD253">
        <v>3150</v>
      </c>
      <c r="BE253">
        <v>3650</v>
      </c>
      <c r="BF253">
        <v>3950</v>
      </c>
      <c r="BG253">
        <v>3560</v>
      </c>
      <c r="BH253">
        <v>2800</v>
      </c>
      <c r="BI253">
        <v>2360</v>
      </c>
      <c r="BJ253">
        <v>2360</v>
      </c>
      <c r="BK253">
        <v>2750</v>
      </c>
      <c r="BL253">
        <v>3310</v>
      </c>
      <c r="BM253">
        <v>3570</v>
      </c>
    </row>
    <row r="254" spans="1:65">
      <c r="A254" t="s">
        <v>389</v>
      </c>
      <c r="B254" t="s">
        <v>2327</v>
      </c>
      <c r="C254" t="s">
        <v>2244</v>
      </c>
      <c r="D254" t="s">
        <v>2245</v>
      </c>
      <c r="G254">
        <v>169.0969371018644</v>
      </c>
      <c r="H254">
        <v>184.70813888598951</v>
      </c>
      <c r="I254">
        <v>206.96484250274227</v>
      </c>
      <c r="J254">
        <v>230.14138882422165</v>
      </c>
      <c r="K254">
        <v>249.16171031854842</v>
      </c>
      <c r="L254">
        <v>247.74440067913636</v>
      </c>
      <c r="M254">
        <v>256.13293860076732</v>
      </c>
      <c r="N254">
        <v>279.92156120867713</v>
      </c>
      <c r="O254">
        <v>303.89146413716918</v>
      </c>
      <c r="P254">
        <v>322.75471336357464</v>
      </c>
      <c r="Q254">
        <v>348.93893807636584</v>
      </c>
      <c r="R254">
        <v>422.57487053778306</v>
      </c>
      <c r="S254">
        <v>522.94713924842881</v>
      </c>
      <c r="T254">
        <v>616.05316918424762</v>
      </c>
      <c r="U254">
        <v>633.45476637397041</v>
      </c>
      <c r="V254">
        <v>656.38479765488023</v>
      </c>
      <c r="W254">
        <v>703.82931633265537</v>
      </c>
      <c r="X254">
        <v>816.98336135907516</v>
      </c>
      <c r="Y254">
        <v>931.83090000020309</v>
      </c>
      <c r="Z254">
        <v>991.21952949014394</v>
      </c>
      <c r="AA254">
        <v>946.08698926586544</v>
      </c>
      <c r="AB254">
        <v>864.40602569187831</v>
      </c>
      <c r="AC254">
        <v>866.45584439373829</v>
      </c>
      <c r="AD254">
        <v>876.49993733759038</v>
      </c>
      <c r="AE254">
        <v>923.36801671543742</v>
      </c>
      <c r="AF254">
        <v>1010.1095577969322</v>
      </c>
      <c r="AG254">
        <v>1091.1953354724185</v>
      </c>
      <c r="AH254">
        <v>1107.2996273999572</v>
      </c>
      <c r="AI254">
        <v>1194.2813453203967</v>
      </c>
      <c r="AJ254">
        <v>1206.2436947651859</v>
      </c>
      <c r="AK254">
        <v>1295.0465701007954</v>
      </c>
      <c r="AL254">
        <v>1370.3814864983735</v>
      </c>
      <c r="AM254">
        <v>1468.7850973478887</v>
      </c>
      <c r="AN254">
        <v>1589.6413679129907</v>
      </c>
      <c r="AO254">
        <v>1759.5320195719935</v>
      </c>
      <c r="AP254">
        <v>1896.3311740363881</v>
      </c>
      <c r="AQ254">
        <v>1859.3156351304872</v>
      </c>
      <c r="AR254">
        <v>1821.3511131861931</v>
      </c>
      <c r="AS254">
        <v>1906.1554771998881</v>
      </c>
      <c r="AT254">
        <v>1905.5043388720262</v>
      </c>
      <c r="AU254">
        <v>1938.369870747609</v>
      </c>
      <c r="AV254">
        <v>2105.3335022409824</v>
      </c>
      <c r="AW254">
        <v>2463.0021236532266</v>
      </c>
      <c r="AX254">
        <v>2897.781177764793</v>
      </c>
      <c r="AY254">
        <v>3407.4752448038166</v>
      </c>
      <c r="AZ254">
        <v>4073.3891162666896</v>
      </c>
      <c r="BA254">
        <v>4861.3478305882172</v>
      </c>
      <c r="BB254">
        <v>5229.5458122010868</v>
      </c>
      <c r="BC254">
        <v>5890.5878476292146</v>
      </c>
      <c r="BD254">
        <v>6614.582703449737</v>
      </c>
      <c r="BE254">
        <v>7581.608065058007</v>
      </c>
      <c r="BF254">
        <v>8323.6415568808825</v>
      </c>
      <c r="BG254">
        <v>8662.9818931465925</v>
      </c>
      <c r="BH254">
        <v>8456.6713901089479</v>
      </c>
      <c r="BI254">
        <v>8254.5585359941924</v>
      </c>
      <c r="BJ254">
        <v>8434.0634914692364</v>
      </c>
      <c r="BK254">
        <v>9105.1685892801925</v>
      </c>
      <c r="BL254">
        <v>9658.6583976609782</v>
      </c>
      <c r="BM254">
        <v>9412.2801953336166</v>
      </c>
    </row>
    <row r="255" spans="1:65">
      <c r="A255" t="s">
        <v>235</v>
      </c>
      <c r="B255" t="s">
        <v>589</v>
      </c>
      <c r="C255" t="s">
        <v>2244</v>
      </c>
      <c r="D255" t="s">
        <v>2245</v>
      </c>
      <c r="G255">
        <v>580</v>
      </c>
      <c r="H255">
        <v>610</v>
      </c>
      <c r="I255">
        <v>660</v>
      </c>
      <c r="J255">
        <v>680</v>
      </c>
      <c r="K255">
        <v>720</v>
      </c>
      <c r="L255">
        <v>640</v>
      </c>
      <c r="M255">
        <v>610</v>
      </c>
      <c r="N255">
        <v>670</v>
      </c>
      <c r="O255">
        <v>820</v>
      </c>
      <c r="P255">
        <v>850</v>
      </c>
      <c r="Q255">
        <v>870</v>
      </c>
      <c r="R255">
        <v>1060</v>
      </c>
      <c r="S255">
        <v>1370</v>
      </c>
      <c r="T255">
        <v>1620</v>
      </c>
      <c r="U255">
        <v>1490</v>
      </c>
      <c r="V255">
        <v>1420</v>
      </c>
      <c r="W255">
        <v>1630</v>
      </c>
      <c r="X255">
        <v>2150</v>
      </c>
      <c r="Y255">
        <v>2870</v>
      </c>
      <c r="Z255">
        <v>3650</v>
      </c>
      <c r="AA255">
        <v>3290</v>
      </c>
      <c r="AB255">
        <v>2190</v>
      </c>
      <c r="AC255">
        <v>1740</v>
      </c>
      <c r="AD255">
        <v>1510</v>
      </c>
      <c r="AE255">
        <v>1780</v>
      </c>
      <c r="AF255">
        <v>2210</v>
      </c>
      <c r="AG255">
        <v>2600</v>
      </c>
      <c r="AH255">
        <v>2730</v>
      </c>
      <c r="AI255">
        <v>2840</v>
      </c>
      <c r="AJ255">
        <v>3180</v>
      </c>
      <c r="AK255">
        <v>3830</v>
      </c>
      <c r="AL255">
        <v>4350</v>
      </c>
      <c r="AM255">
        <v>5040</v>
      </c>
      <c r="AN255">
        <v>5530</v>
      </c>
      <c r="AO255">
        <v>6160</v>
      </c>
      <c r="AP255">
        <v>6970</v>
      </c>
      <c r="AQ255">
        <v>7240</v>
      </c>
      <c r="AR255">
        <v>7260</v>
      </c>
      <c r="AS255">
        <v>7060</v>
      </c>
      <c r="AT255">
        <v>6500</v>
      </c>
      <c r="AU255">
        <v>5140</v>
      </c>
      <c r="AV255">
        <v>4250</v>
      </c>
      <c r="AW255">
        <v>4130</v>
      </c>
      <c r="AX255">
        <v>4720</v>
      </c>
      <c r="AY255">
        <v>5390</v>
      </c>
      <c r="AZ255">
        <v>6390</v>
      </c>
      <c r="BA255">
        <v>7710</v>
      </c>
      <c r="BB255">
        <v>8810</v>
      </c>
      <c r="BC255">
        <v>10440</v>
      </c>
      <c r="BD255">
        <v>12060</v>
      </c>
      <c r="BE255">
        <v>13330</v>
      </c>
      <c r="BF255">
        <v>15330</v>
      </c>
      <c r="BG255">
        <v>15790</v>
      </c>
      <c r="BH255">
        <v>15620</v>
      </c>
      <c r="BI255">
        <v>15440</v>
      </c>
      <c r="BJ255">
        <v>15920</v>
      </c>
      <c r="BK255">
        <v>17270</v>
      </c>
      <c r="BL255">
        <v>17760</v>
      </c>
      <c r="BM255">
        <v>15790</v>
      </c>
    </row>
    <row r="256" spans="1:65">
      <c r="A256" t="s">
        <v>77</v>
      </c>
      <c r="B256" t="s">
        <v>465</v>
      </c>
      <c r="C256" t="s">
        <v>2244</v>
      </c>
      <c r="D256" t="s">
        <v>2245</v>
      </c>
      <c r="G256">
        <v>3280</v>
      </c>
      <c r="H256">
        <v>3410</v>
      </c>
      <c r="I256">
        <v>3610</v>
      </c>
      <c r="J256">
        <v>3880</v>
      </c>
      <c r="K256">
        <v>4190</v>
      </c>
      <c r="L256">
        <v>4370</v>
      </c>
      <c r="M256">
        <v>4740</v>
      </c>
      <c r="N256">
        <v>5070</v>
      </c>
      <c r="O256">
        <v>5230</v>
      </c>
      <c r="P256">
        <v>5620</v>
      </c>
      <c r="Q256">
        <v>6280</v>
      </c>
      <c r="R256">
        <v>7290</v>
      </c>
      <c r="S256">
        <v>7980</v>
      </c>
      <c r="T256">
        <v>8510</v>
      </c>
      <c r="U256">
        <v>8960</v>
      </c>
      <c r="V256">
        <v>9590</v>
      </c>
      <c r="W256">
        <v>10760</v>
      </c>
      <c r="X256">
        <v>12200</v>
      </c>
      <c r="Y256">
        <v>13380</v>
      </c>
      <c r="Z256">
        <v>14360</v>
      </c>
      <c r="AA256">
        <v>14220</v>
      </c>
      <c r="AB256">
        <v>14570</v>
      </c>
      <c r="AC256">
        <v>16210</v>
      </c>
      <c r="AD256">
        <v>17460</v>
      </c>
      <c r="AE256">
        <v>19110</v>
      </c>
      <c r="AF256">
        <v>21390</v>
      </c>
      <c r="AG256">
        <v>23490</v>
      </c>
      <c r="AH256">
        <v>23770</v>
      </c>
      <c r="AI256">
        <v>24060</v>
      </c>
      <c r="AJ256">
        <v>24270</v>
      </c>
      <c r="AK256">
        <v>25680</v>
      </c>
      <c r="AL256">
        <v>26390</v>
      </c>
      <c r="AM256">
        <v>27650</v>
      </c>
      <c r="AN256">
        <v>29040</v>
      </c>
      <c r="AO256">
        <v>30270</v>
      </c>
      <c r="AP256">
        <v>31260</v>
      </c>
      <c r="AQ256">
        <v>32020</v>
      </c>
      <c r="AR256">
        <v>33670</v>
      </c>
      <c r="AS256">
        <v>35960</v>
      </c>
      <c r="AT256">
        <v>36720</v>
      </c>
      <c r="AU256">
        <v>37310</v>
      </c>
      <c r="AV256">
        <v>39780</v>
      </c>
      <c r="AW256">
        <v>43520</v>
      </c>
      <c r="AX256">
        <v>46180</v>
      </c>
      <c r="AY256">
        <v>47850</v>
      </c>
      <c r="AZ256">
        <v>48520</v>
      </c>
      <c r="BA256">
        <v>49090</v>
      </c>
      <c r="BB256">
        <v>47830</v>
      </c>
      <c r="BC256">
        <v>49140</v>
      </c>
      <c r="BD256">
        <v>50630</v>
      </c>
      <c r="BE256">
        <v>52780</v>
      </c>
      <c r="BF256">
        <v>53980</v>
      </c>
      <c r="BG256">
        <v>55800</v>
      </c>
      <c r="BH256">
        <v>56640</v>
      </c>
      <c r="BI256">
        <v>57130</v>
      </c>
      <c r="BJ256">
        <v>59240</v>
      </c>
      <c r="BK256">
        <v>63490</v>
      </c>
      <c r="BL256">
        <v>65970</v>
      </c>
      <c r="BM256">
        <v>64140</v>
      </c>
    </row>
    <row r="257" spans="1:65">
      <c r="A257" t="s">
        <v>138</v>
      </c>
      <c r="B257" t="s">
        <v>352</v>
      </c>
      <c r="C257" t="s">
        <v>2244</v>
      </c>
      <c r="D257" t="s">
        <v>2245</v>
      </c>
      <c r="AK257">
        <v>600</v>
      </c>
      <c r="AL257">
        <v>590</v>
      </c>
      <c r="AM257">
        <v>570</v>
      </c>
      <c r="AN257">
        <v>580</v>
      </c>
      <c r="AO257">
        <v>600</v>
      </c>
      <c r="AP257">
        <v>610</v>
      </c>
      <c r="AQ257">
        <v>620</v>
      </c>
      <c r="AR257">
        <v>650</v>
      </c>
      <c r="AS257">
        <v>630</v>
      </c>
      <c r="AT257">
        <v>560</v>
      </c>
      <c r="AU257">
        <v>450</v>
      </c>
      <c r="AV257">
        <v>420</v>
      </c>
      <c r="AW257">
        <v>460</v>
      </c>
      <c r="AX257">
        <v>530</v>
      </c>
      <c r="AY257">
        <v>610</v>
      </c>
      <c r="AZ257">
        <v>770</v>
      </c>
      <c r="BA257">
        <v>980</v>
      </c>
      <c r="BB257">
        <v>1150</v>
      </c>
      <c r="BC257">
        <v>1410</v>
      </c>
      <c r="BD257">
        <v>1730</v>
      </c>
      <c r="BE257">
        <v>2160</v>
      </c>
      <c r="BF257">
        <v>2430</v>
      </c>
      <c r="BG257">
        <v>2600</v>
      </c>
      <c r="BH257">
        <v>2740</v>
      </c>
      <c r="BI257">
        <v>2790</v>
      </c>
      <c r="BJ257">
        <v>2470</v>
      </c>
      <c r="BK257">
        <v>2110</v>
      </c>
      <c r="BL257">
        <v>1870</v>
      </c>
      <c r="BM257">
        <v>1740</v>
      </c>
    </row>
    <row r="258" spans="1:65">
      <c r="A258" t="s">
        <v>206</v>
      </c>
      <c r="B258" t="s">
        <v>421</v>
      </c>
      <c r="C258" t="s">
        <v>2244</v>
      </c>
      <c r="D258" t="s">
        <v>2245</v>
      </c>
      <c r="G258">
        <v>180</v>
      </c>
      <c r="H258">
        <v>160</v>
      </c>
      <c r="I258">
        <v>170</v>
      </c>
      <c r="J258">
        <v>180</v>
      </c>
      <c r="K258">
        <v>180</v>
      </c>
      <c r="L258">
        <v>170</v>
      </c>
      <c r="M258">
        <v>190</v>
      </c>
      <c r="N258">
        <v>190</v>
      </c>
      <c r="O258">
        <v>210</v>
      </c>
      <c r="P258">
        <v>220</v>
      </c>
      <c r="Q258">
        <v>300</v>
      </c>
      <c r="R258">
        <v>310</v>
      </c>
      <c r="S258">
        <v>340</v>
      </c>
      <c r="T258">
        <v>370</v>
      </c>
      <c r="U258">
        <v>390</v>
      </c>
      <c r="V258">
        <v>460</v>
      </c>
      <c r="W258">
        <v>560</v>
      </c>
      <c r="X258">
        <v>710</v>
      </c>
      <c r="Y258">
        <v>830</v>
      </c>
      <c r="Z258">
        <v>960</v>
      </c>
      <c r="AA258">
        <v>1030</v>
      </c>
      <c r="AB258">
        <v>1090</v>
      </c>
      <c r="AC258">
        <v>1200</v>
      </c>
      <c r="AD258">
        <v>1330</v>
      </c>
      <c r="AE258">
        <v>1450</v>
      </c>
      <c r="AF258">
        <v>1660</v>
      </c>
      <c r="AG258">
        <v>1950</v>
      </c>
      <c r="AH258">
        <v>2030</v>
      </c>
      <c r="AI258">
        <v>2150</v>
      </c>
      <c r="AJ258">
        <v>2200</v>
      </c>
      <c r="AK258">
        <v>2480</v>
      </c>
      <c r="AL258">
        <v>2710</v>
      </c>
      <c r="AM258">
        <v>2660</v>
      </c>
      <c r="AN258">
        <v>2890</v>
      </c>
      <c r="AO258">
        <v>3000</v>
      </c>
      <c r="AP258">
        <v>3070</v>
      </c>
      <c r="AQ258">
        <v>3190</v>
      </c>
      <c r="AR258">
        <v>3310</v>
      </c>
      <c r="AS258">
        <v>3470</v>
      </c>
      <c r="AT258">
        <v>3650</v>
      </c>
      <c r="AU258">
        <v>3950</v>
      </c>
      <c r="AV258">
        <v>4380</v>
      </c>
      <c r="AW258">
        <v>4730</v>
      </c>
      <c r="AX258">
        <v>4960</v>
      </c>
      <c r="AY258">
        <v>5470</v>
      </c>
      <c r="AZ258">
        <v>5910</v>
      </c>
      <c r="BA258">
        <v>6260</v>
      </c>
      <c r="BB258">
        <v>6320</v>
      </c>
      <c r="BC258">
        <v>6090</v>
      </c>
      <c r="BD258">
        <v>6130</v>
      </c>
      <c r="BE258">
        <v>6400</v>
      </c>
      <c r="BF258">
        <v>6560</v>
      </c>
      <c r="BG258">
        <v>6390</v>
      </c>
      <c r="BH258">
        <v>6560</v>
      </c>
      <c r="BI258">
        <v>6800</v>
      </c>
      <c r="BJ258">
        <v>6990</v>
      </c>
      <c r="BK258">
        <v>7400</v>
      </c>
      <c r="BL258">
        <v>7460</v>
      </c>
      <c r="BM258">
        <v>7310</v>
      </c>
    </row>
    <row r="259" spans="1:65">
      <c r="A259" t="s">
        <v>226</v>
      </c>
      <c r="B259" t="s">
        <v>590</v>
      </c>
      <c r="C259" t="s">
        <v>2244</v>
      </c>
      <c r="D259" t="s">
        <v>2245</v>
      </c>
      <c r="G259">
        <v>960</v>
      </c>
      <c r="H259">
        <v>990</v>
      </c>
      <c r="I259">
        <v>950</v>
      </c>
      <c r="J259">
        <v>890</v>
      </c>
      <c r="K259">
        <v>820</v>
      </c>
      <c r="L259">
        <v>840</v>
      </c>
      <c r="M259">
        <v>900</v>
      </c>
      <c r="N259">
        <v>910</v>
      </c>
      <c r="O259">
        <v>980</v>
      </c>
      <c r="P259">
        <v>1010</v>
      </c>
      <c r="Q259">
        <v>1120</v>
      </c>
      <c r="R259">
        <v>1340</v>
      </c>
      <c r="S259">
        <v>1720</v>
      </c>
      <c r="T259">
        <v>2140</v>
      </c>
      <c r="U259">
        <v>2470</v>
      </c>
      <c r="V259">
        <v>2600</v>
      </c>
      <c r="W259">
        <v>2790</v>
      </c>
      <c r="X259">
        <v>3180</v>
      </c>
      <c r="Y259">
        <v>3610</v>
      </c>
      <c r="Z259">
        <v>4100</v>
      </c>
      <c r="AA259">
        <v>4050</v>
      </c>
      <c r="AB259">
        <v>3780</v>
      </c>
      <c r="AC259">
        <v>3640</v>
      </c>
      <c r="AD259">
        <v>3520</v>
      </c>
      <c r="AE259">
        <v>3610</v>
      </c>
      <c r="AF259">
        <v>3350</v>
      </c>
      <c r="AG259">
        <v>3400</v>
      </c>
      <c r="AH259">
        <v>2560</v>
      </c>
      <c r="AI259">
        <v>2670</v>
      </c>
      <c r="AJ259">
        <v>2690</v>
      </c>
      <c r="AK259">
        <v>2870</v>
      </c>
      <c r="AL259">
        <v>2850</v>
      </c>
      <c r="AM259">
        <v>2740</v>
      </c>
      <c r="AN259">
        <v>3040</v>
      </c>
      <c r="AO259">
        <v>3100</v>
      </c>
      <c r="AP259">
        <v>3470</v>
      </c>
      <c r="AQ259">
        <v>3420</v>
      </c>
      <c r="AR259">
        <v>3570</v>
      </c>
      <c r="AS259">
        <v>4120</v>
      </c>
      <c r="AT259">
        <v>4600</v>
      </c>
      <c r="AU259">
        <v>3990</v>
      </c>
      <c r="AV259">
        <v>3490</v>
      </c>
      <c r="AW259">
        <v>4110</v>
      </c>
      <c r="AX259">
        <v>4980</v>
      </c>
      <c r="AY259">
        <v>6130</v>
      </c>
      <c r="AZ259">
        <v>7630</v>
      </c>
      <c r="BA259">
        <v>9400</v>
      </c>
      <c r="BB259">
        <v>10380</v>
      </c>
      <c r="BC259">
        <v>11810</v>
      </c>
      <c r="BD259">
        <v>11980</v>
      </c>
      <c r="BE259">
        <v>12710</v>
      </c>
      <c r="BF259">
        <v>11970</v>
      </c>
      <c r="BG259">
        <v>13080</v>
      </c>
    </row>
    <row r="260" spans="1:65">
      <c r="A260" t="s">
        <v>504</v>
      </c>
      <c r="B260" t="s">
        <v>505</v>
      </c>
      <c r="C260" t="s">
        <v>2244</v>
      </c>
      <c r="D260" t="s">
        <v>2245</v>
      </c>
    </row>
    <row r="261" spans="1:65">
      <c r="A261" t="s">
        <v>587</v>
      </c>
      <c r="B261" t="s">
        <v>588</v>
      </c>
      <c r="C261" t="s">
        <v>2244</v>
      </c>
      <c r="D261" t="s">
        <v>2245</v>
      </c>
    </row>
    <row r="262" spans="1:65">
      <c r="A262" t="s">
        <v>161</v>
      </c>
      <c r="B262" t="s">
        <v>375</v>
      </c>
      <c r="C262" t="s">
        <v>2244</v>
      </c>
      <c r="D262" t="s">
        <v>2245</v>
      </c>
      <c r="AH262">
        <v>210</v>
      </c>
      <c r="AI262">
        <v>130</v>
      </c>
      <c r="AJ262">
        <v>110</v>
      </c>
      <c r="AK262">
        <v>130</v>
      </c>
      <c r="AL262">
        <v>160</v>
      </c>
      <c r="AM262">
        <v>190</v>
      </c>
      <c r="AN262">
        <v>250</v>
      </c>
      <c r="AO262">
        <v>300</v>
      </c>
      <c r="AP262">
        <v>330</v>
      </c>
      <c r="AQ262">
        <v>340</v>
      </c>
      <c r="AR262">
        <v>350</v>
      </c>
      <c r="AS262">
        <v>380</v>
      </c>
      <c r="AT262">
        <v>400</v>
      </c>
      <c r="AU262">
        <v>420</v>
      </c>
      <c r="AV262">
        <v>460</v>
      </c>
      <c r="AW262">
        <v>530</v>
      </c>
      <c r="AX262">
        <v>630</v>
      </c>
      <c r="AY262">
        <v>720</v>
      </c>
      <c r="AZ262">
        <v>840</v>
      </c>
      <c r="BA262">
        <v>980</v>
      </c>
      <c r="BB262">
        <v>1110</v>
      </c>
      <c r="BC262">
        <v>1250</v>
      </c>
      <c r="BD262">
        <v>1370</v>
      </c>
      <c r="BE262">
        <v>1540</v>
      </c>
      <c r="BF262">
        <v>1720</v>
      </c>
      <c r="BG262">
        <v>1880</v>
      </c>
      <c r="BH262">
        <v>1950</v>
      </c>
      <c r="BI262">
        <v>2020</v>
      </c>
      <c r="BJ262">
        <v>2120</v>
      </c>
      <c r="BK262">
        <v>2380</v>
      </c>
      <c r="BL262">
        <v>2570</v>
      </c>
      <c r="BM262">
        <v>2650</v>
      </c>
    </row>
    <row r="263" spans="1:65">
      <c r="A263" t="s">
        <v>153</v>
      </c>
      <c r="B263" t="s">
        <v>367</v>
      </c>
      <c r="C263" t="s">
        <v>2244</v>
      </c>
      <c r="D263" t="s">
        <v>2245</v>
      </c>
      <c r="Z263">
        <v>940</v>
      </c>
      <c r="AA263">
        <v>840</v>
      </c>
      <c r="AB263">
        <v>800</v>
      </c>
      <c r="AC263">
        <v>900</v>
      </c>
      <c r="AD263">
        <v>930</v>
      </c>
      <c r="AE263">
        <v>980</v>
      </c>
      <c r="AF263">
        <v>890</v>
      </c>
      <c r="AG263">
        <v>990</v>
      </c>
      <c r="AH263">
        <v>1110</v>
      </c>
      <c r="AI263">
        <v>1240</v>
      </c>
      <c r="AJ263">
        <v>1120</v>
      </c>
      <c r="AK263">
        <v>1150</v>
      </c>
      <c r="AL263">
        <v>1150</v>
      </c>
      <c r="AM263">
        <v>1210</v>
      </c>
      <c r="AN263">
        <v>1240</v>
      </c>
      <c r="AO263">
        <v>1330</v>
      </c>
      <c r="AP263">
        <v>1390</v>
      </c>
      <c r="AQ263">
        <v>1450</v>
      </c>
      <c r="AR263">
        <v>1430</v>
      </c>
      <c r="AS263">
        <v>1430</v>
      </c>
      <c r="AT263">
        <v>1370</v>
      </c>
      <c r="AU263">
        <v>1230</v>
      </c>
      <c r="AV263">
        <v>1360</v>
      </c>
      <c r="AW263">
        <v>1590</v>
      </c>
      <c r="AX263">
        <v>1780</v>
      </c>
      <c r="AY263">
        <v>1990</v>
      </c>
      <c r="AZ263">
        <v>2100</v>
      </c>
      <c r="BA263">
        <v>2460</v>
      </c>
      <c r="BB263">
        <v>2530</v>
      </c>
      <c r="BC263">
        <v>2600</v>
      </c>
      <c r="BD263">
        <v>2800</v>
      </c>
      <c r="BE263">
        <v>2830</v>
      </c>
      <c r="BF263">
        <v>2960</v>
      </c>
      <c r="BG263">
        <v>3000</v>
      </c>
      <c r="BH263">
        <v>2820</v>
      </c>
      <c r="BI263">
        <v>2830</v>
      </c>
      <c r="BJ263">
        <v>2900</v>
      </c>
      <c r="BK263">
        <v>3170</v>
      </c>
      <c r="BL263">
        <v>3450</v>
      </c>
      <c r="BM263">
        <v>3190</v>
      </c>
    </row>
    <row r="264" spans="1:65">
      <c r="A264" t="s">
        <v>2328</v>
      </c>
      <c r="B264" t="s">
        <v>2329</v>
      </c>
      <c r="C264" t="s">
        <v>2244</v>
      </c>
      <c r="D264" t="s">
        <v>2245</v>
      </c>
      <c r="G264">
        <v>481.2553700840777</v>
      </c>
      <c r="H264">
        <v>508.13031786549226</v>
      </c>
      <c r="I264">
        <v>544.26002047263069</v>
      </c>
      <c r="J264">
        <v>585.83911259684044</v>
      </c>
      <c r="K264">
        <v>628.37599669087695</v>
      </c>
      <c r="L264">
        <v>655.71860809000191</v>
      </c>
      <c r="M264">
        <v>703.73634213603975</v>
      </c>
      <c r="N264">
        <v>759.41122702519294</v>
      </c>
      <c r="O264">
        <v>802.29936516181294</v>
      </c>
      <c r="P264">
        <v>863.06810905493808</v>
      </c>
      <c r="Q264">
        <v>970.28224577280207</v>
      </c>
      <c r="R264">
        <v>1172.5028294075494</v>
      </c>
      <c r="S264">
        <v>1373.0707583109577</v>
      </c>
      <c r="T264">
        <v>1540.0207955858718</v>
      </c>
      <c r="U264">
        <v>1620.1374259270801</v>
      </c>
      <c r="V264">
        <v>1717.439471846485</v>
      </c>
      <c r="W264">
        <v>1927.451854373491</v>
      </c>
      <c r="X264">
        <v>2280.2359070838488</v>
      </c>
      <c r="Y264">
        <v>2610.8681789600118</v>
      </c>
      <c r="Z264">
        <v>2716.1023118291719</v>
      </c>
      <c r="AA264">
        <v>2586.829644137013</v>
      </c>
      <c r="AB264">
        <v>2453.1347452358423</v>
      </c>
      <c r="AC264">
        <v>2496.1810210568633</v>
      </c>
      <c r="AD264">
        <v>2574.0464196303005</v>
      </c>
      <c r="AE264">
        <v>2843.8061280929824</v>
      </c>
      <c r="AF264">
        <v>3320.6448040729697</v>
      </c>
      <c r="AG264">
        <v>3922.5194787525434</v>
      </c>
      <c r="AH264">
        <v>4058.4881799813866</v>
      </c>
      <c r="AI264">
        <v>4205.5748420076525</v>
      </c>
      <c r="AJ264">
        <v>4314.8260321181278</v>
      </c>
      <c r="AK264">
        <v>4631.9375775380331</v>
      </c>
      <c r="AL264">
        <v>4717.2625185136412</v>
      </c>
      <c r="AM264">
        <v>4937.3807429694461</v>
      </c>
      <c r="AN264">
        <v>5250.2526239537465</v>
      </c>
      <c r="AO264">
        <v>5520.9760881182501</v>
      </c>
      <c r="AP264">
        <v>5569.1509157987875</v>
      </c>
      <c r="AQ264">
        <v>5328.8938045311716</v>
      </c>
      <c r="AR264">
        <v>5333.7246872779997</v>
      </c>
      <c r="AS264">
        <v>5521.4943823076346</v>
      </c>
      <c r="AT264">
        <v>5499.6279682700779</v>
      </c>
      <c r="AU264">
        <v>5457.1961501865917</v>
      </c>
      <c r="AV264">
        <v>5857.9873517705491</v>
      </c>
      <c r="AW264">
        <v>6676.4500675963591</v>
      </c>
      <c r="AX264">
        <v>7394.0949518328252</v>
      </c>
      <c r="AY264">
        <v>7888.825204945706</v>
      </c>
      <c r="AZ264">
        <v>8408.9025072501918</v>
      </c>
      <c r="BA264">
        <v>9008.8503743967722</v>
      </c>
      <c r="BB264">
        <v>9042.0753229034599</v>
      </c>
      <c r="BC264">
        <v>9475.9302917447221</v>
      </c>
      <c r="BD264">
        <v>9945.0846016347914</v>
      </c>
      <c r="BE264">
        <v>10523.92999065929</v>
      </c>
      <c r="BF264">
        <v>10895.270224062209</v>
      </c>
      <c r="BG264">
        <v>11006.646319530601</v>
      </c>
      <c r="BH264">
        <v>10651.509768970003</v>
      </c>
      <c r="BI264">
        <v>10393.160852739535</v>
      </c>
      <c r="BJ264">
        <v>10466.717614276773</v>
      </c>
      <c r="BK264">
        <v>11151.08578265414</v>
      </c>
      <c r="BL264">
        <v>11554.408869659001</v>
      </c>
      <c r="BM264">
        <v>11077.473273964117</v>
      </c>
    </row>
    <row r="265" spans="1:65">
      <c r="A265" t="s">
        <v>168</v>
      </c>
      <c r="B265" t="s">
        <v>382</v>
      </c>
      <c r="C265" t="s">
        <v>2244</v>
      </c>
      <c r="D265" t="s">
        <v>2245</v>
      </c>
      <c r="AC265">
        <v>510</v>
      </c>
      <c r="AD265">
        <v>480</v>
      </c>
      <c r="AE265">
        <v>500</v>
      </c>
      <c r="AF265">
        <v>530</v>
      </c>
      <c r="AG265">
        <v>550</v>
      </c>
      <c r="AH265">
        <v>580</v>
      </c>
      <c r="AI265">
        <v>570</v>
      </c>
      <c r="AJ265">
        <v>540</v>
      </c>
      <c r="AU265">
        <v>1520</v>
      </c>
      <c r="AV265">
        <v>1660</v>
      </c>
      <c r="AW265">
        <v>1990</v>
      </c>
      <c r="AX265">
        <v>2320</v>
      </c>
      <c r="AY265">
        <v>2560</v>
      </c>
      <c r="AZ265">
        <v>2850</v>
      </c>
      <c r="BA265">
        <v>3060</v>
      </c>
      <c r="BB265">
        <v>3030</v>
      </c>
      <c r="BC265">
        <v>3230</v>
      </c>
      <c r="BD265">
        <v>3510</v>
      </c>
      <c r="BE265">
        <v>3660</v>
      </c>
      <c r="BF265">
        <v>3800</v>
      </c>
      <c r="BG265">
        <v>3820</v>
      </c>
      <c r="BH265">
        <v>3960</v>
      </c>
      <c r="BI265">
        <v>4110</v>
      </c>
      <c r="BJ265">
        <v>4070</v>
      </c>
      <c r="BK265">
        <v>4050</v>
      </c>
      <c r="BL265">
        <v>4230</v>
      </c>
      <c r="BM265">
        <v>4050</v>
      </c>
    </row>
    <row r="266" spans="1:65">
      <c r="A266" t="s">
        <v>184</v>
      </c>
      <c r="B266" t="s">
        <v>399</v>
      </c>
      <c r="C266" t="s">
        <v>2244</v>
      </c>
      <c r="D266" t="s">
        <v>2245</v>
      </c>
      <c r="BC266">
        <v>3150</v>
      </c>
      <c r="BD266">
        <v>3390</v>
      </c>
      <c r="BE266">
        <v>3540</v>
      </c>
      <c r="BF266">
        <v>3800</v>
      </c>
      <c r="BG266">
        <v>3910</v>
      </c>
      <c r="BH266">
        <v>3930</v>
      </c>
      <c r="BI266">
        <v>3930</v>
      </c>
      <c r="BJ266">
        <v>3950</v>
      </c>
      <c r="BK266">
        <v>4300</v>
      </c>
      <c r="BL266">
        <v>4640</v>
      </c>
      <c r="BM266">
        <v>4440</v>
      </c>
    </row>
    <row r="267" spans="1:65">
      <c r="A267" t="s">
        <v>107</v>
      </c>
      <c r="B267" t="s">
        <v>320</v>
      </c>
      <c r="C267" t="s">
        <v>2244</v>
      </c>
      <c r="D267" t="s">
        <v>2245</v>
      </c>
      <c r="AK267">
        <v>510</v>
      </c>
      <c r="AL267">
        <v>460</v>
      </c>
      <c r="AM267">
        <v>380</v>
      </c>
      <c r="AN267">
        <v>320</v>
      </c>
      <c r="AO267">
        <v>300</v>
      </c>
      <c r="AP267">
        <v>330</v>
      </c>
      <c r="AQ267">
        <v>370</v>
      </c>
      <c r="AR267">
        <v>380</v>
      </c>
      <c r="AS267">
        <v>430</v>
      </c>
      <c r="AT267">
        <v>480</v>
      </c>
      <c r="AU267">
        <v>520</v>
      </c>
      <c r="AV267">
        <v>550</v>
      </c>
      <c r="AW267">
        <v>610</v>
      </c>
      <c r="AX267">
        <v>700</v>
      </c>
      <c r="AY267">
        <v>810</v>
      </c>
      <c r="AZ267">
        <v>890</v>
      </c>
      <c r="BA267">
        <v>1010</v>
      </c>
      <c r="BB267">
        <v>1100</v>
      </c>
      <c r="BC267">
        <v>1200</v>
      </c>
      <c r="BD267">
        <v>1080</v>
      </c>
      <c r="BE267">
        <v>1260</v>
      </c>
      <c r="BF267">
        <v>1440</v>
      </c>
      <c r="BG267">
        <v>1460</v>
      </c>
      <c r="BH267">
        <v>1200</v>
      </c>
      <c r="BI267">
        <v>1160</v>
      </c>
      <c r="BJ267">
        <v>1080</v>
      </c>
      <c r="BK267">
        <v>910</v>
      </c>
    </row>
    <row r="268" spans="1:65">
      <c r="A268" t="s">
        <v>195</v>
      </c>
      <c r="B268" t="s">
        <v>410</v>
      </c>
      <c r="C268" t="s">
        <v>2244</v>
      </c>
      <c r="D268" t="s">
        <v>2245</v>
      </c>
      <c r="G268">
        <v>460</v>
      </c>
      <c r="H268">
        <v>490</v>
      </c>
      <c r="I268">
        <v>520</v>
      </c>
      <c r="J268">
        <v>560</v>
      </c>
      <c r="K268">
        <v>590</v>
      </c>
      <c r="L268">
        <v>650</v>
      </c>
      <c r="M268">
        <v>690</v>
      </c>
      <c r="N268">
        <v>740</v>
      </c>
      <c r="O268">
        <v>800</v>
      </c>
      <c r="P268">
        <v>870</v>
      </c>
      <c r="Q268">
        <v>920</v>
      </c>
      <c r="R268">
        <v>1110</v>
      </c>
      <c r="S268">
        <v>1400</v>
      </c>
      <c r="T268">
        <v>1610</v>
      </c>
      <c r="U268">
        <v>1560</v>
      </c>
      <c r="V268">
        <v>1500</v>
      </c>
      <c r="W268">
        <v>1610</v>
      </c>
      <c r="X268">
        <v>1940</v>
      </c>
      <c r="Y268">
        <v>2500</v>
      </c>
      <c r="Z268">
        <v>2880</v>
      </c>
      <c r="AA268">
        <v>2770</v>
      </c>
      <c r="AB268">
        <v>2520</v>
      </c>
      <c r="AC268">
        <v>2460</v>
      </c>
      <c r="AD268">
        <v>2130</v>
      </c>
      <c r="AE268">
        <v>1990</v>
      </c>
      <c r="AF268">
        <v>2210</v>
      </c>
      <c r="AG268">
        <v>2670</v>
      </c>
      <c r="AH268">
        <v>2830</v>
      </c>
      <c r="AI268">
        <v>2860</v>
      </c>
      <c r="AJ268">
        <v>3000</v>
      </c>
      <c r="AK268">
        <v>3250</v>
      </c>
      <c r="AL268">
        <v>3490</v>
      </c>
      <c r="AM268">
        <v>3740</v>
      </c>
      <c r="AN268">
        <v>4010</v>
      </c>
      <c r="AO268">
        <v>4050</v>
      </c>
      <c r="AP268">
        <v>3990</v>
      </c>
      <c r="AQ268">
        <v>3590</v>
      </c>
      <c r="AR268">
        <v>3480</v>
      </c>
      <c r="AS268">
        <v>3420</v>
      </c>
      <c r="AT268">
        <v>3190</v>
      </c>
      <c r="AU268">
        <v>2990</v>
      </c>
      <c r="AV268">
        <v>3280</v>
      </c>
      <c r="AW268">
        <v>4180</v>
      </c>
      <c r="AX268">
        <v>5610</v>
      </c>
      <c r="AY268">
        <v>6310</v>
      </c>
      <c r="AZ268">
        <v>6630</v>
      </c>
      <c r="BA268">
        <v>6660</v>
      </c>
      <c r="BB268">
        <v>6510</v>
      </c>
      <c r="BC268">
        <v>6880</v>
      </c>
      <c r="BD268">
        <v>7760</v>
      </c>
      <c r="BE268">
        <v>8370</v>
      </c>
      <c r="BF268">
        <v>8070</v>
      </c>
      <c r="BG268">
        <v>7370</v>
      </c>
      <c r="BH268">
        <v>6610</v>
      </c>
      <c r="BI268">
        <v>5990</v>
      </c>
      <c r="BJ268">
        <v>5910</v>
      </c>
      <c r="BK268">
        <v>6340</v>
      </c>
      <c r="BL268">
        <v>6670</v>
      </c>
      <c r="BM268">
        <v>6010</v>
      </c>
    </row>
    <row r="269" spans="1:65">
      <c r="A269" t="s">
        <v>118</v>
      </c>
      <c r="B269" t="s">
        <v>331</v>
      </c>
      <c r="C269" t="s">
        <v>2244</v>
      </c>
      <c r="D269" t="s">
        <v>2245</v>
      </c>
      <c r="G269">
        <v>190</v>
      </c>
      <c r="H269">
        <v>190</v>
      </c>
      <c r="I269">
        <v>210</v>
      </c>
      <c r="J269">
        <v>270</v>
      </c>
      <c r="K269">
        <v>280</v>
      </c>
      <c r="L269">
        <v>330</v>
      </c>
      <c r="M269">
        <v>370</v>
      </c>
      <c r="N269">
        <v>410</v>
      </c>
      <c r="O269">
        <v>450</v>
      </c>
      <c r="P269">
        <v>440</v>
      </c>
      <c r="Q269">
        <v>440</v>
      </c>
      <c r="R269">
        <v>450</v>
      </c>
      <c r="S269">
        <v>580</v>
      </c>
      <c r="T269">
        <v>590</v>
      </c>
      <c r="U269">
        <v>570</v>
      </c>
      <c r="V269">
        <v>500</v>
      </c>
      <c r="W269">
        <v>490</v>
      </c>
      <c r="X269">
        <v>510</v>
      </c>
      <c r="Y269">
        <v>610</v>
      </c>
      <c r="Z269">
        <v>690</v>
      </c>
      <c r="AA269">
        <v>610</v>
      </c>
      <c r="AB269">
        <v>500</v>
      </c>
      <c r="AC269">
        <v>420</v>
      </c>
      <c r="AD269">
        <v>340</v>
      </c>
      <c r="AE269">
        <v>250</v>
      </c>
      <c r="AF269">
        <v>260</v>
      </c>
      <c r="AG269">
        <v>330</v>
      </c>
      <c r="AH269">
        <v>400</v>
      </c>
      <c r="AI269">
        <v>430</v>
      </c>
      <c r="AJ269">
        <v>390</v>
      </c>
      <c r="AK269">
        <v>360</v>
      </c>
      <c r="AL269">
        <v>380</v>
      </c>
      <c r="AM269">
        <v>350</v>
      </c>
      <c r="AN269">
        <v>380</v>
      </c>
      <c r="AO269">
        <v>400</v>
      </c>
      <c r="AP269">
        <v>400</v>
      </c>
      <c r="AQ269">
        <v>360</v>
      </c>
      <c r="AR269">
        <v>350</v>
      </c>
      <c r="AS269">
        <v>330</v>
      </c>
      <c r="AT269">
        <v>350</v>
      </c>
      <c r="AU269">
        <v>360</v>
      </c>
      <c r="AV269">
        <v>410</v>
      </c>
      <c r="AW269">
        <v>460</v>
      </c>
      <c r="AX269">
        <v>560</v>
      </c>
      <c r="AY269">
        <v>720</v>
      </c>
      <c r="AZ269">
        <v>900</v>
      </c>
      <c r="BA269">
        <v>1180</v>
      </c>
      <c r="BB269">
        <v>1280</v>
      </c>
      <c r="BC269">
        <v>1340</v>
      </c>
      <c r="BD269">
        <v>1420</v>
      </c>
      <c r="BE269">
        <v>1690</v>
      </c>
      <c r="BF269">
        <v>1760</v>
      </c>
      <c r="BG269">
        <v>1800</v>
      </c>
      <c r="BH269">
        <v>1580</v>
      </c>
      <c r="BI269">
        <v>1370</v>
      </c>
      <c r="BJ269">
        <v>1300</v>
      </c>
      <c r="BK269">
        <v>1440</v>
      </c>
      <c r="BL269">
        <v>1430</v>
      </c>
      <c r="BM269">
        <v>1160</v>
      </c>
    </row>
    <row r="270" spans="1:65">
      <c r="A270" t="s">
        <v>127</v>
      </c>
      <c r="B270" t="s">
        <v>341</v>
      </c>
      <c r="C270" t="s">
        <v>2244</v>
      </c>
      <c r="D270" t="s">
        <v>2245</v>
      </c>
      <c r="G270">
        <v>270</v>
      </c>
      <c r="H270">
        <v>270</v>
      </c>
      <c r="I270">
        <v>260</v>
      </c>
      <c r="J270">
        <v>280</v>
      </c>
      <c r="K270">
        <v>280</v>
      </c>
      <c r="L270">
        <v>300</v>
      </c>
      <c r="M270">
        <v>300</v>
      </c>
      <c r="N270">
        <v>340</v>
      </c>
      <c r="O270">
        <v>400</v>
      </c>
      <c r="P270">
        <v>410</v>
      </c>
      <c r="Q270">
        <v>450</v>
      </c>
      <c r="R270">
        <v>530</v>
      </c>
      <c r="S270">
        <v>670</v>
      </c>
      <c r="T270">
        <v>730</v>
      </c>
      <c r="U270">
        <v>710</v>
      </c>
      <c r="V270">
        <v>650</v>
      </c>
      <c r="W270">
        <v>650</v>
      </c>
      <c r="X270">
        <v>730</v>
      </c>
      <c r="Y270">
        <v>900</v>
      </c>
      <c r="Z270">
        <v>1060</v>
      </c>
      <c r="AA270">
        <v>1040</v>
      </c>
      <c r="AB270">
        <v>960</v>
      </c>
      <c r="AC270">
        <v>830</v>
      </c>
      <c r="AD270">
        <v>740</v>
      </c>
      <c r="AE270">
        <v>690</v>
      </c>
      <c r="AF270">
        <v>700</v>
      </c>
      <c r="AG270">
        <v>810</v>
      </c>
      <c r="AH270">
        <v>840</v>
      </c>
      <c r="AI270">
        <v>860</v>
      </c>
      <c r="AJ270">
        <v>850</v>
      </c>
      <c r="AK270">
        <v>700</v>
      </c>
      <c r="AL270">
        <v>640</v>
      </c>
      <c r="AM270">
        <v>630</v>
      </c>
      <c r="AN270">
        <v>620</v>
      </c>
      <c r="AO270">
        <v>690</v>
      </c>
      <c r="AP270">
        <v>700</v>
      </c>
      <c r="AQ270">
        <v>620</v>
      </c>
      <c r="AR270">
        <v>570</v>
      </c>
      <c r="AS270">
        <v>510</v>
      </c>
      <c r="AT270">
        <v>540</v>
      </c>
      <c r="AU270">
        <v>490</v>
      </c>
      <c r="AV270">
        <v>440</v>
      </c>
      <c r="AW270">
        <v>450</v>
      </c>
      <c r="AX270">
        <v>460</v>
      </c>
      <c r="AY270">
        <v>440</v>
      </c>
      <c r="AZ270">
        <v>420</v>
      </c>
      <c r="BA270">
        <v>330</v>
      </c>
      <c r="BB270">
        <v>480</v>
      </c>
      <c r="BC270">
        <v>700</v>
      </c>
      <c r="BD270">
        <v>1060</v>
      </c>
      <c r="BE270">
        <v>1260</v>
      </c>
      <c r="BF270">
        <v>1320</v>
      </c>
      <c r="BG270">
        <v>1370</v>
      </c>
      <c r="BH270">
        <v>1390</v>
      </c>
      <c r="BI270">
        <v>1390</v>
      </c>
      <c r="BJ270">
        <v>1350</v>
      </c>
      <c r="BK270">
        <v>1350</v>
      </c>
      <c r="BL270">
        <v>1210</v>
      </c>
      <c r="BM270">
        <v>1140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1BE36-1713-4515-BFD1-4160265FE7F7}">
  <dimension ref="A1:D11"/>
  <sheetViews>
    <sheetView topLeftCell="G9" workbookViewId="0">
      <selection activeCell="Q16" sqref="Q16"/>
    </sheetView>
  </sheetViews>
  <sheetFormatPr defaultColWidth="8.85546875" defaultRowHeight="14.45"/>
  <sheetData>
    <row r="1" spans="1:4">
      <c r="B1" t="s">
        <v>296</v>
      </c>
      <c r="C1" t="s">
        <v>297</v>
      </c>
      <c r="D1" t="s">
        <v>298</v>
      </c>
    </row>
    <row r="2" spans="1:4">
      <c r="A2" t="s">
        <v>299</v>
      </c>
      <c r="B2">
        <v>20</v>
      </c>
      <c r="C2" s="7">
        <f>MEDIAN('Justice Spend Total'!AU4:AU30)</f>
        <v>7.6151907235648553</v>
      </c>
      <c r="D2" s="4">
        <f>C2/B2</f>
        <v>0.38075953617824276</v>
      </c>
    </row>
    <row r="3" spans="1:4">
      <c r="A3" t="s">
        <v>300</v>
      </c>
      <c r="B3">
        <v>48</v>
      </c>
      <c r="C3" s="7">
        <f>MEDIAN('Justice Spend Total'!AU31:AU84)</f>
        <v>40.414465112992104</v>
      </c>
      <c r="D3" s="4">
        <f t="shared" ref="D3:D5" si="0">C3/B3</f>
        <v>0.84196802318733555</v>
      </c>
    </row>
    <row r="4" spans="1:4">
      <c r="A4" t="s">
        <v>301</v>
      </c>
      <c r="B4">
        <v>80</v>
      </c>
      <c r="C4" s="7">
        <f>MEDIAN('Justice Spend Total'!AU85:AU136)</f>
        <v>143.09184505296142</v>
      </c>
      <c r="D4" s="4">
        <f t="shared" si="0"/>
        <v>1.7886480631620176</v>
      </c>
    </row>
    <row r="5" spans="1:4">
      <c r="A5" t="s">
        <v>285</v>
      </c>
      <c r="B5">
        <v>230</v>
      </c>
      <c r="C5">
        <v>747</v>
      </c>
      <c r="D5" s="4">
        <f t="shared" si="0"/>
        <v>3.2478260869565219</v>
      </c>
    </row>
    <row r="7" spans="1:4">
      <c r="B7" t="str">
        <f>D1</f>
        <v>Ratio spend/costs</v>
      </c>
    </row>
    <row r="8" spans="1:4">
      <c r="A8" t="s">
        <v>299</v>
      </c>
      <c r="B8" s="4">
        <f t="shared" ref="B8:B11" si="1">D2</f>
        <v>0.38075953617824276</v>
      </c>
    </row>
    <row r="9" spans="1:4">
      <c r="A9" t="s">
        <v>300</v>
      </c>
      <c r="B9" s="4">
        <f t="shared" si="1"/>
        <v>0.84196802318733555</v>
      </c>
    </row>
    <row r="10" spans="1:4">
      <c r="A10" t="s">
        <v>301</v>
      </c>
      <c r="B10" s="4">
        <f t="shared" si="1"/>
        <v>1.7886480631620176</v>
      </c>
    </row>
    <row r="11" spans="1:4">
      <c r="A11" t="s">
        <v>285</v>
      </c>
      <c r="B11" s="4">
        <f t="shared" si="1"/>
        <v>3.2478260869565219</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7EA4E-B460-4001-82D9-3A80588BB390}">
  <dimension ref="A1:DL267"/>
  <sheetViews>
    <sheetView workbookViewId="0"/>
  </sheetViews>
  <sheetFormatPr defaultColWidth="8.85546875" defaultRowHeight="14.45"/>
  <cols>
    <col min="10" max="10" width="20.42578125" style="32" customWidth="1"/>
    <col min="11" max="12" width="11.5703125" hidden="1" customWidth="1"/>
    <col min="13" max="13" width="21.85546875" bestFit="1" customWidth="1"/>
    <col min="14" max="14" width="16.42578125" customWidth="1"/>
    <col min="15" max="17" width="16.42578125" hidden="1" customWidth="1"/>
    <col min="18" max="18" width="8.5703125" hidden="1" customWidth="1"/>
    <col min="19" max="21" width="0" hidden="1" customWidth="1"/>
    <col min="33" max="33" width="10.5703125" bestFit="1" customWidth="1"/>
    <col min="34" max="34" width="9.28515625" customWidth="1"/>
    <col min="41" max="41" width="20" customWidth="1"/>
    <col min="62" max="62" width="8.85546875" style="7"/>
  </cols>
  <sheetData>
    <row r="1" spans="1:116" s="34" customFormat="1" ht="87">
      <c r="A1" s="34" t="s">
        <v>2330</v>
      </c>
      <c r="B1" s="34" t="s">
        <v>2331</v>
      </c>
      <c r="J1" s="46"/>
      <c r="U1" s="34" t="s">
        <v>2332</v>
      </c>
      <c r="V1" s="34" t="s">
        <v>2333</v>
      </c>
      <c r="W1" s="34" t="s">
        <v>2333</v>
      </c>
      <c r="X1" s="34" t="s">
        <v>2333</v>
      </c>
      <c r="Y1" s="34" t="s">
        <v>2333</v>
      </c>
      <c r="Z1" s="34" t="s">
        <v>2333</v>
      </c>
      <c r="AA1" s="34" t="s">
        <v>2333</v>
      </c>
      <c r="AB1" s="34" t="s">
        <v>2333</v>
      </c>
      <c r="AC1" s="42" t="s">
        <v>2334</v>
      </c>
      <c r="AD1" s="42" t="s">
        <v>2335</v>
      </c>
      <c r="AE1" s="42" t="s">
        <v>2336</v>
      </c>
      <c r="AF1" s="34" t="s">
        <v>2337</v>
      </c>
      <c r="AG1" s="34" t="s">
        <v>2338</v>
      </c>
      <c r="AH1" s="34" t="s">
        <v>2339</v>
      </c>
      <c r="AI1" s="34" t="s">
        <v>2340</v>
      </c>
      <c r="AJ1" s="34" t="s">
        <v>2341</v>
      </c>
      <c r="AL1" s="34" t="s">
        <v>2342</v>
      </c>
      <c r="AM1" s="34" t="s">
        <v>2343</v>
      </c>
      <c r="AN1" s="34" t="s">
        <v>2344</v>
      </c>
      <c r="BJ1" s="43" t="s">
        <v>2345</v>
      </c>
      <c r="BL1" s="34" t="s">
        <v>2346</v>
      </c>
      <c r="BM1" s="34" t="s">
        <v>2346</v>
      </c>
      <c r="BN1" s="34" t="s">
        <v>2346</v>
      </c>
      <c r="BO1" s="34" t="s">
        <v>2346</v>
      </c>
      <c r="BP1" s="34" t="s">
        <v>2346</v>
      </c>
      <c r="BQ1" s="34" t="s">
        <v>2346</v>
      </c>
      <c r="BR1" s="34" t="s">
        <v>2346</v>
      </c>
      <c r="BS1" s="34" t="s">
        <v>2346</v>
      </c>
      <c r="BT1" s="34" t="s">
        <v>2346</v>
      </c>
      <c r="BU1" s="34" t="s">
        <v>2346</v>
      </c>
      <c r="BV1" s="34" t="s">
        <v>2346</v>
      </c>
      <c r="BW1" s="44" t="s">
        <v>2347</v>
      </c>
      <c r="BX1" s="44" t="s">
        <v>2347</v>
      </c>
      <c r="BY1" s="44" t="s">
        <v>2347</v>
      </c>
      <c r="BZ1" s="44" t="s">
        <v>2347</v>
      </c>
      <c r="CA1" s="44" t="s">
        <v>2347</v>
      </c>
      <c r="CB1" s="44" t="s">
        <v>2347</v>
      </c>
      <c r="CC1" s="44" t="s">
        <v>2347</v>
      </c>
      <c r="CD1" s="44" t="s">
        <v>2347</v>
      </c>
      <c r="CE1" s="44" t="s">
        <v>2347</v>
      </c>
      <c r="CF1" s="44" t="s">
        <v>2347</v>
      </c>
      <c r="CG1" s="44" t="s">
        <v>2347</v>
      </c>
      <c r="CH1" s="44" t="s">
        <v>2347</v>
      </c>
      <c r="CI1" s="44" t="s">
        <v>2347</v>
      </c>
      <c r="CJ1" s="44" t="s">
        <v>2347</v>
      </c>
      <c r="CK1" s="44" t="s">
        <v>2347</v>
      </c>
      <c r="CL1" s="44" t="s">
        <v>2347</v>
      </c>
      <c r="CM1" s="44" t="s">
        <v>2347</v>
      </c>
      <c r="CN1" s="44" t="s">
        <v>2347</v>
      </c>
      <c r="CO1" s="44" t="s">
        <v>2347</v>
      </c>
      <c r="CP1" s="44" t="s">
        <v>2347</v>
      </c>
      <c r="CQ1" s="44" t="s">
        <v>2347</v>
      </c>
      <c r="CR1" s="44" t="s">
        <v>2347</v>
      </c>
      <c r="CS1" s="44" t="s">
        <v>2347</v>
      </c>
      <c r="CT1" s="44" t="s">
        <v>2347</v>
      </c>
      <c r="CU1" s="44" t="s">
        <v>2347</v>
      </c>
      <c r="CV1" s="44" t="s">
        <v>2347</v>
      </c>
      <c r="CW1" s="44" t="s">
        <v>2347</v>
      </c>
      <c r="CX1" s="44" t="s">
        <v>2347</v>
      </c>
      <c r="CY1" s="44" t="s">
        <v>2347</v>
      </c>
      <c r="CZ1" s="44" t="s">
        <v>2347</v>
      </c>
      <c r="DA1" s="44" t="s">
        <v>2347</v>
      </c>
      <c r="DB1" s="44" t="s">
        <v>2347</v>
      </c>
      <c r="DC1" s="44" t="s">
        <v>2347</v>
      </c>
      <c r="DD1" s="44" t="s">
        <v>2347</v>
      </c>
      <c r="DE1" s="44" t="s">
        <v>2347</v>
      </c>
      <c r="DF1" s="44" t="s">
        <v>2347</v>
      </c>
      <c r="DG1" s="44" t="s">
        <v>2347</v>
      </c>
      <c r="DH1" s="44" t="s">
        <v>2347</v>
      </c>
      <c r="DI1" s="44" t="s">
        <v>2347</v>
      </c>
      <c r="DJ1" s="44" t="s">
        <v>2347</v>
      </c>
      <c r="DK1" s="44" t="s">
        <v>2347</v>
      </c>
      <c r="DL1" s="44" t="s">
        <v>2347</v>
      </c>
    </row>
    <row r="2" spans="1:116" ht="57.95">
      <c r="A2" s="34" t="s">
        <v>2348</v>
      </c>
      <c r="B2" s="34" t="s">
        <v>2349</v>
      </c>
      <c r="C2" s="34" t="s">
        <v>2350</v>
      </c>
      <c r="D2" s="34" t="s">
        <v>2351</v>
      </c>
      <c r="E2" s="34" t="s">
        <v>2352</v>
      </c>
      <c r="F2" s="34" t="s">
        <v>2353</v>
      </c>
      <c r="G2" s="34" t="s">
        <v>2354</v>
      </c>
      <c r="H2" s="34" t="s">
        <v>2355</v>
      </c>
      <c r="I2" s="34" t="s">
        <v>2356</v>
      </c>
      <c r="J2" s="46" t="s">
        <v>2357</v>
      </c>
      <c r="K2" s="34" t="s">
        <v>2358</v>
      </c>
      <c r="L2" s="34" t="s">
        <v>2359</v>
      </c>
      <c r="M2" s="34" t="s">
        <v>2360</v>
      </c>
      <c r="N2" s="34" t="s">
        <v>2361</v>
      </c>
      <c r="O2" s="34" t="s">
        <v>2362</v>
      </c>
      <c r="P2" s="34" t="s">
        <v>2363</v>
      </c>
      <c r="Q2" s="34" t="s">
        <v>2364</v>
      </c>
      <c r="R2" s="34" t="s">
        <v>2365</v>
      </c>
      <c r="S2" s="34" t="s">
        <v>2366</v>
      </c>
      <c r="T2" s="34" t="s">
        <v>2367</v>
      </c>
      <c r="U2" s="34" t="s">
        <v>2368</v>
      </c>
      <c r="V2" s="34" t="s">
        <v>2369</v>
      </c>
      <c r="W2" s="34" t="s">
        <v>2370</v>
      </c>
      <c r="X2" s="34" t="s">
        <v>2371</v>
      </c>
      <c r="Y2" s="34" t="s">
        <v>2372</v>
      </c>
      <c r="Z2" s="34" t="s">
        <v>2373</v>
      </c>
      <c r="AA2" s="34" t="s">
        <v>2374</v>
      </c>
      <c r="AB2" s="34" t="s">
        <v>2375</v>
      </c>
      <c r="AC2" s="34" t="s">
        <v>2376</v>
      </c>
      <c r="AD2" s="34" t="s">
        <v>2377</v>
      </c>
      <c r="AE2" s="34" t="s">
        <v>2378</v>
      </c>
      <c r="AF2" t="s">
        <v>2379</v>
      </c>
      <c r="AG2" s="34" t="s">
        <v>2380</v>
      </c>
      <c r="AH2" t="s">
        <v>2381</v>
      </c>
      <c r="AI2" s="34" t="s">
        <v>2382</v>
      </c>
      <c r="AJ2" s="34" t="s">
        <v>2383</v>
      </c>
      <c r="AK2" s="34" t="s">
        <v>2384</v>
      </c>
      <c r="AL2" s="34" t="s">
        <v>2385</v>
      </c>
      <c r="AM2" s="34" t="s">
        <v>2386</v>
      </c>
      <c r="AN2" s="34" t="s">
        <v>2387</v>
      </c>
      <c r="AO2" s="34" t="s">
        <v>2388</v>
      </c>
      <c r="AP2" s="34" t="s">
        <v>2389</v>
      </c>
      <c r="AQ2" s="34" t="s">
        <v>2390</v>
      </c>
      <c r="AR2" s="34" t="s">
        <v>2391</v>
      </c>
      <c r="AS2" s="34" t="s">
        <v>2392</v>
      </c>
      <c r="AT2" s="34" t="s">
        <v>2393</v>
      </c>
      <c r="AU2" s="34" t="s">
        <v>2394</v>
      </c>
      <c r="AV2" s="34" t="s">
        <v>2395</v>
      </c>
      <c r="AW2" s="34" t="s">
        <v>2396</v>
      </c>
      <c r="AX2" s="34" t="s">
        <v>2397</v>
      </c>
      <c r="AY2" s="34" t="s">
        <v>2398</v>
      </c>
      <c r="AZ2" s="34" t="s">
        <v>2399</v>
      </c>
      <c r="BA2" s="34" t="s">
        <v>2400</v>
      </c>
      <c r="BB2" s="34" t="s">
        <v>2401</v>
      </c>
      <c r="BC2" s="34" t="s">
        <v>2402</v>
      </c>
      <c r="BD2" s="34" t="s">
        <v>2403</v>
      </c>
      <c r="BE2" s="34" t="s">
        <v>2404</v>
      </c>
      <c r="BF2" s="34" t="s">
        <v>2405</v>
      </c>
      <c r="BG2" s="34" t="s">
        <v>2406</v>
      </c>
      <c r="BH2" s="34" t="s">
        <v>2407</v>
      </c>
      <c r="BI2" s="34" t="s">
        <v>2408</v>
      </c>
      <c r="BJ2" s="43" t="s">
        <v>2409</v>
      </c>
      <c r="BK2" s="34" t="s">
        <v>2410</v>
      </c>
      <c r="BL2" s="34" t="s">
        <v>2411</v>
      </c>
      <c r="BM2" s="34" t="s">
        <v>2412</v>
      </c>
      <c r="BN2" s="34" t="s">
        <v>2413</v>
      </c>
      <c r="BO2" s="34" t="s">
        <v>2414</v>
      </c>
      <c r="BP2" s="34" t="s">
        <v>2415</v>
      </c>
      <c r="BQ2" s="34" t="s">
        <v>2416</v>
      </c>
      <c r="BR2" s="34" t="s">
        <v>2417</v>
      </c>
      <c r="BS2" s="34" t="s">
        <v>2418</v>
      </c>
      <c r="BT2" s="34" t="s">
        <v>2419</v>
      </c>
      <c r="BU2" s="34" t="s">
        <v>2420</v>
      </c>
      <c r="BV2" s="34" t="s">
        <v>2421</v>
      </c>
      <c r="BW2" s="34" t="s">
        <v>2422</v>
      </c>
      <c r="BX2" s="34" t="s">
        <v>2423</v>
      </c>
      <c r="BY2" s="34" t="s">
        <v>2424</v>
      </c>
      <c r="BZ2" s="34" t="s">
        <v>2425</v>
      </c>
      <c r="CA2" s="34" t="s">
        <v>2426</v>
      </c>
      <c r="CB2" s="34" t="s">
        <v>2427</v>
      </c>
      <c r="CC2" s="34" t="s">
        <v>2428</v>
      </c>
      <c r="CD2" s="34" t="s">
        <v>2429</v>
      </c>
      <c r="CE2" s="34" t="s">
        <v>2430</v>
      </c>
      <c r="CF2" s="34" t="s">
        <v>2431</v>
      </c>
      <c r="CG2" s="34" t="s">
        <v>2432</v>
      </c>
      <c r="CH2" s="34" t="s">
        <v>2433</v>
      </c>
      <c r="CI2" s="34" t="s">
        <v>2434</v>
      </c>
      <c r="CJ2" s="34" t="s">
        <v>2435</v>
      </c>
      <c r="CK2" s="34" t="s">
        <v>2436</v>
      </c>
      <c r="CL2" s="34" t="s">
        <v>2437</v>
      </c>
      <c r="CM2" s="34" t="s">
        <v>2438</v>
      </c>
      <c r="CN2" s="34" t="s">
        <v>2439</v>
      </c>
      <c r="CO2" s="34" t="s">
        <v>2440</v>
      </c>
      <c r="CP2" s="34" t="s">
        <v>2441</v>
      </c>
      <c r="CQ2" s="34" t="s">
        <v>2442</v>
      </c>
      <c r="CR2" s="34" t="s">
        <v>2443</v>
      </c>
      <c r="CS2" s="34" t="s">
        <v>2444</v>
      </c>
      <c r="CT2" s="34" t="s">
        <v>2445</v>
      </c>
      <c r="CU2" s="34" t="s">
        <v>2446</v>
      </c>
      <c r="CV2" s="34" t="s">
        <v>2447</v>
      </c>
      <c r="CW2" s="34" t="s">
        <v>2448</v>
      </c>
      <c r="CX2" s="34" t="s">
        <v>2449</v>
      </c>
      <c r="CY2" s="34" t="s">
        <v>2450</v>
      </c>
      <c r="CZ2" s="34" t="s">
        <v>2451</v>
      </c>
      <c r="DA2" s="34" t="s">
        <v>2452</v>
      </c>
      <c r="DB2" s="34" t="s">
        <v>2453</v>
      </c>
      <c r="DC2" s="34" t="s">
        <v>2454</v>
      </c>
      <c r="DD2" s="34" t="s">
        <v>2455</v>
      </c>
      <c r="DE2" s="34" t="s">
        <v>2456</v>
      </c>
      <c r="DF2" s="34" t="s">
        <v>2457</v>
      </c>
      <c r="DG2" s="34" t="s">
        <v>2458</v>
      </c>
      <c r="DH2" s="34" t="s">
        <v>2459</v>
      </c>
      <c r="DI2" s="34" t="s">
        <v>2460</v>
      </c>
      <c r="DJ2" s="34" t="s">
        <v>2461</v>
      </c>
      <c r="DK2" s="34" t="s">
        <v>2462</v>
      </c>
      <c r="DL2" s="34" t="s">
        <v>2463</v>
      </c>
    </row>
    <row r="3" spans="1:116">
      <c r="A3" t="s">
        <v>246</v>
      </c>
      <c r="B3" t="s">
        <v>498</v>
      </c>
      <c r="C3" t="s">
        <v>497</v>
      </c>
      <c r="D3" t="s">
        <v>622</v>
      </c>
      <c r="E3" t="s">
        <v>2269</v>
      </c>
      <c r="F3">
        <v>0</v>
      </c>
      <c r="G3">
        <v>0</v>
      </c>
      <c r="H3">
        <v>0</v>
      </c>
      <c r="I3">
        <v>1</v>
      </c>
      <c r="J3" s="18" t="e">
        <f>(M3*(V3/100))/1000000000</f>
        <v>#VALUE!</v>
      </c>
      <c r="K3" t="str">
        <f>VLOOKUP($B3,'[1]Source GDP Current USD'!$B$1:$CZ$600,64,FALSE)</f>
        <v>..</v>
      </c>
      <c r="L3" s="45">
        <f>VLOOKUP($B3,'[1]Source GDP Current USD'!$B$1:$CZ$600,65,FALSE)</f>
        <v>3202188606.9289298</v>
      </c>
      <c r="M3" s="45" t="str">
        <f>VLOOKUP($B3,'[1]Source GDP Current LCU'!$B$1:$CZ$600,64,FALSE)</f>
        <v>..</v>
      </c>
      <c r="N3" s="45">
        <f>VLOOKUP($B3,'[1]Source GDP Current LCU'!$B$1:$CZ$600,65,FALSE)</f>
        <v>5731917606.4027901</v>
      </c>
      <c r="O3" s="45" t="str">
        <f>VLOOKUP($B3,'[1]Source GNI Current USD'!$B$1:$CZ$600,64,FALSE)</f>
        <v>..</v>
      </c>
      <c r="P3" s="45" t="str">
        <f>VLOOKUP($B3,'[1]Source GNI Current LCU'!$B$1:$CZ$600,64,FALSE)</f>
        <v>..</v>
      </c>
      <c r="Q3" t="e">
        <f>(M3/P3)*100</f>
        <v>#VALUE!</v>
      </c>
      <c r="R3" t="str">
        <f>VLOOKUP($B3,'[1]Source GNI PC Atlas'!$B$1:$CZ$600,64,FALSE)</f>
        <v>..</v>
      </c>
      <c r="S3">
        <f>VLOOKUP($B3,'[1]Source GNI PC Atlas'!$B$1:$CZ$600,65,FALSE)</f>
        <v>27120</v>
      </c>
      <c r="T3">
        <f>VLOOKUP($B3,[1]Source_PPP_Conversion!$B$1:$CZ$600,65,FALSE)</f>
        <v>0.75457522323011705</v>
      </c>
      <c r="U3">
        <f>VLOOKUP($B3,'[1]Source PopulationTotal'!$B$1:$CZ$600,65,FALSE)</f>
        <v>106766</v>
      </c>
      <c r="V3">
        <f>VLOOKUP($B3,'[1]Source Gov. Revenue WEO'!$B$1:$CZ$600,4,FALSE)</f>
        <v>23.969000000000001</v>
      </c>
      <c r="W3">
        <f>VLOOKUP($B3,'[1]Source Gov. Revenue WEO'!$B$1:$CZ$600,5,FALSE)</f>
        <v>19.472999999999999</v>
      </c>
      <c r="X3">
        <f>VLOOKUP($B3,'[1]Source Gov. Revenue WEO'!$B$1:$CZ$600,6,FALSE)</f>
        <v>19.643000000000001</v>
      </c>
      <c r="Y3">
        <f>VLOOKUP($B3,'[1]Source Gov. Revenue WEO'!$B$1:$CZ$600,7,FALSE)</f>
        <v>22.113</v>
      </c>
      <c r="Z3">
        <f>VLOOKUP($B3,'[1]Source Gov. Revenue WEO'!$B$1:$CZ$600,8,FALSE)</f>
        <v>23.295000000000002</v>
      </c>
      <c r="AA3">
        <f>VLOOKUP($B3,'[1]Source Gov. Revenue WEO'!$B$1:$CZ$600,9,FALSE)</f>
        <v>24.007999999999999</v>
      </c>
      <c r="AB3">
        <f>VLOOKUP($B3,'[1]Source Gov. Revenue WEO'!$B$1:$CZ$600,10,FALSE)</f>
        <v>24.234999999999999</v>
      </c>
      <c r="AC3" t="e">
        <f>VLOOKUP($B3,[2]Summary!$B$1:$CZ$600,39,FALSE)</f>
        <v>#N/A</v>
      </c>
      <c r="AD3" t="e">
        <f>VLOOKUP($B3,[2]Summary!$B$1:$CZ$600,40,FALSE)</f>
        <v>#N/A</v>
      </c>
      <c r="AE3" t="e">
        <f>VLOOKUP($B3,[2]Summary!$B$1:$CZ$600,47,FALSE)</f>
        <v>#N/A</v>
      </c>
      <c r="AF3" t="e">
        <f>VLOOKUP($B3,'[1]CALC GDP Growth rates WDI'!$B$1:$CZ$600,27,FALSE)</f>
        <v>#VALUE!</v>
      </c>
      <c r="AG3" t="e">
        <f>VLOOKUP($B3,'[1]CALC GDP Growth rates WDI'!$B$1:$CZ$600,29,FALSE)</f>
        <v>#VALUE!</v>
      </c>
      <c r="AH3" t="e">
        <f>VLOOKUP($B3,'[1]CALC GDP Growth rates WDI'!$B$1:$CZ$600,28,FALSE)</f>
        <v>#VALUE!</v>
      </c>
      <c r="AI3" t="e">
        <f>VLOOKUP($B3,'[1]CALC GDP Growth rates WDI'!$B$1:$CZ$600,30,FALSE)</f>
        <v>#VALUE!</v>
      </c>
      <c r="AK3" t="e">
        <f>VLOOKUP($B3,[1]Data_Aspire!$B$1:$CZ$600,2,FALSE)</f>
        <v>#N/A</v>
      </c>
      <c r="AL3" t="e">
        <f>VLOOKUP($B3,[1]Data_Aspire!$B$1:$CZ$600,3,FALSE)</f>
        <v>#N/A</v>
      </c>
      <c r="AM3" t="e">
        <f>VLOOKUP($B3,[1]Data_Aspire!$B$1:$CZ$600,4,FALSE)</f>
        <v>#N/A</v>
      </c>
      <c r="AN3" t="e">
        <f>VLOOKUP($B3,[1]Data_Aspire!$B$1:$CZ$600,5,FALSE)</f>
        <v>#N/A</v>
      </c>
      <c r="AO3" t="e">
        <f>VLOOKUP($B3,[1]Data_Aspire!$B$1:$CZ$600,6,FALSE)</f>
        <v>#N/A</v>
      </c>
      <c r="AP3" t="e">
        <f>VLOOKUP($B3,[1]Data_Aspire!$B$1:$CZ$600,7,FALSE)</f>
        <v>#N/A</v>
      </c>
      <c r="AQ3" t="e">
        <f>VLOOKUP($B3,[1]Data_Aspire!$B$1:$CZ$600,8,FALSE)</f>
        <v>#N/A</v>
      </c>
      <c r="AR3" t="e">
        <f>VLOOKUP($B3,[1]Data_Aspire!$B$1:$CZ$600,9,FALSE)</f>
        <v>#N/A</v>
      </c>
      <c r="AS3" t="e">
        <f>VLOOKUP($B3,[1]Data_Aspire!$B$1:$CZ$600,10,FALSE)</f>
        <v>#N/A</v>
      </c>
      <c r="AT3" t="e">
        <f>VLOOKUP($B3,[1]Data_Aspire!$B$1:$CZ$600,11,FALSE)</f>
        <v>#N/A</v>
      </c>
      <c r="AU3" t="e">
        <f>VLOOKUP($B3,[1]Data_Aspire!$B$1:$CZ$600,12,FALSE)</f>
        <v>#N/A</v>
      </c>
      <c r="AV3" t="e">
        <f>VLOOKUP($B3,[1]Data_Aspire!$B$1:$CZ$600,13,FALSE)</f>
        <v>#N/A</v>
      </c>
      <c r="AW3" t="e">
        <f>VLOOKUP($B3,[1]Data_Aspire!$B$1:$CZ$600,14,FALSE)</f>
        <v>#N/A</v>
      </c>
      <c r="AX3" t="e">
        <f>VLOOKUP($B3,[1]Data_Aspire!$B$1:$CZ$600,15,FALSE)</f>
        <v>#N/A</v>
      </c>
      <c r="AY3" t="e">
        <f>VLOOKUP($B3,[1]Data_Aspire!$B$1:$CZ$600,16,FALSE)</f>
        <v>#N/A</v>
      </c>
      <c r="AZ3" t="e">
        <f>VLOOKUP($B3,[1]Data_Aspire!$B$1:$CZ$600,17,FALSE)</f>
        <v>#N/A</v>
      </c>
      <c r="BA3" t="e">
        <f>VLOOKUP($B3,[1]Data_Aspire!$B$1:$CZ$600,18,FALSE)</f>
        <v>#N/A</v>
      </c>
      <c r="BB3" t="e">
        <f>VLOOKUP($B3,[1]Data_Aspire!$B$1:$CZ$600,19,FALSE)</f>
        <v>#N/A</v>
      </c>
      <c r="BC3" t="e">
        <f>VLOOKUP($B3,[1]Data_Aspire!$B$1:$CZ$600,20,FALSE)</f>
        <v>#N/A</v>
      </c>
      <c r="BD3" t="e">
        <f>VLOOKUP($B3,[1]Data_Aspire!$B$1:$CZ$600,21,FALSE)</f>
        <v>#N/A</v>
      </c>
      <c r="BE3" t="e">
        <f>VLOOKUP($B3,[1]Data_Aspire!$B$1:$CZ$600,22,FALSE)</f>
        <v>#N/A</v>
      </c>
      <c r="BF3" t="e">
        <f>VLOOKUP($B3,[1]Data_Aspire!$B$1:$CZ$600,23,FALSE)</f>
        <v>#N/A</v>
      </c>
      <c r="BG3" t="e">
        <f>VLOOKUP($B3,[1]Data_Aspire!$B$1:$CZ$600,24,FALSE)</f>
        <v>#N/A</v>
      </c>
      <c r="BH3" t="e">
        <f>VLOOKUP($B3,[1]Data_Aspire!$B$1:$CZ$600,25,FALSE)</f>
        <v>#N/A</v>
      </c>
      <c r="BI3" t="e">
        <f>VLOOKUP($B3,[1]Data_Aspire!$B$1:$CZ$600,26,FALSE)</f>
        <v>#N/A</v>
      </c>
      <c r="BJ3" s="7">
        <v>0</v>
      </c>
      <c r="BK3">
        <v>533</v>
      </c>
      <c r="BL3">
        <f>VLOOKUP($B3,'[1]Data_UN_PopulationTot.&amp;%'!$B$4:$CZ$603,8,FALSE)</f>
        <v>106.76600000000001</v>
      </c>
      <c r="BM3">
        <f>VLOOKUP($B3,'[1]Data_UN_PopulationTot.&amp;%'!$B$4:$CZ$603,9,FALSE)</f>
        <v>107.19499999999999</v>
      </c>
      <c r="BN3">
        <f>VLOOKUP($B3,'[1]Data_UN_PopulationTot.&amp;%'!$B$4:$CZ$603,10,FALSE)</f>
        <v>107.61199999999999</v>
      </c>
      <c r="BO3">
        <f>VLOOKUP($B3,'[1]Data_UN_PopulationTot.&amp;%'!$B$4:$CZ$603,11,FALSE)</f>
        <v>108.012</v>
      </c>
      <c r="BP3">
        <f>VLOOKUP($B3,'[1]Data_UN_PopulationTot.&amp;%'!$B$4:$CZ$603,12,FALSE)</f>
        <v>108.384</v>
      </c>
      <c r="BQ3">
        <f>VLOOKUP($B3,'[1]Data_UN_PopulationTot.&amp;%'!$B$4:$CZ$603,13,FALSE)</f>
        <v>108.75</v>
      </c>
      <c r="BR3">
        <f>VLOOKUP($B3,'[1]Data_UN_PopulationTot.&amp;%'!$B$4:$CZ$603,14,FALSE)</f>
        <v>109.087</v>
      </c>
      <c r="BS3">
        <f>VLOOKUP($B3,'[1]Data_UN_PopulationTot.&amp;%'!$B$4:$CZ$603,15,FALSE)</f>
        <v>109.419</v>
      </c>
      <c r="BT3">
        <f>VLOOKUP($B3,'[1]Data_UN_PopulationTot.&amp;%'!$B$4:$CZ$603,16,FALSE)</f>
        <v>109.717</v>
      </c>
      <c r="BU3">
        <f>VLOOKUP($B3,'[1]Data_UN_PopulationTot.&amp;%'!$B$4:$CZ$603,17,FALSE)</f>
        <v>109.997</v>
      </c>
      <c r="BV3">
        <f>VLOOKUP($B3,'[1]Data_UN_PopulationTot.&amp;%'!$B$4:$CZ$603,18,FALSE)</f>
        <v>110.244</v>
      </c>
      <c r="BW3">
        <f>VLOOKUP($B3,'[1]Data_UN_PopulationTot.&amp;%'!$B$4:$CZ$603,61,FALSE)</f>
        <v>5.6946968135923415</v>
      </c>
      <c r="BX3">
        <f>VLOOKUP($B3,'[1]Data_UN_PopulationTot.&amp;%'!$B$4:$CZ$603,62,FALSE)</f>
        <v>5.3172358241387707</v>
      </c>
      <c r="BY3">
        <f>VLOOKUP($B3,'[1]Data_UN_PopulationTot.&amp;%'!$B$4:$CZ$603,63,FALSE)</f>
        <v>6.3690688046756456</v>
      </c>
      <c r="BZ3">
        <f>VLOOKUP($B3,'[1]Data_UN_PopulationTot.&amp;%'!$B$4:$CZ$603,64,FALSE)</f>
        <v>6.7530861884869715</v>
      </c>
      <c r="CA3">
        <f>VLOOKUP($B3,'[1]Data_UN_PopulationTot.&amp;%'!$B$4:$CZ$603,65,FALSE)</f>
        <v>7.0855890452016554</v>
      </c>
      <c r="CB3">
        <f>VLOOKUP($B3,'[1]Data_UN_PopulationTot.&amp;%'!$B$4:$CZ$603,66,FALSE)</f>
        <v>6.9450948803926345</v>
      </c>
      <c r="CC3">
        <f>VLOOKUP($B3,'[1]Data_UN_PopulationTot.&amp;%'!$B$4:$CZ$603,67,FALSE)</f>
        <v>5.0802689994942209</v>
      </c>
      <c r="CD3">
        <f>VLOOKUP($B3,'[1]Data_UN_PopulationTot.&amp;%'!$B$4:$CZ$603,68,FALSE)</f>
        <v>5.4511735945900375</v>
      </c>
      <c r="CE3">
        <f>VLOOKUP($B3,'[1]Data_UN_PopulationTot.&amp;%'!$B$4:$CZ$603,69,FALSE)</f>
        <v>6.3128711387520369</v>
      </c>
      <c r="CF3">
        <f>VLOOKUP($B3,'[1]Data_UN_PopulationTot.&amp;%'!$B$4:$CZ$603,70,FALSE)</f>
        <v>7.053743701178278</v>
      </c>
      <c r="CG3">
        <f>VLOOKUP($B3,'[1]Data_UN_PopulationTot.&amp;%'!$B$4:$CZ$603,71,FALSE)</f>
        <v>7.6260232658336911</v>
      </c>
      <c r="CH3">
        <f>VLOOKUP($B3,'[1]Data_UN_PopulationTot.&amp;%'!$B$4:$CZ$603,72,FALSE)</f>
        <v>8.4886574377610859</v>
      </c>
      <c r="CI3">
        <f>VLOOKUP($B3,'[1]Data_UN_PopulationTot.&amp;%'!$B$4:$CZ$603,73,FALSE)</f>
        <v>7.2176535601221365</v>
      </c>
      <c r="CJ3">
        <f>VLOOKUP($B3,'[1]Data_UN_PopulationTot.&amp;%'!$B$4:$CZ$603,74,FALSE)</f>
        <v>5.6647247250997506</v>
      </c>
      <c r="CK3">
        <f>VLOOKUP($B3,'[1]Data_UN_PopulationTot.&amp;%'!$B$4:$CZ$603,75,FALSE)</f>
        <v>4.0293726467227389</v>
      </c>
      <c r="CL3">
        <f>VLOOKUP($B3,'[1]Data_UN_PopulationTot.&amp;%'!$B$4:$CZ$603,76,FALSE)</f>
        <v>2.4876833448850757</v>
      </c>
      <c r="CM3">
        <f>VLOOKUP($B3,'[1]Data_UN_PopulationTot.&amp;%'!$B$4:$CZ$603,77,FALSE)</f>
        <v>1.5276398853567614</v>
      </c>
      <c r="CN3">
        <f>VLOOKUP($B3,'[1]Data_UN_PopulationTot.&amp;%'!$B$4:$CZ$603,78,FALSE)</f>
        <v>0.66968885225633623</v>
      </c>
      <c r="CO3">
        <f>VLOOKUP($B3,'[1]Data_UN_PopulationTot.&amp;%'!$B$4:$CZ$603,79,FALSE)</f>
        <v>0.1901354363748759</v>
      </c>
      <c r="CP3">
        <f>VLOOKUP($B3,'[1]Data_UN_PopulationTot.&amp;%'!$B$4:$CZ$603,80,FALSE)</f>
        <v>3.1845344023378228E-2</v>
      </c>
      <c r="CQ3">
        <f>VLOOKUP($B3,'[1]Data_UN_PopulationTot.&amp;%'!$B$4:$CZ$603,81,FALSE)</f>
        <v>3.7465110615739088E-3</v>
      </c>
      <c r="CR3">
        <f>VLOOKUP($B3,'[1]Data_UN_PopulationTot.&amp;%'!$B$4:$CZ$603,82,FALSE)</f>
        <v>5.9930699176372411</v>
      </c>
      <c r="CS3">
        <f>VLOOKUP($B3,'[1]Data_UN_PopulationTot.&amp;%'!$B$4:$CZ$603,83,FALSE)</f>
        <v>5.8125612278219227</v>
      </c>
      <c r="CT3">
        <f>VLOOKUP($B3,'[1]Data_UN_PopulationTot.&amp;%'!$B$4:$CZ$603,84,FALSE)</f>
        <v>5.5912339900584156</v>
      </c>
      <c r="CU3">
        <f>VLOOKUP($B3,'[1]Data_UN_PopulationTot.&amp;%'!$B$4:$CZ$603,85,FALSE)</f>
        <v>5.2302166104277781</v>
      </c>
      <c r="CV3">
        <f>VLOOKUP($B3,'[1]Data_UN_PopulationTot.&amp;%'!$B$4:$CZ$603,86,FALSE)</f>
        <v>6.2053263669678174</v>
      </c>
      <c r="CW3">
        <f>VLOOKUP($B3,'[1]Data_UN_PopulationTot.&amp;%'!$B$4:$CZ$603,87,FALSE)</f>
        <v>6.5980915061137111</v>
      </c>
      <c r="CX3">
        <f>VLOOKUP($B3,'[1]Data_UN_PopulationTot.&amp;%'!$B$4:$CZ$603,88,FALSE)</f>
        <v>6.9935778817894851</v>
      </c>
      <c r="CY3">
        <f>VLOOKUP($B3,'[1]Data_UN_PopulationTot.&amp;%'!$B$4:$CZ$603,89,FALSE)</f>
        <v>6.8738434744748016</v>
      </c>
      <c r="CZ3">
        <f>VLOOKUP($B3,'[1]Data_UN_PopulationTot.&amp;%'!$B$4:$CZ$603,90,FALSE)</f>
        <v>5.0415442110228224</v>
      </c>
      <c r="DA3">
        <f>VLOOKUP($B3,'[1]Data_UN_PopulationTot.&amp;%'!$B$4:$CZ$603,91,FALSE)</f>
        <v>5.3399731504662382</v>
      </c>
      <c r="DB3">
        <f>VLOOKUP($B3,'[1]Data_UN_PopulationTot.&amp;%'!$B$4:$CZ$603,92,FALSE)</f>
        <v>6.0520300424512898</v>
      </c>
      <c r="DC3">
        <f>VLOOKUP($B3,'[1]Data_UN_PopulationTot.&amp;%'!$B$4:$CZ$603,93,FALSE)</f>
        <v>6.5944631907405391</v>
      </c>
      <c r="DD3">
        <f>VLOOKUP($B3,'[1]Data_UN_PopulationTot.&amp;%'!$B$4:$CZ$603,94,FALSE)</f>
        <v>6.9318965204455569</v>
      </c>
      <c r="DE3">
        <f>VLOOKUP($B3,'[1]Data_UN_PopulationTot.&amp;%'!$B$4:$CZ$603,95,FALSE)</f>
        <v>7.3854359420920863</v>
      </c>
      <c r="DF3">
        <f>VLOOKUP($B3,'[1]Data_UN_PopulationTot.&amp;%'!$B$4:$CZ$603,96,FALSE)</f>
        <v>5.8116541489786293</v>
      </c>
      <c r="DG3">
        <f>VLOOKUP($B3,'[1]Data_UN_PopulationTot.&amp;%'!$B$4:$CZ$603,97,FALSE)</f>
        <v>3.9829832008998221</v>
      </c>
      <c r="DH3">
        <f>VLOOKUP($B3,'[1]Data_UN_PopulationTot.&amp;%'!$B$4:$CZ$603,98,FALSE)</f>
        <v>2.2422989006204421</v>
      </c>
      <c r="DI3">
        <f>VLOOKUP($B3,'[1]Data_UN_PopulationTot.&amp;%'!$B$4:$CZ$603,99,FALSE)</f>
        <v>0.93791952396502298</v>
      </c>
      <c r="DJ3">
        <f>VLOOKUP($B3,'[1]Data_UN_PopulationTot.&amp;%'!$B$4:$DE$603,100,FALSE)</f>
        <v>0.31566343746598452</v>
      </c>
      <c r="DK3">
        <f>VLOOKUP($B3,'[1]Data_UN_PopulationTot.&amp;%'!$B$4:$DE$603,101,FALSE)</f>
        <v>5.9867203657341897E-2</v>
      </c>
      <c r="DL3">
        <f>VLOOKUP($B3,'[1]Data_UN_PopulationTot.&amp;%'!$B$4:$DE$603,102,FALSE)</f>
        <v>6.3495519030514142E-3</v>
      </c>
    </row>
    <row r="4" spans="1:116">
      <c r="A4" t="s">
        <v>96</v>
      </c>
      <c r="B4" t="s">
        <v>309</v>
      </c>
      <c r="C4" t="s">
        <v>483</v>
      </c>
      <c r="D4" t="s">
        <v>306</v>
      </c>
      <c r="E4" t="s">
        <v>299</v>
      </c>
      <c r="F4">
        <v>1</v>
      </c>
      <c r="G4">
        <v>0</v>
      </c>
      <c r="H4">
        <v>0</v>
      </c>
      <c r="I4">
        <v>0</v>
      </c>
      <c r="J4" s="18">
        <f>(M4*(V4/100))/1000000000</f>
        <v>397.56044275154403</v>
      </c>
      <c r="K4">
        <f>VLOOKUP($B4,'[1]Source GDP Current USD'!$B$1:$CZ$600,64,FALSE)</f>
        <v>20116137325.820599</v>
      </c>
      <c r="L4" s="45">
        <f>VLOOKUP($B4,'[1]Source GDP Current USD'!$B$1:$CZ$600,65,FALSE)</f>
        <v>20116137325.820599</v>
      </c>
      <c r="M4" s="17">
        <f>VLOOKUP($B4,'[1]Source GDP Current LCU'!$B$1:$CZ$600,64,FALSE)</f>
        <v>1547289027600</v>
      </c>
      <c r="N4" s="45">
        <f>VLOOKUP($B4,'[1]Source GDP Current LCU'!$B$1:$CZ$600,65,FALSE)</f>
        <v>1547289027600</v>
      </c>
      <c r="O4" s="45">
        <f>VLOOKUP($B4,'[1]Source GNI Current USD'!$B$1:$CZ$600,64,FALSE)</f>
        <v>20304823185.2705</v>
      </c>
      <c r="P4" s="45">
        <f>VLOOKUP($B4,'[1]Source GNI Current LCU'!$B$1:$CZ$600,64,FALSE)</f>
        <v>1561802328800</v>
      </c>
      <c r="Q4">
        <f t="shared" ref="Q4:Q67" si="0">(M4/P4)*100</f>
        <v>99.070733796949114</v>
      </c>
      <c r="R4">
        <f>VLOOKUP($B4,'[1]Source GNI PC Atlas'!$B$1:$CZ$600,64,FALSE)</f>
        <v>500</v>
      </c>
      <c r="S4">
        <f>VLOOKUP($B4,'[1]Source GNI PC Atlas'!$B$1:$CZ$600,65,FALSE)</f>
        <v>500</v>
      </c>
      <c r="T4">
        <f>VLOOKUP($B4,[1]Source_PPP_Conversion!$B$1:$CZ$600,65,FALSE)</f>
        <v>0.24859799159927001</v>
      </c>
      <c r="U4">
        <f>VLOOKUP($B4,'[1]Source PopulationTotal'!$B$1:$CZ$600,65,FALSE)</f>
        <v>38928341</v>
      </c>
      <c r="V4">
        <f>VLOOKUP($B4,'[1]Source Gov. Revenue WEO'!$B$1:$CZ$600,4,FALSE)</f>
        <v>25.693999999999999</v>
      </c>
      <c r="AC4">
        <f>VLOOKUP($B4,[2]Summary!$B$1:$CZ$600,39,FALSE)</f>
        <v>0.36</v>
      </c>
      <c r="AD4">
        <f>VLOOKUP($B4,[2]Summary!$B$1:$CZ$600,40,FALSE)</f>
        <v>0.31</v>
      </c>
      <c r="AE4">
        <f>VLOOKUP($B4,[2]Summary!$B$1:$CZ$600,47,FALSE)</f>
        <v>0.15271641791044777</v>
      </c>
      <c r="AF4">
        <f>VLOOKUP($B4,'[1]CALC GDP Growth rates WDI'!$B$1:$CZ$600,27,FALSE)</f>
        <v>34.304640186233762</v>
      </c>
      <c r="AG4">
        <f>VLOOKUP($B4,'[1]CALC GDP Growth rates WDI'!$B$1:$CZ$600,29,FALSE)</f>
        <v>51.397249686625287</v>
      </c>
      <c r="AH4">
        <f>VLOOKUP($B4,'[1]CALC GDP Growth rates WDI'!$B$1:$CZ$600,28,FALSE)</f>
        <v>7.7752599909856519</v>
      </c>
      <c r="AI4">
        <f>VLOOKUP($B4,'[1]CALC GDP Growth rates WDI'!$B$1:$CZ$600,30,FALSE)</f>
        <v>7.7755649750525402</v>
      </c>
      <c r="AJ4" s="45" t="s">
        <v>2464</v>
      </c>
      <c r="AK4" t="e">
        <f>VLOOKUP($B4,[1]Data_Aspire!$B$1:$CZ$600,2,FALSE)</f>
        <v>#N/A</v>
      </c>
      <c r="AL4" t="e">
        <f>VLOOKUP($B4,[1]Data_Aspire!$B$1:$CZ$600,3,FALSE)</f>
        <v>#N/A</v>
      </c>
      <c r="AM4" t="e">
        <f>VLOOKUP($B4,[1]Data_Aspire!$B$1:$CZ$600,4,FALSE)</f>
        <v>#N/A</v>
      </c>
      <c r="AN4" t="e">
        <f>VLOOKUP($B4,[1]Data_Aspire!$B$1:$CZ$600,5,FALSE)</f>
        <v>#N/A</v>
      </c>
      <c r="AO4" t="e">
        <f>VLOOKUP($B4,[1]Data_Aspire!$B$1:$CZ$600,6,FALSE)</f>
        <v>#N/A</v>
      </c>
      <c r="AP4" t="e">
        <f>VLOOKUP($B4,[1]Data_Aspire!$B$1:$CZ$600,7,FALSE)</f>
        <v>#N/A</v>
      </c>
      <c r="AQ4" t="e">
        <f>VLOOKUP($B4,[1]Data_Aspire!$B$1:$CZ$600,8,FALSE)</f>
        <v>#N/A</v>
      </c>
      <c r="AR4" t="e">
        <f>VLOOKUP($B4,[1]Data_Aspire!$B$1:$CZ$600,9,FALSE)</f>
        <v>#N/A</v>
      </c>
      <c r="AS4" t="e">
        <f>VLOOKUP($B4,[1]Data_Aspire!$B$1:$CZ$600,10,FALSE)</f>
        <v>#N/A</v>
      </c>
      <c r="AT4" t="e">
        <f>VLOOKUP($B4,[1]Data_Aspire!$B$1:$CZ$600,11,FALSE)</f>
        <v>#N/A</v>
      </c>
      <c r="AU4" t="e">
        <f>VLOOKUP($B4,[1]Data_Aspire!$B$1:$CZ$600,12,FALSE)</f>
        <v>#N/A</v>
      </c>
      <c r="AV4" t="e">
        <f>VLOOKUP($B4,[1]Data_Aspire!$B$1:$CZ$600,13,FALSE)</f>
        <v>#N/A</v>
      </c>
      <c r="AW4" t="e">
        <f>VLOOKUP($B4,[1]Data_Aspire!$B$1:$CZ$600,14,FALSE)</f>
        <v>#N/A</v>
      </c>
      <c r="AX4" t="e">
        <f>VLOOKUP($B4,[1]Data_Aspire!$B$1:$CZ$600,15,FALSE)</f>
        <v>#N/A</v>
      </c>
      <c r="AY4" t="e">
        <f>VLOOKUP($B4,[1]Data_Aspire!$B$1:$CZ$600,16,FALSE)</f>
        <v>#N/A</v>
      </c>
      <c r="AZ4" t="e">
        <f>VLOOKUP($B4,[1]Data_Aspire!$B$1:$CZ$600,17,FALSE)</f>
        <v>#N/A</v>
      </c>
      <c r="BA4" t="e">
        <f>VLOOKUP($B4,[1]Data_Aspire!$B$1:$CZ$600,18,FALSE)</f>
        <v>#N/A</v>
      </c>
      <c r="BB4" t="e">
        <f>VLOOKUP($B4,[1]Data_Aspire!$B$1:$CZ$600,19,FALSE)</f>
        <v>#N/A</v>
      </c>
      <c r="BC4" t="e">
        <f>VLOOKUP($B4,[1]Data_Aspire!$B$1:$CZ$600,20,FALSE)</f>
        <v>#N/A</v>
      </c>
      <c r="BD4" t="e">
        <f>VLOOKUP($B4,[1]Data_Aspire!$B$1:$CZ$600,21,FALSE)</f>
        <v>#N/A</v>
      </c>
      <c r="BE4" t="e">
        <f>VLOOKUP($B4,[1]Data_Aspire!$B$1:$CZ$600,22,FALSE)</f>
        <v>#N/A</v>
      </c>
      <c r="BF4" t="e">
        <f>VLOOKUP($B4,[1]Data_Aspire!$B$1:$CZ$600,23,FALSE)</f>
        <v>#N/A</v>
      </c>
      <c r="BG4" t="e">
        <f>VLOOKUP($B4,[1]Data_Aspire!$B$1:$CZ$600,24,FALSE)</f>
        <v>#N/A</v>
      </c>
      <c r="BH4" t="e">
        <f>VLOOKUP($B4,[1]Data_Aspire!$B$1:$CZ$600,25,FALSE)</f>
        <v>#N/A</v>
      </c>
      <c r="BI4" t="e">
        <f>VLOOKUP($B4,[1]Data_Aspire!$B$1:$CZ$600,26,FALSE)</f>
        <v>#N/A</v>
      </c>
      <c r="BJ4" s="7">
        <v>0</v>
      </c>
      <c r="BK4">
        <v>4</v>
      </c>
      <c r="BL4">
        <f>VLOOKUP($B4,'[1]Data_UN_PopulationTot.&amp;%'!$B$4:$CZ$603,8,FALSE)</f>
        <v>38928.300000000003</v>
      </c>
      <c r="BM4">
        <f>VLOOKUP($B4,'[1]Data_UN_PopulationTot.&amp;%'!$B$4:$CZ$603,9,FALSE)</f>
        <v>39835.4</v>
      </c>
      <c r="BN4">
        <v>40754.400000000001</v>
      </c>
      <c r="BO4">
        <f>VLOOKUP($B4,'[1]Data_UN_PopulationTot.&amp;%'!$B$4:$CZ$603,11,FALSE)</f>
        <v>41681.199999999997</v>
      </c>
      <c r="BP4">
        <f>VLOOKUP($B4,'[1]Data_UN_PopulationTot.&amp;%'!$B$4:$CZ$603,12,FALSE)</f>
        <v>42608.7</v>
      </c>
      <c r="BQ4">
        <f>VLOOKUP($B4,'[1]Data_UN_PopulationTot.&amp;%'!$B$4:$CZ$603,13,FALSE)</f>
        <v>43531.5</v>
      </c>
      <c r="BR4">
        <f>VLOOKUP($B4,'[1]Data_UN_PopulationTot.&amp;%'!$B$4:$CZ$603,14,FALSE)</f>
        <v>44449.1</v>
      </c>
      <c r="BS4">
        <f>VLOOKUP($B4,'[1]Data_UN_PopulationTot.&amp;%'!$B$4:$CZ$603,15,FALSE)</f>
        <v>45363.6</v>
      </c>
      <c r="BT4">
        <f>VLOOKUP($B4,'[1]Data_UN_PopulationTot.&amp;%'!$B$4:$CZ$603,16,FALSE)</f>
        <v>46275.3</v>
      </c>
      <c r="BU4">
        <f>VLOOKUP($B4,'[1]Data_UN_PopulationTot.&amp;%'!$B$4:$CZ$603,17,FALSE)</f>
        <v>47185.2</v>
      </c>
      <c r="BV4">
        <f>VLOOKUP($B4,'[1]Data_UN_PopulationTot.&amp;%'!$B$4:$CZ$603,18,FALSE)</f>
        <v>48093.599999999999</v>
      </c>
      <c r="BW4">
        <f>VLOOKUP($B4,'[1]Data_UN_PopulationTot.&amp;%'!$B$4:$CZ$603,61,FALSE)</f>
        <v>14.571686921853766</v>
      </c>
      <c r="BX4">
        <f>VLOOKUP($B4,'[1]Data_UN_PopulationTot.&amp;%'!$B$4:$CZ$603,62,FALSE)</f>
        <v>13.913322698396795</v>
      </c>
      <c r="BY4">
        <f>VLOOKUP($B4,'[1]Data_UN_PopulationTot.&amp;%'!$B$4:$CZ$603,63,FALSE)</f>
        <v>13.337623271501709</v>
      </c>
      <c r="BZ4">
        <f>VLOOKUP($B4,'[1]Data_UN_PopulationTot.&amp;%'!$B$4:$CZ$603,64,FALSE)</f>
        <v>11.892222367788985</v>
      </c>
      <c r="CA4">
        <f>VLOOKUP($B4,'[1]Data_UN_PopulationTot.&amp;%'!$B$4:$CZ$603,65,FALSE)</f>
        <v>10.086466657932659</v>
      </c>
      <c r="CB4">
        <f>VLOOKUP($B4,'[1]Data_UN_PopulationTot.&amp;%'!$B$4:$CZ$603,66,FALSE)</f>
        <v>7.9874795457289416</v>
      </c>
      <c r="CC4">
        <f>VLOOKUP($B4,'[1]Data_UN_PopulationTot.&amp;%'!$B$4:$CZ$603,67,FALSE)</f>
        <v>6.3662168653653</v>
      </c>
      <c r="CD4">
        <f>VLOOKUP($B4,'[1]Data_UN_PopulationTot.&amp;%'!$B$4:$CZ$603,68,FALSE)</f>
        <v>5.2825065569264513</v>
      </c>
      <c r="CE4">
        <f>VLOOKUP($B4,'[1]Data_UN_PopulationTot.&amp;%'!$B$4:$CZ$603,69,FALSE)</f>
        <v>4.2609618195503014</v>
      </c>
      <c r="CF4">
        <f>VLOOKUP($B4,'[1]Data_UN_PopulationTot.&amp;%'!$B$4:$CZ$603,70,FALSE)</f>
        <v>3.3516490573695741</v>
      </c>
      <c r="CG4">
        <f>VLOOKUP($B4,'[1]Data_UN_PopulationTot.&amp;%'!$B$4:$CZ$603,71,FALSE)</f>
        <v>2.6519524356316606</v>
      </c>
      <c r="CH4">
        <f>VLOOKUP($B4,'[1]Data_UN_PopulationTot.&amp;%'!$B$4:$CZ$603,72,FALSE)</f>
        <v>2.075197221558609</v>
      </c>
      <c r="CI4">
        <f>VLOOKUP($B4,'[1]Data_UN_PopulationTot.&amp;%'!$B$4:$CZ$603,73,FALSE)</f>
        <v>1.5737599638309403</v>
      </c>
      <c r="CJ4">
        <f>VLOOKUP($B4,'[1]Data_UN_PopulationTot.&amp;%'!$B$4:$CZ$603,74,FALSE)</f>
        <v>1.1427624632979092</v>
      </c>
      <c r="CK4">
        <f>VLOOKUP($B4,'[1]Data_UN_PopulationTot.&amp;%'!$B$4:$CZ$603,75,FALSE)</f>
        <v>0.80263201835168752</v>
      </c>
      <c r="CL4">
        <f>VLOOKUP($B4,'[1]Data_UN_PopulationTot.&amp;%'!$B$4:$CZ$603,76,FALSE)</f>
        <v>0.43157291738914871</v>
      </c>
      <c r="CM4">
        <f>VLOOKUP($B4,'[1]Data_UN_PopulationTot.&amp;%'!$B$4:$CZ$603,77,FALSE)</f>
        <v>0.19421603306591864</v>
      </c>
      <c r="CN4">
        <f>VLOOKUP($B4,'[1]Data_UN_PopulationTot.&amp;%'!$B$4:$CZ$603,78,FALSE)</f>
        <v>6.2833465627833734E-2</v>
      </c>
      <c r="CO4">
        <f>VLOOKUP($B4,'[1]Data_UN_PopulationTot.&amp;%'!$B$4:$CZ$603,79,FALSE)</f>
        <v>1.3337340700724152E-2</v>
      </c>
      <c r="CP4">
        <f>VLOOKUP($B4,'[1]Data_UN_PopulationTot.&amp;%'!$B$4:$CZ$603,80,FALSE)</f>
        <v>1.6157910825800252E-3</v>
      </c>
      <c r="CQ4">
        <f>VLOOKUP($B4,'[1]Data_UN_PopulationTot.&amp;%'!$B$4:$CZ$603,81,FALSE)</f>
        <v>1.0018418477046262E-4</v>
      </c>
      <c r="CR4">
        <f>VLOOKUP($B4,'[1]Data_UN_PopulationTot.&amp;%'!$B$4:$CZ$603,82,FALSE)</f>
        <v>12.252212352579136</v>
      </c>
      <c r="CS4">
        <f>VLOOKUP($B4,'[1]Data_UN_PopulationTot.&amp;%'!$B$4:$CZ$603,83,FALSE)</f>
        <v>11.969846299715554</v>
      </c>
      <c r="CT4">
        <f>VLOOKUP($B4,'[1]Data_UN_PopulationTot.&amp;%'!$B$4:$CZ$603,84,FALSE)</f>
        <v>11.591230433987059</v>
      </c>
      <c r="CU4">
        <f>VLOOKUP($B4,'[1]Data_UN_PopulationTot.&amp;%'!$B$4:$CZ$603,85,FALSE)</f>
        <v>11.025126004291632</v>
      </c>
      <c r="CV4">
        <f>VLOOKUP($B4,'[1]Data_UN_PopulationTot.&amp;%'!$B$4:$CZ$603,86,FALSE)</f>
        <v>10.342623550742719</v>
      </c>
      <c r="CW4">
        <f>VLOOKUP($B4,'[1]Data_UN_PopulationTot.&amp;%'!$B$4:$CZ$603,87,FALSE)</f>
        <v>9.125081091870852</v>
      </c>
      <c r="CX4">
        <f>VLOOKUP($B4,'[1]Data_UN_PopulationTot.&amp;%'!$B$4:$CZ$603,88,FALSE)</f>
        <v>7.800497363474558</v>
      </c>
      <c r="CY4">
        <f>VLOOKUP($B4,'[1]Data_UN_PopulationTot.&amp;%'!$B$4:$CZ$603,89,FALSE)</f>
        <v>6.2171681886987047</v>
      </c>
      <c r="CZ4">
        <f>VLOOKUP($B4,'[1]Data_UN_PopulationTot.&amp;%'!$B$4:$CZ$603,90,FALSE)</f>
        <v>4.9472486983715092</v>
      </c>
      <c r="DA4">
        <f>VLOOKUP($B4,'[1]Data_UN_PopulationTot.&amp;%'!$B$4:$CZ$603,91,FALSE)</f>
        <v>4.069023737046094</v>
      </c>
      <c r="DB4">
        <f>VLOOKUP($B4,'[1]Data_UN_PopulationTot.&amp;%'!$B$4:$CZ$603,92,FALSE)</f>
        <v>3.2179333632749469</v>
      </c>
      <c r="DC4">
        <f>VLOOKUP($B4,'[1]Data_UN_PopulationTot.&amp;%'!$B$4:$CZ$603,93,FALSE)</f>
        <v>2.452155796197415</v>
      </c>
      <c r="DD4">
        <f>VLOOKUP($B4,'[1]Data_UN_PopulationTot.&amp;%'!$B$4:$CZ$603,94,FALSE)</f>
        <v>1.8533193605802019</v>
      </c>
      <c r="DE4">
        <f>VLOOKUP($B4,'[1]Data_UN_PopulationTot.&amp;%'!$B$4:$CZ$603,95,FALSE)</f>
        <v>1.3435488297819254</v>
      </c>
      <c r="DF4">
        <f>VLOOKUP($B4,'[1]Data_UN_PopulationTot.&amp;%'!$B$4:$CZ$603,96,FALSE)</f>
        <v>0.89714223930003156</v>
      </c>
      <c r="DG4">
        <f>VLOOKUP($B4,'[1]Data_UN_PopulationTot.&amp;%'!$B$4:$CZ$603,97,FALSE)</f>
        <v>0.52939476354442172</v>
      </c>
      <c r="DH4">
        <f>VLOOKUP($B4,'[1]Data_UN_PopulationTot.&amp;%'!$B$4:$CZ$603,98,FALSE)</f>
        <v>0.26483149525092736</v>
      </c>
      <c r="DI4">
        <f>VLOOKUP($B4,'[1]Data_UN_PopulationTot.&amp;%'!$B$4:$CZ$603,99,FALSE)</f>
        <v>8.2493304722457875E-2</v>
      </c>
      <c r="DJ4">
        <f>VLOOKUP($B4,'[1]Data_UN_PopulationTot.&amp;%'!$B$4:$DE$603,100,FALSE)</f>
        <v>1.6985628025350568E-2</v>
      </c>
      <c r="DK4">
        <f>VLOOKUP($B4,'[1]Data_UN_PopulationTot.&amp;%'!$B$4:$DE$603,101,FALSE)</f>
        <v>1.9794733602807859E-3</v>
      </c>
      <c r="DL4">
        <f>VLOOKUP($B4,'[1]Data_UN_PopulationTot.&amp;%'!$B$4:$DE$603,102,FALSE)</f>
        <v>1.3307383934660745E-4</v>
      </c>
    </row>
    <row r="5" spans="1:116">
      <c r="A5" t="s">
        <v>136</v>
      </c>
      <c r="B5" t="s">
        <v>350</v>
      </c>
      <c r="C5" t="s">
        <v>496</v>
      </c>
      <c r="D5" t="s">
        <v>334</v>
      </c>
      <c r="E5" t="s">
        <v>300</v>
      </c>
      <c r="F5">
        <v>0</v>
      </c>
      <c r="G5">
        <v>1</v>
      </c>
      <c r="H5">
        <v>0</v>
      </c>
      <c r="I5">
        <v>0</v>
      </c>
      <c r="J5" s="18">
        <f t="shared" ref="J5:J68" si="1">(M5*(V5/100))/1000000000</f>
        <v>7052.7292484600002</v>
      </c>
      <c r="K5">
        <f>VLOOKUP($B5,'[1]Source GDP Current USD'!$B$1:$CZ$600,64,FALSE)</f>
        <v>58375976292.967796</v>
      </c>
      <c r="L5" s="45">
        <f>VLOOKUP($B5,'[1]Source GDP Current USD'!$B$1:$CZ$600,65,FALSE)</f>
        <v>58375976292.967796</v>
      </c>
      <c r="M5" s="17">
        <f>VLOOKUP($B5,'[1]Source GDP Current LCU'!$B$1:$CZ$600,64,FALSE)</f>
        <v>33756422000000</v>
      </c>
      <c r="N5" s="45">
        <f>VLOOKUP($B5,'[1]Source GDP Current LCU'!$B$1:$CZ$600,65,FALSE)</f>
        <v>33756422000000</v>
      </c>
      <c r="O5" s="45">
        <f>VLOOKUP($B5,'[1]Source GNI Current USD'!$B$1:$CZ$600,64,FALSE)</f>
        <v>53451976292.967796</v>
      </c>
      <c r="P5" s="45">
        <f>VLOOKUP($B5,'[1]Source GNI Current LCU'!$B$1:$CZ$600,64,FALSE)</f>
        <v>30909075668800</v>
      </c>
      <c r="Q5">
        <f t="shared" si="0"/>
        <v>109.21200737838352</v>
      </c>
      <c r="R5">
        <f>VLOOKUP($B5,'[1]Source GNI PC Atlas'!$B$1:$CZ$600,64,FALSE)</f>
        <v>2140</v>
      </c>
      <c r="S5">
        <f>VLOOKUP($B5,'[1]Source GNI PC Atlas'!$B$1:$CZ$600,65,FALSE)</f>
        <v>2140</v>
      </c>
      <c r="T5">
        <f>VLOOKUP($B5,[1]Source_PPP_Conversion!$B$1:$CZ$600,65,FALSE)</f>
        <v>0.27556983417153003</v>
      </c>
      <c r="U5">
        <f>VLOOKUP($B5,'[1]Source PopulationTotal'!$B$1:$CZ$600,65,FALSE)</f>
        <v>32866268</v>
      </c>
      <c r="V5">
        <f>VLOOKUP($B5,'[1]Source Gov. Revenue WEO'!$B$1:$CZ$600,4,FALSE)</f>
        <v>20.893000000000001</v>
      </c>
      <c r="W5">
        <f>VLOOKUP($B5,'[1]Source Gov. Revenue WEO'!$B$1:$CZ$600,5,FALSE)</f>
        <v>22.890999999999998</v>
      </c>
      <c r="X5">
        <f>VLOOKUP($B5,'[1]Source Gov. Revenue WEO'!$B$1:$CZ$600,6,FALSE)</f>
        <v>22.423999999999999</v>
      </c>
      <c r="Y5">
        <f>VLOOKUP($B5,'[1]Source Gov. Revenue WEO'!$B$1:$CZ$600,7,FALSE)</f>
        <v>21.577000000000002</v>
      </c>
      <c r="Z5">
        <f>VLOOKUP($B5,'[1]Source Gov. Revenue WEO'!$B$1:$CZ$600,8,FALSE)</f>
        <v>20.853000000000002</v>
      </c>
      <c r="AA5">
        <f>VLOOKUP($B5,'[1]Source Gov. Revenue WEO'!$B$1:$CZ$600,9,FALSE)</f>
        <v>20.216000000000001</v>
      </c>
      <c r="AB5">
        <f>VLOOKUP($B5,'[1]Source Gov. Revenue WEO'!$B$1:$CZ$600,10,FALSE)</f>
        <v>19.657</v>
      </c>
      <c r="AC5">
        <f>VLOOKUP($B5,[2]Summary!$B$1:$CZ$600,39,FALSE)</f>
        <v>0.47119999999999995</v>
      </c>
      <c r="AD5">
        <f>VLOOKUP($B5,[2]Summary!$B$1:$CZ$600,40,FALSE)</f>
        <v>0.53749999999999998</v>
      </c>
      <c r="AE5">
        <f>VLOOKUP($B5,[2]Summary!$B$1:$CZ$600,47,FALSE)</f>
        <v>0.33182070181060724</v>
      </c>
      <c r="AF5">
        <f>VLOOKUP($B5,'[1]CALC GDP Growth rates WDI'!$B$1:$CZ$600,27,FALSE)</f>
        <v>11.774889115032524</v>
      </c>
      <c r="AG5">
        <f>VLOOKUP($B5,'[1]CALC GDP Growth rates WDI'!$B$1:$CZ$600,29,FALSE)</f>
        <v>24.286184372015263</v>
      </c>
      <c r="AH5">
        <f>VLOOKUP($B5,'[1]CALC GDP Growth rates WDI'!$B$1:$CZ$600,28,FALSE)</f>
        <v>-10.383500588991556</v>
      </c>
      <c r="AI5">
        <f>VLOOKUP($B5,'[1]CALC GDP Growth rates WDI'!$B$1:$CZ$600,30,FALSE)</f>
        <v>-3.6551749441171233</v>
      </c>
      <c r="AM5">
        <f>VLOOKUP($B5,[1]Data_Aspire!$B$1:$CZ$600,4,FALSE)</f>
        <v>0</v>
      </c>
      <c r="AN5">
        <f>VLOOKUP($B5,[1]Data_Aspire!$B$1:$CZ$600,5,FALSE)</f>
        <v>0</v>
      </c>
      <c r="AO5">
        <f>VLOOKUP($B5,[1]Data_Aspire!$B$1:$CZ$600,6,FALSE)</f>
        <v>0</v>
      </c>
      <c r="AP5">
        <f>VLOOKUP($B5,[1]Data_Aspire!$B$1:$CZ$600,7,FALSE)</f>
        <v>0</v>
      </c>
      <c r="AX5">
        <f>VLOOKUP($B5,[1]Data_Aspire!$B$1:$CZ$600,15,FALSE)</f>
        <v>2016</v>
      </c>
      <c r="AY5">
        <f>VLOOKUP($B5,[1]Data_Aspire!$B$1:$CZ$600,16,FALSE)</f>
        <v>2015</v>
      </c>
      <c r="BB5">
        <f>VLOOKUP($B5,[1]Data_Aspire!$B$1:$CZ$600,19,FALSE)</f>
        <v>101246</v>
      </c>
      <c r="BC5">
        <f>VLOOKUP($B5,[1]Data_Aspire!$B$1:$CZ$600,20,FALSE)</f>
        <v>2011</v>
      </c>
      <c r="BD5">
        <f>VLOOKUP($B5,[1]Data_Aspire!$B$1:$CZ$600,21,FALSE)</f>
        <v>418733</v>
      </c>
      <c r="BE5">
        <f>VLOOKUP($B5,[1]Data_Aspire!$B$1:$CZ$600,22,FALSE)</f>
        <v>2011</v>
      </c>
      <c r="BJ5" s="7">
        <v>1</v>
      </c>
      <c r="BK5">
        <v>24</v>
      </c>
      <c r="BL5">
        <f>VLOOKUP($B5,'[1]Data_UN_PopulationTot.&amp;%'!$B$4:$CZ$603,8,FALSE)</f>
        <v>32866.300000000003</v>
      </c>
      <c r="BM5">
        <f>VLOOKUP($B5,'[1]Data_UN_PopulationTot.&amp;%'!$B$4:$CZ$603,9,FALSE)</f>
        <v>33933.599999999999</v>
      </c>
      <c r="BN5">
        <v>35027.300000000003</v>
      </c>
      <c r="BO5">
        <f>VLOOKUP($B5,'[1]Data_UN_PopulationTot.&amp;%'!$B$4:$CZ$603,11,FALSE)</f>
        <v>36148.6</v>
      </c>
      <c r="BP5">
        <f>VLOOKUP($B5,'[1]Data_UN_PopulationTot.&amp;%'!$B$4:$CZ$603,12,FALSE)</f>
        <v>37298.6</v>
      </c>
      <c r="BQ5">
        <f>VLOOKUP($B5,'[1]Data_UN_PopulationTot.&amp;%'!$B$4:$CZ$603,13,FALSE)</f>
        <v>38478.199999999997</v>
      </c>
      <c r="BR5">
        <f>VLOOKUP($B5,'[1]Data_UN_PopulationTot.&amp;%'!$B$4:$CZ$603,14,FALSE)</f>
        <v>39688.1</v>
      </c>
      <c r="BS5">
        <f>VLOOKUP($B5,'[1]Data_UN_PopulationTot.&amp;%'!$B$4:$CZ$603,15,FALSE)</f>
        <v>40928.6</v>
      </c>
      <c r="BT5">
        <f>VLOOKUP($B5,'[1]Data_UN_PopulationTot.&amp;%'!$B$4:$CZ$603,16,FALSE)</f>
        <v>42199.9</v>
      </c>
      <c r="BU5">
        <f>VLOOKUP($B5,'[1]Data_UN_PopulationTot.&amp;%'!$B$4:$CZ$603,17,FALSE)</f>
        <v>43502</v>
      </c>
      <c r="BV5">
        <f>VLOOKUP($B5,'[1]Data_UN_PopulationTot.&amp;%'!$B$4:$CZ$603,18,FALSE)</f>
        <v>44834.7</v>
      </c>
      <c r="BW5">
        <f>VLOOKUP($B5,'[1]Data_UN_PopulationTot.&amp;%'!$B$4:$CZ$603,61,FALSE)</f>
        <v>17.632042548142017</v>
      </c>
      <c r="BX5">
        <f>VLOOKUP($B5,'[1]Data_UN_PopulationTot.&amp;%'!$B$4:$CZ$603,62,FALSE)</f>
        <v>15.530071836501216</v>
      </c>
      <c r="BY5">
        <f>VLOOKUP($B5,'[1]Data_UN_PopulationTot.&amp;%'!$B$4:$CZ$603,63,FALSE)</f>
        <v>13.233190228288549</v>
      </c>
      <c r="BZ5">
        <f>VLOOKUP($B5,'[1]Data_UN_PopulationTot.&amp;%'!$B$4:$CZ$603,64,FALSE)</f>
        <v>10.748152362754553</v>
      </c>
      <c r="CA5">
        <f>VLOOKUP($B5,'[1]Data_UN_PopulationTot.&amp;%'!$B$4:$CZ$603,65,FALSE)</f>
        <v>8.7705948037959853</v>
      </c>
      <c r="CB5">
        <f>VLOOKUP($B5,'[1]Data_UN_PopulationTot.&amp;%'!$B$4:$CZ$603,66,FALSE)</f>
        <v>7.3737232362632836</v>
      </c>
      <c r="CC5">
        <f>VLOOKUP($B5,'[1]Data_UN_PopulationTot.&amp;%'!$B$4:$CZ$603,67,FALSE)</f>
        <v>6.2092781968155828</v>
      </c>
      <c r="CD5">
        <f>VLOOKUP($B5,'[1]Data_UN_PopulationTot.&amp;%'!$B$4:$CZ$603,68,FALSE)</f>
        <v>5.0476323772374734</v>
      </c>
      <c r="CE5">
        <f>VLOOKUP($B5,'[1]Data_UN_PopulationTot.&amp;%'!$B$4:$CZ$603,69,FALSE)</f>
        <v>4.048797704639707</v>
      </c>
      <c r="CF5">
        <f>VLOOKUP($B5,'[1]Data_UN_PopulationTot.&amp;%'!$B$4:$CZ$603,70,FALSE)</f>
        <v>3.2922476822763738</v>
      </c>
      <c r="CG5">
        <f>VLOOKUP($B5,'[1]Data_UN_PopulationTot.&amp;%'!$B$4:$CZ$603,71,FALSE)</f>
        <v>2.3951950782412377</v>
      </c>
      <c r="CH5">
        <f>VLOOKUP($B5,'[1]Data_UN_PopulationTot.&amp;%'!$B$4:$CZ$603,72,FALSE)</f>
        <v>2.0610473341994688</v>
      </c>
      <c r="CI5">
        <f>VLOOKUP($B5,'[1]Data_UN_PopulationTot.&amp;%'!$B$4:$CZ$603,73,FALSE)</f>
        <v>1.4664504370738416</v>
      </c>
      <c r="CJ5">
        <f>VLOOKUP($B5,'[1]Data_UN_PopulationTot.&amp;%'!$B$4:$CZ$603,74,FALSE)</f>
        <v>0.92474358233205423</v>
      </c>
      <c r="CK5">
        <f>VLOOKUP($B5,'[1]Data_UN_PopulationTot.&amp;%'!$B$4:$CZ$603,75,FALSE)</f>
        <v>0.64659849146390069</v>
      </c>
      <c r="CL5">
        <f>VLOOKUP($B5,'[1]Data_UN_PopulationTot.&amp;%'!$B$4:$CZ$603,76,FALSE)</f>
        <v>0.36273021301454678</v>
      </c>
      <c r="CM5">
        <f>VLOOKUP($B5,'[1]Data_UN_PopulationTot.&amp;%'!$B$4:$CZ$603,77,FALSE)</f>
        <v>0.18236613187368214</v>
      </c>
      <c r="CN5">
        <f>VLOOKUP($B5,'[1]Data_UN_PopulationTot.&amp;%'!$B$4:$CZ$603,78,FALSE)</f>
        <v>6.0481404964964104E-2</v>
      </c>
      <c r="CO5">
        <f>VLOOKUP($B5,'[1]Data_UN_PopulationTot.&amp;%'!$B$4:$CZ$603,79,FALSE)</f>
        <v>1.2958562418039147E-2</v>
      </c>
      <c r="CP5">
        <f>VLOOKUP($B5,'[1]Data_UN_PopulationTot.&amp;%'!$B$4:$CZ$603,80,FALSE)</f>
        <v>1.4604625406571471E-3</v>
      </c>
      <c r="CQ5">
        <f>VLOOKUP($B5,'[1]Data_UN_PopulationTot.&amp;%'!$B$4:$CZ$603,81,FALSE)</f>
        <v>1.1561995113535746E-4</v>
      </c>
      <c r="CR5">
        <f>VLOOKUP($B5,'[1]Data_UN_PopulationTot.&amp;%'!$B$4:$CZ$603,82,FALSE)</f>
        <v>16.423417576118499</v>
      </c>
      <c r="CS5">
        <f>VLOOKUP($B5,'[1]Data_UN_PopulationTot.&amp;%'!$B$4:$CZ$603,83,FALSE)</f>
        <v>14.359212841839023</v>
      </c>
      <c r="CT5">
        <f>VLOOKUP($B5,'[1]Data_UN_PopulationTot.&amp;%'!$B$4:$CZ$603,84,FALSE)</f>
        <v>12.647480634419322</v>
      </c>
      <c r="CU5">
        <f>VLOOKUP($B5,'[1]Data_UN_PopulationTot.&amp;%'!$B$4:$CZ$603,85,FALSE)</f>
        <v>11.2261931048942</v>
      </c>
      <c r="CV5">
        <f>VLOOKUP($B5,'[1]Data_UN_PopulationTot.&amp;%'!$B$4:$CZ$603,86,FALSE)</f>
        <v>9.5218881803603015</v>
      </c>
      <c r="CW5">
        <f>VLOOKUP($B5,'[1]Data_UN_PopulationTot.&amp;%'!$B$4:$CZ$603,87,FALSE)</f>
        <v>7.6786283838187837</v>
      </c>
      <c r="CX5">
        <f>VLOOKUP($B5,'[1]Data_UN_PopulationTot.&amp;%'!$B$4:$CZ$603,88,FALSE)</f>
        <v>6.2370217710835583</v>
      </c>
      <c r="CY5">
        <f>VLOOKUP($B5,'[1]Data_UN_PopulationTot.&amp;%'!$B$4:$CZ$603,89,FALSE)</f>
        <v>5.2161383928073572</v>
      </c>
      <c r="CZ5">
        <f>VLOOKUP($B5,'[1]Data_UN_PopulationTot.&amp;%'!$B$4:$CZ$603,90,FALSE)</f>
        <v>4.3522316420094258</v>
      </c>
      <c r="DA5">
        <f>VLOOKUP($B5,'[1]Data_UN_PopulationTot.&amp;%'!$B$4:$CZ$603,91,FALSE)</f>
        <v>3.4874773334047067</v>
      </c>
      <c r="DB5">
        <f>VLOOKUP($B5,'[1]Data_UN_PopulationTot.&amp;%'!$B$4:$CZ$603,92,FALSE)</f>
        <v>2.7351805632690751</v>
      </c>
      <c r="DC5">
        <f>VLOOKUP($B5,'[1]Data_UN_PopulationTot.&amp;%'!$B$4:$CZ$603,93,FALSE)</f>
        <v>2.1481174179820544</v>
      </c>
      <c r="DD5">
        <f>VLOOKUP($B5,'[1]Data_UN_PopulationTot.&amp;%'!$B$4:$CZ$603,94,FALSE)</f>
        <v>1.479508059605618</v>
      </c>
      <c r="DE5">
        <f>VLOOKUP($B5,'[1]Data_UN_PopulationTot.&amp;%'!$B$4:$CZ$603,95,FALSE)</f>
        <v>1.162827006760389</v>
      </c>
      <c r="DF5">
        <f>VLOOKUP($B5,'[1]Data_UN_PopulationTot.&amp;%'!$B$4:$CZ$603,96,FALSE)</f>
        <v>0.71762050376159547</v>
      </c>
      <c r="DG5">
        <f>VLOOKUP($B5,'[1]Data_UN_PopulationTot.&amp;%'!$B$4:$CZ$603,97,FALSE)</f>
        <v>0.3580954037832304</v>
      </c>
      <c r="DH5">
        <f>VLOOKUP($B5,'[1]Data_UN_PopulationTot.&amp;%'!$B$4:$CZ$603,98,FALSE)</f>
        <v>0.17506975623791396</v>
      </c>
      <c r="DI5">
        <f>VLOOKUP($B5,'[1]Data_UN_PopulationTot.&amp;%'!$B$4:$CZ$603,99,FALSE)</f>
        <v>5.7859202804970263E-2</v>
      </c>
      <c r="DJ5">
        <f>VLOOKUP($B5,'[1]Data_UN_PopulationTot.&amp;%'!$B$4:$DE$603,100,FALSE)</f>
        <v>1.4064998762119521E-2</v>
      </c>
      <c r="DK5">
        <f>VLOOKUP($B5,'[1]Data_UN_PopulationTot.&amp;%'!$B$4:$DE$603,101,FALSE)</f>
        <v>1.797714716503066E-3</v>
      </c>
      <c r="DL5">
        <f>VLOOKUP($B5,'[1]Data_UN_PopulationTot.&amp;%'!$B$4:$DE$603,102,FALSE)</f>
        <v>1.2713367101820688E-4</v>
      </c>
    </row>
    <row r="6" spans="1:116">
      <c r="A6" t="s">
        <v>192</v>
      </c>
      <c r="B6" t="s">
        <v>407</v>
      </c>
      <c r="C6" t="s">
        <v>485</v>
      </c>
      <c r="D6" t="s">
        <v>389</v>
      </c>
      <c r="E6" t="s">
        <v>301</v>
      </c>
      <c r="F6">
        <v>0</v>
      </c>
      <c r="G6">
        <v>0</v>
      </c>
      <c r="H6">
        <v>1</v>
      </c>
      <c r="I6">
        <v>0</v>
      </c>
      <c r="J6" s="18">
        <f t="shared" si="1"/>
        <v>428.43806348039999</v>
      </c>
      <c r="K6">
        <f>VLOOKUP($B6,'[1]Source GDP Current USD'!$B$1:$CZ$600,64,FALSE)</f>
        <v>14887629268.2927</v>
      </c>
      <c r="L6" s="45">
        <f>VLOOKUP($B6,'[1]Source GDP Current USD'!$B$1:$CZ$600,65,FALSE)</f>
        <v>14887629268.2927</v>
      </c>
      <c r="M6" s="17">
        <f>VLOOKUP($B6,'[1]Source GDP Current LCU'!$B$1:$CZ$600,64,FALSE)</f>
        <v>1617540920000</v>
      </c>
      <c r="N6" s="45">
        <f>VLOOKUP($B6,'[1]Source GDP Current LCU'!$B$1:$CZ$600,65,FALSE)</f>
        <v>1617540920000</v>
      </c>
      <c r="O6" s="45">
        <f>VLOOKUP($B6,'[1]Source GNI Current USD'!$B$1:$CZ$600,64,FALSE)</f>
        <v>14637399664.9793</v>
      </c>
      <c r="P6" s="45">
        <f>VLOOKUP($B6,'[1]Source GNI Current LCU'!$B$1:$CZ$600,64,FALSE)</f>
        <v>1590353473600</v>
      </c>
      <c r="Q6">
        <f t="shared" si="0"/>
        <v>101.70952224466534</v>
      </c>
      <c r="R6">
        <f>VLOOKUP($B6,'[1]Source GNI PC Atlas'!$B$1:$CZ$600,64,FALSE)</f>
        <v>5210</v>
      </c>
      <c r="S6">
        <f>VLOOKUP($B6,'[1]Source GNI PC Atlas'!$B$1:$CZ$600,65,FALSE)</f>
        <v>5210</v>
      </c>
      <c r="T6">
        <f>VLOOKUP($B6,[1]Source_PPP_Conversion!$B$1:$CZ$600,65,FALSE)</f>
        <v>0.390358851786752</v>
      </c>
      <c r="U6">
        <f>VLOOKUP($B6,'[1]Source PopulationTotal'!$B$1:$CZ$600,65,FALSE)</f>
        <v>2837743</v>
      </c>
      <c r="V6">
        <f>VLOOKUP($B6,'[1]Source Gov. Revenue WEO'!$B$1:$CZ$600,4,FALSE)</f>
        <v>26.486999999999998</v>
      </c>
      <c r="W6">
        <f>VLOOKUP($B6,'[1]Source Gov. Revenue WEO'!$B$1:$CZ$600,5,FALSE)</f>
        <v>27.326000000000001</v>
      </c>
      <c r="X6">
        <f>VLOOKUP($B6,'[1]Source Gov. Revenue WEO'!$B$1:$CZ$600,6,FALSE)</f>
        <v>27.468</v>
      </c>
      <c r="Y6">
        <f>VLOOKUP($B6,'[1]Source Gov. Revenue WEO'!$B$1:$CZ$600,7,FALSE)</f>
        <v>27.620999999999999</v>
      </c>
      <c r="Z6">
        <f>VLOOKUP($B6,'[1]Source Gov. Revenue WEO'!$B$1:$CZ$600,8,FALSE)</f>
        <v>27.646000000000001</v>
      </c>
      <c r="AA6">
        <f>VLOOKUP($B6,'[1]Source Gov. Revenue WEO'!$B$1:$CZ$600,9,FALSE)</f>
        <v>27.631</v>
      </c>
      <c r="AB6">
        <f>VLOOKUP($B6,'[1]Source Gov. Revenue WEO'!$B$1:$CZ$600,10,FALSE)</f>
        <v>27.606999999999999</v>
      </c>
      <c r="AC6">
        <f>VLOOKUP($B6,[2]Summary!$B$1:$CZ$600,39,FALSE)</f>
        <v>1.423106E-2</v>
      </c>
      <c r="AD6">
        <f>VLOOKUP($B6,[2]Summary!$B$1:$CZ$600,40,FALSE)</f>
        <v>5.7499999999999999E-3</v>
      </c>
      <c r="AE6">
        <f>VLOOKUP($B6,[2]Summary!$B$1:$CZ$600,47,FALSE)</f>
        <v>0.30711282733804324</v>
      </c>
      <c r="AF6">
        <f>VLOOKUP($B6,'[1]CALC GDP Growth rates WDI'!$B$1:$CZ$600,27,FALSE)</f>
        <v>19.554854010623473</v>
      </c>
      <c r="AG6">
        <f>VLOOKUP($B6,'[1]CALC GDP Growth rates WDI'!$B$1:$CZ$600,29,FALSE)</f>
        <v>26.326942518351125</v>
      </c>
      <c r="AH6">
        <f>VLOOKUP($B6,'[1]CALC GDP Growth rates WDI'!$B$1:$CZ$600,28,FALSE)</f>
        <v>9.4056954197863423</v>
      </c>
      <c r="AI6">
        <f>VLOOKUP($B6,'[1]CALC GDP Growth rates WDI'!$B$1:$CZ$600,30,FALSE)</f>
        <v>13.94397229973967</v>
      </c>
      <c r="AJ6" s="45"/>
      <c r="AK6">
        <f>VLOOKUP($B6,[1]Data_Aspire!$B$1:$CZ$600,2,FALSE)</f>
        <v>2018</v>
      </c>
      <c r="AL6">
        <f>VLOOKUP($B6,[1]Data_Aspire!$B$1:$CZ$600,3,FALSE)</f>
        <v>1.48</v>
      </c>
      <c r="AM6">
        <f>VLOOKUP($B6,[1]Data_Aspire!$B$1:$CZ$600,4,FALSE)</f>
        <v>0</v>
      </c>
      <c r="AN6">
        <f>VLOOKUP($B6,[1]Data_Aspire!$B$1:$CZ$600,5,FALSE)</f>
        <v>0.42</v>
      </c>
      <c r="AO6">
        <f>VLOOKUP($B6,[1]Data_Aspire!$B$1:$CZ$600,6,FALSE)</f>
        <v>0.98</v>
      </c>
      <c r="AP6">
        <f>VLOOKUP($B6,[1]Data_Aspire!$B$1:$CZ$600,7,FALSE)</f>
        <v>0</v>
      </c>
      <c r="AQ6">
        <f>VLOOKUP($B6,[1]Data_Aspire!$B$1:$CZ$600,8,FALSE)</f>
        <v>0.02</v>
      </c>
      <c r="AS6">
        <f>VLOOKUP($B6,[1]Data_Aspire!$B$1:$CZ$600,10,FALSE)</f>
        <v>0.02</v>
      </c>
      <c r="AT6">
        <f>VLOOKUP($B6,[1]Data_Aspire!$B$1:$CZ$600,11,FALSE)</f>
        <v>0.04</v>
      </c>
      <c r="AU6">
        <f>VLOOKUP($B6,[1]Data_Aspire!$B$1:$CZ$600,12,FALSE)</f>
        <v>1.48</v>
      </c>
      <c r="AX6">
        <f>VLOOKUP($B6,[1]Data_Aspire!$B$1:$CZ$600,15,FALSE)</f>
        <v>317268.90000000002</v>
      </c>
      <c r="AY6">
        <f>VLOOKUP($B6,[1]Data_Aspire!$B$1:$CZ$600,16,FALSE)</f>
        <v>2017</v>
      </c>
      <c r="BF6">
        <f>VLOOKUP($B6,[1]Data_Aspire!$B$1:$CZ$600,23,FALSE)</f>
        <v>5264</v>
      </c>
      <c r="BG6">
        <f>VLOOKUP($B6,[1]Data_Aspire!$B$1:$CZ$600,24,FALSE)</f>
        <v>2017</v>
      </c>
      <c r="BH6">
        <f>VLOOKUP($B6,[1]Data_Aspire!$B$1:$CZ$600,25,FALSE)</f>
        <v>128747</v>
      </c>
      <c r="BI6">
        <f>VLOOKUP($B6,[1]Data_Aspire!$B$1:$CZ$600,26,FALSE)</f>
        <v>2017</v>
      </c>
      <c r="BJ6" s="7">
        <v>0</v>
      </c>
      <c r="BK6">
        <v>8</v>
      </c>
      <c r="BL6">
        <f>VLOOKUP($B6,'[1]Data_UN_PopulationTot.&amp;%'!$B$4:$CZ$603,8,FALSE)</f>
        <v>2877.8</v>
      </c>
      <c r="BM6">
        <f>VLOOKUP($B6,'[1]Data_UN_PopulationTot.&amp;%'!$B$4:$CZ$603,9,FALSE)</f>
        <v>2872.93</v>
      </c>
      <c r="BN6">
        <v>2866.38</v>
      </c>
      <c r="BO6">
        <f>VLOOKUP($B6,'[1]Data_UN_PopulationTot.&amp;%'!$B$4:$CZ$603,11,FALSE)</f>
        <v>2858.42</v>
      </c>
      <c r="BP6">
        <f>VLOOKUP($B6,'[1]Data_UN_PopulationTot.&amp;%'!$B$4:$CZ$603,12,FALSE)</f>
        <v>2849.66</v>
      </c>
      <c r="BQ6">
        <f>VLOOKUP($B6,'[1]Data_UN_PopulationTot.&amp;%'!$B$4:$CZ$603,13,FALSE)</f>
        <v>2840.47</v>
      </c>
      <c r="BR6">
        <f>VLOOKUP($B6,'[1]Data_UN_PopulationTot.&amp;%'!$B$4:$CZ$603,14,FALSE)</f>
        <v>2830.86</v>
      </c>
      <c r="BS6">
        <f>VLOOKUP($B6,'[1]Data_UN_PopulationTot.&amp;%'!$B$4:$CZ$603,15,FALSE)</f>
        <v>2820.62</v>
      </c>
      <c r="BT6">
        <f>VLOOKUP($B6,'[1]Data_UN_PopulationTot.&amp;%'!$B$4:$CZ$603,16,FALSE)</f>
        <v>2809.86</v>
      </c>
      <c r="BU6">
        <f>VLOOKUP($B6,'[1]Data_UN_PopulationTot.&amp;%'!$B$4:$CZ$603,17,FALSE)</f>
        <v>2798.63</v>
      </c>
      <c r="BV6">
        <f>VLOOKUP($B6,'[1]Data_UN_PopulationTot.&amp;%'!$B$4:$CZ$603,18,FALSE)</f>
        <v>2786.97</v>
      </c>
      <c r="BW6">
        <f>VLOOKUP($B6,'[1]Data_UN_PopulationTot.&amp;%'!$B$4:$CZ$603,61,FALSE)</f>
        <v>5.7779553825839178</v>
      </c>
      <c r="BX6">
        <f>VLOOKUP($B6,'[1]Data_UN_PopulationTot.&amp;%'!$B$4:$CZ$603,62,FALSE)</f>
        <v>5.8222948085342967</v>
      </c>
      <c r="BY6">
        <f>VLOOKUP($B6,'[1]Data_UN_PopulationTot.&amp;%'!$B$4:$CZ$603,63,FALSE)</f>
        <v>5.635589686566127</v>
      </c>
      <c r="BZ6">
        <f>VLOOKUP($B6,'[1]Data_UN_PopulationTot.&amp;%'!$B$4:$CZ$603,64,FALSE)</f>
        <v>6.9357495308916537</v>
      </c>
      <c r="CA6">
        <f>VLOOKUP($B6,'[1]Data_UN_PopulationTot.&amp;%'!$B$4:$CZ$603,65,FALSE)</f>
        <v>7.9350893043296953</v>
      </c>
      <c r="CB6">
        <f>VLOOKUP($B6,'[1]Data_UN_PopulationTot.&amp;%'!$B$4:$CZ$603,66,FALSE)</f>
        <v>8.4899228577385486</v>
      </c>
      <c r="CC6">
        <f>VLOOKUP($B6,'[1]Data_UN_PopulationTot.&amp;%'!$B$4:$CZ$603,67,FALSE)</f>
        <v>7.7810827715616089</v>
      </c>
      <c r="CD6">
        <f>VLOOKUP($B6,'[1]Data_UN_PopulationTot.&amp;%'!$B$4:$CZ$603,68,FALSE)</f>
        <v>5.7977969282090482</v>
      </c>
      <c r="CE6">
        <f>VLOOKUP($B6,'[1]Data_UN_PopulationTot.&amp;%'!$B$4:$CZ$603,69,FALSE)</f>
        <v>5.2995343665299881</v>
      </c>
      <c r="CF6">
        <f>VLOOKUP($B6,'[1]Data_UN_PopulationTot.&amp;%'!$B$4:$CZ$603,70,FALSE)</f>
        <v>5.9249774133018267</v>
      </c>
      <c r="CG6">
        <f>VLOOKUP($B6,'[1]Data_UN_PopulationTot.&amp;%'!$B$4:$CZ$603,71,FALSE)</f>
        <v>6.4002015428452284</v>
      </c>
      <c r="CH6">
        <f>VLOOKUP($B6,'[1]Data_UN_PopulationTot.&amp;%'!$B$4:$CZ$603,72,FALSE)</f>
        <v>7.0159844325526439</v>
      </c>
      <c r="CI6">
        <f>VLOOKUP($B6,'[1]Data_UN_PopulationTot.&amp;%'!$B$4:$CZ$603,73,FALSE)</f>
        <v>6.4792202376815613</v>
      </c>
      <c r="CJ6">
        <f>VLOOKUP($B6,'[1]Data_UN_PopulationTot.&amp;%'!$B$4:$CZ$603,74,FALSE)</f>
        <v>4.9962818819931885</v>
      </c>
      <c r="CK6">
        <f>VLOOKUP($B6,'[1]Data_UN_PopulationTot.&amp;%'!$B$4:$CZ$603,75,FALSE)</f>
        <v>3.7574536103968312</v>
      </c>
      <c r="CL6">
        <f>VLOOKUP($B6,'[1]Data_UN_PopulationTot.&amp;%'!$B$4:$CZ$603,76,FALSE)</f>
        <v>3.007019250816596</v>
      </c>
      <c r="CM6">
        <f>VLOOKUP($B6,'[1]Data_UN_PopulationTot.&amp;%'!$B$4:$CZ$603,77,FALSE)</f>
        <v>1.8721245395788448</v>
      </c>
      <c r="CN6">
        <f>VLOOKUP($B6,'[1]Data_UN_PopulationTot.&amp;%'!$B$4:$CZ$603,78,FALSE)</f>
        <v>0.81270414900271037</v>
      </c>
      <c r="CO6">
        <f>VLOOKUP($B6,'[1]Data_UN_PopulationTot.&amp;%'!$B$4:$CZ$603,79,FALSE)</f>
        <v>0.23028007505733547</v>
      </c>
      <c r="CP6">
        <f>VLOOKUP($B6,'[1]Data_UN_PopulationTot.&amp;%'!$B$4:$CZ$603,80,FALSE)</f>
        <v>2.6965042740982697E-2</v>
      </c>
      <c r="CQ6">
        <f>VLOOKUP($B6,'[1]Data_UN_PopulationTot.&amp;%'!$B$4:$CZ$603,81,FALSE)</f>
        <v>1.7721870873583987E-3</v>
      </c>
      <c r="CR6">
        <f>VLOOKUP($B6,'[1]Data_UN_PopulationTot.&amp;%'!$B$4:$CZ$603,82,FALSE)</f>
        <v>4.7508584591868592</v>
      </c>
      <c r="CS6">
        <f>VLOOKUP($B6,'[1]Data_UN_PopulationTot.&amp;%'!$B$4:$CZ$603,83,FALSE)</f>
        <v>5.4125806879873135</v>
      </c>
      <c r="CT6">
        <f>VLOOKUP($B6,'[1]Data_UN_PopulationTot.&amp;%'!$B$4:$CZ$603,84,FALSE)</f>
        <v>5.7891904110916155</v>
      </c>
      <c r="CU6">
        <f>VLOOKUP($B6,'[1]Data_UN_PopulationTot.&amp;%'!$B$4:$CZ$603,85,FALSE)</f>
        <v>5.8075616170967033</v>
      </c>
      <c r="CV6">
        <f>VLOOKUP($B6,'[1]Data_UN_PopulationTot.&amp;%'!$B$4:$CZ$603,86,FALSE)</f>
        <v>5.3351130439150758</v>
      </c>
      <c r="CW6">
        <f>VLOOKUP($B6,'[1]Data_UN_PopulationTot.&amp;%'!$B$4:$CZ$603,87,FALSE)</f>
        <v>6.3785042537235785</v>
      </c>
      <c r="CX6">
        <f>VLOOKUP($B6,'[1]Data_UN_PopulationTot.&amp;%'!$B$4:$CZ$603,88,FALSE)</f>
        <v>7.3673559457044746</v>
      </c>
      <c r="CY6">
        <f>VLOOKUP($B6,'[1]Data_UN_PopulationTot.&amp;%'!$B$4:$CZ$603,89,FALSE)</f>
        <v>8.0865240745325568</v>
      </c>
      <c r="CZ6">
        <f>VLOOKUP($B6,'[1]Data_UN_PopulationTot.&amp;%'!$B$4:$CZ$603,90,FALSE)</f>
        <v>7.5223629963724044</v>
      </c>
      <c r="DA6">
        <f>VLOOKUP($B6,'[1]Data_UN_PopulationTot.&amp;%'!$B$4:$CZ$603,91,FALSE)</f>
        <v>5.6136592787148771</v>
      </c>
      <c r="DB6">
        <f>VLOOKUP($B6,'[1]Data_UN_PopulationTot.&amp;%'!$B$4:$CZ$603,92,FALSE)</f>
        <v>5.1718891843112775</v>
      </c>
      <c r="DC6">
        <f>VLOOKUP($B6,'[1]Data_UN_PopulationTot.&amp;%'!$B$4:$CZ$603,93,FALSE)</f>
        <v>5.810503880558457</v>
      </c>
      <c r="DD6">
        <f>VLOOKUP($B6,'[1]Data_UN_PopulationTot.&amp;%'!$B$4:$CZ$603,94,FALSE)</f>
        <v>6.2238560156729346</v>
      </c>
      <c r="DE6">
        <f>VLOOKUP($B6,'[1]Data_UN_PopulationTot.&amp;%'!$B$4:$CZ$603,95,FALSE)</f>
        <v>6.6637602844666439</v>
      </c>
      <c r="DF6">
        <f>VLOOKUP($B6,'[1]Data_UN_PopulationTot.&amp;%'!$B$4:$CZ$603,96,FALSE)</f>
        <v>5.8445910792007094</v>
      </c>
      <c r="DG6">
        <f>VLOOKUP($B6,'[1]Data_UN_PopulationTot.&amp;%'!$B$4:$CZ$603,97,FALSE)</f>
        <v>4.0516761931416561</v>
      </c>
      <c r="DH6">
        <f>VLOOKUP($B6,'[1]Data_UN_PopulationTot.&amp;%'!$B$4:$CZ$603,98,FALSE)</f>
        <v>2.4305966695012864</v>
      </c>
      <c r="DI6">
        <f>VLOOKUP($B6,'[1]Data_UN_PopulationTot.&amp;%'!$B$4:$CZ$603,99,FALSE)</f>
        <v>1.2703401902424498</v>
      </c>
      <c r="DJ6">
        <f>VLOOKUP($B6,'[1]Data_UN_PopulationTot.&amp;%'!$B$4:$DE$603,100,FALSE)</f>
        <v>0.40147543748228365</v>
      </c>
      <c r="DK6">
        <f>VLOOKUP($B6,'[1]Data_UN_PopulationTot.&amp;%'!$B$4:$DE$603,101,FALSE)</f>
        <v>6.3366308212862002E-2</v>
      </c>
      <c r="DL6">
        <f>VLOOKUP($B6,'[1]Data_UN_PopulationTot.&amp;%'!$B$4:$DE$603,102,FALSE)</f>
        <v>4.3057514074424912E-3</v>
      </c>
    </row>
    <row r="7" spans="1:116">
      <c r="A7" t="s">
        <v>255</v>
      </c>
      <c r="B7" t="s">
        <v>561</v>
      </c>
      <c r="C7" t="s">
        <v>487</v>
      </c>
      <c r="D7" t="s">
        <v>622</v>
      </c>
      <c r="E7" t="s">
        <v>2269</v>
      </c>
      <c r="F7">
        <v>0</v>
      </c>
      <c r="G7">
        <v>0</v>
      </c>
      <c r="H7">
        <v>0</v>
      </c>
      <c r="I7">
        <v>1</v>
      </c>
      <c r="J7" s="18">
        <f t="shared" si="1"/>
        <v>362.46138243965225</v>
      </c>
      <c r="K7">
        <f>VLOOKUP($B7,'[1]Source GDP Current USD'!$B$1:$CZ$600,64,FALSE)</f>
        <v>358868765174.92401</v>
      </c>
      <c r="L7" s="45">
        <f>VLOOKUP($B7,'[1]Source GDP Current USD'!$B$1:$CZ$600,65,FALSE)</f>
        <v>358868765174.92401</v>
      </c>
      <c r="M7" s="17">
        <f>VLOOKUP($B7,'[1]Source GDP Current LCU'!$B$1:$CZ$600,64,FALSE)</f>
        <v>1317945540104.9099</v>
      </c>
      <c r="N7" s="45">
        <f>VLOOKUP($B7,'[1]Source GDP Current LCU'!$B$1:$CZ$600,65,FALSE)</f>
        <v>1317945540104.9099</v>
      </c>
      <c r="O7" s="45">
        <f>VLOOKUP($B7,'[1]Source GNI Current USD'!$B$1:$CZ$600,64,FALSE)</f>
        <v>358405865242.99799</v>
      </c>
      <c r="P7" s="45">
        <f>VLOOKUP($B7,'[1]Source GNI Current LCU'!$B$1:$CZ$600,64,FALSE)</f>
        <v>1316245540104.9099</v>
      </c>
      <c r="Q7">
        <f t="shared" si="0"/>
        <v>100.12915523344257</v>
      </c>
      <c r="R7">
        <f>VLOOKUP($B7,'[1]Source GNI PC Atlas'!$B$1:$CZ$600,64,FALSE)</f>
        <v>39410</v>
      </c>
      <c r="S7">
        <f>VLOOKUP($B7,'[1]Source GNI PC Atlas'!$B$1:$CZ$600,65,FALSE)</f>
        <v>39410</v>
      </c>
      <c r="T7">
        <f>VLOOKUP($B7,[1]Source_PPP_Conversion!$B$1:$CZ$600,65,FALSE)</f>
        <v>0.54341381243331</v>
      </c>
      <c r="U7">
        <f>VLOOKUP($B7,'[1]Source PopulationTotal'!$B$1:$CZ$600,65,FALSE)</f>
        <v>9890400</v>
      </c>
      <c r="V7">
        <f>VLOOKUP($B7,'[1]Source Gov. Revenue WEO'!$B$1:$CZ$600,4,FALSE)</f>
        <v>27.501999999999999</v>
      </c>
      <c r="W7">
        <f>VLOOKUP($B7,'[1]Source Gov. Revenue WEO'!$B$1:$CZ$600,5,FALSE)</f>
        <v>30.742000000000001</v>
      </c>
      <c r="X7">
        <f>VLOOKUP($B7,'[1]Source Gov. Revenue WEO'!$B$1:$CZ$600,6,FALSE)</f>
        <v>30.574999999999999</v>
      </c>
      <c r="Y7">
        <f>VLOOKUP($B7,'[1]Source Gov. Revenue WEO'!$B$1:$CZ$600,7,FALSE)</f>
        <v>30.306999999999999</v>
      </c>
      <c r="Z7">
        <f>VLOOKUP($B7,'[1]Source Gov. Revenue WEO'!$B$1:$CZ$600,8,FALSE)</f>
        <v>30.068000000000001</v>
      </c>
      <c r="AA7">
        <f>VLOOKUP($B7,'[1]Source Gov. Revenue WEO'!$B$1:$CZ$600,9,FALSE)</f>
        <v>29.879000000000001</v>
      </c>
      <c r="AB7">
        <f>VLOOKUP($B7,'[1]Source Gov. Revenue WEO'!$B$1:$CZ$600,10,FALSE)</f>
        <v>29.704000000000001</v>
      </c>
      <c r="AC7" t="e">
        <f>VLOOKUP($B7,[2]Summary!$B$1:$CZ$600,39,FALSE)</f>
        <v>#N/A</v>
      </c>
      <c r="AD7" t="e">
        <f>VLOOKUP($B7,[2]Summary!$B$1:$CZ$600,40,FALSE)</f>
        <v>#N/A</v>
      </c>
      <c r="AE7" t="e">
        <f>VLOOKUP($B7,[2]Summary!$B$1:$CZ$600,47,FALSE)</f>
        <v>#N/A</v>
      </c>
      <c r="AF7">
        <f>VLOOKUP($B7,'[1]CALC GDP Growth rates WDI'!$B$1:$CZ$600,27,FALSE)</f>
        <v>33.322317304613762</v>
      </c>
      <c r="AG7">
        <f>VLOOKUP($B7,'[1]CALC GDP Growth rates WDI'!$B$1:$CZ$600,29,FALSE)</f>
        <v>39.503139881998848</v>
      </c>
      <c r="AH7">
        <f>VLOOKUP($B7,'[1]CALC GDP Growth rates WDI'!$B$1:$CZ$600,28,FALSE)</f>
        <v>3.5548410083891362</v>
      </c>
      <c r="AI7">
        <f>VLOOKUP($B7,'[1]CALC GDP Growth rates WDI'!$B$1:$CZ$600,30,FALSE)</f>
        <v>12.042921771101645</v>
      </c>
      <c r="AJ7" s="45"/>
      <c r="AK7" t="e">
        <f>VLOOKUP($B7,[1]Data_Aspire!$B$1:$CZ$600,2,FALSE)</f>
        <v>#N/A</v>
      </c>
      <c r="AL7" t="e">
        <f>VLOOKUP($B7,[1]Data_Aspire!$B$1:$CZ$600,3,FALSE)</f>
        <v>#N/A</v>
      </c>
      <c r="AM7" t="e">
        <f>VLOOKUP($B7,[1]Data_Aspire!$B$1:$CZ$600,4,FALSE)</f>
        <v>#N/A</v>
      </c>
      <c r="AN7" t="e">
        <f>VLOOKUP($B7,[1]Data_Aspire!$B$1:$CZ$600,5,FALSE)</f>
        <v>#N/A</v>
      </c>
      <c r="AO7" t="e">
        <f>VLOOKUP($B7,[1]Data_Aspire!$B$1:$CZ$600,6,FALSE)</f>
        <v>#N/A</v>
      </c>
      <c r="AP7" t="e">
        <f>VLOOKUP($B7,[1]Data_Aspire!$B$1:$CZ$600,7,FALSE)</f>
        <v>#N/A</v>
      </c>
      <c r="AQ7" t="e">
        <f>VLOOKUP($B7,[1]Data_Aspire!$B$1:$CZ$600,8,FALSE)</f>
        <v>#N/A</v>
      </c>
      <c r="AR7" t="e">
        <f>VLOOKUP($B7,[1]Data_Aspire!$B$1:$CZ$600,9,FALSE)</f>
        <v>#N/A</v>
      </c>
      <c r="AS7" t="e">
        <f>VLOOKUP($B7,[1]Data_Aspire!$B$1:$CZ$600,10,FALSE)</f>
        <v>#N/A</v>
      </c>
      <c r="AT7" t="e">
        <f>VLOOKUP($B7,[1]Data_Aspire!$B$1:$CZ$600,11,FALSE)</f>
        <v>#N/A</v>
      </c>
      <c r="AU7" t="e">
        <f>VLOOKUP($B7,[1]Data_Aspire!$B$1:$CZ$600,12,FALSE)</f>
        <v>#N/A</v>
      </c>
      <c r="AV7" t="e">
        <f>VLOOKUP($B7,[1]Data_Aspire!$B$1:$CZ$600,13,FALSE)</f>
        <v>#N/A</v>
      </c>
      <c r="AW7" t="e">
        <f>VLOOKUP($B7,[1]Data_Aspire!$B$1:$CZ$600,14,FALSE)</f>
        <v>#N/A</v>
      </c>
      <c r="AX7" t="e">
        <f>VLOOKUP($B7,[1]Data_Aspire!$B$1:$CZ$600,15,FALSE)</f>
        <v>#N/A</v>
      </c>
      <c r="AY7" t="e">
        <f>VLOOKUP($B7,[1]Data_Aspire!$B$1:$CZ$600,16,FALSE)</f>
        <v>#N/A</v>
      </c>
      <c r="AZ7" t="e">
        <f>VLOOKUP($B7,[1]Data_Aspire!$B$1:$CZ$600,17,FALSE)</f>
        <v>#N/A</v>
      </c>
      <c r="BA7" t="e">
        <f>VLOOKUP($B7,[1]Data_Aspire!$B$1:$CZ$600,18,FALSE)</f>
        <v>#N/A</v>
      </c>
      <c r="BB7" t="e">
        <f>VLOOKUP($B7,[1]Data_Aspire!$B$1:$CZ$600,19,FALSE)</f>
        <v>#N/A</v>
      </c>
      <c r="BC7" t="e">
        <f>VLOOKUP($B7,[1]Data_Aspire!$B$1:$CZ$600,20,FALSE)</f>
        <v>#N/A</v>
      </c>
      <c r="BD7" t="e">
        <f>VLOOKUP($B7,[1]Data_Aspire!$B$1:$CZ$600,21,FALSE)</f>
        <v>#N/A</v>
      </c>
      <c r="BE7" t="e">
        <f>VLOOKUP($B7,[1]Data_Aspire!$B$1:$CZ$600,22,FALSE)</f>
        <v>#N/A</v>
      </c>
      <c r="BF7" t="e">
        <f>VLOOKUP($B7,[1]Data_Aspire!$B$1:$CZ$600,23,FALSE)</f>
        <v>#N/A</v>
      </c>
      <c r="BG7" t="e">
        <f>VLOOKUP($B7,[1]Data_Aspire!$B$1:$CZ$600,24,FALSE)</f>
        <v>#N/A</v>
      </c>
      <c r="BH7" t="e">
        <f>VLOOKUP($B7,[1]Data_Aspire!$B$1:$CZ$600,25,FALSE)</f>
        <v>#N/A</v>
      </c>
      <c r="BI7" t="e">
        <f>VLOOKUP($B7,[1]Data_Aspire!$B$1:$CZ$600,26,FALSE)</f>
        <v>#N/A</v>
      </c>
      <c r="BJ7" s="7">
        <v>0</v>
      </c>
      <c r="BK7">
        <v>784</v>
      </c>
      <c r="BL7">
        <f>VLOOKUP($B7,'[1]Data_UN_PopulationTot.&amp;%'!$B$4:$CZ$603,8,FALSE)</f>
        <v>9890.4</v>
      </c>
      <c r="BM7">
        <f>VLOOKUP($B7,'[1]Data_UN_PopulationTot.&amp;%'!$B$4:$CZ$603,9,FALSE)</f>
        <v>9991.08</v>
      </c>
      <c r="BN7">
        <v>10081.799999999999</v>
      </c>
      <c r="BO7">
        <f>VLOOKUP($B7,'[1]Data_UN_PopulationTot.&amp;%'!$B$4:$CZ$603,11,FALSE)</f>
        <v>10165.200000000001</v>
      </c>
      <c r="BP7">
        <f>VLOOKUP($B7,'[1]Data_UN_PopulationTot.&amp;%'!$B$4:$CZ$603,12,FALSE)</f>
        <v>10245</v>
      </c>
      <c r="BQ7">
        <f>VLOOKUP($B7,'[1]Data_UN_PopulationTot.&amp;%'!$B$4:$CZ$603,13,FALSE)</f>
        <v>10323.9</v>
      </c>
      <c r="BR7">
        <f>VLOOKUP($B7,'[1]Data_UN_PopulationTot.&amp;%'!$B$4:$CZ$603,14,FALSE)</f>
        <v>10403.1</v>
      </c>
      <c r="BS7">
        <f>VLOOKUP($B7,'[1]Data_UN_PopulationTot.&amp;%'!$B$4:$CZ$603,15,FALSE)</f>
        <v>10481.299999999999</v>
      </c>
      <c r="BT7">
        <f>VLOOKUP($B7,'[1]Data_UN_PopulationTot.&amp;%'!$B$4:$CZ$603,16,FALSE)</f>
        <v>10554</v>
      </c>
      <c r="BU7">
        <f>VLOOKUP($B7,'[1]Data_UN_PopulationTot.&amp;%'!$B$4:$CZ$603,17,FALSE)</f>
        <v>10615.3</v>
      </c>
      <c r="BV7">
        <f>VLOOKUP($B7,'[1]Data_UN_PopulationTot.&amp;%'!$B$4:$CZ$603,18,FALSE)</f>
        <v>10661.1</v>
      </c>
      <c r="BW7">
        <f>VLOOKUP($B7,'[1]Data_UN_PopulationTot.&amp;%'!$B$4:$CZ$603,61,FALSE)</f>
        <v>5.0466917414866943</v>
      </c>
      <c r="BX7">
        <f>VLOOKUP($B7,'[1]Data_UN_PopulationTot.&amp;%'!$B$4:$CZ$603,62,FALSE)</f>
        <v>5.1825507562889266</v>
      </c>
      <c r="BY7">
        <f>VLOOKUP($B7,'[1]Data_UN_PopulationTot.&amp;%'!$B$4:$CZ$603,63,FALSE)</f>
        <v>4.5848398446978891</v>
      </c>
      <c r="BZ7">
        <f>VLOOKUP($B7,'[1]Data_UN_PopulationTot.&amp;%'!$B$4:$CZ$603,64,FALSE)</f>
        <v>3.9384858044164037</v>
      </c>
      <c r="CA7">
        <f>VLOOKUP($B7,'[1]Data_UN_PopulationTot.&amp;%'!$B$4:$CZ$603,65,FALSE)</f>
        <v>7.2368458303000898</v>
      </c>
      <c r="CB7">
        <f>VLOOKUP($B7,'[1]Data_UN_PopulationTot.&amp;%'!$B$4:$CZ$603,66,FALSE)</f>
        <v>14.494762598074901</v>
      </c>
      <c r="CC7">
        <f>VLOOKUP($B7,'[1]Data_UN_PopulationTot.&amp;%'!$B$4:$CZ$603,67,FALSE)</f>
        <v>18.156495187252286</v>
      </c>
      <c r="CD7">
        <f>VLOOKUP($B7,'[1]Data_UN_PopulationTot.&amp;%'!$B$4:$CZ$603,68,FALSE)</f>
        <v>13.887911510151257</v>
      </c>
      <c r="CE7">
        <f>VLOOKUP($B7,'[1]Data_UN_PopulationTot.&amp;%'!$B$4:$CZ$603,69,FALSE)</f>
        <v>9.2617184340370464</v>
      </c>
      <c r="CF7">
        <f>VLOOKUP($B7,'[1]Data_UN_PopulationTot.&amp;%'!$B$4:$CZ$603,70,FALSE)</f>
        <v>6.9975734045134672</v>
      </c>
      <c r="CG7">
        <f>VLOOKUP($B7,'[1]Data_UN_PopulationTot.&amp;%'!$B$4:$CZ$603,71,FALSE)</f>
        <v>4.6166080239424092</v>
      </c>
      <c r="CH7">
        <f>VLOOKUP($B7,'[1]Data_UN_PopulationTot.&amp;%'!$B$4:$CZ$603,72,FALSE)</f>
        <v>3.4509423279139368</v>
      </c>
      <c r="CI7">
        <f>VLOOKUP($B7,'[1]Data_UN_PopulationTot.&amp;%'!$B$4:$CZ$603,73,FALSE)</f>
        <v>1.8802677343686809</v>
      </c>
      <c r="CJ7">
        <f>VLOOKUP($B7,'[1]Data_UN_PopulationTot.&amp;%'!$B$4:$CZ$603,74,FALSE)</f>
        <v>0.57369772708889433</v>
      </c>
      <c r="CK7">
        <f>VLOOKUP($B7,'[1]Data_UN_PopulationTot.&amp;%'!$B$4:$CZ$603,75,FALSE)</f>
        <v>0.366618134756936</v>
      </c>
      <c r="CL7">
        <f>VLOOKUP($B7,'[1]Data_UN_PopulationTot.&amp;%'!$B$4:$CZ$603,76,FALSE)</f>
        <v>0.19841462428213216</v>
      </c>
      <c r="CM7">
        <f>VLOOKUP($B7,'[1]Data_UN_PopulationTot.&amp;%'!$B$4:$CZ$603,77,FALSE)</f>
        <v>7.2383321200355899E-2</v>
      </c>
      <c r="CN7">
        <f>VLOOKUP($B7,'[1]Data_UN_PopulationTot.&amp;%'!$B$4:$CZ$603,78,FALSE)</f>
        <v>4.0524144625090998E-2</v>
      </c>
      <c r="CO7">
        <f>VLOOKUP($B7,'[1]Data_UN_PopulationTot.&amp;%'!$B$4:$CZ$603,79,FALSE)</f>
        <v>9.665938688020707E-3</v>
      </c>
      <c r="CP7">
        <f>VLOOKUP($B7,'[1]Data_UN_PopulationTot.&amp;%'!$B$4:$CZ$603,80,FALSE)</f>
        <v>2.7501415514033815E-3</v>
      </c>
      <c r="CQ7">
        <f>VLOOKUP($B7,'[1]Data_UN_PopulationTot.&amp;%'!$B$4:$CZ$603,81,FALSE)</f>
        <v>3.1343525034376767E-4</v>
      </c>
      <c r="CR7">
        <f>VLOOKUP($B7,'[1]Data_UN_PopulationTot.&amp;%'!$B$4:$CZ$603,82,FALSE)</f>
        <v>4.6160715123204925</v>
      </c>
      <c r="CS7">
        <f>VLOOKUP($B7,'[1]Data_UN_PopulationTot.&amp;%'!$B$4:$CZ$603,83,FALSE)</f>
        <v>4.7899278686064282</v>
      </c>
      <c r="CT7">
        <f>VLOOKUP($B7,'[1]Data_UN_PopulationTot.&amp;%'!$B$4:$CZ$603,84,FALSE)</f>
        <v>4.8478205813659008</v>
      </c>
      <c r="CU7">
        <f>VLOOKUP($B7,'[1]Data_UN_PopulationTot.&amp;%'!$B$4:$CZ$603,85,FALSE)</f>
        <v>5.2746620892778413</v>
      </c>
      <c r="CV7">
        <f>VLOOKUP($B7,'[1]Data_UN_PopulationTot.&amp;%'!$B$4:$CZ$603,86,FALSE)</f>
        <v>7.5452533040680603</v>
      </c>
      <c r="CW7">
        <f>VLOOKUP($B7,'[1]Data_UN_PopulationTot.&amp;%'!$B$4:$CZ$603,87,FALSE)</f>
        <v>12.558741593268987</v>
      </c>
      <c r="CX7">
        <f>VLOOKUP($B7,'[1]Data_UN_PopulationTot.&amp;%'!$B$4:$CZ$603,88,FALSE)</f>
        <v>15.391845119171569</v>
      </c>
      <c r="CY7">
        <f>VLOOKUP($B7,'[1]Data_UN_PopulationTot.&amp;%'!$B$4:$CZ$603,89,FALSE)</f>
        <v>12.378835204622412</v>
      </c>
      <c r="CZ7">
        <f>VLOOKUP($B7,'[1]Data_UN_PopulationTot.&amp;%'!$B$4:$CZ$603,90,FALSE)</f>
        <v>7.6078922437647147</v>
      </c>
      <c r="DA7">
        <f>VLOOKUP($B7,'[1]Data_UN_PopulationTot.&amp;%'!$B$4:$CZ$603,91,FALSE)</f>
        <v>5.1068651452476761</v>
      </c>
      <c r="DB7">
        <f>VLOOKUP($B7,'[1]Data_UN_PopulationTot.&amp;%'!$B$4:$CZ$603,92,FALSE)</f>
        <v>5.2090028233484347</v>
      </c>
      <c r="DC7">
        <f>VLOOKUP($B7,'[1]Data_UN_PopulationTot.&amp;%'!$B$4:$CZ$603,93,FALSE)</f>
        <v>5.3242723546350748</v>
      </c>
      <c r="DD7">
        <f>VLOOKUP($B7,'[1]Data_UN_PopulationTot.&amp;%'!$B$4:$CZ$603,94,FALSE)</f>
        <v>4.2057011002616989</v>
      </c>
      <c r="DE7">
        <f>VLOOKUP($B7,'[1]Data_UN_PopulationTot.&amp;%'!$B$4:$CZ$603,95,FALSE)</f>
        <v>3.0087514421588768</v>
      </c>
      <c r="DF7">
        <f>VLOOKUP($B7,'[1]Data_UN_PopulationTot.&amp;%'!$B$4:$CZ$603,96,FALSE)</f>
        <v>1.4439129170535874</v>
      </c>
      <c r="DG7">
        <f>VLOOKUP($B7,'[1]Data_UN_PopulationTot.&amp;%'!$B$4:$CZ$603,97,FALSE)</f>
        <v>0.39015673804766859</v>
      </c>
      <c r="DH7">
        <f>VLOOKUP($B7,'[1]Data_UN_PopulationTot.&amp;%'!$B$4:$CZ$603,98,FALSE)</f>
        <v>0.19939781073247601</v>
      </c>
      <c r="DI7">
        <f>VLOOKUP($B7,'[1]Data_UN_PopulationTot.&amp;%'!$B$4:$CZ$603,99,FALSE)</f>
        <v>7.6680642710414498E-2</v>
      </c>
      <c r="DJ7">
        <f>VLOOKUP($B7,'[1]Data_UN_PopulationTot.&amp;%'!$B$4:$DE$603,100,FALSE)</f>
        <v>1.7887460018196997E-2</v>
      </c>
      <c r="DK7">
        <f>VLOOKUP($B7,'[1]Data_UN_PopulationTot.&amp;%'!$B$4:$DE$603,101,FALSE)</f>
        <v>5.4215793867424559E-3</v>
      </c>
      <c r="DL7">
        <f>VLOOKUP($B7,'[1]Data_UN_PopulationTot.&amp;%'!$B$4:$DE$603,102,FALSE)</f>
        <v>6.6597255442684138E-4</v>
      </c>
    </row>
    <row r="8" spans="1:116">
      <c r="A8" t="s">
        <v>219</v>
      </c>
      <c r="B8" t="s">
        <v>434</v>
      </c>
      <c r="C8" t="s">
        <v>497</v>
      </c>
      <c r="D8" t="s">
        <v>389</v>
      </c>
      <c r="E8" t="s">
        <v>301</v>
      </c>
      <c r="F8">
        <v>0</v>
      </c>
      <c r="G8">
        <v>0</v>
      </c>
      <c r="H8">
        <v>1</v>
      </c>
      <c r="I8">
        <v>0</v>
      </c>
      <c r="J8" s="18">
        <f t="shared" si="1"/>
        <v>9196.9387012972475</v>
      </c>
      <c r="K8">
        <f>VLOOKUP($B8,'[1]Source GDP Current USD'!$B$1:$CZ$600,64,FALSE)</f>
        <v>389288056265.32501</v>
      </c>
      <c r="L8" s="45">
        <f>VLOOKUP($B8,'[1]Source GDP Current USD'!$B$1:$CZ$600,65,FALSE)</f>
        <v>389288056265.32501</v>
      </c>
      <c r="M8" s="17">
        <f>VLOOKUP($B8,'[1]Source GDP Current LCU'!$B$1:$CZ$600,64,FALSE)</f>
        <v>27481439972800</v>
      </c>
      <c r="N8" s="45">
        <f>VLOOKUP($B8,'[1]Source GDP Current LCU'!$B$1:$CZ$600,65,FALSE)</f>
        <v>27481439972800</v>
      </c>
      <c r="O8" s="45">
        <f>VLOOKUP($B8,'[1]Source GNI Current USD'!$B$1:$CZ$600,64,FALSE)</f>
        <v>379089872799.56799</v>
      </c>
      <c r="P8" s="45">
        <f>VLOOKUP($B8,'[1]Source GNI Current LCU'!$B$1:$CZ$600,64,FALSE)</f>
        <v>26761508389400</v>
      </c>
      <c r="Q8">
        <f t="shared" si="0"/>
        <v>102.6901756542436</v>
      </c>
      <c r="R8">
        <f>VLOOKUP($B8,'[1]Source GNI PC Atlas'!$B$1:$CZ$600,64,FALSE)</f>
        <v>9070</v>
      </c>
      <c r="S8">
        <f>VLOOKUP($B8,'[1]Source GNI PC Atlas'!$B$1:$CZ$600,65,FALSE)</f>
        <v>9070</v>
      </c>
      <c r="T8">
        <f>VLOOKUP($B8,[1]Source_PPP_Conversion!$B$1:$CZ$600,65,FALSE)</f>
        <v>0.413034074968327</v>
      </c>
      <c r="U8">
        <f>VLOOKUP($B8,'[1]Source PopulationTotal'!$B$1:$CZ$600,65,FALSE)</f>
        <v>45376763</v>
      </c>
      <c r="V8">
        <f>VLOOKUP($B8,'[1]Source Gov. Revenue WEO'!$B$1:$CZ$600,4,FALSE)</f>
        <v>33.466000000000001</v>
      </c>
      <c r="AC8">
        <f>VLOOKUP($B8,[2]Summary!$B$1:$CZ$600,39,FALSE)</f>
        <v>1.0076359999999999E-2</v>
      </c>
      <c r="AD8">
        <f>VLOOKUP($B8,[2]Summary!$B$1:$CZ$600,40,FALSE)</f>
        <v>1.3500000000000002E-2</v>
      </c>
      <c r="AE8">
        <f>VLOOKUP($B8,[2]Summary!$B$1:$CZ$600,47,FALSE)</f>
        <v>0.30961230846350374</v>
      </c>
      <c r="AF8">
        <f>VLOOKUP($B8,'[1]CALC GDP Growth rates WDI'!$B$1:$CZ$600,27,FALSE)</f>
        <v>-6.8686683281957261</v>
      </c>
      <c r="AG8">
        <f>VLOOKUP($B8,'[1]CALC GDP Growth rates WDI'!$B$1:$CZ$600,29,FALSE)</f>
        <v>16.544171230907946</v>
      </c>
      <c r="AH8">
        <f>VLOOKUP($B8,'[1]CALC GDP Growth rates WDI'!$B$1:$CZ$600,28,FALSE)</f>
        <v>-13.447157757030473</v>
      </c>
      <c r="AI8">
        <f>VLOOKUP($B8,'[1]CALC GDP Growth rates WDI'!$B$1:$CZ$600,30,FALSE)</f>
        <v>1.0394046429965886</v>
      </c>
      <c r="AK8">
        <f>VLOOKUP($B8,[1]Data_Aspire!$B$1:$CZ$600,2,FALSE)</f>
        <v>2017</v>
      </c>
      <c r="AL8">
        <f>VLOOKUP($B8,[1]Data_Aspire!$B$1:$CZ$600,3,FALSE)</f>
        <v>1.84</v>
      </c>
      <c r="AM8">
        <f>VLOOKUP($B8,[1]Data_Aspire!$B$1:$CZ$600,4,FALSE)</f>
        <v>1.53</v>
      </c>
      <c r="AN8">
        <f>VLOOKUP($B8,[1]Data_Aspire!$B$1:$CZ$600,5,FALSE)</f>
        <v>0.02</v>
      </c>
      <c r="AO8">
        <f>VLOOKUP($B8,[1]Data_Aspire!$B$1:$CZ$600,6,FALSE)</f>
        <v>0.08</v>
      </c>
      <c r="AP8">
        <f>VLOOKUP($B8,[1]Data_Aspire!$B$1:$CZ$600,7,FALSE)</f>
        <v>0.01</v>
      </c>
      <c r="AQ8">
        <f>VLOOKUP($B8,[1]Data_Aspire!$B$1:$CZ$600,8,FALSE)</f>
        <v>0.14000000000000001</v>
      </c>
      <c r="AR8">
        <f>VLOOKUP($B8,[1]Data_Aspire!$B$1:$CZ$600,9,FALSE)</f>
        <v>0.05</v>
      </c>
      <c r="AT8">
        <f>VLOOKUP($B8,[1]Data_Aspire!$B$1:$CZ$600,11,FALSE)</f>
        <v>0.01</v>
      </c>
      <c r="AU8">
        <f>VLOOKUP($B8,[1]Data_Aspire!$B$1:$CZ$600,12,FALSE)</f>
        <v>1.84</v>
      </c>
      <c r="AV8">
        <f>VLOOKUP($B8,[1]Data_Aspire!$B$1:$CZ$600,13,FALSE)</f>
        <v>3969777</v>
      </c>
      <c r="AW8">
        <f>VLOOKUP($B8,[1]Data_Aspire!$B$1:$CZ$600,14,FALSE)</f>
        <v>2017</v>
      </c>
      <c r="AZ8">
        <f>VLOOKUP($B8,[1]Data_Aspire!$B$1:$CZ$600,17,FALSE)</f>
        <v>1073291</v>
      </c>
      <c r="BA8">
        <f>VLOOKUP($B8,[1]Data_Aspire!$B$1:$CZ$600,18,FALSE)</f>
        <v>2017</v>
      </c>
      <c r="BB8">
        <f>VLOOKUP($B8,[1]Data_Aspire!$B$1:$CZ$600,19,FALSE)</f>
        <v>1464348</v>
      </c>
      <c r="BC8">
        <f>VLOOKUP($B8,[1]Data_Aspire!$B$1:$CZ$600,20,FALSE)</f>
        <v>2016</v>
      </c>
      <c r="BD8">
        <f>VLOOKUP($B8,[1]Data_Aspire!$B$1:$CZ$600,21,FALSE)</f>
        <v>1687785</v>
      </c>
      <c r="BE8">
        <f>VLOOKUP($B8,[1]Data_Aspire!$B$1:$CZ$600,22,FALSE)</f>
        <v>2015</v>
      </c>
      <c r="BF8">
        <f>VLOOKUP($B8,[1]Data_Aspire!$B$1:$CZ$600,23,FALSE)</f>
        <v>187282</v>
      </c>
      <c r="BG8">
        <f>VLOOKUP($B8,[1]Data_Aspire!$B$1:$CZ$600,24,FALSE)</f>
        <v>2015</v>
      </c>
      <c r="BJ8" s="7">
        <v>0</v>
      </c>
      <c r="BK8">
        <v>32</v>
      </c>
      <c r="BL8">
        <f>VLOOKUP($B8,'[1]Data_UN_PopulationTot.&amp;%'!$B$4:$CZ$603,8,FALSE)</f>
        <v>45195.8</v>
      </c>
      <c r="BM8">
        <f>VLOOKUP($B8,'[1]Data_UN_PopulationTot.&amp;%'!$B$4:$CZ$603,9,FALSE)</f>
        <v>45605.8</v>
      </c>
      <c r="BN8">
        <v>46010.2</v>
      </c>
      <c r="BO8">
        <f>VLOOKUP($B8,'[1]Data_UN_PopulationTot.&amp;%'!$B$4:$CZ$603,11,FALSE)</f>
        <v>46409.2</v>
      </c>
      <c r="BP8">
        <f>VLOOKUP($B8,'[1]Data_UN_PopulationTot.&amp;%'!$B$4:$CZ$603,12,FALSE)</f>
        <v>46803.1</v>
      </c>
      <c r="BQ8">
        <f>VLOOKUP($B8,'[1]Data_UN_PopulationTot.&amp;%'!$B$4:$CZ$603,13,FALSE)</f>
        <v>47192.1</v>
      </c>
      <c r="BR8">
        <f>VLOOKUP($B8,'[1]Data_UN_PopulationTot.&amp;%'!$B$4:$CZ$603,14,FALSE)</f>
        <v>47576.3</v>
      </c>
      <c r="BS8">
        <f>VLOOKUP($B8,'[1]Data_UN_PopulationTot.&amp;%'!$B$4:$CZ$603,15,FALSE)</f>
        <v>47955.199999999997</v>
      </c>
      <c r="BT8">
        <f>VLOOKUP($B8,'[1]Data_UN_PopulationTot.&amp;%'!$B$4:$CZ$603,16,FALSE)</f>
        <v>48328.5</v>
      </c>
      <c r="BU8">
        <f>VLOOKUP($B8,'[1]Data_UN_PopulationTot.&amp;%'!$B$4:$CZ$603,17,FALSE)</f>
        <v>48695.6</v>
      </c>
      <c r="BV8">
        <f>VLOOKUP($B8,'[1]Data_UN_PopulationTot.&amp;%'!$B$4:$CZ$603,18,FALSE)</f>
        <v>49056.2</v>
      </c>
      <c r="BW8">
        <f>VLOOKUP($B8,'[1]Data_UN_PopulationTot.&amp;%'!$B$4:$CZ$603,61,FALSE)</f>
        <v>8.2676930157226991</v>
      </c>
      <c r="BX8">
        <f>VLOOKUP($B8,'[1]Data_UN_PopulationTot.&amp;%'!$B$4:$CZ$603,62,FALSE)</f>
        <v>8.2083290925262968</v>
      </c>
      <c r="BY8">
        <f>VLOOKUP($B8,'[1]Data_UN_PopulationTot.&amp;%'!$B$4:$CZ$603,63,FALSE)</f>
        <v>7.9592794020683337</v>
      </c>
      <c r="BZ8">
        <f>VLOOKUP($B8,'[1]Data_UN_PopulationTot.&amp;%'!$B$4:$CZ$603,64,FALSE)</f>
        <v>7.8313692865266233</v>
      </c>
      <c r="CA8">
        <f>VLOOKUP($B8,'[1]Data_UN_PopulationTot.&amp;%'!$B$4:$CZ$603,65,FALSE)</f>
        <v>7.6939228866399088</v>
      </c>
      <c r="CB8">
        <f>VLOOKUP($B8,'[1]Data_UN_PopulationTot.&amp;%'!$B$4:$CZ$603,66,FALSE)</f>
        <v>7.7888874629943485</v>
      </c>
      <c r="CC8">
        <f>VLOOKUP($B8,'[1]Data_UN_PopulationTot.&amp;%'!$B$4:$CZ$603,67,FALSE)</f>
        <v>7.3435584722474205</v>
      </c>
      <c r="CD8">
        <f>VLOOKUP($B8,'[1]Data_UN_PopulationTot.&amp;%'!$B$4:$CZ$603,68,FALSE)</f>
        <v>6.9086729297855101</v>
      </c>
      <c r="CE8">
        <f>VLOOKUP($B8,'[1]Data_UN_PopulationTot.&amp;%'!$B$4:$CZ$603,69,FALSE)</f>
        <v>6.8366972152279635</v>
      </c>
      <c r="CF8">
        <f>VLOOKUP($B8,'[1]Data_UN_PopulationTot.&amp;%'!$B$4:$CZ$603,70,FALSE)</f>
        <v>5.8364715305404484</v>
      </c>
      <c r="CG8">
        <f>VLOOKUP($B8,'[1]Data_UN_PopulationTot.&amp;%'!$B$4:$CZ$603,71,FALSE)</f>
        <v>5.0927962332783139</v>
      </c>
      <c r="CH8">
        <f>VLOOKUP($B8,'[1]Data_UN_PopulationTot.&amp;%'!$B$4:$CZ$603,72,FALSE)</f>
        <v>4.69780377822718</v>
      </c>
      <c r="CI8">
        <f>VLOOKUP($B8,'[1]Data_UN_PopulationTot.&amp;%'!$B$4:$CZ$603,73,FALSE)</f>
        <v>4.1679315334610738</v>
      </c>
      <c r="CJ8">
        <f>VLOOKUP($B8,'[1]Data_UN_PopulationTot.&amp;%'!$B$4:$CZ$603,74,FALSE)</f>
        <v>3.639740860876453</v>
      </c>
      <c r="CK8">
        <f>VLOOKUP($B8,'[1]Data_UN_PopulationTot.&amp;%'!$B$4:$CZ$603,75,FALSE)</f>
        <v>2.9587262533244236</v>
      </c>
      <c r="CL8">
        <f>VLOOKUP($B8,'[1]Data_UN_PopulationTot.&amp;%'!$B$4:$CZ$603,76,FALSE)</f>
        <v>2.1316449758605889</v>
      </c>
      <c r="CM8">
        <f>VLOOKUP($B8,'[1]Data_UN_PopulationTot.&amp;%'!$B$4:$CZ$603,77,FALSE)</f>
        <v>1.4042986295186719</v>
      </c>
      <c r="CN8">
        <f>VLOOKUP($B8,'[1]Data_UN_PopulationTot.&amp;%'!$B$4:$CZ$603,78,FALSE)</f>
        <v>0.80690019869102869</v>
      </c>
      <c r="CO8">
        <f>VLOOKUP($B8,'[1]Data_UN_PopulationTot.&amp;%'!$B$4:$CZ$603,79,FALSE)</f>
        <v>0.33707999415874929</v>
      </c>
      <c r="CP8">
        <f>VLOOKUP($B8,'[1]Data_UN_PopulationTot.&amp;%'!$B$4:$CZ$603,80,FALSE)</f>
        <v>7.9002916200177895E-2</v>
      </c>
      <c r="CQ8">
        <f>VLOOKUP($B8,'[1]Data_UN_PopulationTot.&amp;%'!$B$4:$CZ$603,81,FALSE)</f>
        <v>9.111466109682758E-3</v>
      </c>
      <c r="CR8">
        <f>VLOOKUP($B8,'[1]Data_UN_PopulationTot.&amp;%'!$B$4:$CZ$603,82,FALSE)</f>
        <v>7.4701668698350057</v>
      </c>
      <c r="CS8">
        <f>VLOOKUP($B8,'[1]Data_UN_PopulationTot.&amp;%'!$B$4:$CZ$603,83,FALSE)</f>
        <v>7.5361320281636166</v>
      </c>
      <c r="CT8">
        <f>VLOOKUP($B8,'[1]Data_UN_PopulationTot.&amp;%'!$B$4:$CZ$603,84,FALSE)</f>
        <v>7.6023214191070654</v>
      </c>
      <c r="CU8">
        <f>VLOOKUP($B8,'[1]Data_UN_PopulationTot.&amp;%'!$B$4:$CZ$603,85,FALSE)</f>
        <v>7.5454274892877971</v>
      </c>
      <c r="CV8">
        <f>VLOOKUP($B8,'[1]Data_UN_PopulationTot.&amp;%'!$B$4:$CZ$603,86,FALSE)</f>
        <v>7.2999335456068764</v>
      </c>
      <c r="CW8">
        <f>VLOOKUP($B8,'[1]Data_UN_PopulationTot.&amp;%'!$B$4:$CZ$603,87,FALSE)</f>
        <v>7.1654959006201056</v>
      </c>
      <c r="CX8">
        <f>VLOOKUP($B8,'[1]Data_UN_PopulationTot.&amp;%'!$B$4:$CZ$603,88,FALSE)</f>
        <v>7.0317309534778483</v>
      </c>
      <c r="CY8">
        <f>VLOOKUP($B8,'[1]Data_UN_PopulationTot.&amp;%'!$B$4:$CZ$603,89,FALSE)</f>
        <v>7.1069508033643052</v>
      </c>
      <c r="CZ8">
        <f>VLOOKUP($B8,'[1]Data_UN_PopulationTot.&amp;%'!$B$4:$CZ$603,90,FALSE)</f>
        <v>6.6804807547262115</v>
      </c>
      <c r="DA8">
        <f>VLOOKUP($B8,'[1]Data_UN_PopulationTot.&amp;%'!$B$4:$CZ$603,91,FALSE)</f>
        <v>6.2475283450409949</v>
      </c>
      <c r="DB8">
        <f>VLOOKUP($B8,'[1]Data_UN_PopulationTot.&amp;%'!$B$4:$CZ$603,92,FALSE)</f>
        <v>6.1143545566105812</v>
      </c>
      <c r="DC8">
        <f>VLOOKUP($B8,'[1]Data_UN_PopulationTot.&amp;%'!$B$4:$CZ$603,93,FALSE)</f>
        <v>5.1219621576885288</v>
      </c>
      <c r="DD8">
        <f>VLOOKUP($B8,'[1]Data_UN_PopulationTot.&amp;%'!$B$4:$CZ$603,94,FALSE)</f>
        <v>4.3397776427852133</v>
      </c>
      <c r="DE8">
        <f>VLOOKUP($B8,'[1]Data_UN_PopulationTot.&amp;%'!$B$4:$CZ$603,95,FALSE)</f>
        <v>3.837068505102311</v>
      </c>
      <c r="DF8">
        <f>VLOOKUP($B8,'[1]Data_UN_PopulationTot.&amp;%'!$B$4:$CZ$603,96,FALSE)</f>
        <v>3.1979647832486005</v>
      </c>
      <c r="DG8">
        <f>VLOOKUP($B8,'[1]Data_UN_PopulationTot.&amp;%'!$B$4:$CZ$603,97,FALSE)</f>
        <v>2.5328704628568866</v>
      </c>
      <c r="DH8">
        <f>VLOOKUP($B8,'[1]Data_UN_PopulationTot.&amp;%'!$B$4:$CZ$603,98,FALSE)</f>
        <v>1.7392093150305161</v>
      </c>
      <c r="DI8">
        <f>VLOOKUP($B8,'[1]Data_UN_PopulationTot.&amp;%'!$B$4:$CZ$603,99,FALSE)</f>
        <v>0.93274244641859749</v>
      </c>
      <c r="DJ8">
        <f>VLOOKUP($B8,'[1]Data_UN_PopulationTot.&amp;%'!$B$4:$DE$603,100,FALSE)</f>
        <v>0.37911212038437547</v>
      </c>
      <c r="DK8">
        <f>VLOOKUP($B8,'[1]Data_UN_PopulationTot.&amp;%'!$B$4:$DE$603,101,FALSE)</f>
        <v>0.10361381435985667</v>
      </c>
      <c r="DL8">
        <f>VLOOKUP($B8,'[1]Data_UN_PopulationTot.&amp;%'!$B$4:$DE$603,102,FALSE)</f>
        <v>1.5078624108675356E-2</v>
      </c>
    </row>
    <row r="9" spans="1:116">
      <c r="A9" t="s">
        <v>178</v>
      </c>
      <c r="B9" t="s">
        <v>393</v>
      </c>
      <c r="C9" t="s">
        <v>485</v>
      </c>
      <c r="D9" t="s">
        <v>389</v>
      </c>
      <c r="E9" t="s">
        <v>301</v>
      </c>
      <c r="F9">
        <v>0</v>
      </c>
      <c r="G9">
        <v>0</v>
      </c>
      <c r="H9">
        <v>1</v>
      </c>
      <c r="I9">
        <v>0</v>
      </c>
      <c r="J9" s="18">
        <f t="shared" si="1"/>
        <v>1560.6847353269998</v>
      </c>
      <c r="K9">
        <f>VLOOKUP($B9,'[1]Source GDP Current USD'!$B$1:$CZ$600,64,FALSE)</f>
        <v>12641209802.112</v>
      </c>
      <c r="L9" s="45">
        <f>VLOOKUP($B9,'[1]Source GDP Current USD'!$B$1:$CZ$600,65,FALSE)</f>
        <v>12641209802.112</v>
      </c>
      <c r="M9" s="17">
        <f>VLOOKUP($B9,'[1]Source GDP Current LCU'!$B$1:$CZ$600,64,FALSE)</f>
        <v>6181664100000</v>
      </c>
      <c r="N9" s="45">
        <f>VLOOKUP($B9,'[1]Source GDP Current LCU'!$B$1:$CZ$600,65,FALSE)</f>
        <v>6181664100000</v>
      </c>
      <c r="O9" s="45">
        <f>VLOOKUP($B9,'[1]Source GNI Current USD'!$B$1:$CZ$600,64,FALSE)</f>
        <v>12445092090.531</v>
      </c>
      <c r="P9" s="45">
        <f>VLOOKUP($B9,'[1]Source GNI Current LCU'!$B$1:$CZ$600,64,FALSE)</f>
        <v>6085760793589.2598</v>
      </c>
      <c r="Q9">
        <f t="shared" si="0"/>
        <v>101.57586388396606</v>
      </c>
      <c r="R9">
        <f>VLOOKUP($B9,'[1]Source GNI PC Atlas'!$B$1:$CZ$600,64,FALSE)</f>
        <v>4220</v>
      </c>
      <c r="S9">
        <f>VLOOKUP($B9,'[1]Source GNI PC Atlas'!$B$1:$CZ$600,65,FALSE)</f>
        <v>4220</v>
      </c>
      <c r="T9">
        <f>VLOOKUP($B9,[1]Source_PPP_Conversion!$B$1:$CZ$600,65,FALSE)</f>
        <v>0.32046135715610302</v>
      </c>
      <c r="U9">
        <f>VLOOKUP($B9,'[1]Source PopulationTotal'!$B$1:$CZ$600,65,FALSE)</f>
        <v>2963234</v>
      </c>
      <c r="V9">
        <f>VLOOKUP($B9,'[1]Source Gov. Revenue WEO'!$B$1:$CZ$600,4,FALSE)</f>
        <v>25.247</v>
      </c>
      <c r="W9">
        <f>VLOOKUP($B9,'[1]Source Gov. Revenue WEO'!$B$1:$CZ$600,5,FALSE)</f>
        <v>23.178999999999998</v>
      </c>
      <c r="X9">
        <f>VLOOKUP($B9,'[1]Source Gov. Revenue WEO'!$B$1:$CZ$600,6,FALSE)</f>
        <v>23.655000000000001</v>
      </c>
      <c r="Y9">
        <f>VLOOKUP($B9,'[1]Source Gov. Revenue WEO'!$B$1:$CZ$600,7,FALSE)</f>
        <v>24.216999999999999</v>
      </c>
      <c r="Z9">
        <f>VLOOKUP($B9,'[1]Source Gov. Revenue WEO'!$B$1:$CZ$600,8,FALSE)</f>
        <v>24.736000000000001</v>
      </c>
      <c r="AA9">
        <f>VLOOKUP($B9,'[1]Source Gov. Revenue WEO'!$B$1:$CZ$600,9,FALSE)</f>
        <v>24.713999999999999</v>
      </c>
      <c r="AB9">
        <f>VLOOKUP($B9,'[1]Source Gov. Revenue WEO'!$B$1:$CZ$600,10,FALSE)</f>
        <v>24.695</v>
      </c>
      <c r="AC9">
        <f>VLOOKUP($B9,[2]Summary!$B$1:$CZ$600,39,FALSE)</f>
        <v>2.0817269999999999E-2</v>
      </c>
      <c r="AD9">
        <f>VLOOKUP($B9,[2]Summary!$B$1:$CZ$600,40,FALSE)</f>
        <v>8.7500010000000003E-3</v>
      </c>
      <c r="AE9">
        <f>VLOOKUP($B9,[2]Summary!$B$1:$CZ$600,47,FALSE)</f>
        <v>0.31319882430069718</v>
      </c>
      <c r="AF9">
        <f>VLOOKUP($B9,'[1]CALC GDP Growth rates WDI'!$B$1:$CZ$600,27,FALSE)</f>
        <v>39.957580113906722</v>
      </c>
      <c r="AG9">
        <f>VLOOKUP($B9,'[1]CALC GDP Growth rates WDI'!$B$1:$CZ$600,29,FALSE)</f>
        <v>43.531181284449481</v>
      </c>
      <c r="AH9">
        <f>VLOOKUP($B9,'[1]CALC GDP Growth rates WDI'!$B$1:$CZ$600,28,FALSE)</f>
        <v>12.905522163303305</v>
      </c>
      <c r="AI9">
        <f>VLOOKUP($B9,'[1]CALC GDP Growth rates WDI'!$B$1:$CZ$600,30,FALSE)</f>
        <v>16.921349525986116</v>
      </c>
      <c r="AK9">
        <f>VLOOKUP($B9,[1]Data_Aspire!$B$1:$CZ$600,2,FALSE)</f>
        <v>2017</v>
      </c>
      <c r="AL9">
        <f>VLOOKUP($B9,[1]Data_Aspire!$B$1:$CZ$600,3,FALSE)</f>
        <v>1.53</v>
      </c>
      <c r="AM9">
        <f>VLOOKUP($B9,[1]Data_Aspire!$B$1:$CZ$600,4,FALSE)</f>
        <v>0</v>
      </c>
      <c r="AN9">
        <f>VLOOKUP($B9,[1]Data_Aspire!$B$1:$CZ$600,5,FALSE)</f>
        <v>1.1599999999999999</v>
      </c>
      <c r="AO9">
        <f>VLOOKUP($B9,[1]Data_Aspire!$B$1:$CZ$600,6,FALSE)</f>
        <v>0.24</v>
      </c>
      <c r="AP9">
        <f>VLOOKUP($B9,[1]Data_Aspire!$B$1:$CZ$600,7,FALSE)</f>
        <v>0.01</v>
      </c>
      <c r="AS9">
        <f>VLOOKUP($B9,[1]Data_Aspire!$B$1:$CZ$600,10,FALSE)</f>
        <v>0.11</v>
      </c>
      <c r="AU9">
        <f>VLOOKUP($B9,[1]Data_Aspire!$B$1:$CZ$600,12,FALSE)</f>
        <v>1.41</v>
      </c>
      <c r="AX9">
        <f>VLOOKUP($B9,[1]Data_Aspire!$B$1:$CZ$600,15,FALSE)</f>
        <v>372094.2</v>
      </c>
      <c r="AY9">
        <f>VLOOKUP($B9,[1]Data_Aspire!$B$1:$CZ$600,16,FALSE)</f>
        <v>2017</v>
      </c>
      <c r="BD9">
        <f>VLOOKUP($B9,[1]Data_Aspire!$B$1:$CZ$600,21,FALSE)</f>
        <v>31200</v>
      </c>
      <c r="BE9">
        <f>VLOOKUP($B9,[1]Data_Aspire!$B$1:$CZ$600,22,FALSE)</f>
        <v>2017</v>
      </c>
      <c r="BH9">
        <f>VLOOKUP($B9,[1]Data_Aspire!$B$1:$CZ$600,25,FALSE)</f>
        <v>38951</v>
      </c>
      <c r="BI9">
        <f>VLOOKUP($B9,[1]Data_Aspire!$B$1:$CZ$600,26,FALSE)</f>
        <v>2013</v>
      </c>
      <c r="BJ9" s="7">
        <v>0</v>
      </c>
      <c r="BK9">
        <v>51</v>
      </c>
      <c r="BL9">
        <f>VLOOKUP($B9,'[1]Data_UN_PopulationTot.&amp;%'!$B$4:$CZ$603,8,FALSE)</f>
        <v>2963.23</v>
      </c>
      <c r="BM9">
        <f>VLOOKUP($B9,'[1]Data_UN_PopulationTot.&amp;%'!$B$4:$CZ$603,9,FALSE)</f>
        <v>2968.13</v>
      </c>
      <c r="BN9">
        <v>2971.97</v>
      </c>
      <c r="BO9">
        <f>VLOOKUP($B9,'[1]Data_UN_PopulationTot.&amp;%'!$B$4:$CZ$603,11,FALSE)</f>
        <v>2974.77</v>
      </c>
      <c r="BP9">
        <f>VLOOKUP($B9,'[1]Data_UN_PopulationTot.&amp;%'!$B$4:$CZ$603,12,FALSE)</f>
        <v>2976.51</v>
      </c>
      <c r="BQ9">
        <f>VLOOKUP($B9,'[1]Data_UN_PopulationTot.&amp;%'!$B$4:$CZ$603,13,FALSE)</f>
        <v>2977.28</v>
      </c>
      <c r="BR9">
        <f>VLOOKUP($B9,'[1]Data_UN_PopulationTot.&amp;%'!$B$4:$CZ$603,14,FALSE)</f>
        <v>2977.01</v>
      </c>
      <c r="BS9">
        <f>VLOOKUP($B9,'[1]Data_UN_PopulationTot.&amp;%'!$B$4:$CZ$603,15,FALSE)</f>
        <v>2975.75</v>
      </c>
      <c r="BT9">
        <f>VLOOKUP($B9,'[1]Data_UN_PopulationTot.&amp;%'!$B$4:$CZ$603,16,FALSE)</f>
        <v>2973.59</v>
      </c>
      <c r="BU9">
        <f>VLOOKUP($B9,'[1]Data_UN_PopulationTot.&amp;%'!$B$4:$CZ$603,17,FALSE)</f>
        <v>2970.64</v>
      </c>
      <c r="BV9">
        <f>VLOOKUP($B9,'[1]Data_UN_PopulationTot.&amp;%'!$B$4:$CZ$603,18,FALSE)</f>
        <v>2967.01</v>
      </c>
      <c r="BW9">
        <f>VLOOKUP($B9,'[1]Data_UN_PopulationTot.&amp;%'!$B$4:$CZ$603,61,FALSE)</f>
        <v>6.9176877933876213</v>
      </c>
      <c r="BX9">
        <f>VLOOKUP($B9,'[1]Data_UN_PopulationTot.&amp;%'!$B$4:$CZ$603,62,FALSE)</f>
        <v>7.2175295201519969</v>
      </c>
      <c r="BY9">
        <f>VLOOKUP($B9,'[1]Data_UN_PopulationTot.&amp;%'!$B$4:$CZ$603,63,FALSE)</f>
        <v>6.6971851661868973</v>
      </c>
      <c r="BZ9">
        <f>VLOOKUP($B9,'[1]Data_UN_PopulationTot.&amp;%'!$B$4:$CZ$603,64,FALSE)</f>
        <v>5.7530802536421408</v>
      </c>
      <c r="CA9">
        <f>VLOOKUP($B9,'[1]Data_UN_PopulationTot.&amp;%'!$B$4:$CZ$603,65,FALSE)</f>
        <v>5.9562369441454095</v>
      </c>
      <c r="CB9">
        <f>VLOOKUP($B9,'[1]Data_UN_PopulationTot.&amp;%'!$B$4:$CZ$603,66,FALSE)</f>
        <v>7.8437043361467049</v>
      </c>
      <c r="CC9">
        <f>VLOOKUP($B9,'[1]Data_UN_PopulationTot.&amp;%'!$B$4:$CZ$603,67,FALSE)</f>
        <v>9.0168836033652457</v>
      </c>
      <c r="CD9">
        <f>VLOOKUP($B9,'[1]Data_UN_PopulationTot.&amp;%'!$B$4:$CZ$603,68,FALSE)</f>
        <v>7.9899974014841915</v>
      </c>
      <c r="CE9">
        <f>VLOOKUP($B9,'[1]Data_UN_PopulationTot.&amp;%'!$B$4:$CZ$603,69,FALSE)</f>
        <v>6.4375360670619557</v>
      </c>
      <c r="CF9">
        <f>VLOOKUP($B9,'[1]Data_UN_PopulationTot.&amp;%'!$B$4:$CZ$603,70,FALSE)</f>
        <v>5.4781100353330654</v>
      </c>
      <c r="CG9">
        <f>VLOOKUP($B9,'[1]Data_UN_PopulationTot.&amp;%'!$B$4:$CZ$603,71,FALSE)</f>
        <v>5.5093597189553289</v>
      </c>
      <c r="CH9">
        <f>VLOOKUP($B9,'[1]Data_UN_PopulationTot.&amp;%'!$B$4:$CZ$603,72,FALSE)</f>
        <v>6.7290760420217133</v>
      </c>
      <c r="CI9">
        <f>VLOOKUP($B9,'[1]Data_UN_PopulationTot.&amp;%'!$B$4:$CZ$603,73,FALSE)</f>
        <v>6.6508843390489432</v>
      </c>
      <c r="CJ9">
        <f>VLOOKUP($B9,'[1]Data_UN_PopulationTot.&amp;%'!$B$4:$CZ$603,74,FALSE)</f>
        <v>4.4316843444484562</v>
      </c>
      <c r="CK9">
        <f>VLOOKUP($B9,'[1]Data_UN_PopulationTot.&amp;%'!$B$4:$CZ$603,75,FALSE)</f>
        <v>2.846319725434745</v>
      </c>
      <c r="CL9">
        <f>VLOOKUP($B9,'[1]Data_UN_PopulationTot.&amp;%'!$B$4:$CZ$603,76,FALSE)</f>
        <v>1.4308710427472722</v>
      </c>
      <c r="CM9">
        <f>VLOOKUP($B9,'[1]Data_UN_PopulationTot.&amp;%'!$B$4:$CZ$603,77,FALSE)</f>
        <v>1.9996422822393132</v>
      </c>
      <c r="CN9">
        <f>VLOOKUP($B9,'[1]Data_UN_PopulationTot.&amp;%'!$B$4:$CZ$603,78,FALSE)</f>
        <v>0.73568369650685239</v>
      </c>
      <c r="CO9">
        <f>VLOOKUP($B9,'[1]Data_UN_PopulationTot.&amp;%'!$B$4:$CZ$603,79,FALSE)</f>
        <v>0.3065236245583367</v>
      </c>
      <c r="CP9">
        <f>VLOOKUP($B9,'[1]Data_UN_PopulationTot.&amp;%'!$B$4:$CZ$603,80,FALSE)</f>
        <v>4.48497079200737E-2</v>
      </c>
      <c r="CQ9">
        <f>VLOOKUP($B9,'[1]Data_UN_PopulationTot.&amp;%'!$B$4:$CZ$603,81,FALSE)</f>
        <v>7.2893430479578029E-3</v>
      </c>
      <c r="CR9">
        <f>VLOOKUP($B9,'[1]Data_UN_PopulationTot.&amp;%'!$B$4:$CZ$603,82,FALSE)</f>
        <v>5.3303494090009798</v>
      </c>
      <c r="CS9">
        <f>VLOOKUP($B9,'[1]Data_UN_PopulationTot.&amp;%'!$B$4:$CZ$603,83,FALSE)</f>
        <v>6.0411323183946122</v>
      </c>
      <c r="CT9">
        <f>VLOOKUP($B9,'[1]Data_UN_PopulationTot.&amp;%'!$B$4:$CZ$603,84,FALSE)</f>
        <v>6.8603408818979377</v>
      </c>
      <c r="CU9">
        <f>VLOOKUP($B9,'[1]Data_UN_PopulationTot.&amp;%'!$B$4:$CZ$603,85,FALSE)</f>
        <v>7.0802929548602807</v>
      </c>
      <c r="CV9">
        <f>VLOOKUP($B9,'[1]Data_UN_PopulationTot.&amp;%'!$B$4:$CZ$603,86,FALSE)</f>
        <v>6.3956643219941949</v>
      </c>
      <c r="CW9">
        <f>VLOOKUP($B9,'[1]Data_UN_PopulationTot.&amp;%'!$B$4:$CZ$603,87,FALSE)</f>
        <v>5.3847476078611125</v>
      </c>
      <c r="CX9">
        <f>VLOOKUP($B9,'[1]Data_UN_PopulationTot.&amp;%'!$B$4:$CZ$603,88,FALSE)</f>
        <v>5.6339884260585569</v>
      </c>
      <c r="CY9">
        <f>VLOOKUP($B9,'[1]Data_UN_PopulationTot.&amp;%'!$B$4:$CZ$603,89,FALSE)</f>
        <v>7.5745952996450967</v>
      </c>
      <c r="CZ9">
        <f>VLOOKUP($B9,'[1]Data_UN_PopulationTot.&amp;%'!$B$4:$CZ$603,90,FALSE)</f>
        <v>8.7633004270292307</v>
      </c>
      <c r="DA9">
        <f>VLOOKUP($B9,'[1]Data_UN_PopulationTot.&amp;%'!$B$4:$CZ$603,91,FALSE)</f>
        <v>7.7276787068462856</v>
      </c>
      <c r="DB9">
        <f>VLOOKUP($B9,'[1]Data_UN_PopulationTot.&amp;%'!$B$4:$CZ$603,92,FALSE)</f>
        <v>6.1489850051061499</v>
      </c>
      <c r="DC9">
        <f>VLOOKUP($B9,'[1]Data_UN_PopulationTot.&amp;%'!$B$4:$CZ$603,93,FALSE)</f>
        <v>5.1340238152213846</v>
      </c>
      <c r="DD9">
        <f>VLOOKUP($B9,'[1]Data_UN_PopulationTot.&amp;%'!$B$4:$CZ$603,94,FALSE)</f>
        <v>5.0260363126514562</v>
      </c>
      <c r="DE9">
        <f>VLOOKUP($B9,'[1]Data_UN_PopulationTot.&amp;%'!$B$4:$CZ$603,95,FALSE)</f>
        <v>5.8700846980630326</v>
      </c>
      <c r="DF9">
        <f>VLOOKUP($B9,'[1]Data_UN_PopulationTot.&amp;%'!$B$4:$CZ$603,96,FALSE)</f>
        <v>5.3720749171725064</v>
      </c>
      <c r="DG9">
        <f>VLOOKUP($B9,'[1]Data_UN_PopulationTot.&amp;%'!$B$4:$CZ$603,97,FALSE)</f>
        <v>3.1129655781409564</v>
      </c>
      <c r="DH9">
        <f>VLOOKUP($B9,'[1]Data_UN_PopulationTot.&amp;%'!$B$4:$CZ$603,98,FALSE)</f>
        <v>1.5583365071233326</v>
      </c>
      <c r="DI9">
        <f>VLOOKUP($B9,'[1]Data_UN_PopulationTot.&amp;%'!$B$4:$CZ$603,99,FALSE)</f>
        <v>0.52456850499324237</v>
      </c>
      <c r="DJ9">
        <f>VLOOKUP($B9,'[1]Data_UN_PopulationTot.&amp;%'!$B$4:$DE$603,100,FALSE)</f>
        <v>0.39329156288654238</v>
      </c>
      <c r="DK9">
        <f>VLOOKUP($B9,'[1]Data_UN_PopulationTot.&amp;%'!$B$4:$DE$603,101,FALSE)</f>
        <v>5.9184161832956404E-2</v>
      </c>
      <c r="DL9">
        <f>VLOOKUP($B9,'[1]Data_UN_PopulationTot.&amp;%'!$B$4:$DE$603,102,FALSE)</f>
        <v>8.3585832201441852E-3</v>
      </c>
    </row>
    <row r="10" spans="1:116">
      <c r="A10" t="s">
        <v>231</v>
      </c>
      <c r="B10" t="s">
        <v>565</v>
      </c>
      <c r="C10" t="s">
        <v>497</v>
      </c>
      <c r="D10" t="s">
        <v>622</v>
      </c>
      <c r="E10" t="s">
        <v>2269</v>
      </c>
      <c r="F10">
        <v>0</v>
      </c>
      <c r="G10">
        <v>0</v>
      </c>
      <c r="H10">
        <v>0</v>
      </c>
      <c r="I10">
        <v>1</v>
      </c>
      <c r="J10" s="18">
        <f t="shared" si="1"/>
        <v>0.75482503519999999</v>
      </c>
      <c r="K10">
        <f>VLOOKUP($B10,'[1]Source GDP Current USD'!$B$1:$CZ$600,64,FALSE)</f>
        <v>1370281481.4814799</v>
      </c>
      <c r="L10" s="45">
        <f>VLOOKUP($B10,'[1]Source GDP Current USD'!$B$1:$CZ$600,65,FALSE)</f>
        <v>1370281481.4814799</v>
      </c>
      <c r="M10" s="17">
        <f>VLOOKUP($B10,'[1]Source GDP Current LCU'!$B$1:$CZ$600,64,FALSE)</f>
        <v>3699760000</v>
      </c>
      <c r="N10" s="45">
        <f>VLOOKUP($B10,'[1]Source GDP Current LCU'!$B$1:$CZ$600,65,FALSE)</f>
        <v>3699760000</v>
      </c>
      <c r="O10" s="45">
        <f>VLOOKUP($B10,'[1]Source GNI Current USD'!$B$1:$CZ$600,64,FALSE)</f>
        <v>1345593296.2962999</v>
      </c>
      <c r="P10" s="45">
        <f>VLOOKUP($B10,'[1]Source GNI Current LCU'!$B$1:$CZ$600,64,FALSE)</f>
        <v>3633101900</v>
      </c>
      <c r="Q10">
        <f t="shared" si="0"/>
        <v>101.8347434736141</v>
      </c>
      <c r="R10">
        <f>VLOOKUP($B10,'[1]Source GNI PC Atlas'!$B$1:$CZ$600,64,FALSE)</f>
        <v>13750</v>
      </c>
      <c r="S10">
        <f>VLOOKUP($B10,'[1]Source GNI PC Atlas'!$B$1:$CZ$600,65,FALSE)</f>
        <v>13750</v>
      </c>
      <c r="T10">
        <f>VLOOKUP($B10,[1]Source_PPP_Conversion!$B$1:$CZ$600,65,FALSE)</f>
        <v>0.76706751360589998</v>
      </c>
      <c r="U10">
        <f>VLOOKUP($B10,'[1]Source PopulationTotal'!$B$1:$CZ$600,65,FALSE)</f>
        <v>97928</v>
      </c>
      <c r="V10">
        <f>VLOOKUP($B10,'[1]Source Gov. Revenue WEO'!$B$1:$CZ$600,4,FALSE)</f>
        <v>20.402000000000001</v>
      </c>
      <c r="W10">
        <f>VLOOKUP($B10,'[1]Source Gov. Revenue WEO'!$B$1:$CZ$600,5,FALSE)</f>
        <v>23.765999999999998</v>
      </c>
      <c r="X10">
        <f>VLOOKUP($B10,'[1]Source Gov. Revenue WEO'!$B$1:$CZ$600,6,FALSE)</f>
        <v>22.831</v>
      </c>
      <c r="Y10">
        <f>VLOOKUP($B10,'[1]Source Gov. Revenue WEO'!$B$1:$CZ$600,7,FALSE)</f>
        <v>24.1</v>
      </c>
      <c r="Z10">
        <f>VLOOKUP($B10,'[1]Source Gov. Revenue WEO'!$B$1:$CZ$600,8,FALSE)</f>
        <v>24.584</v>
      </c>
      <c r="AA10">
        <f>VLOOKUP($B10,'[1]Source Gov. Revenue WEO'!$B$1:$CZ$600,9,FALSE)</f>
        <v>24.681999999999999</v>
      </c>
      <c r="AB10">
        <f>VLOOKUP($B10,'[1]Source Gov. Revenue WEO'!$B$1:$CZ$600,10,FALSE)</f>
        <v>24.565999999999999</v>
      </c>
      <c r="AC10">
        <f>VLOOKUP($B10,[2]Summary!$B$1:$CZ$600,39,FALSE)</f>
        <v>9.999999999999999E-14</v>
      </c>
      <c r="AD10">
        <f>VLOOKUP($B10,[2]Summary!$B$1:$CZ$600,40,FALSE)</f>
        <v>9.999999999999999E-14</v>
      </c>
      <c r="AE10">
        <f>VLOOKUP($B10,[2]Summary!$B$1:$CZ$600,47,FALSE)</f>
        <v>0.25969589371094459</v>
      </c>
      <c r="AF10">
        <f>VLOOKUP($B10,'[1]CALC GDP Growth rates WDI'!$B$1:$CZ$600,27,FALSE)</f>
        <v>5.6669528764086676</v>
      </c>
      <c r="AG10">
        <f>VLOOKUP($B10,'[1]CALC GDP Growth rates WDI'!$B$1:$CZ$600,29,FALSE)</f>
        <v>15.140669824228103</v>
      </c>
      <c r="AH10">
        <f>VLOOKUP($B10,'[1]CALC GDP Growth rates WDI'!$B$1:$CZ$600,28,FALSE)</f>
        <v>-2.6674775107082329</v>
      </c>
      <c r="AI10">
        <f>VLOOKUP($B10,'[1]CALC GDP Growth rates WDI'!$B$1:$CZ$600,30,FALSE)</f>
        <v>19.484356499559887</v>
      </c>
      <c r="AJ10" s="45"/>
      <c r="AK10" t="e">
        <f>VLOOKUP($B10,[1]Data_Aspire!$B$1:$CZ$600,2,FALSE)</f>
        <v>#N/A</v>
      </c>
      <c r="AL10" t="e">
        <f>VLOOKUP($B10,[1]Data_Aspire!$B$1:$CZ$600,3,FALSE)</f>
        <v>#N/A</v>
      </c>
      <c r="AM10" t="e">
        <f>VLOOKUP($B10,[1]Data_Aspire!$B$1:$CZ$600,4,FALSE)</f>
        <v>#N/A</v>
      </c>
      <c r="AN10" t="e">
        <f>VLOOKUP($B10,[1]Data_Aspire!$B$1:$CZ$600,5,FALSE)</f>
        <v>#N/A</v>
      </c>
      <c r="AO10" t="e">
        <f>VLOOKUP($B10,[1]Data_Aspire!$B$1:$CZ$600,6,FALSE)</f>
        <v>#N/A</v>
      </c>
      <c r="AP10" t="e">
        <f>VLOOKUP($B10,[1]Data_Aspire!$B$1:$CZ$600,7,FALSE)</f>
        <v>#N/A</v>
      </c>
      <c r="AQ10" t="e">
        <f>VLOOKUP($B10,[1]Data_Aspire!$B$1:$CZ$600,8,FALSE)</f>
        <v>#N/A</v>
      </c>
      <c r="AR10" t="e">
        <f>VLOOKUP($B10,[1]Data_Aspire!$B$1:$CZ$600,9,FALSE)</f>
        <v>#N/A</v>
      </c>
      <c r="AS10" t="e">
        <f>VLOOKUP($B10,[1]Data_Aspire!$B$1:$CZ$600,10,FALSE)</f>
        <v>#N/A</v>
      </c>
      <c r="AT10" t="e">
        <f>VLOOKUP($B10,[1]Data_Aspire!$B$1:$CZ$600,11,FALSE)</f>
        <v>#N/A</v>
      </c>
      <c r="AU10" t="e">
        <f>VLOOKUP($B10,[1]Data_Aspire!$B$1:$CZ$600,12,FALSE)</f>
        <v>#N/A</v>
      </c>
      <c r="AV10" t="e">
        <f>VLOOKUP($B10,[1]Data_Aspire!$B$1:$CZ$600,13,FALSE)</f>
        <v>#N/A</v>
      </c>
      <c r="AW10" t="e">
        <f>VLOOKUP($B10,[1]Data_Aspire!$B$1:$CZ$600,14,FALSE)</f>
        <v>#N/A</v>
      </c>
      <c r="AX10" t="e">
        <f>VLOOKUP($B10,[1]Data_Aspire!$B$1:$CZ$600,15,FALSE)</f>
        <v>#N/A</v>
      </c>
      <c r="AY10" t="e">
        <f>VLOOKUP($B10,[1]Data_Aspire!$B$1:$CZ$600,16,FALSE)</f>
        <v>#N/A</v>
      </c>
      <c r="AZ10" t="e">
        <f>VLOOKUP($B10,[1]Data_Aspire!$B$1:$CZ$600,17,FALSE)</f>
        <v>#N/A</v>
      </c>
      <c r="BA10" t="e">
        <f>VLOOKUP($B10,[1]Data_Aspire!$B$1:$CZ$600,18,FALSE)</f>
        <v>#N/A</v>
      </c>
      <c r="BB10" t="e">
        <f>VLOOKUP($B10,[1]Data_Aspire!$B$1:$CZ$600,19,FALSE)</f>
        <v>#N/A</v>
      </c>
      <c r="BC10" t="e">
        <f>VLOOKUP($B10,[1]Data_Aspire!$B$1:$CZ$600,20,FALSE)</f>
        <v>#N/A</v>
      </c>
      <c r="BD10" t="e">
        <f>VLOOKUP($B10,[1]Data_Aspire!$B$1:$CZ$600,21,FALSE)</f>
        <v>#N/A</v>
      </c>
      <c r="BE10" t="e">
        <f>VLOOKUP($B10,[1]Data_Aspire!$B$1:$CZ$600,22,FALSE)</f>
        <v>#N/A</v>
      </c>
      <c r="BF10" t="e">
        <f>VLOOKUP($B10,[1]Data_Aspire!$B$1:$CZ$600,23,FALSE)</f>
        <v>#N/A</v>
      </c>
      <c r="BG10" t="e">
        <f>VLOOKUP($B10,[1]Data_Aspire!$B$1:$CZ$600,24,FALSE)</f>
        <v>#N/A</v>
      </c>
      <c r="BH10" t="e">
        <f>VLOOKUP($B10,[1]Data_Aspire!$B$1:$CZ$600,25,FALSE)</f>
        <v>#N/A</v>
      </c>
      <c r="BI10" t="e">
        <f>VLOOKUP($B10,[1]Data_Aspire!$B$1:$CZ$600,26,FALSE)</f>
        <v>#N/A</v>
      </c>
      <c r="BJ10" s="7">
        <v>0</v>
      </c>
      <c r="BK10">
        <v>28</v>
      </c>
      <c r="BL10">
        <f>VLOOKUP($B10,'[1]Data_UN_PopulationTot.&amp;%'!$B$4:$CZ$603,8,FALSE)</f>
        <v>97.927999999999997</v>
      </c>
      <c r="BM10">
        <f>VLOOKUP($B10,'[1]Data_UN_PopulationTot.&amp;%'!$B$4:$CZ$603,9,FALSE)</f>
        <v>98.727999999999994</v>
      </c>
      <c r="BN10">
        <v>99.504999999999995</v>
      </c>
      <c r="BO10">
        <f>VLOOKUP($B10,'[1]Data_UN_PopulationTot.&amp;%'!$B$4:$CZ$603,11,FALSE)</f>
        <v>100.27200000000001</v>
      </c>
      <c r="BP10">
        <f>VLOOKUP($B10,'[1]Data_UN_PopulationTot.&amp;%'!$B$4:$CZ$603,12,FALSE)</f>
        <v>101.01600000000001</v>
      </c>
      <c r="BQ10">
        <f>VLOOKUP($B10,'[1]Data_UN_PopulationTot.&amp;%'!$B$4:$CZ$603,13,FALSE)</f>
        <v>101.71899999999999</v>
      </c>
      <c r="BR10">
        <f>VLOOKUP($B10,'[1]Data_UN_PopulationTot.&amp;%'!$B$4:$CZ$603,14,FALSE)</f>
        <v>102.402</v>
      </c>
      <c r="BS10">
        <f>VLOOKUP($B10,'[1]Data_UN_PopulationTot.&amp;%'!$B$4:$CZ$603,15,FALSE)</f>
        <v>103.06699999999999</v>
      </c>
      <c r="BT10">
        <f>VLOOKUP($B10,'[1]Data_UN_PopulationTot.&amp;%'!$B$4:$CZ$603,16,FALSE)</f>
        <v>103.691</v>
      </c>
      <c r="BU10">
        <f>VLOOKUP($B10,'[1]Data_UN_PopulationTot.&amp;%'!$B$4:$CZ$603,17,FALSE)</f>
        <v>104.30200000000001</v>
      </c>
      <c r="BV10">
        <f>VLOOKUP($B10,'[1]Data_UN_PopulationTot.&amp;%'!$B$4:$CZ$603,18,FALSE)</f>
        <v>104.85899999999999</v>
      </c>
      <c r="BW10">
        <f>VLOOKUP($B10,'[1]Data_UN_PopulationTot.&amp;%'!$B$4:$CZ$603,61,FALSE)</f>
        <v>7.5106200473817513</v>
      </c>
      <c r="BX10">
        <f>VLOOKUP($B10,'[1]Data_UN_PopulationTot.&amp;%'!$B$4:$CZ$603,62,FALSE)</f>
        <v>7.3809329303161499</v>
      </c>
      <c r="BY10">
        <f>VLOOKUP($B10,'[1]Data_UN_PopulationTot.&amp;%'!$B$4:$CZ$603,63,FALSE)</f>
        <v>6.9581733518503386</v>
      </c>
      <c r="BZ10">
        <f>VLOOKUP($B10,'[1]Data_UN_PopulationTot.&amp;%'!$B$4:$CZ$603,64,FALSE)</f>
        <v>7.2022302099501685</v>
      </c>
      <c r="CA10">
        <f>VLOOKUP($B10,'[1]Data_UN_PopulationTot.&amp;%'!$B$4:$CZ$603,65,FALSE)</f>
        <v>7.7393595294502084</v>
      </c>
      <c r="CB10">
        <f>VLOOKUP($B10,'[1]Data_UN_PopulationTot.&amp;%'!$B$4:$CZ$603,66,FALSE)</f>
        <v>7.4697737112980969</v>
      </c>
      <c r="CC10">
        <f>VLOOKUP($B10,'[1]Data_UN_PopulationTot.&amp;%'!$B$4:$CZ$603,67,FALSE)</f>
        <v>7.2155052691773554</v>
      </c>
      <c r="CD10">
        <f>VLOOKUP($B10,'[1]Data_UN_PopulationTot.&amp;%'!$B$4:$CZ$603,68,FALSE)</f>
        <v>7.1767012498978833</v>
      </c>
      <c r="CE10">
        <f>VLOOKUP($B10,'[1]Data_UN_PopulationTot.&amp;%'!$B$4:$CZ$603,69,FALSE)</f>
        <v>7.0623315088636547</v>
      </c>
      <c r="CF10">
        <f>VLOOKUP($B10,'[1]Data_UN_PopulationTot.&amp;%'!$B$4:$CZ$603,70,FALSE)</f>
        <v>7.0909239441222125</v>
      </c>
      <c r="CG10">
        <f>VLOOKUP($B10,'[1]Data_UN_PopulationTot.&amp;%'!$B$4:$CZ$603,71,FALSE)</f>
        <v>6.9428559758189694</v>
      </c>
      <c r="CH10">
        <f>VLOOKUP($B10,'[1]Data_UN_PopulationTot.&amp;%'!$B$4:$CZ$603,72,FALSE)</f>
        <v>6.1606486398170093</v>
      </c>
      <c r="CI10">
        <f>VLOOKUP($B10,'[1]Data_UN_PopulationTot.&amp;%'!$B$4:$CZ$603,73,FALSE)</f>
        <v>4.7565558369414269</v>
      </c>
      <c r="CJ10">
        <f>VLOOKUP($B10,'[1]Data_UN_PopulationTot.&amp;%'!$B$4:$CZ$603,74,FALSE)</f>
        <v>3.4566211910791602</v>
      </c>
      <c r="CK10">
        <f>VLOOKUP($B10,'[1]Data_UN_PopulationTot.&amp;%'!$B$4:$CZ$603,75,FALSE)</f>
        <v>2.5539171636304223</v>
      </c>
      <c r="CL10">
        <f>VLOOKUP($B10,'[1]Data_UN_PopulationTot.&amp;%'!$B$4:$CZ$603,76,FALSE)</f>
        <v>1.633853443346132</v>
      </c>
      <c r="CM10">
        <f>VLOOKUP($B10,'[1]Data_UN_PopulationTot.&amp;%'!$B$4:$CZ$603,77,FALSE)</f>
        <v>0.94252920513029981</v>
      </c>
      <c r="CN10">
        <f>VLOOKUP($B10,'[1]Data_UN_PopulationTot.&amp;%'!$B$4:$CZ$603,78,FALSE)</f>
        <v>0.5207907850665795</v>
      </c>
      <c r="CO10">
        <f>VLOOKUP($B10,'[1]Data_UN_PopulationTot.&amp;%'!$B$4:$CZ$603,79,FALSE)</f>
        <v>0.18585082918062251</v>
      </c>
      <c r="CP10">
        <f>VLOOKUP($B10,'[1]Data_UN_PopulationTot.&amp;%'!$B$4:$CZ$603,80,FALSE)</f>
        <v>3.5740544073196635E-2</v>
      </c>
      <c r="CQ10">
        <f>VLOOKUP($B10,'[1]Data_UN_PopulationTot.&amp;%'!$B$4:$CZ$603,81,FALSE)</f>
        <v>4.0846336083653302E-3</v>
      </c>
      <c r="CR10">
        <f>VLOOKUP($B10,'[1]Data_UN_PopulationTot.&amp;%'!$B$4:$CZ$603,82,FALSE)</f>
        <v>6.4906207383247985</v>
      </c>
      <c r="CS10">
        <f>VLOOKUP($B10,'[1]Data_UN_PopulationTot.&amp;%'!$B$4:$CZ$603,83,FALSE)</f>
        <v>6.7423873964085113</v>
      </c>
      <c r="CT10">
        <f>VLOOKUP($B10,'[1]Data_UN_PopulationTot.&amp;%'!$B$4:$CZ$603,84,FALSE)</f>
        <v>6.9979687008268243</v>
      </c>
      <c r="CU10">
        <f>VLOOKUP($B10,'[1]Data_UN_PopulationTot.&amp;%'!$B$4:$CZ$603,85,FALSE)</f>
        <v>6.8749463565359203</v>
      </c>
      <c r="CV10">
        <f>VLOOKUP($B10,'[1]Data_UN_PopulationTot.&amp;%'!$B$4:$CZ$603,86,FALSE)</f>
        <v>6.469640183484489</v>
      </c>
      <c r="CW10">
        <f>VLOOKUP($B10,'[1]Data_UN_PopulationTot.&amp;%'!$B$4:$CZ$603,87,FALSE)</f>
        <v>6.6784920703039319</v>
      </c>
      <c r="CX10">
        <f>VLOOKUP($B10,'[1]Data_UN_PopulationTot.&amp;%'!$B$4:$CZ$603,88,FALSE)</f>
        <v>7.1763034169694553</v>
      </c>
      <c r="CY10">
        <f>VLOOKUP($B10,'[1]Data_UN_PopulationTot.&amp;%'!$B$4:$CZ$603,89,FALSE)</f>
        <v>6.9150001430492383</v>
      </c>
      <c r="CZ10">
        <f>VLOOKUP($B10,'[1]Data_UN_PopulationTot.&amp;%'!$B$4:$CZ$603,90,FALSE)</f>
        <v>6.6584651770472734</v>
      </c>
      <c r="DA10">
        <f>VLOOKUP($B10,'[1]Data_UN_PopulationTot.&amp;%'!$B$4:$CZ$603,91,FALSE)</f>
        <v>6.5774039424369874</v>
      </c>
      <c r="DB10">
        <f>VLOOKUP($B10,'[1]Data_UN_PopulationTot.&amp;%'!$B$4:$CZ$603,92,FALSE)</f>
        <v>6.4019302110453093</v>
      </c>
      <c r="DC10">
        <f>VLOOKUP($B10,'[1]Data_UN_PopulationTot.&amp;%'!$B$4:$CZ$603,93,FALSE)</f>
        <v>6.3218226380186735</v>
      </c>
      <c r="DD10">
        <f>VLOOKUP($B10,'[1]Data_UN_PopulationTot.&amp;%'!$B$4:$CZ$603,94,FALSE)</f>
        <v>6.0280948702543409</v>
      </c>
      <c r="DE10">
        <f>VLOOKUP($B10,'[1]Data_UN_PopulationTot.&amp;%'!$B$4:$CZ$603,95,FALSE)</f>
        <v>5.1478652285449984</v>
      </c>
      <c r="DF10">
        <f>VLOOKUP($B10,'[1]Data_UN_PopulationTot.&amp;%'!$B$4:$CZ$603,96,FALSE)</f>
        <v>3.7278631304895145</v>
      </c>
      <c r="DG10">
        <f>VLOOKUP($B10,'[1]Data_UN_PopulationTot.&amp;%'!$B$4:$CZ$603,97,FALSE)</f>
        <v>2.4223004224720817</v>
      </c>
      <c r="DH10">
        <f>VLOOKUP($B10,'[1]Data_UN_PopulationTot.&amp;%'!$B$4:$CZ$603,98,FALSE)</f>
        <v>1.4600558845688019</v>
      </c>
      <c r="DI10">
        <f>VLOOKUP($B10,'[1]Data_UN_PopulationTot.&amp;%'!$B$4:$CZ$603,99,FALSE)</f>
        <v>0.65230452321689136</v>
      </c>
      <c r="DJ10">
        <f>VLOOKUP($B10,'[1]Data_UN_PopulationTot.&amp;%'!$B$4:$DE$603,100,FALSE)</f>
        <v>0.20789822523579285</v>
      </c>
      <c r="DK10">
        <f>VLOOKUP($B10,'[1]Data_UN_PopulationTot.&amp;%'!$B$4:$DE$603,101,FALSE)</f>
        <v>4.3868432847919588E-2</v>
      </c>
      <c r="DL10">
        <f>VLOOKUP($B10,'[1]Data_UN_PopulationTot.&amp;%'!$B$4:$DE$603,102,FALSE)</f>
        <v>4.76830791825213E-3</v>
      </c>
    </row>
    <row r="11" spans="1:116">
      <c r="A11" t="s">
        <v>74</v>
      </c>
      <c r="B11" t="s">
        <v>461</v>
      </c>
      <c r="C11" t="s">
        <v>493</v>
      </c>
      <c r="D11" t="s">
        <v>622</v>
      </c>
      <c r="E11" t="s">
        <v>2269</v>
      </c>
      <c r="F11">
        <v>0</v>
      </c>
      <c r="G11">
        <v>0</v>
      </c>
      <c r="H11">
        <v>0</v>
      </c>
      <c r="I11">
        <v>1</v>
      </c>
      <c r="J11" s="18">
        <f t="shared" si="1"/>
        <v>714.32008826000003</v>
      </c>
      <c r="K11">
        <f>VLOOKUP($B11,'[1]Source GDP Current USD'!$B$1:$CZ$600,64,FALSE)</f>
        <v>1327836171068.51</v>
      </c>
      <c r="L11" s="45">
        <f>VLOOKUP($B11,'[1]Source GDP Current USD'!$B$1:$CZ$600,65,FALSE)</f>
        <v>1327836171068.51</v>
      </c>
      <c r="M11" s="17">
        <f>VLOOKUP($B11,'[1]Source GDP Current LCU'!$B$1:$CZ$600,64,FALSE)</f>
        <v>1980866000000</v>
      </c>
      <c r="N11" s="45">
        <f>VLOOKUP($B11,'[1]Source GDP Current LCU'!$B$1:$CZ$600,65,FALSE)</f>
        <v>1980866000000</v>
      </c>
      <c r="O11" s="45">
        <f>VLOOKUP($B11,'[1]Source GNI Current USD'!$B$1:$CZ$600,64,FALSE)</f>
        <v>1300687089422.1699</v>
      </c>
      <c r="P11" s="45">
        <f>VLOOKUP($B11,'[1]Source GNI Current LCU'!$B$1:$CZ$600,64,FALSE)</f>
        <v>1940365000000</v>
      </c>
      <c r="Q11">
        <f t="shared" si="0"/>
        <v>102.08728770102533</v>
      </c>
      <c r="R11">
        <f>VLOOKUP($B11,'[1]Source GNI PC Atlas'!$B$1:$CZ$600,64,FALSE)</f>
        <v>53690</v>
      </c>
      <c r="S11">
        <f>VLOOKUP($B11,'[1]Source GNI PC Atlas'!$B$1:$CZ$600,65,FALSE)</f>
        <v>53690</v>
      </c>
      <c r="T11">
        <f>VLOOKUP($B11,[1]Source_PPP_Conversion!$B$1:$CZ$600,65,FALSE)</f>
        <v>0.96930486660410298</v>
      </c>
      <c r="U11">
        <f>VLOOKUP($B11,'[1]Source PopulationTotal'!$B$1:$CZ$600,65,FALSE)</f>
        <v>25687041</v>
      </c>
      <c r="V11">
        <f>VLOOKUP($B11,'[1]Source Gov. Revenue WEO'!$B$1:$CZ$600,4,FALSE)</f>
        <v>36.061</v>
      </c>
      <c r="W11">
        <f>VLOOKUP($B11,'[1]Source Gov. Revenue WEO'!$B$1:$CZ$600,5,FALSE)</f>
        <v>34.302</v>
      </c>
      <c r="X11">
        <f>VLOOKUP($B11,'[1]Source Gov. Revenue WEO'!$B$1:$CZ$600,6,FALSE)</f>
        <v>33.426000000000002</v>
      </c>
      <c r="Y11">
        <f>VLOOKUP($B11,'[1]Source Gov. Revenue WEO'!$B$1:$CZ$600,7,FALSE)</f>
        <v>33.659999999999997</v>
      </c>
      <c r="Z11">
        <f>VLOOKUP($B11,'[1]Source Gov. Revenue WEO'!$B$1:$CZ$600,8,FALSE)</f>
        <v>33.896999999999998</v>
      </c>
      <c r="AA11">
        <f>VLOOKUP($B11,'[1]Source Gov. Revenue WEO'!$B$1:$CZ$600,9,FALSE)</f>
        <v>34.072000000000003</v>
      </c>
      <c r="AB11">
        <f>VLOOKUP($B11,'[1]Source Gov. Revenue WEO'!$B$1:$CZ$600,10,FALSE)</f>
        <v>34.229999999999997</v>
      </c>
      <c r="AC11">
        <f>VLOOKUP($B11,[2]Summary!$B$1:$CZ$600,39,FALSE)</f>
        <v>4.9848380000000001E-3</v>
      </c>
      <c r="AD11">
        <f>VLOOKUP($B11,[2]Summary!$B$1:$CZ$600,40,FALSE)</f>
        <v>4.0000000000000001E-3</v>
      </c>
      <c r="AE11">
        <f>VLOOKUP($B11,[2]Summary!$B$1:$CZ$600,47,FALSE)</f>
        <v>0.46363434119997654</v>
      </c>
      <c r="AF11">
        <f>VLOOKUP($B11,'[1]CALC GDP Growth rates WDI'!$B$1:$CZ$600,27,FALSE)</f>
        <v>26.391517349541406</v>
      </c>
      <c r="AG11">
        <f>VLOOKUP($B11,'[1]CALC GDP Growth rates WDI'!$B$1:$CZ$600,29,FALSE)</f>
        <v>26.544076446127708</v>
      </c>
      <c r="AH11">
        <f>VLOOKUP($B11,'[1]CALC GDP Growth rates WDI'!$B$1:$CZ$600,28,FALSE)</f>
        <v>10.398380639908281</v>
      </c>
      <c r="AI11">
        <f>VLOOKUP($B11,'[1]CALC GDP Growth rates WDI'!$B$1:$CZ$600,30,FALSE)</f>
        <v>10.53149228168957</v>
      </c>
      <c r="AK11" t="e">
        <f>VLOOKUP($B11,[1]Data_Aspire!$B$1:$CZ$600,2,FALSE)</f>
        <v>#N/A</v>
      </c>
      <c r="AL11" t="e">
        <f>VLOOKUP($B11,[1]Data_Aspire!$B$1:$CZ$600,3,FALSE)</f>
        <v>#N/A</v>
      </c>
      <c r="AM11" t="e">
        <f>VLOOKUP($B11,[1]Data_Aspire!$B$1:$CZ$600,4,FALSE)</f>
        <v>#N/A</v>
      </c>
      <c r="AN11" t="e">
        <f>VLOOKUP($B11,[1]Data_Aspire!$B$1:$CZ$600,5,FALSE)</f>
        <v>#N/A</v>
      </c>
      <c r="AO11" t="e">
        <f>VLOOKUP($B11,[1]Data_Aspire!$B$1:$CZ$600,6,FALSE)</f>
        <v>#N/A</v>
      </c>
      <c r="AP11" t="e">
        <f>VLOOKUP($B11,[1]Data_Aspire!$B$1:$CZ$600,7,FALSE)</f>
        <v>#N/A</v>
      </c>
      <c r="AQ11" t="e">
        <f>VLOOKUP($B11,[1]Data_Aspire!$B$1:$CZ$600,8,FALSE)</f>
        <v>#N/A</v>
      </c>
      <c r="AR11" t="e">
        <f>VLOOKUP($B11,[1]Data_Aspire!$B$1:$CZ$600,9,FALSE)</f>
        <v>#N/A</v>
      </c>
      <c r="AS11" t="e">
        <f>VLOOKUP($B11,[1]Data_Aspire!$B$1:$CZ$600,10,FALSE)</f>
        <v>#N/A</v>
      </c>
      <c r="AT11" t="e">
        <f>VLOOKUP($B11,[1]Data_Aspire!$B$1:$CZ$600,11,FALSE)</f>
        <v>#N/A</v>
      </c>
      <c r="AU11" t="e">
        <f>VLOOKUP($B11,[1]Data_Aspire!$B$1:$CZ$600,12,FALSE)</f>
        <v>#N/A</v>
      </c>
      <c r="AV11" t="e">
        <f>VLOOKUP($B11,[1]Data_Aspire!$B$1:$CZ$600,13,FALSE)</f>
        <v>#N/A</v>
      </c>
      <c r="AW11" t="e">
        <f>VLOOKUP($B11,[1]Data_Aspire!$B$1:$CZ$600,14,FALSE)</f>
        <v>#N/A</v>
      </c>
      <c r="AX11" t="e">
        <f>VLOOKUP($B11,[1]Data_Aspire!$B$1:$CZ$600,15,FALSE)</f>
        <v>#N/A</v>
      </c>
      <c r="AY11" t="e">
        <f>VLOOKUP($B11,[1]Data_Aspire!$B$1:$CZ$600,16,FALSE)</f>
        <v>#N/A</v>
      </c>
      <c r="AZ11" t="e">
        <f>VLOOKUP($B11,[1]Data_Aspire!$B$1:$CZ$600,17,FALSE)</f>
        <v>#N/A</v>
      </c>
      <c r="BA11" t="e">
        <f>VLOOKUP($B11,[1]Data_Aspire!$B$1:$CZ$600,18,FALSE)</f>
        <v>#N/A</v>
      </c>
      <c r="BB11" t="e">
        <f>VLOOKUP($B11,[1]Data_Aspire!$B$1:$CZ$600,19,FALSE)</f>
        <v>#N/A</v>
      </c>
      <c r="BC11" t="e">
        <f>VLOOKUP($B11,[1]Data_Aspire!$B$1:$CZ$600,20,FALSE)</f>
        <v>#N/A</v>
      </c>
      <c r="BD11" t="e">
        <f>VLOOKUP($B11,[1]Data_Aspire!$B$1:$CZ$600,21,FALSE)</f>
        <v>#N/A</v>
      </c>
      <c r="BE11" t="e">
        <f>VLOOKUP($B11,[1]Data_Aspire!$B$1:$CZ$600,22,FALSE)</f>
        <v>#N/A</v>
      </c>
      <c r="BF11" t="e">
        <f>VLOOKUP($B11,[1]Data_Aspire!$B$1:$CZ$600,23,FALSE)</f>
        <v>#N/A</v>
      </c>
      <c r="BG11" t="e">
        <f>VLOOKUP($B11,[1]Data_Aspire!$B$1:$CZ$600,24,FALSE)</f>
        <v>#N/A</v>
      </c>
      <c r="BH11" t="e">
        <f>VLOOKUP($B11,[1]Data_Aspire!$B$1:$CZ$600,25,FALSE)</f>
        <v>#N/A</v>
      </c>
      <c r="BI11" t="e">
        <f>VLOOKUP($B11,[1]Data_Aspire!$B$1:$CZ$600,26,FALSE)</f>
        <v>#N/A</v>
      </c>
      <c r="BJ11" s="7">
        <v>0</v>
      </c>
      <c r="BK11">
        <v>36</v>
      </c>
      <c r="BL11">
        <f>VLOOKUP($B11,'[1]Data_UN_PopulationTot.&amp;%'!$B$4:$CZ$603,8,FALSE)</f>
        <v>25499.9</v>
      </c>
      <c r="BM11">
        <f>VLOOKUP($B11,'[1]Data_UN_PopulationTot.&amp;%'!$B$4:$CZ$603,9,FALSE)</f>
        <v>25788.2</v>
      </c>
      <c r="BN11">
        <v>26068.799999999999</v>
      </c>
      <c r="BO11">
        <f>VLOOKUP($B11,'[1]Data_UN_PopulationTot.&amp;%'!$B$4:$CZ$603,11,FALSE)</f>
        <v>26343.1</v>
      </c>
      <c r="BP11">
        <f>VLOOKUP($B11,'[1]Data_UN_PopulationTot.&amp;%'!$B$4:$CZ$603,12,FALSE)</f>
        <v>26612.9</v>
      </c>
      <c r="BQ11">
        <f>VLOOKUP($B11,'[1]Data_UN_PopulationTot.&amp;%'!$B$4:$CZ$603,13,FALSE)</f>
        <v>26879.8</v>
      </c>
      <c r="BR11">
        <f>VLOOKUP($B11,'[1]Data_UN_PopulationTot.&amp;%'!$B$4:$CZ$603,14,FALSE)</f>
        <v>27144.2</v>
      </c>
      <c r="BS11">
        <f>VLOOKUP($B11,'[1]Data_UN_PopulationTot.&amp;%'!$B$4:$CZ$603,15,FALSE)</f>
        <v>27406.3</v>
      </c>
      <c r="BT11">
        <f>VLOOKUP($B11,'[1]Data_UN_PopulationTot.&amp;%'!$B$4:$CZ$603,16,FALSE)</f>
        <v>27666.1</v>
      </c>
      <c r="BU11">
        <f>VLOOKUP($B11,'[1]Data_UN_PopulationTot.&amp;%'!$B$4:$CZ$603,17,FALSE)</f>
        <v>27923.200000000001</v>
      </c>
      <c r="BV11">
        <f>VLOOKUP($B11,'[1]Data_UN_PopulationTot.&amp;%'!$B$4:$CZ$603,18,FALSE)</f>
        <v>28177.5</v>
      </c>
      <c r="BW11">
        <f>VLOOKUP($B11,'[1]Data_UN_PopulationTot.&amp;%'!$B$4:$CZ$603,61,FALSE)</f>
        <v>6.547908031011886</v>
      </c>
      <c r="BX11">
        <f>VLOOKUP($B11,'[1]Data_UN_PopulationTot.&amp;%'!$B$4:$CZ$603,62,FALSE)</f>
        <v>6.428535013862799</v>
      </c>
      <c r="BY11">
        <f>VLOOKUP($B11,'[1]Data_UN_PopulationTot.&amp;%'!$B$4:$CZ$603,63,FALSE)</f>
        <v>6.3159855528845208</v>
      </c>
      <c r="BZ11">
        <f>VLOOKUP($B11,'[1]Data_UN_PopulationTot.&amp;%'!$B$4:$CZ$603,64,FALSE)</f>
        <v>5.9604547468813598</v>
      </c>
      <c r="CA11">
        <f>VLOOKUP($B11,'[1]Data_UN_PopulationTot.&amp;%'!$B$4:$CZ$603,65,FALSE)</f>
        <v>6.2532402087851322</v>
      </c>
      <c r="CB11">
        <f>VLOOKUP($B11,'[1]Data_UN_PopulationTot.&amp;%'!$B$4:$CZ$603,66,FALSE)</f>
        <v>6.9839097408225133</v>
      </c>
      <c r="CC11">
        <f>VLOOKUP($B11,'[1]Data_UN_PopulationTot.&amp;%'!$B$4:$CZ$603,67,FALSE)</f>
        <v>7.3547739402899621</v>
      </c>
      <c r="CD11">
        <f>VLOOKUP($B11,'[1]Data_UN_PopulationTot.&amp;%'!$B$4:$CZ$603,68,FALSE)</f>
        <v>7.2270087333675823</v>
      </c>
      <c r="CE11">
        <f>VLOOKUP($B11,'[1]Data_UN_PopulationTot.&amp;%'!$B$4:$CZ$603,69,FALSE)</f>
        <v>6.3871230867572031</v>
      </c>
      <c r="CF11">
        <f>VLOOKUP($B11,'[1]Data_UN_PopulationTot.&amp;%'!$B$4:$CZ$603,70,FALSE)</f>
        <v>6.5778689328193432</v>
      </c>
      <c r="CG11">
        <f>VLOOKUP($B11,'[1]Data_UN_PopulationTot.&amp;%'!$B$4:$CZ$603,71,FALSE)</f>
        <v>6.1110827885599548</v>
      </c>
      <c r="CH11">
        <f>VLOOKUP($B11,'[1]Data_UN_PopulationTot.&amp;%'!$B$4:$CZ$603,72,FALSE)</f>
        <v>6.0761414750646079</v>
      </c>
      <c r="CI11">
        <f>VLOOKUP($B11,'[1]Data_UN_PopulationTot.&amp;%'!$B$4:$CZ$603,73,FALSE)</f>
        <v>5.5628845603316091</v>
      </c>
      <c r="CJ11">
        <f>VLOOKUP($B11,'[1]Data_UN_PopulationTot.&amp;%'!$B$4:$CZ$603,74,FALSE)</f>
        <v>4.833979741097024</v>
      </c>
      <c r="CK11">
        <f>VLOOKUP($B11,'[1]Data_UN_PopulationTot.&amp;%'!$B$4:$CZ$603,75,FALSE)</f>
        <v>4.2485656806497278</v>
      </c>
      <c r="CL11">
        <f>VLOOKUP($B11,'[1]Data_UN_PopulationTot.&amp;%'!$B$4:$CZ$603,76,FALSE)</f>
        <v>2.9921568319875762</v>
      </c>
      <c r="CM11">
        <f>VLOOKUP($B11,'[1]Data_UN_PopulationTot.&amp;%'!$B$4:$CZ$603,77,FALSE)</f>
        <v>2.0507727481284244</v>
      </c>
      <c r="CN11">
        <f>VLOOKUP($B11,'[1]Data_UN_PopulationTot.&amp;%'!$B$4:$CZ$603,78,FALSE)</f>
        <v>1.2903972172439893</v>
      </c>
      <c r="CO11">
        <f>VLOOKUP($B11,'[1]Data_UN_PopulationTot.&amp;%'!$B$4:$CZ$603,79,FALSE)</f>
        <v>0.61395142726049889</v>
      </c>
      <c r="CP11">
        <f>VLOOKUP($B11,'[1]Data_UN_PopulationTot.&amp;%'!$B$4:$CZ$603,80,FALSE)</f>
        <v>0.16620457335126804</v>
      </c>
      <c r="CQ11">
        <f>VLOOKUP($B11,'[1]Data_UN_PopulationTot.&amp;%'!$B$4:$CZ$603,81,FALSE)</f>
        <v>1.7007909834940525E-2</v>
      </c>
      <c r="CR11">
        <f>VLOOKUP($B11,'[1]Data_UN_PopulationTot.&amp;%'!$B$4:$CZ$603,82,FALSE)</f>
        <v>5.7931683080471998</v>
      </c>
      <c r="CS11">
        <f>VLOOKUP($B11,'[1]Data_UN_PopulationTot.&amp;%'!$B$4:$CZ$603,83,FALSE)</f>
        <v>6.0882619110992815</v>
      </c>
      <c r="CT11">
        <f>VLOOKUP($B11,'[1]Data_UN_PopulationTot.&amp;%'!$B$4:$CZ$603,84,FALSE)</f>
        <v>6.4043296956791771</v>
      </c>
      <c r="CU11">
        <f>VLOOKUP($B11,'[1]Data_UN_PopulationTot.&amp;%'!$B$4:$CZ$603,85,FALSE)</f>
        <v>6.356880489752462</v>
      </c>
      <c r="CV11">
        <f>VLOOKUP($B11,'[1]Data_UN_PopulationTot.&amp;%'!$B$4:$CZ$603,86,FALSE)</f>
        <v>6.3288794250731959</v>
      </c>
      <c r="CW11">
        <f>VLOOKUP($B11,'[1]Data_UN_PopulationTot.&amp;%'!$B$4:$CZ$603,87,FALSE)</f>
        <v>6.0211161387631975</v>
      </c>
      <c r="CX11">
        <f>VLOOKUP($B11,'[1]Data_UN_PopulationTot.&amp;%'!$B$4:$CZ$603,88,FALSE)</f>
        <v>6.2266702155975509</v>
      </c>
      <c r="CY11">
        <f>VLOOKUP($B11,'[1]Data_UN_PopulationTot.&amp;%'!$B$4:$CZ$603,89,FALSE)</f>
        <v>6.7800195191198647</v>
      </c>
      <c r="CZ11">
        <f>VLOOKUP($B11,'[1]Data_UN_PopulationTot.&amp;%'!$B$4:$CZ$603,90,FALSE)</f>
        <v>6.9662319226333063</v>
      </c>
      <c r="DA11">
        <f>VLOOKUP($B11,'[1]Data_UN_PopulationTot.&amp;%'!$B$4:$CZ$603,91,FALSE)</f>
        <v>6.6891668884748468</v>
      </c>
      <c r="DB11">
        <f>VLOOKUP($B11,'[1]Data_UN_PopulationTot.&amp;%'!$B$4:$CZ$603,92,FALSE)</f>
        <v>5.7931683080471998</v>
      </c>
      <c r="DC11">
        <f>VLOOKUP($B11,'[1]Data_UN_PopulationTot.&amp;%'!$B$4:$CZ$603,93,FALSE)</f>
        <v>5.8590364652648397</v>
      </c>
      <c r="DD11">
        <f>VLOOKUP($B11,'[1]Data_UN_PopulationTot.&amp;%'!$B$4:$CZ$603,94,FALSE)</f>
        <v>5.3686806849436604</v>
      </c>
      <c r="DE11">
        <f>VLOOKUP($B11,'[1]Data_UN_PopulationTot.&amp;%'!$B$4:$CZ$603,95,FALSE)</f>
        <v>5.236163605713779</v>
      </c>
      <c r="DF11">
        <f>VLOOKUP($B11,'[1]Data_UN_PopulationTot.&amp;%'!$B$4:$CZ$603,96,FALSE)</f>
        <v>4.648070268831515</v>
      </c>
      <c r="DG11">
        <f>VLOOKUP($B11,'[1]Data_UN_PopulationTot.&amp;%'!$B$4:$CZ$603,97,FALSE)</f>
        <v>3.8189690355780321</v>
      </c>
      <c r="DH11">
        <f>VLOOKUP($B11,'[1]Data_UN_PopulationTot.&amp;%'!$B$4:$CZ$603,98,FALSE)</f>
        <v>2.9978883861236802</v>
      </c>
      <c r="DI11">
        <f>VLOOKUP($B11,'[1]Data_UN_PopulationTot.&amp;%'!$B$4:$CZ$603,99,FALSE)</f>
        <v>1.6688918463312927</v>
      </c>
      <c r="DJ11">
        <f>VLOOKUP($B11,'[1]Data_UN_PopulationTot.&amp;%'!$B$4:$DE$603,100,FALSE)</f>
        <v>0.72139472983763642</v>
      </c>
      <c r="DK11">
        <f>VLOOKUP($B11,'[1]Data_UN_PopulationTot.&amp;%'!$B$4:$DE$603,101,FALSE)</f>
        <v>0.2035276372992636</v>
      </c>
      <c r="DL11">
        <f>VLOOKUP($B11,'[1]Data_UN_PopulationTot.&amp;%'!$B$4:$DE$603,102,FALSE)</f>
        <v>2.9512909236092628E-2</v>
      </c>
    </row>
    <row r="12" spans="1:116">
      <c r="A12" t="s">
        <v>53</v>
      </c>
      <c r="B12" t="s">
        <v>458</v>
      </c>
      <c r="C12" t="s">
        <v>485</v>
      </c>
      <c r="D12" t="s">
        <v>622</v>
      </c>
      <c r="E12" t="s">
        <v>2269</v>
      </c>
      <c r="F12">
        <v>0</v>
      </c>
      <c r="G12">
        <v>0</v>
      </c>
      <c r="H12">
        <v>0</v>
      </c>
      <c r="I12">
        <v>1</v>
      </c>
      <c r="J12" s="18">
        <f t="shared" si="1"/>
        <v>184.330826132</v>
      </c>
      <c r="K12">
        <f>VLOOKUP($B12,'[1]Source GDP Current USD'!$B$1:$CZ$600,64,FALSE)</f>
        <v>433258467676.51501</v>
      </c>
      <c r="L12" s="45">
        <f>VLOOKUP($B12,'[1]Source GDP Current USD'!$B$1:$CZ$600,65,FALSE)</f>
        <v>433258467676.51501</v>
      </c>
      <c r="M12" s="17">
        <f>VLOOKUP($B12,'[1]Source GDP Current LCU'!$B$1:$CZ$600,64,FALSE)</f>
        <v>379320560000</v>
      </c>
      <c r="N12" s="45">
        <f>VLOOKUP($B12,'[1]Source GDP Current LCU'!$B$1:$CZ$600,65,FALSE)</f>
        <v>379320560000</v>
      </c>
      <c r="O12" s="45">
        <f>VLOOKUP($B12,'[1]Source GNI Current USD'!$B$1:$CZ$600,64,FALSE)</f>
        <v>432770909845.44897</v>
      </c>
      <c r="P12" s="45">
        <f>VLOOKUP($B12,'[1]Source GNI Current LCU'!$B$1:$CZ$600,64,FALSE)</f>
        <v>378893700000</v>
      </c>
      <c r="Q12">
        <f t="shared" si="0"/>
        <v>100.11265956652223</v>
      </c>
      <c r="R12">
        <f>VLOOKUP($B12,'[1]Source GNI PC Atlas'!$B$1:$CZ$600,64,FALSE)</f>
        <v>48350</v>
      </c>
      <c r="S12">
        <f>VLOOKUP($B12,'[1]Source GNI PC Atlas'!$B$1:$CZ$600,65,FALSE)</f>
        <v>48350</v>
      </c>
      <c r="T12">
        <f>VLOOKUP($B12,[1]Source_PPP_Conversion!$B$1:$CZ$600,65,FALSE)</f>
        <v>0.87254759374474899</v>
      </c>
      <c r="U12">
        <f>VLOOKUP($B12,'[1]Source PopulationTotal'!$B$1:$CZ$600,65,FALSE)</f>
        <v>8917205</v>
      </c>
      <c r="V12">
        <f>VLOOKUP($B12,'[1]Source Gov. Revenue WEO'!$B$1:$CZ$600,4,FALSE)</f>
        <v>48.594999999999999</v>
      </c>
      <c r="W12">
        <f>VLOOKUP($B12,'[1]Source Gov. Revenue WEO'!$B$1:$CZ$600,5,FALSE)</f>
        <v>48.408000000000001</v>
      </c>
      <c r="X12">
        <f>VLOOKUP($B12,'[1]Source Gov. Revenue WEO'!$B$1:$CZ$600,6,FALSE)</f>
        <v>47.947000000000003</v>
      </c>
      <c r="Y12">
        <f>VLOOKUP($B12,'[1]Source Gov. Revenue WEO'!$B$1:$CZ$600,7,FALSE)</f>
        <v>47.91</v>
      </c>
      <c r="Z12">
        <f>VLOOKUP($B12,'[1]Source Gov. Revenue WEO'!$B$1:$CZ$600,8,FALSE)</f>
        <v>48.396999999999998</v>
      </c>
      <c r="AA12">
        <f>VLOOKUP($B12,'[1]Source Gov. Revenue WEO'!$B$1:$CZ$600,9,FALSE)</f>
        <v>48.271999999999998</v>
      </c>
      <c r="AB12">
        <f>VLOOKUP($B12,'[1]Source Gov. Revenue WEO'!$B$1:$CZ$600,10,FALSE)</f>
        <v>48.167999999999999</v>
      </c>
      <c r="AC12" t="e">
        <f>VLOOKUP($B12,[2]Summary!$B$1:$CZ$600,39,FALSE)</f>
        <v>#N/A</v>
      </c>
      <c r="AD12" t="e">
        <f>VLOOKUP($B12,[2]Summary!$B$1:$CZ$600,40,FALSE)</f>
        <v>#N/A</v>
      </c>
      <c r="AE12" t="e">
        <f>VLOOKUP($B12,[2]Summary!$B$1:$CZ$600,47,FALSE)</f>
        <v>#N/A</v>
      </c>
      <c r="AF12">
        <f>VLOOKUP($B12,'[1]CALC GDP Growth rates WDI'!$B$1:$CZ$600,27,FALSE)</f>
        <v>6.6469747295788419</v>
      </c>
      <c r="AG12">
        <f>VLOOKUP($B12,'[1]CALC GDP Growth rates WDI'!$B$1:$CZ$600,29,FALSE)</f>
        <v>14.587801347025398</v>
      </c>
      <c r="AH12">
        <f>VLOOKUP($B12,'[1]CALC GDP Growth rates WDI'!$B$1:$CZ$600,28,FALSE)</f>
        <v>1.1893801836429432</v>
      </c>
      <c r="AI12">
        <f>VLOOKUP($B12,'[1]CALC GDP Growth rates WDI'!$B$1:$CZ$600,30,FALSE)</f>
        <v>7.8456198097730523</v>
      </c>
      <c r="AJ12" s="45"/>
      <c r="AK12" t="e">
        <f>VLOOKUP($B12,[1]Data_Aspire!$B$1:$CZ$600,2,FALSE)</f>
        <v>#N/A</v>
      </c>
      <c r="AL12" t="e">
        <f>VLOOKUP($B12,[1]Data_Aspire!$B$1:$CZ$600,3,FALSE)</f>
        <v>#N/A</v>
      </c>
      <c r="AM12" t="e">
        <f>VLOOKUP($B12,[1]Data_Aspire!$B$1:$CZ$600,4,FALSE)</f>
        <v>#N/A</v>
      </c>
      <c r="AN12" t="e">
        <f>VLOOKUP($B12,[1]Data_Aspire!$B$1:$CZ$600,5,FALSE)</f>
        <v>#N/A</v>
      </c>
      <c r="AO12" t="e">
        <f>VLOOKUP($B12,[1]Data_Aspire!$B$1:$CZ$600,6,FALSE)</f>
        <v>#N/A</v>
      </c>
      <c r="AP12" t="e">
        <f>VLOOKUP($B12,[1]Data_Aspire!$B$1:$CZ$600,7,FALSE)</f>
        <v>#N/A</v>
      </c>
      <c r="AQ12" t="e">
        <f>VLOOKUP($B12,[1]Data_Aspire!$B$1:$CZ$600,8,FALSE)</f>
        <v>#N/A</v>
      </c>
      <c r="AR12" t="e">
        <f>VLOOKUP($B12,[1]Data_Aspire!$B$1:$CZ$600,9,FALSE)</f>
        <v>#N/A</v>
      </c>
      <c r="AS12" t="e">
        <f>VLOOKUP($B12,[1]Data_Aspire!$B$1:$CZ$600,10,FALSE)</f>
        <v>#N/A</v>
      </c>
      <c r="AT12" t="e">
        <f>VLOOKUP($B12,[1]Data_Aspire!$B$1:$CZ$600,11,FALSE)</f>
        <v>#N/A</v>
      </c>
      <c r="AU12" t="e">
        <f>VLOOKUP($B12,[1]Data_Aspire!$B$1:$CZ$600,12,FALSE)</f>
        <v>#N/A</v>
      </c>
      <c r="AV12" t="e">
        <f>VLOOKUP($B12,[1]Data_Aspire!$B$1:$CZ$600,13,FALSE)</f>
        <v>#N/A</v>
      </c>
      <c r="AW12" t="e">
        <f>VLOOKUP($B12,[1]Data_Aspire!$B$1:$CZ$600,14,FALSE)</f>
        <v>#N/A</v>
      </c>
      <c r="AX12" t="e">
        <f>VLOOKUP($B12,[1]Data_Aspire!$B$1:$CZ$600,15,FALSE)</f>
        <v>#N/A</v>
      </c>
      <c r="AY12" t="e">
        <f>VLOOKUP($B12,[1]Data_Aspire!$B$1:$CZ$600,16,FALSE)</f>
        <v>#N/A</v>
      </c>
      <c r="AZ12" t="e">
        <f>VLOOKUP($B12,[1]Data_Aspire!$B$1:$CZ$600,17,FALSE)</f>
        <v>#N/A</v>
      </c>
      <c r="BA12" t="e">
        <f>VLOOKUP($B12,[1]Data_Aspire!$B$1:$CZ$600,18,FALSE)</f>
        <v>#N/A</v>
      </c>
      <c r="BB12" t="e">
        <f>VLOOKUP($B12,[1]Data_Aspire!$B$1:$CZ$600,19,FALSE)</f>
        <v>#N/A</v>
      </c>
      <c r="BC12" t="e">
        <f>VLOOKUP($B12,[1]Data_Aspire!$B$1:$CZ$600,20,FALSE)</f>
        <v>#N/A</v>
      </c>
      <c r="BD12" t="e">
        <f>VLOOKUP($B12,[1]Data_Aspire!$B$1:$CZ$600,21,FALSE)</f>
        <v>#N/A</v>
      </c>
      <c r="BE12" t="e">
        <f>VLOOKUP($B12,[1]Data_Aspire!$B$1:$CZ$600,22,FALSE)</f>
        <v>#N/A</v>
      </c>
      <c r="BF12" t="e">
        <f>VLOOKUP($B12,[1]Data_Aspire!$B$1:$CZ$600,23,FALSE)</f>
        <v>#N/A</v>
      </c>
      <c r="BG12" t="e">
        <f>VLOOKUP($B12,[1]Data_Aspire!$B$1:$CZ$600,24,FALSE)</f>
        <v>#N/A</v>
      </c>
      <c r="BH12" t="e">
        <f>VLOOKUP($B12,[1]Data_Aspire!$B$1:$CZ$600,25,FALSE)</f>
        <v>#N/A</v>
      </c>
      <c r="BI12" t="e">
        <f>VLOOKUP($B12,[1]Data_Aspire!$B$1:$CZ$600,26,FALSE)</f>
        <v>#N/A</v>
      </c>
      <c r="BJ12" s="7">
        <v>0</v>
      </c>
      <c r="BK12">
        <v>40</v>
      </c>
      <c r="BL12">
        <f>VLOOKUP($B12,'[1]Data_UN_PopulationTot.&amp;%'!$B$4:$CZ$603,8,FALSE)</f>
        <v>9006.4</v>
      </c>
      <c r="BM12">
        <f>VLOOKUP($B12,'[1]Data_UN_PopulationTot.&amp;%'!$B$4:$CZ$603,9,FALSE)</f>
        <v>9043.07</v>
      </c>
      <c r="BN12">
        <v>9066.7099999999991</v>
      </c>
      <c r="BO12">
        <f>VLOOKUP($B12,'[1]Data_UN_PopulationTot.&amp;%'!$B$4:$CZ$603,11,FALSE)</f>
        <v>9081.18</v>
      </c>
      <c r="BP12">
        <f>VLOOKUP($B12,'[1]Data_UN_PopulationTot.&amp;%'!$B$4:$CZ$603,12,FALSE)</f>
        <v>9092.31</v>
      </c>
      <c r="BQ12">
        <f>VLOOKUP($B12,'[1]Data_UN_PopulationTot.&amp;%'!$B$4:$CZ$603,13,FALSE)</f>
        <v>9104.43</v>
      </c>
      <c r="BR12">
        <f>VLOOKUP($B12,'[1]Data_UN_PopulationTot.&amp;%'!$B$4:$CZ$603,14,FALSE)</f>
        <v>9118.66</v>
      </c>
      <c r="BS12">
        <f>VLOOKUP($B12,'[1]Data_UN_PopulationTot.&amp;%'!$B$4:$CZ$603,15,FALSE)</f>
        <v>9133.7999999999993</v>
      </c>
      <c r="BT12">
        <f>VLOOKUP($B12,'[1]Data_UN_PopulationTot.&amp;%'!$B$4:$CZ$603,16,FALSE)</f>
        <v>9149.23</v>
      </c>
      <c r="BU12">
        <f>VLOOKUP($B12,'[1]Data_UN_PopulationTot.&amp;%'!$B$4:$CZ$603,17,FALSE)</f>
        <v>9163.51</v>
      </c>
      <c r="BV12">
        <f>VLOOKUP($B12,'[1]Data_UN_PopulationTot.&amp;%'!$B$4:$CZ$603,18,FALSE)</f>
        <v>9175.69</v>
      </c>
      <c r="BW12">
        <f>VLOOKUP($B12,'[1]Data_UN_PopulationTot.&amp;%'!$B$4:$CZ$603,61,FALSE)</f>
        <v>4.9760836738319423</v>
      </c>
      <c r="BX12">
        <f>VLOOKUP($B12,'[1]Data_UN_PopulationTot.&amp;%'!$B$4:$CZ$603,62,FALSE)</f>
        <v>4.7301474507017236</v>
      </c>
      <c r="BY12">
        <f>VLOOKUP($B12,'[1]Data_UN_PopulationTot.&amp;%'!$B$4:$CZ$603,63,FALSE)</f>
        <v>4.7059646473618768</v>
      </c>
      <c r="BZ12">
        <f>VLOOKUP($B12,'[1]Data_UN_PopulationTot.&amp;%'!$B$4:$CZ$603,64,FALSE)</f>
        <v>5.0227615917569732</v>
      </c>
      <c r="CA12">
        <f>VLOOKUP($B12,'[1]Data_UN_PopulationTot.&amp;%'!$B$4:$CZ$603,65,FALSE)</f>
        <v>5.6488830165215855</v>
      </c>
      <c r="CB12">
        <f>VLOOKUP($B12,'[1]Data_UN_PopulationTot.&amp;%'!$B$4:$CZ$603,66,FALSE)</f>
        <v>6.7353881684135724</v>
      </c>
      <c r="CC12">
        <f>VLOOKUP($B12,'[1]Data_UN_PopulationTot.&amp;%'!$B$4:$CZ$603,67,FALSE)</f>
        <v>6.8881462071415891</v>
      </c>
      <c r="CD12">
        <f>VLOOKUP($B12,'[1]Data_UN_PopulationTot.&amp;%'!$B$4:$CZ$603,68,FALSE)</f>
        <v>6.9177695860721267</v>
      </c>
      <c r="CE12">
        <f>VLOOKUP($B12,'[1]Data_UN_PopulationTot.&amp;%'!$B$4:$CZ$603,69,FALSE)</f>
        <v>6.2809113519275179</v>
      </c>
      <c r="CF12">
        <f>VLOOKUP($B12,'[1]Data_UN_PopulationTot.&amp;%'!$B$4:$CZ$603,70,FALSE)</f>
        <v>6.8016188488186176</v>
      </c>
      <c r="CG12">
        <f>VLOOKUP($B12,'[1]Data_UN_PopulationTot.&amp;%'!$B$4:$CZ$603,71,FALSE)</f>
        <v>7.9215113696926629</v>
      </c>
      <c r="CH12">
        <f>VLOOKUP($B12,'[1]Data_UN_PopulationTot.&amp;%'!$B$4:$CZ$603,72,FALSE)</f>
        <v>7.7007128264345361</v>
      </c>
      <c r="CI12">
        <f>VLOOKUP($B12,'[1]Data_UN_PopulationTot.&amp;%'!$B$4:$CZ$603,73,FALSE)</f>
        <v>6.4661018831053481</v>
      </c>
      <c r="CJ12">
        <f>VLOOKUP($B12,'[1]Data_UN_PopulationTot.&amp;%'!$B$4:$CZ$603,74,FALSE)</f>
        <v>5.0070727482678983</v>
      </c>
      <c r="CK12">
        <f>VLOOKUP($B12,'[1]Data_UN_PopulationTot.&amp;%'!$B$4:$CZ$603,75,FALSE)</f>
        <v>4.522206430982413</v>
      </c>
      <c r="CL12">
        <f>VLOOKUP($B12,'[1]Data_UN_PopulationTot.&amp;%'!$B$4:$CZ$603,76,FALSE)</f>
        <v>4.2541859122401844</v>
      </c>
      <c r="CM12">
        <f>VLOOKUP($B12,'[1]Data_UN_PopulationTot.&amp;%'!$B$4:$CZ$603,77,FALSE)</f>
        <v>2.8893675608456211</v>
      </c>
      <c r="CN12">
        <f>VLOOKUP($B12,'[1]Data_UN_PopulationTot.&amp;%'!$B$4:$CZ$603,78,FALSE)</f>
        <v>1.5819084206786287</v>
      </c>
      <c r="CO12">
        <f>VLOOKUP($B12,'[1]Data_UN_PopulationTot.&amp;%'!$B$4:$CZ$603,79,FALSE)</f>
        <v>0.74734633149760166</v>
      </c>
      <c r="CP12">
        <f>VLOOKUP($B12,'[1]Data_UN_PopulationTot.&amp;%'!$B$4:$CZ$603,80,FALSE)</f>
        <v>0.18908775981524251</v>
      </c>
      <c r="CQ12">
        <f>VLOOKUP($B12,'[1]Data_UN_PopulationTot.&amp;%'!$B$4:$CZ$603,81,FALSE)</f>
        <v>1.2824213892343223E-2</v>
      </c>
      <c r="CR12">
        <f>VLOOKUP($B12,'[1]Data_UN_PopulationTot.&amp;%'!$B$4:$CZ$603,82,FALSE)</f>
        <v>4.785525666189681</v>
      </c>
      <c r="CS12">
        <f>VLOOKUP($B12,'[1]Data_UN_PopulationTot.&amp;%'!$B$4:$CZ$603,83,FALSE)</f>
        <v>4.974426991321633</v>
      </c>
      <c r="CT12">
        <f>VLOOKUP($B12,'[1]Data_UN_PopulationTot.&amp;%'!$B$4:$CZ$603,84,FALSE)</f>
        <v>4.9550714987101783</v>
      </c>
      <c r="CU12">
        <f>VLOOKUP($B12,'[1]Data_UN_PopulationTot.&amp;%'!$B$4:$CZ$603,85,FALSE)</f>
        <v>4.7353278064101989</v>
      </c>
      <c r="CV12">
        <f>VLOOKUP($B12,'[1]Data_UN_PopulationTot.&amp;%'!$B$4:$CZ$603,86,FALSE)</f>
        <v>4.844790963949305</v>
      </c>
      <c r="CW12">
        <f>VLOOKUP($B12,'[1]Data_UN_PopulationTot.&amp;%'!$B$4:$CZ$603,87,FALSE)</f>
        <v>5.2844418239936175</v>
      </c>
      <c r="CX12">
        <f>VLOOKUP($B12,'[1]Data_UN_PopulationTot.&amp;%'!$B$4:$CZ$603,88,FALSE)</f>
        <v>5.9043189122561888</v>
      </c>
      <c r="CY12">
        <f>VLOOKUP($B12,'[1]Data_UN_PopulationTot.&amp;%'!$B$4:$CZ$603,89,FALSE)</f>
        <v>6.8811718791720295</v>
      </c>
      <c r="CZ12">
        <f>VLOOKUP($B12,'[1]Data_UN_PopulationTot.&amp;%'!$B$4:$CZ$603,90,FALSE)</f>
        <v>6.9263237969024676</v>
      </c>
      <c r="DA12">
        <f>VLOOKUP($B12,'[1]Data_UN_PopulationTot.&amp;%'!$B$4:$CZ$603,91,FALSE)</f>
        <v>6.8581109431552285</v>
      </c>
      <c r="DB12">
        <f>VLOOKUP($B12,'[1]Data_UN_PopulationTot.&amp;%'!$B$4:$CZ$603,92,FALSE)</f>
        <v>6.1481152916020481</v>
      </c>
      <c r="DC12">
        <f>VLOOKUP($B12,'[1]Data_UN_PopulationTot.&amp;%'!$B$4:$CZ$603,93,FALSE)</f>
        <v>6.5448919917739161</v>
      </c>
      <c r="DD12">
        <f>VLOOKUP($B12,'[1]Data_UN_PopulationTot.&amp;%'!$B$4:$CZ$603,94,FALSE)</f>
        <v>7.4627957134558818</v>
      </c>
      <c r="DE12">
        <f>VLOOKUP($B12,'[1]Data_UN_PopulationTot.&amp;%'!$B$4:$CZ$603,95,FALSE)</f>
        <v>7.059676166043098</v>
      </c>
      <c r="DF12">
        <f>VLOOKUP($B12,'[1]Data_UN_PopulationTot.&amp;%'!$B$4:$CZ$603,96,FALSE)</f>
        <v>5.7084535331947777</v>
      </c>
      <c r="DG12">
        <f>VLOOKUP($B12,'[1]Data_UN_PopulationTot.&amp;%'!$B$4:$CZ$603,97,FALSE)</f>
        <v>4.1542052968223642</v>
      </c>
      <c r="DH12">
        <f>VLOOKUP($B12,'[1]Data_UN_PopulationTot.&amp;%'!$B$4:$CZ$603,98,FALSE)</f>
        <v>3.2919486163983311</v>
      </c>
      <c r="DI12">
        <f>VLOOKUP($B12,'[1]Data_UN_PopulationTot.&amp;%'!$B$4:$CZ$603,99,FALSE)</f>
        <v>2.3317374497176777</v>
      </c>
      <c r="DJ12">
        <f>VLOOKUP($B12,'[1]Data_UN_PopulationTot.&amp;%'!$B$4:$DE$603,100,FALSE)</f>
        <v>0.91924422032566477</v>
      </c>
      <c r="DK12">
        <f>VLOOKUP($B12,'[1]Data_UN_PopulationTot.&amp;%'!$B$4:$DE$603,101,FALSE)</f>
        <v>0.20302560352409466</v>
      </c>
      <c r="DL12">
        <f>VLOOKUP($B12,'[1]Data_UN_PopulationTot.&amp;%'!$B$4:$DE$603,102,FALSE)</f>
        <v>2.638493671865549E-2</v>
      </c>
    </row>
    <row r="13" spans="1:116">
      <c r="A13" t="s">
        <v>182</v>
      </c>
      <c r="B13" t="s">
        <v>397</v>
      </c>
      <c r="C13" t="s">
        <v>485</v>
      </c>
      <c r="D13" t="s">
        <v>389</v>
      </c>
      <c r="E13" t="s">
        <v>301</v>
      </c>
      <c r="F13">
        <v>0</v>
      </c>
      <c r="G13">
        <v>0</v>
      </c>
      <c r="H13">
        <v>1</v>
      </c>
      <c r="I13">
        <v>0</v>
      </c>
      <c r="J13" s="18">
        <f t="shared" si="1"/>
        <v>24.479186312</v>
      </c>
      <c r="K13">
        <f>VLOOKUP($B13,'[1]Source GDP Current USD'!$B$1:$CZ$600,64,FALSE)</f>
        <v>42607176470.588203</v>
      </c>
      <c r="L13" s="45">
        <f>VLOOKUP($B13,'[1]Source GDP Current USD'!$B$1:$CZ$600,65,FALSE)</f>
        <v>42607176470.588203</v>
      </c>
      <c r="M13" s="17">
        <f>VLOOKUP($B13,'[1]Source GDP Current LCU'!$B$1:$CZ$600,64,FALSE)</f>
        <v>72432200000</v>
      </c>
      <c r="N13" s="45">
        <f>VLOOKUP($B13,'[1]Source GDP Current LCU'!$B$1:$CZ$600,65,FALSE)</f>
        <v>72432200000</v>
      </c>
      <c r="O13" s="45">
        <f>VLOOKUP($B13,'[1]Source GNI Current USD'!$B$1:$CZ$600,64,FALSE)</f>
        <v>42356235294.117599</v>
      </c>
      <c r="P13" s="45">
        <f>VLOOKUP($B13,'[1]Source GNI Current LCU'!$B$1:$CZ$600,64,FALSE)</f>
        <v>72005600000</v>
      </c>
      <c r="Q13">
        <f t="shared" si="0"/>
        <v>100.59245392025065</v>
      </c>
      <c r="R13">
        <f>VLOOKUP($B13,'[1]Source GNI PC Atlas'!$B$1:$CZ$600,64,FALSE)</f>
        <v>4480</v>
      </c>
      <c r="S13">
        <f>VLOOKUP($B13,'[1]Source GNI PC Atlas'!$B$1:$CZ$600,65,FALSE)</f>
        <v>4480</v>
      </c>
      <c r="T13">
        <f>VLOOKUP($B13,[1]Source_PPP_Conversion!$B$1:$CZ$600,65,FALSE)</f>
        <v>0.29153959691235498</v>
      </c>
      <c r="U13">
        <f>VLOOKUP($B13,'[1]Source PopulationTotal'!$B$1:$CZ$600,65,FALSE)</f>
        <v>10093121</v>
      </c>
      <c r="V13">
        <f>VLOOKUP($B13,'[1]Source Gov. Revenue WEO'!$B$1:$CZ$600,4,FALSE)</f>
        <v>33.795999999999999</v>
      </c>
      <c r="W13">
        <f>VLOOKUP($B13,'[1]Source Gov. Revenue WEO'!$B$1:$CZ$600,5,FALSE)</f>
        <v>34.341000000000001</v>
      </c>
      <c r="X13">
        <f>VLOOKUP($B13,'[1]Source Gov. Revenue WEO'!$B$1:$CZ$600,6,FALSE)</f>
        <v>35.896999999999998</v>
      </c>
      <c r="Y13">
        <f>VLOOKUP($B13,'[1]Source Gov. Revenue WEO'!$B$1:$CZ$600,7,FALSE)</f>
        <v>34.290999999999997</v>
      </c>
      <c r="Z13">
        <f>VLOOKUP($B13,'[1]Source Gov. Revenue WEO'!$B$1:$CZ$600,8,FALSE)</f>
        <v>32.08</v>
      </c>
      <c r="AA13">
        <f>VLOOKUP($B13,'[1]Source Gov. Revenue WEO'!$B$1:$CZ$600,9,FALSE)</f>
        <v>30.794</v>
      </c>
      <c r="AB13">
        <f>VLOOKUP($B13,'[1]Source Gov. Revenue WEO'!$B$1:$CZ$600,10,FALSE)</f>
        <v>29.988</v>
      </c>
      <c r="AC13">
        <f>VLOOKUP($B13,[2]Summary!$B$1:$CZ$600,39,FALSE)</f>
        <v>9.999999999999999E-14</v>
      </c>
      <c r="AD13">
        <f>VLOOKUP($B13,[2]Summary!$B$1:$CZ$600,40,FALSE)</f>
        <v>9.999999999999999E-14</v>
      </c>
      <c r="AE13">
        <f>VLOOKUP($B13,[2]Summary!$B$1:$CZ$600,47,FALSE)</f>
        <v>0.41573427127022489</v>
      </c>
      <c r="AF13">
        <f>VLOOKUP($B13,'[1]CALC GDP Growth rates WDI'!$B$1:$CZ$600,27,FALSE)</f>
        <v>8.6590056657605121</v>
      </c>
      <c r="AG13">
        <f>VLOOKUP($B13,'[1]CALC GDP Growth rates WDI'!$B$1:$CZ$600,29,FALSE)</f>
        <v>16.331994299095175</v>
      </c>
      <c r="AH13">
        <f>VLOOKUP($B13,'[1]CALC GDP Growth rates WDI'!$B$1:$CZ$600,28,FALSE)</f>
        <v>-3.3296381985250338</v>
      </c>
      <c r="AI13">
        <f>VLOOKUP($B13,'[1]CALC GDP Growth rates WDI'!$B$1:$CZ$600,30,FALSE)</f>
        <v>-0.3997624193491589</v>
      </c>
      <c r="AJ13" s="45"/>
      <c r="AK13">
        <f>VLOOKUP($B13,[1]Data_Aspire!$B$1:$CZ$600,2,FALSE)</f>
        <v>2014</v>
      </c>
      <c r="AL13">
        <f>VLOOKUP($B13,[1]Data_Aspire!$B$1:$CZ$600,3,FALSE)</f>
        <v>0.84</v>
      </c>
      <c r="AM13">
        <f>VLOOKUP($B13,[1]Data_Aspire!$B$1:$CZ$600,4,FALSE)</f>
        <v>0</v>
      </c>
      <c r="AN13">
        <f>VLOOKUP($B13,[1]Data_Aspire!$B$1:$CZ$600,5,FALSE)</f>
        <v>0.39</v>
      </c>
      <c r="AO13">
        <f>VLOOKUP($B13,[1]Data_Aspire!$B$1:$CZ$600,6,FALSE)</f>
        <v>0.45</v>
      </c>
      <c r="AP13">
        <f>VLOOKUP($B13,[1]Data_Aspire!$B$1:$CZ$600,7,FALSE)</f>
        <v>0</v>
      </c>
      <c r="AU13">
        <f>VLOOKUP($B13,[1]Data_Aspire!$B$1:$CZ$600,12,FALSE)</f>
        <v>0.84</v>
      </c>
      <c r="AX13">
        <f>VLOOKUP($B13,[1]Data_Aspire!$B$1:$CZ$600,15,FALSE)</f>
        <v>2600283</v>
      </c>
      <c r="AY13">
        <f>VLOOKUP($B13,[1]Data_Aspire!$B$1:$CZ$600,16,FALSE)</f>
        <v>2014</v>
      </c>
      <c r="BF13">
        <f>VLOOKUP($B13,[1]Data_Aspire!$B$1:$CZ$600,23,FALSE)</f>
        <v>1605</v>
      </c>
      <c r="BG13">
        <f>VLOOKUP($B13,[1]Data_Aspire!$B$1:$CZ$600,24,FALSE)</f>
        <v>2014</v>
      </c>
      <c r="BJ13" s="7">
        <v>0</v>
      </c>
      <c r="BK13">
        <v>31</v>
      </c>
      <c r="BL13">
        <f>VLOOKUP($B13,'[1]Data_UN_PopulationTot.&amp;%'!$B$4:$CZ$603,8,FALSE)</f>
        <v>10139.200000000001</v>
      </c>
      <c r="BM13">
        <f>VLOOKUP($B13,'[1]Data_UN_PopulationTot.&amp;%'!$B$4:$CZ$603,9,FALSE)</f>
        <v>10223.299999999999</v>
      </c>
      <c r="BN13">
        <v>10300.200000000001</v>
      </c>
      <c r="BO13">
        <f>VLOOKUP($B13,'[1]Data_UN_PopulationTot.&amp;%'!$B$4:$CZ$603,11,FALSE)</f>
        <v>10370.5</v>
      </c>
      <c r="BP13">
        <f>VLOOKUP($B13,'[1]Data_UN_PopulationTot.&amp;%'!$B$4:$CZ$603,12,FALSE)</f>
        <v>10435.299999999999</v>
      </c>
      <c r="BQ13">
        <f>VLOOKUP($B13,'[1]Data_UN_PopulationTot.&amp;%'!$B$4:$CZ$603,13,FALSE)</f>
        <v>10495.7</v>
      </c>
      <c r="BR13">
        <f>VLOOKUP($B13,'[1]Data_UN_PopulationTot.&amp;%'!$B$4:$CZ$603,14,FALSE)</f>
        <v>10551.7</v>
      </c>
      <c r="BS13">
        <f>VLOOKUP($B13,'[1]Data_UN_PopulationTot.&amp;%'!$B$4:$CZ$603,15,FALSE)</f>
        <v>10603.4</v>
      </c>
      <c r="BT13">
        <f>VLOOKUP($B13,'[1]Data_UN_PopulationTot.&amp;%'!$B$4:$CZ$603,16,FALSE)</f>
        <v>10651.4</v>
      </c>
      <c r="BU13">
        <f>VLOOKUP($B13,'[1]Data_UN_PopulationTot.&amp;%'!$B$4:$CZ$603,17,FALSE)</f>
        <v>10696.7</v>
      </c>
      <c r="BV13">
        <f>VLOOKUP($B13,'[1]Data_UN_PopulationTot.&amp;%'!$B$4:$CZ$603,18,FALSE)</f>
        <v>10739.7</v>
      </c>
      <c r="BW13">
        <f>VLOOKUP($B13,'[1]Data_UN_PopulationTot.&amp;%'!$B$4:$CZ$603,61,FALSE)</f>
        <v>8.1406619851664814</v>
      </c>
      <c r="BX13">
        <f>VLOOKUP($B13,'[1]Data_UN_PopulationTot.&amp;%'!$B$4:$CZ$603,62,FALSE)</f>
        <v>8.4882436484140751</v>
      </c>
      <c r="BY13">
        <f>VLOOKUP($B13,'[1]Data_UN_PopulationTot.&amp;%'!$B$4:$CZ$603,63,FALSE)</f>
        <v>6.8863519804323818</v>
      </c>
      <c r="BZ13">
        <f>VLOOKUP($B13,'[1]Data_UN_PopulationTot.&amp;%'!$B$4:$CZ$603,64,FALSE)</f>
        <v>6.2848844090263523</v>
      </c>
      <c r="CA13">
        <f>VLOOKUP($B13,'[1]Data_UN_PopulationTot.&amp;%'!$B$4:$CZ$603,65,FALSE)</f>
        <v>7.0925418178949027</v>
      </c>
      <c r="CB13">
        <f>VLOOKUP($B13,'[1]Data_UN_PopulationTot.&amp;%'!$B$4:$CZ$603,66,FALSE)</f>
        <v>8.7764123402240788</v>
      </c>
      <c r="CC13">
        <f>VLOOKUP($B13,'[1]Data_UN_PopulationTot.&amp;%'!$B$4:$CZ$603,67,FALSE)</f>
        <v>9.2830400820577559</v>
      </c>
      <c r="CD13">
        <f>VLOOKUP($B13,'[1]Data_UN_PopulationTot.&amp;%'!$B$4:$CZ$603,68,FALSE)</f>
        <v>8.1413326495187004</v>
      </c>
      <c r="CE13">
        <f>VLOOKUP($B13,'[1]Data_UN_PopulationTot.&amp;%'!$B$4:$CZ$603,69,FALSE)</f>
        <v>6.5508620009468208</v>
      </c>
      <c r="CF13">
        <f>VLOOKUP($B13,'[1]Data_UN_PopulationTot.&amp;%'!$B$4:$CZ$603,70,FALSE)</f>
        <v>6.0813279154173898</v>
      </c>
      <c r="CG13">
        <f>VLOOKUP($B13,'[1]Data_UN_PopulationTot.&amp;%'!$B$4:$CZ$603,71,FALSE)</f>
        <v>6.1982109042133491</v>
      </c>
      <c r="CH13">
        <f>VLOOKUP($B13,'[1]Data_UN_PopulationTot.&amp;%'!$B$4:$CZ$603,72,FALSE)</f>
        <v>6.4366715322707897</v>
      </c>
      <c r="CI13">
        <f>VLOOKUP($B13,'[1]Data_UN_PopulationTot.&amp;%'!$B$4:$CZ$603,73,FALSE)</f>
        <v>4.8976842354426386</v>
      </c>
      <c r="CJ13">
        <f>VLOOKUP($B13,'[1]Data_UN_PopulationTot.&amp;%'!$B$4:$CZ$603,74,FALSE)</f>
        <v>3.0349731734259109</v>
      </c>
      <c r="CK13">
        <f>VLOOKUP($B13,'[1]Data_UN_PopulationTot.&amp;%'!$B$4:$CZ$603,75,FALSE)</f>
        <v>1.499516727157961</v>
      </c>
      <c r="CL13">
        <f>VLOOKUP($B13,'[1]Data_UN_PopulationTot.&amp;%'!$B$4:$CZ$603,76,FALSE)</f>
        <v>0.8947747356793434</v>
      </c>
      <c r="CM13">
        <f>VLOOKUP($B13,'[1]Data_UN_PopulationTot.&amp;%'!$B$4:$CZ$603,77,FALSE)</f>
        <v>0.86591644311188254</v>
      </c>
      <c r="CN13">
        <f>VLOOKUP($B13,'[1]Data_UN_PopulationTot.&amp;%'!$B$4:$CZ$603,78,FALSE)</f>
        <v>0.34642772605333755</v>
      </c>
      <c r="CO13">
        <f>VLOOKUP($B13,'[1]Data_UN_PopulationTot.&amp;%'!$B$4:$CZ$603,79,FALSE)</f>
        <v>8.6111330282468035E-2</v>
      </c>
      <c r="CP13">
        <f>VLOOKUP($B13,'[1]Data_UN_PopulationTot.&amp;%'!$B$4:$CZ$603,80,FALSE)</f>
        <v>1.2742622692125611E-2</v>
      </c>
      <c r="CQ13">
        <f>VLOOKUP($B13,'[1]Data_UN_PopulationTot.&amp;%'!$B$4:$CZ$603,81,FALSE)</f>
        <v>1.0651727946978066E-3</v>
      </c>
      <c r="CR13">
        <f>VLOOKUP($B13,'[1]Data_UN_PopulationTot.&amp;%'!$B$4:$CZ$603,82,FALSE)</f>
        <v>5.9352123429890957</v>
      </c>
      <c r="CS13">
        <f>VLOOKUP($B13,'[1]Data_UN_PopulationTot.&amp;%'!$B$4:$CZ$603,83,FALSE)</f>
        <v>6.5418587111371824</v>
      </c>
      <c r="CT13">
        <f>VLOOKUP($B13,'[1]Data_UN_PopulationTot.&amp;%'!$B$4:$CZ$603,84,FALSE)</f>
        <v>7.6478579476149235</v>
      </c>
      <c r="CU13">
        <f>VLOOKUP($B13,'[1]Data_UN_PopulationTot.&amp;%'!$B$4:$CZ$603,85,FALSE)</f>
        <v>7.9835470264532526</v>
      </c>
      <c r="CV13">
        <f>VLOOKUP($B13,'[1]Data_UN_PopulationTot.&amp;%'!$B$4:$CZ$603,86,FALSE)</f>
        <v>6.4638118383195051</v>
      </c>
      <c r="CW13">
        <f>VLOOKUP($B13,'[1]Data_UN_PopulationTot.&amp;%'!$B$4:$CZ$603,87,FALSE)</f>
        <v>5.8880974328891869</v>
      </c>
      <c r="CX13">
        <f>VLOOKUP($B13,'[1]Data_UN_PopulationTot.&amp;%'!$B$4:$CZ$603,88,FALSE)</f>
        <v>6.6401016788178433</v>
      </c>
      <c r="CY13">
        <f>VLOOKUP($B13,'[1]Data_UN_PopulationTot.&amp;%'!$B$4:$CZ$603,89,FALSE)</f>
        <v>8.2037766418056357</v>
      </c>
      <c r="CZ13">
        <f>VLOOKUP($B13,'[1]Data_UN_PopulationTot.&amp;%'!$B$4:$CZ$603,90,FALSE)</f>
        <v>8.6439286013575796</v>
      </c>
      <c r="DA13">
        <f>VLOOKUP($B13,'[1]Data_UN_PopulationTot.&amp;%'!$B$4:$CZ$603,91,FALSE)</f>
        <v>7.5242418317085207</v>
      </c>
      <c r="DB13">
        <f>VLOOKUP($B13,'[1]Data_UN_PopulationTot.&amp;%'!$B$4:$CZ$603,92,FALSE)</f>
        <v>5.9753624402916277</v>
      </c>
      <c r="DC13">
        <f>VLOOKUP($B13,'[1]Data_UN_PopulationTot.&amp;%'!$B$4:$CZ$603,93,FALSE)</f>
        <v>5.4285222119798497</v>
      </c>
      <c r="DD13">
        <f>VLOOKUP($B13,'[1]Data_UN_PopulationTot.&amp;%'!$B$4:$CZ$603,94,FALSE)</f>
        <v>5.3391342402487965</v>
      </c>
      <c r="DE13">
        <f>VLOOKUP($B13,'[1]Data_UN_PopulationTot.&amp;%'!$B$4:$CZ$603,95,FALSE)</f>
        <v>5.2213376537519665</v>
      </c>
      <c r="DF13">
        <f>VLOOKUP($B13,'[1]Data_UN_PopulationTot.&amp;%'!$B$4:$CZ$603,96,FALSE)</f>
        <v>3.5907241356834914</v>
      </c>
      <c r="DG13">
        <f>VLOOKUP($B13,'[1]Data_UN_PopulationTot.&amp;%'!$B$4:$CZ$603,97,FALSE)</f>
        <v>1.8710764732720653</v>
      </c>
      <c r="DH13">
        <f>VLOOKUP($B13,'[1]Data_UN_PopulationTot.&amp;%'!$B$4:$CZ$603,98,FALSE)</f>
        <v>0.69247744350400842</v>
      </c>
      <c r="DI13">
        <f>VLOOKUP($B13,'[1]Data_UN_PopulationTot.&amp;%'!$B$4:$CZ$603,99,FALSE)</f>
        <v>0.26020279896086485</v>
      </c>
      <c r="DJ13">
        <f>VLOOKUP($B13,'[1]Data_UN_PopulationTot.&amp;%'!$B$4:$DE$603,100,FALSE)</f>
        <v>0.12681918489343277</v>
      </c>
      <c r="DK13">
        <f>VLOOKUP($B13,'[1]Data_UN_PopulationTot.&amp;%'!$B$4:$DE$603,101,FALSE)</f>
        <v>2.0428876039367952E-2</v>
      </c>
      <c r="DL13">
        <f>VLOOKUP($B13,'[1]Data_UN_PopulationTot.&amp;%'!$B$4:$DE$603,102,FALSE)</f>
        <v>1.8156931757870329E-3</v>
      </c>
    </row>
    <row r="14" spans="1:116">
      <c r="A14" t="s">
        <v>93</v>
      </c>
      <c r="B14" t="s">
        <v>305</v>
      </c>
      <c r="C14" t="s">
        <v>496</v>
      </c>
      <c r="D14" t="s">
        <v>306</v>
      </c>
      <c r="E14" t="s">
        <v>299</v>
      </c>
      <c r="F14">
        <v>1</v>
      </c>
      <c r="G14">
        <v>0</v>
      </c>
      <c r="H14">
        <v>0</v>
      </c>
      <c r="I14">
        <v>0</v>
      </c>
      <c r="J14" s="18">
        <f t="shared" si="1"/>
        <v>1415.0117256200001</v>
      </c>
      <c r="K14">
        <f>VLOOKUP($B14,'[1]Source GDP Current USD'!$B$1:$CZ$600,64,FALSE)</f>
        <v>2841786382.19063</v>
      </c>
      <c r="L14" s="45">
        <f>VLOOKUP($B14,'[1]Source GDP Current USD'!$B$1:$CZ$600,65,FALSE)</f>
        <v>2841786382.19063</v>
      </c>
      <c r="M14" s="17">
        <f>VLOOKUP($B14,'[1]Source GDP Current LCU'!$B$1:$CZ$600,64,FALSE)</f>
        <v>6239579000000</v>
      </c>
      <c r="N14" s="45">
        <f>VLOOKUP($B14,'[1]Source GDP Current LCU'!$B$1:$CZ$600,65,FALSE)</f>
        <v>6239579000000</v>
      </c>
      <c r="O14" s="45">
        <f>VLOOKUP($B14,'[1]Source GNI Current USD'!$B$1:$CZ$600,64,FALSE)</f>
        <v>2856330944.1577101</v>
      </c>
      <c r="P14" s="45">
        <f>VLOOKUP($B14,'[1]Source GNI Current LCU'!$B$1:$CZ$600,64,FALSE)</f>
        <v>6271513822400</v>
      </c>
      <c r="Q14">
        <f t="shared" si="0"/>
        <v>99.490795630778365</v>
      </c>
      <c r="R14">
        <f>VLOOKUP($B14,'[1]Source GNI PC Atlas'!$B$1:$CZ$600,64,FALSE)</f>
        <v>230</v>
      </c>
      <c r="S14">
        <f>VLOOKUP($B14,'[1]Source GNI PC Atlas'!$B$1:$CZ$600,65,FALSE)</f>
        <v>230</v>
      </c>
      <c r="T14">
        <f>VLOOKUP($B14,[1]Source_PPP_Conversion!$B$1:$CZ$600,65,FALSE)</f>
        <v>0.30990938455107497</v>
      </c>
      <c r="U14">
        <f>VLOOKUP($B14,'[1]Source PopulationTotal'!$B$1:$CZ$600,65,FALSE)</f>
        <v>11890781</v>
      </c>
      <c r="V14">
        <f>VLOOKUP($B14,'[1]Source Gov. Revenue WEO'!$B$1:$CZ$600,4,FALSE)</f>
        <v>22.678000000000001</v>
      </c>
      <c r="W14">
        <f>VLOOKUP($B14,'[1]Source Gov. Revenue WEO'!$B$1:$CZ$600,5,FALSE)</f>
        <v>25.167999999999999</v>
      </c>
      <c r="X14">
        <f>VLOOKUP($B14,'[1]Source Gov. Revenue WEO'!$B$1:$CZ$600,6,FALSE)</f>
        <v>25.143999999999998</v>
      </c>
      <c r="Y14">
        <f>VLOOKUP($B14,'[1]Source Gov. Revenue WEO'!$B$1:$CZ$600,7,FALSE)</f>
        <v>25.213000000000001</v>
      </c>
      <c r="Z14">
        <f>VLOOKUP($B14,'[1]Source Gov. Revenue WEO'!$B$1:$CZ$600,8,FALSE)</f>
        <v>25.279</v>
      </c>
      <c r="AA14">
        <f>VLOOKUP($B14,'[1]Source Gov. Revenue WEO'!$B$1:$CZ$600,9,FALSE)</f>
        <v>25.318999999999999</v>
      </c>
      <c r="AB14">
        <f>VLOOKUP($B14,'[1]Source Gov. Revenue WEO'!$B$1:$CZ$600,10,FALSE)</f>
        <v>25.37</v>
      </c>
      <c r="AC14">
        <f>VLOOKUP($B14,[2]Summary!$B$1:$CZ$600,39,FALSE)</f>
        <v>0.7818653000000001</v>
      </c>
      <c r="AD14">
        <f>VLOOKUP($B14,[2]Summary!$B$1:$CZ$600,40,FALSE)</f>
        <v>0.81224999999999992</v>
      </c>
      <c r="AE14">
        <f>VLOOKUP($B14,[2]Summary!$B$1:$CZ$600,47,FALSE)</f>
        <v>0.17399999999999999</v>
      </c>
      <c r="AF14">
        <f>VLOOKUP($B14,'[1]CALC GDP Growth rates WDI'!$B$1:$CZ$600,27,FALSE)</f>
        <v>18.415436446354192</v>
      </c>
      <c r="AG14">
        <f>VLOOKUP($B14,'[1]CALC GDP Growth rates WDI'!$B$1:$CZ$600,29,FALSE)</f>
        <v>21.909931944981075</v>
      </c>
      <c r="AH14">
        <f>VLOOKUP($B14,'[1]CALC GDP Growth rates WDI'!$B$1:$CZ$600,28,FALSE)</f>
        <v>3.6830971119620992</v>
      </c>
      <c r="AI14">
        <f>VLOOKUP($B14,'[1]CALC GDP Growth rates WDI'!$B$1:$CZ$600,30,FALSE)</f>
        <v>-2.4202835409958046</v>
      </c>
      <c r="AJ14" t="s">
        <v>2464</v>
      </c>
      <c r="AK14">
        <f>VLOOKUP($B14,[1]Data_Aspire!$B$1:$CZ$600,2,FALSE)</f>
        <v>2015</v>
      </c>
      <c r="AL14">
        <f>VLOOKUP($B14,[1]Data_Aspire!$B$1:$CZ$600,3,FALSE)</f>
        <v>2.4500000000000002</v>
      </c>
      <c r="AM14">
        <f>VLOOKUP($B14,[1]Data_Aspire!$B$1:$CZ$600,4,FALSE)</f>
        <v>0</v>
      </c>
      <c r="AN14">
        <f>VLOOKUP($B14,[1]Data_Aspire!$B$1:$CZ$600,5,FALSE)</f>
        <v>0.06</v>
      </c>
      <c r="AO14">
        <f>VLOOKUP($B14,[1]Data_Aspire!$B$1:$CZ$600,6,FALSE)</f>
        <v>0.04</v>
      </c>
      <c r="AP14">
        <f>VLOOKUP($B14,[1]Data_Aspire!$B$1:$CZ$600,7,FALSE)</f>
        <v>0.06</v>
      </c>
      <c r="AQ14">
        <f>VLOOKUP($B14,[1]Data_Aspire!$B$1:$CZ$600,8,FALSE)</f>
        <v>1.07</v>
      </c>
      <c r="AR14">
        <f>VLOOKUP($B14,[1]Data_Aspire!$B$1:$CZ$600,9,FALSE)</f>
        <v>0.71</v>
      </c>
      <c r="AS14">
        <f>VLOOKUP($B14,[1]Data_Aspire!$B$1:$CZ$600,10,FALSE)</f>
        <v>0.21</v>
      </c>
      <c r="AT14">
        <f>VLOOKUP($B14,[1]Data_Aspire!$B$1:$CZ$600,11,FALSE)</f>
        <v>0.3</v>
      </c>
      <c r="AU14">
        <f>VLOOKUP($B14,[1]Data_Aspire!$B$1:$CZ$600,12,FALSE)</f>
        <v>2.23</v>
      </c>
      <c r="AX14">
        <f>VLOOKUP($B14,[1]Data_Aspire!$B$1:$CZ$600,15,FALSE)</f>
        <v>10000</v>
      </c>
      <c r="AY14">
        <f>VLOOKUP($B14,[1]Data_Aspire!$B$1:$CZ$600,16,FALSE)</f>
        <v>2013</v>
      </c>
      <c r="BB14">
        <f>VLOOKUP($B14,[1]Data_Aspire!$B$1:$CZ$600,19,FALSE)</f>
        <v>111301</v>
      </c>
      <c r="BC14">
        <f>VLOOKUP($B14,[1]Data_Aspire!$B$1:$CZ$600,20,FALSE)</f>
        <v>2013</v>
      </c>
      <c r="BD14">
        <f>VLOOKUP($B14,[1]Data_Aspire!$B$1:$CZ$600,21,FALSE)</f>
        <v>316315</v>
      </c>
      <c r="BE14">
        <f>VLOOKUP($B14,[1]Data_Aspire!$B$1:$CZ$600,22,FALSE)</f>
        <v>2013</v>
      </c>
      <c r="BF14">
        <f>VLOOKUP($B14,[1]Data_Aspire!$B$1:$CZ$600,23,FALSE)</f>
        <v>91480</v>
      </c>
      <c r="BG14">
        <f>VLOOKUP($B14,[1]Data_Aspire!$B$1:$CZ$600,24,FALSE)</f>
        <v>2013</v>
      </c>
      <c r="BH14">
        <f>VLOOKUP($B14,[1]Data_Aspire!$B$1:$CZ$600,25,FALSE)</f>
        <v>7846</v>
      </c>
      <c r="BI14">
        <f>VLOOKUP($B14,[1]Data_Aspire!$B$1:$CZ$600,26,FALSE)</f>
        <v>2015</v>
      </c>
      <c r="BJ14" s="7">
        <v>1</v>
      </c>
      <c r="BK14">
        <v>108</v>
      </c>
      <c r="BL14">
        <f>VLOOKUP($B14,'[1]Data_UN_PopulationTot.&amp;%'!$B$4:$CZ$603,8,FALSE)</f>
        <v>11890.8</v>
      </c>
      <c r="BM14">
        <f>VLOOKUP($B14,'[1]Data_UN_PopulationTot.&amp;%'!$B$4:$CZ$603,9,FALSE)</f>
        <v>12255.4</v>
      </c>
      <c r="BN14">
        <v>12624.8</v>
      </c>
      <c r="BO14">
        <f>VLOOKUP($B14,'[1]Data_UN_PopulationTot.&amp;%'!$B$4:$CZ$603,11,FALSE)</f>
        <v>12999.1</v>
      </c>
      <c r="BP14">
        <f>VLOOKUP($B14,'[1]Data_UN_PopulationTot.&amp;%'!$B$4:$CZ$603,12,FALSE)</f>
        <v>13378.7</v>
      </c>
      <c r="BQ14">
        <f>VLOOKUP($B14,'[1]Data_UN_PopulationTot.&amp;%'!$B$4:$CZ$603,13,FALSE)</f>
        <v>13763.9</v>
      </c>
      <c r="BR14">
        <f>VLOOKUP($B14,'[1]Data_UN_PopulationTot.&amp;%'!$B$4:$CZ$603,14,FALSE)</f>
        <v>14154.6</v>
      </c>
      <c r="BS14">
        <f>VLOOKUP($B14,'[1]Data_UN_PopulationTot.&amp;%'!$B$4:$CZ$603,15,FALSE)</f>
        <v>14550.6</v>
      </c>
      <c r="BT14">
        <f>VLOOKUP($B14,'[1]Data_UN_PopulationTot.&amp;%'!$B$4:$CZ$603,16,FALSE)</f>
        <v>14952.2</v>
      </c>
      <c r="BU14">
        <f>VLOOKUP($B14,'[1]Data_UN_PopulationTot.&amp;%'!$B$4:$CZ$603,17,FALSE)</f>
        <v>15359.5</v>
      </c>
      <c r="BV14">
        <f>VLOOKUP($B14,'[1]Data_UN_PopulationTot.&amp;%'!$B$4:$CZ$603,18,FALSE)</f>
        <v>15772.8</v>
      </c>
      <c r="BW14">
        <f>VLOOKUP($B14,'[1]Data_UN_PopulationTot.&amp;%'!$B$4:$CZ$603,61,FALSE)</f>
        <v>17.272513203485047</v>
      </c>
      <c r="BX14">
        <f>VLOOKUP($B14,'[1]Data_UN_PopulationTot.&amp;%'!$B$4:$CZ$603,62,FALSE)</f>
        <v>15.294261109429138</v>
      </c>
      <c r="BY14">
        <f>VLOOKUP($B14,'[1]Data_UN_PopulationTot.&amp;%'!$B$4:$CZ$603,63,FALSE)</f>
        <v>12.68510108655431</v>
      </c>
      <c r="BZ14">
        <f>VLOOKUP($B14,'[1]Data_UN_PopulationTot.&amp;%'!$B$4:$CZ$603,64,FALSE)</f>
        <v>10.234214686984897</v>
      </c>
      <c r="CA14">
        <f>VLOOKUP($B14,'[1]Data_UN_PopulationTot.&amp;%'!$B$4:$CZ$603,65,FALSE)</f>
        <v>8.7695529316782732</v>
      </c>
      <c r="CB14">
        <f>VLOOKUP($B14,'[1]Data_UN_PopulationTot.&amp;%'!$B$4:$CZ$603,66,FALSE)</f>
        <v>8.2989454031688386</v>
      </c>
      <c r="CC14">
        <f>VLOOKUP($B14,'[1]Data_UN_PopulationTot.&amp;%'!$B$4:$CZ$603,67,FALSE)</f>
        <v>7.3600514683620961</v>
      </c>
      <c r="CD14">
        <f>VLOOKUP($B14,'[1]Data_UN_PopulationTot.&amp;%'!$B$4:$CZ$603,68,FALSE)</f>
        <v>5.5873280182998624</v>
      </c>
      <c r="CE14">
        <f>VLOOKUP($B14,'[1]Data_UN_PopulationTot.&amp;%'!$B$4:$CZ$603,69,FALSE)</f>
        <v>3.7567278904699428</v>
      </c>
      <c r="CF14">
        <f>VLOOKUP($B14,'[1]Data_UN_PopulationTot.&amp;%'!$B$4:$CZ$603,70,FALSE)</f>
        <v>2.5307548693107278</v>
      </c>
      <c r="CG14">
        <f>VLOOKUP($B14,'[1]Data_UN_PopulationTot.&amp;%'!$B$4:$CZ$603,71,FALSE)</f>
        <v>2.1847815117569889</v>
      </c>
      <c r="CH14">
        <f>VLOOKUP($B14,'[1]Data_UN_PopulationTot.&amp;%'!$B$4:$CZ$603,72,FALSE)</f>
        <v>1.9526524708177753</v>
      </c>
      <c r="CI14">
        <f>VLOOKUP($B14,'[1]Data_UN_PopulationTot.&amp;%'!$B$4:$CZ$603,73,FALSE)</f>
        <v>1.6928297507316583</v>
      </c>
      <c r="CJ14">
        <f>VLOOKUP($B14,'[1]Data_UN_PopulationTot.&amp;%'!$B$4:$CZ$603,74,FALSE)</f>
        <v>1.1634204595149193</v>
      </c>
      <c r="CK14">
        <f>VLOOKUP($B14,'[1]Data_UN_PopulationTot.&amp;%'!$B$4:$CZ$603,75,FALSE)</f>
        <v>0.59180206546237435</v>
      </c>
      <c r="CL14">
        <f>VLOOKUP($B14,'[1]Data_UN_PopulationTot.&amp;%'!$B$4:$CZ$603,76,FALSE)</f>
        <v>0.35118747266794498</v>
      </c>
      <c r="CM14">
        <f>VLOOKUP($B14,'[1]Data_UN_PopulationTot.&amp;%'!$B$4:$CZ$603,77,FALSE)</f>
        <v>0.18389006626972115</v>
      </c>
      <c r="CN14">
        <f>VLOOKUP($B14,'[1]Data_UN_PopulationTot.&amp;%'!$B$4:$CZ$603,78,FALSE)</f>
        <v>7.0937195142463091E-2</v>
      </c>
      <c r="CO14">
        <f>VLOOKUP($B14,'[1]Data_UN_PopulationTot.&amp;%'!$B$4:$CZ$603,79,FALSE)</f>
        <v>1.6516971103710434E-2</v>
      </c>
      <c r="CP14">
        <f>VLOOKUP($B14,'[1]Data_UN_PopulationTot.&amp;%'!$B$4:$CZ$603,80,FALSE)</f>
        <v>2.2370235812560974E-3</v>
      </c>
      <c r="CQ14">
        <f>VLOOKUP($B14,'[1]Data_UN_PopulationTot.&amp;%'!$B$4:$CZ$603,81,FALSE)</f>
        <v>1.4296767248629194E-4</v>
      </c>
      <c r="CR14">
        <f>VLOOKUP($B14,'[1]Data_UN_PopulationTot.&amp;%'!$B$4:$CZ$603,82,FALSE)</f>
        <v>15.18208561574356</v>
      </c>
      <c r="CS14">
        <f>VLOOKUP($B14,'[1]Data_UN_PopulationTot.&amp;%'!$B$4:$CZ$603,83,FALSE)</f>
        <v>13.8887198214648</v>
      </c>
      <c r="CT14">
        <f>VLOOKUP($B14,'[1]Data_UN_PopulationTot.&amp;%'!$B$4:$CZ$603,84,FALSE)</f>
        <v>12.626800568066546</v>
      </c>
      <c r="CU14">
        <f>VLOOKUP($B14,'[1]Data_UN_PopulationTot.&amp;%'!$B$4:$CZ$603,85,FALSE)</f>
        <v>11.260841448569691</v>
      </c>
      <c r="CV14">
        <f>VLOOKUP($B14,'[1]Data_UN_PopulationTot.&amp;%'!$B$4:$CZ$603,86,FALSE)</f>
        <v>9.3460894704808286</v>
      </c>
      <c r="CW14">
        <f>VLOOKUP($B14,'[1]Data_UN_PopulationTot.&amp;%'!$B$4:$CZ$603,87,FALSE)</f>
        <v>7.5012680056806671</v>
      </c>
      <c r="CX14">
        <f>VLOOKUP($B14,'[1]Data_UN_PopulationTot.&amp;%'!$B$4:$CZ$603,88,FALSE)</f>
        <v>6.383203996753906</v>
      </c>
      <c r="CY14">
        <f>VLOOKUP($B14,'[1]Data_UN_PopulationTot.&amp;%'!$B$4:$CZ$603,89,FALSE)</f>
        <v>5.9789828058429704</v>
      </c>
      <c r="CZ14">
        <f>VLOOKUP($B14,'[1]Data_UN_PopulationTot.&amp;%'!$B$4:$CZ$603,90,FALSE)</f>
        <v>5.2379602860620817</v>
      </c>
      <c r="DA14">
        <f>VLOOKUP($B14,'[1]Data_UN_PopulationTot.&amp;%'!$B$4:$CZ$603,91,FALSE)</f>
        <v>3.9363841550010146</v>
      </c>
      <c r="DB14">
        <f>VLOOKUP($B14,'[1]Data_UN_PopulationTot.&amp;%'!$B$4:$CZ$603,92,FALSE)</f>
        <v>2.6163712213430719</v>
      </c>
      <c r="DC14">
        <f>VLOOKUP($B14,'[1]Data_UN_PopulationTot.&amp;%'!$B$4:$CZ$603,93,FALSE)</f>
        <v>1.7254323899371069</v>
      </c>
      <c r="DD14">
        <f>VLOOKUP($B14,'[1]Data_UN_PopulationTot.&amp;%'!$B$4:$CZ$603,94,FALSE)</f>
        <v>1.4317495942381824</v>
      </c>
      <c r="DE14">
        <f>VLOOKUP($B14,'[1]Data_UN_PopulationTot.&amp;%'!$B$4:$CZ$603,95,FALSE)</f>
        <v>1.1897380300263745</v>
      </c>
      <c r="DF14">
        <f>VLOOKUP($B14,'[1]Data_UN_PopulationTot.&amp;%'!$B$4:$CZ$603,96,FALSE)</f>
        <v>0.90993989653073648</v>
      </c>
      <c r="DG14">
        <f>VLOOKUP($B14,'[1]Data_UN_PopulationTot.&amp;%'!$B$4:$CZ$603,97,FALSE)</f>
        <v>0.50979534388314063</v>
      </c>
      <c r="DH14">
        <f>VLOOKUP($B14,'[1]Data_UN_PopulationTot.&amp;%'!$B$4:$CZ$603,98,FALSE)</f>
        <v>0.18753170014201664</v>
      </c>
      <c r="DI14">
        <f>VLOOKUP($B14,'[1]Data_UN_PopulationTot.&amp;%'!$B$4:$CZ$603,99,FALSE)</f>
        <v>6.7362801785352006E-2</v>
      </c>
      <c r="DJ14">
        <f>VLOOKUP($B14,'[1]Data_UN_PopulationTot.&amp;%'!$B$4:$DE$603,100,FALSE)</f>
        <v>1.7149776831000205E-2</v>
      </c>
      <c r="DK14">
        <f>VLOOKUP($B14,'[1]Data_UN_PopulationTot.&amp;%'!$B$4:$DE$603,101,FALSE)</f>
        <v>2.6120917021708258E-3</v>
      </c>
      <c r="DL14">
        <f>VLOOKUP($B14,'[1]Data_UN_PopulationTot.&amp;%'!$B$4:$DE$603,102,FALSE)</f>
        <v>2.1556096571312641E-4</v>
      </c>
    </row>
    <row r="15" spans="1:116">
      <c r="A15" t="s">
        <v>58</v>
      </c>
      <c r="B15" t="s">
        <v>456</v>
      </c>
      <c r="C15" t="s">
        <v>485</v>
      </c>
      <c r="D15" t="s">
        <v>622</v>
      </c>
      <c r="E15" t="s">
        <v>2269</v>
      </c>
      <c r="F15">
        <v>0</v>
      </c>
      <c r="G15">
        <v>0</v>
      </c>
      <c r="H15">
        <v>0</v>
      </c>
      <c r="I15">
        <v>1</v>
      </c>
      <c r="J15" s="18">
        <f t="shared" si="1"/>
        <v>231.14211811000001</v>
      </c>
      <c r="K15">
        <f>VLOOKUP($B15,'[1]Source GDP Current USD'!$B$1:$CZ$600,64,FALSE)</f>
        <v>521861292586.61603</v>
      </c>
      <c r="L15" s="45">
        <f>VLOOKUP($B15,'[1]Source GDP Current USD'!$B$1:$CZ$600,65,FALSE)</f>
        <v>521861292586.61603</v>
      </c>
      <c r="M15" s="17">
        <f>VLOOKUP($B15,'[1]Source GDP Current LCU'!$B$1:$CZ$600,64,FALSE)</f>
        <v>456892900000</v>
      </c>
      <c r="N15" s="45">
        <f>VLOOKUP($B15,'[1]Source GDP Current LCU'!$B$1:$CZ$600,65,FALSE)</f>
        <v>456892900000</v>
      </c>
      <c r="O15" s="45">
        <f>VLOOKUP($B15,'[1]Source GNI Current USD'!$B$1:$CZ$600,64,FALSE)</f>
        <v>527384952969.49597</v>
      </c>
      <c r="P15" s="45">
        <f>VLOOKUP($B15,'[1]Source GNI Current LCU'!$B$1:$CZ$600,64,FALSE)</f>
        <v>461728900000</v>
      </c>
      <c r="Q15">
        <f t="shared" si="0"/>
        <v>98.952632161426322</v>
      </c>
      <c r="R15">
        <f>VLOOKUP($B15,'[1]Source GNI PC Atlas'!$B$1:$CZ$600,64,FALSE)</f>
        <v>45750</v>
      </c>
      <c r="S15">
        <f>VLOOKUP($B15,'[1]Source GNI PC Atlas'!$B$1:$CZ$600,65,FALSE)</f>
        <v>45750</v>
      </c>
      <c r="T15">
        <f>VLOOKUP($B15,[1]Source_PPP_Conversion!$B$1:$CZ$600,65,FALSE)</f>
        <v>0.85150148824124705</v>
      </c>
      <c r="U15">
        <f>VLOOKUP($B15,'[1]Source PopulationTotal'!$B$1:$CZ$600,65,FALSE)</f>
        <v>11555997</v>
      </c>
      <c r="V15">
        <f>VLOOKUP($B15,'[1]Source Gov. Revenue WEO'!$B$1:$CZ$600,4,FALSE)</f>
        <v>50.59</v>
      </c>
      <c r="W15">
        <f>VLOOKUP($B15,'[1]Source Gov. Revenue WEO'!$B$1:$CZ$600,5,FALSE)</f>
        <v>50.290999999999997</v>
      </c>
      <c r="X15">
        <f>VLOOKUP($B15,'[1]Source Gov. Revenue WEO'!$B$1:$CZ$600,6,FALSE)</f>
        <v>50.143000000000001</v>
      </c>
      <c r="Y15">
        <f>VLOOKUP($B15,'[1]Source Gov. Revenue WEO'!$B$1:$CZ$600,7,FALSE)</f>
        <v>50.051000000000002</v>
      </c>
      <c r="Z15">
        <f>VLOOKUP($B15,'[1]Source Gov. Revenue WEO'!$B$1:$CZ$600,8,FALSE)</f>
        <v>50.149000000000001</v>
      </c>
      <c r="AA15">
        <f>VLOOKUP($B15,'[1]Source Gov. Revenue WEO'!$B$1:$CZ$600,9,FALSE)</f>
        <v>50.042999999999999</v>
      </c>
      <c r="AB15">
        <f>VLOOKUP($B15,'[1]Source Gov. Revenue WEO'!$B$1:$CZ$600,10,FALSE)</f>
        <v>49.991999999999997</v>
      </c>
      <c r="AC15" t="e">
        <f>VLOOKUP($B15,[2]Summary!$B$1:$CZ$600,39,FALSE)</f>
        <v>#N/A</v>
      </c>
      <c r="AD15" t="e">
        <f>VLOOKUP($B15,[2]Summary!$B$1:$CZ$600,40,FALSE)</f>
        <v>#N/A</v>
      </c>
      <c r="AE15" t="e">
        <f>VLOOKUP($B15,[2]Summary!$B$1:$CZ$600,47,FALSE)</f>
        <v>#N/A</v>
      </c>
      <c r="AF15">
        <f>VLOOKUP($B15,'[1]CALC GDP Growth rates WDI'!$B$1:$CZ$600,27,FALSE)</f>
        <v>7.7140164756352005</v>
      </c>
      <c r="AG15">
        <f>VLOOKUP($B15,'[1]CALC GDP Growth rates WDI'!$B$1:$CZ$600,29,FALSE)</f>
        <v>14.900264586335199</v>
      </c>
      <c r="AH15">
        <f>VLOOKUP($B15,'[1]CALC GDP Growth rates WDI'!$B$1:$CZ$600,28,FALSE)</f>
        <v>0.97355084480144805</v>
      </c>
      <c r="AI15">
        <f>VLOOKUP($B15,'[1]CALC GDP Growth rates WDI'!$B$1:$CZ$600,30,FALSE)</f>
        <v>6.8485056894826757</v>
      </c>
      <c r="AK15" t="e">
        <f>VLOOKUP($B15,[1]Data_Aspire!$B$1:$CZ$600,2,FALSE)</f>
        <v>#N/A</v>
      </c>
      <c r="AL15" t="e">
        <f>VLOOKUP($B15,[1]Data_Aspire!$B$1:$CZ$600,3,FALSE)</f>
        <v>#N/A</v>
      </c>
      <c r="AM15" t="e">
        <f>VLOOKUP($B15,[1]Data_Aspire!$B$1:$CZ$600,4,FALSE)</f>
        <v>#N/A</v>
      </c>
      <c r="AN15" t="e">
        <f>VLOOKUP($B15,[1]Data_Aspire!$B$1:$CZ$600,5,FALSE)</f>
        <v>#N/A</v>
      </c>
      <c r="AO15" t="e">
        <f>VLOOKUP($B15,[1]Data_Aspire!$B$1:$CZ$600,6,FALSE)</f>
        <v>#N/A</v>
      </c>
      <c r="AP15" t="e">
        <f>VLOOKUP($B15,[1]Data_Aspire!$B$1:$CZ$600,7,FALSE)</f>
        <v>#N/A</v>
      </c>
      <c r="AQ15" t="e">
        <f>VLOOKUP($B15,[1]Data_Aspire!$B$1:$CZ$600,8,FALSE)</f>
        <v>#N/A</v>
      </c>
      <c r="AR15" t="e">
        <f>VLOOKUP($B15,[1]Data_Aspire!$B$1:$CZ$600,9,FALSE)</f>
        <v>#N/A</v>
      </c>
      <c r="AS15" t="e">
        <f>VLOOKUP($B15,[1]Data_Aspire!$B$1:$CZ$600,10,FALSE)</f>
        <v>#N/A</v>
      </c>
      <c r="AT15" t="e">
        <f>VLOOKUP($B15,[1]Data_Aspire!$B$1:$CZ$600,11,FALSE)</f>
        <v>#N/A</v>
      </c>
      <c r="AU15" t="e">
        <f>VLOOKUP($B15,[1]Data_Aspire!$B$1:$CZ$600,12,FALSE)</f>
        <v>#N/A</v>
      </c>
      <c r="AV15" t="e">
        <f>VLOOKUP($B15,[1]Data_Aspire!$B$1:$CZ$600,13,FALSE)</f>
        <v>#N/A</v>
      </c>
      <c r="AW15" t="e">
        <f>VLOOKUP($B15,[1]Data_Aspire!$B$1:$CZ$600,14,FALSE)</f>
        <v>#N/A</v>
      </c>
      <c r="AX15" t="e">
        <f>VLOOKUP($B15,[1]Data_Aspire!$B$1:$CZ$600,15,FALSE)</f>
        <v>#N/A</v>
      </c>
      <c r="AY15" t="e">
        <f>VLOOKUP($B15,[1]Data_Aspire!$B$1:$CZ$600,16,FALSE)</f>
        <v>#N/A</v>
      </c>
      <c r="AZ15" t="e">
        <f>VLOOKUP($B15,[1]Data_Aspire!$B$1:$CZ$600,17,FALSE)</f>
        <v>#N/A</v>
      </c>
      <c r="BA15" t="e">
        <f>VLOOKUP($B15,[1]Data_Aspire!$B$1:$CZ$600,18,FALSE)</f>
        <v>#N/A</v>
      </c>
      <c r="BB15" t="e">
        <f>VLOOKUP($B15,[1]Data_Aspire!$B$1:$CZ$600,19,FALSE)</f>
        <v>#N/A</v>
      </c>
      <c r="BC15" t="e">
        <f>VLOOKUP($B15,[1]Data_Aspire!$B$1:$CZ$600,20,FALSE)</f>
        <v>#N/A</v>
      </c>
      <c r="BD15" t="e">
        <f>VLOOKUP($B15,[1]Data_Aspire!$B$1:$CZ$600,21,FALSE)</f>
        <v>#N/A</v>
      </c>
      <c r="BE15" t="e">
        <f>VLOOKUP($B15,[1]Data_Aspire!$B$1:$CZ$600,22,FALSE)</f>
        <v>#N/A</v>
      </c>
      <c r="BF15" t="e">
        <f>VLOOKUP($B15,[1]Data_Aspire!$B$1:$CZ$600,23,FALSE)</f>
        <v>#N/A</v>
      </c>
      <c r="BG15" t="e">
        <f>VLOOKUP($B15,[1]Data_Aspire!$B$1:$CZ$600,24,FALSE)</f>
        <v>#N/A</v>
      </c>
      <c r="BH15" t="e">
        <f>VLOOKUP($B15,[1]Data_Aspire!$B$1:$CZ$600,25,FALSE)</f>
        <v>#N/A</v>
      </c>
      <c r="BI15" t="e">
        <f>VLOOKUP($B15,[1]Data_Aspire!$B$1:$CZ$600,26,FALSE)</f>
        <v>#N/A</v>
      </c>
      <c r="BJ15" s="7">
        <v>0</v>
      </c>
      <c r="BK15">
        <v>56</v>
      </c>
      <c r="BL15">
        <f>VLOOKUP($B15,'[1]Data_UN_PopulationTot.&amp;%'!$B$4:$CZ$603,8,FALSE)</f>
        <v>11589.6</v>
      </c>
      <c r="BM15">
        <f>VLOOKUP($B15,'[1]Data_UN_PopulationTot.&amp;%'!$B$4:$CZ$603,9,FALSE)</f>
        <v>11632.3</v>
      </c>
      <c r="BN15">
        <v>11668.3</v>
      </c>
      <c r="BO15">
        <f>VLOOKUP($B15,'[1]Data_UN_PopulationTot.&amp;%'!$B$4:$CZ$603,11,FALSE)</f>
        <v>11699.4</v>
      </c>
      <c r="BP15">
        <f>VLOOKUP($B15,'[1]Data_UN_PopulationTot.&amp;%'!$B$4:$CZ$603,12,FALSE)</f>
        <v>11728.5</v>
      </c>
      <c r="BQ15">
        <f>VLOOKUP($B15,'[1]Data_UN_PopulationTot.&amp;%'!$B$4:$CZ$603,13,FALSE)</f>
        <v>11757.5</v>
      </c>
      <c r="BR15">
        <f>VLOOKUP($B15,'[1]Data_UN_PopulationTot.&amp;%'!$B$4:$CZ$603,14,FALSE)</f>
        <v>11787.2</v>
      </c>
      <c r="BS15">
        <f>VLOOKUP($B15,'[1]Data_UN_PopulationTot.&amp;%'!$B$4:$CZ$603,15,FALSE)</f>
        <v>11817.1</v>
      </c>
      <c r="BT15">
        <f>VLOOKUP($B15,'[1]Data_UN_PopulationTot.&amp;%'!$B$4:$CZ$603,16,FALSE)</f>
        <v>11846.9</v>
      </c>
      <c r="BU15">
        <f>VLOOKUP($B15,'[1]Data_UN_PopulationTot.&amp;%'!$B$4:$CZ$603,17,FALSE)</f>
        <v>11876</v>
      </c>
      <c r="BV15">
        <f>VLOOKUP($B15,'[1]Data_UN_PopulationTot.&amp;%'!$B$4:$CZ$603,18,FALSE)</f>
        <v>11903.8</v>
      </c>
      <c r="BW15">
        <f>VLOOKUP($B15,'[1]Data_UN_PopulationTot.&amp;%'!$B$4:$CZ$603,61,FALSE)</f>
        <v>5.4674276937944359</v>
      </c>
      <c r="BX15">
        <f>VLOOKUP($B15,'[1]Data_UN_PopulationTot.&amp;%'!$B$4:$CZ$603,62,FALSE)</f>
        <v>5.772848070684061</v>
      </c>
      <c r="BY15">
        <f>VLOOKUP($B15,'[1]Data_UN_PopulationTot.&amp;%'!$B$4:$CZ$603,63,FALSE)</f>
        <v>5.7937202319320775</v>
      </c>
      <c r="BZ15">
        <f>VLOOKUP($B15,'[1]Data_UN_PopulationTot.&amp;%'!$B$4:$CZ$603,64,FALSE)</f>
        <v>5.5289397390764137</v>
      </c>
      <c r="CA15">
        <f>VLOOKUP($B15,'[1]Data_UN_PopulationTot.&amp;%'!$B$4:$CZ$603,65,FALSE)</f>
        <v>5.6749326982812178</v>
      </c>
      <c r="CB15">
        <f>VLOOKUP($B15,'[1]Data_UN_PopulationTot.&amp;%'!$B$4:$CZ$603,66,FALSE)</f>
        <v>6.2847984399806727</v>
      </c>
      <c r="CC15">
        <f>VLOOKUP($B15,'[1]Data_UN_PopulationTot.&amp;%'!$B$4:$CZ$603,67,FALSE)</f>
        <v>6.438487954718024</v>
      </c>
      <c r="CD15">
        <f>VLOOKUP($B15,'[1]Data_UN_PopulationTot.&amp;%'!$B$4:$CZ$603,68,FALSE)</f>
        <v>6.5386380893214611</v>
      </c>
      <c r="CE15">
        <f>VLOOKUP($B15,'[1]Data_UN_PopulationTot.&amp;%'!$B$4:$CZ$603,69,FALSE)</f>
        <v>6.4848312279975149</v>
      </c>
      <c r="CF15">
        <f>VLOOKUP($B15,'[1]Data_UN_PopulationTot.&amp;%'!$B$4:$CZ$603,70,FALSE)</f>
        <v>6.6169065368951481</v>
      </c>
      <c r="CG15">
        <f>VLOOKUP($B15,'[1]Data_UN_PopulationTot.&amp;%'!$B$4:$CZ$603,71,FALSE)</f>
        <v>6.8638434458480013</v>
      </c>
      <c r="CH15">
        <f>VLOOKUP($B15,'[1]Data_UN_PopulationTot.&amp;%'!$B$4:$CZ$603,72,FALSE)</f>
        <v>6.9307741423345073</v>
      </c>
      <c r="CI15">
        <f>VLOOKUP($B15,'[1]Data_UN_PopulationTot.&amp;%'!$B$4:$CZ$603,73,FALSE)</f>
        <v>6.3497187133291915</v>
      </c>
      <c r="CJ15">
        <f>VLOOKUP($B15,'[1]Data_UN_PopulationTot.&amp;%'!$B$4:$CZ$603,74,FALSE)</f>
        <v>5.4701542762476709</v>
      </c>
      <c r="CK15">
        <f>VLOOKUP($B15,'[1]Data_UN_PopulationTot.&amp;%'!$B$4:$CZ$603,75,FALSE)</f>
        <v>4.7939359425691999</v>
      </c>
      <c r="CL15">
        <f>VLOOKUP($B15,'[1]Data_UN_PopulationTot.&amp;%'!$B$4:$CZ$603,76,FALSE)</f>
        <v>3.3117191274936149</v>
      </c>
      <c r="CM15">
        <f>VLOOKUP($B15,'[1]Data_UN_PopulationTot.&amp;%'!$B$4:$CZ$603,77,FALSE)</f>
        <v>2.7682059777731758</v>
      </c>
      <c r="CN15">
        <f>VLOOKUP($B15,'[1]Data_UN_PopulationTot.&amp;%'!$B$4:$CZ$603,78,FALSE)</f>
        <v>1.8698143162835645</v>
      </c>
      <c r="CO15">
        <f>VLOOKUP($B15,'[1]Data_UN_PopulationTot.&amp;%'!$B$4:$CZ$603,79,FALSE)</f>
        <v>0.81999378753365093</v>
      </c>
      <c r="CP15">
        <f>VLOOKUP($B15,'[1]Data_UN_PopulationTot.&amp;%'!$B$4:$CZ$603,80,FALSE)</f>
        <v>0.20418306067508801</v>
      </c>
      <c r="CQ15">
        <f>VLOOKUP($B15,'[1]Data_UN_PopulationTot.&amp;%'!$B$4:$CZ$603,81,FALSE)</f>
        <v>1.6264582039069511E-2</v>
      </c>
      <c r="CR15">
        <f>VLOOKUP($B15,'[1]Data_UN_PopulationTot.&amp;%'!$B$4:$CZ$603,82,FALSE)</f>
        <v>5.1217930408777024</v>
      </c>
      <c r="CS15">
        <f>VLOOKUP($B15,'[1]Data_UN_PopulationTot.&amp;%'!$B$4:$CZ$603,83,FALSE)</f>
        <v>5.3358507367395287</v>
      </c>
      <c r="CT15">
        <f>VLOOKUP($B15,'[1]Data_UN_PopulationTot.&amp;%'!$B$4:$CZ$603,84,FALSE)</f>
        <v>5.5007392597321871</v>
      </c>
      <c r="CU15">
        <f>VLOOKUP($B15,'[1]Data_UN_PopulationTot.&amp;%'!$B$4:$CZ$603,85,FALSE)</f>
        <v>5.7780792688049196</v>
      </c>
      <c r="CV15">
        <f>VLOOKUP($B15,'[1]Data_UN_PopulationTot.&amp;%'!$B$4:$CZ$603,86,FALSE)</f>
        <v>5.8342042036996586</v>
      </c>
      <c r="CW15">
        <f>VLOOKUP($B15,'[1]Data_UN_PopulationTot.&amp;%'!$B$4:$CZ$603,87,FALSE)</f>
        <v>5.6370990776054706</v>
      </c>
      <c r="CX15">
        <f>VLOOKUP($B15,'[1]Data_UN_PopulationTot.&amp;%'!$B$4:$CZ$603,88,FALSE)</f>
        <v>5.7845477914615504</v>
      </c>
      <c r="CY15">
        <f>VLOOKUP($B15,'[1]Data_UN_PopulationTot.&amp;%'!$B$4:$CZ$603,89,FALSE)</f>
        <v>6.3134209244106927</v>
      </c>
      <c r="CZ15">
        <f>VLOOKUP($B15,'[1]Data_UN_PopulationTot.&amp;%'!$B$4:$CZ$603,90,FALSE)</f>
        <v>6.3771484735966677</v>
      </c>
      <c r="DA15">
        <f>VLOOKUP($B15,'[1]Data_UN_PopulationTot.&amp;%'!$B$4:$CZ$603,91,FALSE)</f>
        <v>6.3962768191669888</v>
      </c>
      <c r="DB15">
        <f>VLOOKUP($B15,'[1]Data_UN_PopulationTot.&amp;%'!$B$4:$CZ$603,92,FALSE)</f>
        <v>6.2682252726020264</v>
      </c>
      <c r="DC15">
        <f>VLOOKUP($B15,'[1]Data_UN_PopulationTot.&amp;%'!$B$4:$CZ$603,93,FALSE)</f>
        <v>6.2943933869856696</v>
      </c>
      <c r="DD15">
        <f>VLOOKUP($B15,'[1]Data_UN_PopulationTot.&amp;%'!$B$4:$CZ$603,94,FALSE)</f>
        <v>6.3916228431257247</v>
      </c>
      <c r="DE15">
        <f>VLOOKUP($B15,'[1]Data_UN_PopulationTot.&amp;%'!$B$4:$CZ$603,95,FALSE)</f>
        <v>6.2855978763084064</v>
      </c>
      <c r="DF15">
        <f>VLOOKUP($B15,'[1]Data_UN_PopulationTot.&amp;%'!$B$4:$CZ$603,96,FALSE)</f>
        <v>5.5582503066247755</v>
      </c>
      <c r="DG15">
        <f>VLOOKUP($B15,'[1]Data_UN_PopulationTot.&amp;%'!$B$4:$CZ$603,97,FALSE)</f>
        <v>4.5170365765553857</v>
      </c>
      <c r="DH15">
        <f>VLOOKUP($B15,'[1]Data_UN_PopulationTot.&amp;%'!$B$4:$CZ$603,98,FALSE)</f>
        <v>3.5106352593289545</v>
      </c>
      <c r="DI15">
        <f>VLOOKUP($B15,'[1]Data_UN_PopulationTot.&amp;%'!$B$4:$CZ$603,99,FALSE)</f>
        <v>1.8600278902535325</v>
      </c>
      <c r="DJ15">
        <f>VLOOKUP($B15,'[1]Data_UN_PopulationTot.&amp;%'!$B$4:$DE$603,100,FALSE)</f>
        <v>0.93100522522219809</v>
      </c>
      <c r="DK15">
        <f>VLOOKUP($B15,'[1]Data_UN_PopulationTot.&amp;%'!$B$4:$DE$603,101,FALSE)</f>
        <v>0.26909054251583525</v>
      </c>
      <c r="DL15">
        <f>VLOOKUP($B15,'[1]Data_UN_PopulationTot.&amp;%'!$B$4:$DE$603,102,FALSE)</f>
        <v>3.4543591122162674E-2</v>
      </c>
    </row>
    <row r="16" spans="1:116">
      <c r="A16" t="s">
        <v>126</v>
      </c>
      <c r="B16" t="s">
        <v>340</v>
      </c>
      <c r="C16" t="s">
        <v>496</v>
      </c>
      <c r="D16" t="s">
        <v>334</v>
      </c>
      <c r="E16" t="s">
        <v>300</v>
      </c>
      <c r="F16">
        <v>0</v>
      </c>
      <c r="G16">
        <v>1</v>
      </c>
      <c r="H16">
        <v>0</v>
      </c>
      <c r="I16">
        <v>0</v>
      </c>
      <c r="J16" s="18">
        <f t="shared" si="1"/>
        <v>1294.2957860303043</v>
      </c>
      <c r="K16">
        <f>VLOOKUP($B16,'[1]Source GDP Current USD'!$B$1:$CZ$600,64,FALSE)</f>
        <v>15651545331.5404</v>
      </c>
      <c r="L16" s="45">
        <f>VLOOKUP($B16,'[1]Source GDP Current USD'!$B$1:$CZ$600,65,FALSE)</f>
        <v>15651545331.5404</v>
      </c>
      <c r="M16" s="17">
        <f>VLOOKUP($B16,'[1]Source GDP Current LCU'!$B$1:$CZ$600,64,FALSE)</f>
        <v>9008810371200</v>
      </c>
      <c r="N16" s="45">
        <f>VLOOKUP($B16,'[1]Source GDP Current LCU'!$B$1:$CZ$600,65,FALSE)</f>
        <v>9008810371200</v>
      </c>
      <c r="O16" s="45">
        <f>VLOOKUP($B16,'[1]Source GNI Current USD'!$B$1:$CZ$600,64,FALSE)</f>
        <v>15488837356.190001</v>
      </c>
      <c r="P16" s="45">
        <f>VLOOKUP($B16,'[1]Source GNI Current LCU'!$B$1:$CZ$600,64,FALSE)</f>
        <v>8915157938500</v>
      </c>
      <c r="Q16">
        <f t="shared" si="0"/>
        <v>101.05048540189696</v>
      </c>
      <c r="R16">
        <f>VLOOKUP($B16,'[1]Source GNI PC Atlas'!$B$1:$CZ$600,64,FALSE)</f>
        <v>1280</v>
      </c>
      <c r="S16">
        <f>VLOOKUP($B16,'[1]Source GNI PC Atlas'!$B$1:$CZ$600,65,FALSE)</f>
        <v>1280</v>
      </c>
      <c r="T16">
        <f>VLOOKUP($B16,[1]Source_PPP_Conversion!$B$1:$CZ$600,65,FALSE)</f>
        <v>0.36829805518504399</v>
      </c>
      <c r="U16">
        <f>VLOOKUP($B16,'[1]Source PopulationTotal'!$B$1:$CZ$600,65,FALSE)</f>
        <v>12123198</v>
      </c>
      <c r="V16">
        <f>VLOOKUP($B16,'[1]Source Gov. Revenue WEO'!$B$1:$CZ$600,4,FALSE)</f>
        <v>14.367000000000001</v>
      </c>
      <c r="W16">
        <f>VLOOKUP($B16,'[1]Source Gov. Revenue WEO'!$B$1:$CZ$600,5,FALSE)</f>
        <v>13.692</v>
      </c>
      <c r="X16">
        <f>VLOOKUP($B16,'[1]Source Gov. Revenue WEO'!$B$1:$CZ$600,6,FALSE)</f>
        <v>14.081</v>
      </c>
      <c r="Y16">
        <f>VLOOKUP($B16,'[1]Source Gov. Revenue WEO'!$B$1:$CZ$600,7,FALSE)</f>
        <v>14.734999999999999</v>
      </c>
      <c r="Z16">
        <f>VLOOKUP($B16,'[1]Source Gov. Revenue WEO'!$B$1:$CZ$600,8,FALSE)</f>
        <v>14.935</v>
      </c>
      <c r="AA16">
        <f>VLOOKUP($B16,'[1]Source Gov. Revenue WEO'!$B$1:$CZ$600,9,FALSE)</f>
        <v>14.9</v>
      </c>
      <c r="AB16">
        <f>VLOOKUP($B16,'[1]Source Gov. Revenue WEO'!$B$1:$CZ$600,10,FALSE)</f>
        <v>15.1</v>
      </c>
      <c r="AC16">
        <f>VLOOKUP($B16,[2]Summary!$B$1:$CZ$600,39,FALSE)</f>
        <v>0.45123379999999996</v>
      </c>
      <c r="AD16">
        <f>VLOOKUP($B16,[2]Summary!$B$1:$CZ$600,40,FALSE)</f>
        <v>0.39049999999999996</v>
      </c>
      <c r="AE16">
        <f>VLOOKUP($B16,[2]Summary!$B$1:$CZ$600,47,FALSE)</f>
        <v>0.218</v>
      </c>
      <c r="AF16">
        <f>VLOOKUP($B16,'[1]CALC GDP Growth rates WDI'!$B$1:$CZ$600,27,FALSE)</f>
        <v>61.917513523003521</v>
      </c>
      <c r="AG16">
        <f>VLOOKUP($B16,'[1]CALC GDP Growth rates WDI'!$B$1:$CZ$600,29,FALSE)</f>
        <v>50.010689602507938</v>
      </c>
      <c r="AH16">
        <f>VLOOKUP($B16,'[1]CALC GDP Growth rates WDI'!$B$1:$CZ$600,28,FALSE)</f>
        <v>29.305853047476994</v>
      </c>
      <c r="AI16">
        <f>VLOOKUP($B16,'[1]CALC GDP Growth rates WDI'!$B$1:$CZ$600,30,FALSE)</f>
        <v>19.403087918742944</v>
      </c>
      <c r="AJ16" t="s">
        <v>2465</v>
      </c>
      <c r="AK16">
        <f>VLOOKUP($B16,[1]Data_Aspire!$B$1:$CZ$600,2,FALSE)</f>
        <v>2014</v>
      </c>
      <c r="AL16">
        <f>VLOOKUP($B16,[1]Data_Aspire!$B$1:$CZ$600,3,FALSE)</f>
        <v>2.16</v>
      </c>
      <c r="AM16">
        <f>VLOOKUP($B16,[1]Data_Aspire!$B$1:$CZ$600,4,FALSE)</f>
        <v>0</v>
      </c>
      <c r="AN16">
        <f>VLOOKUP($B16,[1]Data_Aspire!$B$1:$CZ$600,5,FALSE)</f>
        <v>2.12</v>
      </c>
      <c r="AO16">
        <f>VLOOKUP($B16,[1]Data_Aspire!$B$1:$CZ$600,6,FALSE)</f>
        <v>0</v>
      </c>
      <c r="AP16">
        <f>VLOOKUP($B16,[1]Data_Aspire!$B$1:$CZ$600,7,FALSE)</f>
        <v>0.03</v>
      </c>
      <c r="AS16">
        <f>VLOOKUP($B16,[1]Data_Aspire!$B$1:$CZ$600,10,FALSE)</f>
        <v>0.01</v>
      </c>
      <c r="AU16">
        <f>VLOOKUP($B16,[1]Data_Aspire!$B$1:$CZ$600,12,FALSE)</f>
        <v>2.15</v>
      </c>
      <c r="AX16">
        <f>VLOOKUP($B16,[1]Data_Aspire!$B$1:$CZ$600,15,FALSE)</f>
        <v>13000</v>
      </c>
      <c r="AY16">
        <f>VLOOKUP($B16,[1]Data_Aspire!$B$1:$CZ$600,16,FALSE)</f>
        <v>2015</v>
      </c>
      <c r="BF16">
        <f>VLOOKUP($B16,[1]Data_Aspire!$B$1:$CZ$600,23,FALSE)</f>
        <v>12000</v>
      </c>
      <c r="BG16">
        <f>VLOOKUP($B16,[1]Data_Aspire!$B$1:$CZ$600,24,FALSE)</f>
        <v>2015</v>
      </c>
      <c r="BH16">
        <f>VLOOKUP($B16,[1]Data_Aspire!$B$1:$CZ$600,25,FALSE)</f>
        <v>10932</v>
      </c>
      <c r="BI16">
        <f>VLOOKUP($B16,[1]Data_Aspire!$B$1:$CZ$600,26,FALSE)</f>
        <v>2008</v>
      </c>
      <c r="BJ16" s="7">
        <v>1</v>
      </c>
      <c r="BK16">
        <v>204</v>
      </c>
      <c r="BL16">
        <f>VLOOKUP($B16,'[1]Data_UN_PopulationTot.&amp;%'!$B$4:$CZ$603,8,FALSE)</f>
        <v>12123.2</v>
      </c>
      <c r="BM16">
        <f>VLOOKUP($B16,'[1]Data_UN_PopulationTot.&amp;%'!$B$4:$CZ$603,9,FALSE)</f>
        <v>12451</v>
      </c>
      <c r="BN16">
        <v>12784.7</v>
      </c>
      <c r="BO16">
        <f>VLOOKUP($B16,'[1]Data_UN_PopulationTot.&amp;%'!$B$4:$CZ$603,11,FALSE)</f>
        <v>13124.3</v>
      </c>
      <c r="BP16">
        <f>VLOOKUP($B16,'[1]Data_UN_PopulationTot.&amp;%'!$B$4:$CZ$603,12,FALSE)</f>
        <v>13470.1</v>
      </c>
      <c r="BQ16">
        <f>VLOOKUP($B16,'[1]Data_UN_PopulationTot.&amp;%'!$B$4:$CZ$603,13,FALSE)</f>
        <v>13822.1</v>
      </c>
      <c r="BR16">
        <f>VLOOKUP($B16,'[1]Data_UN_PopulationTot.&amp;%'!$B$4:$CZ$603,14,FALSE)</f>
        <v>14180.2</v>
      </c>
      <c r="BS16">
        <f>VLOOKUP($B16,'[1]Data_UN_PopulationTot.&amp;%'!$B$4:$CZ$603,15,FALSE)</f>
        <v>14544.4</v>
      </c>
      <c r="BT16">
        <f>VLOOKUP($B16,'[1]Data_UN_PopulationTot.&amp;%'!$B$4:$CZ$603,16,FALSE)</f>
        <v>14914.6</v>
      </c>
      <c r="BU16">
        <f>VLOOKUP($B16,'[1]Data_UN_PopulationTot.&amp;%'!$B$4:$CZ$603,17,FALSE)</f>
        <v>15290.6</v>
      </c>
      <c r="BV16">
        <f>VLOOKUP($B16,'[1]Data_UN_PopulationTot.&amp;%'!$B$4:$CZ$603,18,FALSE)</f>
        <v>15672.3</v>
      </c>
      <c r="BW16">
        <f>VLOOKUP($B16,'[1]Data_UN_PopulationTot.&amp;%'!$B$4:$CZ$603,61,FALSE)</f>
        <v>15.741140952883725</v>
      </c>
      <c r="BX16">
        <f>VLOOKUP($B16,'[1]Data_UN_PopulationTot.&amp;%'!$B$4:$CZ$603,62,FALSE)</f>
        <v>13.928830671769829</v>
      </c>
      <c r="BY16">
        <f>VLOOKUP($B16,'[1]Data_UN_PopulationTot.&amp;%'!$B$4:$CZ$603,63,FALSE)</f>
        <v>12.274564471426684</v>
      </c>
      <c r="BZ16">
        <f>VLOOKUP($B16,'[1]Data_UN_PopulationTot.&amp;%'!$B$4:$CZ$603,64,FALSE)</f>
        <v>10.652467995248779</v>
      </c>
      <c r="CA16">
        <f>VLOOKUP($B16,'[1]Data_UN_PopulationTot.&amp;%'!$B$4:$CZ$603,65,FALSE)</f>
        <v>9.2041705160353686</v>
      </c>
      <c r="CB16">
        <f>VLOOKUP($B16,'[1]Data_UN_PopulationTot.&amp;%'!$B$4:$CZ$603,66,FALSE)</f>
        <v>7.8026593638643256</v>
      </c>
      <c r="CC16">
        <f>VLOOKUP($B16,'[1]Data_UN_PopulationTot.&amp;%'!$B$4:$CZ$603,67,FALSE)</f>
        <v>6.4778276362676523</v>
      </c>
      <c r="CD16">
        <f>VLOOKUP($B16,'[1]Data_UN_PopulationTot.&amp;%'!$B$4:$CZ$603,68,FALSE)</f>
        <v>5.3708839250362939</v>
      </c>
      <c r="CE16">
        <f>VLOOKUP($B16,'[1]Data_UN_PopulationTot.&amp;%'!$B$4:$CZ$603,69,FALSE)</f>
        <v>4.443810215124719</v>
      </c>
      <c r="CF16">
        <f>VLOOKUP($B16,'[1]Data_UN_PopulationTot.&amp;%'!$B$4:$CZ$603,70,FALSE)</f>
        <v>3.6549755840042235</v>
      </c>
      <c r="CG16">
        <f>VLOOKUP($B16,'[1]Data_UN_PopulationTot.&amp;%'!$B$4:$CZ$603,71,FALSE)</f>
        <v>2.9957849412696316</v>
      </c>
      <c r="CH16">
        <f>VLOOKUP($B16,'[1]Data_UN_PopulationTot.&amp;%'!$B$4:$CZ$603,72,FALSE)</f>
        <v>2.371453081694602</v>
      </c>
      <c r="CI16">
        <f>VLOOKUP($B16,'[1]Data_UN_PopulationTot.&amp;%'!$B$4:$CZ$603,73,FALSE)</f>
        <v>1.8030388016365317</v>
      </c>
      <c r="CJ16">
        <f>VLOOKUP($B16,'[1]Data_UN_PopulationTot.&amp;%'!$B$4:$CZ$603,74,FALSE)</f>
        <v>1.3247079978883463</v>
      </c>
      <c r="CK16">
        <f>VLOOKUP($B16,'[1]Data_UN_PopulationTot.&amp;%'!$B$4:$CZ$603,75,FALSE)</f>
        <v>0.91593803616206937</v>
      </c>
      <c r="CL16">
        <f>VLOOKUP($B16,'[1]Data_UN_PopulationTot.&amp;%'!$B$4:$CZ$603,76,FALSE)</f>
        <v>0.60870067308961329</v>
      </c>
      <c r="CM16">
        <f>VLOOKUP($B16,'[1]Data_UN_PopulationTot.&amp;%'!$B$4:$CZ$603,77,FALSE)</f>
        <v>0.29130097663983107</v>
      </c>
      <c r="CN16">
        <f>VLOOKUP($B16,'[1]Data_UN_PopulationTot.&amp;%'!$B$4:$CZ$603,78,FALSE)</f>
        <v>0.10662201398970569</v>
      </c>
      <c r="CO16">
        <f>VLOOKUP($B16,'[1]Data_UN_PopulationTot.&amp;%'!$B$4:$CZ$603,79,FALSE)</f>
        <v>2.6676125115481061E-2</v>
      </c>
      <c r="CP16">
        <f>VLOOKUP($B16,'[1]Data_UN_PopulationTot.&amp;%'!$B$4:$CZ$603,80,FALSE)</f>
        <v>4.1243236109278075E-3</v>
      </c>
      <c r="CQ16">
        <f>VLOOKUP($B16,'[1]Data_UN_PopulationTot.&amp;%'!$B$4:$CZ$603,81,FALSE)</f>
        <v>3.7118912498350267E-4</v>
      </c>
      <c r="CR16">
        <f>VLOOKUP($B16,'[1]Data_UN_PopulationTot.&amp;%'!$B$4:$CZ$603,82,FALSE)</f>
        <v>14.533476260663718</v>
      </c>
      <c r="CS16">
        <f>VLOOKUP($B16,'[1]Data_UN_PopulationTot.&amp;%'!$B$4:$CZ$603,83,FALSE)</f>
        <v>13.036376281719978</v>
      </c>
      <c r="CT16">
        <f>VLOOKUP($B16,'[1]Data_UN_PopulationTot.&amp;%'!$B$4:$CZ$603,84,FALSE)</f>
        <v>11.75175309303676</v>
      </c>
      <c r="CU16">
        <f>VLOOKUP($B16,'[1]Data_UN_PopulationTot.&amp;%'!$B$4:$CZ$603,85,FALSE)</f>
        <v>10.564180113959026</v>
      </c>
      <c r="CV16">
        <f>VLOOKUP($B16,'[1]Data_UN_PopulationTot.&amp;%'!$B$4:$CZ$603,86,FALSE)</f>
        <v>9.283831983818585</v>
      </c>
      <c r="CW16">
        <f>VLOOKUP($B16,'[1]Data_UN_PopulationTot.&amp;%'!$B$4:$CZ$603,87,FALSE)</f>
        <v>7.9955718050318074</v>
      </c>
      <c r="CX16">
        <f>VLOOKUP($B16,'[1]Data_UN_PopulationTot.&amp;%'!$B$4:$CZ$603,88,FALSE)</f>
        <v>6.8745493641648014</v>
      </c>
      <c r="CY16">
        <f>VLOOKUP($B16,'[1]Data_UN_PopulationTot.&amp;%'!$B$4:$CZ$603,89,FALSE)</f>
        <v>5.8071820983518689</v>
      </c>
      <c r="CZ16">
        <f>VLOOKUP($B16,'[1]Data_UN_PopulationTot.&amp;%'!$B$4:$CZ$603,90,FALSE)</f>
        <v>4.7935593371745053</v>
      </c>
      <c r="DA16">
        <f>VLOOKUP($B16,'[1]Data_UN_PopulationTot.&amp;%'!$B$4:$CZ$603,91,FALSE)</f>
        <v>3.9381073613955833</v>
      </c>
      <c r="DB16">
        <f>VLOOKUP($B16,'[1]Data_UN_PopulationTot.&amp;%'!$B$4:$CZ$603,92,FALSE)</f>
        <v>3.2103264996203493</v>
      </c>
      <c r="DC16">
        <f>VLOOKUP($B16,'[1]Data_UN_PopulationTot.&amp;%'!$B$4:$CZ$603,93,FALSE)</f>
        <v>2.5770499543781069</v>
      </c>
      <c r="DD16">
        <f>VLOOKUP($B16,'[1]Data_UN_PopulationTot.&amp;%'!$B$4:$CZ$603,94,FALSE)</f>
        <v>2.0311377398339747</v>
      </c>
      <c r="DE16">
        <f>VLOOKUP($B16,'[1]Data_UN_PopulationTot.&amp;%'!$B$4:$CZ$603,95,FALSE)</f>
        <v>1.5014516056992273</v>
      </c>
      <c r="DF16">
        <f>VLOOKUP($B16,'[1]Data_UN_PopulationTot.&amp;%'!$B$4:$CZ$603,96,FALSE)</f>
        <v>1.014701096839647</v>
      </c>
      <c r="DG16">
        <f>VLOOKUP($B16,'[1]Data_UN_PopulationTot.&amp;%'!$B$4:$CZ$603,97,FALSE)</f>
        <v>0.61418553754075667</v>
      </c>
      <c r="DH16">
        <f>VLOOKUP($B16,'[1]Data_UN_PopulationTot.&amp;%'!$B$4:$CZ$603,98,FALSE)</f>
        <v>0.31116045507041085</v>
      </c>
      <c r="DI16">
        <f>VLOOKUP($B16,'[1]Data_UN_PopulationTot.&amp;%'!$B$4:$CZ$603,99,FALSE)</f>
        <v>0.12675867613560232</v>
      </c>
      <c r="DJ16">
        <f>VLOOKUP($B16,'[1]Data_UN_PopulationTot.&amp;%'!$B$4:$DE$603,100,FALSE)</f>
        <v>2.9963693905808334E-2</v>
      </c>
      <c r="DK16">
        <f>VLOOKUP($B16,'[1]Data_UN_PopulationTot.&amp;%'!$B$4:$DE$603,101,FALSE)</f>
        <v>4.3197233335247548E-3</v>
      </c>
      <c r="DL16">
        <f>VLOOKUP($B16,'[1]Data_UN_PopulationTot.&amp;%'!$B$4:$DE$603,102,FALSE)</f>
        <v>3.7646037914026656E-4</v>
      </c>
    </row>
    <row r="17" spans="1:116">
      <c r="A17" t="s">
        <v>112</v>
      </c>
      <c r="B17" t="s">
        <v>325</v>
      </c>
      <c r="C17" t="s">
        <v>496</v>
      </c>
      <c r="D17" t="s">
        <v>306</v>
      </c>
      <c r="E17" t="s">
        <v>299</v>
      </c>
      <c r="F17">
        <v>1</v>
      </c>
      <c r="G17">
        <v>0</v>
      </c>
      <c r="H17">
        <v>0</v>
      </c>
      <c r="I17">
        <v>0</v>
      </c>
      <c r="J17" s="18">
        <f t="shared" si="1"/>
        <v>2041.3445239280641</v>
      </c>
      <c r="K17">
        <f>VLOOKUP($B17,'[1]Source GDP Current USD'!$B$1:$CZ$600,64,FALSE)</f>
        <v>17933606353.177502</v>
      </c>
      <c r="L17" s="45">
        <f>VLOOKUP($B17,'[1]Source GDP Current USD'!$B$1:$CZ$600,65,FALSE)</f>
        <v>17933606353.177502</v>
      </c>
      <c r="M17" s="17">
        <f>VLOOKUP($B17,'[1]Source GDP Current LCU'!$B$1:$CZ$600,64,FALSE)</f>
        <v>10322332746400</v>
      </c>
      <c r="N17" s="45">
        <f>VLOOKUP($B17,'[1]Source GDP Current LCU'!$B$1:$CZ$600,65,FALSE)</f>
        <v>10322332746400</v>
      </c>
      <c r="O17" s="45">
        <f>VLOOKUP($B17,'[1]Source GNI Current USD'!$B$1:$CZ$600,64,FALSE)</f>
        <v>16664828374.0397</v>
      </c>
      <c r="P17" s="45">
        <f>VLOOKUP($B17,'[1]Source GNI Current LCU'!$B$1:$CZ$600,64,FALSE)</f>
        <v>9592041904500</v>
      </c>
      <c r="Q17">
        <f t="shared" si="0"/>
        <v>107.61350762612278</v>
      </c>
      <c r="R17">
        <f>VLOOKUP($B17,'[1]Source GNI PC Atlas'!$B$1:$CZ$600,64,FALSE)</f>
        <v>770</v>
      </c>
      <c r="S17">
        <f>VLOOKUP($B17,'[1]Source GNI PC Atlas'!$B$1:$CZ$600,65,FALSE)</f>
        <v>770</v>
      </c>
      <c r="T17">
        <f>VLOOKUP($B17,[1]Source_PPP_Conversion!$B$1:$CZ$600,65,FALSE)</f>
        <v>0.377276332173062</v>
      </c>
      <c r="U17">
        <f>VLOOKUP($B17,'[1]Source PopulationTotal'!$B$1:$CZ$600,65,FALSE)</f>
        <v>20903278</v>
      </c>
      <c r="V17">
        <f>VLOOKUP($B17,'[1]Source Gov. Revenue WEO'!$B$1:$CZ$600,4,FALSE)</f>
        <v>19.776</v>
      </c>
      <c r="W17">
        <f>VLOOKUP($B17,'[1]Source Gov. Revenue WEO'!$B$1:$CZ$600,5,FALSE)</f>
        <v>18.701000000000001</v>
      </c>
      <c r="X17">
        <f>VLOOKUP($B17,'[1]Source Gov. Revenue WEO'!$B$1:$CZ$600,6,FALSE)</f>
        <v>18.46</v>
      </c>
      <c r="Y17">
        <f>VLOOKUP($B17,'[1]Source Gov. Revenue WEO'!$B$1:$CZ$600,7,FALSE)</f>
        <v>18.347999999999999</v>
      </c>
      <c r="Z17">
        <f>VLOOKUP($B17,'[1]Source Gov. Revenue WEO'!$B$1:$CZ$600,8,FALSE)</f>
        <v>18.452999999999999</v>
      </c>
      <c r="AA17">
        <f>VLOOKUP($B17,'[1]Source Gov. Revenue WEO'!$B$1:$CZ$600,9,FALSE)</f>
        <v>18.638999999999999</v>
      </c>
      <c r="AB17">
        <f>VLOOKUP($B17,'[1]Source Gov. Revenue WEO'!$B$1:$CZ$600,10,FALSE)</f>
        <v>18.802</v>
      </c>
      <c r="AC17">
        <f>VLOOKUP($B17,[2]Summary!$B$1:$CZ$600,39,FALSE)</f>
        <v>0.34817079999999995</v>
      </c>
      <c r="AD17">
        <f>VLOOKUP($B17,[2]Summary!$B$1:$CZ$600,40,FALSE)</f>
        <v>0.22125</v>
      </c>
      <c r="AE17">
        <f>VLOOKUP($B17,[2]Summary!$B$1:$CZ$600,47,FALSE)</f>
        <v>0.19553867280708126</v>
      </c>
      <c r="AF17">
        <f>VLOOKUP($B17,'[1]CALC GDP Growth rates WDI'!$B$1:$CZ$600,27,FALSE)</f>
        <v>68.243806600109068</v>
      </c>
      <c r="AG17">
        <f>VLOOKUP($B17,'[1]CALC GDP Growth rates WDI'!$B$1:$CZ$600,29,FALSE)</f>
        <v>70.17611564309621</v>
      </c>
      <c r="AH17">
        <f>VLOOKUP($B17,'[1]CALC GDP Growth rates WDI'!$B$1:$CZ$600,28,FALSE)</f>
        <v>29.23430839029097</v>
      </c>
      <c r="AI17">
        <f>VLOOKUP($B17,'[1]CALC GDP Growth rates WDI'!$B$1:$CZ$600,30,FALSE)</f>
        <v>25.264194882982594</v>
      </c>
      <c r="AJ17" s="45" t="s">
        <v>2465</v>
      </c>
      <c r="AK17">
        <f>VLOOKUP($B17,[1]Data_Aspire!$B$1:$CZ$600,2,FALSE)</f>
        <v>2016</v>
      </c>
      <c r="AL17">
        <f>VLOOKUP($B17,[1]Data_Aspire!$B$1:$CZ$600,3,FALSE)</f>
        <v>1.85</v>
      </c>
      <c r="AM17">
        <f>VLOOKUP($B17,[1]Data_Aspire!$B$1:$CZ$600,4,FALSE)</f>
        <v>0.02</v>
      </c>
      <c r="AN17">
        <f>VLOOKUP($B17,[1]Data_Aspire!$B$1:$CZ$600,5,FALSE)</f>
        <v>0.03</v>
      </c>
      <c r="AO17">
        <f>VLOOKUP($B17,[1]Data_Aspire!$B$1:$CZ$600,6,FALSE)</f>
        <v>0</v>
      </c>
      <c r="AP17">
        <f>VLOOKUP($B17,[1]Data_Aspire!$B$1:$CZ$600,7,FALSE)</f>
        <v>0.35</v>
      </c>
      <c r="AQ17">
        <f>VLOOKUP($B17,[1]Data_Aspire!$B$1:$CZ$600,8,FALSE)</f>
        <v>0.27</v>
      </c>
      <c r="AR17">
        <f>VLOOKUP($B17,[1]Data_Aspire!$B$1:$CZ$600,9,FALSE)</f>
        <v>0.9</v>
      </c>
      <c r="AS17">
        <f>VLOOKUP($B17,[1]Data_Aspire!$B$1:$CZ$600,10,FALSE)</f>
        <v>0.06</v>
      </c>
      <c r="AT17">
        <f>VLOOKUP($B17,[1]Data_Aspire!$B$1:$CZ$600,11,FALSE)</f>
        <v>0.23</v>
      </c>
      <c r="AU17">
        <f>VLOOKUP($B17,[1]Data_Aspire!$B$1:$CZ$600,12,FALSE)</f>
        <v>1.8</v>
      </c>
      <c r="AV17">
        <f>VLOOKUP($B17,[1]Data_Aspire!$B$1:$CZ$600,13,FALSE)</f>
        <v>88500</v>
      </c>
      <c r="AW17">
        <f>VLOOKUP($B17,[1]Data_Aspire!$B$1:$CZ$600,14,FALSE)</f>
        <v>2016</v>
      </c>
      <c r="AX17">
        <f>VLOOKUP($B17,[1]Data_Aspire!$B$1:$CZ$600,15,FALSE)</f>
        <v>135000</v>
      </c>
      <c r="AY17">
        <f>VLOOKUP($B17,[1]Data_Aspire!$B$1:$CZ$600,16,FALSE)</f>
        <v>2015</v>
      </c>
      <c r="BB17">
        <f>VLOOKUP($B17,[1]Data_Aspire!$B$1:$CZ$600,19,FALSE)</f>
        <v>153499</v>
      </c>
      <c r="BC17">
        <f>VLOOKUP($B17,[1]Data_Aspire!$B$1:$CZ$600,20,FALSE)</f>
        <v>2016</v>
      </c>
      <c r="BD17">
        <f>VLOOKUP($B17,[1]Data_Aspire!$B$1:$CZ$600,21,FALSE)</f>
        <v>2906000</v>
      </c>
      <c r="BE17">
        <f>VLOOKUP($B17,[1]Data_Aspire!$B$1:$CZ$600,22,FALSE)</f>
        <v>2016</v>
      </c>
      <c r="BF17">
        <f>VLOOKUP($B17,[1]Data_Aspire!$B$1:$CZ$600,23,FALSE)</f>
        <v>128095</v>
      </c>
      <c r="BG17">
        <f>VLOOKUP($B17,[1]Data_Aspire!$B$1:$CZ$600,24,FALSE)</f>
        <v>2016</v>
      </c>
      <c r="BH17">
        <f>VLOOKUP($B17,[1]Data_Aspire!$B$1:$CZ$600,25,FALSE)</f>
        <v>702083</v>
      </c>
      <c r="BI17">
        <f>VLOOKUP($B17,[1]Data_Aspire!$B$1:$CZ$600,26,FALSE)</f>
        <v>2014</v>
      </c>
      <c r="BJ17" s="7">
        <v>1</v>
      </c>
      <c r="BK17">
        <v>854</v>
      </c>
      <c r="BL17">
        <f>VLOOKUP($B17,'[1]Data_UN_PopulationTot.&amp;%'!$B$4:$CZ$603,8,FALSE)</f>
        <v>20903.3</v>
      </c>
      <c r="BM17">
        <f>VLOOKUP($B17,'[1]Data_UN_PopulationTot.&amp;%'!$B$4:$CZ$603,9,FALSE)</f>
        <v>21497.1</v>
      </c>
      <c r="BN17">
        <v>22102.799999999999</v>
      </c>
      <c r="BO17">
        <f>VLOOKUP($B17,'[1]Data_UN_PopulationTot.&amp;%'!$B$4:$CZ$603,11,FALSE)</f>
        <v>22720.799999999999</v>
      </c>
      <c r="BP17">
        <f>VLOOKUP($B17,'[1]Data_UN_PopulationTot.&amp;%'!$B$4:$CZ$603,12,FALSE)</f>
        <v>23351.5</v>
      </c>
      <c r="BQ17">
        <f>VLOOKUP($B17,'[1]Data_UN_PopulationTot.&amp;%'!$B$4:$CZ$603,13,FALSE)</f>
        <v>23995.1</v>
      </c>
      <c r="BR17">
        <f>VLOOKUP($B17,'[1]Data_UN_PopulationTot.&amp;%'!$B$4:$CZ$603,14,FALSE)</f>
        <v>24651.8</v>
      </c>
      <c r="BS17">
        <f>VLOOKUP($B17,'[1]Data_UN_PopulationTot.&amp;%'!$B$4:$CZ$603,15,FALSE)</f>
        <v>25321.200000000001</v>
      </c>
      <c r="BT17">
        <f>VLOOKUP($B17,'[1]Data_UN_PopulationTot.&amp;%'!$B$4:$CZ$603,16,FALSE)</f>
        <v>26003.200000000001</v>
      </c>
      <c r="BU17">
        <f>VLOOKUP($B17,'[1]Data_UN_PopulationTot.&amp;%'!$B$4:$CZ$603,17,FALSE)</f>
        <v>26697.599999999999</v>
      </c>
      <c r="BV17">
        <f>VLOOKUP($B17,'[1]Data_UN_PopulationTot.&amp;%'!$B$4:$CZ$603,18,FALSE)</f>
        <v>27404</v>
      </c>
      <c r="BW17">
        <f>VLOOKUP($B17,'[1]Data_UN_PopulationTot.&amp;%'!$B$4:$CZ$603,61,FALSE)</f>
        <v>16.6121138767563</v>
      </c>
      <c r="BX17">
        <f>VLOOKUP($B17,'[1]Data_UN_PopulationTot.&amp;%'!$B$4:$CZ$603,62,FALSE)</f>
        <v>14.733128262044751</v>
      </c>
      <c r="BY17">
        <f>VLOOKUP($B17,'[1]Data_UN_PopulationTot.&amp;%'!$B$4:$CZ$603,63,FALSE)</f>
        <v>13.025024756856574</v>
      </c>
      <c r="BZ17">
        <f>VLOOKUP($B17,'[1]Data_UN_PopulationTot.&amp;%'!$B$4:$CZ$603,64,FALSE)</f>
        <v>11.036008668487751</v>
      </c>
      <c r="CA17">
        <f>VLOOKUP($B17,'[1]Data_UN_PopulationTot.&amp;%'!$B$4:$CZ$603,65,FALSE)</f>
        <v>9.1846263508632617</v>
      </c>
      <c r="CB17">
        <f>VLOOKUP($B17,'[1]Data_UN_PopulationTot.&amp;%'!$B$4:$CZ$603,66,FALSE)</f>
        <v>7.5976998847072004</v>
      </c>
      <c r="CC17">
        <f>VLOOKUP($B17,'[1]Data_UN_PopulationTot.&amp;%'!$B$4:$CZ$603,67,FALSE)</f>
        <v>6.3165146173092284</v>
      </c>
      <c r="CD17">
        <f>VLOOKUP($B17,'[1]Data_UN_PopulationTot.&amp;%'!$B$4:$CZ$603,68,FALSE)</f>
        <v>5.299019771997723</v>
      </c>
      <c r="CE17">
        <f>VLOOKUP($B17,'[1]Data_UN_PopulationTot.&amp;%'!$B$4:$CZ$603,69,FALSE)</f>
        <v>4.2722775829653692</v>
      </c>
      <c r="CF17">
        <f>VLOOKUP($B17,'[1]Data_UN_PopulationTot.&amp;%'!$B$4:$CZ$603,70,FALSE)</f>
        <v>3.3204613625599788</v>
      </c>
      <c r="CG17">
        <f>VLOOKUP($B17,'[1]Data_UN_PopulationTot.&amp;%'!$B$4:$CZ$603,71,FALSE)</f>
        <v>2.6482851989877196</v>
      </c>
      <c r="CH17">
        <f>VLOOKUP($B17,'[1]Data_UN_PopulationTot.&amp;%'!$B$4:$CZ$603,72,FALSE)</f>
        <v>2.0279620921098584</v>
      </c>
      <c r="CI17">
        <f>VLOOKUP($B17,'[1]Data_UN_PopulationTot.&amp;%'!$B$4:$CZ$603,73,FALSE)</f>
        <v>1.5157511015007199</v>
      </c>
      <c r="CJ17">
        <f>VLOOKUP($B17,'[1]Data_UN_PopulationTot.&amp;%'!$B$4:$CZ$603,74,FALSE)</f>
        <v>1.0622007051518181</v>
      </c>
      <c r="CK17">
        <f>VLOOKUP($B17,'[1]Data_UN_PopulationTot.&amp;%'!$B$4:$CZ$603,75,FALSE)</f>
        <v>0.70812264092272503</v>
      </c>
      <c r="CL17">
        <f>VLOOKUP($B17,'[1]Data_UN_PopulationTot.&amp;%'!$B$4:$CZ$603,76,FALSE)</f>
        <v>0.41245162247109302</v>
      </c>
      <c r="CM17">
        <f>VLOOKUP($B17,'[1]Data_UN_PopulationTot.&amp;%'!$B$4:$CZ$603,77,FALSE)</f>
        <v>0.1728578741155703</v>
      </c>
      <c r="CN17">
        <f>VLOOKUP($B17,'[1]Data_UN_PopulationTot.&amp;%'!$B$4:$CZ$603,78,FALSE)</f>
        <v>4.7231776800792213E-2</v>
      </c>
      <c r="CO17">
        <f>VLOOKUP($B17,'[1]Data_UN_PopulationTot.&amp;%'!$B$4:$CZ$603,79,FALSE)</f>
        <v>7.5538312132534102E-3</v>
      </c>
      <c r="CP17">
        <f>VLOOKUP($B17,'[1]Data_UN_PopulationTot.&amp;%'!$B$4:$CZ$603,80,FALSE)</f>
        <v>6.0277563829634552E-4</v>
      </c>
      <c r="CQ17">
        <f>VLOOKUP($B17,'[1]Data_UN_PopulationTot.&amp;%'!$B$4:$CZ$603,81,FALSE)</f>
        <v>4.7839336372725837E-6</v>
      </c>
      <c r="CR17">
        <f>VLOOKUP($B17,'[1]Data_UN_PopulationTot.&amp;%'!$B$4:$CZ$603,82,FALSE)</f>
        <v>15.175229893446213</v>
      </c>
      <c r="CS17">
        <f>VLOOKUP($B17,'[1]Data_UN_PopulationTot.&amp;%'!$B$4:$CZ$603,83,FALSE)</f>
        <v>13.626879287695226</v>
      </c>
      <c r="CT17">
        <f>VLOOKUP($B17,'[1]Data_UN_PopulationTot.&amp;%'!$B$4:$CZ$603,84,FALSE)</f>
        <v>12.301306378630859</v>
      </c>
      <c r="CU17">
        <f>VLOOKUP($B17,'[1]Data_UN_PopulationTot.&amp;%'!$B$4:$CZ$603,85,FALSE)</f>
        <v>11.023974602247847</v>
      </c>
      <c r="CV17">
        <f>VLOOKUP($B17,'[1]Data_UN_PopulationTot.&amp;%'!$B$4:$CZ$603,86,FALSE)</f>
        <v>9.6512917822215751</v>
      </c>
      <c r="CW17">
        <f>VLOOKUP($B17,'[1]Data_UN_PopulationTot.&amp;%'!$B$4:$CZ$603,87,FALSE)</f>
        <v>8.0480586775653187</v>
      </c>
      <c r="CX17">
        <f>VLOOKUP($B17,'[1]Data_UN_PopulationTot.&amp;%'!$B$4:$CZ$603,88,FALSE)</f>
        <v>6.6396511458181289</v>
      </c>
      <c r="CY17">
        <f>VLOOKUP($B17,'[1]Data_UN_PopulationTot.&amp;%'!$B$4:$CZ$603,89,FALSE)</f>
        <v>5.4785797693767329</v>
      </c>
      <c r="CZ17">
        <f>VLOOKUP($B17,'[1]Data_UN_PopulationTot.&amp;%'!$B$4:$CZ$603,90,FALSE)</f>
        <v>4.5426944971537004</v>
      </c>
      <c r="DA17">
        <f>VLOOKUP($B17,'[1]Data_UN_PopulationTot.&amp;%'!$B$4:$CZ$603,91,FALSE)</f>
        <v>3.7877682090205811</v>
      </c>
      <c r="DB17">
        <f>VLOOKUP($B17,'[1]Data_UN_PopulationTot.&amp;%'!$B$4:$CZ$603,92,FALSE)</f>
        <v>3.0124616844256309</v>
      </c>
      <c r="DC17">
        <f>VLOOKUP($B17,'[1]Data_UN_PopulationTot.&amp;%'!$B$4:$CZ$603,93,FALSE)</f>
        <v>2.2811085972850682</v>
      </c>
      <c r="DD17">
        <f>VLOOKUP($B17,'[1]Data_UN_PopulationTot.&amp;%'!$B$4:$CZ$603,94,FALSE)</f>
        <v>1.7370967741935484</v>
      </c>
      <c r="DE17">
        <f>VLOOKUP($B17,'[1]Data_UN_PopulationTot.&amp;%'!$B$4:$CZ$603,95,FALSE)</f>
        <v>1.2253831557436869</v>
      </c>
      <c r="DF17">
        <f>VLOOKUP($B17,'[1]Data_UN_PopulationTot.&amp;%'!$B$4:$CZ$603,96,FALSE)</f>
        <v>0.79270909356298347</v>
      </c>
      <c r="DG17">
        <f>VLOOKUP($B17,'[1]Data_UN_PopulationTot.&amp;%'!$B$4:$CZ$603,97,FALSE)</f>
        <v>0.42942636111516563</v>
      </c>
      <c r="DH17">
        <f>VLOOKUP($B17,'[1]Data_UN_PopulationTot.&amp;%'!$B$4:$CZ$603,98,FALSE)</f>
        <v>0.18397314260691869</v>
      </c>
      <c r="DI17">
        <f>VLOOKUP($B17,'[1]Data_UN_PopulationTot.&amp;%'!$B$4:$CZ$603,99,FALSE)</f>
        <v>5.3517734637279227E-2</v>
      </c>
      <c r="DJ17">
        <f>VLOOKUP($B17,'[1]Data_UN_PopulationTot.&amp;%'!$B$4:$DE$603,100,FALSE)</f>
        <v>8.3929353379068733E-3</v>
      </c>
      <c r="DK17">
        <f>VLOOKUP($B17,'[1]Data_UN_PopulationTot.&amp;%'!$B$4:$DE$603,101,FALSE)</f>
        <v>6.5318931542840462E-4</v>
      </c>
      <c r="DL17">
        <f>VLOOKUP($B17,'[1]Data_UN_PopulationTot.&amp;%'!$B$4:$DE$603,102,FALSE)</f>
        <v>7.2982046416581514E-6</v>
      </c>
    </row>
    <row r="18" spans="1:116">
      <c r="A18" t="s">
        <v>149</v>
      </c>
      <c r="B18" t="s">
        <v>363</v>
      </c>
      <c r="C18" t="s">
        <v>483</v>
      </c>
      <c r="D18" t="s">
        <v>334</v>
      </c>
      <c r="E18" t="s">
        <v>300</v>
      </c>
      <c r="F18">
        <v>0</v>
      </c>
      <c r="G18">
        <v>1</v>
      </c>
      <c r="H18">
        <v>0</v>
      </c>
      <c r="I18">
        <v>0</v>
      </c>
      <c r="J18" s="18">
        <f t="shared" si="1"/>
        <v>2684.2718187599999</v>
      </c>
      <c r="K18">
        <f>VLOOKUP($B18,'[1]Source GDP Current USD'!$B$1:$CZ$600,64,FALSE)</f>
        <v>323056957972.31201</v>
      </c>
      <c r="L18" s="45">
        <f>VLOOKUP($B18,'[1]Source GDP Current USD'!$B$1:$CZ$600,65,FALSE)</f>
        <v>323056957972.31201</v>
      </c>
      <c r="M18" s="17">
        <f>VLOOKUP($B18,'[1]Source GDP Current LCU'!$B$1:$CZ$600,64,FALSE)</f>
        <v>27393324000000</v>
      </c>
      <c r="N18" s="45">
        <f>VLOOKUP($B18,'[1]Source GDP Current LCU'!$B$1:$CZ$600,65,FALSE)</f>
        <v>27393324000000</v>
      </c>
      <c r="O18" s="45">
        <f>VLOOKUP($B18,'[1]Source GNI Current USD'!$B$1:$CZ$600,64,FALSE)</f>
        <v>338847844366.53003</v>
      </c>
      <c r="P18" s="45">
        <f>VLOOKUP($B18,'[1]Source GNI Current LCU'!$B$1:$CZ$600,64,FALSE)</f>
        <v>28732298000000</v>
      </c>
      <c r="Q18">
        <f t="shared" si="0"/>
        <v>95.339829762311396</v>
      </c>
      <c r="R18">
        <f>VLOOKUP($B18,'[1]Source GNI PC Atlas'!$B$1:$CZ$600,64,FALSE)</f>
        <v>2030</v>
      </c>
      <c r="S18">
        <f>VLOOKUP($B18,'[1]Source GNI PC Atlas'!$B$1:$CZ$600,65,FALSE)</f>
        <v>2030</v>
      </c>
      <c r="T18">
        <f>VLOOKUP($B18,[1]Source_PPP_Conversion!$B$1:$CZ$600,65,FALSE)</f>
        <v>0.38173693933300101</v>
      </c>
      <c r="U18">
        <f>VLOOKUP($B18,'[1]Source PopulationTotal'!$B$1:$CZ$600,65,FALSE)</f>
        <v>164689383</v>
      </c>
      <c r="V18">
        <f>VLOOKUP($B18,'[1]Source Gov. Revenue WEO'!$B$1:$CZ$600,4,FALSE)</f>
        <v>9.7989999999999995</v>
      </c>
      <c r="W18">
        <f>VLOOKUP($B18,'[1]Source Gov. Revenue WEO'!$B$1:$CZ$600,5,FALSE)</f>
        <v>10.132999999999999</v>
      </c>
      <c r="X18">
        <f>VLOOKUP($B18,'[1]Source Gov. Revenue WEO'!$B$1:$CZ$600,6,FALSE)</f>
        <v>10.226000000000001</v>
      </c>
      <c r="Y18">
        <f>VLOOKUP($B18,'[1]Source Gov. Revenue WEO'!$B$1:$CZ$600,7,FALSE)</f>
        <v>10.257999999999999</v>
      </c>
      <c r="Z18">
        <f>VLOOKUP($B18,'[1]Source Gov. Revenue WEO'!$B$1:$CZ$600,8,FALSE)</f>
        <v>10.29</v>
      </c>
      <c r="AA18">
        <f>VLOOKUP($B18,'[1]Source Gov. Revenue WEO'!$B$1:$CZ$600,9,FALSE)</f>
        <v>10.445</v>
      </c>
      <c r="AB18">
        <f>VLOOKUP($B18,'[1]Source Gov. Revenue WEO'!$B$1:$CZ$600,10,FALSE)</f>
        <v>10.496</v>
      </c>
      <c r="AC18">
        <f>VLOOKUP($B18,[2]Summary!$B$1:$CZ$600,39,FALSE)</f>
        <v>7.8372700000000003E-2</v>
      </c>
      <c r="AD18">
        <f>VLOOKUP($B18,[2]Summary!$B$1:$CZ$600,40,FALSE)</f>
        <v>1.4999999999999999E-2</v>
      </c>
      <c r="AE18">
        <f>VLOOKUP($B18,[2]Summary!$B$1:$CZ$600,47,FALSE)</f>
        <v>0.15</v>
      </c>
      <c r="AF18">
        <f>VLOOKUP($B18,'[1]CALC GDP Growth rates WDI'!$B$1:$CZ$600,27,FALSE)</f>
        <v>88.536096720284903</v>
      </c>
      <c r="AG18">
        <f>VLOOKUP($B18,'[1]CALC GDP Growth rates WDI'!$B$1:$CZ$600,29,FALSE)</f>
        <v>79.346527820066456</v>
      </c>
      <c r="AH18">
        <f>VLOOKUP($B18,'[1]CALC GDP Growth rates WDI'!$B$1:$CZ$600,28,FALSE)</f>
        <v>38.762239467120551</v>
      </c>
      <c r="AI18">
        <f>VLOOKUP($B18,'[1]CALC GDP Growth rates WDI'!$B$1:$CZ$600,30,FALSE)</f>
        <v>33.225113208653397</v>
      </c>
      <c r="AJ18" t="s">
        <v>2466</v>
      </c>
      <c r="AK18">
        <f>VLOOKUP($B18,[1]Data_Aspire!$B$1:$CZ$600,2,FALSE)</f>
        <v>2016</v>
      </c>
      <c r="AL18">
        <f>VLOOKUP($B18,[1]Data_Aspire!$B$1:$CZ$600,3,FALSE)</f>
        <v>0.99</v>
      </c>
      <c r="AM18">
        <f>VLOOKUP($B18,[1]Data_Aspire!$B$1:$CZ$600,4,FALSE)</f>
        <v>0.15</v>
      </c>
      <c r="AN18">
        <f>VLOOKUP($B18,[1]Data_Aspire!$B$1:$CZ$600,5,FALSE)</f>
        <v>0.06</v>
      </c>
      <c r="AO18">
        <f>VLOOKUP($B18,[1]Data_Aspire!$B$1:$CZ$600,6,FALSE)</f>
        <v>0.28000000000000003</v>
      </c>
      <c r="AP18">
        <f>VLOOKUP($B18,[1]Data_Aspire!$B$1:$CZ$600,7,FALSE)</f>
        <v>0.02</v>
      </c>
      <c r="AQ18">
        <f>VLOOKUP($B18,[1]Data_Aspire!$B$1:$CZ$600,8,FALSE)</f>
        <v>0.25</v>
      </c>
      <c r="AR18">
        <f>VLOOKUP($B18,[1]Data_Aspire!$B$1:$CZ$600,9,FALSE)</f>
        <v>0.19</v>
      </c>
      <c r="AS18">
        <f>VLOOKUP($B18,[1]Data_Aspire!$B$1:$CZ$600,10,FALSE)</f>
        <v>0.01</v>
      </c>
      <c r="AT18">
        <f>VLOOKUP($B18,[1]Data_Aspire!$B$1:$CZ$600,11,FALSE)</f>
        <v>0.03</v>
      </c>
      <c r="AU18">
        <f>VLOOKUP($B18,[1]Data_Aspire!$B$1:$CZ$600,12,FALSE)</f>
        <v>0.99</v>
      </c>
      <c r="AV18">
        <f>VLOOKUP($B18,[1]Data_Aspire!$B$1:$CZ$600,13,FALSE)</f>
        <v>7800000</v>
      </c>
      <c r="AW18">
        <f>VLOOKUP($B18,[1]Data_Aspire!$B$1:$CZ$600,14,FALSE)</f>
        <v>2013</v>
      </c>
      <c r="AX18">
        <f>VLOOKUP($B18,[1]Data_Aspire!$B$1:$CZ$600,15,FALSE)</f>
        <v>1150000</v>
      </c>
      <c r="AY18">
        <f>VLOOKUP($B18,[1]Data_Aspire!$B$1:$CZ$600,16,FALSE)</f>
        <v>2016</v>
      </c>
      <c r="AZ18">
        <f>VLOOKUP($B18,[1]Data_Aspire!$B$1:$CZ$600,17,FALSE)</f>
        <v>3150000</v>
      </c>
      <c r="BA18">
        <f>VLOOKUP($B18,[1]Data_Aspire!$B$1:$CZ$600,18,FALSE)</f>
        <v>2016</v>
      </c>
      <c r="BB18">
        <f>VLOOKUP($B18,[1]Data_Aspire!$B$1:$CZ$600,19,FALSE)</f>
        <v>42647316</v>
      </c>
      <c r="BC18">
        <f>VLOOKUP($B18,[1]Data_Aspire!$B$1:$CZ$600,20,FALSE)</f>
        <v>2016</v>
      </c>
      <c r="BD18">
        <f>VLOOKUP($B18,[1]Data_Aspire!$B$1:$CZ$600,21,FALSE)</f>
        <v>3003124</v>
      </c>
      <c r="BE18">
        <f>VLOOKUP($B18,[1]Data_Aspire!$B$1:$CZ$600,22,FALSE)</f>
        <v>2015</v>
      </c>
      <c r="BF18">
        <f>VLOOKUP($B18,[1]Data_Aspire!$B$1:$CZ$600,23,FALSE)</f>
        <v>96700</v>
      </c>
      <c r="BG18">
        <f>VLOOKUP($B18,[1]Data_Aspire!$B$1:$CZ$600,24,FALSE)</f>
        <v>2018</v>
      </c>
      <c r="BH18">
        <f>VLOOKUP($B18,[1]Data_Aspire!$B$1:$CZ$600,25,FALSE)</f>
        <v>2500</v>
      </c>
      <c r="BI18">
        <f>VLOOKUP($B18,[1]Data_Aspire!$B$1:$CZ$600,26,FALSE)</f>
        <v>2015</v>
      </c>
      <c r="BJ18" s="7">
        <v>0</v>
      </c>
      <c r="BK18">
        <v>50</v>
      </c>
      <c r="BL18">
        <f>VLOOKUP($B18,'[1]Data_UN_PopulationTot.&amp;%'!$B$4:$CZ$603,8,FALSE)</f>
        <v>164689</v>
      </c>
      <c r="BM18">
        <f>VLOOKUP($B18,'[1]Data_UN_PopulationTot.&amp;%'!$B$4:$CZ$603,9,FALSE)</f>
        <v>166304</v>
      </c>
      <c r="BN18">
        <v>167886</v>
      </c>
      <c r="BO18">
        <f>VLOOKUP($B18,'[1]Data_UN_PopulationTot.&amp;%'!$B$4:$CZ$603,11,FALSE)</f>
        <v>169432</v>
      </c>
      <c r="BP18">
        <f>VLOOKUP($B18,'[1]Data_UN_PopulationTot.&amp;%'!$B$4:$CZ$603,12,FALSE)</f>
        <v>170937</v>
      </c>
      <c r="BQ18">
        <f>VLOOKUP($B18,'[1]Data_UN_PopulationTot.&amp;%'!$B$4:$CZ$603,13,FALSE)</f>
        <v>172399</v>
      </c>
      <c r="BR18">
        <f>VLOOKUP($B18,'[1]Data_UN_PopulationTot.&amp;%'!$B$4:$CZ$603,14,FALSE)</f>
        <v>173814</v>
      </c>
      <c r="BS18">
        <f>VLOOKUP($B18,'[1]Data_UN_PopulationTot.&amp;%'!$B$4:$CZ$603,15,FALSE)</f>
        <v>175180</v>
      </c>
      <c r="BT18">
        <f>VLOOKUP($B18,'[1]Data_UN_PopulationTot.&amp;%'!$B$4:$CZ$603,16,FALSE)</f>
        <v>176498</v>
      </c>
      <c r="BU18">
        <f>VLOOKUP($B18,'[1]Data_UN_PopulationTot.&amp;%'!$B$4:$CZ$603,17,FALSE)</f>
        <v>177769</v>
      </c>
      <c r="BV18">
        <f>VLOOKUP($B18,'[1]Data_UN_PopulationTot.&amp;%'!$B$4:$CZ$603,18,FALSE)</f>
        <v>178994</v>
      </c>
      <c r="BW18">
        <f>VLOOKUP($B18,'[1]Data_UN_PopulationTot.&amp;%'!$B$4:$CZ$603,61,FALSE)</f>
        <v>8.7001560517095857</v>
      </c>
      <c r="BX18">
        <f>VLOOKUP($B18,'[1]Data_UN_PopulationTot.&amp;%'!$B$4:$CZ$603,62,FALSE)</f>
        <v>8.892154302958911</v>
      </c>
      <c r="BY18">
        <f>VLOOKUP($B18,'[1]Data_UN_PopulationTot.&amp;%'!$B$4:$CZ$603,63,FALSE)</f>
        <v>9.1622998500203412</v>
      </c>
      <c r="BZ18">
        <f>VLOOKUP($B18,'[1]Data_UN_PopulationTot.&amp;%'!$B$4:$CZ$603,64,FALSE)</f>
        <v>9.4633521364511299</v>
      </c>
      <c r="CA18">
        <f>VLOOKUP($B18,'[1]Data_UN_PopulationTot.&amp;%'!$B$4:$CZ$603,65,FALSE)</f>
        <v>9.2533198938605494</v>
      </c>
      <c r="CB18">
        <f>VLOOKUP($B18,'[1]Data_UN_PopulationTot.&amp;%'!$B$4:$CZ$603,66,FALSE)</f>
        <v>8.8201397786130222</v>
      </c>
      <c r="CC18">
        <f>VLOOKUP($B18,'[1]Data_UN_PopulationTot.&amp;%'!$B$4:$CZ$603,67,FALSE)</f>
        <v>8.3570244521492025</v>
      </c>
      <c r="CD18">
        <f>VLOOKUP($B18,'[1]Data_UN_PopulationTot.&amp;%'!$B$4:$CZ$603,68,FALSE)</f>
        <v>7.7409541620873279</v>
      </c>
      <c r="CE18">
        <f>VLOOKUP($B18,'[1]Data_UN_PopulationTot.&amp;%'!$B$4:$CZ$603,69,FALSE)</f>
        <v>6.8160593603701525</v>
      </c>
      <c r="CF18">
        <f>VLOOKUP($B18,'[1]Data_UN_PopulationTot.&amp;%'!$B$4:$CZ$603,70,FALSE)</f>
        <v>5.7235091596888683</v>
      </c>
      <c r="CG18">
        <f>VLOOKUP($B18,'[1]Data_UN_PopulationTot.&amp;%'!$B$4:$CZ$603,71,FALSE)</f>
        <v>5.0427108064290884</v>
      </c>
      <c r="CH18">
        <f>VLOOKUP($B18,'[1]Data_UN_PopulationTot.&amp;%'!$B$4:$CZ$603,72,FALSE)</f>
        <v>4.0688266975936465</v>
      </c>
      <c r="CI18">
        <f>VLOOKUP($B18,'[1]Data_UN_PopulationTot.&amp;%'!$B$4:$CZ$603,73,FALSE)</f>
        <v>2.7326597404805422</v>
      </c>
      <c r="CJ18">
        <f>VLOOKUP($B18,'[1]Data_UN_PopulationTot.&amp;%'!$B$4:$CZ$603,74,FALSE)</f>
        <v>1.6980186897728444</v>
      </c>
      <c r="CK18">
        <f>VLOOKUP($B18,'[1]Data_UN_PopulationTot.&amp;%'!$B$4:$CZ$603,75,FALSE)</f>
        <v>1.431279563298095</v>
      </c>
      <c r="CL18">
        <f>VLOOKUP($B18,'[1]Data_UN_PopulationTot.&amp;%'!$B$4:$CZ$603,76,FALSE)</f>
        <v>1.0557171395782354</v>
      </c>
      <c r="CM18">
        <f>VLOOKUP($B18,'[1]Data_UN_PopulationTot.&amp;%'!$B$4:$CZ$603,77,FALSE)</f>
        <v>0.62016892445761407</v>
      </c>
      <c r="CN18">
        <f>VLOOKUP($B18,'[1]Data_UN_PopulationTot.&amp;%'!$B$4:$CZ$603,78,FALSE)</f>
        <v>0.29329888456423925</v>
      </c>
      <c r="CO18">
        <f>VLOOKUP($B18,'[1]Data_UN_PopulationTot.&amp;%'!$B$4:$CZ$603,79,FALSE)</f>
        <v>0.10148097322832733</v>
      </c>
      <c r="CP18">
        <f>VLOOKUP($B18,'[1]Data_UN_PopulationTot.&amp;%'!$B$4:$CZ$603,80,FALSE)</f>
        <v>2.3569272993338962E-2</v>
      </c>
      <c r="CQ18">
        <f>VLOOKUP($B18,'[1]Data_UN_PopulationTot.&amp;%'!$B$4:$CZ$603,81,FALSE)</f>
        <v>3.4859644542136995E-3</v>
      </c>
      <c r="CR18">
        <f>VLOOKUP($B18,'[1]Data_UN_PopulationTot.&amp;%'!$B$4:$CZ$603,82,FALSE)</f>
        <v>7.2445445098718393</v>
      </c>
      <c r="CS18">
        <f>VLOOKUP($B18,'[1]Data_UN_PopulationTot.&amp;%'!$B$4:$CZ$603,83,FALSE)</f>
        <v>7.6713185916846376</v>
      </c>
      <c r="CT18">
        <f>VLOOKUP($B18,'[1]Data_UN_PopulationTot.&amp;%'!$B$4:$CZ$603,84,FALSE)</f>
        <v>7.9366347475334376</v>
      </c>
      <c r="CU18">
        <f>VLOOKUP($B18,'[1]Data_UN_PopulationTot.&amp;%'!$B$4:$CZ$603,85,FALSE)</f>
        <v>8.0156876766818996</v>
      </c>
      <c r="CV18">
        <f>VLOOKUP($B18,'[1]Data_UN_PopulationTot.&amp;%'!$B$4:$CZ$603,86,FALSE)</f>
        <v>8.1055230901594477</v>
      </c>
      <c r="CW18">
        <f>VLOOKUP($B18,'[1]Data_UN_PopulationTot.&amp;%'!$B$4:$CZ$603,87,FALSE)</f>
        <v>8.3797780931204393</v>
      </c>
      <c r="CX18">
        <f>VLOOKUP($B18,'[1]Data_UN_PopulationTot.&amp;%'!$B$4:$CZ$603,88,FALSE)</f>
        <v>8.2439634848095462</v>
      </c>
      <c r="CY18">
        <f>VLOOKUP($B18,'[1]Data_UN_PopulationTot.&amp;%'!$B$4:$CZ$603,89,FALSE)</f>
        <v>7.8245639518643078</v>
      </c>
      <c r="CZ18">
        <f>VLOOKUP($B18,'[1]Data_UN_PopulationTot.&amp;%'!$B$4:$CZ$603,90,FALSE)</f>
        <v>7.3988513581460831</v>
      </c>
      <c r="DA18">
        <f>VLOOKUP($B18,'[1]Data_UN_PopulationTot.&amp;%'!$B$4:$CZ$603,91,FALSE)</f>
        <v>6.8114014994916028</v>
      </c>
      <c r="DB18">
        <f>VLOOKUP($B18,'[1]Data_UN_PopulationTot.&amp;%'!$B$4:$CZ$603,92,FALSE)</f>
        <v>5.9083544699822337</v>
      </c>
      <c r="DC18">
        <f>VLOOKUP($B18,'[1]Data_UN_PopulationTot.&amp;%'!$B$4:$CZ$603,93,FALSE)</f>
        <v>4.8734035777735567</v>
      </c>
      <c r="DD18">
        <f>VLOOKUP($B18,'[1]Data_UN_PopulationTot.&amp;%'!$B$4:$CZ$603,94,FALSE)</f>
        <v>4.1376638323072283</v>
      </c>
      <c r="DE18">
        <f>VLOOKUP($B18,'[1]Data_UN_PopulationTot.&amp;%'!$B$4:$CZ$603,95,FALSE)</f>
        <v>3.1267305049331262</v>
      </c>
      <c r="DF18">
        <f>VLOOKUP($B18,'[1]Data_UN_PopulationTot.&amp;%'!$B$4:$CZ$603,96,FALSE)</f>
        <v>1.912606009139971</v>
      </c>
      <c r="DG18">
        <f>VLOOKUP($B18,'[1]Data_UN_PopulationTot.&amp;%'!$B$4:$CZ$603,97,FALSE)</f>
        <v>1.0500296099310591</v>
      </c>
      <c r="DH18">
        <f>VLOOKUP($B18,'[1]Data_UN_PopulationTot.&amp;%'!$B$4:$CZ$603,98,FALSE)</f>
        <v>0.74016447478686431</v>
      </c>
      <c r="DI18">
        <f>VLOOKUP($B18,'[1]Data_UN_PopulationTot.&amp;%'!$B$4:$CZ$603,99,FALSE)</f>
        <v>0.40644546744583621</v>
      </c>
      <c r="DJ18">
        <f>VLOOKUP($B18,'[1]Data_UN_PopulationTot.&amp;%'!$B$4:$DE$603,100,FALSE)</f>
        <v>0.15689576186911294</v>
      </c>
      <c r="DK18">
        <f>VLOOKUP($B18,'[1]Data_UN_PopulationTot.&amp;%'!$B$4:$DE$603,101,FALSE)</f>
        <v>4.5241181268645875E-2</v>
      </c>
      <c r="DL18">
        <f>VLOOKUP($B18,'[1]Data_UN_PopulationTot.&amp;%'!$B$4:$DE$603,102,FALSE)</f>
        <v>1.0031062493714871E-2</v>
      </c>
    </row>
    <row r="19" spans="1:116">
      <c r="A19" t="s">
        <v>220</v>
      </c>
      <c r="B19" t="s">
        <v>435</v>
      </c>
      <c r="C19" t="s">
        <v>485</v>
      </c>
      <c r="D19" t="s">
        <v>389</v>
      </c>
      <c r="E19" t="s">
        <v>301</v>
      </c>
      <c r="F19">
        <v>0</v>
      </c>
      <c r="G19">
        <v>0</v>
      </c>
      <c r="H19">
        <v>1</v>
      </c>
      <c r="I19">
        <v>0</v>
      </c>
      <c r="J19" s="18">
        <f t="shared" si="1"/>
        <v>42.504667678449998</v>
      </c>
      <c r="K19">
        <f>VLOOKUP($B19,'[1]Source GDP Current USD'!$B$1:$CZ$600,64,FALSE)</f>
        <v>69889347433.432404</v>
      </c>
      <c r="L19" s="45">
        <f>VLOOKUP($B19,'[1]Source GDP Current USD'!$B$1:$CZ$600,65,FALSE)</f>
        <v>69889347433.432404</v>
      </c>
      <c r="M19" s="17">
        <f>VLOOKUP($B19,'[1]Source GDP Current LCU'!$B$1:$CZ$600,64,FALSE)</f>
        <v>119951087000</v>
      </c>
      <c r="N19" s="45">
        <f>VLOOKUP($B19,'[1]Source GDP Current LCU'!$B$1:$CZ$600,65,FALSE)</f>
        <v>119951087000</v>
      </c>
      <c r="O19" s="45">
        <f>VLOOKUP($B19,'[1]Source GNI Current USD'!$B$1:$CZ$600,64,FALSE)</f>
        <v>68559607877.410698</v>
      </c>
      <c r="P19" s="45">
        <f>VLOOKUP($B19,'[1]Source GNI Current LCU'!$B$1:$CZ$600,64,FALSE)</f>
        <v>117668855000</v>
      </c>
      <c r="Q19">
        <f t="shared" si="0"/>
        <v>101.93953786666829</v>
      </c>
      <c r="R19">
        <f>VLOOKUP($B19,'[1]Source GNI PC Atlas'!$B$1:$CZ$600,64,FALSE)</f>
        <v>9630</v>
      </c>
      <c r="S19">
        <f>VLOOKUP($B19,'[1]Source GNI PC Atlas'!$B$1:$CZ$600,65,FALSE)</f>
        <v>9630</v>
      </c>
      <c r="T19">
        <f>VLOOKUP($B19,[1]Source_PPP_Conversion!$B$1:$CZ$600,65,FALSE)</f>
        <v>0.40949341504697101</v>
      </c>
      <c r="U19">
        <f>VLOOKUP($B19,'[1]Source PopulationTotal'!$B$1:$CZ$600,65,FALSE)</f>
        <v>6934015</v>
      </c>
      <c r="V19">
        <f>VLOOKUP($B19,'[1]Source Gov. Revenue WEO'!$B$1:$CZ$600,4,FALSE)</f>
        <v>35.435000000000002</v>
      </c>
      <c r="W19">
        <f>VLOOKUP($B19,'[1]Source Gov. Revenue WEO'!$B$1:$CZ$600,5,FALSE)</f>
        <v>36.747</v>
      </c>
      <c r="X19">
        <f>VLOOKUP($B19,'[1]Source Gov. Revenue WEO'!$B$1:$CZ$600,6,FALSE)</f>
        <v>34.409999999999997</v>
      </c>
      <c r="Y19">
        <f>VLOOKUP($B19,'[1]Source Gov. Revenue WEO'!$B$1:$CZ$600,7,FALSE)</f>
        <v>34.436999999999998</v>
      </c>
      <c r="Z19">
        <f>VLOOKUP($B19,'[1]Source Gov. Revenue WEO'!$B$1:$CZ$600,8,FALSE)</f>
        <v>35.320999999999998</v>
      </c>
      <c r="AA19">
        <f>VLOOKUP($B19,'[1]Source Gov. Revenue WEO'!$B$1:$CZ$600,9,FALSE)</f>
        <v>35.892000000000003</v>
      </c>
      <c r="AB19">
        <f>VLOOKUP($B19,'[1]Source Gov. Revenue WEO'!$B$1:$CZ$600,10,FALSE)</f>
        <v>36.189</v>
      </c>
      <c r="AC19">
        <f>VLOOKUP($B19,[2]Summary!$B$1:$CZ$600,39,FALSE)</f>
        <v>1.328792E-2</v>
      </c>
      <c r="AD19">
        <f>VLOOKUP($B19,[2]Summary!$B$1:$CZ$600,40,FALSE)</f>
        <v>5.5000000000000005E-3</v>
      </c>
      <c r="AE19">
        <f>VLOOKUP($B19,[2]Summary!$B$1:$CZ$600,47,FALSE)</f>
        <v>0.45398304296217196</v>
      </c>
      <c r="AF19">
        <f>VLOOKUP($B19,'[1]CALC GDP Growth rates WDI'!$B$1:$CZ$600,27,FALSE)</f>
        <v>15.537652231425907</v>
      </c>
      <c r="AG19">
        <f>VLOOKUP($B19,'[1]CALC GDP Growth rates WDI'!$B$1:$CZ$600,29,FALSE)</f>
        <v>17.923955994109054</v>
      </c>
      <c r="AH19">
        <f>VLOOKUP($B19,'[1]CALC GDP Growth rates WDI'!$B$1:$CZ$600,28,FALSE)</f>
        <v>8.1558850244624708</v>
      </c>
      <c r="AI19">
        <f>VLOOKUP($B19,'[1]CALC GDP Growth rates WDI'!$B$1:$CZ$600,30,FALSE)</f>
        <v>12.440340119587056</v>
      </c>
      <c r="AK19">
        <f>VLOOKUP($B19,[1]Data_Aspire!$B$1:$CZ$600,2,FALSE)</f>
        <v>2017</v>
      </c>
      <c r="AL19">
        <f>VLOOKUP($B19,[1]Data_Aspire!$B$1:$CZ$600,3,FALSE)</f>
        <v>1.08</v>
      </c>
      <c r="AM19">
        <f>VLOOKUP($B19,[1]Data_Aspire!$B$1:$CZ$600,4,FALSE)</f>
        <v>0.3</v>
      </c>
      <c r="AN19">
        <f>VLOOKUP($B19,[1]Data_Aspire!$B$1:$CZ$600,5,FALSE)</f>
        <v>0.08</v>
      </c>
      <c r="AO19">
        <f>VLOOKUP($B19,[1]Data_Aspire!$B$1:$CZ$600,6,FALSE)</f>
        <v>0.56000000000000005</v>
      </c>
      <c r="AP19">
        <f>VLOOKUP($B19,[1]Data_Aspire!$B$1:$CZ$600,7,FALSE)</f>
        <v>0</v>
      </c>
      <c r="AQ19">
        <f>VLOOKUP($B19,[1]Data_Aspire!$B$1:$CZ$600,8,FALSE)</f>
        <v>0.04</v>
      </c>
      <c r="AR19">
        <f>VLOOKUP($B19,[1]Data_Aspire!$B$1:$CZ$600,9,FALSE)</f>
        <v>0.01</v>
      </c>
      <c r="AS19">
        <f>VLOOKUP($B19,[1]Data_Aspire!$B$1:$CZ$600,10,FALSE)</f>
        <v>7.0000000000000007E-2</v>
      </c>
      <c r="AT19">
        <f>VLOOKUP($B19,[1]Data_Aspire!$B$1:$CZ$600,11,FALSE)</f>
        <v>0.01</v>
      </c>
      <c r="AU19">
        <f>VLOOKUP($B19,[1]Data_Aspire!$B$1:$CZ$600,12,FALSE)</f>
        <v>1.08</v>
      </c>
      <c r="AX19">
        <f>VLOOKUP($B19,[1]Data_Aspire!$B$1:$CZ$600,15,FALSE)</f>
        <v>1875180</v>
      </c>
      <c r="AY19">
        <f>VLOOKUP($B19,[1]Data_Aspire!$B$1:$CZ$600,16,FALSE)</f>
        <v>2017</v>
      </c>
      <c r="BB19">
        <f>VLOOKUP($B19,[1]Data_Aspire!$B$1:$CZ$600,19,FALSE)</f>
        <v>38489</v>
      </c>
      <c r="BC19">
        <f>VLOOKUP($B19,[1]Data_Aspire!$B$1:$CZ$600,20,FALSE)</f>
        <v>2017</v>
      </c>
      <c r="BF19">
        <f>VLOOKUP($B19,[1]Data_Aspire!$B$1:$CZ$600,23,FALSE)</f>
        <v>9543</v>
      </c>
      <c r="BG19">
        <f>VLOOKUP($B19,[1]Data_Aspire!$B$1:$CZ$600,24,FALSE)</f>
        <v>2015</v>
      </c>
      <c r="BH19">
        <f>VLOOKUP($B19,[1]Data_Aspire!$B$1:$CZ$600,25,FALSE)</f>
        <v>204635</v>
      </c>
      <c r="BI19">
        <f>VLOOKUP($B19,[1]Data_Aspire!$B$1:$CZ$600,26,FALSE)</f>
        <v>2017</v>
      </c>
      <c r="BJ19" s="7">
        <v>0</v>
      </c>
      <c r="BK19">
        <v>100</v>
      </c>
      <c r="BL19">
        <f>VLOOKUP($B19,'[1]Data_UN_PopulationTot.&amp;%'!$B$4:$CZ$603,8,FALSE)</f>
        <v>6948.44</v>
      </c>
      <c r="BM19">
        <f>VLOOKUP($B19,'[1]Data_UN_PopulationTot.&amp;%'!$B$4:$CZ$603,9,FALSE)</f>
        <v>6896.65</v>
      </c>
      <c r="BN19">
        <v>6844.59</v>
      </c>
      <c r="BO19">
        <f>VLOOKUP($B19,'[1]Data_UN_PopulationTot.&amp;%'!$B$4:$CZ$603,11,FALSE)</f>
        <v>6792.23</v>
      </c>
      <c r="BP19">
        <f>VLOOKUP($B19,'[1]Data_UN_PopulationTot.&amp;%'!$B$4:$CZ$603,12,FALSE)</f>
        <v>6739.54</v>
      </c>
      <c r="BQ19">
        <f>VLOOKUP($B19,'[1]Data_UN_PopulationTot.&amp;%'!$B$4:$CZ$603,13,FALSE)</f>
        <v>6686.47</v>
      </c>
      <c r="BR19">
        <f>VLOOKUP($B19,'[1]Data_UN_PopulationTot.&amp;%'!$B$4:$CZ$603,14,FALSE)</f>
        <v>6633.11</v>
      </c>
      <c r="BS19">
        <f>VLOOKUP($B19,'[1]Data_UN_PopulationTot.&amp;%'!$B$4:$CZ$603,15,FALSE)</f>
        <v>6579.5</v>
      </c>
      <c r="BT19">
        <f>VLOOKUP($B19,'[1]Data_UN_PopulationTot.&amp;%'!$B$4:$CZ$603,16,FALSE)</f>
        <v>6525.61</v>
      </c>
      <c r="BU19">
        <f>VLOOKUP($B19,'[1]Data_UN_PopulationTot.&amp;%'!$B$4:$CZ$603,17,FALSE)</f>
        <v>6471.37</v>
      </c>
      <c r="BV19">
        <f>VLOOKUP($B19,'[1]Data_UN_PopulationTot.&amp;%'!$B$4:$CZ$603,18,FALSE)</f>
        <v>6416.75</v>
      </c>
      <c r="BW19">
        <f>VLOOKUP($B19,'[1]Data_UN_PopulationTot.&amp;%'!$B$4:$CZ$603,61,FALSE)</f>
        <v>4.5007224643229273</v>
      </c>
      <c r="BX19">
        <f>VLOOKUP($B19,'[1]Data_UN_PopulationTot.&amp;%'!$B$4:$CZ$603,62,FALSE)</f>
        <v>4.845001180121006</v>
      </c>
      <c r="BY19">
        <f>VLOOKUP($B19,'[1]Data_UN_PopulationTot.&amp;%'!$B$4:$CZ$603,63,FALSE)</f>
        <v>5.3337583687849364</v>
      </c>
      <c r="BZ19">
        <f>VLOOKUP($B19,'[1]Data_UN_PopulationTot.&amp;%'!$B$4:$CZ$603,64,FALSE)</f>
        <v>4.5372486486175312</v>
      </c>
      <c r="CA19">
        <f>VLOOKUP($B19,'[1]Data_UN_PopulationTot.&amp;%'!$B$4:$CZ$603,65,FALSE)</f>
        <v>4.309845087530439</v>
      </c>
      <c r="CB19">
        <f>VLOOKUP($B19,'[1]Data_UN_PopulationTot.&amp;%'!$B$4:$CZ$603,66,FALSE)</f>
        <v>5.6192469100978064</v>
      </c>
      <c r="CC19">
        <f>VLOOKUP($B19,'[1]Data_UN_PopulationTot.&amp;%'!$B$4:$CZ$603,67,FALSE)</f>
        <v>6.9201000512345221</v>
      </c>
      <c r="CD19">
        <f>VLOOKUP($B19,'[1]Data_UN_PopulationTot.&amp;%'!$B$4:$CZ$603,68,FALSE)</f>
        <v>6.8612810933101533</v>
      </c>
      <c r="CE19">
        <f>VLOOKUP($B19,'[1]Data_UN_PopulationTot.&amp;%'!$B$4:$CZ$603,69,FALSE)</f>
        <v>7.6947343576399891</v>
      </c>
      <c r="CF19">
        <f>VLOOKUP($B19,'[1]Data_UN_PopulationTot.&amp;%'!$B$4:$CZ$603,70,FALSE)</f>
        <v>7.5890559607624173</v>
      </c>
      <c r="CG19">
        <f>VLOOKUP($B19,'[1]Data_UN_PopulationTot.&amp;%'!$B$4:$CZ$603,71,FALSE)</f>
        <v>6.8583739659549492</v>
      </c>
      <c r="CH19">
        <f>VLOOKUP($B19,'[1]Data_UN_PopulationTot.&amp;%'!$B$4:$CZ$603,72,FALSE)</f>
        <v>6.7375410883594018</v>
      </c>
      <c r="CI19">
        <f>VLOOKUP($B19,'[1]Data_UN_PopulationTot.&amp;%'!$B$4:$CZ$603,73,FALSE)</f>
        <v>6.7252217763987323</v>
      </c>
      <c r="CJ19">
        <f>VLOOKUP($B19,'[1]Data_UN_PopulationTot.&amp;%'!$B$4:$CZ$603,74,FALSE)</f>
        <v>6.5524635745577431</v>
      </c>
      <c r="CK19">
        <f>VLOOKUP($B19,'[1]Data_UN_PopulationTot.&amp;%'!$B$4:$CZ$603,75,FALSE)</f>
        <v>6.1107241337623988</v>
      </c>
      <c r="CL19">
        <f>VLOOKUP($B19,'[1]Data_UN_PopulationTot.&amp;%'!$B$4:$CZ$603,76,FALSE)</f>
        <v>4.1126929210009724</v>
      </c>
      <c r="CM19">
        <f>VLOOKUP($B19,'[1]Data_UN_PopulationTot.&amp;%'!$B$4:$CZ$603,77,FALSE)</f>
        <v>2.7608930925502704</v>
      </c>
      <c r="CN19">
        <f>VLOOKUP($B19,'[1]Data_UN_PopulationTot.&amp;%'!$B$4:$CZ$603,78,FALSE)</f>
        <v>1.4575214004870158</v>
      </c>
      <c r="CO19">
        <f>VLOOKUP($B19,'[1]Data_UN_PopulationTot.&amp;%'!$B$4:$CZ$603,79,FALSE)</f>
        <v>0.40616310999303451</v>
      </c>
      <c r="CP19">
        <f>VLOOKUP($B19,'[1]Data_UN_PopulationTot.&amp;%'!$B$4:$CZ$603,80,FALSE)</f>
        <v>6.4906655306802688E-2</v>
      </c>
      <c r="CQ19">
        <f>VLOOKUP($B19,'[1]Data_UN_PopulationTot.&amp;%'!$B$4:$CZ$603,81,FALSE)</f>
        <v>2.5761178048597962E-3</v>
      </c>
      <c r="CR19">
        <f>VLOOKUP($B19,'[1]Data_UN_PopulationTot.&amp;%'!$B$4:$CZ$603,82,FALSE)</f>
        <v>4.2745626680172988</v>
      </c>
      <c r="CS19">
        <f>VLOOKUP($B19,'[1]Data_UN_PopulationTot.&amp;%'!$B$4:$CZ$603,83,FALSE)</f>
        <v>4.5238009895975377</v>
      </c>
      <c r="CT19">
        <f>VLOOKUP($B19,'[1]Data_UN_PopulationTot.&amp;%'!$B$4:$CZ$603,84,FALSE)</f>
        <v>4.8440254022675031</v>
      </c>
      <c r="CU19">
        <f>VLOOKUP($B19,'[1]Data_UN_PopulationTot.&amp;%'!$B$4:$CZ$603,85,FALSE)</f>
        <v>5.1863326450305838</v>
      </c>
      <c r="CV19">
        <f>VLOOKUP($B19,'[1]Data_UN_PopulationTot.&amp;%'!$B$4:$CZ$603,86,FALSE)</f>
        <v>5.6426539915066032</v>
      </c>
      <c r="CW19">
        <f>VLOOKUP($B19,'[1]Data_UN_PopulationTot.&amp;%'!$B$4:$CZ$603,87,FALSE)</f>
        <v>4.7494759808314173</v>
      </c>
      <c r="CX19">
        <f>VLOOKUP($B19,'[1]Data_UN_PopulationTot.&amp;%'!$B$4:$CZ$603,88,FALSE)</f>
        <v>4.5203101258425225</v>
      </c>
      <c r="CY19">
        <f>VLOOKUP($B19,'[1]Data_UN_PopulationTot.&amp;%'!$B$4:$CZ$603,89,FALSE)</f>
        <v>5.9466552382436593</v>
      </c>
      <c r="CZ19">
        <f>VLOOKUP($B19,'[1]Data_UN_PopulationTot.&amp;%'!$B$4:$CZ$603,90,FALSE)</f>
        <v>7.3333229438578718</v>
      </c>
      <c r="DA19">
        <f>VLOOKUP($B19,'[1]Data_UN_PopulationTot.&amp;%'!$B$4:$CZ$603,91,FALSE)</f>
        <v>7.2187166400436364</v>
      </c>
      <c r="DB19">
        <f>VLOOKUP($B19,'[1]Data_UN_PopulationTot.&amp;%'!$B$4:$CZ$603,92,FALSE)</f>
        <v>7.9740522850352589</v>
      </c>
      <c r="DC19">
        <f>VLOOKUP($B19,'[1]Data_UN_PopulationTot.&amp;%'!$B$4:$CZ$603,93,FALSE)</f>
        <v>7.6668406903806439</v>
      </c>
      <c r="DD19">
        <f>VLOOKUP($B19,'[1]Data_UN_PopulationTot.&amp;%'!$B$4:$CZ$603,94,FALSE)</f>
        <v>6.6846768223789308</v>
      </c>
      <c r="DE19">
        <f>VLOOKUP($B19,'[1]Data_UN_PopulationTot.&amp;%'!$B$4:$CZ$603,95,FALSE)</f>
        <v>6.2596174075661359</v>
      </c>
      <c r="DF19">
        <f>VLOOKUP($B19,'[1]Data_UN_PopulationTot.&amp;%'!$B$4:$CZ$603,96,FALSE)</f>
        <v>5.8517941325437333</v>
      </c>
      <c r="DG19">
        <f>VLOOKUP($B19,'[1]Data_UN_PopulationTot.&amp;%'!$B$4:$CZ$603,97,FALSE)</f>
        <v>5.1291229984026181</v>
      </c>
      <c r="DH19">
        <f>VLOOKUP($B19,'[1]Data_UN_PopulationTot.&amp;%'!$B$4:$CZ$603,98,FALSE)</f>
        <v>3.9089414423189304</v>
      </c>
      <c r="DI19">
        <f>VLOOKUP($B19,'[1]Data_UN_PopulationTot.&amp;%'!$B$4:$CZ$603,99,FALSE)</f>
        <v>1.6622901001285699</v>
      </c>
      <c r="DJ19">
        <f>VLOOKUP($B19,'[1]Data_UN_PopulationTot.&amp;%'!$B$4:$DE$603,100,FALSE)</f>
        <v>0.5091985818365995</v>
      </c>
      <c r="DK19">
        <f>VLOOKUP($B19,'[1]Data_UN_PopulationTot.&amp;%'!$B$4:$DE$603,101,FALSE)</f>
        <v>0.10517785483305411</v>
      </c>
      <c r="DL19">
        <f>VLOOKUP($B19,'[1]Data_UN_PopulationTot.&amp;%'!$B$4:$DE$603,102,FALSE)</f>
        <v>8.3998909105076573E-3</v>
      </c>
    </row>
    <row r="20" spans="1:116">
      <c r="A20" t="s">
        <v>242</v>
      </c>
      <c r="B20" t="s">
        <v>500</v>
      </c>
      <c r="C20" t="s">
        <v>487</v>
      </c>
      <c r="D20" t="s">
        <v>622</v>
      </c>
      <c r="E20" t="s">
        <v>2269</v>
      </c>
      <c r="F20">
        <v>0</v>
      </c>
      <c r="G20">
        <v>0</v>
      </c>
      <c r="H20">
        <v>0</v>
      </c>
      <c r="I20">
        <v>1</v>
      </c>
      <c r="J20" s="18">
        <f t="shared" si="1"/>
        <v>2.2674241116000005</v>
      </c>
      <c r="K20">
        <f>VLOOKUP($B20,'[1]Source GDP Current USD'!$B$1:$CZ$600,64,FALSE)</f>
        <v>34729228723.404297</v>
      </c>
      <c r="L20" s="45">
        <f>VLOOKUP($B20,'[1]Source GDP Current USD'!$B$1:$CZ$600,65,FALSE)</f>
        <v>34729228723.404297</v>
      </c>
      <c r="M20" s="17">
        <f>VLOOKUP($B20,'[1]Source GDP Current LCU'!$B$1:$CZ$600,64,FALSE)</f>
        <v>13058190000</v>
      </c>
      <c r="N20" s="45">
        <f>VLOOKUP($B20,'[1]Source GDP Current LCU'!$B$1:$CZ$600,65,FALSE)</f>
        <v>13058190000</v>
      </c>
      <c r="O20" s="45">
        <f>VLOOKUP($B20,'[1]Source GNI Current USD'!$B$1:$CZ$600,64,FALSE)</f>
        <v>32270186170.212799</v>
      </c>
      <c r="P20" s="45">
        <f>VLOOKUP($B20,'[1]Source GNI Current LCU'!$B$1:$CZ$600,64,FALSE)</f>
        <v>12133590000</v>
      </c>
      <c r="Q20">
        <f t="shared" si="0"/>
        <v>107.6201684744581</v>
      </c>
      <c r="R20">
        <f>VLOOKUP($B20,'[1]Source GNI PC Atlas'!$B$1:$CZ$600,64,FALSE)</f>
        <v>19900</v>
      </c>
      <c r="S20">
        <f>VLOOKUP($B20,'[1]Source GNI PC Atlas'!$B$1:$CZ$600,65,FALSE)</f>
        <v>19900</v>
      </c>
      <c r="T20">
        <f>VLOOKUP($B20,[1]Source_PPP_Conversion!$B$1:$CZ$600,65,FALSE)</f>
        <v>0.46645077594048101</v>
      </c>
      <c r="U20">
        <f>VLOOKUP($B20,'[1]Source PopulationTotal'!$B$1:$CZ$600,65,FALSE)</f>
        <v>1701583</v>
      </c>
      <c r="V20">
        <f>VLOOKUP($B20,'[1]Source Gov. Revenue WEO'!$B$1:$CZ$600,4,FALSE)</f>
        <v>17.364000000000001</v>
      </c>
      <c r="W20">
        <f>VLOOKUP($B20,'[1]Source Gov. Revenue WEO'!$B$1:$CZ$600,5,FALSE)</f>
        <v>22.495000000000001</v>
      </c>
      <c r="X20">
        <f>VLOOKUP($B20,'[1]Source Gov. Revenue WEO'!$B$1:$CZ$600,6,FALSE)</f>
        <v>21.073</v>
      </c>
      <c r="Y20">
        <f>VLOOKUP($B20,'[1]Source Gov. Revenue WEO'!$B$1:$CZ$600,7,FALSE)</f>
        <v>19.760999999999999</v>
      </c>
      <c r="Z20">
        <f>VLOOKUP($B20,'[1]Source Gov. Revenue WEO'!$B$1:$CZ$600,8,FALSE)</f>
        <v>18.919</v>
      </c>
      <c r="AA20">
        <f>VLOOKUP($B20,'[1]Source Gov. Revenue WEO'!$B$1:$CZ$600,9,FALSE)</f>
        <v>17.481000000000002</v>
      </c>
      <c r="AB20">
        <f>VLOOKUP($B20,'[1]Source Gov. Revenue WEO'!$B$1:$CZ$600,10,FALSE)</f>
        <v>16.852</v>
      </c>
      <c r="AC20" t="e">
        <f>VLOOKUP($B20,[2]Summary!$B$1:$CZ$600,39,FALSE)</f>
        <v>#N/A</v>
      </c>
      <c r="AD20" t="e">
        <f>VLOOKUP($B20,[2]Summary!$B$1:$CZ$600,40,FALSE)</f>
        <v>#N/A</v>
      </c>
      <c r="AE20" t="e">
        <f>VLOOKUP($B20,[2]Summary!$B$1:$CZ$600,47,FALSE)</f>
        <v>#N/A</v>
      </c>
      <c r="AF20">
        <f>VLOOKUP($B20,'[1]CALC GDP Growth rates WDI'!$B$1:$CZ$600,27,FALSE)</f>
        <v>27.53834999105343</v>
      </c>
      <c r="AG20">
        <f>VLOOKUP($B20,'[1]CALC GDP Growth rates WDI'!$B$1:$CZ$600,29,FALSE)</f>
        <v>37.168605205713057</v>
      </c>
      <c r="AH20">
        <f>VLOOKUP($B20,'[1]CALC GDP Growth rates WDI'!$B$1:$CZ$600,28,FALSE)</f>
        <v>6.9420184523801112</v>
      </c>
      <c r="AI20">
        <f>VLOOKUP($B20,'[1]CALC GDP Growth rates WDI'!$B$1:$CZ$600,30,FALSE)</f>
        <v>12.978840112438572</v>
      </c>
      <c r="AK20" t="e">
        <f>VLOOKUP($B20,[1]Data_Aspire!$B$1:$CZ$600,2,FALSE)</f>
        <v>#N/A</v>
      </c>
      <c r="AL20" t="e">
        <f>VLOOKUP($B20,[1]Data_Aspire!$B$1:$CZ$600,3,FALSE)</f>
        <v>#N/A</v>
      </c>
      <c r="AM20" t="e">
        <f>VLOOKUP($B20,[1]Data_Aspire!$B$1:$CZ$600,4,FALSE)</f>
        <v>#N/A</v>
      </c>
      <c r="AN20" t="e">
        <f>VLOOKUP($B20,[1]Data_Aspire!$B$1:$CZ$600,5,FALSE)</f>
        <v>#N/A</v>
      </c>
      <c r="AO20" t="e">
        <f>VLOOKUP($B20,[1]Data_Aspire!$B$1:$CZ$600,6,FALSE)</f>
        <v>#N/A</v>
      </c>
      <c r="AP20" t="e">
        <f>VLOOKUP($B20,[1]Data_Aspire!$B$1:$CZ$600,7,FALSE)</f>
        <v>#N/A</v>
      </c>
      <c r="AQ20" t="e">
        <f>VLOOKUP($B20,[1]Data_Aspire!$B$1:$CZ$600,8,FALSE)</f>
        <v>#N/A</v>
      </c>
      <c r="AR20" t="e">
        <f>VLOOKUP($B20,[1]Data_Aspire!$B$1:$CZ$600,9,FALSE)</f>
        <v>#N/A</v>
      </c>
      <c r="AS20" t="e">
        <f>VLOOKUP($B20,[1]Data_Aspire!$B$1:$CZ$600,10,FALSE)</f>
        <v>#N/A</v>
      </c>
      <c r="AT20" t="e">
        <f>VLOOKUP($B20,[1]Data_Aspire!$B$1:$CZ$600,11,FALSE)</f>
        <v>#N/A</v>
      </c>
      <c r="AU20" t="e">
        <f>VLOOKUP($B20,[1]Data_Aspire!$B$1:$CZ$600,12,FALSE)</f>
        <v>#N/A</v>
      </c>
      <c r="AV20" t="e">
        <f>VLOOKUP($B20,[1]Data_Aspire!$B$1:$CZ$600,13,FALSE)</f>
        <v>#N/A</v>
      </c>
      <c r="AW20" t="e">
        <f>VLOOKUP($B20,[1]Data_Aspire!$B$1:$CZ$600,14,FALSE)</f>
        <v>#N/A</v>
      </c>
      <c r="AX20" t="e">
        <f>VLOOKUP($B20,[1]Data_Aspire!$B$1:$CZ$600,15,FALSE)</f>
        <v>#N/A</v>
      </c>
      <c r="AY20" t="e">
        <f>VLOOKUP($B20,[1]Data_Aspire!$B$1:$CZ$600,16,FALSE)</f>
        <v>#N/A</v>
      </c>
      <c r="AZ20" t="e">
        <f>VLOOKUP($B20,[1]Data_Aspire!$B$1:$CZ$600,17,FALSE)</f>
        <v>#N/A</v>
      </c>
      <c r="BA20" t="e">
        <f>VLOOKUP($B20,[1]Data_Aspire!$B$1:$CZ$600,18,FALSE)</f>
        <v>#N/A</v>
      </c>
      <c r="BB20" t="e">
        <f>VLOOKUP($B20,[1]Data_Aspire!$B$1:$CZ$600,19,FALSE)</f>
        <v>#N/A</v>
      </c>
      <c r="BC20" t="e">
        <f>VLOOKUP($B20,[1]Data_Aspire!$B$1:$CZ$600,20,FALSE)</f>
        <v>#N/A</v>
      </c>
      <c r="BD20" t="e">
        <f>VLOOKUP($B20,[1]Data_Aspire!$B$1:$CZ$600,21,FALSE)</f>
        <v>#N/A</v>
      </c>
      <c r="BE20" t="e">
        <f>VLOOKUP($B20,[1]Data_Aspire!$B$1:$CZ$600,22,FALSE)</f>
        <v>#N/A</v>
      </c>
      <c r="BF20" t="e">
        <f>VLOOKUP($B20,[1]Data_Aspire!$B$1:$CZ$600,23,FALSE)</f>
        <v>#N/A</v>
      </c>
      <c r="BG20" t="e">
        <f>VLOOKUP($B20,[1]Data_Aspire!$B$1:$CZ$600,24,FALSE)</f>
        <v>#N/A</v>
      </c>
      <c r="BH20" t="e">
        <f>VLOOKUP($B20,[1]Data_Aspire!$B$1:$CZ$600,25,FALSE)</f>
        <v>#N/A</v>
      </c>
      <c r="BI20" t="e">
        <f>VLOOKUP($B20,[1]Data_Aspire!$B$1:$CZ$600,26,FALSE)</f>
        <v>#N/A</v>
      </c>
      <c r="BJ20" s="7">
        <v>0</v>
      </c>
      <c r="BK20">
        <v>48</v>
      </c>
      <c r="BL20">
        <f>VLOOKUP($B20,'[1]Data_UN_PopulationTot.&amp;%'!$B$4:$CZ$603,8,FALSE)</f>
        <v>1701.58</v>
      </c>
      <c r="BM20">
        <f>VLOOKUP($B20,'[1]Data_UN_PopulationTot.&amp;%'!$B$4:$CZ$603,9,FALSE)</f>
        <v>1748.3</v>
      </c>
      <c r="BN20">
        <v>1783.98</v>
      </c>
      <c r="BO20">
        <f>VLOOKUP($B20,'[1]Data_UN_PopulationTot.&amp;%'!$B$4:$CZ$603,11,FALSE)</f>
        <v>1812</v>
      </c>
      <c r="BP20">
        <f>VLOOKUP($B20,'[1]Data_UN_PopulationTot.&amp;%'!$B$4:$CZ$603,12,FALSE)</f>
        <v>1837.73</v>
      </c>
      <c r="BQ20">
        <f>VLOOKUP($B20,'[1]Data_UN_PopulationTot.&amp;%'!$B$4:$CZ$603,13,FALSE)</f>
        <v>1865.09</v>
      </c>
      <c r="BR20">
        <f>VLOOKUP($B20,'[1]Data_UN_PopulationTot.&amp;%'!$B$4:$CZ$603,14,FALSE)</f>
        <v>1894.88</v>
      </c>
      <c r="BS20">
        <f>VLOOKUP($B20,'[1]Data_UN_PopulationTot.&amp;%'!$B$4:$CZ$603,15,FALSE)</f>
        <v>1925.73</v>
      </c>
      <c r="BT20">
        <f>VLOOKUP($B20,'[1]Data_UN_PopulationTot.&amp;%'!$B$4:$CZ$603,16,FALSE)</f>
        <v>1956.74</v>
      </c>
      <c r="BU20">
        <f>VLOOKUP($B20,'[1]Data_UN_PopulationTot.&amp;%'!$B$4:$CZ$603,17,FALSE)</f>
        <v>1986.34</v>
      </c>
      <c r="BV20">
        <f>VLOOKUP($B20,'[1]Data_UN_PopulationTot.&amp;%'!$B$4:$CZ$603,18,FALSE)</f>
        <v>2013.42</v>
      </c>
      <c r="BW20">
        <f>VLOOKUP($B20,'[1]Data_UN_PopulationTot.&amp;%'!$B$4:$CZ$603,61,FALSE)</f>
        <v>6.3502156818956506</v>
      </c>
      <c r="BX20">
        <f>VLOOKUP($B20,'[1]Data_UN_PopulationTot.&amp;%'!$B$4:$CZ$603,62,FALSE)</f>
        <v>6.4693402602287282</v>
      </c>
      <c r="BY20">
        <f>VLOOKUP($B20,'[1]Data_UN_PopulationTot.&amp;%'!$B$4:$CZ$603,63,FALSE)</f>
        <v>5.4628051575594441</v>
      </c>
      <c r="BZ20">
        <f>VLOOKUP($B20,'[1]Data_UN_PopulationTot.&amp;%'!$B$4:$CZ$603,64,FALSE)</f>
        <v>5.2246147698021845</v>
      </c>
      <c r="CA20">
        <f>VLOOKUP($B20,'[1]Data_UN_PopulationTot.&amp;%'!$B$4:$CZ$603,65,FALSE)</f>
        <v>5.3881686432609692</v>
      </c>
      <c r="CB20">
        <f>VLOOKUP($B20,'[1]Data_UN_PopulationTot.&amp;%'!$B$4:$CZ$603,66,FALSE)</f>
        <v>12.634492648009497</v>
      </c>
      <c r="CC20">
        <f>VLOOKUP($B20,'[1]Data_UN_PopulationTot.&amp;%'!$B$4:$CZ$603,67,FALSE)</f>
        <v>17.246382773657427</v>
      </c>
      <c r="CD20">
        <f>VLOOKUP($B20,'[1]Data_UN_PopulationTot.&amp;%'!$B$4:$CZ$603,68,FALSE)</f>
        <v>12.59253164705744</v>
      </c>
      <c r="CE20">
        <f>VLOOKUP($B20,'[1]Data_UN_PopulationTot.&amp;%'!$B$4:$CZ$603,69,FALSE)</f>
        <v>8.71460642461712</v>
      </c>
      <c r="CF20">
        <f>VLOOKUP($B20,'[1]Data_UN_PopulationTot.&amp;%'!$B$4:$CZ$603,70,FALSE)</f>
        <v>6.3726066361851936</v>
      </c>
      <c r="CG20">
        <f>VLOOKUP($B20,'[1]Data_UN_PopulationTot.&amp;%'!$B$4:$CZ$603,71,FALSE)</f>
        <v>4.7706837174861016</v>
      </c>
      <c r="CH20">
        <f>VLOOKUP($B20,'[1]Data_UN_PopulationTot.&amp;%'!$B$4:$CZ$603,72,FALSE)</f>
        <v>3.470539145970216</v>
      </c>
      <c r="CI20">
        <f>VLOOKUP($B20,'[1]Data_UN_PopulationTot.&amp;%'!$B$4:$CZ$603,73,FALSE)</f>
        <v>2.6516531694072567</v>
      </c>
      <c r="CJ20">
        <f>VLOOKUP($B20,'[1]Data_UN_PopulationTot.&amp;%'!$B$4:$CZ$603,74,FALSE)</f>
        <v>1.260710633646376</v>
      </c>
      <c r="CK20">
        <f>VLOOKUP($B20,'[1]Data_UN_PopulationTot.&amp;%'!$B$4:$CZ$603,75,FALSE)</f>
        <v>0.64398970368716146</v>
      </c>
      <c r="CL20">
        <f>VLOOKUP($B20,'[1]Data_UN_PopulationTot.&amp;%'!$B$4:$CZ$603,76,FALSE)</f>
        <v>0.40315471502956085</v>
      </c>
      <c r="CM20">
        <f>VLOOKUP($B20,'[1]Data_UN_PopulationTot.&amp;%'!$B$4:$CZ$603,77,FALSE)</f>
        <v>0.2325485725032029</v>
      </c>
      <c r="CN20">
        <f>VLOOKUP($B20,'[1]Data_UN_PopulationTot.&amp;%'!$B$4:$CZ$603,78,FALSE)</f>
        <v>7.7281115198815226E-2</v>
      </c>
      <c r="CO20">
        <f>VLOOKUP($B20,'[1]Data_UN_PopulationTot.&amp;%'!$B$4:$CZ$603,79,FALSE)</f>
        <v>2.9913374628286655E-2</v>
      </c>
      <c r="CP20">
        <f>VLOOKUP($B20,'[1]Data_UN_PopulationTot.&amp;%'!$B$4:$CZ$603,80,FALSE)</f>
        <v>3.5261345337862459E-3</v>
      </c>
      <c r="CQ20">
        <f>VLOOKUP($B20,'[1]Data_UN_PopulationTot.&amp;%'!$B$4:$CZ$603,81,FALSE)</f>
        <v>4.1138236227506201E-4</v>
      </c>
      <c r="CR20">
        <f>VLOOKUP($B20,'[1]Data_UN_PopulationTot.&amp;%'!$B$4:$CZ$603,82,FALSE)</f>
        <v>5.546930099035472</v>
      </c>
      <c r="CS20">
        <f>VLOOKUP($B20,'[1]Data_UN_PopulationTot.&amp;%'!$B$4:$CZ$603,83,FALSE)</f>
        <v>5.5324770788012438</v>
      </c>
      <c r="CT20">
        <f>VLOOKUP($B20,'[1]Data_UN_PopulationTot.&amp;%'!$B$4:$CZ$603,84,FALSE)</f>
        <v>5.4119359100436073</v>
      </c>
      <c r="CU20">
        <f>VLOOKUP($B20,'[1]Data_UN_PopulationTot.&amp;%'!$B$4:$CZ$603,85,FALSE)</f>
        <v>5.496319694847573</v>
      </c>
      <c r="CV20">
        <f>VLOOKUP($B20,'[1]Data_UN_PopulationTot.&amp;%'!$B$4:$CZ$603,86,FALSE)</f>
        <v>6.7676391413614647</v>
      </c>
      <c r="CW20">
        <f>VLOOKUP($B20,'[1]Data_UN_PopulationTot.&amp;%'!$B$4:$CZ$603,87,FALSE)</f>
        <v>11.251999086132054</v>
      </c>
      <c r="CX20">
        <f>VLOOKUP($B20,'[1]Data_UN_PopulationTot.&amp;%'!$B$4:$CZ$603,88,FALSE)</f>
        <v>11.660905325267453</v>
      </c>
      <c r="CY20">
        <f>VLOOKUP($B20,'[1]Data_UN_PopulationTot.&amp;%'!$B$4:$CZ$603,89,FALSE)</f>
        <v>10.06650375977193</v>
      </c>
      <c r="CZ20">
        <f>VLOOKUP($B20,'[1]Data_UN_PopulationTot.&amp;%'!$B$4:$CZ$603,90,FALSE)</f>
        <v>9.963147281739527</v>
      </c>
      <c r="DA20">
        <f>VLOOKUP($B20,'[1]Data_UN_PopulationTot.&amp;%'!$B$4:$CZ$603,91,FALSE)</f>
        <v>8.3760467264654181</v>
      </c>
      <c r="DB20">
        <f>VLOOKUP($B20,'[1]Data_UN_PopulationTot.&amp;%'!$B$4:$CZ$603,92,FALSE)</f>
        <v>6.2743987841582971</v>
      </c>
      <c r="DC20">
        <f>VLOOKUP($B20,'[1]Data_UN_PopulationTot.&amp;%'!$B$4:$CZ$603,93,FALSE)</f>
        <v>4.623228139186061</v>
      </c>
      <c r="DD20">
        <f>VLOOKUP($B20,'[1]Data_UN_PopulationTot.&amp;%'!$B$4:$CZ$603,94,FALSE)</f>
        <v>3.4672348541287956</v>
      </c>
      <c r="DE20">
        <f>VLOOKUP($B20,'[1]Data_UN_PopulationTot.&amp;%'!$B$4:$CZ$603,95,FALSE)</f>
        <v>2.5194941939585385</v>
      </c>
      <c r="DF20">
        <f>VLOOKUP($B20,'[1]Data_UN_PopulationTot.&amp;%'!$B$4:$CZ$603,96,FALSE)</f>
        <v>1.8190442133285651</v>
      </c>
      <c r="DG20">
        <f>VLOOKUP($B20,'[1]Data_UN_PopulationTot.&amp;%'!$B$4:$CZ$603,97,FALSE)</f>
        <v>0.75185505259707364</v>
      </c>
      <c r="DH20">
        <f>VLOOKUP($B20,'[1]Data_UN_PopulationTot.&amp;%'!$B$4:$CZ$603,98,FALSE)</f>
        <v>0.29710641594898229</v>
      </c>
      <c r="DI20">
        <f>VLOOKUP($B20,'[1]Data_UN_PopulationTot.&amp;%'!$B$4:$CZ$603,99,FALSE)</f>
        <v>0.12525950869664548</v>
      </c>
      <c r="DJ20">
        <f>VLOOKUP($B20,'[1]Data_UN_PopulationTot.&amp;%'!$B$4:$DE$603,100,FALSE)</f>
        <v>4.1223391046080797E-2</v>
      </c>
      <c r="DK20">
        <f>VLOOKUP($B20,'[1]Data_UN_PopulationTot.&amp;%'!$B$4:$DE$603,101,FALSE)</f>
        <v>6.3573422336124603E-3</v>
      </c>
      <c r="DL20">
        <f>VLOOKUP($B20,'[1]Data_UN_PopulationTot.&amp;%'!$B$4:$DE$603,102,FALSE)</f>
        <v>8.4433451540165492E-4</v>
      </c>
    </row>
    <row r="21" spans="1:116">
      <c r="A21" t="s">
        <v>249</v>
      </c>
      <c r="B21" t="s">
        <v>499</v>
      </c>
      <c r="C21" t="s">
        <v>497</v>
      </c>
      <c r="D21" t="s">
        <v>622</v>
      </c>
      <c r="E21" t="s">
        <v>2269</v>
      </c>
      <c r="F21">
        <v>0</v>
      </c>
      <c r="G21">
        <v>0</v>
      </c>
      <c r="H21">
        <v>0</v>
      </c>
      <c r="I21">
        <v>1</v>
      </c>
      <c r="J21" s="18">
        <f t="shared" si="1"/>
        <v>1.8295189500000002</v>
      </c>
      <c r="K21">
        <f>VLOOKUP($B21,'[1]Source GDP Current USD'!$B$1:$CZ$600,64,FALSE)</f>
        <v>9907500000</v>
      </c>
      <c r="L21" s="45">
        <f>VLOOKUP($B21,'[1]Source GDP Current USD'!$B$1:$CZ$600,65,FALSE)</f>
        <v>9907500000</v>
      </c>
      <c r="M21" s="17">
        <f>VLOOKUP($B21,'[1]Source GDP Current LCU'!$B$1:$CZ$600,64,FALSE)</f>
        <v>9907500000</v>
      </c>
      <c r="N21" s="45">
        <f>VLOOKUP($B21,'[1]Source GDP Current LCU'!$B$1:$CZ$600,65,FALSE)</f>
        <v>9907500000</v>
      </c>
      <c r="O21" s="45">
        <f>VLOOKUP($B21,'[1]Source GNI Current USD'!$B$1:$CZ$600,64,FALSE)</f>
        <v>9374920000</v>
      </c>
      <c r="P21" s="45">
        <f>VLOOKUP($B21,'[1]Source GNI Current LCU'!$B$1:$CZ$600,64,FALSE)</f>
        <v>9374920000</v>
      </c>
      <c r="Q21">
        <f t="shared" si="0"/>
        <v>105.68090181036212</v>
      </c>
      <c r="R21">
        <f>VLOOKUP($B21,'[1]Source GNI PC Atlas'!$B$1:$CZ$600,64,FALSE)</f>
        <v>26070</v>
      </c>
      <c r="S21">
        <f>VLOOKUP($B21,'[1]Source GNI PC Atlas'!$B$1:$CZ$600,65,FALSE)</f>
        <v>26070</v>
      </c>
      <c r="T21">
        <f>VLOOKUP($B21,[1]Source_PPP_Conversion!$B$1:$CZ$600,65,FALSE)</f>
        <v>0.77428189965550498</v>
      </c>
      <c r="U21">
        <f>VLOOKUP($B21,'[1]Source PopulationTotal'!$B$1:$CZ$600,65,FALSE)</f>
        <v>393248</v>
      </c>
      <c r="V21">
        <f>VLOOKUP($B21,'[1]Source Gov. Revenue WEO'!$B$1:$CZ$600,4,FALSE)</f>
        <v>18.466000000000001</v>
      </c>
      <c r="W21">
        <f>VLOOKUP($B21,'[1]Source Gov. Revenue WEO'!$B$1:$CZ$600,5,FALSE)</f>
        <v>18.934999999999999</v>
      </c>
      <c r="X21">
        <f>VLOOKUP($B21,'[1]Source Gov. Revenue WEO'!$B$1:$CZ$600,6,FALSE)</f>
        <v>19.149999999999999</v>
      </c>
      <c r="Y21">
        <f>VLOOKUP($B21,'[1]Source Gov. Revenue WEO'!$B$1:$CZ$600,7,FALSE)</f>
        <v>19.582000000000001</v>
      </c>
      <c r="Z21">
        <f>VLOOKUP($B21,'[1]Source Gov. Revenue WEO'!$B$1:$CZ$600,8,FALSE)</f>
        <v>19.713000000000001</v>
      </c>
      <c r="AA21">
        <f>VLOOKUP($B21,'[1]Source Gov. Revenue WEO'!$B$1:$CZ$600,9,FALSE)</f>
        <v>19.856999999999999</v>
      </c>
      <c r="AB21">
        <f>VLOOKUP($B21,'[1]Source Gov. Revenue WEO'!$B$1:$CZ$600,10,FALSE)</f>
        <v>19.885999999999999</v>
      </c>
      <c r="AC21">
        <f>VLOOKUP($B21,[2]Summary!$B$1:$CZ$600,39,FALSE)</f>
        <v>9.999999999999999E-14</v>
      </c>
      <c r="AD21">
        <f>VLOOKUP($B21,[2]Summary!$B$1:$CZ$600,40,FALSE)</f>
        <v>9.999999999999999E-14</v>
      </c>
      <c r="AE21">
        <f>VLOOKUP($B21,[2]Summary!$B$1:$CZ$600,47,FALSE)</f>
        <v>0.16573166919210738</v>
      </c>
      <c r="AF21">
        <f>VLOOKUP($B21,'[1]CALC GDP Growth rates WDI'!$B$1:$CZ$600,27,FALSE)</f>
        <v>-6.4881338222350484</v>
      </c>
      <c r="AG21">
        <f>VLOOKUP($B21,'[1]CALC GDP Growth rates WDI'!$B$1:$CZ$600,29,FALSE)</f>
        <v>9.8839495578707748</v>
      </c>
      <c r="AH21">
        <f>VLOOKUP($B21,'[1]CALC GDP Growth rates WDI'!$B$1:$CZ$600,28,FALSE)</f>
        <v>-10.012382575017241</v>
      </c>
      <c r="AI21">
        <f>VLOOKUP($B21,'[1]CALC GDP Growth rates WDI'!$B$1:$CZ$600,30,FALSE)</f>
        <v>5.7961513129272113</v>
      </c>
      <c r="AJ21" s="45"/>
      <c r="AK21" t="e">
        <f>VLOOKUP($B21,[1]Data_Aspire!$B$1:$CZ$600,2,FALSE)</f>
        <v>#N/A</v>
      </c>
      <c r="AL21" t="e">
        <f>VLOOKUP($B21,[1]Data_Aspire!$B$1:$CZ$600,3,FALSE)</f>
        <v>#N/A</v>
      </c>
      <c r="AM21" t="e">
        <f>VLOOKUP($B21,[1]Data_Aspire!$B$1:$CZ$600,4,FALSE)</f>
        <v>#N/A</v>
      </c>
      <c r="AN21" t="e">
        <f>VLOOKUP($B21,[1]Data_Aspire!$B$1:$CZ$600,5,FALSE)</f>
        <v>#N/A</v>
      </c>
      <c r="AO21" t="e">
        <f>VLOOKUP($B21,[1]Data_Aspire!$B$1:$CZ$600,6,FALSE)</f>
        <v>#N/A</v>
      </c>
      <c r="AP21" t="e">
        <f>VLOOKUP($B21,[1]Data_Aspire!$B$1:$CZ$600,7,FALSE)</f>
        <v>#N/A</v>
      </c>
      <c r="AQ21" t="e">
        <f>VLOOKUP($B21,[1]Data_Aspire!$B$1:$CZ$600,8,FALSE)</f>
        <v>#N/A</v>
      </c>
      <c r="AR21" t="e">
        <f>VLOOKUP($B21,[1]Data_Aspire!$B$1:$CZ$600,9,FALSE)</f>
        <v>#N/A</v>
      </c>
      <c r="AS21" t="e">
        <f>VLOOKUP($B21,[1]Data_Aspire!$B$1:$CZ$600,10,FALSE)</f>
        <v>#N/A</v>
      </c>
      <c r="AT21" t="e">
        <f>VLOOKUP($B21,[1]Data_Aspire!$B$1:$CZ$600,11,FALSE)</f>
        <v>#N/A</v>
      </c>
      <c r="AU21" t="e">
        <f>VLOOKUP($B21,[1]Data_Aspire!$B$1:$CZ$600,12,FALSE)</f>
        <v>#N/A</v>
      </c>
      <c r="AV21" t="e">
        <f>VLOOKUP($B21,[1]Data_Aspire!$B$1:$CZ$600,13,FALSE)</f>
        <v>#N/A</v>
      </c>
      <c r="AW21" t="e">
        <f>VLOOKUP($B21,[1]Data_Aspire!$B$1:$CZ$600,14,FALSE)</f>
        <v>#N/A</v>
      </c>
      <c r="AX21" t="e">
        <f>VLOOKUP($B21,[1]Data_Aspire!$B$1:$CZ$600,15,FALSE)</f>
        <v>#N/A</v>
      </c>
      <c r="AY21" t="e">
        <f>VLOOKUP($B21,[1]Data_Aspire!$B$1:$CZ$600,16,FALSE)</f>
        <v>#N/A</v>
      </c>
      <c r="AZ21" t="e">
        <f>VLOOKUP($B21,[1]Data_Aspire!$B$1:$CZ$600,17,FALSE)</f>
        <v>#N/A</v>
      </c>
      <c r="BA21" t="e">
        <f>VLOOKUP($B21,[1]Data_Aspire!$B$1:$CZ$600,18,FALSE)</f>
        <v>#N/A</v>
      </c>
      <c r="BB21" t="e">
        <f>VLOOKUP($B21,[1]Data_Aspire!$B$1:$CZ$600,19,FALSE)</f>
        <v>#N/A</v>
      </c>
      <c r="BC21" t="e">
        <f>VLOOKUP($B21,[1]Data_Aspire!$B$1:$CZ$600,20,FALSE)</f>
        <v>#N/A</v>
      </c>
      <c r="BD21" t="e">
        <f>VLOOKUP($B21,[1]Data_Aspire!$B$1:$CZ$600,21,FALSE)</f>
        <v>#N/A</v>
      </c>
      <c r="BE21" t="e">
        <f>VLOOKUP($B21,[1]Data_Aspire!$B$1:$CZ$600,22,FALSE)</f>
        <v>#N/A</v>
      </c>
      <c r="BF21" t="e">
        <f>VLOOKUP($B21,[1]Data_Aspire!$B$1:$CZ$600,23,FALSE)</f>
        <v>#N/A</v>
      </c>
      <c r="BG21" t="e">
        <f>VLOOKUP($B21,[1]Data_Aspire!$B$1:$CZ$600,24,FALSE)</f>
        <v>#N/A</v>
      </c>
      <c r="BH21" t="e">
        <f>VLOOKUP($B21,[1]Data_Aspire!$B$1:$CZ$600,25,FALSE)</f>
        <v>#N/A</v>
      </c>
      <c r="BI21" t="e">
        <f>VLOOKUP($B21,[1]Data_Aspire!$B$1:$CZ$600,26,FALSE)</f>
        <v>#N/A</v>
      </c>
      <c r="BJ21" s="7">
        <v>0</v>
      </c>
      <c r="BK21">
        <v>44</v>
      </c>
      <c r="BL21">
        <f>VLOOKUP($B21,'[1]Data_UN_PopulationTot.&amp;%'!$B$4:$CZ$603,8,FALSE)</f>
        <v>393.24799999999999</v>
      </c>
      <c r="BM21">
        <f>VLOOKUP($B21,'[1]Data_UN_PopulationTot.&amp;%'!$B$4:$CZ$603,9,FALSE)</f>
        <v>396.91399999999999</v>
      </c>
      <c r="BN21">
        <v>400.51499999999999</v>
      </c>
      <c r="BO21">
        <f>VLOOKUP($B21,'[1]Data_UN_PopulationTot.&amp;%'!$B$4:$CZ$603,11,FALSE)</f>
        <v>404.048</v>
      </c>
      <c r="BP21">
        <f>VLOOKUP($B21,'[1]Data_UN_PopulationTot.&amp;%'!$B$4:$CZ$603,12,FALSE)</f>
        <v>407.52199999999999</v>
      </c>
      <c r="BQ21">
        <f>VLOOKUP($B21,'[1]Data_UN_PopulationTot.&amp;%'!$B$4:$CZ$603,13,FALSE)</f>
        <v>410.93299999999999</v>
      </c>
      <c r="BR21">
        <f>VLOOKUP($B21,'[1]Data_UN_PopulationTot.&amp;%'!$B$4:$CZ$603,14,FALSE)</f>
        <v>414.274</v>
      </c>
      <c r="BS21">
        <f>VLOOKUP($B21,'[1]Data_UN_PopulationTot.&amp;%'!$B$4:$CZ$603,15,FALSE)</f>
        <v>417.54700000000003</v>
      </c>
      <c r="BT21">
        <f>VLOOKUP($B21,'[1]Data_UN_PopulationTot.&amp;%'!$B$4:$CZ$603,16,FALSE)</f>
        <v>420.73399999999998</v>
      </c>
      <c r="BU21">
        <f>VLOOKUP($B21,'[1]Data_UN_PopulationTot.&amp;%'!$B$4:$CZ$603,17,FALSE)</f>
        <v>423.82799999999997</v>
      </c>
      <c r="BV21">
        <f>VLOOKUP($B21,'[1]Data_UN_PopulationTot.&amp;%'!$B$4:$CZ$603,18,FALSE)</f>
        <v>426.81</v>
      </c>
      <c r="BW21">
        <f>VLOOKUP($B21,'[1]Data_UN_PopulationTot.&amp;%'!$B$4:$CZ$603,61,FALSE)</f>
        <v>6.8821710472780531</v>
      </c>
      <c r="BX21">
        <f>VLOOKUP($B21,'[1]Data_UN_PopulationTot.&amp;%'!$B$4:$CZ$603,62,FALSE)</f>
        <v>6.7616364228171539</v>
      </c>
      <c r="BY21">
        <f>VLOOKUP($B21,'[1]Data_UN_PopulationTot.&amp;%'!$B$4:$CZ$603,63,FALSE)</f>
        <v>7.9575738465294172</v>
      </c>
      <c r="BZ21">
        <f>VLOOKUP($B21,'[1]Data_UN_PopulationTot.&amp;%'!$B$4:$CZ$603,64,FALSE)</f>
        <v>8.2650134266417119</v>
      </c>
      <c r="CA21">
        <f>VLOOKUP($B21,'[1]Data_UN_PopulationTot.&amp;%'!$B$4:$CZ$603,65,FALSE)</f>
        <v>8.5177801285702675</v>
      </c>
      <c r="CB21">
        <f>VLOOKUP($B21,'[1]Data_UN_PopulationTot.&amp;%'!$B$4:$CZ$603,66,FALSE)</f>
        <v>8.4099601269427957</v>
      </c>
      <c r="CC21">
        <f>VLOOKUP($B21,'[1]Data_UN_PopulationTot.&amp;%'!$B$4:$CZ$603,67,FALSE)</f>
        <v>7.124003173569859</v>
      </c>
      <c r="CD21">
        <f>VLOOKUP($B21,'[1]Data_UN_PopulationTot.&amp;%'!$B$4:$CZ$603,68,FALSE)</f>
        <v>6.9782935958987711</v>
      </c>
      <c r="CE21">
        <f>VLOOKUP($B21,'[1]Data_UN_PopulationTot.&amp;%'!$B$4:$CZ$603,69,FALSE)</f>
        <v>7.0126230775490281</v>
      </c>
      <c r="CF21">
        <f>VLOOKUP($B21,'[1]Data_UN_PopulationTot.&amp;%'!$B$4:$CZ$603,70,FALSE)</f>
        <v>7.3538835543982426</v>
      </c>
      <c r="CG21">
        <f>VLOOKUP($B21,'[1]Data_UN_PopulationTot.&amp;%'!$B$4:$CZ$603,71,FALSE)</f>
        <v>6.5020038245585488</v>
      </c>
      <c r="CH21">
        <f>VLOOKUP($B21,'[1]Data_UN_PopulationTot.&amp;%'!$B$4:$CZ$603,72,FALSE)</f>
        <v>6.0147794775815768</v>
      </c>
      <c r="CI21">
        <f>VLOOKUP($B21,'[1]Data_UN_PopulationTot.&amp;%'!$B$4:$CZ$603,73,FALSE)</f>
        <v>4.4714785580600536</v>
      </c>
      <c r="CJ21">
        <f>VLOOKUP($B21,'[1]Data_UN_PopulationTot.&amp;%'!$B$4:$CZ$603,74,FALSE)</f>
        <v>3.0123484416958255</v>
      </c>
      <c r="CK21">
        <f>VLOOKUP($B21,'[1]Data_UN_PopulationTot.&amp;%'!$B$4:$CZ$603,75,FALSE)</f>
        <v>2.0401883798518998</v>
      </c>
      <c r="CL21">
        <f>VLOOKUP($B21,'[1]Data_UN_PopulationTot.&amp;%'!$B$4:$CZ$603,76,FALSE)</f>
        <v>1.4296321913906747</v>
      </c>
      <c r="CM21">
        <f>VLOOKUP($B21,'[1]Data_UN_PopulationTot.&amp;%'!$B$4:$CZ$603,77,FALSE)</f>
        <v>0.81043005940271784</v>
      </c>
      <c r="CN21">
        <f>VLOOKUP($B21,'[1]Data_UN_PopulationTot.&amp;%'!$B$4:$CZ$603,78,FALSE)</f>
        <v>0.33286882577915211</v>
      </c>
      <c r="CO21">
        <f>VLOOKUP($B21,'[1]Data_UN_PopulationTot.&amp;%'!$B$4:$CZ$603,79,FALSE)</f>
        <v>0.102988444950769</v>
      </c>
      <c r="CP21">
        <f>VLOOKUP($B21,'[1]Data_UN_PopulationTot.&amp;%'!$B$4:$CZ$603,80,FALSE)</f>
        <v>1.8309056880136707E-2</v>
      </c>
      <c r="CQ21">
        <f>VLOOKUP($B21,'[1]Data_UN_PopulationTot.&amp;%'!$B$4:$CZ$603,81,FALSE)</f>
        <v>2.0343396533485233E-3</v>
      </c>
      <c r="CR21">
        <f>VLOOKUP($B21,'[1]Data_UN_PopulationTot.&amp;%'!$B$4:$CZ$603,82,FALSE)</f>
        <v>6.4281530423373399</v>
      </c>
      <c r="CS21">
        <f>VLOOKUP($B21,'[1]Data_UN_PopulationTot.&amp;%'!$B$4:$CZ$603,83,FALSE)</f>
        <v>6.4372905976898389</v>
      </c>
      <c r="CT21">
        <f>VLOOKUP($B21,'[1]Data_UN_PopulationTot.&amp;%'!$B$4:$CZ$603,84,FALSE)</f>
        <v>6.3805908952461285</v>
      </c>
      <c r="CU21">
        <f>VLOOKUP($B21,'[1]Data_UN_PopulationTot.&amp;%'!$B$4:$CZ$603,85,FALSE)</f>
        <v>6.3597385253391439</v>
      </c>
      <c r="CV21">
        <f>VLOOKUP($B21,'[1]Data_UN_PopulationTot.&amp;%'!$B$4:$CZ$603,86,FALSE)</f>
        <v>7.6300930156275637</v>
      </c>
      <c r="CW21">
        <f>VLOOKUP($B21,'[1]Data_UN_PopulationTot.&amp;%'!$B$4:$CZ$603,87,FALSE)</f>
        <v>7.9653710081769402</v>
      </c>
      <c r="CX21">
        <f>VLOOKUP($B21,'[1]Data_UN_PopulationTot.&amp;%'!$B$4:$CZ$603,88,FALSE)</f>
        <v>8.1108690049436518</v>
      </c>
      <c r="CY21">
        <f>VLOOKUP($B21,'[1]Data_UN_PopulationTot.&amp;%'!$B$4:$CZ$603,89,FALSE)</f>
        <v>7.8852416766242595</v>
      </c>
      <c r="CZ21">
        <f>VLOOKUP($B21,'[1]Data_UN_PopulationTot.&amp;%'!$B$4:$CZ$603,90,FALSE)</f>
        <v>6.5963777793397531</v>
      </c>
      <c r="DA21">
        <f>VLOOKUP($B21,'[1]Data_UN_PopulationTot.&amp;%'!$B$4:$CZ$603,91,FALSE)</f>
        <v>6.3459150441648511</v>
      </c>
      <c r="DB21">
        <f>VLOOKUP($B21,'[1]Data_UN_PopulationTot.&amp;%'!$B$4:$CZ$603,92,FALSE)</f>
        <v>6.2428246760853776</v>
      </c>
      <c r="DC21">
        <f>VLOOKUP($B21,'[1]Data_UN_PopulationTot.&amp;%'!$B$4:$CZ$603,93,FALSE)</f>
        <v>6.3784822286263214</v>
      </c>
      <c r="DD21">
        <f>VLOOKUP($B21,'[1]Data_UN_PopulationTot.&amp;%'!$B$4:$CZ$603,94,FALSE)</f>
        <v>5.449731730746703</v>
      </c>
      <c r="DE21">
        <f>VLOOKUP($B21,'[1]Data_UN_PopulationTot.&amp;%'!$B$4:$CZ$603,95,FALSE)</f>
        <v>4.791827745366791</v>
      </c>
      <c r="DF21">
        <f>VLOOKUP($B21,'[1]Data_UN_PopulationTot.&amp;%'!$B$4:$CZ$603,96,FALSE)</f>
        <v>3.2986574822520565</v>
      </c>
      <c r="DG21">
        <f>VLOOKUP($B21,'[1]Data_UN_PopulationTot.&amp;%'!$B$4:$CZ$603,97,FALSE)</f>
        <v>1.9542653639792882</v>
      </c>
      <c r="DH21">
        <f>VLOOKUP($B21,'[1]Data_UN_PopulationTot.&amp;%'!$B$4:$CZ$603,98,FALSE)</f>
        <v>1.060893606054216</v>
      </c>
      <c r="DI21">
        <f>VLOOKUP($B21,'[1]Data_UN_PopulationTot.&amp;%'!$B$4:$CZ$603,99,FALSE)</f>
        <v>0.50561139617159856</v>
      </c>
      <c r="DJ21">
        <f>VLOOKUP($B21,'[1]Data_UN_PopulationTot.&amp;%'!$B$4:$DE$603,100,FALSE)</f>
        <v>0.15182399662613341</v>
      </c>
      <c r="DK21">
        <f>VLOOKUP($B21,'[1]Data_UN_PopulationTot.&amp;%'!$B$4:$DE$603,101,FALSE)</f>
        <v>2.4132517982240337E-2</v>
      </c>
      <c r="DL21">
        <f>VLOOKUP($B21,'[1]Data_UN_PopulationTot.&amp;%'!$B$4:$DE$603,102,FALSE)</f>
        <v>2.1086666198074084E-3</v>
      </c>
    </row>
    <row r="22" spans="1:116">
      <c r="A22" t="s">
        <v>198</v>
      </c>
      <c r="B22" t="s">
        <v>413</v>
      </c>
      <c r="C22" t="s">
        <v>485</v>
      </c>
      <c r="D22" t="s">
        <v>389</v>
      </c>
      <c r="E22" t="s">
        <v>301</v>
      </c>
      <c r="F22">
        <v>0</v>
      </c>
      <c r="G22">
        <v>0</v>
      </c>
      <c r="H22">
        <v>1</v>
      </c>
      <c r="I22">
        <v>0</v>
      </c>
      <c r="J22" s="18">
        <f t="shared" si="1"/>
        <v>14.2370568648</v>
      </c>
      <c r="K22">
        <f>VLOOKUP($B22,'[1]Source GDP Current USD'!$B$1:$CZ$600,64,FALSE)</f>
        <v>19946496562.973301</v>
      </c>
      <c r="L22" s="45">
        <f>VLOOKUP($B22,'[1]Source GDP Current USD'!$B$1:$CZ$600,65,FALSE)</f>
        <v>19946496562.973301</v>
      </c>
      <c r="M22" s="17">
        <f>VLOOKUP($B22,'[1]Source GDP Current LCU'!$B$1:$CZ$600,64,FALSE)</f>
        <v>34240156000</v>
      </c>
      <c r="N22" s="45">
        <f>VLOOKUP($B22,'[1]Source GDP Current LCU'!$B$1:$CZ$600,65,FALSE)</f>
        <v>34240156000</v>
      </c>
      <c r="O22" s="45">
        <f>VLOOKUP($B22,'[1]Source GNI Current USD'!$B$1:$CZ$600,64,FALSE)</f>
        <v>19774236863.567501</v>
      </c>
      <c r="P22" s="45">
        <f>VLOOKUP($B22,'[1]Source GNI Current LCU'!$B$1:$CZ$600,64,FALSE)</f>
        <v>33944455000</v>
      </c>
      <c r="Q22">
        <f t="shared" si="0"/>
        <v>100.87113197133375</v>
      </c>
      <c r="R22">
        <f>VLOOKUP($B22,'[1]Source GNI PC Atlas'!$B$1:$CZ$600,64,FALSE)</f>
        <v>6080</v>
      </c>
      <c r="S22">
        <f>VLOOKUP($B22,'[1]Source GNI PC Atlas'!$B$1:$CZ$600,65,FALSE)</f>
        <v>6080</v>
      </c>
      <c r="T22">
        <f>VLOOKUP($B22,[1]Source_PPP_Conversion!$B$1:$CZ$600,65,FALSE)</f>
        <v>0.389150634009018</v>
      </c>
      <c r="U22">
        <f>VLOOKUP($B22,'[1]Source PopulationTotal'!$B$1:$CZ$600,65,FALSE)</f>
        <v>3280815</v>
      </c>
      <c r="V22">
        <f>VLOOKUP($B22,'[1]Source Gov. Revenue WEO'!$B$1:$CZ$600,4,FALSE)</f>
        <v>41.58</v>
      </c>
      <c r="W22">
        <f>VLOOKUP($B22,'[1]Source Gov. Revenue WEO'!$B$1:$CZ$600,5,FALSE)</f>
        <v>41.582999999999998</v>
      </c>
      <c r="X22">
        <f>VLOOKUP($B22,'[1]Source Gov. Revenue WEO'!$B$1:$CZ$600,6,FALSE)</f>
        <v>41.768999999999998</v>
      </c>
      <c r="Y22">
        <f>VLOOKUP($B22,'[1]Source Gov. Revenue WEO'!$B$1:$CZ$600,7,FALSE)</f>
        <v>41.965000000000003</v>
      </c>
      <c r="Z22">
        <f>VLOOKUP($B22,'[1]Source Gov. Revenue WEO'!$B$1:$CZ$600,8,FALSE)</f>
        <v>42.104999999999997</v>
      </c>
      <c r="AA22">
        <f>VLOOKUP($B22,'[1]Source Gov. Revenue WEO'!$B$1:$CZ$600,9,FALSE)</f>
        <v>42.335999999999999</v>
      </c>
      <c r="AB22">
        <f>VLOOKUP($B22,'[1]Source Gov. Revenue WEO'!$B$1:$CZ$600,10,FALSE)</f>
        <v>42.545000000000002</v>
      </c>
      <c r="AC22">
        <f>VLOOKUP($B22,[2]Summary!$B$1:$CZ$600,39,FALSE)</f>
        <v>5.8986499999999996E-4</v>
      </c>
      <c r="AD22">
        <f>VLOOKUP($B22,[2]Summary!$B$1:$CZ$600,40,FALSE)</f>
        <v>9.999999999999999E-14</v>
      </c>
      <c r="AE22">
        <f>VLOOKUP($B22,[2]Summary!$B$1:$CZ$600,47,FALSE)</f>
        <v>0.51248305596093224</v>
      </c>
      <c r="AF22">
        <f>VLOOKUP($B22,'[1]CALC GDP Growth rates WDI'!$B$1:$CZ$600,27,FALSE)</f>
        <v>17.444726904671278</v>
      </c>
      <c r="AG22">
        <f>VLOOKUP($B22,'[1]CALC GDP Growth rates WDI'!$B$1:$CZ$600,29,FALSE)</f>
        <v>18.985026601156463</v>
      </c>
      <c r="AH22">
        <f>VLOOKUP($B22,'[1]CALC GDP Growth rates WDI'!$B$1:$CZ$600,28,FALSE)</f>
        <v>9.8974313735599377</v>
      </c>
      <c r="AI22">
        <f>VLOOKUP($B22,'[1]CALC GDP Growth rates WDI'!$B$1:$CZ$600,30,FALSE)</f>
        <v>13.79311219402457</v>
      </c>
      <c r="AJ22" s="45"/>
      <c r="AK22">
        <f>VLOOKUP($B22,[1]Data_Aspire!$B$1:$CZ$600,2,FALSE)</f>
        <v>2017</v>
      </c>
      <c r="AL22">
        <f>VLOOKUP($B22,[1]Data_Aspire!$B$1:$CZ$600,3,FALSE)</f>
        <v>2.79</v>
      </c>
      <c r="AM22">
        <f>VLOOKUP($B22,[1]Data_Aspire!$B$1:$CZ$600,4,FALSE)</f>
        <v>0</v>
      </c>
      <c r="AN22">
        <f>VLOOKUP($B22,[1]Data_Aspire!$B$1:$CZ$600,5,FALSE)</f>
        <v>0.28999999999999998</v>
      </c>
      <c r="AO22">
        <f>VLOOKUP($B22,[1]Data_Aspire!$B$1:$CZ$600,6,FALSE)</f>
        <v>2.3199999999999998</v>
      </c>
      <c r="AP22">
        <f>VLOOKUP($B22,[1]Data_Aspire!$B$1:$CZ$600,7,FALSE)</f>
        <v>0</v>
      </c>
      <c r="AR22">
        <f>VLOOKUP($B22,[1]Data_Aspire!$B$1:$CZ$600,9,FALSE)</f>
        <v>0.02</v>
      </c>
      <c r="AS22">
        <f>VLOOKUP($B22,[1]Data_Aspire!$B$1:$CZ$600,10,FALSE)</f>
        <v>0.01</v>
      </c>
      <c r="AT22">
        <f>VLOOKUP($B22,[1]Data_Aspire!$B$1:$CZ$600,11,FALSE)</f>
        <v>0.15</v>
      </c>
      <c r="AU22">
        <f>VLOOKUP($B22,[1]Data_Aspire!$B$1:$CZ$600,12,FALSE)</f>
        <v>2.79</v>
      </c>
      <c r="BJ22" s="7">
        <v>0</v>
      </c>
      <c r="BK22">
        <v>70</v>
      </c>
      <c r="BL22">
        <f>VLOOKUP($B22,'[1]Data_UN_PopulationTot.&amp;%'!$B$4:$CZ$603,8,FALSE)</f>
        <v>3280.81</v>
      </c>
      <c r="BM22">
        <f>VLOOKUP($B22,'[1]Data_UN_PopulationTot.&amp;%'!$B$4:$CZ$603,9,FALSE)</f>
        <v>3263.46</v>
      </c>
      <c r="BN22">
        <v>3249.31</v>
      </c>
      <c r="BO22">
        <f>VLOOKUP($B22,'[1]Data_UN_PopulationTot.&amp;%'!$B$4:$CZ$603,11,FALSE)</f>
        <v>3237.05</v>
      </c>
      <c r="BP22">
        <f>VLOOKUP($B22,'[1]Data_UN_PopulationTot.&amp;%'!$B$4:$CZ$603,12,FALSE)</f>
        <v>3225.03</v>
      </c>
      <c r="BQ22">
        <f>VLOOKUP($B22,'[1]Data_UN_PopulationTot.&amp;%'!$B$4:$CZ$603,13,FALSE)</f>
        <v>3211.96</v>
      </c>
      <c r="BR22">
        <f>VLOOKUP($B22,'[1]Data_UN_PopulationTot.&amp;%'!$B$4:$CZ$603,14,FALSE)</f>
        <v>3197.24</v>
      </c>
      <c r="BS22">
        <f>VLOOKUP($B22,'[1]Data_UN_PopulationTot.&amp;%'!$B$4:$CZ$603,15,FALSE)</f>
        <v>3180.89</v>
      </c>
      <c r="BT22">
        <f>VLOOKUP($B22,'[1]Data_UN_PopulationTot.&amp;%'!$B$4:$CZ$603,16,FALSE)</f>
        <v>3163.27</v>
      </c>
      <c r="BU22">
        <f>VLOOKUP($B22,'[1]Data_UN_PopulationTot.&amp;%'!$B$4:$CZ$603,17,FALSE)</f>
        <v>3145.03</v>
      </c>
      <c r="BV22">
        <f>VLOOKUP($B22,'[1]Data_UN_PopulationTot.&amp;%'!$B$4:$CZ$603,18,FALSE)</f>
        <v>3126.64</v>
      </c>
      <c r="BW22">
        <f>VLOOKUP($B22,'[1]Data_UN_PopulationTot.&amp;%'!$B$4:$CZ$603,61,FALSE)</f>
        <v>4.0616189294716856</v>
      </c>
      <c r="BX22">
        <f>VLOOKUP($B22,'[1]Data_UN_PopulationTot.&amp;%'!$B$4:$CZ$603,62,FALSE)</f>
        <v>4.9365248216141744</v>
      </c>
      <c r="BY22">
        <f>VLOOKUP($B22,'[1]Data_UN_PopulationTot.&amp;%'!$B$4:$CZ$603,63,FALSE)</f>
        <v>5.5242455369253323</v>
      </c>
      <c r="BZ22">
        <f>VLOOKUP($B22,'[1]Data_UN_PopulationTot.&amp;%'!$B$4:$CZ$603,64,FALSE)</f>
        <v>5.0303126362087411</v>
      </c>
      <c r="CA22">
        <f>VLOOKUP($B22,'[1]Data_UN_PopulationTot.&amp;%'!$B$4:$CZ$603,65,FALSE)</f>
        <v>6.588860677698495</v>
      </c>
      <c r="CB22">
        <f>VLOOKUP($B22,'[1]Data_UN_PopulationTot.&amp;%'!$B$4:$CZ$603,66,FALSE)</f>
        <v>5.7029818855709413</v>
      </c>
      <c r="CC22">
        <f>VLOOKUP($B22,'[1]Data_UN_PopulationTot.&amp;%'!$B$4:$CZ$603,67,FALSE)</f>
        <v>6.5954748979672697</v>
      </c>
      <c r="CD22">
        <f>VLOOKUP($B22,'[1]Data_UN_PopulationTot.&amp;%'!$B$4:$CZ$603,68,FALSE)</f>
        <v>7.3762272121823571</v>
      </c>
      <c r="CE22">
        <f>VLOOKUP($B22,'[1]Data_UN_PopulationTot.&amp;%'!$B$4:$CZ$603,69,FALSE)</f>
        <v>6.7301367650062032</v>
      </c>
      <c r="CF22">
        <f>VLOOKUP($B22,'[1]Data_UN_PopulationTot.&amp;%'!$B$4:$CZ$603,70,FALSE)</f>
        <v>6.9170418280851385</v>
      </c>
      <c r="CG22">
        <f>VLOOKUP($B22,'[1]Data_UN_PopulationTot.&amp;%'!$B$4:$CZ$603,71,FALSE)</f>
        <v>7.0512464909580252</v>
      </c>
      <c r="CH22">
        <f>VLOOKUP($B22,'[1]Data_UN_PopulationTot.&amp;%'!$B$4:$CZ$603,72,FALSE)</f>
        <v>8.1944397877353463</v>
      </c>
      <c r="CI22">
        <f>VLOOKUP($B22,'[1]Data_UN_PopulationTot.&amp;%'!$B$4:$CZ$603,73,FALSE)</f>
        <v>7.3752213630170607</v>
      </c>
      <c r="CJ22">
        <f>VLOOKUP($B22,'[1]Data_UN_PopulationTot.&amp;%'!$B$4:$CZ$603,74,FALSE)</f>
        <v>6.7613790496859005</v>
      </c>
      <c r="CK22">
        <f>VLOOKUP($B22,'[1]Data_UN_PopulationTot.&amp;%'!$B$4:$CZ$603,75,FALSE)</f>
        <v>4.3717252751607072</v>
      </c>
      <c r="CL22">
        <f>VLOOKUP($B22,'[1]Data_UN_PopulationTot.&amp;%'!$B$4:$CZ$603,76,FALSE)</f>
        <v>3.0196811153343228</v>
      </c>
      <c r="CM22">
        <f>VLOOKUP($B22,'[1]Data_UN_PopulationTot.&amp;%'!$B$4:$CZ$603,77,FALSE)</f>
        <v>2.5760406728826113</v>
      </c>
      <c r="CN22">
        <f>VLOOKUP($B22,'[1]Data_UN_PopulationTot.&amp;%'!$B$4:$CZ$603,78,FALSE)</f>
        <v>0.77642411477653384</v>
      </c>
      <c r="CO22">
        <f>VLOOKUP($B22,'[1]Data_UN_PopulationTot.&amp;%'!$B$4:$CZ$603,79,FALSE)</f>
        <v>0.33985509675964171</v>
      </c>
      <c r="CP22">
        <f>VLOOKUP($B22,'[1]Data_UN_PopulationTot.&amp;%'!$B$4:$CZ$603,80,FALSE)</f>
        <v>6.5989801299069437E-2</v>
      </c>
      <c r="CQ22">
        <f>VLOOKUP($B22,'[1]Data_UN_PopulationTot.&amp;%'!$B$4:$CZ$603,81,FALSE)</f>
        <v>4.7244430491250634E-3</v>
      </c>
      <c r="CR22">
        <f>VLOOKUP($B22,'[1]Data_UN_PopulationTot.&amp;%'!$B$4:$CZ$603,82,FALSE)</f>
        <v>3.6434958933551669</v>
      </c>
      <c r="CS22">
        <f>VLOOKUP($B22,'[1]Data_UN_PopulationTot.&amp;%'!$B$4:$CZ$603,83,FALSE)</f>
        <v>3.8432310723332397</v>
      </c>
      <c r="CT22">
        <f>VLOOKUP($B22,'[1]Data_UN_PopulationTot.&amp;%'!$B$4:$CZ$603,84,FALSE)</f>
        <v>4.252136478775939</v>
      </c>
      <c r="CU22">
        <f>VLOOKUP($B22,'[1]Data_UN_PopulationTot.&amp;%'!$B$4:$CZ$603,85,FALSE)</f>
        <v>5.1664406519458588</v>
      </c>
      <c r="CV22">
        <f>VLOOKUP($B22,'[1]Data_UN_PopulationTot.&amp;%'!$B$4:$CZ$603,86,FALSE)</f>
        <v>5.7674692321469694</v>
      </c>
      <c r="CW22">
        <f>VLOOKUP($B22,'[1]Data_UN_PopulationTot.&amp;%'!$B$4:$CZ$603,87,FALSE)</f>
        <v>5.2354284471509356</v>
      </c>
      <c r="CX22">
        <f>VLOOKUP($B22,'[1]Data_UN_PopulationTot.&amp;%'!$B$4:$CZ$603,88,FALSE)</f>
        <v>6.8581928204078508</v>
      </c>
      <c r="CY22">
        <f>VLOOKUP($B22,'[1]Data_UN_PopulationTot.&amp;%'!$B$4:$CZ$603,89,FALSE)</f>
        <v>5.9286326535833993</v>
      </c>
      <c r="CZ22">
        <f>VLOOKUP($B22,'[1]Data_UN_PopulationTot.&amp;%'!$B$4:$CZ$603,90,FALSE)</f>
        <v>6.848086124401914</v>
      </c>
      <c r="DA22">
        <f>VLOOKUP($B22,'[1]Data_UN_PopulationTot.&amp;%'!$B$4:$CZ$603,91,FALSE)</f>
        <v>7.6246385896681428</v>
      </c>
      <c r="DB22">
        <f>VLOOKUP($B22,'[1]Data_UN_PopulationTot.&amp;%'!$B$4:$CZ$603,92,FALSE)</f>
        <v>6.8849947547527064</v>
      </c>
      <c r="DC22">
        <f>VLOOKUP($B22,'[1]Data_UN_PopulationTot.&amp;%'!$B$4:$CZ$603,93,FALSE)</f>
        <v>6.9537266842361136</v>
      </c>
      <c r="DD22">
        <f>VLOOKUP($B22,'[1]Data_UN_PopulationTot.&amp;%'!$B$4:$CZ$603,94,FALSE)</f>
        <v>6.9051761635493705</v>
      </c>
      <c r="DE22">
        <f>VLOOKUP($B22,'[1]Data_UN_PopulationTot.&amp;%'!$B$4:$CZ$603,95,FALSE)</f>
        <v>7.6993833636107771</v>
      </c>
      <c r="DF22">
        <f>VLOOKUP($B22,'[1]Data_UN_PopulationTot.&amp;%'!$B$4:$CZ$603,96,FALSE)</f>
        <v>6.445961159583451</v>
      </c>
      <c r="DG22">
        <f>VLOOKUP($B22,'[1]Data_UN_PopulationTot.&amp;%'!$B$4:$CZ$603,97,FALSE)</f>
        <v>5.1871977586162785</v>
      </c>
      <c r="DH22">
        <f>VLOOKUP($B22,'[1]Data_UN_PopulationTot.&amp;%'!$B$4:$CZ$603,98,FALSE)</f>
        <v>2.6947457974055218</v>
      </c>
      <c r="DI22">
        <f>VLOOKUP($B22,'[1]Data_UN_PopulationTot.&amp;%'!$B$4:$CZ$603,99,FALSE)</f>
        <v>1.31604533940588</v>
      </c>
      <c r="DJ22">
        <f>VLOOKUP($B22,'[1]Data_UN_PopulationTot.&amp;%'!$B$4:$DE$603,100,FALSE)</f>
        <v>0.6480758897730472</v>
      </c>
      <c r="DK22">
        <f>VLOOKUP($B22,'[1]Data_UN_PopulationTot.&amp;%'!$B$4:$DE$603,101,FALSE)</f>
        <v>8.4819486733362343E-2</v>
      </c>
      <c r="DL22">
        <f>VLOOKUP($B22,'[1]Data_UN_PopulationTot.&amp;%'!$B$4:$DE$603,102,FALSE)</f>
        <v>1.2185604994498889E-2</v>
      </c>
    </row>
    <row r="23" spans="1:116">
      <c r="A23" t="s">
        <v>200</v>
      </c>
      <c r="B23" t="s">
        <v>415</v>
      </c>
      <c r="C23" t="s">
        <v>485</v>
      </c>
      <c r="D23" t="s">
        <v>389</v>
      </c>
      <c r="E23" t="s">
        <v>301</v>
      </c>
      <c r="F23">
        <v>0</v>
      </c>
      <c r="G23">
        <v>0</v>
      </c>
      <c r="H23">
        <v>1</v>
      </c>
      <c r="I23">
        <v>0</v>
      </c>
      <c r="J23" s="18">
        <f t="shared" si="1"/>
        <v>52.663429440000002</v>
      </c>
      <c r="K23">
        <f>VLOOKUP($B23,'[1]Source GDP Current USD'!$B$1:$CZ$600,64,FALSE)</f>
        <v>60258239055.582901</v>
      </c>
      <c r="L23" s="45">
        <f>VLOOKUP($B23,'[1]Source GDP Current USD'!$B$1:$CZ$600,65,FALSE)</f>
        <v>60258239055.582901</v>
      </c>
      <c r="M23" s="17">
        <f>VLOOKUP($B23,'[1]Source GDP Current LCU'!$B$1:$CZ$600,64,FALSE)</f>
        <v>147006000000</v>
      </c>
      <c r="N23" s="45">
        <f>VLOOKUP($B23,'[1]Source GDP Current LCU'!$B$1:$CZ$600,65,FALSE)</f>
        <v>147006000000</v>
      </c>
      <c r="O23" s="45">
        <f>VLOOKUP($B23,'[1]Source GNI Current USD'!$B$1:$CZ$600,64,FALSE)</f>
        <v>57750384079.3573</v>
      </c>
      <c r="P23" s="45">
        <f>VLOOKUP($B23,'[1]Source GNI Current LCU'!$B$1:$CZ$600,64,FALSE)</f>
        <v>140887837000</v>
      </c>
      <c r="Q23">
        <f t="shared" si="0"/>
        <v>104.34257713815281</v>
      </c>
      <c r="R23">
        <f>VLOOKUP($B23,'[1]Source GNI PC Atlas'!$B$1:$CZ$600,64,FALSE)</f>
        <v>6360</v>
      </c>
      <c r="S23">
        <f>VLOOKUP($B23,'[1]Source GNI PC Atlas'!$B$1:$CZ$600,65,FALSE)</f>
        <v>6360</v>
      </c>
      <c r="T23">
        <f>VLOOKUP($B23,[1]Source_PPP_Conversion!$B$1:$CZ$600,65,FALSE)</f>
        <v>0.317411340306746</v>
      </c>
      <c r="U23">
        <f>VLOOKUP($B23,'[1]Source PopulationTotal'!$B$1:$CZ$600,65,FALSE)</f>
        <v>9379952</v>
      </c>
      <c r="V23">
        <f>VLOOKUP($B23,'[1]Source Gov. Revenue WEO'!$B$1:$CZ$600,4,FALSE)</f>
        <v>35.823999999999998</v>
      </c>
      <c r="W23">
        <f>VLOOKUP($B23,'[1]Source Gov. Revenue WEO'!$B$1:$CZ$600,5,FALSE)</f>
        <v>34.652999999999999</v>
      </c>
      <c r="X23">
        <f>VLOOKUP($B23,'[1]Source Gov. Revenue WEO'!$B$1:$CZ$600,6,FALSE)</f>
        <v>34.305</v>
      </c>
      <c r="Y23">
        <f>VLOOKUP($B23,'[1]Source Gov. Revenue WEO'!$B$1:$CZ$600,7,FALSE)</f>
        <v>34.567</v>
      </c>
      <c r="Z23">
        <f>VLOOKUP($B23,'[1]Source Gov. Revenue WEO'!$B$1:$CZ$600,8,FALSE)</f>
        <v>34.832000000000001</v>
      </c>
      <c r="AA23">
        <f>VLOOKUP($B23,'[1]Source Gov. Revenue WEO'!$B$1:$CZ$600,9,FALSE)</f>
        <v>35.115000000000002</v>
      </c>
      <c r="AB23">
        <f>VLOOKUP($B23,'[1]Source Gov. Revenue WEO'!$B$1:$CZ$600,10,FALSE)</f>
        <v>35.279000000000003</v>
      </c>
      <c r="AC23">
        <f>VLOOKUP($B23,[2]Summary!$B$1:$CZ$600,39,FALSE)</f>
        <v>9.999999999999999E-14</v>
      </c>
      <c r="AD23">
        <f>VLOOKUP($B23,[2]Summary!$B$1:$CZ$600,40,FALSE)</f>
        <v>9.999999999999999E-14</v>
      </c>
      <c r="AE23">
        <f>VLOOKUP($B23,[2]Summary!$B$1:$CZ$600,47,FALSE)</f>
        <v>0.47083812262448133</v>
      </c>
      <c r="AF23">
        <f>VLOOKUP($B23,'[1]CALC GDP Growth rates WDI'!$B$1:$CZ$600,27,FALSE)</f>
        <v>9.6869129942298198</v>
      </c>
      <c r="AG23">
        <f>VLOOKUP($B23,'[1]CALC GDP Growth rates WDI'!$B$1:$CZ$600,29,FALSE)</f>
        <v>17.684591315840457</v>
      </c>
      <c r="AH23">
        <f>VLOOKUP($B23,'[1]CALC GDP Growth rates WDI'!$B$1:$CZ$600,28,FALSE)</f>
        <v>3.5915827961156528</v>
      </c>
      <c r="AI23">
        <f>VLOOKUP($B23,'[1]CALC GDP Growth rates WDI'!$B$1:$CZ$600,30,FALSE)</f>
        <v>-0.84399165443681534</v>
      </c>
      <c r="AK23">
        <f>VLOOKUP($B23,[1]Data_Aspire!$B$1:$CZ$600,2,FALSE)</f>
        <v>2017</v>
      </c>
      <c r="AL23">
        <f>VLOOKUP($B23,[1]Data_Aspire!$B$1:$CZ$600,3,FALSE)</f>
        <v>2.35</v>
      </c>
      <c r="AM23">
        <f>VLOOKUP($B23,[1]Data_Aspire!$B$1:$CZ$600,4,FALSE)</f>
        <v>0</v>
      </c>
      <c r="AN23">
        <f>VLOOKUP($B23,[1]Data_Aspire!$B$1:$CZ$600,5,FALSE)</f>
        <v>2</v>
      </c>
      <c r="AO23">
        <f>VLOOKUP($B23,[1]Data_Aspire!$B$1:$CZ$600,6,FALSE)</f>
        <v>0.21</v>
      </c>
      <c r="AP23">
        <f>VLOOKUP($B23,[1]Data_Aspire!$B$1:$CZ$600,7,FALSE)</f>
        <v>0</v>
      </c>
      <c r="AS23">
        <f>VLOOKUP($B23,[1]Data_Aspire!$B$1:$CZ$600,10,FALSE)</f>
        <v>0.06</v>
      </c>
      <c r="AT23">
        <f>VLOOKUP($B23,[1]Data_Aspire!$B$1:$CZ$600,11,FALSE)</f>
        <v>7.0000000000000007E-2</v>
      </c>
      <c r="AU23">
        <f>VLOOKUP($B23,[1]Data_Aspire!$B$1:$CZ$600,12,FALSE)</f>
        <v>2.29</v>
      </c>
      <c r="AZ23">
        <f>VLOOKUP($B23,[1]Data_Aspire!$B$1:$CZ$600,17,FALSE)</f>
        <v>40609</v>
      </c>
      <c r="BA23">
        <f>VLOOKUP($B23,[1]Data_Aspire!$B$1:$CZ$600,18,FALSE)</f>
        <v>2017</v>
      </c>
      <c r="BF23">
        <f>VLOOKUP($B23,[1]Data_Aspire!$B$1:$CZ$600,23,FALSE)</f>
        <v>50800</v>
      </c>
      <c r="BG23">
        <f>VLOOKUP($B23,[1]Data_Aspire!$B$1:$CZ$600,24,FALSE)</f>
        <v>2017</v>
      </c>
      <c r="BH23">
        <f>VLOOKUP($B23,[1]Data_Aspire!$B$1:$CZ$600,25,FALSE)</f>
        <v>1490000</v>
      </c>
      <c r="BI23">
        <f>VLOOKUP($B23,[1]Data_Aspire!$B$1:$CZ$600,26,FALSE)</f>
        <v>2011</v>
      </c>
      <c r="BJ23" s="7">
        <v>0</v>
      </c>
      <c r="BK23">
        <v>112</v>
      </c>
      <c r="BL23">
        <f>VLOOKUP($B23,'[1]Data_UN_PopulationTot.&amp;%'!$B$4:$CZ$603,8,FALSE)</f>
        <v>9449.32</v>
      </c>
      <c r="BM23">
        <f>VLOOKUP($B23,'[1]Data_UN_PopulationTot.&amp;%'!$B$4:$CZ$603,9,FALSE)</f>
        <v>9442.8700000000008</v>
      </c>
      <c r="BN23">
        <v>9432.7999999999993</v>
      </c>
      <c r="BO23">
        <f>VLOOKUP($B23,'[1]Data_UN_PopulationTot.&amp;%'!$B$4:$CZ$603,11,FALSE)</f>
        <v>9419.49</v>
      </c>
      <c r="BP23">
        <f>VLOOKUP($B23,'[1]Data_UN_PopulationTot.&amp;%'!$B$4:$CZ$603,12,FALSE)</f>
        <v>9403.5300000000007</v>
      </c>
      <c r="BQ23">
        <f>VLOOKUP($B23,'[1]Data_UN_PopulationTot.&amp;%'!$B$4:$CZ$603,13,FALSE)</f>
        <v>9385.44</v>
      </c>
      <c r="BR23">
        <f>VLOOKUP($B23,'[1]Data_UN_PopulationTot.&amp;%'!$B$4:$CZ$603,14,FALSE)</f>
        <v>9365.2999999999993</v>
      </c>
      <c r="BS23">
        <f>VLOOKUP($B23,'[1]Data_UN_PopulationTot.&amp;%'!$B$4:$CZ$603,15,FALSE)</f>
        <v>9343.09</v>
      </c>
      <c r="BT23">
        <f>VLOOKUP($B23,'[1]Data_UN_PopulationTot.&amp;%'!$B$4:$CZ$603,16,FALSE)</f>
        <v>9318.85</v>
      </c>
      <c r="BU23">
        <f>VLOOKUP($B23,'[1]Data_UN_PopulationTot.&amp;%'!$B$4:$CZ$603,17,FALSE)</f>
        <v>9292.7199999999993</v>
      </c>
      <c r="BV23">
        <f>VLOOKUP($B23,'[1]Data_UN_PopulationTot.&amp;%'!$B$4:$CZ$603,18,FALSE)</f>
        <v>9264.7800000000007</v>
      </c>
      <c r="BW23">
        <f>VLOOKUP($B23,'[1]Data_UN_PopulationTot.&amp;%'!$B$4:$CZ$603,61,FALSE)</f>
        <v>5.8006396227453401</v>
      </c>
      <c r="BX23">
        <f>VLOOKUP($B23,'[1]Data_UN_PopulationTot.&amp;%'!$B$4:$CZ$603,62,FALSE)</f>
        <v>6.3043584088590512</v>
      </c>
      <c r="BY23">
        <f>VLOOKUP($B23,'[1]Data_UN_PopulationTot.&amp;%'!$B$4:$CZ$603,63,FALSE)</f>
        <v>5.1353536550778252</v>
      </c>
      <c r="BZ23">
        <f>VLOOKUP($B23,'[1]Data_UN_PopulationTot.&amp;%'!$B$4:$CZ$603,64,FALSE)</f>
        <v>4.6948034355911332</v>
      </c>
      <c r="CA23">
        <f>VLOOKUP($B23,'[1]Data_UN_PopulationTot.&amp;%'!$B$4:$CZ$603,65,FALSE)</f>
        <v>4.5026732082308571</v>
      </c>
      <c r="CB23">
        <f>VLOOKUP($B23,'[1]Data_UN_PopulationTot.&amp;%'!$B$4:$CZ$603,66,FALSE)</f>
        <v>6.9034597198528571</v>
      </c>
      <c r="CC23">
        <f>VLOOKUP($B23,'[1]Data_UN_PopulationTot.&amp;%'!$B$4:$CZ$603,67,FALSE)</f>
        <v>8.6145352258151906</v>
      </c>
      <c r="CD23">
        <f>VLOOKUP($B23,'[1]Data_UN_PopulationTot.&amp;%'!$B$4:$CZ$603,68,FALSE)</f>
        <v>7.580788882162949</v>
      </c>
      <c r="CE23">
        <f>VLOOKUP($B23,'[1]Data_UN_PopulationTot.&amp;%'!$B$4:$CZ$603,69,FALSE)</f>
        <v>6.9066451342530462</v>
      </c>
      <c r="CF23">
        <f>VLOOKUP($B23,'[1]Data_UN_PopulationTot.&amp;%'!$B$4:$CZ$603,70,FALSE)</f>
        <v>6.6964606977009984</v>
      </c>
      <c r="CG23">
        <f>VLOOKUP($B23,'[1]Data_UN_PopulationTot.&amp;%'!$B$4:$CZ$603,71,FALSE)</f>
        <v>6.2677526001871025</v>
      </c>
      <c r="CH23">
        <f>VLOOKUP($B23,'[1]Data_UN_PopulationTot.&amp;%'!$B$4:$CZ$603,72,FALSE)</f>
        <v>7.974446838502665</v>
      </c>
      <c r="CI23">
        <f>VLOOKUP($B23,'[1]Data_UN_PopulationTot.&amp;%'!$B$4:$CZ$603,73,FALSE)</f>
        <v>7.0379032565306279</v>
      </c>
      <c r="CJ23">
        <f>VLOOKUP($B23,'[1]Data_UN_PopulationTot.&amp;%'!$B$4:$CZ$603,74,FALSE)</f>
        <v>6.11913873167593</v>
      </c>
      <c r="CK23">
        <f>VLOOKUP($B23,'[1]Data_UN_PopulationTot.&amp;%'!$B$4:$CZ$603,75,FALSE)</f>
        <v>2.8524698073512167</v>
      </c>
      <c r="CL23">
        <f>VLOOKUP($B23,'[1]Data_UN_PopulationTot.&amp;%'!$B$4:$CZ$603,76,FALSE)</f>
        <v>2.7094330597333993</v>
      </c>
      <c r="CM23">
        <f>VLOOKUP($B23,'[1]Data_UN_PopulationTot.&amp;%'!$B$4:$CZ$603,77,FALSE)</f>
        <v>2.3151189715238769</v>
      </c>
      <c r="CN23">
        <f>VLOOKUP($B23,'[1]Data_UN_PopulationTot.&amp;%'!$B$4:$CZ$603,78,FALSE)</f>
        <v>1.0729131831708525</v>
      </c>
      <c r="CO23">
        <f>VLOOKUP($B23,'[1]Data_UN_PopulationTot.&amp;%'!$B$4:$CZ$603,79,FALSE)</f>
        <v>0.44222229747749048</v>
      </c>
      <c r="CP23">
        <f>VLOOKUP($B23,'[1]Data_UN_PopulationTot.&amp;%'!$B$4:$CZ$603,80,FALSE)</f>
        <v>6.4777147985251846E-2</v>
      </c>
      <c r="CQ23">
        <f>VLOOKUP($B23,'[1]Data_UN_PopulationTot.&amp;%'!$B$4:$CZ$603,81,FALSE)</f>
        <v>4.116698344431134E-3</v>
      </c>
      <c r="CR23">
        <f>VLOOKUP($B23,'[1]Data_UN_PopulationTot.&amp;%'!$B$4:$CZ$603,82,FALSE)</f>
        <v>4.9084273992474721</v>
      </c>
      <c r="CS23">
        <f>VLOOKUP($B23,'[1]Data_UN_PopulationTot.&amp;%'!$B$4:$CZ$603,83,FALSE)</f>
        <v>5.5316154296162452</v>
      </c>
      <c r="CT23">
        <f>VLOOKUP($B23,'[1]Data_UN_PopulationTot.&amp;%'!$B$4:$CZ$603,84,FALSE)</f>
        <v>5.9166002862453286</v>
      </c>
      <c r="CU23">
        <f>VLOOKUP($B23,'[1]Data_UN_PopulationTot.&amp;%'!$B$4:$CZ$603,85,FALSE)</f>
        <v>6.4416316415500416</v>
      </c>
      <c r="CV23">
        <f>VLOOKUP($B23,'[1]Data_UN_PopulationTot.&amp;%'!$B$4:$CZ$603,86,FALSE)</f>
        <v>5.271609255697383</v>
      </c>
      <c r="CW23">
        <f>VLOOKUP($B23,'[1]Data_UN_PopulationTot.&amp;%'!$B$4:$CZ$603,87,FALSE)</f>
        <v>4.8245398163798816</v>
      </c>
      <c r="CX23">
        <f>VLOOKUP($B23,'[1]Data_UN_PopulationTot.&amp;%'!$B$4:$CZ$603,88,FALSE)</f>
        <v>4.606412672508144</v>
      </c>
      <c r="CY23">
        <f>VLOOKUP($B23,'[1]Data_UN_PopulationTot.&amp;%'!$B$4:$CZ$603,89,FALSE)</f>
        <v>6.9847853915581366</v>
      </c>
      <c r="CZ23">
        <f>VLOOKUP($B23,'[1]Data_UN_PopulationTot.&amp;%'!$B$4:$CZ$603,90,FALSE)</f>
        <v>8.6277601842677321</v>
      </c>
      <c r="DA23">
        <f>VLOOKUP($B23,'[1]Data_UN_PopulationTot.&amp;%'!$B$4:$CZ$603,91,FALSE)</f>
        <v>7.5075608918938164</v>
      </c>
      <c r="DB23">
        <f>VLOOKUP($B23,'[1]Data_UN_PopulationTot.&amp;%'!$B$4:$CZ$603,92,FALSE)</f>
        <v>6.732313125621979</v>
      </c>
      <c r="DC23">
        <f>VLOOKUP($B23,'[1]Data_UN_PopulationTot.&amp;%'!$B$4:$CZ$603,93,FALSE)</f>
        <v>6.3805724474839103</v>
      </c>
      <c r="DD23">
        <f>VLOOKUP($B23,'[1]Data_UN_PopulationTot.&amp;%'!$B$4:$CZ$603,94,FALSE)</f>
        <v>5.763979284991116</v>
      </c>
      <c r="DE23">
        <f>VLOOKUP($B23,'[1]Data_UN_PopulationTot.&amp;%'!$B$4:$CZ$603,95,FALSE)</f>
        <v>6.9488644090847274</v>
      </c>
      <c r="DF23">
        <f>VLOOKUP($B23,'[1]Data_UN_PopulationTot.&amp;%'!$B$4:$CZ$603,96,FALSE)</f>
        <v>5.7072914845252667</v>
      </c>
      <c r="DG23">
        <f>VLOOKUP($B23,'[1]Data_UN_PopulationTot.&amp;%'!$B$4:$CZ$603,97,FALSE)</f>
        <v>4.4245950794298405</v>
      </c>
      <c r="DH23">
        <f>VLOOKUP($B23,'[1]Data_UN_PopulationTot.&amp;%'!$B$4:$CZ$603,98,FALSE)</f>
        <v>1.6614749621685563</v>
      </c>
      <c r="DI23">
        <f>VLOOKUP($B23,'[1]Data_UN_PopulationTot.&amp;%'!$B$4:$CZ$603,99,FALSE)</f>
        <v>1.1136799794490533</v>
      </c>
      <c r="DJ23">
        <f>VLOOKUP($B23,'[1]Data_UN_PopulationTot.&amp;%'!$B$4:$DE$603,100,FALSE)</f>
        <v>0.53215510783850228</v>
      </c>
      <c r="DK23">
        <f>VLOOKUP($B23,'[1]Data_UN_PopulationTot.&amp;%'!$B$4:$DE$603,101,FALSE)</f>
        <v>0.10162140925094819</v>
      </c>
      <c r="DL23">
        <f>VLOOKUP($B23,'[1]Data_UN_PopulationTot.&amp;%'!$B$4:$DE$603,102,FALSE)</f>
        <v>1.2477360498576326E-2</v>
      </c>
    </row>
    <row r="24" spans="1:116">
      <c r="A24" t="s">
        <v>174</v>
      </c>
      <c r="B24" t="s">
        <v>388</v>
      </c>
      <c r="C24" t="s">
        <v>497</v>
      </c>
      <c r="D24" t="s">
        <v>389</v>
      </c>
      <c r="E24" t="s">
        <v>301</v>
      </c>
      <c r="F24">
        <v>0</v>
      </c>
      <c r="G24">
        <v>0</v>
      </c>
      <c r="H24">
        <v>1</v>
      </c>
      <c r="I24">
        <v>0</v>
      </c>
      <c r="J24" s="18">
        <f t="shared" si="1"/>
        <v>0.94541031893720595</v>
      </c>
      <c r="K24">
        <f>VLOOKUP($B24,'[1]Source GDP Current USD'!$B$1:$CZ$600,64,FALSE)</f>
        <v>1636280797.08056</v>
      </c>
      <c r="L24" s="45">
        <f>VLOOKUP($B24,'[1]Source GDP Current USD'!$B$1:$CZ$600,65,FALSE)</f>
        <v>1636280797.08056</v>
      </c>
      <c r="M24" s="17">
        <f>VLOOKUP($B24,'[1]Source GDP Current LCU'!$B$1:$CZ$600,64,FALSE)</f>
        <v>3272561594.1611199</v>
      </c>
      <c r="N24" s="45">
        <f>VLOOKUP($B24,'[1]Source GDP Current LCU'!$B$1:$CZ$600,65,FALSE)</f>
        <v>3272561594.1611199</v>
      </c>
      <c r="O24" s="45">
        <f>VLOOKUP($B24,'[1]Source GNI Current USD'!$B$1:$CZ$600,64,FALSE)</f>
        <v>1577630797.08056</v>
      </c>
      <c r="P24" s="45">
        <f>VLOOKUP($B24,'[1]Source GNI Current LCU'!$B$1:$CZ$600,64,FALSE)</f>
        <v>3155261594.1611199</v>
      </c>
      <c r="Q24">
        <f t="shared" si="0"/>
        <v>103.71759984075699</v>
      </c>
      <c r="R24">
        <f>VLOOKUP($B24,'[1]Source GNI PC Atlas'!$B$1:$CZ$600,64,FALSE)</f>
        <v>4110</v>
      </c>
      <c r="S24">
        <f>VLOOKUP($B24,'[1]Source GNI PC Atlas'!$B$1:$CZ$600,65,FALSE)</f>
        <v>4110</v>
      </c>
      <c r="T24">
        <f>VLOOKUP($B24,[1]Source_PPP_Conversion!$B$1:$CZ$600,65,FALSE)</f>
        <v>0.63725745027915504</v>
      </c>
      <c r="U24">
        <f>VLOOKUP($B24,'[1]Source PopulationTotal'!$B$1:$CZ$600,65,FALSE)</f>
        <v>397621</v>
      </c>
      <c r="V24">
        <f>VLOOKUP($B24,'[1]Source Gov. Revenue WEO'!$B$1:$CZ$600,4,FALSE)</f>
        <v>28.888999999999999</v>
      </c>
      <c r="W24">
        <f>VLOOKUP($B24,'[1]Source Gov. Revenue WEO'!$B$1:$CZ$600,5,FALSE)</f>
        <v>27.094999999999999</v>
      </c>
      <c r="X24">
        <f>VLOOKUP($B24,'[1]Source Gov. Revenue WEO'!$B$1:$CZ$600,6,FALSE)</f>
        <v>28.332999999999998</v>
      </c>
      <c r="Y24">
        <f>VLOOKUP($B24,'[1]Source Gov. Revenue WEO'!$B$1:$CZ$600,7,FALSE)</f>
        <v>29.661000000000001</v>
      </c>
      <c r="Z24">
        <f>VLOOKUP($B24,'[1]Source Gov. Revenue WEO'!$B$1:$CZ$600,8,FALSE)</f>
        <v>29.995999999999999</v>
      </c>
      <c r="AA24">
        <f>VLOOKUP($B24,'[1]Source Gov. Revenue WEO'!$B$1:$CZ$600,9,FALSE)</f>
        <v>29.995999999999999</v>
      </c>
      <c r="AB24">
        <f>VLOOKUP($B24,'[1]Source Gov. Revenue WEO'!$B$1:$CZ$600,10,FALSE)</f>
        <v>29.995999999999999</v>
      </c>
      <c r="AC24">
        <f>VLOOKUP($B24,[2]Summary!$B$1:$CZ$600,39,FALSE)</f>
        <v>0.13918079999999999</v>
      </c>
      <c r="AD24">
        <f>VLOOKUP($B24,[2]Summary!$B$1:$CZ$600,40,FALSE)</f>
        <v>0.23449999999999999</v>
      </c>
      <c r="AE24">
        <f>VLOOKUP($B24,[2]Summary!$B$1:$CZ$600,47,FALSE)</f>
        <v>0.36525164019959866</v>
      </c>
      <c r="AF24">
        <f>VLOOKUP($B24,'[1]CALC GDP Growth rates WDI'!$B$1:$CZ$600,27,FALSE)</f>
        <v>3.4817351193616988</v>
      </c>
      <c r="AG24">
        <f>VLOOKUP($B24,'[1]CALC GDP Growth rates WDI'!$B$1:$CZ$600,29,FALSE)</f>
        <v>21.379788522816789</v>
      </c>
      <c r="AH24">
        <f>VLOOKUP($B24,'[1]CALC GDP Growth rates WDI'!$B$1:$CZ$600,28,FALSE)</f>
        <v>-8.3490269930949417</v>
      </c>
      <c r="AI24">
        <f>VLOOKUP($B24,'[1]CALC GDP Growth rates WDI'!$B$1:$CZ$600,30,FALSE)</f>
        <v>7.1211573243659121</v>
      </c>
      <c r="AJ24" s="45"/>
      <c r="AM24">
        <f>VLOOKUP($B24,[1]Data_Aspire!$B$1:$CZ$600,4,FALSE)</f>
        <v>0</v>
      </c>
      <c r="AN24">
        <f>VLOOKUP($B24,[1]Data_Aspire!$B$1:$CZ$600,5,FALSE)</f>
        <v>0</v>
      </c>
      <c r="AO24">
        <f>VLOOKUP($B24,[1]Data_Aspire!$B$1:$CZ$600,6,FALSE)</f>
        <v>0</v>
      </c>
      <c r="AP24">
        <f>VLOOKUP($B24,[1]Data_Aspire!$B$1:$CZ$600,7,FALSE)</f>
        <v>0</v>
      </c>
      <c r="AV24">
        <f>VLOOKUP($B24,[1]Data_Aspire!$B$1:$CZ$600,13,FALSE)</f>
        <v>8600</v>
      </c>
      <c r="AW24">
        <f>VLOOKUP($B24,[1]Data_Aspire!$B$1:$CZ$600,14,FALSE)</f>
        <v>2012</v>
      </c>
      <c r="AZ24">
        <f>VLOOKUP($B24,[1]Data_Aspire!$B$1:$CZ$600,17,FALSE)</f>
        <v>3711</v>
      </c>
      <c r="BA24">
        <f>VLOOKUP($B24,[1]Data_Aspire!$B$1:$CZ$600,18,FALSE)</f>
        <v>2015</v>
      </c>
      <c r="BJ24" s="7">
        <v>0</v>
      </c>
      <c r="BK24">
        <v>84</v>
      </c>
      <c r="BL24">
        <f>VLOOKUP($B24,'[1]Data_UN_PopulationTot.&amp;%'!$B$4:$CZ$603,8,FALSE)</f>
        <v>397.62099999999998</v>
      </c>
      <c r="BM24">
        <f>VLOOKUP($B24,'[1]Data_UN_PopulationTot.&amp;%'!$B$4:$CZ$603,9,FALSE)</f>
        <v>404.91500000000002</v>
      </c>
      <c r="BN24">
        <v>412.20100000000002</v>
      </c>
      <c r="BO24">
        <f>VLOOKUP($B24,'[1]Data_UN_PopulationTot.&amp;%'!$B$4:$CZ$603,11,FALSE)</f>
        <v>419.42899999999997</v>
      </c>
      <c r="BP24">
        <f>VLOOKUP($B24,'[1]Data_UN_PopulationTot.&amp;%'!$B$4:$CZ$603,12,FALSE)</f>
        <v>426.62200000000001</v>
      </c>
      <c r="BQ24">
        <f>VLOOKUP($B24,'[1]Data_UN_PopulationTot.&amp;%'!$B$4:$CZ$603,13,FALSE)</f>
        <v>433.72500000000002</v>
      </c>
      <c r="BR24">
        <f>VLOOKUP($B24,'[1]Data_UN_PopulationTot.&amp;%'!$B$4:$CZ$603,14,FALSE)</f>
        <v>440.71100000000001</v>
      </c>
      <c r="BS24">
        <f>VLOOKUP($B24,'[1]Data_UN_PopulationTot.&amp;%'!$B$4:$CZ$603,15,FALSE)</f>
        <v>447.61500000000001</v>
      </c>
      <c r="BT24">
        <f>VLOOKUP($B24,'[1]Data_UN_PopulationTot.&amp;%'!$B$4:$CZ$603,16,FALSE)</f>
        <v>454.39400000000001</v>
      </c>
      <c r="BU24">
        <f>VLOOKUP($B24,'[1]Data_UN_PopulationTot.&amp;%'!$B$4:$CZ$603,17,FALSE)</f>
        <v>461.06599999999997</v>
      </c>
      <c r="BV24">
        <f>VLOOKUP($B24,'[1]Data_UN_PopulationTot.&amp;%'!$B$4:$CZ$603,18,FALSE)</f>
        <v>467.64</v>
      </c>
      <c r="BW24">
        <f>VLOOKUP($B24,'[1]Data_UN_PopulationTot.&amp;%'!$B$4:$CZ$603,61,FALSE)</f>
        <v>9.9205021867557299</v>
      </c>
      <c r="BX24">
        <f>VLOOKUP($B24,'[1]Data_UN_PopulationTot.&amp;%'!$B$4:$CZ$603,62,FALSE)</f>
        <v>9.7228265106722223</v>
      </c>
      <c r="BY24">
        <f>VLOOKUP($B24,'[1]Data_UN_PopulationTot.&amp;%'!$B$4:$CZ$603,63,FALSE)</f>
        <v>9.5560848144338468</v>
      </c>
      <c r="BZ24">
        <f>VLOOKUP($B24,'[1]Data_UN_PopulationTot.&amp;%'!$B$4:$CZ$603,64,FALSE)</f>
        <v>10.022860965592864</v>
      </c>
      <c r="CA24">
        <f>VLOOKUP($B24,'[1]Data_UN_PopulationTot.&amp;%'!$B$4:$CZ$603,65,FALSE)</f>
        <v>9.8940951307903777</v>
      </c>
      <c r="CB24">
        <f>VLOOKUP($B24,'[1]Data_UN_PopulationTot.&amp;%'!$B$4:$CZ$603,66,FALSE)</f>
        <v>9.1740627381350599</v>
      </c>
      <c r="CC24">
        <f>VLOOKUP($B24,'[1]Data_UN_PopulationTot.&amp;%'!$B$4:$CZ$603,67,FALSE)</f>
        <v>8.0737687395786448</v>
      </c>
      <c r="CD24">
        <f>VLOOKUP($B24,'[1]Data_UN_PopulationTot.&amp;%'!$B$4:$CZ$603,68,FALSE)</f>
        <v>6.9443012315747916</v>
      </c>
      <c r="CE24">
        <f>VLOOKUP($B24,'[1]Data_UN_PopulationTot.&amp;%'!$B$4:$CZ$603,69,FALSE)</f>
        <v>5.79823500267843</v>
      </c>
      <c r="CF24">
        <f>VLOOKUP($B24,'[1]Data_UN_PopulationTot.&amp;%'!$B$4:$CZ$603,70,FALSE)</f>
        <v>5.257016103274224</v>
      </c>
      <c r="CG24">
        <f>VLOOKUP($B24,'[1]Data_UN_PopulationTot.&amp;%'!$B$4:$CZ$603,71,FALSE)</f>
        <v>4.3963975745747845</v>
      </c>
      <c r="CH24">
        <f>VLOOKUP($B24,'[1]Data_UN_PopulationTot.&amp;%'!$B$4:$CZ$603,72,FALSE)</f>
        <v>3.6036829040719685</v>
      </c>
      <c r="CI24">
        <f>VLOOKUP($B24,'[1]Data_UN_PopulationTot.&amp;%'!$B$4:$CZ$603,73,FALSE)</f>
        <v>2.6281308079804639</v>
      </c>
      <c r="CJ24">
        <f>VLOOKUP($B24,'[1]Data_UN_PopulationTot.&amp;%'!$B$4:$CZ$603,74,FALSE)</f>
        <v>1.8520148583701566</v>
      </c>
      <c r="CK24">
        <f>VLOOKUP($B24,'[1]Data_UN_PopulationTot.&amp;%'!$B$4:$CZ$603,75,FALSE)</f>
        <v>1.2622572751439185</v>
      </c>
      <c r="CL24">
        <f>VLOOKUP($B24,'[1]Data_UN_PopulationTot.&amp;%'!$B$4:$CZ$603,76,FALSE)</f>
        <v>0.82792407845662075</v>
      </c>
      <c r="CM24">
        <f>VLOOKUP($B24,'[1]Data_UN_PopulationTot.&amp;%'!$B$4:$CZ$603,77,FALSE)</f>
        <v>0.56913492999615212</v>
      </c>
      <c r="CN24">
        <f>VLOOKUP($B24,'[1]Data_UN_PopulationTot.&amp;%'!$B$4:$CZ$603,78,FALSE)</f>
        <v>0.31965112506633198</v>
      </c>
      <c r="CO24">
        <f>VLOOKUP($B24,'[1]Data_UN_PopulationTot.&amp;%'!$B$4:$CZ$603,79,FALSE)</f>
        <v>0.15265793305685565</v>
      </c>
      <c r="CP24">
        <f>VLOOKUP($B24,'[1]Data_UN_PopulationTot.&amp;%'!$B$4:$CZ$603,80,FALSE)</f>
        <v>2.1377140543381766E-2</v>
      </c>
      <c r="CQ24">
        <f>VLOOKUP($B24,'[1]Data_UN_PopulationTot.&amp;%'!$B$4:$CZ$603,81,FALSE)</f>
        <v>3.0179492531833079E-3</v>
      </c>
      <c r="CR24">
        <f>VLOOKUP($B24,'[1]Data_UN_PopulationTot.&amp;%'!$B$4:$CZ$603,82,FALSE)</f>
        <v>8.6254383713968021</v>
      </c>
      <c r="CS24">
        <f>VLOOKUP($B24,'[1]Data_UN_PopulationTot.&amp;%'!$B$4:$CZ$603,83,FALSE)</f>
        <v>8.7026345051749221</v>
      </c>
      <c r="CT24">
        <f>VLOOKUP($B24,'[1]Data_UN_PopulationTot.&amp;%'!$B$4:$CZ$603,84,FALSE)</f>
        <v>8.4601402788469766</v>
      </c>
      <c r="CU24">
        <f>VLOOKUP($B24,'[1]Data_UN_PopulationTot.&amp;%'!$B$4:$CZ$603,85,FALSE)</f>
        <v>8.3686168847831652</v>
      </c>
      <c r="CV24">
        <f>VLOOKUP($B24,'[1]Data_UN_PopulationTot.&amp;%'!$B$4:$CZ$603,86,FALSE)</f>
        <v>8.3786673509537248</v>
      </c>
      <c r="CW24">
        <f>VLOOKUP($B24,'[1]Data_UN_PopulationTot.&amp;%'!$B$4:$CZ$603,87,FALSE)</f>
        <v>8.8106235565819855</v>
      </c>
      <c r="CX24">
        <f>VLOOKUP($B24,'[1]Data_UN_PopulationTot.&amp;%'!$B$4:$CZ$603,88,FALSE)</f>
        <v>8.5978530493542049</v>
      </c>
      <c r="CY24">
        <f>VLOOKUP($B24,'[1]Data_UN_PopulationTot.&amp;%'!$B$4:$CZ$603,89,FALSE)</f>
        <v>7.8690873321358312</v>
      </c>
      <c r="CZ24">
        <f>VLOOKUP($B24,'[1]Data_UN_PopulationTot.&amp;%'!$B$4:$CZ$603,90,FALSE)</f>
        <v>6.8557009665554709</v>
      </c>
      <c r="DA24">
        <f>VLOOKUP($B24,'[1]Data_UN_PopulationTot.&amp;%'!$B$4:$CZ$603,91,FALSE)</f>
        <v>5.8273458215721501</v>
      </c>
      <c r="DB24">
        <f>VLOOKUP($B24,'[1]Data_UN_PopulationTot.&amp;%'!$B$4:$CZ$603,92,FALSE)</f>
        <v>4.7887263707125136</v>
      </c>
      <c r="DC24">
        <f>VLOOKUP($B24,'[1]Data_UN_PopulationTot.&amp;%'!$B$4:$CZ$603,93,FALSE)</f>
        <v>4.2342400136857412</v>
      </c>
      <c r="DD24">
        <f>VLOOKUP($B24,'[1]Data_UN_PopulationTot.&amp;%'!$B$4:$CZ$603,94,FALSE)</f>
        <v>3.4227183303395776</v>
      </c>
      <c r="DE24">
        <f>VLOOKUP($B24,'[1]Data_UN_PopulationTot.&amp;%'!$B$4:$CZ$603,95,FALSE)</f>
        <v>2.6935249337096914</v>
      </c>
      <c r="DF24">
        <f>VLOOKUP($B24,'[1]Data_UN_PopulationTot.&amp;%'!$B$4:$CZ$603,96,FALSE)</f>
        <v>1.8655375930202722</v>
      </c>
      <c r="DG24">
        <f>VLOOKUP($B24,'[1]Data_UN_PopulationTot.&amp;%'!$B$4:$CZ$603,97,FALSE)</f>
        <v>1.2090496963476178</v>
      </c>
      <c r="DH24">
        <f>VLOOKUP($B24,'[1]Data_UN_PopulationTot.&amp;%'!$B$4:$CZ$603,98,FALSE)</f>
        <v>0.705243349585151</v>
      </c>
      <c r="DI24">
        <f>VLOOKUP($B24,'[1]Data_UN_PopulationTot.&amp;%'!$B$4:$CZ$603,99,FALSE)</f>
        <v>0.35369087332135835</v>
      </c>
      <c r="DJ24">
        <f>VLOOKUP($B24,'[1]Data_UN_PopulationTot.&amp;%'!$B$4:$DE$603,100,FALSE)</f>
        <v>0.16850568813617314</v>
      </c>
      <c r="DK24">
        <f>VLOOKUP($B24,'[1]Data_UN_PopulationTot.&amp;%'!$B$4:$DE$603,101,FALSE)</f>
        <v>5.3887605850654358E-2</v>
      </c>
      <c r="DL24">
        <f>VLOOKUP($B24,'[1]Data_UN_PopulationTot.&amp;%'!$B$4:$DE$603,102,FALSE)</f>
        <v>8.767427936019161E-3</v>
      </c>
    </row>
    <row r="25" spans="1:116">
      <c r="A25" t="s">
        <v>157</v>
      </c>
      <c r="B25" t="s">
        <v>371</v>
      </c>
      <c r="C25" t="s">
        <v>497</v>
      </c>
      <c r="D25" t="s">
        <v>334</v>
      </c>
      <c r="E25" t="s">
        <v>300</v>
      </c>
      <c r="F25">
        <v>0</v>
      </c>
      <c r="G25">
        <v>1</v>
      </c>
      <c r="H25">
        <v>0</v>
      </c>
      <c r="I25">
        <v>0</v>
      </c>
      <c r="J25" s="18">
        <f t="shared" si="1"/>
        <v>63.942659072237873</v>
      </c>
      <c r="K25">
        <f>VLOOKUP($B25,'[1]Source GDP Current USD'!$B$1:$CZ$600,64,FALSE)</f>
        <v>36572764862.823402</v>
      </c>
      <c r="L25" s="45">
        <f>VLOOKUP($B25,'[1]Source GDP Current USD'!$B$1:$CZ$600,65,FALSE)</f>
        <v>36572764862.823402</v>
      </c>
      <c r="M25" s="17">
        <f>VLOOKUP($B25,'[1]Source GDP Current LCU'!$B$1:$CZ$600,64,FALSE)</f>
        <v>252717805202.10999</v>
      </c>
      <c r="N25" s="45">
        <f>VLOOKUP($B25,'[1]Source GDP Current LCU'!$B$1:$CZ$600,65,FALSE)</f>
        <v>252717805202.10999</v>
      </c>
      <c r="O25" s="45">
        <f>VLOOKUP($B25,'[1]Source GNI Current USD'!$B$1:$CZ$600,64,FALSE)</f>
        <v>36136680932.930496</v>
      </c>
      <c r="P25" s="45">
        <f>VLOOKUP($B25,'[1]Source GNI Current LCU'!$B$1:$CZ$600,64,FALSE)</f>
        <v>249704465246.54999</v>
      </c>
      <c r="Q25">
        <f t="shared" si="0"/>
        <v>101.20676254330682</v>
      </c>
      <c r="R25">
        <f>VLOOKUP($B25,'[1]Source GNI PC Atlas'!$B$1:$CZ$600,64,FALSE)</f>
        <v>3180</v>
      </c>
      <c r="S25">
        <f>VLOOKUP($B25,'[1]Source GNI PC Atlas'!$B$1:$CZ$600,65,FALSE)</f>
        <v>3180</v>
      </c>
      <c r="T25">
        <f>VLOOKUP($B25,[1]Source_PPP_Conversion!$B$1:$CZ$600,65,FALSE)</f>
        <v>0.37859984563791499</v>
      </c>
      <c r="U25">
        <f>VLOOKUP($B25,'[1]Source PopulationTotal'!$B$1:$CZ$600,65,FALSE)</f>
        <v>11673029</v>
      </c>
      <c r="V25">
        <f>VLOOKUP($B25,'[1]Source Gov. Revenue WEO'!$B$1:$CZ$600,4,FALSE)</f>
        <v>25.302</v>
      </c>
      <c r="W25">
        <f>VLOOKUP($B25,'[1]Source Gov. Revenue WEO'!$B$1:$CZ$600,5,FALSE)</f>
        <v>26.861000000000001</v>
      </c>
      <c r="X25">
        <f>VLOOKUP($B25,'[1]Source Gov. Revenue WEO'!$B$1:$CZ$600,6,FALSE)</f>
        <v>28.86</v>
      </c>
      <c r="Y25">
        <f>VLOOKUP($B25,'[1]Source Gov. Revenue WEO'!$B$1:$CZ$600,7,FALSE)</f>
        <v>28.686</v>
      </c>
      <c r="Z25">
        <f>VLOOKUP($B25,'[1]Source Gov. Revenue WEO'!$B$1:$CZ$600,8,FALSE)</f>
        <v>28.420999999999999</v>
      </c>
      <c r="AA25">
        <f>VLOOKUP($B25,'[1]Source Gov. Revenue WEO'!$B$1:$CZ$600,9,FALSE)</f>
        <v>27.954999999999998</v>
      </c>
      <c r="AB25">
        <f>VLOOKUP($B25,'[1]Source Gov. Revenue WEO'!$B$1:$CZ$600,10,FALSE)</f>
        <v>27.998999999999999</v>
      </c>
      <c r="AC25">
        <f>VLOOKUP($B25,[2]Summary!$B$1:$CZ$600,39,FALSE)</f>
        <v>4.4849600000000003E-2</v>
      </c>
      <c r="AD25">
        <f>VLOOKUP($B25,[2]Summary!$B$1:$CZ$600,40,FALSE)</f>
        <v>3.6000000000000004E-2</v>
      </c>
      <c r="AE25">
        <f>VLOOKUP($B25,[2]Summary!$B$1:$CZ$600,47,FALSE)</f>
        <v>0.32223587634102246</v>
      </c>
      <c r="AF25">
        <f>VLOOKUP($B25,'[1]CALC GDP Growth rates WDI'!$B$1:$CZ$600,27,FALSE)</f>
        <v>37.81450955097089</v>
      </c>
      <c r="AG25">
        <f>VLOOKUP($B25,'[1]CALC GDP Growth rates WDI'!$B$1:$CZ$600,29,FALSE)</f>
        <v>53.561011602300866</v>
      </c>
      <c r="AH25">
        <f>VLOOKUP($B25,'[1]CALC GDP Growth rates WDI'!$B$1:$CZ$600,28,FALSE)</f>
        <v>5.5174304849768454</v>
      </c>
      <c r="AI25">
        <f>VLOOKUP($B25,'[1]CALC GDP Growth rates WDI'!$B$1:$CZ$600,30,FALSE)</f>
        <v>18.398509372720252</v>
      </c>
      <c r="AK25">
        <f>VLOOKUP($B25,[1]Data_Aspire!$B$1:$CZ$600,2,FALSE)</f>
        <v>2015</v>
      </c>
      <c r="AL25">
        <f>VLOOKUP($B25,[1]Data_Aspire!$B$1:$CZ$600,3,FALSE)</f>
        <v>2.1800000000000002</v>
      </c>
      <c r="AM25">
        <f>VLOOKUP($B25,[1]Data_Aspire!$B$1:$CZ$600,4,FALSE)</f>
        <v>0.28000000000000003</v>
      </c>
      <c r="AN25">
        <f>VLOOKUP($B25,[1]Data_Aspire!$B$1:$CZ$600,5,FALSE)</f>
        <v>0</v>
      </c>
      <c r="AO25">
        <f>VLOOKUP($B25,[1]Data_Aspire!$B$1:$CZ$600,6,FALSE)</f>
        <v>1.21</v>
      </c>
      <c r="AP25">
        <f>VLOOKUP($B25,[1]Data_Aspire!$B$1:$CZ$600,7,FALSE)</f>
        <v>0.28999999999999998</v>
      </c>
      <c r="AR25">
        <f>VLOOKUP($B25,[1]Data_Aspire!$B$1:$CZ$600,9,FALSE)</f>
        <v>0.4</v>
      </c>
      <c r="AU25">
        <f>VLOOKUP($B25,[1]Data_Aspire!$B$1:$CZ$600,12,FALSE)</f>
        <v>2.1800000000000002</v>
      </c>
      <c r="AV25">
        <f>VLOOKUP($B25,[1]Data_Aspire!$B$1:$CZ$600,13,FALSE)</f>
        <v>2228000</v>
      </c>
      <c r="AW25">
        <f>VLOOKUP($B25,[1]Data_Aspire!$B$1:$CZ$600,14,FALSE)</f>
        <v>2015</v>
      </c>
      <c r="AZ25">
        <f>VLOOKUP($B25,[1]Data_Aspire!$B$1:$CZ$600,17,FALSE)</f>
        <v>934748</v>
      </c>
      <c r="BA25">
        <f>VLOOKUP($B25,[1]Data_Aspire!$B$1:$CZ$600,18,FALSE)</f>
        <v>2015</v>
      </c>
      <c r="BB25">
        <f>VLOOKUP($B25,[1]Data_Aspire!$B$1:$CZ$600,19,FALSE)</f>
        <v>893696</v>
      </c>
      <c r="BC25">
        <f>VLOOKUP($B25,[1]Data_Aspire!$B$1:$CZ$600,20,FALSE)</f>
        <v>2015</v>
      </c>
      <c r="BD25">
        <f>VLOOKUP($B25,[1]Data_Aspire!$B$1:$CZ$600,21,FALSE)</f>
        <v>2162921</v>
      </c>
      <c r="BE25">
        <f>VLOOKUP($B25,[1]Data_Aspire!$B$1:$CZ$600,22,FALSE)</f>
        <v>2012</v>
      </c>
      <c r="BJ25" s="7">
        <v>0</v>
      </c>
      <c r="BK25">
        <v>68</v>
      </c>
      <c r="BL25">
        <f>VLOOKUP($B25,'[1]Data_UN_PopulationTot.&amp;%'!$B$4:$CZ$603,8,FALSE)</f>
        <v>11673</v>
      </c>
      <c r="BM25">
        <f>VLOOKUP($B25,'[1]Data_UN_PopulationTot.&amp;%'!$B$4:$CZ$603,9,FALSE)</f>
        <v>11832.9</v>
      </c>
      <c r="BN25">
        <v>11992.6</v>
      </c>
      <c r="BO25">
        <f>VLOOKUP($B25,'[1]Data_UN_PopulationTot.&amp;%'!$B$4:$CZ$603,11,FALSE)</f>
        <v>12152</v>
      </c>
      <c r="BP25">
        <f>VLOOKUP($B25,'[1]Data_UN_PopulationTot.&amp;%'!$B$4:$CZ$603,12,FALSE)</f>
        <v>12310.7</v>
      </c>
      <c r="BQ25">
        <f>VLOOKUP($B25,'[1]Data_UN_PopulationTot.&amp;%'!$B$4:$CZ$603,13,FALSE)</f>
        <v>12468.5</v>
      </c>
      <c r="BR25">
        <f>VLOOKUP($B25,'[1]Data_UN_PopulationTot.&amp;%'!$B$4:$CZ$603,14,FALSE)</f>
        <v>12625.3</v>
      </c>
      <c r="BS25">
        <f>VLOOKUP($B25,'[1]Data_UN_PopulationTot.&amp;%'!$B$4:$CZ$603,15,FALSE)</f>
        <v>12781.2</v>
      </c>
      <c r="BT25">
        <f>VLOOKUP($B25,'[1]Data_UN_PopulationTot.&amp;%'!$B$4:$CZ$603,16,FALSE)</f>
        <v>12935.8</v>
      </c>
      <c r="BU25">
        <f>VLOOKUP($B25,'[1]Data_UN_PopulationTot.&amp;%'!$B$4:$CZ$603,17,FALSE)</f>
        <v>13088.9</v>
      </c>
      <c r="BV25">
        <f>VLOOKUP($B25,'[1]Data_UN_PopulationTot.&amp;%'!$B$4:$CZ$603,18,FALSE)</f>
        <v>13240.4</v>
      </c>
      <c r="BW25">
        <f>VLOOKUP($B25,'[1]Data_UN_PopulationTot.&amp;%'!$B$4:$CZ$603,61,FALSE)</f>
        <v>10.155915360233015</v>
      </c>
      <c r="BX25">
        <f>VLOOKUP($B25,'[1]Data_UN_PopulationTot.&amp;%'!$B$4:$CZ$603,62,FALSE)</f>
        <v>10.101002313030069</v>
      </c>
      <c r="BY25">
        <f>VLOOKUP($B25,'[1]Data_UN_PopulationTot.&amp;%'!$B$4:$CZ$603,63,FALSE)</f>
        <v>9.9461149661612271</v>
      </c>
      <c r="BZ25">
        <f>VLOOKUP($B25,'[1]Data_UN_PopulationTot.&amp;%'!$B$4:$CZ$603,64,FALSE)</f>
        <v>9.7376852565750038</v>
      </c>
      <c r="CA25">
        <f>VLOOKUP($B25,'[1]Data_UN_PopulationTot.&amp;%'!$B$4:$CZ$603,65,FALSE)</f>
        <v>9.1252462948685</v>
      </c>
      <c r="CB25">
        <f>VLOOKUP($B25,'[1]Data_UN_PopulationTot.&amp;%'!$B$4:$CZ$603,66,FALSE)</f>
        <v>8.3469973442988099</v>
      </c>
      <c r="CC25">
        <f>VLOOKUP($B25,'[1]Data_UN_PopulationTot.&amp;%'!$B$4:$CZ$603,67,FALSE)</f>
        <v>7.4611924955024413</v>
      </c>
      <c r="CD25">
        <f>VLOOKUP($B25,'[1]Data_UN_PopulationTot.&amp;%'!$B$4:$CZ$603,68,FALSE)</f>
        <v>6.5806048145292557</v>
      </c>
      <c r="CE25">
        <f>VLOOKUP($B25,'[1]Data_UN_PopulationTot.&amp;%'!$B$4:$CZ$603,69,FALSE)</f>
        <v>5.7216225477597877</v>
      </c>
      <c r="CF25">
        <f>VLOOKUP($B25,'[1]Data_UN_PopulationTot.&amp;%'!$B$4:$CZ$603,70,FALSE)</f>
        <v>4.8869870641651669</v>
      </c>
      <c r="CG25">
        <f>VLOOKUP($B25,'[1]Data_UN_PopulationTot.&amp;%'!$B$4:$CZ$603,71,FALSE)</f>
        <v>4.116867985950484</v>
      </c>
      <c r="CH25">
        <f>VLOOKUP($B25,'[1]Data_UN_PopulationTot.&amp;%'!$B$4:$CZ$603,72,FALSE)</f>
        <v>3.4526685513578341</v>
      </c>
      <c r="CI25">
        <f>VLOOKUP($B25,'[1]Data_UN_PopulationTot.&amp;%'!$B$4:$CZ$603,73,FALSE)</f>
        <v>2.8800736742910988</v>
      </c>
      <c r="CJ25">
        <f>VLOOKUP($B25,'[1]Data_UN_PopulationTot.&amp;%'!$B$4:$CZ$603,74,FALSE)</f>
        <v>2.3912190525143493</v>
      </c>
      <c r="CK25">
        <f>VLOOKUP($B25,'[1]Data_UN_PopulationTot.&amp;%'!$B$4:$CZ$603,75,FALSE)</f>
        <v>1.9312944401610552</v>
      </c>
      <c r="CL25">
        <f>VLOOKUP($B25,'[1]Data_UN_PopulationTot.&amp;%'!$B$4:$CZ$603,76,FALSE)</f>
        <v>1.4263771095690911</v>
      </c>
      <c r="CM25">
        <f>VLOOKUP($B25,'[1]Data_UN_PopulationTot.&amp;%'!$B$4:$CZ$603,77,FALSE)</f>
        <v>0.91583997258631034</v>
      </c>
      <c r="CN25">
        <f>VLOOKUP($B25,'[1]Data_UN_PopulationTot.&amp;%'!$B$4:$CZ$603,78,FALSE)</f>
        <v>0.51423798509380625</v>
      </c>
      <c r="CO25">
        <f>VLOOKUP($B25,'[1]Data_UN_PopulationTot.&amp;%'!$B$4:$CZ$603,79,FALSE)</f>
        <v>0.22730232159684743</v>
      </c>
      <c r="CP25">
        <f>VLOOKUP($B25,'[1]Data_UN_PopulationTot.&amp;%'!$B$4:$CZ$603,80,FALSE)</f>
        <v>6.8028784374196863E-2</v>
      </c>
      <c r="CQ25">
        <f>VLOOKUP($B25,'[1]Data_UN_PopulationTot.&amp;%'!$B$4:$CZ$603,81,FALSE)</f>
        <v>1.2952968388589052E-2</v>
      </c>
      <c r="CR25">
        <f>VLOOKUP($B25,'[1]Data_UN_PopulationTot.&amp;%'!$B$4:$CZ$603,82,FALSE)</f>
        <v>9.1334853931905382</v>
      </c>
      <c r="CS25">
        <f>VLOOKUP($B25,'[1]Data_UN_PopulationTot.&amp;%'!$B$4:$CZ$603,83,FALSE)</f>
        <v>8.9863599287030596</v>
      </c>
      <c r="CT25">
        <f>VLOOKUP($B25,'[1]Data_UN_PopulationTot.&amp;%'!$B$4:$CZ$603,84,FALSE)</f>
        <v>8.7779825382918943</v>
      </c>
      <c r="CU25">
        <f>VLOOKUP($B25,'[1]Data_UN_PopulationTot.&amp;%'!$B$4:$CZ$603,85,FALSE)</f>
        <v>8.7427872269719948</v>
      </c>
      <c r="CV25">
        <f>VLOOKUP($B25,'[1]Data_UN_PopulationTot.&amp;%'!$B$4:$CZ$603,86,FALSE)</f>
        <v>8.5319174647291636</v>
      </c>
      <c r="CW25">
        <f>VLOOKUP($B25,'[1]Data_UN_PopulationTot.&amp;%'!$B$4:$CZ$603,87,FALSE)</f>
        <v>8.2824537023050677</v>
      </c>
      <c r="CX25">
        <f>VLOOKUP($B25,'[1]Data_UN_PopulationTot.&amp;%'!$B$4:$CZ$603,88,FALSE)</f>
        <v>7.7465182320775821</v>
      </c>
      <c r="CY25">
        <f>VLOOKUP($B25,'[1]Data_UN_PopulationTot.&amp;%'!$B$4:$CZ$603,89,FALSE)</f>
        <v>7.0838645358146284</v>
      </c>
      <c r="CZ25">
        <f>VLOOKUP($B25,'[1]Data_UN_PopulationTot.&amp;%'!$B$4:$CZ$603,90,FALSE)</f>
        <v>6.3124527959880368</v>
      </c>
      <c r="DA25">
        <f>VLOOKUP($B25,'[1]Data_UN_PopulationTot.&amp;%'!$B$4:$CZ$603,91,FALSE)</f>
        <v>5.5324612549469805</v>
      </c>
      <c r="DB25">
        <f>VLOOKUP($B25,'[1]Data_UN_PopulationTot.&amp;%'!$B$4:$CZ$603,92,FALSE)</f>
        <v>4.7625751487870449</v>
      </c>
      <c r="DC25">
        <f>VLOOKUP($B25,'[1]Data_UN_PopulationTot.&amp;%'!$B$4:$CZ$603,93,FALSE)</f>
        <v>4.014002598108819</v>
      </c>
      <c r="DD25">
        <f>VLOOKUP($B25,'[1]Data_UN_PopulationTot.&amp;%'!$B$4:$CZ$603,94,FALSE)</f>
        <v>3.3097640554666028</v>
      </c>
      <c r="DE25">
        <f>VLOOKUP($B25,'[1]Data_UN_PopulationTot.&amp;%'!$B$4:$CZ$603,95,FALSE)</f>
        <v>2.6812785112232262</v>
      </c>
      <c r="DF25">
        <f>VLOOKUP($B25,'[1]Data_UN_PopulationTot.&amp;%'!$B$4:$CZ$603,96,FALSE)</f>
        <v>2.130653152472735</v>
      </c>
      <c r="DG25">
        <f>VLOOKUP($B25,'[1]Data_UN_PopulationTot.&amp;%'!$B$4:$CZ$603,97,FALSE)</f>
        <v>1.6390970061327452</v>
      </c>
      <c r="DH25">
        <f>VLOOKUP($B25,'[1]Data_UN_PopulationTot.&amp;%'!$B$4:$CZ$603,98,FALSE)</f>
        <v>1.1649194888371954</v>
      </c>
      <c r="DI25">
        <f>VLOOKUP($B25,'[1]Data_UN_PopulationTot.&amp;%'!$B$4:$CZ$603,99,FALSE)</f>
        <v>0.69505453007462026</v>
      </c>
      <c r="DJ25">
        <f>VLOOKUP($B25,'[1]Data_UN_PopulationTot.&amp;%'!$B$4:$DE$603,100,FALSE)</f>
        <v>0.32161415062989035</v>
      </c>
      <c r="DK25">
        <f>VLOOKUP($B25,'[1]Data_UN_PopulationTot.&amp;%'!$B$4:$DE$603,101,FALSE)</f>
        <v>0.11783631914443674</v>
      </c>
      <c r="DL25">
        <f>VLOOKUP($B25,'[1]Data_UN_PopulationTot.&amp;%'!$B$4:$DE$603,102,FALSE)</f>
        <v>3.2884202894172383E-2</v>
      </c>
    </row>
    <row r="26" spans="1:116">
      <c r="A26" t="s">
        <v>204</v>
      </c>
      <c r="B26" t="s">
        <v>419</v>
      </c>
      <c r="C26" t="s">
        <v>497</v>
      </c>
      <c r="D26" t="s">
        <v>389</v>
      </c>
      <c r="E26" t="s">
        <v>301</v>
      </c>
      <c r="F26">
        <v>0</v>
      </c>
      <c r="G26">
        <v>0</v>
      </c>
      <c r="H26">
        <v>1</v>
      </c>
      <c r="I26">
        <v>0</v>
      </c>
      <c r="J26" s="18">
        <f t="shared" si="1"/>
        <v>2186.8401394373482</v>
      </c>
      <c r="K26">
        <f>VLOOKUP($B26,'[1]Source GDP Current USD'!$B$1:$CZ$600,64,FALSE)</f>
        <v>1444733258971.6499</v>
      </c>
      <c r="L26" s="45">
        <f>VLOOKUP($B26,'[1]Source GDP Current USD'!$B$1:$CZ$600,65,FALSE)</f>
        <v>1444733258971.6499</v>
      </c>
      <c r="M26" s="17">
        <f>VLOOKUP($B26,'[1]Source GDP Current LCU'!$B$1:$CZ$600,64,FALSE)</f>
        <v>7447858250246.4004</v>
      </c>
      <c r="N26" s="45">
        <f>VLOOKUP($B26,'[1]Source GDP Current LCU'!$B$1:$CZ$600,65,FALSE)</f>
        <v>7447858250246.4004</v>
      </c>
      <c r="O26" s="45">
        <f>VLOOKUP($B26,'[1]Source GNI Current USD'!$B$1:$CZ$600,64,FALSE)</f>
        <v>1417068693062.22</v>
      </c>
      <c r="P26" s="45">
        <f>VLOOKUP($B26,'[1]Source GNI Current LCU'!$B$1:$CZ$600,64,FALSE)</f>
        <v>7305242466904.7305</v>
      </c>
      <c r="Q26">
        <f t="shared" si="0"/>
        <v>101.95223887485965</v>
      </c>
      <c r="R26">
        <f>VLOOKUP($B26,'[1]Source GNI PC Atlas'!$B$1:$CZ$600,64,FALSE)</f>
        <v>7850</v>
      </c>
      <c r="S26">
        <f>VLOOKUP($B26,'[1]Source GNI PC Atlas'!$B$1:$CZ$600,65,FALSE)</f>
        <v>7850</v>
      </c>
      <c r="T26">
        <f>VLOOKUP($B26,[1]Source_PPP_Conversion!$B$1:$CZ$600,65,FALSE)</f>
        <v>0.45814994563816402</v>
      </c>
      <c r="U26">
        <f>VLOOKUP($B26,'[1]Source PopulationTotal'!$B$1:$CZ$600,65,FALSE)</f>
        <v>212559409</v>
      </c>
      <c r="V26">
        <f>VLOOKUP($B26,'[1]Source Gov. Revenue WEO'!$B$1:$CZ$600,4,FALSE)</f>
        <v>29.361999999999998</v>
      </c>
      <c r="W26">
        <f>VLOOKUP($B26,'[1]Source Gov. Revenue WEO'!$B$1:$CZ$600,5,FALSE)</f>
        <v>30.175999999999998</v>
      </c>
      <c r="X26">
        <f>VLOOKUP($B26,'[1]Source Gov. Revenue WEO'!$B$1:$CZ$600,6,FALSE)</f>
        <v>29.559000000000001</v>
      </c>
      <c r="Y26">
        <f>VLOOKUP($B26,'[1]Source Gov. Revenue WEO'!$B$1:$CZ$600,7,FALSE)</f>
        <v>29.512</v>
      </c>
      <c r="Z26">
        <f>VLOOKUP($B26,'[1]Source Gov. Revenue WEO'!$B$1:$CZ$600,8,FALSE)</f>
        <v>29.577000000000002</v>
      </c>
      <c r="AA26">
        <f>VLOOKUP($B26,'[1]Source Gov. Revenue WEO'!$B$1:$CZ$600,9,FALSE)</f>
        <v>29.545999999999999</v>
      </c>
      <c r="AB26">
        <f>VLOOKUP($B26,'[1]Source Gov. Revenue WEO'!$B$1:$CZ$600,10,FALSE)</f>
        <v>29.437000000000001</v>
      </c>
      <c r="AC26">
        <f>VLOOKUP($B26,[2]Summary!$B$1:$CZ$600,39,FALSE)</f>
        <v>4.4414160000000001E-2</v>
      </c>
      <c r="AD26">
        <f>VLOOKUP($B26,[2]Summary!$B$1:$CZ$600,40,FALSE)</f>
        <v>5.4749999999999993E-2</v>
      </c>
      <c r="AE26">
        <f>VLOOKUP($B26,[2]Summary!$B$1:$CZ$600,47,FALSE)</f>
        <v>0.4148329377994685</v>
      </c>
      <c r="AF26">
        <f>VLOOKUP($B26,'[1]CALC GDP Growth rates WDI'!$B$1:$CZ$600,27,FALSE)</f>
        <v>2.6982168392596697</v>
      </c>
      <c r="AG26">
        <f>VLOOKUP($B26,'[1]CALC GDP Growth rates WDI'!$B$1:$CZ$600,29,FALSE)</f>
        <v>13.446136710620117</v>
      </c>
      <c r="AH26">
        <f>VLOOKUP($B26,'[1]CALC GDP Growth rates WDI'!$B$1:$CZ$600,28,FALSE)</f>
        <v>-2.9467830347663888</v>
      </c>
      <c r="AI26">
        <f>VLOOKUP($B26,'[1]CALC GDP Growth rates WDI'!$B$1:$CZ$600,30,FALSE)</f>
        <v>-3.8308956581121212</v>
      </c>
      <c r="AJ26" s="45"/>
      <c r="AK26">
        <f>VLOOKUP($B26,[1]Data_Aspire!$B$1:$CZ$600,2,FALSE)</f>
        <v>2018</v>
      </c>
      <c r="AL26">
        <f>VLOOKUP($B26,[1]Data_Aspire!$B$1:$CZ$600,3,FALSE)</f>
        <v>1.48</v>
      </c>
      <c r="AM26">
        <f>VLOOKUP($B26,[1]Data_Aspire!$B$1:$CZ$600,4,FALSE)</f>
        <v>0.38</v>
      </c>
      <c r="AN26">
        <f>VLOOKUP($B26,[1]Data_Aspire!$B$1:$CZ$600,5,FALSE)</f>
        <v>0.04</v>
      </c>
      <c r="AO26">
        <f>VLOOKUP($B26,[1]Data_Aspire!$B$1:$CZ$600,6,FALSE)</f>
        <v>0.55000000000000004</v>
      </c>
      <c r="AP26">
        <f>VLOOKUP($B26,[1]Data_Aspire!$B$1:$CZ$600,7,FALSE)</f>
        <v>0.05</v>
      </c>
      <c r="AS26">
        <f>VLOOKUP($B26,[1]Data_Aspire!$B$1:$CZ$600,10,FALSE)</f>
        <v>0.43</v>
      </c>
      <c r="AT26">
        <f>VLOOKUP($B26,[1]Data_Aspire!$B$1:$CZ$600,11,FALSE)</f>
        <v>0.04</v>
      </c>
      <c r="AU26">
        <f>VLOOKUP($B26,[1]Data_Aspire!$B$1:$CZ$600,12,FALSE)</f>
        <v>1.48</v>
      </c>
      <c r="AV26">
        <f>VLOOKUP($B26,[1]Data_Aspire!$B$1:$CZ$600,13,FALSE)</f>
        <v>42400000</v>
      </c>
      <c r="AW26">
        <f>VLOOKUP($B26,[1]Data_Aspire!$B$1:$CZ$600,14,FALSE)</f>
        <v>2018</v>
      </c>
      <c r="AZ26">
        <f>VLOOKUP($B26,[1]Data_Aspire!$B$1:$CZ$600,17,FALSE)</f>
        <v>2603082</v>
      </c>
      <c r="BA26">
        <f>VLOOKUP($B26,[1]Data_Aspire!$B$1:$CZ$600,18,FALSE)</f>
        <v>2018</v>
      </c>
      <c r="BB26">
        <f>VLOOKUP($B26,[1]Data_Aspire!$B$1:$CZ$600,19,FALSE)</f>
        <v>337536</v>
      </c>
      <c r="BC26">
        <f>VLOOKUP($B26,[1]Data_Aspire!$B$1:$CZ$600,20,FALSE)</f>
        <v>2018</v>
      </c>
      <c r="BD26">
        <f>VLOOKUP($B26,[1]Data_Aspire!$B$1:$CZ$600,21,FALSE)</f>
        <v>40544184</v>
      </c>
      <c r="BE26">
        <f>VLOOKUP($B26,[1]Data_Aspire!$B$1:$CZ$600,22,FALSE)</f>
        <v>2018</v>
      </c>
      <c r="BJ26" s="7">
        <v>0</v>
      </c>
      <c r="BK26">
        <v>76</v>
      </c>
      <c r="BL26">
        <f>VLOOKUP($B26,'[1]Data_UN_PopulationTot.&amp;%'!$B$4:$CZ$603,8,FALSE)</f>
        <v>212559</v>
      </c>
      <c r="BM26">
        <f>VLOOKUP($B26,'[1]Data_UN_PopulationTot.&amp;%'!$B$4:$CZ$603,9,FALSE)</f>
        <v>213993</v>
      </c>
      <c r="BN26">
        <v>215354</v>
      </c>
      <c r="BO26">
        <f>VLOOKUP($B26,'[1]Data_UN_PopulationTot.&amp;%'!$B$4:$CZ$603,11,FALSE)</f>
        <v>216642</v>
      </c>
      <c r="BP26">
        <f>VLOOKUP($B26,'[1]Data_UN_PopulationTot.&amp;%'!$B$4:$CZ$603,12,FALSE)</f>
        <v>217863</v>
      </c>
      <c r="BQ26">
        <f>VLOOKUP($B26,'[1]Data_UN_PopulationTot.&amp;%'!$B$4:$CZ$603,13,FALSE)</f>
        <v>219021</v>
      </c>
      <c r="BR26">
        <f>VLOOKUP($B26,'[1]Data_UN_PopulationTot.&amp;%'!$B$4:$CZ$603,14,FALSE)</f>
        <v>220115</v>
      </c>
      <c r="BS26">
        <f>VLOOKUP($B26,'[1]Data_UN_PopulationTot.&amp;%'!$B$4:$CZ$603,15,FALSE)</f>
        <v>221143</v>
      </c>
      <c r="BT26">
        <f>VLOOKUP($B26,'[1]Data_UN_PopulationTot.&amp;%'!$B$4:$CZ$603,16,FALSE)</f>
        <v>222107</v>
      </c>
      <c r="BU26">
        <f>VLOOKUP($B26,'[1]Data_UN_PopulationTot.&amp;%'!$B$4:$CZ$603,17,FALSE)</f>
        <v>223009</v>
      </c>
      <c r="BV26">
        <f>VLOOKUP($B26,'[1]Data_UN_PopulationTot.&amp;%'!$B$4:$CZ$603,18,FALSE)</f>
        <v>223852</v>
      </c>
      <c r="BW26">
        <f>VLOOKUP($B26,'[1]Data_UN_PopulationTot.&amp;%'!$B$4:$CZ$603,61,FALSE)</f>
        <v>6.8099210101665895</v>
      </c>
      <c r="BX26">
        <f>VLOOKUP($B26,'[1]Data_UN_PopulationTot.&amp;%'!$B$4:$CZ$603,62,FALSE)</f>
        <v>6.8695279898757526</v>
      </c>
      <c r="BY26">
        <f>VLOOKUP($B26,'[1]Data_UN_PopulationTot.&amp;%'!$B$4:$CZ$603,63,FALSE)</f>
        <v>7.0297658532454506</v>
      </c>
      <c r="BZ26">
        <f>VLOOKUP($B26,'[1]Data_UN_PopulationTot.&amp;%'!$B$4:$CZ$603,64,FALSE)</f>
        <v>7.6298815858185254</v>
      </c>
      <c r="CA26">
        <f>VLOOKUP($B26,'[1]Data_UN_PopulationTot.&amp;%'!$B$4:$CZ$603,65,FALSE)</f>
        <v>8.0692889974077779</v>
      </c>
      <c r="CB26">
        <f>VLOOKUP($B26,'[1]Data_UN_PopulationTot.&amp;%'!$B$4:$CZ$603,66,FALSE)</f>
        <v>7.9754797491519991</v>
      </c>
      <c r="CC26">
        <f>VLOOKUP($B26,'[1]Data_UN_PopulationTot.&amp;%'!$B$4:$CZ$603,67,FALSE)</f>
        <v>8.067360121189882</v>
      </c>
      <c r="CD26">
        <f>VLOOKUP($B26,'[1]Data_UN_PopulationTot.&amp;%'!$B$4:$CZ$603,68,FALSE)</f>
        <v>8.1525129493458284</v>
      </c>
      <c r="CE26">
        <f>VLOOKUP($B26,'[1]Data_UN_PopulationTot.&amp;%'!$B$4:$CZ$603,69,FALSE)</f>
        <v>7.367977832037222</v>
      </c>
      <c r="CF26">
        <f>VLOOKUP($B26,'[1]Data_UN_PopulationTot.&amp;%'!$B$4:$CZ$603,70,FALSE)</f>
        <v>6.4926443952032145</v>
      </c>
      <c r="CG26">
        <f>VLOOKUP($B26,'[1]Data_UN_PopulationTot.&amp;%'!$B$4:$CZ$603,71,FALSE)</f>
        <v>6.0326309401154496</v>
      </c>
      <c r="CH26">
        <f>VLOOKUP($B26,'[1]Data_UN_PopulationTot.&amp;%'!$B$4:$CZ$603,72,FALSE)</f>
        <v>5.45650854586256</v>
      </c>
      <c r="CI26">
        <f>VLOOKUP($B26,'[1]Data_UN_PopulationTot.&amp;%'!$B$4:$CZ$603,73,FALSE)</f>
        <v>4.4543679637183082</v>
      </c>
      <c r="CJ26">
        <f>VLOOKUP($B26,'[1]Data_UN_PopulationTot.&amp;%'!$B$4:$CZ$603,74,FALSE)</f>
        <v>3.4948884780225722</v>
      </c>
      <c r="CK26">
        <f>VLOOKUP($B26,'[1]Data_UN_PopulationTot.&amp;%'!$B$4:$CZ$603,75,FALSE)</f>
        <v>2.4978570655676777</v>
      </c>
      <c r="CL26">
        <f>VLOOKUP($B26,'[1]Data_UN_PopulationTot.&amp;%'!$B$4:$CZ$603,76,FALSE)</f>
        <v>1.6428991480012609</v>
      </c>
      <c r="CM26">
        <f>VLOOKUP($B26,'[1]Data_UN_PopulationTot.&amp;%'!$B$4:$CZ$603,77,FALSE)</f>
        <v>1.090149088017915</v>
      </c>
      <c r="CN26">
        <f>VLOOKUP($B26,'[1]Data_UN_PopulationTot.&amp;%'!$B$4:$CZ$603,78,FALSE)</f>
        <v>0.5529006064198646</v>
      </c>
      <c r="CO26">
        <f>VLOOKUP($B26,'[1]Data_UN_PopulationTot.&amp;%'!$B$4:$CZ$603,79,FALSE)</f>
        <v>0.24032245164871871</v>
      </c>
      <c r="CP26">
        <f>VLOOKUP($B26,'[1]Data_UN_PopulationTot.&amp;%'!$B$4:$CZ$603,80,FALSE)</f>
        <v>6.3324535775949264E-2</v>
      </c>
      <c r="CQ26">
        <f>VLOOKUP($B26,'[1]Data_UN_PopulationTot.&amp;%'!$B$4:$CZ$603,81,FALSE)</f>
        <v>9.9501785386645579E-3</v>
      </c>
      <c r="CR26">
        <f>VLOOKUP($B26,'[1]Data_UN_PopulationTot.&amp;%'!$B$4:$CZ$603,82,FALSE)</f>
        <v>5.7164555152511483</v>
      </c>
      <c r="CS26">
        <f>VLOOKUP($B26,'[1]Data_UN_PopulationTot.&amp;%'!$B$4:$CZ$603,83,FALSE)</f>
        <v>6.0916141021746517</v>
      </c>
      <c r="CT26">
        <f>VLOOKUP($B26,'[1]Data_UN_PopulationTot.&amp;%'!$B$4:$CZ$603,84,FALSE)</f>
        <v>6.44935046369923</v>
      </c>
      <c r="CU26">
        <f>VLOOKUP($B26,'[1]Data_UN_PopulationTot.&amp;%'!$B$4:$CZ$603,85,FALSE)</f>
        <v>6.5007683648124663</v>
      </c>
      <c r="CV26">
        <f>VLOOKUP($B26,'[1]Data_UN_PopulationTot.&amp;%'!$B$4:$CZ$603,86,FALSE)</f>
        <v>6.6216518056573097</v>
      </c>
      <c r="CW26">
        <f>VLOOKUP($B26,'[1]Data_UN_PopulationTot.&amp;%'!$B$4:$CZ$603,87,FALSE)</f>
        <v>7.1534317316798601</v>
      </c>
      <c r="CX26">
        <f>VLOOKUP($B26,'[1]Data_UN_PopulationTot.&amp;%'!$B$4:$CZ$603,88,FALSE)</f>
        <v>7.5539642263638473</v>
      </c>
      <c r="CY26">
        <f>VLOOKUP($B26,'[1]Data_UN_PopulationTot.&amp;%'!$B$4:$CZ$603,89,FALSE)</f>
        <v>7.4506370280363816</v>
      </c>
      <c r="CZ26">
        <f>VLOOKUP($B26,'[1]Data_UN_PopulationTot.&amp;%'!$B$4:$CZ$603,90,FALSE)</f>
        <v>7.5036184621982391</v>
      </c>
      <c r="DA26">
        <f>VLOOKUP($B26,'[1]Data_UN_PopulationTot.&amp;%'!$B$4:$CZ$603,91,FALSE)</f>
        <v>7.5302431963976195</v>
      </c>
      <c r="DB26">
        <f>VLOOKUP($B26,'[1]Data_UN_PopulationTot.&amp;%'!$B$4:$CZ$603,92,FALSE)</f>
        <v>6.7279720529635654</v>
      </c>
      <c r="DC26">
        <f>VLOOKUP($B26,'[1]Data_UN_PopulationTot.&amp;%'!$B$4:$CZ$603,93,FALSE)</f>
        <v>5.8298339974626092</v>
      </c>
      <c r="DD26">
        <f>VLOOKUP($B26,'[1]Data_UN_PopulationTot.&amp;%'!$B$4:$CZ$603,94,FALSE)</f>
        <v>5.2842503082393719</v>
      </c>
      <c r="DE26">
        <f>VLOOKUP($B26,'[1]Data_UN_PopulationTot.&amp;%'!$B$4:$CZ$603,95,FALSE)</f>
        <v>4.5944641995604236</v>
      </c>
      <c r="DF26">
        <f>VLOOKUP($B26,'[1]Data_UN_PopulationTot.&amp;%'!$B$4:$CZ$603,96,FALSE)</f>
        <v>3.5355011346782699</v>
      </c>
      <c r="DG26">
        <f>VLOOKUP($B26,'[1]Data_UN_PopulationTot.&amp;%'!$B$4:$CZ$603,97,FALSE)</f>
        <v>2.5356798241695406</v>
      </c>
      <c r="DH26">
        <f>VLOOKUP($B26,'[1]Data_UN_PopulationTot.&amp;%'!$B$4:$CZ$603,98,FALSE)</f>
        <v>1.564600718331755</v>
      </c>
      <c r="DI26">
        <f>VLOOKUP($B26,'[1]Data_UN_PopulationTot.&amp;%'!$B$4:$CZ$603,99,FALSE)</f>
        <v>0.8181521719707664</v>
      </c>
      <c r="DJ26">
        <f>VLOOKUP($B26,'[1]Data_UN_PopulationTot.&amp;%'!$B$4:$DE$603,100,FALSE)</f>
        <v>0.38971016564515842</v>
      </c>
      <c r="DK26">
        <f>VLOOKUP($B26,'[1]Data_UN_PopulationTot.&amp;%'!$B$4:$DE$603,101,FALSE)</f>
        <v>0.12162678912853137</v>
      </c>
      <c r="DL26">
        <f>VLOOKUP($B26,'[1]Data_UN_PopulationTot.&amp;%'!$B$4:$DE$603,102,FALSE)</f>
        <v>2.6487590014831225E-2</v>
      </c>
    </row>
    <row r="27" spans="1:116">
      <c r="A27" t="s">
        <v>237</v>
      </c>
      <c r="B27" t="s">
        <v>566</v>
      </c>
      <c r="C27" t="s">
        <v>497</v>
      </c>
      <c r="D27" t="s">
        <v>622</v>
      </c>
      <c r="E27" t="s">
        <v>2269</v>
      </c>
      <c r="F27">
        <v>0</v>
      </c>
      <c r="G27">
        <v>0</v>
      </c>
      <c r="H27">
        <v>0</v>
      </c>
      <c r="I27">
        <v>1</v>
      </c>
      <c r="J27" s="18">
        <f t="shared" si="1"/>
        <v>2.8170051599999999</v>
      </c>
      <c r="K27">
        <f>VLOOKUP($B27,'[1]Source GDP Current USD'!$B$1:$CZ$600,64,FALSE)</f>
        <v>4418000000</v>
      </c>
      <c r="L27" s="45">
        <f>VLOOKUP($B27,'[1]Source GDP Current USD'!$B$1:$CZ$600,65,FALSE)</f>
        <v>4418000000</v>
      </c>
      <c r="M27" s="17">
        <f>VLOOKUP($B27,'[1]Source GDP Current LCU'!$B$1:$CZ$600,64,FALSE)</f>
        <v>8836000000</v>
      </c>
      <c r="N27" s="45">
        <f>VLOOKUP($B27,'[1]Source GDP Current LCU'!$B$1:$CZ$600,65,FALSE)</f>
        <v>8836000000</v>
      </c>
      <c r="O27" s="45">
        <f>VLOOKUP($B27,'[1]Source GNI Current USD'!$B$1:$CZ$600,64,FALSE)</f>
        <v>4234398764.8910499</v>
      </c>
      <c r="P27" s="45">
        <f>VLOOKUP($B27,'[1]Source GNI Current LCU'!$B$1:$CZ$600,64,FALSE)</f>
        <v>8468797529.7820997</v>
      </c>
      <c r="Q27">
        <f t="shared" si="0"/>
        <v>104.33594579309005</v>
      </c>
      <c r="R27">
        <f>VLOOKUP($B27,'[1]Source GNI PC Atlas'!$B$1:$CZ$600,64,FALSE)</f>
        <v>14350</v>
      </c>
      <c r="S27">
        <f>VLOOKUP($B27,'[1]Source GNI PC Atlas'!$B$1:$CZ$600,65,FALSE)</f>
        <v>14350</v>
      </c>
      <c r="T27">
        <f>VLOOKUP($B27,[1]Source_PPP_Conversion!$B$1:$CZ$600,65,FALSE)</f>
        <v>1.15163666471834</v>
      </c>
      <c r="U27">
        <f>VLOOKUP($B27,'[1]Source PopulationTotal'!$B$1:$CZ$600,65,FALSE)</f>
        <v>287371</v>
      </c>
      <c r="V27">
        <f>VLOOKUP($B27,'[1]Source Gov. Revenue WEO'!$B$1:$CZ$600,4,FALSE)</f>
        <v>31.881</v>
      </c>
      <c r="W27">
        <f>VLOOKUP($B27,'[1]Source Gov. Revenue WEO'!$B$1:$CZ$600,5,FALSE)</f>
        <v>28.393999999999998</v>
      </c>
      <c r="X27">
        <f>VLOOKUP($B27,'[1]Source Gov. Revenue WEO'!$B$1:$CZ$600,6,FALSE)</f>
        <v>29.242000000000001</v>
      </c>
      <c r="Y27">
        <f>VLOOKUP($B27,'[1]Source Gov. Revenue WEO'!$B$1:$CZ$600,7,FALSE)</f>
        <v>29.678000000000001</v>
      </c>
      <c r="Z27">
        <f>VLOOKUP($B27,'[1]Source Gov. Revenue WEO'!$B$1:$CZ$600,8,FALSE)</f>
        <v>29.678000000000001</v>
      </c>
      <c r="AA27">
        <f>VLOOKUP($B27,'[1]Source Gov. Revenue WEO'!$B$1:$CZ$600,9,FALSE)</f>
        <v>29.678000000000001</v>
      </c>
      <c r="AB27">
        <f>VLOOKUP($B27,'[1]Source Gov. Revenue WEO'!$B$1:$CZ$600,10,FALSE)</f>
        <v>29.678000000000001</v>
      </c>
      <c r="AC27">
        <f>VLOOKUP($B27,[2]Summary!$B$1:$CZ$600,39,FALSE)</f>
        <v>0.02</v>
      </c>
      <c r="AD27">
        <f>VLOOKUP($B27,[2]Summary!$B$1:$CZ$600,40,FALSE)</f>
        <v>0.02</v>
      </c>
      <c r="AE27">
        <f>VLOOKUP($B27,[2]Summary!$B$1:$CZ$600,47,FALSE)</f>
        <v>0.28962648840596394</v>
      </c>
      <c r="AF27">
        <f>VLOOKUP($B27,'[1]CALC GDP Growth rates WDI'!$B$1:$CZ$600,27,FALSE)</f>
        <v>-17.350993377483427</v>
      </c>
      <c r="AG27">
        <f>VLOOKUP($B27,'[1]CALC GDP Growth rates WDI'!$B$1:$CZ$600,29,FALSE)</f>
        <v>-0.11549832217385703</v>
      </c>
      <c r="AH27">
        <f>VLOOKUP($B27,'[1]CALC GDP Growth rates WDI'!$B$1:$CZ$600,28,FALSE)</f>
        <v>-17.140644019032869</v>
      </c>
      <c r="AI27">
        <f>VLOOKUP($B27,'[1]CALC GDP Growth rates WDI'!$B$1:$CZ$600,30,FALSE)</f>
        <v>4.9913954831428908</v>
      </c>
      <c r="AJ27" s="45"/>
      <c r="AK27" t="e">
        <f>VLOOKUP($B27,[1]Data_Aspire!$B$1:$CZ$600,2,FALSE)</f>
        <v>#N/A</v>
      </c>
      <c r="AL27" t="e">
        <f>VLOOKUP($B27,[1]Data_Aspire!$B$1:$CZ$600,3,FALSE)</f>
        <v>#N/A</v>
      </c>
      <c r="AM27" t="e">
        <f>VLOOKUP($B27,[1]Data_Aspire!$B$1:$CZ$600,4,FALSE)</f>
        <v>#N/A</v>
      </c>
      <c r="AN27" t="e">
        <f>VLOOKUP($B27,[1]Data_Aspire!$B$1:$CZ$600,5,FALSE)</f>
        <v>#N/A</v>
      </c>
      <c r="AO27" t="e">
        <f>VLOOKUP($B27,[1]Data_Aspire!$B$1:$CZ$600,6,FALSE)</f>
        <v>#N/A</v>
      </c>
      <c r="AP27" t="e">
        <f>VLOOKUP($B27,[1]Data_Aspire!$B$1:$CZ$600,7,FALSE)</f>
        <v>#N/A</v>
      </c>
      <c r="AQ27" t="e">
        <f>VLOOKUP($B27,[1]Data_Aspire!$B$1:$CZ$600,8,FALSE)</f>
        <v>#N/A</v>
      </c>
      <c r="AR27" t="e">
        <f>VLOOKUP($B27,[1]Data_Aspire!$B$1:$CZ$600,9,FALSE)</f>
        <v>#N/A</v>
      </c>
      <c r="AS27" t="e">
        <f>VLOOKUP($B27,[1]Data_Aspire!$B$1:$CZ$600,10,FALSE)</f>
        <v>#N/A</v>
      </c>
      <c r="AT27" t="e">
        <f>VLOOKUP($B27,[1]Data_Aspire!$B$1:$CZ$600,11,FALSE)</f>
        <v>#N/A</v>
      </c>
      <c r="AU27" t="e">
        <f>VLOOKUP($B27,[1]Data_Aspire!$B$1:$CZ$600,12,FALSE)</f>
        <v>#N/A</v>
      </c>
      <c r="AV27" t="e">
        <f>VLOOKUP($B27,[1]Data_Aspire!$B$1:$CZ$600,13,FALSE)</f>
        <v>#N/A</v>
      </c>
      <c r="AW27" t="e">
        <f>VLOOKUP($B27,[1]Data_Aspire!$B$1:$CZ$600,14,FALSE)</f>
        <v>#N/A</v>
      </c>
      <c r="AX27" t="e">
        <f>VLOOKUP($B27,[1]Data_Aspire!$B$1:$CZ$600,15,FALSE)</f>
        <v>#N/A</v>
      </c>
      <c r="AY27" t="e">
        <f>VLOOKUP($B27,[1]Data_Aspire!$B$1:$CZ$600,16,FALSE)</f>
        <v>#N/A</v>
      </c>
      <c r="AZ27" t="e">
        <f>VLOOKUP($B27,[1]Data_Aspire!$B$1:$CZ$600,17,FALSE)</f>
        <v>#N/A</v>
      </c>
      <c r="BA27" t="e">
        <f>VLOOKUP($B27,[1]Data_Aspire!$B$1:$CZ$600,18,FALSE)</f>
        <v>#N/A</v>
      </c>
      <c r="BB27" t="e">
        <f>VLOOKUP($B27,[1]Data_Aspire!$B$1:$CZ$600,19,FALSE)</f>
        <v>#N/A</v>
      </c>
      <c r="BC27" t="e">
        <f>VLOOKUP($B27,[1]Data_Aspire!$B$1:$CZ$600,20,FALSE)</f>
        <v>#N/A</v>
      </c>
      <c r="BD27" t="e">
        <f>VLOOKUP($B27,[1]Data_Aspire!$B$1:$CZ$600,21,FALSE)</f>
        <v>#N/A</v>
      </c>
      <c r="BE27" t="e">
        <f>VLOOKUP($B27,[1]Data_Aspire!$B$1:$CZ$600,22,FALSE)</f>
        <v>#N/A</v>
      </c>
      <c r="BF27" t="e">
        <f>VLOOKUP($B27,[1]Data_Aspire!$B$1:$CZ$600,23,FALSE)</f>
        <v>#N/A</v>
      </c>
      <c r="BG27" t="e">
        <f>VLOOKUP($B27,[1]Data_Aspire!$B$1:$CZ$600,24,FALSE)</f>
        <v>#N/A</v>
      </c>
      <c r="BH27" t="e">
        <f>VLOOKUP($B27,[1]Data_Aspire!$B$1:$CZ$600,25,FALSE)</f>
        <v>#N/A</v>
      </c>
      <c r="BI27" t="e">
        <f>VLOOKUP($B27,[1]Data_Aspire!$B$1:$CZ$600,26,FALSE)</f>
        <v>#N/A</v>
      </c>
      <c r="BJ27" s="7">
        <v>0</v>
      </c>
      <c r="BK27">
        <v>52</v>
      </c>
      <c r="BL27">
        <f>VLOOKUP($B27,'[1]Data_UN_PopulationTot.&amp;%'!$B$4:$CZ$603,8,FALSE)</f>
        <v>287.37099999999998</v>
      </c>
      <c r="BM27">
        <f>VLOOKUP($B27,'[1]Data_UN_PopulationTot.&amp;%'!$B$4:$CZ$603,9,FALSE)</f>
        <v>287.70800000000003</v>
      </c>
      <c r="BN27">
        <v>288.02300000000002</v>
      </c>
      <c r="BO27">
        <f>VLOOKUP($B27,'[1]Data_UN_PopulationTot.&amp;%'!$B$4:$CZ$603,11,FALSE)</f>
        <v>288.31400000000002</v>
      </c>
      <c r="BP27">
        <f>VLOOKUP($B27,'[1]Data_UN_PopulationTot.&amp;%'!$B$4:$CZ$603,12,FALSE)</f>
        <v>288.56700000000001</v>
      </c>
      <c r="BQ27">
        <f>VLOOKUP($B27,'[1]Data_UN_PopulationTot.&amp;%'!$B$4:$CZ$603,13,FALSE)</f>
        <v>288.80099999999999</v>
      </c>
      <c r="BR27">
        <f>VLOOKUP($B27,'[1]Data_UN_PopulationTot.&amp;%'!$B$4:$CZ$603,14,FALSE)</f>
        <v>288.99900000000002</v>
      </c>
      <c r="BS27">
        <f>VLOOKUP($B27,'[1]Data_UN_PopulationTot.&amp;%'!$B$4:$CZ$603,15,FALSE)</f>
        <v>289.16699999999997</v>
      </c>
      <c r="BT27">
        <f>VLOOKUP($B27,'[1]Data_UN_PopulationTot.&amp;%'!$B$4:$CZ$603,16,FALSE)</f>
        <v>289.30599999999998</v>
      </c>
      <c r="BU27">
        <f>VLOOKUP($B27,'[1]Data_UN_PopulationTot.&amp;%'!$B$4:$CZ$603,17,FALSE)</f>
        <v>289.39499999999998</v>
      </c>
      <c r="BV27">
        <f>VLOOKUP($B27,'[1]Data_UN_PopulationTot.&amp;%'!$B$4:$CZ$603,18,FALSE)</f>
        <v>289.447</v>
      </c>
      <c r="BW27">
        <f>VLOOKUP($B27,'[1]Data_UN_PopulationTot.&amp;%'!$B$4:$CZ$603,61,FALSE)</f>
        <v>5.2614912430273062</v>
      </c>
      <c r="BX27">
        <f>VLOOKUP($B27,'[1]Data_UN_PopulationTot.&amp;%'!$B$4:$CZ$603,62,FALSE)</f>
        <v>5.3930285241029896</v>
      </c>
      <c r="BY27">
        <f>VLOOKUP($B27,'[1]Data_UN_PopulationTot.&amp;%'!$B$4:$CZ$603,63,FALSE)</f>
        <v>6.1060441032672061</v>
      </c>
      <c r="BZ27">
        <f>VLOOKUP($B27,'[1]Data_UN_PopulationTot.&amp;%'!$B$4:$CZ$603,64,FALSE)</f>
        <v>6.5994828984135498</v>
      </c>
      <c r="CA27">
        <f>VLOOKUP($B27,'[1]Data_UN_PopulationTot.&amp;%'!$B$4:$CZ$603,65,FALSE)</f>
        <v>6.5312783823002318</v>
      </c>
      <c r="CB27">
        <f>VLOOKUP($B27,'[1]Data_UN_PopulationTot.&amp;%'!$B$4:$CZ$603,66,FALSE)</f>
        <v>6.5451976713029509</v>
      </c>
      <c r="CC27">
        <f>VLOOKUP($B27,'[1]Data_UN_PopulationTot.&amp;%'!$B$4:$CZ$603,67,FALSE)</f>
        <v>6.2988262559548449</v>
      </c>
      <c r="CD27">
        <f>VLOOKUP($B27,'[1]Data_UN_PopulationTot.&amp;%'!$B$4:$CZ$603,68,FALSE)</f>
        <v>6.6196658674674902</v>
      </c>
      <c r="CE27">
        <f>VLOOKUP($B27,'[1]Data_UN_PopulationTot.&amp;%'!$B$4:$CZ$603,69,FALSE)</f>
        <v>6.5434577601776098</v>
      </c>
      <c r="CF27">
        <f>VLOOKUP($B27,'[1]Data_UN_PopulationTot.&amp;%'!$B$4:$CZ$603,70,FALSE)</f>
        <v>7.0511638265517398</v>
      </c>
      <c r="CG27">
        <f>VLOOKUP($B27,'[1]Data_UN_PopulationTot.&amp;%'!$B$4:$CZ$603,71,FALSE)</f>
        <v>6.832630989209072</v>
      </c>
      <c r="CH27">
        <f>VLOOKUP($B27,'[1]Data_UN_PopulationTot.&amp;%'!$B$4:$CZ$603,72,FALSE)</f>
        <v>7.0643871511043219</v>
      </c>
      <c r="CI27">
        <f>VLOOKUP($B27,'[1]Data_UN_PopulationTot.&amp;%'!$B$4:$CZ$603,73,FALSE)</f>
        <v>6.4515904527596728</v>
      </c>
      <c r="CJ27">
        <f>VLOOKUP($B27,'[1]Data_UN_PopulationTot.&amp;%'!$B$4:$CZ$603,74,FALSE)</f>
        <v>5.2312167894463952</v>
      </c>
      <c r="CK27">
        <f>VLOOKUP($B27,'[1]Data_UN_PopulationTot.&amp;%'!$B$4:$CZ$603,75,FALSE)</f>
        <v>4.1371606738327804</v>
      </c>
      <c r="CL27">
        <f>VLOOKUP($B27,'[1]Data_UN_PopulationTot.&amp;%'!$B$4:$CZ$603,76,FALSE)</f>
        <v>2.8760730901865537</v>
      </c>
      <c r="CM27">
        <f>VLOOKUP($B27,'[1]Data_UN_PopulationTot.&amp;%'!$B$4:$CZ$603,77,FALSE)</f>
        <v>2.125823412940067</v>
      </c>
      <c r="CN27">
        <f>VLOOKUP($B27,'[1]Data_UN_PopulationTot.&amp;%'!$B$4:$CZ$603,78,FALSE)</f>
        <v>1.3118929885061472</v>
      </c>
      <c r="CO27">
        <f>VLOOKUP($B27,'[1]Data_UN_PopulationTot.&amp;%'!$B$4:$CZ$603,79,FALSE)</f>
        <v>0.70188014796204212</v>
      </c>
      <c r="CP27">
        <f>VLOOKUP($B27,'[1]Data_UN_PopulationTot.&amp;%'!$B$4:$CZ$603,80,FALSE)</f>
        <v>0.24671939757317196</v>
      </c>
      <c r="CQ27">
        <f>VLOOKUP($B27,'[1]Data_UN_PopulationTot.&amp;%'!$B$4:$CZ$603,81,FALSE)</f>
        <v>7.0988373913860481E-2</v>
      </c>
      <c r="CR27">
        <f>VLOOKUP($B27,'[1]Data_UN_PopulationTot.&amp;%'!$B$4:$CZ$603,82,FALSE)</f>
        <v>5.1736587354507044</v>
      </c>
      <c r="CS27">
        <f>VLOOKUP($B27,'[1]Data_UN_PopulationTot.&amp;%'!$B$4:$CZ$603,83,FALSE)</f>
        <v>5.1826413816691828</v>
      </c>
      <c r="CT27">
        <f>VLOOKUP($B27,'[1]Data_UN_PopulationTot.&amp;%'!$B$4:$CZ$603,84,FALSE)</f>
        <v>5.2030250788572694</v>
      </c>
      <c r="CU27">
        <f>VLOOKUP($B27,'[1]Data_UN_PopulationTot.&amp;%'!$B$4:$CZ$603,85,FALSE)</f>
        <v>5.3208359388765478</v>
      </c>
      <c r="CV27">
        <f>VLOOKUP($B27,'[1]Data_UN_PopulationTot.&amp;%'!$B$4:$CZ$603,86,FALSE)</f>
        <v>5.9903885685462273</v>
      </c>
      <c r="CW27">
        <f>VLOOKUP($B27,'[1]Data_UN_PopulationTot.&amp;%'!$B$4:$CZ$603,87,FALSE)</f>
        <v>6.4557587399420271</v>
      </c>
      <c r="CX27">
        <f>VLOOKUP($B27,'[1]Data_UN_PopulationTot.&amp;%'!$B$4:$CZ$603,88,FALSE)</f>
        <v>6.3914982708406027</v>
      </c>
      <c r="CY27">
        <f>VLOOKUP($B27,'[1]Data_UN_PopulationTot.&amp;%'!$B$4:$CZ$603,89,FALSE)</f>
        <v>6.4091180768845417</v>
      </c>
      <c r="CZ27">
        <f>VLOOKUP($B27,'[1]Data_UN_PopulationTot.&amp;%'!$B$4:$CZ$603,90,FALSE)</f>
        <v>6.1538036324439371</v>
      </c>
      <c r="DA27">
        <f>VLOOKUP($B27,'[1]Data_UN_PopulationTot.&amp;%'!$B$4:$CZ$603,91,FALSE)</f>
        <v>6.4319201788237574</v>
      </c>
      <c r="DB27">
        <f>VLOOKUP($B27,'[1]Data_UN_PopulationTot.&amp;%'!$B$4:$CZ$603,92,FALSE)</f>
        <v>6.2885433257211174</v>
      </c>
      <c r="DC27">
        <f>VLOOKUP($B27,'[1]Data_UN_PopulationTot.&amp;%'!$B$4:$CZ$603,93,FALSE)</f>
        <v>6.6513040383904469</v>
      </c>
      <c r="DD27">
        <f>VLOOKUP($B27,'[1]Data_UN_PopulationTot.&amp;%'!$B$4:$CZ$603,94,FALSE)</f>
        <v>6.2919981896513004</v>
      </c>
      <c r="DE27">
        <f>VLOOKUP($B27,'[1]Data_UN_PopulationTot.&amp;%'!$B$4:$CZ$603,95,FALSE)</f>
        <v>6.3669687369362942</v>
      </c>
      <c r="DF27">
        <f>VLOOKUP($B27,'[1]Data_UN_PopulationTot.&amp;%'!$B$4:$CZ$603,96,FALSE)</f>
        <v>5.6538848217462947</v>
      </c>
      <c r="DG27">
        <f>VLOOKUP($B27,'[1]Data_UN_PopulationTot.&amp;%'!$B$4:$CZ$603,97,FALSE)</f>
        <v>4.2964687835769588</v>
      </c>
      <c r="DH27">
        <f>VLOOKUP($B27,'[1]Data_UN_PopulationTot.&amp;%'!$B$4:$CZ$603,98,FALSE)</f>
        <v>2.9545996330934505</v>
      </c>
      <c r="DI27">
        <f>VLOOKUP($B27,'[1]Data_UN_PopulationTot.&amp;%'!$B$4:$CZ$603,99,FALSE)</f>
        <v>1.6075481867146659</v>
      </c>
      <c r="DJ27">
        <f>VLOOKUP($B27,'[1]Data_UN_PopulationTot.&amp;%'!$B$4:$DE$603,100,FALSE)</f>
        <v>0.80567426851893431</v>
      </c>
      <c r="DK27">
        <f>VLOOKUP($B27,'[1]Data_UN_PopulationTot.&amp;%'!$B$4:$DE$603,101,FALSE)</f>
        <v>0.28537176063320746</v>
      </c>
      <c r="DL27">
        <f>VLOOKUP($B27,'[1]Data_UN_PopulationTot.&amp;%'!$B$4:$DE$603,102,FALSE)</f>
        <v>8.4989652682529102E-2</v>
      </c>
    </row>
    <row r="28" spans="1:116">
      <c r="A28" t="s">
        <v>253</v>
      </c>
      <c r="B28" t="s">
        <v>567</v>
      </c>
      <c r="C28" t="s">
        <v>493</v>
      </c>
      <c r="D28" t="s">
        <v>622</v>
      </c>
      <c r="E28" t="s">
        <v>2269</v>
      </c>
      <c r="F28">
        <v>0</v>
      </c>
      <c r="G28">
        <v>0</v>
      </c>
      <c r="H28">
        <v>0</v>
      </c>
      <c r="I28">
        <v>1</v>
      </c>
      <c r="J28" s="18">
        <f t="shared" si="1"/>
        <v>2.8929790642484754</v>
      </c>
      <c r="K28">
        <f>VLOOKUP($B28,'[1]Source GDP Current USD'!$B$1:$CZ$600,64,FALSE)</f>
        <v>12005825769.508699</v>
      </c>
      <c r="L28" s="45">
        <f>VLOOKUP($B28,'[1]Source GDP Current USD'!$B$1:$CZ$600,65,FALSE)</f>
        <v>12005825769.508699</v>
      </c>
      <c r="M28" s="17">
        <f>VLOOKUP($B28,'[1]Source GDP Current LCU'!$B$1:$CZ$600,64,FALSE)</f>
        <v>16564437814.191099</v>
      </c>
      <c r="N28" s="45">
        <f>VLOOKUP($B28,'[1]Source GDP Current LCU'!$B$1:$CZ$600,65,FALSE)</f>
        <v>16564437814.191099</v>
      </c>
      <c r="O28" s="45">
        <f>VLOOKUP($B28,'[1]Source GNI Current USD'!$B$1:$CZ$600,64,FALSE)</f>
        <v>12367616148.438101</v>
      </c>
      <c r="P28" s="45">
        <f>VLOOKUP($B28,'[1]Source GNI Current LCU'!$B$1:$CZ$600,64,FALSE)</f>
        <v>17063600000</v>
      </c>
      <c r="Q28">
        <f t="shared" si="0"/>
        <v>97.074695926950355</v>
      </c>
      <c r="R28">
        <f>VLOOKUP($B28,'[1]Source GNI PC Atlas'!$B$1:$CZ$600,64,FALSE)</f>
        <v>31510</v>
      </c>
      <c r="S28">
        <f>VLOOKUP($B28,'[1]Source GNI PC Atlas'!$B$1:$CZ$600,65,FALSE)</f>
        <v>31510</v>
      </c>
      <c r="T28">
        <f>VLOOKUP($B28,[1]Source_PPP_Conversion!$B$1:$CZ$600,65,FALSE)</f>
        <v>0.41825672416130799</v>
      </c>
      <c r="U28">
        <f>VLOOKUP($B28,'[1]Source PopulationTotal'!$B$1:$CZ$600,65,FALSE)</f>
        <v>437483</v>
      </c>
      <c r="V28">
        <f>VLOOKUP($B28,'[1]Source Gov. Revenue WEO'!$B$1:$CZ$600,4,FALSE)</f>
        <v>17.465</v>
      </c>
      <c r="W28">
        <f>VLOOKUP($B28,'[1]Source Gov. Revenue WEO'!$B$1:$CZ$600,5,FALSE)</f>
        <v>19.103999999999999</v>
      </c>
      <c r="X28">
        <f>VLOOKUP($B28,'[1]Source Gov. Revenue WEO'!$B$1:$CZ$600,6,FALSE)</f>
        <v>20.016999999999999</v>
      </c>
      <c r="Y28">
        <f>VLOOKUP($B28,'[1]Source Gov. Revenue WEO'!$B$1:$CZ$600,7,FALSE)</f>
        <v>18.494</v>
      </c>
      <c r="Z28">
        <f>VLOOKUP($B28,'[1]Source Gov. Revenue WEO'!$B$1:$CZ$600,8,FALSE)</f>
        <v>19.36</v>
      </c>
      <c r="AA28">
        <f>VLOOKUP($B28,'[1]Source Gov. Revenue WEO'!$B$1:$CZ$600,9,FALSE)</f>
        <v>18.965</v>
      </c>
      <c r="AB28">
        <f>VLOOKUP($B28,'[1]Source Gov. Revenue WEO'!$B$1:$CZ$600,10,FALSE)</f>
        <v>18.852</v>
      </c>
      <c r="AC28">
        <f>VLOOKUP($B28,[2]Summary!$B$1:$CZ$600,39,FALSE)</f>
        <v>1E-3</v>
      </c>
      <c r="AD28">
        <f>VLOOKUP($B28,[2]Summary!$B$1:$CZ$600,40,FALSE)</f>
        <v>1E-3</v>
      </c>
      <c r="AE28">
        <f>VLOOKUP($B28,[2]Summary!$B$1:$CZ$600,47,FALSE)</f>
        <v>0.32817878804436917</v>
      </c>
      <c r="AF28">
        <f>VLOOKUP($B28,'[1]CALC GDP Growth rates WDI'!$B$1:$CZ$600,27,FALSE)</f>
        <v>3.3441027299409427</v>
      </c>
      <c r="AG28">
        <f>VLOOKUP($B28,'[1]CALC GDP Growth rates WDI'!$B$1:$CZ$600,29,FALSE)</f>
        <v>0.93885227390735349</v>
      </c>
      <c r="AH28">
        <f>VLOOKUP($B28,'[1]CALC GDP Growth rates WDI'!$B$1:$CZ$600,28,FALSE)</f>
        <v>3.8588687380430984</v>
      </c>
      <c r="AI28">
        <f>VLOOKUP($B28,'[1]CALC GDP Growth rates WDI'!$B$1:$CZ$600,30,FALSE)</f>
        <v>-1.5159692075887299</v>
      </c>
      <c r="AJ28" s="45"/>
      <c r="AK28" t="e">
        <f>VLOOKUP($B28,[1]Data_Aspire!$B$1:$CZ$600,2,FALSE)</f>
        <v>#N/A</v>
      </c>
      <c r="AL28" t="e">
        <f>VLOOKUP($B28,[1]Data_Aspire!$B$1:$CZ$600,3,FALSE)</f>
        <v>#N/A</v>
      </c>
      <c r="AM28" t="e">
        <f>VLOOKUP($B28,[1]Data_Aspire!$B$1:$CZ$600,4,FALSE)</f>
        <v>#N/A</v>
      </c>
      <c r="AN28" t="e">
        <f>VLOOKUP($B28,[1]Data_Aspire!$B$1:$CZ$600,5,FALSE)</f>
        <v>#N/A</v>
      </c>
      <c r="AO28" t="e">
        <f>VLOOKUP($B28,[1]Data_Aspire!$B$1:$CZ$600,6,FALSE)</f>
        <v>#N/A</v>
      </c>
      <c r="AP28" t="e">
        <f>VLOOKUP($B28,[1]Data_Aspire!$B$1:$CZ$600,7,FALSE)</f>
        <v>#N/A</v>
      </c>
      <c r="AQ28" t="e">
        <f>VLOOKUP($B28,[1]Data_Aspire!$B$1:$CZ$600,8,FALSE)</f>
        <v>#N/A</v>
      </c>
      <c r="AR28" t="e">
        <f>VLOOKUP($B28,[1]Data_Aspire!$B$1:$CZ$600,9,FALSE)</f>
        <v>#N/A</v>
      </c>
      <c r="AS28" t="e">
        <f>VLOOKUP($B28,[1]Data_Aspire!$B$1:$CZ$600,10,FALSE)</f>
        <v>#N/A</v>
      </c>
      <c r="AT28" t="e">
        <f>VLOOKUP($B28,[1]Data_Aspire!$B$1:$CZ$600,11,FALSE)</f>
        <v>#N/A</v>
      </c>
      <c r="AU28" t="e">
        <f>VLOOKUP($B28,[1]Data_Aspire!$B$1:$CZ$600,12,FALSE)</f>
        <v>#N/A</v>
      </c>
      <c r="AV28" t="e">
        <f>VLOOKUP($B28,[1]Data_Aspire!$B$1:$CZ$600,13,FALSE)</f>
        <v>#N/A</v>
      </c>
      <c r="AW28" t="e">
        <f>VLOOKUP($B28,[1]Data_Aspire!$B$1:$CZ$600,14,FALSE)</f>
        <v>#N/A</v>
      </c>
      <c r="AX28" t="e">
        <f>VLOOKUP($B28,[1]Data_Aspire!$B$1:$CZ$600,15,FALSE)</f>
        <v>#N/A</v>
      </c>
      <c r="AY28" t="e">
        <f>VLOOKUP($B28,[1]Data_Aspire!$B$1:$CZ$600,16,FALSE)</f>
        <v>#N/A</v>
      </c>
      <c r="AZ28" t="e">
        <f>VLOOKUP($B28,[1]Data_Aspire!$B$1:$CZ$600,17,FALSE)</f>
        <v>#N/A</v>
      </c>
      <c r="BA28" t="e">
        <f>VLOOKUP($B28,[1]Data_Aspire!$B$1:$CZ$600,18,FALSE)</f>
        <v>#N/A</v>
      </c>
      <c r="BB28" t="e">
        <f>VLOOKUP($B28,[1]Data_Aspire!$B$1:$CZ$600,19,FALSE)</f>
        <v>#N/A</v>
      </c>
      <c r="BC28" t="e">
        <f>VLOOKUP($B28,[1]Data_Aspire!$B$1:$CZ$600,20,FALSE)</f>
        <v>#N/A</v>
      </c>
      <c r="BD28" t="e">
        <f>VLOOKUP($B28,[1]Data_Aspire!$B$1:$CZ$600,21,FALSE)</f>
        <v>#N/A</v>
      </c>
      <c r="BE28" t="e">
        <f>VLOOKUP($B28,[1]Data_Aspire!$B$1:$CZ$600,22,FALSE)</f>
        <v>#N/A</v>
      </c>
      <c r="BF28" t="e">
        <f>VLOOKUP($B28,[1]Data_Aspire!$B$1:$CZ$600,23,FALSE)</f>
        <v>#N/A</v>
      </c>
      <c r="BG28" t="e">
        <f>VLOOKUP($B28,[1]Data_Aspire!$B$1:$CZ$600,24,FALSE)</f>
        <v>#N/A</v>
      </c>
      <c r="BH28" t="e">
        <f>VLOOKUP($B28,[1]Data_Aspire!$B$1:$CZ$600,25,FALSE)</f>
        <v>#N/A</v>
      </c>
      <c r="BI28" t="e">
        <f>VLOOKUP($B28,[1]Data_Aspire!$B$1:$CZ$600,26,FALSE)</f>
        <v>#N/A</v>
      </c>
      <c r="BJ28" s="7">
        <v>0</v>
      </c>
      <c r="BK28">
        <v>96</v>
      </c>
      <c r="BL28">
        <f>VLOOKUP($B28,'[1]Data_UN_PopulationTot.&amp;%'!$B$4:$CZ$603,8,FALSE)</f>
        <v>437.483</v>
      </c>
      <c r="BM28">
        <f>VLOOKUP($B28,'[1]Data_UN_PopulationTot.&amp;%'!$B$4:$CZ$603,9,FALSE)</f>
        <v>441.53199999999998</v>
      </c>
      <c r="BN28">
        <v>445.42899999999997</v>
      </c>
      <c r="BO28">
        <f>VLOOKUP($B28,'[1]Data_UN_PopulationTot.&amp;%'!$B$4:$CZ$603,11,FALSE)</f>
        <v>449.16899999999998</v>
      </c>
      <c r="BP28">
        <f>VLOOKUP($B28,'[1]Data_UN_PopulationTot.&amp;%'!$B$4:$CZ$603,12,FALSE)</f>
        <v>452.767</v>
      </c>
      <c r="BQ28">
        <f>VLOOKUP($B28,'[1]Data_UN_PopulationTot.&amp;%'!$B$4:$CZ$603,13,FALSE)</f>
        <v>456.18200000000002</v>
      </c>
      <c r="BR28">
        <f>VLOOKUP($B28,'[1]Data_UN_PopulationTot.&amp;%'!$B$4:$CZ$603,14,FALSE)</f>
        <v>459.46499999999997</v>
      </c>
      <c r="BS28">
        <f>VLOOKUP($B28,'[1]Data_UN_PopulationTot.&amp;%'!$B$4:$CZ$603,15,FALSE)</f>
        <v>462.584</v>
      </c>
      <c r="BT28">
        <f>VLOOKUP($B28,'[1]Data_UN_PopulationTot.&amp;%'!$B$4:$CZ$603,16,FALSE)</f>
        <v>465.548</v>
      </c>
      <c r="BU28">
        <f>VLOOKUP($B28,'[1]Data_UN_PopulationTot.&amp;%'!$B$4:$CZ$603,17,FALSE)</f>
        <v>468.35199999999998</v>
      </c>
      <c r="BV28">
        <f>VLOOKUP($B28,'[1]Data_UN_PopulationTot.&amp;%'!$B$4:$CZ$603,18,FALSE)</f>
        <v>470.98700000000002</v>
      </c>
      <c r="BW28">
        <f>VLOOKUP($B28,'[1]Data_UN_PopulationTot.&amp;%'!$B$4:$CZ$603,61,FALSE)</f>
        <v>7.2395955957145759</v>
      </c>
      <c r="BX28">
        <f>VLOOKUP($B28,'[1]Data_UN_PopulationTot.&amp;%'!$B$4:$CZ$603,62,FALSE)</f>
        <v>7.9278509107782478</v>
      </c>
      <c r="BY28">
        <f>VLOOKUP($B28,'[1]Data_UN_PopulationTot.&amp;%'!$B$4:$CZ$603,63,FALSE)</f>
        <v>7.1566209429852128</v>
      </c>
      <c r="BZ28">
        <f>VLOOKUP($B28,'[1]Data_UN_PopulationTot.&amp;%'!$B$4:$CZ$603,64,FALSE)</f>
        <v>7.7202999887995647</v>
      </c>
      <c r="CA28">
        <f>VLOOKUP($B28,'[1]Data_UN_PopulationTot.&amp;%'!$B$4:$CZ$603,65,FALSE)</f>
        <v>8.0460269313321895</v>
      </c>
      <c r="CB28">
        <f>VLOOKUP($B28,'[1]Data_UN_PopulationTot.&amp;%'!$B$4:$CZ$603,66,FALSE)</f>
        <v>7.8851063927055458</v>
      </c>
      <c r="CC28">
        <f>VLOOKUP($B28,'[1]Data_UN_PopulationTot.&amp;%'!$B$4:$CZ$603,67,FALSE)</f>
        <v>8.7182816246574149</v>
      </c>
      <c r="CD28">
        <f>VLOOKUP($B28,'[1]Data_UN_PopulationTot.&amp;%'!$B$4:$CZ$603,68,FALSE)</f>
        <v>8.7836555934744887</v>
      </c>
      <c r="CE28">
        <f>VLOOKUP($B28,'[1]Data_UN_PopulationTot.&amp;%'!$B$4:$CZ$603,69,FALSE)</f>
        <v>8.1466022679738419</v>
      </c>
      <c r="CF28">
        <f>VLOOKUP($B28,'[1]Data_UN_PopulationTot.&amp;%'!$B$4:$CZ$603,70,FALSE)</f>
        <v>7.3975445903040793</v>
      </c>
      <c r="CG28">
        <f>VLOOKUP($B28,'[1]Data_UN_PopulationTot.&amp;%'!$B$4:$CZ$603,71,FALSE)</f>
        <v>6.3984200528934849</v>
      </c>
      <c r="CH28">
        <f>VLOOKUP($B28,'[1]Data_UN_PopulationTot.&amp;%'!$B$4:$CZ$603,72,FALSE)</f>
        <v>5.0811117231983873</v>
      </c>
      <c r="CI28">
        <f>VLOOKUP($B28,'[1]Data_UN_PopulationTot.&amp;%'!$B$4:$CZ$603,73,FALSE)</f>
        <v>3.9283812170987211</v>
      </c>
      <c r="CJ28">
        <f>VLOOKUP($B28,'[1]Data_UN_PopulationTot.&amp;%'!$B$4:$CZ$603,74,FALSE)</f>
        <v>2.5891291775909009</v>
      </c>
      <c r="CK28">
        <f>VLOOKUP($B28,'[1]Data_UN_PopulationTot.&amp;%'!$B$4:$CZ$603,75,FALSE)</f>
        <v>1.4197123088211427</v>
      </c>
      <c r="CL28">
        <f>VLOOKUP($B28,'[1]Data_UN_PopulationTot.&amp;%'!$B$4:$CZ$603,76,FALSE)</f>
        <v>0.76757268282424695</v>
      </c>
      <c r="CM28">
        <f>VLOOKUP($B28,'[1]Data_UN_PopulationTot.&amp;%'!$B$4:$CZ$603,77,FALSE)</f>
        <v>0.49716217544453151</v>
      </c>
      <c r="CN28">
        <f>VLOOKUP($B28,'[1]Data_UN_PopulationTot.&amp;%'!$B$4:$CZ$603,78,FALSE)</f>
        <v>0.21897993750614309</v>
      </c>
      <c r="CO28">
        <f>VLOOKUP($B28,'[1]Data_UN_PopulationTot.&amp;%'!$B$4:$CZ$603,79,FALSE)</f>
        <v>6.4231067264327993E-2</v>
      </c>
      <c r="CP28">
        <f>VLOOKUP($B28,'[1]Data_UN_PopulationTot.&amp;%'!$B$4:$CZ$603,80,FALSE)</f>
        <v>1.2571917080206546E-2</v>
      </c>
      <c r="CQ28">
        <f>VLOOKUP($B28,'[1]Data_UN_PopulationTot.&amp;%'!$B$4:$CZ$603,81,FALSE)</f>
        <v>1.1429015527460497E-3</v>
      </c>
      <c r="CR28">
        <f>VLOOKUP($B28,'[1]Data_UN_PopulationTot.&amp;%'!$B$4:$CZ$603,82,FALSE)</f>
        <v>5.8840265230250512</v>
      </c>
      <c r="CS28">
        <f>VLOOKUP($B28,'[1]Data_UN_PopulationTot.&amp;%'!$B$4:$CZ$603,83,FALSE)</f>
        <v>6.2621685948869077</v>
      </c>
      <c r="CT28">
        <f>VLOOKUP($B28,'[1]Data_UN_PopulationTot.&amp;%'!$B$4:$CZ$603,84,FALSE)</f>
        <v>6.7057052530112298</v>
      </c>
      <c r="CU28">
        <f>VLOOKUP($B28,'[1]Data_UN_PopulationTot.&amp;%'!$B$4:$CZ$603,85,FALSE)</f>
        <v>7.3416039083881293</v>
      </c>
      <c r="CV28">
        <f>VLOOKUP($B28,'[1]Data_UN_PopulationTot.&amp;%'!$B$4:$CZ$603,86,FALSE)</f>
        <v>6.6099488945554761</v>
      </c>
      <c r="CW28">
        <f>VLOOKUP($B28,'[1]Data_UN_PopulationTot.&amp;%'!$B$4:$CZ$603,87,FALSE)</f>
        <v>7.1135721368105695</v>
      </c>
      <c r="CX28">
        <f>VLOOKUP($B28,'[1]Data_UN_PopulationTot.&amp;%'!$B$4:$CZ$603,88,FALSE)</f>
        <v>7.4052999339684522</v>
      </c>
      <c r="CY28">
        <f>VLOOKUP($B28,'[1]Data_UN_PopulationTot.&amp;%'!$B$4:$CZ$603,89,FALSE)</f>
        <v>7.2439366691649658</v>
      </c>
      <c r="CZ28">
        <f>VLOOKUP($B28,'[1]Data_UN_PopulationTot.&amp;%'!$B$4:$CZ$603,90,FALSE)</f>
        <v>7.9768656035092258</v>
      </c>
      <c r="DA28">
        <f>VLOOKUP($B28,'[1]Data_UN_PopulationTot.&amp;%'!$B$4:$CZ$603,91,FALSE)</f>
        <v>7.9764409633386908</v>
      </c>
      <c r="DB28">
        <f>VLOOKUP($B28,'[1]Data_UN_PopulationTot.&amp;%'!$B$4:$CZ$603,92,FALSE)</f>
        <v>7.3067834144042196</v>
      </c>
      <c r="DC28">
        <f>VLOOKUP($B28,'[1]Data_UN_PopulationTot.&amp;%'!$B$4:$CZ$603,93,FALSE)</f>
        <v>6.5050627724332095</v>
      </c>
      <c r="DD28">
        <f>VLOOKUP($B28,'[1]Data_UN_PopulationTot.&amp;%'!$B$4:$CZ$603,94,FALSE)</f>
        <v>5.4655436349623239</v>
      </c>
      <c r="DE28">
        <f>VLOOKUP($B28,'[1]Data_UN_PopulationTot.&amp;%'!$B$4:$CZ$603,95,FALSE)</f>
        <v>4.1644461524415748</v>
      </c>
      <c r="DF28">
        <f>VLOOKUP($B28,'[1]Data_UN_PopulationTot.&amp;%'!$B$4:$CZ$603,96,FALSE)</f>
        <v>3.024711934724313</v>
      </c>
      <c r="DG28">
        <f>VLOOKUP($B28,'[1]Data_UN_PopulationTot.&amp;%'!$B$4:$CZ$603,97,FALSE)</f>
        <v>1.7824271158227294</v>
      </c>
      <c r="DH28">
        <f>VLOOKUP($B28,'[1]Data_UN_PopulationTot.&amp;%'!$B$4:$CZ$603,98,FALSE)</f>
        <v>0.79598799966878064</v>
      </c>
      <c r="DI28">
        <f>VLOOKUP($B28,'[1]Data_UN_PopulationTot.&amp;%'!$B$4:$CZ$603,99,FALSE)</f>
        <v>0.30191916125073515</v>
      </c>
      <c r="DJ28">
        <f>VLOOKUP($B28,'[1]Data_UN_PopulationTot.&amp;%'!$B$4:$DE$603,100,FALSE)</f>
        <v>0.11061876442449579</v>
      </c>
      <c r="DK28">
        <f>VLOOKUP($B28,'[1]Data_UN_PopulationTot.&amp;%'!$B$4:$DE$603,101,FALSE)</f>
        <v>2.0807368356239132E-2</v>
      </c>
      <c r="DL28">
        <f>VLOOKUP($B28,'[1]Data_UN_PopulationTot.&amp;%'!$B$4:$DE$603,102,FALSE)</f>
        <v>2.1232008526774621E-3</v>
      </c>
    </row>
    <row r="29" spans="1:116">
      <c r="A29" t="s">
        <v>151</v>
      </c>
      <c r="B29" t="s">
        <v>365</v>
      </c>
      <c r="C29" t="s">
        <v>483</v>
      </c>
      <c r="D29" t="s">
        <v>334</v>
      </c>
      <c r="E29" t="s">
        <v>300</v>
      </c>
      <c r="F29">
        <v>0</v>
      </c>
      <c r="G29">
        <v>1</v>
      </c>
      <c r="H29">
        <v>0</v>
      </c>
      <c r="I29">
        <v>0</v>
      </c>
      <c r="J29" s="18">
        <f t="shared" si="1"/>
        <v>50.610575191962717</v>
      </c>
      <c r="K29">
        <f>VLOOKUP($B29,'[1]Source GDP Current USD'!$B$1:$CZ$600,64,FALSE)</f>
        <v>2315437338.0880899</v>
      </c>
      <c r="L29" s="45">
        <f>VLOOKUP($B29,'[1]Source GDP Current USD'!$B$1:$CZ$600,65,FALSE)</f>
        <v>2315437338.0880899</v>
      </c>
      <c r="M29" s="17">
        <f>VLOOKUP($B29,'[1]Source GDP Current LCU'!$B$1:$CZ$600,64,FALSE)</f>
        <v>171572903898.44299</v>
      </c>
      <c r="N29" s="45">
        <f>VLOOKUP($B29,'[1]Source GDP Current LCU'!$B$1:$CZ$600,65,FALSE)</f>
        <v>171572903898.44299</v>
      </c>
      <c r="O29" s="45">
        <f>VLOOKUP($B29,'[1]Source GNI Current USD'!$B$1:$CZ$600,64,FALSE)</f>
        <v>2172582739.2876501</v>
      </c>
      <c r="P29" s="45">
        <f>VLOOKUP($B29,'[1]Source GNI Current LCU'!$B$1:$CZ$600,64,FALSE)</f>
        <v>160987440000</v>
      </c>
      <c r="Q29">
        <f t="shared" si="0"/>
        <v>106.57533525500062</v>
      </c>
      <c r="R29">
        <f>VLOOKUP($B29,'[1]Source GNI PC Atlas'!$B$1:$CZ$600,64,FALSE)</f>
        <v>2840</v>
      </c>
      <c r="S29">
        <f>VLOOKUP($B29,'[1]Source GNI PC Atlas'!$B$1:$CZ$600,65,FALSE)</f>
        <v>2840</v>
      </c>
      <c r="T29">
        <f>VLOOKUP($B29,[1]Source_PPP_Conversion!$B$1:$CZ$600,65,FALSE)</f>
        <v>0.26960656156839202</v>
      </c>
      <c r="U29">
        <f>VLOOKUP($B29,'[1]Source PopulationTotal'!$B$1:$CZ$600,65,FALSE)</f>
        <v>771612</v>
      </c>
      <c r="V29">
        <f>VLOOKUP($B29,'[1]Source Gov. Revenue WEO'!$B$1:$CZ$600,4,FALSE)</f>
        <v>29.498000000000001</v>
      </c>
      <c r="W29">
        <f>VLOOKUP($B29,'[1]Source Gov. Revenue WEO'!$B$1:$CZ$600,5,FALSE)</f>
        <v>24.934999999999999</v>
      </c>
      <c r="X29">
        <f>VLOOKUP($B29,'[1]Source Gov. Revenue WEO'!$B$1:$CZ$600,6,FALSE)</f>
        <v>26.055</v>
      </c>
      <c r="Y29">
        <f>VLOOKUP($B29,'[1]Source Gov. Revenue WEO'!$B$1:$CZ$600,7,FALSE)</f>
        <v>25.01</v>
      </c>
      <c r="Z29">
        <f>VLOOKUP($B29,'[1]Source Gov. Revenue WEO'!$B$1:$CZ$600,8,FALSE)</f>
        <v>25.975999999999999</v>
      </c>
      <c r="AA29">
        <f>VLOOKUP($B29,'[1]Source Gov. Revenue WEO'!$B$1:$CZ$600,9,FALSE)</f>
        <v>26.193999999999999</v>
      </c>
      <c r="AB29">
        <f>VLOOKUP($B29,'[1]Source Gov. Revenue WEO'!$B$1:$CZ$600,10,FALSE)</f>
        <v>25.914999999999999</v>
      </c>
      <c r="AC29">
        <f>VLOOKUP($B29,[2]Summary!$B$1:$CZ$600,39,FALSE)</f>
        <v>7.4899540000000001E-3</v>
      </c>
      <c r="AD29">
        <f>VLOOKUP($B29,[2]Summary!$B$1:$CZ$600,40,FALSE)</f>
        <v>1.25E-3</v>
      </c>
      <c r="AE29">
        <f>VLOOKUP($B29,[2]Summary!$B$1:$CZ$600,47,FALSE)</f>
        <v>0.25673296573512905</v>
      </c>
      <c r="AF29">
        <f>VLOOKUP($B29,'[1]CALC GDP Growth rates WDI'!$B$1:$CZ$600,27,FALSE)</f>
        <v>45.00668097519128</v>
      </c>
      <c r="AG29">
        <f>VLOOKUP($B29,'[1]CALC GDP Growth rates WDI'!$B$1:$CZ$600,29,FALSE)</f>
        <v>70.44691408943018</v>
      </c>
      <c r="AH29">
        <f>VLOOKUP($B29,'[1]CALC GDP Growth rates WDI'!$B$1:$CZ$600,28,FALSE)</f>
        <v>10.898667183297336</v>
      </c>
      <c r="AI29">
        <f>VLOOKUP($B29,'[1]CALC GDP Growth rates WDI'!$B$1:$CZ$600,30,FALSE)</f>
        <v>24.179099794805214</v>
      </c>
      <c r="AJ29" s="45" t="s">
        <v>2465</v>
      </c>
      <c r="AM29">
        <f>VLOOKUP($B29,[1]Data_Aspire!$B$1:$CZ$600,4,FALSE)</f>
        <v>0</v>
      </c>
      <c r="AN29">
        <f>VLOOKUP($B29,[1]Data_Aspire!$B$1:$CZ$600,5,FALSE)</f>
        <v>0</v>
      </c>
      <c r="AO29">
        <f>VLOOKUP($B29,[1]Data_Aspire!$B$1:$CZ$600,6,FALSE)</f>
        <v>0</v>
      </c>
      <c r="AP29">
        <f>VLOOKUP($B29,[1]Data_Aspire!$B$1:$CZ$600,7,FALSE)</f>
        <v>0</v>
      </c>
      <c r="BD29">
        <f>VLOOKUP($B29,[1]Data_Aspire!$B$1:$CZ$600,21,FALSE)</f>
        <v>30345</v>
      </c>
      <c r="BE29">
        <f>VLOOKUP($B29,[1]Data_Aspire!$B$1:$CZ$600,22,FALSE)</f>
        <v>2014</v>
      </c>
      <c r="BJ29" s="7">
        <v>0</v>
      </c>
      <c r="BK29">
        <v>64</v>
      </c>
      <c r="BL29">
        <f>VLOOKUP($B29,'[1]Data_UN_PopulationTot.&amp;%'!$B$4:$CZ$603,8,FALSE)</f>
        <v>771.61199999999997</v>
      </c>
      <c r="BM29">
        <f>VLOOKUP($B29,'[1]Data_UN_PopulationTot.&amp;%'!$B$4:$CZ$603,9,FALSE)</f>
        <v>779.9</v>
      </c>
      <c r="BN29">
        <v>787.94399999999996</v>
      </c>
      <c r="BO29">
        <f>VLOOKUP($B29,'[1]Data_UN_PopulationTot.&amp;%'!$B$4:$CZ$603,11,FALSE)</f>
        <v>795.73099999999999</v>
      </c>
      <c r="BP29">
        <f>VLOOKUP($B29,'[1]Data_UN_PopulationTot.&amp;%'!$B$4:$CZ$603,12,FALSE)</f>
        <v>803.26800000000003</v>
      </c>
      <c r="BQ29">
        <f>VLOOKUP($B29,'[1]Data_UN_PopulationTot.&amp;%'!$B$4:$CZ$603,13,FALSE)</f>
        <v>810.54399999999998</v>
      </c>
      <c r="BR29">
        <f>VLOOKUP($B29,'[1]Data_UN_PopulationTot.&amp;%'!$B$4:$CZ$603,14,FALSE)</f>
        <v>817.55100000000004</v>
      </c>
      <c r="BS29">
        <f>VLOOKUP($B29,'[1]Data_UN_PopulationTot.&amp;%'!$B$4:$CZ$603,15,FALSE)</f>
        <v>824.27599999999995</v>
      </c>
      <c r="BT29">
        <f>VLOOKUP($B29,'[1]Data_UN_PopulationTot.&amp;%'!$B$4:$CZ$603,16,FALSE)</f>
        <v>830.69600000000003</v>
      </c>
      <c r="BU29">
        <f>VLOOKUP($B29,'[1]Data_UN_PopulationTot.&amp;%'!$B$4:$CZ$603,17,FALSE)</f>
        <v>836.83799999999997</v>
      </c>
      <c r="BV29">
        <f>VLOOKUP($B29,'[1]Data_UN_PopulationTot.&amp;%'!$B$4:$CZ$603,18,FALSE)</f>
        <v>842.66800000000001</v>
      </c>
      <c r="BW29">
        <f>VLOOKUP($B29,'[1]Data_UN_PopulationTot.&amp;%'!$B$4:$CZ$603,61,FALSE)</f>
        <v>8.2755322623287348</v>
      </c>
      <c r="BX29">
        <f>VLOOKUP($B29,'[1]Data_UN_PopulationTot.&amp;%'!$B$4:$CZ$603,62,FALSE)</f>
        <v>8.0316272945470004</v>
      </c>
      <c r="BY29">
        <f>VLOOKUP($B29,'[1]Data_UN_PopulationTot.&amp;%'!$B$4:$CZ$603,63,FALSE)</f>
        <v>8.587606206228001</v>
      </c>
      <c r="BZ29">
        <f>VLOOKUP($B29,'[1]Data_UN_PopulationTot.&amp;%'!$B$4:$CZ$603,64,FALSE)</f>
        <v>9.03692529405971</v>
      </c>
      <c r="CA29">
        <f>VLOOKUP($B29,'[1]Data_UN_PopulationTot.&amp;%'!$B$4:$CZ$603,65,FALSE)</f>
        <v>9.6302286641472676</v>
      </c>
      <c r="CB29">
        <f>VLOOKUP($B29,'[1]Data_UN_PopulationTot.&amp;%'!$B$4:$CZ$603,66,FALSE)</f>
        <v>10.239083891904222</v>
      </c>
      <c r="CC29">
        <f>VLOOKUP($B29,'[1]Data_UN_PopulationTot.&amp;%'!$B$4:$CZ$603,67,FALSE)</f>
        <v>9.8129629917626993</v>
      </c>
      <c r="CD29">
        <f>VLOOKUP($B29,'[1]Data_UN_PopulationTot.&amp;%'!$B$4:$CZ$603,68,FALSE)</f>
        <v>8.1599301203195385</v>
      </c>
      <c r="CE29">
        <f>VLOOKUP($B29,'[1]Data_UN_PopulationTot.&amp;%'!$B$4:$CZ$603,69,FALSE)</f>
        <v>6.5155803694084593</v>
      </c>
      <c r="CF29">
        <f>VLOOKUP($B29,'[1]Data_UN_PopulationTot.&amp;%'!$B$4:$CZ$603,70,FALSE)</f>
        <v>5.0969917523314834</v>
      </c>
      <c r="CG29">
        <f>VLOOKUP($B29,'[1]Data_UN_PopulationTot.&amp;%'!$B$4:$CZ$603,71,FALSE)</f>
        <v>4.3271747976962516</v>
      </c>
      <c r="CH29">
        <f>VLOOKUP($B29,'[1]Data_UN_PopulationTot.&amp;%'!$B$4:$CZ$603,72,FALSE)</f>
        <v>3.3209696064861611</v>
      </c>
      <c r="CI29">
        <f>VLOOKUP($B29,'[1]Data_UN_PopulationTot.&amp;%'!$B$4:$CZ$603,73,FALSE)</f>
        <v>2.7608435327599885</v>
      </c>
      <c r="CJ29">
        <f>VLOOKUP($B29,'[1]Data_UN_PopulationTot.&amp;%'!$B$4:$CZ$603,74,FALSE)</f>
        <v>2.0223894910913778</v>
      </c>
      <c r="CK29">
        <f>VLOOKUP($B29,'[1]Data_UN_PopulationTot.&amp;%'!$B$4:$CZ$603,75,FALSE)</f>
        <v>1.652903272629249</v>
      </c>
      <c r="CL29">
        <f>VLOOKUP($B29,'[1]Data_UN_PopulationTot.&amp;%'!$B$4:$CZ$603,76,FALSE)</f>
        <v>1.2285967558824904</v>
      </c>
      <c r="CM29">
        <f>VLOOKUP($B29,'[1]Data_UN_PopulationTot.&amp;%'!$B$4:$CZ$603,77,FALSE)</f>
        <v>0.73625086183211252</v>
      </c>
      <c r="CN29">
        <f>VLOOKUP($B29,'[1]Data_UN_PopulationTot.&amp;%'!$B$4:$CZ$603,78,FALSE)</f>
        <v>0.37013421253168693</v>
      </c>
      <c r="CO29">
        <f>VLOOKUP($B29,'[1]Data_UN_PopulationTot.&amp;%'!$B$4:$CZ$603,79,FALSE)</f>
        <v>0.14463227632540709</v>
      </c>
      <c r="CP29">
        <f>VLOOKUP($B29,'[1]Data_UN_PopulationTot.&amp;%'!$B$4:$CZ$603,80,FALSE)</f>
        <v>4.1082824009994662E-2</v>
      </c>
      <c r="CQ29">
        <f>VLOOKUP($B29,'[1]Data_UN_PopulationTot.&amp;%'!$B$4:$CZ$603,81,FALSE)</f>
        <v>8.5535217181692356E-3</v>
      </c>
      <c r="CR29">
        <f>VLOOKUP($B29,'[1]Data_UN_PopulationTot.&amp;%'!$B$4:$CZ$603,82,FALSE)</f>
        <v>6.6939767500367884</v>
      </c>
      <c r="CS29">
        <f>VLOOKUP($B29,'[1]Data_UN_PopulationTot.&amp;%'!$B$4:$CZ$603,83,FALSE)</f>
        <v>7.2179078830571468</v>
      </c>
      <c r="CT29">
        <f>VLOOKUP($B29,'[1]Data_UN_PopulationTot.&amp;%'!$B$4:$CZ$603,84,FALSE)</f>
        <v>7.5246716381777876</v>
      </c>
      <c r="CU29">
        <f>VLOOKUP($B29,'[1]Data_UN_PopulationTot.&amp;%'!$B$4:$CZ$603,85,FALSE)</f>
        <v>7.2654948330777955</v>
      </c>
      <c r="CV29">
        <f>VLOOKUP($B29,'[1]Data_UN_PopulationTot.&amp;%'!$B$4:$CZ$603,86,FALSE)</f>
        <v>7.7290225806604731</v>
      </c>
      <c r="CW29">
        <f>VLOOKUP($B29,'[1]Data_UN_PopulationTot.&amp;%'!$B$4:$CZ$603,87,FALSE)</f>
        <v>8.2868935333963076</v>
      </c>
      <c r="CX29">
        <f>VLOOKUP($B29,'[1]Data_UN_PopulationTot.&amp;%'!$B$4:$CZ$603,88,FALSE)</f>
        <v>8.9172722827970201</v>
      </c>
      <c r="CY29">
        <f>VLOOKUP($B29,'[1]Data_UN_PopulationTot.&amp;%'!$B$4:$CZ$603,89,FALSE)</f>
        <v>9.2571451627449974</v>
      </c>
      <c r="CZ29">
        <f>VLOOKUP($B29,'[1]Data_UN_PopulationTot.&amp;%'!$B$4:$CZ$603,90,FALSE)</f>
        <v>8.6782694964090243</v>
      </c>
      <c r="DA29">
        <f>VLOOKUP($B29,'[1]Data_UN_PopulationTot.&amp;%'!$B$4:$CZ$603,91,FALSE)</f>
        <v>7.135075735639659</v>
      </c>
      <c r="DB29">
        <f>VLOOKUP($B29,'[1]Data_UN_PopulationTot.&amp;%'!$B$4:$CZ$603,92,FALSE)</f>
        <v>5.6151414317382411</v>
      </c>
      <c r="DC29">
        <f>VLOOKUP($B29,'[1]Data_UN_PopulationTot.&amp;%'!$B$4:$CZ$603,93,FALSE)</f>
        <v>4.304898251743273</v>
      </c>
      <c r="DD29">
        <f>VLOOKUP($B29,'[1]Data_UN_PopulationTot.&amp;%'!$B$4:$CZ$603,94,FALSE)</f>
        <v>3.5507459640095504</v>
      </c>
      <c r="DE29">
        <f>VLOOKUP($B29,'[1]Data_UN_PopulationTot.&amp;%'!$B$4:$CZ$603,95,FALSE)</f>
        <v>2.6121794111085266</v>
      </c>
      <c r="DF29">
        <f>VLOOKUP($B29,'[1]Data_UN_PopulationTot.&amp;%'!$B$4:$CZ$603,96,FALSE)</f>
        <v>2.0347277931522263</v>
      </c>
      <c r="DG29">
        <f>VLOOKUP($B29,'[1]Data_UN_PopulationTot.&amp;%'!$B$4:$CZ$603,97,FALSE)</f>
        <v>1.3470310964697843</v>
      </c>
      <c r="DH29">
        <f>VLOOKUP($B29,'[1]Data_UN_PopulationTot.&amp;%'!$B$4:$CZ$603,98,FALSE)</f>
        <v>0.93939724778916489</v>
      </c>
      <c r="DI29">
        <f>VLOOKUP($B29,'[1]Data_UN_PopulationTot.&amp;%'!$B$4:$CZ$603,99,FALSE)</f>
        <v>0.55205608851884724</v>
      </c>
      <c r="DJ29">
        <f>VLOOKUP($B29,'[1]Data_UN_PopulationTot.&amp;%'!$B$4:$DE$603,100,FALSE)</f>
        <v>0.24007082267274893</v>
      </c>
      <c r="DK29">
        <f>VLOOKUP($B29,'[1]Data_UN_PopulationTot.&amp;%'!$B$4:$DE$603,101,FALSE)</f>
        <v>7.8441331580171553E-2</v>
      </c>
      <c r="DL29">
        <f>VLOOKUP($B29,'[1]Data_UN_PopulationTot.&amp;%'!$B$4:$DE$603,102,FALSE)</f>
        <v>1.9580665220466423E-2</v>
      </c>
    </row>
    <row r="30" spans="1:116">
      <c r="A30" t="s">
        <v>199</v>
      </c>
      <c r="B30" t="s">
        <v>414</v>
      </c>
      <c r="C30" t="s">
        <v>496</v>
      </c>
      <c r="D30" t="s">
        <v>389</v>
      </c>
      <c r="E30" t="s">
        <v>301</v>
      </c>
      <c r="F30">
        <v>0</v>
      </c>
      <c r="G30">
        <v>0</v>
      </c>
      <c r="H30">
        <v>1</v>
      </c>
      <c r="I30">
        <v>0</v>
      </c>
      <c r="J30" s="18">
        <f t="shared" si="1"/>
        <v>46.654717912000002</v>
      </c>
      <c r="K30">
        <f>VLOOKUP($B30,'[1]Source GDP Current USD'!$B$1:$CZ$600,64,FALSE)</f>
        <v>15061922801.6271</v>
      </c>
      <c r="L30" s="45">
        <f>VLOOKUP($B30,'[1]Source GDP Current USD'!$B$1:$CZ$600,65,FALSE)</f>
        <v>15061922801.6271</v>
      </c>
      <c r="M30" s="17">
        <f>VLOOKUP($B30,'[1]Source GDP Current LCU'!$B$1:$CZ$600,64,FALSE)</f>
        <v>172552400000</v>
      </c>
      <c r="N30" s="45">
        <f>VLOOKUP($B30,'[1]Source GDP Current LCU'!$B$1:$CZ$600,65,FALSE)</f>
        <v>172552400000</v>
      </c>
      <c r="O30" s="45">
        <f>VLOOKUP($B30,'[1]Source GNI Current USD'!$B$1:$CZ$600,64,FALSE)</f>
        <v>15094149892.6346</v>
      </c>
      <c r="P30" s="45">
        <f>VLOOKUP($B30,'[1]Source GNI Current LCU'!$B$1:$CZ$600,64,FALSE)</f>
        <v>172921600000</v>
      </c>
      <c r="Q30">
        <f t="shared" si="0"/>
        <v>99.786492838372993</v>
      </c>
      <c r="R30">
        <f>VLOOKUP($B30,'[1]Source GNI PC Atlas'!$B$1:$CZ$600,64,FALSE)</f>
        <v>6640</v>
      </c>
      <c r="S30">
        <f>VLOOKUP($B30,'[1]Source GNI PC Atlas'!$B$1:$CZ$600,65,FALSE)</f>
        <v>6640</v>
      </c>
      <c r="T30">
        <f>VLOOKUP($B30,[1]Source_PPP_Conversion!$B$1:$CZ$600,65,FALSE)</f>
        <v>0.41432914734415099</v>
      </c>
      <c r="U30">
        <f>VLOOKUP($B30,'[1]Source PopulationTotal'!$B$1:$CZ$600,65,FALSE)</f>
        <v>2351625</v>
      </c>
      <c r="V30">
        <f>VLOOKUP($B30,'[1]Source Gov. Revenue WEO'!$B$1:$CZ$600,4,FALSE)</f>
        <v>27.038</v>
      </c>
      <c r="W30">
        <f>VLOOKUP($B30,'[1]Source Gov. Revenue WEO'!$B$1:$CZ$600,5,FALSE)</f>
        <v>29.274999999999999</v>
      </c>
      <c r="X30">
        <f>VLOOKUP($B30,'[1]Source Gov. Revenue WEO'!$B$1:$CZ$600,6,FALSE)</f>
        <v>27.106000000000002</v>
      </c>
      <c r="Y30">
        <f>VLOOKUP($B30,'[1]Source Gov. Revenue WEO'!$B$1:$CZ$600,7,FALSE)</f>
        <v>30.600999999999999</v>
      </c>
      <c r="Z30">
        <f>VLOOKUP($B30,'[1]Source Gov. Revenue WEO'!$B$1:$CZ$600,8,FALSE)</f>
        <v>30.242999999999999</v>
      </c>
      <c r="AA30">
        <f>VLOOKUP($B30,'[1]Source Gov. Revenue WEO'!$B$1:$CZ$600,9,FALSE)</f>
        <v>30.324999999999999</v>
      </c>
      <c r="AB30">
        <f>VLOOKUP($B30,'[1]Source Gov. Revenue WEO'!$B$1:$CZ$600,10,FALSE)</f>
        <v>29.34</v>
      </c>
      <c r="AC30">
        <f>VLOOKUP($B30,[2]Summary!$B$1:$CZ$600,39,FALSE)</f>
        <v>0.14728839999999999</v>
      </c>
      <c r="AD30">
        <f>VLOOKUP($B30,[2]Summary!$B$1:$CZ$600,40,FALSE)</f>
        <v>0.13675000000000001</v>
      </c>
      <c r="AE30">
        <f>VLOOKUP($B30,[2]Summary!$B$1:$CZ$600,47,FALSE)</f>
        <v>0.41014426812244836</v>
      </c>
      <c r="AF30">
        <f>VLOOKUP($B30,'[1]CALC GDP Growth rates WDI'!$B$1:$CZ$600,27,FALSE)</f>
        <v>32.12439540448748</v>
      </c>
      <c r="AG30">
        <f>VLOOKUP($B30,'[1]CALC GDP Growth rates WDI'!$B$1:$CZ$600,29,FALSE)</f>
        <v>51.861694364715106</v>
      </c>
      <c r="AH30">
        <f>VLOOKUP($B30,'[1]CALC GDP Growth rates WDI'!$B$1:$CZ$600,28,FALSE)</f>
        <v>9.0923117085009242</v>
      </c>
      <c r="AI30">
        <f>VLOOKUP($B30,'[1]CALC GDP Growth rates WDI'!$B$1:$CZ$600,30,FALSE)</f>
        <v>8.8943287855580913</v>
      </c>
      <c r="AK30">
        <f>VLOOKUP($B30,[1]Data_Aspire!$B$1:$CZ$600,2,FALSE)</f>
        <v>2019</v>
      </c>
      <c r="AL30">
        <f>VLOOKUP($B30,[1]Data_Aspire!$B$1:$CZ$600,3,FALSE)</f>
        <v>2.71</v>
      </c>
      <c r="AM30">
        <f>VLOOKUP($B30,[1]Data_Aspire!$B$1:$CZ$600,4,FALSE)</f>
        <v>0</v>
      </c>
      <c r="AN30">
        <f>VLOOKUP($B30,[1]Data_Aspire!$B$1:$CZ$600,5,FALSE)</f>
        <v>0.05</v>
      </c>
      <c r="AO30">
        <f>VLOOKUP($B30,[1]Data_Aspire!$B$1:$CZ$600,6,FALSE)</f>
        <v>0.32</v>
      </c>
      <c r="AP30">
        <f>VLOOKUP($B30,[1]Data_Aspire!$B$1:$CZ$600,7,FALSE)</f>
        <v>0.57999999999999996</v>
      </c>
      <c r="AQ30">
        <f>VLOOKUP($B30,[1]Data_Aspire!$B$1:$CZ$600,8,FALSE)</f>
        <v>0.33</v>
      </c>
      <c r="AR30">
        <f>VLOOKUP($B30,[1]Data_Aspire!$B$1:$CZ$600,9,FALSE)</f>
        <v>0.3</v>
      </c>
      <c r="AT30">
        <f>VLOOKUP($B30,[1]Data_Aspire!$B$1:$CZ$600,11,FALSE)</f>
        <v>1.1299999999999999</v>
      </c>
      <c r="AU30">
        <f>VLOOKUP($B30,[1]Data_Aspire!$B$1:$CZ$600,12,FALSE)</f>
        <v>2.71</v>
      </c>
      <c r="AX30">
        <f>VLOOKUP($B30,[1]Data_Aspire!$B$1:$CZ$600,15,FALSE)</f>
        <v>31677</v>
      </c>
      <c r="AY30">
        <f>VLOOKUP($B30,[1]Data_Aspire!$B$1:$CZ$600,16,FALSE)</f>
        <v>2018</v>
      </c>
      <c r="AZ30">
        <f>VLOOKUP($B30,[1]Data_Aspire!$B$1:$CZ$600,17,FALSE)</f>
        <v>108870</v>
      </c>
      <c r="BA30">
        <f>VLOOKUP($B30,[1]Data_Aspire!$B$1:$CZ$600,18,FALSE)</f>
        <v>2018</v>
      </c>
      <c r="BB30">
        <f>VLOOKUP($B30,[1]Data_Aspire!$B$1:$CZ$600,19,FALSE)</f>
        <v>383392</v>
      </c>
      <c r="BC30">
        <f>VLOOKUP($B30,[1]Data_Aspire!$B$1:$CZ$600,20,FALSE)</f>
        <v>2013</v>
      </c>
      <c r="BD30">
        <f>VLOOKUP($B30,[1]Data_Aspire!$B$1:$CZ$600,21,FALSE)</f>
        <v>544767</v>
      </c>
      <c r="BE30">
        <f>VLOOKUP($B30,[1]Data_Aspire!$B$1:$CZ$600,22,FALSE)</f>
        <v>2016</v>
      </c>
      <c r="BF30">
        <f>VLOOKUP($B30,[1]Data_Aspire!$B$1:$CZ$600,23,FALSE)</f>
        <v>839930</v>
      </c>
      <c r="BG30">
        <f>VLOOKUP($B30,[1]Data_Aspire!$B$1:$CZ$600,24,FALSE)</f>
        <v>2018</v>
      </c>
      <c r="BJ30" s="7">
        <v>1</v>
      </c>
      <c r="BK30">
        <v>72</v>
      </c>
      <c r="BL30">
        <f>VLOOKUP($B30,'[1]Data_UN_PopulationTot.&amp;%'!$B$4:$CZ$603,8,FALSE)</f>
        <v>2351.63</v>
      </c>
      <c r="BM30">
        <f>VLOOKUP($B30,'[1]Data_UN_PopulationTot.&amp;%'!$B$4:$CZ$603,9,FALSE)</f>
        <v>2397.2399999999998</v>
      </c>
      <c r="BN30">
        <v>2441.15</v>
      </c>
      <c r="BO30">
        <f>VLOOKUP($B30,'[1]Data_UN_PopulationTot.&amp;%'!$B$4:$CZ$603,11,FALSE)</f>
        <v>2483.75</v>
      </c>
      <c r="BP30">
        <f>VLOOKUP($B30,'[1]Data_UN_PopulationTot.&amp;%'!$B$4:$CZ$603,12,FALSE)</f>
        <v>2525.7600000000002</v>
      </c>
      <c r="BQ30">
        <f>VLOOKUP($B30,'[1]Data_UN_PopulationTot.&amp;%'!$B$4:$CZ$603,13,FALSE)</f>
        <v>2567.7800000000002</v>
      </c>
      <c r="BR30">
        <f>VLOOKUP($B30,'[1]Data_UN_PopulationTot.&amp;%'!$B$4:$CZ$603,14,FALSE)</f>
        <v>2609.71</v>
      </c>
      <c r="BS30">
        <f>VLOOKUP($B30,'[1]Data_UN_PopulationTot.&amp;%'!$B$4:$CZ$603,15,FALSE)</f>
        <v>2651.31</v>
      </c>
      <c r="BT30">
        <f>VLOOKUP($B30,'[1]Data_UN_PopulationTot.&amp;%'!$B$4:$CZ$603,16,FALSE)</f>
        <v>2692.57</v>
      </c>
      <c r="BU30">
        <f>VLOOKUP($B30,'[1]Data_UN_PopulationTot.&amp;%'!$B$4:$CZ$603,17,FALSE)</f>
        <v>2733.58</v>
      </c>
      <c r="BV30">
        <f>VLOOKUP($B30,'[1]Data_UN_PopulationTot.&amp;%'!$B$4:$CZ$603,18,FALSE)</f>
        <v>2774.34</v>
      </c>
      <c r="BW30">
        <f>VLOOKUP($B30,'[1]Data_UN_PopulationTot.&amp;%'!$B$4:$CZ$603,61,FALSE)</f>
        <v>11.556877570025897</v>
      </c>
      <c r="BX30">
        <f>VLOOKUP($B30,'[1]Data_UN_PopulationTot.&amp;%'!$B$4:$CZ$603,62,FALSE)</f>
        <v>11.363607370207047</v>
      </c>
      <c r="BY30">
        <f>VLOOKUP($B30,'[1]Data_UN_PopulationTot.&amp;%'!$B$4:$CZ$603,63,FALSE)</f>
        <v>10.483281808787947</v>
      </c>
      <c r="BZ30">
        <f>VLOOKUP($B30,'[1]Data_UN_PopulationTot.&amp;%'!$B$4:$CZ$603,64,FALSE)</f>
        <v>9.5893061408469862</v>
      </c>
      <c r="CA30">
        <f>VLOOKUP($B30,'[1]Data_UN_PopulationTot.&amp;%'!$B$4:$CZ$603,65,FALSE)</f>
        <v>8.6637778902293316</v>
      </c>
      <c r="CB30">
        <f>VLOOKUP($B30,'[1]Data_UN_PopulationTot.&amp;%'!$B$4:$CZ$603,66,FALSE)</f>
        <v>8.4523925957739934</v>
      </c>
      <c r="CC30">
        <f>VLOOKUP($B30,'[1]Data_UN_PopulationTot.&amp;%'!$B$4:$CZ$603,67,FALSE)</f>
        <v>7.9628172799292409</v>
      </c>
      <c r="CD30">
        <f>VLOOKUP($B30,'[1]Data_UN_PopulationTot.&amp;%'!$B$4:$CZ$603,68,FALSE)</f>
        <v>7.5706212286796806</v>
      </c>
      <c r="CE30">
        <f>VLOOKUP($B30,'[1]Data_UN_PopulationTot.&amp;%'!$B$4:$CZ$603,69,FALSE)</f>
        <v>6.3392200303619184</v>
      </c>
      <c r="CF30">
        <f>VLOOKUP($B30,'[1]Data_UN_PopulationTot.&amp;%'!$B$4:$CZ$603,70,FALSE)</f>
        <v>4.7601025671555472</v>
      </c>
      <c r="CG30">
        <f>VLOOKUP($B30,'[1]Data_UN_PopulationTot.&amp;%'!$B$4:$CZ$603,71,FALSE)</f>
        <v>3.4170766659721128</v>
      </c>
      <c r="CH30">
        <f>VLOOKUP($B30,'[1]Data_UN_PopulationTot.&amp;%'!$B$4:$CZ$603,72,FALSE)</f>
        <v>2.8161743131359951</v>
      </c>
      <c r="CI30">
        <f>VLOOKUP($B30,'[1]Data_UN_PopulationTot.&amp;%'!$B$4:$CZ$603,73,FALSE)</f>
        <v>2.5125125976450375</v>
      </c>
      <c r="CJ30">
        <f>VLOOKUP($B30,'[1]Data_UN_PopulationTot.&amp;%'!$B$4:$CZ$603,74,FALSE)</f>
        <v>1.9206252684308329</v>
      </c>
      <c r="CK30">
        <f>VLOOKUP($B30,'[1]Data_UN_PopulationTot.&amp;%'!$B$4:$CZ$603,75,FALSE)</f>
        <v>1.2564051317596729</v>
      </c>
      <c r="CL30">
        <f>VLOOKUP($B30,'[1]Data_UN_PopulationTot.&amp;%'!$B$4:$CZ$603,76,FALSE)</f>
        <v>0.80846051462177293</v>
      </c>
      <c r="CM30">
        <f>VLOOKUP($B30,'[1]Data_UN_PopulationTot.&amp;%'!$B$4:$CZ$603,77,FALSE)</f>
        <v>0.35626352785089493</v>
      </c>
      <c r="CN30">
        <f>VLOOKUP($B30,'[1]Data_UN_PopulationTot.&amp;%'!$B$4:$CZ$603,78,FALSE)</f>
        <v>0.13420478561678495</v>
      </c>
      <c r="CO30">
        <f>VLOOKUP($B30,'[1]Data_UN_PopulationTot.&amp;%'!$B$4:$CZ$603,79,FALSE)</f>
        <v>3.2700722477600641E-2</v>
      </c>
      <c r="CP30">
        <f>VLOOKUP($B30,'[1]Data_UN_PopulationTot.&amp;%'!$B$4:$CZ$603,80,FALSE)</f>
        <v>3.2743246173930424E-3</v>
      </c>
      <c r="CQ30">
        <f>VLOOKUP($B30,'[1]Data_UN_PopulationTot.&amp;%'!$B$4:$CZ$603,81,FALSE)</f>
        <v>8.5047392659559531E-5</v>
      </c>
      <c r="CR30">
        <f>VLOOKUP($B30,'[1]Data_UN_PopulationTot.&amp;%'!$B$4:$CZ$603,82,FALSE)</f>
        <v>9.6169178975900564</v>
      </c>
      <c r="CS30">
        <f>VLOOKUP($B30,'[1]Data_UN_PopulationTot.&amp;%'!$B$4:$CZ$603,83,FALSE)</f>
        <v>9.5631753858575372</v>
      </c>
      <c r="CT30">
        <f>VLOOKUP($B30,'[1]Data_UN_PopulationTot.&amp;%'!$B$4:$CZ$603,84,FALSE)</f>
        <v>9.7488772104356336</v>
      </c>
      <c r="CU30">
        <f>VLOOKUP($B30,'[1]Data_UN_PopulationTot.&amp;%'!$B$4:$CZ$603,85,FALSE)</f>
        <v>9.6324891685950522</v>
      </c>
      <c r="CV30">
        <f>VLOOKUP($B30,'[1]Data_UN_PopulationTot.&amp;%'!$B$4:$CZ$603,86,FALSE)</f>
        <v>8.9406129025281675</v>
      </c>
      <c r="CW30">
        <f>VLOOKUP($B30,'[1]Data_UN_PopulationTot.&amp;%'!$B$4:$CZ$603,87,FALSE)</f>
        <v>8.2149628380083186</v>
      </c>
      <c r="CX30">
        <f>VLOOKUP($B30,'[1]Data_UN_PopulationTot.&amp;%'!$B$4:$CZ$603,88,FALSE)</f>
        <v>7.3927132218834029</v>
      </c>
      <c r="CY30">
        <f>VLOOKUP($B30,'[1]Data_UN_PopulationTot.&amp;%'!$B$4:$CZ$603,89,FALSE)</f>
        <v>7.1094746858712341</v>
      </c>
      <c r="CZ30">
        <f>VLOOKUP($B30,'[1]Data_UN_PopulationTot.&amp;%'!$B$4:$CZ$603,90,FALSE)</f>
        <v>6.5851698061520931</v>
      </c>
      <c r="DA30">
        <f>VLOOKUP($B30,'[1]Data_UN_PopulationTot.&amp;%'!$B$4:$CZ$603,91,FALSE)</f>
        <v>6.1565633628178231</v>
      </c>
      <c r="DB30">
        <f>VLOOKUP($B30,'[1]Data_UN_PopulationTot.&amp;%'!$B$4:$CZ$603,92,FALSE)</f>
        <v>5.0688452028230131</v>
      </c>
      <c r="DC30">
        <f>VLOOKUP($B30,'[1]Data_UN_PopulationTot.&amp;%'!$B$4:$CZ$603,93,FALSE)</f>
        <v>3.7260753909037825</v>
      </c>
      <c r="DD30">
        <f>VLOOKUP($B30,'[1]Data_UN_PopulationTot.&amp;%'!$B$4:$CZ$603,94,FALSE)</f>
        <v>2.5958966817333131</v>
      </c>
      <c r="DE30">
        <f>VLOOKUP($B30,'[1]Data_UN_PopulationTot.&amp;%'!$B$4:$CZ$603,95,FALSE)</f>
        <v>2.0407376168746438</v>
      </c>
      <c r="DF30">
        <f>VLOOKUP($B30,'[1]Data_UN_PopulationTot.&amp;%'!$B$4:$CZ$603,96,FALSE)</f>
        <v>1.6748848374748586</v>
      </c>
      <c r="DG30">
        <f>VLOOKUP($B30,'[1]Data_UN_PopulationTot.&amp;%'!$B$4:$CZ$603,97,FALSE)</f>
        <v>1.104154501611194</v>
      </c>
      <c r="DH30">
        <f>VLOOKUP($B30,'[1]Data_UN_PopulationTot.&amp;%'!$B$4:$CZ$603,98,FALSE)</f>
        <v>0.55555555555555558</v>
      </c>
      <c r="DI30">
        <f>VLOOKUP($B30,'[1]Data_UN_PopulationTot.&amp;%'!$B$4:$CZ$603,99,FALSE)</f>
        <v>0.22408933295846936</v>
      </c>
      <c r="DJ30">
        <f>VLOOKUP($B30,'[1]Data_UN_PopulationTot.&amp;%'!$B$4:$DE$603,100,FALSE)</f>
        <v>4.3794199701550643E-2</v>
      </c>
      <c r="DK30">
        <f>VLOOKUP($B30,'[1]Data_UN_PopulationTot.&amp;%'!$B$4:$DE$603,101,FALSE)</f>
        <v>4.829977580253322E-3</v>
      </c>
      <c r="DL30">
        <f>VLOOKUP($B30,'[1]Data_UN_PopulationTot.&amp;%'!$B$4:$DE$603,102,FALSE)</f>
        <v>3.2440147927074542E-4</v>
      </c>
    </row>
    <row r="31" spans="1:116">
      <c r="A31" t="s">
        <v>99</v>
      </c>
      <c r="B31" t="s">
        <v>312</v>
      </c>
      <c r="C31" t="s">
        <v>496</v>
      </c>
      <c r="D31" t="s">
        <v>306</v>
      </c>
      <c r="E31" t="s">
        <v>299</v>
      </c>
      <c r="F31">
        <v>1</v>
      </c>
      <c r="G31">
        <v>0</v>
      </c>
      <c r="H31">
        <v>0</v>
      </c>
      <c r="I31">
        <v>0</v>
      </c>
      <c r="J31" s="18">
        <f t="shared" si="1"/>
        <v>298.26446726755597</v>
      </c>
      <c r="K31">
        <f>VLOOKUP($B31,'[1]Source GDP Current USD'!$B$1:$CZ$600,64,FALSE)</f>
        <v>2380087758.0413699</v>
      </c>
      <c r="L31" s="45">
        <f>VLOOKUP($B31,'[1]Source GDP Current USD'!$B$1:$CZ$600,65,FALSE)</f>
        <v>2380087758.0413699</v>
      </c>
      <c r="M31" s="17">
        <f>VLOOKUP($B31,'[1]Source GDP Current LCU'!$B$1:$CZ$600,64,FALSE)</f>
        <v>1369945192300</v>
      </c>
      <c r="N31" s="45">
        <f>VLOOKUP($B31,'[1]Source GDP Current LCU'!$B$1:$CZ$600,65,FALSE)</f>
        <v>1369945192300</v>
      </c>
      <c r="O31" s="45">
        <f>VLOOKUP($B31,'[1]Source GNI Current USD'!$B$1:$CZ$600,64,FALSE)</f>
        <v>2456788005.7888799</v>
      </c>
      <c r="P31" s="45">
        <f>VLOOKUP($B31,'[1]Source GNI Current LCU'!$B$1:$CZ$600,64,FALSE)</f>
        <v>1414092781100</v>
      </c>
      <c r="Q31">
        <f t="shared" si="0"/>
        <v>96.87802742577766</v>
      </c>
      <c r="R31">
        <f>VLOOKUP($B31,'[1]Source GNI PC Atlas'!$B$1:$CZ$600,64,FALSE)</f>
        <v>500</v>
      </c>
      <c r="S31">
        <f>VLOOKUP($B31,'[1]Source GNI PC Atlas'!$B$1:$CZ$600,65,FALSE)</f>
        <v>500</v>
      </c>
      <c r="T31">
        <f>VLOOKUP($B31,[1]Source_PPP_Conversion!$B$1:$CZ$600,65,FALSE)</f>
        <v>0.49896077475539202</v>
      </c>
      <c r="U31">
        <f>VLOOKUP($B31,'[1]Source PopulationTotal'!$B$1:$CZ$600,65,FALSE)</f>
        <v>4829764</v>
      </c>
      <c r="V31">
        <f>VLOOKUP($B31,'[1]Source Gov. Revenue WEO'!$B$1:$CZ$600,4,FALSE)</f>
        <v>21.771999999999998</v>
      </c>
      <c r="W31">
        <f>VLOOKUP($B31,'[1]Source Gov. Revenue WEO'!$B$1:$CZ$600,5,FALSE)</f>
        <v>16.946000000000002</v>
      </c>
      <c r="X31">
        <f>VLOOKUP($B31,'[1]Source Gov. Revenue WEO'!$B$1:$CZ$600,6,FALSE)</f>
        <v>18.074999999999999</v>
      </c>
      <c r="Y31">
        <f>VLOOKUP($B31,'[1]Source Gov. Revenue WEO'!$B$1:$CZ$600,7,FALSE)</f>
        <v>17.919</v>
      </c>
      <c r="Z31">
        <f>VLOOKUP($B31,'[1]Source Gov. Revenue WEO'!$B$1:$CZ$600,8,FALSE)</f>
        <v>17.96</v>
      </c>
      <c r="AA31">
        <f>VLOOKUP($B31,'[1]Source Gov. Revenue WEO'!$B$1:$CZ$600,9,FALSE)</f>
        <v>17.722000000000001</v>
      </c>
      <c r="AB31">
        <f>VLOOKUP($B31,'[1]Source Gov. Revenue WEO'!$B$1:$CZ$600,10,FALSE)</f>
        <v>17.63</v>
      </c>
      <c r="AC31">
        <f>VLOOKUP($B31,[2]Summary!$B$1:$CZ$600,39,FALSE)</f>
        <v>0.71645390000000009</v>
      </c>
      <c r="AD31">
        <f>VLOOKUP($B31,[2]Summary!$B$1:$CZ$600,40,FALSE)</f>
        <v>0.79149990000000003</v>
      </c>
      <c r="AE31">
        <f>VLOOKUP($B31,[2]Summary!$B$1:$CZ$600,47,FALSE)</f>
        <v>9.2057126607475753E-2</v>
      </c>
      <c r="AF31">
        <f>VLOOKUP($B31,'[1]CALC GDP Growth rates WDI'!$B$1:$CZ$600,27,FALSE)</f>
        <v>-14.193444510756512</v>
      </c>
      <c r="AG31">
        <f>VLOOKUP($B31,'[1]CALC GDP Growth rates WDI'!$B$1:$CZ$600,29,FALSE)</f>
        <v>-13.429879276384593</v>
      </c>
      <c r="AH31">
        <f>VLOOKUP($B31,'[1]CALC GDP Growth rates WDI'!$B$1:$CZ$600,28,FALSE)</f>
        <v>18.021437139621728</v>
      </c>
      <c r="AI31">
        <f>VLOOKUP($B31,'[1]CALC GDP Growth rates WDI'!$B$1:$CZ$600,30,FALSE)</f>
        <v>18.737439656457976</v>
      </c>
      <c r="AJ31" s="45" t="s">
        <v>2464</v>
      </c>
      <c r="AK31">
        <f>VLOOKUP($B31,[1]Data_Aspire!$B$1:$CZ$600,2,FALSE)</f>
        <v>2015</v>
      </c>
      <c r="AL31">
        <f>VLOOKUP($B31,[1]Data_Aspire!$B$1:$CZ$600,3,FALSE)</f>
        <v>2.58</v>
      </c>
      <c r="AM31">
        <f>VLOOKUP($B31,[1]Data_Aspire!$B$1:$CZ$600,4,FALSE)</f>
        <v>0</v>
      </c>
      <c r="AN31">
        <f>VLOOKUP($B31,[1]Data_Aspire!$B$1:$CZ$600,5,FALSE)</f>
        <v>0.22</v>
      </c>
      <c r="AO31">
        <f>VLOOKUP($B31,[1]Data_Aspire!$B$1:$CZ$600,6,FALSE)</f>
        <v>0</v>
      </c>
      <c r="AP31">
        <f>VLOOKUP($B31,[1]Data_Aspire!$B$1:$CZ$600,7,FALSE)</f>
        <v>0</v>
      </c>
      <c r="AQ31">
        <f>VLOOKUP($B31,[1]Data_Aspire!$B$1:$CZ$600,8,FALSE)</f>
        <v>0.98</v>
      </c>
      <c r="AR31">
        <f>VLOOKUP($B31,[1]Data_Aspire!$B$1:$CZ$600,9,FALSE)</f>
        <v>0.94</v>
      </c>
      <c r="AT31">
        <f>VLOOKUP($B31,[1]Data_Aspire!$B$1:$CZ$600,11,FALSE)</f>
        <v>0.45</v>
      </c>
      <c r="AU31">
        <f>VLOOKUP($B31,[1]Data_Aspire!$B$1:$CZ$600,12,FALSE)</f>
        <v>2.58</v>
      </c>
      <c r="AX31">
        <f>VLOOKUP($B31,[1]Data_Aspire!$B$1:$CZ$600,15,FALSE)</f>
        <v>46168</v>
      </c>
      <c r="AY31">
        <f>VLOOKUP($B31,[1]Data_Aspire!$B$1:$CZ$600,16,FALSE)</f>
        <v>2015</v>
      </c>
      <c r="BB31">
        <f>VLOOKUP($B31,[1]Data_Aspire!$B$1:$CZ$600,19,FALSE)</f>
        <v>80000</v>
      </c>
      <c r="BC31">
        <f>VLOOKUP($B31,[1]Data_Aspire!$B$1:$CZ$600,20,FALSE)</f>
        <v>2015</v>
      </c>
      <c r="BF31">
        <f>VLOOKUP($B31,[1]Data_Aspire!$B$1:$CZ$600,23,FALSE)</f>
        <v>60000</v>
      </c>
      <c r="BG31">
        <f>VLOOKUP($B31,[1]Data_Aspire!$B$1:$CZ$600,24,FALSE)</f>
        <v>2015</v>
      </c>
      <c r="BH31">
        <f>VLOOKUP($B31,[1]Data_Aspire!$B$1:$CZ$600,25,FALSE)</f>
        <v>50000</v>
      </c>
      <c r="BI31">
        <f>VLOOKUP($B31,[1]Data_Aspire!$B$1:$CZ$600,26,FALSE)</f>
        <v>2015</v>
      </c>
      <c r="BJ31" s="7">
        <v>1</v>
      </c>
      <c r="BK31">
        <v>140</v>
      </c>
      <c r="BL31">
        <f>VLOOKUP($B31,'[1]Data_UN_PopulationTot.&amp;%'!$B$4:$CZ$603,8,FALSE)</f>
        <v>4829.76</v>
      </c>
      <c r="BM31">
        <f>VLOOKUP($B31,'[1]Data_UN_PopulationTot.&amp;%'!$B$4:$CZ$603,9,FALSE)</f>
        <v>4919.99</v>
      </c>
      <c r="BN31">
        <v>5016.68</v>
      </c>
      <c r="BO31">
        <f>VLOOKUP($B31,'[1]Data_UN_PopulationTot.&amp;%'!$B$4:$CZ$603,11,FALSE)</f>
        <v>5119.1400000000003</v>
      </c>
      <c r="BP31">
        <f>VLOOKUP($B31,'[1]Data_UN_PopulationTot.&amp;%'!$B$4:$CZ$603,12,FALSE)</f>
        <v>5226.57</v>
      </c>
      <c r="BQ31">
        <f>VLOOKUP($B31,'[1]Data_UN_PopulationTot.&amp;%'!$B$4:$CZ$603,13,FALSE)</f>
        <v>5338.27</v>
      </c>
      <c r="BR31">
        <f>VLOOKUP($B31,'[1]Data_UN_PopulationTot.&amp;%'!$B$4:$CZ$603,14,FALSE)</f>
        <v>5453.69</v>
      </c>
      <c r="BS31">
        <f>VLOOKUP($B31,'[1]Data_UN_PopulationTot.&amp;%'!$B$4:$CZ$603,15,FALSE)</f>
        <v>5572.38</v>
      </c>
      <c r="BT31">
        <f>VLOOKUP($B31,'[1]Data_UN_PopulationTot.&amp;%'!$B$4:$CZ$603,16,FALSE)</f>
        <v>5693.74</v>
      </c>
      <c r="BU31">
        <f>VLOOKUP($B31,'[1]Data_UN_PopulationTot.&amp;%'!$B$4:$CZ$603,17,FALSE)</f>
        <v>5817.2</v>
      </c>
      <c r="BV31">
        <f>VLOOKUP($B31,'[1]Data_UN_PopulationTot.&amp;%'!$B$4:$CZ$603,18,FALSE)</f>
        <v>5942.21</v>
      </c>
      <c r="BW31">
        <f>VLOOKUP($B31,'[1]Data_UN_PopulationTot.&amp;%'!$B$4:$CZ$603,61,FALSE)</f>
        <v>15.28527297422646</v>
      </c>
      <c r="BX31">
        <f>VLOOKUP($B31,'[1]Data_UN_PopulationTot.&amp;%'!$B$4:$CZ$603,62,FALSE)</f>
        <v>14.438957629364605</v>
      </c>
      <c r="BY31">
        <f>VLOOKUP($B31,'[1]Data_UN_PopulationTot.&amp;%'!$B$4:$CZ$603,63,FALSE)</f>
        <v>13.817539587888424</v>
      </c>
      <c r="BZ31">
        <f>VLOOKUP($B31,'[1]Data_UN_PopulationTot.&amp;%'!$B$4:$CZ$603,64,FALSE)</f>
        <v>12.366121712051944</v>
      </c>
      <c r="CA31">
        <f>VLOOKUP($B31,'[1]Data_UN_PopulationTot.&amp;%'!$B$4:$CZ$603,65,FALSE)</f>
        <v>9.9957554826740882</v>
      </c>
      <c r="CB31">
        <f>VLOOKUP($B31,'[1]Data_UN_PopulationTot.&amp;%'!$B$4:$CZ$603,66,FALSE)</f>
        <v>7.3962060226595101</v>
      </c>
      <c r="CC31">
        <f>VLOOKUP($B31,'[1]Data_UN_PopulationTot.&amp;%'!$B$4:$CZ$603,67,FALSE)</f>
        <v>5.7379041608692765</v>
      </c>
      <c r="CD31">
        <f>VLOOKUP($B31,'[1]Data_UN_PopulationTot.&amp;%'!$B$4:$CZ$603,68,FALSE)</f>
        <v>4.64221824686941</v>
      </c>
      <c r="CE31">
        <f>VLOOKUP($B31,'[1]Data_UN_PopulationTot.&amp;%'!$B$4:$CZ$603,69,FALSE)</f>
        <v>3.7879314914198638</v>
      </c>
      <c r="CF31">
        <f>VLOOKUP($B31,'[1]Data_UN_PopulationTot.&amp;%'!$B$4:$CZ$603,70,FALSE)</f>
        <v>3.2420037434572313</v>
      </c>
      <c r="CG31">
        <f>VLOOKUP($B31,'[1]Data_UN_PopulationTot.&amp;%'!$B$4:$CZ$603,71,FALSE)</f>
        <v>2.671540614854568</v>
      </c>
      <c r="CH31">
        <f>VLOOKUP($B31,'[1]Data_UN_PopulationTot.&amp;%'!$B$4:$CZ$603,72,FALSE)</f>
        <v>2.1443508580136483</v>
      </c>
      <c r="CI31">
        <f>VLOOKUP($B31,'[1]Data_UN_PopulationTot.&amp;%'!$B$4:$CZ$603,73,FALSE)</f>
        <v>1.6761495395216324</v>
      </c>
      <c r="CJ31">
        <f>VLOOKUP($B31,'[1]Data_UN_PopulationTot.&amp;%'!$B$4:$CZ$603,74,FALSE)</f>
        <v>1.2031032597893061</v>
      </c>
      <c r="CK31">
        <f>VLOOKUP($B31,'[1]Data_UN_PopulationTot.&amp;%'!$B$4:$CZ$603,75,FALSE)</f>
        <v>0.7802665142781422</v>
      </c>
      <c r="CL31">
        <f>VLOOKUP($B31,'[1]Data_UN_PopulationTot.&amp;%'!$B$4:$CZ$603,76,FALSE)</f>
        <v>0.49321291327105277</v>
      </c>
      <c r="CM31">
        <f>VLOOKUP($B31,'[1]Data_UN_PopulationTot.&amp;%'!$B$4:$CZ$603,77,FALSE)</f>
        <v>0.2377136752136752</v>
      </c>
      <c r="CN31">
        <f>VLOOKUP($B31,'[1]Data_UN_PopulationTot.&amp;%'!$B$4:$CZ$603,78,FALSE)</f>
        <v>7.2281024315908035E-2</v>
      </c>
      <c r="CO31">
        <f>VLOOKUP($B31,'[1]Data_UN_PopulationTot.&amp;%'!$B$4:$CZ$603,79,FALSE)</f>
        <v>1.0828695421718678E-2</v>
      </c>
      <c r="CP31">
        <f>VLOOKUP($B31,'[1]Data_UN_PopulationTot.&amp;%'!$B$4:$CZ$603,80,FALSE)</f>
        <v>6.8326376465911351E-4</v>
      </c>
      <c r="CQ31">
        <f>VLOOKUP($B31,'[1]Data_UN_PopulationTot.&amp;%'!$B$4:$CZ$603,81,FALSE)</f>
        <v>4.1409925130855362E-5</v>
      </c>
      <c r="CR31">
        <f>VLOOKUP($B31,'[1]Data_UN_PopulationTot.&amp;%'!$B$4:$CZ$603,82,FALSE)</f>
        <v>14.525706765664626</v>
      </c>
      <c r="CS31">
        <f>VLOOKUP($B31,'[1]Data_UN_PopulationTot.&amp;%'!$B$4:$CZ$603,83,FALSE)</f>
        <v>13.064970776865845</v>
      </c>
      <c r="CT31">
        <f>VLOOKUP($B31,'[1]Data_UN_PopulationTot.&amp;%'!$B$4:$CZ$603,84,FALSE)</f>
        <v>11.846282780312375</v>
      </c>
      <c r="CU31">
        <f>VLOOKUP($B31,'[1]Data_UN_PopulationTot.&amp;%'!$B$4:$CZ$603,85,FALSE)</f>
        <v>11.389819612568388</v>
      </c>
      <c r="CV31">
        <f>VLOOKUP($B31,'[1]Data_UN_PopulationTot.&amp;%'!$B$4:$CZ$603,86,FALSE)</f>
        <v>10.720624144888854</v>
      </c>
      <c r="CW31">
        <f>VLOOKUP($B31,'[1]Data_UN_PopulationTot.&amp;%'!$B$4:$CZ$603,87,FALSE)</f>
        <v>9.296170953231206</v>
      </c>
      <c r="CX31">
        <f>VLOOKUP($B31,'[1]Data_UN_PopulationTot.&amp;%'!$B$4:$CZ$603,88,FALSE)</f>
        <v>7.2959723739147551</v>
      </c>
      <c r="CY31">
        <f>VLOOKUP($B31,'[1]Data_UN_PopulationTot.&amp;%'!$B$4:$CZ$603,89,FALSE)</f>
        <v>5.2740142135670052</v>
      </c>
      <c r="CZ31">
        <f>VLOOKUP($B31,'[1]Data_UN_PopulationTot.&amp;%'!$B$4:$CZ$603,90,FALSE)</f>
        <v>4.0251859156778371</v>
      </c>
      <c r="DA31">
        <f>VLOOKUP($B31,'[1]Data_UN_PopulationTot.&amp;%'!$B$4:$CZ$603,91,FALSE)</f>
        <v>3.2172373578180506</v>
      </c>
      <c r="DB31">
        <f>VLOOKUP($B31,'[1]Data_UN_PopulationTot.&amp;%'!$B$4:$CZ$603,92,FALSE)</f>
        <v>2.5855700151963661</v>
      </c>
      <c r="DC31">
        <f>VLOOKUP($B31,'[1]Data_UN_PopulationTot.&amp;%'!$B$4:$CZ$603,93,FALSE)</f>
        <v>2.1580354783826223</v>
      </c>
      <c r="DD31">
        <f>VLOOKUP($B31,'[1]Data_UN_PopulationTot.&amp;%'!$B$4:$CZ$603,94,FALSE)</f>
        <v>1.7013535368154271</v>
      </c>
      <c r="DE31">
        <f>VLOOKUP($B31,'[1]Data_UN_PopulationTot.&amp;%'!$B$4:$CZ$603,95,FALSE)</f>
        <v>1.2606420843423574</v>
      </c>
      <c r="DF31">
        <f>VLOOKUP($B31,'[1]Data_UN_PopulationTot.&amp;%'!$B$4:$CZ$603,96,FALSE)</f>
        <v>0.85661731914557038</v>
      </c>
      <c r="DG31">
        <f>VLOOKUP($B31,'[1]Data_UN_PopulationTot.&amp;%'!$B$4:$CZ$603,97,FALSE)</f>
        <v>0.48677175663599909</v>
      </c>
      <c r="DH31">
        <f>VLOOKUP($B31,'[1]Data_UN_PopulationTot.&amp;%'!$B$4:$CZ$603,98,FALSE)</f>
        <v>0.21327082011574819</v>
      </c>
      <c r="DI31">
        <f>VLOOKUP($B31,'[1]Data_UN_PopulationTot.&amp;%'!$B$4:$CZ$603,99,FALSE)</f>
        <v>6.9368130712310738E-2</v>
      </c>
      <c r="DJ31">
        <f>VLOOKUP($B31,'[1]Data_UN_PopulationTot.&amp;%'!$B$4:$DE$603,100,FALSE)</f>
        <v>1.1477211340561845E-2</v>
      </c>
      <c r="DK31">
        <f>VLOOKUP($B31,'[1]Data_UN_PopulationTot.&amp;%'!$B$4:$DE$603,101,FALSE)</f>
        <v>8.2460902593479524E-4</v>
      </c>
      <c r="DL31">
        <f>VLOOKUP($B31,'[1]Data_UN_PopulationTot.&amp;%'!$B$4:$DE$603,102,FALSE)</f>
        <v>3.3657511262644708E-5</v>
      </c>
    </row>
    <row r="32" spans="1:116">
      <c r="A32" t="s">
        <v>64</v>
      </c>
      <c r="B32" t="s">
        <v>455</v>
      </c>
      <c r="C32" t="s">
        <v>502</v>
      </c>
      <c r="D32" t="s">
        <v>622</v>
      </c>
      <c r="E32" t="s">
        <v>2269</v>
      </c>
      <c r="F32">
        <v>0</v>
      </c>
      <c r="G32">
        <v>0</v>
      </c>
      <c r="H32">
        <v>0</v>
      </c>
      <c r="I32">
        <v>1</v>
      </c>
      <c r="J32" s="18">
        <f t="shared" si="1"/>
        <v>925.69336271999998</v>
      </c>
      <c r="K32">
        <f>VLOOKUP($B32,'[1]Source GDP Current USD'!$B$1:$CZ$600,64,FALSE)</f>
        <v>1645423407568.3601</v>
      </c>
      <c r="L32" s="45">
        <f>VLOOKUP($B32,'[1]Source GDP Current USD'!$B$1:$CZ$600,65,FALSE)</f>
        <v>1645423407568.3601</v>
      </c>
      <c r="M32" s="17">
        <f>VLOOKUP($B32,'[1]Source GDP Current LCU'!$B$1:$CZ$600,64,FALSE)</f>
        <v>2206764000000</v>
      </c>
      <c r="N32" s="45">
        <f>VLOOKUP($B32,'[1]Source GDP Current LCU'!$B$1:$CZ$600,65,FALSE)</f>
        <v>2206764000000</v>
      </c>
      <c r="O32" s="45">
        <f>VLOOKUP($B32,'[1]Source GNI Current USD'!$B$1:$CZ$600,64,FALSE)</f>
        <v>1627048914857.45</v>
      </c>
      <c r="P32" s="45">
        <f>VLOOKUP($B32,'[1]Source GNI Current LCU'!$B$1:$CZ$600,64,FALSE)</f>
        <v>2182121000000</v>
      </c>
      <c r="Q32">
        <f t="shared" si="0"/>
        <v>101.12931409394805</v>
      </c>
      <c r="R32">
        <f>VLOOKUP($B32,'[1]Source GNI PC Atlas'!$B$1:$CZ$600,64,FALSE)</f>
        <v>43580</v>
      </c>
      <c r="S32">
        <f>VLOOKUP($B32,'[1]Source GNI PC Atlas'!$B$1:$CZ$600,65,FALSE)</f>
        <v>43580</v>
      </c>
      <c r="T32">
        <f>VLOOKUP($B32,[1]Source_PPP_Conversion!$B$1:$CZ$600,65,FALSE)</f>
        <v>0.92884428879702396</v>
      </c>
      <c r="U32">
        <f>VLOOKUP($B32,'[1]Source PopulationTotal'!$B$1:$CZ$600,65,FALSE)</f>
        <v>38005238</v>
      </c>
      <c r="V32">
        <f>VLOOKUP($B32,'[1]Source Gov. Revenue WEO'!$B$1:$CZ$600,4,FALSE)</f>
        <v>41.948</v>
      </c>
      <c r="W32">
        <f>VLOOKUP($B32,'[1]Source Gov. Revenue WEO'!$B$1:$CZ$600,5,FALSE)</f>
        <v>40.584000000000003</v>
      </c>
      <c r="X32">
        <f>VLOOKUP($B32,'[1]Source Gov. Revenue WEO'!$B$1:$CZ$600,6,FALSE)</f>
        <v>41.119</v>
      </c>
      <c r="Y32">
        <f>VLOOKUP($B32,'[1]Source Gov. Revenue WEO'!$B$1:$CZ$600,7,FALSE)</f>
        <v>41.426000000000002</v>
      </c>
      <c r="Z32">
        <f>VLOOKUP($B32,'[1]Source Gov. Revenue WEO'!$B$1:$CZ$600,8,FALSE)</f>
        <v>41.697000000000003</v>
      </c>
      <c r="AA32">
        <f>VLOOKUP($B32,'[1]Source Gov. Revenue WEO'!$B$1:$CZ$600,9,FALSE)</f>
        <v>41.83</v>
      </c>
      <c r="AB32">
        <f>VLOOKUP($B32,'[1]Source Gov. Revenue WEO'!$B$1:$CZ$600,10,FALSE)</f>
        <v>41.847000000000001</v>
      </c>
      <c r="AC32">
        <f>VLOOKUP($B32,[2]Summary!$B$1:$CZ$600,39,FALSE)</f>
        <v>2.4299479999999999E-3</v>
      </c>
      <c r="AD32">
        <f>VLOOKUP($B32,[2]Summary!$B$1:$CZ$600,40,FALSE)</f>
        <v>2.5000000000000001E-3</v>
      </c>
      <c r="AE32">
        <f>VLOOKUP($B32,[2]Summary!$B$1:$CZ$600,47,FALSE)</f>
        <v>0.48296074876750561</v>
      </c>
      <c r="AF32">
        <f>VLOOKUP($B32,'[1]CALC GDP Growth rates WDI'!$B$1:$CZ$600,27,FALSE)</f>
        <v>14.856940455537609</v>
      </c>
      <c r="AG32">
        <f>VLOOKUP($B32,'[1]CALC GDP Growth rates WDI'!$B$1:$CZ$600,29,FALSE)</f>
        <v>22.52428890055096</v>
      </c>
      <c r="AH32">
        <f>VLOOKUP($B32,'[1]CALC GDP Growth rates WDI'!$B$1:$CZ$600,28,FALSE)</f>
        <v>3.2697299393805883</v>
      </c>
      <c r="AI32">
        <f>VLOOKUP($B32,'[1]CALC GDP Growth rates WDI'!$B$1:$CZ$600,30,FALSE)</f>
        <v>7.5664789084620931</v>
      </c>
      <c r="AK32" t="e">
        <f>VLOOKUP($B32,[1]Data_Aspire!$B$1:$CZ$600,2,FALSE)</f>
        <v>#N/A</v>
      </c>
      <c r="AL32" t="e">
        <f>VLOOKUP($B32,[1]Data_Aspire!$B$1:$CZ$600,3,FALSE)</f>
        <v>#N/A</v>
      </c>
      <c r="AM32" t="e">
        <f>VLOOKUP($B32,[1]Data_Aspire!$B$1:$CZ$600,4,FALSE)</f>
        <v>#N/A</v>
      </c>
      <c r="AN32" t="e">
        <f>VLOOKUP($B32,[1]Data_Aspire!$B$1:$CZ$600,5,FALSE)</f>
        <v>#N/A</v>
      </c>
      <c r="AO32" t="e">
        <f>VLOOKUP($B32,[1]Data_Aspire!$B$1:$CZ$600,6,FALSE)</f>
        <v>#N/A</v>
      </c>
      <c r="AP32" t="e">
        <f>VLOOKUP($B32,[1]Data_Aspire!$B$1:$CZ$600,7,FALSE)</f>
        <v>#N/A</v>
      </c>
      <c r="AQ32" t="e">
        <f>VLOOKUP($B32,[1]Data_Aspire!$B$1:$CZ$600,8,FALSE)</f>
        <v>#N/A</v>
      </c>
      <c r="AR32" t="e">
        <f>VLOOKUP($B32,[1]Data_Aspire!$B$1:$CZ$600,9,FALSE)</f>
        <v>#N/A</v>
      </c>
      <c r="AS32" t="e">
        <f>VLOOKUP($B32,[1]Data_Aspire!$B$1:$CZ$600,10,FALSE)</f>
        <v>#N/A</v>
      </c>
      <c r="AT32" t="e">
        <f>VLOOKUP($B32,[1]Data_Aspire!$B$1:$CZ$600,11,FALSE)</f>
        <v>#N/A</v>
      </c>
      <c r="AU32" t="e">
        <f>VLOOKUP($B32,[1]Data_Aspire!$B$1:$CZ$600,12,FALSE)</f>
        <v>#N/A</v>
      </c>
      <c r="AV32" t="e">
        <f>VLOOKUP($B32,[1]Data_Aspire!$B$1:$CZ$600,13,FALSE)</f>
        <v>#N/A</v>
      </c>
      <c r="AW32" t="e">
        <f>VLOOKUP($B32,[1]Data_Aspire!$B$1:$CZ$600,14,FALSE)</f>
        <v>#N/A</v>
      </c>
      <c r="AX32" t="e">
        <f>VLOOKUP($B32,[1]Data_Aspire!$B$1:$CZ$600,15,FALSE)</f>
        <v>#N/A</v>
      </c>
      <c r="AY32" t="e">
        <f>VLOOKUP($B32,[1]Data_Aspire!$B$1:$CZ$600,16,FALSE)</f>
        <v>#N/A</v>
      </c>
      <c r="AZ32" t="e">
        <f>VLOOKUP($B32,[1]Data_Aspire!$B$1:$CZ$600,17,FALSE)</f>
        <v>#N/A</v>
      </c>
      <c r="BA32" t="e">
        <f>VLOOKUP($B32,[1]Data_Aspire!$B$1:$CZ$600,18,FALSE)</f>
        <v>#N/A</v>
      </c>
      <c r="BB32" t="e">
        <f>VLOOKUP($B32,[1]Data_Aspire!$B$1:$CZ$600,19,FALSE)</f>
        <v>#N/A</v>
      </c>
      <c r="BC32" t="e">
        <f>VLOOKUP($B32,[1]Data_Aspire!$B$1:$CZ$600,20,FALSE)</f>
        <v>#N/A</v>
      </c>
      <c r="BD32" t="e">
        <f>VLOOKUP($B32,[1]Data_Aspire!$B$1:$CZ$600,21,FALSE)</f>
        <v>#N/A</v>
      </c>
      <c r="BE32" t="e">
        <f>VLOOKUP($B32,[1]Data_Aspire!$B$1:$CZ$600,22,FALSE)</f>
        <v>#N/A</v>
      </c>
      <c r="BF32" t="e">
        <f>VLOOKUP($B32,[1]Data_Aspire!$B$1:$CZ$600,23,FALSE)</f>
        <v>#N/A</v>
      </c>
      <c r="BG32" t="e">
        <f>VLOOKUP($B32,[1]Data_Aspire!$B$1:$CZ$600,24,FALSE)</f>
        <v>#N/A</v>
      </c>
      <c r="BH32" t="e">
        <f>VLOOKUP($B32,[1]Data_Aspire!$B$1:$CZ$600,25,FALSE)</f>
        <v>#N/A</v>
      </c>
      <c r="BI32" t="e">
        <f>VLOOKUP($B32,[1]Data_Aspire!$B$1:$CZ$600,26,FALSE)</f>
        <v>#N/A</v>
      </c>
      <c r="BJ32" s="7">
        <v>0</v>
      </c>
      <c r="BK32">
        <v>124</v>
      </c>
      <c r="BL32">
        <f>VLOOKUP($B32,'[1]Data_UN_PopulationTot.&amp;%'!$B$4:$CZ$603,8,FALSE)</f>
        <v>37742.199999999997</v>
      </c>
      <c r="BM32">
        <f>VLOOKUP($B32,'[1]Data_UN_PopulationTot.&amp;%'!$B$4:$CZ$603,9,FALSE)</f>
        <v>38067.9</v>
      </c>
      <c r="BN32">
        <v>38388.400000000001</v>
      </c>
      <c r="BO32">
        <f>VLOOKUP($B32,'[1]Data_UN_PopulationTot.&amp;%'!$B$4:$CZ$603,11,FALSE)</f>
        <v>38704.5</v>
      </c>
      <c r="BP32">
        <f>VLOOKUP($B32,'[1]Data_UN_PopulationTot.&amp;%'!$B$4:$CZ$603,12,FALSE)</f>
        <v>39017.1</v>
      </c>
      <c r="BQ32">
        <f>VLOOKUP($B32,'[1]Data_UN_PopulationTot.&amp;%'!$B$4:$CZ$603,13,FALSE)</f>
        <v>39327</v>
      </c>
      <c r="BR32">
        <f>VLOOKUP($B32,'[1]Data_UN_PopulationTot.&amp;%'!$B$4:$CZ$603,14,FALSE)</f>
        <v>39634.300000000003</v>
      </c>
      <c r="BS32">
        <f>VLOOKUP($B32,'[1]Data_UN_PopulationTot.&amp;%'!$B$4:$CZ$603,15,FALSE)</f>
        <v>39939</v>
      </c>
      <c r="BT32">
        <f>VLOOKUP($B32,'[1]Data_UN_PopulationTot.&amp;%'!$B$4:$CZ$603,16,FALSE)</f>
        <v>40240.800000000003</v>
      </c>
      <c r="BU32">
        <f>VLOOKUP($B32,'[1]Data_UN_PopulationTot.&amp;%'!$B$4:$CZ$603,17,FALSE)</f>
        <v>40539.199999999997</v>
      </c>
      <c r="BV32">
        <f>VLOOKUP($B32,'[1]Data_UN_PopulationTot.&amp;%'!$B$4:$CZ$603,18,FALSE)</f>
        <v>40833.699999999997</v>
      </c>
      <c r="BW32">
        <f>VLOOKUP($B32,'[1]Data_UN_PopulationTot.&amp;%'!$B$4:$CZ$603,61,FALSE)</f>
        <v>5.2809057235667245</v>
      </c>
      <c r="BX32">
        <f>VLOOKUP($B32,'[1]Data_UN_PopulationTot.&amp;%'!$B$4:$CZ$603,62,FALSE)</f>
        <v>5.2402615639787831</v>
      </c>
      <c r="BY32">
        <f>VLOOKUP($B32,'[1]Data_UN_PopulationTot.&amp;%'!$B$4:$CZ$603,63,FALSE)</f>
        <v>5.2540657407358342</v>
      </c>
      <c r="BZ32">
        <f>VLOOKUP($B32,'[1]Data_UN_PopulationTot.&amp;%'!$B$4:$CZ$603,64,FALSE)</f>
        <v>5.2681613684416915</v>
      </c>
      <c r="CA32">
        <f>VLOOKUP($B32,'[1]Data_UN_PopulationTot.&amp;%'!$B$4:$CZ$603,65,FALSE)</f>
        <v>6.2621415815718215</v>
      </c>
      <c r="CB32">
        <f>VLOOKUP($B32,'[1]Data_UN_PopulationTot.&amp;%'!$B$4:$CZ$603,66,FALSE)</f>
        <v>7.2416287338840881</v>
      </c>
      <c r="CC32">
        <f>VLOOKUP($B32,'[1]Data_UN_PopulationTot.&amp;%'!$B$4:$CZ$603,67,FALSE)</f>
        <v>6.958682853675727</v>
      </c>
      <c r="CD32">
        <f>VLOOKUP($B32,'[1]Data_UN_PopulationTot.&amp;%'!$B$4:$CZ$603,68,FALSE)</f>
        <v>7.027412286512182</v>
      </c>
      <c r="CE32">
        <f>VLOOKUP($B32,'[1]Data_UN_PopulationTot.&amp;%'!$B$4:$CZ$603,69,FALSE)</f>
        <v>6.526673060923847</v>
      </c>
      <c r="CF32">
        <f>VLOOKUP($B32,'[1]Data_UN_PopulationTot.&amp;%'!$B$4:$CZ$603,70,FALSE)</f>
        <v>6.3148412122239828</v>
      </c>
      <c r="CG32">
        <f>VLOOKUP($B32,'[1]Data_UN_PopulationTot.&amp;%'!$B$4:$CZ$603,71,FALSE)</f>
        <v>6.4211413219155213</v>
      </c>
      <c r="CH32">
        <f>VLOOKUP($B32,'[1]Data_UN_PopulationTot.&amp;%'!$B$4:$CZ$603,72,FALSE)</f>
        <v>7.3099872291493337</v>
      </c>
      <c r="CI32">
        <f>VLOOKUP($B32,'[1]Data_UN_PopulationTot.&amp;%'!$B$4:$CZ$603,73,FALSE)</f>
        <v>6.7896413033686436</v>
      </c>
      <c r="CJ32">
        <f>VLOOKUP($B32,'[1]Data_UN_PopulationTot.&amp;%'!$B$4:$CZ$603,74,FALSE)</f>
        <v>5.6970181918383132</v>
      </c>
      <c r="CK32">
        <f>VLOOKUP($B32,'[1]Data_UN_PopulationTot.&amp;%'!$B$4:$CZ$603,75,FALSE)</f>
        <v>4.750253032414645</v>
      </c>
      <c r="CL32">
        <f>VLOOKUP($B32,'[1]Data_UN_PopulationTot.&amp;%'!$B$4:$CZ$603,76,FALSE)</f>
        <v>3.2478763824048413</v>
      </c>
      <c r="CM32">
        <f>VLOOKUP($B32,'[1]Data_UN_PopulationTot.&amp;%'!$B$4:$CZ$603,77,FALSE)</f>
        <v>2.1583188049451278</v>
      </c>
      <c r="CN32">
        <f>VLOOKUP($B32,'[1]Data_UN_PopulationTot.&amp;%'!$B$4:$CZ$603,78,FALSE)</f>
        <v>1.3743290004292279</v>
      </c>
      <c r="CO32">
        <f>VLOOKUP($B32,'[1]Data_UN_PopulationTot.&amp;%'!$B$4:$CZ$603,79,FALSE)</f>
        <v>0.66949197450069164</v>
      </c>
      <c r="CP32">
        <f>VLOOKUP($B32,'[1]Data_UN_PopulationTot.&amp;%'!$B$4:$CZ$603,80,FALSE)</f>
        <v>0.18439041709280329</v>
      </c>
      <c r="CQ32">
        <f>VLOOKUP($B32,'[1]Data_UN_PopulationTot.&amp;%'!$B$4:$CZ$603,81,FALSE)</f>
        <v>2.264308916809301E-2</v>
      </c>
      <c r="CR32">
        <f>VLOOKUP($B32,'[1]Data_UN_PopulationTot.&amp;%'!$B$4:$CZ$603,82,FALSE)</f>
        <v>4.9457433443454795</v>
      </c>
      <c r="CS32">
        <f>VLOOKUP($B32,'[1]Data_UN_PopulationTot.&amp;%'!$B$4:$CZ$603,83,FALSE)</f>
        <v>4.9857348219730273</v>
      </c>
      <c r="CT32">
        <f>VLOOKUP($B32,'[1]Data_UN_PopulationTot.&amp;%'!$B$4:$CZ$603,84,FALSE)</f>
        <v>5.0161508753798953</v>
      </c>
      <c r="CU32">
        <f>VLOOKUP($B32,'[1]Data_UN_PopulationTot.&amp;%'!$B$4:$CZ$603,85,FALSE)</f>
        <v>5.2270061248429611</v>
      </c>
      <c r="CV32">
        <f>VLOOKUP($B32,'[1]Data_UN_PopulationTot.&amp;%'!$B$4:$CZ$603,86,FALSE)</f>
        <v>5.7418504813426177</v>
      </c>
      <c r="CW32">
        <f>VLOOKUP($B32,'[1]Data_UN_PopulationTot.&amp;%'!$B$4:$CZ$603,87,FALSE)</f>
        <v>5.9578730313442092</v>
      </c>
      <c r="CX32">
        <f>VLOOKUP($B32,'[1]Data_UN_PopulationTot.&amp;%'!$B$4:$CZ$603,88,FALSE)</f>
        <v>6.695694977432856</v>
      </c>
      <c r="CY32">
        <f>VLOOKUP($B32,'[1]Data_UN_PopulationTot.&amp;%'!$B$4:$CZ$603,89,FALSE)</f>
        <v>7.3271097157494918</v>
      </c>
      <c r="CZ32">
        <f>VLOOKUP($B32,'[1]Data_UN_PopulationTot.&amp;%'!$B$4:$CZ$603,90,FALSE)</f>
        <v>6.8372447267820462</v>
      </c>
      <c r="DA32">
        <f>VLOOKUP($B32,'[1]Data_UN_PopulationTot.&amp;%'!$B$4:$CZ$603,91,FALSE)</f>
        <v>6.7236620732385264</v>
      </c>
      <c r="DB32">
        <f>VLOOKUP($B32,'[1]Data_UN_PopulationTot.&amp;%'!$B$4:$CZ$603,92,FALSE)</f>
        <v>6.1265817204906741</v>
      </c>
      <c r="DC32">
        <f>VLOOKUP($B32,'[1]Data_UN_PopulationTot.&amp;%'!$B$4:$CZ$603,93,FALSE)</f>
        <v>5.8131151475374505</v>
      </c>
      <c r="DD32">
        <f>VLOOKUP($B32,'[1]Data_UN_PopulationTot.&amp;%'!$B$4:$CZ$603,94,FALSE)</f>
        <v>5.7849031559716613</v>
      </c>
      <c r="DE32">
        <f>VLOOKUP($B32,'[1]Data_UN_PopulationTot.&amp;%'!$B$4:$CZ$603,95,FALSE)</f>
        <v>6.4059832932112455</v>
      </c>
      <c r="DF32">
        <f>VLOOKUP($B32,'[1]Data_UN_PopulationTot.&amp;%'!$B$4:$CZ$603,96,FALSE)</f>
        <v>5.724266965766021</v>
      </c>
      <c r="DG32">
        <f>VLOOKUP($B32,'[1]Data_UN_PopulationTot.&amp;%'!$B$4:$CZ$603,97,FALSE)</f>
        <v>4.5046615907938792</v>
      </c>
      <c r="DH32">
        <f>VLOOKUP($B32,'[1]Data_UN_PopulationTot.&amp;%'!$B$4:$CZ$603,98,FALSE)</f>
        <v>3.3355782111344308</v>
      </c>
      <c r="DI32">
        <f>VLOOKUP($B32,'[1]Data_UN_PopulationTot.&amp;%'!$B$4:$CZ$603,99,FALSE)</f>
        <v>1.8117241396199708</v>
      </c>
      <c r="DJ32">
        <f>VLOOKUP($B32,'[1]Data_UN_PopulationTot.&amp;%'!$B$4:$DE$603,100,FALSE)</f>
        <v>0.77593997115127955</v>
      </c>
      <c r="DK32">
        <f>VLOOKUP($B32,'[1]Data_UN_PopulationTot.&amp;%'!$B$4:$DE$603,101,FALSE)</f>
        <v>0.22523797745489632</v>
      </c>
      <c r="DL32">
        <f>VLOOKUP($B32,'[1]Data_UN_PopulationTot.&amp;%'!$B$4:$DE$603,102,FALSE)</f>
        <v>3.4028265868633015E-2</v>
      </c>
    </row>
    <row r="33" spans="1:116">
      <c r="A33" t="s">
        <v>67</v>
      </c>
      <c r="B33" t="s">
        <v>469</v>
      </c>
      <c r="C33" t="s">
        <v>485</v>
      </c>
      <c r="D33" t="s">
        <v>622</v>
      </c>
      <c r="E33" t="s">
        <v>2269</v>
      </c>
      <c r="F33">
        <v>0</v>
      </c>
      <c r="G33">
        <v>0</v>
      </c>
      <c r="H33">
        <v>0</v>
      </c>
      <c r="I33">
        <v>1</v>
      </c>
      <c r="J33" s="18">
        <f t="shared" si="1"/>
        <v>237.71393049131001</v>
      </c>
      <c r="K33">
        <f>VLOOKUP($B33,'[1]Source GDP Current USD'!$B$1:$CZ$600,64,FALSE)</f>
        <v>752248045730.10999</v>
      </c>
      <c r="L33" s="45">
        <f>VLOOKUP($B33,'[1]Source GDP Current USD'!$B$1:$CZ$600,65,FALSE)</f>
        <v>752248045730.10999</v>
      </c>
      <c r="M33" s="17">
        <f>VLOOKUP($B33,'[1]Source GDP Current LCU'!$B$1:$CZ$600,64,FALSE)</f>
        <v>706241809000</v>
      </c>
      <c r="N33" s="45">
        <f>VLOOKUP($B33,'[1]Source GDP Current LCU'!$B$1:$CZ$600,65,FALSE)</f>
        <v>706241809000</v>
      </c>
      <c r="O33" s="45">
        <f>VLOOKUP($B33,'[1]Source GNI Current USD'!$B$1:$CZ$600,64,FALSE)</f>
        <v>725285845501.10498</v>
      </c>
      <c r="P33" s="45">
        <f>VLOOKUP($B33,'[1]Source GNI Current LCU'!$B$1:$CZ$600,64,FALSE)</f>
        <v>680928572000</v>
      </c>
      <c r="Q33">
        <f t="shared" si="0"/>
        <v>103.71745848843599</v>
      </c>
      <c r="R33">
        <f>VLOOKUP($B33,'[1]Source GNI PC Atlas'!$B$1:$CZ$600,64,FALSE)</f>
        <v>82620</v>
      </c>
      <c r="S33">
        <f>VLOOKUP($B33,'[1]Source GNI PC Atlas'!$B$1:$CZ$600,65,FALSE)</f>
        <v>82620</v>
      </c>
      <c r="T33">
        <f>VLOOKUP($B33,[1]Source_PPP_Conversion!$B$1:$CZ$600,65,FALSE)</f>
        <v>1.2140225987697599</v>
      </c>
      <c r="U33">
        <f>VLOOKUP($B33,'[1]Source PopulationTotal'!$B$1:$CZ$600,65,FALSE)</f>
        <v>8636896</v>
      </c>
      <c r="V33">
        <f>VLOOKUP($B33,'[1]Source Gov. Revenue WEO'!$B$1:$CZ$600,4,FALSE)</f>
        <v>33.658999999999999</v>
      </c>
      <c r="W33">
        <f>VLOOKUP($B33,'[1]Source Gov. Revenue WEO'!$B$1:$CZ$600,5,FALSE)</f>
        <v>33.154000000000003</v>
      </c>
      <c r="X33">
        <f>VLOOKUP($B33,'[1]Source Gov. Revenue WEO'!$B$1:$CZ$600,6,FALSE)</f>
        <v>32.988</v>
      </c>
      <c r="Y33">
        <f>VLOOKUP($B33,'[1]Source Gov. Revenue WEO'!$B$1:$CZ$600,7,FALSE)</f>
        <v>32.988</v>
      </c>
      <c r="Z33">
        <f>VLOOKUP($B33,'[1]Source Gov. Revenue WEO'!$B$1:$CZ$600,8,FALSE)</f>
        <v>32.658000000000001</v>
      </c>
      <c r="AA33">
        <f>VLOOKUP($B33,'[1]Source Gov. Revenue WEO'!$B$1:$CZ$600,9,FALSE)</f>
        <v>32.658000000000001</v>
      </c>
      <c r="AB33">
        <f>VLOOKUP($B33,'[1]Source Gov. Revenue WEO'!$B$1:$CZ$600,10,FALSE)</f>
        <v>32.658000000000001</v>
      </c>
      <c r="AC33" t="e">
        <f>VLOOKUP($B33,[2]Summary!$B$1:$CZ$600,39,FALSE)</f>
        <v>#N/A</v>
      </c>
      <c r="AD33" t="e">
        <f>VLOOKUP($B33,[2]Summary!$B$1:$CZ$600,40,FALSE)</f>
        <v>#N/A</v>
      </c>
      <c r="AE33" t="e">
        <f>VLOOKUP($B33,[2]Summary!$B$1:$CZ$600,47,FALSE)</f>
        <v>#N/A</v>
      </c>
      <c r="AF33">
        <f>VLOOKUP($B33,'[1]CALC GDP Growth rates WDI'!$B$1:$CZ$600,27,FALSE)</f>
        <v>15.295525162156059</v>
      </c>
      <c r="AG33">
        <f>VLOOKUP($B33,'[1]CALC GDP Growth rates WDI'!$B$1:$CZ$600,29,FALSE)</f>
        <v>20.481443160020653</v>
      </c>
      <c r="AH33">
        <f>VLOOKUP($B33,'[1]CALC GDP Growth rates WDI'!$B$1:$CZ$600,28,FALSE)</f>
        <v>5.3943855434851331</v>
      </c>
      <c r="AI33">
        <f>VLOOKUP($B33,'[1]CALC GDP Growth rates WDI'!$B$1:$CZ$600,30,FALSE)</f>
        <v>8.4175439997350665</v>
      </c>
      <c r="AK33" t="e">
        <f>VLOOKUP($B33,[1]Data_Aspire!$B$1:$CZ$600,2,FALSE)</f>
        <v>#N/A</v>
      </c>
      <c r="AL33" t="e">
        <f>VLOOKUP($B33,[1]Data_Aspire!$B$1:$CZ$600,3,FALSE)</f>
        <v>#N/A</v>
      </c>
      <c r="AM33" t="e">
        <f>VLOOKUP($B33,[1]Data_Aspire!$B$1:$CZ$600,4,FALSE)</f>
        <v>#N/A</v>
      </c>
      <c r="AN33" t="e">
        <f>VLOOKUP($B33,[1]Data_Aspire!$B$1:$CZ$600,5,FALSE)</f>
        <v>#N/A</v>
      </c>
      <c r="AO33" t="e">
        <f>VLOOKUP($B33,[1]Data_Aspire!$B$1:$CZ$600,6,FALSE)</f>
        <v>#N/A</v>
      </c>
      <c r="AP33" t="e">
        <f>VLOOKUP($B33,[1]Data_Aspire!$B$1:$CZ$600,7,FALSE)</f>
        <v>#N/A</v>
      </c>
      <c r="AQ33" t="e">
        <f>VLOOKUP($B33,[1]Data_Aspire!$B$1:$CZ$600,8,FALSE)</f>
        <v>#N/A</v>
      </c>
      <c r="AR33" t="e">
        <f>VLOOKUP($B33,[1]Data_Aspire!$B$1:$CZ$600,9,FALSE)</f>
        <v>#N/A</v>
      </c>
      <c r="AS33" t="e">
        <f>VLOOKUP($B33,[1]Data_Aspire!$B$1:$CZ$600,10,FALSE)</f>
        <v>#N/A</v>
      </c>
      <c r="AT33" t="e">
        <f>VLOOKUP($B33,[1]Data_Aspire!$B$1:$CZ$600,11,FALSE)</f>
        <v>#N/A</v>
      </c>
      <c r="AU33" t="e">
        <f>VLOOKUP($B33,[1]Data_Aspire!$B$1:$CZ$600,12,FALSE)</f>
        <v>#N/A</v>
      </c>
      <c r="AV33" t="e">
        <f>VLOOKUP($B33,[1]Data_Aspire!$B$1:$CZ$600,13,FALSE)</f>
        <v>#N/A</v>
      </c>
      <c r="AW33" t="e">
        <f>VLOOKUP($B33,[1]Data_Aspire!$B$1:$CZ$600,14,FALSE)</f>
        <v>#N/A</v>
      </c>
      <c r="AX33" t="e">
        <f>VLOOKUP($B33,[1]Data_Aspire!$B$1:$CZ$600,15,FALSE)</f>
        <v>#N/A</v>
      </c>
      <c r="AY33" t="e">
        <f>VLOOKUP($B33,[1]Data_Aspire!$B$1:$CZ$600,16,FALSE)</f>
        <v>#N/A</v>
      </c>
      <c r="AZ33" t="e">
        <f>VLOOKUP($B33,[1]Data_Aspire!$B$1:$CZ$600,17,FALSE)</f>
        <v>#N/A</v>
      </c>
      <c r="BA33" t="e">
        <f>VLOOKUP($B33,[1]Data_Aspire!$B$1:$CZ$600,18,FALSE)</f>
        <v>#N/A</v>
      </c>
      <c r="BB33" t="e">
        <f>VLOOKUP($B33,[1]Data_Aspire!$B$1:$CZ$600,19,FALSE)</f>
        <v>#N/A</v>
      </c>
      <c r="BC33" t="e">
        <f>VLOOKUP($B33,[1]Data_Aspire!$B$1:$CZ$600,20,FALSE)</f>
        <v>#N/A</v>
      </c>
      <c r="BD33" t="e">
        <f>VLOOKUP($B33,[1]Data_Aspire!$B$1:$CZ$600,21,FALSE)</f>
        <v>#N/A</v>
      </c>
      <c r="BE33" t="e">
        <f>VLOOKUP($B33,[1]Data_Aspire!$B$1:$CZ$600,22,FALSE)</f>
        <v>#N/A</v>
      </c>
      <c r="BF33" t="e">
        <f>VLOOKUP($B33,[1]Data_Aspire!$B$1:$CZ$600,23,FALSE)</f>
        <v>#N/A</v>
      </c>
      <c r="BG33" t="e">
        <f>VLOOKUP($B33,[1]Data_Aspire!$B$1:$CZ$600,24,FALSE)</f>
        <v>#N/A</v>
      </c>
      <c r="BH33" t="e">
        <f>VLOOKUP($B33,[1]Data_Aspire!$B$1:$CZ$600,25,FALSE)</f>
        <v>#N/A</v>
      </c>
      <c r="BI33" t="e">
        <f>VLOOKUP($B33,[1]Data_Aspire!$B$1:$CZ$600,26,FALSE)</f>
        <v>#N/A</v>
      </c>
      <c r="BJ33" s="7">
        <v>0</v>
      </c>
      <c r="BK33">
        <v>756</v>
      </c>
      <c r="BL33">
        <f>VLOOKUP($B33,'[1]Data_UN_PopulationTot.&amp;%'!$B$4:$CZ$603,8,FALSE)</f>
        <v>8654.6200000000008</v>
      </c>
      <c r="BM33">
        <f>VLOOKUP($B33,'[1]Data_UN_PopulationTot.&amp;%'!$B$4:$CZ$603,9,FALSE)</f>
        <v>8715.49</v>
      </c>
      <c r="BN33">
        <v>8773.64</v>
      </c>
      <c r="BO33">
        <f>VLOOKUP($B33,'[1]Data_UN_PopulationTot.&amp;%'!$B$4:$CZ$603,11,FALSE)</f>
        <v>8829.56</v>
      </c>
      <c r="BP33">
        <f>VLOOKUP($B33,'[1]Data_UN_PopulationTot.&amp;%'!$B$4:$CZ$603,12,FALSE)</f>
        <v>8883.86</v>
      </c>
      <c r="BQ33">
        <f>VLOOKUP($B33,'[1]Data_UN_PopulationTot.&amp;%'!$B$4:$CZ$603,13,FALSE)</f>
        <v>8936.93</v>
      </c>
      <c r="BR33">
        <f>VLOOKUP($B33,'[1]Data_UN_PopulationTot.&amp;%'!$B$4:$CZ$603,14,FALSE)</f>
        <v>8989.15</v>
      </c>
      <c r="BS33">
        <f>VLOOKUP($B33,'[1]Data_UN_PopulationTot.&amp;%'!$B$4:$CZ$603,15,FALSE)</f>
        <v>9040.49</v>
      </c>
      <c r="BT33">
        <f>VLOOKUP($B33,'[1]Data_UN_PopulationTot.&amp;%'!$B$4:$CZ$603,16,FALSE)</f>
        <v>9090.6200000000008</v>
      </c>
      <c r="BU33">
        <f>VLOOKUP($B33,'[1]Data_UN_PopulationTot.&amp;%'!$B$4:$CZ$603,17,FALSE)</f>
        <v>9138.9699999999993</v>
      </c>
      <c r="BV33">
        <f>VLOOKUP($B33,'[1]Data_UN_PopulationTot.&amp;%'!$B$4:$CZ$603,18,FALSE)</f>
        <v>9185.11</v>
      </c>
      <c r="BW33">
        <f>VLOOKUP($B33,'[1]Data_UN_PopulationTot.&amp;%'!$B$4:$CZ$603,61,FALSE)</f>
        <v>5.220668267353159</v>
      </c>
      <c r="BX33">
        <f>VLOOKUP($B33,'[1]Data_UN_PopulationTot.&amp;%'!$B$4:$CZ$603,62,FALSE)</f>
        <v>5.0044484910949292</v>
      </c>
      <c r="BY33">
        <f>VLOOKUP($B33,'[1]Data_UN_PopulationTot.&amp;%'!$B$4:$CZ$603,63,FALSE)</f>
        <v>4.7335296061525511</v>
      </c>
      <c r="BZ33">
        <f>VLOOKUP($B33,'[1]Data_UN_PopulationTot.&amp;%'!$B$4:$CZ$603,64,FALSE)</f>
        <v>4.9129597833295966</v>
      </c>
      <c r="CA33">
        <f>VLOOKUP($B33,'[1]Data_UN_PopulationTot.&amp;%'!$B$4:$CZ$603,65,FALSE)</f>
        <v>5.5945379462067653</v>
      </c>
      <c r="CB33">
        <f>VLOOKUP($B33,'[1]Data_UN_PopulationTot.&amp;%'!$B$4:$CZ$603,66,FALSE)</f>
        <v>6.4190339957155826</v>
      </c>
      <c r="CC33">
        <f>VLOOKUP($B33,'[1]Data_UN_PopulationTot.&amp;%'!$B$4:$CZ$603,67,FALSE)</f>
        <v>6.9046590144916822</v>
      </c>
      <c r="CD33">
        <f>VLOOKUP($B33,'[1]Data_UN_PopulationTot.&amp;%'!$B$4:$CZ$603,68,FALSE)</f>
        <v>7.1828919120654628</v>
      </c>
      <c r="CE33">
        <f>VLOOKUP($B33,'[1]Data_UN_PopulationTot.&amp;%'!$B$4:$CZ$603,69,FALSE)</f>
        <v>6.5959568415482135</v>
      </c>
      <c r="CF33">
        <f>VLOOKUP($B33,'[1]Data_UN_PopulationTot.&amp;%'!$B$4:$CZ$603,70,FALSE)</f>
        <v>6.8834102479369381</v>
      </c>
      <c r="CG33">
        <f>VLOOKUP($B33,'[1]Data_UN_PopulationTot.&amp;%'!$B$4:$CZ$603,71,FALSE)</f>
        <v>7.8195923102343006</v>
      </c>
      <c r="CH33">
        <f>VLOOKUP($B33,'[1]Data_UN_PopulationTot.&amp;%'!$B$4:$CZ$603,72,FALSE)</f>
        <v>7.4395640709817412</v>
      </c>
      <c r="CI33">
        <f>VLOOKUP($B33,'[1]Data_UN_PopulationTot.&amp;%'!$B$4:$CZ$603,73,FALSE)</f>
        <v>6.1911788154765883</v>
      </c>
      <c r="CJ33">
        <f>VLOOKUP($B33,'[1]Data_UN_PopulationTot.&amp;%'!$B$4:$CZ$603,74,FALSE)</f>
        <v>5.1026157127638188</v>
      </c>
      <c r="CK33">
        <f>VLOOKUP($B33,'[1]Data_UN_PopulationTot.&amp;%'!$B$4:$CZ$603,75,FALSE)</f>
        <v>4.8704506956977891</v>
      </c>
      <c r="CL33">
        <f>VLOOKUP($B33,'[1]Data_UN_PopulationTot.&amp;%'!$B$4:$CZ$603,76,FALSE)</f>
        <v>3.8184692106643618</v>
      </c>
      <c r="CM33">
        <f>VLOOKUP($B33,'[1]Data_UN_PopulationTot.&amp;%'!$B$4:$CZ$603,77,FALSE)</f>
        <v>2.6436747078439029</v>
      </c>
      <c r="CN33">
        <f>VLOOKUP($B33,'[1]Data_UN_PopulationTot.&amp;%'!$B$4:$CZ$603,78,FALSE)</f>
        <v>1.6730717235418771</v>
      </c>
      <c r="CO33">
        <f>VLOOKUP($B33,'[1]Data_UN_PopulationTot.&amp;%'!$B$4:$CZ$603,79,FALSE)</f>
        <v>0.77956051218886557</v>
      </c>
      <c r="CP33">
        <f>VLOOKUP($B33,'[1]Data_UN_PopulationTot.&amp;%'!$B$4:$CZ$603,80,FALSE)</f>
        <v>0.19011811032720094</v>
      </c>
      <c r="CQ33">
        <f>VLOOKUP($B33,'[1]Data_UN_PopulationTot.&amp;%'!$B$4:$CZ$603,81,FALSE)</f>
        <v>1.9584915340014927E-2</v>
      </c>
      <c r="CR33">
        <f>VLOOKUP($B33,'[1]Data_UN_PopulationTot.&amp;%'!$B$4:$CZ$603,82,FALSE)</f>
        <v>4.8773068586004955</v>
      </c>
      <c r="CS33">
        <f>VLOOKUP($B33,'[1]Data_UN_PopulationTot.&amp;%'!$B$4:$CZ$603,83,FALSE)</f>
        <v>5.0032824865461603</v>
      </c>
      <c r="CT33">
        <f>VLOOKUP($B33,'[1]Data_UN_PopulationTot.&amp;%'!$B$4:$CZ$603,84,FALSE)</f>
        <v>5.0207673070872305</v>
      </c>
      <c r="CU33">
        <f>VLOOKUP($B33,'[1]Data_UN_PopulationTot.&amp;%'!$B$4:$CZ$603,85,FALSE)</f>
        <v>4.998045750132551</v>
      </c>
      <c r="CV33">
        <f>VLOOKUP($B33,'[1]Data_UN_PopulationTot.&amp;%'!$B$4:$CZ$603,86,FALSE)</f>
        <v>5.1179027796074292</v>
      </c>
      <c r="CW33">
        <f>VLOOKUP($B33,'[1]Data_UN_PopulationTot.&amp;%'!$B$4:$CZ$603,87,FALSE)</f>
        <v>5.4433860890070989</v>
      </c>
      <c r="CX33">
        <f>VLOOKUP($B33,'[1]Data_UN_PopulationTot.&amp;%'!$B$4:$CZ$603,88,FALSE)</f>
        <v>5.9546592256380162</v>
      </c>
      <c r="CY33">
        <f>VLOOKUP($B33,'[1]Data_UN_PopulationTot.&amp;%'!$B$4:$CZ$603,89,FALSE)</f>
        <v>6.5280873065210967</v>
      </c>
      <c r="CZ33">
        <f>VLOOKUP($B33,'[1]Data_UN_PopulationTot.&amp;%'!$B$4:$CZ$603,90,FALSE)</f>
        <v>6.8114372065222959</v>
      </c>
      <c r="DA33">
        <f>VLOOKUP($B33,'[1]Data_UN_PopulationTot.&amp;%'!$B$4:$CZ$603,91,FALSE)</f>
        <v>6.9383600196404842</v>
      </c>
      <c r="DB33">
        <f>VLOOKUP($B33,'[1]Data_UN_PopulationTot.&amp;%'!$B$4:$CZ$603,92,FALSE)</f>
        <v>6.2824070697030301</v>
      </c>
      <c r="DC33">
        <f>VLOOKUP($B33,'[1]Data_UN_PopulationTot.&amp;%'!$B$4:$CZ$603,93,FALSE)</f>
        <v>6.4471519666068229</v>
      </c>
      <c r="DD33">
        <f>VLOOKUP($B33,'[1]Data_UN_PopulationTot.&amp;%'!$B$4:$CZ$603,94,FALSE)</f>
        <v>7.1862503551944403</v>
      </c>
      <c r="DE33">
        <f>VLOOKUP($B33,'[1]Data_UN_PopulationTot.&amp;%'!$B$4:$CZ$603,95,FALSE)</f>
        <v>6.6889019293182113</v>
      </c>
      <c r="DF33">
        <f>VLOOKUP($B33,'[1]Data_UN_PopulationTot.&amp;%'!$B$4:$CZ$603,96,FALSE)</f>
        <v>5.3995433914237276</v>
      </c>
      <c r="DG33">
        <f>VLOOKUP($B33,'[1]Data_UN_PopulationTot.&amp;%'!$B$4:$CZ$603,97,FALSE)</f>
        <v>4.2341245777132768</v>
      </c>
      <c r="DH33">
        <f>VLOOKUP($B33,'[1]Data_UN_PopulationTot.&amp;%'!$B$4:$CZ$603,98,FALSE)</f>
        <v>3.6301579404057218</v>
      </c>
      <c r="DI33">
        <f>VLOOKUP($B33,'[1]Data_UN_PopulationTot.&amp;%'!$B$4:$CZ$603,99,FALSE)</f>
        <v>2.2294779267749649</v>
      </c>
      <c r="DJ33">
        <f>VLOOKUP($B33,'[1]Data_UN_PopulationTot.&amp;%'!$B$4:$DE$603,100,FALSE)</f>
        <v>0.93441450347355648</v>
      </c>
      <c r="DK33">
        <f>VLOOKUP($B33,'[1]Data_UN_PopulationTot.&amp;%'!$B$4:$DE$603,101,FALSE)</f>
        <v>0.2439927230049504</v>
      </c>
      <c r="DL33">
        <f>VLOOKUP($B33,'[1]Data_UN_PopulationTot.&amp;%'!$B$4:$DE$603,102,FALSE)</f>
        <v>3.0386135821998859E-2</v>
      </c>
    </row>
    <row r="34" spans="1:116">
      <c r="A34" t="s">
        <v>512</v>
      </c>
      <c r="B34" t="s">
        <v>513</v>
      </c>
      <c r="C34" t="s">
        <v>485</v>
      </c>
      <c r="D34" t="s">
        <v>622</v>
      </c>
      <c r="E34" t="s">
        <v>2269</v>
      </c>
      <c r="F34">
        <v>0</v>
      </c>
      <c r="G34">
        <v>0</v>
      </c>
      <c r="H34">
        <v>0</v>
      </c>
      <c r="I34">
        <v>1</v>
      </c>
      <c r="J34" s="18" t="e">
        <f t="shared" si="1"/>
        <v>#VALUE!</v>
      </c>
      <c r="K34" t="str">
        <f>VLOOKUP($B34,'[1]Source GDP Current USD'!$B$1:$CZ$600,64,FALSE)</f>
        <v>..</v>
      </c>
      <c r="L34" s="45" t="str">
        <f>VLOOKUP($B34,'[1]Source GDP Current USD'!$B$1:$CZ$600,65,FALSE)</f>
        <v/>
      </c>
      <c r="M34" s="17" t="str">
        <f>VLOOKUP($B34,'[1]Source GDP Current LCU'!$B$1:$CZ$600,64,FALSE)</f>
        <v>..</v>
      </c>
      <c r="O34" s="45" t="str">
        <f>VLOOKUP($B34,'[1]Source GNI Current USD'!$B$1:$CZ$600,64,FALSE)</f>
        <v>..</v>
      </c>
      <c r="P34" s="45" t="str">
        <f>VLOOKUP($B34,'[1]Source GNI Current LCU'!$B$1:$CZ$600,64,FALSE)</f>
        <v>..</v>
      </c>
      <c r="Q34" t="e">
        <f t="shared" si="0"/>
        <v>#VALUE!</v>
      </c>
      <c r="U34">
        <f>VLOOKUP($B34,'[1]Source PopulationTotal'!$B$1:$CZ$600,65,FALSE)</f>
        <v>173859</v>
      </c>
      <c r="W34" t="e">
        <f>VLOOKUP($B34,'[1]Source Gov. Revenue WEO'!$B$1:$CZ$600,5,FALSE)</f>
        <v>#N/A</v>
      </c>
      <c r="X34" t="e">
        <f>VLOOKUP($B34,'[1]Source Gov. Revenue WEO'!$B$1:$CZ$600,6,FALSE)</f>
        <v>#N/A</v>
      </c>
      <c r="Y34" t="e">
        <f>VLOOKUP($B34,'[1]Source Gov. Revenue WEO'!$B$1:$CZ$600,7,FALSE)</f>
        <v>#N/A</v>
      </c>
      <c r="Z34" t="e">
        <f>VLOOKUP($B34,'[1]Source Gov. Revenue WEO'!$B$1:$CZ$600,8,FALSE)</f>
        <v>#N/A</v>
      </c>
      <c r="AA34" t="e">
        <f>VLOOKUP($B34,'[1]Source Gov. Revenue WEO'!$B$1:$CZ$600,9,FALSE)</f>
        <v>#N/A</v>
      </c>
      <c r="AB34" t="e">
        <f>VLOOKUP($B34,'[1]Source Gov. Revenue WEO'!$B$1:$CZ$600,10,FALSE)</f>
        <v>#N/A</v>
      </c>
      <c r="AC34" t="e">
        <f>VLOOKUP($B34,[2]Summary!$B$1:$CZ$600,39,FALSE)</f>
        <v>#N/A</v>
      </c>
      <c r="AD34" t="e">
        <f>VLOOKUP($B34,[2]Summary!$B$1:$CZ$600,40,FALSE)</f>
        <v>#N/A</v>
      </c>
      <c r="AE34" t="e">
        <f>VLOOKUP($B34,[2]Summary!$B$1:$CZ$600,47,FALSE)</f>
        <v>#N/A</v>
      </c>
      <c r="AF34" t="e">
        <f>VLOOKUP($B34,'[1]CALC GDP Growth rates WDI'!$B$1:$CZ$600,27,FALSE)</f>
        <v>#VALUE!</v>
      </c>
      <c r="AG34" t="e">
        <f>VLOOKUP($B34,'[1]CALC GDP Growth rates WDI'!$B$1:$CZ$600,29,FALSE)</f>
        <v>#VALUE!</v>
      </c>
      <c r="AI34" t="e">
        <f>VLOOKUP($B34,'[1]CALC GDP Growth rates WDI'!$B$1:$CZ$600,30,FALSE)</f>
        <v>#VALUE!</v>
      </c>
      <c r="AK34" t="e">
        <f>VLOOKUP($B34,[1]Data_Aspire!$B$1:$CZ$600,2,FALSE)</f>
        <v>#N/A</v>
      </c>
      <c r="AL34" t="e">
        <f>VLOOKUP($B34,[1]Data_Aspire!$B$1:$CZ$600,3,FALSE)</f>
        <v>#N/A</v>
      </c>
      <c r="AM34" t="e">
        <f>VLOOKUP($B34,[1]Data_Aspire!$B$1:$CZ$600,4,FALSE)</f>
        <v>#N/A</v>
      </c>
      <c r="AN34" t="e">
        <f>VLOOKUP($B34,[1]Data_Aspire!$B$1:$CZ$600,5,FALSE)</f>
        <v>#N/A</v>
      </c>
      <c r="AO34" t="e">
        <f>VLOOKUP($B34,[1]Data_Aspire!$B$1:$CZ$600,6,FALSE)</f>
        <v>#N/A</v>
      </c>
      <c r="AP34" t="e">
        <f>VLOOKUP($B34,[1]Data_Aspire!$B$1:$CZ$600,7,FALSE)</f>
        <v>#N/A</v>
      </c>
      <c r="AQ34" t="e">
        <f>VLOOKUP($B34,[1]Data_Aspire!$B$1:$CZ$600,8,FALSE)</f>
        <v>#N/A</v>
      </c>
      <c r="AR34" t="e">
        <f>VLOOKUP($B34,[1]Data_Aspire!$B$1:$CZ$600,9,FALSE)</f>
        <v>#N/A</v>
      </c>
      <c r="AS34" t="e">
        <f>VLOOKUP($B34,[1]Data_Aspire!$B$1:$CZ$600,10,FALSE)</f>
        <v>#N/A</v>
      </c>
      <c r="AT34" t="e">
        <f>VLOOKUP($B34,[1]Data_Aspire!$B$1:$CZ$600,11,FALSE)</f>
        <v>#N/A</v>
      </c>
      <c r="AU34" t="e">
        <f>VLOOKUP($B34,[1]Data_Aspire!$B$1:$CZ$600,12,FALSE)</f>
        <v>#N/A</v>
      </c>
      <c r="AV34" t="e">
        <f>VLOOKUP($B34,[1]Data_Aspire!$B$1:$CZ$600,13,FALSE)</f>
        <v>#N/A</v>
      </c>
      <c r="AW34" t="e">
        <f>VLOOKUP($B34,[1]Data_Aspire!$B$1:$CZ$600,14,FALSE)</f>
        <v>#N/A</v>
      </c>
      <c r="AX34" t="e">
        <f>VLOOKUP($B34,[1]Data_Aspire!$B$1:$CZ$600,15,FALSE)</f>
        <v>#N/A</v>
      </c>
      <c r="AY34" t="e">
        <f>VLOOKUP($B34,[1]Data_Aspire!$B$1:$CZ$600,16,FALSE)</f>
        <v>#N/A</v>
      </c>
      <c r="AZ34" t="e">
        <f>VLOOKUP($B34,[1]Data_Aspire!$B$1:$CZ$600,17,FALSE)</f>
        <v>#N/A</v>
      </c>
      <c r="BA34" t="e">
        <f>VLOOKUP($B34,[1]Data_Aspire!$B$1:$CZ$600,18,FALSE)</f>
        <v>#N/A</v>
      </c>
      <c r="BB34" t="e">
        <f>VLOOKUP($B34,[1]Data_Aspire!$B$1:$CZ$600,19,FALSE)</f>
        <v>#N/A</v>
      </c>
      <c r="BC34" t="e">
        <f>VLOOKUP($B34,[1]Data_Aspire!$B$1:$CZ$600,20,FALSE)</f>
        <v>#N/A</v>
      </c>
      <c r="BD34" t="e">
        <f>VLOOKUP($B34,[1]Data_Aspire!$B$1:$CZ$600,21,FALSE)</f>
        <v>#N/A</v>
      </c>
      <c r="BE34" t="e">
        <f>VLOOKUP($B34,[1]Data_Aspire!$B$1:$CZ$600,22,FALSE)</f>
        <v>#N/A</v>
      </c>
      <c r="BF34" t="e">
        <f>VLOOKUP($B34,[1]Data_Aspire!$B$1:$CZ$600,23,FALSE)</f>
        <v>#N/A</v>
      </c>
      <c r="BG34" t="e">
        <f>VLOOKUP($B34,[1]Data_Aspire!$B$1:$CZ$600,24,FALSE)</f>
        <v>#N/A</v>
      </c>
      <c r="BH34" t="e">
        <f>VLOOKUP($B34,[1]Data_Aspire!$B$1:$CZ$600,25,FALSE)</f>
        <v>#N/A</v>
      </c>
      <c r="BI34" t="e">
        <f>VLOOKUP($B34,[1]Data_Aspire!$B$1:$CZ$600,26,FALSE)</f>
        <v>#N/A</v>
      </c>
      <c r="BJ34" s="7">
        <v>0</v>
      </c>
      <c r="BK34">
        <v>830</v>
      </c>
      <c r="BL34">
        <f>VLOOKUP($B34,'[1]Data_UN_PopulationTot.&amp;%'!$B$4:$CZ$603,8,FALSE)</f>
        <v>173.85900000000001</v>
      </c>
      <c r="BM34">
        <f>VLOOKUP($B34,'[1]Data_UN_PopulationTot.&amp;%'!$B$4:$CZ$603,9,FALSE)</f>
        <v>175.244</v>
      </c>
      <c r="BN34">
        <v>176.46100000000001</v>
      </c>
      <c r="BO34">
        <f>VLOOKUP($B34,'[1]Data_UN_PopulationTot.&amp;%'!$B$4:$CZ$603,11,FALSE)</f>
        <v>177.559</v>
      </c>
      <c r="BP34">
        <f>VLOOKUP($B34,'[1]Data_UN_PopulationTot.&amp;%'!$B$4:$CZ$603,12,FALSE)</f>
        <v>178.60599999999999</v>
      </c>
      <c r="BQ34">
        <f>VLOOKUP($B34,'[1]Data_UN_PopulationTot.&amp;%'!$B$4:$CZ$603,13,FALSE)</f>
        <v>179.667</v>
      </c>
      <c r="BR34">
        <f>VLOOKUP($B34,'[1]Data_UN_PopulationTot.&amp;%'!$B$4:$CZ$603,14,FALSE)</f>
        <v>180.738</v>
      </c>
      <c r="BS34">
        <f>VLOOKUP($B34,'[1]Data_UN_PopulationTot.&amp;%'!$B$4:$CZ$603,15,FALSE)</f>
        <v>181.83</v>
      </c>
      <c r="BT34">
        <f>VLOOKUP($B34,'[1]Data_UN_PopulationTot.&amp;%'!$B$4:$CZ$603,16,FALSE)</f>
        <v>182.90899999999999</v>
      </c>
      <c r="BU34">
        <f>VLOOKUP($B34,'[1]Data_UN_PopulationTot.&amp;%'!$B$4:$CZ$603,17,FALSE)</f>
        <v>183.97300000000001</v>
      </c>
      <c r="BV34">
        <f>VLOOKUP($B34,'[1]Data_UN_PopulationTot.&amp;%'!$B$4:$CZ$603,18,FALSE)</f>
        <v>184.99199999999999</v>
      </c>
      <c r="BW34">
        <f>VLOOKUP($B34,'[1]Data_UN_PopulationTot.&amp;%'!$B$4:$CZ$603,61,FALSE)</f>
        <v>5.0052053675679709</v>
      </c>
      <c r="BX34">
        <f>VLOOKUP($B34,'[1]Data_UN_PopulationTot.&amp;%'!$B$4:$CZ$603,62,FALSE)</f>
        <v>5.0966587867179722</v>
      </c>
      <c r="BY34">
        <f>VLOOKUP($B34,'[1]Data_UN_PopulationTot.&amp;%'!$B$4:$CZ$603,63,FALSE)</f>
        <v>4.8717639006321214</v>
      </c>
      <c r="BZ34">
        <f>VLOOKUP($B34,'[1]Data_UN_PopulationTot.&amp;%'!$B$4:$CZ$603,64,FALSE)</f>
        <v>5.3549140395377863</v>
      </c>
      <c r="CA34">
        <f>VLOOKUP($B34,'[1]Data_UN_PopulationTot.&amp;%'!$B$4:$CZ$603,65,FALSE)</f>
        <v>6.0031404759028861</v>
      </c>
      <c r="CB34">
        <f>VLOOKUP($B34,'[1]Data_UN_PopulationTot.&amp;%'!$B$4:$CZ$603,66,FALSE)</f>
        <v>6.5179254453321374</v>
      </c>
      <c r="CC34">
        <f>VLOOKUP($B34,'[1]Data_UN_PopulationTot.&amp;%'!$B$4:$CZ$603,67,FALSE)</f>
        <v>6.7750303406783656</v>
      </c>
      <c r="CD34">
        <f>VLOOKUP($B34,'[1]Data_UN_PopulationTot.&amp;%'!$B$4:$CZ$603,68,FALSE)</f>
        <v>6.9654145025566692</v>
      </c>
      <c r="CE34">
        <f>VLOOKUP($B34,'[1]Data_UN_PopulationTot.&amp;%'!$B$4:$CZ$603,69,FALSE)</f>
        <v>6.6853024577387412</v>
      </c>
      <c r="CF34">
        <f>VLOOKUP($B34,'[1]Data_UN_PopulationTot.&amp;%'!$B$4:$CZ$603,70,FALSE)</f>
        <v>7.6447005907085623</v>
      </c>
      <c r="CG34">
        <f>VLOOKUP($B34,'[1]Data_UN_PopulationTot.&amp;%'!$B$4:$CZ$603,71,FALSE)</f>
        <v>7.8880011963717731</v>
      </c>
      <c r="CH34">
        <f>VLOOKUP($B34,'[1]Data_UN_PopulationTot.&amp;%'!$B$4:$CZ$603,72,FALSE)</f>
        <v>7.1690277753812</v>
      </c>
      <c r="CI34">
        <f>VLOOKUP($B34,'[1]Data_UN_PopulationTot.&amp;%'!$B$4:$CZ$603,73,FALSE)</f>
        <v>6.1078230059991139</v>
      </c>
      <c r="CJ34">
        <f>VLOOKUP($B34,'[1]Data_UN_PopulationTot.&amp;%'!$B$4:$CZ$603,74,FALSE)</f>
        <v>5.4026538746915609</v>
      </c>
      <c r="CK34">
        <f>VLOOKUP($B34,'[1]Data_UN_PopulationTot.&amp;%'!$B$4:$CZ$603,75,FALSE)</f>
        <v>4.396666264041551</v>
      </c>
      <c r="CL34">
        <f>VLOOKUP($B34,'[1]Data_UN_PopulationTot.&amp;%'!$B$4:$CZ$603,76,FALSE)</f>
        <v>3.2491846841405962</v>
      </c>
      <c r="CM34">
        <f>VLOOKUP($B34,'[1]Data_UN_PopulationTot.&amp;%'!$B$4:$CZ$603,77,FALSE)</f>
        <v>2.4583139210509666</v>
      </c>
      <c r="CN34">
        <f>VLOOKUP($B34,'[1]Data_UN_PopulationTot.&amp;%'!$B$4:$CZ$603,78,FALSE)</f>
        <v>1.4580780977688816</v>
      </c>
      <c r="CO34">
        <f>VLOOKUP($B34,'[1]Data_UN_PopulationTot.&amp;%'!$B$4:$CZ$603,79,FALSE)</f>
        <v>0.69424073530849717</v>
      </c>
      <c r="CP34">
        <f>VLOOKUP($B34,'[1]Data_UN_PopulationTot.&amp;%'!$B$4:$CZ$603,80,FALSE)</f>
        <v>0.21396649008679447</v>
      </c>
      <c r="CQ34">
        <f>VLOOKUP($B34,'[1]Data_UN_PopulationTot.&amp;%'!$B$4:$CZ$603,81,FALSE)</f>
        <v>4.1988047785849449E-2</v>
      </c>
      <c r="CR34">
        <f>VLOOKUP($B34,'[1]Data_UN_PopulationTot.&amp;%'!$B$4:$CZ$603,82,FALSE)</f>
        <v>4.8321008476042211</v>
      </c>
      <c r="CS34">
        <f>VLOOKUP($B34,'[1]Data_UN_PopulationTot.&amp;%'!$B$4:$CZ$603,83,FALSE)</f>
        <v>4.8515611485902097</v>
      </c>
      <c r="CT34">
        <f>VLOOKUP($B34,'[1]Data_UN_PopulationTot.&amp;%'!$B$4:$CZ$603,84,FALSE)</f>
        <v>4.8050726517903479</v>
      </c>
      <c r="CU34">
        <f>VLOOKUP($B34,'[1]Data_UN_PopulationTot.&amp;%'!$B$4:$CZ$603,85,FALSE)</f>
        <v>5.0683272790174714</v>
      </c>
      <c r="CV34">
        <f>VLOOKUP($B34,'[1]Data_UN_PopulationTot.&amp;%'!$B$4:$CZ$603,86,FALSE)</f>
        <v>5.232118145649542</v>
      </c>
      <c r="CW34">
        <f>VLOOKUP($B34,'[1]Data_UN_PopulationTot.&amp;%'!$B$4:$CZ$603,87,FALSE)</f>
        <v>5.8521449576197897</v>
      </c>
      <c r="CX34">
        <f>VLOOKUP($B34,'[1]Data_UN_PopulationTot.&amp;%'!$B$4:$CZ$603,88,FALSE)</f>
        <v>6.3473015049299431</v>
      </c>
      <c r="CY34">
        <f>VLOOKUP($B34,'[1]Data_UN_PopulationTot.&amp;%'!$B$4:$CZ$603,89,FALSE)</f>
        <v>6.6332598166407202</v>
      </c>
      <c r="CZ34">
        <f>VLOOKUP($B34,'[1]Data_UN_PopulationTot.&amp;%'!$B$4:$CZ$603,90,FALSE)</f>
        <v>6.702992561840512</v>
      </c>
      <c r="DA34">
        <f>VLOOKUP($B34,'[1]Data_UN_PopulationTot.&amp;%'!$B$4:$CZ$603,91,FALSE)</f>
        <v>6.7478593668915412</v>
      </c>
      <c r="DB34">
        <f>VLOOKUP($B34,'[1]Data_UN_PopulationTot.&amp;%'!$B$4:$CZ$603,92,FALSE)</f>
        <v>6.3786542120740366</v>
      </c>
      <c r="DC34">
        <f>VLOOKUP($B34,'[1]Data_UN_PopulationTot.&amp;%'!$B$4:$CZ$603,93,FALSE)</f>
        <v>7.167877529839128</v>
      </c>
      <c r="DD34">
        <f>VLOOKUP($B34,'[1]Data_UN_PopulationTot.&amp;%'!$B$4:$CZ$603,94,FALSE)</f>
        <v>7.2695035460992914</v>
      </c>
      <c r="DE34">
        <f>VLOOKUP($B34,'[1]Data_UN_PopulationTot.&amp;%'!$B$4:$CZ$603,95,FALSE)</f>
        <v>6.4543331603528804</v>
      </c>
      <c r="DF34">
        <f>VLOOKUP($B34,'[1]Data_UN_PopulationTot.&amp;%'!$B$4:$CZ$603,96,FALSE)</f>
        <v>5.2721198754540737</v>
      </c>
      <c r="DG34">
        <f>VLOOKUP($B34,'[1]Data_UN_PopulationTot.&amp;%'!$B$4:$CZ$603,97,FALSE)</f>
        <v>4.3153217436429685</v>
      </c>
      <c r="DH34">
        <f>VLOOKUP($B34,'[1]Data_UN_PopulationTot.&amp;%'!$B$4:$CZ$603,98,FALSE)</f>
        <v>3.0649974052932021</v>
      </c>
      <c r="DI34">
        <f>VLOOKUP($B34,'[1]Data_UN_PopulationTot.&amp;%'!$B$4:$CZ$603,99,FALSE)</f>
        <v>1.7633194948970767</v>
      </c>
      <c r="DJ34">
        <f>VLOOKUP($B34,'[1]Data_UN_PopulationTot.&amp;%'!$B$4:$DE$603,100,FALSE)</f>
        <v>0.88436256702992566</v>
      </c>
      <c r="DK34">
        <f>VLOOKUP($B34,'[1]Data_UN_PopulationTot.&amp;%'!$B$4:$DE$603,101,FALSE)</f>
        <v>0.29244507870610625</v>
      </c>
      <c r="DL34">
        <f>VLOOKUP($B34,'[1]Data_UN_PopulationTot.&amp;%'!$B$4:$DE$603,102,FALSE)</f>
        <v>6.4327106037017814E-2</v>
      </c>
    </row>
    <row r="35" spans="1:116">
      <c r="A35" t="s">
        <v>232</v>
      </c>
      <c r="B35" t="s">
        <v>507</v>
      </c>
      <c r="C35" t="s">
        <v>497</v>
      </c>
      <c r="D35" t="s">
        <v>622</v>
      </c>
      <c r="E35" t="s">
        <v>2269</v>
      </c>
      <c r="F35">
        <v>0</v>
      </c>
      <c r="G35">
        <v>0</v>
      </c>
      <c r="H35">
        <v>0</v>
      </c>
      <c r="I35">
        <v>1</v>
      </c>
      <c r="J35" s="18">
        <f t="shared" si="1"/>
        <v>44297.207413521552</v>
      </c>
      <c r="K35">
        <f>VLOOKUP($B35,'[1]Source GDP Current USD'!$B$1:$CZ$600,64,FALSE)</f>
        <v>252940023046.00699</v>
      </c>
      <c r="L35" s="45">
        <f>VLOOKUP($B35,'[1]Source GDP Current USD'!$B$1:$CZ$600,65,FALSE)</f>
        <v>252940023046.00699</v>
      </c>
      <c r="M35" s="17">
        <f>VLOOKUP($B35,'[1]Source GDP Current LCU'!$B$1:$CZ$600,64,FALSE)</f>
        <v>200512436237197</v>
      </c>
      <c r="N35" s="45">
        <v>200000000000000</v>
      </c>
      <c r="O35" s="45">
        <f>VLOOKUP($B35,'[1]Source GNI Current USD'!$B$1:$CZ$600,64,FALSE)</f>
        <v>242004999226.591</v>
      </c>
      <c r="P35" s="45">
        <f>VLOOKUP($B35,'[1]Source GNI Current LCU'!$B$1:$CZ$600,64,FALSE)</f>
        <v>191843945422898</v>
      </c>
      <c r="Q35">
        <f t="shared" si="0"/>
        <v>104.51851154082048</v>
      </c>
      <c r="R35">
        <v>13470</v>
      </c>
      <c r="S35">
        <v>13470</v>
      </c>
      <c r="T35">
        <v>0.52694600000000003</v>
      </c>
      <c r="U35">
        <f>VLOOKUP($B35,'[1]Source PopulationTotal'!$B$1:$CZ$600,65,FALSE)</f>
        <v>19116209</v>
      </c>
      <c r="V35">
        <v>22.091999999999999</v>
      </c>
      <c r="W35">
        <f>VLOOKUP($B35,'[1]Source Gov. Revenue WEO'!$B$1:$CZ$600,5,FALSE)</f>
        <v>25.408999999999999</v>
      </c>
      <c r="X35">
        <f>VLOOKUP($B35,'[1]Source Gov. Revenue WEO'!$B$1:$CZ$600,6,FALSE)</f>
        <v>24.021000000000001</v>
      </c>
      <c r="Y35">
        <f>VLOOKUP($B35,'[1]Source Gov. Revenue WEO'!$B$1:$CZ$600,7,FALSE)</f>
        <v>24.553999999999998</v>
      </c>
      <c r="Z35">
        <f>VLOOKUP($B35,'[1]Source Gov. Revenue WEO'!$B$1:$CZ$600,8,FALSE)</f>
        <v>25.393000000000001</v>
      </c>
      <c r="AA35">
        <f>VLOOKUP($B35,'[1]Source Gov. Revenue WEO'!$B$1:$CZ$600,9,FALSE)</f>
        <v>25.585999999999999</v>
      </c>
      <c r="AB35">
        <f>VLOOKUP($B35,'[1]Source Gov. Revenue WEO'!$B$1:$CZ$600,10,FALSE)</f>
        <v>25.503</v>
      </c>
      <c r="AC35">
        <f>VLOOKUP($B35,[2]Summary!$B$1:$CZ$600,39,FALSE)</f>
        <v>2.7689409999999996E-3</v>
      </c>
      <c r="AD35">
        <f>VLOOKUP($B35,[2]Summary!$B$1:$CZ$600,40,FALSE)</f>
        <v>2.2500000000000003E-3</v>
      </c>
      <c r="AE35">
        <f>VLOOKUP($B35,[2]Summary!$B$1:$CZ$600,47,FALSE)</f>
        <v>0.26277329704055963</v>
      </c>
      <c r="AF35">
        <f>VLOOKUP($B35,'[1]CALC GDP Growth rates WDI'!$B$1:$CZ$600,27,FALSE)</f>
        <v>22.901580491853231</v>
      </c>
      <c r="AG35">
        <f>VLOOKUP($B35,'[1]CALC GDP Growth rates WDI'!$B$1:$CZ$600,29,FALSE)</f>
        <v>36.524332246127031</v>
      </c>
      <c r="AH35">
        <v>1.52</v>
      </c>
      <c r="AI35">
        <f>VLOOKUP($B35,'[1]CALC GDP Growth rates WDI'!$B$1:$CZ$600,30,FALSE)</f>
        <v>9.0060813061033418</v>
      </c>
      <c r="AK35">
        <f>VLOOKUP($B35,[1]Data_Aspire!$B$1:$CZ$600,2,FALSE)</f>
        <v>2018</v>
      </c>
      <c r="AL35">
        <f>VLOOKUP($B35,[1]Data_Aspire!$B$1:$CZ$600,3,FALSE)</f>
        <v>3.78</v>
      </c>
      <c r="AM35">
        <f>VLOOKUP($B35,[1]Data_Aspire!$B$1:$CZ$600,4,FALSE)</f>
        <v>0.04</v>
      </c>
      <c r="AN35">
        <f>VLOOKUP($B35,[1]Data_Aspire!$B$1:$CZ$600,5,FALSE)</f>
        <v>0.57999999999999996</v>
      </c>
      <c r="AO35">
        <f>VLOOKUP($B35,[1]Data_Aspire!$B$1:$CZ$600,6,FALSE)</f>
        <v>0.93</v>
      </c>
      <c r="AP35">
        <f>VLOOKUP($B35,[1]Data_Aspire!$B$1:$CZ$600,7,FALSE)</f>
        <v>0.33</v>
      </c>
      <c r="AQ35">
        <f>VLOOKUP($B35,[1]Data_Aspire!$B$1:$CZ$600,8,FALSE)</f>
        <v>0.04</v>
      </c>
      <c r="AR35">
        <f>VLOOKUP($B35,[1]Data_Aspire!$B$1:$CZ$600,9,FALSE)</f>
        <v>0.2</v>
      </c>
      <c r="AS35">
        <f>VLOOKUP($B35,[1]Data_Aspire!$B$1:$CZ$600,10,FALSE)</f>
        <v>0.88</v>
      </c>
      <c r="AT35">
        <f>VLOOKUP($B35,[1]Data_Aspire!$B$1:$CZ$600,11,FALSE)</f>
        <v>0.78</v>
      </c>
      <c r="AU35">
        <f>VLOOKUP($B35,[1]Data_Aspire!$B$1:$CZ$600,12,FALSE)</f>
        <v>3.78</v>
      </c>
      <c r="AV35">
        <f>VLOOKUP($B35,[1]Data_Aspire!$B$1:$CZ$600,13,FALSE)</f>
        <v>2055132</v>
      </c>
      <c r="AW35">
        <f>VLOOKUP($B35,[1]Data_Aspire!$B$1:$CZ$600,14,FALSE)</f>
        <v>2018</v>
      </c>
      <c r="AZ35">
        <f>VLOOKUP($B35,[1]Data_Aspire!$B$1:$CZ$600,17,FALSE)</f>
        <v>399820</v>
      </c>
      <c r="BA35">
        <f>VLOOKUP($B35,[1]Data_Aspire!$B$1:$CZ$600,18,FALSE)</f>
        <v>2018</v>
      </c>
      <c r="BB35">
        <f>VLOOKUP($B35,[1]Data_Aspire!$B$1:$CZ$600,19,FALSE)</f>
        <v>570000</v>
      </c>
      <c r="BC35">
        <f>VLOOKUP($B35,[1]Data_Aspire!$B$1:$CZ$600,20,FALSE)</f>
        <v>2018</v>
      </c>
      <c r="BD35">
        <f>VLOOKUP($B35,[1]Data_Aspire!$B$1:$CZ$600,21,FALSE)</f>
        <v>1573709</v>
      </c>
      <c r="BE35">
        <f>VLOOKUP($B35,[1]Data_Aspire!$B$1:$CZ$600,22,FALSE)</f>
        <v>2018</v>
      </c>
      <c r="BF35">
        <f>VLOOKUP($B35,[1]Data_Aspire!$B$1:$CZ$600,23,FALSE)</f>
        <v>24034</v>
      </c>
      <c r="BG35">
        <f>VLOOKUP($B35,[1]Data_Aspire!$B$1:$CZ$600,24,FALSE)</f>
        <v>2018</v>
      </c>
      <c r="BH35">
        <f>VLOOKUP($B35,[1]Data_Aspire!$B$1:$CZ$600,25,FALSE)</f>
        <v>187828</v>
      </c>
      <c r="BI35">
        <f>VLOOKUP($B35,[1]Data_Aspire!$B$1:$CZ$600,26,FALSE)</f>
        <v>2018</v>
      </c>
      <c r="BJ35" s="7">
        <v>0</v>
      </c>
      <c r="BK35">
        <v>152</v>
      </c>
      <c r="BL35">
        <f>VLOOKUP($B35,'[1]Data_UN_PopulationTot.&amp;%'!$B$4:$CZ$603,8,FALSE)</f>
        <v>19116.2</v>
      </c>
      <c r="BM35">
        <f>VLOOKUP($B35,'[1]Data_UN_PopulationTot.&amp;%'!$B$4:$CZ$603,9,FALSE)</f>
        <v>19212.400000000001</v>
      </c>
      <c r="BN35">
        <v>19250.2</v>
      </c>
      <c r="BO35">
        <f>VLOOKUP($B35,'[1]Data_UN_PopulationTot.&amp;%'!$B$4:$CZ$603,11,FALSE)</f>
        <v>19249.3</v>
      </c>
      <c r="BP35">
        <f>VLOOKUP($B35,'[1]Data_UN_PopulationTot.&amp;%'!$B$4:$CZ$603,12,FALSE)</f>
        <v>19239</v>
      </c>
      <c r="BQ35">
        <f>VLOOKUP($B35,'[1]Data_UN_PopulationTot.&amp;%'!$B$4:$CZ$603,13,FALSE)</f>
        <v>19241</v>
      </c>
      <c r="BR35">
        <f>VLOOKUP($B35,'[1]Data_UN_PopulationTot.&amp;%'!$B$4:$CZ$603,14,FALSE)</f>
        <v>19260.5</v>
      </c>
      <c r="BS35">
        <f>VLOOKUP($B35,'[1]Data_UN_PopulationTot.&amp;%'!$B$4:$CZ$603,15,FALSE)</f>
        <v>19292.8</v>
      </c>
      <c r="BT35">
        <f>VLOOKUP($B35,'[1]Data_UN_PopulationTot.&amp;%'!$B$4:$CZ$603,16,FALSE)</f>
        <v>19338</v>
      </c>
      <c r="BU35">
        <f>VLOOKUP($B35,'[1]Data_UN_PopulationTot.&amp;%'!$B$4:$CZ$603,17,FALSE)</f>
        <v>19393.8</v>
      </c>
      <c r="BV35">
        <f>VLOOKUP($B35,'[1]Data_UN_PopulationTot.&amp;%'!$B$4:$CZ$603,18,FALSE)</f>
        <v>19458.099999999999</v>
      </c>
      <c r="BW35">
        <f>VLOOKUP($B35,'[1]Data_UN_PopulationTot.&amp;%'!$B$4:$CZ$603,61,FALSE)</f>
        <v>6.0797648068130687</v>
      </c>
      <c r="BX35">
        <f>VLOOKUP($B35,'[1]Data_UN_PopulationTot.&amp;%'!$B$4:$CZ$603,62,FALSE)</f>
        <v>6.6219227670771375</v>
      </c>
      <c r="BY35">
        <f>VLOOKUP($B35,'[1]Data_UN_PopulationTot.&amp;%'!$B$4:$CZ$603,63,FALSE)</f>
        <v>6.5370732676996477</v>
      </c>
      <c r="BZ35">
        <f>VLOOKUP($B35,'[1]Data_UN_PopulationTot.&amp;%'!$B$4:$CZ$603,64,FALSE)</f>
        <v>6.5088249756750818</v>
      </c>
      <c r="CA35">
        <f>VLOOKUP($B35,'[1]Data_UN_PopulationTot.&amp;%'!$B$4:$CZ$603,65,FALSE)</f>
        <v>7.338853956330234</v>
      </c>
      <c r="CB35">
        <f>VLOOKUP($B35,'[1]Data_UN_PopulationTot.&amp;%'!$B$4:$CZ$603,66,FALSE)</f>
        <v>8.3313106161266361</v>
      </c>
      <c r="CC35">
        <f>VLOOKUP($B35,'[1]Data_UN_PopulationTot.&amp;%'!$B$4:$CZ$603,67,FALSE)</f>
        <v>8.0864397735951687</v>
      </c>
      <c r="CD35">
        <f>VLOOKUP($B35,'[1]Data_UN_PopulationTot.&amp;%'!$B$4:$CZ$603,68,FALSE)</f>
        <v>7.3214341762484176</v>
      </c>
      <c r="CE35">
        <f>VLOOKUP($B35,'[1]Data_UN_PopulationTot.&amp;%'!$B$4:$CZ$603,69,FALSE)</f>
        <v>6.9265858277272674</v>
      </c>
      <c r="CF35">
        <f>VLOOKUP($B35,'[1]Data_UN_PopulationTot.&amp;%'!$B$4:$CZ$603,70,FALSE)</f>
        <v>6.5615028091357068</v>
      </c>
      <c r="CG35">
        <f>VLOOKUP($B35,'[1]Data_UN_PopulationTot.&amp;%'!$B$4:$CZ$603,71,FALSE)</f>
        <v>6.3537209277994569</v>
      </c>
      <c r="CH35">
        <f>VLOOKUP($B35,'[1]Data_UN_PopulationTot.&amp;%'!$B$4:$CZ$603,72,FALSE)</f>
        <v>5.9513920130569886</v>
      </c>
      <c r="CI35">
        <f>VLOOKUP($B35,'[1]Data_UN_PopulationTot.&amp;%'!$B$4:$CZ$603,73,FALSE)</f>
        <v>5.1385683347108735</v>
      </c>
      <c r="CJ35">
        <f>VLOOKUP($B35,'[1]Data_UN_PopulationTot.&amp;%'!$B$4:$CZ$603,74,FALSE)</f>
        <v>4.2345654471076886</v>
      </c>
      <c r="CK35">
        <f>VLOOKUP($B35,'[1]Data_UN_PopulationTot.&amp;%'!$B$4:$CZ$603,75,FALSE)</f>
        <v>3.0408710936273944</v>
      </c>
      <c r="CL35">
        <f>VLOOKUP($B35,'[1]Data_UN_PopulationTot.&amp;%'!$B$4:$CZ$603,76,FALSE)</f>
        <v>2.1543350665927328</v>
      </c>
      <c r="CM35">
        <f>VLOOKUP($B35,'[1]Data_UN_PopulationTot.&amp;%'!$B$4:$CZ$603,77,FALSE)</f>
        <v>1.4346993649365458</v>
      </c>
      <c r="CN35">
        <f>VLOOKUP($B35,'[1]Data_UN_PopulationTot.&amp;%'!$B$4:$CZ$603,78,FALSE)</f>
        <v>0.84821251085466765</v>
      </c>
      <c r="CO35">
        <f>VLOOKUP($B35,'[1]Data_UN_PopulationTot.&amp;%'!$B$4:$CZ$603,79,FALSE)</f>
        <v>0.40399242527280521</v>
      </c>
      <c r="CP35">
        <f>VLOOKUP($B35,'[1]Data_UN_PopulationTot.&amp;%'!$B$4:$CZ$603,80,FALSE)</f>
        <v>0.10648559860223267</v>
      </c>
      <c r="CQ35">
        <f>VLOOKUP($B35,'[1]Data_UN_PopulationTot.&amp;%'!$B$4:$CZ$603,81,FALSE)</f>
        <v>1.95174773228989E-2</v>
      </c>
      <c r="CR35">
        <f>VLOOKUP($B35,'[1]Data_UN_PopulationTot.&amp;%'!$B$4:$CZ$603,82,FALSE)</f>
        <v>5.3417856830831383</v>
      </c>
      <c r="CS35">
        <f>VLOOKUP($B35,'[1]Data_UN_PopulationTot.&amp;%'!$B$4:$CZ$603,83,FALSE)</f>
        <v>5.6480334667824712</v>
      </c>
      <c r="CT35">
        <f>VLOOKUP($B35,'[1]Data_UN_PopulationTot.&amp;%'!$B$4:$CZ$603,84,FALSE)</f>
        <v>5.8958993940826705</v>
      </c>
      <c r="CU35">
        <f>VLOOKUP($B35,'[1]Data_UN_PopulationTot.&amp;%'!$B$4:$CZ$603,85,FALSE)</f>
        <v>6.4138327997080911</v>
      </c>
      <c r="CV35">
        <f>VLOOKUP($B35,'[1]Data_UN_PopulationTot.&amp;%'!$B$4:$CZ$603,86,FALSE)</f>
        <v>6.3140286050539371</v>
      </c>
      <c r="CW35">
        <f>VLOOKUP($B35,'[1]Data_UN_PopulationTot.&amp;%'!$B$4:$CZ$603,87,FALSE)</f>
        <v>6.2518950976714072</v>
      </c>
      <c r="CX35">
        <f>VLOOKUP($B35,'[1]Data_UN_PopulationTot.&amp;%'!$B$4:$CZ$603,88,FALSE)</f>
        <v>6.82671997779845</v>
      </c>
      <c r="CY35">
        <f>VLOOKUP($B35,'[1]Data_UN_PopulationTot.&amp;%'!$B$4:$CZ$603,89,FALSE)</f>
        <v>7.5749430828292592</v>
      </c>
      <c r="CZ35">
        <f>VLOOKUP($B35,'[1]Data_UN_PopulationTot.&amp;%'!$B$4:$CZ$603,90,FALSE)</f>
        <v>7.3836088826761097</v>
      </c>
      <c r="DA35">
        <f>VLOOKUP($B35,'[1]Data_UN_PopulationTot.&amp;%'!$B$4:$CZ$603,91,FALSE)</f>
        <v>6.7772804127843935</v>
      </c>
      <c r="DB35">
        <f>VLOOKUP($B35,'[1]Data_UN_PopulationTot.&amp;%'!$B$4:$CZ$603,92,FALSE)</f>
        <v>6.4639918594312906</v>
      </c>
      <c r="DC35">
        <f>VLOOKUP($B35,'[1]Data_UN_PopulationTot.&amp;%'!$B$4:$CZ$603,93,FALSE)</f>
        <v>6.1135979360780341</v>
      </c>
      <c r="DD35">
        <f>VLOOKUP($B35,'[1]Data_UN_PopulationTot.&amp;%'!$B$4:$CZ$603,94,FALSE)</f>
        <v>5.8395732368525195</v>
      </c>
      <c r="DE35">
        <f>VLOOKUP($B35,'[1]Data_UN_PopulationTot.&amp;%'!$B$4:$CZ$603,95,FALSE)</f>
        <v>5.3361325103684329</v>
      </c>
      <c r="DF35">
        <f>VLOOKUP($B35,'[1]Data_UN_PopulationTot.&amp;%'!$B$4:$CZ$603,96,FALSE)</f>
        <v>4.4077170946803648</v>
      </c>
      <c r="DG35">
        <f>VLOOKUP($B35,'[1]Data_UN_PopulationTot.&amp;%'!$B$4:$CZ$603,97,FALSE)</f>
        <v>3.3596394303657608</v>
      </c>
      <c r="DH35">
        <f>VLOOKUP($B35,'[1]Data_UN_PopulationTot.&amp;%'!$B$4:$CZ$603,98,FALSE)</f>
        <v>2.1000868532898895</v>
      </c>
      <c r="DI35">
        <f>VLOOKUP($B35,'[1]Data_UN_PopulationTot.&amp;%'!$B$4:$CZ$603,99,FALSE)</f>
        <v>1.1760552160796789</v>
      </c>
      <c r="DJ35">
        <f>VLOOKUP($B35,'[1]Data_UN_PopulationTot.&amp;%'!$B$4:$DE$603,100,FALSE)</f>
        <v>0.54283306180973478</v>
      </c>
      <c r="DK35">
        <f>VLOOKUP($B35,'[1]Data_UN_PopulationTot.&amp;%'!$B$4:$DE$603,101,FALSE)</f>
        <v>0.18682194047723058</v>
      </c>
      <c r="DL35">
        <f>VLOOKUP($B35,'[1]Data_UN_PopulationTot.&amp;%'!$B$4:$DE$603,102,FALSE)</f>
        <v>4.552859734506453E-2</v>
      </c>
    </row>
    <row r="36" spans="1:116">
      <c r="A36" t="s">
        <v>224</v>
      </c>
      <c r="B36" t="s">
        <v>439</v>
      </c>
      <c r="C36" t="s">
        <v>493</v>
      </c>
      <c r="D36" t="s">
        <v>389</v>
      </c>
      <c r="E36" t="s">
        <v>301</v>
      </c>
      <c r="F36">
        <v>0</v>
      </c>
      <c r="G36">
        <v>0</v>
      </c>
      <c r="H36">
        <v>1</v>
      </c>
      <c r="I36">
        <v>0</v>
      </c>
      <c r="J36" s="18">
        <f t="shared" si="1"/>
        <v>25749.154252799999</v>
      </c>
      <c r="K36">
        <f>VLOOKUP($B36,'[1]Source GDP Current USD'!$B$1:$CZ$600,64,FALSE)</f>
        <v>14722730697890.1</v>
      </c>
      <c r="L36" s="45">
        <f>VLOOKUP($B36,'[1]Source GDP Current USD'!$B$1:$CZ$600,65,FALSE)</f>
        <v>14722730697890.1</v>
      </c>
      <c r="M36" s="17">
        <f>VLOOKUP($B36,'[1]Source GDP Current LCU'!$B$1:$CZ$600,64,FALSE)</f>
        <v>101598620000000</v>
      </c>
      <c r="N36" s="45">
        <v>100000000000000</v>
      </c>
      <c r="O36" s="45">
        <f>VLOOKUP($B36,'[1]Source GNI Current USD'!$B$1:$CZ$600,64,FALSE)</f>
        <v>14618341351727.301</v>
      </c>
      <c r="P36" s="45">
        <f>VLOOKUP($B36,'[1]Source GNI Current LCU'!$B$1:$CZ$600,64,FALSE)</f>
        <v>100878250000000</v>
      </c>
      <c r="Q36">
        <f t="shared" si="0"/>
        <v>100.71409843053382</v>
      </c>
      <c r="R36">
        <v>10550</v>
      </c>
      <c r="S36">
        <v>10550</v>
      </c>
      <c r="T36">
        <v>0.60629299999999997</v>
      </c>
      <c r="U36">
        <f>VLOOKUP($B36,'[1]Source PopulationTotal'!$B$1:$CZ$600,65,FALSE)</f>
        <v>1410929362</v>
      </c>
      <c r="V36">
        <v>25.344000000000001</v>
      </c>
      <c r="W36">
        <f>VLOOKUP($B36,'[1]Source Gov. Revenue WEO'!$B$1:$CZ$600,5,FALSE)</f>
        <v>25.795999999999999</v>
      </c>
      <c r="X36">
        <f>VLOOKUP($B36,'[1]Source Gov. Revenue WEO'!$B$1:$CZ$600,6,FALSE)</f>
        <v>25.878</v>
      </c>
      <c r="Y36">
        <f>VLOOKUP($B36,'[1]Source Gov. Revenue WEO'!$B$1:$CZ$600,7,FALSE)</f>
        <v>25.954000000000001</v>
      </c>
      <c r="Z36">
        <f>VLOOKUP($B36,'[1]Source Gov. Revenue WEO'!$B$1:$CZ$600,8,FALSE)</f>
        <v>26.454000000000001</v>
      </c>
      <c r="AA36">
        <f>VLOOKUP($B36,'[1]Source Gov. Revenue WEO'!$B$1:$CZ$600,9,FALSE)</f>
        <v>26.92</v>
      </c>
      <c r="AB36">
        <f>VLOOKUP($B36,'[1]Source Gov. Revenue WEO'!$B$1:$CZ$600,10,FALSE)</f>
        <v>27.387</v>
      </c>
      <c r="AC36">
        <f>VLOOKUP($B36,[2]Summary!$B$1:$CZ$600,39,FALSE)</f>
        <v>2.676889E-3</v>
      </c>
      <c r="AD36">
        <f>VLOOKUP($B36,[2]Summary!$B$1:$CZ$600,40,FALSE)</f>
        <v>9.999999999999999E-14</v>
      </c>
      <c r="AE36">
        <f>VLOOKUP($B36,[2]Summary!$B$1:$CZ$600,47,FALSE)</f>
        <v>0.36147565544754234</v>
      </c>
      <c r="AF36">
        <f>VLOOKUP($B36,'[1]CALC GDP Growth rates WDI'!$B$1:$CZ$600,27,FALSE)</f>
        <v>93.694111598259838</v>
      </c>
      <c r="AG36">
        <f>VLOOKUP($B36,'[1]CALC GDP Growth rates WDI'!$B$1:$CZ$600,29,FALSE)</f>
        <v>98.676242743114798</v>
      </c>
      <c r="AH36">
        <v>32.28</v>
      </c>
      <c r="AI36">
        <f>VLOOKUP($B36,'[1]CALC GDP Growth rates WDI'!$B$1:$CZ$600,30,FALSE)</f>
        <v>31.270766059733333</v>
      </c>
      <c r="AJ36" s="45"/>
      <c r="AK36">
        <f>VLOOKUP($B36,[1]Data_Aspire!$B$1:$CZ$600,2,FALSE)</f>
        <v>2016</v>
      </c>
      <c r="AL36">
        <f>VLOOKUP($B36,[1]Data_Aspire!$B$1:$CZ$600,3,FALSE)</f>
        <v>1.24</v>
      </c>
      <c r="AM36">
        <f>VLOOKUP($B36,[1]Data_Aspire!$B$1:$CZ$600,4,FALSE)</f>
        <v>0</v>
      </c>
      <c r="AN36">
        <f>VLOOKUP($B36,[1]Data_Aspire!$B$1:$CZ$600,5,FALSE)</f>
        <v>0.23</v>
      </c>
      <c r="AO36">
        <f>VLOOKUP($B36,[1]Data_Aspire!$B$1:$CZ$600,6,FALSE)</f>
        <v>0.1</v>
      </c>
      <c r="AP36">
        <f>VLOOKUP($B36,[1]Data_Aspire!$B$1:$CZ$600,7,FALSE)</f>
        <v>0</v>
      </c>
      <c r="AQ36">
        <f>VLOOKUP($B36,[1]Data_Aspire!$B$1:$CZ$600,8,FALSE)</f>
        <v>0.12</v>
      </c>
      <c r="AR36">
        <f>VLOOKUP($B36,[1]Data_Aspire!$B$1:$CZ$600,9,FALSE)</f>
        <v>0.05</v>
      </c>
      <c r="AS36">
        <f>VLOOKUP($B36,[1]Data_Aspire!$B$1:$CZ$600,10,FALSE)</f>
        <v>0.75</v>
      </c>
      <c r="AU36">
        <f>VLOOKUP($B36,[1]Data_Aspire!$B$1:$CZ$600,12,FALSE)</f>
        <v>1.2</v>
      </c>
      <c r="AX36">
        <f>VLOOKUP($B36,[1]Data_Aspire!$B$1:$CZ$600,15,FALSE)</f>
        <v>74500000</v>
      </c>
      <c r="AY36">
        <f>VLOOKUP($B36,[1]Data_Aspire!$B$1:$CZ$600,16,FALSE)</f>
        <v>2017</v>
      </c>
      <c r="AZ36">
        <f>VLOOKUP($B36,[1]Data_Aspire!$B$1:$CZ$600,17,FALSE)</f>
        <v>12638000</v>
      </c>
      <c r="BA36">
        <f>VLOOKUP($B36,[1]Data_Aspire!$B$1:$CZ$600,18,FALSE)</f>
        <v>2009</v>
      </c>
      <c r="BB36">
        <f>VLOOKUP($B36,[1]Data_Aspire!$B$1:$CZ$600,19,FALSE)</f>
        <v>4970000</v>
      </c>
      <c r="BC36">
        <f>VLOOKUP($B36,[1]Data_Aspire!$B$1:$CZ$600,20,FALSE)</f>
        <v>2016</v>
      </c>
      <c r="BD36">
        <f>VLOOKUP($B36,[1]Data_Aspire!$B$1:$CZ$600,21,FALSE)</f>
        <v>26000000</v>
      </c>
      <c r="BE36">
        <f>VLOOKUP($B36,[1]Data_Aspire!$B$1:$CZ$600,22,FALSE)</f>
        <v>2011</v>
      </c>
      <c r="BH36">
        <f>VLOOKUP($B36,[1]Data_Aspire!$B$1:$CZ$600,25,FALSE)</f>
        <v>91190000</v>
      </c>
      <c r="BI36">
        <f>VLOOKUP($B36,[1]Data_Aspire!$B$1:$CZ$600,26,FALSE)</f>
        <v>2014</v>
      </c>
      <c r="BJ36" s="7">
        <v>0</v>
      </c>
      <c r="BK36">
        <v>156</v>
      </c>
      <c r="BL36">
        <f>VLOOKUP($B36,'[1]Data_UN_PopulationTot.&amp;%'!$B$4:$CZ$603,8,FALSE)</f>
        <v>1400000</v>
      </c>
      <c r="BM36">
        <f>VLOOKUP($B36,'[1]Data_UN_PopulationTot.&amp;%'!$B$4:$CZ$603,9,FALSE)</f>
        <v>1400000</v>
      </c>
      <c r="BN36" s="45">
        <v>1400000</v>
      </c>
      <c r="BO36">
        <f>VLOOKUP($B36,'[1]Data_UN_PopulationTot.&amp;%'!$B$4:$CZ$603,11,FALSE)</f>
        <v>1500000</v>
      </c>
      <c r="BP36">
        <f>VLOOKUP($B36,'[1]Data_UN_PopulationTot.&amp;%'!$B$4:$CZ$603,12,FALSE)</f>
        <v>1500000</v>
      </c>
      <c r="BQ36">
        <f>VLOOKUP($B36,'[1]Data_UN_PopulationTot.&amp;%'!$B$4:$CZ$603,13,FALSE)</f>
        <v>1500000</v>
      </c>
      <c r="BR36">
        <f>VLOOKUP($B36,'[1]Data_UN_PopulationTot.&amp;%'!$B$4:$CZ$603,14,FALSE)</f>
        <v>1500000</v>
      </c>
      <c r="BS36">
        <f>VLOOKUP($B36,'[1]Data_UN_PopulationTot.&amp;%'!$B$4:$CZ$603,15,FALSE)</f>
        <v>1500000</v>
      </c>
      <c r="BT36">
        <f>VLOOKUP($B36,'[1]Data_UN_PopulationTot.&amp;%'!$B$4:$CZ$603,16,FALSE)</f>
        <v>1500000</v>
      </c>
      <c r="BU36">
        <f>VLOOKUP($B36,'[1]Data_UN_PopulationTot.&amp;%'!$B$4:$CZ$603,17,FALSE)</f>
        <v>1500000</v>
      </c>
      <c r="BV36">
        <f>VLOOKUP($B36,'[1]Data_UN_PopulationTot.&amp;%'!$B$4:$CZ$603,18,FALSE)</f>
        <v>1500000</v>
      </c>
      <c r="BW36">
        <f>VLOOKUP($B36,'[1]Data_UN_PopulationTot.&amp;%'!$B$4:$CZ$603,61,FALSE)</f>
        <v>5.9951714285714282</v>
      </c>
      <c r="BX36">
        <f>VLOOKUP($B36,'[1]Data_UN_PopulationTot.&amp;%'!$B$4:$CZ$603,62,FALSE)</f>
        <v>6.1953714285714288</v>
      </c>
      <c r="BY36">
        <f>VLOOKUP($B36,'[1]Data_UN_PopulationTot.&amp;%'!$B$4:$CZ$603,63,FALSE)</f>
        <v>6.0187714285714291</v>
      </c>
      <c r="BZ36">
        <f>VLOOKUP($B36,'[1]Data_UN_PopulationTot.&amp;%'!$B$4:$CZ$603,64,FALSE)</f>
        <v>5.8815642857142851</v>
      </c>
      <c r="CA36">
        <f>VLOOKUP($B36,'[1]Data_UN_PopulationTot.&amp;%'!$B$4:$CZ$603,65,FALSE)</f>
        <v>6.2255857142857138</v>
      </c>
      <c r="CB36">
        <f>VLOOKUP($B36,'[1]Data_UN_PopulationTot.&amp;%'!$B$4:$CZ$603,66,FALSE)</f>
        <v>6.9992142857142863</v>
      </c>
      <c r="CC36">
        <f>VLOOKUP($B36,'[1]Data_UN_PopulationTot.&amp;%'!$B$4:$CZ$603,67,FALSE)</f>
        <v>9.1956428571428575</v>
      </c>
      <c r="CD36">
        <f>VLOOKUP($B36,'[1]Data_UN_PopulationTot.&amp;%'!$B$4:$CZ$603,68,FALSE)</f>
        <v>7.1493571428571432</v>
      </c>
      <c r="CE36">
        <f>VLOOKUP($B36,'[1]Data_UN_PopulationTot.&amp;%'!$B$4:$CZ$603,69,FALSE)</f>
        <v>6.8767214285714289</v>
      </c>
      <c r="CF36">
        <f>VLOOKUP($B36,'[1]Data_UN_PopulationTot.&amp;%'!$B$4:$CZ$603,70,FALSE)</f>
        <v>8.5598571428571422</v>
      </c>
      <c r="CG36">
        <f>VLOOKUP($B36,'[1]Data_UN_PopulationTot.&amp;%'!$B$4:$CZ$603,71,FALSE)</f>
        <v>8.8175000000000008</v>
      </c>
      <c r="CH36">
        <f>VLOOKUP($B36,'[1]Data_UN_PopulationTot.&amp;%'!$B$4:$CZ$603,72,FALSE)</f>
        <v>7.052892857142858</v>
      </c>
      <c r="CI36">
        <f>VLOOKUP($B36,'[1]Data_UN_PopulationTot.&amp;%'!$B$4:$CZ$603,73,FALSE)</f>
        <v>5.536721428571429</v>
      </c>
      <c r="CJ36">
        <f>VLOOKUP($B36,'[1]Data_UN_PopulationTot.&amp;%'!$B$4:$CZ$603,74,FALSE)</f>
        <v>5.2964142857142864</v>
      </c>
      <c r="CK36">
        <f>VLOOKUP($B36,'[1]Data_UN_PopulationTot.&amp;%'!$B$4:$CZ$603,75,FALSE)</f>
        <v>3.210692857142857</v>
      </c>
      <c r="CL36">
        <f>VLOOKUP($B36,'[1]Data_UN_PopulationTot.&amp;%'!$B$4:$CZ$603,76,FALSE)</f>
        <v>1.8960428571428569</v>
      </c>
      <c r="CM36">
        <f>VLOOKUP($B36,'[1]Data_UN_PopulationTot.&amp;%'!$B$4:$CZ$603,77,FALSE)</f>
        <v>1.1558142857142857</v>
      </c>
      <c r="CN36">
        <f>VLOOKUP($B36,'[1]Data_UN_PopulationTot.&amp;%'!$B$4:$CZ$603,78,FALSE)</f>
        <v>0.54155571428571425</v>
      </c>
      <c r="CO36">
        <f>VLOOKUP($B36,'[1]Data_UN_PopulationTot.&amp;%'!$B$4:$CZ$603,79,FALSE)</f>
        <v>0.16464428571428572</v>
      </c>
      <c r="CP36">
        <f>VLOOKUP($B36,'[1]Data_UN_PopulationTot.&amp;%'!$B$4:$CZ$603,80,FALSE)</f>
        <v>3.3942357142857142E-2</v>
      </c>
      <c r="CQ36">
        <f>VLOOKUP($B36,'[1]Data_UN_PopulationTot.&amp;%'!$B$4:$CZ$603,81,FALSE)</f>
        <v>5.3351428571428569E-3</v>
      </c>
      <c r="CR36">
        <f>VLOOKUP($B36,'[1]Data_UN_PopulationTot.&amp;%'!$B$4:$CZ$603,82,FALSE)</f>
        <v>4.7355200000000002</v>
      </c>
      <c r="CS36">
        <f>VLOOKUP($B36,'[1]Data_UN_PopulationTot.&amp;%'!$B$4:$CZ$603,83,FALSE)</f>
        <v>5.0795000000000003</v>
      </c>
      <c r="CT36">
        <f>VLOOKUP($B36,'[1]Data_UN_PopulationTot.&amp;%'!$B$4:$CZ$603,84,FALSE)</f>
        <v>5.5752666666666668</v>
      </c>
      <c r="CU36">
        <f>VLOOKUP($B36,'[1]Data_UN_PopulationTot.&amp;%'!$B$4:$CZ$603,85,FALSE)</f>
        <v>5.7541466666666663</v>
      </c>
      <c r="CV36">
        <f>VLOOKUP($B36,'[1]Data_UN_PopulationTot.&amp;%'!$B$4:$CZ$603,86,FALSE)</f>
        <v>5.5652133333333333</v>
      </c>
      <c r="CW36">
        <f>VLOOKUP($B36,'[1]Data_UN_PopulationTot.&amp;%'!$B$4:$CZ$603,87,FALSE)</f>
        <v>5.4199333333333337</v>
      </c>
      <c r="CX36">
        <f>VLOOKUP($B36,'[1]Data_UN_PopulationTot.&amp;%'!$B$4:$CZ$603,88,FALSE)</f>
        <v>5.7373599999999998</v>
      </c>
      <c r="CY36">
        <f>VLOOKUP($B36,'[1]Data_UN_PopulationTot.&amp;%'!$B$4:$CZ$603,89,FALSE)</f>
        <v>6.4564133333333329</v>
      </c>
      <c r="CZ36">
        <f>VLOOKUP($B36,'[1]Data_UN_PopulationTot.&amp;%'!$B$4:$CZ$603,90,FALSE)</f>
        <v>8.4826666666666668</v>
      </c>
      <c r="DA36">
        <f>VLOOKUP($B36,'[1]Data_UN_PopulationTot.&amp;%'!$B$4:$CZ$603,91,FALSE)</f>
        <v>6.5720599999999987</v>
      </c>
      <c r="DB36">
        <f>VLOOKUP($B36,'[1]Data_UN_PopulationTot.&amp;%'!$B$4:$CZ$603,92,FALSE)</f>
        <v>6.2818866666666668</v>
      </c>
      <c r="DC36">
        <f>VLOOKUP($B36,'[1]Data_UN_PopulationTot.&amp;%'!$B$4:$CZ$603,93,FALSE)</f>
        <v>7.7261333333333333</v>
      </c>
      <c r="DD36">
        <f>VLOOKUP($B36,'[1]Data_UN_PopulationTot.&amp;%'!$B$4:$CZ$603,94,FALSE)</f>
        <v>7.7708666666666666</v>
      </c>
      <c r="DE36">
        <f>VLOOKUP($B36,'[1]Data_UN_PopulationTot.&amp;%'!$B$4:$CZ$603,95,FALSE)</f>
        <v>5.9310133333333335</v>
      </c>
      <c r="DF36">
        <f>VLOOKUP($B36,'[1]Data_UN_PopulationTot.&amp;%'!$B$4:$CZ$603,96,FALSE)</f>
        <v>4.2693266666666663</v>
      </c>
      <c r="DG36">
        <f>VLOOKUP($B36,'[1]Data_UN_PopulationTot.&amp;%'!$B$4:$CZ$603,97,FALSE)</f>
        <v>3.5152399999999999</v>
      </c>
      <c r="DH36">
        <f>VLOOKUP($B36,'[1]Data_UN_PopulationTot.&amp;%'!$B$4:$CZ$603,98,FALSE)</f>
        <v>1.6950800000000001</v>
      </c>
      <c r="DI36">
        <f>VLOOKUP($B36,'[1]Data_UN_PopulationTot.&amp;%'!$B$4:$CZ$603,99,FALSE)</f>
        <v>0.71264000000000005</v>
      </c>
      <c r="DJ36">
        <f>VLOOKUP($B36,'[1]Data_UN_PopulationTot.&amp;%'!$B$4:$DE$603,100,FALSE)</f>
        <v>0.26558333333333334</v>
      </c>
      <c r="DK36">
        <f>VLOOKUP($B36,'[1]Data_UN_PopulationTot.&amp;%'!$B$4:$DE$603,101,FALSE)</f>
        <v>6.6032333333333332E-2</v>
      </c>
      <c r="DL36">
        <f>VLOOKUP($B36,'[1]Data_UN_PopulationTot.&amp;%'!$B$4:$DE$603,102,FALSE)</f>
        <v>1.08258E-2</v>
      </c>
    </row>
    <row r="37" spans="1:116">
      <c r="A37" t="s">
        <v>680</v>
      </c>
      <c r="B37" t="s">
        <v>360</v>
      </c>
      <c r="C37" t="s">
        <v>496</v>
      </c>
      <c r="D37" t="s">
        <v>334</v>
      </c>
      <c r="E37" t="s">
        <v>300</v>
      </c>
      <c r="F37">
        <v>0</v>
      </c>
      <c r="G37">
        <v>1</v>
      </c>
      <c r="H37">
        <v>0</v>
      </c>
      <c r="I37">
        <v>0</v>
      </c>
      <c r="J37" s="18">
        <f>(M37*(V37/100))/1000000000</f>
        <v>5306.9478202034006</v>
      </c>
      <c r="K37">
        <f>VLOOKUP($B37,'[1]Source GDP Current USD'!$B$1:$CZ$600,64,FALSE)</f>
        <v>61348579465.1017</v>
      </c>
      <c r="L37" s="45">
        <f>VLOOKUP($B37,'[1]Source GDP Current USD'!$B$1:$CZ$600,65,FALSE)</f>
        <v>61348579465.1017</v>
      </c>
      <c r="M37" s="17">
        <f>VLOOKUP($B37,'[1]Source GDP Current LCU'!$B$1:$CZ$600,64,FALSE)</f>
        <v>35311383460000</v>
      </c>
      <c r="N37" s="45">
        <v>35000000000000</v>
      </c>
      <c r="O37" s="45">
        <f>VLOOKUP($B37,'[1]Source GNI Current USD'!$B$1:$CZ$600,64,FALSE)</f>
        <v>59471452570.076401</v>
      </c>
      <c r="P37" s="45">
        <f>VLOOKUP($B37,'[1]Source GNI Current LCU'!$B$1:$CZ$600,64,FALSE)</f>
        <v>34230935499000</v>
      </c>
      <c r="Q37">
        <f t="shared" si="0"/>
        <v>103.15634949863279</v>
      </c>
      <c r="R37">
        <v>2280</v>
      </c>
      <c r="S37">
        <v>2280</v>
      </c>
      <c r="T37">
        <v>0.42552699999999999</v>
      </c>
      <c r="U37">
        <f>VLOOKUP($B37,'[1]Source PopulationTotal'!$B$1:$CZ$600,65,FALSE)</f>
        <v>26378275</v>
      </c>
      <c r="V37">
        <v>15.029</v>
      </c>
      <c r="W37">
        <f>VLOOKUP($B37,'[1]Source Gov. Revenue WEO'!$B$1:$CZ$600,5,FALSE)</f>
        <v>14.612</v>
      </c>
      <c r="X37">
        <f>VLOOKUP($B37,'[1]Source Gov. Revenue WEO'!$B$1:$CZ$600,6,FALSE)</f>
        <v>15.302</v>
      </c>
      <c r="Y37">
        <f>VLOOKUP($B37,'[1]Source Gov. Revenue WEO'!$B$1:$CZ$600,7,FALSE)</f>
        <v>15.422000000000001</v>
      </c>
      <c r="Z37">
        <f>VLOOKUP($B37,'[1]Source Gov. Revenue WEO'!$B$1:$CZ$600,8,FALSE)</f>
        <v>15.484</v>
      </c>
      <c r="AA37">
        <f>VLOOKUP($B37,'[1]Source Gov. Revenue WEO'!$B$1:$CZ$600,9,FALSE)</f>
        <v>15.305</v>
      </c>
      <c r="AB37">
        <f>VLOOKUP($B37,'[1]Source Gov. Revenue WEO'!$B$1:$CZ$600,10,FALSE)</f>
        <v>15.17</v>
      </c>
      <c r="AC37">
        <f>VLOOKUP($B37,[2]Summary!$B$1:$CZ$600,39,FALSE)</f>
        <v>0.2149993</v>
      </c>
      <c r="AD37">
        <f>VLOOKUP($B37,[2]Summary!$B$1:$CZ$600,40,FALSE)</f>
        <v>0.12050000000000001</v>
      </c>
      <c r="AE37">
        <f>VLOOKUP($B37,[2]Summary!$B$1:$CZ$600,47,FALSE)</f>
        <v>0.17656025666836347</v>
      </c>
      <c r="AF37">
        <f>VLOOKUP($B37,'[1]CALC GDP Growth rates WDI'!$B$1:$CZ$600,27,FALSE)</f>
        <v>76.176884545585636</v>
      </c>
      <c r="AG37">
        <f>VLOOKUP($B37,'[1]CALC GDP Growth rates WDI'!$B$1:$CZ$600,29,FALSE)</f>
        <v>74.72675010161764</v>
      </c>
      <c r="AH37">
        <v>33.22</v>
      </c>
      <c r="AI37">
        <f>VLOOKUP($B37,'[1]CALC GDP Growth rates WDI'!$B$1:$CZ$600,30,FALSE)</f>
        <v>32.550517546485722</v>
      </c>
      <c r="AJ37" t="s">
        <v>2465</v>
      </c>
      <c r="AK37">
        <f>VLOOKUP($B37,[1]Data_Aspire!$B$1:$CZ$600,2,FALSE)</f>
        <v>2017</v>
      </c>
      <c r="AL37">
        <f>VLOOKUP($B37,[1]Data_Aspire!$B$1:$CZ$600,3,FALSE)</f>
        <v>0.01</v>
      </c>
      <c r="AM37">
        <f>VLOOKUP($B37,[1]Data_Aspire!$B$1:$CZ$600,4,FALSE)</f>
        <v>0</v>
      </c>
      <c r="AN37">
        <f>VLOOKUP($B37,[1]Data_Aspire!$B$1:$CZ$600,5,FALSE)</f>
        <v>0</v>
      </c>
      <c r="AO37">
        <f>VLOOKUP($B37,[1]Data_Aspire!$B$1:$CZ$600,6,FALSE)</f>
        <v>0</v>
      </c>
      <c r="AP37">
        <f>VLOOKUP($B37,[1]Data_Aspire!$B$1:$CZ$600,7,FALSE)</f>
        <v>0</v>
      </c>
      <c r="AU37">
        <f>VLOOKUP($B37,[1]Data_Aspire!$B$1:$CZ$600,12,FALSE)</f>
        <v>0.01</v>
      </c>
      <c r="AX37">
        <f>VLOOKUP($B37,[1]Data_Aspire!$B$1:$CZ$600,15,FALSE)</f>
        <v>35000</v>
      </c>
      <c r="AY37">
        <f>VLOOKUP($B37,[1]Data_Aspire!$B$1:$CZ$600,16,FALSE)</f>
        <v>2016</v>
      </c>
      <c r="BD37">
        <f>VLOOKUP($B37,[1]Data_Aspire!$B$1:$CZ$600,21,FALSE)</f>
        <v>1086721</v>
      </c>
      <c r="BE37">
        <f>VLOOKUP($B37,[1]Data_Aspire!$B$1:$CZ$600,22,FALSE)</f>
        <v>2016</v>
      </c>
      <c r="BJ37" s="7">
        <v>1</v>
      </c>
      <c r="BK37">
        <v>384</v>
      </c>
      <c r="BL37">
        <f>VLOOKUP($B37,'[1]Data_UN_PopulationTot.&amp;%'!$B$4:$CZ$603,8,FALSE)</f>
        <v>26378.3</v>
      </c>
      <c r="BM37">
        <f>VLOOKUP($B37,'[1]Data_UN_PopulationTot.&amp;%'!$B$4:$CZ$603,9,FALSE)</f>
        <v>27053.599999999999</v>
      </c>
      <c r="BN37">
        <v>27742.3</v>
      </c>
      <c r="BO37">
        <f>VLOOKUP($B37,'[1]Data_UN_PopulationTot.&amp;%'!$B$4:$CZ$603,11,FALSE)</f>
        <v>28444.2</v>
      </c>
      <c r="BP37">
        <f>VLOOKUP($B37,'[1]Data_UN_PopulationTot.&amp;%'!$B$4:$CZ$603,12,FALSE)</f>
        <v>29159.5</v>
      </c>
      <c r="BQ37">
        <f>VLOOKUP($B37,'[1]Data_UN_PopulationTot.&amp;%'!$B$4:$CZ$603,13,FALSE)</f>
        <v>29888.2</v>
      </c>
      <c r="BR37">
        <f>VLOOKUP($B37,'[1]Data_UN_PopulationTot.&amp;%'!$B$4:$CZ$603,14,FALSE)</f>
        <v>30629.9</v>
      </c>
      <c r="BS37">
        <f>VLOOKUP($B37,'[1]Data_UN_PopulationTot.&amp;%'!$B$4:$CZ$603,15,FALSE)</f>
        <v>31384.2</v>
      </c>
      <c r="BT37">
        <f>VLOOKUP($B37,'[1]Data_UN_PopulationTot.&amp;%'!$B$4:$CZ$603,16,FALSE)</f>
        <v>32150</v>
      </c>
      <c r="BU37">
        <f>VLOOKUP($B37,'[1]Data_UN_PopulationTot.&amp;%'!$B$4:$CZ$603,17,FALSE)</f>
        <v>32926.400000000001</v>
      </c>
      <c r="BV37">
        <f>VLOOKUP($B37,'[1]Data_UN_PopulationTot.&amp;%'!$B$4:$CZ$603,18,FALSE)</f>
        <v>33712.6</v>
      </c>
      <c r="BW37">
        <f>VLOOKUP($B37,'[1]Data_UN_PopulationTot.&amp;%'!$B$4:$CZ$603,61,FALSE)</f>
        <v>15.661358010182614</v>
      </c>
      <c r="BX37">
        <f>VLOOKUP($B37,'[1]Data_UN_PopulationTot.&amp;%'!$B$4:$CZ$603,62,FALSE)</f>
        <v>13.71995162690545</v>
      </c>
      <c r="BY37">
        <f>VLOOKUP($B37,'[1]Data_UN_PopulationTot.&amp;%'!$B$4:$CZ$603,63,FALSE)</f>
        <v>12.127127221996869</v>
      </c>
      <c r="BZ37">
        <f>VLOOKUP($B37,'[1]Data_UN_PopulationTot.&amp;%'!$B$4:$CZ$603,64,FALSE)</f>
        <v>11.016365724857174</v>
      </c>
      <c r="CA37">
        <f>VLOOKUP($B37,'[1]Data_UN_PopulationTot.&amp;%'!$B$4:$CZ$603,65,FALSE)</f>
        <v>9.6233646595876152</v>
      </c>
      <c r="CB37">
        <f>VLOOKUP($B37,'[1]Data_UN_PopulationTot.&amp;%'!$B$4:$CZ$603,66,FALSE)</f>
        <v>8.0464245231876212</v>
      </c>
      <c r="CC37">
        <f>VLOOKUP($B37,'[1]Data_UN_PopulationTot.&amp;%'!$B$4:$CZ$603,67,FALSE)</f>
        <v>6.600387439675794</v>
      </c>
      <c r="CD37">
        <f>VLOOKUP($B37,'[1]Data_UN_PopulationTot.&amp;%'!$B$4:$CZ$603,68,FALSE)</f>
        <v>5.4254443993737276</v>
      </c>
      <c r="CE37">
        <f>VLOOKUP($B37,'[1]Data_UN_PopulationTot.&amp;%'!$B$4:$CZ$603,69,FALSE)</f>
        <v>4.4934662203402036</v>
      </c>
      <c r="CF37">
        <f>VLOOKUP($B37,'[1]Data_UN_PopulationTot.&amp;%'!$B$4:$CZ$603,70,FALSE)</f>
        <v>3.5341739232626819</v>
      </c>
      <c r="CG37">
        <f>VLOOKUP($B37,'[1]Data_UN_PopulationTot.&amp;%'!$B$4:$CZ$603,71,FALSE)</f>
        <v>2.7997293229662259</v>
      </c>
      <c r="CH37">
        <f>VLOOKUP($B37,'[1]Data_UN_PopulationTot.&amp;%'!$B$4:$CZ$603,72,FALSE)</f>
        <v>2.2696875841126989</v>
      </c>
      <c r="CI37">
        <f>VLOOKUP($B37,'[1]Data_UN_PopulationTot.&amp;%'!$B$4:$CZ$603,73,FALSE)</f>
        <v>1.7998468438072204</v>
      </c>
      <c r="CJ37">
        <f>VLOOKUP($B37,'[1]Data_UN_PopulationTot.&amp;%'!$B$4:$CZ$603,74,FALSE)</f>
        <v>1.3166011456386502</v>
      </c>
      <c r="CK37">
        <f>VLOOKUP($B37,'[1]Data_UN_PopulationTot.&amp;%'!$B$4:$CZ$603,75,FALSE)</f>
        <v>0.81368397508558166</v>
      </c>
      <c r="CL37">
        <f>VLOOKUP($B37,'[1]Data_UN_PopulationTot.&amp;%'!$B$4:$CZ$603,76,FALSE)</f>
        <v>0.48186577603560504</v>
      </c>
      <c r="CM37">
        <f>VLOOKUP($B37,'[1]Data_UN_PopulationTot.&amp;%'!$B$4:$CZ$603,77,FALSE)</f>
        <v>0.20847438993415041</v>
      </c>
      <c r="CN37">
        <f>VLOOKUP($B37,'[1]Data_UN_PopulationTot.&amp;%'!$B$4:$CZ$603,78,FALSE)</f>
        <v>5.4878441749468321E-2</v>
      </c>
      <c r="CO37">
        <f>VLOOKUP($B37,'[1]Data_UN_PopulationTot.&amp;%'!$B$4:$CZ$603,79,FALSE)</f>
        <v>6.7328068905122768E-3</v>
      </c>
      <c r="CP37">
        <f>VLOOKUP($B37,'[1]Data_UN_PopulationTot.&amp;%'!$B$4:$CZ$603,80,FALSE)</f>
        <v>3.2981655375820273E-4</v>
      </c>
      <c r="CQ37">
        <f>VLOOKUP($B37,'[1]Data_UN_PopulationTot.&amp;%'!$B$4:$CZ$603,81,FALSE)</f>
        <v>1.1372984612351821E-5</v>
      </c>
      <c r="CR37">
        <f>VLOOKUP($B37,'[1]Data_UN_PopulationTot.&amp;%'!$B$4:$CZ$603,82,FALSE)</f>
        <v>14.525844936314613</v>
      </c>
      <c r="CS37">
        <f>VLOOKUP($B37,'[1]Data_UN_PopulationTot.&amp;%'!$B$4:$CZ$603,83,FALSE)</f>
        <v>13.168933870422336</v>
      </c>
      <c r="CT37">
        <f>VLOOKUP($B37,'[1]Data_UN_PopulationTot.&amp;%'!$B$4:$CZ$603,84,FALSE)</f>
        <v>11.895671054739179</v>
      </c>
      <c r="CU37">
        <f>VLOOKUP($B37,'[1]Data_UN_PopulationTot.&amp;%'!$B$4:$CZ$603,85,FALSE)</f>
        <v>10.542438138856095</v>
      </c>
      <c r="CV37">
        <f>VLOOKUP($B37,'[1]Data_UN_PopulationTot.&amp;%'!$B$4:$CZ$603,86,FALSE)</f>
        <v>9.2805063982012665</v>
      </c>
      <c r="CW37">
        <f>VLOOKUP($B37,'[1]Data_UN_PopulationTot.&amp;%'!$B$4:$CZ$603,87,FALSE)</f>
        <v>8.34082805835207</v>
      </c>
      <c r="CX37">
        <f>VLOOKUP($B37,'[1]Data_UN_PopulationTot.&amp;%'!$B$4:$CZ$603,88,FALSE)</f>
        <v>7.2063560805158895</v>
      </c>
      <c r="CY37">
        <f>VLOOKUP($B37,'[1]Data_UN_PopulationTot.&amp;%'!$B$4:$CZ$603,89,FALSE)</f>
        <v>5.9542426273856064</v>
      </c>
      <c r="CZ37">
        <f>VLOOKUP($B37,'[1]Data_UN_PopulationTot.&amp;%'!$B$4:$CZ$603,90,FALSE)</f>
        <v>4.8123550245308868</v>
      </c>
      <c r="DA37">
        <f>VLOOKUP($B37,'[1]Data_UN_PopulationTot.&amp;%'!$B$4:$CZ$603,91,FALSE)</f>
        <v>3.8879825347199568</v>
      </c>
      <c r="DB37">
        <f>VLOOKUP($B37,'[1]Data_UN_PopulationTot.&amp;%'!$B$4:$CZ$603,92,FALSE)</f>
        <v>3.1470429453676076</v>
      </c>
      <c r="DC37">
        <f>VLOOKUP($B37,'[1]Data_UN_PopulationTot.&amp;%'!$B$4:$CZ$603,93,FALSE)</f>
        <v>2.3922569009806423</v>
      </c>
      <c r="DD37">
        <f>VLOOKUP($B37,'[1]Data_UN_PopulationTot.&amp;%'!$B$4:$CZ$603,94,FALSE)</f>
        <v>1.7992412332481031</v>
      </c>
      <c r="DE37">
        <f>VLOOKUP($B37,'[1]Data_UN_PopulationTot.&amp;%'!$B$4:$CZ$603,95,FALSE)</f>
        <v>1.3351298920878247</v>
      </c>
      <c r="DF37">
        <f>VLOOKUP($B37,'[1]Data_UN_PopulationTot.&amp;%'!$B$4:$CZ$603,96,FALSE)</f>
        <v>0.91027093727567743</v>
      </c>
      <c r="DG37">
        <f>VLOOKUP($B37,'[1]Data_UN_PopulationTot.&amp;%'!$B$4:$CZ$603,97,FALSE)</f>
        <v>0.5188475525471189</v>
      </c>
      <c r="DH37">
        <f>VLOOKUP($B37,'[1]Data_UN_PopulationTot.&amp;%'!$B$4:$CZ$603,98,FALSE)</f>
        <v>0.21106055302765139</v>
      </c>
      <c r="DI37">
        <f>VLOOKUP($B37,'[1]Data_UN_PopulationTot.&amp;%'!$B$4:$CZ$603,99,FALSE)</f>
        <v>6.1994625154986556E-2</v>
      </c>
      <c r="DJ37">
        <f>VLOOKUP($B37,'[1]Data_UN_PopulationTot.&amp;%'!$B$4:$DE$603,100,FALSE)</f>
        <v>8.5457662713644151E-3</v>
      </c>
      <c r="DK37">
        <f>VLOOKUP($B37,'[1]Data_UN_PopulationTot.&amp;%'!$B$4:$DE$603,101,FALSE)</f>
        <v>4.4790375111975942E-4</v>
      </c>
      <c r="DL37">
        <f>VLOOKUP($B37,'[1]Data_UN_PopulationTot.&amp;%'!$B$4:$DE$603,102,FALSE)</f>
        <v>1.4831250037078127E-5</v>
      </c>
    </row>
    <row r="38" spans="1:116">
      <c r="A38" t="s">
        <v>133</v>
      </c>
      <c r="B38" t="s">
        <v>347</v>
      </c>
      <c r="C38" t="s">
        <v>496</v>
      </c>
      <c r="D38" t="s">
        <v>334</v>
      </c>
      <c r="E38" t="s">
        <v>300</v>
      </c>
      <c r="F38">
        <v>0</v>
      </c>
      <c r="G38">
        <v>1</v>
      </c>
      <c r="H38">
        <v>0</v>
      </c>
      <c r="I38">
        <v>0</v>
      </c>
      <c r="J38" s="18">
        <f t="shared" si="1"/>
        <v>3218.1161194000001</v>
      </c>
      <c r="K38">
        <f>VLOOKUP($B38,'[1]Source GDP Current USD'!$B$1:$CZ$600,64,FALSE)</f>
        <v>40804449726.018402</v>
      </c>
      <c r="L38" s="45">
        <f>VLOOKUP($B38,'[1]Source GDP Current USD'!$B$1:$CZ$600,65,FALSE)</f>
        <v>40804449726.018402</v>
      </c>
      <c r="M38" s="17">
        <f>VLOOKUP($B38,'[1]Source GDP Current LCU'!$B$1:$CZ$600,64,FALSE)</f>
        <v>23486470000000</v>
      </c>
      <c r="N38" s="45">
        <v>23000000000000</v>
      </c>
      <c r="O38" s="45">
        <f>VLOOKUP($B38,'[1]Source GNI Current USD'!$B$1:$CZ$600,64,FALSE)</f>
        <v>39920133568.224403</v>
      </c>
      <c r="P38" s="45">
        <f>VLOOKUP($B38,'[1]Source GNI Current LCU'!$B$1:$CZ$600,64,FALSE)</f>
        <v>22977470000000</v>
      </c>
      <c r="Q38">
        <f t="shared" si="0"/>
        <v>102.21521342428039</v>
      </c>
      <c r="R38">
        <v>1520</v>
      </c>
      <c r="S38">
        <v>1520</v>
      </c>
      <c r="T38">
        <v>0.39744600000000002</v>
      </c>
      <c r="U38">
        <f>VLOOKUP($B38,'[1]Source PopulationTotal'!$B$1:$CZ$600,65,FALSE)</f>
        <v>26545864</v>
      </c>
      <c r="V38">
        <v>13.702</v>
      </c>
      <c r="W38">
        <f>VLOOKUP($B38,'[1]Source Gov. Revenue WEO'!$B$1:$CZ$600,5,FALSE)</f>
        <v>15.294</v>
      </c>
      <c r="X38">
        <f>VLOOKUP($B38,'[1]Source Gov. Revenue WEO'!$B$1:$CZ$600,6,FALSE)</f>
        <v>16.603000000000002</v>
      </c>
      <c r="Y38">
        <f>VLOOKUP($B38,'[1]Source Gov. Revenue WEO'!$B$1:$CZ$600,7,FALSE)</f>
        <v>16.783000000000001</v>
      </c>
      <c r="Z38">
        <f>VLOOKUP($B38,'[1]Source Gov. Revenue WEO'!$B$1:$CZ$600,8,FALSE)</f>
        <v>17.068000000000001</v>
      </c>
      <c r="AA38">
        <f>VLOOKUP($B38,'[1]Source Gov. Revenue WEO'!$B$1:$CZ$600,9,FALSE)</f>
        <v>17.541</v>
      </c>
      <c r="AB38">
        <f>VLOOKUP($B38,'[1]Source Gov. Revenue WEO'!$B$1:$CZ$600,10,FALSE)</f>
        <v>18.021999999999998</v>
      </c>
      <c r="AC38">
        <f>VLOOKUP($B38,[2]Summary!$B$1:$CZ$600,39,FALSE)</f>
        <v>0.21304780000000001</v>
      </c>
      <c r="AD38">
        <f>VLOOKUP($B38,[2]Summary!$B$1:$CZ$600,40,FALSE)</f>
        <v>0.19425000000000001</v>
      </c>
      <c r="AE38">
        <f>VLOOKUP($B38,[2]Summary!$B$1:$CZ$600,47,FALSE)</f>
        <v>0.1944391459074733</v>
      </c>
      <c r="AF38">
        <f>VLOOKUP($B38,'[1]CALC GDP Growth rates WDI'!$B$1:$CZ$600,27,FALSE)</f>
        <v>48.433389390285917</v>
      </c>
      <c r="AG38">
        <f>VLOOKUP($B38,'[1]CALC GDP Growth rates WDI'!$B$1:$CZ$600,29,FALSE)</f>
        <v>47.107197253484998</v>
      </c>
      <c r="AH38">
        <v>17.010000000000002</v>
      </c>
      <c r="AI38">
        <f>VLOOKUP($B38,'[1]CALC GDP Growth rates WDI'!$B$1:$CZ$600,30,FALSE)</f>
        <v>19.075578611934141</v>
      </c>
      <c r="AJ38" s="45" t="s">
        <v>2464</v>
      </c>
      <c r="AK38">
        <f>VLOOKUP($B38,[1]Data_Aspire!$B$1:$CZ$600,2,FALSE)</f>
        <v>2016</v>
      </c>
      <c r="AL38">
        <f>VLOOKUP($B38,[1]Data_Aspire!$B$1:$CZ$600,3,FALSE)</f>
        <v>0.03</v>
      </c>
      <c r="AM38">
        <f>VLOOKUP($B38,[1]Data_Aspire!$B$1:$CZ$600,4,FALSE)</f>
        <v>0.02</v>
      </c>
      <c r="AN38">
        <f>VLOOKUP($B38,[1]Data_Aspire!$B$1:$CZ$600,5,FALSE)</f>
        <v>0</v>
      </c>
      <c r="AO38">
        <f>VLOOKUP($B38,[1]Data_Aspire!$B$1:$CZ$600,6,FALSE)</f>
        <v>0</v>
      </c>
      <c r="AP38">
        <f>VLOOKUP($B38,[1]Data_Aspire!$B$1:$CZ$600,7,FALSE)</f>
        <v>0</v>
      </c>
      <c r="AU38">
        <f>VLOOKUP($B38,[1]Data_Aspire!$B$1:$CZ$600,12,FALSE)</f>
        <v>0.03</v>
      </c>
      <c r="AV38">
        <f>VLOOKUP($B38,[1]Data_Aspire!$B$1:$CZ$600,13,FALSE)</f>
        <v>21500</v>
      </c>
      <c r="AW38">
        <f>VLOOKUP($B38,[1]Data_Aspire!$B$1:$CZ$600,14,FALSE)</f>
        <v>2016</v>
      </c>
      <c r="AX38">
        <f>VLOOKUP($B38,[1]Data_Aspire!$B$1:$CZ$600,15,FALSE)</f>
        <v>118710</v>
      </c>
      <c r="AY38">
        <f>VLOOKUP($B38,[1]Data_Aspire!$B$1:$CZ$600,16,FALSE)</f>
        <v>2016</v>
      </c>
      <c r="BD38">
        <f>VLOOKUP($B38,[1]Data_Aspire!$B$1:$CZ$600,21,FALSE)</f>
        <v>55000</v>
      </c>
      <c r="BE38">
        <f>VLOOKUP($B38,[1]Data_Aspire!$B$1:$CZ$600,22,FALSE)</f>
        <v>2016</v>
      </c>
      <c r="BF38">
        <f>VLOOKUP($B38,[1]Data_Aspire!$B$1:$CZ$600,23,FALSE)</f>
        <v>5000</v>
      </c>
      <c r="BG38">
        <f>VLOOKUP($B38,[1]Data_Aspire!$B$1:$CZ$600,24,FALSE)</f>
        <v>2016</v>
      </c>
      <c r="BH38">
        <f>VLOOKUP($B38,[1]Data_Aspire!$B$1:$CZ$600,25,FALSE)</f>
        <v>46449</v>
      </c>
      <c r="BI38">
        <f>VLOOKUP($B38,[1]Data_Aspire!$B$1:$CZ$600,26,FALSE)</f>
        <v>2016</v>
      </c>
      <c r="BJ38" s="7">
        <v>1</v>
      </c>
      <c r="BK38">
        <v>120</v>
      </c>
      <c r="BL38">
        <f>VLOOKUP($B38,'[1]Data_UN_PopulationTot.&amp;%'!$B$4:$CZ$603,8,FALSE)</f>
        <v>26545.9</v>
      </c>
      <c r="BM38">
        <f>VLOOKUP($B38,'[1]Data_UN_PopulationTot.&amp;%'!$B$4:$CZ$603,9,FALSE)</f>
        <v>27224.3</v>
      </c>
      <c r="BN38">
        <v>27911.5</v>
      </c>
      <c r="BO38">
        <f>VLOOKUP($B38,'[1]Data_UN_PopulationTot.&amp;%'!$B$4:$CZ$603,11,FALSE)</f>
        <v>28608.1</v>
      </c>
      <c r="BP38">
        <f>VLOOKUP($B38,'[1]Data_UN_PopulationTot.&amp;%'!$B$4:$CZ$603,12,FALSE)</f>
        <v>29314.7</v>
      </c>
      <c r="BQ38">
        <f>VLOOKUP($B38,'[1]Data_UN_PopulationTot.&amp;%'!$B$4:$CZ$603,13,FALSE)</f>
        <v>30031.7</v>
      </c>
      <c r="BR38">
        <f>VLOOKUP($B38,'[1]Data_UN_PopulationTot.&amp;%'!$B$4:$CZ$603,14,FALSE)</f>
        <v>30759.1</v>
      </c>
      <c r="BS38">
        <f>VLOOKUP($B38,'[1]Data_UN_PopulationTot.&amp;%'!$B$4:$CZ$603,15,FALSE)</f>
        <v>31496.6</v>
      </c>
      <c r="BT38">
        <f>VLOOKUP($B38,'[1]Data_UN_PopulationTot.&amp;%'!$B$4:$CZ$603,16,FALSE)</f>
        <v>32243.9</v>
      </c>
      <c r="BU38">
        <f>VLOOKUP($B38,'[1]Data_UN_PopulationTot.&amp;%'!$B$4:$CZ$603,17,FALSE)</f>
        <v>33000.5</v>
      </c>
      <c r="BV38">
        <f>VLOOKUP($B38,'[1]Data_UN_PopulationTot.&amp;%'!$B$4:$CZ$603,18,FALSE)</f>
        <v>33766.1</v>
      </c>
      <c r="BW38">
        <f>VLOOKUP($B38,'[1]Data_UN_PopulationTot.&amp;%'!$B$4:$CZ$603,61,FALSE)</f>
        <v>15.504089143709573</v>
      </c>
      <c r="BX38">
        <f>VLOOKUP($B38,'[1]Data_UN_PopulationTot.&amp;%'!$B$4:$CZ$603,62,FALSE)</f>
        <v>14.052339532658529</v>
      </c>
      <c r="BY38">
        <f>VLOOKUP($B38,'[1]Data_UN_PopulationTot.&amp;%'!$B$4:$CZ$603,63,FALSE)</f>
        <v>12.507430525994598</v>
      </c>
      <c r="BZ38">
        <f>VLOOKUP($B38,'[1]Data_UN_PopulationTot.&amp;%'!$B$4:$CZ$603,64,FALSE)</f>
        <v>10.759665334383087</v>
      </c>
      <c r="CA38">
        <f>VLOOKUP($B38,'[1]Data_UN_PopulationTot.&amp;%'!$B$4:$CZ$603,65,FALSE)</f>
        <v>9.1162853774029138</v>
      </c>
      <c r="CB38">
        <f>VLOOKUP($B38,'[1]Data_UN_PopulationTot.&amp;%'!$B$4:$CZ$603,66,FALSE)</f>
        <v>8.0305809936751054</v>
      </c>
      <c r="CC38">
        <f>VLOOKUP($B38,'[1]Data_UN_PopulationTot.&amp;%'!$B$4:$CZ$603,67,FALSE)</f>
        <v>7.0098207256111102</v>
      </c>
      <c r="CD38">
        <f>VLOOKUP($B38,'[1]Data_UN_PopulationTot.&amp;%'!$B$4:$CZ$603,68,FALSE)</f>
        <v>5.7975807940209219</v>
      </c>
      <c r="CE38">
        <f>VLOOKUP($B38,'[1]Data_UN_PopulationTot.&amp;%'!$B$4:$CZ$603,69,FALSE)</f>
        <v>4.5326396920051684</v>
      </c>
      <c r="CF38">
        <f>VLOOKUP($B38,'[1]Data_UN_PopulationTot.&amp;%'!$B$4:$CZ$603,70,FALSE)</f>
        <v>3.5357927212865259</v>
      </c>
      <c r="CG38">
        <f>VLOOKUP($B38,'[1]Data_UN_PopulationTot.&amp;%'!$B$4:$CZ$603,71,FALSE)</f>
        <v>2.7466802783103978</v>
      </c>
      <c r="CH38">
        <f>VLOOKUP($B38,'[1]Data_UN_PopulationTot.&amp;%'!$B$4:$CZ$603,72,FALSE)</f>
        <v>2.1070899837639709</v>
      </c>
      <c r="CI38">
        <f>VLOOKUP($B38,'[1]Data_UN_PopulationTot.&amp;%'!$B$4:$CZ$603,73,FALSE)</f>
        <v>1.5836720548182581</v>
      </c>
      <c r="CJ38">
        <f>VLOOKUP($B38,'[1]Data_UN_PopulationTot.&amp;%'!$B$4:$CZ$603,74,FALSE)</f>
        <v>1.1787093298776834</v>
      </c>
      <c r="CK38">
        <f>VLOOKUP($B38,'[1]Data_UN_PopulationTot.&amp;%'!$B$4:$CZ$603,75,FALSE)</f>
        <v>0.79075111410801679</v>
      </c>
      <c r="CL38">
        <f>VLOOKUP($B38,'[1]Data_UN_PopulationTot.&amp;%'!$B$4:$CZ$603,76,FALSE)</f>
        <v>0.46267785232371095</v>
      </c>
      <c r="CM38">
        <f>VLOOKUP($B38,'[1]Data_UN_PopulationTot.&amp;%'!$B$4:$CZ$603,77,FALSE)</f>
        <v>0.2139275745030306</v>
      </c>
      <c r="CN38">
        <f>VLOOKUP($B38,'[1]Data_UN_PopulationTot.&amp;%'!$B$4:$CZ$603,78,FALSE)</f>
        <v>6.1406846254977221E-2</v>
      </c>
      <c r="CO38">
        <f>VLOOKUP($B38,'[1]Data_UN_PopulationTot.&amp;%'!$B$4:$CZ$603,79,FALSE)</f>
        <v>8.2611627407622266E-3</v>
      </c>
      <c r="CP38">
        <f>VLOOKUP($B38,'[1]Data_UN_PopulationTot.&amp;%'!$B$4:$CZ$603,80,FALSE)</f>
        <v>4.1437660806376876E-4</v>
      </c>
      <c r="CQ38">
        <f>VLOOKUP($B38,'[1]Data_UN_PopulationTot.&amp;%'!$B$4:$CZ$603,81,FALSE)</f>
        <v>1.5068240293227956E-5</v>
      </c>
      <c r="CR38">
        <f>VLOOKUP($B38,'[1]Data_UN_PopulationTot.&amp;%'!$B$4:$CZ$603,82,FALSE)</f>
        <v>14.020126695117293</v>
      </c>
      <c r="CS38">
        <f>VLOOKUP($B38,'[1]Data_UN_PopulationTot.&amp;%'!$B$4:$CZ$603,83,FALSE)</f>
        <v>12.831301216308667</v>
      </c>
      <c r="CT38">
        <f>VLOOKUP($B38,'[1]Data_UN_PopulationTot.&amp;%'!$B$4:$CZ$603,84,FALSE)</f>
        <v>11.827928010637889</v>
      </c>
      <c r="CU38">
        <f>VLOOKUP($B38,'[1]Data_UN_PopulationTot.&amp;%'!$B$4:$CZ$603,85,FALSE)</f>
        <v>10.840576791515751</v>
      </c>
      <c r="CV38">
        <f>VLOOKUP($B38,'[1]Data_UN_PopulationTot.&amp;%'!$B$4:$CZ$603,86,FALSE)</f>
        <v>9.597614175163848</v>
      </c>
      <c r="CW38">
        <f>VLOOKUP($B38,'[1]Data_UN_PopulationTot.&amp;%'!$B$4:$CZ$603,87,FALSE)</f>
        <v>8.1711539088020224</v>
      </c>
      <c r="CX38">
        <f>VLOOKUP($B38,'[1]Data_UN_PopulationTot.&amp;%'!$B$4:$CZ$603,88,FALSE)</f>
        <v>6.8667095104261371</v>
      </c>
      <c r="CY38">
        <f>VLOOKUP($B38,'[1]Data_UN_PopulationTot.&amp;%'!$B$4:$CZ$603,89,FALSE)</f>
        <v>6.0050168660283543</v>
      </c>
      <c r="CZ38">
        <f>VLOOKUP($B38,'[1]Data_UN_PopulationTot.&amp;%'!$B$4:$CZ$603,90,FALSE)</f>
        <v>5.189909406179571</v>
      </c>
      <c r="DA38">
        <f>VLOOKUP($B38,'[1]Data_UN_PopulationTot.&amp;%'!$B$4:$CZ$603,91,FALSE)</f>
        <v>4.2358756267380597</v>
      </c>
      <c r="DB38">
        <f>VLOOKUP($B38,'[1]Data_UN_PopulationTot.&amp;%'!$B$4:$CZ$603,92,FALSE)</f>
        <v>3.2471028635228825</v>
      </c>
      <c r="DC38">
        <f>VLOOKUP($B38,'[1]Data_UN_PopulationTot.&amp;%'!$B$4:$CZ$603,93,FALSE)</f>
        <v>2.4560728067499658</v>
      </c>
      <c r="DD38">
        <f>VLOOKUP($B38,'[1]Data_UN_PopulationTot.&amp;%'!$B$4:$CZ$603,94,FALSE)</f>
        <v>1.8183681266121936</v>
      </c>
      <c r="DE38">
        <f>VLOOKUP($B38,'[1]Data_UN_PopulationTot.&amp;%'!$B$4:$CZ$603,95,FALSE)</f>
        <v>1.2830827368277653</v>
      </c>
      <c r="DF38">
        <f>VLOOKUP($B38,'[1]Data_UN_PopulationTot.&amp;%'!$B$4:$CZ$603,96,FALSE)</f>
        <v>0.83404361178815445</v>
      </c>
      <c r="DG38">
        <f>VLOOKUP($B38,'[1]Data_UN_PopulationTot.&amp;%'!$B$4:$CZ$603,97,FALSE)</f>
        <v>0.48662712009974507</v>
      </c>
      <c r="DH38">
        <f>VLOOKUP($B38,'[1]Data_UN_PopulationTot.&amp;%'!$B$4:$CZ$603,98,FALSE)</f>
        <v>0.2162020488004241</v>
      </c>
      <c r="DI38">
        <f>VLOOKUP($B38,'[1]Data_UN_PopulationTot.&amp;%'!$B$4:$CZ$603,99,FALSE)</f>
        <v>6.2781902559075523E-2</v>
      </c>
      <c r="DJ38">
        <f>VLOOKUP($B38,'[1]Data_UN_PopulationTot.&amp;%'!$B$4:$DE$603,100,FALSE)</f>
        <v>9.0534589425488882E-3</v>
      </c>
      <c r="DK38">
        <f>VLOOKUP($B38,'[1]Data_UN_PopulationTot.&amp;%'!$B$4:$DE$603,101,FALSE)</f>
        <v>4.7680958120718711E-4</v>
      </c>
      <c r="DL38">
        <f>VLOOKUP($B38,'[1]Data_UN_PopulationTot.&amp;%'!$B$4:$DE$603,102,FALSE)</f>
        <v>1.4807750969167303E-5</v>
      </c>
    </row>
    <row r="39" spans="1:116">
      <c r="A39" t="s">
        <v>100</v>
      </c>
      <c r="B39" t="s">
        <v>313</v>
      </c>
      <c r="C39" t="s">
        <v>496</v>
      </c>
      <c r="D39" t="s">
        <v>306</v>
      </c>
      <c r="E39" t="s">
        <v>299</v>
      </c>
      <c r="F39">
        <v>1</v>
      </c>
      <c r="G39">
        <v>0</v>
      </c>
      <c r="H39">
        <v>0</v>
      </c>
      <c r="I39">
        <v>0</v>
      </c>
      <c r="J39" s="18">
        <f t="shared" si="1"/>
        <v>8819.7064713778782</v>
      </c>
      <c r="K39">
        <f>VLOOKUP($B39,'[1]Source GDP Current USD'!$B$1:$CZ$600,64,FALSE)</f>
        <v>48716960860.066399</v>
      </c>
      <c r="L39" s="45">
        <f>VLOOKUP($B39,'[1]Source GDP Current USD'!$B$1:$CZ$600,65,FALSE)</f>
        <v>48716960860.066399</v>
      </c>
      <c r="M39" s="17">
        <f>VLOOKUP($B39,'[1]Source GDP Current LCU'!$B$1:$CZ$600,64,FALSE)</f>
        <v>90181047764600</v>
      </c>
      <c r="N39" s="45">
        <v>90000000000000</v>
      </c>
      <c r="O39" s="45">
        <f>VLOOKUP($B39,'[1]Source GNI Current USD'!$B$1:$CZ$600,64,FALSE)</f>
        <v>47444089515.376099</v>
      </c>
      <c r="P39" s="45">
        <f>VLOOKUP($B39,'[1]Source GNI Current LCU'!$B$1:$CZ$600,64,FALSE)</f>
        <v>87824807360700</v>
      </c>
      <c r="Q39">
        <f t="shared" si="0"/>
        <v>102.68288707337874</v>
      </c>
      <c r="R39">
        <v>550</v>
      </c>
      <c r="S39">
        <v>550</v>
      </c>
      <c r="T39">
        <v>0.47638900000000001</v>
      </c>
      <c r="U39">
        <f>VLOOKUP($B39,'[1]Source PopulationTotal'!$B$1:$CZ$600,65,FALSE)</f>
        <v>89561404</v>
      </c>
      <c r="V39">
        <v>9.7799999999999994</v>
      </c>
      <c r="W39">
        <f>VLOOKUP($B39,'[1]Source Gov. Revenue WEO'!$B$1:$CZ$600,5,FALSE)</f>
        <v>11.199</v>
      </c>
      <c r="X39">
        <f>VLOOKUP($B39,'[1]Source Gov. Revenue WEO'!$B$1:$CZ$600,6,FALSE)</f>
        <v>12.189</v>
      </c>
      <c r="Y39">
        <f>VLOOKUP($B39,'[1]Source Gov. Revenue WEO'!$B$1:$CZ$600,7,FALSE)</f>
        <v>13.041</v>
      </c>
      <c r="Z39">
        <f>VLOOKUP($B39,'[1]Source Gov. Revenue WEO'!$B$1:$CZ$600,8,FALSE)</f>
        <v>13.996</v>
      </c>
      <c r="AA39">
        <f>VLOOKUP($B39,'[1]Source Gov. Revenue WEO'!$B$1:$CZ$600,9,FALSE)</f>
        <v>14.093999999999999</v>
      </c>
      <c r="AB39">
        <f>VLOOKUP($B39,'[1]Source Gov. Revenue WEO'!$B$1:$CZ$600,10,FALSE)</f>
        <v>14.448</v>
      </c>
      <c r="AC39">
        <f>VLOOKUP($B39,[2]Summary!$B$1:$CZ$600,39,FALSE)</f>
        <v>0.70729180000000003</v>
      </c>
      <c r="AD39">
        <f>VLOOKUP($B39,[2]Summary!$B$1:$CZ$600,40,FALSE)</f>
        <v>0.63124999999999998</v>
      </c>
      <c r="AE39">
        <f>VLOOKUP($B39,[2]Summary!$B$1:$CZ$600,47,FALSE)</f>
        <v>0.1376224222339876</v>
      </c>
      <c r="AF39">
        <f>VLOOKUP($B39,'[1]CALC GDP Growth rates WDI'!$B$1:$CZ$600,27,FALSE)</f>
        <v>73.451467291462507</v>
      </c>
      <c r="AG39">
        <f>VLOOKUP($B39,'[1]CALC GDP Growth rates WDI'!$B$1:$CZ$600,29,FALSE)</f>
        <v>75.537209114477861</v>
      </c>
      <c r="AH39">
        <v>19.36</v>
      </c>
      <c r="AI39">
        <f>VLOOKUP($B39,'[1]CALC GDP Growth rates WDI'!$B$1:$CZ$600,30,FALSE)</f>
        <v>20.581996630494558</v>
      </c>
      <c r="AJ39" t="s">
        <v>2465</v>
      </c>
      <c r="AK39">
        <f>VLOOKUP($B39,[1]Data_Aspire!$B$1:$CZ$600,2,FALSE)</f>
        <v>2016</v>
      </c>
      <c r="AL39">
        <f>VLOOKUP($B39,[1]Data_Aspire!$B$1:$CZ$600,3,FALSE)</f>
        <v>0.68</v>
      </c>
      <c r="AM39">
        <f>VLOOKUP($B39,[1]Data_Aspire!$B$1:$CZ$600,4,FALSE)</f>
        <v>0</v>
      </c>
      <c r="AN39">
        <f>VLOOKUP($B39,[1]Data_Aspire!$B$1:$CZ$600,5,FALSE)</f>
        <v>0</v>
      </c>
      <c r="AO39">
        <f>VLOOKUP($B39,[1]Data_Aspire!$B$1:$CZ$600,6,FALSE)</f>
        <v>0</v>
      </c>
      <c r="AP39">
        <f>VLOOKUP($B39,[1]Data_Aspire!$B$1:$CZ$600,7,FALSE)</f>
        <v>0</v>
      </c>
      <c r="AQ39">
        <f>VLOOKUP($B39,[1]Data_Aspire!$B$1:$CZ$600,8,FALSE)</f>
        <v>0.03</v>
      </c>
      <c r="AR39">
        <f>VLOOKUP($B39,[1]Data_Aspire!$B$1:$CZ$600,9,FALSE)</f>
        <v>0.65</v>
      </c>
      <c r="AU39">
        <f>VLOOKUP($B39,[1]Data_Aspire!$B$1:$CZ$600,12,FALSE)</f>
        <v>0.68</v>
      </c>
      <c r="AV39">
        <f>VLOOKUP($B39,[1]Data_Aspire!$B$1:$CZ$600,13,FALSE)</f>
        <v>0</v>
      </c>
      <c r="AW39">
        <f>VLOOKUP($B39,[1]Data_Aspire!$B$1:$CZ$600,14,FALSE)</f>
        <v>0</v>
      </c>
      <c r="AX39">
        <f>VLOOKUP($B39,[1]Data_Aspire!$B$1:$CZ$600,15,FALSE)</f>
        <v>64343</v>
      </c>
      <c r="AY39">
        <f>VLOOKUP($B39,[1]Data_Aspire!$B$1:$CZ$600,16,FALSE)</f>
        <v>2015</v>
      </c>
      <c r="BB39">
        <f>VLOOKUP($B39,[1]Data_Aspire!$B$1:$CZ$600,19,FALSE)</f>
        <v>3233000</v>
      </c>
      <c r="BC39">
        <f>VLOOKUP($B39,[1]Data_Aspire!$B$1:$CZ$600,20,FALSE)</f>
        <v>2016</v>
      </c>
      <c r="BF39">
        <f>VLOOKUP($B39,[1]Data_Aspire!$B$1:$CZ$600,23,FALSE)</f>
        <v>588359</v>
      </c>
      <c r="BG39">
        <f>VLOOKUP($B39,[1]Data_Aspire!$B$1:$CZ$600,24,FALSE)</f>
        <v>2016</v>
      </c>
      <c r="BH39">
        <f>VLOOKUP($B39,[1]Data_Aspire!$B$1:$CZ$600,25,FALSE)</f>
        <v>47580</v>
      </c>
      <c r="BI39">
        <f>VLOOKUP($B39,[1]Data_Aspire!$B$1:$CZ$600,26,FALSE)</f>
        <v>2016</v>
      </c>
      <c r="BJ39" s="7">
        <v>1</v>
      </c>
      <c r="BK39">
        <v>180</v>
      </c>
      <c r="BL39">
        <f>VLOOKUP($B39,'[1]Data_UN_PopulationTot.&amp;%'!$B$4:$CZ$603,8,FALSE)</f>
        <v>89561.4</v>
      </c>
      <c r="BM39">
        <f>VLOOKUP($B39,'[1]Data_UN_PopulationTot.&amp;%'!$B$4:$CZ$603,9,FALSE)</f>
        <v>92378</v>
      </c>
      <c r="BN39">
        <v>95240.8</v>
      </c>
      <c r="BO39">
        <f>VLOOKUP($B39,'[1]Data_UN_PopulationTot.&amp;%'!$B$4:$CZ$603,11,FALSE)</f>
        <v>98152</v>
      </c>
      <c r="BP39">
        <f>VLOOKUP($B39,'[1]Data_UN_PopulationTot.&amp;%'!$B$4:$CZ$603,12,FALSE)</f>
        <v>101115</v>
      </c>
      <c r="BQ39">
        <f>VLOOKUP($B39,'[1]Data_UN_PopulationTot.&amp;%'!$B$4:$CZ$603,13,FALSE)</f>
        <v>104134</v>
      </c>
      <c r="BR39">
        <f>VLOOKUP($B39,'[1]Data_UN_PopulationTot.&amp;%'!$B$4:$CZ$603,14,FALSE)</f>
        <v>107206</v>
      </c>
      <c r="BS39">
        <f>VLOOKUP($B39,'[1]Data_UN_PopulationTot.&amp;%'!$B$4:$CZ$603,15,FALSE)</f>
        <v>110332</v>
      </c>
      <c r="BT39">
        <f>VLOOKUP($B39,'[1]Data_UN_PopulationTot.&amp;%'!$B$4:$CZ$603,16,FALSE)</f>
        <v>113514</v>
      </c>
      <c r="BU39">
        <f>VLOOKUP($B39,'[1]Data_UN_PopulationTot.&amp;%'!$B$4:$CZ$603,17,FALSE)</f>
        <v>116751</v>
      </c>
      <c r="BV39">
        <f>VLOOKUP($B39,'[1]Data_UN_PopulationTot.&amp;%'!$B$4:$CZ$603,18,FALSE)</f>
        <v>120047</v>
      </c>
      <c r="BW39">
        <f>VLOOKUP($B39,'[1]Data_UN_PopulationTot.&amp;%'!$B$4:$CZ$603,61,FALSE)</f>
        <v>17.672122141904882</v>
      </c>
      <c r="BX39">
        <f>VLOOKUP($B39,'[1]Data_UN_PopulationTot.&amp;%'!$B$4:$CZ$603,62,FALSE)</f>
        <v>15.251994720940049</v>
      </c>
      <c r="BY39">
        <f>VLOOKUP($B39,'[1]Data_UN_PopulationTot.&amp;%'!$B$4:$CZ$603,63,FALSE)</f>
        <v>12.871058290736858</v>
      </c>
      <c r="BZ39">
        <f>VLOOKUP($B39,'[1]Data_UN_PopulationTot.&amp;%'!$B$4:$CZ$603,64,FALSE)</f>
        <v>10.576554185173524</v>
      </c>
      <c r="CA39">
        <f>VLOOKUP($B39,'[1]Data_UN_PopulationTot.&amp;%'!$B$4:$CZ$603,65,FALSE)</f>
        <v>8.6306265869001617</v>
      </c>
      <c r="CB39">
        <f>VLOOKUP($B39,'[1]Data_UN_PopulationTot.&amp;%'!$B$4:$CZ$603,66,FALSE)</f>
        <v>7.1900617900122157</v>
      </c>
      <c r="CC39">
        <f>VLOOKUP($B39,'[1]Data_UN_PopulationTot.&amp;%'!$B$4:$CZ$603,67,FALSE)</f>
        <v>5.9634284412704588</v>
      </c>
      <c r="CD39">
        <f>VLOOKUP($B39,'[1]Data_UN_PopulationTot.&amp;%'!$B$4:$CZ$603,68,FALSE)</f>
        <v>4.9367249730352585</v>
      </c>
      <c r="CE39">
        <f>VLOOKUP($B39,'[1]Data_UN_PopulationTot.&amp;%'!$B$4:$CZ$603,69,FALSE)</f>
        <v>4.052069306643264</v>
      </c>
      <c r="CF39">
        <f>VLOOKUP($B39,'[1]Data_UN_PopulationTot.&amp;%'!$B$4:$CZ$603,70,FALSE)</f>
        <v>3.3233513544897697</v>
      </c>
      <c r="CG39">
        <f>VLOOKUP($B39,'[1]Data_UN_PopulationTot.&amp;%'!$B$4:$CZ$603,71,FALSE)</f>
        <v>2.7039997141625745</v>
      </c>
      <c r="CH39">
        <f>VLOOKUP($B39,'[1]Data_UN_PopulationTot.&amp;%'!$B$4:$CZ$603,72,FALSE)</f>
        <v>2.1496649226117501</v>
      </c>
      <c r="CI39">
        <f>VLOOKUP($B39,'[1]Data_UN_PopulationTot.&amp;%'!$B$4:$CZ$603,73,FALSE)</f>
        <v>1.6596547173224181</v>
      </c>
      <c r="CJ39">
        <f>VLOOKUP($B39,'[1]Data_UN_PopulationTot.&amp;%'!$B$4:$CZ$603,74,FALSE)</f>
        <v>1.2275712527941727</v>
      </c>
      <c r="CK39">
        <f>VLOOKUP($B39,'[1]Data_UN_PopulationTot.&amp;%'!$B$4:$CZ$603,75,FALSE)</f>
        <v>0.88097104332893417</v>
      </c>
      <c r="CL39">
        <f>VLOOKUP($B39,'[1]Data_UN_PopulationTot.&amp;%'!$B$4:$CZ$603,76,FALSE)</f>
        <v>0.53558340981717578</v>
      </c>
      <c r="CM39">
        <f>VLOOKUP($B39,'[1]Data_UN_PopulationTot.&amp;%'!$B$4:$CZ$603,77,FALSE)</f>
        <v>0.25962635689035679</v>
      </c>
      <c r="CN39">
        <f>VLOOKUP($B39,'[1]Data_UN_PopulationTot.&amp;%'!$B$4:$CZ$603,78,FALSE)</f>
        <v>9.1279278796445804E-2</v>
      </c>
      <c r="CO39">
        <f>VLOOKUP($B39,'[1]Data_UN_PopulationTot.&amp;%'!$B$4:$CZ$603,79,FALSE)</f>
        <v>2.0739961635258049E-2</v>
      </c>
      <c r="CP39">
        <f>VLOOKUP($B39,'[1]Data_UN_PopulationTot.&amp;%'!$B$4:$CZ$603,80,FALSE)</f>
        <v>2.7009403604677908E-3</v>
      </c>
      <c r="CQ39">
        <f>VLOOKUP($B39,'[1]Data_UN_PopulationTot.&amp;%'!$B$4:$CZ$603,81,FALSE)</f>
        <v>1.9986288735995641E-4</v>
      </c>
      <c r="CR39">
        <f>VLOOKUP($B39,'[1]Data_UN_PopulationTot.&amp;%'!$B$4:$CZ$603,82,FALSE)</f>
        <v>15.959082692612062</v>
      </c>
      <c r="CS39">
        <f>VLOOKUP($B39,'[1]Data_UN_PopulationTot.&amp;%'!$B$4:$CZ$603,83,FALSE)</f>
        <v>14.157121793964031</v>
      </c>
      <c r="CT39">
        <f>VLOOKUP($B39,'[1]Data_UN_PopulationTot.&amp;%'!$B$4:$CZ$603,84,FALSE)</f>
        <v>12.660457987288313</v>
      </c>
      <c r="CU39">
        <f>VLOOKUP($B39,'[1]Data_UN_PopulationTot.&amp;%'!$B$4:$CZ$603,85,FALSE)</f>
        <v>11.134722233791765</v>
      </c>
      <c r="CV39">
        <f>VLOOKUP($B39,'[1]Data_UN_PopulationTot.&amp;%'!$B$4:$CZ$603,86,FALSE)</f>
        <v>9.3649154081318144</v>
      </c>
      <c r="CW39">
        <f>VLOOKUP($B39,'[1]Data_UN_PopulationTot.&amp;%'!$B$4:$CZ$603,87,FALSE)</f>
        <v>7.6386332019958854</v>
      </c>
      <c r="CX39">
        <f>VLOOKUP($B39,'[1]Data_UN_PopulationTot.&amp;%'!$B$4:$CZ$603,88,FALSE)</f>
        <v>6.2047364782127001</v>
      </c>
      <c r="CY39">
        <f>VLOOKUP($B39,'[1]Data_UN_PopulationTot.&amp;%'!$B$4:$CZ$603,89,FALSE)</f>
        <v>5.1507492898614702</v>
      </c>
      <c r="CZ39">
        <f>VLOOKUP($B39,'[1]Data_UN_PopulationTot.&amp;%'!$B$4:$CZ$603,90,FALSE)</f>
        <v>4.2459619982173642</v>
      </c>
      <c r="DA39">
        <f>VLOOKUP($B39,'[1]Data_UN_PopulationTot.&amp;%'!$B$4:$CZ$603,91,FALSE)</f>
        <v>3.4809033128691262</v>
      </c>
      <c r="DB39">
        <f>VLOOKUP($B39,'[1]Data_UN_PopulationTot.&amp;%'!$B$4:$CZ$603,92,FALSE)</f>
        <v>2.8131898339816908</v>
      </c>
      <c r="DC39">
        <f>VLOOKUP($B39,'[1]Data_UN_PopulationTot.&amp;%'!$B$4:$CZ$603,93,FALSE)</f>
        <v>2.2508517497313552</v>
      </c>
      <c r="DD39">
        <f>VLOOKUP($B39,'[1]Data_UN_PopulationTot.&amp;%'!$B$4:$CZ$603,94,FALSE)</f>
        <v>1.7612768332403144</v>
      </c>
      <c r="DE39">
        <f>VLOOKUP($B39,'[1]Data_UN_PopulationTot.&amp;%'!$B$4:$CZ$603,95,FALSE)</f>
        <v>1.3075628712087766</v>
      </c>
      <c r="DF39">
        <f>VLOOKUP($B39,'[1]Data_UN_PopulationTot.&amp;%'!$B$4:$CZ$603,96,FALSE)</f>
        <v>0.89773172174231775</v>
      </c>
      <c r="DG39">
        <f>VLOOKUP($B39,'[1]Data_UN_PopulationTot.&amp;%'!$B$4:$CZ$603,97,FALSE)</f>
        <v>0.54760218914258574</v>
      </c>
      <c r="DH39">
        <f>VLOOKUP($B39,'[1]Data_UN_PopulationTot.&amp;%'!$B$4:$CZ$603,98,FALSE)</f>
        <v>0.28763151099152834</v>
      </c>
      <c r="DI39">
        <f>VLOOKUP($B39,'[1]Data_UN_PopulationTot.&amp;%'!$B$4:$CZ$603,99,FALSE)</f>
        <v>0.10719551508992312</v>
      </c>
      <c r="DJ39">
        <f>VLOOKUP($B39,'[1]Data_UN_PopulationTot.&amp;%'!$B$4:$DE$603,100,FALSE)</f>
        <v>2.5582480195256857E-2</v>
      </c>
      <c r="DK39">
        <f>VLOOKUP($B39,'[1]Data_UN_PopulationTot.&amp;%'!$B$4:$DE$603,101,FALSE)</f>
        <v>3.5177888660274728E-3</v>
      </c>
      <c r="DL39">
        <f>VLOOKUP($B39,'[1]Data_UN_PopulationTot.&amp;%'!$B$4:$DE$603,102,FALSE)</f>
        <v>2.6989429140253401E-4</v>
      </c>
    </row>
    <row r="40" spans="1:116">
      <c r="A40" t="s">
        <v>134</v>
      </c>
      <c r="B40" t="s">
        <v>348</v>
      </c>
      <c r="C40" t="s">
        <v>496</v>
      </c>
      <c r="D40" t="s">
        <v>334</v>
      </c>
      <c r="E40" t="s">
        <v>300</v>
      </c>
      <c r="F40">
        <v>0</v>
      </c>
      <c r="G40">
        <v>1</v>
      </c>
      <c r="H40">
        <v>0</v>
      </c>
      <c r="I40">
        <v>0</v>
      </c>
      <c r="J40" s="18">
        <f t="shared" si="1"/>
        <v>1304.2327629500001</v>
      </c>
      <c r="K40">
        <f>VLOOKUP($B40,'[1]Source GDP Current USD'!$B$1:$CZ$600,64,FALSE)</f>
        <v>10187122341.4051</v>
      </c>
      <c r="L40" s="45">
        <f>VLOOKUP($B40,'[1]Source GDP Current USD'!$B$1:$CZ$600,65,FALSE)</f>
        <v>10187122341.4051</v>
      </c>
      <c r="M40" s="17">
        <f>VLOOKUP($B40,'[1]Source GDP Current LCU'!$B$1:$CZ$600,64,FALSE)</f>
        <v>5863565000000</v>
      </c>
      <c r="N40" s="45">
        <v>5900000000000</v>
      </c>
      <c r="O40" s="45">
        <f>VLOOKUP($B40,'[1]Source GNI Current USD'!$B$1:$CZ$600,64,FALSE)</f>
        <v>8599268927.2040691</v>
      </c>
      <c r="P40" s="45">
        <f>VLOOKUP($B40,'[1]Source GNI Current LCU'!$B$1:$CZ$600,64,FALSE)</f>
        <v>4949618804733.6797</v>
      </c>
      <c r="Q40">
        <f t="shared" si="0"/>
        <v>118.46498147276003</v>
      </c>
      <c r="R40">
        <v>1770</v>
      </c>
      <c r="S40">
        <v>1770</v>
      </c>
      <c r="T40">
        <v>0.50965499999999997</v>
      </c>
      <c r="U40">
        <f>VLOOKUP($B40,'[1]Source PopulationTotal'!$B$1:$CZ$600,65,FALSE)</f>
        <v>5518092</v>
      </c>
      <c r="V40">
        <v>22.242999999999999</v>
      </c>
      <c r="W40">
        <f>VLOOKUP($B40,'[1]Source Gov. Revenue WEO'!$B$1:$CZ$600,5,FALSE)</f>
        <v>22.667999999999999</v>
      </c>
      <c r="X40">
        <f>VLOOKUP($B40,'[1]Source Gov. Revenue WEO'!$B$1:$CZ$600,6,FALSE)</f>
        <v>25.434000000000001</v>
      </c>
      <c r="Y40">
        <f>VLOOKUP($B40,'[1]Source Gov. Revenue WEO'!$B$1:$CZ$600,7,FALSE)</f>
        <v>24.798999999999999</v>
      </c>
      <c r="Z40">
        <f>VLOOKUP($B40,'[1]Source Gov. Revenue WEO'!$B$1:$CZ$600,8,FALSE)</f>
        <v>24.811</v>
      </c>
      <c r="AA40">
        <f>VLOOKUP($B40,'[1]Source Gov. Revenue WEO'!$B$1:$CZ$600,9,FALSE)</f>
        <v>24.231000000000002</v>
      </c>
      <c r="AB40">
        <f>VLOOKUP($B40,'[1]Source Gov. Revenue WEO'!$B$1:$CZ$600,10,FALSE)</f>
        <v>23.484000000000002</v>
      </c>
      <c r="AC40">
        <f>VLOOKUP($B40,[2]Summary!$B$1:$CZ$600,39,FALSE)</f>
        <v>0.40133139999999995</v>
      </c>
      <c r="AD40">
        <f>VLOOKUP($B40,[2]Summary!$B$1:$CZ$600,40,FALSE)</f>
        <v>0.45250000000000001</v>
      </c>
      <c r="AE40">
        <f>VLOOKUP($B40,[2]Summary!$B$1:$CZ$600,47,FALSE)</f>
        <v>0.29680351284931517</v>
      </c>
      <c r="AF40">
        <f>VLOOKUP($B40,'[1]CALC GDP Growth rates WDI'!$B$1:$CZ$600,27,FALSE)</f>
        <v>-14.2260239824547</v>
      </c>
      <c r="AG40">
        <f>VLOOKUP($B40,'[1]CALC GDP Growth rates WDI'!$B$1:$CZ$600,29,FALSE)</f>
        <v>2.9342505109215988</v>
      </c>
      <c r="AH40">
        <v>-25.34</v>
      </c>
      <c r="AI40">
        <f>VLOOKUP($B40,'[1]CALC GDP Growth rates WDI'!$B$1:$CZ$600,30,FALSE)</f>
        <v>-21.358556536534255</v>
      </c>
      <c r="AJ40" s="45" t="s">
        <v>2467</v>
      </c>
      <c r="AK40">
        <f>VLOOKUP($B40,[1]Data_Aspire!$B$1:$CZ$600,2,FALSE)</f>
        <v>2015</v>
      </c>
      <c r="AL40">
        <f>VLOOKUP($B40,[1]Data_Aspire!$B$1:$CZ$600,3,FALSE)</f>
        <v>0.05</v>
      </c>
      <c r="AM40">
        <f>VLOOKUP($B40,[1]Data_Aspire!$B$1:$CZ$600,4,FALSE)</f>
        <v>0.05</v>
      </c>
      <c r="AN40">
        <f>VLOOKUP($B40,[1]Data_Aspire!$B$1:$CZ$600,5,FALSE)</f>
        <v>0</v>
      </c>
      <c r="AO40">
        <f>VLOOKUP($B40,[1]Data_Aspire!$B$1:$CZ$600,6,FALSE)</f>
        <v>0</v>
      </c>
      <c r="AP40">
        <f>VLOOKUP($B40,[1]Data_Aspire!$B$1:$CZ$600,7,FALSE)</f>
        <v>0</v>
      </c>
      <c r="AU40">
        <f>VLOOKUP($B40,[1]Data_Aspire!$B$1:$CZ$600,12,FALSE)</f>
        <v>0.05</v>
      </c>
      <c r="AV40">
        <f>VLOOKUP($B40,[1]Data_Aspire!$B$1:$CZ$600,13,FALSE)</f>
        <v>40000</v>
      </c>
      <c r="AW40">
        <f>VLOOKUP($B40,[1]Data_Aspire!$B$1:$CZ$600,14,FALSE)</f>
        <v>2015</v>
      </c>
      <c r="BJ40" s="7">
        <v>1</v>
      </c>
      <c r="BK40">
        <v>178</v>
      </c>
      <c r="BL40">
        <f>VLOOKUP($B40,'[1]Data_UN_PopulationTot.&amp;%'!$B$4:$CZ$603,8,FALSE)</f>
        <v>5518.09</v>
      </c>
      <c r="BM40">
        <f>VLOOKUP($B40,'[1]Data_UN_PopulationTot.&amp;%'!$B$4:$CZ$603,9,FALSE)</f>
        <v>5657.02</v>
      </c>
      <c r="BN40">
        <v>5797.8</v>
      </c>
      <c r="BO40">
        <f>VLOOKUP($B40,'[1]Data_UN_PopulationTot.&amp;%'!$B$4:$CZ$603,11,FALSE)</f>
        <v>5940.75</v>
      </c>
      <c r="BP40">
        <f>VLOOKUP($B40,'[1]Data_UN_PopulationTot.&amp;%'!$B$4:$CZ$603,12,FALSE)</f>
        <v>6086.28</v>
      </c>
      <c r="BQ40">
        <f>VLOOKUP($B40,'[1]Data_UN_PopulationTot.&amp;%'!$B$4:$CZ$603,13,FALSE)</f>
        <v>6234.72</v>
      </c>
      <c r="BR40">
        <f>VLOOKUP($B40,'[1]Data_UN_PopulationTot.&amp;%'!$B$4:$CZ$603,14,FALSE)</f>
        <v>6386.13</v>
      </c>
      <c r="BS40">
        <f>VLOOKUP($B40,'[1]Data_UN_PopulationTot.&amp;%'!$B$4:$CZ$603,15,FALSE)</f>
        <v>6540.37</v>
      </c>
      <c r="BT40">
        <f>VLOOKUP($B40,'[1]Data_UN_PopulationTot.&amp;%'!$B$4:$CZ$603,16,FALSE)</f>
        <v>6697.44</v>
      </c>
      <c r="BU40">
        <f>VLOOKUP($B40,'[1]Data_UN_PopulationTot.&amp;%'!$B$4:$CZ$603,17,FALSE)</f>
        <v>6857.28</v>
      </c>
      <c r="BV40">
        <f>VLOOKUP($B40,'[1]Data_UN_PopulationTot.&amp;%'!$B$4:$CZ$603,18,FALSE)</f>
        <v>7019.83</v>
      </c>
      <c r="BW40">
        <f>VLOOKUP($B40,'[1]Data_UN_PopulationTot.&amp;%'!$B$4:$CZ$603,61,FALSE)</f>
        <v>14.895715727724628</v>
      </c>
      <c r="BX40">
        <f>VLOOKUP($B40,'[1]Data_UN_PopulationTot.&amp;%'!$B$4:$CZ$603,62,FALSE)</f>
        <v>13.960917636356058</v>
      </c>
      <c r="BY40">
        <f>VLOOKUP($B40,'[1]Data_UN_PopulationTot.&amp;%'!$B$4:$CZ$603,63,FALSE)</f>
        <v>12.413661248729179</v>
      </c>
      <c r="BZ40">
        <f>VLOOKUP($B40,'[1]Data_UN_PopulationTot.&amp;%'!$B$4:$CZ$603,64,FALSE)</f>
        <v>10.383429773707931</v>
      </c>
      <c r="CA40">
        <f>VLOOKUP($B40,'[1]Data_UN_PopulationTot.&amp;%'!$B$4:$CZ$603,65,FALSE)</f>
        <v>8.6310118174948212</v>
      </c>
      <c r="CB40">
        <f>VLOOKUP($B40,'[1]Data_UN_PopulationTot.&amp;%'!$B$4:$CZ$603,66,FALSE)</f>
        <v>7.2125318724413701</v>
      </c>
      <c r="CC40">
        <f>VLOOKUP($B40,'[1]Data_UN_PopulationTot.&amp;%'!$B$4:$CZ$603,67,FALSE)</f>
        <v>6.4120556206948409</v>
      </c>
      <c r="CD40">
        <f>VLOOKUP($B40,'[1]Data_UN_PopulationTot.&amp;%'!$B$4:$CZ$603,68,FALSE)</f>
        <v>5.9124805865797763</v>
      </c>
      <c r="CE40">
        <f>VLOOKUP($B40,'[1]Data_UN_PopulationTot.&amp;%'!$B$4:$CZ$603,69,FALSE)</f>
        <v>5.3192318356532775</v>
      </c>
      <c r="CF40">
        <f>VLOOKUP($B40,'[1]Data_UN_PopulationTot.&amp;%'!$B$4:$CZ$603,70,FALSE)</f>
        <v>4.3909033741747603</v>
      </c>
      <c r="CG40">
        <f>VLOOKUP($B40,'[1]Data_UN_PopulationTot.&amp;%'!$B$4:$CZ$603,71,FALSE)</f>
        <v>3.4246269995596301</v>
      </c>
      <c r="CH40">
        <f>VLOOKUP($B40,'[1]Data_UN_PopulationTot.&amp;%'!$B$4:$CZ$603,72,FALSE)</f>
        <v>2.5175015267964098</v>
      </c>
      <c r="CI40">
        <f>VLOOKUP($B40,'[1]Data_UN_PopulationTot.&amp;%'!$B$4:$CZ$603,73,FALSE)</f>
        <v>1.763200672696531</v>
      </c>
      <c r="CJ40">
        <f>VLOOKUP($B40,'[1]Data_UN_PopulationTot.&amp;%'!$B$4:$CZ$603,74,FALSE)</f>
        <v>1.2221982606300368</v>
      </c>
      <c r="CK40">
        <f>VLOOKUP($B40,'[1]Data_UN_PopulationTot.&amp;%'!$B$4:$CZ$603,75,FALSE)</f>
        <v>0.79503958797337482</v>
      </c>
      <c r="CL40">
        <f>VLOOKUP($B40,'[1]Data_UN_PopulationTot.&amp;%'!$B$4:$CZ$603,76,FALSE)</f>
        <v>0.46258759824504492</v>
      </c>
      <c r="CM40">
        <f>VLOOKUP($B40,'[1]Data_UN_PopulationTot.&amp;%'!$B$4:$CZ$603,77,FALSE)</f>
        <v>0.2120842537907138</v>
      </c>
      <c r="CN40">
        <f>VLOOKUP($B40,'[1]Data_UN_PopulationTot.&amp;%'!$B$4:$CZ$603,78,FALSE)</f>
        <v>6.1887355951062775E-2</v>
      </c>
      <c r="CO40">
        <f>VLOOKUP($B40,'[1]Data_UN_PopulationTot.&amp;%'!$B$4:$CZ$603,79,FALSE)</f>
        <v>8.5718065490051794E-3</v>
      </c>
      <c r="CP40">
        <f>VLOOKUP($B40,'[1]Data_UN_PopulationTot.&amp;%'!$B$4:$CZ$603,80,FALSE)</f>
        <v>3.9868867669791533E-4</v>
      </c>
      <c r="CQ40">
        <f>VLOOKUP($B40,'[1]Data_UN_PopulationTot.&amp;%'!$B$4:$CZ$603,81,FALSE)</f>
        <v>0</v>
      </c>
      <c r="CR40">
        <f>VLOOKUP($B40,'[1]Data_UN_PopulationTot.&amp;%'!$B$4:$CZ$603,82,FALSE)</f>
        <v>13.792314058887467</v>
      </c>
      <c r="CS40">
        <f>VLOOKUP($B40,'[1]Data_UN_PopulationTot.&amp;%'!$B$4:$CZ$603,83,FALSE)</f>
        <v>12.48481800841331</v>
      </c>
      <c r="CT40">
        <f>VLOOKUP($B40,'[1]Data_UN_PopulationTot.&amp;%'!$B$4:$CZ$603,84,FALSE)</f>
        <v>11.535920385536402</v>
      </c>
      <c r="CU40">
        <f>VLOOKUP($B40,'[1]Data_UN_PopulationTot.&amp;%'!$B$4:$CZ$603,85,FALSE)</f>
        <v>10.855034950988841</v>
      </c>
      <c r="CV40">
        <f>VLOOKUP($B40,'[1]Data_UN_PopulationTot.&amp;%'!$B$4:$CZ$603,86,FALSE)</f>
        <v>9.6028251396401334</v>
      </c>
      <c r="CW40">
        <f>VLOOKUP($B40,'[1]Data_UN_PopulationTot.&amp;%'!$B$4:$CZ$603,87,FALSE)</f>
        <v>7.9536399029606129</v>
      </c>
      <c r="CX40">
        <f>VLOOKUP($B40,'[1]Data_UN_PopulationTot.&amp;%'!$B$4:$CZ$603,88,FALSE)</f>
        <v>6.5494178633955524</v>
      </c>
      <c r="CY40">
        <f>VLOOKUP($B40,'[1]Data_UN_PopulationTot.&amp;%'!$B$4:$CZ$603,89,FALSE)</f>
        <v>5.4240059944471586</v>
      </c>
      <c r="CZ40">
        <f>VLOOKUP($B40,'[1]Data_UN_PopulationTot.&amp;%'!$B$4:$CZ$603,90,FALSE)</f>
        <v>4.7717394865687632</v>
      </c>
      <c r="DA40">
        <f>VLOOKUP($B40,'[1]Data_UN_PopulationTot.&amp;%'!$B$4:$CZ$603,91,FALSE)</f>
        <v>4.3454186212486627</v>
      </c>
      <c r="DB40">
        <f>VLOOKUP($B40,'[1]Data_UN_PopulationTot.&amp;%'!$B$4:$CZ$603,92,FALSE)</f>
        <v>3.841118659568679</v>
      </c>
      <c r="DC40">
        <f>VLOOKUP($B40,'[1]Data_UN_PopulationTot.&amp;%'!$B$4:$CZ$603,93,FALSE)</f>
        <v>3.0865419817858832</v>
      </c>
      <c r="DD40">
        <f>VLOOKUP($B40,'[1]Data_UN_PopulationTot.&amp;%'!$B$4:$CZ$603,94,FALSE)</f>
        <v>2.3102696219139207</v>
      </c>
      <c r="DE40">
        <f>VLOOKUP($B40,'[1]Data_UN_PopulationTot.&amp;%'!$B$4:$CZ$603,95,FALSE)</f>
        <v>1.5814912896751063</v>
      </c>
      <c r="DF40">
        <f>VLOOKUP($B40,'[1]Data_UN_PopulationTot.&amp;%'!$B$4:$CZ$603,96,FALSE)</f>
        <v>0.97831428966228517</v>
      </c>
      <c r="DG40">
        <f>VLOOKUP($B40,'[1]Data_UN_PopulationTot.&amp;%'!$B$4:$CZ$603,97,FALSE)</f>
        <v>0.54972841222650692</v>
      </c>
      <c r="DH40">
        <f>VLOOKUP($B40,'[1]Data_UN_PopulationTot.&amp;%'!$B$4:$CZ$603,98,FALSE)</f>
        <v>0.24878095338491099</v>
      </c>
      <c r="DI40">
        <f>VLOOKUP($B40,'[1]Data_UN_PopulationTot.&amp;%'!$B$4:$CZ$603,99,FALSE)</f>
        <v>7.6312389331365582E-2</v>
      </c>
      <c r="DJ40">
        <f>VLOOKUP($B40,'[1]Data_UN_PopulationTot.&amp;%'!$B$4:$DE$603,100,FALSE)</f>
        <v>1.1695439918060694E-2</v>
      </c>
      <c r="DK40">
        <f>VLOOKUP($B40,'[1]Data_UN_PopulationTot.&amp;%'!$B$4:$DE$603,101,FALSE)</f>
        <v>6.6953188325073406E-4</v>
      </c>
      <c r="DL40">
        <f>VLOOKUP($B40,'[1]Data_UN_PopulationTot.&amp;%'!$B$4:$DE$603,102,FALSE)</f>
        <v>1.4245359218100722E-5</v>
      </c>
    </row>
    <row r="41" spans="1:116">
      <c r="A41" t="s">
        <v>194</v>
      </c>
      <c r="B41" t="s">
        <v>409</v>
      </c>
      <c r="C41" t="s">
        <v>497</v>
      </c>
      <c r="D41" t="s">
        <v>389</v>
      </c>
      <c r="E41" t="s">
        <v>301</v>
      </c>
      <c r="F41">
        <v>0</v>
      </c>
      <c r="G41">
        <v>0</v>
      </c>
      <c r="H41">
        <v>1</v>
      </c>
      <c r="I41">
        <v>0</v>
      </c>
      <c r="J41" s="18">
        <f t="shared" si="1"/>
        <v>265844.61818560847</v>
      </c>
      <c r="K41">
        <f>VLOOKUP($B41,'[1]Source GDP Current USD'!$B$1:$CZ$600,64,FALSE)</f>
        <v>271437596293.84299</v>
      </c>
      <c r="L41" s="45">
        <f>VLOOKUP($B41,'[1]Source GDP Current USD'!$B$1:$CZ$600,65,FALSE)</f>
        <v>271437596293.84299</v>
      </c>
      <c r="M41" s="17">
        <f>VLOOKUP($B41,'[1]Source GDP Current LCU'!$B$1:$CZ$600,64,FALSE)</f>
        <v>1002922315560450</v>
      </c>
      <c r="N41" s="45">
        <v>1000000000000000</v>
      </c>
      <c r="O41" s="45">
        <f>VLOOKUP($B41,'[1]Source GNI Current USD'!$B$1:$CZ$600,64,FALSE)</f>
        <v>266094191597.48801</v>
      </c>
      <c r="P41" s="45">
        <f>VLOOKUP($B41,'[1]Source GNI Current LCU'!$B$1:$CZ$600,64,FALSE)</f>
        <v>983179214810163</v>
      </c>
      <c r="Q41">
        <f t="shared" si="0"/>
        <v>102.00808768664817</v>
      </c>
      <c r="R41">
        <v>5790</v>
      </c>
      <c r="S41">
        <v>5790</v>
      </c>
      <c r="T41">
        <v>0.35727900000000001</v>
      </c>
      <c r="U41">
        <f>VLOOKUP($B41,'[1]Source PopulationTotal'!$B$1:$CZ$600,65,FALSE)</f>
        <v>50882884</v>
      </c>
      <c r="V41">
        <v>26.507000000000001</v>
      </c>
      <c r="W41">
        <f>VLOOKUP($B41,'[1]Source Gov. Revenue WEO'!$B$1:$CZ$600,5,FALSE)</f>
        <v>27.297000000000001</v>
      </c>
      <c r="X41">
        <f>VLOOKUP($B41,'[1]Source Gov. Revenue WEO'!$B$1:$CZ$600,6,FALSE)</f>
        <v>28.99</v>
      </c>
      <c r="Y41">
        <f>VLOOKUP($B41,'[1]Source Gov. Revenue WEO'!$B$1:$CZ$600,7,FALSE)</f>
        <v>29.728999999999999</v>
      </c>
      <c r="Z41">
        <f>VLOOKUP($B41,'[1]Source Gov. Revenue WEO'!$B$1:$CZ$600,8,FALSE)</f>
        <v>29.757000000000001</v>
      </c>
      <c r="AA41">
        <f>VLOOKUP($B41,'[1]Source Gov. Revenue WEO'!$B$1:$CZ$600,9,FALSE)</f>
        <v>29.62</v>
      </c>
      <c r="AB41">
        <f>VLOOKUP($B41,'[1]Source Gov. Revenue WEO'!$B$1:$CZ$600,10,FALSE)</f>
        <v>29.434000000000001</v>
      </c>
      <c r="AC41">
        <f>VLOOKUP($B41,[2]Summary!$B$1:$CZ$600,39,FALSE)</f>
        <v>4.1133360000000001E-2</v>
      </c>
      <c r="AD41">
        <f>VLOOKUP($B41,[2]Summary!$B$1:$CZ$600,40,FALSE)</f>
        <v>3.6249999999999998E-2</v>
      </c>
      <c r="AE41">
        <f>VLOOKUP($B41,[2]Summary!$B$1:$CZ$600,47,FALSE)</f>
        <v>0.29041956736939506</v>
      </c>
      <c r="AF41">
        <f>VLOOKUP($B41,'[1]CALC GDP Growth rates WDI'!$B$1:$CZ$600,27,FALSE)</f>
        <v>28.421019841720131</v>
      </c>
      <c r="AG41">
        <f>VLOOKUP($B41,'[1]CALC GDP Growth rates WDI'!$B$1:$CZ$600,29,FALSE)</f>
        <v>39.273206019929539</v>
      </c>
      <c r="AH41">
        <v>2.15</v>
      </c>
      <c r="AI41">
        <f>VLOOKUP($B41,'[1]CALC GDP Growth rates WDI'!$B$1:$CZ$600,30,FALSE)</f>
        <v>9.1635045773480694</v>
      </c>
      <c r="AK41">
        <f>VLOOKUP($B41,[1]Data_Aspire!$B$1:$CZ$600,2,FALSE)</f>
        <v>2018</v>
      </c>
      <c r="AL41">
        <f>VLOOKUP($B41,[1]Data_Aspire!$B$1:$CZ$600,3,FALSE)</f>
        <v>2.77</v>
      </c>
      <c r="AM41">
        <f>VLOOKUP($B41,[1]Data_Aspire!$B$1:$CZ$600,4,FALSE)</f>
        <v>0.19</v>
      </c>
      <c r="AN41">
        <f>VLOOKUP($B41,[1]Data_Aspire!$B$1:$CZ$600,5,FALSE)</f>
        <v>7.0000000000000007E-2</v>
      </c>
      <c r="AO41">
        <f>VLOOKUP($B41,[1]Data_Aspire!$B$1:$CZ$600,6,FALSE)</f>
        <v>0.12</v>
      </c>
      <c r="AP41">
        <f>VLOOKUP($B41,[1]Data_Aspire!$B$1:$CZ$600,7,FALSE)</f>
        <v>0.11</v>
      </c>
      <c r="AR41">
        <f>VLOOKUP($B41,[1]Data_Aspire!$B$1:$CZ$600,9,FALSE)</f>
        <v>0.1</v>
      </c>
      <c r="AS41">
        <f>VLOOKUP($B41,[1]Data_Aspire!$B$1:$CZ$600,10,FALSE)</f>
        <v>1.88</v>
      </c>
      <c r="AT41">
        <f>VLOOKUP($B41,[1]Data_Aspire!$B$1:$CZ$600,11,FALSE)</f>
        <v>0.28999999999999998</v>
      </c>
      <c r="AU41">
        <f>VLOOKUP($B41,[1]Data_Aspire!$B$1:$CZ$600,12,FALSE)</f>
        <v>0.96</v>
      </c>
      <c r="AV41">
        <f>VLOOKUP($B41,[1]Data_Aspire!$B$1:$CZ$600,13,FALSE)</f>
        <v>2666236</v>
      </c>
      <c r="AW41">
        <f>VLOOKUP($B41,[1]Data_Aspire!$B$1:$CZ$600,14,FALSE)</f>
        <v>2019</v>
      </c>
      <c r="AZ41">
        <f>VLOOKUP($B41,[1]Data_Aspire!$B$1:$CZ$600,17,FALSE)</f>
        <v>1528462</v>
      </c>
      <c r="BA41">
        <f>VLOOKUP($B41,[1]Data_Aspire!$B$1:$CZ$600,18,FALSE)</f>
        <v>2018</v>
      </c>
      <c r="BB41">
        <f>VLOOKUP($B41,[1]Data_Aspire!$B$1:$CZ$600,19,FALSE)</f>
        <v>85612</v>
      </c>
      <c r="BC41">
        <f>VLOOKUP($B41,[1]Data_Aspire!$B$1:$CZ$600,20,FALSE)</f>
        <v>2017</v>
      </c>
      <c r="BD41">
        <f>VLOOKUP($B41,[1]Data_Aspire!$B$1:$CZ$600,21,FALSE)</f>
        <v>5387504</v>
      </c>
      <c r="BE41">
        <f>VLOOKUP($B41,[1]Data_Aspire!$B$1:$CZ$600,22,FALSE)</f>
        <v>2018</v>
      </c>
      <c r="BJ41" s="7">
        <v>0</v>
      </c>
      <c r="BK41">
        <v>170</v>
      </c>
      <c r="BL41">
        <f>VLOOKUP($B41,'[1]Data_UN_PopulationTot.&amp;%'!$B$4:$CZ$603,8,FALSE)</f>
        <v>50882.9</v>
      </c>
      <c r="BM41">
        <f>VLOOKUP($B41,'[1]Data_UN_PopulationTot.&amp;%'!$B$4:$CZ$603,9,FALSE)</f>
        <v>51265.8</v>
      </c>
      <c r="BN41">
        <v>51512.800000000003</v>
      </c>
      <c r="BO41">
        <f>VLOOKUP($B41,'[1]Data_UN_PopulationTot.&amp;%'!$B$4:$CZ$603,11,FALSE)</f>
        <v>51672.800000000003</v>
      </c>
      <c r="BP41">
        <f>VLOOKUP($B41,'[1]Data_UN_PopulationTot.&amp;%'!$B$4:$CZ$603,12,FALSE)</f>
        <v>51819.8</v>
      </c>
      <c r="BQ41">
        <f>VLOOKUP($B41,'[1]Data_UN_PopulationTot.&amp;%'!$B$4:$CZ$603,13,FALSE)</f>
        <v>52007.1</v>
      </c>
      <c r="BR41">
        <f>VLOOKUP($B41,'[1]Data_UN_PopulationTot.&amp;%'!$B$4:$CZ$603,14,FALSE)</f>
        <v>52249.4</v>
      </c>
      <c r="BS41">
        <f>VLOOKUP($B41,'[1]Data_UN_PopulationTot.&amp;%'!$B$4:$CZ$603,15,FALSE)</f>
        <v>52530.2</v>
      </c>
      <c r="BT41">
        <f>VLOOKUP($B41,'[1]Data_UN_PopulationTot.&amp;%'!$B$4:$CZ$603,16,FALSE)</f>
        <v>52834.6</v>
      </c>
      <c r="BU41">
        <f>VLOOKUP($B41,'[1]Data_UN_PopulationTot.&amp;%'!$B$4:$CZ$603,17,FALSE)</f>
        <v>53136.4</v>
      </c>
      <c r="BV41">
        <f>VLOOKUP($B41,'[1]Data_UN_PopulationTot.&amp;%'!$B$4:$CZ$603,18,FALSE)</f>
        <v>53416.800000000003</v>
      </c>
      <c r="BW41">
        <f>VLOOKUP($B41,'[1]Data_UN_PopulationTot.&amp;%'!$B$4:$CZ$603,61,FALSE)</f>
        <v>7.292626796035603</v>
      </c>
      <c r="BX41">
        <f>VLOOKUP($B41,'[1]Data_UN_PopulationTot.&amp;%'!$B$4:$CZ$603,62,FALSE)</f>
        <v>7.2783980472811098</v>
      </c>
      <c r="BY41">
        <f>VLOOKUP($B41,'[1]Data_UN_PopulationTot.&amp;%'!$B$4:$CZ$603,63,FALSE)</f>
        <v>7.6125574603648758</v>
      </c>
      <c r="BZ41">
        <f>VLOOKUP($B41,'[1]Data_UN_PopulationTot.&amp;%'!$B$4:$CZ$603,64,FALSE)</f>
        <v>8.3454166330928476</v>
      </c>
      <c r="CA41">
        <f>VLOOKUP($B41,'[1]Data_UN_PopulationTot.&amp;%'!$B$4:$CZ$603,65,FALSE)</f>
        <v>8.6895007949625516</v>
      </c>
      <c r="CB41">
        <f>VLOOKUP($B41,'[1]Data_UN_PopulationTot.&amp;%'!$B$4:$CZ$603,66,FALSE)</f>
        <v>8.6976174707023386</v>
      </c>
      <c r="CC41">
        <f>VLOOKUP($B41,'[1]Data_UN_PopulationTot.&amp;%'!$B$4:$CZ$603,67,FALSE)</f>
        <v>7.9728356677783694</v>
      </c>
      <c r="CD41">
        <f>VLOOKUP($B41,'[1]Data_UN_PopulationTot.&amp;%'!$B$4:$CZ$603,68,FALSE)</f>
        <v>7.37672184564952</v>
      </c>
      <c r="CE41">
        <f>VLOOKUP($B41,'[1]Data_UN_PopulationTot.&amp;%'!$B$4:$CZ$603,69,FALSE)</f>
        <v>6.7234178869521983</v>
      </c>
      <c r="CF41">
        <f>VLOOKUP($B41,'[1]Data_UN_PopulationTot.&amp;%'!$B$4:$CZ$603,70,FALSE)</f>
        <v>5.9542989884617414</v>
      </c>
      <c r="CG41">
        <f>VLOOKUP($B41,'[1]Data_UN_PopulationTot.&amp;%'!$B$4:$CZ$603,71,FALSE)</f>
        <v>5.7160067527597676</v>
      </c>
      <c r="CH41">
        <f>VLOOKUP($B41,'[1]Data_UN_PopulationTot.&amp;%'!$B$4:$CZ$603,72,FALSE)</f>
        <v>5.1795593411539045</v>
      </c>
      <c r="CI41">
        <f>VLOOKUP($B41,'[1]Data_UN_PopulationTot.&amp;%'!$B$4:$CZ$603,73,FALSE)</f>
        <v>4.1004934860237912</v>
      </c>
      <c r="CJ41">
        <f>VLOOKUP($B41,'[1]Data_UN_PopulationTot.&amp;%'!$B$4:$CZ$603,74,FALSE)</f>
        <v>3.3113482132504242</v>
      </c>
      <c r="CK41">
        <f>VLOOKUP($B41,'[1]Data_UN_PopulationTot.&amp;%'!$B$4:$CZ$603,75,FALSE)</f>
        <v>2.3340650788378809</v>
      </c>
      <c r="CL41">
        <f>VLOOKUP($B41,'[1]Data_UN_PopulationTot.&amp;%'!$B$4:$CZ$603,76,FALSE)</f>
        <v>1.556760719220013</v>
      </c>
      <c r="CM41">
        <f>VLOOKUP($B41,'[1]Data_UN_PopulationTot.&amp;%'!$B$4:$CZ$603,77,FALSE)</f>
        <v>1.0146218081123521</v>
      </c>
      <c r="CN41">
        <f>VLOOKUP($B41,'[1]Data_UN_PopulationTot.&amp;%'!$B$4:$CZ$603,78,FALSE)</f>
        <v>0.54741573298691693</v>
      </c>
      <c r="CO41">
        <f>VLOOKUP($B41,'[1]Data_UN_PopulationTot.&amp;%'!$B$4:$CZ$603,79,FALSE)</f>
        <v>0.22729640016587108</v>
      </c>
      <c r="CP41">
        <f>VLOOKUP($B41,'[1]Data_UN_PopulationTot.&amp;%'!$B$4:$CZ$603,80,FALSE)</f>
        <v>6.1197376721845644E-2</v>
      </c>
      <c r="CQ41">
        <f>VLOOKUP($B41,'[1]Data_UN_PopulationTot.&amp;%'!$B$4:$CZ$603,81,FALSE)</f>
        <v>7.8670830475464255E-3</v>
      </c>
      <c r="CR41">
        <f>VLOOKUP($B41,'[1]Data_UN_PopulationTot.&amp;%'!$B$4:$CZ$603,82,FALSE)</f>
        <v>6.0942811999221211</v>
      </c>
      <c r="CS41">
        <f>VLOOKUP($B41,'[1]Data_UN_PopulationTot.&amp;%'!$B$4:$CZ$603,83,FALSE)</f>
        <v>6.484195983286158</v>
      </c>
      <c r="CT41">
        <f>VLOOKUP($B41,'[1]Data_UN_PopulationTot.&amp;%'!$B$4:$CZ$603,84,FALSE)</f>
        <v>6.8544727501460203</v>
      </c>
      <c r="CU41">
        <f>VLOOKUP($B41,'[1]Data_UN_PopulationTot.&amp;%'!$B$4:$CZ$603,85,FALSE)</f>
        <v>6.8227224393823658</v>
      </c>
      <c r="CV41">
        <f>VLOOKUP($B41,'[1]Data_UN_PopulationTot.&amp;%'!$B$4:$CZ$603,86,FALSE)</f>
        <v>7.0659230803792061</v>
      </c>
      <c r="CW41">
        <f>VLOOKUP($B41,'[1]Data_UN_PopulationTot.&amp;%'!$B$4:$CZ$603,87,FALSE)</f>
        <v>7.6553631067379539</v>
      </c>
      <c r="CX41">
        <f>VLOOKUP($B41,'[1]Data_UN_PopulationTot.&amp;%'!$B$4:$CZ$603,88,FALSE)</f>
        <v>7.7865577870632459</v>
      </c>
      <c r="CY41">
        <f>VLOOKUP($B41,'[1]Data_UN_PopulationTot.&amp;%'!$B$4:$CZ$603,89,FALSE)</f>
        <v>7.7962925521558759</v>
      </c>
      <c r="CZ41">
        <f>VLOOKUP($B41,'[1]Data_UN_PopulationTot.&amp;%'!$B$4:$CZ$603,90,FALSE)</f>
        <v>7.1796513456440669</v>
      </c>
      <c r="DA41">
        <f>VLOOKUP($B41,'[1]Data_UN_PopulationTot.&amp;%'!$B$4:$CZ$603,91,FALSE)</f>
        <v>6.6910223001003422</v>
      </c>
      <c r="DB41">
        <f>VLOOKUP($B41,'[1]Data_UN_PopulationTot.&amp;%'!$B$4:$CZ$603,92,FALSE)</f>
        <v>6.105888035224873</v>
      </c>
      <c r="DC41">
        <f>VLOOKUP($B41,'[1]Data_UN_PopulationTot.&amp;%'!$B$4:$CZ$603,93,FALSE)</f>
        <v>5.365821239759776</v>
      </c>
      <c r="DD41">
        <f>VLOOKUP($B41,'[1]Data_UN_PopulationTot.&amp;%'!$B$4:$CZ$603,94,FALSE)</f>
        <v>5.0652978089290261</v>
      </c>
      <c r="DE41">
        <f>VLOOKUP($B41,'[1]Data_UN_PopulationTot.&amp;%'!$B$4:$CZ$603,95,FALSE)</f>
        <v>4.44777672941846</v>
      </c>
      <c r="DF41">
        <f>VLOOKUP($B41,'[1]Data_UN_PopulationTot.&amp;%'!$B$4:$CZ$603,96,FALSE)</f>
        <v>3.3390993095805066</v>
      </c>
      <c r="DG41">
        <f>VLOOKUP($B41,'[1]Data_UN_PopulationTot.&amp;%'!$B$4:$CZ$603,97,FALSE)</f>
        <v>2.4776100402869505</v>
      </c>
      <c r="DH41">
        <f>VLOOKUP($B41,'[1]Data_UN_PopulationTot.&amp;%'!$B$4:$CZ$603,98,FALSE)</f>
        <v>1.5157965284330024</v>
      </c>
      <c r="DI41">
        <f>VLOOKUP($B41,'[1]Data_UN_PopulationTot.&amp;%'!$B$4:$CZ$603,99,FALSE)</f>
        <v>0.77714876218717699</v>
      </c>
      <c r="DJ41">
        <f>VLOOKUP($B41,'[1]Data_UN_PopulationTot.&amp;%'!$B$4:$DE$603,100,FALSE)</f>
        <v>0.34985622500786268</v>
      </c>
      <c r="DK41">
        <f>VLOOKUP($B41,'[1]Data_UN_PopulationTot.&amp;%'!$B$4:$DE$603,101,FALSE)</f>
        <v>0.10979878989381617</v>
      </c>
      <c r="DL41">
        <f>VLOOKUP($B41,'[1]Data_UN_PopulationTot.&amp;%'!$B$4:$DE$603,102,FALSE)</f>
        <v>1.5401521618666788E-2</v>
      </c>
    </row>
    <row r="42" spans="1:116">
      <c r="A42" t="s">
        <v>129</v>
      </c>
      <c r="B42" t="s">
        <v>343</v>
      </c>
      <c r="C42" t="s">
        <v>496</v>
      </c>
      <c r="D42" t="s">
        <v>334</v>
      </c>
      <c r="E42" t="s">
        <v>300</v>
      </c>
      <c r="F42">
        <v>0</v>
      </c>
      <c r="G42">
        <v>1</v>
      </c>
      <c r="H42">
        <v>0</v>
      </c>
      <c r="I42">
        <v>0</v>
      </c>
      <c r="J42" s="18">
        <f t="shared" si="1"/>
        <v>97.201036334771999</v>
      </c>
      <c r="K42">
        <f>VLOOKUP($B42,'[1]Source GDP Current USD'!$B$1:$CZ$600,64,FALSE)</f>
        <v>1235400352.2931001</v>
      </c>
      <c r="L42" s="45">
        <f>VLOOKUP($B42,'[1]Source GDP Current USD'!$B$1:$CZ$600,65,FALSE)</f>
        <v>1235400352.2931001</v>
      </c>
      <c r="M42" s="17">
        <f>VLOOKUP($B42,'[1]Source GDP Current LCU'!$B$1:$CZ$600,64,FALSE)</f>
        <v>532112751600</v>
      </c>
      <c r="N42" s="45">
        <v>530000000000</v>
      </c>
      <c r="O42" s="45">
        <f>VLOOKUP($B42,'[1]Source GNI Current USD'!$B$1:$CZ$600,64,FALSE)</f>
        <v>1227286625.7476699</v>
      </c>
      <c r="P42" s="45">
        <f>VLOOKUP($B42,'[1]Source GNI Current LCU'!$B$1:$CZ$600,64,FALSE)</f>
        <v>528618000000</v>
      </c>
      <c r="Q42">
        <f t="shared" si="0"/>
        <v>100.66111097238459</v>
      </c>
      <c r="R42">
        <v>1400</v>
      </c>
      <c r="S42">
        <v>1400</v>
      </c>
      <c r="T42">
        <v>0.45055600000000001</v>
      </c>
      <c r="U42">
        <f>VLOOKUP($B42,'[1]Source PopulationTotal'!$B$1:$CZ$600,65,FALSE)</f>
        <v>869595</v>
      </c>
      <c r="V42">
        <v>18.266999999999999</v>
      </c>
      <c r="W42">
        <f>VLOOKUP($B42,'[1]Source Gov. Revenue WEO'!$B$1:$CZ$600,5,FALSE)</f>
        <v>16.463999999999999</v>
      </c>
      <c r="X42">
        <f>VLOOKUP($B42,'[1]Source Gov. Revenue WEO'!$B$1:$CZ$600,6,FALSE)</f>
        <v>16.907</v>
      </c>
      <c r="Y42">
        <f>VLOOKUP($B42,'[1]Source Gov. Revenue WEO'!$B$1:$CZ$600,7,FALSE)</f>
        <v>15.558</v>
      </c>
      <c r="Z42">
        <f>VLOOKUP($B42,'[1]Source Gov. Revenue WEO'!$B$1:$CZ$600,8,FALSE)</f>
        <v>15.755000000000001</v>
      </c>
      <c r="AA42">
        <f>VLOOKUP($B42,'[1]Source Gov. Revenue WEO'!$B$1:$CZ$600,9,FALSE)</f>
        <v>16.204000000000001</v>
      </c>
      <c r="AB42">
        <f>VLOOKUP($B42,'[1]Source Gov. Revenue WEO'!$B$1:$CZ$600,10,FALSE)</f>
        <v>17.149000000000001</v>
      </c>
      <c r="AC42">
        <f>VLOOKUP($B42,[2]Summary!$B$1:$CZ$600,39,FALSE)</f>
        <v>0.1690509</v>
      </c>
      <c r="AD42">
        <f>VLOOKUP($B42,[2]Summary!$B$1:$CZ$600,40,FALSE)</f>
        <v>0.18024999999999999</v>
      </c>
      <c r="AE42">
        <f>VLOOKUP($B42,[2]Summary!$B$1:$CZ$600,47,FALSE)</f>
        <v>0.15048026370441264</v>
      </c>
      <c r="AF42">
        <f>VLOOKUP($B42,'[1]CALC GDP Growth rates WDI'!$B$1:$CZ$600,27,FALSE)</f>
        <v>30.941864006762408</v>
      </c>
      <c r="AG42">
        <f>VLOOKUP($B42,'[1]CALC GDP Growth rates WDI'!$B$1:$CZ$600,29,FALSE)</f>
        <v>33.821582499410205</v>
      </c>
      <c r="AH42">
        <v>12.94</v>
      </c>
      <c r="AI42">
        <f>VLOOKUP($B42,'[1]CALC GDP Growth rates WDI'!$B$1:$CZ$600,30,FALSE)</f>
        <v>12.475158093470174</v>
      </c>
      <c r="AJ42" s="45" t="s">
        <v>2464</v>
      </c>
      <c r="AK42">
        <f>VLOOKUP($B42,[1]Data_Aspire!$B$1:$CZ$600,2,FALSE)</f>
        <v>2016</v>
      </c>
      <c r="AL42">
        <f>VLOOKUP($B42,[1]Data_Aspire!$B$1:$CZ$600,3,FALSE)</f>
        <v>0.4</v>
      </c>
      <c r="AM42">
        <f>VLOOKUP($B42,[1]Data_Aspire!$B$1:$CZ$600,4,FALSE)</f>
        <v>0</v>
      </c>
      <c r="AN42">
        <f>VLOOKUP($B42,[1]Data_Aspire!$B$1:$CZ$600,5,FALSE)</f>
        <v>0</v>
      </c>
      <c r="AO42">
        <f>VLOOKUP($B42,[1]Data_Aspire!$B$1:$CZ$600,6,FALSE)</f>
        <v>0</v>
      </c>
      <c r="AP42">
        <f>VLOOKUP($B42,[1]Data_Aspire!$B$1:$CZ$600,7,FALSE)</f>
        <v>0</v>
      </c>
      <c r="AQ42">
        <f>VLOOKUP($B42,[1]Data_Aspire!$B$1:$CZ$600,8,FALSE)</f>
        <v>0.39</v>
      </c>
      <c r="AU42">
        <f>VLOOKUP($B42,[1]Data_Aspire!$B$1:$CZ$600,12,FALSE)</f>
        <v>0.4</v>
      </c>
      <c r="AX42">
        <f>VLOOKUP($B42,[1]Data_Aspire!$B$1:$CZ$600,15,FALSE)</f>
        <v>13700</v>
      </c>
      <c r="AY42">
        <f>VLOOKUP($B42,[1]Data_Aspire!$B$1:$CZ$600,16,FALSE)</f>
        <v>2016</v>
      </c>
      <c r="BF42">
        <f>VLOOKUP($B42,[1]Data_Aspire!$B$1:$CZ$600,23,FALSE)</f>
        <v>4196</v>
      </c>
      <c r="BG42">
        <f>VLOOKUP($B42,[1]Data_Aspire!$B$1:$CZ$600,24,FALSE)</f>
        <v>2016</v>
      </c>
      <c r="BJ42" s="7">
        <v>1</v>
      </c>
      <c r="BK42" s="45">
        <v>174</v>
      </c>
      <c r="BL42">
        <f>VLOOKUP($B42,'[1]Data_UN_PopulationTot.&amp;%'!$B$4:$CZ$603,8,FALSE)</f>
        <v>869.59500000000003</v>
      </c>
      <c r="BM42">
        <f>VLOOKUP($B42,'[1]Data_UN_PopulationTot.&amp;%'!$B$4:$CZ$603,9,FALSE)</f>
        <v>888.45600000000002</v>
      </c>
      <c r="BN42">
        <v>907.41099999999994</v>
      </c>
      <c r="BO42">
        <f>VLOOKUP($B42,'[1]Data_UN_PopulationTot.&amp;%'!$B$4:$CZ$603,11,FALSE)</f>
        <v>926.49199999999996</v>
      </c>
      <c r="BP42">
        <f>VLOOKUP($B42,'[1]Data_UN_PopulationTot.&amp;%'!$B$4:$CZ$603,12,FALSE)</f>
        <v>945.69299999999998</v>
      </c>
      <c r="BQ42">
        <f>VLOOKUP($B42,'[1]Data_UN_PopulationTot.&amp;%'!$B$4:$CZ$603,13,FALSE)</f>
        <v>965.00199999999995</v>
      </c>
      <c r="BR42">
        <f>VLOOKUP($B42,'[1]Data_UN_PopulationTot.&amp;%'!$B$4:$CZ$603,14,FALSE)</f>
        <v>984.41499999999996</v>
      </c>
      <c r="BS42">
        <f>VLOOKUP($B42,'[1]Data_UN_PopulationTot.&amp;%'!$B$4:$CZ$603,15,FALSE)</f>
        <v>1003.92</v>
      </c>
      <c r="BT42">
        <f>VLOOKUP($B42,'[1]Data_UN_PopulationTot.&amp;%'!$B$4:$CZ$603,16,FALSE)</f>
        <v>1023.55</v>
      </c>
      <c r="BU42">
        <f>VLOOKUP($B42,'[1]Data_UN_PopulationTot.&amp;%'!$B$4:$CZ$603,17,FALSE)</f>
        <v>1043.28</v>
      </c>
      <c r="BV42">
        <f>VLOOKUP($B42,'[1]Data_UN_PopulationTot.&amp;%'!$B$4:$CZ$603,18,FALSE)</f>
        <v>1063.1099999999999</v>
      </c>
      <c r="BW42">
        <f>VLOOKUP($B42,'[1]Data_UN_PopulationTot.&amp;%'!$B$4:$CZ$603,61,FALSE)</f>
        <v>14.202933549525929</v>
      </c>
      <c r="BX42">
        <f>VLOOKUP($B42,'[1]Data_UN_PopulationTot.&amp;%'!$B$4:$CZ$603,62,FALSE)</f>
        <v>13.124500485858359</v>
      </c>
      <c r="BY42">
        <f>VLOOKUP($B42,'[1]Data_UN_PopulationTot.&amp;%'!$B$4:$CZ$603,63,FALSE)</f>
        <v>11.692339537370845</v>
      </c>
      <c r="BZ42">
        <f>VLOOKUP($B42,'[1]Data_UN_PopulationTot.&amp;%'!$B$4:$CZ$603,64,FALSE)</f>
        <v>10.302727131595743</v>
      </c>
      <c r="CA42">
        <f>VLOOKUP($B42,'[1]Data_UN_PopulationTot.&amp;%'!$B$4:$CZ$603,65,FALSE)</f>
        <v>9.1513865650101476</v>
      </c>
      <c r="CB42">
        <f>VLOOKUP($B42,'[1]Data_UN_PopulationTot.&amp;%'!$B$4:$CZ$603,66,FALSE)</f>
        <v>8.1951943145947261</v>
      </c>
      <c r="CC42">
        <f>VLOOKUP($B42,'[1]Data_UN_PopulationTot.&amp;%'!$B$4:$CZ$603,67,FALSE)</f>
        <v>7.3219142244378128</v>
      </c>
      <c r="CD42">
        <f>VLOOKUP($B42,'[1]Data_UN_PopulationTot.&amp;%'!$B$4:$CZ$603,68,FALSE)</f>
        <v>6.1759784727373095</v>
      </c>
      <c r="CE42">
        <f>VLOOKUP($B42,'[1]Data_UN_PopulationTot.&amp;%'!$B$4:$CZ$603,69,FALSE)</f>
        <v>4.9053869904955754</v>
      </c>
      <c r="CF42">
        <f>VLOOKUP($B42,'[1]Data_UN_PopulationTot.&amp;%'!$B$4:$CZ$603,70,FALSE)</f>
        <v>3.953449594351393</v>
      </c>
      <c r="CG42">
        <f>VLOOKUP($B42,'[1]Data_UN_PopulationTot.&amp;%'!$B$4:$CZ$603,71,FALSE)</f>
        <v>3.2346092146343985</v>
      </c>
      <c r="CH42">
        <f>VLOOKUP($B42,'[1]Data_UN_PopulationTot.&amp;%'!$B$4:$CZ$603,72,FALSE)</f>
        <v>2.6177703413658082</v>
      </c>
      <c r="CI42">
        <f>VLOOKUP($B42,'[1]Data_UN_PopulationTot.&amp;%'!$B$4:$CZ$603,73,FALSE)</f>
        <v>2.0163409403227939</v>
      </c>
      <c r="CJ42">
        <f>VLOOKUP($B42,'[1]Data_UN_PopulationTot.&amp;%'!$B$4:$CZ$603,74,FALSE)</f>
        <v>1.3939822561077282</v>
      </c>
      <c r="CK42">
        <f>VLOOKUP($B42,'[1]Data_UN_PopulationTot.&amp;%'!$B$4:$CZ$603,75,FALSE)</f>
        <v>0.82164685859509312</v>
      </c>
      <c r="CL42">
        <f>VLOOKUP($B42,'[1]Data_UN_PopulationTot.&amp;%'!$B$4:$CZ$603,76,FALSE)</f>
        <v>0.51909222109142761</v>
      </c>
      <c r="CM42">
        <f>VLOOKUP($B42,'[1]Data_UN_PopulationTot.&amp;%'!$B$4:$CZ$603,77,FALSE)</f>
        <v>0.25862614205463463</v>
      </c>
      <c r="CN42">
        <f>VLOOKUP($B42,'[1]Data_UN_PopulationTot.&amp;%'!$B$4:$CZ$603,78,FALSE)</f>
        <v>8.9696927880220101E-2</v>
      </c>
      <c r="CO42">
        <f>VLOOKUP($B42,'[1]Data_UN_PopulationTot.&amp;%'!$B$4:$CZ$603,79,FALSE)</f>
        <v>1.9894318619587278E-2</v>
      </c>
      <c r="CP42">
        <f>VLOOKUP($B42,'[1]Data_UN_PopulationTot.&amp;%'!$B$4:$CZ$603,80,FALSE)</f>
        <v>2.4149172890828492E-3</v>
      </c>
      <c r="CQ42">
        <f>VLOOKUP($B42,'[1]Data_UN_PopulationTot.&amp;%'!$B$4:$CZ$603,81,FALSE)</f>
        <v>1.1499606138489755E-4</v>
      </c>
      <c r="CR42">
        <f>VLOOKUP($B42,'[1]Data_UN_PopulationTot.&amp;%'!$B$4:$CZ$603,82,FALSE)</f>
        <v>12.642153681180687</v>
      </c>
      <c r="CS42">
        <f>VLOOKUP($B42,'[1]Data_UN_PopulationTot.&amp;%'!$B$4:$CZ$603,83,FALSE)</f>
        <v>11.876193432476414</v>
      </c>
      <c r="CT42">
        <f>VLOOKUP($B42,'[1]Data_UN_PopulationTot.&amp;%'!$B$4:$CZ$603,84,FALSE)</f>
        <v>11.182568125593777</v>
      </c>
      <c r="CU42">
        <f>VLOOKUP($B42,'[1]Data_UN_PopulationTot.&amp;%'!$B$4:$CZ$603,85,FALSE)</f>
        <v>10.406166812465315</v>
      </c>
      <c r="CV42">
        <f>VLOOKUP($B42,'[1]Data_UN_PopulationTot.&amp;%'!$B$4:$CZ$603,86,FALSE)</f>
        <v>9.2299950146268976</v>
      </c>
      <c r="CW42">
        <f>VLOOKUP($B42,'[1]Data_UN_PopulationTot.&amp;%'!$B$4:$CZ$603,87,FALSE)</f>
        <v>8.0891911467298776</v>
      </c>
      <c r="CX42">
        <f>VLOOKUP($B42,'[1]Data_UN_PopulationTot.&amp;%'!$B$4:$CZ$603,88,FALSE)</f>
        <v>7.1626642586373954</v>
      </c>
      <c r="CY42">
        <f>VLOOKUP($B42,'[1]Data_UN_PopulationTot.&amp;%'!$B$4:$CZ$603,89,FALSE)</f>
        <v>6.3920948914035245</v>
      </c>
      <c r="CZ42">
        <f>VLOOKUP($B42,'[1]Data_UN_PopulationTot.&amp;%'!$B$4:$CZ$603,90,FALSE)</f>
        <v>5.6728842734994496</v>
      </c>
      <c r="DA42">
        <f>VLOOKUP($B42,'[1]Data_UN_PopulationTot.&amp;%'!$B$4:$CZ$603,91,FALSE)</f>
        <v>4.7283912295058839</v>
      </c>
      <c r="DB42">
        <f>VLOOKUP($B42,'[1]Data_UN_PopulationTot.&amp;%'!$B$4:$CZ$603,92,FALSE)</f>
        <v>3.68080443227888</v>
      </c>
      <c r="DC42">
        <f>VLOOKUP($B42,'[1]Data_UN_PopulationTot.&amp;%'!$B$4:$CZ$603,93,FALSE)</f>
        <v>2.8751493260339949</v>
      </c>
      <c r="DD42">
        <f>VLOOKUP($B42,'[1]Data_UN_PopulationTot.&amp;%'!$B$4:$CZ$603,94,FALSE)</f>
        <v>2.2389969053061303</v>
      </c>
      <c r="DE42">
        <f>VLOOKUP($B42,'[1]Data_UN_PopulationTot.&amp;%'!$B$4:$CZ$603,95,FALSE)</f>
        <v>1.673862535391446</v>
      </c>
      <c r="DF42">
        <f>VLOOKUP($B42,'[1]Data_UN_PopulationTot.&amp;%'!$B$4:$CZ$603,96,FALSE)</f>
        <v>1.1326203309158978</v>
      </c>
      <c r="DG42">
        <f>VLOOKUP($B42,'[1]Data_UN_PopulationTot.&amp;%'!$B$4:$CZ$603,97,FALSE)</f>
        <v>0.63210768405903439</v>
      </c>
      <c r="DH42">
        <f>VLOOKUP($B42,'[1]Data_UN_PopulationTot.&amp;%'!$B$4:$CZ$603,98,FALSE)</f>
        <v>0.26262569254357498</v>
      </c>
      <c r="DI42">
        <f>VLOOKUP($B42,'[1]Data_UN_PopulationTot.&amp;%'!$B$4:$CZ$603,99,FALSE)</f>
        <v>9.650929819115614E-2</v>
      </c>
      <c r="DJ42">
        <f>VLOOKUP($B42,'[1]Data_UN_PopulationTot.&amp;%'!$B$4:$DE$603,100,FALSE)</f>
        <v>2.2010892569912805E-2</v>
      </c>
      <c r="DK42">
        <f>VLOOKUP($B42,'[1]Data_UN_PopulationTot.&amp;%'!$B$4:$DE$603,101,FALSE)</f>
        <v>2.821909303834975E-3</v>
      </c>
      <c r="DL42">
        <f>VLOOKUP($B42,'[1]Data_UN_PopulationTot.&amp;%'!$B$4:$DE$603,102,FALSE)</f>
        <v>2.8219093038349749E-4</v>
      </c>
    </row>
    <row r="43" spans="1:116">
      <c r="A43" t="s">
        <v>155</v>
      </c>
      <c r="B43" t="s">
        <v>369</v>
      </c>
      <c r="C43" t="s">
        <v>496</v>
      </c>
      <c r="D43" t="s">
        <v>334</v>
      </c>
      <c r="E43" t="s">
        <v>300</v>
      </c>
      <c r="F43">
        <v>0</v>
      </c>
      <c r="G43">
        <v>1</v>
      </c>
      <c r="H43">
        <v>0</v>
      </c>
      <c r="I43">
        <v>0</v>
      </c>
      <c r="J43" s="18">
        <f t="shared" si="1"/>
        <v>43.750810301800001</v>
      </c>
      <c r="K43">
        <f>VLOOKUP($B43,'[1]Source GDP Current USD'!$B$1:$CZ$600,64,FALSE)</f>
        <v>1703698676.6974199</v>
      </c>
      <c r="L43" s="45">
        <f>VLOOKUP($B43,'[1]Source GDP Current USD'!$B$1:$CZ$600,65,FALSE)</f>
        <v>1703698676.6974199</v>
      </c>
      <c r="M43" s="17">
        <f>VLOOKUP($B43,'[1]Source GDP Current LCU'!$B$1:$CZ$600,64,FALSE)</f>
        <v>164910706000</v>
      </c>
      <c r="N43" s="45">
        <v>160000000000</v>
      </c>
      <c r="O43" s="45">
        <f>VLOOKUP($B43,'[1]Source GNI Current USD'!$B$1:$CZ$600,64,FALSE)</f>
        <v>1661737711.4892499</v>
      </c>
      <c r="P43" s="45">
        <f>VLOOKUP($B43,'[1]Source GNI Current LCU'!$B$1:$CZ$600,64,FALSE)</f>
        <v>160849065000</v>
      </c>
      <c r="Q43">
        <f t="shared" si="0"/>
        <v>102.52512565118113</v>
      </c>
      <c r="R43">
        <v>3060</v>
      </c>
      <c r="S43">
        <v>3060</v>
      </c>
      <c r="T43">
        <v>0.48054599999999997</v>
      </c>
      <c r="U43">
        <f>VLOOKUP($B43,'[1]Source PopulationTotal'!$B$1:$CZ$600,65,FALSE)</f>
        <v>555988</v>
      </c>
      <c r="V43">
        <v>26.53</v>
      </c>
      <c r="W43">
        <f>VLOOKUP($B43,'[1]Source Gov. Revenue WEO'!$B$1:$CZ$600,5,FALSE)</f>
        <v>30.181999999999999</v>
      </c>
      <c r="X43">
        <f>VLOOKUP($B43,'[1]Source Gov. Revenue WEO'!$B$1:$CZ$600,6,FALSE)</f>
        <v>30.709</v>
      </c>
      <c r="Y43">
        <f>VLOOKUP($B43,'[1]Source Gov. Revenue WEO'!$B$1:$CZ$600,7,FALSE)</f>
        <v>30.38</v>
      </c>
      <c r="Z43">
        <f>VLOOKUP($B43,'[1]Source Gov. Revenue WEO'!$B$1:$CZ$600,8,FALSE)</f>
        <v>30.713999999999999</v>
      </c>
      <c r="AA43">
        <f>VLOOKUP($B43,'[1]Source Gov. Revenue WEO'!$B$1:$CZ$600,9,FALSE)</f>
        <v>30.864999999999998</v>
      </c>
      <c r="AB43">
        <f>VLOOKUP($B43,'[1]Source Gov. Revenue WEO'!$B$1:$CZ$600,10,FALSE)</f>
        <v>31.062000000000001</v>
      </c>
      <c r="AC43">
        <f>VLOOKUP($B43,[2]Summary!$B$1:$CZ$600,39,FALSE)</f>
        <v>2.3620830000000002E-2</v>
      </c>
      <c r="AD43">
        <f>VLOOKUP($B43,[2]Summary!$B$1:$CZ$600,40,FALSE)</f>
        <v>2.5249999999999998E-2</v>
      </c>
      <c r="AE43">
        <f>VLOOKUP($B43,[2]Summary!$B$1:$CZ$600,47,FALSE)</f>
        <v>0.26435237681804263</v>
      </c>
      <c r="AF43">
        <f>VLOOKUP($B43,'[1]CALC GDP Growth rates WDI'!$B$1:$CZ$600,27,FALSE)</f>
        <v>10.031528771324853</v>
      </c>
      <c r="AG43">
        <f>VLOOKUP($B43,'[1]CALC GDP Growth rates WDI'!$B$1:$CZ$600,29,FALSE)</f>
        <v>23.45155286310543</v>
      </c>
      <c r="AH43" s="45">
        <v>2.19</v>
      </c>
      <c r="AI43">
        <f>VLOOKUP($B43,'[1]CALC GDP Growth rates WDI'!$B$1:$CZ$600,30,FALSE)</f>
        <v>14.150232226671665</v>
      </c>
      <c r="AJ43" s="45" t="s">
        <v>2464</v>
      </c>
      <c r="AK43">
        <f>VLOOKUP($B43,[1]Data_Aspire!$B$1:$CZ$600,2,FALSE)</f>
        <v>2011</v>
      </c>
      <c r="AL43">
        <f>VLOOKUP($B43,[1]Data_Aspire!$B$1:$CZ$600,3,FALSE)</f>
        <v>2.5</v>
      </c>
      <c r="AM43">
        <f>VLOOKUP($B43,[1]Data_Aspire!$B$1:$CZ$600,4,FALSE)</f>
        <v>0</v>
      </c>
      <c r="AN43">
        <f>VLOOKUP($B43,[1]Data_Aspire!$B$1:$CZ$600,5,FALSE)</f>
        <v>0</v>
      </c>
      <c r="AO43">
        <f>VLOOKUP($B43,[1]Data_Aspire!$B$1:$CZ$600,6,FALSE)</f>
        <v>1.1299999999999999</v>
      </c>
      <c r="AP43">
        <f>VLOOKUP($B43,[1]Data_Aspire!$B$1:$CZ$600,7,FALSE)</f>
        <v>0.17</v>
      </c>
      <c r="AQ43">
        <f>VLOOKUP($B43,[1]Data_Aspire!$B$1:$CZ$600,8,FALSE)</f>
        <v>0</v>
      </c>
      <c r="AR43">
        <f>VLOOKUP($B43,[1]Data_Aspire!$B$1:$CZ$600,9,FALSE)</f>
        <v>0.06</v>
      </c>
      <c r="AS43">
        <f>VLOOKUP($B43,[1]Data_Aspire!$B$1:$CZ$600,10,FALSE)</f>
        <v>0.63</v>
      </c>
      <c r="AT43">
        <f>VLOOKUP($B43,[1]Data_Aspire!$B$1:$CZ$600,11,FALSE)</f>
        <v>0.5</v>
      </c>
      <c r="AU43">
        <f>VLOOKUP($B43,[1]Data_Aspire!$B$1:$CZ$600,12,FALSE)</f>
        <v>1.88</v>
      </c>
      <c r="AX43">
        <f>VLOOKUP($B43,[1]Data_Aspire!$B$1:$CZ$600,15,FALSE)</f>
        <v>550</v>
      </c>
      <c r="AY43">
        <f>VLOOKUP($B43,[1]Data_Aspire!$B$1:$CZ$600,16,FALSE)</f>
        <v>2010</v>
      </c>
      <c r="AZ43">
        <f>VLOOKUP($B43,[1]Data_Aspire!$B$1:$CZ$600,17,FALSE)</f>
        <v>23000</v>
      </c>
      <c r="BA43">
        <f>VLOOKUP($B43,[1]Data_Aspire!$B$1:$CZ$600,18,FALSE)</f>
        <v>2011</v>
      </c>
      <c r="BD43">
        <f>VLOOKUP($B43,[1]Data_Aspire!$B$1:$CZ$600,21,FALSE)</f>
        <v>3168</v>
      </c>
      <c r="BE43">
        <f>VLOOKUP($B43,[1]Data_Aspire!$B$1:$CZ$600,22,FALSE)</f>
        <v>2015</v>
      </c>
      <c r="BH43">
        <f>VLOOKUP($B43,[1]Data_Aspire!$B$1:$CZ$600,25,FALSE)</f>
        <v>153326</v>
      </c>
      <c r="BI43">
        <f>VLOOKUP($B43,[1]Data_Aspire!$B$1:$CZ$600,26,FALSE)</f>
        <v>2010</v>
      </c>
      <c r="BJ43" s="7">
        <v>1</v>
      </c>
      <c r="BK43">
        <v>132</v>
      </c>
      <c r="BL43">
        <f>VLOOKUP($B43,'[1]Data_UN_PopulationTot.&amp;%'!$B$4:$CZ$603,8,FALSE)</f>
        <v>555.98800000000006</v>
      </c>
      <c r="BM43">
        <f>VLOOKUP($B43,'[1]Data_UN_PopulationTot.&amp;%'!$B$4:$CZ$603,9,FALSE)</f>
        <v>561.90099999999995</v>
      </c>
      <c r="BN43">
        <v>567.67600000000004</v>
      </c>
      <c r="BO43">
        <f>VLOOKUP($B43,'[1]Data_UN_PopulationTot.&amp;%'!$B$4:$CZ$603,11,FALSE)</f>
        <v>573.322</v>
      </c>
      <c r="BP43">
        <f>VLOOKUP($B43,'[1]Data_UN_PopulationTot.&amp;%'!$B$4:$CZ$603,12,FALSE)</f>
        <v>578.86800000000005</v>
      </c>
      <c r="BQ43">
        <f>VLOOKUP($B43,'[1]Data_UN_PopulationTot.&amp;%'!$B$4:$CZ$603,13,FALSE)</f>
        <v>584.31500000000005</v>
      </c>
      <c r="BR43">
        <f>VLOOKUP($B43,'[1]Data_UN_PopulationTot.&amp;%'!$B$4:$CZ$603,14,FALSE)</f>
        <v>589.66800000000001</v>
      </c>
      <c r="BS43">
        <f>VLOOKUP($B43,'[1]Data_UN_PopulationTot.&amp;%'!$B$4:$CZ$603,15,FALSE)</f>
        <v>594.93100000000004</v>
      </c>
      <c r="BT43">
        <f>VLOOKUP($B43,'[1]Data_UN_PopulationTot.&amp;%'!$B$4:$CZ$603,16,FALSE)</f>
        <v>600.08600000000001</v>
      </c>
      <c r="BU43">
        <f>VLOOKUP($B43,'[1]Data_UN_PopulationTot.&amp;%'!$B$4:$CZ$603,17,FALSE)</f>
        <v>605.125</v>
      </c>
      <c r="BV43">
        <f>VLOOKUP($B43,'[1]Data_UN_PopulationTot.&amp;%'!$B$4:$CZ$603,18,FALSE)</f>
        <v>610.06200000000001</v>
      </c>
      <c r="BW43">
        <f>VLOOKUP($B43,'[1]Data_UN_PopulationTot.&amp;%'!$B$4:$CZ$603,61,FALSE)</f>
        <v>9.3404893630797776</v>
      </c>
      <c r="BX43">
        <f>VLOOKUP($B43,'[1]Data_UN_PopulationTot.&amp;%'!$B$4:$CZ$603,62,FALSE)</f>
        <v>9.5584796794175411</v>
      </c>
      <c r="BY43">
        <f>VLOOKUP($B43,'[1]Data_UN_PopulationTot.&amp;%'!$B$4:$CZ$603,63,FALSE)</f>
        <v>9.1823924257358058</v>
      </c>
      <c r="BZ43">
        <f>VLOOKUP($B43,'[1]Data_UN_PopulationTot.&amp;%'!$B$4:$CZ$603,64,FALSE)</f>
        <v>8.7922760922897609</v>
      </c>
      <c r="CA43">
        <f>VLOOKUP($B43,'[1]Data_UN_PopulationTot.&amp;%'!$B$4:$CZ$603,65,FALSE)</f>
        <v>8.2661856011280808</v>
      </c>
      <c r="CB43">
        <f>VLOOKUP($B43,'[1]Data_UN_PopulationTot.&amp;%'!$B$4:$CZ$603,66,FALSE)</f>
        <v>9.3322158032187748</v>
      </c>
      <c r="CC43">
        <f>VLOOKUP($B43,'[1]Data_UN_PopulationTot.&amp;%'!$B$4:$CZ$603,67,FALSE)</f>
        <v>9.4485852212637678</v>
      </c>
      <c r="CD43">
        <f>VLOOKUP($B43,'[1]Data_UN_PopulationTot.&amp;%'!$B$4:$CZ$603,68,FALSE)</f>
        <v>8.2291344417505403</v>
      </c>
      <c r="CE43">
        <f>VLOOKUP($B43,'[1]Data_UN_PopulationTot.&amp;%'!$B$4:$CZ$603,69,FALSE)</f>
        <v>6.4361101318733489</v>
      </c>
      <c r="CF43">
        <f>VLOOKUP($B43,'[1]Data_UN_PopulationTot.&amp;%'!$B$4:$CZ$603,70,FALSE)</f>
        <v>5.2378828320035682</v>
      </c>
      <c r="CG43">
        <f>VLOOKUP($B43,'[1]Data_UN_PopulationTot.&amp;%'!$B$4:$CZ$603,71,FALSE)</f>
        <v>4.5427239436822378</v>
      </c>
      <c r="CH43">
        <f>VLOOKUP($B43,'[1]Data_UN_PopulationTot.&amp;%'!$B$4:$CZ$603,72,FALSE)</f>
        <v>4.0747282315445661</v>
      </c>
      <c r="CI43">
        <f>VLOOKUP($B43,'[1]Data_UN_PopulationTot.&amp;%'!$B$4:$CZ$603,73,FALSE)</f>
        <v>2.772361993424318</v>
      </c>
      <c r="CJ43">
        <f>VLOOKUP($B43,'[1]Data_UN_PopulationTot.&amp;%'!$B$4:$CZ$603,74,FALSE)</f>
        <v>1.9710857068857599</v>
      </c>
      <c r="CK43">
        <f>VLOOKUP($B43,'[1]Data_UN_PopulationTot.&amp;%'!$B$4:$CZ$603,75,FALSE)</f>
        <v>0.85091764570458339</v>
      </c>
      <c r="CL43">
        <f>VLOOKUP($B43,'[1]Data_UN_PopulationTot.&amp;%'!$B$4:$CZ$603,76,FALSE)</f>
        <v>0.77789448693137253</v>
      </c>
      <c r="CM43">
        <f>VLOOKUP($B43,'[1]Data_UN_PopulationTot.&amp;%'!$B$4:$CZ$603,77,FALSE)</f>
        <v>0.70073454822765957</v>
      </c>
      <c r="CN43">
        <f>VLOOKUP($B43,'[1]Data_UN_PopulationTot.&amp;%'!$B$4:$CZ$603,78,FALSE)</f>
        <v>0.37446851370892886</v>
      </c>
      <c r="CO43">
        <f>VLOOKUP($B43,'[1]Data_UN_PopulationTot.&amp;%'!$B$4:$CZ$603,79,FALSE)</f>
        <v>0.10072159830787715</v>
      </c>
      <c r="CP43">
        <f>VLOOKUP($B43,'[1]Data_UN_PopulationTot.&amp;%'!$B$4:$CZ$603,80,FALSE)</f>
        <v>9.7124398368310105E-3</v>
      </c>
      <c r="CQ43">
        <f>VLOOKUP($B43,'[1]Data_UN_PopulationTot.&amp;%'!$B$4:$CZ$603,81,FALSE)</f>
        <v>8.9929998489176016E-4</v>
      </c>
      <c r="CR43">
        <f>VLOOKUP($B43,'[1]Data_UN_PopulationTot.&amp;%'!$B$4:$CZ$603,82,FALSE)</f>
        <v>7.5626739577288866</v>
      </c>
      <c r="CS43">
        <f>VLOOKUP($B43,'[1]Data_UN_PopulationTot.&amp;%'!$B$4:$CZ$603,83,FALSE)</f>
        <v>7.9947611882071001</v>
      </c>
      <c r="CT43">
        <f>VLOOKUP($B43,'[1]Data_UN_PopulationTot.&amp;%'!$B$4:$CZ$603,84,FALSE)</f>
        <v>8.3902947569263446</v>
      </c>
      <c r="CU43">
        <f>VLOOKUP($B43,'[1]Data_UN_PopulationTot.&amp;%'!$B$4:$CZ$603,85,FALSE)</f>
        <v>8.294566781736938</v>
      </c>
      <c r="CV43">
        <f>VLOOKUP($B43,'[1]Data_UN_PopulationTot.&amp;%'!$B$4:$CZ$603,86,FALSE)</f>
        <v>7.3105684340280153</v>
      </c>
      <c r="CW43">
        <f>VLOOKUP($B43,'[1]Data_UN_PopulationTot.&amp;%'!$B$4:$CZ$603,87,FALSE)</f>
        <v>7.0663309630824411</v>
      </c>
      <c r="CX43">
        <f>VLOOKUP($B43,'[1]Data_UN_PopulationTot.&amp;%'!$B$4:$CZ$603,88,FALSE)</f>
        <v>7.4000675341194837</v>
      </c>
      <c r="CY43">
        <f>VLOOKUP($B43,'[1]Data_UN_PopulationTot.&amp;%'!$B$4:$CZ$603,89,FALSE)</f>
        <v>8.6907560215191229</v>
      </c>
      <c r="CZ43">
        <f>VLOOKUP($B43,'[1]Data_UN_PopulationTot.&amp;%'!$B$4:$CZ$603,90,FALSE)</f>
        <v>8.6717415606938317</v>
      </c>
      <c r="DA43">
        <f>VLOOKUP($B43,'[1]Data_UN_PopulationTot.&amp;%'!$B$4:$CZ$603,91,FALSE)</f>
        <v>7.428261389825952</v>
      </c>
      <c r="DB43">
        <f>VLOOKUP($B43,'[1]Data_UN_PopulationTot.&amp;%'!$B$4:$CZ$603,92,FALSE)</f>
        <v>5.7058135074795668</v>
      </c>
      <c r="DC43">
        <f>VLOOKUP($B43,'[1]Data_UN_PopulationTot.&amp;%'!$B$4:$CZ$603,93,FALSE)</f>
        <v>4.5351128245981558</v>
      </c>
      <c r="DD43">
        <f>VLOOKUP($B43,'[1]Data_UN_PopulationTot.&amp;%'!$B$4:$CZ$603,94,FALSE)</f>
        <v>3.7876478128452518</v>
      </c>
      <c r="DE43">
        <f>VLOOKUP($B43,'[1]Data_UN_PopulationTot.&amp;%'!$B$4:$CZ$603,95,FALSE)</f>
        <v>3.1977077739639577</v>
      </c>
      <c r="DF43">
        <f>VLOOKUP($B43,'[1]Data_UN_PopulationTot.&amp;%'!$B$4:$CZ$603,96,FALSE)</f>
        <v>1.9797987745507832</v>
      </c>
      <c r="DG43">
        <f>VLOOKUP($B43,'[1]Data_UN_PopulationTot.&amp;%'!$B$4:$CZ$603,97,FALSE)</f>
        <v>1.2034842360284692</v>
      </c>
      <c r="DH43">
        <f>VLOOKUP($B43,'[1]Data_UN_PopulationTot.&amp;%'!$B$4:$CZ$603,98,FALSE)</f>
        <v>0.40356553924027394</v>
      </c>
      <c r="DI43">
        <f>VLOOKUP($B43,'[1]Data_UN_PopulationTot.&amp;%'!$B$4:$CZ$603,99,FALSE)</f>
        <v>0.24013952680219391</v>
      </c>
      <c r="DJ43">
        <f>VLOOKUP($B43,'[1]Data_UN_PopulationTot.&amp;%'!$B$4:$DE$603,100,FALSE)</f>
        <v>0.11097232740278859</v>
      </c>
      <c r="DK43">
        <f>VLOOKUP($B43,'[1]Data_UN_PopulationTot.&amp;%'!$B$4:$DE$603,101,FALSE)</f>
        <v>2.3768076031616455E-2</v>
      </c>
      <c r="DL43">
        <f>VLOOKUP($B43,'[1]Data_UN_PopulationTot.&amp;%'!$B$4:$DE$603,102,FALSE)</f>
        <v>1.9670131888234314E-3</v>
      </c>
    </row>
    <row r="44" spans="1:116">
      <c r="A44" t="s">
        <v>225</v>
      </c>
      <c r="B44" t="s">
        <v>440</v>
      </c>
      <c r="C44" t="s">
        <v>497</v>
      </c>
      <c r="D44" t="s">
        <v>389</v>
      </c>
      <c r="E44" t="s">
        <v>301</v>
      </c>
      <c r="F44">
        <v>0</v>
      </c>
      <c r="G44">
        <v>0</v>
      </c>
      <c r="H44">
        <v>1</v>
      </c>
      <c r="I44">
        <v>0</v>
      </c>
      <c r="J44" s="18">
        <f t="shared" si="1"/>
        <v>5039.4423763823797</v>
      </c>
      <c r="K44">
        <f>VLOOKUP($B44,'[1]Source GDP Current USD'!$B$1:$CZ$600,64,FALSE)</f>
        <v>61846895120.7808</v>
      </c>
      <c r="L44" s="45">
        <f>VLOOKUP($B44,'[1]Source GDP Current USD'!$B$1:$CZ$600,65,FALSE)</f>
        <v>61846895120.7808</v>
      </c>
      <c r="M44" s="17">
        <f>VLOOKUP($B44,'[1]Source GDP Current LCU'!$B$1:$CZ$600,64,FALSE)</f>
        <v>36174304618350.297</v>
      </c>
      <c r="N44" s="45">
        <v>36000000000000</v>
      </c>
      <c r="O44" s="45">
        <f>VLOOKUP($B44,'[1]Source GNI Current USD'!$B$1:$CZ$600,64,FALSE)</f>
        <v>58284233591.454201</v>
      </c>
      <c r="P44" s="45">
        <f>VLOOKUP($B44,'[1]Source GNI Current LCU'!$B$1:$CZ$600,64,FALSE)</f>
        <v>34090500683451.801</v>
      </c>
      <c r="Q44">
        <f t="shared" si="0"/>
        <v>106.11256477060196</v>
      </c>
      <c r="R44">
        <v>11530</v>
      </c>
      <c r="S44">
        <v>11530</v>
      </c>
      <c r="T44">
        <v>0.54855399999999999</v>
      </c>
      <c r="U44">
        <f>VLOOKUP($B44,'[1]Source PopulationTotal'!$B$1:$CZ$600,65,FALSE)</f>
        <v>5094114</v>
      </c>
      <c r="V44">
        <v>13.930999999999999</v>
      </c>
      <c r="W44">
        <f>VLOOKUP($B44,'[1]Source Gov. Revenue WEO'!$B$1:$CZ$600,5,FALSE)</f>
        <v>15.486000000000001</v>
      </c>
      <c r="X44">
        <f>VLOOKUP($B44,'[1]Source Gov. Revenue WEO'!$B$1:$CZ$600,6,FALSE)</f>
        <v>15.263999999999999</v>
      </c>
      <c r="Y44">
        <f>VLOOKUP($B44,'[1]Source Gov. Revenue WEO'!$B$1:$CZ$600,7,FALSE)</f>
        <v>16.001999999999999</v>
      </c>
      <c r="Z44">
        <f>VLOOKUP($B44,'[1]Source Gov. Revenue WEO'!$B$1:$CZ$600,8,FALSE)</f>
        <v>16.021999999999998</v>
      </c>
      <c r="AA44">
        <f>VLOOKUP($B44,'[1]Source Gov. Revenue WEO'!$B$1:$CZ$600,9,FALSE)</f>
        <v>16.015000000000001</v>
      </c>
      <c r="AB44">
        <f>VLOOKUP($B44,'[1]Source Gov. Revenue WEO'!$B$1:$CZ$600,10,FALSE)</f>
        <v>15.997</v>
      </c>
      <c r="AC44">
        <f>VLOOKUP($B44,[2]Summary!$B$1:$CZ$600,39,FALSE)</f>
        <v>1.418491E-2</v>
      </c>
      <c r="AD44">
        <f>VLOOKUP($B44,[2]Summary!$B$1:$CZ$600,40,FALSE)</f>
        <v>1.2E-2</v>
      </c>
      <c r="AE44">
        <f>VLOOKUP($B44,[2]Summary!$B$1:$CZ$600,47,FALSE)</f>
        <v>0.3367615521650954</v>
      </c>
      <c r="AF44">
        <f>VLOOKUP($B44,'[1]CALC GDP Growth rates WDI'!$B$1:$CZ$600,27,FALSE)</f>
        <v>31.606936408412032</v>
      </c>
      <c r="AG44">
        <f>VLOOKUP($B44,'[1]CALC GDP Growth rates WDI'!$B$1:$CZ$600,29,FALSE)</f>
        <v>41.277321016895321</v>
      </c>
      <c r="AH44">
        <v>9.27</v>
      </c>
      <c r="AI44">
        <f>VLOOKUP($B44,'[1]CALC GDP Growth rates WDI'!$B$1:$CZ$600,30,FALSE)</f>
        <v>15.387700892340206</v>
      </c>
      <c r="AK44">
        <f>VLOOKUP($B44,[1]Data_Aspire!$B$1:$CZ$600,2,FALSE)</f>
        <v>2014</v>
      </c>
      <c r="AL44">
        <f>VLOOKUP($B44,[1]Data_Aspire!$B$1:$CZ$600,3,FALSE)</f>
        <v>1.46</v>
      </c>
      <c r="AM44">
        <f>VLOOKUP($B44,[1]Data_Aspire!$B$1:$CZ$600,4,FALSE)</f>
        <v>0.12</v>
      </c>
      <c r="AN44">
        <f>VLOOKUP($B44,[1]Data_Aspire!$B$1:$CZ$600,5,FALSE)</f>
        <v>0.46</v>
      </c>
      <c r="AO44">
        <f>VLOOKUP($B44,[1]Data_Aspire!$B$1:$CZ$600,6,FALSE)</f>
        <v>0.55000000000000004</v>
      </c>
      <c r="AP44">
        <f>VLOOKUP($B44,[1]Data_Aspire!$B$1:$CZ$600,7,FALSE)</f>
        <v>0.21</v>
      </c>
      <c r="AQ44">
        <f>VLOOKUP($B44,[1]Data_Aspire!$B$1:$CZ$600,8,FALSE)</f>
        <v>0.04</v>
      </c>
      <c r="AS44">
        <f>VLOOKUP($B44,[1]Data_Aspire!$B$1:$CZ$600,10,FALSE)</f>
        <v>0.09</v>
      </c>
      <c r="AU44">
        <f>VLOOKUP($B44,[1]Data_Aspire!$B$1:$CZ$600,12,FALSE)</f>
        <v>1.46</v>
      </c>
      <c r="AV44">
        <f>VLOOKUP($B44,[1]Data_Aspire!$B$1:$CZ$600,13,FALSE)</f>
        <v>10940</v>
      </c>
      <c r="AW44">
        <f>VLOOKUP($B44,[1]Data_Aspire!$B$1:$CZ$600,14,FALSE)</f>
        <v>2015</v>
      </c>
      <c r="AX44">
        <f>VLOOKUP($B44,[1]Data_Aspire!$B$1:$CZ$600,15,FALSE)</f>
        <v>0</v>
      </c>
      <c r="AY44">
        <f>VLOOKUP($B44,[1]Data_Aspire!$B$1:$CZ$600,16,FALSE)</f>
        <v>0</v>
      </c>
      <c r="AZ44">
        <f>VLOOKUP($B44,[1]Data_Aspire!$B$1:$CZ$600,17,FALSE)</f>
        <v>104141</v>
      </c>
      <c r="BA44">
        <f>VLOOKUP($B44,[1]Data_Aspire!$B$1:$CZ$600,18,FALSE)</f>
        <v>2015</v>
      </c>
      <c r="BB44">
        <f>VLOOKUP($B44,[1]Data_Aspire!$B$1:$CZ$600,19,FALSE)</f>
        <v>31184</v>
      </c>
      <c r="BC44">
        <f>VLOOKUP($B44,[1]Data_Aspire!$B$1:$CZ$600,20,FALSE)</f>
        <v>2013</v>
      </c>
      <c r="BD44">
        <f>VLOOKUP($B44,[1]Data_Aspire!$B$1:$CZ$600,21,FALSE)</f>
        <v>691294</v>
      </c>
      <c r="BE44">
        <f>VLOOKUP($B44,[1]Data_Aspire!$B$1:$CZ$600,22,FALSE)</f>
        <v>2014</v>
      </c>
      <c r="BF44">
        <f>VLOOKUP($B44,[1]Data_Aspire!$B$1:$CZ$600,23,FALSE)</f>
        <v>9225</v>
      </c>
      <c r="BG44">
        <f>VLOOKUP($B44,[1]Data_Aspire!$B$1:$CZ$600,24,FALSE)</f>
        <v>2014</v>
      </c>
      <c r="BH44">
        <f>VLOOKUP($B44,[1]Data_Aspire!$B$1:$CZ$600,25,FALSE)</f>
        <v>135895</v>
      </c>
      <c r="BI44">
        <f>VLOOKUP($B44,[1]Data_Aspire!$B$1:$CZ$600,26,FALSE)</f>
        <v>2015</v>
      </c>
      <c r="BJ44" s="7">
        <v>0</v>
      </c>
      <c r="BK44">
        <v>188</v>
      </c>
      <c r="BL44">
        <f>VLOOKUP($B44,'[1]Data_UN_PopulationTot.&amp;%'!$B$4:$CZ$603,8,FALSE)</f>
        <v>5094.1099999999997</v>
      </c>
      <c r="BM44">
        <f>VLOOKUP($B44,'[1]Data_UN_PopulationTot.&amp;%'!$B$4:$CZ$603,9,FALSE)</f>
        <v>5139.05</v>
      </c>
      <c r="BN44">
        <v>5182.3500000000004</v>
      </c>
      <c r="BO44">
        <f>VLOOKUP($B44,'[1]Data_UN_PopulationTot.&amp;%'!$B$4:$CZ$603,11,FALSE)</f>
        <v>5223.97</v>
      </c>
      <c r="BP44">
        <f>VLOOKUP($B44,'[1]Data_UN_PopulationTot.&amp;%'!$B$4:$CZ$603,12,FALSE)</f>
        <v>5263.9</v>
      </c>
      <c r="BQ44">
        <f>VLOOKUP($B44,'[1]Data_UN_PopulationTot.&amp;%'!$B$4:$CZ$603,13,FALSE)</f>
        <v>5302.11</v>
      </c>
      <c r="BR44">
        <f>VLOOKUP($B44,'[1]Data_UN_PopulationTot.&amp;%'!$B$4:$CZ$603,14,FALSE)</f>
        <v>5338.56</v>
      </c>
      <c r="BS44">
        <f>VLOOKUP($B44,'[1]Data_UN_PopulationTot.&amp;%'!$B$4:$CZ$603,15,FALSE)</f>
        <v>5373.26</v>
      </c>
      <c r="BT44">
        <f>VLOOKUP($B44,'[1]Data_UN_PopulationTot.&amp;%'!$B$4:$CZ$603,16,FALSE)</f>
        <v>5406.32</v>
      </c>
      <c r="BU44">
        <f>VLOOKUP($B44,'[1]Data_UN_PopulationTot.&amp;%'!$B$4:$CZ$603,17,FALSE)</f>
        <v>5437.87</v>
      </c>
      <c r="BV44">
        <f>VLOOKUP($B44,'[1]Data_UN_PopulationTot.&amp;%'!$B$4:$CZ$603,18,FALSE)</f>
        <v>5468.04</v>
      </c>
      <c r="BW44">
        <f>VLOOKUP($B44,'[1]Data_UN_PopulationTot.&amp;%'!$B$4:$CZ$603,61,FALSE)</f>
        <v>6.8314582920274596</v>
      </c>
      <c r="BX44">
        <f>VLOOKUP($B44,'[1]Data_UN_PopulationTot.&amp;%'!$B$4:$CZ$603,62,FALSE)</f>
        <v>7.0197934477268848</v>
      </c>
      <c r="BY44">
        <f>VLOOKUP($B44,'[1]Data_UN_PopulationTot.&amp;%'!$B$4:$CZ$603,63,FALSE)</f>
        <v>6.976802621066291</v>
      </c>
      <c r="BZ44">
        <f>VLOOKUP($B44,'[1]Data_UN_PopulationTot.&amp;%'!$B$4:$CZ$603,64,FALSE)</f>
        <v>7.1343374995828519</v>
      </c>
      <c r="CA44">
        <f>VLOOKUP($B44,'[1]Data_UN_PopulationTot.&amp;%'!$B$4:$CZ$603,65,FALSE)</f>
        <v>7.8567404315964913</v>
      </c>
      <c r="CB44">
        <f>VLOOKUP($B44,'[1]Data_UN_PopulationTot.&amp;%'!$B$4:$CZ$603,66,FALSE)</f>
        <v>8.3277549954751677</v>
      </c>
      <c r="CC44">
        <f>VLOOKUP($B44,'[1]Data_UN_PopulationTot.&amp;%'!$B$4:$CZ$603,67,FALSE)</f>
        <v>8.4525265453631739</v>
      </c>
      <c r="CD44">
        <f>VLOOKUP($B44,'[1]Data_UN_PopulationTot.&amp;%'!$B$4:$CZ$603,68,FALSE)</f>
        <v>7.755505868542298</v>
      </c>
      <c r="CE44">
        <f>VLOOKUP($B44,'[1]Data_UN_PopulationTot.&amp;%'!$B$4:$CZ$603,69,FALSE)</f>
        <v>6.836051832410373</v>
      </c>
      <c r="CF44">
        <f>VLOOKUP($B44,'[1]Data_UN_PopulationTot.&amp;%'!$B$4:$CZ$603,70,FALSE)</f>
        <v>5.9348149136944439</v>
      </c>
      <c r="CG44">
        <f>VLOOKUP($B44,'[1]Data_UN_PopulationTot.&amp;%'!$B$4:$CZ$603,71,FALSE)</f>
        <v>5.9861683395136742</v>
      </c>
      <c r="CH44">
        <f>VLOOKUP($B44,'[1]Data_UN_PopulationTot.&amp;%'!$B$4:$CZ$603,72,FALSE)</f>
        <v>5.8391554167460065</v>
      </c>
      <c r="CI44">
        <f>VLOOKUP($B44,'[1]Data_UN_PopulationTot.&amp;%'!$B$4:$CZ$603,73,FALSE)</f>
        <v>4.7958720954200045</v>
      </c>
      <c r="CJ44">
        <f>VLOOKUP($B44,'[1]Data_UN_PopulationTot.&amp;%'!$B$4:$CZ$603,74,FALSE)</f>
        <v>3.5079925639611238</v>
      </c>
      <c r="CK44">
        <f>VLOOKUP($B44,'[1]Data_UN_PopulationTot.&amp;%'!$B$4:$CZ$603,75,FALSE)</f>
        <v>2.7215745243035583</v>
      </c>
      <c r="CL44">
        <f>VLOOKUP($B44,'[1]Data_UN_PopulationTot.&amp;%'!$B$4:$CZ$603,76,FALSE)</f>
        <v>1.8104241957868989</v>
      </c>
      <c r="CM44">
        <f>VLOOKUP($B44,'[1]Data_UN_PopulationTot.&amp;%'!$B$4:$CZ$603,77,FALSE)</f>
        <v>1.1760641211124219</v>
      </c>
      <c r="CN44">
        <f>VLOOKUP($B44,'[1]Data_UN_PopulationTot.&amp;%'!$B$4:$CZ$603,78,FALSE)</f>
        <v>0.65526657257106746</v>
      </c>
      <c r="CO44">
        <f>VLOOKUP($B44,'[1]Data_UN_PopulationTot.&amp;%'!$B$4:$CZ$603,79,FALSE)</f>
        <v>0.28835262685729207</v>
      </c>
      <c r="CP44">
        <f>VLOOKUP($B44,'[1]Data_UN_PopulationTot.&amp;%'!$B$4:$CZ$603,80,FALSE)</f>
        <v>8.1015133163594821E-2</v>
      </c>
      <c r="CQ44">
        <f>VLOOKUP($B44,'[1]Data_UN_PopulationTot.&amp;%'!$B$4:$CZ$603,81,FALSE)</f>
        <v>1.240648513675598E-2</v>
      </c>
      <c r="CR44">
        <f>VLOOKUP($B44,'[1]Data_UN_PopulationTot.&amp;%'!$B$4:$CZ$603,82,FALSE)</f>
        <v>5.6105112618049615</v>
      </c>
      <c r="CS44">
        <f>VLOOKUP($B44,'[1]Data_UN_PopulationTot.&amp;%'!$B$4:$CZ$603,83,FALSE)</f>
        <v>5.994396529652307</v>
      </c>
      <c r="CT44">
        <f>VLOOKUP($B44,'[1]Data_UN_PopulationTot.&amp;%'!$B$4:$CZ$603,84,FALSE)</f>
        <v>6.3793607947271793</v>
      </c>
      <c r="CU44">
        <f>VLOOKUP($B44,'[1]Data_UN_PopulationTot.&amp;%'!$B$4:$CZ$603,85,FALSE)</f>
        <v>6.5800725671355726</v>
      </c>
      <c r="CV44">
        <f>VLOOKUP($B44,'[1]Data_UN_PopulationTot.&amp;%'!$B$4:$CZ$603,86,FALSE)</f>
        <v>6.548726783271519</v>
      </c>
      <c r="CW44">
        <f>VLOOKUP($B44,'[1]Data_UN_PopulationTot.&amp;%'!$B$4:$CZ$603,87,FALSE)</f>
        <v>6.6924894477728758</v>
      </c>
      <c r="CX44">
        <f>VLOOKUP($B44,'[1]Data_UN_PopulationTot.&amp;%'!$B$4:$CZ$603,88,FALSE)</f>
        <v>7.351811618056928</v>
      </c>
      <c r="CY44">
        <f>VLOOKUP($B44,'[1]Data_UN_PopulationTot.&amp;%'!$B$4:$CZ$603,89,FALSE)</f>
        <v>7.7668963650595098</v>
      </c>
      <c r="CZ44">
        <f>VLOOKUP($B44,'[1]Data_UN_PopulationTot.&amp;%'!$B$4:$CZ$603,90,FALSE)</f>
        <v>7.8494670850981345</v>
      </c>
      <c r="DA44">
        <f>VLOOKUP($B44,'[1]Data_UN_PopulationTot.&amp;%'!$B$4:$CZ$603,91,FALSE)</f>
        <v>7.1635723220751863</v>
      </c>
      <c r="DB44">
        <f>VLOOKUP($B44,'[1]Data_UN_PopulationTot.&amp;%'!$B$4:$CZ$603,92,FALSE)</f>
        <v>6.2627559417999867</v>
      </c>
      <c r="DC44">
        <f>VLOOKUP($B44,'[1]Data_UN_PopulationTot.&amp;%'!$B$4:$CZ$603,93,FALSE)</f>
        <v>5.3712299105346712</v>
      </c>
      <c r="DD44">
        <f>VLOOKUP($B44,'[1]Data_UN_PopulationTot.&amp;%'!$B$4:$CZ$603,94,FALSE)</f>
        <v>5.3168411350319307</v>
      </c>
      <c r="DE44">
        <f>VLOOKUP($B44,'[1]Data_UN_PopulationTot.&amp;%'!$B$4:$CZ$603,95,FALSE)</f>
        <v>5.0382952575328632</v>
      </c>
      <c r="DF44">
        <f>VLOOKUP($B44,'[1]Data_UN_PopulationTot.&amp;%'!$B$4:$CZ$603,96,FALSE)</f>
        <v>3.9537567391606498</v>
      </c>
      <c r="DG44">
        <f>VLOOKUP($B44,'[1]Data_UN_PopulationTot.&amp;%'!$B$4:$CZ$603,97,FALSE)</f>
        <v>2.6835026810337892</v>
      </c>
      <c r="DH44">
        <f>VLOOKUP($B44,'[1]Data_UN_PopulationTot.&amp;%'!$B$4:$CZ$603,98,FALSE)</f>
        <v>1.8312777521744539</v>
      </c>
      <c r="DI44">
        <f>VLOOKUP($B44,'[1]Data_UN_PopulationTot.&amp;%'!$B$4:$CZ$603,99,FALSE)</f>
        <v>0.98378943826307053</v>
      </c>
      <c r="DJ44">
        <f>VLOOKUP($B44,'[1]Data_UN_PopulationTot.&amp;%'!$B$4:$DE$603,100,FALSE)</f>
        <v>0.45180722891566261</v>
      </c>
      <c r="DK44">
        <f>VLOOKUP($B44,'[1]Data_UN_PopulationTot.&amp;%'!$B$4:$DE$603,101,FALSE)</f>
        <v>0.1442381548050124</v>
      </c>
      <c r="DL44">
        <f>VLOOKUP($B44,'[1]Data_UN_PopulationTot.&amp;%'!$B$4:$DE$603,102,FALSE)</f>
        <v>2.5237562270941691E-2</v>
      </c>
    </row>
    <row r="45" spans="1:116">
      <c r="A45" t="s">
        <v>211</v>
      </c>
      <c r="B45" t="s">
        <v>426</v>
      </c>
      <c r="C45" t="s">
        <v>497</v>
      </c>
      <c r="D45" t="s">
        <v>389</v>
      </c>
      <c r="E45" t="s">
        <v>301</v>
      </c>
      <c r="F45">
        <v>0</v>
      </c>
      <c r="G45">
        <v>0</v>
      </c>
      <c r="H45">
        <v>1</v>
      </c>
      <c r="I45">
        <v>0</v>
      </c>
      <c r="J45" s="18">
        <f t="shared" si="1"/>
        <v>0</v>
      </c>
      <c r="K45">
        <f>VLOOKUP($B45,'[1]Source GDP Current USD'!$B$1:$CZ$600,64,FALSE)</f>
        <v>107352000000</v>
      </c>
      <c r="L45" s="45">
        <f>VLOOKUP($B45,'[1]Source GDP Current USD'!$B$1:$CZ$600,65,FALSE)</f>
        <v>107352000000</v>
      </c>
      <c r="M45" s="17">
        <f>VLOOKUP($B45,'[1]Source GDP Current LCU'!$B$1:$CZ$600,64,FALSE)</f>
        <v>107352000000</v>
      </c>
      <c r="N45" s="45">
        <v>110000000000</v>
      </c>
      <c r="O45" s="45" t="str">
        <f>VLOOKUP($B45,'[1]Source GNI Current USD'!$B$1:$CZ$600,64,FALSE)</f>
        <v>..</v>
      </c>
      <c r="P45" s="45" t="str">
        <f>VLOOKUP($B45,'[1]Source GNI Current LCU'!$B$1:$CZ$600,64,FALSE)</f>
        <v>..</v>
      </c>
      <c r="Q45" t="e">
        <f t="shared" si="0"/>
        <v>#VALUE!</v>
      </c>
      <c r="S45">
        <v>8630</v>
      </c>
      <c r="U45">
        <f>VLOOKUP($B45,'[1]Source PopulationTotal'!$B$1:$CZ$600,65,FALSE)</f>
        <v>11326616</v>
      </c>
      <c r="W45" t="e">
        <f>VLOOKUP($B45,'[1]Source Gov. Revenue WEO'!$B$1:$CZ$600,5,FALSE)</f>
        <v>#N/A</v>
      </c>
      <c r="X45" t="e">
        <f>VLOOKUP($B45,'[1]Source Gov. Revenue WEO'!$B$1:$CZ$600,6,FALSE)</f>
        <v>#N/A</v>
      </c>
      <c r="Y45" t="e">
        <f>VLOOKUP($B45,'[1]Source Gov. Revenue WEO'!$B$1:$CZ$600,7,FALSE)</f>
        <v>#N/A</v>
      </c>
      <c r="Z45" t="e">
        <f>VLOOKUP($B45,'[1]Source Gov. Revenue WEO'!$B$1:$CZ$600,8,FALSE)</f>
        <v>#N/A</v>
      </c>
      <c r="AA45" t="e">
        <f>VLOOKUP($B45,'[1]Source Gov. Revenue WEO'!$B$1:$CZ$600,9,FALSE)</f>
        <v>#N/A</v>
      </c>
      <c r="AB45" t="e">
        <f>VLOOKUP($B45,'[1]Source Gov. Revenue WEO'!$B$1:$CZ$600,10,FALSE)</f>
        <v>#N/A</v>
      </c>
      <c r="AC45">
        <f>VLOOKUP($B45,[2]Summary!$B$1:$CZ$600,39,FALSE)</f>
        <v>5.0000000000000001E-3</v>
      </c>
      <c r="AD45">
        <f>VLOOKUP($B45,[2]Summary!$B$1:$CZ$600,40,FALSE)</f>
        <v>5.0000000000000001E-3</v>
      </c>
      <c r="AE45">
        <f>VLOOKUP($B45,[2]Summary!$B$1:$CZ$600,47,FALSE)</f>
        <v>0.51410149253731341</v>
      </c>
      <c r="AF45">
        <f>VLOOKUP($B45,'[1]CALC GDP Growth rates WDI'!$B$1:$CZ$600,27,FALSE)</f>
        <v>6.8203366974989414</v>
      </c>
      <c r="AG45">
        <f>VLOOKUP($B45,'[1]CALC GDP Growth rates WDI'!$B$1:$CZ$600,29,FALSE)</f>
        <v>22.723161442054153</v>
      </c>
      <c r="AH45">
        <v>-6.98</v>
      </c>
      <c r="AI45">
        <f>VLOOKUP($B45,'[1]CALC GDP Growth rates WDI'!$B$1:$CZ$600,30,FALSE)</f>
        <v>9.0101698283676193</v>
      </c>
      <c r="AJ45" s="45"/>
      <c r="AK45" t="e">
        <f>VLOOKUP($B45,[1]Data_Aspire!$B$1:$CZ$600,2,FALSE)</f>
        <v>#N/A</v>
      </c>
      <c r="AL45" t="e">
        <f>VLOOKUP($B45,[1]Data_Aspire!$B$1:$CZ$600,3,FALSE)</f>
        <v>#N/A</v>
      </c>
      <c r="AM45" t="e">
        <f>VLOOKUP($B45,[1]Data_Aspire!$B$1:$CZ$600,4,FALSE)</f>
        <v>#N/A</v>
      </c>
      <c r="AN45" t="e">
        <f>VLOOKUP($B45,[1]Data_Aspire!$B$1:$CZ$600,5,FALSE)</f>
        <v>#N/A</v>
      </c>
      <c r="AO45" t="e">
        <f>VLOOKUP($B45,[1]Data_Aspire!$B$1:$CZ$600,6,FALSE)</f>
        <v>#N/A</v>
      </c>
      <c r="AP45" t="e">
        <f>VLOOKUP($B45,[1]Data_Aspire!$B$1:$CZ$600,7,FALSE)</f>
        <v>#N/A</v>
      </c>
      <c r="AQ45" t="e">
        <f>VLOOKUP($B45,[1]Data_Aspire!$B$1:$CZ$600,8,FALSE)</f>
        <v>#N/A</v>
      </c>
      <c r="AR45" t="e">
        <f>VLOOKUP($B45,[1]Data_Aspire!$B$1:$CZ$600,9,FALSE)</f>
        <v>#N/A</v>
      </c>
      <c r="AS45" t="e">
        <f>VLOOKUP($B45,[1]Data_Aspire!$B$1:$CZ$600,10,FALSE)</f>
        <v>#N/A</v>
      </c>
      <c r="AT45" t="e">
        <f>VLOOKUP($B45,[1]Data_Aspire!$B$1:$CZ$600,11,FALSE)</f>
        <v>#N/A</v>
      </c>
      <c r="AU45" t="e">
        <f>VLOOKUP($B45,[1]Data_Aspire!$B$1:$CZ$600,12,FALSE)</f>
        <v>#N/A</v>
      </c>
      <c r="AV45" t="e">
        <f>VLOOKUP($B45,[1]Data_Aspire!$B$1:$CZ$600,13,FALSE)</f>
        <v>#N/A</v>
      </c>
      <c r="AW45" t="e">
        <f>VLOOKUP($B45,[1]Data_Aspire!$B$1:$CZ$600,14,FALSE)</f>
        <v>#N/A</v>
      </c>
      <c r="AX45" t="e">
        <f>VLOOKUP($B45,[1]Data_Aspire!$B$1:$CZ$600,15,FALSE)</f>
        <v>#N/A</v>
      </c>
      <c r="AY45" t="e">
        <f>VLOOKUP($B45,[1]Data_Aspire!$B$1:$CZ$600,16,FALSE)</f>
        <v>#N/A</v>
      </c>
      <c r="AZ45" t="e">
        <f>VLOOKUP($B45,[1]Data_Aspire!$B$1:$CZ$600,17,FALSE)</f>
        <v>#N/A</v>
      </c>
      <c r="BA45" t="e">
        <f>VLOOKUP($B45,[1]Data_Aspire!$B$1:$CZ$600,18,FALSE)</f>
        <v>#N/A</v>
      </c>
      <c r="BB45" t="e">
        <f>VLOOKUP($B45,[1]Data_Aspire!$B$1:$CZ$600,19,FALSE)</f>
        <v>#N/A</v>
      </c>
      <c r="BC45" t="e">
        <f>VLOOKUP($B45,[1]Data_Aspire!$B$1:$CZ$600,20,FALSE)</f>
        <v>#N/A</v>
      </c>
      <c r="BD45" t="e">
        <f>VLOOKUP($B45,[1]Data_Aspire!$B$1:$CZ$600,21,FALSE)</f>
        <v>#N/A</v>
      </c>
      <c r="BE45" t="e">
        <f>VLOOKUP($B45,[1]Data_Aspire!$B$1:$CZ$600,22,FALSE)</f>
        <v>#N/A</v>
      </c>
      <c r="BF45" t="e">
        <f>VLOOKUP($B45,[1]Data_Aspire!$B$1:$CZ$600,23,FALSE)</f>
        <v>#N/A</v>
      </c>
      <c r="BG45" t="e">
        <f>VLOOKUP($B45,[1]Data_Aspire!$B$1:$CZ$600,24,FALSE)</f>
        <v>#N/A</v>
      </c>
      <c r="BH45" t="e">
        <f>VLOOKUP($B45,[1]Data_Aspire!$B$1:$CZ$600,25,FALSE)</f>
        <v>#N/A</v>
      </c>
      <c r="BI45" t="e">
        <f>VLOOKUP($B45,[1]Data_Aspire!$B$1:$CZ$600,26,FALSE)</f>
        <v>#N/A</v>
      </c>
      <c r="BJ45" s="7">
        <v>0</v>
      </c>
      <c r="BK45">
        <v>192</v>
      </c>
      <c r="BL45">
        <f>VLOOKUP($B45,'[1]Data_UN_PopulationTot.&amp;%'!$B$4:$CZ$603,8,FALSE)</f>
        <v>11326.6</v>
      </c>
      <c r="BM45">
        <f>VLOOKUP($B45,'[1]Data_UN_PopulationTot.&amp;%'!$B$4:$CZ$603,9,FALSE)</f>
        <v>11317.5</v>
      </c>
      <c r="BN45">
        <v>11305.6</v>
      </c>
      <c r="BO45">
        <f>VLOOKUP($B45,'[1]Data_UN_PopulationTot.&amp;%'!$B$4:$CZ$603,11,FALSE)</f>
        <v>11291.4</v>
      </c>
      <c r="BP45">
        <f>VLOOKUP($B45,'[1]Data_UN_PopulationTot.&amp;%'!$B$4:$CZ$603,12,FALSE)</f>
        <v>11275.1</v>
      </c>
      <c r="BQ45">
        <f>VLOOKUP($B45,'[1]Data_UN_PopulationTot.&amp;%'!$B$4:$CZ$603,13,FALSE)</f>
        <v>11257</v>
      </c>
      <c r="BR45">
        <f>VLOOKUP($B45,'[1]Data_UN_PopulationTot.&amp;%'!$B$4:$CZ$603,14,FALSE)</f>
        <v>11237.4</v>
      </c>
      <c r="BS45">
        <f>VLOOKUP($B45,'[1]Data_UN_PopulationTot.&amp;%'!$B$4:$CZ$603,15,FALSE)</f>
        <v>11216.2</v>
      </c>
      <c r="BT45">
        <f>VLOOKUP($B45,'[1]Data_UN_PopulationTot.&amp;%'!$B$4:$CZ$603,16,FALSE)</f>
        <v>11193.4</v>
      </c>
      <c r="BU45">
        <f>VLOOKUP($B45,'[1]Data_UN_PopulationTot.&amp;%'!$B$4:$CZ$603,17,FALSE)</f>
        <v>11168.8</v>
      </c>
      <c r="BV45">
        <f>VLOOKUP($B45,'[1]Data_UN_PopulationTot.&amp;%'!$B$4:$CZ$603,18,FALSE)</f>
        <v>11142.3</v>
      </c>
      <c r="BW45">
        <f>VLOOKUP($B45,'[1]Data_UN_PopulationTot.&amp;%'!$B$4:$CZ$603,61,FALSE)</f>
        <v>5.0437289213003025</v>
      </c>
      <c r="BX45">
        <f>VLOOKUP($B45,'[1]Data_UN_PopulationTot.&amp;%'!$B$4:$CZ$603,62,FALSE)</f>
        <v>5.5452916144297486</v>
      </c>
      <c r="BY45">
        <f>VLOOKUP($B45,'[1]Data_UN_PopulationTot.&amp;%'!$B$4:$CZ$603,63,FALSE)</f>
        <v>5.3317235534052587</v>
      </c>
      <c r="BZ45">
        <f>VLOOKUP($B45,'[1]Data_UN_PopulationTot.&amp;%'!$B$4:$CZ$603,64,FALSE)</f>
        <v>5.6753924390373101</v>
      </c>
      <c r="CA45">
        <f>VLOOKUP($B45,'[1]Data_UN_PopulationTot.&amp;%'!$B$4:$CZ$603,65,FALSE)</f>
        <v>6.1913372062225207</v>
      </c>
      <c r="CB45">
        <f>VLOOKUP($B45,'[1]Data_UN_PopulationTot.&amp;%'!$B$4:$CZ$603,66,FALSE)</f>
        <v>6.3545194497907573</v>
      </c>
      <c r="CC45">
        <f>VLOOKUP($B45,'[1]Data_UN_PopulationTot.&amp;%'!$B$4:$CZ$603,67,FALSE)</f>
        <v>7.3370737908993</v>
      </c>
      <c r="CD45">
        <f>VLOOKUP($B45,'[1]Data_UN_PopulationTot.&amp;%'!$B$4:$CZ$603,68,FALSE)</f>
        <v>6.1094414917097799</v>
      </c>
      <c r="CE45">
        <f>VLOOKUP($B45,'[1]Data_UN_PopulationTot.&amp;%'!$B$4:$CZ$603,69,FALSE)</f>
        <v>5.4530397471438912</v>
      </c>
      <c r="CF45">
        <f>VLOOKUP($B45,'[1]Data_UN_PopulationTot.&amp;%'!$B$4:$CZ$603,70,FALSE)</f>
        <v>8.3373474829163197</v>
      </c>
      <c r="CG45">
        <f>VLOOKUP($B45,'[1]Data_UN_PopulationTot.&amp;%'!$B$4:$CZ$603,71,FALSE)</f>
        <v>8.8153020323839453</v>
      </c>
      <c r="CH45">
        <f>VLOOKUP($B45,'[1]Data_UN_PopulationTot.&amp;%'!$B$4:$CZ$603,72,FALSE)</f>
        <v>8.5535023749404058</v>
      </c>
      <c r="CI45">
        <f>VLOOKUP($B45,'[1]Data_UN_PopulationTot.&amp;%'!$B$4:$CZ$603,73,FALSE)</f>
        <v>5.3590132961347621</v>
      </c>
      <c r="CJ45">
        <f>VLOOKUP($B45,'[1]Data_UN_PopulationTot.&amp;%'!$B$4:$CZ$603,74,FALSE)</f>
        <v>5.0061624847703632</v>
      </c>
      <c r="CK45">
        <f>VLOOKUP($B45,'[1]Data_UN_PopulationTot.&amp;%'!$B$4:$CZ$603,75,FALSE)</f>
        <v>3.965258771387707</v>
      </c>
      <c r="CL45">
        <f>VLOOKUP($B45,'[1]Data_UN_PopulationTot.&amp;%'!$B$4:$CZ$603,76,FALSE)</f>
        <v>3.1349036780675577</v>
      </c>
      <c r="CM45">
        <f>VLOOKUP($B45,'[1]Data_UN_PopulationTot.&amp;%'!$B$4:$CZ$603,77,FALSE)</f>
        <v>2.0267688450196877</v>
      </c>
      <c r="CN45">
        <f>VLOOKUP($B45,'[1]Data_UN_PopulationTot.&amp;%'!$B$4:$CZ$603,78,FALSE)</f>
        <v>1.0738085568484805</v>
      </c>
      <c r="CO45">
        <f>VLOOKUP($B45,'[1]Data_UN_PopulationTot.&amp;%'!$B$4:$CZ$603,79,FALSE)</f>
        <v>0.49598290749209822</v>
      </c>
      <c r="CP45">
        <f>VLOOKUP($B45,'[1]Data_UN_PopulationTot.&amp;%'!$B$4:$CZ$603,80,FALSE)</f>
        <v>0.16279377747956139</v>
      </c>
      <c r="CQ45">
        <f>VLOOKUP($B45,'[1]Data_UN_PopulationTot.&amp;%'!$B$4:$CZ$603,81,FALSE)</f>
        <v>2.7748839016121338E-2</v>
      </c>
      <c r="CR45">
        <f>VLOOKUP($B45,'[1]Data_UN_PopulationTot.&amp;%'!$B$4:$CZ$603,82,FALSE)</f>
        <v>4.4043150875492492</v>
      </c>
      <c r="CS45">
        <f>VLOOKUP($B45,'[1]Data_UN_PopulationTot.&amp;%'!$B$4:$CZ$603,83,FALSE)</f>
        <v>4.7041454636834406</v>
      </c>
      <c r="CT45">
        <f>VLOOKUP($B45,'[1]Data_UN_PopulationTot.&amp;%'!$B$4:$CZ$603,84,FALSE)</f>
        <v>5.0994677939025159</v>
      </c>
      <c r="CU45">
        <f>VLOOKUP($B45,'[1]Data_UN_PopulationTot.&amp;%'!$B$4:$CZ$603,85,FALSE)</f>
        <v>5.584951042423917</v>
      </c>
      <c r="CV45">
        <f>VLOOKUP($B45,'[1]Data_UN_PopulationTot.&amp;%'!$B$4:$CZ$603,86,FALSE)</f>
        <v>5.2936646832341623</v>
      </c>
      <c r="CW45">
        <f>VLOOKUP($B45,'[1]Data_UN_PopulationTot.&amp;%'!$B$4:$CZ$603,87,FALSE)</f>
        <v>5.594724608025273</v>
      </c>
      <c r="CX45">
        <f>VLOOKUP($B45,'[1]Data_UN_PopulationTot.&amp;%'!$B$4:$CZ$603,88,FALSE)</f>
        <v>6.1290487601303152</v>
      </c>
      <c r="CY45">
        <f>VLOOKUP($B45,'[1]Data_UN_PopulationTot.&amp;%'!$B$4:$CZ$603,89,FALSE)</f>
        <v>6.3195659782989146</v>
      </c>
      <c r="CZ45">
        <f>VLOOKUP($B45,'[1]Data_UN_PopulationTot.&amp;%'!$B$4:$CZ$603,90,FALSE)</f>
        <v>7.3192967340674739</v>
      </c>
      <c r="DA45">
        <f>VLOOKUP($B45,'[1]Data_UN_PopulationTot.&amp;%'!$B$4:$CZ$603,91,FALSE)</f>
        <v>6.0686213797869382</v>
      </c>
      <c r="DB45">
        <f>VLOOKUP($B45,'[1]Data_UN_PopulationTot.&amp;%'!$B$4:$CZ$603,92,FALSE)</f>
        <v>5.3686402268831399</v>
      </c>
      <c r="DC45">
        <f>VLOOKUP($B45,'[1]Data_UN_PopulationTot.&amp;%'!$B$4:$CZ$603,93,FALSE)</f>
        <v>8.0978882277447219</v>
      </c>
      <c r="DD45">
        <f>VLOOKUP($B45,'[1]Data_UN_PopulationTot.&amp;%'!$B$4:$CZ$603,94,FALSE)</f>
        <v>8.3595756710912479</v>
      </c>
      <c r="DE45">
        <f>VLOOKUP($B45,'[1]Data_UN_PopulationTot.&amp;%'!$B$4:$CZ$603,95,FALSE)</f>
        <v>7.8027786004684856</v>
      </c>
      <c r="DF45">
        <f>VLOOKUP($B45,'[1]Data_UN_PopulationTot.&amp;%'!$B$4:$CZ$603,96,FALSE)</f>
        <v>4.6144063613437076</v>
      </c>
      <c r="DG45">
        <f>VLOOKUP($B45,'[1]Data_UN_PopulationTot.&amp;%'!$B$4:$CZ$603,97,FALSE)</f>
        <v>3.9585184387424506</v>
      </c>
      <c r="DH45">
        <f>VLOOKUP($B45,'[1]Data_UN_PopulationTot.&amp;%'!$B$4:$CZ$603,98,FALSE)</f>
        <v>2.6849932240201757</v>
      </c>
      <c r="DI45">
        <f>VLOOKUP($B45,'[1]Data_UN_PopulationTot.&amp;%'!$B$4:$CZ$603,99,FALSE)</f>
        <v>1.6236773377130396</v>
      </c>
      <c r="DJ45">
        <f>VLOOKUP($B45,'[1]Data_UN_PopulationTot.&amp;%'!$B$4:$DE$603,100,FALSE)</f>
        <v>0.71081374581549595</v>
      </c>
      <c r="DK45">
        <f>VLOOKUP($B45,'[1]Data_UN_PopulationTot.&amp;%'!$B$4:$DE$603,101,FALSE)</f>
        <v>0.22119311093759816</v>
      </c>
      <c r="DL45">
        <f>VLOOKUP($B45,'[1]Data_UN_PopulationTot.&amp;%'!$B$4:$DE$603,102,FALSE)</f>
        <v>3.9964818753758201E-2</v>
      </c>
    </row>
    <row r="46" spans="1:116">
      <c r="A46" t="s">
        <v>236</v>
      </c>
      <c r="B46" t="s">
        <v>517</v>
      </c>
      <c r="C46" t="s">
        <v>497</v>
      </c>
      <c r="D46" t="s">
        <v>622</v>
      </c>
      <c r="E46" t="s">
        <v>2269</v>
      </c>
      <c r="F46">
        <v>0</v>
      </c>
      <c r="G46">
        <v>0</v>
      </c>
      <c r="H46">
        <v>0</v>
      </c>
      <c r="I46">
        <v>1</v>
      </c>
      <c r="J46" s="18">
        <f t="shared" si="1"/>
        <v>0</v>
      </c>
      <c r="K46">
        <f>VLOOKUP($B46,'[1]Source GDP Current USD'!$B$1:$CZ$600,64,FALSE)</f>
        <v>2595821708.8131299</v>
      </c>
      <c r="L46" s="45">
        <f>VLOOKUP($B46,'[1]Source GDP Current USD'!$B$1:$CZ$600,65,FALSE)</f>
        <v>2595821708.8131299</v>
      </c>
      <c r="M46" s="17">
        <f>VLOOKUP($B46,'[1]Source GDP Current LCU'!$B$1:$CZ$600,64,FALSE)</f>
        <v>4646520858.7755003</v>
      </c>
      <c r="N46" s="45">
        <v>4600000000</v>
      </c>
      <c r="O46" s="45">
        <f>VLOOKUP($B46,'[1]Source GNI Current USD'!$B$1:$CZ$600,64,FALSE)</f>
        <v>2692146703.2809701</v>
      </c>
      <c r="P46" s="45">
        <f>VLOOKUP($B46,'[1]Source GNI Current LCU'!$B$1:$CZ$600,64,FALSE)</f>
        <v>4818942598.8729296</v>
      </c>
      <c r="Q46">
        <f t="shared" si="0"/>
        <v>96.422000541410142</v>
      </c>
      <c r="R46">
        <v>17140</v>
      </c>
      <c r="S46">
        <v>17140</v>
      </c>
      <c r="T46">
        <v>0.78200499999999995</v>
      </c>
      <c r="U46">
        <f>VLOOKUP($B46,'[1]Source PopulationTotal'!$B$1:$CZ$600,65,FALSE)</f>
        <v>155014</v>
      </c>
      <c r="W46" t="e">
        <f>VLOOKUP($B46,'[1]Source Gov. Revenue WEO'!$B$1:$CZ$600,5,FALSE)</f>
        <v>#N/A</v>
      </c>
      <c r="X46" t="e">
        <f>VLOOKUP($B46,'[1]Source Gov. Revenue WEO'!$B$1:$CZ$600,6,FALSE)</f>
        <v>#N/A</v>
      </c>
      <c r="Y46" t="e">
        <f>VLOOKUP($B46,'[1]Source Gov. Revenue WEO'!$B$1:$CZ$600,7,FALSE)</f>
        <v>#N/A</v>
      </c>
      <c r="Z46" t="e">
        <f>VLOOKUP($B46,'[1]Source Gov. Revenue WEO'!$B$1:$CZ$600,8,FALSE)</f>
        <v>#N/A</v>
      </c>
      <c r="AA46" t="e">
        <f>VLOOKUP($B46,'[1]Source Gov. Revenue WEO'!$B$1:$CZ$600,9,FALSE)</f>
        <v>#N/A</v>
      </c>
      <c r="AB46" t="e">
        <f>VLOOKUP($B46,'[1]Source Gov. Revenue WEO'!$B$1:$CZ$600,10,FALSE)</f>
        <v>#N/A</v>
      </c>
      <c r="AC46" t="e">
        <f>VLOOKUP($B46,[2]Summary!$B$1:$CZ$600,39,FALSE)</f>
        <v>#N/A</v>
      </c>
      <c r="AD46" t="e">
        <f>VLOOKUP($B46,[2]Summary!$B$1:$CZ$600,40,FALSE)</f>
        <v>#N/A</v>
      </c>
      <c r="AE46" t="e">
        <f>VLOOKUP($B46,[2]Summary!$B$1:$CZ$600,47,FALSE)</f>
        <v>#N/A</v>
      </c>
      <c r="AF46">
        <f>VLOOKUP($B46,'[1]CALC GDP Growth rates WDI'!$B$1:$CZ$600,27,FALSE)</f>
        <v>-25.860619833021641</v>
      </c>
      <c r="AG46">
        <f>VLOOKUP($B46,'[1]CALC GDP Growth rates WDI'!$B$1:$CZ$600,29,FALSE)</f>
        <v>-5.4263234914825205</v>
      </c>
      <c r="AH46">
        <v>-24.97</v>
      </c>
      <c r="AI46">
        <f>VLOOKUP($B46,'[1]CALC GDP Growth rates WDI'!$B$1:$CZ$600,30,FALSE)</f>
        <v>-4.1038638657692861</v>
      </c>
      <c r="AK46" t="e">
        <f>VLOOKUP($B46,[1]Data_Aspire!$B$1:$CZ$600,2,FALSE)</f>
        <v>#N/A</v>
      </c>
      <c r="AL46" t="e">
        <f>VLOOKUP($B46,[1]Data_Aspire!$B$1:$CZ$600,3,FALSE)</f>
        <v>#N/A</v>
      </c>
      <c r="AM46" t="e">
        <f>VLOOKUP($B46,[1]Data_Aspire!$B$1:$CZ$600,4,FALSE)</f>
        <v>#N/A</v>
      </c>
      <c r="AN46" t="e">
        <f>VLOOKUP($B46,[1]Data_Aspire!$B$1:$CZ$600,5,FALSE)</f>
        <v>#N/A</v>
      </c>
      <c r="AO46" t="e">
        <f>VLOOKUP($B46,[1]Data_Aspire!$B$1:$CZ$600,6,FALSE)</f>
        <v>#N/A</v>
      </c>
      <c r="AP46" t="e">
        <f>VLOOKUP($B46,[1]Data_Aspire!$B$1:$CZ$600,7,FALSE)</f>
        <v>#N/A</v>
      </c>
      <c r="AQ46" t="e">
        <f>VLOOKUP($B46,[1]Data_Aspire!$B$1:$CZ$600,8,FALSE)</f>
        <v>#N/A</v>
      </c>
      <c r="AR46" t="e">
        <f>VLOOKUP($B46,[1]Data_Aspire!$B$1:$CZ$600,9,FALSE)</f>
        <v>#N/A</v>
      </c>
      <c r="AS46" t="e">
        <f>VLOOKUP($B46,[1]Data_Aspire!$B$1:$CZ$600,10,FALSE)</f>
        <v>#N/A</v>
      </c>
      <c r="AT46" t="e">
        <f>VLOOKUP($B46,[1]Data_Aspire!$B$1:$CZ$600,11,FALSE)</f>
        <v>#N/A</v>
      </c>
      <c r="AU46" t="e">
        <f>VLOOKUP($B46,[1]Data_Aspire!$B$1:$CZ$600,12,FALSE)</f>
        <v>#N/A</v>
      </c>
      <c r="AV46" t="e">
        <f>VLOOKUP($B46,[1]Data_Aspire!$B$1:$CZ$600,13,FALSE)</f>
        <v>#N/A</v>
      </c>
      <c r="AW46" t="e">
        <f>VLOOKUP($B46,[1]Data_Aspire!$B$1:$CZ$600,14,FALSE)</f>
        <v>#N/A</v>
      </c>
      <c r="AX46" t="e">
        <f>VLOOKUP($B46,[1]Data_Aspire!$B$1:$CZ$600,15,FALSE)</f>
        <v>#N/A</v>
      </c>
      <c r="AY46" t="e">
        <f>VLOOKUP($B46,[1]Data_Aspire!$B$1:$CZ$600,16,FALSE)</f>
        <v>#N/A</v>
      </c>
      <c r="AZ46" t="e">
        <f>VLOOKUP($B46,[1]Data_Aspire!$B$1:$CZ$600,17,FALSE)</f>
        <v>#N/A</v>
      </c>
      <c r="BA46" t="e">
        <f>VLOOKUP($B46,[1]Data_Aspire!$B$1:$CZ$600,18,FALSE)</f>
        <v>#N/A</v>
      </c>
      <c r="BB46" t="e">
        <f>VLOOKUP($B46,[1]Data_Aspire!$B$1:$CZ$600,19,FALSE)</f>
        <v>#N/A</v>
      </c>
      <c r="BC46" t="e">
        <f>VLOOKUP($B46,[1]Data_Aspire!$B$1:$CZ$600,20,FALSE)</f>
        <v>#N/A</v>
      </c>
      <c r="BD46" t="e">
        <f>VLOOKUP($B46,[1]Data_Aspire!$B$1:$CZ$600,21,FALSE)</f>
        <v>#N/A</v>
      </c>
      <c r="BE46" t="e">
        <f>VLOOKUP($B46,[1]Data_Aspire!$B$1:$CZ$600,22,FALSE)</f>
        <v>#N/A</v>
      </c>
      <c r="BF46" t="e">
        <f>VLOOKUP($B46,[1]Data_Aspire!$B$1:$CZ$600,23,FALSE)</f>
        <v>#N/A</v>
      </c>
      <c r="BG46" t="e">
        <f>VLOOKUP($B46,[1]Data_Aspire!$B$1:$CZ$600,24,FALSE)</f>
        <v>#N/A</v>
      </c>
      <c r="BH46" t="e">
        <f>VLOOKUP($B46,[1]Data_Aspire!$B$1:$CZ$600,25,FALSE)</f>
        <v>#N/A</v>
      </c>
      <c r="BI46" t="e">
        <f>VLOOKUP($B46,[1]Data_Aspire!$B$1:$CZ$600,26,FALSE)</f>
        <v>#N/A</v>
      </c>
      <c r="BJ46" s="7">
        <v>0</v>
      </c>
      <c r="BK46">
        <v>531</v>
      </c>
      <c r="BL46">
        <f>VLOOKUP($B46,'[1]Data_UN_PopulationTot.&amp;%'!$B$4:$CZ$603,8,FALSE)</f>
        <v>164.1</v>
      </c>
      <c r="BM46">
        <f>VLOOKUP($B46,'[1]Data_UN_PopulationTot.&amp;%'!$B$4:$CZ$603,9,FALSE)</f>
        <v>164.79599999999999</v>
      </c>
      <c r="BN46">
        <v>165.53100000000001</v>
      </c>
      <c r="BO46">
        <f>VLOOKUP($B46,'[1]Data_UN_PopulationTot.&amp;%'!$B$4:$CZ$603,11,FALSE)</f>
        <v>166.27699999999999</v>
      </c>
      <c r="BP46">
        <f>VLOOKUP($B46,'[1]Data_UN_PopulationTot.&amp;%'!$B$4:$CZ$603,12,FALSE)</f>
        <v>166.999</v>
      </c>
      <c r="BQ46">
        <f>VLOOKUP($B46,'[1]Data_UN_PopulationTot.&amp;%'!$B$4:$CZ$603,13,FALSE)</f>
        <v>167.691</v>
      </c>
      <c r="BR46">
        <f>VLOOKUP($B46,'[1]Data_UN_PopulationTot.&amp;%'!$B$4:$CZ$603,14,FALSE)</f>
        <v>168.33600000000001</v>
      </c>
      <c r="BS46">
        <f>VLOOKUP($B46,'[1]Data_UN_PopulationTot.&amp;%'!$B$4:$CZ$603,15,FALSE)</f>
        <v>168.964</v>
      </c>
      <c r="BT46">
        <f>VLOOKUP($B46,'[1]Data_UN_PopulationTot.&amp;%'!$B$4:$CZ$603,16,FALSE)</f>
        <v>169.58</v>
      </c>
      <c r="BU46">
        <f>VLOOKUP($B46,'[1]Data_UN_PopulationTot.&amp;%'!$B$4:$CZ$603,17,FALSE)</f>
        <v>170.14500000000001</v>
      </c>
      <c r="BV46">
        <f>VLOOKUP($B46,'[1]Data_UN_PopulationTot.&amp;%'!$B$4:$CZ$603,18,FALSE)</f>
        <v>170.703</v>
      </c>
      <c r="BW46">
        <f>VLOOKUP($B46,'[1]Data_UN_PopulationTot.&amp;%'!$B$4:$CZ$603,61,FALSE)</f>
        <v>5.4820231566118229</v>
      </c>
      <c r="BX46">
        <f>VLOOKUP($B46,'[1]Data_UN_PopulationTot.&amp;%'!$B$4:$CZ$603,62,FALSE)</f>
        <v>6.297989031078612</v>
      </c>
      <c r="BY46">
        <f>VLOOKUP($B46,'[1]Data_UN_PopulationTot.&amp;%'!$B$4:$CZ$603,63,FALSE)</f>
        <v>6.3967093235831811</v>
      </c>
      <c r="BZ46">
        <f>VLOOKUP($B46,'[1]Data_UN_PopulationTot.&amp;%'!$B$4:$CZ$603,64,FALSE)</f>
        <v>6.7501523461304087</v>
      </c>
      <c r="CA46">
        <f>VLOOKUP($B46,'[1]Data_UN_PopulationTot.&amp;%'!$B$4:$CZ$603,65,FALSE)</f>
        <v>5.789762340036563</v>
      </c>
      <c r="CB46">
        <f>VLOOKUP($B46,'[1]Data_UN_PopulationTot.&amp;%'!$B$4:$CZ$603,66,FALSE)</f>
        <v>6.1163924436319324</v>
      </c>
      <c r="CC46">
        <f>VLOOKUP($B46,'[1]Data_UN_PopulationTot.&amp;%'!$B$4:$CZ$603,67,FALSE)</f>
        <v>5.6843388177940275</v>
      </c>
      <c r="CD46">
        <f>VLOOKUP($B46,'[1]Data_UN_PopulationTot.&amp;%'!$B$4:$CZ$603,68,FALSE)</f>
        <v>5.7251675807434488</v>
      </c>
      <c r="CE46">
        <f>VLOOKUP($B46,'[1]Data_UN_PopulationTot.&amp;%'!$B$4:$CZ$603,69,FALSE)</f>
        <v>5.6282754418037788</v>
      </c>
      <c r="CF46">
        <f>VLOOKUP($B46,'[1]Data_UN_PopulationTot.&amp;%'!$B$4:$CZ$603,70,FALSE)</f>
        <v>6.7306520414381481</v>
      </c>
      <c r="CG46">
        <f>VLOOKUP($B46,'[1]Data_UN_PopulationTot.&amp;%'!$B$4:$CZ$603,71,FALSE)</f>
        <v>7.0926264472882385</v>
      </c>
      <c r="CH46">
        <f>VLOOKUP($B46,'[1]Data_UN_PopulationTot.&amp;%'!$B$4:$CZ$603,72,FALSE)</f>
        <v>7.7921998781230961</v>
      </c>
      <c r="CI46">
        <f>VLOOKUP($B46,'[1]Data_UN_PopulationTot.&amp;%'!$B$4:$CZ$603,73,FALSE)</f>
        <v>6.8458257160268126</v>
      </c>
      <c r="CJ46">
        <f>VLOOKUP($B46,'[1]Data_UN_PopulationTot.&amp;%'!$B$4:$CZ$603,74,FALSE)</f>
        <v>5.7714808043875685</v>
      </c>
      <c r="CK46">
        <f>VLOOKUP($B46,'[1]Data_UN_PopulationTot.&amp;%'!$B$4:$CZ$603,75,FALSE)</f>
        <v>4.7452772699573433</v>
      </c>
      <c r="CL46">
        <f>VLOOKUP($B46,'[1]Data_UN_PopulationTot.&amp;%'!$B$4:$CZ$603,76,FALSE)</f>
        <v>3.1797684338817791</v>
      </c>
      <c r="CM46">
        <f>VLOOKUP($B46,'[1]Data_UN_PopulationTot.&amp;%'!$B$4:$CZ$603,77,FALSE)</f>
        <v>2.1425959780621571</v>
      </c>
      <c r="CN46">
        <f>VLOOKUP($B46,'[1]Data_UN_PopulationTot.&amp;%'!$B$4:$CZ$603,78,FALSE)</f>
        <v>1.1645338208409506</v>
      </c>
      <c r="CO46">
        <f>VLOOKUP($B46,'[1]Data_UN_PopulationTot.&amp;%'!$B$4:$CZ$603,79,FALSE)</f>
        <v>0.48446069469835468</v>
      </c>
      <c r="CP46">
        <f>VLOOKUP($B46,'[1]Data_UN_PopulationTot.&amp;%'!$B$4:$CZ$603,80,FALSE)</f>
        <v>0.15173674588665448</v>
      </c>
      <c r="CQ46">
        <f>VLOOKUP($B46,'[1]Data_UN_PopulationTot.&amp;%'!$B$4:$CZ$603,81,FALSE)</f>
        <v>2.8031687995124926E-2</v>
      </c>
      <c r="CR46">
        <f>VLOOKUP($B46,'[1]Data_UN_PopulationTot.&amp;%'!$B$4:$CZ$603,82,FALSE)</f>
        <v>5.3836195028792693</v>
      </c>
      <c r="CS46">
        <f>VLOOKUP($B46,'[1]Data_UN_PopulationTot.&amp;%'!$B$4:$CZ$603,83,FALSE)</f>
        <v>5.3724890599462221</v>
      </c>
      <c r="CT46">
        <f>VLOOKUP($B46,'[1]Data_UN_PopulationTot.&amp;%'!$B$4:$CZ$603,84,FALSE)</f>
        <v>5.4017796992437157</v>
      </c>
      <c r="CU46">
        <f>VLOOKUP($B46,'[1]Data_UN_PopulationTot.&amp;%'!$B$4:$CZ$603,85,FALSE)</f>
        <v>6.1615788826206925</v>
      </c>
      <c r="CV46">
        <f>VLOOKUP($B46,'[1]Data_UN_PopulationTot.&amp;%'!$B$4:$CZ$603,86,FALSE)</f>
        <v>5.5898256035336225</v>
      </c>
      <c r="CW46">
        <f>VLOOKUP($B46,'[1]Data_UN_PopulationTot.&amp;%'!$B$4:$CZ$603,87,FALSE)</f>
        <v>6.3818444901378415</v>
      </c>
      <c r="CX46">
        <f>VLOOKUP($B46,'[1]Data_UN_PopulationTot.&amp;%'!$B$4:$CZ$603,88,FALSE)</f>
        <v>6.4351534536592787</v>
      </c>
      <c r="CY46">
        <f>VLOOKUP($B46,'[1]Data_UN_PopulationTot.&amp;%'!$B$4:$CZ$603,89,FALSE)</f>
        <v>6.4831901021071685</v>
      </c>
      <c r="CZ46">
        <f>VLOOKUP($B46,'[1]Data_UN_PopulationTot.&amp;%'!$B$4:$CZ$603,90,FALSE)</f>
        <v>5.8505122932813132</v>
      </c>
      <c r="DA46">
        <f>VLOOKUP($B46,'[1]Data_UN_PopulationTot.&amp;%'!$B$4:$CZ$603,91,FALSE)</f>
        <v>5.7169469780847439</v>
      </c>
      <c r="DB46">
        <f>VLOOKUP($B46,'[1]Data_UN_PopulationTot.&amp;%'!$B$4:$CZ$603,92,FALSE)</f>
        <v>5.4773495486312482</v>
      </c>
      <c r="DC46">
        <f>VLOOKUP($B46,'[1]Data_UN_PopulationTot.&amp;%'!$B$4:$CZ$603,93,FALSE)</f>
        <v>6.356068727556047</v>
      </c>
      <c r="DD46">
        <f>VLOOKUP($B46,'[1]Data_UN_PopulationTot.&amp;%'!$B$4:$CZ$603,94,FALSE)</f>
        <v>6.5113091158327627</v>
      </c>
      <c r="DE46">
        <f>VLOOKUP($B46,'[1]Data_UN_PopulationTot.&amp;%'!$B$4:$CZ$603,95,FALSE)</f>
        <v>6.8944306778439737</v>
      </c>
      <c r="DF46">
        <f>VLOOKUP($B46,'[1]Data_UN_PopulationTot.&amp;%'!$B$4:$CZ$603,96,FALSE)</f>
        <v>5.7298348593756412</v>
      </c>
      <c r="DG46">
        <f>VLOOKUP($B46,'[1]Data_UN_PopulationTot.&amp;%'!$B$4:$CZ$603,97,FALSE)</f>
        <v>4.4117560909884421</v>
      </c>
      <c r="DH46">
        <f>VLOOKUP($B46,'[1]Data_UN_PopulationTot.&amp;%'!$B$4:$CZ$603,98,FALSE)</f>
        <v>3.1276544641863357</v>
      </c>
      <c r="DI46">
        <f>VLOOKUP($B46,'[1]Data_UN_PopulationTot.&amp;%'!$B$4:$CZ$603,99,FALSE)</f>
        <v>1.6572643714521713</v>
      </c>
      <c r="DJ46">
        <f>VLOOKUP($B46,'[1]Data_UN_PopulationTot.&amp;%'!$B$4:$DE$603,100,FALSE)</f>
        <v>0.76858637516622441</v>
      </c>
      <c r="DK46">
        <f>VLOOKUP($B46,'[1]Data_UN_PopulationTot.&amp;%'!$B$4:$DE$603,101,FALSE)</f>
        <v>0.23901161666754536</v>
      </c>
      <c r="DL46">
        <f>VLOOKUP($B46,'[1]Data_UN_PopulationTot.&amp;%'!$B$4:$DE$603,102,FALSE)</f>
        <v>4.979408680573863E-2</v>
      </c>
    </row>
    <row r="47" spans="1:116">
      <c r="A47" t="s">
        <v>251</v>
      </c>
      <c r="B47" t="s">
        <v>511</v>
      </c>
      <c r="C47" t="s">
        <v>485</v>
      </c>
      <c r="D47" t="s">
        <v>622</v>
      </c>
      <c r="E47" t="s">
        <v>2269</v>
      </c>
      <c r="F47">
        <v>0</v>
      </c>
      <c r="G47">
        <v>0</v>
      </c>
      <c r="H47">
        <v>0</v>
      </c>
      <c r="I47">
        <v>1</v>
      </c>
      <c r="J47" s="18">
        <f t="shared" si="1"/>
        <v>8.8134996317200009</v>
      </c>
      <c r="K47">
        <f>VLOOKUP($B47,'[1]Source GDP Current USD'!$B$1:$CZ$600,64,FALSE)</f>
        <v>24612646487.721298</v>
      </c>
      <c r="L47" s="45">
        <f>VLOOKUP($B47,'[1]Source GDP Current USD'!$B$1:$CZ$600,65,FALSE)</f>
        <v>24612646487.721298</v>
      </c>
      <c r="M47" s="17">
        <f>VLOOKUP($B47,'[1]Source GDP Current LCU'!$B$1:$CZ$600,64,FALSE)</f>
        <v>21548372000</v>
      </c>
      <c r="N47" s="45">
        <v>22000000000</v>
      </c>
      <c r="O47" s="45">
        <f>VLOOKUP($B47,'[1]Source GNI Current USD'!$B$1:$CZ$600,64,FALSE)</f>
        <v>23149145631.068001</v>
      </c>
      <c r="P47" s="45">
        <f>VLOOKUP($B47,'[1]Source GNI Current LCU'!$B$1:$CZ$600,64,FALSE)</f>
        <v>20267077000</v>
      </c>
      <c r="Q47">
        <f t="shared" si="0"/>
        <v>106.32205127557368</v>
      </c>
      <c r="R47">
        <v>26440</v>
      </c>
      <c r="S47">
        <v>26440</v>
      </c>
      <c r="T47">
        <v>0.69774000000000003</v>
      </c>
      <c r="U47">
        <f>VLOOKUP($B47,'[1]Source PopulationTotal'!$B$1:$CZ$600,65,FALSE)</f>
        <v>1207361</v>
      </c>
      <c r="V47">
        <v>40.901000000000003</v>
      </c>
      <c r="W47">
        <f>VLOOKUP($B47,'[1]Source Gov. Revenue WEO'!$B$1:$CZ$600,5,FALSE)</f>
        <v>42.655999999999999</v>
      </c>
      <c r="X47">
        <f>VLOOKUP($B47,'[1]Source Gov. Revenue WEO'!$B$1:$CZ$600,6,FALSE)</f>
        <v>43.505000000000003</v>
      </c>
      <c r="Y47">
        <f>VLOOKUP($B47,'[1]Source Gov. Revenue WEO'!$B$1:$CZ$600,7,FALSE)</f>
        <v>43.533000000000001</v>
      </c>
      <c r="Z47">
        <f>VLOOKUP($B47,'[1]Source Gov. Revenue WEO'!$B$1:$CZ$600,8,FALSE)</f>
        <v>43.753</v>
      </c>
      <c r="AA47">
        <f>VLOOKUP($B47,'[1]Source Gov. Revenue WEO'!$B$1:$CZ$600,9,FALSE)</f>
        <v>43.718000000000004</v>
      </c>
      <c r="AB47">
        <f>VLOOKUP($B47,'[1]Source Gov. Revenue WEO'!$B$1:$CZ$600,10,FALSE)</f>
        <v>43.258000000000003</v>
      </c>
      <c r="AC47">
        <f>VLOOKUP($B47,[2]Summary!$B$1:$CZ$600,39,FALSE)</f>
        <v>3.28289E-4</v>
      </c>
      <c r="AD47">
        <f>VLOOKUP($B47,[2]Summary!$B$1:$CZ$600,40,FALSE)</f>
        <v>9.999999999999999E-14</v>
      </c>
      <c r="AE47">
        <f>VLOOKUP($B47,[2]Summary!$B$1:$CZ$600,47,FALSE)</f>
        <v>0.44960423088004448</v>
      </c>
      <c r="AF47">
        <f>VLOOKUP($B47,'[1]CALC GDP Growth rates WDI'!$B$1:$CZ$600,27,FALSE)</f>
        <v>9.2567975619133573</v>
      </c>
      <c r="AG47">
        <f>VLOOKUP($B47,'[1]CALC GDP Growth rates WDI'!$B$1:$CZ$600,29,FALSE)</f>
        <v>11.692681094583257</v>
      </c>
      <c r="AH47">
        <v>18.850000000000001</v>
      </c>
      <c r="AI47">
        <f>VLOOKUP($B47,'[1]CALC GDP Growth rates WDI'!$B$1:$CZ$600,30,FALSE)</f>
        <v>23.114335388805117</v>
      </c>
      <c r="AJ47" s="45"/>
      <c r="AK47" t="e">
        <f>VLOOKUP($B47,[1]Data_Aspire!$B$1:$CZ$600,2,FALSE)</f>
        <v>#N/A</v>
      </c>
      <c r="AL47" t="e">
        <f>VLOOKUP($B47,[1]Data_Aspire!$B$1:$CZ$600,3,FALSE)</f>
        <v>#N/A</v>
      </c>
      <c r="AM47" t="e">
        <f>VLOOKUP($B47,[1]Data_Aspire!$B$1:$CZ$600,4,FALSE)</f>
        <v>#N/A</v>
      </c>
      <c r="AN47" t="e">
        <f>VLOOKUP($B47,[1]Data_Aspire!$B$1:$CZ$600,5,FALSE)</f>
        <v>#N/A</v>
      </c>
      <c r="AO47" t="e">
        <f>VLOOKUP($B47,[1]Data_Aspire!$B$1:$CZ$600,6,FALSE)</f>
        <v>#N/A</v>
      </c>
      <c r="AP47" t="e">
        <f>VLOOKUP($B47,[1]Data_Aspire!$B$1:$CZ$600,7,FALSE)</f>
        <v>#N/A</v>
      </c>
      <c r="AQ47" t="e">
        <f>VLOOKUP($B47,[1]Data_Aspire!$B$1:$CZ$600,8,FALSE)</f>
        <v>#N/A</v>
      </c>
      <c r="AR47" t="e">
        <f>VLOOKUP($B47,[1]Data_Aspire!$B$1:$CZ$600,9,FALSE)</f>
        <v>#N/A</v>
      </c>
      <c r="AS47" t="e">
        <f>VLOOKUP($B47,[1]Data_Aspire!$B$1:$CZ$600,10,FALSE)</f>
        <v>#N/A</v>
      </c>
      <c r="AT47" t="e">
        <f>VLOOKUP($B47,[1]Data_Aspire!$B$1:$CZ$600,11,FALSE)</f>
        <v>#N/A</v>
      </c>
      <c r="AU47" t="e">
        <f>VLOOKUP($B47,[1]Data_Aspire!$B$1:$CZ$600,12,FALSE)</f>
        <v>#N/A</v>
      </c>
      <c r="AV47" t="e">
        <f>VLOOKUP($B47,[1]Data_Aspire!$B$1:$CZ$600,13,FALSE)</f>
        <v>#N/A</v>
      </c>
      <c r="AW47" t="e">
        <f>VLOOKUP($B47,[1]Data_Aspire!$B$1:$CZ$600,14,FALSE)</f>
        <v>#N/A</v>
      </c>
      <c r="AX47" t="e">
        <f>VLOOKUP($B47,[1]Data_Aspire!$B$1:$CZ$600,15,FALSE)</f>
        <v>#N/A</v>
      </c>
      <c r="AY47" t="e">
        <f>VLOOKUP($B47,[1]Data_Aspire!$B$1:$CZ$600,16,FALSE)</f>
        <v>#N/A</v>
      </c>
      <c r="AZ47" t="e">
        <f>VLOOKUP($B47,[1]Data_Aspire!$B$1:$CZ$600,17,FALSE)</f>
        <v>#N/A</v>
      </c>
      <c r="BA47" t="e">
        <f>VLOOKUP($B47,[1]Data_Aspire!$B$1:$CZ$600,18,FALSE)</f>
        <v>#N/A</v>
      </c>
      <c r="BB47" t="e">
        <f>VLOOKUP($B47,[1]Data_Aspire!$B$1:$CZ$600,19,FALSE)</f>
        <v>#N/A</v>
      </c>
      <c r="BC47" t="e">
        <f>VLOOKUP($B47,[1]Data_Aspire!$B$1:$CZ$600,20,FALSE)</f>
        <v>#N/A</v>
      </c>
      <c r="BD47" t="e">
        <f>VLOOKUP($B47,[1]Data_Aspire!$B$1:$CZ$600,21,FALSE)</f>
        <v>#N/A</v>
      </c>
      <c r="BE47" t="e">
        <f>VLOOKUP($B47,[1]Data_Aspire!$B$1:$CZ$600,22,FALSE)</f>
        <v>#N/A</v>
      </c>
      <c r="BF47" t="e">
        <f>VLOOKUP($B47,[1]Data_Aspire!$B$1:$CZ$600,23,FALSE)</f>
        <v>#N/A</v>
      </c>
      <c r="BG47" t="e">
        <f>VLOOKUP($B47,[1]Data_Aspire!$B$1:$CZ$600,24,FALSE)</f>
        <v>#N/A</v>
      </c>
      <c r="BH47" t="e">
        <f>VLOOKUP($B47,[1]Data_Aspire!$B$1:$CZ$600,25,FALSE)</f>
        <v>#N/A</v>
      </c>
      <c r="BI47" t="e">
        <f>VLOOKUP($B47,[1]Data_Aspire!$B$1:$CZ$600,26,FALSE)</f>
        <v>#N/A</v>
      </c>
      <c r="BJ47" s="7">
        <v>0</v>
      </c>
      <c r="BK47">
        <v>196</v>
      </c>
      <c r="BL47">
        <f>VLOOKUP($B47,'[1]Data_UN_PopulationTot.&amp;%'!$B$4:$CZ$603,8,FALSE)</f>
        <v>1207.3599999999999</v>
      </c>
      <c r="BM47">
        <f>VLOOKUP($B47,'[1]Data_UN_PopulationTot.&amp;%'!$B$4:$CZ$603,9,FALSE)</f>
        <v>1215.5899999999999</v>
      </c>
      <c r="BN47">
        <v>1223.3900000000001</v>
      </c>
      <c r="BO47">
        <f>VLOOKUP($B47,'[1]Data_UN_PopulationTot.&amp;%'!$B$4:$CZ$603,11,FALSE)</f>
        <v>1230.79</v>
      </c>
      <c r="BP47">
        <f>VLOOKUP($B47,'[1]Data_UN_PopulationTot.&amp;%'!$B$4:$CZ$603,12,FALSE)</f>
        <v>1237.8699999999999</v>
      </c>
      <c r="BQ47">
        <f>VLOOKUP($B47,'[1]Data_UN_PopulationTot.&amp;%'!$B$4:$CZ$603,13,FALSE)</f>
        <v>1244.67</v>
      </c>
      <c r="BR47">
        <f>VLOOKUP($B47,'[1]Data_UN_PopulationTot.&amp;%'!$B$4:$CZ$603,14,FALSE)</f>
        <v>1251.21</v>
      </c>
      <c r="BS47">
        <f>VLOOKUP($B47,'[1]Data_UN_PopulationTot.&amp;%'!$B$4:$CZ$603,15,FALSE)</f>
        <v>1257.47</v>
      </c>
      <c r="BT47">
        <f>VLOOKUP($B47,'[1]Data_UN_PopulationTot.&amp;%'!$B$4:$CZ$603,16,FALSE)</f>
        <v>1263.5</v>
      </c>
      <c r="BU47">
        <f>VLOOKUP($B47,'[1]Data_UN_PopulationTot.&amp;%'!$B$4:$CZ$603,17,FALSE)</f>
        <v>1269.32</v>
      </c>
      <c r="BV47">
        <f>VLOOKUP($B47,'[1]Data_UN_PopulationTot.&amp;%'!$B$4:$CZ$603,18,FALSE)</f>
        <v>1274.97</v>
      </c>
      <c r="BW47">
        <f>VLOOKUP($B47,'[1]Data_UN_PopulationTot.&amp;%'!$B$4:$CZ$603,61,FALSE)</f>
        <v>5.3684899284389074</v>
      </c>
      <c r="BX47">
        <f>VLOOKUP($B47,'[1]Data_UN_PopulationTot.&amp;%'!$B$4:$CZ$603,62,FALSE)</f>
        <v>5.5970050357805459</v>
      </c>
      <c r="BY47">
        <f>VLOOKUP($B47,'[1]Data_UN_PopulationTot.&amp;%'!$B$4:$CZ$603,63,FALSE)</f>
        <v>5.6118307712695472</v>
      </c>
      <c r="BZ47">
        <f>VLOOKUP($B47,'[1]Data_UN_PopulationTot.&amp;%'!$B$4:$CZ$603,64,FALSE)</f>
        <v>6.1209581235091441</v>
      </c>
      <c r="CA47">
        <f>VLOOKUP($B47,'[1]Data_UN_PopulationTot.&amp;%'!$B$4:$CZ$603,65,FALSE)</f>
        <v>7.7410217333686733</v>
      </c>
      <c r="CB47">
        <f>VLOOKUP($B47,'[1]Data_UN_PopulationTot.&amp;%'!$B$4:$CZ$603,66,FALSE)</f>
        <v>8.1450437317784274</v>
      </c>
      <c r="CC47">
        <f>VLOOKUP($B47,'[1]Data_UN_PopulationTot.&amp;%'!$B$4:$CZ$603,67,FALSE)</f>
        <v>7.9890007951232453</v>
      </c>
      <c r="CD47">
        <f>VLOOKUP($B47,'[1]Data_UN_PopulationTot.&amp;%'!$B$4:$CZ$603,68,FALSE)</f>
        <v>7.6143817916777117</v>
      </c>
      <c r="CE47">
        <f>VLOOKUP($B47,'[1]Data_UN_PopulationTot.&amp;%'!$B$4:$CZ$603,69,FALSE)</f>
        <v>7.2254340047707393</v>
      </c>
      <c r="CF47">
        <f>VLOOKUP($B47,'[1]Data_UN_PopulationTot.&amp;%'!$B$4:$CZ$603,70,FALSE)</f>
        <v>6.575586403392526</v>
      </c>
      <c r="CG47">
        <f>VLOOKUP($B47,'[1]Data_UN_PopulationTot.&amp;%'!$B$4:$CZ$603,71,FALSE)</f>
        <v>6.2766697588126155</v>
      </c>
      <c r="CH47">
        <f>VLOOKUP($B47,'[1]Data_UN_PopulationTot.&amp;%'!$B$4:$CZ$603,72,FALSE)</f>
        <v>5.9432149483169896</v>
      </c>
      <c r="CI47">
        <f>VLOOKUP($B47,'[1]Data_UN_PopulationTot.&amp;%'!$B$4:$CZ$603,73,FALSE)</f>
        <v>5.3827358865624184</v>
      </c>
      <c r="CJ47">
        <f>VLOOKUP($B47,'[1]Data_UN_PopulationTot.&amp;%'!$B$4:$CZ$603,74,FALSE)</f>
        <v>4.5895176252319114</v>
      </c>
      <c r="CK47">
        <f>VLOOKUP($B47,'[1]Data_UN_PopulationTot.&amp;%'!$B$4:$CZ$603,75,FALSE)</f>
        <v>3.7970447919427519</v>
      </c>
      <c r="CL47">
        <f>VLOOKUP($B47,'[1]Data_UN_PopulationTot.&amp;%'!$B$4:$CZ$603,76,FALSE)</f>
        <v>2.7197356215213362</v>
      </c>
      <c r="CM47">
        <f>VLOOKUP($B47,'[1]Data_UN_PopulationTot.&amp;%'!$B$4:$CZ$603,77,FALSE)</f>
        <v>1.919145905115293</v>
      </c>
      <c r="CN47">
        <f>VLOOKUP($B47,'[1]Data_UN_PopulationTot.&amp;%'!$B$4:$CZ$603,78,FALSE)</f>
        <v>0.9507520540683807</v>
      </c>
      <c r="CO47">
        <f>VLOOKUP($B47,'[1]Data_UN_PopulationTot.&amp;%'!$B$4:$CZ$603,79,FALSE)</f>
        <v>0.35358136761197989</v>
      </c>
      <c r="CP47">
        <f>VLOOKUP($B47,'[1]Data_UN_PopulationTot.&amp;%'!$B$4:$CZ$603,80,FALSE)</f>
        <v>7.0732838589981445E-2</v>
      </c>
      <c r="CQ47">
        <f>VLOOKUP($B47,'[1]Data_UN_PopulationTot.&amp;%'!$B$4:$CZ$603,81,FALSE)</f>
        <v>8.1997084548104966E-3</v>
      </c>
      <c r="CR47">
        <f>VLOOKUP($B47,'[1]Data_UN_PopulationTot.&amp;%'!$B$4:$CZ$603,82,FALSE)</f>
        <v>4.3873189173078577</v>
      </c>
      <c r="CS47">
        <f>VLOOKUP($B47,'[1]Data_UN_PopulationTot.&amp;%'!$B$4:$CZ$603,83,FALSE)</f>
        <v>4.7024635873785261</v>
      </c>
      <c r="CT47">
        <f>VLOOKUP($B47,'[1]Data_UN_PopulationTot.&amp;%'!$B$4:$CZ$603,84,FALSE)</f>
        <v>5.2630257966854126</v>
      </c>
      <c r="CU47">
        <f>VLOOKUP($B47,'[1]Data_UN_PopulationTot.&amp;%'!$B$4:$CZ$603,85,FALSE)</f>
        <v>5.7727632807046438</v>
      </c>
      <c r="CV47">
        <f>VLOOKUP($B47,'[1]Data_UN_PopulationTot.&amp;%'!$B$4:$CZ$603,86,FALSE)</f>
        <v>6.226656313481886</v>
      </c>
      <c r="CW47">
        <f>VLOOKUP($B47,'[1]Data_UN_PopulationTot.&amp;%'!$B$4:$CZ$603,87,FALSE)</f>
        <v>6.6930202279269322</v>
      </c>
      <c r="CX47">
        <f>VLOOKUP($B47,'[1]Data_UN_PopulationTot.&amp;%'!$B$4:$CZ$603,88,FALSE)</f>
        <v>7.1530310517110198</v>
      </c>
      <c r="CY47">
        <f>VLOOKUP($B47,'[1]Data_UN_PopulationTot.&amp;%'!$B$4:$CZ$603,89,FALSE)</f>
        <v>7.392252366722353</v>
      </c>
      <c r="CZ47">
        <f>VLOOKUP($B47,'[1]Data_UN_PopulationTot.&amp;%'!$B$4:$CZ$603,90,FALSE)</f>
        <v>7.5415107806458188</v>
      </c>
      <c r="DA47">
        <f>VLOOKUP($B47,'[1]Data_UN_PopulationTot.&amp;%'!$B$4:$CZ$603,91,FALSE)</f>
        <v>7.3666831376424549</v>
      </c>
      <c r="DB47">
        <f>VLOOKUP($B47,'[1]Data_UN_PopulationTot.&amp;%'!$B$4:$CZ$603,92,FALSE)</f>
        <v>7.0120865588994246</v>
      </c>
      <c r="DC47">
        <f>VLOOKUP($B47,'[1]Data_UN_PopulationTot.&amp;%'!$B$4:$CZ$603,93,FALSE)</f>
        <v>6.3362275190788795</v>
      </c>
      <c r="DD47">
        <f>VLOOKUP($B47,'[1]Data_UN_PopulationTot.&amp;%'!$B$4:$CZ$603,94,FALSE)</f>
        <v>5.9384142371977378</v>
      </c>
      <c r="DE47">
        <f>VLOOKUP($B47,'[1]Data_UN_PopulationTot.&amp;%'!$B$4:$CZ$603,95,FALSE)</f>
        <v>5.4380103061248501</v>
      </c>
      <c r="DF47">
        <f>VLOOKUP($B47,'[1]Data_UN_PopulationTot.&amp;%'!$B$4:$CZ$603,96,FALSE)</f>
        <v>4.6767374918625535</v>
      </c>
      <c r="DG47">
        <f>VLOOKUP($B47,'[1]Data_UN_PopulationTot.&amp;%'!$B$4:$CZ$603,97,FALSE)</f>
        <v>3.5670643230821115</v>
      </c>
      <c r="DH47">
        <f>VLOOKUP($B47,'[1]Data_UN_PopulationTot.&amp;%'!$B$4:$CZ$603,98,FALSE)</f>
        <v>2.5257849204295004</v>
      </c>
      <c r="DI47">
        <f>VLOOKUP($B47,'[1]Data_UN_PopulationTot.&amp;%'!$B$4:$CZ$603,99,FALSE)</f>
        <v>1.3399530969356139</v>
      </c>
      <c r="DJ47">
        <f>VLOOKUP($B47,'[1]Data_UN_PopulationTot.&amp;%'!$B$4:$DE$603,100,FALSE)</f>
        <v>0.53122818576123354</v>
      </c>
      <c r="DK47">
        <f>VLOOKUP($B47,'[1]Data_UN_PopulationTot.&amp;%'!$B$4:$DE$603,101,FALSE)</f>
        <v>0.12086558899425084</v>
      </c>
      <c r="DL47">
        <f>VLOOKUP($B47,'[1]Data_UN_PopulationTot.&amp;%'!$B$4:$DE$603,102,FALSE)</f>
        <v>1.5137611081045044E-2</v>
      </c>
    </row>
    <row r="48" spans="1:116">
      <c r="A48" t="s">
        <v>70</v>
      </c>
      <c r="B48" t="s">
        <v>446</v>
      </c>
      <c r="C48" t="s">
        <v>485</v>
      </c>
      <c r="D48" t="s">
        <v>622</v>
      </c>
      <c r="E48" t="s">
        <v>2269</v>
      </c>
      <c r="F48">
        <v>0</v>
      </c>
      <c r="G48">
        <v>0</v>
      </c>
      <c r="H48">
        <v>0</v>
      </c>
      <c r="I48">
        <v>1</v>
      </c>
      <c r="J48" s="18">
        <f t="shared" si="1"/>
        <v>2336.5778177100001</v>
      </c>
      <c r="K48">
        <f>VLOOKUP($B48,'[1]Source GDP Current USD'!$B$1:$CZ$600,64,FALSE)</f>
        <v>245339322066.759</v>
      </c>
      <c r="L48" s="45">
        <f>VLOOKUP($B48,'[1]Source GDP Current USD'!$B$1:$CZ$600,65,FALSE)</f>
        <v>245339322066.759</v>
      </c>
      <c r="M48" s="17">
        <f>VLOOKUP($B48,'[1]Source GDP Current LCU'!$B$1:$CZ$600,64,FALSE)</f>
        <v>5694387000000</v>
      </c>
      <c r="N48" s="45">
        <v>5700000000000</v>
      </c>
      <c r="O48" s="45">
        <f>VLOOKUP($B48,'[1]Source GNI Current USD'!$B$1:$CZ$600,64,FALSE)</f>
        <v>236796716967.71899</v>
      </c>
      <c r="P48" s="45">
        <f>VLOOKUP($B48,'[1]Source GNI Current LCU'!$B$1:$CZ$600,64,FALSE)</f>
        <v>5496111000000</v>
      </c>
      <c r="Q48">
        <f t="shared" si="0"/>
        <v>103.6075690611052</v>
      </c>
      <c r="R48">
        <v>22070</v>
      </c>
      <c r="S48">
        <v>22070</v>
      </c>
      <c r="T48">
        <v>0.55118</v>
      </c>
      <c r="U48">
        <f>VLOOKUP($B48,'[1]Source PopulationTotal'!$B$1:$CZ$600,65,FALSE)</f>
        <v>10698896</v>
      </c>
      <c r="V48">
        <v>41.033000000000001</v>
      </c>
      <c r="W48">
        <f>VLOOKUP($B48,'[1]Source Gov. Revenue WEO'!$B$1:$CZ$600,5,FALSE)</f>
        <v>39.558999999999997</v>
      </c>
      <c r="X48">
        <f>VLOOKUP($B48,'[1]Source Gov. Revenue WEO'!$B$1:$CZ$600,6,FALSE)</f>
        <v>39.679000000000002</v>
      </c>
      <c r="Y48">
        <f>VLOOKUP($B48,'[1]Source Gov. Revenue WEO'!$B$1:$CZ$600,7,FALSE)</f>
        <v>39.96</v>
      </c>
      <c r="Z48">
        <f>VLOOKUP($B48,'[1]Source Gov. Revenue WEO'!$B$1:$CZ$600,8,FALSE)</f>
        <v>39.677</v>
      </c>
      <c r="AA48">
        <f>VLOOKUP($B48,'[1]Source Gov. Revenue WEO'!$B$1:$CZ$600,9,FALSE)</f>
        <v>39.465000000000003</v>
      </c>
      <c r="AB48">
        <f>VLOOKUP($B48,'[1]Source Gov. Revenue WEO'!$B$1:$CZ$600,10,FALSE)</f>
        <v>39.326000000000001</v>
      </c>
      <c r="AC48" t="e">
        <f>VLOOKUP($B48,[2]Summary!$B$1:$CZ$600,39,FALSE)</f>
        <v>#N/A</v>
      </c>
      <c r="AD48" t="e">
        <f>VLOOKUP($B48,[2]Summary!$B$1:$CZ$600,40,FALSE)</f>
        <v>#N/A</v>
      </c>
      <c r="AE48" t="e">
        <f>VLOOKUP($B48,[2]Summary!$B$1:$CZ$600,47,FALSE)</f>
        <v>#N/A</v>
      </c>
      <c r="AF48">
        <f>VLOOKUP($B48,'[1]CALC GDP Growth rates WDI'!$B$1:$CZ$600,27,FALSE)</f>
        <v>17.470533504229095</v>
      </c>
      <c r="AG48">
        <f>VLOOKUP($B48,'[1]CALC GDP Growth rates WDI'!$B$1:$CZ$600,29,FALSE)</f>
        <v>23.86766351797305</v>
      </c>
      <c r="AH48">
        <v>8.0299999999999994</v>
      </c>
      <c r="AI48">
        <f>VLOOKUP($B48,'[1]CALC GDP Growth rates WDI'!$B$1:$CZ$600,30,FALSE)</f>
        <v>17.176014254549443</v>
      </c>
      <c r="AJ48" s="45"/>
      <c r="AK48">
        <f>VLOOKUP($B48,[1]Data_Aspire!$B$1:$CZ$600,2,FALSE)</f>
        <v>2017</v>
      </c>
      <c r="AL48">
        <f>VLOOKUP($B48,[1]Data_Aspire!$B$1:$CZ$600,3,FALSE)</f>
        <v>0.79</v>
      </c>
      <c r="AM48">
        <f>VLOOKUP($B48,[1]Data_Aspire!$B$1:$CZ$600,4,FALSE)</f>
        <v>0</v>
      </c>
      <c r="AN48">
        <f>VLOOKUP($B48,[1]Data_Aspire!$B$1:$CZ$600,5,FALSE)</f>
        <v>0.74</v>
      </c>
      <c r="AO48">
        <f>VLOOKUP($B48,[1]Data_Aspire!$B$1:$CZ$600,6,FALSE)</f>
        <v>0</v>
      </c>
      <c r="AP48">
        <f>VLOOKUP($B48,[1]Data_Aspire!$B$1:$CZ$600,7,FALSE)</f>
        <v>0</v>
      </c>
      <c r="AQ48">
        <f>VLOOKUP($B48,[1]Data_Aspire!$B$1:$CZ$600,8,FALSE)</f>
        <v>0.06</v>
      </c>
      <c r="AU48">
        <f>VLOOKUP($B48,[1]Data_Aspire!$B$1:$CZ$600,12,FALSE)</f>
        <v>0.79</v>
      </c>
      <c r="AW48">
        <f>VLOOKUP($B48,[1]Data_Aspire!$B$1:$CZ$600,14,FALSE)</f>
        <v>0</v>
      </c>
      <c r="AX48">
        <f>VLOOKUP($B48,[1]Data_Aspire!$B$1:$CZ$600,15,FALSE)</f>
        <v>3343752</v>
      </c>
      <c r="AY48">
        <f>VLOOKUP($B48,[1]Data_Aspire!$B$1:$CZ$600,16,FALSE)</f>
        <v>2017</v>
      </c>
      <c r="BJ48" s="7">
        <v>0</v>
      </c>
      <c r="BK48" s="45">
        <v>203</v>
      </c>
      <c r="BL48">
        <f>VLOOKUP($B48,'[1]Data_UN_PopulationTot.&amp;%'!$B$4:$CZ$603,8,FALSE)</f>
        <v>10709</v>
      </c>
      <c r="BM48">
        <f>VLOOKUP($B48,'[1]Data_UN_PopulationTot.&amp;%'!$B$4:$CZ$603,9,FALSE)</f>
        <v>10724.6</v>
      </c>
      <c r="BN48">
        <v>10736.8</v>
      </c>
      <c r="BO48">
        <f>VLOOKUP($B48,'[1]Data_UN_PopulationTot.&amp;%'!$B$4:$CZ$603,11,FALSE)</f>
        <v>10745.9</v>
      </c>
      <c r="BP48">
        <f>VLOOKUP($B48,'[1]Data_UN_PopulationTot.&amp;%'!$B$4:$CZ$603,12,FALSE)</f>
        <v>10752.4</v>
      </c>
      <c r="BQ48">
        <f>VLOOKUP($B48,'[1]Data_UN_PopulationTot.&amp;%'!$B$4:$CZ$603,13,FALSE)</f>
        <v>10756.7</v>
      </c>
      <c r="BR48">
        <f>VLOOKUP($B48,'[1]Data_UN_PopulationTot.&amp;%'!$B$4:$CZ$603,14,FALSE)</f>
        <v>10758.8</v>
      </c>
      <c r="BS48">
        <f>VLOOKUP($B48,'[1]Data_UN_PopulationTot.&amp;%'!$B$4:$CZ$603,15,FALSE)</f>
        <v>10758.6</v>
      </c>
      <c r="BT48">
        <f>VLOOKUP($B48,'[1]Data_UN_PopulationTot.&amp;%'!$B$4:$CZ$603,16,FALSE)</f>
        <v>10756.2</v>
      </c>
      <c r="BU48">
        <f>VLOOKUP($B48,'[1]Data_UN_PopulationTot.&amp;%'!$B$4:$CZ$603,17,FALSE)</f>
        <v>10751.5</v>
      </c>
      <c r="BV48">
        <f>VLOOKUP($B48,'[1]Data_UN_PopulationTot.&amp;%'!$B$4:$CZ$603,18,FALSE)</f>
        <v>10744.8</v>
      </c>
      <c r="BW48">
        <f>VLOOKUP($B48,'[1]Data_UN_PopulationTot.&amp;%'!$B$4:$CZ$603,61,FALSE)</f>
        <v>5.2181342795779244</v>
      </c>
      <c r="BX48">
        <f>VLOOKUP($B48,'[1]Data_UN_PopulationTot.&amp;%'!$B$4:$CZ$603,62,FALSE)</f>
        <v>5.1810253058175366</v>
      </c>
      <c r="BY48">
        <f>VLOOKUP($B48,'[1]Data_UN_PopulationTot.&amp;%'!$B$4:$CZ$603,63,FALSE)</f>
        <v>5.3563638061443655</v>
      </c>
      <c r="BZ48">
        <f>VLOOKUP($B48,'[1]Data_UN_PopulationTot.&amp;%'!$B$4:$CZ$603,64,FALSE)</f>
        <v>4.5542814455131193</v>
      </c>
      <c r="CA48">
        <f>VLOOKUP($B48,'[1]Data_UN_PopulationTot.&amp;%'!$B$4:$CZ$603,65,FALSE)</f>
        <v>4.4018769259501349</v>
      </c>
      <c r="CB48">
        <f>VLOOKUP($B48,'[1]Data_UN_PopulationTot.&amp;%'!$B$4:$CZ$603,66,FALSE)</f>
        <v>5.9197123914464465</v>
      </c>
      <c r="CC48">
        <f>VLOOKUP($B48,'[1]Data_UN_PopulationTot.&amp;%'!$B$4:$CZ$603,67,FALSE)</f>
        <v>6.6945186291904006</v>
      </c>
      <c r="CD48">
        <f>VLOOKUP($B48,'[1]Data_UN_PopulationTot.&amp;%'!$B$4:$CZ$603,68,FALSE)</f>
        <v>7.1089177327481563</v>
      </c>
      <c r="CE48">
        <f>VLOOKUP($B48,'[1]Data_UN_PopulationTot.&amp;%'!$B$4:$CZ$603,69,FALSE)</f>
        <v>8.688084788495658</v>
      </c>
      <c r="CF48">
        <f>VLOOKUP($B48,'[1]Data_UN_PopulationTot.&amp;%'!$B$4:$CZ$603,70,FALSE)</f>
        <v>8.1048370529461202</v>
      </c>
      <c r="CG48">
        <f>VLOOKUP($B48,'[1]Data_UN_PopulationTot.&amp;%'!$B$4:$CZ$603,71,FALSE)</f>
        <v>6.4805023811747127</v>
      </c>
      <c r="CH48">
        <f>VLOOKUP($B48,'[1]Data_UN_PopulationTot.&amp;%'!$B$4:$CZ$603,72,FALSE)</f>
        <v>6.1375758707629098</v>
      </c>
      <c r="CI48">
        <f>VLOOKUP($B48,'[1]Data_UN_PopulationTot.&amp;%'!$B$4:$CZ$603,73,FALSE)</f>
        <v>6.0110374451396016</v>
      </c>
      <c r="CJ48">
        <f>VLOOKUP($B48,'[1]Data_UN_PopulationTot.&amp;%'!$B$4:$CZ$603,74,FALSE)</f>
        <v>6.3581566906340452</v>
      </c>
      <c r="CK48">
        <f>VLOOKUP($B48,'[1]Data_UN_PopulationTot.&amp;%'!$B$4:$CZ$603,75,FALSE)</f>
        <v>5.7220562143991032</v>
      </c>
      <c r="CL48">
        <f>VLOOKUP($B48,'[1]Data_UN_PopulationTot.&amp;%'!$B$4:$CZ$603,76,FALSE)</f>
        <v>3.9062844336539357</v>
      </c>
      <c r="CM48">
        <f>VLOOKUP($B48,'[1]Data_UN_PopulationTot.&amp;%'!$B$4:$CZ$603,77,FALSE)</f>
        <v>2.1987393780931925</v>
      </c>
      <c r="CN48">
        <f>VLOOKUP($B48,'[1]Data_UN_PopulationTot.&amp;%'!$B$4:$CZ$603,78,FALSE)</f>
        <v>1.3429171724717526</v>
      </c>
      <c r="CO48">
        <f>VLOOKUP($B48,'[1]Data_UN_PopulationTot.&amp;%'!$B$4:$CZ$603,79,FALSE)</f>
        <v>0.50587356429171726</v>
      </c>
      <c r="CP48">
        <f>VLOOKUP($B48,'[1]Data_UN_PopulationTot.&amp;%'!$B$4:$CZ$603,80,FALSE)</f>
        <v>0.10532262582874219</v>
      </c>
      <c r="CQ48">
        <f>VLOOKUP($B48,'[1]Data_UN_PopulationTot.&amp;%'!$B$4:$CZ$603,81,FALSE)</f>
        <v>3.6137827995144272E-3</v>
      </c>
      <c r="CR48">
        <f>VLOOKUP($B48,'[1]Data_UN_PopulationTot.&amp;%'!$B$4:$CZ$603,82,FALSE)</f>
        <v>4.5846549028367223</v>
      </c>
      <c r="CS48">
        <f>VLOOKUP($B48,'[1]Data_UN_PopulationTot.&amp;%'!$B$4:$CZ$603,83,FALSE)</f>
        <v>4.9117619685801506</v>
      </c>
      <c r="CT48">
        <f>VLOOKUP($B48,'[1]Data_UN_PopulationTot.&amp;%'!$B$4:$CZ$603,84,FALSE)</f>
        <v>5.2666778348596539</v>
      </c>
      <c r="CU48">
        <f>VLOOKUP($B48,'[1]Data_UN_PopulationTot.&amp;%'!$B$4:$CZ$603,85,FALSE)</f>
        <v>5.2502978184796367</v>
      </c>
      <c r="CV48">
        <f>VLOOKUP($B48,'[1]Data_UN_PopulationTot.&amp;%'!$B$4:$CZ$603,86,FALSE)</f>
        <v>5.549772913409277</v>
      </c>
      <c r="CW48">
        <f>VLOOKUP($B48,'[1]Data_UN_PopulationTot.&amp;%'!$B$4:$CZ$603,87,FALSE)</f>
        <v>4.8724685429230892</v>
      </c>
      <c r="CX48">
        <f>VLOOKUP($B48,'[1]Data_UN_PopulationTot.&amp;%'!$B$4:$CZ$603,88,FALSE)</f>
        <v>4.7256068051522604</v>
      </c>
      <c r="CY48">
        <f>VLOOKUP($B48,'[1]Data_UN_PopulationTot.&amp;%'!$B$4:$CZ$603,89,FALSE)</f>
        <v>6.1495048767776037</v>
      </c>
      <c r="CZ48">
        <f>VLOOKUP($B48,'[1]Data_UN_PopulationTot.&amp;%'!$B$4:$CZ$603,90,FALSE)</f>
        <v>6.8163390663390668</v>
      </c>
      <c r="DA48">
        <f>VLOOKUP($B48,'[1]Data_UN_PopulationTot.&amp;%'!$B$4:$CZ$603,91,FALSE)</f>
        <v>7.1258748417839328</v>
      </c>
      <c r="DB48">
        <f>VLOOKUP($B48,'[1]Data_UN_PopulationTot.&amp;%'!$B$4:$CZ$603,92,FALSE)</f>
        <v>8.5624022783113709</v>
      </c>
      <c r="DC48">
        <f>VLOOKUP($B48,'[1]Data_UN_PopulationTot.&amp;%'!$B$4:$CZ$603,93,FALSE)</f>
        <v>7.8504392822574651</v>
      </c>
      <c r="DD48">
        <f>VLOOKUP($B48,'[1]Data_UN_PopulationTot.&amp;%'!$B$4:$CZ$603,94,FALSE)</f>
        <v>6.1151161492070587</v>
      </c>
      <c r="DE48">
        <f>VLOOKUP($B48,'[1]Data_UN_PopulationTot.&amp;%'!$B$4:$CZ$603,95,FALSE)</f>
        <v>5.5595450822723551</v>
      </c>
      <c r="DF48">
        <f>VLOOKUP($B48,'[1]Data_UN_PopulationTot.&amp;%'!$B$4:$CZ$603,96,FALSE)</f>
        <v>5.1457263048172139</v>
      </c>
      <c r="DG48">
        <f>VLOOKUP($B48,'[1]Data_UN_PopulationTot.&amp;%'!$B$4:$CZ$603,97,FALSE)</f>
        <v>5.0026896731442188</v>
      </c>
      <c r="DH48">
        <f>VLOOKUP($B48,'[1]Data_UN_PopulationTot.&amp;%'!$B$4:$CZ$603,98,FALSE)</f>
        <v>3.8508115553570104</v>
      </c>
      <c r="DI48">
        <f>VLOOKUP($B48,'[1]Data_UN_PopulationTot.&amp;%'!$B$4:$CZ$603,99,FALSE)</f>
        <v>1.9070527138708957</v>
      </c>
      <c r="DJ48">
        <f>VLOOKUP($B48,'[1]Data_UN_PopulationTot.&amp;%'!$B$4:$DE$603,100,FALSE)</f>
        <v>0.59633497133497138</v>
      </c>
      <c r="DK48">
        <f>VLOOKUP($B48,'[1]Data_UN_PopulationTot.&amp;%'!$B$4:$DE$603,101,FALSE)</f>
        <v>0.14294356339810887</v>
      </c>
      <c r="DL48">
        <f>VLOOKUP($B48,'[1]Data_UN_PopulationTot.&amp;%'!$B$4:$DE$603,102,FALSE)</f>
        <v>1.4258059712605168E-2</v>
      </c>
    </row>
    <row r="49" spans="1:116">
      <c r="A49" t="s">
        <v>56</v>
      </c>
      <c r="B49" t="s">
        <v>457</v>
      </c>
      <c r="C49" t="s">
        <v>485</v>
      </c>
      <c r="D49" t="s">
        <v>622</v>
      </c>
      <c r="E49" t="s">
        <v>2269</v>
      </c>
      <c r="F49">
        <v>0</v>
      </c>
      <c r="G49">
        <v>0</v>
      </c>
      <c r="H49">
        <v>0</v>
      </c>
      <c r="I49">
        <v>1</v>
      </c>
      <c r="J49" s="18">
        <f t="shared" si="1"/>
        <v>1566.8919924000002</v>
      </c>
      <c r="K49">
        <f>VLOOKUP($B49,'[1]Source GDP Current USD'!$B$1:$CZ$600,64,FALSE)</f>
        <v>3846413928653.71</v>
      </c>
      <c r="L49" s="45">
        <f>VLOOKUP($B49,'[1]Source GDP Current USD'!$B$1:$CZ$600,65,FALSE)</f>
        <v>3846413928653.71</v>
      </c>
      <c r="M49" s="17">
        <f>VLOOKUP($B49,'[1]Source GDP Current LCU'!$B$1:$CZ$600,64,FALSE)</f>
        <v>3367560000000</v>
      </c>
      <c r="N49" s="45">
        <v>3400000000000</v>
      </c>
      <c r="O49" s="45">
        <f>VLOOKUP($B49,'[1]Source GNI Current USD'!$B$1:$CZ$600,64,FALSE)</f>
        <v>3953466258964.9902</v>
      </c>
      <c r="P49" s="45">
        <f>VLOOKUP($B49,'[1]Source GNI Current LCU'!$B$1:$CZ$600,64,FALSE)</f>
        <v>3461285000000</v>
      </c>
      <c r="Q49">
        <f t="shared" si="0"/>
        <v>97.292190617068513</v>
      </c>
      <c r="R49">
        <v>47470</v>
      </c>
      <c r="S49">
        <v>47470</v>
      </c>
      <c r="T49">
        <v>0.84334200000000004</v>
      </c>
      <c r="U49">
        <f>VLOOKUP($B49,'[1]Source PopulationTotal'!$B$1:$CZ$600,65,FALSE)</f>
        <v>83240525</v>
      </c>
      <c r="V49">
        <v>46.529000000000003</v>
      </c>
      <c r="W49">
        <f>VLOOKUP($B49,'[1]Source Gov. Revenue WEO'!$B$1:$CZ$600,5,FALSE)</f>
        <v>46.316000000000003</v>
      </c>
      <c r="X49">
        <f>VLOOKUP($B49,'[1]Source Gov. Revenue WEO'!$B$1:$CZ$600,6,FALSE)</f>
        <v>46.433999999999997</v>
      </c>
      <c r="Y49">
        <f>VLOOKUP($B49,'[1]Source Gov. Revenue WEO'!$B$1:$CZ$600,7,FALSE)</f>
        <v>46.631999999999998</v>
      </c>
      <c r="Z49">
        <f>VLOOKUP($B49,'[1]Source Gov. Revenue WEO'!$B$1:$CZ$600,8,FALSE)</f>
        <v>46.384999999999998</v>
      </c>
      <c r="AA49">
        <f>VLOOKUP($B49,'[1]Source Gov. Revenue WEO'!$B$1:$CZ$600,9,FALSE)</f>
        <v>46.503</v>
      </c>
      <c r="AB49">
        <f>VLOOKUP($B49,'[1]Source Gov. Revenue WEO'!$B$1:$CZ$600,10,FALSE)</f>
        <v>46.503</v>
      </c>
      <c r="AC49" t="e">
        <f>VLOOKUP($B49,[2]Summary!$B$1:$CZ$600,39,FALSE)</f>
        <v>#N/A</v>
      </c>
      <c r="AD49" t="e">
        <f>VLOOKUP($B49,[2]Summary!$B$1:$CZ$600,40,FALSE)</f>
        <v>#N/A</v>
      </c>
      <c r="AE49" t="e">
        <f>VLOOKUP($B49,[2]Summary!$B$1:$CZ$600,47,FALSE)</f>
        <v>#N/A</v>
      </c>
      <c r="AF49">
        <f>VLOOKUP($B49,'[1]CALC GDP Growth rates WDI'!$B$1:$CZ$600,27,FALSE)</f>
        <v>11.264542482060559</v>
      </c>
      <c r="AG49">
        <f>VLOOKUP($B49,'[1]CALC GDP Growth rates WDI'!$B$1:$CZ$600,29,FALSE)</f>
        <v>20.151098253434597</v>
      </c>
      <c r="AH49">
        <v>2.3199999999999998</v>
      </c>
      <c r="AI49">
        <f>VLOOKUP($B49,'[1]CALC GDP Growth rates WDI'!$B$1:$CZ$600,30,FALSE)</f>
        <v>7.6518720406073326</v>
      </c>
      <c r="AJ49" s="45"/>
      <c r="AK49" t="e">
        <f>VLOOKUP($B49,[1]Data_Aspire!$B$1:$CZ$600,2,FALSE)</f>
        <v>#N/A</v>
      </c>
      <c r="AL49" t="e">
        <f>VLOOKUP($B49,[1]Data_Aspire!$B$1:$CZ$600,3,FALSE)</f>
        <v>#N/A</v>
      </c>
      <c r="AM49" t="e">
        <f>VLOOKUP($B49,[1]Data_Aspire!$B$1:$CZ$600,4,FALSE)</f>
        <v>#N/A</v>
      </c>
      <c r="AN49" t="e">
        <f>VLOOKUP($B49,[1]Data_Aspire!$B$1:$CZ$600,5,FALSE)</f>
        <v>#N/A</v>
      </c>
      <c r="AO49" t="e">
        <f>VLOOKUP($B49,[1]Data_Aspire!$B$1:$CZ$600,6,FALSE)</f>
        <v>#N/A</v>
      </c>
      <c r="AP49" t="e">
        <f>VLOOKUP($B49,[1]Data_Aspire!$B$1:$CZ$600,7,FALSE)</f>
        <v>#N/A</v>
      </c>
      <c r="AQ49" t="e">
        <f>VLOOKUP($B49,[1]Data_Aspire!$B$1:$CZ$600,8,FALSE)</f>
        <v>#N/A</v>
      </c>
      <c r="AR49" t="e">
        <f>VLOOKUP($B49,[1]Data_Aspire!$B$1:$CZ$600,9,FALSE)</f>
        <v>#N/A</v>
      </c>
      <c r="AS49" t="e">
        <f>VLOOKUP($B49,[1]Data_Aspire!$B$1:$CZ$600,10,FALSE)</f>
        <v>#N/A</v>
      </c>
      <c r="AT49" t="e">
        <f>VLOOKUP($B49,[1]Data_Aspire!$B$1:$CZ$600,11,FALSE)</f>
        <v>#N/A</v>
      </c>
      <c r="AU49" t="e">
        <f>VLOOKUP($B49,[1]Data_Aspire!$B$1:$CZ$600,12,FALSE)</f>
        <v>#N/A</v>
      </c>
      <c r="AV49" t="e">
        <f>VLOOKUP($B49,[1]Data_Aspire!$B$1:$CZ$600,13,FALSE)</f>
        <v>#N/A</v>
      </c>
      <c r="AW49" t="e">
        <f>VLOOKUP($B49,[1]Data_Aspire!$B$1:$CZ$600,14,FALSE)</f>
        <v>#N/A</v>
      </c>
      <c r="AX49" t="e">
        <f>VLOOKUP($B49,[1]Data_Aspire!$B$1:$CZ$600,15,FALSE)</f>
        <v>#N/A</v>
      </c>
      <c r="AY49" t="e">
        <f>VLOOKUP($B49,[1]Data_Aspire!$B$1:$CZ$600,16,FALSE)</f>
        <v>#N/A</v>
      </c>
      <c r="AZ49" t="e">
        <f>VLOOKUP($B49,[1]Data_Aspire!$B$1:$CZ$600,17,FALSE)</f>
        <v>#N/A</v>
      </c>
      <c r="BA49" t="e">
        <f>VLOOKUP($B49,[1]Data_Aspire!$B$1:$CZ$600,18,FALSE)</f>
        <v>#N/A</v>
      </c>
      <c r="BB49" t="e">
        <f>VLOOKUP($B49,[1]Data_Aspire!$B$1:$CZ$600,19,FALSE)</f>
        <v>#N/A</v>
      </c>
      <c r="BC49" t="e">
        <f>VLOOKUP($B49,[1]Data_Aspire!$B$1:$CZ$600,20,FALSE)</f>
        <v>#N/A</v>
      </c>
      <c r="BD49" t="e">
        <f>VLOOKUP($B49,[1]Data_Aspire!$B$1:$CZ$600,21,FALSE)</f>
        <v>#N/A</v>
      </c>
      <c r="BE49" t="e">
        <f>VLOOKUP($B49,[1]Data_Aspire!$B$1:$CZ$600,22,FALSE)</f>
        <v>#N/A</v>
      </c>
      <c r="BF49" t="e">
        <f>VLOOKUP($B49,[1]Data_Aspire!$B$1:$CZ$600,23,FALSE)</f>
        <v>#N/A</v>
      </c>
      <c r="BG49" t="e">
        <f>VLOOKUP($B49,[1]Data_Aspire!$B$1:$CZ$600,24,FALSE)</f>
        <v>#N/A</v>
      </c>
      <c r="BH49" t="e">
        <f>VLOOKUP($B49,[1]Data_Aspire!$B$1:$CZ$600,25,FALSE)</f>
        <v>#N/A</v>
      </c>
      <c r="BI49" t="e">
        <f>VLOOKUP($B49,[1]Data_Aspire!$B$1:$CZ$600,26,FALSE)</f>
        <v>#N/A</v>
      </c>
      <c r="BJ49" s="7">
        <v>0</v>
      </c>
      <c r="BK49">
        <v>276</v>
      </c>
      <c r="BL49">
        <f>VLOOKUP($B49,'[1]Data_UN_PopulationTot.&amp;%'!$B$4:$CZ$603,8,FALSE)</f>
        <v>83783.899999999994</v>
      </c>
      <c r="BM49">
        <f>VLOOKUP($B49,'[1]Data_UN_PopulationTot.&amp;%'!$B$4:$CZ$603,9,FALSE)</f>
        <v>83900.5</v>
      </c>
      <c r="BN49">
        <v>83883.600000000006</v>
      </c>
      <c r="BO49">
        <f>VLOOKUP($B49,'[1]Data_UN_PopulationTot.&amp;%'!$B$4:$CZ$603,11,FALSE)</f>
        <v>83774.5</v>
      </c>
      <c r="BP49">
        <f>VLOOKUP($B49,'[1]Data_UN_PopulationTot.&amp;%'!$B$4:$CZ$603,12,FALSE)</f>
        <v>83636.2</v>
      </c>
      <c r="BQ49">
        <f>VLOOKUP($B49,'[1]Data_UN_PopulationTot.&amp;%'!$B$4:$CZ$603,13,FALSE)</f>
        <v>83515</v>
      </c>
      <c r="BR49">
        <f>VLOOKUP($B49,'[1]Data_UN_PopulationTot.&amp;%'!$B$4:$CZ$603,14,FALSE)</f>
        <v>83422.5</v>
      </c>
      <c r="BS49">
        <f>VLOOKUP($B49,'[1]Data_UN_PopulationTot.&amp;%'!$B$4:$CZ$603,15,FALSE)</f>
        <v>83346.3</v>
      </c>
      <c r="BT49">
        <f>VLOOKUP($B49,'[1]Data_UN_PopulationTot.&amp;%'!$B$4:$CZ$603,16,FALSE)</f>
        <v>83280.899999999994</v>
      </c>
      <c r="BU49">
        <f>VLOOKUP($B49,'[1]Data_UN_PopulationTot.&amp;%'!$B$4:$CZ$603,17,FALSE)</f>
        <v>83213.7</v>
      </c>
      <c r="BV49">
        <f>VLOOKUP($B49,'[1]Data_UN_PopulationTot.&amp;%'!$B$4:$CZ$603,18,FALSE)</f>
        <v>83135.600000000006</v>
      </c>
      <c r="BW49">
        <f>VLOOKUP($B49,'[1]Data_UN_PopulationTot.&amp;%'!$B$4:$CZ$603,61,FALSE)</f>
        <v>4.8442242483341076</v>
      </c>
      <c r="BX49">
        <f>VLOOKUP($B49,'[1]Data_UN_PopulationTot.&amp;%'!$B$4:$CZ$603,62,FALSE)</f>
        <v>4.5620101236633772</v>
      </c>
      <c r="BY49">
        <f>VLOOKUP($B49,'[1]Data_UN_PopulationTot.&amp;%'!$B$4:$CZ$603,63,FALSE)</f>
        <v>4.5493823992437692</v>
      </c>
      <c r="BZ49">
        <f>VLOOKUP($B49,'[1]Data_UN_PopulationTot.&amp;%'!$B$4:$CZ$603,64,FALSE)</f>
        <v>4.9161831807781695</v>
      </c>
      <c r="CA49">
        <f>VLOOKUP($B49,'[1]Data_UN_PopulationTot.&amp;%'!$B$4:$CZ$603,65,FALSE)</f>
        <v>5.4347434292268559</v>
      </c>
      <c r="CB49">
        <f>VLOOKUP($B49,'[1]Data_UN_PopulationTot.&amp;%'!$B$4:$CZ$603,66,FALSE)</f>
        <v>5.7575739491716194</v>
      </c>
      <c r="CC49">
        <f>VLOOKUP($B49,'[1]Data_UN_PopulationTot.&amp;%'!$B$4:$CZ$603,67,FALSE)</f>
        <v>6.4951261519217898</v>
      </c>
      <c r="CD49">
        <f>VLOOKUP($B49,'[1]Data_UN_PopulationTot.&amp;%'!$B$4:$CZ$603,68,FALSE)</f>
        <v>6.4811377842282347</v>
      </c>
      <c r="CE49">
        <f>VLOOKUP($B49,'[1]Data_UN_PopulationTot.&amp;%'!$B$4:$CZ$603,69,FALSE)</f>
        <v>6.0389525911302773</v>
      </c>
      <c r="CF49">
        <f>VLOOKUP($B49,'[1]Data_UN_PopulationTot.&amp;%'!$B$4:$CZ$603,70,FALSE)</f>
        <v>6.1869643213075554</v>
      </c>
      <c r="CG49">
        <f>VLOOKUP($B49,'[1]Data_UN_PopulationTot.&amp;%'!$B$4:$CZ$603,71,FALSE)</f>
        <v>7.9743482936459165</v>
      </c>
      <c r="CH49">
        <f>VLOOKUP($B49,'[1]Data_UN_PopulationTot.&amp;%'!$B$4:$CZ$603,72,FALSE)</f>
        <v>8.1246755044823651</v>
      </c>
      <c r="CI49">
        <f>VLOOKUP($B49,'[1]Data_UN_PopulationTot.&amp;%'!$B$4:$CZ$603,73,FALSE)</f>
        <v>6.9472774602280394</v>
      </c>
      <c r="CJ49">
        <f>VLOOKUP($B49,'[1]Data_UN_PopulationTot.&amp;%'!$B$4:$CZ$603,74,FALSE)</f>
        <v>5.7570010467404833</v>
      </c>
      <c r="CK49">
        <f>VLOOKUP($B49,'[1]Data_UN_PopulationTot.&amp;%'!$B$4:$CZ$603,75,FALSE)</f>
        <v>4.5758433302818329</v>
      </c>
      <c r="CL49">
        <f>VLOOKUP($B49,'[1]Data_UN_PopulationTot.&amp;%'!$B$4:$CZ$603,76,FALSE)</f>
        <v>4.3416336551533172</v>
      </c>
      <c r="CM49">
        <f>VLOOKUP($B49,'[1]Data_UN_PopulationTot.&amp;%'!$B$4:$CZ$603,77,FALSE)</f>
        <v>3.8898762172684731</v>
      </c>
      <c r="CN49">
        <f>VLOOKUP($B49,'[1]Data_UN_PopulationTot.&amp;%'!$B$4:$CZ$603,78,FALSE)</f>
        <v>1.9515085833913199</v>
      </c>
      <c r="CO49">
        <f>VLOOKUP($B49,'[1]Data_UN_PopulationTot.&amp;%'!$B$4:$CZ$603,79,FALSE)</f>
        <v>0.90488387387075564</v>
      </c>
      <c r="CP49">
        <f>VLOOKUP($B49,'[1]Data_UN_PopulationTot.&amp;%'!$B$4:$CZ$603,80,FALSE)</f>
        <v>0.243673307162832</v>
      </c>
      <c r="CQ49">
        <f>VLOOKUP($B49,'[1]Data_UN_PopulationTot.&amp;%'!$B$4:$CZ$603,81,FALSE)</f>
        <v>2.3029484184909039E-2</v>
      </c>
      <c r="CR49">
        <f>VLOOKUP($B49,'[1]Data_UN_PopulationTot.&amp;%'!$B$4:$CZ$603,82,FALSE)</f>
        <v>4.5869759765972695</v>
      </c>
      <c r="CS49">
        <f>VLOOKUP($B49,'[1]Data_UN_PopulationTot.&amp;%'!$B$4:$CZ$603,83,FALSE)</f>
        <v>4.7691843205558149</v>
      </c>
      <c r="CT49">
        <f>VLOOKUP($B49,'[1]Data_UN_PopulationTot.&amp;%'!$B$4:$CZ$603,84,FALSE)</f>
        <v>4.9385702394641999</v>
      </c>
      <c r="CU49">
        <f>VLOOKUP($B49,'[1]Data_UN_PopulationTot.&amp;%'!$B$4:$CZ$603,85,FALSE)</f>
        <v>4.6730281612209446</v>
      </c>
      <c r="CV49">
        <f>VLOOKUP($B49,'[1]Data_UN_PopulationTot.&amp;%'!$B$4:$CZ$603,86,FALSE)</f>
        <v>4.769352720134334</v>
      </c>
      <c r="CW49">
        <f>VLOOKUP($B49,'[1]Data_UN_PopulationTot.&amp;%'!$B$4:$CZ$603,87,FALSE)</f>
        <v>5.2421104797463425</v>
      </c>
      <c r="CX49">
        <f>VLOOKUP($B49,'[1]Data_UN_PopulationTot.&amp;%'!$B$4:$CZ$603,88,FALSE)</f>
        <v>5.7668195093317411</v>
      </c>
      <c r="CY49">
        <f>VLOOKUP($B49,'[1]Data_UN_PopulationTot.&amp;%'!$B$4:$CZ$603,89,FALSE)</f>
        <v>6.0194068485702878</v>
      </c>
      <c r="CZ49">
        <f>VLOOKUP($B49,'[1]Data_UN_PopulationTot.&amp;%'!$B$4:$CZ$603,90,FALSE)</f>
        <v>6.6707884468266299</v>
      </c>
      <c r="DA49">
        <f>VLOOKUP($B49,'[1]Data_UN_PopulationTot.&amp;%'!$B$4:$CZ$603,91,FALSE)</f>
        <v>6.5696644999254223</v>
      </c>
      <c r="DB49">
        <f>VLOOKUP($B49,'[1]Data_UN_PopulationTot.&amp;%'!$B$4:$CZ$603,92,FALSE)</f>
        <v>6.0412025654472936</v>
      </c>
      <c r="DC49">
        <f>VLOOKUP($B49,'[1]Data_UN_PopulationTot.&amp;%'!$B$4:$CZ$603,93,FALSE)</f>
        <v>6.0873320214204263</v>
      </c>
      <c r="DD49">
        <f>VLOOKUP($B49,'[1]Data_UN_PopulationTot.&amp;%'!$B$4:$CZ$603,94,FALSE)</f>
        <v>7.6829300564379155</v>
      </c>
      <c r="DE49">
        <f>VLOOKUP($B49,'[1]Data_UN_PopulationTot.&amp;%'!$B$4:$CZ$603,95,FALSE)</f>
        <v>7.6250968297576476</v>
      </c>
      <c r="DF49">
        <f>VLOOKUP($B49,'[1]Data_UN_PopulationTot.&amp;%'!$B$4:$CZ$603,96,FALSE)</f>
        <v>6.2724753294617468</v>
      </c>
      <c r="DG49">
        <f>VLOOKUP($B49,'[1]Data_UN_PopulationTot.&amp;%'!$B$4:$CZ$603,97,FALSE)</f>
        <v>4.8540216225058819</v>
      </c>
      <c r="DH49">
        <f>VLOOKUP($B49,'[1]Data_UN_PopulationTot.&amp;%'!$B$4:$CZ$603,98,FALSE)</f>
        <v>3.3458831114468408</v>
      </c>
      <c r="DI49">
        <f>VLOOKUP($B49,'[1]Data_UN_PopulationTot.&amp;%'!$B$4:$CZ$603,99,FALSE)</f>
        <v>2.4062856345536687</v>
      </c>
      <c r="DJ49">
        <f>VLOOKUP($B49,'[1]Data_UN_PopulationTot.&amp;%'!$B$4:$DE$603,100,FALSE)</f>
        <v>1.328432103695649</v>
      </c>
      <c r="DK49">
        <f>VLOOKUP($B49,'[1]Data_UN_PopulationTot.&amp;%'!$B$4:$DE$603,101,FALSE)</f>
        <v>0.30330808943461041</v>
      </c>
      <c r="DL49">
        <f>VLOOKUP($B49,'[1]Data_UN_PopulationTot.&amp;%'!$B$4:$DE$603,102,FALSE)</f>
        <v>4.7157896256236793E-2</v>
      </c>
    </row>
    <row r="50" spans="1:116">
      <c r="A50" t="s">
        <v>154</v>
      </c>
      <c r="B50" t="s">
        <v>368</v>
      </c>
      <c r="C50" t="s">
        <v>487</v>
      </c>
      <c r="D50" t="s">
        <v>334</v>
      </c>
      <c r="E50" t="s">
        <v>300</v>
      </c>
      <c r="F50">
        <v>0</v>
      </c>
      <c r="G50">
        <v>1</v>
      </c>
      <c r="H50">
        <v>0</v>
      </c>
      <c r="I50">
        <v>0</v>
      </c>
      <c r="J50" s="18">
        <f t="shared" si="1"/>
        <v>126.58069261729501</v>
      </c>
      <c r="K50">
        <f>VLOOKUP($B50,'[1]Source GDP Current USD'!$B$1:$CZ$600,64,FALSE)</f>
        <v>3384385216.7160902</v>
      </c>
      <c r="L50" s="45">
        <f>VLOOKUP($B50,'[1]Source GDP Current USD'!$B$1:$CZ$600,65,FALSE)</f>
        <v>3384385216.7160902</v>
      </c>
      <c r="M50" s="17">
        <f>VLOOKUP($B50,'[1]Source GDP Current LCU'!$B$1:$CZ$600,64,FALSE)</f>
        <v>601476325100</v>
      </c>
      <c r="N50" s="45">
        <v>600000000000</v>
      </c>
      <c r="O50" s="45">
        <f>VLOOKUP($B50,'[1]Source GNI Current USD'!$B$1:$CZ$600,64,FALSE)</f>
        <v>3285820612.6456599</v>
      </c>
      <c r="P50" s="45">
        <f>VLOOKUP($B50,'[1]Source GNI Current LCU'!$B$1:$CZ$600,64,FALSE)</f>
        <v>583959325100</v>
      </c>
      <c r="Q50">
        <f t="shared" si="0"/>
        <v>102.99969522654686</v>
      </c>
      <c r="R50">
        <v>3310</v>
      </c>
      <c r="S50">
        <v>3310</v>
      </c>
      <c r="T50">
        <v>0.59246399999999999</v>
      </c>
      <c r="U50">
        <f>VLOOKUP($B50,'[1]Source PopulationTotal'!$B$1:$CZ$600,65,FALSE)</f>
        <v>988002</v>
      </c>
      <c r="V50">
        <v>21.045000000000002</v>
      </c>
      <c r="W50">
        <f>VLOOKUP($B50,'[1]Source Gov. Revenue WEO'!$B$1:$CZ$600,5,FALSE)</f>
        <v>18.646999999999998</v>
      </c>
      <c r="X50">
        <f>VLOOKUP($B50,'[1]Source Gov. Revenue WEO'!$B$1:$CZ$600,6,FALSE)</f>
        <v>18.725000000000001</v>
      </c>
      <c r="Y50">
        <f>VLOOKUP($B50,'[1]Source Gov. Revenue WEO'!$B$1:$CZ$600,7,FALSE)</f>
        <v>18.626999999999999</v>
      </c>
      <c r="Z50">
        <f>VLOOKUP($B50,'[1]Source Gov. Revenue WEO'!$B$1:$CZ$600,8,FALSE)</f>
        <v>18.338999999999999</v>
      </c>
      <c r="AA50">
        <f>VLOOKUP($B50,'[1]Source Gov. Revenue WEO'!$B$1:$CZ$600,9,FALSE)</f>
        <v>18.088000000000001</v>
      </c>
      <c r="AB50">
        <f>VLOOKUP($B50,'[1]Source Gov. Revenue WEO'!$B$1:$CZ$600,10,FALSE)</f>
        <v>17.798999999999999</v>
      </c>
      <c r="AC50">
        <f>VLOOKUP($B50,[2]Summary!$B$1:$CZ$600,39,FALSE)</f>
        <v>0.16533370000000003</v>
      </c>
      <c r="AD50">
        <f>VLOOKUP($B50,[2]Summary!$B$1:$CZ$600,40,FALSE)</f>
        <v>9.3000000000000013E-2</v>
      </c>
      <c r="AE50">
        <f>VLOOKUP($B50,[2]Summary!$B$1:$CZ$600,47,FALSE)</f>
        <v>0.22701411213405573</v>
      </c>
      <c r="AF50" t="e">
        <f>VLOOKUP($B50,'[1]CALC GDP Growth rates WDI'!$B$1:$CZ$600,27,FALSE)</f>
        <v>#VALUE!</v>
      </c>
      <c r="AG50" t="e">
        <f>VLOOKUP($B50,'[1]CALC GDP Growth rates WDI'!$B$1:$CZ$600,29,FALSE)</f>
        <v>#VALUE!</v>
      </c>
      <c r="AH50">
        <v>32.020000000000003</v>
      </c>
      <c r="AI50">
        <f>VLOOKUP($B50,'[1]CALC GDP Growth rates WDI'!$B$1:$CZ$600,30,FALSE)</f>
        <v>32.091454299102942</v>
      </c>
      <c r="AJ50" t="s">
        <v>2464</v>
      </c>
      <c r="AK50">
        <f>VLOOKUP($B50,[1]Data_Aspire!$B$1:$CZ$600,2,FALSE)</f>
        <v>2015</v>
      </c>
      <c r="AL50">
        <f>VLOOKUP($B50,[1]Data_Aspire!$B$1:$CZ$600,3,FALSE)</f>
        <v>0.13</v>
      </c>
      <c r="AM50">
        <f>VLOOKUP($B50,[1]Data_Aspire!$B$1:$CZ$600,4,FALSE)</f>
        <v>0.05</v>
      </c>
      <c r="AN50">
        <f>VLOOKUP($B50,[1]Data_Aspire!$B$1:$CZ$600,5,FALSE)</f>
        <v>0.05</v>
      </c>
      <c r="AO50">
        <f>VLOOKUP($B50,[1]Data_Aspire!$B$1:$CZ$600,6,FALSE)</f>
        <v>0</v>
      </c>
      <c r="AP50">
        <f>VLOOKUP($B50,[1]Data_Aspire!$B$1:$CZ$600,7,FALSE)</f>
        <v>0</v>
      </c>
      <c r="AR50">
        <f>VLOOKUP($B50,[1]Data_Aspire!$B$1:$CZ$600,9,FALSE)</f>
        <v>0.03</v>
      </c>
      <c r="AU50">
        <f>VLOOKUP($B50,[1]Data_Aspire!$B$1:$CZ$600,12,FALSE)</f>
        <v>0.13</v>
      </c>
      <c r="AV50">
        <f>VLOOKUP($B50,[1]Data_Aspire!$B$1:$CZ$600,13,FALSE)</f>
        <v>91526</v>
      </c>
      <c r="AW50">
        <f>VLOOKUP($B50,[1]Data_Aspire!$B$1:$CZ$600,14,FALSE)</f>
        <v>2015</v>
      </c>
      <c r="AX50">
        <f>VLOOKUP($B50,[1]Data_Aspire!$B$1:$CZ$600,15,FALSE)</f>
        <v>6740</v>
      </c>
      <c r="AY50">
        <f>VLOOKUP($B50,[1]Data_Aspire!$B$1:$CZ$600,16,FALSE)</f>
        <v>2015</v>
      </c>
      <c r="BB50">
        <f>VLOOKUP($B50,[1]Data_Aspire!$B$1:$CZ$600,19,FALSE)</f>
        <v>72800</v>
      </c>
      <c r="BC50">
        <f>VLOOKUP($B50,[1]Data_Aspire!$B$1:$CZ$600,20,FALSE)</f>
        <v>2015</v>
      </c>
      <c r="BD50">
        <f>VLOOKUP($B50,[1]Data_Aspire!$B$1:$CZ$600,21,FALSE)</f>
        <v>16814</v>
      </c>
      <c r="BE50">
        <f>VLOOKUP($B50,[1]Data_Aspire!$B$1:$CZ$600,22,FALSE)</f>
        <v>2014</v>
      </c>
      <c r="BF50">
        <f>VLOOKUP($B50,[1]Data_Aspire!$B$1:$CZ$600,23,FALSE)</f>
        <v>37744</v>
      </c>
      <c r="BG50">
        <f>VLOOKUP($B50,[1]Data_Aspire!$B$1:$CZ$600,24,FALSE)</f>
        <v>2015</v>
      </c>
      <c r="BH50">
        <f>VLOOKUP($B50,[1]Data_Aspire!$B$1:$CZ$600,25,FALSE)</f>
        <v>600</v>
      </c>
      <c r="BI50">
        <f>VLOOKUP($B50,[1]Data_Aspire!$B$1:$CZ$600,26,FALSE)</f>
        <v>2015</v>
      </c>
      <c r="BJ50" s="7">
        <v>1</v>
      </c>
      <c r="BK50">
        <v>262</v>
      </c>
      <c r="BL50">
        <f>VLOOKUP($B50,'[1]Data_UN_PopulationTot.&amp;%'!$B$4:$CZ$603,8,FALSE)</f>
        <v>988.00199999999995</v>
      </c>
      <c r="BM50">
        <f>VLOOKUP($B50,'[1]Data_UN_PopulationTot.&amp;%'!$B$4:$CZ$603,9,FALSE)</f>
        <v>1002.2</v>
      </c>
      <c r="BN50">
        <v>1016.1</v>
      </c>
      <c r="BO50">
        <f>VLOOKUP($B50,'[1]Data_UN_PopulationTot.&amp;%'!$B$4:$CZ$603,11,FALSE)</f>
        <v>1029.7</v>
      </c>
      <c r="BP50">
        <f>VLOOKUP($B50,'[1]Data_UN_PopulationTot.&amp;%'!$B$4:$CZ$603,12,FALSE)</f>
        <v>1043.02</v>
      </c>
      <c r="BQ50">
        <f>VLOOKUP($B50,'[1]Data_UN_PopulationTot.&amp;%'!$B$4:$CZ$603,13,FALSE)</f>
        <v>1056.06</v>
      </c>
      <c r="BR50">
        <f>VLOOKUP($B50,'[1]Data_UN_PopulationTot.&amp;%'!$B$4:$CZ$603,14,FALSE)</f>
        <v>1068.8</v>
      </c>
      <c r="BS50">
        <f>VLOOKUP($B50,'[1]Data_UN_PopulationTot.&amp;%'!$B$4:$CZ$603,15,FALSE)</f>
        <v>1081.24</v>
      </c>
      <c r="BT50">
        <f>VLOOKUP($B50,'[1]Data_UN_PopulationTot.&amp;%'!$B$4:$CZ$603,16,FALSE)</f>
        <v>1093.3800000000001</v>
      </c>
      <c r="BU50">
        <f>VLOOKUP($B50,'[1]Data_UN_PopulationTot.&amp;%'!$B$4:$CZ$603,17,FALSE)</f>
        <v>1105.2</v>
      </c>
      <c r="BV50">
        <f>VLOOKUP($B50,'[1]Data_UN_PopulationTot.&amp;%'!$B$4:$CZ$603,18,FALSE)</f>
        <v>1116.71</v>
      </c>
      <c r="BW50">
        <f>VLOOKUP($B50,'[1]Data_UN_PopulationTot.&amp;%'!$B$4:$CZ$603,61,FALSE)</f>
        <v>10.036619359070125</v>
      </c>
      <c r="BX50">
        <f>VLOOKUP($B50,'[1]Data_UN_PopulationTot.&amp;%'!$B$4:$CZ$603,62,FALSE)</f>
        <v>9.9137451138762884</v>
      </c>
      <c r="BY50">
        <f>VLOOKUP($B50,'[1]Data_UN_PopulationTot.&amp;%'!$B$4:$CZ$603,63,FALSE)</f>
        <v>8.9618239639191017</v>
      </c>
      <c r="BZ50">
        <f>VLOOKUP($B50,'[1]Data_UN_PopulationTot.&amp;%'!$B$4:$CZ$603,64,FALSE)</f>
        <v>9.1879368665245629</v>
      </c>
      <c r="CA50">
        <f>VLOOKUP($B50,'[1]Data_UN_PopulationTot.&amp;%'!$B$4:$CZ$603,65,FALSE)</f>
        <v>9.1303458899880763</v>
      </c>
      <c r="CB50">
        <f>VLOOKUP($B50,'[1]Data_UN_PopulationTot.&amp;%'!$B$4:$CZ$603,66,FALSE)</f>
        <v>8.8177959153928835</v>
      </c>
      <c r="CC50">
        <f>VLOOKUP($B50,'[1]Data_UN_PopulationTot.&amp;%'!$B$4:$CZ$603,67,FALSE)</f>
        <v>8.7338892026534367</v>
      </c>
      <c r="CD50">
        <f>VLOOKUP($B50,'[1]Data_UN_PopulationTot.&amp;%'!$B$4:$CZ$603,68,FALSE)</f>
        <v>7.7049439171175766</v>
      </c>
      <c r="CE50">
        <f>VLOOKUP($B50,'[1]Data_UN_PopulationTot.&amp;%'!$B$4:$CZ$603,69,FALSE)</f>
        <v>6.7598041299511555</v>
      </c>
      <c r="CF50">
        <f>VLOOKUP($B50,'[1]Data_UN_PopulationTot.&amp;%'!$B$4:$CZ$603,70,FALSE)</f>
        <v>5.4792399205669629</v>
      </c>
      <c r="CG50">
        <f>VLOOKUP($B50,'[1]Data_UN_PopulationTot.&amp;%'!$B$4:$CZ$603,71,FALSE)</f>
        <v>4.2914892884832216</v>
      </c>
      <c r="CH50">
        <f>VLOOKUP($B50,'[1]Data_UN_PopulationTot.&amp;%'!$B$4:$CZ$603,72,FALSE)</f>
        <v>3.6110250788966014</v>
      </c>
      <c r="CI50">
        <f>VLOOKUP($B50,'[1]Data_UN_PopulationTot.&amp;%'!$B$4:$CZ$603,73,FALSE)</f>
        <v>2.6647719336600533</v>
      </c>
      <c r="CJ50">
        <f>VLOOKUP($B50,'[1]Data_UN_PopulationTot.&amp;%'!$B$4:$CZ$603,74,FALSE)</f>
        <v>1.82246594642521</v>
      </c>
      <c r="CK50">
        <f>VLOOKUP($B50,'[1]Data_UN_PopulationTot.&amp;%'!$B$4:$CZ$603,75,FALSE)</f>
        <v>1.4106246748488362</v>
      </c>
      <c r="CL50">
        <f>VLOOKUP($B50,'[1]Data_UN_PopulationTot.&amp;%'!$B$4:$CZ$603,76,FALSE)</f>
        <v>0.84949220750565291</v>
      </c>
      <c r="CM50">
        <f>VLOOKUP($B50,'[1]Data_UN_PopulationTot.&amp;%'!$B$4:$CZ$603,77,FALSE)</f>
        <v>0.42155785109746741</v>
      </c>
      <c r="CN50">
        <f>VLOOKUP($B50,'[1]Data_UN_PopulationTot.&amp;%'!$B$4:$CZ$603,78,FALSE)</f>
        <v>0.15819806032781311</v>
      </c>
      <c r="CO50">
        <f>VLOOKUP($B50,'[1]Data_UN_PopulationTot.&amp;%'!$B$4:$CZ$603,79,FALSE)</f>
        <v>3.8663889344353553E-2</v>
      </c>
      <c r="CP50">
        <f>VLOOKUP($B50,'[1]Data_UN_PopulationTot.&amp;%'!$B$4:$CZ$603,80,FALSE)</f>
        <v>5.1619328705812331E-3</v>
      </c>
      <c r="CQ50">
        <f>VLOOKUP($B50,'[1]Data_UN_PopulationTot.&amp;%'!$B$4:$CZ$603,81,FALSE)</f>
        <v>4.0485748004558694E-4</v>
      </c>
      <c r="CR50">
        <f>VLOOKUP($B50,'[1]Data_UN_PopulationTot.&amp;%'!$B$4:$CZ$603,82,FALSE)</f>
        <v>8.2643658604292973</v>
      </c>
      <c r="CS50">
        <f>VLOOKUP($B50,'[1]Data_UN_PopulationTot.&amp;%'!$B$4:$CZ$603,83,FALSE)</f>
        <v>8.5379373337751066</v>
      </c>
      <c r="CT50">
        <f>VLOOKUP($B50,'[1]Data_UN_PopulationTot.&amp;%'!$B$4:$CZ$603,84,FALSE)</f>
        <v>8.7416607713730521</v>
      </c>
      <c r="CU50">
        <f>VLOOKUP($B50,'[1]Data_UN_PopulationTot.&amp;%'!$B$4:$CZ$603,85,FALSE)</f>
        <v>8.7230346285069533</v>
      </c>
      <c r="CV50">
        <f>VLOOKUP($B50,'[1]Data_UN_PopulationTot.&amp;%'!$B$4:$CZ$603,86,FALSE)</f>
        <v>7.9449454200284766</v>
      </c>
      <c r="CW50">
        <f>VLOOKUP($B50,'[1]Data_UN_PopulationTot.&amp;%'!$B$4:$CZ$603,87,FALSE)</f>
        <v>8.1354156405870821</v>
      </c>
      <c r="CX50">
        <f>VLOOKUP($B50,'[1]Data_UN_PopulationTot.&amp;%'!$B$4:$CZ$603,88,FALSE)</f>
        <v>8.025987051248757</v>
      </c>
      <c r="CY50">
        <f>VLOOKUP($B50,'[1]Data_UN_PopulationTot.&amp;%'!$B$4:$CZ$603,89,FALSE)</f>
        <v>7.6694038738795207</v>
      </c>
      <c r="CZ50">
        <f>VLOOKUP($B50,'[1]Data_UN_PopulationTot.&amp;%'!$B$4:$CZ$603,90,FALSE)</f>
        <v>7.4973806986594544</v>
      </c>
      <c r="DA50">
        <f>VLOOKUP($B50,'[1]Data_UN_PopulationTot.&amp;%'!$B$4:$CZ$603,91,FALSE)</f>
        <v>6.5320450251184283</v>
      </c>
      <c r="DB50">
        <f>VLOOKUP($B50,'[1]Data_UN_PopulationTot.&amp;%'!$B$4:$CZ$603,92,FALSE)</f>
        <v>5.6458704587583171</v>
      </c>
      <c r="DC50">
        <f>VLOOKUP($B50,'[1]Data_UN_PopulationTot.&amp;%'!$B$4:$CZ$603,93,FALSE)</f>
        <v>4.4813783345720903</v>
      </c>
      <c r="DD50">
        <f>VLOOKUP($B50,'[1]Data_UN_PopulationTot.&amp;%'!$B$4:$CZ$603,94,FALSE)</f>
        <v>3.3977487440785872</v>
      </c>
      <c r="DE50">
        <f>VLOOKUP($B50,'[1]Data_UN_PopulationTot.&amp;%'!$B$4:$CZ$603,95,FALSE)</f>
        <v>2.6899553151668743</v>
      </c>
      <c r="DF50">
        <f>VLOOKUP($B50,'[1]Data_UN_PopulationTot.&amp;%'!$B$4:$CZ$603,96,FALSE)</f>
        <v>1.7884679102004999</v>
      </c>
      <c r="DG50">
        <f>VLOOKUP($B50,'[1]Data_UN_PopulationTot.&amp;%'!$B$4:$CZ$603,97,FALSE)</f>
        <v>1.0296316859345755</v>
      </c>
      <c r="DH50">
        <f>VLOOKUP($B50,'[1]Data_UN_PopulationTot.&amp;%'!$B$4:$CZ$603,98,FALSE)</f>
        <v>0.59854393710094833</v>
      </c>
      <c r="DI50">
        <f>VLOOKUP($B50,'[1]Data_UN_PopulationTot.&amp;%'!$B$4:$CZ$603,99,FALSE)</f>
        <v>0.22870754269237312</v>
      </c>
      <c r="DJ50">
        <f>VLOOKUP($B50,'[1]Data_UN_PopulationTot.&amp;%'!$B$4:$DE$603,100,FALSE)</f>
        <v>5.8206696456555421E-2</v>
      </c>
      <c r="DK50">
        <f>VLOOKUP($B50,'[1]Data_UN_PopulationTot.&amp;%'!$B$4:$DE$603,101,FALSE)</f>
        <v>8.8653276141522856E-3</v>
      </c>
      <c r="DL50">
        <f>VLOOKUP($B50,'[1]Data_UN_PopulationTot.&amp;%'!$B$4:$DE$603,102,FALSE)</f>
        <v>7.1639011023452823E-4</v>
      </c>
    </row>
    <row r="51" spans="1:116">
      <c r="A51" t="s">
        <v>49</v>
      </c>
      <c r="B51" t="s">
        <v>464</v>
      </c>
      <c r="C51" t="s">
        <v>485</v>
      </c>
      <c r="D51" t="s">
        <v>622</v>
      </c>
      <c r="E51" t="s">
        <v>2269</v>
      </c>
      <c r="F51">
        <v>0</v>
      </c>
      <c r="G51">
        <v>0</v>
      </c>
      <c r="H51">
        <v>0</v>
      </c>
      <c r="I51">
        <v>1</v>
      </c>
      <c r="J51" s="18">
        <f t="shared" si="1"/>
        <v>1238.2550676190801</v>
      </c>
      <c r="K51">
        <f>VLOOKUP($B51,'[1]Source GDP Current USD'!$B$1:$CZ$600,64,FALSE)</f>
        <v>356084867685.63898</v>
      </c>
      <c r="L51" s="45">
        <f>VLOOKUP($B51,'[1]Source GDP Current USD'!$B$1:$CZ$600,65,FALSE)</f>
        <v>356084867685.63898</v>
      </c>
      <c r="M51" s="17">
        <f>VLOOKUP($B51,'[1]Source GDP Current LCU'!$B$1:$CZ$600,64,FALSE)</f>
        <v>2329561402000</v>
      </c>
      <c r="N51" s="45">
        <v>2300000000000</v>
      </c>
      <c r="O51" s="45">
        <f>VLOOKUP($B51,'[1]Source GNI Current USD'!$B$1:$CZ$600,64,FALSE)</f>
        <v>368105773886.79901</v>
      </c>
      <c r="P51" s="45">
        <f>VLOOKUP($B51,'[1]Source GNI Current LCU'!$B$1:$CZ$600,64,FALSE)</f>
        <v>2408204000000</v>
      </c>
      <c r="Q51">
        <f t="shared" si="0"/>
        <v>96.734388033571904</v>
      </c>
      <c r="R51">
        <v>63010</v>
      </c>
      <c r="S51">
        <v>63010</v>
      </c>
      <c r="T51">
        <v>1.0138400000000001</v>
      </c>
      <c r="U51">
        <f>VLOOKUP($B51,'[1]Source PopulationTotal'!$B$1:$CZ$600,65,FALSE)</f>
        <v>5831404</v>
      </c>
      <c r="V51">
        <v>53.154000000000003</v>
      </c>
      <c r="W51">
        <f>VLOOKUP($B51,'[1]Source Gov. Revenue WEO'!$B$1:$CZ$600,5,FALSE)</f>
        <v>51.683</v>
      </c>
      <c r="X51">
        <f>VLOOKUP($B51,'[1]Source Gov. Revenue WEO'!$B$1:$CZ$600,6,FALSE)</f>
        <v>50.204999999999998</v>
      </c>
      <c r="Y51">
        <f>VLOOKUP($B51,'[1]Source Gov. Revenue WEO'!$B$1:$CZ$600,7,FALSE)</f>
        <v>50.095999999999997</v>
      </c>
      <c r="Z51">
        <f>VLOOKUP($B51,'[1]Source Gov. Revenue WEO'!$B$1:$CZ$600,8,FALSE)</f>
        <v>49.728999999999999</v>
      </c>
      <c r="AA51">
        <f>VLOOKUP($B51,'[1]Source Gov. Revenue WEO'!$B$1:$CZ$600,9,FALSE)</f>
        <v>49.475000000000001</v>
      </c>
      <c r="AB51">
        <f>VLOOKUP($B51,'[1]Source Gov. Revenue WEO'!$B$1:$CZ$600,10,FALSE)</f>
        <v>49.475000000000001</v>
      </c>
      <c r="AC51" t="e">
        <f>VLOOKUP($B51,[2]Summary!$B$1:$CZ$600,39,FALSE)</f>
        <v>#N/A</v>
      </c>
      <c r="AD51" t="e">
        <f>VLOOKUP($B51,[2]Summary!$B$1:$CZ$600,40,FALSE)</f>
        <v>#N/A</v>
      </c>
      <c r="AE51" t="e">
        <f>VLOOKUP($B51,[2]Summary!$B$1:$CZ$600,47,FALSE)</f>
        <v>#N/A</v>
      </c>
      <c r="AF51">
        <f>VLOOKUP($B51,'[1]CALC GDP Growth rates WDI'!$B$1:$CZ$600,27,FALSE)</f>
        <v>15.443560102475661</v>
      </c>
      <c r="AG51">
        <f>VLOOKUP($B51,'[1]CALC GDP Growth rates WDI'!$B$1:$CZ$600,29,FALSE)</f>
        <v>17.593200111823258</v>
      </c>
      <c r="AH51">
        <v>8.26</v>
      </c>
      <c r="AI51">
        <f>VLOOKUP($B51,'[1]CALC GDP Growth rates WDI'!$B$1:$CZ$600,30,FALSE)</f>
        <v>10.807912702957978</v>
      </c>
      <c r="AJ51" s="45"/>
      <c r="AK51" t="e">
        <f>VLOOKUP($B51,[1]Data_Aspire!$B$1:$CZ$600,2,FALSE)</f>
        <v>#N/A</v>
      </c>
      <c r="AL51" t="e">
        <f>VLOOKUP($B51,[1]Data_Aspire!$B$1:$CZ$600,3,FALSE)</f>
        <v>#N/A</v>
      </c>
      <c r="AM51" t="e">
        <f>VLOOKUP($B51,[1]Data_Aspire!$B$1:$CZ$600,4,FALSE)</f>
        <v>#N/A</v>
      </c>
      <c r="AN51" t="e">
        <f>VLOOKUP($B51,[1]Data_Aspire!$B$1:$CZ$600,5,FALSE)</f>
        <v>#N/A</v>
      </c>
      <c r="AO51" t="e">
        <f>VLOOKUP($B51,[1]Data_Aspire!$B$1:$CZ$600,6,FALSE)</f>
        <v>#N/A</v>
      </c>
      <c r="AP51" t="e">
        <f>VLOOKUP($B51,[1]Data_Aspire!$B$1:$CZ$600,7,FALSE)</f>
        <v>#N/A</v>
      </c>
      <c r="AQ51" t="e">
        <f>VLOOKUP($B51,[1]Data_Aspire!$B$1:$CZ$600,8,FALSE)</f>
        <v>#N/A</v>
      </c>
      <c r="AR51" t="e">
        <f>VLOOKUP($B51,[1]Data_Aspire!$B$1:$CZ$600,9,FALSE)</f>
        <v>#N/A</v>
      </c>
      <c r="AS51" t="e">
        <f>VLOOKUP($B51,[1]Data_Aspire!$B$1:$CZ$600,10,FALSE)</f>
        <v>#N/A</v>
      </c>
      <c r="AT51" t="e">
        <f>VLOOKUP($B51,[1]Data_Aspire!$B$1:$CZ$600,11,FALSE)</f>
        <v>#N/A</v>
      </c>
      <c r="AU51" t="e">
        <f>VLOOKUP($B51,[1]Data_Aspire!$B$1:$CZ$600,12,FALSE)</f>
        <v>#N/A</v>
      </c>
      <c r="AV51" t="e">
        <f>VLOOKUP($B51,[1]Data_Aspire!$B$1:$CZ$600,13,FALSE)</f>
        <v>#N/A</v>
      </c>
      <c r="AW51" t="e">
        <f>VLOOKUP($B51,[1]Data_Aspire!$B$1:$CZ$600,14,FALSE)</f>
        <v>#N/A</v>
      </c>
      <c r="AX51" t="e">
        <f>VLOOKUP($B51,[1]Data_Aspire!$B$1:$CZ$600,15,FALSE)</f>
        <v>#N/A</v>
      </c>
      <c r="AY51" t="e">
        <f>VLOOKUP($B51,[1]Data_Aspire!$B$1:$CZ$600,16,FALSE)</f>
        <v>#N/A</v>
      </c>
      <c r="AZ51" t="e">
        <f>VLOOKUP($B51,[1]Data_Aspire!$B$1:$CZ$600,17,FALSE)</f>
        <v>#N/A</v>
      </c>
      <c r="BA51" t="e">
        <f>VLOOKUP($B51,[1]Data_Aspire!$B$1:$CZ$600,18,FALSE)</f>
        <v>#N/A</v>
      </c>
      <c r="BB51" t="e">
        <f>VLOOKUP($B51,[1]Data_Aspire!$B$1:$CZ$600,19,FALSE)</f>
        <v>#N/A</v>
      </c>
      <c r="BC51" t="e">
        <f>VLOOKUP($B51,[1]Data_Aspire!$B$1:$CZ$600,20,FALSE)</f>
        <v>#N/A</v>
      </c>
      <c r="BD51" t="e">
        <f>VLOOKUP($B51,[1]Data_Aspire!$B$1:$CZ$600,21,FALSE)</f>
        <v>#N/A</v>
      </c>
      <c r="BE51" t="e">
        <f>VLOOKUP($B51,[1]Data_Aspire!$B$1:$CZ$600,22,FALSE)</f>
        <v>#N/A</v>
      </c>
      <c r="BF51" t="e">
        <f>VLOOKUP($B51,[1]Data_Aspire!$B$1:$CZ$600,23,FALSE)</f>
        <v>#N/A</v>
      </c>
      <c r="BG51" t="e">
        <f>VLOOKUP($B51,[1]Data_Aspire!$B$1:$CZ$600,24,FALSE)</f>
        <v>#N/A</v>
      </c>
      <c r="BH51" t="e">
        <f>VLOOKUP($B51,[1]Data_Aspire!$B$1:$CZ$600,25,FALSE)</f>
        <v>#N/A</v>
      </c>
      <c r="BI51" t="e">
        <f>VLOOKUP($B51,[1]Data_Aspire!$B$1:$CZ$600,26,FALSE)</f>
        <v>#N/A</v>
      </c>
      <c r="BJ51" s="7">
        <v>0</v>
      </c>
      <c r="BK51">
        <v>208</v>
      </c>
      <c r="BL51">
        <f>VLOOKUP($B51,'[1]Data_UN_PopulationTot.&amp;%'!$B$4:$CZ$603,8,FALSE)</f>
        <v>5792.2</v>
      </c>
      <c r="BM51">
        <f>VLOOKUP($B51,'[1]Data_UN_PopulationTot.&amp;%'!$B$4:$CZ$603,9,FALSE)</f>
        <v>5813.3</v>
      </c>
      <c r="BN51">
        <v>5834.95</v>
      </c>
      <c r="BO51">
        <f>VLOOKUP($B51,'[1]Data_UN_PopulationTot.&amp;%'!$B$4:$CZ$603,11,FALSE)</f>
        <v>5856.94</v>
      </c>
      <c r="BP51">
        <f>VLOOKUP($B51,'[1]Data_UN_PopulationTot.&amp;%'!$B$4:$CZ$603,12,FALSE)</f>
        <v>5878.88</v>
      </c>
      <c r="BQ51">
        <f>VLOOKUP($B51,'[1]Data_UN_PopulationTot.&amp;%'!$B$4:$CZ$603,13,FALSE)</f>
        <v>5900.5</v>
      </c>
      <c r="BR51">
        <f>VLOOKUP($B51,'[1]Data_UN_PopulationTot.&amp;%'!$B$4:$CZ$603,14,FALSE)</f>
        <v>5921.75</v>
      </c>
      <c r="BS51">
        <f>VLOOKUP($B51,'[1]Data_UN_PopulationTot.&amp;%'!$B$4:$CZ$603,15,FALSE)</f>
        <v>5942.67</v>
      </c>
      <c r="BT51">
        <f>VLOOKUP($B51,'[1]Data_UN_PopulationTot.&amp;%'!$B$4:$CZ$603,16,FALSE)</f>
        <v>5963.11</v>
      </c>
      <c r="BU51">
        <f>VLOOKUP($B51,'[1]Data_UN_PopulationTot.&amp;%'!$B$4:$CZ$603,17,FALSE)</f>
        <v>5982.9</v>
      </c>
      <c r="BV51">
        <f>VLOOKUP($B51,'[1]Data_UN_PopulationTot.&amp;%'!$B$4:$CZ$603,18,FALSE)</f>
        <v>6001.87</v>
      </c>
      <c r="BW51">
        <f>VLOOKUP($B51,'[1]Data_UN_PopulationTot.&amp;%'!$B$4:$CZ$603,61,FALSE)</f>
        <v>5.3277856427609542</v>
      </c>
      <c r="BX51">
        <f>VLOOKUP($B51,'[1]Data_UN_PopulationTot.&amp;%'!$B$4:$CZ$603,62,FALSE)</f>
        <v>5.1350609440281758</v>
      </c>
      <c r="BY51">
        <f>VLOOKUP($B51,'[1]Data_UN_PopulationTot.&amp;%'!$B$4:$CZ$603,63,FALSE)</f>
        <v>5.8189461689858781</v>
      </c>
      <c r="BZ51">
        <f>VLOOKUP($B51,'[1]Data_UN_PopulationTot.&amp;%'!$B$4:$CZ$603,64,FALSE)</f>
        <v>5.8510237906149651</v>
      </c>
      <c r="CA51">
        <f>VLOOKUP($B51,'[1]Data_UN_PopulationTot.&amp;%'!$B$4:$CZ$603,65,FALSE)</f>
        <v>6.4560270708884371</v>
      </c>
      <c r="CB51">
        <f>VLOOKUP($B51,'[1]Data_UN_PopulationTot.&amp;%'!$B$4:$CZ$603,66,FALSE)</f>
        <v>6.9406443147681367</v>
      </c>
      <c r="CC51">
        <f>VLOOKUP($B51,'[1]Data_UN_PopulationTot.&amp;%'!$B$4:$CZ$603,67,FALSE)</f>
        <v>6.1292082455716317</v>
      </c>
      <c r="CD51">
        <f>VLOOKUP($B51,'[1]Data_UN_PopulationTot.&amp;%'!$B$4:$CZ$603,68,FALSE)</f>
        <v>5.4776078174096199</v>
      </c>
      <c r="CE51">
        <f>VLOOKUP($B51,'[1]Data_UN_PopulationTot.&amp;%'!$B$4:$CZ$603,69,FALSE)</f>
        <v>6.231932599012465</v>
      </c>
      <c r="CF51">
        <f>VLOOKUP($B51,'[1]Data_UN_PopulationTot.&amp;%'!$B$4:$CZ$603,70,FALSE)</f>
        <v>6.5129139187182759</v>
      </c>
      <c r="CG51">
        <f>VLOOKUP($B51,'[1]Data_UN_PopulationTot.&amp;%'!$B$4:$CZ$603,71,FALSE)</f>
        <v>7.2810849072891131</v>
      </c>
      <c r="CH51">
        <f>VLOOKUP($B51,'[1]Data_UN_PopulationTot.&amp;%'!$B$4:$CZ$603,72,FALSE)</f>
        <v>6.7054141776872358</v>
      </c>
      <c r="CI51">
        <f>VLOOKUP($B51,'[1]Data_UN_PopulationTot.&amp;%'!$B$4:$CZ$603,73,FALSE)</f>
        <v>5.9684230516902037</v>
      </c>
      <c r="CJ51">
        <f>VLOOKUP($B51,'[1]Data_UN_PopulationTot.&amp;%'!$B$4:$CZ$603,74,FALSE)</f>
        <v>5.3317737647180694</v>
      </c>
      <c r="CK51">
        <f>VLOOKUP($B51,'[1]Data_UN_PopulationTot.&amp;%'!$B$4:$CZ$603,75,FALSE)</f>
        <v>6.0650702669106726</v>
      </c>
      <c r="CL51">
        <f>VLOOKUP($B51,'[1]Data_UN_PopulationTot.&amp;%'!$B$4:$CZ$603,76,FALSE)</f>
        <v>4.0543662166361658</v>
      </c>
      <c r="CM51">
        <f>VLOOKUP($B51,'[1]Data_UN_PopulationTot.&amp;%'!$B$4:$CZ$603,77,FALSE)</f>
        <v>2.5410379475846829</v>
      </c>
      <c r="CN51">
        <f>VLOOKUP($B51,'[1]Data_UN_PopulationTot.&amp;%'!$B$4:$CZ$603,78,FALSE)</f>
        <v>1.3490038327405822</v>
      </c>
      <c r="CO51">
        <f>VLOOKUP($B51,'[1]Data_UN_PopulationTot.&amp;%'!$B$4:$CZ$603,79,FALSE)</f>
        <v>0.62485756707296014</v>
      </c>
      <c r="CP51">
        <f>VLOOKUP($B51,'[1]Data_UN_PopulationTot.&amp;%'!$B$4:$CZ$603,80,FALSE)</f>
        <v>0.17497669279375713</v>
      </c>
      <c r="CQ51">
        <f>VLOOKUP($B51,'[1]Data_UN_PopulationTot.&amp;%'!$B$4:$CZ$603,81,FALSE)</f>
        <v>2.289285590967163E-2</v>
      </c>
      <c r="CR51">
        <f>VLOOKUP($B51,'[1]Data_UN_PopulationTot.&amp;%'!$B$4:$CZ$603,82,FALSE)</f>
        <v>5.6508388219005079</v>
      </c>
      <c r="CS51">
        <f>VLOOKUP($B51,'[1]Data_UN_PopulationTot.&amp;%'!$B$4:$CZ$603,83,FALSE)</f>
        <v>5.5078333919261828</v>
      </c>
      <c r="CT51">
        <f>VLOOKUP($B51,'[1]Data_UN_PopulationTot.&amp;%'!$B$4:$CZ$603,84,FALSE)</f>
        <v>5.2494639170791766</v>
      </c>
      <c r="CU51">
        <f>VLOOKUP($B51,'[1]Data_UN_PopulationTot.&amp;%'!$B$4:$CZ$603,85,FALSE)</f>
        <v>5.1715715268741249</v>
      </c>
      <c r="CV51">
        <f>VLOOKUP($B51,'[1]Data_UN_PopulationTot.&amp;%'!$B$4:$CZ$603,86,FALSE)</f>
        <v>5.9915326389941796</v>
      </c>
      <c r="CW51">
        <f>VLOOKUP($B51,'[1]Data_UN_PopulationTot.&amp;%'!$B$4:$CZ$603,87,FALSE)</f>
        <v>6.0990991141094364</v>
      </c>
      <c r="CX51">
        <f>VLOOKUP($B51,'[1]Data_UN_PopulationTot.&amp;%'!$B$4:$CZ$603,88,FALSE)</f>
        <v>6.6075906342523254</v>
      </c>
      <c r="CY51">
        <f>VLOOKUP($B51,'[1]Data_UN_PopulationTot.&amp;%'!$B$4:$CZ$603,89,FALSE)</f>
        <v>6.9354551164886953</v>
      </c>
      <c r="CZ51">
        <f>VLOOKUP($B51,'[1]Data_UN_PopulationTot.&amp;%'!$B$4:$CZ$603,90,FALSE)</f>
        <v>6.0538965355797441</v>
      </c>
      <c r="DA51">
        <f>VLOOKUP($B51,'[1]Data_UN_PopulationTot.&amp;%'!$B$4:$CZ$603,91,FALSE)</f>
        <v>5.3433179992235758</v>
      </c>
      <c r="DB51">
        <f>VLOOKUP($B51,'[1]Data_UN_PopulationTot.&amp;%'!$B$4:$CZ$603,92,FALSE)</f>
        <v>5.9506620436630593</v>
      </c>
      <c r="DC51">
        <f>VLOOKUP($B51,'[1]Data_UN_PopulationTot.&amp;%'!$B$4:$CZ$603,93,FALSE)</f>
        <v>6.1117784957021737</v>
      </c>
      <c r="DD51">
        <f>VLOOKUP($B51,'[1]Data_UN_PopulationTot.&amp;%'!$B$4:$CZ$603,94,FALSE)</f>
        <v>6.7229546791250057</v>
      </c>
      <c r="DE51">
        <f>VLOOKUP($B51,'[1]Data_UN_PopulationTot.&amp;%'!$B$4:$CZ$603,95,FALSE)</f>
        <v>6.0323199269560996</v>
      </c>
      <c r="DF51">
        <f>VLOOKUP($B51,'[1]Data_UN_PopulationTot.&amp;%'!$B$4:$CZ$603,96,FALSE)</f>
        <v>5.1186047015346885</v>
      </c>
      <c r="DG51">
        <f>VLOOKUP($B51,'[1]Data_UN_PopulationTot.&amp;%'!$B$4:$CZ$603,97,FALSE)</f>
        <v>4.2137533801965059</v>
      </c>
      <c r="DH51">
        <f>VLOOKUP($B51,'[1]Data_UN_PopulationTot.&amp;%'!$B$4:$CZ$603,98,FALSE)</f>
        <v>4.1006719572399941</v>
      </c>
      <c r="DI51">
        <f>VLOOKUP($B51,'[1]Data_UN_PopulationTot.&amp;%'!$B$4:$CZ$603,99,FALSE)</f>
        <v>2.0888656368765068</v>
      </c>
      <c r="DJ51">
        <f>VLOOKUP($B51,'[1]Data_UN_PopulationTot.&amp;%'!$B$4:$DE$603,100,FALSE)</f>
        <v>0.81816167294526543</v>
      </c>
      <c r="DK51">
        <f>VLOOKUP($B51,'[1]Data_UN_PopulationTot.&amp;%'!$B$4:$DE$603,101,FALSE)</f>
        <v>0.19932121155573179</v>
      </c>
      <c r="DL51">
        <f>VLOOKUP($B51,'[1]Data_UN_PopulationTot.&amp;%'!$B$4:$DE$603,102,FALSE)</f>
        <v>3.2273274829344861E-2</v>
      </c>
    </row>
    <row r="52" spans="1:116">
      <c r="A52" t="s">
        <v>207</v>
      </c>
      <c r="B52" t="s">
        <v>422</v>
      </c>
      <c r="C52" t="s">
        <v>497</v>
      </c>
      <c r="D52" t="s">
        <v>389</v>
      </c>
      <c r="E52" t="s">
        <v>301</v>
      </c>
      <c r="F52">
        <v>0</v>
      </c>
      <c r="G52">
        <v>0</v>
      </c>
      <c r="H52">
        <v>1</v>
      </c>
      <c r="I52">
        <v>0</v>
      </c>
      <c r="J52" s="18">
        <f t="shared" si="1"/>
        <v>632.26598204661593</v>
      </c>
      <c r="K52">
        <f>VLOOKUP($B52,'[1]Source GDP Current USD'!$B$1:$CZ$600,64,FALSE)</f>
        <v>78844702329.078506</v>
      </c>
      <c r="L52" s="45">
        <f>VLOOKUP($B52,'[1]Source GDP Current USD'!$B$1:$CZ$600,65,FALSE)</f>
        <v>78844702329.078506</v>
      </c>
      <c r="M52" s="17">
        <f>VLOOKUP($B52,'[1]Source GDP Current LCU'!$B$1:$CZ$600,64,FALSE)</f>
        <v>4456657376800</v>
      </c>
      <c r="N52" s="45">
        <v>4500000000000</v>
      </c>
      <c r="O52" s="45">
        <f>VLOOKUP($B52,'[1]Source GNI Current USD'!$B$1:$CZ$600,64,FALSE)</f>
        <v>74984131332.431107</v>
      </c>
      <c r="P52" s="45">
        <f>VLOOKUP($B52,'[1]Source GNI Current LCU'!$B$1:$CZ$600,64,FALSE)</f>
        <v>4238440531500</v>
      </c>
      <c r="Q52">
        <f t="shared" si="0"/>
        <v>105.1485173303298</v>
      </c>
      <c r="R52">
        <v>7260</v>
      </c>
      <c r="S52">
        <v>7260</v>
      </c>
      <c r="T52">
        <v>0.40523700000000001</v>
      </c>
      <c r="U52">
        <f>VLOOKUP($B52,'[1]Source PopulationTotal'!$B$1:$CZ$600,65,FALSE)</f>
        <v>10847904</v>
      </c>
      <c r="V52">
        <v>14.186999999999999</v>
      </c>
      <c r="W52">
        <f>VLOOKUP($B52,'[1]Source Gov. Revenue WEO'!$B$1:$CZ$600,5,FALSE)</f>
        <v>14.51</v>
      </c>
      <c r="X52">
        <f>VLOOKUP($B52,'[1]Source Gov. Revenue WEO'!$B$1:$CZ$600,6,FALSE)</f>
        <v>14.574999999999999</v>
      </c>
      <c r="Y52">
        <f>VLOOKUP($B52,'[1]Source Gov. Revenue WEO'!$B$1:$CZ$600,7,FALSE)</f>
        <v>14.234</v>
      </c>
      <c r="Z52">
        <f>VLOOKUP($B52,'[1]Source Gov. Revenue WEO'!$B$1:$CZ$600,8,FALSE)</f>
        <v>14.257999999999999</v>
      </c>
      <c r="AA52">
        <f>VLOOKUP($B52,'[1]Source Gov. Revenue WEO'!$B$1:$CZ$600,9,FALSE)</f>
        <v>14.257999999999999</v>
      </c>
      <c r="AB52">
        <f>VLOOKUP($B52,'[1]Source Gov. Revenue WEO'!$B$1:$CZ$600,10,FALSE)</f>
        <v>14.257999999999999</v>
      </c>
      <c r="AC52">
        <f>VLOOKUP($B52,[2]Summary!$B$1:$CZ$600,39,FALSE)</f>
        <v>4.3498520000000004E-3</v>
      </c>
      <c r="AD52">
        <f>VLOOKUP($B52,[2]Summary!$B$1:$CZ$600,40,FALSE)</f>
        <v>2.2500000000000003E-3</v>
      </c>
      <c r="AE52">
        <f>VLOOKUP($B52,[2]Summary!$B$1:$CZ$600,47,FALSE)</f>
        <v>0.21305692923634853</v>
      </c>
      <c r="AF52">
        <f>VLOOKUP($B52,'[1]CALC GDP Growth rates WDI'!$B$1:$CZ$600,27,FALSE)</f>
        <v>48.834742288016415</v>
      </c>
      <c r="AG52">
        <f>VLOOKUP($B52,'[1]CALC GDP Growth rates WDI'!$B$1:$CZ$600,29,FALSE)</f>
        <v>64.334926691831342</v>
      </c>
      <c r="AH52">
        <v>17.05</v>
      </c>
      <c r="AI52">
        <f>VLOOKUP($B52,'[1]CALC GDP Growth rates WDI'!$B$1:$CZ$600,30,FALSE)</f>
        <v>27.537456804337367</v>
      </c>
      <c r="AK52">
        <f>VLOOKUP($B52,[1]Data_Aspire!$B$1:$CZ$600,2,FALSE)</f>
        <v>2018</v>
      </c>
      <c r="AL52">
        <f>VLOOKUP($B52,[1]Data_Aspire!$B$1:$CZ$600,3,FALSE)</f>
        <v>1.59</v>
      </c>
      <c r="AM52">
        <f>VLOOKUP($B52,[1]Data_Aspire!$B$1:$CZ$600,4,FALSE)</f>
        <v>0.06</v>
      </c>
      <c r="AN52">
        <f>VLOOKUP($B52,[1]Data_Aspire!$B$1:$CZ$600,5,FALSE)</f>
        <v>0.12</v>
      </c>
      <c r="AO52">
        <f>VLOOKUP($B52,[1]Data_Aspire!$B$1:$CZ$600,6,FALSE)</f>
        <v>0</v>
      </c>
      <c r="AP52">
        <f>VLOOKUP($B52,[1]Data_Aspire!$B$1:$CZ$600,7,FALSE)</f>
        <v>0.52</v>
      </c>
      <c r="AR52">
        <f>VLOOKUP($B52,[1]Data_Aspire!$B$1:$CZ$600,9,FALSE)</f>
        <v>0.31</v>
      </c>
      <c r="AS52">
        <f>VLOOKUP($B52,[1]Data_Aspire!$B$1:$CZ$600,10,FALSE)</f>
        <v>0.38</v>
      </c>
      <c r="AT52">
        <f>VLOOKUP($B52,[1]Data_Aspire!$B$1:$CZ$600,11,FALSE)</f>
        <v>0.2</v>
      </c>
      <c r="AU52">
        <f>VLOOKUP($B52,[1]Data_Aspire!$B$1:$CZ$600,12,FALSE)</f>
        <v>1.22</v>
      </c>
      <c r="AV52">
        <f>VLOOKUP($B52,[1]Data_Aspire!$B$1:$CZ$600,13,FALSE)</f>
        <v>864542</v>
      </c>
      <c r="AW52">
        <f>VLOOKUP($B52,[1]Data_Aspire!$B$1:$CZ$600,14,FALSE)</f>
        <v>2018</v>
      </c>
      <c r="AZ52">
        <f>VLOOKUP($B52,[1]Data_Aspire!$B$1:$CZ$600,17,FALSE)</f>
        <v>86782</v>
      </c>
      <c r="BA52">
        <f>VLOOKUP($B52,[1]Data_Aspire!$B$1:$CZ$600,18,FALSE)</f>
        <v>2018</v>
      </c>
      <c r="BB52">
        <f>VLOOKUP($B52,[1]Data_Aspire!$B$1:$CZ$600,19,FALSE)</f>
        <v>295058.81</v>
      </c>
      <c r="BC52">
        <f>VLOOKUP($B52,[1]Data_Aspire!$B$1:$CZ$600,20,FALSE)</f>
        <v>2018</v>
      </c>
      <c r="BD52">
        <f>VLOOKUP($B52,[1]Data_Aspire!$B$1:$CZ$600,21,FALSE)</f>
        <v>1649760</v>
      </c>
      <c r="BE52">
        <f>VLOOKUP($B52,[1]Data_Aspire!$B$1:$CZ$600,22,FALSE)</f>
        <v>2018</v>
      </c>
      <c r="BJ52" s="7">
        <v>0</v>
      </c>
      <c r="BK52">
        <v>214</v>
      </c>
      <c r="BL52">
        <f>VLOOKUP($B52,'[1]Data_UN_PopulationTot.&amp;%'!$B$4:$CZ$603,8,FALSE)</f>
        <v>10847.9</v>
      </c>
      <c r="BM52">
        <f>VLOOKUP($B52,'[1]Data_UN_PopulationTot.&amp;%'!$B$4:$CZ$603,9,FALSE)</f>
        <v>10953.7</v>
      </c>
      <c r="BN52">
        <v>11056.4</v>
      </c>
      <c r="BO52">
        <f>VLOOKUP($B52,'[1]Data_UN_PopulationTot.&amp;%'!$B$4:$CZ$603,11,FALSE)</f>
        <v>11155.9</v>
      </c>
      <c r="BP52">
        <f>VLOOKUP($B52,'[1]Data_UN_PopulationTot.&amp;%'!$B$4:$CZ$603,12,FALSE)</f>
        <v>11252.5</v>
      </c>
      <c r="BQ52">
        <f>VLOOKUP($B52,'[1]Data_UN_PopulationTot.&amp;%'!$B$4:$CZ$603,13,FALSE)</f>
        <v>11346.2</v>
      </c>
      <c r="BR52">
        <f>VLOOKUP($B52,'[1]Data_UN_PopulationTot.&amp;%'!$B$4:$CZ$603,14,FALSE)</f>
        <v>11436.8</v>
      </c>
      <c r="BS52">
        <f>VLOOKUP($B52,'[1]Data_UN_PopulationTot.&amp;%'!$B$4:$CZ$603,15,FALSE)</f>
        <v>11524.5</v>
      </c>
      <c r="BT52">
        <f>VLOOKUP($B52,'[1]Data_UN_PopulationTot.&amp;%'!$B$4:$CZ$603,16,FALSE)</f>
        <v>11609.2</v>
      </c>
      <c r="BU52">
        <f>VLOOKUP($B52,'[1]Data_UN_PopulationTot.&amp;%'!$B$4:$CZ$603,17,FALSE)</f>
        <v>11691.1</v>
      </c>
      <c r="BV52">
        <f>VLOOKUP($B52,'[1]Data_UN_PopulationTot.&amp;%'!$B$4:$CZ$603,18,FALSE)</f>
        <v>11770.3</v>
      </c>
      <c r="BW52">
        <f>VLOOKUP($B52,'[1]Data_UN_PopulationTot.&amp;%'!$B$4:$CZ$603,61,FALSE)</f>
        <v>9.2444620617815438</v>
      </c>
      <c r="BX52">
        <f>VLOOKUP($B52,'[1]Data_UN_PopulationTot.&amp;%'!$B$4:$CZ$603,62,FALSE)</f>
        <v>9.1862849030687972</v>
      </c>
      <c r="BY52">
        <f>VLOOKUP($B52,'[1]Data_UN_PopulationTot.&amp;%'!$B$4:$CZ$603,63,FALSE)</f>
        <v>9.0086099613750132</v>
      </c>
      <c r="BZ52">
        <f>VLOOKUP($B52,'[1]Data_UN_PopulationTot.&amp;%'!$B$4:$CZ$603,64,FALSE)</f>
        <v>8.8370099281888663</v>
      </c>
      <c r="CA52">
        <f>VLOOKUP($B52,'[1]Data_UN_PopulationTot.&amp;%'!$B$4:$CZ$603,65,FALSE)</f>
        <v>8.6612431899261608</v>
      </c>
      <c r="CB52">
        <f>VLOOKUP($B52,'[1]Data_UN_PopulationTot.&amp;%'!$B$4:$CZ$603,66,FALSE)</f>
        <v>8.432544547792661</v>
      </c>
      <c r="CC52">
        <f>VLOOKUP($B52,'[1]Data_UN_PopulationTot.&amp;%'!$B$4:$CZ$603,67,FALSE)</f>
        <v>7.6104407304639601</v>
      </c>
      <c r="CD52">
        <f>VLOOKUP($B52,'[1]Data_UN_PopulationTot.&amp;%'!$B$4:$CZ$603,68,FALSE)</f>
        <v>6.8106177232459739</v>
      </c>
      <c r="CE52">
        <f>VLOOKUP($B52,'[1]Data_UN_PopulationTot.&amp;%'!$B$4:$CZ$603,69,FALSE)</f>
        <v>6.1602983065846848</v>
      </c>
      <c r="CF52">
        <f>VLOOKUP($B52,'[1]Data_UN_PopulationTot.&amp;%'!$B$4:$CZ$603,70,FALSE)</f>
        <v>5.5884180348270176</v>
      </c>
      <c r="CG52">
        <f>VLOOKUP($B52,'[1]Data_UN_PopulationTot.&amp;%'!$B$4:$CZ$603,71,FALSE)</f>
        <v>4.9911503608993444</v>
      </c>
      <c r="CH52">
        <f>VLOOKUP($B52,'[1]Data_UN_PopulationTot.&amp;%'!$B$4:$CZ$603,72,FALSE)</f>
        <v>4.3593690944791161</v>
      </c>
      <c r="CI52">
        <f>VLOOKUP($B52,'[1]Data_UN_PopulationTot.&amp;%'!$B$4:$CZ$603,73,FALSE)</f>
        <v>3.5819282994865373</v>
      </c>
      <c r="CJ52">
        <f>VLOOKUP($B52,'[1]Data_UN_PopulationTot.&amp;%'!$B$4:$CZ$603,74,FALSE)</f>
        <v>2.7062841655988716</v>
      </c>
      <c r="CK52">
        <f>VLOOKUP($B52,'[1]Data_UN_PopulationTot.&amp;%'!$B$4:$CZ$603,75,FALSE)</f>
        <v>1.8819310649987555</v>
      </c>
      <c r="CL52">
        <f>VLOOKUP($B52,'[1]Data_UN_PopulationTot.&amp;%'!$B$4:$CZ$603,76,FALSE)</f>
        <v>1.2661436775781487</v>
      </c>
      <c r="CM52">
        <f>VLOOKUP($B52,'[1]Data_UN_PopulationTot.&amp;%'!$B$4:$CZ$603,77,FALSE)</f>
        <v>0.87432590639662988</v>
      </c>
      <c r="CN52">
        <f>VLOOKUP($B52,'[1]Data_UN_PopulationTot.&amp;%'!$B$4:$CZ$603,78,FALSE)</f>
        <v>0.487716516560809</v>
      </c>
      <c r="CO52">
        <f>VLOOKUP($B52,'[1]Data_UN_PopulationTot.&amp;%'!$B$4:$CZ$603,79,FALSE)</f>
        <v>0.2149171729090423</v>
      </c>
      <c r="CP52">
        <f>VLOOKUP($B52,'[1]Data_UN_PopulationTot.&amp;%'!$B$4:$CZ$603,80,FALSE)</f>
        <v>7.4235566330810576E-2</v>
      </c>
      <c r="CQ52">
        <f>VLOOKUP($B52,'[1]Data_UN_PopulationTot.&amp;%'!$B$4:$CZ$603,81,FALSE)</f>
        <v>2.2114879377575385E-2</v>
      </c>
      <c r="CR52">
        <f>VLOOKUP($B52,'[1]Data_UN_PopulationTot.&amp;%'!$B$4:$CZ$603,82,FALSE)</f>
        <v>7.8353312999668665</v>
      </c>
      <c r="CS52">
        <f>VLOOKUP($B52,'[1]Data_UN_PopulationTot.&amp;%'!$B$4:$CZ$603,83,FALSE)</f>
        <v>8.1499112172162143</v>
      </c>
      <c r="CT52">
        <f>VLOOKUP($B52,'[1]Data_UN_PopulationTot.&amp;%'!$B$4:$CZ$603,84,FALSE)</f>
        <v>8.4244666661002707</v>
      </c>
      <c r="CU52">
        <f>VLOOKUP($B52,'[1]Data_UN_PopulationTot.&amp;%'!$B$4:$CZ$603,85,FALSE)</f>
        <v>8.2727033295667916</v>
      </c>
      <c r="CV52">
        <f>VLOOKUP($B52,'[1]Data_UN_PopulationTot.&amp;%'!$B$4:$CZ$603,86,FALSE)</f>
        <v>7.8641495968666906</v>
      </c>
      <c r="CW52">
        <f>VLOOKUP($B52,'[1]Data_UN_PopulationTot.&amp;%'!$B$4:$CZ$603,87,FALSE)</f>
        <v>7.567173309091527</v>
      </c>
      <c r="CX52">
        <f>VLOOKUP($B52,'[1]Data_UN_PopulationTot.&amp;%'!$B$4:$CZ$603,88,FALSE)</f>
        <v>7.4388588226298404</v>
      </c>
      <c r="CY52">
        <f>VLOOKUP($B52,'[1]Data_UN_PopulationTot.&amp;%'!$B$4:$CZ$603,89,FALSE)</f>
        <v>7.3137897929534512</v>
      </c>
      <c r="CZ52">
        <f>VLOOKUP($B52,'[1]Data_UN_PopulationTot.&amp;%'!$B$4:$CZ$603,90,FALSE)</f>
        <v>6.6385308785672423</v>
      </c>
      <c r="DA52">
        <f>VLOOKUP($B52,'[1]Data_UN_PopulationTot.&amp;%'!$B$4:$CZ$603,91,FALSE)</f>
        <v>5.9433829214208647</v>
      </c>
      <c r="DB52">
        <f>VLOOKUP($B52,'[1]Data_UN_PopulationTot.&amp;%'!$B$4:$CZ$603,92,FALSE)</f>
        <v>5.3479860326414794</v>
      </c>
      <c r="DC52">
        <f>VLOOKUP($B52,'[1]Data_UN_PopulationTot.&amp;%'!$B$4:$CZ$603,93,FALSE)</f>
        <v>4.7919424313738812</v>
      </c>
      <c r="DD52">
        <f>VLOOKUP($B52,'[1]Data_UN_PopulationTot.&amp;%'!$B$4:$CZ$603,94,FALSE)</f>
        <v>4.1767244675156965</v>
      </c>
      <c r="DE52">
        <f>VLOOKUP($B52,'[1]Data_UN_PopulationTot.&amp;%'!$B$4:$CZ$603,95,FALSE)</f>
        <v>3.4991376600426496</v>
      </c>
      <c r="DF52">
        <f>VLOOKUP($B52,'[1]Data_UN_PopulationTot.&amp;%'!$B$4:$CZ$603,96,FALSE)</f>
        <v>2.6943578328504798</v>
      </c>
      <c r="DG52">
        <f>VLOOKUP($B52,'[1]Data_UN_PopulationTot.&amp;%'!$B$4:$CZ$603,97,FALSE)</f>
        <v>1.8433939661690868</v>
      </c>
      <c r="DH52">
        <f>VLOOKUP($B52,'[1]Data_UN_PopulationTot.&amp;%'!$B$4:$CZ$603,98,FALSE)</f>
        <v>1.1048571404297256</v>
      </c>
      <c r="DI52">
        <f>VLOOKUP($B52,'[1]Data_UN_PopulationTot.&amp;%'!$B$4:$CZ$603,99,FALSE)</f>
        <v>0.60503130761322987</v>
      </c>
      <c r="DJ52">
        <f>VLOOKUP($B52,'[1]Data_UN_PopulationTot.&amp;%'!$B$4:$DE$603,100,FALSE)</f>
        <v>0.31875143369327885</v>
      </c>
      <c r="DK52">
        <f>VLOOKUP($B52,'[1]Data_UN_PopulationTot.&amp;%'!$B$4:$DE$603,101,FALSE)</f>
        <v>0.12634342370202969</v>
      </c>
      <c r="DL52">
        <f>VLOOKUP($B52,'[1]Data_UN_PopulationTot.&amp;%'!$B$4:$DE$603,102,FALSE)</f>
        <v>4.3312404951445588E-2</v>
      </c>
    </row>
    <row r="53" spans="1:116">
      <c r="A53" t="s">
        <v>164</v>
      </c>
      <c r="B53" t="s">
        <v>378</v>
      </c>
      <c r="C53" t="s">
        <v>487</v>
      </c>
      <c r="D53" t="s">
        <v>334</v>
      </c>
      <c r="E53" t="s">
        <v>300</v>
      </c>
      <c r="F53">
        <v>0</v>
      </c>
      <c r="G53">
        <v>1</v>
      </c>
      <c r="H53">
        <v>0</v>
      </c>
      <c r="I53">
        <v>0</v>
      </c>
      <c r="J53" s="18">
        <f t="shared" si="1"/>
        <v>5796.9636540000001</v>
      </c>
      <c r="K53">
        <f>VLOOKUP($B53,'[1]Source GDP Current USD'!$B$1:$CZ$600,64,FALSE)</f>
        <v>145009181490.62</v>
      </c>
      <c r="L53" s="45">
        <f>VLOOKUP($B53,'[1]Source GDP Current USD'!$B$1:$CZ$600,65,FALSE)</f>
        <v>145009181490.62</v>
      </c>
      <c r="M53" s="17">
        <f>VLOOKUP($B53,'[1]Source GDP Current LCU'!$B$1:$CZ$600,64,FALSE)</f>
        <v>18383800000000</v>
      </c>
      <c r="N53" s="45">
        <v>18000000000000</v>
      </c>
      <c r="O53" s="45">
        <f>VLOOKUP($B53,'[1]Source GNI Current USD'!$B$1:$CZ$600,64,FALSE)</f>
        <v>142064920395.53</v>
      </c>
      <c r="P53" s="45">
        <f>VLOOKUP($B53,'[1]Source GNI Current LCU'!$B$1:$CZ$600,64,FALSE)</f>
        <v>18010536000000</v>
      </c>
      <c r="Q53">
        <f t="shared" si="0"/>
        <v>102.07247579972079</v>
      </c>
      <c r="R53">
        <v>3570</v>
      </c>
      <c r="S53">
        <v>3570</v>
      </c>
      <c r="T53">
        <v>0.292016</v>
      </c>
      <c r="U53">
        <f>VLOOKUP($B53,'[1]Source PopulationTotal'!$B$1:$CZ$600,65,FALSE)</f>
        <v>43851043</v>
      </c>
      <c r="V53">
        <v>31.533000000000001</v>
      </c>
      <c r="W53">
        <f>VLOOKUP($B53,'[1]Source Gov. Revenue WEO'!$B$1:$CZ$600,5,FALSE)</f>
        <v>26.960999999999999</v>
      </c>
      <c r="X53">
        <f>VLOOKUP($B53,'[1]Source Gov. Revenue WEO'!$B$1:$CZ$600,6,FALSE)</f>
        <v>27.8</v>
      </c>
      <c r="Y53">
        <f>VLOOKUP($B53,'[1]Source Gov. Revenue WEO'!$B$1:$CZ$600,7,FALSE)</f>
        <v>27.725000000000001</v>
      </c>
      <c r="Z53">
        <f>VLOOKUP($B53,'[1]Source Gov. Revenue WEO'!$B$1:$CZ$600,8,FALSE)</f>
        <v>27.148</v>
      </c>
      <c r="AA53">
        <f>VLOOKUP($B53,'[1]Source Gov. Revenue WEO'!$B$1:$CZ$600,9,FALSE)</f>
        <v>26.707999999999998</v>
      </c>
      <c r="AB53">
        <f>VLOOKUP($B53,'[1]Source Gov. Revenue WEO'!$B$1:$CZ$600,10,FALSE)</f>
        <v>26.408000000000001</v>
      </c>
      <c r="AC53">
        <f>VLOOKUP($B53,[2]Summary!$B$1:$CZ$600,39,FALSE)</f>
        <v>3.301132E-3</v>
      </c>
      <c r="AD53">
        <f>VLOOKUP($B53,[2]Summary!$B$1:$CZ$600,40,FALSE)</f>
        <v>3.4999999999999996E-3</v>
      </c>
      <c r="AE53">
        <f>VLOOKUP($B53,[2]Summary!$B$1:$CZ$600,47,FALSE)</f>
        <v>0.36460451418781925</v>
      </c>
      <c r="AF53">
        <f>VLOOKUP($B53,'[1]CALC GDP Growth rates WDI'!$B$1:$CZ$600,27,FALSE)</f>
        <v>19.270495234510268</v>
      </c>
      <c r="AG53">
        <f>VLOOKUP($B53,'[1]CALC GDP Growth rates WDI'!$B$1:$CZ$600,29,FALSE)</f>
        <v>28.857292484200524</v>
      </c>
      <c r="AH53">
        <v>1.27</v>
      </c>
      <c r="AI53">
        <f>VLOOKUP($B53,'[1]CALC GDP Growth rates WDI'!$B$1:$CZ$600,30,FALSE)</f>
        <v>9.5526443058448152</v>
      </c>
      <c r="AJ53" s="45"/>
      <c r="AM53">
        <f>VLOOKUP($B53,[1]Data_Aspire!$B$1:$CZ$600,4,FALSE)</f>
        <v>0</v>
      </c>
      <c r="AN53">
        <f>VLOOKUP($B53,[1]Data_Aspire!$B$1:$CZ$600,5,FALSE)</f>
        <v>0</v>
      </c>
      <c r="AO53">
        <f>VLOOKUP($B53,[1]Data_Aspire!$B$1:$CZ$600,6,FALSE)</f>
        <v>0</v>
      </c>
      <c r="AP53">
        <f>VLOOKUP($B53,[1]Data_Aspire!$B$1:$CZ$600,7,FALSE)</f>
        <v>0</v>
      </c>
      <c r="AQ53">
        <f>VLOOKUP($B53,[1]Data_Aspire!$B$1:$CZ$600,8,FALSE)</f>
        <v>0</v>
      </c>
      <c r="AR53">
        <f>VLOOKUP($B53,[1]Data_Aspire!$B$1:$CZ$600,9,FALSE)</f>
        <v>0</v>
      </c>
      <c r="AS53">
        <f>VLOOKUP($B53,[1]Data_Aspire!$B$1:$CZ$600,10,FALSE)</f>
        <v>0</v>
      </c>
      <c r="AT53">
        <f>VLOOKUP($B53,[1]Data_Aspire!$B$1:$CZ$600,11,FALSE)</f>
        <v>0</v>
      </c>
      <c r="AU53">
        <f>VLOOKUP($B53,[1]Data_Aspire!$B$1:$CZ$600,12,FALSE)</f>
        <v>0</v>
      </c>
      <c r="AV53">
        <f>VLOOKUP($B53,[1]Data_Aspire!$B$1:$CZ$600,13,FALSE)</f>
        <v>0</v>
      </c>
      <c r="AW53">
        <f>VLOOKUP($B53,[1]Data_Aspire!$B$1:$CZ$600,14,FALSE)</f>
        <v>0</v>
      </c>
      <c r="AX53">
        <f>VLOOKUP($B53,[1]Data_Aspire!$B$1:$CZ$600,15,FALSE)</f>
        <v>0</v>
      </c>
      <c r="AY53">
        <f>VLOOKUP($B53,[1]Data_Aspire!$B$1:$CZ$600,16,FALSE)</f>
        <v>0</v>
      </c>
      <c r="AZ53">
        <f>VLOOKUP($B53,[1]Data_Aspire!$B$1:$CZ$600,17,FALSE)</f>
        <v>0</v>
      </c>
      <c r="BA53">
        <f>VLOOKUP($B53,[1]Data_Aspire!$B$1:$CZ$600,18,FALSE)</f>
        <v>0</v>
      </c>
      <c r="BB53">
        <f>VLOOKUP($B53,[1]Data_Aspire!$B$1:$CZ$600,19,FALSE)</f>
        <v>0</v>
      </c>
      <c r="BC53">
        <f>VLOOKUP($B53,[1]Data_Aspire!$B$1:$CZ$600,20,FALSE)</f>
        <v>0</v>
      </c>
      <c r="BD53">
        <f>VLOOKUP($B53,[1]Data_Aspire!$B$1:$CZ$600,21,FALSE)</f>
        <v>31000</v>
      </c>
      <c r="BE53">
        <f>VLOOKUP($B53,[1]Data_Aspire!$B$1:$CZ$600,22,FALSE)</f>
        <v>2011</v>
      </c>
      <c r="BF53">
        <f>VLOOKUP($B53,[1]Data_Aspire!$B$1:$CZ$600,23,FALSE)</f>
        <v>0</v>
      </c>
      <c r="BG53">
        <f>VLOOKUP($B53,[1]Data_Aspire!$B$1:$CZ$600,24,FALSE)</f>
        <v>0</v>
      </c>
      <c r="BH53">
        <f>VLOOKUP($B53,[1]Data_Aspire!$B$1:$CZ$600,25,FALSE)</f>
        <v>0</v>
      </c>
      <c r="BI53">
        <f>VLOOKUP($B53,[1]Data_Aspire!$B$1:$CZ$600,26,FALSE)</f>
        <v>0</v>
      </c>
      <c r="BJ53" s="7">
        <v>0</v>
      </c>
      <c r="BK53">
        <v>12</v>
      </c>
      <c r="BL53">
        <f>VLOOKUP($B53,'[1]Data_UN_PopulationTot.&amp;%'!$B$4:$CZ$603,8,FALSE)</f>
        <v>43851</v>
      </c>
      <c r="BM53">
        <f>VLOOKUP($B53,'[1]Data_UN_PopulationTot.&amp;%'!$B$4:$CZ$603,9,FALSE)</f>
        <v>44616.6</v>
      </c>
      <c r="BN53">
        <v>45350.1</v>
      </c>
      <c r="BO53">
        <f>VLOOKUP($B53,'[1]Data_UN_PopulationTot.&amp;%'!$B$4:$CZ$603,11,FALSE)</f>
        <v>46053.5</v>
      </c>
      <c r="BP53">
        <f>VLOOKUP($B53,'[1]Data_UN_PopulationTot.&amp;%'!$B$4:$CZ$603,12,FALSE)</f>
        <v>46731.4</v>
      </c>
      <c r="BQ53">
        <f>VLOOKUP($B53,'[1]Data_UN_PopulationTot.&amp;%'!$B$4:$CZ$603,13,FALSE)</f>
        <v>47387.6</v>
      </c>
      <c r="BR53">
        <f>VLOOKUP($B53,'[1]Data_UN_PopulationTot.&amp;%'!$B$4:$CZ$603,14,FALSE)</f>
        <v>48022.2</v>
      </c>
      <c r="BS53">
        <f>VLOOKUP($B53,'[1]Data_UN_PopulationTot.&amp;%'!$B$4:$CZ$603,15,FALSE)</f>
        <v>48634.2</v>
      </c>
      <c r="BT53">
        <f>VLOOKUP($B53,'[1]Data_UN_PopulationTot.&amp;%'!$B$4:$CZ$603,16,FALSE)</f>
        <v>49225.9</v>
      </c>
      <c r="BU53">
        <f>VLOOKUP($B53,'[1]Data_UN_PopulationTot.&amp;%'!$B$4:$CZ$603,17,FALSE)</f>
        <v>49800.5</v>
      </c>
      <c r="BV53">
        <f>VLOOKUP($B53,'[1]Data_UN_PopulationTot.&amp;%'!$B$4:$CZ$603,18,FALSE)</f>
        <v>50360.7</v>
      </c>
      <c r="BW53">
        <f>VLOOKUP($B53,'[1]Data_UN_PopulationTot.&amp;%'!$B$4:$CZ$603,61,FALSE)</f>
        <v>11.496932795147204</v>
      </c>
      <c r="BX53">
        <f>VLOOKUP($B53,'[1]Data_UN_PopulationTot.&amp;%'!$B$4:$CZ$603,62,FALSE)</f>
        <v>10.572096417413515</v>
      </c>
      <c r="BY53">
        <f>VLOOKUP($B53,'[1]Data_UN_PopulationTot.&amp;%'!$B$4:$CZ$603,63,FALSE)</f>
        <v>8.7145105014708903</v>
      </c>
      <c r="BZ53">
        <f>VLOOKUP($B53,'[1]Data_UN_PopulationTot.&amp;%'!$B$4:$CZ$603,64,FALSE)</f>
        <v>6.636883993523524</v>
      </c>
      <c r="CA53">
        <f>VLOOKUP($B53,'[1]Data_UN_PopulationTot.&amp;%'!$B$4:$CZ$603,65,FALSE)</f>
        <v>6.8409842420925404</v>
      </c>
      <c r="CB53">
        <f>VLOOKUP($B53,'[1]Data_UN_PopulationTot.&amp;%'!$B$4:$CZ$603,66,FALSE)</f>
        <v>8.15005359056806</v>
      </c>
      <c r="CC53">
        <f>VLOOKUP($B53,'[1]Data_UN_PopulationTot.&amp;%'!$B$4:$CZ$603,67,FALSE)</f>
        <v>8.5008779731363013</v>
      </c>
      <c r="CD53">
        <f>VLOOKUP($B53,'[1]Data_UN_PopulationTot.&amp;%'!$B$4:$CZ$603,68,FALSE)</f>
        <v>8.0899409363526491</v>
      </c>
      <c r="CE53">
        <f>VLOOKUP($B53,'[1]Data_UN_PopulationTot.&amp;%'!$B$4:$CZ$603,69,FALSE)</f>
        <v>6.8733438234019752</v>
      </c>
      <c r="CF53">
        <f>VLOOKUP($B53,'[1]Data_UN_PopulationTot.&amp;%'!$B$4:$CZ$603,70,FALSE)</f>
        <v>5.5519600465211747</v>
      </c>
      <c r="CG53">
        <f>VLOOKUP($B53,'[1]Data_UN_PopulationTot.&amp;%'!$B$4:$CZ$603,71,FALSE)</f>
        <v>4.7020136370892338</v>
      </c>
      <c r="CH53">
        <f>VLOOKUP($B53,'[1]Data_UN_PopulationTot.&amp;%'!$B$4:$CZ$603,72,FALSE)</f>
        <v>3.9638092631867003</v>
      </c>
      <c r="CI53">
        <f>VLOOKUP($B53,'[1]Data_UN_PopulationTot.&amp;%'!$B$4:$CZ$603,73,FALSE)</f>
        <v>3.1637590932931974</v>
      </c>
      <c r="CJ53">
        <f>VLOOKUP($B53,'[1]Data_UN_PopulationTot.&amp;%'!$B$4:$CZ$603,74,FALSE)</f>
        <v>2.6070101023921919</v>
      </c>
      <c r="CK53">
        <f>VLOOKUP($B53,'[1]Data_UN_PopulationTot.&amp;%'!$B$4:$CZ$603,75,FALSE)</f>
        <v>1.650904198307906</v>
      </c>
      <c r="CL53">
        <f>VLOOKUP($B53,'[1]Data_UN_PopulationTot.&amp;%'!$B$4:$CZ$603,76,FALSE)</f>
        <v>1.1719139814371393</v>
      </c>
      <c r="CM53">
        <f>VLOOKUP($B53,'[1]Data_UN_PopulationTot.&amp;%'!$B$4:$CZ$603,77,FALSE)</f>
        <v>0.78362409067068028</v>
      </c>
      <c r="CN53">
        <f>VLOOKUP($B53,'[1]Data_UN_PopulationTot.&amp;%'!$B$4:$CZ$603,78,FALSE)</f>
        <v>0.39006864153611093</v>
      </c>
      <c r="CO53">
        <f>VLOOKUP($B53,'[1]Data_UN_PopulationTot.&amp;%'!$B$4:$CZ$603,79,FALSE)</f>
        <v>0.11714670132950218</v>
      </c>
      <c r="CP53">
        <f>VLOOKUP($B53,'[1]Data_UN_PopulationTot.&amp;%'!$B$4:$CZ$603,80,FALSE)</f>
        <v>2.0058835602380788E-2</v>
      </c>
      <c r="CQ53">
        <f>VLOOKUP($B53,'[1]Data_UN_PopulationTot.&amp;%'!$B$4:$CZ$603,81,FALSE)</f>
        <v>2.1960730656085379E-3</v>
      </c>
      <c r="CR53">
        <f>VLOOKUP($B53,'[1]Data_UN_PopulationTot.&amp;%'!$B$4:$CZ$603,82,FALSE)</f>
        <v>8.227506766188716</v>
      </c>
      <c r="CS53">
        <f>VLOOKUP($B53,'[1]Data_UN_PopulationTot.&amp;%'!$B$4:$CZ$603,83,FALSE)</f>
        <v>9.0558312334816637</v>
      </c>
      <c r="CT53">
        <f>VLOOKUP($B53,'[1]Data_UN_PopulationTot.&amp;%'!$B$4:$CZ$603,84,FALSE)</f>
        <v>9.9580625368590976</v>
      </c>
      <c r="CU53">
        <f>VLOOKUP($B53,'[1]Data_UN_PopulationTot.&amp;%'!$B$4:$CZ$603,85,FALSE)</f>
        <v>9.1616875857563542</v>
      </c>
      <c r="CV53">
        <f>VLOOKUP($B53,'[1]Data_UN_PopulationTot.&amp;%'!$B$4:$CZ$603,86,FALSE)</f>
        <v>7.5295021713359818</v>
      </c>
      <c r="CW53">
        <f>VLOOKUP($B53,'[1]Data_UN_PopulationTot.&amp;%'!$B$4:$CZ$603,87,FALSE)</f>
        <v>5.7079031864132146</v>
      </c>
      <c r="CX53">
        <f>VLOOKUP($B53,'[1]Data_UN_PopulationTot.&amp;%'!$B$4:$CZ$603,88,FALSE)</f>
        <v>5.8757126092369649</v>
      </c>
      <c r="CY53">
        <f>VLOOKUP($B53,'[1]Data_UN_PopulationTot.&amp;%'!$B$4:$CZ$603,89,FALSE)</f>
        <v>7.0018486637397821</v>
      </c>
      <c r="CZ53">
        <f>VLOOKUP($B53,'[1]Data_UN_PopulationTot.&amp;%'!$B$4:$CZ$603,90,FALSE)</f>
        <v>7.2907048551747691</v>
      </c>
      <c r="DA53">
        <f>VLOOKUP($B53,'[1]Data_UN_PopulationTot.&amp;%'!$B$4:$CZ$603,91,FALSE)</f>
        <v>6.9097530415582007</v>
      </c>
      <c r="DB53">
        <f>VLOOKUP($B53,'[1]Data_UN_PopulationTot.&amp;%'!$B$4:$CZ$603,92,FALSE)</f>
        <v>5.8270039931931059</v>
      </c>
      <c r="DC53">
        <f>VLOOKUP($B53,'[1]Data_UN_PopulationTot.&amp;%'!$B$4:$CZ$603,93,FALSE)</f>
        <v>4.6499949365278885</v>
      </c>
      <c r="DD53">
        <f>VLOOKUP($B53,'[1]Data_UN_PopulationTot.&amp;%'!$B$4:$CZ$603,94,FALSE)</f>
        <v>3.860331568067958</v>
      </c>
      <c r="DE53">
        <f>VLOOKUP($B53,'[1]Data_UN_PopulationTot.&amp;%'!$B$4:$CZ$603,95,FALSE)</f>
        <v>3.1503732076797979</v>
      </c>
      <c r="DF53">
        <f>VLOOKUP($B53,'[1]Data_UN_PopulationTot.&amp;%'!$B$4:$CZ$603,96,FALSE)</f>
        <v>2.3826515517059934</v>
      </c>
      <c r="DG53">
        <f>VLOOKUP($B53,'[1]Data_UN_PopulationTot.&amp;%'!$B$4:$CZ$603,97,FALSE)</f>
        <v>1.7770245449328548</v>
      </c>
      <c r="DH53">
        <f>VLOOKUP($B53,'[1]Data_UN_PopulationTot.&amp;%'!$B$4:$CZ$603,98,FALSE)</f>
        <v>0.93117450710573924</v>
      </c>
      <c r="DI53">
        <f>VLOOKUP($B53,'[1]Data_UN_PopulationTot.&amp;%'!$B$4:$CZ$603,99,FALSE)</f>
        <v>0.47223330890952669</v>
      </c>
      <c r="DJ53">
        <f>VLOOKUP($B53,'[1]Data_UN_PopulationTot.&amp;%'!$B$4:$DE$603,100,FALSE)</f>
        <v>0.18392714954319539</v>
      </c>
      <c r="DK53">
        <f>VLOOKUP($B53,'[1]Data_UN_PopulationTot.&amp;%'!$B$4:$DE$603,101,FALSE)</f>
        <v>4.2280984974394718E-2</v>
      </c>
      <c r="DL53">
        <f>VLOOKUP($B53,'[1]Data_UN_PopulationTot.&amp;%'!$B$4:$DE$603,102,FALSE)</f>
        <v>4.5591105763025533E-3</v>
      </c>
    </row>
    <row r="54" spans="1:116">
      <c r="A54" t="s">
        <v>191</v>
      </c>
      <c r="B54" t="s">
        <v>406</v>
      </c>
      <c r="C54" t="s">
        <v>497</v>
      </c>
      <c r="D54" t="s">
        <v>389</v>
      </c>
      <c r="E54" t="s">
        <v>301</v>
      </c>
      <c r="F54">
        <v>0</v>
      </c>
      <c r="G54">
        <v>0</v>
      </c>
      <c r="H54">
        <v>1</v>
      </c>
      <c r="I54">
        <v>0</v>
      </c>
      <c r="J54" s="18">
        <f t="shared" si="1"/>
        <v>29.408228016300001</v>
      </c>
      <c r="K54">
        <f>VLOOKUP($B54,'[1]Source GDP Current USD'!$B$1:$CZ$600,64,FALSE)</f>
        <v>98808010000</v>
      </c>
      <c r="L54" s="45">
        <f>VLOOKUP($B54,'[1]Source GDP Current USD'!$B$1:$CZ$600,65,FALSE)</f>
        <v>98808010000</v>
      </c>
      <c r="M54" s="17">
        <f>VLOOKUP($B54,'[1]Source GDP Current LCU'!$B$1:$CZ$600,64,FALSE)</f>
        <v>98808010000</v>
      </c>
      <c r="N54" s="45">
        <v>99000000000</v>
      </c>
      <c r="O54" s="45">
        <f>VLOOKUP($B54,'[1]Source GNI Current USD'!$B$1:$CZ$600,64,FALSE)</f>
        <v>95983572000</v>
      </c>
      <c r="P54" s="45">
        <f>VLOOKUP($B54,'[1]Source GNI Current LCU'!$B$1:$CZ$600,64,FALSE)</f>
        <v>95983572000</v>
      </c>
      <c r="Q54">
        <f t="shared" si="0"/>
        <v>102.94262647362196</v>
      </c>
      <c r="R54">
        <v>5530</v>
      </c>
      <c r="S54">
        <v>5530</v>
      </c>
      <c r="T54">
        <v>0.51399700000000004</v>
      </c>
      <c r="U54">
        <f>VLOOKUP($B54,'[1]Source PopulationTotal'!$B$1:$CZ$600,65,FALSE)</f>
        <v>17643060</v>
      </c>
      <c r="V54">
        <v>29.763000000000002</v>
      </c>
      <c r="W54">
        <f>VLOOKUP($B54,'[1]Source Gov. Revenue WEO'!$B$1:$CZ$600,5,FALSE)</f>
        <v>33.200000000000003</v>
      </c>
      <c r="X54">
        <f>VLOOKUP($B54,'[1]Source Gov. Revenue WEO'!$B$1:$CZ$600,6,FALSE)</f>
        <v>33.847000000000001</v>
      </c>
      <c r="Y54">
        <f>VLOOKUP($B54,'[1]Source Gov. Revenue WEO'!$B$1:$CZ$600,7,FALSE)</f>
        <v>33.768000000000001</v>
      </c>
      <c r="Z54">
        <f>VLOOKUP($B54,'[1]Source Gov. Revenue WEO'!$B$1:$CZ$600,8,FALSE)</f>
        <v>33.268000000000001</v>
      </c>
      <c r="AA54">
        <f>VLOOKUP($B54,'[1]Source Gov. Revenue WEO'!$B$1:$CZ$600,9,FALSE)</f>
        <v>32.814999999999998</v>
      </c>
      <c r="AB54">
        <f>VLOOKUP($B54,'[1]Source Gov. Revenue WEO'!$B$1:$CZ$600,10,FALSE)</f>
        <v>32.506999999999998</v>
      </c>
      <c r="AC54">
        <f>VLOOKUP($B54,[2]Summary!$B$1:$CZ$600,39,FALSE)</f>
        <v>3.3114910000000004E-2</v>
      </c>
      <c r="AD54">
        <f>VLOOKUP($B54,[2]Summary!$B$1:$CZ$600,40,FALSE)</f>
        <v>3.5499999999999997E-2</v>
      </c>
      <c r="AE54">
        <f>VLOOKUP($B54,[2]Summary!$B$1:$CZ$600,47,FALSE)</f>
        <v>0.2</v>
      </c>
      <c r="AF54">
        <f>VLOOKUP($B54,'[1]CALC GDP Growth rates WDI'!$B$1:$CZ$600,27,FALSE)</f>
        <v>17.399522724920683</v>
      </c>
      <c r="AG54">
        <f>VLOOKUP($B54,'[1]CALC GDP Growth rates WDI'!$B$1:$CZ$600,29,FALSE)</f>
        <v>31.603196068353956</v>
      </c>
      <c r="AH54">
        <v>-5.51</v>
      </c>
      <c r="AI54">
        <f>VLOOKUP($B54,'[1]CALC GDP Growth rates WDI'!$B$1:$CZ$600,30,FALSE)</f>
        <v>2.4168722135791576</v>
      </c>
      <c r="AK54">
        <f>VLOOKUP($B54,[1]Data_Aspire!$B$1:$CZ$600,2,FALSE)</f>
        <v>2015</v>
      </c>
      <c r="AL54">
        <f>VLOOKUP($B54,[1]Data_Aspire!$B$1:$CZ$600,3,FALSE)</f>
        <v>1.5</v>
      </c>
      <c r="AM54">
        <f>VLOOKUP($B54,[1]Data_Aspire!$B$1:$CZ$600,4,FALSE)</f>
        <v>0.26</v>
      </c>
      <c r="AN54">
        <f>VLOOKUP($B54,[1]Data_Aspire!$B$1:$CZ$600,5,FALSE)</f>
        <v>0.23</v>
      </c>
      <c r="AO54">
        <f>VLOOKUP($B54,[1]Data_Aspire!$B$1:$CZ$600,6,FALSE)</f>
        <v>0.47</v>
      </c>
      <c r="AP54">
        <f>VLOOKUP($B54,[1]Data_Aspire!$B$1:$CZ$600,7,FALSE)</f>
        <v>0.21</v>
      </c>
      <c r="AQ54">
        <f>VLOOKUP($B54,[1]Data_Aspire!$B$1:$CZ$600,8,FALSE)</f>
        <v>0</v>
      </c>
      <c r="AR54">
        <f>VLOOKUP($B54,[1]Data_Aspire!$B$1:$CZ$600,9,FALSE)</f>
        <v>0.09</v>
      </c>
      <c r="AS54">
        <f>VLOOKUP($B54,[1]Data_Aspire!$B$1:$CZ$600,10,FALSE)</f>
        <v>7.0000000000000007E-2</v>
      </c>
      <c r="AT54">
        <f>VLOOKUP($B54,[1]Data_Aspire!$B$1:$CZ$600,11,FALSE)</f>
        <v>0.17</v>
      </c>
      <c r="AU54">
        <f>VLOOKUP($B54,[1]Data_Aspire!$B$1:$CZ$600,12,FALSE)</f>
        <v>1.47</v>
      </c>
      <c r="AV54">
        <f>VLOOKUP($B54,[1]Data_Aspire!$B$1:$CZ$600,13,FALSE)</f>
        <v>1640434</v>
      </c>
      <c r="AW54">
        <f>VLOOKUP($B54,[1]Data_Aspire!$B$1:$CZ$600,14,FALSE)</f>
        <v>2014</v>
      </c>
      <c r="AX54">
        <f>VLOOKUP($B54,[1]Data_Aspire!$B$1:$CZ$600,15,FALSE)</f>
        <v>0</v>
      </c>
      <c r="AY54">
        <f>VLOOKUP($B54,[1]Data_Aspire!$B$1:$CZ$600,16,FALSE)</f>
        <v>0</v>
      </c>
      <c r="AZ54">
        <f>VLOOKUP($B54,[1]Data_Aspire!$B$1:$CZ$600,17,FALSE)</f>
        <v>3015199</v>
      </c>
      <c r="BA54">
        <f>VLOOKUP($B54,[1]Data_Aspire!$B$1:$CZ$600,18,FALSE)</f>
        <v>2010</v>
      </c>
      <c r="BB54">
        <f>VLOOKUP($B54,[1]Data_Aspire!$B$1:$CZ$600,19,FALSE)</f>
        <v>0</v>
      </c>
      <c r="BC54">
        <f>VLOOKUP($B54,[1]Data_Aspire!$B$1:$CZ$600,20,FALSE)</f>
        <v>0</v>
      </c>
      <c r="BD54">
        <f>VLOOKUP($B54,[1]Data_Aspire!$B$1:$CZ$600,21,FALSE)</f>
        <v>293303</v>
      </c>
      <c r="BE54">
        <f>VLOOKUP($B54,[1]Data_Aspire!$B$1:$CZ$600,22,FALSE)</f>
        <v>2014</v>
      </c>
      <c r="BF54">
        <f>VLOOKUP($B54,[1]Data_Aspire!$B$1:$CZ$600,23,FALSE)</f>
        <v>1222</v>
      </c>
      <c r="BG54">
        <f>VLOOKUP($B54,[1]Data_Aspire!$B$1:$CZ$600,24,FALSE)</f>
        <v>2013</v>
      </c>
      <c r="BH54">
        <f>VLOOKUP($B54,[1]Data_Aspire!$B$1:$CZ$600,25,FALSE)</f>
        <v>6206416</v>
      </c>
      <c r="BI54">
        <f>VLOOKUP($B54,[1]Data_Aspire!$B$1:$CZ$600,26,FALSE)</f>
        <v>2015</v>
      </c>
      <c r="BJ54" s="7">
        <v>0</v>
      </c>
      <c r="BK54">
        <v>218</v>
      </c>
      <c r="BL54">
        <f>VLOOKUP($B54,'[1]Data_UN_PopulationTot.&amp;%'!$B$4:$CZ$603,8,FALSE)</f>
        <v>17643.099999999999</v>
      </c>
      <c r="BM54">
        <f>VLOOKUP($B54,'[1]Data_UN_PopulationTot.&amp;%'!$B$4:$CZ$603,9,FALSE)</f>
        <v>17888.5</v>
      </c>
      <c r="BN54">
        <v>18113.400000000001</v>
      </c>
      <c r="BO54">
        <f>VLOOKUP($B54,'[1]Data_UN_PopulationTot.&amp;%'!$B$4:$CZ$603,11,FALSE)</f>
        <v>18324.2</v>
      </c>
      <c r="BP54">
        <f>VLOOKUP($B54,'[1]Data_UN_PopulationTot.&amp;%'!$B$4:$CZ$603,12,FALSE)</f>
        <v>18530.8</v>
      </c>
      <c r="BQ54">
        <f>VLOOKUP($B54,'[1]Data_UN_PopulationTot.&amp;%'!$B$4:$CZ$603,13,FALSE)</f>
        <v>18740.5</v>
      </c>
      <c r="BR54">
        <f>VLOOKUP($B54,'[1]Data_UN_PopulationTot.&amp;%'!$B$4:$CZ$603,14,FALSE)</f>
        <v>18955.099999999999</v>
      </c>
      <c r="BS54">
        <f>VLOOKUP($B54,'[1]Data_UN_PopulationTot.&amp;%'!$B$4:$CZ$603,15,FALSE)</f>
        <v>19172</v>
      </c>
      <c r="BT54">
        <f>VLOOKUP($B54,'[1]Data_UN_PopulationTot.&amp;%'!$B$4:$CZ$603,16,FALSE)</f>
        <v>19390</v>
      </c>
      <c r="BU54">
        <f>VLOOKUP($B54,'[1]Data_UN_PopulationTot.&amp;%'!$B$4:$CZ$603,17,FALSE)</f>
        <v>19606.2</v>
      </c>
      <c r="BV54">
        <f>VLOOKUP($B54,'[1]Data_UN_PopulationTot.&amp;%'!$B$4:$CZ$603,18,FALSE)</f>
        <v>19818.8</v>
      </c>
      <c r="BW54">
        <f>VLOOKUP($B54,'[1]Data_UN_PopulationTot.&amp;%'!$B$4:$CZ$603,61,FALSE)</f>
        <v>9.4489630507110434</v>
      </c>
      <c r="BX54">
        <f>VLOOKUP($B54,'[1]Data_UN_PopulationTot.&amp;%'!$B$4:$CZ$603,62,FALSE)</f>
        <v>9.1290079407813831</v>
      </c>
      <c r="BY54">
        <f>VLOOKUP($B54,'[1]Data_UN_PopulationTot.&amp;%'!$B$4:$CZ$603,63,FALSE)</f>
        <v>8.813927257681474</v>
      </c>
      <c r="BZ54">
        <f>VLOOKUP($B54,'[1]Data_UN_PopulationTot.&amp;%'!$B$4:$CZ$603,64,FALSE)</f>
        <v>8.8473114135271018</v>
      </c>
      <c r="CA54">
        <f>VLOOKUP($B54,'[1]Data_UN_PopulationTot.&amp;%'!$B$4:$CZ$603,65,FALSE)</f>
        <v>8.8789951879204914</v>
      </c>
      <c r="CB54">
        <f>VLOOKUP($B54,'[1]Data_UN_PopulationTot.&amp;%'!$B$4:$CZ$603,66,FALSE)</f>
        <v>8.3298853376107385</v>
      </c>
      <c r="CC54">
        <f>VLOOKUP($B54,'[1]Data_UN_PopulationTot.&amp;%'!$B$4:$CZ$603,67,FALSE)</f>
        <v>7.7262499220658514</v>
      </c>
      <c r="CD54">
        <f>VLOOKUP($B54,'[1]Data_UN_PopulationTot.&amp;%'!$B$4:$CZ$603,68,FALSE)</f>
        <v>6.9698068933464086</v>
      </c>
      <c r="CE54">
        <f>VLOOKUP($B54,'[1]Data_UN_PopulationTot.&amp;%'!$B$4:$CZ$603,69,FALSE)</f>
        <v>6.2291774121327883</v>
      </c>
      <c r="CF54">
        <f>VLOOKUP($B54,'[1]Data_UN_PopulationTot.&amp;%'!$B$4:$CZ$603,70,FALSE)</f>
        <v>5.6068604723659679</v>
      </c>
      <c r="CG54">
        <f>VLOOKUP($B54,'[1]Data_UN_PopulationTot.&amp;%'!$B$4:$CZ$603,71,FALSE)</f>
        <v>4.8988216356535981</v>
      </c>
      <c r="CH54">
        <f>VLOOKUP($B54,'[1]Data_UN_PopulationTot.&amp;%'!$B$4:$CZ$603,72,FALSE)</f>
        <v>4.1196558427940673</v>
      </c>
      <c r="CI54">
        <f>VLOOKUP($B54,'[1]Data_UN_PopulationTot.&amp;%'!$B$4:$CZ$603,73,FALSE)</f>
        <v>3.4100243154547676</v>
      </c>
      <c r="CJ54">
        <f>VLOOKUP($B54,'[1]Data_UN_PopulationTot.&amp;%'!$B$4:$CZ$603,74,FALSE)</f>
        <v>2.7552074181974824</v>
      </c>
      <c r="CK54">
        <f>VLOOKUP($B54,'[1]Data_UN_PopulationTot.&amp;%'!$B$4:$CZ$603,75,FALSE)</f>
        <v>1.8594804767869593</v>
      </c>
      <c r="CL54">
        <f>VLOOKUP($B54,'[1]Data_UN_PopulationTot.&amp;%'!$B$4:$CZ$603,76,FALSE)</f>
        <v>1.3719471068009592</v>
      </c>
      <c r="CM54">
        <f>VLOOKUP($B54,'[1]Data_UN_PopulationTot.&amp;%'!$B$4:$CZ$603,77,FALSE)</f>
        <v>0.86300026639309424</v>
      </c>
      <c r="CN54">
        <f>VLOOKUP($B54,'[1]Data_UN_PopulationTot.&amp;%'!$B$4:$CZ$603,78,FALSE)</f>
        <v>0.4669530864757328</v>
      </c>
      <c r="CO54">
        <f>VLOOKUP($B54,'[1]Data_UN_PopulationTot.&amp;%'!$B$4:$CZ$603,79,FALSE)</f>
        <v>0.19881426733397189</v>
      </c>
      <c r="CP54">
        <f>VLOOKUP($B54,'[1]Data_UN_PopulationTot.&amp;%'!$B$4:$CZ$603,80,FALSE)</f>
        <v>6.1474457436618286E-2</v>
      </c>
      <c r="CQ54">
        <f>VLOOKUP($B54,'[1]Data_UN_PopulationTot.&amp;%'!$B$4:$CZ$603,81,FALSE)</f>
        <v>1.4220856878893165E-2</v>
      </c>
      <c r="CR54">
        <f>VLOOKUP($B54,'[1]Data_UN_PopulationTot.&amp;%'!$B$4:$CZ$603,82,FALSE)</f>
        <v>8.1869235271560346</v>
      </c>
      <c r="CS54">
        <f>VLOOKUP($B54,'[1]Data_UN_PopulationTot.&amp;%'!$B$4:$CZ$603,83,FALSE)</f>
        <v>8.3317355238460458</v>
      </c>
      <c r="CT54">
        <f>VLOOKUP($B54,'[1]Data_UN_PopulationTot.&amp;%'!$B$4:$CZ$603,84,FALSE)</f>
        <v>8.3539366661957342</v>
      </c>
      <c r="CU54">
        <f>VLOOKUP($B54,'[1]Data_UN_PopulationTot.&amp;%'!$B$4:$CZ$603,85,FALSE)</f>
        <v>8.0670878156094208</v>
      </c>
      <c r="CV54">
        <f>VLOOKUP($B54,'[1]Data_UN_PopulationTot.&amp;%'!$B$4:$CZ$603,86,FALSE)</f>
        <v>7.762175308293136</v>
      </c>
      <c r="CW54">
        <f>VLOOKUP($B54,'[1]Data_UN_PopulationTot.&amp;%'!$B$4:$CZ$603,87,FALSE)</f>
        <v>7.6844208529275235</v>
      </c>
      <c r="CX54">
        <f>VLOOKUP($B54,'[1]Data_UN_PopulationTot.&amp;%'!$B$4:$CZ$603,88,FALSE)</f>
        <v>7.6224594829152128</v>
      </c>
      <c r="CY54">
        <f>VLOOKUP($B54,'[1]Data_UN_PopulationTot.&amp;%'!$B$4:$CZ$603,89,FALSE)</f>
        <v>7.1435707510040967</v>
      </c>
      <c r="CZ54">
        <f>VLOOKUP($B54,'[1]Data_UN_PopulationTot.&amp;%'!$B$4:$CZ$603,90,FALSE)</f>
        <v>6.6361232768886111</v>
      </c>
      <c r="DA54">
        <f>VLOOKUP($B54,'[1]Data_UN_PopulationTot.&amp;%'!$B$4:$CZ$603,91,FALSE)</f>
        <v>5.9829555775324446</v>
      </c>
      <c r="DB54">
        <f>VLOOKUP($B54,'[1]Data_UN_PopulationTot.&amp;%'!$B$4:$CZ$603,92,FALSE)</f>
        <v>5.3210083355198092</v>
      </c>
      <c r="DC54">
        <f>VLOOKUP($B54,'[1]Data_UN_PopulationTot.&amp;%'!$B$4:$CZ$603,93,FALSE)</f>
        <v>4.7391769431045274</v>
      </c>
      <c r="DD54">
        <f>VLOOKUP($B54,'[1]Data_UN_PopulationTot.&amp;%'!$B$4:$CZ$603,94,FALSE)</f>
        <v>4.0695400326962279</v>
      </c>
      <c r="DE54">
        <f>VLOOKUP($B54,'[1]Data_UN_PopulationTot.&amp;%'!$B$4:$CZ$603,95,FALSE)</f>
        <v>3.3328758552485516</v>
      </c>
      <c r="DF54">
        <f>VLOOKUP($B54,'[1]Data_UN_PopulationTot.&amp;%'!$B$4:$CZ$603,96,FALSE)</f>
        <v>2.6363351968837669</v>
      </c>
      <c r="DG54">
        <f>VLOOKUP($B54,'[1]Data_UN_PopulationTot.&amp;%'!$B$4:$CZ$603,97,FALSE)</f>
        <v>1.9532716410680768</v>
      </c>
      <c r="DH54">
        <f>VLOOKUP($B54,'[1]Data_UN_PopulationTot.&amp;%'!$B$4:$CZ$603,98,FALSE)</f>
        <v>1.1341857226471836</v>
      </c>
      <c r="DI54">
        <f>VLOOKUP($B54,'[1]Data_UN_PopulationTot.&amp;%'!$B$4:$CZ$603,99,FALSE)</f>
        <v>0.65041778513330772</v>
      </c>
      <c r="DJ54">
        <f>VLOOKUP($B54,'[1]Data_UN_PopulationTot.&amp;%'!$B$4:$DE$603,100,FALSE)</f>
        <v>0.27980503360445641</v>
      </c>
      <c r="DK54">
        <f>VLOOKUP($B54,'[1]Data_UN_PopulationTot.&amp;%'!$B$4:$DE$603,101,FALSE)</f>
        <v>9.0520112216683157E-2</v>
      </c>
      <c r="DL54">
        <f>VLOOKUP($B54,'[1]Data_UN_PopulationTot.&amp;%'!$B$4:$DE$603,102,FALSE)</f>
        <v>2.1444285224130624E-2</v>
      </c>
    </row>
    <row r="55" spans="1:116">
      <c r="A55" t="s">
        <v>160</v>
      </c>
      <c r="B55" t="s">
        <v>374</v>
      </c>
      <c r="C55" t="s">
        <v>487</v>
      </c>
      <c r="D55" t="s">
        <v>334</v>
      </c>
      <c r="E55" t="s">
        <v>300</v>
      </c>
      <c r="F55">
        <v>0</v>
      </c>
      <c r="G55">
        <v>1</v>
      </c>
      <c r="H55">
        <v>0</v>
      </c>
      <c r="I55">
        <v>0</v>
      </c>
      <c r="J55" s="18">
        <f t="shared" si="1"/>
        <v>1123.8087</v>
      </c>
      <c r="K55">
        <f>VLOOKUP($B55,'[1]Source GDP Current USD'!$B$1:$CZ$600,64,FALSE)</f>
        <v>365252651278.85199</v>
      </c>
      <c r="L55" s="45">
        <f>VLOOKUP($B55,'[1]Source GDP Current USD'!$B$1:$CZ$600,65,FALSE)</f>
        <v>365252651278.85199</v>
      </c>
      <c r="M55" s="17">
        <f>VLOOKUP($B55,'[1]Source GDP Current LCU'!$B$1:$CZ$600,64,FALSE)</f>
        <v>5855000000000</v>
      </c>
      <c r="N55" s="45">
        <v>5900000000000</v>
      </c>
      <c r="O55" s="45">
        <f>VLOOKUP($B55,'[1]Source GNI Current USD'!$B$1:$CZ$600,64,FALSE)</f>
        <v>353898651278.85199</v>
      </c>
      <c r="P55" s="45">
        <f>VLOOKUP($B55,'[1]Source GNI Current LCU'!$B$1:$CZ$600,64,FALSE)</f>
        <v>5672995380000</v>
      </c>
      <c r="Q55">
        <f t="shared" si="0"/>
        <v>103.20826314510414</v>
      </c>
      <c r="R55">
        <v>3000</v>
      </c>
      <c r="S55">
        <v>3000</v>
      </c>
      <c r="T55">
        <v>0.283113</v>
      </c>
      <c r="U55">
        <f>VLOOKUP($B55,'[1]Source PopulationTotal'!$B$1:$CZ$600,65,FALSE)</f>
        <v>102334403</v>
      </c>
      <c r="V55">
        <v>19.193999999999999</v>
      </c>
      <c r="W55">
        <f>VLOOKUP($B55,'[1]Source Gov. Revenue WEO'!$B$1:$CZ$600,5,FALSE)</f>
        <v>19.902999999999999</v>
      </c>
      <c r="X55">
        <f>VLOOKUP($B55,'[1]Source Gov. Revenue WEO'!$B$1:$CZ$600,6,FALSE)</f>
        <v>21.023</v>
      </c>
      <c r="Y55">
        <f>VLOOKUP($B55,'[1]Source Gov. Revenue WEO'!$B$1:$CZ$600,7,FALSE)</f>
        <v>21.196000000000002</v>
      </c>
      <c r="Z55">
        <f>VLOOKUP($B55,'[1]Source Gov. Revenue WEO'!$B$1:$CZ$600,8,FALSE)</f>
        <v>21.36</v>
      </c>
      <c r="AA55">
        <f>VLOOKUP($B55,'[1]Source Gov. Revenue WEO'!$B$1:$CZ$600,9,FALSE)</f>
        <v>21.57</v>
      </c>
      <c r="AB55">
        <f>VLOOKUP($B55,'[1]Source Gov. Revenue WEO'!$B$1:$CZ$600,10,FALSE)</f>
        <v>21.643999999999998</v>
      </c>
      <c r="AC55">
        <f>VLOOKUP($B55,[2]Summary!$B$1:$CZ$600,39,FALSE)</f>
        <v>3.2477880000000001E-2</v>
      </c>
      <c r="AD55">
        <f>VLOOKUP($B55,[2]Summary!$B$1:$CZ$600,40,FALSE)</f>
        <v>2.5000000000000001E-2</v>
      </c>
      <c r="AE55">
        <f>VLOOKUP($B55,[2]Summary!$B$1:$CZ$600,47,FALSE)</f>
        <v>0.2251084650639654</v>
      </c>
      <c r="AF55">
        <f>VLOOKUP($B55,'[1]CALC GDP Growth rates WDI'!$B$1:$CZ$600,27,FALSE)</f>
        <v>42.919518664052013</v>
      </c>
      <c r="AG55">
        <f>VLOOKUP($B55,'[1]CALC GDP Growth rates WDI'!$B$1:$CZ$600,29,FALSE)</f>
        <v>38.103868388123544</v>
      </c>
      <c r="AH55">
        <v>25.14</v>
      </c>
      <c r="AI55">
        <f>VLOOKUP($B55,'[1]CALC GDP Growth rates WDI'!$B$1:$CZ$600,30,FALSE)</f>
        <v>20.054240439379601</v>
      </c>
      <c r="AK55">
        <f>VLOOKUP($B55,[1]Data_Aspire!$B$1:$CZ$600,2,FALSE)</f>
        <v>2018</v>
      </c>
      <c r="AL55">
        <f>VLOOKUP($B55,[1]Data_Aspire!$B$1:$CZ$600,3,FALSE)</f>
        <v>3.51</v>
      </c>
      <c r="AM55">
        <f>VLOOKUP($B55,[1]Data_Aspire!$B$1:$CZ$600,4,FALSE)</f>
        <v>0.41</v>
      </c>
      <c r="AN55">
        <f>VLOOKUP($B55,[1]Data_Aspire!$B$1:$CZ$600,5,FALSE)</f>
        <v>0.14000000000000001</v>
      </c>
      <c r="AO55">
        <f>VLOOKUP($B55,[1]Data_Aspire!$B$1:$CZ$600,6,FALSE)</f>
        <v>0.45</v>
      </c>
      <c r="AP55">
        <f>VLOOKUP($B55,[1]Data_Aspire!$B$1:$CZ$600,7,FALSE)</f>
        <v>0</v>
      </c>
      <c r="AQ55">
        <f>VLOOKUP($B55,[1]Data_Aspire!$B$1:$CZ$600,8,FALSE)</f>
        <v>0</v>
      </c>
      <c r="AR55">
        <f>VLOOKUP($B55,[1]Data_Aspire!$B$1:$CZ$600,9,FALSE)</f>
        <v>1.7</v>
      </c>
      <c r="AS55">
        <f>VLOOKUP($B55,[1]Data_Aspire!$B$1:$CZ$600,10,FALSE)</f>
        <v>0.79</v>
      </c>
      <c r="AT55">
        <f>VLOOKUP($B55,[1]Data_Aspire!$B$1:$CZ$600,11,FALSE)</f>
        <v>0.02</v>
      </c>
      <c r="AU55">
        <f>VLOOKUP($B55,[1]Data_Aspire!$B$1:$CZ$600,12,FALSE)</f>
        <v>3.51</v>
      </c>
      <c r="AV55">
        <f>VLOOKUP($B55,[1]Data_Aspire!$B$1:$CZ$600,13,FALSE)</f>
        <v>8347320</v>
      </c>
      <c r="AW55">
        <f>VLOOKUP($B55,[1]Data_Aspire!$B$1:$CZ$600,14,FALSE)</f>
        <v>2017</v>
      </c>
      <c r="AX55">
        <f>VLOOKUP($B55,[1]Data_Aspire!$B$1:$CZ$600,15,FALSE)</f>
        <v>0</v>
      </c>
      <c r="AY55">
        <f>VLOOKUP($B55,[1]Data_Aspire!$B$1:$CZ$600,16,FALSE)</f>
        <v>0</v>
      </c>
      <c r="AZ55">
        <f>VLOOKUP($B55,[1]Data_Aspire!$B$1:$CZ$600,17,FALSE)</f>
        <v>7000000</v>
      </c>
      <c r="BA55">
        <f>VLOOKUP($B55,[1]Data_Aspire!$B$1:$CZ$600,18,FALSE)</f>
        <v>2014</v>
      </c>
      <c r="BB55">
        <f>VLOOKUP($B55,[1]Data_Aspire!$B$1:$CZ$600,19,FALSE)</f>
        <v>70000000</v>
      </c>
      <c r="BC55">
        <f>VLOOKUP($B55,[1]Data_Aspire!$B$1:$CZ$600,20,FALSE)</f>
        <v>2015</v>
      </c>
      <c r="BD55">
        <f>VLOOKUP($B55,[1]Data_Aspire!$B$1:$CZ$600,21,FALSE)</f>
        <v>13500000</v>
      </c>
      <c r="BE55">
        <f>VLOOKUP($B55,[1]Data_Aspire!$B$1:$CZ$600,22,FALSE)</f>
        <v>2016</v>
      </c>
      <c r="BF55">
        <f>VLOOKUP($B55,[1]Data_Aspire!$B$1:$CZ$600,23,FALSE)</f>
        <v>38308</v>
      </c>
      <c r="BG55">
        <f>VLOOKUP($B55,[1]Data_Aspire!$B$1:$CZ$600,24,FALSE)</f>
        <v>2014</v>
      </c>
      <c r="BH55">
        <f>VLOOKUP($B55,[1]Data_Aspire!$B$1:$CZ$600,25,FALSE)</f>
        <v>0</v>
      </c>
      <c r="BI55">
        <f>VLOOKUP($B55,[1]Data_Aspire!$B$1:$CZ$600,26,FALSE)</f>
        <v>0</v>
      </c>
      <c r="BJ55" s="7">
        <v>0</v>
      </c>
      <c r="BK55">
        <v>818</v>
      </c>
      <c r="BL55">
        <f>VLOOKUP($B55,'[1]Data_UN_PopulationTot.&amp;%'!$B$4:$CZ$603,8,FALSE)</f>
        <v>102334</v>
      </c>
      <c r="BM55">
        <f>VLOOKUP($B55,'[1]Data_UN_PopulationTot.&amp;%'!$B$4:$CZ$603,9,FALSE)</f>
        <v>104258</v>
      </c>
      <c r="BN55">
        <v>106157</v>
      </c>
      <c r="BO55">
        <f>VLOOKUP($B55,'[1]Data_UN_PopulationTot.&amp;%'!$B$4:$CZ$603,11,FALSE)</f>
        <v>108032</v>
      </c>
      <c r="BP55">
        <f>VLOOKUP($B55,'[1]Data_UN_PopulationTot.&amp;%'!$B$4:$CZ$603,12,FALSE)</f>
        <v>109887</v>
      </c>
      <c r="BQ55">
        <f>VLOOKUP($B55,'[1]Data_UN_PopulationTot.&amp;%'!$B$4:$CZ$603,13,FALSE)</f>
        <v>111728</v>
      </c>
      <c r="BR55">
        <f>VLOOKUP($B55,'[1]Data_UN_PopulationTot.&amp;%'!$B$4:$CZ$603,14,FALSE)</f>
        <v>113554</v>
      </c>
      <c r="BS55">
        <f>VLOOKUP($B55,'[1]Data_UN_PopulationTot.&amp;%'!$B$4:$CZ$603,15,FALSE)</f>
        <v>115367</v>
      </c>
      <c r="BT55">
        <f>VLOOKUP($B55,'[1]Data_UN_PopulationTot.&amp;%'!$B$4:$CZ$603,16,FALSE)</f>
        <v>117176</v>
      </c>
      <c r="BU55">
        <f>VLOOKUP($B55,'[1]Data_UN_PopulationTot.&amp;%'!$B$4:$CZ$603,17,FALSE)</f>
        <v>118995</v>
      </c>
      <c r="BV55">
        <f>VLOOKUP($B55,'[1]Data_UN_PopulationTot.&amp;%'!$B$4:$CZ$603,18,FALSE)</f>
        <v>120832</v>
      </c>
      <c r="BW55">
        <f>VLOOKUP($B55,'[1]Data_UN_PopulationTot.&amp;%'!$B$4:$CZ$603,61,FALSE)</f>
        <v>12.407606465104463</v>
      </c>
      <c r="BX55">
        <f>VLOOKUP($B55,'[1]Data_UN_PopulationTot.&amp;%'!$B$4:$CZ$603,62,FALSE)</f>
        <v>12.050051791193543</v>
      </c>
      <c r="BY55">
        <f>VLOOKUP($B55,'[1]Data_UN_PopulationTot.&amp;%'!$B$4:$CZ$603,63,FALSE)</f>
        <v>9.4634627787441126</v>
      </c>
      <c r="BZ55">
        <f>VLOOKUP($B55,'[1]Data_UN_PopulationTot.&amp;%'!$B$4:$CZ$603,64,FALSE)</f>
        <v>8.5026384192936852</v>
      </c>
      <c r="CA55">
        <f>VLOOKUP($B55,'[1]Data_UN_PopulationTot.&amp;%'!$B$4:$CZ$603,65,FALSE)</f>
        <v>8.2246272011257258</v>
      </c>
      <c r="CB55">
        <f>VLOOKUP($B55,'[1]Data_UN_PopulationTot.&amp;%'!$B$4:$CZ$603,66,FALSE)</f>
        <v>7.9099224109289183</v>
      </c>
      <c r="CC55">
        <f>VLOOKUP($B55,'[1]Data_UN_PopulationTot.&amp;%'!$B$4:$CZ$603,67,FALSE)</f>
        <v>7.8812222721676077</v>
      </c>
      <c r="CD55">
        <f>VLOOKUP($B55,'[1]Data_UN_PopulationTot.&amp;%'!$B$4:$CZ$603,68,FALSE)</f>
        <v>6.9704790196806528</v>
      </c>
      <c r="CE55">
        <f>VLOOKUP($B55,'[1]Data_UN_PopulationTot.&amp;%'!$B$4:$CZ$603,69,FALSE)</f>
        <v>5.9027302753727984</v>
      </c>
      <c r="CF55">
        <f>VLOOKUP($B55,'[1]Data_UN_PopulationTot.&amp;%'!$B$4:$CZ$603,70,FALSE)</f>
        <v>4.79615767975453</v>
      </c>
      <c r="CG55">
        <f>VLOOKUP($B55,'[1]Data_UN_PopulationTot.&amp;%'!$B$4:$CZ$603,71,FALSE)</f>
        <v>4.1171360447163208</v>
      </c>
      <c r="CH55">
        <f>VLOOKUP($B55,'[1]Data_UN_PopulationTot.&amp;%'!$B$4:$CZ$603,72,FALSE)</f>
        <v>3.548830300779799</v>
      </c>
      <c r="CI55">
        <f>VLOOKUP($B55,'[1]Data_UN_PopulationTot.&amp;%'!$B$4:$CZ$603,73,FALSE)</f>
        <v>2.8937694216975784</v>
      </c>
      <c r="CJ55">
        <f>VLOOKUP($B55,'[1]Data_UN_PopulationTot.&amp;%'!$B$4:$CZ$603,74,FALSE)</f>
        <v>2.1120448726718393</v>
      </c>
      <c r="CK55">
        <f>VLOOKUP($B55,'[1]Data_UN_PopulationTot.&amp;%'!$B$4:$CZ$603,75,FALSE)</f>
        <v>1.6276310903512028</v>
      </c>
      <c r="CL55">
        <f>VLOOKUP($B55,'[1]Data_UN_PopulationTot.&amp;%'!$B$4:$CZ$603,76,FALSE)</f>
        <v>0.84562413274180626</v>
      </c>
      <c r="CM55">
        <f>VLOOKUP($B55,'[1]Data_UN_PopulationTot.&amp;%'!$B$4:$CZ$603,77,FALSE)</f>
        <v>0.47293763558543594</v>
      </c>
      <c r="CN55">
        <f>VLOOKUP($B55,'[1]Data_UN_PopulationTot.&amp;%'!$B$4:$CZ$603,78,FALSE)</f>
        <v>0.20481462661481034</v>
      </c>
      <c r="CO55">
        <f>VLOOKUP($B55,'[1]Data_UN_PopulationTot.&amp;%'!$B$4:$CZ$603,79,FALSE)</f>
        <v>5.7654347528680587E-2</v>
      </c>
      <c r="CP55">
        <f>VLOOKUP($B55,'[1]Data_UN_PopulationTot.&amp;%'!$B$4:$CZ$603,80,FALSE)</f>
        <v>1.0049445931948326E-2</v>
      </c>
      <c r="CQ55">
        <f>VLOOKUP($B55,'[1]Data_UN_PopulationTot.&amp;%'!$B$4:$CZ$603,81,FALSE)</f>
        <v>9.4494498407176491E-4</v>
      </c>
      <c r="CR55">
        <f>VLOOKUP($B55,'[1]Data_UN_PopulationTot.&amp;%'!$B$4:$CZ$603,82,FALSE)</f>
        <v>10.316803495762713</v>
      </c>
      <c r="CS55">
        <f>VLOOKUP($B55,'[1]Data_UN_PopulationTot.&amp;%'!$B$4:$CZ$603,83,FALSE)</f>
        <v>10.273768538135593</v>
      </c>
      <c r="CT55">
        <f>VLOOKUP($B55,'[1]Data_UN_PopulationTot.&amp;%'!$B$4:$CZ$603,84,FALSE)</f>
        <v>10.449632547669491</v>
      </c>
      <c r="CU55">
        <f>VLOOKUP($B55,'[1]Data_UN_PopulationTot.&amp;%'!$B$4:$CZ$603,85,FALSE)</f>
        <v>10.157160354872882</v>
      </c>
      <c r="CV55">
        <f>VLOOKUP($B55,'[1]Data_UN_PopulationTot.&amp;%'!$B$4:$CZ$603,86,FALSE)</f>
        <v>7.9434917902542379</v>
      </c>
      <c r="CW55">
        <f>VLOOKUP($B55,'[1]Data_UN_PopulationTot.&amp;%'!$B$4:$CZ$603,87,FALSE)</f>
        <v>7.0989638506355925</v>
      </c>
      <c r="CX55">
        <f>VLOOKUP($B55,'[1]Data_UN_PopulationTot.&amp;%'!$B$4:$CZ$603,88,FALSE)</f>
        <v>6.8499569650423737</v>
      </c>
      <c r="CY55">
        <f>VLOOKUP($B55,'[1]Data_UN_PopulationTot.&amp;%'!$B$4:$CZ$603,89,FALSE)</f>
        <v>6.5831733315677958</v>
      </c>
      <c r="CZ55">
        <f>VLOOKUP($B55,'[1]Data_UN_PopulationTot.&amp;%'!$B$4:$CZ$603,90,FALSE)</f>
        <v>6.5519150556144075</v>
      </c>
      <c r="DA55">
        <f>VLOOKUP($B55,'[1]Data_UN_PopulationTot.&amp;%'!$B$4:$CZ$603,91,FALSE)</f>
        <v>5.7517545021186436</v>
      </c>
      <c r="DB55">
        <f>VLOOKUP($B55,'[1]Data_UN_PopulationTot.&amp;%'!$B$4:$CZ$603,92,FALSE)</f>
        <v>4.7725188691737284</v>
      </c>
      <c r="DC55">
        <f>VLOOKUP($B55,'[1]Data_UN_PopulationTot.&amp;%'!$B$4:$CZ$603,93,FALSE)</f>
        <v>3.7624635858050848</v>
      </c>
      <c r="DD55">
        <f>VLOOKUP($B55,'[1]Data_UN_PopulationTot.&amp;%'!$B$4:$CZ$603,94,FALSE)</f>
        <v>3.1064535884533897</v>
      </c>
      <c r="DE55">
        <f>VLOOKUP($B55,'[1]Data_UN_PopulationTot.&amp;%'!$B$4:$CZ$603,95,FALSE)</f>
        <v>2.508259401483051</v>
      </c>
      <c r="DF55">
        <f>VLOOKUP($B55,'[1]Data_UN_PopulationTot.&amp;%'!$B$4:$CZ$603,96,FALSE)</f>
        <v>1.8324119438559321</v>
      </c>
      <c r="DG55">
        <f>VLOOKUP($B55,'[1]Data_UN_PopulationTot.&amp;%'!$B$4:$CZ$603,97,FALSE)</f>
        <v>1.1109143273305084</v>
      </c>
      <c r="DH55">
        <f>VLOOKUP($B55,'[1]Data_UN_PopulationTot.&amp;%'!$B$4:$CZ$603,98,FALSE)</f>
        <v>0.63674440545550848</v>
      </c>
      <c r="DI55">
        <f>VLOOKUP($B55,'[1]Data_UN_PopulationTot.&amp;%'!$B$4:$CZ$603,99,FALSE)</f>
        <v>0.213768703654661</v>
      </c>
      <c r="DJ55">
        <f>VLOOKUP($B55,'[1]Data_UN_PopulationTot.&amp;%'!$B$4:$DE$603,100,FALSE)</f>
        <v>6.5308858580508486E-2</v>
      </c>
      <c r="DK55">
        <f>VLOOKUP($B55,'[1]Data_UN_PopulationTot.&amp;%'!$B$4:$DE$603,101,FALSE)</f>
        <v>1.2879038665254236E-2</v>
      </c>
      <c r="DL55">
        <f>VLOOKUP($B55,'[1]Data_UN_PopulationTot.&amp;%'!$B$4:$DE$603,102,FALSE)</f>
        <v>1.2836003707627117E-3</v>
      </c>
    </row>
    <row r="56" spans="1:116">
      <c r="A56" t="s">
        <v>102</v>
      </c>
      <c r="B56" t="s">
        <v>315</v>
      </c>
      <c r="C56" t="s">
        <v>496</v>
      </c>
      <c r="D56" t="s">
        <v>306</v>
      </c>
      <c r="E56" t="s">
        <v>299</v>
      </c>
      <c r="F56">
        <v>1</v>
      </c>
      <c r="G56">
        <v>0</v>
      </c>
      <c r="H56">
        <v>0</v>
      </c>
      <c r="I56">
        <v>0</v>
      </c>
      <c r="J56" s="18" t="e">
        <f t="shared" si="1"/>
        <v>#VALUE!</v>
      </c>
      <c r="K56" t="str">
        <f>VLOOKUP($B56,'[1]Source GDP Current USD'!$B$1:$CZ$600,64,FALSE)</f>
        <v>..</v>
      </c>
      <c r="L56" s="45" t="str">
        <f>VLOOKUP($B56,'[1]Source GDP Current USD'!$B$1:$CZ$600,65,FALSE)</f>
        <v/>
      </c>
      <c r="M56" s="17" t="str">
        <f>VLOOKUP($B56,'[1]Source GDP Current LCU'!$B$1:$CZ$600,64,FALSE)</f>
        <v>..</v>
      </c>
      <c r="O56" s="45" t="str">
        <f>VLOOKUP($B56,'[1]Source GNI Current USD'!$B$1:$CZ$600,64,FALSE)</f>
        <v>..</v>
      </c>
      <c r="P56" s="45" t="str">
        <f>VLOOKUP($B56,'[1]Source GNI Current LCU'!$B$1:$CZ$600,64,FALSE)</f>
        <v>..</v>
      </c>
      <c r="Q56" t="e">
        <f t="shared" si="0"/>
        <v>#VALUE!</v>
      </c>
      <c r="T56">
        <v>0.362846</v>
      </c>
      <c r="V56">
        <v>31.364000000000001</v>
      </c>
      <c r="W56">
        <f>VLOOKUP($B56,'[1]Source Gov. Revenue WEO'!$B$1:$CZ$600,5,FALSE)</f>
        <v>32.073</v>
      </c>
      <c r="X56">
        <f>VLOOKUP($B56,'[1]Source Gov. Revenue WEO'!$B$1:$CZ$600,6,FALSE)</f>
        <v>34.436999999999998</v>
      </c>
      <c r="Y56">
        <f>VLOOKUP($B56,'[1]Source Gov. Revenue WEO'!$B$1:$CZ$600,7,FALSE)</f>
        <v>34.374000000000002</v>
      </c>
      <c r="Z56">
        <f>VLOOKUP($B56,'[1]Source Gov. Revenue WEO'!$B$1:$CZ$600,8,FALSE)</f>
        <v>34.356999999999999</v>
      </c>
      <c r="AA56">
        <f>VLOOKUP($B56,'[1]Source Gov. Revenue WEO'!$B$1:$CZ$600,9,FALSE)</f>
        <v>34.323</v>
      </c>
      <c r="AB56">
        <f>VLOOKUP($B56,'[1]Source Gov. Revenue WEO'!$B$1:$CZ$600,10,FALSE)</f>
        <v>34.286999999999999</v>
      </c>
      <c r="AC56">
        <f>VLOOKUP($B56,[2]Summary!$B$1:$CZ$600,39,FALSE)</f>
        <v>0.72</v>
      </c>
      <c r="AD56">
        <f>VLOOKUP($B56,[2]Summary!$B$1:$CZ$600,40,FALSE)</f>
        <v>0.57999999999999996</v>
      </c>
      <c r="AE56">
        <f>VLOOKUP($B56,[2]Summary!$B$1:$CZ$600,47,FALSE)</f>
        <v>0.16046947082767979</v>
      </c>
      <c r="AF56" t="e">
        <f>VLOOKUP($B56,'[1]CALC GDP Growth rates WDI'!$B$1:$CZ$600,27,FALSE)</f>
        <v>#VALUE!</v>
      </c>
      <c r="AG56" t="e">
        <f>VLOOKUP($B56,'[1]CALC GDP Growth rates WDI'!$B$1:$CZ$600,29,FALSE)</f>
        <v>#VALUE!</v>
      </c>
      <c r="AI56" t="e">
        <f>VLOOKUP($B56,'[1]CALC GDP Growth rates WDI'!$B$1:$CZ$600,30,FALSE)</f>
        <v>#VALUE!</v>
      </c>
      <c r="AJ56" t="s">
        <v>2468</v>
      </c>
      <c r="AK56" t="e">
        <f>VLOOKUP($B56,[1]Data_Aspire!$B$1:$CZ$600,2,FALSE)</f>
        <v>#N/A</v>
      </c>
      <c r="AL56" t="e">
        <f>VLOOKUP($B56,[1]Data_Aspire!$B$1:$CZ$600,3,FALSE)</f>
        <v>#N/A</v>
      </c>
      <c r="AM56" t="e">
        <f>VLOOKUP($B56,[1]Data_Aspire!$B$1:$CZ$600,4,FALSE)</f>
        <v>#N/A</v>
      </c>
      <c r="AN56" t="e">
        <f>VLOOKUP($B56,[1]Data_Aspire!$B$1:$CZ$600,5,FALSE)</f>
        <v>#N/A</v>
      </c>
      <c r="AO56" t="e">
        <f>VLOOKUP($B56,[1]Data_Aspire!$B$1:$CZ$600,6,FALSE)</f>
        <v>#N/A</v>
      </c>
      <c r="AP56" t="e">
        <f>VLOOKUP($B56,[1]Data_Aspire!$B$1:$CZ$600,7,FALSE)</f>
        <v>#N/A</v>
      </c>
      <c r="AQ56" t="e">
        <f>VLOOKUP($B56,[1]Data_Aspire!$B$1:$CZ$600,8,FALSE)</f>
        <v>#N/A</v>
      </c>
      <c r="AR56" t="e">
        <f>VLOOKUP($B56,[1]Data_Aspire!$B$1:$CZ$600,9,FALSE)</f>
        <v>#N/A</v>
      </c>
      <c r="AS56" t="e">
        <f>VLOOKUP($B56,[1]Data_Aspire!$B$1:$CZ$600,10,FALSE)</f>
        <v>#N/A</v>
      </c>
      <c r="AT56" t="e">
        <f>VLOOKUP($B56,[1]Data_Aspire!$B$1:$CZ$600,11,FALSE)</f>
        <v>#N/A</v>
      </c>
      <c r="AU56" t="e">
        <f>VLOOKUP($B56,[1]Data_Aspire!$B$1:$CZ$600,12,FALSE)</f>
        <v>#N/A</v>
      </c>
      <c r="AV56" t="e">
        <f>VLOOKUP($B56,[1]Data_Aspire!$B$1:$CZ$600,13,FALSE)</f>
        <v>#N/A</v>
      </c>
      <c r="AW56" t="e">
        <f>VLOOKUP($B56,[1]Data_Aspire!$B$1:$CZ$600,14,FALSE)</f>
        <v>#N/A</v>
      </c>
      <c r="AX56" t="e">
        <f>VLOOKUP($B56,[1]Data_Aspire!$B$1:$CZ$600,15,FALSE)</f>
        <v>#N/A</v>
      </c>
      <c r="AY56" t="e">
        <f>VLOOKUP($B56,[1]Data_Aspire!$B$1:$CZ$600,16,FALSE)</f>
        <v>#N/A</v>
      </c>
      <c r="AZ56" t="e">
        <f>VLOOKUP($B56,[1]Data_Aspire!$B$1:$CZ$600,17,FALSE)</f>
        <v>#N/A</v>
      </c>
      <c r="BA56" t="e">
        <f>VLOOKUP($B56,[1]Data_Aspire!$B$1:$CZ$600,18,FALSE)</f>
        <v>#N/A</v>
      </c>
      <c r="BB56" t="e">
        <f>VLOOKUP($B56,[1]Data_Aspire!$B$1:$CZ$600,19,FALSE)</f>
        <v>#N/A</v>
      </c>
      <c r="BC56" t="e">
        <f>VLOOKUP($B56,[1]Data_Aspire!$B$1:$CZ$600,20,FALSE)</f>
        <v>#N/A</v>
      </c>
      <c r="BD56" t="e">
        <f>VLOOKUP($B56,[1]Data_Aspire!$B$1:$CZ$600,21,FALSE)</f>
        <v>#N/A</v>
      </c>
      <c r="BE56" t="e">
        <f>VLOOKUP($B56,[1]Data_Aspire!$B$1:$CZ$600,22,FALSE)</f>
        <v>#N/A</v>
      </c>
      <c r="BF56" t="e">
        <f>VLOOKUP($B56,[1]Data_Aspire!$B$1:$CZ$600,23,FALSE)</f>
        <v>#N/A</v>
      </c>
      <c r="BG56" t="e">
        <f>VLOOKUP($B56,[1]Data_Aspire!$B$1:$CZ$600,24,FALSE)</f>
        <v>#N/A</v>
      </c>
      <c r="BH56" t="e">
        <f>VLOOKUP($B56,[1]Data_Aspire!$B$1:$CZ$600,25,FALSE)</f>
        <v>#N/A</v>
      </c>
      <c r="BI56" t="e">
        <f>VLOOKUP($B56,[1]Data_Aspire!$B$1:$CZ$600,26,FALSE)</f>
        <v>#N/A</v>
      </c>
      <c r="BJ56" s="7">
        <v>1</v>
      </c>
      <c r="BK56">
        <v>232</v>
      </c>
      <c r="BL56">
        <f>VLOOKUP($B56,'[1]Data_UN_PopulationTot.&amp;%'!$B$4:$CZ$603,8,FALSE)</f>
        <v>3546.43</v>
      </c>
      <c r="BM56">
        <f>VLOOKUP($B56,'[1]Data_UN_PopulationTot.&amp;%'!$B$4:$CZ$603,9,FALSE)</f>
        <v>3601.46</v>
      </c>
      <c r="BN56">
        <v>3662.25</v>
      </c>
      <c r="BO56">
        <f>VLOOKUP($B56,'[1]Data_UN_PopulationTot.&amp;%'!$B$4:$CZ$603,11,FALSE)</f>
        <v>3727.66</v>
      </c>
      <c r="BP56">
        <f>VLOOKUP($B56,'[1]Data_UN_PopulationTot.&amp;%'!$B$4:$CZ$603,12,FALSE)</f>
        <v>3795.98</v>
      </c>
      <c r="BQ56">
        <f>VLOOKUP($B56,'[1]Data_UN_PopulationTot.&amp;%'!$B$4:$CZ$603,13,FALSE)</f>
        <v>3865.96</v>
      </c>
      <c r="BR56">
        <f>VLOOKUP($B56,'[1]Data_UN_PopulationTot.&amp;%'!$B$4:$CZ$603,14,FALSE)</f>
        <v>3937.2</v>
      </c>
      <c r="BS56">
        <f>VLOOKUP($B56,'[1]Data_UN_PopulationTot.&amp;%'!$B$4:$CZ$603,15,FALSE)</f>
        <v>4009.96</v>
      </c>
      <c r="BT56">
        <f>VLOOKUP($B56,'[1]Data_UN_PopulationTot.&amp;%'!$B$4:$CZ$603,16,FALSE)</f>
        <v>4084.47</v>
      </c>
      <c r="BU56">
        <f>VLOOKUP($B56,'[1]Data_UN_PopulationTot.&amp;%'!$B$4:$CZ$603,17,FALSE)</f>
        <v>4161.13</v>
      </c>
      <c r="BV56">
        <f>VLOOKUP($B56,'[1]Data_UN_PopulationTot.&amp;%'!$B$4:$CZ$603,18,FALSE)</f>
        <v>4240.22</v>
      </c>
      <c r="BW56">
        <f>VLOOKUP($B56,'[1]Data_UN_PopulationTot.&amp;%'!$B$4:$CZ$603,61,FALSE)</f>
        <v>13.959672120977999</v>
      </c>
      <c r="BX56">
        <f>VLOOKUP($B56,'[1]Data_UN_PopulationTot.&amp;%'!$B$4:$CZ$603,62,FALSE)</f>
        <v>13.441686428323695</v>
      </c>
      <c r="BY56">
        <f>VLOOKUP($B56,'[1]Data_UN_PopulationTot.&amp;%'!$B$4:$CZ$603,63,FALSE)</f>
        <v>13.723462749863948</v>
      </c>
      <c r="BZ56">
        <f>VLOOKUP($B56,'[1]Data_UN_PopulationTot.&amp;%'!$B$4:$CZ$603,64,FALSE)</f>
        <v>10.543899075972176</v>
      </c>
      <c r="CA56">
        <f>VLOOKUP($B56,'[1]Data_UN_PopulationTot.&amp;%'!$B$4:$CZ$603,65,FALSE)</f>
        <v>8.0432152897420792</v>
      </c>
      <c r="CB56">
        <f>VLOOKUP($B56,'[1]Data_UN_PopulationTot.&amp;%'!$B$4:$CZ$603,66,FALSE)</f>
        <v>8.0923351088277506</v>
      </c>
      <c r="CC56">
        <f>VLOOKUP($B56,'[1]Data_UN_PopulationTot.&amp;%'!$B$4:$CZ$603,67,FALSE)</f>
        <v>7.5930160753208158</v>
      </c>
      <c r="CD56">
        <f>VLOOKUP($B56,'[1]Data_UN_PopulationTot.&amp;%'!$B$4:$CZ$603,68,FALSE)</f>
        <v>5.3993170596910129</v>
      </c>
      <c r="CE56">
        <f>VLOOKUP($B56,'[1]Data_UN_PopulationTot.&amp;%'!$B$4:$CZ$603,69,FALSE)</f>
        <v>3.982737569894232</v>
      </c>
      <c r="CF56">
        <f>VLOOKUP($B56,'[1]Data_UN_PopulationTot.&amp;%'!$B$4:$CZ$603,70,FALSE)</f>
        <v>3.9362683036180046</v>
      </c>
      <c r="CG56">
        <f>VLOOKUP($B56,'[1]Data_UN_PopulationTot.&amp;%'!$B$4:$CZ$603,71,FALSE)</f>
        <v>2.4842165219671615</v>
      </c>
      <c r="CH56">
        <f>VLOOKUP($B56,'[1]Data_UN_PopulationTot.&amp;%'!$B$4:$CZ$603,72,FALSE)</f>
        <v>2.3643213033952457</v>
      </c>
      <c r="CI56">
        <f>VLOOKUP($B56,'[1]Data_UN_PopulationTot.&amp;%'!$B$4:$CZ$603,73,FALSE)</f>
        <v>1.929292274202508</v>
      </c>
      <c r="CJ56">
        <f>VLOOKUP($B56,'[1]Data_UN_PopulationTot.&amp;%'!$B$4:$CZ$603,74,FALSE)</f>
        <v>1.6891916659852302</v>
      </c>
      <c r="CK56">
        <f>VLOOKUP($B56,'[1]Data_UN_PopulationTot.&amp;%'!$B$4:$CZ$603,75,FALSE)</f>
        <v>1.3315644183023492</v>
      </c>
      <c r="CL56">
        <f>VLOOKUP($B56,'[1]Data_UN_PopulationTot.&amp;%'!$B$4:$CZ$603,76,FALSE)</f>
        <v>0.84194528018317027</v>
      </c>
      <c r="CM56">
        <f>VLOOKUP($B56,'[1]Data_UN_PopulationTot.&amp;%'!$B$4:$CZ$603,77,FALSE)</f>
        <v>0.4286000287613177</v>
      </c>
      <c r="CN56">
        <f>VLOOKUP($B56,'[1]Data_UN_PopulationTot.&amp;%'!$B$4:$CZ$603,78,FALSE)</f>
        <v>0.16244505037460208</v>
      </c>
      <c r="CO56">
        <f>VLOOKUP($B56,'[1]Data_UN_PopulationTot.&amp;%'!$B$4:$CZ$603,79,FALSE)</f>
        <v>4.3649529244902618E-2</v>
      </c>
      <c r="CP56">
        <f>VLOOKUP($B56,'[1]Data_UN_PopulationTot.&amp;%'!$B$4:$CZ$603,80,FALSE)</f>
        <v>8.2900268720939082E-3</v>
      </c>
      <c r="CQ56">
        <f>VLOOKUP($B56,'[1]Data_UN_PopulationTot.&amp;%'!$B$4:$CZ$603,81,FALSE)</f>
        <v>7.8952636877084852E-4</v>
      </c>
      <c r="CR56">
        <f>VLOOKUP($B56,'[1]Data_UN_PopulationTot.&amp;%'!$B$4:$CZ$603,82,FALSE)</f>
        <v>12.511709298102454</v>
      </c>
      <c r="CS56">
        <f>VLOOKUP($B56,'[1]Data_UN_PopulationTot.&amp;%'!$B$4:$CZ$603,83,FALSE)</f>
        <v>11.718401403700751</v>
      </c>
      <c r="CT56">
        <f>VLOOKUP($B56,'[1]Data_UN_PopulationTot.&amp;%'!$B$4:$CZ$603,84,FALSE)</f>
        <v>11.500134426987279</v>
      </c>
      <c r="CU56">
        <f>VLOOKUP($B56,'[1]Data_UN_PopulationTot.&amp;%'!$B$4:$CZ$603,85,FALSE)</f>
        <v>11.005844036394338</v>
      </c>
      <c r="CV56">
        <f>VLOOKUP($B56,'[1]Data_UN_PopulationTot.&amp;%'!$B$4:$CZ$603,86,FALSE)</f>
        <v>10.935776917235426</v>
      </c>
      <c r="CW56">
        <f>VLOOKUP($B56,'[1]Data_UN_PopulationTot.&amp;%'!$B$4:$CZ$603,87,FALSE)</f>
        <v>8.1110649919107978</v>
      </c>
      <c r="CX56">
        <f>VLOOKUP($B56,'[1]Data_UN_PopulationTot.&amp;%'!$B$4:$CZ$603,88,FALSE)</f>
        <v>6.0935045823094081</v>
      </c>
      <c r="CY56">
        <f>VLOOKUP($B56,'[1]Data_UN_PopulationTot.&amp;%'!$B$4:$CZ$603,89,FALSE)</f>
        <v>6.2345350005424249</v>
      </c>
      <c r="CZ56">
        <f>VLOOKUP($B56,'[1]Data_UN_PopulationTot.&amp;%'!$B$4:$CZ$603,90,FALSE)</f>
        <v>5.8893406474192371</v>
      </c>
      <c r="DA56">
        <f>VLOOKUP($B56,'[1]Data_UN_PopulationTot.&amp;%'!$B$4:$CZ$603,91,FALSE)</f>
        <v>4.1423794048422007</v>
      </c>
      <c r="DB56">
        <f>VLOOKUP($B56,'[1]Data_UN_PopulationTot.&amp;%'!$B$4:$CZ$603,92,FALSE)</f>
        <v>3.0059996886953977</v>
      </c>
      <c r="DC56">
        <f>VLOOKUP($B56,'[1]Data_UN_PopulationTot.&amp;%'!$B$4:$CZ$603,93,FALSE)</f>
        <v>2.896571404313927</v>
      </c>
      <c r="DD56">
        <f>VLOOKUP($B56,'[1]Data_UN_PopulationTot.&amp;%'!$B$4:$CZ$603,94,FALSE)</f>
        <v>1.7296272363226437</v>
      </c>
      <c r="DE56">
        <f>VLOOKUP($B56,'[1]Data_UN_PopulationTot.&amp;%'!$B$4:$CZ$603,95,FALSE)</f>
        <v>1.5315243077010154</v>
      </c>
      <c r="DF56">
        <f>VLOOKUP($B56,'[1]Data_UN_PopulationTot.&amp;%'!$B$4:$CZ$603,96,FALSE)</f>
        <v>1.110932923291716</v>
      </c>
      <c r="DG56">
        <f>VLOOKUP($B56,'[1]Data_UN_PopulationTot.&amp;%'!$B$4:$CZ$603,97,FALSE)</f>
        <v>0.81427378768082792</v>
      </c>
      <c r="DH56">
        <f>VLOOKUP($B56,'[1]Data_UN_PopulationTot.&amp;%'!$B$4:$CZ$603,98,FALSE)</f>
        <v>0.48693228181556608</v>
      </c>
      <c r="DI56">
        <f>VLOOKUP($B56,'[1]Data_UN_PopulationTot.&amp;%'!$B$4:$CZ$603,99,FALSE)</f>
        <v>0.20553178844493913</v>
      </c>
      <c r="DJ56">
        <f>VLOOKUP($B56,'[1]Data_UN_PopulationTot.&amp;%'!$B$4:$DE$603,100,FALSE)</f>
        <v>6.1600577328534842E-2</v>
      </c>
      <c r="DK56">
        <f>VLOOKUP($B56,'[1]Data_UN_PopulationTot.&amp;%'!$B$4:$DE$603,101,FALSE)</f>
        <v>1.252293513072435E-2</v>
      </c>
      <c r="DL56">
        <f>VLOOKUP($B56,'[1]Data_UN_PopulationTot.&amp;%'!$B$4:$DE$603,102,FALSE)</f>
        <v>1.6980251024710979E-3</v>
      </c>
    </row>
    <row r="57" spans="1:116">
      <c r="A57" t="s">
        <v>69</v>
      </c>
      <c r="B57" t="s">
        <v>448</v>
      </c>
      <c r="C57" t="s">
        <v>485</v>
      </c>
      <c r="D57" t="s">
        <v>622</v>
      </c>
      <c r="E57" t="s">
        <v>2269</v>
      </c>
      <c r="F57">
        <v>0</v>
      </c>
      <c r="G57">
        <v>0</v>
      </c>
      <c r="H57">
        <v>0</v>
      </c>
      <c r="I57">
        <v>1</v>
      </c>
      <c r="J57" s="18">
        <f t="shared" si="1"/>
        <v>463.31964607999998</v>
      </c>
      <c r="K57">
        <f>VLOOKUP($B57,'[1]Source GDP Current USD'!$B$1:$CZ$600,64,FALSE)</f>
        <v>1281484640043.5801</v>
      </c>
      <c r="L57" s="45">
        <f>VLOOKUP($B57,'[1]Source GDP Current USD'!$B$1:$CZ$600,65,FALSE)</f>
        <v>1281484640043.5801</v>
      </c>
      <c r="M57" s="17">
        <f>VLOOKUP($B57,'[1]Source GDP Current LCU'!$B$1:$CZ$600,64,FALSE)</f>
        <v>1121948000000</v>
      </c>
      <c r="N57" s="45">
        <v>1100000000000</v>
      </c>
      <c r="O57" s="45">
        <f>VLOOKUP($B57,'[1]Source GNI Current USD'!$B$1:$CZ$600,64,FALSE)</f>
        <v>1289015138989.8899</v>
      </c>
      <c r="P57" s="45">
        <f>VLOOKUP($B57,'[1]Source GNI Current LCU'!$B$1:$CZ$600,64,FALSE)</f>
        <v>1128541000000</v>
      </c>
      <c r="Q57">
        <f t="shared" si="0"/>
        <v>99.415794375215441</v>
      </c>
      <c r="R57">
        <v>27360</v>
      </c>
      <c r="S57">
        <v>27360</v>
      </c>
      <c r="T57">
        <v>0.71660599999999997</v>
      </c>
      <c r="U57" s="45">
        <v>47000000</v>
      </c>
      <c r="V57">
        <v>41.295999999999999</v>
      </c>
      <c r="W57">
        <f>VLOOKUP($B57,'[1]Source Gov. Revenue WEO'!$B$1:$CZ$600,5,FALSE)</f>
        <v>42.058</v>
      </c>
      <c r="X57">
        <f>VLOOKUP($B57,'[1]Source Gov. Revenue WEO'!$B$1:$CZ$600,6,FALSE)</f>
        <v>40.875999999999998</v>
      </c>
      <c r="Y57">
        <f>VLOOKUP($B57,'[1]Source Gov. Revenue WEO'!$B$1:$CZ$600,7,FALSE)</f>
        <v>40.622</v>
      </c>
      <c r="Z57">
        <f>VLOOKUP($B57,'[1]Source Gov. Revenue WEO'!$B$1:$CZ$600,8,FALSE)</f>
        <v>40.365000000000002</v>
      </c>
      <c r="AA57">
        <f>VLOOKUP($B57,'[1]Source Gov. Revenue WEO'!$B$1:$CZ$600,9,FALSE)</f>
        <v>39.076999999999998</v>
      </c>
      <c r="AB57">
        <f>VLOOKUP($B57,'[1]Source Gov. Revenue WEO'!$B$1:$CZ$600,10,FALSE)</f>
        <v>39.095999999999997</v>
      </c>
      <c r="AC57" t="e">
        <f>VLOOKUP($B57,[2]Summary!$B$1:$CZ$600,39,FALSE)</f>
        <v>#N/A</v>
      </c>
      <c r="AD57" t="e">
        <f>VLOOKUP($B57,[2]Summary!$B$1:$CZ$600,40,FALSE)</f>
        <v>#N/A</v>
      </c>
      <c r="AE57" t="e">
        <f>VLOOKUP($B57,[2]Summary!$B$1:$CZ$600,47,FALSE)</f>
        <v>#N/A</v>
      </c>
      <c r="AF57">
        <f>VLOOKUP($B57,'[1]CALC GDP Growth rates WDI'!$B$1:$CZ$600,27,FALSE)</f>
        <v>-1.3320803085107165</v>
      </c>
      <c r="AG57">
        <f>VLOOKUP($B57,'[1]CALC GDP Growth rates WDI'!$B$1:$CZ$600,29,FALSE)</f>
        <v>8.3416080081120789</v>
      </c>
      <c r="AH57">
        <v>-1.17</v>
      </c>
      <c r="AI57">
        <f>VLOOKUP($B57,'[1]CALC GDP Growth rates WDI'!$B$1:$CZ$600,30,FALSE)</f>
        <v>12.459426164088061</v>
      </c>
      <c r="AJ57" s="45"/>
      <c r="AK57" t="e">
        <f>VLOOKUP($B57,[1]Data_Aspire!$B$1:$CZ$600,2,FALSE)</f>
        <v>#N/A</v>
      </c>
      <c r="AL57" t="e">
        <f>VLOOKUP($B57,[1]Data_Aspire!$B$1:$CZ$600,3,FALSE)</f>
        <v>#N/A</v>
      </c>
      <c r="AM57" t="e">
        <f>VLOOKUP($B57,[1]Data_Aspire!$B$1:$CZ$600,4,FALSE)</f>
        <v>#N/A</v>
      </c>
      <c r="AN57" t="e">
        <f>VLOOKUP($B57,[1]Data_Aspire!$B$1:$CZ$600,5,FALSE)</f>
        <v>#N/A</v>
      </c>
      <c r="AO57" t="e">
        <f>VLOOKUP($B57,[1]Data_Aspire!$B$1:$CZ$600,6,FALSE)</f>
        <v>#N/A</v>
      </c>
      <c r="AP57" t="e">
        <f>VLOOKUP($B57,[1]Data_Aspire!$B$1:$CZ$600,7,FALSE)</f>
        <v>#N/A</v>
      </c>
      <c r="AQ57" t="e">
        <f>VLOOKUP($B57,[1]Data_Aspire!$B$1:$CZ$600,8,FALSE)</f>
        <v>#N/A</v>
      </c>
      <c r="AR57" t="e">
        <f>VLOOKUP($B57,[1]Data_Aspire!$B$1:$CZ$600,9,FALSE)</f>
        <v>#N/A</v>
      </c>
      <c r="AS57" t="e">
        <f>VLOOKUP($B57,[1]Data_Aspire!$B$1:$CZ$600,10,FALSE)</f>
        <v>#N/A</v>
      </c>
      <c r="AT57" t="e">
        <f>VLOOKUP($B57,[1]Data_Aspire!$B$1:$CZ$600,11,FALSE)</f>
        <v>#N/A</v>
      </c>
      <c r="AU57" t="e">
        <f>VLOOKUP($B57,[1]Data_Aspire!$B$1:$CZ$600,12,FALSE)</f>
        <v>#N/A</v>
      </c>
      <c r="AV57" t="e">
        <f>VLOOKUP($B57,[1]Data_Aspire!$B$1:$CZ$600,13,FALSE)</f>
        <v>#N/A</v>
      </c>
      <c r="AW57" t="e">
        <f>VLOOKUP($B57,[1]Data_Aspire!$B$1:$CZ$600,14,FALSE)</f>
        <v>#N/A</v>
      </c>
      <c r="AX57" t="e">
        <f>VLOOKUP($B57,[1]Data_Aspire!$B$1:$CZ$600,15,FALSE)</f>
        <v>#N/A</v>
      </c>
      <c r="AY57" t="e">
        <f>VLOOKUP($B57,[1]Data_Aspire!$B$1:$CZ$600,16,FALSE)</f>
        <v>#N/A</v>
      </c>
      <c r="AZ57" t="e">
        <f>VLOOKUP($B57,[1]Data_Aspire!$B$1:$CZ$600,17,FALSE)</f>
        <v>#N/A</v>
      </c>
      <c r="BA57" t="e">
        <f>VLOOKUP($B57,[1]Data_Aspire!$B$1:$CZ$600,18,FALSE)</f>
        <v>#N/A</v>
      </c>
      <c r="BB57" t="e">
        <f>VLOOKUP($B57,[1]Data_Aspire!$B$1:$CZ$600,19,FALSE)</f>
        <v>#N/A</v>
      </c>
      <c r="BC57" t="e">
        <f>VLOOKUP($B57,[1]Data_Aspire!$B$1:$CZ$600,20,FALSE)</f>
        <v>#N/A</v>
      </c>
      <c r="BD57" t="e">
        <f>VLOOKUP($B57,[1]Data_Aspire!$B$1:$CZ$600,21,FALSE)</f>
        <v>#N/A</v>
      </c>
      <c r="BE57" t="e">
        <f>VLOOKUP($B57,[1]Data_Aspire!$B$1:$CZ$600,22,FALSE)</f>
        <v>#N/A</v>
      </c>
      <c r="BF57" t="e">
        <f>VLOOKUP($B57,[1]Data_Aspire!$B$1:$CZ$600,23,FALSE)</f>
        <v>#N/A</v>
      </c>
      <c r="BG57" t="e">
        <f>VLOOKUP($B57,[1]Data_Aspire!$B$1:$CZ$600,24,FALSE)</f>
        <v>#N/A</v>
      </c>
      <c r="BH57" t="e">
        <f>VLOOKUP($B57,[1]Data_Aspire!$B$1:$CZ$600,25,FALSE)</f>
        <v>#N/A</v>
      </c>
      <c r="BI57" t="e">
        <f>VLOOKUP($B57,[1]Data_Aspire!$B$1:$CZ$600,26,FALSE)</f>
        <v>#N/A</v>
      </c>
      <c r="BJ57" s="7">
        <v>0</v>
      </c>
      <c r="BK57">
        <v>724</v>
      </c>
      <c r="BL57">
        <f>VLOOKUP($B57,'[1]Data_UN_PopulationTot.&amp;%'!$B$4:$CZ$603,8,FALSE)</f>
        <v>46754.8</v>
      </c>
      <c r="BM57">
        <f>VLOOKUP($B57,'[1]Data_UN_PopulationTot.&amp;%'!$B$4:$CZ$603,9,FALSE)</f>
        <v>46745.2</v>
      </c>
      <c r="BN57">
        <v>46719.1</v>
      </c>
      <c r="BO57">
        <f>VLOOKUP($B57,'[1]Data_UN_PopulationTot.&amp;%'!$B$4:$CZ$603,11,FALSE)</f>
        <v>46679.3</v>
      </c>
      <c r="BP57">
        <f>VLOOKUP($B57,'[1]Data_UN_PopulationTot.&amp;%'!$B$4:$CZ$603,12,FALSE)</f>
        <v>46630.7</v>
      </c>
      <c r="BQ57">
        <f>VLOOKUP($B57,'[1]Data_UN_PopulationTot.&amp;%'!$B$4:$CZ$603,13,FALSE)</f>
        <v>46577.1</v>
      </c>
      <c r="BR57">
        <f>VLOOKUP($B57,'[1]Data_UN_PopulationTot.&amp;%'!$B$4:$CZ$603,14,FALSE)</f>
        <v>46518.6</v>
      </c>
      <c r="BS57">
        <f>VLOOKUP($B57,'[1]Data_UN_PopulationTot.&amp;%'!$B$4:$CZ$603,15,FALSE)</f>
        <v>46454</v>
      </c>
      <c r="BT57">
        <f>VLOOKUP($B57,'[1]Data_UN_PopulationTot.&amp;%'!$B$4:$CZ$603,16,FALSE)</f>
        <v>46383.8</v>
      </c>
      <c r="BU57">
        <f>VLOOKUP($B57,'[1]Data_UN_PopulationTot.&amp;%'!$B$4:$CZ$603,17,FALSE)</f>
        <v>46309</v>
      </c>
      <c r="BV57">
        <f>VLOOKUP($B57,'[1]Data_UN_PopulationTot.&amp;%'!$B$4:$CZ$603,18,FALSE)</f>
        <v>46230.1</v>
      </c>
      <c r="BW57">
        <f>VLOOKUP($B57,'[1]Data_UN_PopulationTot.&amp;%'!$B$4:$CZ$603,61,FALSE)</f>
        <v>4.2564613686723067</v>
      </c>
      <c r="BX57">
        <f>VLOOKUP($B57,'[1]Data_UN_PopulationTot.&amp;%'!$B$4:$CZ$603,62,FALSE)</f>
        <v>4.8003413553260836</v>
      </c>
      <c r="BY57">
        <f>VLOOKUP($B57,'[1]Data_UN_PopulationTot.&amp;%'!$B$4:$CZ$603,63,FALSE)</f>
        <v>5.342660004962057</v>
      </c>
      <c r="BZ57">
        <f>VLOOKUP($B57,'[1]Data_UN_PopulationTot.&amp;%'!$B$4:$CZ$603,64,FALSE)</f>
        <v>4.7869309675156337</v>
      </c>
      <c r="CA57">
        <f>VLOOKUP($B57,'[1]Data_UN_PopulationTot.&amp;%'!$B$4:$CZ$603,65,FALSE)</f>
        <v>4.8249805367577228</v>
      </c>
      <c r="CB57">
        <f>VLOOKUP($B57,'[1]Data_UN_PopulationTot.&amp;%'!$B$4:$CZ$603,66,FALSE)</f>
        <v>5.0512246870909507</v>
      </c>
      <c r="CC57">
        <f>VLOOKUP($B57,'[1]Data_UN_PopulationTot.&amp;%'!$B$4:$CZ$603,67,FALSE)</f>
        <v>5.6014997390642236</v>
      </c>
      <c r="CD57">
        <f>VLOOKUP($B57,'[1]Data_UN_PopulationTot.&amp;%'!$B$4:$CZ$603,68,FALSE)</f>
        <v>7.0217817208072759</v>
      </c>
      <c r="CE57">
        <f>VLOOKUP($B57,'[1]Data_UN_PopulationTot.&amp;%'!$B$4:$CZ$603,69,FALSE)</f>
        <v>8.5571534901229391</v>
      </c>
      <c r="CF57">
        <f>VLOOKUP($B57,'[1]Data_UN_PopulationTot.&amp;%'!$B$4:$CZ$603,70,FALSE)</f>
        <v>8.4218518740321837</v>
      </c>
      <c r="CG57">
        <f>VLOOKUP($B57,'[1]Data_UN_PopulationTot.&amp;%'!$B$4:$CZ$603,71,FALSE)</f>
        <v>7.7686996843104872</v>
      </c>
      <c r="CH57">
        <f>VLOOKUP($B57,'[1]Data_UN_PopulationTot.&amp;%'!$B$4:$CZ$603,72,FALSE)</f>
        <v>7.3020951859488221</v>
      </c>
      <c r="CI57">
        <f>VLOOKUP($B57,'[1]Data_UN_PopulationTot.&amp;%'!$B$4:$CZ$603,73,FALSE)</f>
        <v>6.2866486435617306</v>
      </c>
      <c r="CJ57">
        <f>VLOOKUP($B57,'[1]Data_UN_PopulationTot.&amp;%'!$B$4:$CZ$603,74,FALSE)</f>
        <v>5.1360288141538408</v>
      </c>
      <c r="CK57">
        <f>VLOOKUP($B57,'[1]Data_UN_PopulationTot.&amp;%'!$B$4:$CZ$603,75,FALSE)</f>
        <v>4.7142753257419558</v>
      </c>
      <c r="CL57">
        <f>VLOOKUP($B57,'[1]Data_UN_PopulationTot.&amp;%'!$B$4:$CZ$603,76,FALSE)</f>
        <v>3.8737413057055101</v>
      </c>
      <c r="CM57">
        <f>VLOOKUP($B57,'[1]Data_UN_PopulationTot.&amp;%'!$B$4:$CZ$603,77,FALSE)</f>
        <v>2.755524566461625</v>
      </c>
      <c r="CN57">
        <f>VLOOKUP($B57,'[1]Data_UN_PopulationTot.&amp;%'!$B$4:$CZ$603,78,FALSE)</f>
        <v>2.2224883862191689</v>
      </c>
      <c r="CO57">
        <f>VLOOKUP($B57,'[1]Data_UN_PopulationTot.&amp;%'!$B$4:$CZ$603,79,FALSE)</f>
        <v>1.0079285977054762</v>
      </c>
      <c r="CP57">
        <f>VLOOKUP($B57,'[1]Data_UN_PopulationTot.&amp;%'!$B$4:$CZ$603,80,FALSE)</f>
        <v>0.23965453814367718</v>
      </c>
      <c r="CQ57">
        <f>VLOOKUP($B57,'[1]Data_UN_PopulationTot.&amp;%'!$B$4:$CZ$603,81,FALSE)</f>
        <v>2.7982153704004722E-2</v>
      </c>
      <c r="CR57">
        <f>VLOOKUP($B57,'[1]Data_UN_PopulationTot.&amp;%'!$B$4:$CZ$603,82,FALSE)</f>
        <v>3.7825139898031801</v>
      </c>
      <c r="CS57">
        <f>VLOOKUP($B57,'[1]Data_UN_PopulationTot.&amp;%'!$B$4:$CZ$603,83,FALSE)</f>
        <v>4.0040147003791899</v>
      </c>
      <c r="CT57">
        <f>VLOOKUP($B57,'[1]Data_UN_PopulationTot.&amp;%'!$B$4:$CZ$603,84,FALSE)</f>
        <v>4.3310310814815454</v>
      </c>
      <c r="CU57">
        <f>VLOOKUP($B57,'[1]Data_UN_PopulationTot.&amp;%'!$B$4:$CZ$603,85,FALSE)</f>
        <v>4.8895849241078864</v>
      </c>
      <c r="CV57">
        <f>VLOOKUP($B57,'[1]Data_UN_PopulationTot.&amp;%'!$B$4:$CZ$603,86,FALSE)</f>
        <v>5.4905353871179177</v>
      </c>
      <c r="CW57">
        <f>VLOOKUP($B57,'[1]Data_UN_PopulationTot.&amp;%'!$B$4:$CZ$603,87,FALSE)</f>
        <v>4.9799805754259667</v>
      </c>
      <c r="CX57">
        <f>VLOOKUP($B57,'[1]Data_UN_PopulationTot.&amp;%'!$B$4:$CZ$603,88,FALSE)</f>
        <v>5.0196300678562231</v>
      </c>
      <c r="CY57">
        <f>VLOOKUP($B57,'[1]Data_UN_PopulationTot.&amp;%'!$B$4:$CZ$603,89,FALSE)</f>
        <v>5.2117992390239261</v>
      </c>
      <c r="CZ57">
        <f>VLOOKUP($B57,'[1]Data_UN_PopulationTot.&amp;%'!$B$4:$CZ$603,90,FALSE)</f>
        <v>5.720190957839157</v>
      </c>
      <c r="DA57">
        <f>VLOOKUP($B57,'[1]Data_UN_PopulationTot.&amp;%'!$B$4:$CZ$603,91,FALSE)</f>
        <v>7.0937981964131591</v>
      </c>
      <c r="DB57">
        <f>VLOOKUP($B57,'[1]Data_UN_PopulationTot.&amp;%'!$B$4:$CZ$603,92,FALSE)</f>
        <v>8.5533667459079705</v>
      </c>
      <c r="DC57">
        <f>VLOOKUP($B57,'[1]Data_UN_PopulationTot.&amp;%'!$B$4:$CZ$603,93,FALSE)</f>
        <v>8.3199906554387741</v>
      </c>
      <c r="DD57">
        <f>VLOOKUP($B57,'[1]Data_UN_PopulationTot.&amp;%'!$B$4:$CZ$603,94,FALSE)</f>
        <v>7.5663474662611581</v>
      </c>
      <c r="DE57">
        <f>VLOOKUP($B57,'[1]Data_UN_PopulationTot.&amp;%'!$B$4:$CZ$603,95,FALSE)</f>
        <v>6.9823123895470696</v>
      </c>
      <c r="DF57">
        <f>VLOOKUP($B57,'[1]Data_UN_PopulationTot.&amp;%'!$B$4:$CZ$603,96,FALSE)</f>
        <v>5.8456070828313154</v>
      </c>
      <c r="DG57">
        <f>VLOOKUP($B57,'[1]Data_UN_PopulationTot.&amp;%'!$B$4:$CZ$603,97,FALSE)</f>
        <v>4.5297327931369393</v>
      </c>
      <c r="DH57">
        <f>VLOOKUP($B57,'[1]Data_UN_PopulationTot.&amp;%'!$B$4:$CZ$603,98,FALSE)</f>
        <v>3.7176860962879164</v>
      </c>
      <c r="DI57">
        <f>VLOOKUP($B57,'[1]Data_UN_PopulationTot.&amp;%'!$B$4:$CZ$603,99,FALSE)</f>
        <v>2.4137304483442605</v>
      </c>
      <c r="DJ57">
        <f>VLOOKUP($B57,'[1]Data_UN_PopulationTot.&amp;%'!$B$4:$DE$603,100,FALSE)</f>
        <v>1.088630567530678</v>
      </c>
      <c r="DK57">
        <f>VLOOKUP($B57,'[1]Data_UN_PopulationTot.&amp;%'!$B$4:$DE$603,101,FALSE)</f>
        <v>0.40233311197682897</v>
      </c>
      <c r="DL57">
        <f>VLOOKUP($B57,'[1]Data_UN_PopulationTot.&amp;%'!$B$4:$DE$603,102,FALSE)</f>
        <v>5.7250579168117738E-2</v>
      </c>
    </row>
    <row r="58" spans="1:116">
      <c r="A58" t="s">
        <v>248</v>
      </c>
      <c r="B58" t="s">
        <v>515</v>
      </c>
      <c r="C58" t="s">
        <v>485</v>
      </c>
      <c r="D58" t="s">
        <v>622</v>
      </c>
      <c r="E58" t="s">
        <v>2269</v>
      </c>
      <c r="F58">
        <v>0</v>
      </c>
      <c r="G58">
        <v>0</v>
      </c>
      <c r="H58">
        <v>0</v>
      </c>
      <c r="I58">
        <v>1</v>
      </c>
      <c r="J58" s="18">
        <f t="shared" si="1"/>
        <v>10.928358677249999</v>
      </c>
      <c r="K58">
        <f>VLOOKUP($B58,'[1]Source GDP Current USD'!$B$1:$CZ$600,64,FALSE)</f>
        <v>30650285471.7215</v>
      </c>
      <c r="L58" s="45">
        <f>VLOOKUP($B58,'[1]Source GDP Current USD'!$B$1:$CZ$600,65,FALSE)</f>
        <v>30650285471.7215</v>
      </c>
      <c r="M58" s="17">
        <f>VLOOKUP($B58,'[1]Source GDP Current LCU'!$B$1:$CZ$600,64,FALSE)</f>
        <v>26834521000</v>
      </c>
      <c r="N58" s="45">
        <v>27000000000</v>
      </c>
      <c r="O58" s="45">
        <f>VLOOKUP($B58,'[1]Source GNI Current USD'!$B$1:$CZ$600,64,FALSE)</f>
        <v>30588229008.7458</v>
      </c>
      <c r="P58" s="45" t="str">
        <f>VLOOKUP($B58,'[1]Source GNI Current LCU'!$B$1:$CZ$600,64,FALSE)</f>
        <v>..</v>
      </c>
      <c r="Q58" t="e">
        <f t="shared" si="0"/>
        <v>#VALUE!</v>
      </c>
      <c r="R58">
        <v>23170</v>
      </c>
      <c r="S58">
        <v>23170</v>
      </c>
      <c r="T58">
        <v>0.61241100000000004</v>
      </c>
      <c r="U58" s="45">
        <v>1300000</v>
      </c>
      <c r="V58">
        <v>40.725000000000001</v>
      </c>
      <c r="W58">
        <f>VLOOKUP($B58,'[1]Source Gov. Revenue WEO'!$B$1:$CZ$600,5,FALSE)</f>
        <v>41.241</v>
      </c>
      <c r="X58">
        <f>VLOOKUP($B58,'[1]Source Gov. Revenue WEO'!$B$1:$CZ$600,6,FALSE)</f>
        <v>40.671999999999997</v>
      </c>
      <c r="Y58">
        <f>VLOOKUP($B58,'[1]Source Gov. Revenue WEO'!$B$1:$CZ$600,7,FALSE)</f>
        <v>40.850999999999999</v>
      </c>
      <c r="Z58">
        <f>VLOOKUP($B58,'[1]Source Gov. Revenue WEO'!$B$1:$CZ$600,8,FALSE)</f>
        <v>41.334000000000003</v>
      </c>
      <c r="AA58">
        <f>VLOOKUP($B58,'[1]Source Gov. Revenue WEO'!$B$1:$CZ$600,9,FALSE)</f>
        <v>41.67</v>
      </c>
      <c r="AB58">
        <f>VLOOKUP($B58,'[1]Source Gov. Revenue WEO'!$B$1:$CZ$600,10,FALSE)</f>
        <v>41.904000000000003</v>
      </c>
      <c r="AC58" t="e">
        <f>VLOOKUP($B58,[2]Summary!$B$1:$CZ$600,39,FALSE)</f>
        <v>#N/A</v>
      </c>
      <c r="AD58" t="e">
        <f>VLOOKUP($B58,[2]Summary!$B$1:$CZ$600,40,FALSE)</f>
        <v>#N/A</v>
      </c>
      <c r="AE58" t="e">
        <f>VLOOKUP($B58,[2]Summary!$B$1:$CZ$600,47,FALSE)</f>
        <v>#N/A</v>
      </c>
      <c r="AF58">
        <f>VLOOKUP($B58,'[1]CALC GDP Growth rates WDI'!$B$1:$CZ$600,27,FALSE)</f>
        <v>35.319232881521053</v>
      </c>
      <c r="AG58">
        <f>VLOOKUP($B58,'[1]CALC GDP Growth rates WDI'!$B$1:$CZ$600,29,FALSE)</f>
        <v>37.276919198401416</v>
      </c>
      <c r="AH58">
        <v>14.82</v>
      </c>
      <c r="AI58">
        <f>VLOOKUP($B58,'[1]CALC GDP Growth rates WDI'!$B$1:$CZ$600,30,FALSE)</f>
        <v>15.794505828101869</v>
      </c>
      <c r="AJ58" s="45"/>
      <c r="AK58">
        <f>VLOOKUP($B58,[1]Data_Aspire!$B$1:$CZ$600,2,FALSE)</f>
        <v>2017</v>
      </c>
      <c r="AL58">
        <f>VLOOKUP($B58,[1]Data_Aspire!$B$1:$CZ$600,3,FALSE)</f>
        <v>3.11</v>
      </c>
      <c r="AM58">
        <f>VLOOKUP($B58,[1]Data_Aspire!$B$1:$CZ$600,4,FALSE)</f>
        <v>0</v>
      </c>
      <c r="AN58">
        <f>VLOOKUP($B58,[1]Data_Aspire!$B$1:$CZ$600,5,FALSE)</f>
        <v>2</v>
      </c>
      <c r="AO58">
        <f>VLOOKUP($B58,[1]Data_Aspire!$B$1:$CZ$600,6,FALSE)</f>
        <v>0.33</v>
      </c>
      <c r="AP58">
        <f>VLOOKUP($B58,[1]Data_Aspire!$B$1:$CZ$600,7,FALSE)</f>
        <v>0</v>
      </c>
      <c r="AQ58">
        <f>VLOOKUP($B58,[1]Data_Aspire!$B$1:$CZ$600,8,FALSE)</f>
        <v>0</v>
      </c>
      <c r="AR58">
        <f>VLOOKUP($B58,[1]Data_Aspire!$B$1:$CZ$600,9,FALSE)</f>
        <v>0.32</v>
      </c>
      <c r="AS58">
        <f>VLOOKUP($B58,[1]Data_Aspire!$B$1:$CZ$600,10,FALSE)</f>
        <v>0</v>
      </c>
      <c r="AT58">
        <f>VLOOKUP($B58,[1]Data_Aspire!$B$1:$CZ$600,11,FALSE)</f>
        <v>0.46</v>
      </c>
      <c r="AU58">
        <f>VLOOKUP($B58,[1]Data_Aspire!$B$1:$CZ$600,12,FALSE)</f>
        <v>3.11</v>
      </c>
      <c r="AV58">
        <f>VLOOKUP($B58,[1]Data_Aspire!$B$1:$CZ$600,13,FALSE)</f>
        <v>0</v>
      </c>
      <c r="AW58">
        <f>VLOOKUP($B58,[1]Data_Aspire!$B$1:$CZ$600,14,FALSE)</f>
        <v>0</v>
      </c>
      <c r="AX58">
        <f>VLOOKUP($B58,[1]Data_Aspire!$B$1:$CZ$600,15,FALSE)</f>
        <v>257404</v>
      </c>
      <c r="AY58">
        <f>VLOOKUP($B58,[1]Data_Aspire!$B$1:$CZ$600,16,FALSE)</f>
        <v>2017</v>
      </c>
      <c r="AZ58">
        <f>VLOOKUP($B58,[1]Data_Aspire!$B$1:$CZ$600,17,FALSE)</f>
        <v>6516</v>
      </c>
      <c r="BA58">
        <f>VLOOKUP($B58,[1]Data_Aspire!$B$1:$CZ$600,18,FALSE)</f>
        <v>2014</v>
      </c>
      <c r="BB58">
        <f>VLOOKUP($B58,[1]Data_Aspire!$B$1:$CZ$600,19,FALSE)</f>
        <v>0</v>
      </c>
      <c r="BC58">
        <f>VLOOKUP($B58,[1]Data_Aspire!$B$1:$CZ$600,20,FALSE)</f>
        <v>0</v>
      </c>
      <c r="BD58">
        <f>VLOOKUP($B58,[1]Data_Aspire!$B$1:$CZ$600,21,FALSE)</f>
        <v>0</v>
      </c>
      <c r="BE58">
        <f>VLOOKUP($B58,[1]Data_Aspire!$B$1:$CZ$600,22,FALSE)</f>
        <v>0</v>
      </c>
      <c r="BF58">
        <f>VLOOKUP($B58,[1]Data_Aspire!$B$1:$CZ$600,23,FALSE)</f>
        <v>98</v>
      </c>
      <c r="BG58">
        <f>VLOOKUP($B58,[1]Data_Aspire!$B$1:$CZ$600,24,FALSE)</f>
        <v>2015</v>
      </c>
      <c r="BH58">
        <f>VLOOKUP($B58,[1]Data_Aspire!$B$1:$CZ$600,25,FALSE)</f>
        <v>0</v>
      </c>
      <c r="BI58">
        <f>VLOOKUP($B58,[1]Data_Aspire!$B$1:$CZ$600,26,FALSE)</f>
        <v>0</v>
      </c>
      <c r="BJ58" s="7">
        <v>0</v>
      </c>
      <c r="BK58">
        <v>233</v>
      </c>
      <c r="BL58">
        <f>VLOOKUP($B58,'[1]Data_UN_PopulationTot.&amp;%'!$B$4:$CZ$603,8,FALSE)</f>
        <v>1326.54</v>
      </c>
      <c r="BM58">
        <f>VLOOKUP($B58,'[1]Data_UN_PopulationTot.&amp;%'!$B$4:$CZ$603,9,FALSE)</f>
        <v>1325.19</v>
      </c>
      <c r="BN58">
        <v>1321.91</v>
      </c>
      <c r="BO58">
        <f>VLOOKUP($B58,'[1]Data_UN_PopulationTot.&amp;%'!$B$4:$CZ$603,11,FALSE)</f>
        <v>1317.22</v>
      </c>
      <c r="BP58">
        <f>VLOOKUP($B58,'[1]Data_UN_PopulationTot.&amp;%'!$B$4:$CZ$603,12,FALSE)</f>
        <v>1311.93</v>
      </c>
      <c r="BQ58">
        <f>VLOOKUP($B58,'[1]Data_UN_PopulationTot.&amp;%'!$B$4:$CZ$603,13,FALSE)</f>
        <v>1306.6500000000001</v>
      </c>
      <c r="BR58">
        <f>VLOOKUP($B58,'[1]Data_UN_PopulationTot.&amp;%'!$B$4:$CZ$603,14,FALSE)</f>
        <v>1301.51</v>
      </c>
      <c r="BS58">
        <f>VLOOKUP($B58,'[1]Data_UN_PopulationTot.&amp;%'!$B$4:$CZ$603,15,FALSE)</f>
        <v>1296.3499999999999</v>
      </c>
      <c r="BT58">
        <f>VLOOKUP($B58,'[1]Data_UN_PopulationTot.&amp;%'!$B$4:$CZ$603,16,FALSE)</f>
        <v>1291.0899999999999</v>
      </c>
      <c r="BU58">
        <f>VLOOKUP($B58,'[1]Data_UN_PopulationTot.&amp;%'!$B$4:$CZ$603,17,FALSE)</f>
        <v>1285.6600000000001</v>
      </c>
      <c r="BV58">
        <f>VLOOKUP($B58,'[1]Data_UN_PopulationTot.&amp;%'!$B$4:$CZ$603,18,FALSE)</f>
        <v>1279.96</v>
      </c>
      <c r="BW58">
        <f>VLOOKUP($B58,'[1]Data_UN_PopulationTot.&amp;%'!$B$4:$CZ$603,61,FALSE)</f>
        <v>5.2147692493253128</v>
      </c>
      <c r="BX58">
        <f>VLOOKUP($B58,'[1]Data_UN_PopulationTot.&amp;%'!$B$4:$CZ$603,62,FALSE)</f>
        <v>5.6149833401179006</v>
      </c>
      <c r="BY58">
        <f>VLOOKUP($B58,'[1]Data_UN_PopulationTot.&amp;%'!$B$4:$CZ$603,63,FALSE)</f>
        <v>5.6683552701011655</v>
      </c>
      <c r="BZ58">
        <f>VLOOKUP($B58,'[1]Data_UN_PopulationTot.&amp;%'!$B$4:$CZ$603,64,FALSE)</f>
        <v>4.6960513817902214</v>
      </c>
      <c r="CA58">
        <f>VLOOKUP($B58,'[1]Data_UN_PopulationTot.&amp;%'!$B$4:$CZ$603,65,FALSE)</f>
        <v>4.3728798226966399</v>
      </c>
      <c r="CB58">
        <f>VLOOKUP($B58,'[1]Data_UN_PopulationTot.&amp;%'!$B$4:$CZ$603,66,FALSE)</f>
        <v>6.5995748337781004</v>
      </c>
      <c r="CC58">
        <f>VLOOKUP($B58,'[1]Data_UN_PopulationTot.&amp;%'!$B$4:$CZ$603,67,FALSE)</f>
        <v>7.6567611983053663</v>
      </c>
      <c r="CD58">
        <f>VLOOKUP($B58,'[1]Data_UN_PopulationTot.&amp;%'!$B$4:$CZ$603,68,FALSE)</f>
        <v>6.9399339635442594</v>
      </c>
      <c r="CE58">
        <f>VLOOKUP($B58,'[1]Data_UN_PopulationTot.&amp;%'!$B$4:$CZ$603,69,FALSE)</f>
        <v>6.6769942858865923</v>
      </c>
      <c r="CF58">
        <f>VLOOKUP($B58,'[1]Data_UN_PopulationTot.&amp;%'!$B$4:$CZ$603,70,FALSE)</f>
        <v>7.2643870520300924</v>
      </c>
      <c r="CG58">
        <f>VLOOKUP($B58,'[1]Data_UN_PopulationTot.&amp;%'!$B$4:$CZ$603,71,FALSE)</f>
        <v>5.760474618179626</v>
      </c>
      <c r="CH58">
        <f>VLOOKUP($B58,'[1]Data_UN_PopulationTot.&amp;%'!$B$4:$CZ$603,72,FALSE)</f>
        <v>6.6992325900462859</v>
      </c>
      <c r="CI58">
        <f>VLOOKUP($B58,'[1]Data_UN_PopulationTot.&amp;%'!$B$4:$CZ$603,73,FALSE)</f>
        <v>6.4623004206431771</v>
      </c>
      <c r="CJ58">
        <f>VLOOKUP($B58,'[1]Data_UN_PopulationTot.&amp;%'!$B$4:$CZ$603,74,FALSE)</f>
        <v>6.313190706650385</v>
      </c>
      <c r="CK58">
        <f>VLOOKUP($B58,'[1]Data_UN_PopulationTot.&amp;%'!$B$4:$CZ$603,75,FALSE)</f>
        <v>4.0064378005940267</v>
      </c>
      <c r="CL58">
        <f>VLOOKUP($B58,'[1]Data_UN_PopulationTot.&amp;%'!$B$4:$CZ$603,76,FALSE)</f>
        <v>4.0919987335474239</v>
      </c>
      <c r="CM58">
        <f>VLOOKUP($B58,'[1]Data_UN_PopulationTot.&amp;%'!$B$4:$CZ$603,77,FALSE)</f>
        <v>3.2798106351862741</v>
      </c>
      <c r="CN58">
        <f>VLOOKUP($B58,'[1]Data_UN_PopulationTot.&amp;%'!$B$4:$CZ$603,78,FALSE)</f>
        <v>1.766022886607264</v>
      </c>
      <c r="CO58">
        <f>VLOOKUP($B58,'[1]Data_UN_PopulationTot.&amp;%'!$B$4:$CZ$603,79,FALSE)</f>
        <v>0.76484689492966673</v>
      </c>
      <c r="CP58">
        <f>VLOOKUP($B58,'[1]Data_UN_PopulationTot.&amp;%'!$B$4:$CZ$603,80,FALSE)</f>
        <v>0.14051592865650492</v>
      </c>
      <c r="CQ58">
        <f>VLOOKUP($B58,'[1]Data_UN_PopulationTot.&amp;%'!$B$4:$CZ$603,81,FALSE)</f>
        <v>1.0403003301822788E-2</v>
      </c>
      <c r="CR58">
        <f>VLOOKUP($B58,'[1]Data_UN_PopulationTot.&amp;%'!$B$4:$CZ$603,82,FALSE)</f>
        <v>4.5808462764461391</v>
      </c>
      <c r="CS58">
        <f>VLOOKUP($B58,'[1]Data_UN_PopulationTot.&amp;%'!$B$4:$CZ$603,83,FALSE)</f>
        <v>5.0441420044376386</v>
      </c>
      <c r="CT58">
        <f>VLOOKUP($B58,'[1]Data_UN_PopulationTot.&amp;%'!$B$4:$CZ$603,84,FALSE)</f>
        <v>5.38048064002</v>
      </c>
      <c r="CU58">
        <f>VLOOKUP($B58,'[1]Data_UN_PopulationTot.&amp;%'!$B$4:$CZ$603,85,FALSE)</f>
        <v>5.7590862214444201</v>
      </c>
      <c r="CV58">
        <f>VLOOKUP($B58,'[1]Data_UN_PopulationTot.&amp;%'!$B$4:$CZ$603,86,FALSE)</f>
        <v>5.7370542829463416</v>
      </c>
      <c r="CW58">
        <f>VLOOKUP($B58,'[1]Data_UN_PopulationTot.&amp;%'!$B$4:$CZ$603,87,FALSE)</f>
        <v>4.6949904684521391</v>
      </c>
      <c r="CX58">
        <f>VLOOKUP($B58,'[1]Data_UN_PopulationTot.&amp;%'!$B$4:$CZ$603,88,FALSE)</f>
        <v>4.3752148504640767</v>
      </c>
      <c r="CY58">
        <f>VLOOKUP($B58,'[1]Data_UN_PopulationTot.&amp;%'!$B$4:$CZ$603,89,FALSE)</f>
        <v>6.6808337760555014</v>
      </c>
      <c r="CZ58">
        <f>VLOOKUP($B58,'[1]Data_UN_PopulationTot.&amp;%'!$B$4:$CZ$603,90,FALSE)</f>
        <v>7.7671958498703075</v>
      </c>
      <c r="DA58">
        <f>VLOOKUP($B58,'[1]Data_UN_PopulationTot.&amp;%'!$B$4:$CZ$603,91,FALSE)</f>
        <v>7.0180318134941713</v>
      </c>
      <c r="DB58">
        <f>VLOOKUP($B58,'[1]Data_UN_PopulationTot.&amp;%'!$B$4:$CZ$603,92,FALSE)</f>
        <v>6.6976311759742488</v>
      </c>
      <c r="DC58">
        <f>VLOOKUP($B58,'[1]Data_UN_PopulationTot.&amp;%'!$B$4:$CZ$603,93,FALSE)</f>
        <v>7.1757711178474324</v>
      </c>
      <c r="DD58">
        <f>VLOOKUP($B58,'[1]Data_UN_PopulationTot.&amp;%'!$B$4:$CZ$603,94,FALSE)</f>
        <v>5.5406418950592204</v>
      </c>
      <c r="DE58">
        <f>VLOOKUP($B58,'[1]Data_UN_PopulationTot.&amp;%'!$B$4:$CZ$603,95,FALSE)</f>
        <v>6.1964436388637143</v>
      </c>
      <c r="DF58">
        <f>VLOOKUP($B58,'[1]Data_UN_PopulationTot.&amp;%'!$B$4:$CZ$603,96,FALSE)</f>
        <v>5.6798649957811183</v>
      </c>
      <c r="DG58">
        <f>VLOOKUP($B58,'[1]Data_UN_PopulationTot.&amp;%'!$B$4:$CZ$603,97,FALSE)</f>
        <v>5.1627394606081438</v>
      </c>
      <c r="DH58">
        <f>VLOOKUP($B58,'[1]Data_UN_PopulationTot.&amp;%'!$B$4:$CZ$603,98,FALSE)</f>
        <v>2.8582143191974749</v>
      </c>
      <c r="DI58">
        <f>VLOOKUP($B58,'[1]Data_UN_PopulationTot.&amp;%'!$B$4:$CZ$603,99,FALSE)</f>
        <v>2.2479608737773056</v>
      </c>
      <c r="DJ58">
        <f>VLOOKUP($B58,'[1]Data_UN_PopulationTot.&amp;%'!$B$4:$DE$603,100,FALSE)</f>
        <v>1.1104253257914309</v>
      </c>
      <c r="DK58">
        <f>VLOOKUP($B58,'[1]Data_UN_PopulationTot.&amp;%'!$B$4:$DE$603,101,FALSE)</f>
        <v>0.26133629175911749</v>
      </c>
      <c r="DL58">
        <f>VLOOKUP($B58,'[1]Data_UN_PopulationTot.&amp;%'!$B$4:$DE$603,102,FALSE)</f>
        <v>3.1172849151535988E-2</v>
      </c>
    </row>
    <row r="59" spans="1:116">
      <c r="A59" t="s">
        <v>115</v>
      </c>
      <c r="B59" t="s">
        <v>328</v>
      </c>
      <c r="C59" t="s">
        <v>496</v>
      </c>
      <c r="D59" t="s">
        <v>306</v>
      </c>
      <c r="E59" t="s">
        <v>299</v>
      </c>
      <c r="F59">
        <v>1</v>
      </c>
      <c r="G59">
        <v>0</v>
      </c>
      <c r="H59">
        <v>0</v>
      </c>
      <c r="I59">
        <v>0</v>
      </c>
      <c r="J59" s="18">
        <f t="shared" si="1"/>
        <v>394.96755044999998</v>
      </c>
      <c r="K59">
        <f>VLOOKUP($B59,'[1]Source GDP Current USD'!$B$1:$CZ$600,64,FALSE)</f>
        <v>107645054311.87601</v>
      </c>
      <c r="L59" s="45">
        <f>VLOOKUP($B59,'[1]Source GDP Current USD'!$B$1:$CZ$600,65,FALSE)</f>
        <v>107645054311.87601</v>
      </c>
      <c r="M59" s="17">
        <f>VLOOKUP($B59,'[1]Source GDP Current LCU'!$B$1:$CZ$600,64,FALSE)</f>
        <v>3374349000000</v>
      </c>
      <c r="N59" s="45">
        <v>3400000000000</v>
      </c>
      <c r="O59" s="45">
        <f>VLOOKUP($B59,'[1]Source GNI Current USD'!$B$1:$CZ$600,64,FALSE)</f>
        <v>107062239280.07201</v>
      </c>
      <c r="P59" s="45">
        <f>VLOOKUP($B59,'[1]Source GNI Current LCU'!$B$1:$CZ$600,64,FALSE)</f>
        <v>3356079500000</v>
      </c>
      <c r="Q59">
        <f t="shared" si="0"/>
        <v>100.54437029873698</v>
      </c>
      <c r="R59">
        <v>890</v>
      </c>
      <c r="S59">
        <v>890</v>
      </c>
      <c r="T59">
        <v>0.38646799999999998</v>
      </c>
      <c r="U59" s="45">
        <v>120000000</v>
      </c>
      <c r="V59">
        <v>11.705</v>
      </c>
      <c r="W59">
        <f>VLOOKUP($B59,'[1]Source Gov. Revenue WEO'!$B$1:$CZ$600,5,FALSE)</f>
        <v>10.859</v>
      </c>
      <c r="AC59">
        <f>VLOOKUP($B59,[2]Summary!$B$1:$CZ$600,39,FALSE)</f>
        <v>0.22313189999999999</v>
      </c>
      <c r="AD59">
        <f>VLOOKUP($B59,[2]Summary!$B$1:$CZ$600,40,FALSE)</f>
        <v>7.5249999999999997E-2</v>
      </c>
      <c r="AE59">
        <f>VLOOKUP($B59,[2]Summary!$B$1:$CZ$600,47,FALSE)</f>
        <v>0.16200462884723352</v>
      </c>
      <c r="AF59">
        <f>VLOOKUP($B59,'[1]CALC GDP Growth rates WDI'!$B$1:$CZ$600,27,FALSE)</f>
        <v>139.30564442919021</v>
      </c>
      <c r="AG59">
        <f>VLOOKUP($B59,'[1]CALC GDP Growth rates WDI'!$B$1:$CZ$600,29,FALSE)</f>
        <v>136.58904000068253</v>
      </c>
      <c r="AH59">
        <v>47.19</v>
      </c>
      <c r="AI59">
        <f>VLOOKUP($B59,'[1]CALC GDP Growth rates WDI'!$B$1:$CZ$600,30,FALSE)</f>
        <v>42.729069216327154</v>
      </c>
      <c r="AJ59" t="s">
        <v>2464</v>
      </c>
      <c r="AK59">
        <f>VLOOKUP($B59,[1]Data_Aspire!$B$1:$CZ$600,2,FALSE)</f>
        <v>2017</v>
      </c>
      <c r="AL59">
        <f>VLOOKUP($B59,[1]Data_Aspire!$B$1:$CZ$600,3,FALSE)</f>
        <v>1.02</v>
      </c>
      <c r="AM59">
        <f>VLOOKUP($B59,[1]Data_Aspire!$B$1:$CZ$600,4,FALSE)</f>
        <v>0</v>
      </c>
      <c r="AN59">
        <f>VLOOKUP($B59,[1]Data_Aspire!$B$1:$CZ$600,5,FALSE)</f>
        <v>0</v>
      </c>
      <c r="AO59">
        <f>VLOOKUP($B59,[1]Data_Aspire!$B$1:$CZ$600,6,FALSE)</f>
        <v>0</v>
      </c>
      <c r="AP59">
        <f>VLOOKUP($B59,[1]Data_Aspire!$B$1:$CZ$600,7,FALSE)</f>
        <v>0.03</v>
      </c>
      <c r="AQ59">
        <f>VLOOKUP($B59,[1]Data_Aspire!$B$1:$CZ$600,8,FALSE)</f>
        <v>0.7</v>
      </c>
      <c r="AR59">
        <f>VLOOKUP($B59,[1]Data_Aspire!$B$1:$CZ$600,9,FALSE)</f>
        <v>0.3</v>
      </c>
      <c r="AS59">
        <f>VLOOKUP($B59,[1]Data_Aspire!$B$1:$CZ$600,10,FALSE)</f>
        <v>0</v>
      </c>
      <c r="AT59">
        <f>VLOOKUP($B59,[1]Data_Aspire!$B$1:$CZ$600,11,FALSE)</f>
        <v>0</v>
      </c>
      <c r="AU59">
        <f>VLOOKUP($B59,[1]Data_Aspire!$B$1:$CZ$600,12,FALSE)</f>
        <v>1.02</v>
      </c>
      <c r="AV59">
        <f>VLOOKUP($B59,[1]Data_Aspire!$B$1:$CZ$600,13,FALSE)</f>
        <v>0</v>
      </c>
      <c r="AW59">
        <f>VLOOKUP($B59,[1]Data_Aspire!$B$1:$CZ$600,14,FALSE)</f>
        <v>0</v>
      </c>
      <c r="AX59">
        <f>VLOOKUP($B59,[1]Data_Aspire!$B$1:$CZ$600,15,FALSE)</f>
        <v>17705</v>
      </c>
      <c r="AY59">
        <f>VLOOKUP($B59,[1]Data_Aspire!$B$1:$CZ$600,16,FALSE)</f>
        <v>2014</v>
      </c>
      <c r="AZ59">
        <f>VLOOKUP($B59,[1]Data_Aspire!$B$1:$CZ$600,17,FALSE)</f>
        <v>0</v>
      </c>
      <c r="BA59">
        <f>VLOOKUP($B59,[1]Data_Aspire!$B$1:$CZ$600,18,FALSE)</f>
        <v>0</v>
      </c>
      <c r="BB59">
        <f>VLOOKUP($B59,[1]Data_Aspire!$B$1:$CZ$600,19,FALSE)</f>
        <v>2550579</v>
      </c>
      <c r="BC59">
        <f>VLOOKUP($B59,[1]Data_Aspire!$B$1:$CZ$600,20,FALSE)</f>
        <v>2013</v>
      </c>
      <c r="BD59">
        <f>VLOOKUP($B59,[1]Data_Aspire!$B$1:$CZ$600,21,FALSE)</f>
        <v>681195</v>
      </c>
      <c r="BE59">
        <f>VLOOKUP($B59,[1]Data_Aspire!$B$1:$CZ$600,22,FALSE)</f>
        <v>2014</v>
      </c>
      <c r="BF59">
        <f>VLOOKUP($B59,[1]Data_Aspire!$B$1:$CZ$600,23,FALSE)</f>
        <v>7997218</v>
      </c>
      <c r="BG59">
        <f>VLOOKUP($B59,[1]Data_Aspire!$B$1:$CZ$600,24,FALSE)</f>
        <v>2016</v>
      </c>
      <c r="BH59">
        <f>VLOOKUP($B59,[1]Data_Aspire!$B$1:$CZ$600,25,FALSE)</f>
        <v>0</v>
      </c>
      <c r="BI59">
        <f>VLOOKUP($B59,[1]Data_Aspire!$B$1:$CZ$600,26,FALSE)</f>
        <v>0</v>
      </c>
      <c r="BJ59" s="7">
        <v>1</v>
      </c>
      <c r="BK59">
        <v>231</v>
      </c>
      <c r="BL59">
        <f>VLOOKUP($B59,'[1]Data_UN_PopulationTot.&amp;%'!$B$4:$CZ$603,8,FALSE)</f>
        <v>114964</v>
      </c>
      <c r="BM59">
        <f>VLOOKUP($B59,'[1]Data_UN_PopulationTot.&amp;%'!$B$4:$CZ$603,9,FALSE)</f>
        <v>117876</v>
      </c>
      <c r="BN59">
        <v>120813</v>
      </c>
      <c r="BO59">
        <f>VLOOKUP($B59,'[1]Data_UN_PopulationTot.&amp;%'!$B$4:$CZ$603,11,FALSE)</f>
        <v>123771</v>
      </c>
      <c r="BP59">
        <f>VLOOKUP($B59,'[1]Data_UN_PopulationTot.&amp;%'!$B$4:$CZ$603,12,FALSE)</f>
        <v>126751</v>
      </c>
      <c r="BQ59">
        <f>VLOOKUP($B59,'[1]Data_UN_PopulationTot.&amp;%'!$B$4:$CZ$603,13,FALSE)</f>
        <v>129749</v>
      </c>
      <c r="BR59">
        <f>VLOOKUP($B59,'[1]Data_UN_PopulationTot.&amp;%'!$B$4:$CZ$603,14,FALSE)</f>
        <v>132766</v>
      </c>
      <c r="BS59">
        <f>VLOOKUP($B59,'[1]Data_UN_PopulationTot.&amp;%'!$B$4:$CZ$603,15,FALSE)</f>
        <v>135797</v>
      </c>
      <c r="BT59">
        <f>VLOOKUP($B59,'[1]Data_UN_PopulationTot.&amp;%'!$B$4:$CZ$603,16,FALSE)</f>
        <v>138839</v>
      </c>
      <c r="BU59">
        <f>VLOOKUP($B59,'[1]Data_UN_PopulationTot.&amp;%'!$B$4:$CZ$603,17,FALSE)</f>
        <v>141890</v>
      </c>
      <c r="BV59">
        <f>VLOOKUP($B59,'[1]Data_UN_PopulationTot.&amp;%'!$B$4:$CZ$603,18,FALSE)</f>
        <v>144944</v>
      </c>
      <c r="BW59">
        <f>VLOOKUP($B59,'[1]Data_UN_PopulationTot.&amp;%'!$B$4:$CZ$603,61,FALSE)</f>
        <v>14.605876622246964</v>
      </c>
      <c r="BX59">
        <f>VLOOKUP($B59,'[1]Data_UN_PopulationTot.&amp;%'!$B$4:$CZ$603,62,FALSE)</f>
        <v>13.26162972756689</v>
      </c>
      <c r="BY59">
        <f>VLOOKUP($B59,'[1]Data_UN_PopulationTot.&amp;%'!$B$4:$CZ$603,63,FALSE)</f>
        <v>12.050033053825546</v>
      </c>
      <c r="BZ59">
        <f>VLOOKUP($B59,'[1]Data_UN_PopulationTot.&amp;%'!$B$4:$CZ$603,64,FALSE)</f>
        <v>11.28683761873282</v>
      </c>
      <c r="CA59">
        <f>VLOOKUP($B59,'[1]Data_UN_PopulationTot.&amp;%'!$B$4:$CZ$603,65,FALSE)</f>
        <v>10.217894297345255</v>
      </c>
      <c r="CB59">
        <f>VLOOKUP($B59,'[1]Data_UN_PopulationTot.&amp;%'!$B$4:$CZ$603,66,FALSE)</f>
        <v>8.4306304582304037</v>
      </c>
      <c r="CC59">
        <f>VLOOKUP($B59,'[1]Data_UN_PopulationTot.&amp;%'!$B$4:$CZ$603,67,FALSE)</f>
        <v>6.540212588288508</v>
      </c>
      <c r="CD59">
        <f>VLOOKUP($B59,'[1]Data_UN_PopulationTot.&amp;%'!$B$4:$CZ$603,68,FALSE)</f>
        <v>5.4573431682961617</v>
      </c>
      <c r="CE59">
        <f>VLOOKUP($B59,'[1]Data_UN_PopulationTot.&amp;%'!$B$4:$CZ$603,69,FALSE)</f>
        <v>4.2917261055634803</v>
      </c>
      <c r="CF59">
        <f>VLOOKUP($B59,'[1]Data_UN_PopulationTot.&amp;%'!$B$4:$CZ$603,70,FALSE)</f>
        <v>3.570430743537107</v>
      </c>
      <c r="CG59">
        <f>VLOOKUP($B59,'[1]Data_UN_PopulationTot.&amp;%'!$B$4:$CZ$603,71,FALSE)</f>
        <v>2.8084878744650497</v>
      </c>
      <c r="CH59">
        <f>VLOOKUP($B59,'[1]Data_UN_PopulationTot.&amp;%'!$B$4:$CZ$603,72,FALSE)</f>
        <v>2.1531261960265824</v>
      </c>
      <c r="CI59">
        <f>VLOOKUP($B59,'[1]Data_UN_PopulationTot.&amp;%'!$B$4:$CZ$603,73,FALSE)</f>
        <v>1.7886120872620994</v>
      </c>
      <c r="CJ59">
        <f>VLOOKUP($B59,'[1]Data_UN_PopulationTot.&amp;%'!$B$4:$CZ$603,74,FALSE)</f>
        <v>1.3641574753835983</v>
      </c>
      <c r="CK59">
        <f>VLOOKUP($B59,'[1]Data_UN_PopulationTot.&amp;%'!$B$4:$CZ$603,75,FALSE)</f>
        <v>1.0337496955568701</v>
      </c>
      <c r="CL59">
        <f>VLOOKUP($B59,'[1]Data_UN_PopulationTot.&amp;%'!$B$4:$CZ$603,76,FALSE)</f>
        <v>0.64449131902160672</v>
      </c>
      <c r="CM59">
        <f>VLOOKUP($B59,'[1]Data_UN_PopulationTot.&amp;%'!$B$4:$CZ$603,77,FALSE)</f>
        <v>0.32340993702376397</v>
      </c>
      <c r="CN59">
        <f>VLOOKUP($B59,'[1]Data_UN_PopulationTot.&amp;%'!$B$4:$CZ$603,78,FALSE)</f>
        <v>0.13231359382067431</v>
      </c>
      <c r="CO59">
        <f>VLOOKUP($B59,'[1]Data_UN_PopulationTot.&amp;%'!$B$4:$CZ$603,79,FALSE)</f>
        <v>3.3694895793465782E-2</v>
      </c>
      <c r="CP59">
        <f>VLOOKUP($B59,'[1]Data_UN_PopulationTot.&amp;%'!$B$4:$CZ$603,80,FALSE)</f>
        <v>4.6779861521867713E-3</v>
      </c>
      <c r="CQ59">
        <f>VLOOKUP($B59,'[1]Data_UN_PopulationTot.&amp;%'!$B$4:$CZ$603,81,FALSE)</f>
        <v>3.8620785637242963E-4</v>
      </c>
      <c r="CR59">
        <f>VLOOKUP($B59,'[1]Data_UN_PopulationTot.&amp;%'!$B$4:$CZ$603,82,FALSE)</f>
        <v>12.760721382050999</v>
      </c>
      <c r="CS59">
        <f>VLOOKUP($B59,'[1]Data_UN_PopulationTot.&amp;%'!$B$4:$CZ$603,83,FALSE)</f>
        <v>12.188500386356111</v>
      </c>
      <c r="CT59">
        <f>VLOOKUP($B59,'[1]Data_UN_PopulationTot.&amp;%'!$B$4:$CZ$603,84,FALSE)</f>
        <v>11.371564190307982</v>
      </c>
      <c r="CU59">
        <f>VLOOKUP($B59,'[1]Data_UN_PopulationTot.&amp;%'!$B$4:$CZ$603,85,FALSE)</f>
        <v>10.37607627773485</v>
      </c>
      <c r="CV59">
        <f>VLOOKUP($B59,'[1]Data_UN_PopulationTot.&amp;%'!$B$4:$CZ$603,86,FALSE)</f>
        <v>9.4056325201457103</v>
      </c>
      <c r="CW59">
        <f>VLOOKUP($B59,'[1]Data_UN_PopulationTot.&amp;%'!$B$4:$CZ$603,87,FALSE)</f>
        <v>8.7746302020090514</v>
      </c>
      <c r="CX59">
        <f>VLOOKUP($B59,'[1]Data_UN_PopulationTot.&amp;%'!$B$4:$CZ$603,88,FALSE)</f>
        <v>7.9131250689921631</v>
      </c>
      <c r="CY59">
        <f>VLOOKUP($B59,'[1]Data_UN_PopulationTot.&amp;%'!$B$4:$CZ$603,89,FALSE)</f>
        <v>6.4866224196931217</v>
      </c>
      <c r="CZ59">
        <f>VLOOKUP($B59,'[1]Data_UN_PopulationTot.&amp;%'!$B$4:$CZ$603,90,FALSE)</f>
        <v>4.9816963792913125</v>
      </c>
      <c r="DA59">
        <f>VLOOKUP($B59,'[1]Data_UN_PopulationTot.&amp;%'!$B$4:$CZ$603,91,FALSE)</f>
        <v>4.114106137542775</v>
      </c>
      <c r="DB59">
        <f>VLOOKUP($B59,'[1]Data_UN_PopulationTot.&amp;%'!$B$4:$CZ$603,92,FALSE)</f>
        <v>3.1969243293961807</v>
      </c>
      <c r="DC59">
        <f>VLOOKUP($B59,'[1]Data_UN_PopulationTot.&amp;%'!$B$4:$CZ$603,93,FALSE)</f>
        <v>2.6113464510431612</v>
      </c>
      <c r="DD59">
        <f>VLOOKUP($B59,'[1]Data_UN_PopulationTot.&amp;%'!$B$4:$CZ$603,94,FALSE)</f>
        <v>1.9927006292085221</v>
      </c>
      <c r="DE59">
        <f>VLOOKUP($B59,'[1]Data_UN_PopulationTot.&amp;%'!$B$4:$CZ$603,95,FALSE)</f>
        <v>1.4427572027817641</v>
      </c>
      <c r="DF59">
        <f>VLOOKUP($B59,'[1]Data_UN_PopulationTot.&amp;%'!$B$4:$CZ$603,96,FALSE)</f>
        <v>1.0828457887184015</v>
      </c>
      <c r="DG59">
        <f>VLOOKUP($B59,'[1]Data_UN_PopulationTot.&amp;%'!$B$4:$CZ$603,97,FALSE)</f>
        <v>0.69582045479633514</v>
      </c>
      <c r="DH59">
        <f>VLOOKUP($B59,'[1]Data_UN_PopulationTot.&amp;%'!$B$4:$CZ$603,98,FALSE)</f>
        <v>0.39818688596975382</v>
      </c>
      <c r="DI59">
        <f>VLOOKUP($B59,'[1]Data_UN_PopulationTot.&amp;%'!$B$4:$CZ$603,99,FALSE)</f>
        <v>0.15832804393420907</v>
      </c>
      <c r="DJ59">
        <f>VLOOKUP($B59,'[1]Data_UN_PopulationTot.&amp;%'!$B$4:$DE$603,100,FALSE)</f>
        <v>4.1019980130257205E-2</v>
      </c>
      <c r="DK59">
        <f>VLOOKUP($B59,'[1]Data_UN_PopulationTot.&amp;%'!$B$4:$DE$603,101,FALSE)</f>
        <v>6.9916657467711677E-3</v>
      </c>
      <c r="DL59">
        <f>VLOOKUP($B59,'[1]Data_UN_PopulationTot.&amp;%'!$B$4:$DE$603,102,FALSE)</f>
        <v>6.4093718953526883E-4</v>
      </c>
    </row>
    <row r="60" spans="1:116">
      <c r="A60" t="s">
        <v>50</v>
      </c>
      <c r="B60" t="s">
        <v>459</v>
      </c>
      <c r="C60" t="s">
        <v>485</v>
      </c>
      <c r="D60" t="s">
        <v>622</v>
      </c>
      <c r="E60" t="s">
        <v>2269</v>
      </c>
      <c r="F60">
        <v>0</v>
      </c>
      <c r="G60">
        <v>0</v>
      </c>
      <c r="H60">
        <v>0</v>
      </c>
      <c r="I60">
        <v>1</v>
      </c>
      <c r="J60" s="18">
        <f t="shared" si="1"/>
        <v>121.59660544</v>
      </c>
      <c r="K60">
        <f>VLOOKUP($B60,'[1]Source GDP Current USD'!$B$1:$CZ$600,64,FALSE)</f>
        <v>269594831987.54901</v>
      </c>
      <c r="L60" s="45">
        <f>VLOOKUP($B60,'[1]Source GDP Current USD'!$B$1:$CZ$600,65,FALSE)</f>
        <v>269594831987.54901</v>
      </c>
      <c r="M60" s="17">
        <f>VLOOKUP($B60,'[1]Source GDP Current LCU'!$B$1:$CZ$600,64,FALSE)</f>
        <v>236032000000</v>
      </c>
      <c r="N60" s="45">
        <v>240000000000</v>
      </c>
      <c r="O60" s="45">
        <f>VLOOKUP($B60,'[1]Source GNI Current USD'!$B$1:$CZ$600,64,FALSE)</f>
        <v>274361216350.19501</v>
      </c>
      <c r="P60" s="45">
        <f>VLOOKUP($B60,'[1]Source GNI Current LCU'!$B$1:$CZ$600,64,FALSE)</f>
        <v>240205000000</v>
      </c>
      <c r="Q60">
        <f t="shared" si="0"/>
        <v>98.262733914781123</v>
      </c>
      <c r="R60">
        <v>49780</v>
      </c>
      <c r="S60">
        <v>49780</v>
      </c>
      <c r="T60">
        <v>0.96512699999999996</v>
      </c>
      <c r="U60" s="45">
        <v>5500000</v>
      </c>
      <c r="V60">
        <v>51.517000000000003</v>
      </c>
      <c r="W60">
        <f>VLOOKUP($B60,'[1]Source Gov. Revenue WEO'!$B$1:$CZ$600,5,FALSE)</f>
        <v>52.164000000000001</v>
      </c>
      <c r="X60">
        <f>VLOOKUP($B60,'[1]Source Gov. Revenue WEO'!$B$1:$CZ$600,6,FALSE)</f>
        <v>51.872999999999998</v>
      </c>
      <c r="Y60">
        <f>VLOOKUP($B60,'[1]Source Gov. Revenue WEO'!$B$1:$CZ$600,7,FALSE)</f>
        <v>51.743000000000002</v>
      </c>
      <c r="Z60">
        <f>VLOOKUP($B60,'[1]Source Gov. Revenue WEO'!$B$1:$CZ$600,8,FALSE)</f>
        <v>51.713000000000001</v>
      </c>
      <c r="AA60">
        <f>VLOOKUP($B60,'[1]Source Gov. Revenue WEO'!$B$1:$CZ$600,9,FALSE)</f>
        <v>51.625999999999998</v>
      </c>
      <c r="AB60">
        <f>VLOOKUP($B60,'[1]Source Gov. Revenue WEO'!$B$1:$CZ$600,10,FALSE)</f>
        <v>51.598999999999997</v>
      </c>
      <c r="AC60" t="e">
        <f>VLOOKUP($B60,[2]Summary!$B$1:$CZ$600,39,FALSE)</f>
        <v>#N/A</v>
      </c>
      <c r="AD60" t="e">
        <f>VLOOKUP($B60,[2]Summary!$B$1:$CZ$600,40,FALSE)</f>
        <v>#N/A</v>
      </c>
      <c r="AE60" t="e">
        <f>VLOOKUP($B60,[2]Summary!$B$1:$CZ$600,47,FALSE)</f>
        <v>#N/A</v>
      </c>
      <c r="AF60">
        <f>VLOOKUP($B60,'[1]CALC GDP Growth rates WDI'!$B$1:$CZ$600,27,FALSE)</f>
        <v>5.9747845288125792</v>
      </c>
      <c r="AG60">
        <f>VLOOKUP($B60,'[1]CALC GDP Growth rates WDI'!$B$1:$CZ$600,29,FALSE)</f>
        <v>11.124237007772496</v>
      </c>
      <c r="AH60">
        <v>5.59</v>
      </c>
      <c r="AI60">
        <f>VLOOKUP($B60,'[1]CALC GDP Growth rates WDI'!$B$1:$CZ$600,30,FALSE)</f>
        <v>7.8688733043695613</v>
      </c>
      <c r="AK60" t="e">
        <f>VLOOKUP($B60,[1]Data_Aspire!$B$1:$CZ$600,2,FALSE)</f>
        <v>#N/A</v>
      </c>
      <c r="AL60" t="e">
        <f>VLOOKUP($B60,[1]Data_Aspire!$B$1:$CZ$600,3,FALSE)</f>
        <v>#N/A</v>
      </c>
      <c r="AM60" t="e">
        <f>VLOOKUP($B60,[1]Data_Aspire!$B$1:$CZ$600,4,FALSE)</f>
        <v>#N/A</v>
      </c>
      <c r="AN60" t="e">
        <f>VLOOKUP($B60,[1]Data_Aspire!$B$1:$CZ$600,5,FALSE)</f>
        <v>#N/A</v>
      </c>
      <c r="AO60" t="e">
        <f>VLOOKUP($B60,[1]Data_Aspire!$B$1:$CZ$600,6,FALSE)</f>
        <v>#N/A</v>
      </c>
      <c r="AP60" t="e">
        <f>VLOOKUP($B60,[1]Data_Aspire!$B$1:$CZ$600,7,FALSE)</f>
        <v>#N/A</v>
      </c>
      <c r="AQ60" t="e">
        <f>VLOOKUP($B60,[1]Data_Aspire!$B$1:$CZ$600,8,FALSE)</f>
        <v>#N/A</v>
      </c>
      <c r="AR60" t="e">
        <f>VLOOKUP($B60,[1]Data_Aspire!$B$1:$CZ$600,9,FALSE)</f>
        <v>#N/A</v>
      </c>
      <c r="AS60" t="e">
        <f>VLOOKUP($B60,[1]Data_Aspire!$B$1:$CZ$600,10,FALSE)</f>
        <v>#N/A</v>
      </c>
      <c r="AT60" t="e">
        <f>VLOOKUP($B60,[1]Data_Aspire!$B$1:$CZ$600,11,FALSE)</f>
        <v>#N/A</v>
      </c>
      <c r="AU60" t="e">
        <f>VLOOKUP($B60,[1]Data_Aspire!$B$1:$CZ$600,12,FALSE)</f>
        <v>#N/A</v>
      </c>
      <c r="AV60" t="e">
        <f>VLOOKUP($B60,[1]Data_Aspire!$B$1:$CZ$600,13,FALSE)</f>
        <v>#N/A</v>
      </c>
      <c r="AW60" t="e">
        <f>VLOOKUP($B60,[1]Data_Aspire!$B$1:$CZ$600,14,FALSE)</f>
        <v>#N/A</v>
      </c>
      <c r="AX60" t="e">
        <f>VLOOKUP($B60,[1]Data_Aspire!$B$1:$CZ$600,15,FALSE)</f>
        <v>#N/A</v>
      </c>
      <c r="AY60" t="e">
        <f>VLOOKUP($B60,[1]Data_Aspire!$B$1:$CZ$600,16,FALSE)</f>
        <v>#N/A</v>
      </c>
      <c r="AZ60" t="e">
        <f>VLOOKUP($B60,[1]Data_Aspire!$B$1:$CZ$600,17,FALSE)</f>
        <v>#N/A</v>
      </c>
      <c r="BA60" t="e">
        <f>VLOOKUP($B60,[1]Data_Aspire!$B$1:$CZ$600,18,FALSE)</f>
        <v>#N/A</v>
      </c>
      <c r="BB60" t="e">
        <f>VLOOKUP($B60,[1]Data_Aspire!$B$1:$CZ$600,19,FALSE)</f>
        <v>#N/A</v>
      </c>
      <c r="BC60" t="e">
        <f>VLOOKUP($B60,[1]Data_Aspire!$B$1:$CZ$600,20,FALSE)</f>
        <v>#N/A</v>
      </c>
      <c r="BD60" t="e">
        <f>VLOOKUP($B60,[1]Data_Aspire!$B$1:$CZ$600,21,FALSE)</f>
        <v>#N/A</v>
      </c>
      <c r="BE60" t="e">
        <f>VLOOKUP($B60,[1]Data_Aspire!$B$1:$CZ$600,22,FALSE)</f>
        <v>#N/A</v>
      </c>
      <c r="BF60" t="e">
        <f>VLOOKUP($B60,[1]Data_Aspire!$B$1:$CZ$600,23,FALSE)</f>
        <v>#N/A</v>
      </c>
      <c r="BG60" t="e">
        <f>VLOOKUP($B60,[1]Data_Aspire!$B$1:$CZ$600,24,FALSE)</f>
        <v>#N/A</v>
      </c>
      <c r="BH60" t="e">
        <f>VLOOKUP($B60,[1]Data_Aspire!$B$1:$CZ$600,25,FALSE)</f>
        <v>#N/A</v>
      </c>
      <c r="BI60" t="e">
        <f>VLOOKUP($B60,[1]Data_Aspire!$B$1:$CZ$600,26,FALSE)</f>
        <v>#N/A</v>
      </c>
      <c r="BJ60" s="7">
        <v>0</v>
      </c>
      <c r="BK60">
        <v>246</v>
      </c>
      <c r="BL60">
        <f>VLOOKUP($B60,'[1]Data_UN_PopulationTot.&amp;%'!$B$4:$CZ$603,8,FALSE)</f>
        <v>5540.72</v>
      </c>
      <c r="BM60">
        <f>VLOOKUP($B60,'[1]Data_UN_PopulationTot.&amp;%'!$B$4:$CZ$603,9,FALSE)</f>
        <v>5548.36</v>
      </c>
      <c r="BN60">
        <v>5554.96</v>
      </c>
      <c r="BO60">
        <f>VLOOKUP($B60,'[1]Data_UN_PopulationTot.&amp;%'!$B$4:$CZ$603,11,FALSE)</f>
        <v>5560.63</v>
      </c>
      <c r="BP60">
        <f>VLOOKUP($B60,'[1]Data_UN_PopulationTot.&amp;%'!$B$4:$CZ$603,12,FALSE)</f>
        <v>5565.47</v>
      </c>
      <c r="BQ60">
        <f>VLOOKUP($B60,'[1]Data_UN_PopulationTot.&amp;%'!$B$4:$CZ$603,13,FALSE)</f>
        <v>5569.57</v>
      </c>
      <c r="BR60">
        <f>VLOOKUP($B60,'[1]Data_UN_PopulationTot.&amp;%'!$B$4:$CZ$603,14,FALSE)</f>
        <v>5573.02</v>
      </c>
      <c r="BS60">
        <f>VLOOKUP($B60,'[1]Data_UN_PopulationTot.&amp;%'!$B$4:$CZ$603,15,FALSE)</f>
        <v>5575.9</v>
      </c>
      <c r="BT60">
        <f>VLOOKUP($B60,'[1]Data_UN_PopulationTot.&amp;%'!$B$4:$CZ$603,16,FALSE)</f>
        <v>5578.14</v>
      </c>
      <c r="BU60">
        <f>VLOOKUP($B60,'[1]Data_UN_PopulationTot.&amp;%'!$B$4:$CZ$603,17,FALSE)</f>
        <v>5579.71</v>
      </c>
      <c r="BV60">
        <f>VLOOKUP($B60,'[1]Data_UN_PopulationTot.&amp;%'!$B$4:$CZ$603,18,FALSE)</f>
        <v>5580.53</v>
      </c>
      <c r="BW60">
        <f>VLOOKUP($B60,'[1]Data_UN_PopulationTot.&amp;%'!$B$4:$CZ$603,61,FALSE)</f>
        <v>4.7671060800762355</v>
      </c>
      <c r="BX60">
        <f>VLOOKUP($B60,'[1]Data_UN_PopulationTot.&amp;%'!$B$4:$CZ$603,62,FALSE)</f>
        <v>5.4965239174692098</v>
      </c>
      <c r="BY60">
        <f>VLOOKUP($B60,'[1]Data_UN_PopulationTot.&amp;%'!$B$4:$CZ$603,63,FALSE)</f>
        <v>5.601474176641303</v>
      </c>
      <c r="BZ60">
        <f>VLOOKUP($B60,'[1]Data_UN_PopulationTot.&amp;%'!$B$4:$CZ$603,64,FALSE)</f>
        <v>5.3476443494708263</v>
      </c>
      <c r="CA60">
        <f>VLOOKUP($B60,'[1]Data_UN_PopulationTot.&amp;%'!$B$4:$CZ$603,65,FALSE)</f>
        <v>5.653651510994961</v>
      </c>
      <c r="CB60">
        <f>VLOOKUP($B60,'[1]Data_UN_PopulationTot.&amp;%'!$B$4:$CZ$603,66,FALSE)</f>
        <v>6.4811071485294329</v>
      </c>
      <c r="CC60">
        <f>VLOOKUP($B60,'[1]Data_UN_PopulationTot.&amp;%'!$B$4:$CZ$603,67,FALSE)</f>
        <v>6.2705207987409581</v>
      </c>
      <c r="CD60">
        <f>VLOOKUP($B60,'[1]Data_UN_PopulationTot.&amp;%'!$B$4:$CZ$603,68,FALSE)</f>
        <v>6.4819734619327454</v>
      </c>
      <c r="CE60">
        <f>VLOOKUP($B60,'[1]Data_UN_PopulationTot.&amp;%'!$B$4:$CZ$603,69,FALSE)</f>
        <v>6.234785370854329</v>
      </c>
      <c r="CF60">
        <f>VLOOKUP($B60,'[1]Data_UN_PopulationTot.&amp;%'!$B$4:$CZ$603,70,FALSE)</f>
        <v>5.6690827184914596</v>
      </c>
      <c r="CG60">
        <f>VLOOKUP($B60,'[1]Data_UN_PopulationTot.&amp;%'!$B$4:$CZ$603,71,FALSE)</f>
        <v>6.3350430990918154</v>
      </c>
      <c r="CH60">
        <f>VLOOKUP($B60,'[1]Data_UN_PopulationTot.&amp;%'!$B$4:$CZ$603,72,FALSE)</f>
        <v>6.6696746993170564</v>
      </c>
      <c r="CI60">
        <f>VLOOKUP($B60,'[1]Data_UN_PopulationTot.&amp;%'!$B$4:$CZ$603,73,FALSE)</f>
        <v>6.4368529721769017</v>
      </c>
      <c r="CJ60">
        <f>VLOOKUP($B60,'[1]Data_UN_PopulationTot.&amp;%'!$B$4:$CZ$603,74,FALSE)</f>
        <v>6.4193281739557309</v>
      </c>
      <c r="CK60">
        <f>VLOOKUP($B60,'[1]Data_UN_PopulationTot.&amp;%'!$B$4:$CZ$603,75,FALSE)</f>
        <v>6.454070951067731</v>
      </c>
      <c r="CL60">
        <f>VLOOKUP($B60,'[1]Data_UN_PopulationTot.&amp;%'!$B$4:$CZ$603,76,FALSE)</f>
        <v>4.0678106816442625</v>
      </c>
      <c r="CM60">
        <f>VLOOKUP($B60,'[1]Data_UN_PopulationTot.&amp;%'!$B$4:$CZ$603,77,FALSE)</f>
        <v>2.8718830765676659</v>
      </c>
      <c r="CN60">
        <f>VLOOKUP($B60,'[1]Data_UN_PopulationTot.&amp;%'!$B$4:$CZ$603,78,FALSE)</f>
        <v>1.739864133181247</v>
      </c>
      <c r="CO60">
        <f>VLOOKUP($B60,'[1]Data_UN_PopulationTot.&amp;%'!$B$4:$CZ$603,79,FALSE)</f>
        <v>0.7979287890382476</v>
      </c>
      <c r="CP60">
        <f>VLOOKUP($B60,'[1]Data_UN_PopulationTot.&amp;%'!$B$4:$CZ$603,80,FALSE)</f>
        <v>0.186040803361296</v>
      </c>
      <c r="CQ60">
        <f>VLOOKUP($B60,'[1]Data_UN_PopulationTot.&amp;%'!$B$4:$CZ$603,81,FALSE)</f>
        <v>1.7596991004779163E-2</v>
      </c>
      <c r="CR60">
        <f>VLOOKUP($B60,'[1]Data_UN_PopulationTot.&amp;%'!$B$4:$CZ$603,82,FALSE)</f>
        <v>4.3555002840232024</v>
      </c>
      <c r="CS60">
        <f>VLOOKUP($B60,'[1]Data_UN_PopulationTot.&amp;%'!$B$4:$CZ$603,83,FALSE)</f>
        <v>4.4678014453824275</v>
      </c>
      <c r="CT60">
        <f>VLOOKUP($B60,'[1]Data_UN_PopulationTot.&amp;%'!$B$4:$CZ$603,84,FALSE)</f>
        <v>4.8767590175126738</v>
      </c>
      <c r="CU60">
        <f>VLOOKUP($B60,'[1]Data_UN_PopulationTot.&amp;%'!$B$4:$CZ$603,85,FALSE)</f>
        <v>5.6066538482903949</v>
      </c>
      <c r="CV60">
        <f>VLOOKUP($B60,'[1]Data_UN_PopulationTot.&amp;%'!$B$4:$CZ$603,86,FALSE)</f>
        <v>5.8329047599421564</v>
      </c>
      <c r="CW60">
        <f>VLOOKUP($B60,'[1]Data_UN_PopulationTot.&amp;%'!$B$4:$CZ$603,87,FALSE)</f>
        <v>5.713955484514913</v>
      </c>
      <c r="CX60">
        <f>VLOOKUP($B60,'[1]Data_UN_PopulationTot.&amp;%'!$B$4:$CZ$603,88,FALSE)</f>
        <v>5.964361807928638</v>
      </c>
      <c r="CY60">
        <f>VLOOKUP($B60,'[1]Data_UN_PopulationTot.&amp;%'!$B$4:$CZ$603,89,FALSE)</f>
        <v>6.6503719180794656</v>
      </c>
      <c r="CZ60">
        <f>VLOOKUP($B60,'[1]Data_UN_PopulationTot.&amp;%'!$B$4:$CZ$603,90,FALSE)</f>
        <v>6.3556866462504455</v>
      </c>
      <c r="DA60">
        <f>VLOOKUP($B60,'[1]Data_UN_PopulationTot.&amp;%'!$B$4:$CZ$603,91,FALSE)</f>
        <v>6.4840615497094367</v>
      </c>
      <c r="DB60">
        <f>VLOOKUP($B60,'[1]Data_UN_PopulationTot.&amp;%'!$B$4:$CZ$603,92,FALSE)</f>
        <v>6.1578918131431957</v>
      </c>
      <c r="DC60">
        <f>VLOOKUP($B60,'[1]Data_UN_PopulationTot.&amp;%'!$B$4:$CZ$603,93,FALSE)</f>
        <v>5.5168595097598256</v>
      </c>
      <c r="DD60">
        <f>VLOOKUP($B60,'[1]Data_UN_PopulationTot.&amp;%'!$B$4:$CZ$603,94,FALSE)</f>
        <v>6.0316134847406975</v>
      </c>
      <c r="DE60">
        <f>VLOOKUP($B60,'[1]Data_UN_PopulationTot.&amp;%'!$B$4:$CZ$603,95,FALSE)</f>
        <v>6.1895017139949067</v>
      </c>
      <c r="DF60">
        <f>VLOOKUP($B60,'[1]Data_UN_PopulationTot.&amp;%'!$B$4:$CZ$603,96,FALSE)</f>
        <v>5.7838234002863524</v>
      </c>
      <c r="DG60">
        <f>VLOOKUP($B60,'[1]Data_UN_PopulationTot.&amp;%'!$B$4:$CZ$603,97,FALSE)</f>
        <v>5.4590692998693671</v>
      </c>
      <c r="DH60">
        <f>VLOOKUP($B60,'[1]Data_UN_PopulationTot.&amp;%'!$B$4:$CZ$603,98,FALSE)</f>
        <v>4.8770457286315105</v>
      </c>
      <c r="DI60">
        <f>VLOOKUP($B60,'[1]Data_UN_PopulationTot.&amp;%'!$B$4:$CZ$603,99,FALSE)</f>
        <v>2.3820138947375966</v>
      </c>
      <c r="DJ60">
        <f>VLOOKUP($B60,'[1]Data_UN_PopulationTot.&amp;%'!$B$4:$DE$603,100,FALSE)</f>
        <v>1.0109613244620135</v>
      </c>
      <c r="DK60">
        <f>VLOOKUP($B60,'[1]Data_UN_PopulationTot.&amp;%'!$B$4:$DE$603,101,FALSE)</f>
        <v>0.2516786040035624</v>
      </c>
      <c r="DL60">
        <f>VLOOKUP($B60,'[1]Data_UN_PopulationTot.&amp;%'!$B$4:$DE$603,102,FALSE)</f>
        <v>3.1502384182147576E-2</v>
      </c>
    </row>
    <row r="61" spans="1:116">
      <c r="A61" t="s">
        <v>181</v>
      </c>
      <c r="B61" t="s">
        <v>396</v>
      </c>
      <c r="C61" t="s">
        <v>493</v>
      </c>
      <c r="D61" t="s">
        <v>389</v>
      </c>
      <c r="E61" t="s">
        <v>301</v>
      </c>
      <c r="F61">
        <v>0</v>
      </c>
      <c r="G61">
        <v>0</v>
      </c>
      <c r="H61">
        <v>1</v>
      </c>
      <c r="I61">
        <v>0</v>
      </c>
      <c r="J61" s="18">
        <f t="shared" si="1"/>
        <v>2.0059497779874103</v>
      </c>
      <c r="K61">
        <f>VLOOKUP($B61,'[1]Source GDP Current USD'!$B$1:$CZ$600,64,FALSE)</f>
        <v>4533883782.27458</v>
      </c>
      <c r="L61" s="45">
        <f>VLOOKUP($B61,'[1]Source GDP Current USD'!$B$1:$CZ$600,65,FALSE)</f>
        <v>4533883782.27458</v>
      </c>
      <c r="M61" s="17">
        <f>VLOOKUP($B61,'[1]Source GDP Current LCU'!$B$1:$CZ$600,64,FALSE)</f>
        <v>9833087146.9971104</v>
      </c>
      <c r="N61" s="45">
        <v>9800000000</v>
      </c>
      <c r="O61" s="45">
        <f>VLOOKUP($B61,'[1]Source GNI Current USD'!$B$1:$CZ$600,64,FALSE)</f>
        <v>4255066002.8573899</v>
      </c>
      <c r="P61" s="45">
        <f>VLOOKUP($B61,'[1]Source GNI Current LCU'!$B$1:$CZ$600,64,FALSE)</f>
        <v>9228387146.9971104</v>
      </c>
      <c r="Q61">
        <f t="shared" si="0"/>
        <v>106.55260762653165</v>
      </c>
      <c r="R61">
        <v>4890</v>
      </c>
      <c r="S61">
        <v>4890</v>
      </c>
      <c r="T61">
        <v>0.41871799999999998</v>
      </c>
      <c r="U61">
        <v>896444</v>
      </c>
      <c r="V61">
        <v>20.399999999999999</v>
      </c>
      <c r="W61">
        <f>VLOOKUP($B61,'[1]Source Gov. Revenue WEO'!$B$1:$CZ$600,5,FALSE)</f>
        <v>22.431999999999999</v>
      </c>
      <c r="X61">
        <f>VLOOKUP($B61,'[1]Source Gov. Revenue WEO'!$B$1:$CZ$600,6,FALSE)</f>
        <v>22.244</v>
      </c>
      <c r="Y61">
        <f>VLOOKUP($B61,'[1]Source Gov. Revenue WEO'!$B$1:$CZ$600,7,FALSE)</f>
        <v>23.837</v>
      </c>
      <c r="Z61">
        <f>VLOOKUP($B61,'[1]Source Gov. Revenue WEO'!$B$1:$CZ$600,8,FALSE)</f>
        <v>24.975999999999999</v>
      </c>
      <c r="AA61">
        <f>VLOOKUP($B61,'[1]Source Gov. Revenue WEO'!$B$1:$CZ$600,9,FALSE)</f>
        <v>25.292000000000002</v>
      </c>
      <c r="AB61">
        <f>VLOOKUP($B61,'[1]Source Gov. Revenue WEO'!$B$1:$CZ$600,10,FALSE)</f>
        <v>25.524000000000001</v>
      </c>
      <c r="AC61">
        <f>VLOOKUP($B61,[2]Summary!$B$1:$CZ$600,39,FALSE)</f>
        <v>4.8059119999999999E-3</v>
      </c>
      <c r="AD61">
        <f>VLOOKUP($B61,[2]Summary!$B$1:$CZ$600,40,FALSE)</f>
        <v>2.5000000000000001E-3</v>
      </c>
      <c r="AE61">
        <f>VLOOKUP($B61,[2]Summary!$B$1:$CZ$600,47,FALSE)</f>
        <v>0.31701239378300505</v>
      </c>
      <c r="AF61">
        <f>VLOOKUP($B61,'[1]CALC GDP Growth rates WDI'!$B$1:$CZ$600,27,FALSE)</f>
        <v>13.184042246310021</v>
      </c>
      <c r="AG61">
        <f>VLOOKUP($B61,'[1]CALC GDP Growth rates WDI'!$B$1:$CZ$600,29,FALSE)</f>
        <v>38.048130943514913</v>
      </c>
      <c r="AH61">
        <v>-5.98</v>
      </c>
      <c r="AI61">
        <f>VLOOKUP($B61,'[1]CALC GDP Growth rates WDI'!$B$1:$CZ$600,30,FALSE)</f>
        <v>16.396224261183367</v>
      </c>
      <c r="AJ61" s="45"/>
      <c r="AK61">
        <f>VLOOKUP($B61,[1]Data_Aspire!$B$1:$CZ$600,2,FALSE)</f>
        <v>2016</v>
      </c>
      <c r="AL61">
        <f>VLOOKUP($B61,[1]Data_Aspire!$B$1:$CZ$600,3,FALSE)</f>
        <v>0.73</v>
      </c>
      <c r="AM61">
        <f>VLOOKUP($B61,[1]Data_Aspire!$B$1:$CZ$600,4,FALSE)</f>
        <v>0.03</v>
      </c>
      <c r="AN61">
        <f>VLOOKUP($B61,[1]Data_Aspire!$B$1:$CZ$600,5,FALSE)</f>
        <v>0.23</v>
      </c>
      <c r="AO61">
        <f>VLOOKUP($B61,[1]Data_Aspire!$B$1:$CZ$600,6,FALSE)</f>
        <v>0.14000000000000001</v>
      </c>
      <c r="AR61">
        <f>VLOOKUP($B61,[1]Data_Aspire!$B$1:$CZ$600,9,FALSE)</f>
        <v>0.01</v>
      </c>
      <c r="AS61">
        <f>VLOOKUP($B61,[1]Data_Aspire!$B$1:$CZ$600,10,FALSE)</f>
        <v>0.11</v>
      </c>
      <c r="AT61">
        <f>VLOOKUP($B61,[1]Data_Aspire!$B$1:$CZ$600,11,FALSE)</f>
        <v>0.22</v>
      </c>
      <c r="AU61">
        <f>VLOOKUP($B61,[1]Data_Aspire!$B$1:$CZ$600,12,FALSE)</f>
        <v>0.64</v>
      </c>
      <c r="AX61">
        <f>VLOOKUP($B61,[1]Data_Aspire!$B$1:$CZ$600,15,FALSE)</f>
        <v>106084</v>
      </c>
      <c r="AY61">
        <f>VLOOKUP($B61,[1]Data_Aspire!$B$1:$CZ$600,16,FALSE)</f>
        <v>2016</v>
      </c>
      <c r="AZ61">
        <f>VLOOKUP($B61,[1]Data_Aspire!$B$1:$CZ$600,17,FALSE)</f>
        <v>19174</v>
      </c>
      <c r="BA61">
        <f>VLOOKUP($B61,[1]Data_Aspire!$B$1:$CZ$600,18,FALSE)</f>
        <v>2016</v>
      </c>
      <c r="BB61">
        <f>VLOOKUP($B61,[1]Data_Aspire!$B$1:$CZ$600,19,FALSE)</f>
        <v>26394</v>
      </c>
      <c r="BC61">
        <f>VLOOKUP($B61,[1]Data_Aspire!$B$1:$CZ$600,20,FALSE)</f>
        <v>2015</v>
      </c>
      <c r="BD61">
        <f>VLOOKUP($B61,[1]Data_Aspire!$B$1:$CZ$600,21,FALSE)</f>
        <v>0</v>
      </c>
      <c r="BE61">
        <f>VLOOKUP($B61,[1]Data_Aspire!$B$1:$CZ$600,22,FALSE)</f>
        <v>0</v>
      </c>
      <c r="BF61">
        <f>VLOOKUP($B61,[1]Data_Aspire!$B$1:$CZ$600,23,FALSE)</f>
        <v>0</v>
      </c>
      <c r="BG61">
        <f>VLOOKUP($B61,[1]Data_Aspire!$B$1:$CZ$600,24,FALSE)</f>
        <v>0</v>
      </c>
      <c r="BH61">
        <f>VLOOKUP($B61,[1]Data_Aspire!$B$1:$CZ$600,25,FALSE)</f>
        <v>350</v>
      </c>
      <c r="BI61">
        <f>VLOOKUP($B61,[1]Data_Aspire!$B$1:$CZ$600,26,FALSE)</f>
        <v>2010</v>
      </c>
      <c r="BJ61" s="7">
        <v>0</v>
      </c>
      <c r="BK61">
        <v>242</v>
      </c>
      <c r="BL61">
        <f>VLOOKUP($B61,'[1]Data_UN_PopulationTot.&amp;%'!$B$4:$CZ$603,8,FALSE)</f>
        <v>896.44399999999996</v>
      </c>
      <c r="BM61">
        <f>VLOOKUP($B61,'[1]Data_UN_PopulationTot.&amp;%'!$B$4:$CZ$603,9,FALSE)</f>
        <v>902.899</v>
      </c>
      <c r="BN61">
        <v>909.45699999999999</v>
      </c>
      <c r="BO61">
        <f>VLOOKUP($B61,'[1]Data_UN_PopulationTot.&amp;%'!$B$4:$CZ$603,11,FALSE)</f>
        <v>916.13099999999997</v>
      </c>
      <c r="BP61">
        <f>VLOOKUP($B61,'[1]Data_UN_PopulationTot.&amp;%'!$B$4:$CZ$603,12,FALSE)</f>
        <v>922.95500000000004</v>
      </c>
      <c r="BQ61">
        <f>VLOOKUP($B61,'[1]Data_UN_PopulationTot.&amp;%'!$B$4:$CZ$603,13,FALSE)</f>
        <v>929.97699999999998</v>
      </c>
      <c r="BR61">
        <f>VLOOKUP($B61,'[1]Data_UN_PopulationTot.&amp;%'!$B$4:$CZ$603,14,FALSE)</f>
        <v>937.16200000000003</v>
      </c>
      <c r="BS61">
        <f>VLOOKUP($B61,'[1]Data_UN_PopulationTot.&amp;%'!$B$4:$CZ$603,15,FALSE)</f>
        <v>944.45600000000002</v>
      </c>
      <c r="BT61">
        <f>VLOOKUP($B61,'[1]Data_UN_PopulationTot.&amp;%'!$B$4:$CZ$603,16,FALSE)</f>
        <v>951.76300000000003</v>
      </c>
      <c r="BU61">
        <f>VLOOKUP($B61,'[1]Data_UN_PopulationTot.&amp;%'!$B$4:$CZ$603,17,FALSE)</f>
        <v>958.971</v>
      </c>
      <c r="BV61">
        <f>VLOOKUP($B61,'[1]Data_UN_PopulationTot.&amp;%'!$B$4:$CZ$603,18,FALSE)</f>
        <v>966.01900000000001</v>
      </c>
      <c r="BW61">
        <f>VLOOKUP($B61,'[1]Data_UN_PopulationTot.&amp;%'!$B$4:$CZ$603,61,FALSE)</f>
        <v>9.9716212055633147</v>
      </c>
      <c r="BX61">
        <f>VLOOKUP($B61,'[1]Data_UN_PopulationTot.&amp;%'!$B$4:$CZ$603,62,FALSE)</f>
        <v>9.788676147087827</v>
      </c>
      <c r="BY61">
        <f>VLOOKUP($B61,'[1]Data_UN_PopulationTot.&amp;%'!$B$4:$CZ$603,63,FALSE)</f>
        <v>9.2506615025589998</v>
      </c>
      <c r="BZ61">
        <f>VLOOKUP($B61,'[1]Data_UN_PopulationTot.&amp;%'!$B$4:$CZ$603,64,FALSE)</f>
        <v>8.3895926572100432</v>
      </c>
      <c r="CA61">
        <f>VLOOKUP($B61,'[1]Data_UN_PopulationTot.&amp;%'!$B$4:$CZ$603,65,FALSE)</f>
        <v>8.0186827063374846</v>
      </c>
      <c r="CB61">
        <f>VLOOKUP($B61,'[1]Data_UN_PopulationTot.&amp;%'!$B$4:$CZ$603,66,FALSE)</f>
        <v>7.8155467603107391</v>
      </c>
      <c r="CC61">
        <f>VLOOKUP($B61,'[1]Data_UN_PopulationTot.&amp;%'!$B$4:$CZ$603,67,FALSE)</f>
        <v>7.4557919959305883</v>
      </c>
      <c r="CD61">
        <f>VLOOKUP($B61,'[1]Data_UN_PopulationTot.&amp;%'!$B$4:$CZ$603,68,FALSE)</f>
        <v>7.5985783830334084</v>
      </c>
      <c r="CE61">
        <f>VLOOKUP($B61,'[1]Data_UN_PopulationTot.&amp;%'!$B$4:$CZ$603,69,FALSE)</f>
        <v>6.3631414789992462</v>
      </c>
      <c r="CF61">
        <f>VLOOKUP($B61,'[1]Data_UN_PopulationTot.&amp;%'!$B$4:$CZ$603,70,FALSE)</f>
        <v>5.5196978283082938</v>
      </c>
      <c r="CG61">
        <f>VLOOKUP($B61,'[1]Data_UN_PopulationTot.&amp;%'!$B$4:$CZ$603,71,FALSE)</f>
        <v>5.2876699492662125</v>
      </c>
      <c r="CH61">
        <f>VLOOKUP($B61,'[1]Data_UN_PopulationTot.&amp;%'!$B$4:$CZ$603,72,FALSE)</f>
        <v>4.9122979237966904</v>
      </c>
      <c r="CI61">
        <f>VLOOKUP($B61,'[1]Data_UN_PopulationTot.&amp;%'!$B$4:$CZ$603,73,FALSE)</f>
        <v>3.810611705806497</v>
      </c>
      <c r="CJ61">
        <f>VLOOKUP($B61,'[1]Data_UN_PopulationTot.&amp;%'!$B$4:$CZ$603,74,FALSE)</f>
        <v>2.5611192667919025</v>
      </c>
      <c r="CK61">
        <f>VLOOKUP($B61,'[1]Data_UN_PopulationTot.&amp;%'!$B$4:$CZ$603,75,FALSE)</f>
        <v>1.7197951015345074</v>
      </c>
      <c r="CL61">
        <f>VLOOKUP($B61,'[1]Data_UN_PopulationTot.&amp;%'!$B$4:$CZ$603,76,FALSE)</f>
        <v>0.91651012221622319</v>
      </c>
      <c r="CM61">
        <f>VLOOKUP($B61,'[1]Data_UN_PopulationTot.&amp;%'!$B$4:$CZ$603,77,FALSE)</f>
        <v>0.45189660480743921</v>
      </c>
      <c r="CN61">
        <f>VLOOKUP($B61,'[1]Data_UN_PopulationTot.&amp;%'!$B$4:$CZ$603,78,FALSE)</f>
        <v>0.13631637893722306</v>
      </c>
      <c r="CO61">
        <f>VLOOKUP($B61,'[1]Data_UN_PopulationTot.&amp;%'!$B$4:$CZ$603,79,FALSE)</f>
        <v>2.8668829285487994E-2</v>
      </c>
      <c r="CP61">
        <f>VLOOKUP($B61,'[1]Data_UN_PopulationTot.&amp;%'!$B$4:$CZ$603,80,FALSE)</f>
        <v>2.9003484880260229E-3</v>
      </c>
      <c r="CQ61">
        <f>VLOOKUP($B61,'[1]Data_UN_PopulationTot.&amp;%'!$B$4:$CZ$603,81,FALSE)</f>
        <v>2.2310372984815562E-4</v>
      </c>
      <c r="CR61">
        <f>VLOOKUP($B61,'[1]Data_UN_PopulationTot.&amp;%'!$B$4:$CZ$603,82,FALSE)</f>
        <v>8.7988952598240822</v>
      </c>
      <c r="CS61">
        <f>VLOOKUP($B61,'[1]Data_UN_PopulationTot.&amp;%'!$B$4:$CZ$603,83,FALSE)</f>
        <v>8.9429918045090222</v>
      </c>
      <c r="CT61">
        <f>VLOOKUP($B61,'[1]Data_UN_PopulationTot.&amp;%'!$B$4:$CZ$603,84,FALSE)</f>
        <v>9.1245617322226575</v>
      </c>
      <c r="CU61">
        <f>VLOOKUP($B61,'[1]Data_UN_PopulationTot.&amp;%'!$B$4:$CZ$603,85,FALSE)</f>
        <v>8.8827445422916114</v>
      </c>
      <c r="CV61">
        <f>VLOOKUP($B61,'[1]Data_UN_PopulationTot.&amp;%'!$B$4:$CZ$603,86,FALSE)</f>
        <v>8.1132979786111878</v>
      </c>
      <c r="CW61">
        <f>VLOOKUP($B61,'[1]Data_UN_PopulationTot.&amp;%'!$B$4:$CZ$603,87,FALSE)</f>
        <v>7.1412674077839053</v>
      </c>
      <c r="CX61">
        <f>VLOOKUP($B61,'[1]Data_UN_PopulationTot.&amp;%'!$B$4:$CZ$603,88,FALSE)</f>
        <v>6.8398240614315045</v>
      </c>
      <c r="CY61">
        <f>VLOOKUP($B61,'[1]Data_UN_PopulationTot.&amp;%'!$B$4:$CZ$603,89,FALSE)</f>
        <v>6.747486333084546</v>
      </c>
      <c r="CZ61">
        <f>VLOOKUP($B61,'[1]Data_UN_PopulationTot.&amp;%'!$B$4:$CZ$603,90,FALSE)</f>
        <v>6.4753384767794424</v>
      </c>
      <c r="DA61">
        <f>VLOOKUP($B61,'[1]Data_UN_PopulationTot.&amp;%'!$B$4:$CZ$603,91,FALSE)</f>
        <v>6.5916922959072224</v>
      </c>
      <c r="DB61">
        <f>VLOOKUP($B61,'[1]Data_UN_PopulationTot.&amp;%'!$B$4:$CZ$603,92,FALSE)</f>
        <v>5.4317772217730713</v>
      </c>
      <c r="DC61">
        <f>VLOOKUP($B61,'[1]Data_UN_PopulationTot.&amp;%'!$B$4:$CZ$603,93,FALSE)</f>
        <v>4.5846924335856754</v>
      </c>
      <c r="DD61">
        <f>VLOOKUP($B61,'[1]Data_UN_PopulationTot.&amp;%'!$B$4:$CZ$603,94,FALSE)</f>
        <v>4.1928781939071591</v>
      </c>
      <c r="DE61">
        <f>VLOOKUP($B61,'[1]Data_UN_PopulationTot.&amp;%'!$B$4:$CZ$603,95,FALSE)</f>
        <v>3.5778799381792701</v>
      </c>
      <c r="DF61">
        <f>VLOOKUP($B61,'[1]Data_UN_PopulationTot.&amp;%'!$B$4:$CZ$603,96,FALSE)</f>
        <v>2.4112362179211795</v>
      </c>
      <c r="DG61">
        <f>VLOOKUP($B61,'[1]Data_UN_PopulationTot.&amp;%'!$B$4:$CZ$603,97,FALSE)</f>
        <v>1.2969724197971262</v>
      </c>
      <c r="DH61">
        <f>VLOOKUP($B61,'[1]Data_UN_PopulationTot.&amp;%'!$B$4:$CZ$603,98,FALSE)</f>
        <v>0.61334197360507392</v>
      </c>
      <c r="DI61">
        <f>VLOOKUP($B61,'[1]Data_UN_PopulationTot.&amp;%'!$B$4:$CZ$603,99,FALSE)</f>
        <v>0.18798802093954672</v>
      </c>
      <c r="DJ61">
        <f>VLOOKUP($B61,'[1]Data_UN_PopulationTot.&amp;%'!$B$4:$DE$603,100,FALSE)</f>
        <v>4.0785947274328972E-2</v>
      </c>
      <c r="DK61">
        <f>VLOOKUP($B61,'[1]Data_UN_PopulationTot.&amp;%'!$B$4:$DE$603,101,FALSE)</f>
        <v>4.0371876743625123E-3</v>
      </c>
      <c r="DL61">
        <f>VLOOKUP($B61,'[1]Data_UN_PopulationTot.&amp;%'!$B$4:$DE$603,102,FALSE)</f>
        <v>3.1055289802788558E-4</v>
      </c>
    </row>
    <row r="62" spans="1:116">
      <c r="A62" t="s">
        <v>55</v>
      </c>
      <c r="B62" t="s">
        <v>452</v>
      </c>
      <c r="C62" t="s">
        <v>485</v>
      </c>
      <c r="D62" t="s">
        <v>622</v>
      </c>
      <c r="E62" t="s">
        <v>2269</v>
      </c>
      <c r="F62">
        <v>0</v>
      </c>
      <c r="G62">
        <v>0</v>
      </c>
      <c r="H62">
        <v>0</v>
      </c>
      <c r="I62">
        <v>1</v>
      </c>
      <c r="J62" s="18">
        <f t="shared" si="1"/>
        <v>1210.7747022000001</v>
      </c>
      <c r="K62">
        <f>VLOOKUP($B62,'[1]Source GDP Current USD'!$B$1:$CZ$600,64,FALSE)</f>
        <v>2630317731455.2598</v>
      </c>
      <c r="L62" s="45">
        <f>VLOOKUP($B62,'[1]Source GDP Current USD'!$B$1:$CZ$600,65,FALSE)</f>
        <v>2630317731455.2598</v>
      </c>
      <c r="M62" s="17">
        <f>VLOOKUP($B62,'[1]Source GDP Current LCU'!$B$1:$CZ$600,64,FALSE)</f>
        <v>2302860000000</v>
      </c>
      <c r="N62" s="45">
        <v>2300000000000</v>
      </c>
      <c r="O62" s="45">
        <f>VLOOKUP($B62,'[1]Source GNI Current USD'!$B$1:$CZ$600,64,FALSE)</f>
        <v>2671813716093.3901</v>
      </c>
      <c r="P62" s="45">
        <f>VLOOKUP($B62,'[1]Source GNI Current LCU'!$B$1:$CZ$600,64,FALSE)</f>
        <v>2339190000000</v>
      </c>
      <c r="Q62">
        <f t="shared" si="0"/>
        <v>98.446898285303888</v>
      </c>
      <c r="R62">
        <v>39480</v>
      </c>
      <c r="S62">
        <v>39480</v>
      </c>
      <c r="T62">
        <v>0.83073300000000005</v>
      </c>
      <c r="U62" s="45">
        <v>67000000</v>
      </c>
      <c r="V62">
        <v>52.576999999999998</v>
      </c>
      <c r="W62">
        <f>VLOOKUP($B62,'[1]Source Gov. Revenue WEO'!$B$1:$CZ$600,5,FALSE)</f>
        <v>51.725000000000001</v>
      </c>
      <c r="X62">
        <f>VLOOKUP($B62,'[1]Source Gov. Revenue WEO'!$B$1:$CZ$600,6,FALSE)</f>
        <v>51.314</v>
      </c>
      <c r="Y62">
        <f>VLOOKUP($B62,'[1]Source Gov. Revenue WEO'!$B$1:$CZ$600,7,FALSE)</f>
        <v>50.607999999999997</v>
      </c>
      <c r="Z62">
        <f>VLOOKUP($B62,'[1]Source Gov. Revenue WEO'!$B$1:$CZ$600,8,FALSE)</f>
        <v>50.606999999999999</v>
      </c>
      <c r="AA62">
        <f>VLOOKUP($B62,'[1]Source Gov. Revenue WEO'!$B$1:$CZ$600,9,FALSE)</f>
        <v>50.543999999999997</v>
      </c>
      <c r="AB62">
        <f>VLOOKUP($B62,'[1]Source Gov. Revenue WEO'!$B$1:$CZ$600,10,FALSE)</f>
        <v>50.493000000000002</v>
      </c>
      <c r="AC62" t="e">
        <f>VLOOKUP($B62,[2]Summary!$B$1:$CZ$600,39,FALSE)</f>
        <v>#N/A</v>
      </c>
      <c r="AD62" t="e">
        <f>VLOOKUP($B62,[2]Summary!$B$1:$CZ$600,40,FALSE)</f>
        <v>#N/A</v>
      </c>
      <c r="AE62" t="e">
        <f>VLOOKUP($B62,[2]Summary!$B$1:$CZ$600,47,FALSE)</f>
        <v>#N/A</v>
      </c>
      <c r="AF62">
        <f>VLOOKUP($B62,'[1]CALC GDP Growth rates WDI'!$B$1:$CZ$600,27,FALSE)</f>
        <v>4.0424982862964427</v>
      </c>
      <c r="AG62">
        <f>VLOOKUP($B62,'[1]CALC GDP Growth rates WDI'!$B$1:$CZ$600,29,FALSE)</f>
        <v>12.902644915736005</v>
      </c>
      <c r="AH62">
        <v>-1.1499999999999999</v>
      </c>
      <c r="AI62">
        <f>VLOOKUP($B62,'[1]CALC GDP Growth rates WDI'!$B$1:$CZ$600,30,FALSE)</f>
        <v>6.392964650187638</v>
      </c>
      <c r="AJ62" s="45"/>
      <c r="AK62" t="e">
        <f>VLOOKUP($B62,[1]Data_Aspire!$B$1:$CZ$600,2,FALSE)</f>
        <v>#N/A</v>
      </c>
      <c r="AL62" t="e">
        <f>VLOOKUP($B62,[1]Data_Aspire!$B$1:$CZ$600,3,FALSE)</f>
        <v>#N/A</v>
      </c>
      <c r="AM62" t="e">
        <f>VLOOKUP($B62,[1]Data_Aspire!$B$1:$CZ$600,4,FALSE)</f>
        <v>#N/A</v>
      </c>
      <c r="AN62" t="e">
        <f>VLOOKUP($B62,[1]Data_Aspire!$B$1:$CZ$600,5,FALSE)</f>
        <v>#N/A</v>
      </c>
      <c r="AO62" t="e">
        <f>VLOOKUP($B62,[1]Data_Aspire!$B$1:$CZ$600,6,FALSE)</f>
        <v>#N/A</v>
      </c>
      <c r="AP62" t="e">
        <f>VLOOKUP($B62,[1]Data_Aspire!$B$1:$CZ$600,7,FALSE)</f>
        <v>#N/A</v>
      </c>
      <c r="AQ62" t="e">
        <f>VLOOKUP($B62,[1]Data_Aspire!$B$1:$CZ$600,8,FALSE)</f>
        <v>#N/A</v>
      </c>
      <c r="AR62" t="e">
        <f>VLOOKUP($B62,[1]Data_Aspire!$B$1:$CZ$600,9,FALSE)</f>
        <v>#N/A</v>
      </c>
      <c r="AS62" t="e">
        <f>VLOOKUP($B62,[1]Data_Aspire!$B$1:$CZ$600,10,FALSE)</f>
        <v>#N/A</v>
      </c>
      <c r="AT62" t="e">
        <f>VLOOKUP($B62,[1]Data_Aspire!$B$1:$CZ$600,11,FALSE)</f>
        <v>#N/A</v>
      </c>
      <c r="AU62" t="e">
        <f>VLOOKUP($B62,[1]Data_Aspire!$B$1:$CZ$600,12,FALSE)</f>
        <v>#N/A</v>
      </c>
      <c r="AV62" t="e">
        <f>VLOOKUP($B62,[1]Data_Aspire!$B$1:$CZ$600,13,FALSE)</f>
        <v>#N/A</v>
      </c>
      <c r="AW62" t="e">
        <f>VLOOKUP($B62,[1]Data_Aspire!$B$1:$CZ$600,14,FALSE)</f>
        <v>#N/A</v>
      </c>
      <c r="AX62" t="e">
        <f>VLOOKUP($B62,[1]Data_Aspire!$B$1:$CZ$600,15,FALSE)</f>
        <v>#N/A</v>
      </c>
      <c r="AY62" t="e">
        <f>VLOOKUP($B62,[1]Data_Aspire!$B$1:$CZ$600,16,FALSE)</f>
        <v>#N/A</v>
      </c>
      <c r="AZ62" t="e">
        <f>VLOOKUP($B62,[1]Data_Aspire!$B$1:$CZ$600,17,FALSE)</f>
        <v>#N/A</v>
      </c>
      <c r="BA62" t="e">
        <f>VLOOKUP($B62,[1]Data_Aspire!$B$1:$CZ$600,18,FALSE)</f>
        <v>#N/A</v>
      </c>
      <c r="BB62" t="e">
        <f>VLOOKUP($B62,[1]Data_Aspire!$B$1:$CZ$600,19,FALSE)</f>
        <v>#N/A</v>
      </c>
      <c r="BC62" t="e">
        <f>VLOOKUP($B62,[1]Data_Aspire!$B$1:$CZ$600,20,FALSE)</f>
        <v>#N/A</v>
      </c>
      <c r="BD62" t="e">
        <f>VLOOKUP($B62,[1]Data_Aspire!$B$1:$CZ$600,21,FALSE)</f>
        <v>#N/A</v>
      </c>
      <c r="BE62" t="e">
        <f>VLOOKUP($B62,[1]Data_Aspire!$B$1:$CZ$600,22,FALSE)</f>
        <v>#N/A</v>
      </c>
      <c r="BF62" t="e">
        <f>VLOOKUP($B62,[1]Data_Aspire!$B$1:$CZ$600,23,FALSE)</f>
        <v>#N/A</v>
      </c>
      <c r="BG62" t="e">
        <f>VLOOKUP($B62,[1]Data_Aspire!$B$1:$CZ$600,24,FALSE)</f>
        <v>#N/A</v>
      </c>
      <c r="BH62" t="e">
        <f>VLOOKUP($B62,[1]Data_Aspire!$B$1:$CZ$600,25,FALSE)</f>
        <v>#N/A</v>
      </c>
      <c r="BI62" t="e">
        <f>VLOOKUP($B62,[1]Data_Aspire!$B$1:$CZ$600,26,FALSE)</f>
        <v>#N/A</v>
      </c>
      <c r="BJ62" s="7">
        <v>0</v>
      </c>
      <c r="BK62">
        <v>250</v>
      </c>
      <c r="BL62">
        <f>VLOOKUP($B62,'[1]Data_UN_PopulationTot.&amp;%'!$B$4:$CZ$603,8,FALSE)</f>
        <v>65273.5</v>
      </c>
      <c r="BM62">
        <f>VLOOKUP($B62,'[1]Data_UN_PopulationTot.&amp;%'!$B$4:$CZ$603,9,FALSE)</f>
        <v>65426.2</v>
      </c>
      <c r="BN62">
        <v>65584.5</v>
      </c>
      <c r="BO62">
        <f>VLOOKUP($B62,'[1]Data_UN_PopulationTot.&amp;%'!$B$4:$CZ$603,11,FALSE)</f>
        <v>65745.2</v>
      </c>
      <c r="BP62">
        <f>VLOOKUP($B62,'[1]Data_UN_PopulationTot.&amp;%'!$B$4:$CZ$603,12,FALSE)</f>
        <v>65902</v>
      </c>
      <c r="BQ62">
        <f>VLOOKUP($B62,'[1]Data_UN_PopulationTot.&amp;%'!$B$4:$CZ$603,13,FALSE)</f>
        <v>66050.600000000006</v>
      </c>
      <c r="BR62">
        <f>VLOOKUP($B62,'[1]Data_UN_PopulationTot.&amp;%'!$B$4:$CZ$603,14,FALSE)</f>
        <v>66190.5</v>
      </c>
      <c r="BS62">
        <f>VLOOKUP($B62,'[1]Data_UN_PopulationTot.&amp;%'!$B$4:$CZ$603,15,FALSE)</f>
        <v>66323.899999999994</v>
      </c>
      <c r="BT62">
        <f>VLOOKUP($B62,'[1]Data_UN_PopulationTot.&amp;%'!$B$4:$CZ$603,16,FALSE)</f>
        <v>66451.8</v>
      </c>
      <c r="BU62">
        <f>VLOOKUP($B62,'[1]Data_UN_PopulationTot.&amp;%'!$B$4:$CZ$603,17,FALSE)</f>
        <v>66575.399999999994</v>
      </c>
      <c r="BV62">
        <f>VLOOKUP($B62,'[1]Data_UN_PopulationTot.&amp;%'!$B$4:$CZ$603,18,FALSE)</f>
        <v>66695.7</v>
      </c>
      <c r="BW62">
        <f>VLOOKUP($B62,'[1]Data_UN_PopulationTot.&amp;%'!$B$4:$CZ$603,61,FALSE)</f>
        <v>5.5458800278826779</v>
      </c>
      <c r="BX62">
        <f>VLOOKUP($B62,'[1]Data_UN_PopulationTot.&amp;%'!$B$4:$CZ$603,62,FALSE)</f>
        <v>5.9863344236175475</v>
      </c>
      <c r="BY62">
        <f>VLOOKUP($B62,'[1]Data_UN_PopulationTot.&amp;%'!$B$4:$CZ$603,63,FALSE)</f>
        <v>6.1214581721525576</v>
      </c>
      <c r="BZ62">
        <f>VLOOKUP($B62,'[1]Data_UN_PopulationTot.&amp;%'!$B$4:$CZ$603,64,FALSE)</f>
        <v>5.9561537224141494</v>
      </c>
      <c r="CA62">
        <f>VLOOKUP($B62,'[1]Data_UN_PopulationTot.&amp;%'!$B$4:$CZ$603,65,FALSE)</f>
        <v>5.6638911656338333</v>
      </c>
      <c r="CB62">
        <f>VLOOKUP($B62,'[1]Data_UN_PopulationTot.&amp;%'!$B$4:$CZ$603,66,FALSE)</f>
        <v>5.6286394938221491</v>
      </c>
      <c r="CC62">
        <f>VLOOKUP($B62,'[1]Data_UN_PopulationTot.&amp;%'!$B$4:$CZ$603,67,FALSE)</f>
        <v>6.0384842240725565</v>
      </c>
      <c r="CD62">
        <f>VLOOKUP($B62,'[1]Data_UN_PopulationTot.&amp;%'!$B$4:$CZ$603,68,FALSE)</f>
        <v>6.2345668609772726</v>
      </c>
      <c r="CE62">
        <f>VLOOKUP($B62,'[1]Data_UN_PopulationTot.&amp;%'!$B$4:$CZ$603,69,FALSE)</f>
        <v>6.0413490926639444</v>
      </c>
      <c r="CF62">
        <f>VLOOKUP($B62,'[1]Data_UN_PopulationTot.&amp;%'!$B$4:$CZ$603,70,FALSE)</f>
        <v>6.7137046427723348</v>
      </c>
      <c r="CG62">
        <f>VLOOKUP($B62,'[1]Data_UN_PopulationTot.&amp;%'!$B$4:$CZ$603,71,FALSE)</f>
        <v>6.684795514259231</v>
      </c>
      <c r="CH62">
        <f>VLOOKUP($B62,'[1]Data_UN_PopulationTot.&amp;%'!$B$4:$CZ$603,72,FALSE)</f>
        <v>6.5442484315993479</v>
      </c>
      <c r="CI62">
        <f>VLOOKUP($B62,'[1]Data_UN_PopulationTot.&amp;%'!$B$4:$CZ$603,73,FALSE)</f>
        <v>6.0870797490558957</v>
      </c>
      <c r="CJ62">
        <f>VLOOKUP($B62,'[1]Data_UN_PopulationTot.&amp;%'!$B$4:$CZ$603,74,FALSE)</f>
        <v>5.8086972507985628</v>
      </c>
      <c r="CK62">
        <f>VLOOKUP($B62,'[1]Data_UN_PopulationTot.&amp;%'!$B$4:$CZ$603,75,FALSE)</f>
        <v>5.39823971443235</v>
      </c>
      <c r="CL62">
        <f>VLOOKUP($B62,'[1]Data_UN_PopulationTot.&amp;%'!$B$4:$CZ$603,76,FALSE)</f>
        <v>3.3766995794618033</v>
      </c>
      <c r="CM62">
        <f>VLOOKUP($B62,'[1]Data_UN_PopulationTot.&amp;%'!$B$4:$CZ$603,77,FALSE)</f>
        <v>2.7765172696423512</v>
      </c>
      <c r="CN62">
        <f>VLOOKUP($B62,'[1]Data_UN_PopulationTot.&amp;%'!$B$4:$CZ$603,78,FALSE)</f>
        <v>2.0372892521467363</v>
      </c>
      <c r="CO62">
        <f>VLOOKUP($B62,'[1]Data_UN_PopulationTot.&amp;%'!$B$4:$CZ$603,79,FALSE)</f>
        <v>1.0186354339816313</v>
      </c>
      <c r="CP62">
        <f>VLOOKUP($B62,'[1]Data_UN_PopulationTot.&amp;%'!$B$4:$CZ$603,80,FALSE)</f>
        <v>0.30760568990478526</v>
      </c>
      <c r="CQ62">
        <f>VLOOKUP($B62,'[1]Data_UN_PopulationTot.&amp;%'!$B$4:$CZ$603,81,FALSE)</f>
        <v>2.9786973273993277E-2</v>
      </c>
      <c r="CR62">
        <f>VLOOKUP($B62,'[1]Data_UN_PopulationTot.&amp;%'!$B$4:$CZ$603,82,FALSE)</f>
        <v>5.2612837109438839</v>
      </c>
      <c r="CS62">
        <f>VLOOKUP($B62,'[1]Data_UN_PopulationTot.&amp;%'!$B$4:$CZ$603,83,FALSE)</f>
        <v>5.3699563839947704</v>
      </c>
      <c r="CT62">
        <f>VLOOKUP($B62,'[1]Data_UN_PopulationTot.&amp;%'!$B$4:$CZ$603,84,FALSE)</f>
        <v>5.5652313417506676</v>
      </c>
      <c r="CU62">
        <f>VLOOKUP($B62,'[1]Data_UN_PopulationTot.&amp;%'!$B$4:$CZ$603,85,FALSE)</f>
        <v>5.9514331508627993</v>
      </c>
      <c r="CV62">
        <f>VLOOKUP($B62,'[1]Data_UN_PopulationTot.&amp;%'!$B$4:$CZ$603,86,FALSE)</f>
        <v>5.8716379016938127</v>
      </c>
      <c r="CW62">
        <f>VLOOKUP($B62,'[1]Data_UN_PopulationTot.&amp;%'!$B$4:$CZ$603,87,FALSE)</f>
        <v>5.6705454774445734</v>
      </c>
      <c r="CX62">
        <f>VLOOKUP($B62,'[1]Data_UN_PopulationTot.&amp;%'!$B$4:$CZ$603,88,FALSE)</f>
        <v>5.5913049866783009</v>
      </c>
      <c r="CY62">
        <f>VLOOKUP($B62,'[1]Data_UN_PopulationTot.&amp;%'!$B$4:$CZ$603,89,FALSE)</f>
        <v>5.7213733419095982</v>
      </c>
      <c r="CZ62">
        <f>VLOOKUP($B62,'[1]Data_UN_PopulationTot.&amp;%'!$B$4:$CZ$603,90,FALSE)</f>
        <v>6.0940810277124315</v>
      </c>
      <c r="DA62">
        <f>VLOOKUP($B62,'[1]Data_UN_PopulationTot.&amp;%'!$B$4:$CZ$603,91,FALSE)</f>
        <v>6.1833221631979285</v>
      </c>
      <c r="DB62">
        <f>VLOOKUP($B62,'[1]Data_UN_PopulationTot.&amp;%'!$B$4:$CZ$603,92,FALSE)</f>
        <v>5.89514766319268</v>
      </c>
      <c r="DC62">
        <f>VLOOKUP($B62,'[1]Data_UN_PopulationTot.&amp;%'!$B$4:$CZ$603,93,FALSE)</f>
        <v>6.421238550611208</v>
      </c>
      <c r="DD62">
        <f>VLOOKUP($B62,'[1]Data_UN_PopulationTot.&amp;%'!$B$4:$CZ$603,94,FALSE)</f>
        <v>6.2730131027937341</v>
      </c>
      <c r="DE62">
        <f>VLOOKUP($B62,'[1]Data_UN_PopulationTot.&amp;%'!$B$4:$CZ$603,95,FALSE)</f>
        <v>6.0142108111917256</v>
      </c>
      <c r="DF62">
        <f>VLOOKUP($B62,'[1]Data_UN_PopulationTot.&amp;%'!$B$4:$CZ$603,96,FALSE)</f>
        <v>5.4364074445578954</v>
      </c>
      <c r="DG62">
        <f>VLOOKUP($B62,'[1]Data_UN_PopulationTot.&amp;%'!$B$4:$CZ$603,97,FALSE)</f>
        <v>4.9282337542000461</v>
      </c>
      <c r="DH62">
        <f>VLOOKUP($B62,'[1]Data_UN_PopulationTot.&amp;%'!$B$4:$CZ$603,98,FALSE)</f>
        <v>4.124673704601646</v>
      </c>
      <c r="DI62">
        <f>VLOOKUP($B62,'[1]Data_UN_PopulationTot.&amp;%'!$B$4:$CZ$603,99,FALSE)</f>
        <v>2.0691438878368471</v>
      </c>
      <c r="DJ62">
        <f>VLOOKUP($B62,'[1]Data_UN_PopulationTot.&amp;%'!$B$4:$DE$603,100,FALSE)</f>
        <v>1.1074941862818741</v>
      </c>
      <c r="DK62">
        <f>VLOOKUP($B62,'[1]Data_UN_PopulationTot.&amp;%'!$B$4:$DE$603,101,FALSE)</f>
        <v>0.38563055789203804</v>
      </c>
      <c r="DL62">
        <f>VLOOKUP($B62,'[1]Data_UN_PopulationTot.&amp;%'!$B$4:$DE$603,102,FALSE)</f>
        <v>6.464134869264436E-2</v>
      </c>
    </row>
    <row r="63" spans="1:116">
      <c r="A63" t="s">
        <v>169</v>
      </c>
      <c r="B63" t="s">
        <v>383</v>
      </c>
      <c r="C63" t="s">
        <v>493</v>
      </c>
      <c r="D63" t="s">
        <v>334</v>
      </c>
      <c r="E63" t="s">
        <v>300</v>
      </c>
      <c r="F63">
        <v>0</v>
      </c>
      <c r="G63">
        <v>1</v>
      </c>
      <c r="H63">
        <v>0</v>
      </c>
      <c r="I63">
        <v>0</v>
      </c>
      <c r="J63" s="18">
        <f t="shared" si="1"/>
        <v>0.28438887576400002</v>
      </c>
      <c r="K63">
        <f>VLOOKUP($B63,'[1]Source GDP Current USD'!$B$1:$CZ$600,64,FALSE)</f>
        <v>410083600</v>
      </c>
      <c r="L63" s="45">
        <f>VLOOKUP($B63,'[1]Source GDP Current USD'!$B$1:$CZ$600,65,FALSE)</f>
        <v>410083600</v>
      </c>
      <c r="M63" s="17">
        <f>VLOOKUP($B63,'[1]Source GDP Current LCU'!$B$1:$CZ$600,64,FALSE)</f>
        <v>410083600</v>
      </c>
      <c r="N63" s="45">
        <v>410000000</v>
      </c>
      <c r="O63" s="45">
        <f>VLOOKUP($B63,'[1]Source GNI Current USD'!$B$1:$CZ$600,64,FALSE)</f>
        <v>456483600</v>
      </c>
      <c r="P63" s="45">
        <f>VLOOKUP($B63,'[1]Source GNI Current LCU'!$B$1:$CZ$600,64,FALSE)</f>
        <v>456483600</v>
      </c>
      <c r="Q63">
        <f t="shared" si="0"/>
        <v>89.835341291560084</v>
      </c>
      <c r="R63">
        <v>3950</v>
      </c>
      <c r="S63">
        <v>3950</v>
      </c>
      <c r="T63">
        <v>1.0033700000000001</v>
      </c>
      <c r="U63">
        <v>115021</v>
      </c>
      <c r="V63">
        <v>69.349000000000004</v>
      </c>
      <c r="W63">
        <f>VLOOKUP($B63,'[1]Source Gov. Revenue WEO'!$B$1:$CZ$600,5,FALSE)</f>
        <v>72.849000000000004</v>
      </c>
      <c r="X63">
        <f>VLOOKUP($B63,'[1]Source Gov. Revenue WEO'!$B$1:$CZ$600,6,FALSE)</f>
        <v>67.668999999999997</v>
      </c>
      <c r="Y63">
        <f>VLOOKUP($B63,'[1]Source Gov. Revenue WEO'!$B$1:$CZ$600,7,FALSE)</f>
        <v>64.593999999999994</v>
      </c>
      <c r="Z63">
        <f>VLOOKUP($B63,'[1]Source Gov. Revenue WEO'!$B$1:$CZ$600,8,FALSE)</f>
        <v>57.216999999999999</v>
      </c>
      <c r="AA63">
        <f>VLOOKUP($B63,'[1]Source Gov. Revenue WEO'!$B$1:$CZ$600,9,FALSE)</f>
        <v>54.697000000000003</v>
      </c>
      <c r="AB63">
        <f>VLOOKUP($B63,'[1]Source Gov. Revenue WEO'!$B$1:$CZ$600,10,FALSE)</f>
        <v>54.786999999999999</v>
      </c>
      <c r="AC63">
        <f>VLOOKUP($B63,[2]Summary!$B$1:$CZ$600,39,FALSE)</f>
        <v>0.15392919999999999</v>
      </c>
      <c r="AD63">
        <f>VLOOKUP($B63,[2]Summary!$B$1:$CZ$600,40,FALSE)</f>
        <v>0.19274999999999998</v>
      </c>
      <c r="AE63">
        <f>VLOOKUP($B63,[2]Summary!$B$1:$CZ$600,47,FALSE)</f>
        <v>0.65913990618256357</v>
      </c>
      <c r="AF63">
        <f>VLOOKUP($B63,'[1]CALC GDP Growth rates WDI'!$B$1:$CZ$600,27,FALSE)</f>
        <v>2.8723061308788265</v>
      </c>
      <c r="AG63">
        <f>VLOOKUP($B63,'[1]CALC GDP Growth rates WDI'!$B$1:$CZ$600,29,FALSE)</f>
        <v>5.8423076656590966</v>
      </c>
      <c r="AH63">
        <v>3.19</v>
      </c>
      <c r="AI63">
        <f>VLOOKUP($B63,'[1]CALC GDP Growth rates WDI'!$B$1:$CZ$600,30,FALSE)</f>
        <v>8.6231031378833691</v>
      </c>
      <c r="AJ63" s="45" t="s">
        <v>2464</v>
      </c>
      <c r="AK63" t="e">
        <f>VLOOKUP($B63,[1]Data_Aspire!$B$1:$CZ$600,2,FALSE)</f>
        <v>#N/A</v>
      </c>
      <c r="AL63" t="e">
        <f>VLOOKUP($B63,[1]Data_Aspire!$B$1:$CZ$600,3,FALSE)</f>
        <v>#N/A</v>
      </c>
      <c r="AM63" t="e">
        <f>VLOOKUP($B63,[1]Data_Aspire!$B$1:$CZ$600,4,FALSE)</f>
        <v>#N/A</v>
      </c>
      <c r="AN63" t="e">
        <f>VLOOKUP($B63,[1]Data_Aspire!$B$1:$CZ$600,5,FALSE)</f>
        <v>#N/A</v>
      </c>
      <c r="AO63" t="e">
        <f>VLOOKUP($B63,[1]Data_Aspire!$B$1:$CZ$600,6,FALSE)</f>
        <v>#N/A</v>
      </c>
      <c r="AP63" t="e">
        <f>VLOOKUP($B63,[1]Data_Aspire!$B$1:$CZ$600,7,FALSE)</f>
        <v>#N/A</v>
      </c>
      <c r="AQ63" t="e">
        <f>VLOOKUP($B63,[1]Data_Aspire!$B$1:$CZ$600,8,FALSE)</f>
        <v>#N/A</v>
      </c>
      <c r="AR63" t="e">
        <f>VLOOKUP($B63,[1]Data_Aspire!$B$1:$CZ$600,9,FALSE)</f>
        <v>#N/A</v>
      </c>
      <c r="AS63" t="e">
        <f>VLOOKUP($B63,[1]Data_Aspire!$B$1:$CZ$600,10,FALSE)</f>
        <v>#N/A</v>
      </c>
      <c r="AT63" t="e">
        <f>VLOOKUP($B63,[1]Data_Aspire!$B$1:$CZ$600,11,FALSE)</f>
        <v>#N/A</v>
      </c>
      <c r="AU63" t="e">
        <f>VLOOKUP($B63,[1]Data_Aspire!$B$1:$CZ$600,12,FALSE)</f>
        <v>#N/A</v>
      </c>
      <c r="AV63" t="e">
        <f>VLOOKUP($B63,[1]Data_Aspire!$B$1:$CZ$600,13,FALSE)</f>
        <v>#N/A</v>
      </c>
      <c r="AW63" t="e">
        <f>VLOOKUP($B63,[1]Data_Aspire!$B$1:$CZ$600,14,FALSE)</f>
        <v>#N/A</v>
      </c>
      <c r="AX63" t="e">
        <f>VLOOKUP($B63,[1]Data_Aspire!$B$1:$CZ$600,15,FALSE)</f>
        <v>#N/A</v>
      </c>
      <c r="AY63" t="e">
        <f>VLOOKUP($B63,[1]Data_Aspire!$B$1:$CZ$600,16,FALSE)</f>
        <v>#N/A</v>
      </c>
      <c r="AZ63" t="e">
        <f>VLOOKUP($B63,[1]Data_Aspire!$B$1:$CZ$600,17,FALSE)</f>
        <v>#N/A</v>
      </c>
      <c r="BA63" t="e">
        <f>VLOOKUP($B63,[1]Data_Aspire!$B$1:$CZ$600,18,FALSE)</f>
        <v>#N/A</v>
      </c>
      <c r="BB63" t="e">
        <f>VLOOKUP($B63,[1]Data_Aspire!$B$1:$CZ$600,19,FALSE)</f>
        <v>#N/A</v>
      </c>
      <c r="BC63" t="e">
        <f>VLOOKUP($B63,[1]Data_Aspire!$B$1:$CZ$600,20,FALSE)</f>
        <v>#N/A</v>
      </c>
      <c r="BD63" t="e">
        <f>VLOOKUP($B63,[1]Data_Aspire!$B$1:$CZ$600,21,FALSE)</f>
        <v>#N/A</v>
      </c>
      <c r="BE63" t="e">
        <f>VLOOKUP($B63,[1]Data_Aspire!$B$1:$CZ$600,22,FALSE)</f>
        <v>#N/A</v>
      </c>
      <c r="BF63" t="e">
        <f>VLOOKUP($B63,[1]Data_Aspire!$B$1:$CZ$600,23,FALSE)</f>
        <v>#N/A</v>
      </c>
      <c r="BG63" t="e">
        <f>VLOOKUP($B63,[1]Data_Aspire!$B$1:$CZ$600,24,FALSE)</f>
        <v>#N/A</v>
      </c>
      <c r="BH63" t="e">
        <f>VLOOKUP($B63,[1]Data_Aspire!$B$1:$CZ$600,25,FALSE)</f>
        <v>#N/A</v>
      </c>
      <c r="BI63" t="e">
        <f>VLOOKUP($B63,[1]Data_Aspire!$B$1:$CZ$600,26,FALSE)</f>
        <v>#N/A</v>
      </c>
      <c r="BJ63" s="7">
        <v>0</v>
      </c>
      <c r="BK63">
        <v>583</v>
      </c>
      <c r="BL63">
        <f>VLOOKUP($B63,'[1]Data_UN_PopulationTot.&amp;%'!$B$4:$CZ$603,8,FALSE)</f>
        <v>115.021</v>
      </c>
      <c r="BM63">
        <f>VLOOKUP($B63,'[1]Data_UN_PopulationTot.&amp;%'!$B$4:$CZ$603,9,FALSE)</f>
        <v>116.255</v>
      </c>
      <c r="BN63">
        <v>117.486</v>
      </c>
      <c r="BO63">
        <f>VLOOKUP($B63,'[1]Data_UN_PopulationTot.&amp;%'!$B$4:$CZ$603,11,FALSE)</f>
        <v>118.708</v>
      </c>
      <c r="BP63">
        <f>VLOOKUP($B63,'[1]Data_UN_PopulationTot.&amp;%'!$B$4:$CZ$603,12,FALSE)</f>
        <v>119.92100000000001</v>
      </c>
      <c r="BQ63">
        <f>VLOOKUP($B63,'[1]Data_UN_PopulationTot.&amp;%'!$B$4:$CZ$603,13,FALSE)</f>
        <v>121.113</v>
      </c>
      <c r="BR63">
        <f>VLOOKUP($B63,'[1]Data_UN_PopulationTot.&amp;%'!$B$4:$CZ$603,14,FALSE)</f>
        <v>122.295</v>
      </c>
      <c r="BS63">
        <f>VLOOKUP($B63,'[1]Data_UN_PopulationTot.&amp;%'!$B$4:$CZ$603,15,FALSE)</f>
        <v>123.44</v>
      </c>
      <c r="BT63">
        <f>VLOOKUP($B63,'[1]Data_UN_PopulationTot.&amp;%'!$B$4:$CZ$603,16,FALSE)</f>
        <v>124.565</v>
      </c>
      <c r="BU63">
        <f>VLOOKUP($B63,'[1]Data_UN_PopulationTot.&amp;%'!$B$4:$CZ$603,17,FALSE)</f>
        <v>125.64400000000001</v>
      </c>
      <c r="BV63">
        <f>VLOOKUP($B63,'[1]Data_UN_PopulationTot.&amp;%'!$B$4:$CZ$603,18,FALSE)</f>
        <v>126.699</v>
      </c>
      <c r="BW63">
        <f>VLOOKUP($B63,'[1]Data_UN_PopulationTot.&amp;%'!$B$4:$CZ$603,61,FALSE)</f>
        <v>10.663270185444397</v>
      </c>
      <c r="BX63">
        <f>VLOOKUP($B63,'[1]Data_UN_PopulationTot.&amp;%'!$B$4:$CZ$603,62,FALSE)</f>
        <v>10.244216273550046</v>
      </c>
      <c r="BY63">
        <f>VLOOKUP($B63,'[1]Data_UN_PopulationTot.&amp;%'!$B$4:$CZ$603,63,FALSE)</f>
        <v>10.284208970535817</v>
      </c>
      <c r="BZ63">
        <f>VLOOKUP($B63,'[1]Data_UN_PopulationTot.&amp;%'!$B$4:$CZ$603,64,FALSE)</f>
        <v>9.972092052755583</v>
      </c>
      <c r="CA63">
        <f>VLOOKUP($B63,'[1]Data_UN_PopulationTot.&amp;%'!$B$4:$CZ$603,65,FALSE)</f>
        <v>10.126846401961382</v>
      </c>
      <c r="CB63">
        <f>VLOOKUP($B63,'[1]Data_UN_PopulationTot.&amp;%'!$B$4:$CZ$603,66,FALSE)</f>
        <v>9.3026490814720777</v>
      </c>
      <c r="CC63">
        <f>VLOOKUP($B63,'[1]Data_UN_PopulationTot.&amp;%'!$B$4:$CZ$603,67,FALSE)</f>
        <v>7.1839055476825964</v>
      </c>
      <c r="CD63">
        <f>VLOOKUP($B63,'[1]Data_UN_PopulationTot.&amp;%'!$B$4:$CZ$603,68,FALSE)</f>
        <v>5.9336990636492466</v>
      </c>
      <c r="CE63">
        <f>VLOOKUP($B63,'[1]Data_UN_PopulationTot.&amp;%'!$B$4:$CZ$603,69,FALSE)</f>
        <v>5.1973117952373915</v>
      </c>
      <c r="CF63">
        <f>VLOOKUP($B63,'[1]Data_UN_PopulationTot.&amp;%'!$B$4:$CZ$603,70,FALSE)</f>
        <v>4.7391345928134863</v>
      </c>
      <c r="CG63">
        <f>VLOOKUP($B63,'[1]Data_UN_PopulationTot.&amp;%'!$B$4:$CZ$603,71,FALSE)</f>
        <v>4.4435363977012896</v>
      </c>
      <c r="CH63">
        <f>VLOOKUP($B63,'[1]Data_UN_PopulationTot.&amp;%'!$B$4:$CZ$603,72,FALSE)</f>
        <v>4.0636057763364954</v>
      </c>
      <c r="CI63">
        <f>VLOOKUP($B63,'[1]Data_UN_PopulationTot.&amp;%'!$B$4:$CZ$603,73,FALSE)</f>
        <v>3.4550212569878544</v>
      </c>
      <c r="CJ63">
        <f>VLOOKUP($B63,'[1]Data_UN_PopulationTot.&amp;%'!$B$4:$CZ$603,74,FALSE)</f>
        <v>2.3978230062336441</v>
      </c>
      <c r="CK63">
        <f>VLOOKUP($B63,'[1]Data_UN_PopulationTot.&amp;%'!$B$4:$CZ$603,75,FALSE)</f>
        <v>1.2197772580659185</v>
      </c>
      <c r="CL63">
        <f>VLOOKUP($B63,'[1]Data_UN_PopulationTot.&amp;%'!$B$4:$CZ$603,76,FALSE)</f>
        <v>0.45730779596769289</v>
      </c>
      <c r="CM63">
        <f>VLOOKUP($B63,'[1]Data_UN_PopulationTot.&amp;%'!$B$4:$CZ$603,77,FALSE)</f>
        <v>0.21995983342172298</v>
      </c>
      <c r="CN63">
        <f>VLOOKUP($B63,'[1]Data_UN_PopulationTot.&amp;%'!$B$4:$CZ$603,78,FALSE)</f>
        <v>7.8246581059110948E-2</v>
      </c>
      <c r="CO63">
        <f>VLOOKUP($B63,'[1]Data_UN_PopulationTot.&amp;%'!$B$4:$CZ$603,79,FALSE)</f>
        <v>1.5649316211822188E-2</v>
      </c>
      <c r="CP63">
        <f>VLOOKUP($B63,'[1]Data_UN_PopulationTot.&amp;%'!$B$4:$CZ$603,80,FALSE)</f>
        <v>1.7388129124246878E-3</v>
      </c>
      <c r="CQ63">
        <f>VLOOKUP($B63,'[1]Data_UN_PopulationTot.&amp;%'!$B$4:$CZ$603,81,FALSE)</f>
        <v>0</v>
      </c>
      <c r="CR63">
        <f>VLOOKUP($B63,'[1]Data_UN_PopulationTot.&amp;%'!$B$4:$CZ$603,82,FALSE)</f>
        <v>10.0245463657961</v>
      </c>
      <c r="CS63">
        <f>VLOOKUP($B63,'[1]Data_UN_PopulationTot.&amp;%'!$B$4:$CZ$603,83,FALSE)</f>
        <v>9.8864237286797838</v>
      </c>
      <c r="CT63">
        <f>VLOOKUP($B63,'[1]Data_UN_PopulationTot.&amp;%'!$B$4:$CZ$603,84,FALSE)</f>
        <v>9.4870519893606104</v>
      </c>
      <c r="CU63">
        <f>VLOOKUP($B63,'[1]Data_UN_PopulationTot.&amp;%'!$B$4:$CZ$603,85,FALSE)</f>
        <v>8.9353507131074448</v>
      </c>
      <c r="CV63">
        <f>VLOOKUP($B63,'[1]Data_UN_PopulationTot.&amp;%'!$B$4:$CZ$603,86,FALSE)</f>
        <v>8.5336111571519897</v>
      </c>
      <c r="CW63">
        <f>VLOOKUP($B63,'[1]Data_UN_PopulationTot.&amp;%'!$B$4:$CZ$603,87,FALSE)</f>
        <v>8.0513658355630273</v>
      </c>
      <c r="CX63">
        <f>VLOOKUP($B63,'[1]Data_UN_PopulationTot.&amp;%'!$B$4:$CZ$603,88,FALSE)</f>
        <v>8.3102471211296063</v>
      </c>
      <c r="CY63">
        <f>VLOOKUP($B63,'[1]Data_UN_PopulationTot.&amp;%'!$B$4:$CZ$603,89,FALSE)</f>
        <v>7.7664385669973717</v>
      </c>
      <c r="CZ63">
        <f>VLOOKUP($B63,'[1]Data_UN_PopulationTot.&amp;%'!$B$4:$CZ$603,90,FALSE)</f>
        <v>6.0182006172108702</v>
      </c>
      <c r="DA63">
        <f>VLOOKUP($B63,'[1]Data_UN_PopulationTot.&amp;%'!$B$4:$CZ$603,91,FALSE)</f>
        <v>4.9826754749445534</v>
      </c>
      <c r="DB63">
        <f>VLOOKUP($B63,'[1]Data_UN_PopulationTot.&amp;%'!$B$4:$CZ$603,92,FALSE)</f>
        <v>4.3465220719974109</v>
      </c>
      <c r="DC63">
        <f>VLOOKUP($B63,'[1]Data_UN_PopulationTot.&amp;%'!$B$4:$CZ$603,93,FALSE)</f>
        <v>3.8950583666800842</v>
      </c>
      <c r="DD63">
        <f>VLOOKUP($B63,'[1]Data_UN_PopulationTot.&amp;%'!$B$4:$CZ$603,94,FALSE)</f>
        <v>3.4996329884213773</v>
      </c>
      <c r="DE63">
        <f>VLOOKUP($B63,'[1]Data_UN_PopulationTot.&amp;%'!$B$4:$CZ$603,95,FALSE)</f>
        <v>2.8690044909588868</v>
      </c>
      <c r="DF63">
        <f>VLOOKUP($B63,'[1]Data_UN_PopulationTot.&amp;%'!$B$4:$CZ$603,96,FALSE)</f>
        <v>1.9921230633233096</v>
      </c>
      <c r="DG63">
        <f>VLOOKUP($B63,'[1]Data_UN_PopulationTot.&amp;%'!$B$4:$CZ$603,97,FALSE)</f>
        <v>1.0047435259946802</v>
      </c>
      <c r="DH63">
        <f>VLOOKUP($B63,'[1]Data_UN_PopulationTot.&amp;%'!$B$4:$CZ$603,98,FALSE)</f>
        <v>0.32202306253403734</v>
      </c>
      <c r="DI63">
        <f>VLOOKUP($B63,'[1]Data_UN_PopulationTot.&amp;%'!$B$4:$CZ$603,99,FALSE)</f>
        <v>6.2352504755365079E-2</v>
      </c>
      <c r="DJ63">
        <f>VLOOKUP($B63,'[1]Data_UN_PopulationTot.&amp;%'!$B$4:$DE$603,100,FALSE)</f>
        <v>1.262835539349166E-2</v>
      </c>
      <c r="DK63">
        <f>VLOOKUP($B63,'[1]Data_UN_PopulationTot.&amp;%'!$B$4:$DE$603,101,FALSE)</f>
        <v>0</v>
      </c>
      <c r="DL63">
        <f>VLOOKUP($B63,'[1]Data_UN_PopulationTot.&amp;%'!$B$4:$DE$603,102,FALSE)</f>
        <v>0</v>
      </c>
    </row>
    <row r="64" spans="1:116">
      <c r="A64" t="s">
        <v>201</v>
      </c>
      <c r="B64" t="s">
        <v>416</v>
      </c>
      <c r="C64" t="s">
        <v>496</v>
      </c>
      <c r="D64" t="s">
        <v>389</v>
      </c>
      <c r="E64" t="s">
        <v>301</v>
      </c>
      <c r="F64">
        <v>0</v>
      </c>
      <c r="G64">
        <v>0</v>
      </c>
      <c r="H64">
        <v>1</v>
      </c>
      <c r="I64">
        <v>0</v>
      </c>
      <c r="J64" s="18">
        <f t="shared" si="1"/>
        <v>1552.9649493808447</v>
      </c>
      <c r="K64">
        <f>VLOOKUP($B64,'[1]Source GDP Current USD'!$B$1:$CZ$600,64,FALSE)</f>
        <v>15316826191.568199</v>
      </c>
      <c r="L64" s="45">
        <f>VLOOKUP($B64,'[1]Source GDP Current USD'!$B$1:$CZ$600,65,FALSE)</f>
        <v>15316826191.568199</v>
      </c>
      <c r="M64" s="17">
        <f>VLOOKUP($B64,'[1]Source GDP Current LCU'!$B$1:$CZ$600,64,FALSE)</f>
        <v>8816150720300</v>
      </c>
      <c r="N64" s="45">
        <v>8800000000000</v>
      </c>
      <c r="O64" s="45">
        <f>VLOOKUP($B64,'[1]Source GNI Current USD'!$B$1:$CZ$600,64,FALSE)</f>
        <v>14503352951.426901</v>
      </c>
      <c r="P64" s="45">
        <f>VLOOKUP($B64,'[1]Source GNI Current LCU'!$B$1:$CZ$600,64,FALSE)</f>
        <v>8347926911900</v>
      </c>
      <c r="Q64">
        <f t="shared" si="0"/>
        <v>105.60886329434132</v>
      </c>
      <c r="R64">
        <v>7030</v>
      </c>
      <c r="S64">
        <v>7030</v>
      </c>
      <c r="T64">
        <v>0.45555099999999998</v>
      </c>
      <c r="U64" s="45">
        <v>2200000</v>
      </c>
      <c r="V64">
        <v>17.614999999999998</v>
      </c>
      <c r="W64">
        <f>VLOOKUP($B64,'[1]Source Gov. Revenue WEO'!$B$1:$CZ$600,5,FALSE)</f>
        <v>17.035</v>
      </c>
      <c r="X64">
        <f>VLOOKUP($B64,'[1]Source Gov. Revenue WEO'!$B$1:$CZ$600,6,FALSE)</f>
        <v>18.399999999999999</v>
      </c>
      <c r="Y64">
        <f>VLOOKUP($B64,'[1]Source Gov. Revenue WEO'!$B$1:$CZ$600,7,FALSE)</f>
        <v>19.271000000000001</v>
      </c>
      <c r="Z64">
        <f>VLOOKUP($B64,'[1]Source Gov. Revenue WEO'!$B$1:$CZ$600,8,FALSE)</f>
        <v>20.116</v>
      </c>
      <c r="AA64">
        <f>VLOOKUP($B64,'[1]Source Gov. Revenue WEO'!$B$1:$CZ$600,9,FALSE)</f>
        <v>20.762</v>
      </c>
      <c r="AB64">
        <f>VLOOKUP($B64,'[1]Source Gov. Revenue WEO'!$B$1:$CZ$600,10,FALSE)</f>
        <v>20.946000000000002</v>
      </c>
      <c r="AC64">
        <f>VLOOKUP($B64,[2]Summary!$B$1:$CZ$600,39,FALSE)</f>
        <v>3.4663729999999997E-2</v>
      </c>
      <c r="AD64">
        <f>VLOOKUP($B64,[2]Summary!$B$1:$CZ$600,40,FALSE)</f>
        <v>4.0750000000000001E-2</v>
      </c>
      <c r="AE64">
        <f>VLOOKUP($B64,[2]Summary!$B$1:$CZ$600,47,FALSE)</f>
        <v>0.27315019685334568</v>
      </c>
      <c r="AF64">
        <f>VLOOKUP($B64,'[1]CALC GDP Growth rates WDI'!$B$1:$CZ$600,27,FALSE)</f>
        <v>36.140573272798612</v>
      </c>
      <c r="AG64">
        <f>VLOOKUP($B64,'[1]CALC GDP Growth rates WDI'!$B$1:$CZ$600,29,FALSE)</f>
        <v>42.942584062976174</v>
      </c>
      <c r="AH64" s="45">
        <v>5.56</v>
      </c>
      <c r="AI64">
        <f>VLOOKUP($B64,'[1]CALC GDP Growth rates WDI'!$B$1:$CZ$600,30,FALSE)</f>
        <v>7.4634877776694086</v>
      </c>
      <c r="AK64">
        <f>VLOOKUP($B64,[1]Data_Aspire!$B$1:$CZ$600,2,FALSE)</f>
        <v>2014</v>
      </c>
      <c r="AL64">
        <f>VLOOKUP($B64,[1]Data_Aspire!$B$1:$CZ$600,3,FALSE)</f>
        <v>0.2</v>
      </c>
      <c r="AN64">
        <f>VLOOKUP($B64,[1]Data_Aspire!$B$1:$CZ$600,5,FALSE)</f>
        <v>0.06</v>
      </c>
      <c r="AS64">
        <f>VLOOKUP($B64,[1]Data_Aspire!$B$1:$CZ$600,10,FALSE)</f>
        <v>0.14000000000000001</v>
      </c>
      <c r="AU64">
        <f>VLOOKUP($B64,[1]Data_Aspire!$B$1:$CZ$600,12,FALSE)</f>
        <v>0.06</v>
      </c>
      <c r="BH64">
        <f>VLOOKUP($B64,[1]Data_Aspire!$B$1:$CZ$600,25,FALSE)</f>
        <v>483000</v>
      </c>
      <c r="BI64">
        <f>VLOOKUP($B64,[1]Data_Aspire!$B$1:$CZ$600,26,FALSE)</f>
        <v>2014</v>
      </c>
      <c r="BJ64" s="7">
        <v>1</v>
      </c>
      <c r="BK64">
        <v>266</v>
      </c>
      <c r="BL64">
        <f>VLOOKUP($B64,'[1]Data_UN_PopulationTot.&amp;%'!$B$4:$CZ$603,8,FALSE)</f>
        <v>2225.73</v>
      </c>
      <c r="BM64">
        <f>VLOOKUP($B64,'[1]Data_UN_PopulationTot.&amp;%'!$B$4:$CZ$603,9,FALSE)</f>
        <v>2278.83</v>
      </c>
      <c r="BN64">
        <v>2331.5300000000002</v>
      </c>
      <c r="BO64">
        <f>VLOOKUP($B64,'[1]Data_UN_PopulationTot.&amp;%'!$B$4:$CZ$603,11,FALSE)</f>
        <v>2383.91</v>
      </c>
      <c r="BP64">
        <f>VLOOKUP($B64,'[1]Data_UN_PopulationTot.&amp;%'!$B$4:$CZ$603,12,FALSE)</f>
        <v>2435.9499999999998</v>
      </c>
      <c r="BQ64">
        <f>VLOOKUP($B64,'[1]Data_UN_PopulationTot.&amp;%'!$B$4:$CZ$603,13,FALSE)</f>
        <v>2487.67</v>
      </c>
      <c r="BR64">
        <f>VLOOKUP($B64,'[1]Data_UN_PopulationTot.&amp;%'!$B$4:$CZ$603,14,FALSE)</f>
        <v>2539.1999999999998</v>
      </c>
      <c r="BS64">
        <f>VLOOKUP($B64,'[1]Data_UN_PopulationTot.&amp;%'!$B$4:$CZ$603,15,FALSE)</f>
        <v>2590.62</v>
      </c>
      <c r="BT64">
        <f>VLOOKUP($B64,'[1]Data_UN_PopulationTot.&amp;%'!$B$4:$CZ$603,16,FALSE)</f>
        <v>2641.95</v>
      </c>
      <c r="BU64">
        <f>VLOOKUP($B64,'[1]Data_UN_PopulationTot.&amp;%'!$B$4:$CZ$603,17,FALSE)</f>
        <v>2693.23</v>
      </c>
      <c r="BV64">
        <f>VLOOKUP($B64,'[1]Data_UN_PopulationTot.&amp;%'!$B$4:$CZ$603,18,FALSE)</f>
        <v>2744.46</v>
      </c>
      <c r="BW64">
        <f>VLOOKUP($B64,'[1]Data_UN_PopulationTot.&amp;%'!$B$4:$CZ$603,61,FALSE)</f>
        <v>14.394198757261661</v>
      </c>
      <c r="BX64">
        <f>VLOOKUP($B64,'[1]Data_UN_PopulationTot.&amp;%'!$B$4:$CZ$603,62,FALSE)</f>
        <v>12.563518486069739</v>
      </c>
      <c r="BY64">
        <f>VLOOKUP($B64,'[1]Data_UN_PopulationTot.&amp;%'!$B$4:$CZ$603,63,FALSE)</f>
        <v>10.306281534597638</v>
      </c>
      <c r="BZ64">
        <f>VLOOKUP($B64,'[1]Data_UN_PopulationTot.&amp;%'!$B$4:$CZ$603,64,FALSE)</f>
        <v>8.6883853836718732</v>
      </c>
      <c r="CA64">
        <f>VLOOKUP($B64,'[1]Data_UN_PopulationTot.&amp;%'!$B$4:$CZ$603,65,FALSE)</f>
        <v>8.0605913565436964</v>
      </c>
      <c r="CB64">
        <f>VLOOKUP($B64,'[1]Data_UN_PopulationTot.&amp;%'!$B$4:$CZ$603,66,FALSE)</f>
        <v>8.4469365107178316</v>
      </c>
      <c r="CC64">
        <f>VLOOKUP($B64,'[1]Data_UN_PopulationTot.&amp;%'!$B$4:$CZ$603,67,FALSE)</f>
        <v>8.4831493487529936</v>
      </c>
      <c r="CD64">
        <f>VLOOKUP($B64,'[1]Data_UN_PopulationTot.&amp;%'!$B$4:$CZ$603,68,FALSE)</f>
        <v>7.2449937773224962</v>
      </c>
      <c r="CE64">
        <f>VLOOKUP($B64,'[1]Data_UN_PopulationTot.&amp;%'!$B$4:$CZ$603,69,FALSE)</f>
        <v>5.7888423124098605</v>
      </c>
      <c r="CF64">
        <f>VLOOKUP($B64,'[1]Data_UN_PopulationTot.&amp;%'!$B$4:$CZ$603,70,FALSE)</f>
        <v>4.6420724885767806</v>
      </c>
      <c r="CG64">
        <f>VLOOKUP($B64,'[1]Data_UN_PopulationTot.&amp;%'!$B$4:$CZ$603,71,FALSE)</f>
        <v>3.5380751483782849</v>
      </c>
      <c r="CH64">
        <f>VLOOKUP($B64,'[1]Data_UN_PopulationTot.&amp;%'!$B$4:$CZ$603,72,FALSE)</f>
        <v>2.4892507177420442</v>
      </c>
      <c r="CI64">
        <f>VLOOKUP($B64,'[1]Data_UN_PopulationTot.&amp;%'!$B$4:$CZ$603,73,FALSE)</f>
        <v>1.8247047036253274</v>
      </c>
      <c r="CJ64">
        <f>VLOOKUP($B64,'[1]Data_UN_PopulationTot.&amp;%'!$B$4:$CZ$603,74,FALSE)</f>
        <v>1.3788734482619187</v>
      </c>
      <c r="CK64">
        <f>VLOOKUP($B64,'[1]Data_UN_PopulationTot.&amp;%'!$B$4:$CZ$603,75,FALSE)</f>
        <v>0.99158478341937251</v>
      </c>
      <c r="CL64">
        <f>VLOOKUP($B64,'[1]Data_UN_PopulationTot.&amp;%'!$B$4:$CZ$603,76,FALSE)</f>
        <v>0.65699792876943741</v>
      </c>
      <c r="CM64">
        <f>VLOOKUP($B64,'[1]Data_UN_PopulationTot.&amp;%'!$B$4:$CZ$603,77,FALSE)</f>
        <v>0.35314256446199677</v>
      </c>
      <c r="CN64">
        <f>VLOOKUP($B64,'[1]Data_UN_PopulationTot.&amp;%'!$B$4:$CZ$603,78,FALSE)</f>
        <v>0.12652028772582477</v>
      </c>
      <c r="CO64">
        <f>VLOOKUP($B64,'[1]Data_UN_PopulationTot.&amp;%'!$B$4:$CZ$603,79,FALSE)</f>
        <v>2.075723470501813E-2</v>
      </c>
      <c r="CP64">
        <f>VLOOKUP($B64,'[1]Data_UN_PopulationTot.&amp;%'!$B$4:$CZ$603,80,FALSE)</f>
        <v>1.0333688273060973E-3</v>
      </c>
      <c r="CQ64">
        <f>VLOOKUP($B64,'[1]Data_UN_PopulationTot.&amp;%'!$B$4:$CZ$603,81,FALSE)</f>
        <v>0</v>
      </c>
      <c r="CR64">
        <f>VLOOKUP($B64,'[1]Data_UN_PopulationTot.&amp;%'!$B$4:$CZ$603,82,FALSE)</f>
        <v>11.768107387245578</v>
      </c>
      <c r="CS64">
        <f>VLOOKUP($B64,'[1]Data_UN_PopulationTot.&amp;%'!$B$4:$CZ$603,83,FALSE)</f>
        <v>11.614088017314883</v>
      </c>
      <c r="CT64">
        <f>VLOOKUP($B64,'[1]Data_UN_PopulationTot.&amp;%'!$B$4:$CZ$603,84,FALSE)</f>
        <v>11.510461074309699</v>
      </c>
      <c r="CU64">
        <f>VLOOKUP($B64,'[1]Data_UN_PopulationTot.&amp;%'!$B$4:$CZ$603,85,FALSE)</f>
        <v>10.095610794108859</v>
      </c>
      <c r="CV64">
        <f>VLOOKUP($B64,'[1]Data_UN_PopulationTot.&amp;%'!$B$4:$CZ$603,86,FALSE)</f>
        <v>8.2789692690000951</v>
      </c>
      <c r="CW64">
        <f>VLOOKUP($B64,'[1]Data_UN_PopulationTot.&amp;%'!$B$4:$CZ$603,87,FALSE)</f>
        <v>6.9670536280361155</v>
      </c>
      <c r="CX64">
        <f>VLOOKUP($B64,'[1]Data_UN_PopulationTot.&amp;%'!$B$4:$CZ$603,88,FALSE)</f>
        <v>6.4422144975696494</v>
      </c>
      <c r="CY64">
        <f>VLOOKUP($B64,'[1]Data_UN_PopulationTot.&amp;%'!$B$4:$CZ$603,89,FALSE)</f>
        <v>6.7047798109646344</v>
      </c>
      <c r="CZ64">
        <f>VLOOKUP($B64,'[1]Data_UN_PopulationTot.&amp;%'!$B$4:$CZ$603,90,FALSE)</f>
        <v>6.6716221041662109</v>
      </c>
      <c r="DA64">
        <f>VLOOKUP($B64,'[1]Data_UN_PopulationTot.&amp;%'!$B$4:$CZ$603,91,FALSE)</f>
        <v>5.6328749553646258</v>
      </c>
      <c r="DB64">
        <f>VLOOKUP($B64,'[1]Data_UN_PopulationTot.&amp;%'!$B$4:$CZ$603,92,FALSE)</f>
        <v>4.4233838350713803</v>
      </c>
      <c r="DC64">
        <f>VLOOKUP($B64,'[1]Data_UN_PopulationTot.&amp;%'!$B$4:$CZ$603,93,FALSE)</f>
        <v>3.4541585594251698</v>
      </c>
      <c r="DD64">
        <f>VLOOKUP($B64,'[1]Data_UN_PopulationTot.&amp;%'!$B$4:$CZ$603,94,FALSE)</f>
        <v>2.5303338361644911</v>
      </c>
      <c r="DE64">
        <f>VLOOKUP($B64,'[1]Data_UN_PopulationTot.&amp;%'!$B$4:$CZ$603,95,FALSE)</f>
        <v>1.6636788293507649</v>
      </c>
      <c r="DF64">
        <f>VLOOKUP($B64,'[1]Data_UN_PopulationTot.&amp;%'!$B$4:$CZ$603,96,FALSE)</f>
        <v>1.0818157305990979</v>
      </c>
      <c r="DG64">
        <f>VLOOKUP($B64,'[1]Data_UN_PopulationTot.&amp;%'!$B$4:$CZ$603,97,FALSE)</f>
        <v>0.66829175867019375</v>
      </c>
      <c r="DH64">
        <f>VLOOKUP($B64,'[1]Data_UN_PopulationTot.&amp;%'!$B$4:$CZ$603,98,FALSE)</f>
        <v>0.34043126881062213</v>
      </c>
      <c r="DI64">
        <f>VLOOKUP($B64,'[1]Data_UN_PopulationTot.&amp;%'!$B$4:$CZ$603,99,FALSE)</f>
        <v>0.12556204134875348</v>
      </c>
      <c r="DJ64">
        <f>VLOOKUP($B64,'[1]Data_UN_PopulationTot.&amp;%'!$B$4:$DE$603,100,FALSE)</f>
        <v>2.4485691174220066E-2</v>
      </c>
      <c r="DK64">
        <f>VLOOKUP($B64,'[1]Data_UN_PopulationTot.&amp;%'!$B$4:$DE$603,101,FALSE)</f>
        <v>1.8947261027670286E-3</v>
      </c>
      <c r="DL64">
        <f>VLOOKUP($B64,'[1]Data_UN_PopulationTot.&amp;%'!$B$4:$DE$603,102,FALSE)</f>
        <v>3.6437040437827474E-5</v>
      </c>
    </row>
    <row r="65" spans="1:116">
      <c r="A65" t="s">
        <v>72</v>
      </c>
      <c r="B65" t="s">
        <v>454</v>
      </c>
      <c r="C65" t="s">
        <v>485</v>
      </c>
      <c r="D65" t="s">
        <v>622</v>
      </c>
      <c r="E65" t="s">
        <v>2269</v>
      </c>
      <c r="F65">
        <v>0</v>
      </c>
      <c r="G65">
        <v>0</v>
      </c>
      <c r="H65">
        <v>0</v>
      </c>
      <c r="I65">
        <v>1</v>
      </c>
      <c r="J65" s="18">
        <f t="shared" si="1"/>
        <v>787.45943325999997</v>
      </c>
      <c r="K65">
        <f>VLOOKUP($B65,'[1]Source GDP Current USD'!$B$1:$CZ$600,64,FALSE)</f>
        <v>2759804061837.0698</v>
      </c>
      <c r="L65" s="45">
        <f>VLOOKUP($B65,'[1]Source GDP Current USD'!$B$1:$CZ$600,65,FALSE)</f>
        <v>2759804061837.0698</v>
      </c>
      <c r="M65" s="17">
        <f>VLOOKUP($B65,'[1]Source GDP Current LCU'!$B$1:$CZ$600,64,FALSE)</f>
        <v>2152646000000</v>
      </c>
      <c r="N65" s="45">
        <v>2200000000000</v>
      </c>
      <c r="O65" s="45">
        <f>VLOOKUP($B65,'[1]Source GNI Current USD'!$B$1:$CZ$600,64,FALSE)</f>
        <v>2723174554778.8999</v>
      </c>
      <c r="P65" s="45">
        <f>VLOOKUP($B65,'[1]Source GNI Current LCU'!$B$1:$CZ$600,64,FALSE)</f>
        <v>2124075000000</v>
      </c>
      <c r="Q65">
        <f t="shared" si="0"/>
        <v>101.34510316255312</v>
      </c>
      <c r="R65">
        <v>39830</v>
      </c>
      <c r="S65">
        <v>39830</v>
      </c>
      <c r="T65">
        <v>0.88331800000000005</v>
      </c>
      <c r="U65" s="45">
        <v>67000000</v>
      </c>
      <c r="V65">
        <v>36.581000000000003</v>
      </c>
      <c r="W65">
        <f>VLOOKUP($B65,'[1]Source Gov. Revenue WEO'!$B$1:$CZ$600,5,FALSE)</f>
        <v>35.841000000000001</v>
      </c>
      <c r="X65">
        <f>VLOOKUP($B65,'[1]Source Gov. Revenue WEO'!$B$1:$CZ$600,6,FALSE)</f>
        <v>36.040999999999997</v>
      </c>
      <c r="Y65">
        <f>VLOOKUP($B65,'[1]Source Gov. Revenue WEO'!$B$1:$CZ$600,7,FALSE)</f>
        <v>37.35</v>
      </c>
      <c r="Z65">
        <f>VLOOKUP($B65,'[1]Source Gov. Revenue WEO'!$B$1:$CZ$600,8,FALSE)</f>
        <v>37.816000000000003</v>
      </c>
      <c r="AA65">
        <f>VLOOKUP($B65,'[1]Source Gov. Revenue WEO'!$B$1:$CZ$600,9,FALSE)</f>
        <v>37.92</v>
      </c>
      <c r="AB65">
        <f>VLOOKUP($B65,'[1]Source Gov. Revenue WEO'!$B$1:$CZ$600,10,FALSE)</f>
        <v>36.478000000000002</v>
      </c>
      <c r="AC65">
        <f>VLOOKUP($B65,[2]Summary!$B$1:$CZ$600,39,FALSE)</f>
        <v>1.981104E-3</v>
      </c>
      <c r="AD65">
        <f>VLOOKUP($B65,[2]Summary!$B$1:$CZ$600,40,FALSE)</f>
        <v>1.25E-3</v>
      </c>
      <c r="AE65">
        <f>VLOOKUP($B65,[2]Summary!$B$1:$CZ$600,47,FALSE)</f>
        <v>0.46779913567130882</v>
      </c>
      <c r="AF65">
        <f>VLOOKUP($B65,'[1]CALC GDP Growth rates WDI'!$B$1:$CZ$600,27,FALSE)</f>
        <v>8.4296490563225266</v>
      </c>
      <c r="AG65">
        <f>VLOOKUP($B65,'[1]CALC GDP Growth rates WDI'!$B$1:$CZ$600,29,FALSE)</f>
        <v>20.061428906659273</v>
      </c>
      <c r="AH65" s="45">
        <v>-2.2000000000000002</v>
      </c>
      <c r="AI65">
        <f>VLOOKUP($B65,'[1]CALC GDP Growth rates WDI'!$B$1:$CZ$600,30,FALSE)</f>
        <v>8.8155202437204316</v>
      </c>
      <c r="AJ65" s="45"/>
      <c r="AK65" t="e">
        <f>VLOOKUP($B65,[1]Data_Aspire!$B$1:$CZ$600,2,FALSE)</f>
        <v>#N/A</v>
      </c>
      <c r="AL65" t="e">
        <f>VLOOKUP($B65,[1]Data_Aspire!$B$1:$CZ$600,3,FALSE)</f>
        <v>#N/A</v>
      </c>
      <c r="AM65" t="e">
        <f>VLOOKUP($B65,[1]Data_Aspire!$B$1:$CZ$600,4,FALSE)</f>
        <v>#N/A</v>
      </c>
      <c r="AN65" t="e">
        <f>VLOOKUP($B65,[1]Data_Aspire!$B$1:$CZ$600,5,FALSE)</f>
        <v>#N/A</v>
      </c>
      <c r="AO65" t="e">
        <f>VLOOKUP($B65,[1]Data_Aspire!$B$1:$CZ$600,6,FALSE)</f>
        <v>#N/A</v>
      </c>
      <c r="AP65" t="e">
        <f>VLOOKUP($B65,[1]Data_Aspire!$B$1:$CZ$600,7,FALSE)</f>
        <v>#N/A</v>
      </c>
      <c r="AQ65" t="e">
        <f>VLOOKUP($B65,[1]Data_Aspire!$B$1:$CZ$600,8,FALSE)</f>
        <v>#N/A</v>
      </c>
      <c r="AR65" t="e">
        <f>VLOOKUP($B65,[1]Data_Aspire!$B$1:$CZ$600,9,FALSE)</f>
        <v>#N/A</v>
      </c>
      <c r="AS65" t="e">
        <f>VLOOKUP($B65,[1]Data_Aspire!$B$1:$CZ$600,10,FALSE)</f>
        <v>#N/A</v>
      </c>
      <c r="AT65" t="e">
        <f>VLOOKUP($B65,[1]Data_Aspire!$B$1:$CZ$600,11,FALSE)</f>
        <v>#N/A</v>
      </c>
      <c r="AU65" t="e">
        <f>VLOOKUP($B65,[1]Data_Aspire!$B$1:$CZ$600,12,FALSE)</f>
        <v>#N/A</v>
      </c>
      <c r="AV65" t="e">
        <f>VLOOKUP($B65,[1]Data_Aspire!$B$1:$CZ$600,13,FALSE)</f>
        <v>#N/A</v>
      </c>
      <c r="AW65" t="e">
        <f>VLOOKUP($B65,[1]Data_Aspire!$B$1:$CZ$600,14,FALSE)</f>
        <v>#N/A</v>
      </c>
      <c r="AX65" t="e">
        <f>VLOOKUP($B65,[1]Data_Aspire!$B$1:$CZ$600,15,FALSE)</f>
        <v>#N/A</v>
      </c>
      <c r="AY65" t="e">
        <f>VLOOKUP($B65,[1]Data_Aspire!$B$1:$CZ$600,16,FALSE)</f>
        <v>#N/A</v>
      </c>
      <c r="AZ65" t="e">
        <f>VLOOKUP($B65,[1]Data_Aspire!$B$1:$CZ$600,17,FALSE)</f>
        <v>#N/A</v>
      </c>
      <c r="BA65" t="e">
        <f>VLOOKUP($B65,[1]Data_Aspire!$B$1:$CZ$600,18,FALSE)</f>
        <v>#N/A</v>
      </c>
      <c r="BB65" t="e">
        <f>VLOOKUP($B65,[1]Data_Aspire!$B$1:$CZ$600,19,FALSE)</f>
        <v>#N/A</v>
      </c>
      <c r="BC65" t="e">
        <f>VLOOKUP($B65,[1]Data_Aspire!$B$1:$CZ$600,20,FALSE)</f>
        <v>#N/A</v>
      </c>
      <c r="BD65" t="e">
        <f>VLOOKUP($B65,[1]Data_Aspire!$B$1:$CZ$600,21,FALSE)</f>
        <v>#N/A</v>
      </c>
      <c r="BE65" t="e">
        <f>VLOOKUP($B65,[1]Data_Aspire!$B$1:$CZ$600,22,FALSE)</f>
        <v>#N/A</v>
      </c>
      <c r="BF65" t="e">
        <f>VLOOKUP($B65,[1]Data_Aspire!$B$1:$CZ$600,23,FALSE)</f>
        <v>#N/A</v>
      </c>
      <c r="BG65" t="e">
        <f>VLOOKUP($B65,[1]Data_Aspire!$B$1:$CZ$600,24,FALSE)</f>
        <v>#N/A</v>
      </c>
      <c r="BH65" t="e">
        <f>VLOOKUP($B65,[1]Data_Aspire!$B$1:$CZ$600,25,FALSE)</f>
        <v>#N/A</v>
      </c>
      <c r="BI65" t="e">
        <f>VLOOKUP($B65,[1]Data_Aspire!$B$1:$CZ$600,26,FALSE)</f>
        <v>#N/A</v>
      </c>
      <c r="BJ65" s="7">
        <v>0</v>
      </c>
      <c r="BK65">
        <v>826</v>
      </c>
      <c r="BL65">
        <f>VLOOKUP($B65,'[1]Data_UN_PopulationTot.&amp;%'!$B$4:$CZ$603,8,FALSE)</f>
        <v>67886</v>
      </c>
      <c r="BM65">
        <f>VLOOKUP($B65,'[1]Data_UN_PopulationTot.&amp;%'!$B$4:$CZ$603,9,FALSE)</f>
        <v>68207.100000000006</v>
      </c>
      <c r="BN65">
        <v>68497.899999999994</v>
      </c>
      <c r="BO65">
        <f>VLOOKUP($B65,'[1]Data_UN_PopulationTot.&amp;%'!$B$4:$CZ$603,11,FALSE)</f>
        <v>68765.899999999994</v>
      </c>
      <c r="BP65">
        <f>VLOOKUP($B65,'[1]Data_UN_PopulationTot.&amp;%'!$B$4:$CZ$603,12,FALSE)</f>
        <v>69021.8</v>
      </c>
      <c r="BQ65">
        <f>VLOOKUP($B65,'[1]Data_UN_PopulationTot.&amp;%'!$B$4:$CZ$603,13,FALSE)</f>
        <v>69273.600000000006</v>
      </c>
      <c r="BR65">
        <f>VLOOKUP($B65,'[1]Data_UN_PopulationTot.&amp;%'!$B$4:$CZ$603,14,FALSE)</f>
        <v>69524.100000000006</v>
      </c>
      <c r="BS65">
        <f>VLOOKUP($B65,'[1]Data_UN_PopulationTot.&amp;%'!$B$4:$CZ$603,15,FALSE)</f>
        <v>69772</v>
      </c>
      <c r="BT65">
        <f>VLOOKUP($B65,'[1]Data_UN_PopulationTot.&amp;%'!$B$4:$CZ$603,16,FALSE)</f>
        <v>70016.3</v>
      </c>
      <c r="BU65">
        <f>VLOOKUP($B65,'[1]Data_UN_PopulationTot.&amp;%'!$B$4:$CZ$603,17,FALSE)</f>
        <v>70254.600000000006</v>
      </c>
      <c r="BV65">
        <f>VLOOKUP($B65,'[1]Data_UN_PopulationTot.&amp;%'!$B$4:$CZ$603,18,FALSE)</f>
        <v>70485.5</v>
      </c>
      <c r="BW65">
        <f>VLOOKUP($B65,'[1]Data_UN_PopulationTot.&amp;%'!$B$4:$CZ$603,61,FALSE)</f>
        <v>5.7810005008396423</v>
      </c>
      <c r="BX65">
        <f>VLOOKUP($B65,'[1]Data_UN_PopulationTot.&amp;%'!$B$4:$CZ$603,62,FALSE)</f>
        <v>6.0683646112600531</v>
      </c>
      <c r="BY65">
        <f>VLOOKUP($B65,'[1]Data_UN_PopulationTot.&amp;%'!$B$4:$CZ$603,63,FALSE)</f>
        <v>5.8279173909200717</v>
      </c>
      <c r="BZ65">
        <f>VLOOKUP($B65,'[1]Data_UN_PopulationTot.&amp;%'!$B$4:$CZ$603,64,FALSE)</f>
        <v>5.4298824499896892</v>
      </c>
      <c r="CA65">
        <f>VLOOKUP($B65,'[1]Data_UN_PopulationTot.&amp;%'!$B$4:$CZ$603,65,FALSE)</f>
        <v>6.0021801255045224</v>
      </c>
      <c r="CB65">
        <f>VLOOKUP($B65,'[1]Data_UN_PopulationTot.&amp;%'!$B$4:$CZ$603,66,FALSE)</f>
        <v>6.6052941696373324</v>
      </c>
      <c r="CC65">
        <f>VLOOKUP($B65,'[1]Data_UN_PopulationTot.&amp;%'!$B$4:$CZ$603,67,FALSE)</f>
        <v>6.9334325192234036</v>
      </c>
      <c r="CD65">
        <f>VLOOKUP($B65,'[1]Data_UN_PopulationTot.&amp;%'!$B$4:$CZ$603,68,FALSE)</f>
        <v>6.7586836755737556</v>
      </c>
      <c r="CE65">
        <f>VLOOKUP($B65,'[1]Data_UN_PopulationTot.&amp;%'!$B$4:$CZ$603,69,FALSE)</f>
        <v>6.3461243849983795</v>
      </c>
      <c r="CF65">
        <f>VLOOKUP($B65,'[1]Data_UN_PopulationTot.&amp;%'!$B$4:$CZ$603,70,FALSE)</f>
        <v>6.3284329611407353</v>
      </c>
      <c r="CG65">
        <f>VLOOKUP($B65,'[1]Data_UN_PopulationTot.&amp;%'!$B$4:$CZ$603,71,FALSE)</f>
        <v>6.8269451727896762</v>
      </c>
      <c r="CH65">
        <f>VLOOKUP($B65,'[1]Data_UN_PopulationTot.&amp;%'!$B$4:$CZ$603,72,FALSE)</f>
        <v>6.6860913885042574</v>
      </c>
      <c r="CI65">
        <f>VLOOKUP($B65,'[1]Data_UN_PopulationTot.&amp;%'!$B$4:$CZ$603,73,FALSE)</f>
        <v>5.7523200659929881</v>
      </c>
      <c r="CJ65">
        <f>VLOOKUP($B65,'[1]Data_UN_PopulationTot.&amp;%'!$B$4:$CZ$603,74,FALSE)</f>
        <v>4.9815278555224936</v>
      </c>
      <c r="CK65">
        <f>VLOOKUP($B65,'[1]Data_UN_PopulationTot.&amp;%'!$B$4:$CZ$603,75,FALSE)</f>
        <v>4.9914415343369765</v>
      </c>
      <c r="CL65">
        <f>VLOOKUP($B65,'[1]Data_UN_PopulationTot.&amp;%'!$B$4:$CZ$603,76,FALSE)</f>
        <v>3.597428041127773</v>
      </c>
      <c r="CM65">
        <f>VLOOKUP($B65,'[1]Data_UN_PopulationTot.&amp;%'!$B$4:$CZ$603,77,FALSE)</f>
        <v>2.5580679374245059</v>
      </c>
      <c r="CN65">
        <f>VLOOKUP($B65,'[1]Data_UN_PopulationTot.&amp;%'!$B$4:$CZ$603,78,FALSE)</f>
        <v>1.5873081342250244</v>
      </c>
      <c r="CO65">
        <f>VLOOKUP($B65,'[1]Data_UN_PopulationTot.&amp;%'!$B$4:$CZ$603,79,FALSE)</f>
        <v>0.72264826326488529</v>
      </c>
      <c r="CP65">
        <f>VLOOKUP($B65,'[1]Data_UN_PopulationTot.&amp;%'!$B$4:$CZ$603,80,FALSE)</f>
        <v>0.19161977432754912</v>
      </c>
      <c r="CQ65">
        <f>VLOOKUP($B65,'[1]Data_UN_PopulationTot.&amp;%'!$B$4:$CZ$603,81,FALSE)</f>
        <v>2.332439678284182E-2</v>
      </c>
      <c r="CR65">
        <f>VLOOKUP($B65,'[1]Data_UN_PopulationTot.&amp;%'!$B$4:$CZ$603,82,FALSE)</f>
        <v>5.3980038447623979</v>
      </c>
      <c r="CS65">
        <f>VLOOKUP($B65,'[1]Data_UN_PopulationTot.&amp;%'!$B$4:$CZ$603,83,FALSE)</f>
        <v>5.5546318037043081</v>
      </c>
      <c r="CT65">
        <f>VLOOKUP($B65,'[1]Data_UN_PopulationTot.&amp;%'!$B$4:$CZ$603,84,FALSE)</f>
        <v>5.6142185272148177</v>
      </c>
      <c r="CU65">
        <f>VLOOKUP($B65,'[1]Data_UN_PopulationTot.&amp;%'!$B$4:$CZ$603,85,FALSE)</f>
        <v>5.9794425803888744</v>
      </c>
      <c r="CV65">
        <f>VLOOKUP($B65,'[1]Data_UN_PopulationTot.&amp;%'!$B$4:$CZ$603,86,FALSE)</f>
        <v>5.9290492370771286</v>
      </c>
      <c r="CW65">
        <f>VLOOKUP($B65,'[1]Data_UN_PopulationTot.&amp;%'!$B$4:$CZ$603,87,FALSE)</f>
        <v>5.6219648012711838</v>
      </c>
      <c r="CX65">
        <f>VLOOKUP($B65,'[1]Data_UN_PopulationTot.&amp;%'!$B$4:$CZ$603,88,FALSE)</f>
        <v>6.106064367848707</v>
      </c>
      <c r="CY65">
        <f>VLOOKUP($B65,'[1]Data_UN_PopulationTot.&amp;%'!$B$4:$CZ$603,89,FALSE)</f>
        <v>6.5784877740811947</v>
      </c>
      <c r="CZ65">
        <f>VLOOKUP($B65,'[1]Data_UN_PopulationTot.&amp;%'!$B$4:$CZ$603,90,FALSE)</f>
        <v>6.7939505288321715</v>
      </c>
      <c r="DA65">
        <f>VLOOKUP($B65,'[1]Data_UN_PopulationTot.&amp;%'!$B$4:$CZ$603,91,FALSE)</f>
        <v>6.542352682466607</v>
      </c>
      <c r="DB65">
        <f>VLOOKUP($B65,'[1]Data_UN_PopulationTot.&amp;%'!$B$4:$CZ$603,92,FALSE)</f>
        <v>6.0725823041618492</v>
      </c>
      <c r="DC65">
        <f>VLOOKUP($B65,'[1]Data_UN_PopulationTot.&amp;%'!$B$4:$CZ$603,93,FALSE)</f>
        <v>5.9715544331812929</v>
      </c>
      <c r="DD65">
        <f>VLOOKUP($B65,'[1]Data_UN_PopulationTot.&amp;%'!$B$4:$CZ$603,94,FALSE)</f>
        <v>6.3213994367635902</v>
      </c>
      <c r="DE65">
        <f>VLOOKUP($B65,'[1]Data_UN_PopulationTot.&amp;%'!$B$4:$CZ$603,95,FALSE)</f>
        <v>6.0276652644870223</v>
      </c>
      <c r="DF65">
        <f>VLOOKUP($B65,'[1]Data_UN_PopulationTot.&amp;%'!$B$4:$CZ$603,96,FALSE)</f>
        <v>4.972015520922743</v>
      </c>
      <c r="DG65">
        <f>VLOOKUP($B65,'[1]Data_UN_PopulationTot.&amp;%'!$B$4:$CZ$603,97,FALSE)</f>
        <v>3.9977442168956734</v>
      </c>
      <c r="DH65">
        <f>VLOOKUP($B65,'[1]Data_UN_PopulationTot.&amp;%'!$B$4:$CZ$603,98,FALSE)</f>
        <v>3.4834398564243712</v>
      </c>
      <c r="DI65">
        <f>VLOOKUP($B65,'[1]Data_UN_PopulationTot.&amp;%'!$B$4:$CZ$603,99,FALSE)</f>
        <v>1.9242397372509239</v>
      </c>
      <c r="DJ65">
        <f>VLOOKUP($B65,'[1]Data_UN_PopulationTot.&amp;%'!$B$4:$DE$603,100,FALSE)</f>
        <v>0.84592292031694472</v>
      </c>
      <c r="DK65">
        <f>VLOOKUP($B65,'[1]Data_UN_PopulationTot.&amp;%'!$B$4:$DE$603,101,FALSE)</f>
        <v>0.23232154130991478</v>
      </c>
      <c r="DL65">
        <f>VLOOKUP($B65,'[1]Data_UN_PopulationTot.&amp;%'!$B$4:$DE$603,102,FALSE)</f>
        <v>3.293585205467791E-2</v>
      </c>
    </row>
    <row r="66" spans="1:116">
      <c r="A66" t="s">
        <v>179</v>
      </c>
      <c r="B66" t="s">
        <v>394</v>
      </c>
      <c r="C66" t="s">
        <v>485</v>
      </c>
      <c r="D66" t="s">
        <v>389</v>
      </c>
      <c r="E66" t="s">
        <v>301</v>
      </c>
      <c r="F66">
        <v>0</v>
      </c>
      <c r="G66">
        <v>0</v>
      </c>
      <c r="H66">
        <v>1</v>
      </c>
      <c r="I66">
        <v>0</v>
      </c>
      <c r="J66" s="18">
        <f t="shared" si="1"/>
        <v>12.386642815403999</v>
      </c>
      <c r="K66">
        <f>VLOOKUP($B66,'[1]Source GDP Current USD'!$B$1:$CZ$600,64,FALSE)</f>
        <v>15846489610.807301</v>
      </c>
      <c r="L66" s="45">
        <f>VLOOKUP($B66,'[1]Source GDP Current USD'!$B$1:$CZ$600,65,FALSE)</f>
        <v>15846489610.807301</v>
      </c>
      <c r="M66" s="17">
        <f>VLOOKUP($B66,'[1]Source GDP Current LCU'!$B$1:$CZ$600,64,FALSE)</f>
        <v>49266736200</v>
      </c>
      <c r="N66" s="45">
        <v>49000000000</v>
      </c>
      <c r="O66" s="45">
        <f>VLOOKUP($B66,'[1]Source GNI Current USD'!$B$1:$CZ$600,64,FALSE)</f>
        <v>15107732155.3444</v>
      </c>
      <c r="P66" s="45">
        <f>VLOOKUP($B66,'[1]Source GNI Current LCU'!$B$1:$CZ$600,64,FALSE)</f>
        <v>46969939270.965599</v>
      </c>
      <c r="Q66">
        <f t="shared" si="0"/>
        <v>104.8899295265944</v>
      </c>
      <c r="R66">
        <v>4270</v>
      </c>
      <c r="S66">
        <v>4270</v>
      </c>
      <c r="T66">
        <v>0.288935</v>
      </c>
      <c r="U66" s="45">
        <v>3700000</v>
      </c>
      <c r="V66">
        <v>25.141999999999999</v>
      </c>
      <c r="W66">
        <f>VLOOKUP($B66,'[1]Source Gov. Revenue WEO'!$B$1:$CZ$600,5,FALSE)</f>
        <v>25.734999999999999</v>
      </c>
      <c r="X66">
        <f>VLOOKUP($B66,'[1]Source Gov. Revenue WEO'!$B$1:$CZ$600,6,FALSE)</f>
        <v>26.135999999999999</v>
      </c>
      <c r="Y66">
        <f>VLOOKUP($B66,'[1]Source Gov. Revenue WEO'!$B$1:$CZ$600,7,FALSE)</f>
        <v>26.088000000000001</v>
      </c>
      <c r="Z66">
        <f>VLOOKUP($B66,'[1]Source Gov. Revenue WEO'!$B$1:$CZ$600,8,FALSE)</f>
        <v>25.984999999999999</v>
      </c>
      <c r="AA66">
        <f>VLOOKUP($B66,'[1]Source Gov. Revenue WEO'!$B$1:$CZ$600,9,FALSE)</f>
        <v>25.93</v>
      </c>
      <c r="AB66">
        <f>VLOOKUP($B66,'[1]Source Gov. Revenue WEO'!$B$1:$CZ$600,10,FALSE)</f>
        <v>25.817</v>
      </c>
      <c r="AC66">
        <f>VLOOKUP($B66,[2]Summary!$B$1:$CZ$600,39,FALSE)</f>
        <v>4.5405590000000003E-2</v>
      </c>
      <c r="AD66">
        <f>VLOOKUP($B66,[2]Summary!$B$1:$CZ$600,40,FALSE)</f>
        <v>2.0750000000000001E-2</v>
      </c>
      <c r="AE66">
        <f>VLOOKUP($B66,[2]Summary!$B$1:$CZ$600,47,FALSE)</f>
        <v>0.3188588272681615</v>
      </c>
      <c r="AF66">
        <f>VLOOKUP($B66,'[1]CALC GDP Growth rates WDI'!$B$1:$CZ$600,27,FALSE)</f>
        <v>41.016049703425651</v>
      </c>
      <c r="AG66">
        <f>VLOOKUP($B66,'[1]CALC GDP Growth rates WDI'!$B$1:$CZ$600,29,FALSE)</f>
        <v>52.916517964447074</v>
      </c>
      <c r="AH66" s="45">
        <v>10.77</v>
      </c>
      <c r="AI66">
        <f>VLOOKUP($B66,'[1]CALC GDP Growth rates WDI'!$B$1:$CZ$600,30,FALSE)</f>
        <v>16.419524861513146</v>
      </c>
      <c r="AJ66" s="45"/>
      <c r="AK66">
        <f>VLOOKUP($B66,[1]Data_Aspire!$B$1:$CZ$600,2,FALSE)</f>
        <v>2013</v>
      </c>
      <c r="AL66">
        <f>VLOOKUP($B66,[1]Data_Aspire!$B$1:$CZ$600,3,FALSE)</f>
        <v>6.59</v>
      </c>
      <c r="AN66">
        <f>VLOOKUP($B66,[1]Data_Aspire!$B$1:$CZ$600,5,FALSE)</f>
        <v>1.08</v>
      </c>
      <c r="AO66">
        <f>VLOOKUP($B66,[1]Data_Aspire!$B$1:$CZ$600,6,FALSE)</f>
        <v>4.32</v>
      </c>
      <c r="AS66">
        <f>VLOOKUP($B66,[1]Data_Aspire!$B$1:$CZ$600,10,FALSE)</f>
        <v>1.17</v>
      </c>
      <c r="AT66">
        <f>VLOOKUP($B66,[1]Data_Aspire!$B$1:$CZ$600,11,FALSE)</f>
        <v>0.02</v>
      </c>
      <c r="AU66">
        <f>VLOOKUP($B66,[1]Data_Aspire!$B$1:$CZ$600,12,FALSE)</f>
        <v>5.42</v>
      </c>
      <c r="AX66">
        <f>VLOOKUP($B66,[1]Data_Aspire!$B$1:$CZ$600,15,FALSE)</f>
        <v>1532982.8</v>
      </c>
      <c r="AY66">
        <f>VLOOKUP($B66,[1]Data_Aspire!$B$1:$CZ$600,16,FALSE)</f>
        <v>2017</v>
      </c>
      <c r="AZ66">
        <f>VLOOKUP($B66,[1]Data_Aspire!$B$1:$CZ$600,17,FALSE)</f>
        <v>732067</v>
      </c>
      <c r="BA66">
        <f>VLOOKUP($B66,[1]Data_Aspire!$B$1:$CZ$600,18,FALSE)</f>
        <v>2017</v>
      </c>
      <c r="BH66">
        <f>VLOOKUP($B66,[1]Data_Aspire!$B$1:$CZ$600,25,FALSE)</f>
        <v>1661421</v>
      </c>
      <c r="BI66">
        <f>VLOOKUP($B66,[1]Data_Aspire!$B$1:$CZ$600,26,FALSE)</f>
        <v>2013</v>
      </c>
      <c r="BJ66" s="7">
        <v>0</v>
      </c>
      <c r="BK66">
        <v>268</v>
      </c>
      <c r="BL66">
        <f>VLOOKUP($B66,'[1]Data_UN_PopulationTot.&amp;%'!$B$4:$CZ$603,8,FALSE)</f>
        <v>3989.18</v>
      </c>
      <c r="BM66">
        <f>VLOOKUP($B66,'[1]Data_UN_PopulationTot.&amp;%'!$B$4:$CZ$603,9,FALSE)</f>
        <v>3979.77</v>
      </c>
      <c r="BN66">
        <v>3968.73</v>
      </c>
      <c r="BO66">
        <f>VLOOKUP($B66,'[1]Data_UN_PopulationTot.&amp;%'!$B$4:$CZ$603,11,FALSE)</f>
        <v>3956.34</v>
      </c>
      <c r="BP66">
        <f>VLOOKUP($B66,'[1]Data_UN_PopulationTot.&amp;%'!$B$4:$CZ$603,12,FALSE)</f>
        <v>3943.05</v>
      </c>
      <c r="BQ66">
        <f>VLOOKUP($B66,'[1]Data_UN_PopulationTot.&amp;%'!$B$4:$CZ$603,13,FALSE)</f>
        <v>3929.29</v>
      </c>
      <c r="BR66">
        <f>VLOOKUP($B66,'[1]Data_UN_PopulationTot.&amp;%'!$B$4:$CZ$603,14,FALSE)</f>
        <v>3915.05</v>
      </c>
      <c r="BS66">
        <f>VLOOKUP($B66,'[1]Data_UN_PopulationTot.&amp;%'!$B$4:$CZ$603,15,FALSE)</f>
        <v>3900.21</v>
      </c>
      <c r="BT66">
        <f>VLOOKUP($B66,'[1]Data_UN_PopulationTot.&amp;%'!$B$4:$CZ$603,16,FALSE)</f>
        <v>3884.89</v>
      </c>
      <c r="BU66">
        <f>VLOOKUP($B66,'[1]Data_UN_PopulationTot.&amp;%'!$B$4:$CZ$603,17,FALSE)</f>
        <v>3869.22</v>
      </c>
      <c r="BV66">
        <f>VLOOKUP($B66,'[1]Data_UN_PopulationTot.&amp;%'!$B$4:$CZ$603,18,FALSE)</f>
        <v>3853.3</v>
      </c>
      <c r="BW66">
        <f>VLOOKUP($B66,'[1]Data_UN_PopulationTot.&amp;%'!$B$4:$CZ$603,61,FALSE)</f>
        <v>6.7268210509428013</v>
      </c>
      <c r="BX66">
        <f>VLOOKUP($B66,'[1]Data_UN_PopulationTot.&amp;%'!$B$4:$CZ$603,62,FALSE)</f>
        <v>7.1397630590747969</v>
      </c>
      <c r="BY66">
        <f>VLOOKUP($B66,'[1]Data_UN_PopulationTot.&amp;%'!$B$4:$CZ$603,63,FALSE)</f>
        <v>6.3537368582014349</v>
      </c>
      <c r="BZ66">
        <f>VLOOKUP($B66,'[1]Data_UN_PopulationTot.&amp;%'!$B$4:$CZ$603,64,FALSE)</f>
        <v>5.4546297735374187</v>
      </c>
      <c r="CA66">
        <f>VLOOKUP($B66,'[1]Data_UN_PopulationTot.&amp;%'!$B$4:$CZ$603,65,FALSE)</f>
        <v>5.8511523671531496</v>
      </c>
      <c r="CB66">
        <f>VLOOKUP($B66,'[1]Data_UN_PopulationTot.&amp;%'!$B$4:$CZ$603,66,FALSE)</f>
        <v>6.7002491740157124</v>
      </c>
      <c r="CC66">
        <f>VLOOKUP($B66,'[1]Data_UN_PopulationTot.&amp;%'!$B$4:$CZ$603,67,FALSE)</f>
        <v>7.259261301821426</v>
      </c>
      <c r="CD66">
        <f>VLOOKUP($B66,'[1]Data_UN_PopulationTot.&amp;%'!$B$4:$CZ$603,68,FALSE)</f>
        <v>6.9059556099248463</v>
      </c>
      <c r="CE66">
        <f>VLOOKUP($B66,'[1]Data_UN_PopulationTot.&amp;%'!$B$4:$CZ$603,69,FALSE)</f>
        <v>6.6165978973122295</v>
      </c>
      <c r="CF66">
        <f>VLOOKUP($B66,'[1]Data_UN_PopulationTot.&amp;%'!$B$4:$CZ$603,70,FALSE)</f>
        <v>6.3671732035155095</v>
      </c>
      <c r="CG66">
        <f>VLOOKUP($B66,'[1]Data_UN_PopulationTot.&amp;%'!$B$4:$CZ$603,71,FALSE)</f>
        <v>6.1621686662421853</v>
      </c>
      <c r="CH66">
        <f>VLOOKUP($B66,'[1]Data_UN_PopulationTot.&amp;%'!$B$4:$CZ$603,72,FALSE)</f>
        <v>6.9639123829960043</v>
      </c>
      <c r="CI66">
        <f>VLOOKUP($B66,'[1]Data_UN_PopulationTot.&amp;%'!$B$4:$CZ$603,73,FALSE)</f>
        <v>6.2451431121182805</v>
      </c>
      <c r="CJ66">
        <f>VLOOKUP($B66,'[1]Data_UN_PopulationTot.&amp;%'!$B$4:$CZ$603,74,FALSE)</f>
        <v>5.2824891331050496</v>
      </c>
      <c r="CK66">
        <f>VLOOKUP($B66,'[1]Data_UN_PopulationTot.&amp;%'!$B$4:$CZ$603,75,FALSE)</f>
        <v>3.7698474373179449</v>
      </c>
      <c r="CL66">
        <f>VLOOKUP($B66,'[1]Data_UN_PopulationTot.&amp;%'!$B$4:$CZ$603,76,FALSE)</f>
        <v>2.4666723487032427</v>
      </c>
      <c r="CM66">
        <f>VLOOKUP($B66,'[1]Data_UN_PopulationTot.&amp;%'!$B$4:$CZ$603,77,FALSE)</f>
        <v>2.4187928346176406</v>
      </c>
      <c r="CN66">
        <f>VLOOKUP($B66,'[1]Data_UN_PopulationTot.&amp;%'!$B$4:$CZ$603,78,FALSE)</f>
        <v>0.92693235201219293</v>
      </c>
      <c r="CO66">
        <f>VLOOKUP($B66,'[1]Data_UN_PopulationTot.&amp;%'!$B$4:$CZ$603,79,FALSE)</f>
        <v>0.33924265137196113</v>
      </c>
      <c r="CP66">
        <f>VLOOKUP($B66,'[1]Data_UN_PopulationTot.&amp;%'!$B$4:$CZ$603,80,FALSE)</f>
        <v>4.6275174346607578E-2</v>
      </c>
      <c r="CQ66">
        <f>VLOOKUP($B66,'[1]Data_UN_PopulationTot.&amp;%'!$B$4:$CZ$603,81,FALSE)</f>
        <v>3.0582726274572722E-3</v>
      </c>
      <c r="CR66">
        <f>VLOOKUP($B66,'[1]Data_UN_PopulationTot.&amp;%'!$B$4:$CZ$603,82,FALSE)</f>
        <v>5.6467703007811485</v>
      </c>
      <c r="CS66">
        <f>VLOOKUP($B66,'[1]Data_UN_PopulationTot.&amp;%'!$B$4:$CZ$603,83,FALSE)</f>
        <v>6.1177172812913607</v>
      </c>
      <c r="CT66">
        <f>VLOOKUP($B66,'[1]Data_UN_PopulationTot.&amp;%'!$B$4:$CZ$603,84,FALSE)</f>
        <v>6.8697480082007631</v>
      </c>
      <c r="CU66">
        <f>VLOOKUP($B66,'[1]Data_UN_PopulationTot.&amp;%'!$B$4:$CZ$603,85,FALSE)</f>
        <v>7.2605299353800623</v>
      </c>
      <c r="CV66">
        <f>VLOOKUP($B66,'[1]Data_UN_PopulationTot.&amp;%'!$B$4:$CZ$603,86,FALSE)</f>
        <v>6.2677704824436189</v>
      </c>
      <c r="CW66">
        <f>VLOOKUP($B66,'[1]Data_UN_PopulationTot.&amp;%'!$B$4:$CZ$603,87,FALSE)</f>
        <v>5.164793813095268</v>
      </c>
      <c r="CX66">
        <f>VLOOKUP($B66,'[1]Data_UN_PopulationTot.&amp;%'!$B$4:$CZ$603,88,FALSE)</f>
        <v>5.5468818934419843</v>
      </c>
      <c r="CY66">
        <f>VLOOKUP($B66,'[1]Data_UN_PopulationTot.&amp;%'!$B$4:$CZ$603,89,FALSE)</f>
        <v>6.4897101185996426</v>
      </c>
      <c r="CZ66">
        <f>VLOOKUP($B66,'[1]Data_UN_PopulationTot.&amp;%'!$B$4:$CZ$603,90,FALSE)</f>
        <v>7.1245685516310688</v>
      </c>
      <c r="DA66">
        <f>VLOOKUP($B66,'[1]Data_UN_PopulationTot.&amp;%'!$B$4:$CZ$603,91,FALSE)</f>
        <v>6.7751797160875089</v>
      </c>
      <c r="DB66">
        <f>VLOOKUP($B66,'[1]Data_UN_PopulationTot.&amp;%'!$B$4:$CZ$603,92,FALSE)</f>
        <v>6.4289050943347261</v>
      </c>
      <c r="DC66">
        <f>VLOOKUP($B66,'[1]Data_UN_PopulationTot.&amp;%'!$B$4:$CZ$603,93,FALSE)</f>
        <v>6.0699400513845276</v>
      </c>
      <c r="DD66">
        <f>VLOOKUP($B66,'[1]Data_UN_PopulationTot.&amp;%'!$B$4:$CZ$603,94,FALSE)</f>
        <v>5.7021514026937945</v>
      </c>
      <c r="DE66">
        <f>VLOOKUP($B66,'[1]Data_UN_PopulationTot.&amp;%'!$B$4:$CZ$603,95,FALSE)</f>
        <v>6.1641190667739334</v>
      </c>
      <c r="DF66">
        <f>VLOOKUP($B66,'[1]Data_UN_PopulationTot.&amp;%'!$B$4:$CZ$603,96,FALSE)</f>
        <v>5.1179508473256687</v>
      </c>
      <c r="DG66">
        <f>VLOOKUP($B66,'[1]Data_UN_PopulationTot.&amp;%'!$B$4:$CZ$603,97,FALSE)</f>
        <v>3.7397295824358343</v>
      </c>
      <c r="DH66">
        <f>VLOOKUP($B66,'[1]Data_UN_PopulationTot.&amp;%'!$B$4:$CZ$603,98,FALSE)</f>
        <v>2.0628811667921005</v>
      </c>
      <c r="DI66">
        <f>VLOOKUP($B66,'[1]Data_UN_PopulationTot.&amp;%'!$B$4:$CZ$603,99,FALSE)</f>
        <v>0.89907352139724384</v>
      </c>
      <c r="DJ66">
        <f>VLOOKUP($B66,'[1]Data_UN_PopulationTot.&amp;%'!$B$4:$DE$603,100,FALSE)</f>
        <v>0.47162172683154691</v>
      </c>
      <c r="DK66">
        <f>VLOOKUP($B66,'[1]Data_UN_PopulationTot.&amp;%'!$B$4:$DE$603,101,FALSE)</f>
        <v>7.1730724314224156E-2</v>
      </c>
      <c r="DL66">
        <f>VLOOKUP($B66,'[1]Data_UN_PopulationTot.&amp;%'!$B$4:$DE$603,102,FALSE)</f>
        <v>8.2526665455583525E-3</v>
      </c>
    </row>
    <row r="67" spans="1:116">
      <c r="A67" t="s">
        <v>145</v>
      </c>
      <c r="B67" t="s">
        <v>359</v>
      </c>
      <c r="C67" t="s">
        <v>496</v>
      </c>
      <c r="D67" t="s">
        <v>334</v>
      </c>
      <c r="E67" t="s">
        <v>300</v>
      </c>
      <c r="F67">
        <v>0</v>
      </c>
      <c r="G67">
        <v>1</v>
      </c>
      <c r="H67">
        <v>0</v>
      </c>
      <c r="I67">
        <v>0</v>
      </c>
      <c r="J67" s="18">
        <f t="shared" si="1"/>
        <v>47.809210753030996</v>
      </c>
      <c r="K67">
        <f>VLOOKUP($B67,'[1]Source GDP Current USD'!$B$1:$CZ$600,64,FALSE)</f>
        <v>68532281805.672203</v>
      </c>
      <c r="L67" s="45">
        <f>VLOOKUP($B67,'[1]Source GDP Current USD'!$B$1:$CZ$600,65,FALSE)</f>
        <v>68532281805.672203</v>
      </c>
      <c r="M67" s="17">
        <f>VLOOKUP($B67,'[1]Source GDP Current LCU'!$B$1:$CZ$600,64,FALSE)</f>
        <v>383486089300</v>
      </c>
      <c r="N67" s="45">
        <v>380000000000</v>
      </c>
      <c r="O67" s="45">
        <f>VLOOKUP($B67,'[1]Source GNI Current USD'!$B$1:$CZ$600,64,FALSE)</f>
        <v>70776628000.071503</v>
      </c>
      <c r="P67" s="45">
        <f>VLOOKUP($B67,'[1]Source GNI Current LCU'!$B$1:$CZ$600,64,FALSE)</f>
        <v>396044777300</v>
      </c>
      <c r="Q67">
        <f t="shared" si="0"/>
        <v>96.828972702122798</v>
      </c>
      <c r="R67">
        <v>2340</v>
      </c>
      <c r="S67">
        <v>2340</v>
      </c>
      <c r="T67">
        <v>0.38394200000000001</v>
      </c>
      <c r="U67" s="45">
        <v>31000000</v>
      </c>
      <c r="V67">
        <v>12.467000000000001</v>
      </c>
      <c r="W67">
        <f>VLOOKUP($B67,'[1]Source Gov. Revenue WEO'!$B$1:$CZ$600,5,FALSE)</f>
        <v>14.351000000000001</v>
      </c>
      <c r="X67">
        <f>VLOOKUP($B67,'[1]Source Gov. Revenue WEO'!$B$1:$CZ$600,6,FALSE)</f>
        <v>14.295</v>
      </c>
      <c r="Y67">
        <f>VLOOKUP($B67,'[1]Source Gov. Revenue WEO'!$B$1:$CZ$600,7,FALSE)</f>
        <v>14.215</v>
      </c>
      <c r="Z67">
        <f>VLOOKUP($B67,'[1]Source Gov. Revenue WEO'!$B$1:$CZ$600,8,FALSE)</f>
        <v>14.347</v>
      </c>
      <c r="AA67">
        <f>VLOOKUP($B67,'[1]Source Gov. Revenue WEO'!$B$1:$CZ$600,9,FALSE)</f>
        <v>14.324</v>
      </c>
      <c r="AB67">
        <f>VLOOKUP($B67,'[1]Source Gov. Revenue WEO'!$B$1:$CZ$600,10,FALSE)</f>
        <v>14.49</v>
      </c>
      <c r="AC67">
        <f>VLOOKUP($B67,[2]Summary!$B$1:$CZ$600,39,FALSE)</f>
        <v>0.1226565</v>
      </c>
      <c r="AD67">
        <f>VLOOKUP($B67,[2]Summary!$B$1:$CZ$600,40,FALSE)</f>
        <v>8.4749989999999997E-2</v>
      </c>
      <c r="AE67">
        <f>VLOOKUP($B67,[2]Summary!$B$1:$CZ$600,47,FALSE)</f>
        <v>0.20391509104945077</v>
      </c>
      <c r="AF67">
        <f>VLOOKUP($B67,'[1]CALC GDP Growth rates WDI'!$B$1:$CZ$600,27,FALSE)</f>
        <v>78.370945010043741</v>
      </c>
      <c r="AG67">
        <f>VLOOKUP($B67,'[1]CALC GDP Growth rates WDI'!$B$1:$CZ$600,29,FALSE)</f>
        <v>80.686321190520488</v>
      </c>
      <c r="AH67">
        <v>26.94</v>
      </c>
      <c r="AI67">
        <f>VLOOKUP($B67,'[1]CALC GDP Growth rates WDI'!$B$1:$CZ$600,30,FALSE)</f>
        <v>21.716115916404188</v>
      </c>
      <c r="AJ67" t="s">
        <v>2464</v>
      </c>
      <c r="AK67">
        <f>VLOOKUP($B67,[1]Data_Aspire!$B$1:$CZ$600,2,FALSE)</f>
        <v>2016</v>
      </c>
      <c r="AL67">
        <f>VLOOKUP($B67,[1]Data_Aspire!$B$1:$CZ$600,3,FALSE)</f>
        <v>0.45</v>
      </c>
      <c r="AN67">
        <f>VLOOKUP($B67,[1]Data_Aspire!$B$1:$CZ$600,5,FALSE)</f>
        <v>0.05</v>
      </c>
      <c r="AP67">
        <f>VLOOKUP($B67,[1]Data_Aspire!$B$1:$CZ$600,7,FALSE)</f>
        <v>0.11</v>
      </c>
      <c r="AQ67">
        <f>VLOOKUP($B67,[1]Data_Aspire!$B$1:$CZ$600,8,FALSE)</f>
        <v>0.01</v>
      </c>
      <c r="AS67">
        <f>VLOOKUP($B67,[1]Data_Aspire!$B$1:$CZ$600,10,FALSE)</f>
        <v>0.09</v>
      </c>
      <c r="AT67">
        <f>VLOOKUP($B67,[1]Data_Aspire!$B$1:$CZ$600,11,FALSE)</f>
        <v>0.19</v>
      </c>
      <c r="AU67">
        <f>VLOOKUP($B67,[1]Data_Aspire!$B$1:$CZ$600,12,FALSE)</f>
        <v>0.42</v>
      </c>
      <c r="AX67">
        <f>VLOOKUP($B67,[1]Data_Aspire!$B$1:$CZ$600,15,FALSE)</f>
        <v>939022</v>
      </c>
      <c r="AY67">
        <f>VLOOKUP($B67,[1]Data_Aspire!$B$1:$CZ$600,16,FALSE)</f>
        <v>2016</v>
      </c>
      <c r="BD67">
        <f>VLOOKUP($B67,[1]Data_Aspire!$B$1:$CZ$600,21,FALSE)</f>
        <v>1700000</v>
      </c>
      <c r="BE67">
        <f>VLOOKUP($B67,[1]Data_Aspire!$B$1:$CZ$600,22,FALSE)</f>
        <v>2014</v>
      </c>
      <c r="BF67">
        <f>VLOOKUP($B67,[1]Data_Aspire!$B$1:$CZ$600,23,FALSE)</f>
        <v>164785</v>
      </c>
      <c r="BG67">
        <f>VLOOKUP($B67,[1]Data_Aspire!$B$1:$CZ$600,24,FALSE)</f>
        <v>2016</v>
      </c>
      <c r="BH67">
        <f>VLOOKUP($B67,[1]Data_Aspire!$B$1:$CZ$600,25,FALSE)</f>
        <v>6700000</v>
      </c>
      <c r="BI67">
        <f>VLOOKUP($B67,[1]Data_Aspire!$B$1:$CZ$600,26,FALSE)</f>
        <v>2014</v>
      </c>
      <c r="BJ67" s="7">
        <v>1</v>
      </c>
      <c r="BK67">
        <v>288</v>
      </c>
      <c r="BL67">
        <f>VLOOKUP($B67,'[1]Data_UN_PopulationTot.&amp;%'!$B$4:$CZ$603,8,FALSE)</f>
        <v>31072.9</v>
      </c>
      <c r="BM67">
        <f>VLOOKUP($B67,'[1]Data_UN_PopulationTot.&amp;%'!$B$4:$CZ$603,9,FALSE)</f>
        <v>31732.1</v>
      </c>
      <c r="BN67">
        <v>32395.5</v>
      </c>
      <c r="BO67">
        <f>VLOOKUP($B67,'[1]Data_UN_PopulationTot.&amp;%'!$B$4:$CZ$603,11,FALSE)</f>
        <v>33062.699999999997</v>
      </c>
      <c r="BP67">
        <f>VLOOKUP($B67,'[1]Data_UN_PopulationTot.&amp;%'!$B$4:$CZ$603,12,FALSE)</f>
        <v>33733.9</v>
      </c>
      <c r="BQ67">
        <f>VLOOKUP($B67,'[1]Data_UN_PopulationTot.&amp;%'!$B$4:$CZ$603,13,FALSE)</f>
        <v>34408.800000000003</v>
      </c>
      <c r="BR67">
        <f>VLOOKUP($B67,'[1]Data_UN_PopulationTot.&amp;%'!$B$4:$CZ$603,14,FALSE)</f>
        <v>35087.199999999997</v>
      </c>
      <c r="BS67">
        <f>VLOOKUP($B67,'[1]Data_UN_PopulationTot.&amp;%'!$B$4:$CZ$603,15,FALSE)</f>
        <v>35768.9</v>
      </c>
      <c r="BT67">
        <f>VLOOKUP($B67,'[1]Data_UN_PopulationTot.&amp;%'!$B$4:$CZ$603,16,FALSE)</f>
        <v>36453.9</v>
      </c>
      <c r="BU67">
        <f>VLOOKUP($B67,'[1]Data_UN_PopulationTot.&amp;%'!$B$4:$CZ$603,17,FALSE)</f>
        <v>37142.1</v>
      </c>
      <c r="BV67">
        <f>VLOOKUP($B67,'[1]Data_UN_PopulationTot.&amp;%'!$B$4:$CZ$603,18,FALSE)</f>
        <v>37833.4</v>
      </c>
      <c r="BW67">
        <f>VLOOKUP($B67,'[1]Data_UN_PopulationTot.&amp;%'!$B$4:$CZ$603,61,FALSE)</f>
        <v>13.418251917265525</v>
      </c>
      <c r="BX67">
        <f>VLOOKUP($B67,'[1]Data_UN_PopulationTot.&amp;%'!$B$4:$CZ$603,62,FALSE)</f>
        <v>12.513926926678872</v>
      </c>
      <c r="BY67">
        <f>VLOOKUP($B67,'[1]Data_UN_PopulationTot.&amp;%'!$B$4:$CZ$603,63,FALSE)</f>
        <v>11.199051263319483</v>
      </c>
      <c r="BZ67">
        <f>VLOOKUP($B67,'[1]Data_UN_PopulationTot.&amp;%'!$B$4:$CZ$603,64,FALSE)</f>
        <v>10.095131127123635</v>
      </c>
      <c r="CA67">
        <f>VLOOKUP($B67,'[1]Data_UN_PopulationTot.&amp;%'!$B$4:$CZ$603,65,FALSE)</f>
        <v>9.2052560269559649</v>
      </c>
      <c r="CB67">
        <f>VLOOKUP($B67,'[1]Data_UN_PopulationTot.&amp;%'!$B$4:$CZ$603,66,FALSE)</f>
        <v>8.1686936204860192</v>
      </c>
      <c r="CC67">
        <f>VLOOKUP($B67,'[1]Data_UN_PopulationTot.&amp;%'!$B$4:$CZ$603,67,FALSE)</f>
        <v>7.2927213102092177</v>
      </c>
      <c r="CD67">
        <f>VLOOKUP($B67,'[1]Data_UN_PopulationTot.&amp;%'!$B$4:$CZ$603,68,FALSE)</f>
        <v>6.1930492487022448</v>
      </c>
      <c r="CE67">
        <f>VLOOKUP($B67,'[1]Data_UN_PopulationTot.&amp;%'!$B$4:$CZ$603,69,FALSE)</f>
        <v>5.2325659980240014</v>
      </c>
      <c r="CF67">
        <f>VLOOKUP($B67,'[1]Data_UN_PopulationTot.&amp;%'!$B$4:$CZ$603,70,FALSE)</f>
        <v>4.5227191539894882</v>
      </c>
      <c r="CG67">
        <f>VLOOKUP($B67,'[1]Data_UN_PopulationTot.&amp;%'!$B$4:$CZ$603,71,FALSE)</f>
        <v>3.8273222003739589</v>
      </c>
      <c r="CH67">
        <f>VLOOKUP($B67,'[1]Data_UN_PopulationTot.&amp;%'!$B$4:$CZ$603,72,FALSE)</f>
        <v>3.0435492020377883</v>
      </c>
      <c r="CI67">
        <f>VLOOKUP($B67,'[1]Data_UN_PopulationTot.&amp;%'!$B$4:$CZ$603,73,FALSE)</f>
        <v>2.1475691036240581</v>
      </c>
      <c r="CJ67">
        <f>VLOOKUP($B67,'[1]Data_UN_PopulationTot.&amp;%'!$B$4:$CZ$603,74,FALSE)</f>
        <v>1.3637446134734768</v>
      </c>
      <c r="CK67">
        <f>VLOOKUP($B67,'[1]Data_UN_PopulationTot.&amp;%'!$B$4:$CZ$603,75,FALSE)</f>
        <v>0.96014211740777322</v>
      </c>
      <c r="CL67">
        <f>VLOOKUP($B67,'[1]Data_UN_PopulationTot.&amp;%'!$B$4:$CZ$603,76,FALSE)</f>
        <v>0.50991700163164677</v>
      </c>
      <c r="CM67">
        <f>VLOOKUP($B67,'[1]Data_UN_PopulationTot.&amp;%'!$B$4:$CZ$603,77,FALSE)</f>
        <v>0.22412134046065868</v>
      </c>
      <c r="CN67">
        <f>VLOOKUP($B67,'[1]Data_UN_PopulationTot.&amp;%'!$B$4:$CZ$603,78,FALSE)</f>
        <v>6.8908920635022797E-2</v>
      </c>
      <c r="CO67">
        <f>VLOOKUP($B67,'[1]Data_UN_PopulationTot.&amp;%'!$B$4:$CZ$603,79,FALSE)</f>
        <v>1.2358035458550699E-2</v>
      </c>
      <c r="CP67">
        <f>VLOOKUP($B67,'[1]Data_UN_PopulationTot.&amp;%'!$B$4:$CZ$603,80,FALSE)</f>
        <v>1.1263834402324856E-3</v>
      </c>
      <c r="CQ67">
        <f>VLOOKUP($B67,'[1]Data_UN_PopulationTot.&amp;%'!$B$4:$CZ$603,81,FALSE)</f>
        <v>4.8273576009963668E-5</v>
      </c>
      <c r="CR67">
        <f>VLOOKUP($B67,'[1]Data_UN_PopulationTot.&amp;%'!$B$4:$CZ$603,82,FALSE)</f>
        <v>12.047000798236478</v>
      </c>
      <c r="CS67">
        <f>VLOOKUP($B67,'[1]Data_UN_PopulationTot.&amp;%'!$B$4:$CZ$603,83,FALSE)</f>
        <v>11.402120877320041</v>
      </c>
      <c r="CT67">
        <f>VLOOKUP($B67,'[1]Data_UN_PopulationTot.&amp;%'!$B$4:$CZ$603,84,FALSE)</f>
        <v>10.785311391521777</v>
      </c>
      <c r="CU67">
        <f>VLOOKUP($B67,'[1]Data_UN_PopulationTot.&amp;%'!$B$4:$CZ$603,85,FALSE)</f>
        <v>10.109612141652613</v>
      </c>
      <c r="CV67">
        <f>VLOOKUP($B67,'[1]Data_UN_PopulationTot.&amp;%'!$B$4:$CZ$603,86,FALSE)</f>
        <v>9.0008035228131753</v>
      </c>
      <c r="CW67">
        <f>VLOOKUP($B67,'[1]Data_UN_PopulationTot.&amp;%'!$B$4:$CZ$603,87,FALSE)</f>
        <v>8.0402237176674571</v>
      </c>
      <c r="CX67">
        <f>VLOOKUP($B67,'[1]Data_UN_PopulationTot.&amp;%'!$B$4:$CZ$603,88,FALSE)</f>
        <v>7.2974144538952359</v>
      </c>
      <c r="CY67">
        <f>VLOOKUP($B67,'[1]Data_UN_PopulationTot.&amp;%'!$B$4:$CZ$603,89,FALSE)</f>
        <v>6.4570987540110067</v>
      </c>
      <c r="CZ67">
        <f>VLOOKUP($B67,'[1]Data_UN_PopulationTot.&amp;%'!$B$4:$CZ$603,90,FALSE)</f>
        <v>5.7349854890123533</v>
      </c>
      <c r="DA67">
        <f>VLOOKUP($B67,'[1]Data_UN_PopulationTot.&amp;%'!$B$4:$CZ$603,91,FALSE)</f>
        <v>4.8251280614483498</v>
      </c>
      <c r="DB67">
        <f>VLOOKUP($B67,'[1]Data_UN_PopulationTot.&amp;%'!$B$4:$CZ$603,92,FALSE)</f>
        <v>4.0123805949240614</v>
      </c>
      <c r="DC67">
        <f>VLOOKUP($B67,'[1]Data_UN_PopulationTot.&amp;%'!$B$4:$CZ$603,93,FALSE)</f>
        <v>3.3740821602076467</v>
      </c>
      <c r="DD67">
        <f>VLOOKUP($B67,'[1]Data_UN_PopulationTot.&amp;%'!$B$4:$CZ$603,94,FALSE)</f>
        <v>2.723413703235765</v>
      </c>
      <c r="DE67">
        <f>VLOOKUP($B67,'[1]Data_UN_PopulationTot.&amp;%'!$B$4:$CZ$603,95,FALSE)</f>
        <v>1.9960299629427964</v>
      </c>
      <c r="DF67">
        <f>VLOOKUP($B67,'[1]Data_UN_PopulationTot.&amp;%'!$B$4:$CZ$603,96,FALSE)</f>
        <v>1.2213811076984886</v>
      </c>
      <c r="DG67">
        <f>VLOOKUP($B67,'[1]Data_UN_PopulationTot.&amp;%'!$B$4:$CZ$603,97,FALSE)</f>
        <v>0.60122008595579568</v>
      </c>
      <c r="DH67">
        <f>VLOOKUP($B67,'[1]Data_UN_PopulationTot.&amp;%'!$B$4:$CZ$603,98,FALSE)</f>
        <v>0.27682946814190634</v>
      </c>
      <c r="DI67">
        <f>VLOOKUP($B67,'[1]Data_UN_PopulationTot.&amp;%'!$B$4:$CZ$603,99,FALSE)</f>
        <v>7.844655780342237E-2</v>
      </c>
      <c r="DJ67">
        <f>VLOOKUP($B67,'[1]Data_UN_PopulationTot.&amp;%'!$B$4:$DE$603,100,FALSE)</f>
        <v>1.4886317380938534E-2</v>
      </c>
      <c r="DK67">
        <f>VLOOKUP($B67,'[1]Data_UN_PopulationTot.&amp;%'!$B$4:$DE$603,101,FALSE)</f>
        <v>1.567398119122257E-3</v>
      </c>
      <c r="DL67">
        <f>VLOOKUP($B67,'[1]Data_UN_PopulationTot.&amp;%'!$B$4:$DE$603,102,FALSE)</f>
        <v>8.4581348755332592E-5</v>
      </c>
    </row>
    <row r="68" spans="1:116">
      <c r="A68" t="s">
        <v>117</v>
      </c>
      <c r="B68" t="s">
        <v>330</v>
      </c>
      <c r="C68" t="s">
        <v>496</v>
      </c>
      <c r="D68" t="s">
        <v>306</v>
      </c>
      <c r="E68" t="s">
        <v>299</v>
      </c>
      <c r="F68">
        <v>1</v>
      </c>
      <c r="G68">
        <v>0</v>
      </c>
      <c r="H68">
        <v>0</v>
      </c>
      <c r="I68">
        <v>0</v>
      </c>
      <c r="J68" s="18">
        <f t="shared" si="1"/>
        <v>19218.320166377634</v>
      </c>
      <c r="K68">
        <f>VLOOKUP($B68,'[1]Source GDP Current USD'!$B$1:$CZ$600,64,FALSE)</f>
        <v>15681050917.1563</v>
      </c>
      <c r="L68" s="45">
        <f>VLOOKUP($B68,'[1]Source GDP Current USD'!$B$1:$CZ$600,65,FALSE)</f>
        <v>15681050917.1563</v>
      </c>
      <c r="M68" s="17">
        <f>VLOOKUP($B68,'[1]Source GDP Current LCU'!$B$1:$CZ$600,64,FALSE)</f>
        <v>149990791901800</v>
      </c>
      <c r="N68" s="45">
        <v>150000000000000</v>
      </c>
      <c r="O68" s="45">
        <f>VLOOKUP($B68,'[1]Source GNI Current USD'!$B$1:$CZ$600,64,FALSE)</f>
        <v>14340050917.1563</v>
      </c>
      <c r="P68" s="45">
        <f>VLOOKUP($B68,'[1]Source GNI Current LCU'!$B$1:$CZ$600,64,FALSE)</f>
        <v>137163995215600</v>
      </c>
      <c r="Q68">
        <f t="shared" ref="Q68:Q131" si="2">(M68/P68)*100</f>
        <v>109.35143123094244</v>
      </c>
      <c r="R68">
        <v>1020</v>
      </c>
      <c r="S68">
        <v>1020</v>
      </c>
      <c r="T68">
        <v>0.42381999999999997</v>
      </c>
      <c r="U68" s="45">
        <v>13000000</v>
      </c>
      <c r="V68">
        <v>12.813000000000001</v>
      </c>
      <c r="W68">
        <f>VLOOKUP($B68,'[1]Source Gov. Revenue WEO'!$B$1:$CZ$600,5,FALSE)</f>
        <v>14.885999999999999</v>
      </c>
      <c r="X68">
        <f>VLOOKUP($B68,'[1]Source Gov. Revenue WEO'!$B$1:$CZ$600,6,FALSE)</f>
        <v>14.654999999999999</v>
      </c>
      <c r="Y68">
        <f>VLOOKUP($B68,'[1]Source Gov. Revenue WEO'!$B$1:$CZ$600,7,FALSE)</f>
        <v>15.143000000000001</v>
      </c>
      <c r="Z68">
        <f>VLOOKUP($B68,'[1]Source Gov. Revenue WEO'!$B$1:$CZ$600,8,FALSE)</f>
        <v>15.590999999999999</v>
      </c>
      <c r="AA68">
        <f>VLOOKUP($B68,'[1]Source Gov. Revenue WEO'!$B$1:$CZ$600,9,FALSE)</f>
        <v>15.677</v>
      </c>
      <c r="AB68">
        <f>VLOOKUP($B68,'[1]Source Gov. Revenue WEO'!$B$1:$CZ$600,10,FALSE)</f>
        <v>15.625</v>
      </c>
      <c r="AC68">
        <f>VLOOKUP($B68,[2]Summary!$B$1:$CZ$600,39,FALSE)</f>
        <v>0.21994720000000001</v>
      </c>
      <c r="AD68">
        <f>VLOOKUP($B68,[2]Summary!$B$1:$CZ$600,40,FALSE)</f>
        <v>0.1295</v>
      </c>
      <c r="AE68">
        <f>VLOOKUP($B68,[2]Summary!$B$1:$CZ$600,47,FALSE)</f>
        <v>0.13754428142954928</v>
      </c>
      <c r="AF68">
        <f>VLOOKUP($B68,'[1]CALC GDP Growth rates WDI'!$B$1:$CZ$600,27,FALSE)</f>
        <v>83.953597058950663</v>
      </c>
      <c r="AG68">
        <f>VLOOKUP($B68,'[1]CALC GDP Growth rates WDI'!$B$1:$CZ$600,29,FALSE)</f>
        <v>71.9109743794736</v>
      </c>
      <c r="AH68" s="45">
        <v>46.92</v>
      </c>
      <c r="AI68">
        <f>VLOOKUP($B68,'[1]CALC GDP Growth rates WDI'!$B$1:$CZ$600,30,FALSE)</f>
        <v>36.032865244122434</v>
      </c>
      <c r="AJ68" t="s">
        <v>2465</v>
      </c>
      <c r="AK68">
        <f>VLOOKUP($B68,[1]Data_Aspire!$B$1:$CZ$600,2,FALSE)</f>
        <v>2015</v>
      </c>
      <c r="AL68">
        <f>VLOOKUP($B68,[1]Data_Aspire!$B$1:$CZ$600,3,FALSE)</f>
        <v>1.17</v>
      </c>
      <c r="AM68">
        <f>VLOOKUP($B68,[1]Data_Aspire!$B$1:$CZ$600,4,FALSE)</f>
        <v>0.06</v>
      </c>
      <c r="AQ68">
        <f>VLOOKUP($B68,[1]Data_Aspire!$B$1:$CZ$600,8,FALSE)</f>
        <v>0.22</v>
      </c>
      <c r="AS68">
        <f>VLOOKUP($B68,[1]Data_Aspire!$B$1:$CZ$600,10,FALSE)</f>
        <v>0.9</v>
      </c>
      <c r="AU68">
        <f>VLOOKUP($B68,[1]Data_Aspire!$B$1:$CZ$600,12,FALSE)</f>
        <v>1.1200000000000001</v>
      </c>
      <c r="AV68">
        <f>VLOOKUP($B68,[1]Data_Aspire!$B$1:$CZ$600,13,FALSE)</f>
        <v>10000</v>
      </c>
      <c r="AW68">
        <f>VLOOKUP($B68,[1]Data_Aspire!$B$1:$CZ$600,14,FALSE)</f>
        <v>2012</v>
      </c>
      <c r="BF68">
        <f>VLOOKUP($B68,[1]Data_Aspire!$B$1:$CZ$600,23,FALSE)</f>
        <v>24005</v>
      </c>
      <c r="BG68">
        <f>VLOOKUP($B68,[1]Data_Aspire!$B$1:$CZ$600,24,FALSE)</f>
        <v>2013</v>
      </c>
      <c r="BJ68" s="7">
        <v>1</v>
      </c>
      <c r="BK68">
        <v>324</v>
      </c>
      <c r="BL68">
        <f>VLOOKUP($B68,'[1]Data_UN_PopulationTot.&amp;%'!$B$4:$CZ$603,8,FALSE)</f>
        <v>13132.8</v>
      </c>
      <c r="BM68">
        <f>VLOOKUP($B68,'[1]Data_UN_PopulationTot.&amp;%'!$B$4:$CZ$603,9,FALSE)</f>
        <v>13497.2</v>
      </c>
      <c r="BN68">
        <v>13865.7</v>
      </c>
      <c r="BO68">
        <f>VLOOKUP($B68,'[1]Data_UN_PopulationTot.&amp;%'!$B$4:$CZ$603,11,FALSE)</f>
        <v>14238.7</v>
      </c>
      <c r="BP68">
        <f>VLOOKUP($B68,'[1]Data_UN_PopulationTot.&amp;%'!$B$4:$CZ$603,12,FALSE)</f>
        <v>14617.8</v>
      </c>
      <c r="BQ68">
        <f>VLOOKUP($B68,'[1]Data_UN_PopulationTot.&amp;%'!$B$4:$CZ$603,13,FALSE)</f>
        <v>15003.8</v>
      </c>
      <c r="BR68">
        <f>VLOOKUP($B68,'[1]Data_UN_PopulationTot.&amp;%'!$B$4:$CZ$603,14,FALSE)</f>
        <v>15396.6</v>
      </c>
      <c r="BS68">
        <f>VLOOKUP($B68,'[1]Data_UN_PopulationTot.&amp;%'!$B$4:$CZ$603,15,FALSE)</f>
        <v>15795</v>
      </c>
      <c r="BT68">
        <f>VLOOKUP($B68,'[1]Data_UN_PopulationTot.&amp;%'!$B$4:$CZ$603,16,FALSE)</f>
        <v>16198.8</v>
      </c>
      <c r="BU68">
        <f>VLOOKUP($B68,'[1]Data_UN_PopulationTot.&amp;%'!$B$4:$CZ$603,17,FALSE)</f>
        <v>16607.5</v>
      </c>
      <c r="BV68">
        <f>VLOOKUP($B68,'[1]Data_UN_PopulationTot.&amp;%'!$B$4:$CZ$603,18,FALSE)</f>
        <v>17020.900000000001</v>
      </c>
      <c r="BW68">
        <f>VLOOKUP($B68,'[1]Data_UN_PopulationTot.&amp;%'!$B$4:$CZ$603,61,FALSE)</f>
        <v>15.991334673489281</v>
      </c>
      <c r="BX68">
        <f>VLOOKUP($B68,'[1]Data_UN_PopulationTot.&amp;%'!$B$4:$CZ$603,62,FALSE)</f>
        <v>14.204967714424951</v>
      </c>
      <c r="BY68">
        <f>VLOOKUP($B68,'[1]Data_UN_PopulationTot.&amp;%'!$B$4:$CZ$603,63,FALSE)</f>
        <v>12.852628533138402</v>
      </c>
      <c r="BZ68">
        <f>VLOOKUP($B68,'[1]Data_UN_PopulationTot.&amp;%'!$B$4:$CZ$603,64,FALSE)</f>
        <v>11.509731359649123</v>
      </c>
      <c r="CA68">
        <f>VLOOKUP($B68,'[1]Data_UN_PopulationTot.&amp;%'!$B$4:$CZ$603,65,FALSE)</f>
        <v>9.9371801900584789</v>
      </c>
      <c r="CB68">
        <f>VLOOKUP($B68,'[1]Data_UN_PopulationTot.&amp;%'!$B$4:$CZ$603,66,FALSE)</f>
        <v>8.0768000730994167</v>
      </c>
      <c r="CC68">
        <f>VLOOKUP($B68,'[1]Data_UN_PopulationTot.&amp;%'!$B$4:$CZ$603,67,FALSE)</f>
        <v>6.3081673367446394</v>
      </c>
      <c r="CD68">
        <f>VLOOKUP($B68,'[1]Data_UN_PopulationTot.&amp;%'!$B$4:$CZ$603,68,FALSE)</f>
        <v>4.8917747928849904</v>
      </c>
      <c r="CE68">
        <f>VLOOKUP($B68,'[1]Data_UN_PopulationTot.&amp;%'!$B$4:$CZ$603,69,FALSE)</f>
        <v>3.8086394371345027</v>
      </c>
      <c r="CF68">
        <f>VLOOKUP($B68,'[1]Data_UN_PopulationTot.&amp;%'!$B$4:$CZ$603,70,FALSE)</f>
        <v>3.0325444688109164</v>
      </c>
      <c r="CG68">
        <f>VLOOKUP($B68,'[1]Data_UN_PopulationTot.&amp;%'!$B$4:$CZ$603,71,FALSE)</f>
        <v>2.5350344176413255</v>
      </c>
      <c r="CH68">
        <f>VLOOKUP($B68,'[1]Data_UN_PopulationTot.&amp;%'!$B$4:$CZ$603,72,FALSE)</f>
        <v>2.144272356237817</v>
      </c>
      <c r="CI68">
        <f>VLOOKUP($B68,'[1]Data_UN_PopulationTot.&amp;%'!$B$4:$CZ$603,73,FALSE)</f>
        <v>1.7545915570175441</v>
      </c>
      <c r="CJ68">
        <f>VLOOKUP($B68,'[1]Data_UN_PopulationTot.&amp;%'!$B$4:$CZ$603,74,FALSE)</f>
        <v>1.3532681530214425</v>
      </c>
      <c r="CK68">
        <f>VLOOKUP($B68,'[1]Data_UN_PopulationTot.&amp;%'!$B$4:$CZ$603,75,FALSE)</f>
        <v>0.80589059454191037</v>
      </c>
      <c r="CL68">
        <f>VLOOKUP($B68,'[1]Data_UN_PopulationTot.&amp;%'!$B$4:$CZ$603,76,FALSE)</f>
        <v>0.49809636939571156</v>
      </c>
      <c r="CM68">
        <f>VLOOKUP($B68,'[1]Data_UN_PopulationTot.&amp;%'!$B$4:$CZ$603,77,FALSE)</f>
        <v>0.22232121101364524</v>
      </c>
      <c r="CN68">
        <f>VLOOKUP($B68,'[1]Data_UN_PopulationTot.&amp;%'!$B$4:$CZ$603,78,FALSE)</f>
        <v>6.2302022417154004E-2</v>
      </c>
      <c r="CO68">
        <f>VLOOKUP($B68,'[1]Data_UN_PopulationTot.&amp;%'!$B$4:$CZ$603,79,FALSE)</f>
        <v>9.6704434697855758E-3</v>
      </c>
      <c r="CP68">
        <f>VLOOKUP($B68,'[1]Data_UN_PopulationTot.&amp;%'!$B$4:$CZ$603,80,FALSE)</f>
        <v>7.157651072124757E-4</v>
      </c>
      <c r="CQ68">
        <f>VLOOKUP($B68,'[1]Data_UN_PopulationTot.&amp;%'!$B$4:$CZ$603,81,FALSE)</f>
        <v>3.0458089668615986E-5</v>
      </c>
      <c r="CR68">
        <f>VLOOKUP($B68,'[1]Data_UN_PopulationTot.&amp;%'!$B$4:$CZ$603,82,FALSE)</f>
        <v>14.51791620889612</v>
      </c>
      <c r="CS68">
        <f>VLOOKUP($B68,'[1]Data_UN_PopulationTot.&amp;%'!$B$4:$CZ$603,83,FALSE)</f>
        <v>13.237901638573751</v>
      </c>
      <c r="CT68">
        <f>VLOOKUP($B68,'[1]Data_UN_PopulationTot.&amp;%'!$B$4:$CZ$603,84,FALSE)</f>
        <v>11.974631188715049</v>
      </c>
      <c r="CU68">
        <f>VLOOKUP($B68,'[1]Data_UN_PopulationTot.&amp;%'!$B$4:$CZ$603,85,FALSE)</f>
        <v>10.759948063850912</v>
      </c>
      <c r="CV68">
        <f>VLOOKUP($B68,'[1]Data_UN_PopulationTot.&amp;%'!$B$4:$CZ$603,86,FALSE)</f>
        <v>9.6797466643949495</v>
      </c>
      <c r="CW68">
        <f>VLOOKUP($B68,'[1]Data_UN_PopulationTot.&amp;%'!$B$4:$CZ$603,87,FALSE)</f>
        <v>8.5885000205629538</v>
      </c>
      <c r="CX68">
        <f>VLOOKUP($B68,'[1]Data_UN_PopulationTot.&amp;%'!$B$4:$CZ$603,88,FALSE)</f>
        <v>7.3892684875652872</v>
      </c>
      <c r="CY68">
        <f>VLOOKUP($B68,'[1]Data_UN_PopulationTot.&amp;%'!$B$4:$CZ$603,89,FALSE)</f>
        <v>5.9929263434953493</v>
      </c>
      <c r="CZ68">
        <f>VLOOKUP($B68,'[1]Data_UN_PopulationTot.&amp;%'!$B$4:$CZ$603,90,FALSE)</f>
        <v>4.653931343230969</v>
      </c>
      <c r="DA68">
        <f>VLOOKUP($B68,'[1]Data_UN_PopulationTot.&amp;%'!$B$4:$CZ$603,91,FALSE)</f>
        <v>3.5751752257518699</v>
      </c>
      <c r="DB68">
        <f>VLOOKUP($B68,'[1]Data_UN_PopulationTot.&amp;%'!$B$4:$CZ$603,92,FALSE)</f>
        <v>2.7405131338530864</v>
      </c>
      <c r="DC68">
        <f>VLOOKUP($B68,'[1]Data_UN_PopulationTot.&amp;%'!$B$4:$CZ$603,93,FALSE)</f>
        <v>2.1232602271325254</v>
      </c>
      <c r="DD68">
        <f>VLOOKUP($B68,'[1]Data_UN_PopulationTot.&amp;%'!$B$4:$CZ$603,94,FALSE)</f>
        <v>1.6913382958597956</v>
      </c>
      <c r="DE68">
        <f>VLOOKUP($B68,'[1]Data_UN_PopulationTot.&amp;%'!$B$4:$CZ$603,95,FALSE)</f>
        <v>1.3142313273681179</v>
      </c>
      <c r="DF68">
        <f>VLOOKUP($B68,'[1]Data_UN_PopulationTot.&amp;%'!$B$4:$CZ$603,96,FALSE)</f>
        <v>0.92688988243864867</v>
      </c>
      <c r="DG68">
        <f>VLOOKUP($B68,'[1]Data_UN_PopulationTot.&amp;%'!$B$4:$CZ$603,97,FALSE)</f>
        <v>0.54954790874748094</v>
      </c>
      <c r="DH68">
        <f>VLOOKUP($B68,'[1]Data_UN_PopulationTot.&amp;%'!$B$4:$CZ$603,98,FALSE)</f>
        <v>0.20911350163622372</v>
      </c>
      <c r="DI68">
        <f>VLOOKUP($B68,'[1]Data_UN_PopulationTot.&amp;%'!$B$4:$CZ$603,99,FALSE)</f>
        <v>6.3868538091405275E-2</v>
      </c>
      <c r="DJ68">
        <f>VLOOKUP($B68,'[1]Data_UN_PopulationTot.&amp;%'!$B$4:$DE$603,100,FALSE)</f>
        <v>1.0510607547191981E-2</v>
      </c>
      <c r="DK68">
        <f>VLOOKUP($B68,'[1]Data_UN_PopulationTot.&amp;%'!$B$4:$DE$603,101,FALSE)</f>
        <v>8.1076793824063351E-4</v>
      </c>
      <c r="DL68">
        <f>VLOOKUP($B68,'[1]Data_UN_PopulationTot.&amp;%'!$B$4:$DE$603,102,FALSE)</f>
        <v>3.52507799235058E-5</v>
      </c>
    </row>
    <row r="69" spans="1:116">
      <c r="A69" t="s">
        <v>109</v>
      </c>
      <c r="B69" t="s">
        <v>322</v>
      </c>
      <c r="C69" t="s">
        <v>496</v>
      </c>
      <c r="D69" t="s">
        <v>306</v>
      </c>
      <c r="E69" t="s">
        <v>299</v>
      </c>
      <c r="F69">
        <v>1</v>
      </c>
      <c r="G69">
        <v>0</v>
      </c>
      <c r="H69">
        <v>0</v>
      </c>
      <c r="I69">
        <v>0</v>
      </c>
      <c r="J69" s="18">
        <f t="shared" ref="J69:J132" si="3">(M69*(V69/100))/1000000000</f>
        <v>21.482645804181001</v>
      </c>
      <c r="K69">
        <f>VLOOKUP($B69,'[1]Source GDP Current USD'!$B$1:$CZ$600,64,FALSE)</f>
        <v>1868086274.822</v>
      </c>
      <c r="L69" s="45">
        <f>VLOOKUP($B69,'[1]Source GDP Current USD'!$B$1:$CZ$600,65,FALSE)</f>
        <v>1868086274.822</v>
      </c>
      <c r="M69" s="17">
        <f>VLOOKUP($B69,'[1]Source GDP Current LCU'!$B$1:$CZ$600,64,FALSE)</f>
        <v>96209618900</v>
      </c>
      <c r="N69" s="45">
        <v>96000000000</v>
      </c>
      <c r="O69" s="45">
        <f>VLOOKUP($B69,'[1]Source GNI Current USD'!$B$1:$CZ$600,64,FALSE)</f>
        <v>1837121908.5971899</v>
      </c>
      <c r="P69" s="45">
        <f>VLOOKUP($B69,'[1]Source GNI Current LCU'!$B$1:$CZ$600,64,FALSE)</f>
        <v>94614901400</v>
      </c>
      <c r="Q69">
        <f t="shared" si="2"/>
        <v>101.68548238850673</v>
      </c>
      <c r="R69">
        <v>750</v>
      </c>
      <c r="S69">
        <v>750</v>
      </c>
      <c r="T69">
        <v>0.33977299999999999</v>
      </c>
      <c r="U69" s="45">
        <v>2400000</v>
      </c>
      <c r="V69">
        <v>22.329000000000001</v>
      </c>
      <c r="W69">
        <f>VLOOKUP($B69,'[1]Source Gov. Revenue WEO'!$B$1:$CZ$600,5,FALSE)</f>
        <v>22.782</v>
      </c>
      <c r="X69">
        <f>VLOOKUP($B69,'[1]Source Gov. Revenue WEO'!$B$1:$CZ$600,6,FALSE)</f>
        <v>21.698</v>
      </c>
      <c r="Y69">
        <f>VLOOKUP($B69,'[1]Source Gov. Revenue WEO'!$B$1:$CZ$600,7,FALSE)</f>
        <v>21.765999999999998</v>
      </c>
      <c r="Z69">
        <f>VLOOKUP($B69,'[1]Source Gov. Revenue WEO'!$B$1:$CZ$600,8,FALSE)</f>
        <v>20.702999999999999</v>
      </c>
      <c r="AA69">
        <f>VLOOKUP($B69,'[1]Source Gov. Revenue WEO'!$B$1:$CZ$600,9,FALSE)</f>
        <v>20.641999999999999</v>
      </c>
      <c r="AB69">
        <f>VLOOKUP($B69,'[1]Source Gov. Revenue WEO'!$B$1:$CZ$600,10,FALSE)</f>
        <v>19.998999999999999</v>
      </c>
      <c r="AC69">
        <f>VLOOKUP($B69,[2]Summary!$B$1:$CZ$600,39,FALSE)</f>
        <v>8.9144190000000012E-2</v>
      </c>
      <c r="AD69">
        <f>VLOOKUP($B69,[2]Summary!$B$1:$CZ$600,40,FALSE)</f>
        <v>0.10625</v>
      </c>
      <c r="AE69">
        <f>VLOOKUP($B69,[2]Summary!$B$1:$CZ$600,47,FALSE)</f>
        <v>0.14532601921251834</v>
      </c>
      <c r="AF69">
        <f>VLOOKUP($B69,'[1]CALC GDP Growth rates WDI'!$B$1:$CZ$600,27,FALSE)</f>
        <v>23.858889072941409</v>
      </c>
      <c r="AG69">
        <f>VLOOKUP($B69,'[1]CALC GDP Growth rates WDI'!$B$1:$CZ$600,29,FALSE)</f>
        <v>24.334675439565046</v>
      </c>
      <c r="AH69">
        <v>21.41</v>
      </c>
      <c r="AI69">
        <f>VLOOKUP($B69,'[1]CALC GDP Growth rates WDI'!$B$1:$CZ$600,30,FALSE)</f>
        <v>19.71769982528415</v>
      </c>
      <c r="AJ69" s="45" t="s">
        <v>2464</v>
      </c>
      <c r="BB69">
        <f>VLOOKUP($B69,[1]Data_Aspire!$B$1:$CZ$600,19,FALSE)</f>
        <v>50100</v>
      </c>
      <c r="BC69">
        <f>VLOOKUP($B69,[1]Data_Aspire!$B$1:$CZ$600,20,FALSE)</f>
        <v>2015</v>
      </c>
      <c r="BD69">
        <f>VLOOKUP($B69,[1]Data_Aspire!$B$1:$CZ$600,21,FALSE)</f>
        <v>120000</v>
      </c>
      <c r="BE69">
        <f>VLOOKUP($B69,[1]Data_Aspire!$B$1:$CZ$600,22,FALSE)</f>
        <v>2016</v>
      </c>
      <c r="BJ69" s="7">
        <v>1</v>
      </c>
      <c r="BK69">
        <v>270</v>
      </c>
      <c r="BL69">
        <f>VLOOKUP($B69,'[1]Data_UN_PopulationTot.&amp;%'!$B$4:$CZ$603,8,FALSE)</f>
        <v>2416.66</v>
      </c>
      <c r="BM69">
        <f>VLOOKUP($B69,'[1]Data_UN_PopulationTot.&amp;%'!$B$4:$CZ$603,9,FALSE)</f>
        <v>2486.94</v>
      </c>
      <c r="BN69">
        <v>2558.4899999999998</v>
      </c>
      <c r="BO69">
        <f>VLOOKUP($B69,'[1]Data_UN_PopulationTot.&amp;%'!$B$4:$CZ$603,11,FALSE)</f>
        <v>2631.25</v>
      </c>
      <c r="BP69">
        <f>VLOOKUP($B69,'[1]Data_UN_PopulationTot.&amp;%'!$B$4:$CZ$603,12,FALSE)</f>
        <v>2705.19</v>
      </c>
      <c r="BQ69">
        <f>VLOOKUP($B69,'[1]Data_UN_PopulationTot.&amp;%'!$B$4:$CZ$603,13,FALSE)</f>
        <v>2780.25</v>
      </c>
      <c r="BR69">
        <f>VLOOKUP($B69,'[1]Data_UN_PopulationTot.&amp;%'!$B$4:$CZ$603,14,FALSE)</f>
        <v>2856.4</v>
      </c>
      <c r="BS69">
        <f>VLOOKUP($B69,'[1]Data_UN_PopulationTot.&amp;%'!$B$4:$CZ$603,15,FALSE)</f>
        <v>2933.57</v>
      </c>
      <c r="BT69">
        <f>VLOOKUP($B69,'[1]Data_UN_PopulationTot.&amp;%'!$B$4:$CZ$603,16,FALSE)</f>
        <v>3011.72</v>
      </c>
      <c r="BU69">
        <f>VLOOKUP($B69,'[1]Data_UN_PopulationTot.&amp;%'!$B$4:$CZ$603,17,FALSE)</f>
        <v>3090.77</v>
      </c>
      <c r="BV69">
        <f>VLOOKUP($B69,'[1]Data_UN_PopulationTot.&amp;%'!$B$4:$CZ$603,18,FALSE)</f>
        <v>3170.69</v>
      </c>
      <c r="BW69">
        <f>VLOOKUP($B69,'[1]Data_UN_PopulationTot.&amp;%'!$B$4:$CZ$603,61,FALSE)</f>
        <v>16.945122607234779</v>
      </c>
      <c r="BX69">
        <f>VLOOKUP($B69,'[1]Data_UN_PopulationTot.&amp;%'!$B$4:$CZ$603,62,FALSE)</f>
        <v>14.598826479521323</v>
      </c>
      <c r="BY69">
        <f>VLOOKUP($B69,'[1]Data_UN_PopulationTot.&amp;%'!$B$4:$CZ$603,63,FALSE)</f>
        <v>12.406379052080144</v>
      </c>
      <c r="BZ69">
        <f>VLOOKUP($B69,'[1]Data_UN_PopulationTot.&amp;%'!$B$4:$CZ$603,64,FALSE)</f>
        <v>10.636043133912093</v>
      </c>
      <c r="CA69">
        <f>VLOOKUP($B69,'[1]Data_UN_PopulationTot.&amp;%'!$B$4:$CZ$603,65,FALSE)</f>
        <v>9.4420812195343977</v>
      </c>
      <c r="CB69">
        <f>VLOOKUP($B69,'[1]Data_UN_PopulationTot.&amp;%'!$B$4:$CZ$603,66,FALSE)</f>
        <v>8.3170988057898096</v>
      </c>
      <c r="CC69">
        <f>VLOOKUP($B69,'[1]Data_UN_PopulationTot.&amp;%'!$B$4:$CZ$603,67,FALSE)</f>
        <v>6.6366389976248206</v>
      </c>
      <c r="CD69">
        <f>VLOOKUP($B69,'[1]Data_UN_PopulationTot.&amp;%'!$B$4:$CZ$603,68,FALSE)</f>
        <v>5.0791588390588664</v>
      </c>
      <c r="CE69">
        <f>VLOOKUP($B69,'[1]Data_UN_PopulationTot.&amp;%'!$B$4:$CZ$603,69,FALSE)</f>
        <v>4.0436387410723897</v>
      </c>
      <c r="CF69">
        <f>VLOOKUP($B69,'[1]Data_UN_PopulationTot.&amp;%'!$B$4:$CZ$603,70,FALSE)</f>
        <v>3.1591535424925312</v>
      </c>
      <c r="CG69">
        <f>VLOOKUP($B69,'[1]Data_UN_PopulationTot.&amp;%'!$B$4:$CZ$603,71,FALSE)</f>
        <v>2.7115936871549993</v>
      </c>
      <c r="CH69">
        <f>VLOOKUP($B69,'[1]Data_UN_PopulationTot.&amp;%'!$B$4:$CZ$603,72,FALSE)</f>
        <v>2.0847367854807874</v>
      </c>
      <c r="CI69">
        <f>VLOOKUP($B69,'[1]Data_UN_PopulationTot.&amp;%'!$B$4:$CZ$603,73,FALSE)</f>
        <v>1.408390092110599</v>
      </c>
      <c r="CJ69">
        <f>VLOOKUP($B69,'[1]Data_UN_PopulationTot.&amp;%'!$B$4:$CZ$603,74,FALSE)</f>
        <v>1.0446235713753695</v>
      </c>
      <c r="CK69">
        <f>VLOOKUP($B69,'[1]Data_UN_PopulationTot.&amp;%'!$B$4:$CZ$603,75,FALSE)</f>
        <v>0.78649872137578325</v>
      </c>
      <c r="CL69">
        <f>VLOOKUP($B69,'[1]Data_UN_PopulationTot.&amp;%'!$B$4:$CZ$603,76,FALSE)</f>
        <v>0.4552150488691003</v>
      </c>
      <c r="CM69">
        <f>VLOOKUP($B69,'[1]Data_UN_PopulationTot.&amp;%'!$B$4:$CZ$603,77,FALSE)</f>
        <v>0.18769706950915727</v>
      </c>
      <c r="CN69">
        <f>VLOOKUP($B69,'[1]Data_UN_PopulationTot.&amp;%'!$B$4:$CZ$603,78,FALSE)</f>
        <v>4.9572550544967023E-2</v>
      </c>
      <c r="CO69">
        <f>VLOOKUP($B69,'[1]Data_UN_PopulationTot.&amp;%'!$B$4:$CZ$603,79,FALSE)</f>
        <v>7.2000198621237571E-3</v>
      </c>
      <c r="CP69">
        <f>VLOOKUP($B69,'[1]Data_UN_PopulationTot.&amp;%'!$B$4:$CZ$603,80,FALSE)</f>
        <v>4.965530939395695E-4</v>
      </c>
      <c r="CQ69">
        <f>VLOOKUP($B69,'[1]Data_UN_PopulationTot.&amp;%'!$B$4:$CZ$603,81,FALSE)</f>
        <v>0</v>
      </c>
      <c r="CR69">
        <f>VLOOKUP($B69,'[1]Data_UN_PopulationTot.&amp;%'!$B$4:$CZ$603,82,FALSE)</f>
        <v>15.099047841321605</v>
      </c>
      <c r="CS69">
        <f>VLOOKUP($B69,'[1]Data_UN_PopulationTot.&amp;%'!$B$4:$CZ$603,83,FALSE)</f>
        <v>13.713261151358221</v>
      </c>
      <c r="CT69">
        <f>VLOOKUP($B69,'[1]Data_UN_PopulationTot.&amp;%'!$B$4:$CZ$603,84,FALSE)</f>
        <v>12.369105778237543</v>
      </c>
      <c r="CU69">
        <f>VLOOKUP($B69,'[1]Data_UN_PopulationTot.&amp;%'!$B$4:$CZ$603,85,FALSE)</f>
        <v>10.939543127836526</v>
      </c>
      <c r="CV69">
        <f>VLOOKUP($B69,'[1]Data_UN_PopulationTot.&amp;%'!$B$4:$CZ$603,86,FALSE)</f>
        <v>9.4296194203785291</v>
      </c>
      <c r="CW69">
        <f>VLOOKUP($B69,'[1]Data_UN_PopulationTot.&amp;%'!$B$4:$CZ$603,87,FALSE)</f>
        <v>8.0133977146930171</v>
      </c>
      <c r="CX69">
        <f>VLOOKUP($B69,'[1]Data_UN_PopulationTot.&amp;%'!$B$4:$CZ$603,88,FALSE)</f>
        <v>6.9054369869019041</v>
      </c>
      <c r="CY69">
        <f>VLOOKUP($B69,'[1]Data_UN_PopulationTot.&amp;%'!$B$4:$CZ$603,89,FALSE)</f>
        <v>5.9220548208749513</v>
      </c>
      <c r="CZ69">
        <f>VLOOKUP($B69,'[1]Data_UN_PopulationTot.&amp;%'!$B$4:$CZ$603,90,FALSE)</f>
        <v>4.651668879644494</v>
      </c>
      <c r="DA69">
        <f>VLOOKUP($B69,'[1]Data_UN_PopulationTot.&amp;%'!$B$4:$CZ$603,91,FALSE)</f>
        <v>3.5352241941028608</v>
      </c>
      <c r="DB69">
        <f>VLOOKUP($B69,'[1]Data_UN_PopulationTot.&amp;%'!$B$4:$CZ$603,92,FALSE)</f>
        <v>2.8115331363204854</v>
      </c>
      <c r="DC69">
        <f>VLOOKUP($B69,'[1]Data_UN_PopulationTot.&amp;%'!$B$4:$CZ$603,93,FALSE)</f>
        <v>2.1549252686323794</v>
      </c>
      <c r="DD69">
        <f>VLOOKUP($B69,'[1]Data_UN_PopulationTot.&amp;%'!$B$4:$CZ$603,94,FALSE)</f>
        <v>1.7746925748023303</v>
      </c>
      <c r="DE69">
        <f>VLOOKUP($B69,'[1]Data_UN_PopulationTot.&amp;%'!$B$4:$CZ$603,95,FALSE)</f>
        <v>1.2600096508961771</v>
      </c>
      <c r="DF69">
        <f>VLOOKUP($B69,'[1]Data_UN_PopulationTot.&amp;%'!$B$4:$CZ$603,96,FALSE)</f>
        <v>0.73261655980244045</v>
      </c>
      <c r="DG69">
        <f>VLOOKUP($B69,'[1]Data_UN_PopulationTot.&amp;%'!$B$4:$CZ$603,97,FALSE)</f>
        <v>0.41864704528036484</v>
      </c>
      <c r="DH69">
        <f>VLOOKUP($B69,'[1]Data_UN_PopulationTot.&amp;%'!$B$4:$CZ$603,98,FALSE)</f>
        <v>0.20178573118154092</v>
      </c>
      <c r="DI69">
        <f>VLOOKUP($B69,'[1]Data_UN_PopulationTot.&amp;%'!$B$4:$CZ$603,99,FALSE)</f>
        <v>5.790537706303675E-2</v>
      </c>
      <c r="DJ69">
        <f>VLOOKUP($B69,'[1]Data_UN_PopulationTot.&amp;%'!$B$4:$DE$603,100,FALSE)</f>
        <v>8.7993465144810754E-3</v>
      </c>
      <c r="DK69">
        <f>VLOOKUP($B69,'[1]Data_UN_PopulationTot.&amp;%'!$B$4:$DE$603,101,FALSE)</f>
        <v>5.9923865152380082E-4</v>
      </c>
      <c r="DL69">
        <f>VLOOKUP($B69,'[1]Data_UN_PopulationTot.&amp;%'!$B$4:$DE$603,102,FALSE)</f>
        <v>3.1538876395989514E-5</v>
      </c>
    </row>
    <row r="70" spans="1:116">
      <c r="A70" t="s">
        <v>108</v>
      </c>
      <c r="B70" t="s">
        <v>321</v>
      </c>
      <c r="C70" t="s">
        <v>496</v>
      </c>
      <c r="D70" t="s">
        <v>306</v>
      </c>
      <c r="E70" t="s">
        <v>299</v>
      </c>
      <c r="F70">
        <v>1</v>
      </c>
      <c r="G70">
        <v>0</v>
      </c>
      <c r="H70">
        <v>0</v>
      </c>
      <c r="I70">
        <v>0</v>
      </c>
      <c r="J70" s="18">
        <f t="shared" si="3"/>
        <v>134.756832</v>
      </c>
      <c r="K70">
        <f>VLOOKUP($B70,'[1]Source GDP Current USD'!$B$1:$CZ$600,64,FALSE)</f>
        <v>1431758242.9037499</v>
      </c>
      <c r="L70" s="45">
        <f>VLOOKUP($B70,'[1]Source GDP Current USD'!$B$1:$CZ$600,65,FALSE)</f>
        <v>1431758242.9037499</v>
      </c>
      <c r="M70" s="17">
        <f>VLOOKUP($B70,'[1]Source GDP Current LCU'!$B$1:$CZ$600,64,FALSE)</f>
        <v>824100000000</v>
      </c>
      <c r="N70" s="45">
        <v>820000000000</v>
      </c>
      <c r="O70" s="45">
        <f>VLOOKUP($B70,'[1]Source GNI Current USD'!$B$1:$CZ$600,64,FALSE)</f>
        <v>1456255016.6265299</v>
      </c>
      <c r="P70" s="45">
        <f>VLOOKUP($B70,'[1]Source GNI Current LCU'!$B$1:$CZ$600,64,FALSE)</f>
        <v>838200000000</v>
      </c>
      <c r="Q70">
        <f t="shared" si="2"/>
        <v>98.31782390837509</v>
      </c>
      <c r="R70">
        <v>760</v>
      </c>
      <c r="S70">
        <v>760</v>
      </c>
      <c r="T70">
        <v>0.37331700000000001</v>
      </c>
      <c r="U70" s="45">
        <v>2000000</v>
      </c>
      <c r="V70">
        <v>16.352</v>
      </c>
      <c r="W70">
        <f>VLOOKUP($B70,'[1]Source Gov. Revenue WEO'!$B$1:$CZ$600,5,FALSE)</f>
        <v>18.584</v>
      </c>
      <c r="X70">
        <f>VLOOKUP($B70,'[1]Source Gov. Revenue WEO'!$B$1:$CZ$600,6,FALSE)</f>
        <v>18.613</v>
      </c>
      <c r="Y70">
        <f>VLOOKUP($B70,'[1]Source Gov. Revenue WEO'!$B$1:$CZ$600,7,FALSE)</f>
        <v>18.934999999999999</v>
      </c>
      <c r="Z70">
        <f>VLOOKUP($B70,'[1]Source Gov. Revenue WEO'!$B$1:$CZ$600,8,FALSE)</f>
        <v>18.606000000000002</v>
      </c>
      <c r="AA70">
        <f>VLOOKUP($B70,'[1]Source Gov. Revenue WEO'!$B$1:$CZ$600,9,FALSE)</f>
        <v>18.707000000000001</v>
      </c>
      <c r="AB70">
        <f>VLOOKUP($B70,'[1]Source Gov. Revenue WEO'!$B$1:$CZ$600,10,FALSE)</f>
        <v>18.655000000000001</v>
      </c>
      <c r="AC70">
        <f>VLOOKUP($B70,[2]Summary!$B$1:$CZ$600,39,FALSE)</f>
        <v>0.61639960000000005</v>
      </c>
      <c r="AD70">
        <f>VLOOKUP($B70,[2]Summary!$B$1:$CZ$600,40,FALSE)</f>
        <v>0.58950000000000002</v>
      </c>
      <c r="AE70">
        <f>VLOOKUP($B70,[2]Summary!$B$1:$CZ$600,47,FALSE)</f>
        <v>0.18099404207694997</v>
      </c>
      <c r="AF70">
        <f>VLOOKUP($B70,'[1]CALC GDP Growth rates WDI'!$B$1:$CZ$600,27,FALSE)</f>
        <v>36.666617643982931</v>
      </c>
      <c r="AG70">
        <f>VLOOKUP($B70,'[1]CALC GDP Growth rates WDI'!$B$1:$CZ$600,29,FALSE)</f>
        <v>40.211361810240255</v>
      </c>
      <c r="AH70">
        <v>16.32</v>
      </c>
      <c r="AI70">
        <f>VLOOKUP($B70,'[1]CALC GDP Growth rates WDI'!$B$1:$CZ$600,30,FALSE)</f>
        <v>21.020821924324085</v>
      </c>
      <c r="AJ70" s="45" t="s">
        <v>2464</v>
      </c>
      <c r="AK70">
        <f>VLOOKUP($B70,[1]Data_Aspire!$B$1:$CZ$600,2,FALSE)</f>
        <v>2015</v>
      </c>
      <c r="AL70">
        <f>VLOOKUP($B70,[1]Data_Aspire!$B$1:$CZ$600,3,FALSE)</f>
        <v>0.02</v>
      </c>
      <c r="AP70">
        <f>VLOOKUP($B70,[1]Data_Aspire!$B$1:$CZ$600,7,FALSE)</f>
        <v>0.01</v>
      </c>
      <c r="AS70">
        <f>VLOOKUP($B70,[1]Data_Aspire!$B$1:$CZ$600,10,FALSE)</f>
        <v>0.01</v>
      </c>
      <c r="AU70">
        <f>VLOOKUP($B70,[1]Data_Aspire!$B$1:$CZ$600,12,FALSE)</f>
        <v>0.01</v>
      </c>
      <c r="AZ70">
        <f>VLOOKUP($B70,[1]Data_Aspire!$B$1:$CZ$600,17,FALSE)</f>
        <v>800</v>
      </c>
      <c r="BA70">
        <f>VLOOKUP($B70,[1]Data_Aspire!$B$1:$CZ$600,18,FALSE)</f>
        <v>2015</v>
      </c>
      <c r="BB70">
        <f>VLOOKUP($B70,[1]Data_Aspire!$B$1:$CZ$600,19,FALSE)</f>
        <v>0</v>
      </c>
      <c r="BC70">
        <f>VLOOKUP($B70,[1]Data_Aspire!$B$1:$CZ$600,20,FALSE)</f>
        <v>0</v>
      </c>
      <c r="BD70">
        <f>VLOOKUP($B70,[1]Data_Aspire!$B$1:$CZ$600,21,FALSE)</f>
        <v>145000</v>
      </c>
      <c r="BE70">
        <f>VLOOKUP($B70,[1]Data_Aspire!$B$1:$CZ$600,22,FALSE)</f>
        <v>2014</v>
      </c>
      <c r="BJ70" s="7">
        <v>1</v>
      </c>
      <c r="BK70">
        <v>624</v>
      </c>
      <c r="BL70">
        <f>VLOOKUP($B70,'[1]Data_UN_PopulationTot.&amp;%'!$B$4:$CZ$603,8,FALSE)</f>
        <v>1968</v>
      </c>
      <c r="BM70">
        <f>VLOOKUP($B70,'[1]Data_UN_PopulationTot.&amp;%'!$B$4:$CZ$603,9,FALSE)</f>
        <v>2015.49</v>
      </c>
      <c r="BN70">
        <v>2063.36</v>
      </c>
      <c r="BO70">
        <f>VLOOKUP($B70,'[1]Data_UN_PopulationTot.&amp;%'!$B$4:$CZ$603,11,FALSE)</f>
        <v>2111.61</v>
      </c>
      <c r="BP70">
        <f>VLOOKUP($B70,'[1]Data_UN_PopulationTot.&amp;%'!$B$4:$CZ$603,12,FALSE)</f>
        <v>2160.2800000000002</v>
      </c>
      <c r="BQ70">
        <f>VLOOKUP($B70,'[1]Data_UN_PopulationTot.&amp;%'!$B$4:$CZ$603,13,FALSE)</f>
        <v>2209.38</v>
      </c>
      <c r="BR70">
        <f>VLOOKUP($B70,'[1]Data_UN_PopulationTot.&amp;%'!$B$4:$CZ$603,14,FALSE)</f>
        <v>2258.9</v>
      </c>
      <c r="BS70">
        <f>VLOOKUP($B70,'[1]Data_UN_PopulationTot.&amp;%'!$B$4:$CZ$603,15,FALSE)</f>
        <v>2308.81</v>
      </c>
      <c r="BT70">
        <f>VLOOKUP($B70,'[1]Data_UN_PopulationTot.&amp;%'!$B$4:$CZ$603,16,FALSE)</f>
        <v>2359.16</v>
      </c>
      <c r="BU70">
        <f>VLOOKUP($B70,'[1]Data_UN_PopulationTot.&amp;%'!$B$4:$CZ$603,17,FALSE)</f>
        <v>2409.96</v>
      </c>
      <c r="BV70">
        <f>VLOOKUP($B70,'[1]Data_UN_PopulationTot.&amp;%'!$B$4:$CZ$603,18,FALSE)</f>
        <v>2461.21</v>
      </c>
      <c r="BW70">
        <f>VLOOKUP($B70,'[1]Data_UN_PopulationTot.&amp;%'!$B$4:$CZ$603,61,FALSE)</f>
        <v>15.503607723577234</v>
      </c>
      <c r="BX70">
        <f>VLOOKUP($B70,'[1]Data_UN_PopulationTot.&amp;%'!$B$4:$CZ$603,62,FALSE)</f>
        <v>14.087296747967478</v>
      </c>
      <c r="BY70">
        <f>VLOOKUP($B70,'[1]Data_UN_PopulationTot.&amp;%'!$B$4:$CZ$603,63,FALSE)</f>
        <v>12.336280487804878</v>
      </c>
      <c r="BZ70">
        <f>VLOOKUP($B70,'[1]Data_UN_PopulationTot.&amp;%'!$B$4:$CZ$603,64,FALSE)</f>
        <v>10.53104674796748</v>
      </c>
      <c r="CA70">
        <f>VLOOKUP($B70,'[1]Data_UN_PopulationTot.&amp;%'!$B$4:$CZ$603,65,FALSE)</f>
        <v>9.1966971544715452</v>
      </c>
      <c r="CB70">
        <f>VLOOKUP($B70,'[1]Data_UN_PopulationTot.&amp;%'!$B$4:$CZ$603,66,FALSE)</f>
        <v>8.2008638211382117</v>
      </c>
      <c r="CC70">
        <f>VLOOKUP($B70,'[1]Data_UN_PopulationTot.&amp;%'!$B$4:$CZ$603,67,FALSE)</f>
        <v>7.0581808943089435</v>
      </c>
      <c r="CD70">
        <f>VLOOKUP($B70,'[1]Data_UN_PopulationTot.&amp;%'!$B$4:$CZ$603,68,FALSE)</f>
        <v>5.8740345528455284</v>
      </c>
      <c r="CE70">
        <f>VLOOKUP($B70,'[1]Data_UN_PopulationTot.&amp;%'!$B$4:$CZ$603,69,FALSE)</f>
        <v>4.4680894308943095</v>
      </c>
      <c r="CF70">
        <f>VLOOKUP($B70,'[1]Data_UN_PopulationTot.&amp;%'!$B$4:$CZ$603,70,FALSE)</f>
        <v>3.487957317073171</v>
      </c>
      <c r="CG70">
        <f>VLOOKUP($B70,'[1]Data_UN_PopulationTot.&amp;%'!$B$4:$CZ$603,71,FALSE)</f>
        <v>2.5965955284552846</v>
      </c>
      <c r="CH70">
        <f>VLOOKUP($B70,'[1]Data_UN_PopulationTot.&amp;%'!$B$4:$CZ$603,72,FALSE)</f>
        <v>2.0877540650406505</v>
      </c>
      <c r="CI70">
        <f>VLOOKUP($B70,'[1]Data_UN_PopulationTot.&amp;%'!$B$4:$CZ$603,73,FALSE)</f>
        <v>1.6857215447154472</v>
      </c>
      <c r="CJ70">
        <f>VLOOKUP($B70,'[1]Data_UN_PopulationTot.&amp;%'!$B$4:$CZ$603,74,FALSE)</f>
        <v>1.3841971544715446</v>
      </c>
      <c r="CK70">
        <f>VLOOKUP($B70,'[1]Data_UN_PopulationTot.&amp;%'!$B$4:$CZ$603,75,FALSE)</f>
        <v>0.79314024390243909</v>
      </c>
      <c r="CL70">
        <f>VLOOKUP($B70,'[1]Data_UN_PopulationTot.&amp;%'!$B$4:$CZ$603,76,FALSE)</f>
        <v>0.45873983739837404</v>
      </c>
      <c r="CM70">
        <f>VLOOKUP($B70,'[1]Data_UN_PopulationTot.&amp;%'!$B$4:$CZ$603,77,FALSE)</f>
        <v>0.18805894308943089</v>
      </c>
      <c r="CN70">
        <f>VLOOKUP($B70,'[1]Data_UN_PopulationTot.&amp;%'!$B$4:$CZ$603,78,FALSE)</f>
        <v>5.3963414634146348E-2</v>
      </c>
      <c r="CO70">
        <f>VLOOKUP($B70,'[1]Data_UN_PopulationTot.&amp;%'!$B$4:$CZ$603,79,FALSE)</f>
        <v>7.3170731707317069E-3</v>
      </c>
      <c r="CP70">
        <f>VLOOKUP($B70,'[1]Data_UN_PopulationTot.&amp;%'!$B$4:$CZ$603,80,FALSE)</f>
        <v>3.5569105691056908E-4</v>
      </c>
      <c r="CQ70">
        <f>VLOOKUP($B70,'[1]Data_UN_PopulationTot.&amp;%'!$B$4:$CZ$603,81,FALSE)</f>
        <v>0</v>
      </c>
      <c r="CR70">
        <f>VLOOKUP($B70,'[1]Data_UN_PopulationTot.&amp;%'!$B$4:$CZ$603,82,FALSE)</f>
        <v>13.661044770661585</v>
      </c>
      <c r="CS70">
        <f>VLOOKUP($B70,'[1]Data_UN_PopulationTot.&amp;%'!$B$4:$CZ$603,83,FALSE)</f>
        <v>12.754620694698948</v>
      </c>
      <c r="CT70">
        <f>VLOOKUP($B70,'[1]Data_UN_PopulationTot.&amp;%'!$B$4:$CZ$603,84,FALSE)</f>
        <v>11.970534818239809</v>
      </c>
      <c r="CU70">
        <f>VLOOKUP($B70,'[1]Data_UN_PopulationTot.&amp;%'!$B$4:$CZ$603,85,FALSE)</f>
        <v>10.988050593001004</v>
      </c>
      <c r="CV70">
        <f>VLOOKUP($B70,'[1]Data_UN_PopulationTot.&amp;%'!$B$4:$CZ$603,86,FALSE)</f>
        <v>9.5762247024837386</v>
      </c>
      <c r="CW70">
        <f>VLOOKUP($B70,'[1]Data_UN_PopulationTot.&amp;%'!$B$4:$CZ$603,87,FALSE)</f>
        <v>8.0877698367875972</v>
      </c>
      <c r="CX70">
        <f>VLOOKUP($B70,'[1]Data_UN_PopulationTot.&amp;%'!$B$4:$CZ$603,88,FALSE)</f>
        <v>6.9906671921534533</v>
      </c>
      <c r="CY70">
        <f>VLOOKUP($B70,'[1]Data_UN_PopulationTot.&amp;%'!$B$4:$CZ$603,89,FALSE)</f>
        <v>6.1668853937697312</v>
      </c>
      <c r="CZ70">
        <f>VLOOKUP($B70,'[1]Data_UN_PopulationTot.&amp;%'!$B$4:$CZ$603,90,FALSE)</f>
        <v>5.2353923476663917</v>
      </c>
      <c r="DA70">
        <f>VLOOKUP($B70,'[1]Data_UN_PopulationTot.&amp;%'!$B$4:$CZ$603,91,FALSE)</f>
        <v>4.2871595678548351</v>
      </c>
      <c r="DB70">
        <f>VLOOKUP($B70,'[1]Data_UN_PopulationTot.&amp;%'!$B$4:$CZ$603,92,FALSE)</f>
        <v>3.18936620605312</v>
      </c>
      <c r="DC70">
        <f>VLOOKUP($B70,'[1]Data_UN_PopulationTot.&amp;%'!$B$4:$CZ$603,93,FALSE)</f>
        <v>2.4085307633237312</v>
      </c>
      <c r="DD70">
        <f>VLOOKUP($B70,'[1]Data_UN_PopulationTot.&amp;%'!$B$4:$CZ$603,94,FALSE)</f>
        <v>1.7039586219786202</v>
      </c>
      <c r="DE70">
        <f>VLOOKUP($B70,'[1]Data_UN_PopulationTot.&amp;%'!$B$4:$CZ$603,95,FALSE)</f>
        <v>1.25759281004059</v>
      </c>
      <c r="DF70">
        <f>VLOOKUP($B70,'[1]Data_UN_PopulationTot.&amp;%'!$B$4:$CZ$603,96,FALSE)</f>
        <v>0.87672323775703809</v>
      </c>
      <c r="DG70">
        <f>VLOOKUP($B70,'[1]Data_UN_PopulationTot.&amp;%'!$B$4:$CZ$603,97,FALSE)</f>
        <v>0.56415340421987559</v>
      </c>
      <c r="DH70">
        <f>VLOOKUP($B70,'[1]Data_UN_PopulationTot.&amp;%'!$B$4:$CZ$603,98,FALSE)</f>
        <v>0.21290340929867829</v>
      </c>
      <c r="DI70">
        <f>VLOOKUP($B70,'[1]Data_UN_PopulationTot.&amp;%'!$B$4:$CZ$603,99,FALSE)</f>
        <v>6.0417436951743245E-2</v>
      </c>
      <c r="DJ70">
        <f>VLOOKUP($B70,'[1]Data_UN_PopulationTot.&amp;%'!$B$4:$DE$603,100,FALSE)</f>
        <v>7.557258421670641E-3</v>
      </c>
      <c r="DK70">
        <f>VLOOKUP($B70,'[1]Data_UN_PopulationTot.&amp;%'!$B$4:$DE$603,101,FALSE)</f>
        <v>3.6567379459696652E-4</v>
      </c>
      <c r="DL70">
        <f>VLOOKUP($B70,'[1]Data_UN_PopulationTot.&amp;%'!$B$4:$DE$603,102,FALSE)</f>
        <v>0</v>
      </c>
    </row>
    <row r="71" spans="1:116">
      <c r="A71" t="s">
        <v>190</v>
      </c>
      <c r="B71" t="s">
        <v>405</v>
      </c>
      <c r="C71" t="s">
        <v>496</v>
      </c>
      <c r="D71" t="s">
        <v>389</v>
      </c>
      <c r="E71" t="s">
        <v>301</v>
      </c>
      <c r="F71">
        <v>0</v>
      </c>
      <c r="G71">
        <v>0</v>
      </c>
      <c r="H71">
        <v>1</v>
      </c>
      <c r="I71">
        <v>0</v>
      </c>
      <c r="J71" s="18">
        <f t="shared" si="3"/>
        <v>819.75307762178113</v>
      </c>
      <c r="K71">
        <f>VLOOKUP($B71,'[1]Source GDP Current USD'!$B$1:$CZ$600,64,FALSE)</f>
        <v>10021856754.4944</v>
      </c>
      <c r="L71" s="45">
        <f>VLOOKUP($B71,'[1]Source GDP Current USD'!$B$1:$CZ$600,65,FALSE)</f>
        <v>10021856754.4944</v>
      </c>
      <c r="M71" s="17">
        <f>VLOOKUP($B71,'[1]Source GDP Current LCU'!$B$1:$CZ$600,64,FALSE)</f>
        <v>5768440487100</v>
      </c>
      <c r="N71" s="45">
        <v>5800000000000</v>
      </c>
      <c r="O71" s="45">
        <f>VLOOKUP($B71,'[1]Source GNI Current USD'!$B$1:$CZ$600,64,FALSE)</f>
        <v>7454529309.3879299</v>
      </c>
      <c r="P71" s="45">
        <f>VLOOKUP($B71,'[1]Source GNI Current LCU'!$B$1:$CZ$600,64,FALSE)</f>
        <v>4290722740700</v>
      </c>
      <c r="Q71">
        <f t="shared" si="2"/>
        <v>134.43983300023066</v>
      </c>
      <c r="R71">
        <v>5810</v>
      </c>
      <c r="S71">
        <v>5810</v>
      </c>
      <c r="T71">
        <v>0.39816200000000002</v>
      </c>
      <c r="U71" s="45">
        <v>1400000</v>
      </c>
      <c r="V71">
        <v>14.211</v>
      </c>
      <c r="W71">
        <f>VLOOKUP($B71,'[1]Source Gov. Revenue WEO'!$B$1:$CZ$600,5,FALSE)</f>
        <v>16.431000000000001</v>
      </c>
      <c r="X71">
        <f>VLOOKUP($B71,'[1]Source Gov. Revenue WEO'!$B$1:$CZ$600,6,FALSE)</f>
        <v>15.555999999999999</v>
      </c>
      <c r="Y71">
        <f>VLOOKUP($B71,'[1]Source Gov. Revenue WEO'!$B$1:$CZ$600,7,FALSE)</f>
        <v>15.297000000000001</v>
      </c>
      <c r="Z71">
        <f>VLOOKUP($B71,'[1]Source Gov. Revenue WEO'!$B$1:$CZ$600,8,FALSE)</f>
        <v>15.167999999999999</v>
      </c>
      <c r="AA71">
        <f>VLOOKUP($B71,'[1]Source Gov. Revenue WEO'!$B$1:$CZ$600,9,FALSE)</f>
        <v>14.872</v>
      </c>
      <c r="AB71">
        <f>VLOOKUP($B71,'[1]Source Gov. Revenue WEO'!$B$1:$CZ$600,10,FALSE)</f>
        <v>14.994</v>
      </c>
      <c r="AC71">
        <f>VLOOKUP($B71,[2]Summary!$B$1:$CZ$600,39,FALSE)</f>
        <v>0.03</v>
      </c>
      <c r="AD71">
        <f>VLOOKUP($B71,[2]Summary!$B$1:$CZ$600,40,FALSE)</f>
        <v>0.16</v>
      </c>
      <c r="AE71">
        <f>VLOOKUP($B71,[2]Summary!$B$1:$CZ$600,47,FALSE)</f>
        <v>0.20397603359521052</v>
      </c>
      <c r="AF71">
        <f>VLOOKUP($B71,'[1]CALC GDP Growth rates WDI'!$B$1:$CZ$600,27,FALSE)</f>
        <v>-27.195567798303422</v>
      </c>
      <c r="AG71">
        <f>VLOOKUP($B71,'[1]CALC GDP Growth rates WDI'!$B$1:$CZ$600,29,FALSE)</f>
        <v>-25.325843192196796</v>
      </c>
      <c r="AH71">
        <v>-27.91</v>
      </c>
      <c r="AI71">
        <f>VLOOKUP($B71,'[1]CALC GDP Growth rates WDI'!$B$1:$CZ$600,30,FALSE)</f>
        <v>-26.180198174171331</v>
      </c>
      <c r="AJ71" s="45"/>
      <c r="AK71" t="e">
        <f>VLOOKUP($B71,[1]Data_Aspire!$B$1:$CZ$600,2,FALSE)</f>
        <v>#N/A</v>
      </c>
      <c r="AL71" t="e">
        <f>VLOOKUP($B71,[1]Data_Aspire!$B$1:$CZ$600,3,FALSE)</f>
        <v>#N/A</v>
      </c>
      <c r="AM71" t="e">
        <f>VLOOKUP($B71,[1]Data_Aspire!$B$1:$CZ$600,4,FALSE)</f>
        <v>#N/A</v>
      </c>
      <c r="AN71" t="e">
        <f>VLOOKUP($B71,[1]Data_Aspire!$B$1:$CZ$600,5,FALSE)</f>
        <v>#N/A</v>
      </c>
      <c r="AO71" t="e">
        <f>VLOOKUP($B71,[1]Data_Aspire!$B$1:$CZ$600,6,FALSE)</f>
        <v>#N/A</v>
      </c>
      <c r="AP71" t="e">
        <f>VLOOKUP($B71,[1]Data_Aspire!$B$1:$CZ$600,7,FALSE)</f>
        <v>#N/A</v>
      </c>
      <c r="AQ71" t="e">
        <f>VLOOKUP($B71,[1]Data_Aspire!$B$1:$CZ$600,8,FALSE)</f>
        <v>#N/A</v>
      </c>
      <c r="AR71" t="e">
        <f>VLOOKUP($B71,[1]Data_Aspire!$B$1:$CZ$600,9,FALSE)</f>
        <v>#N/A</v>
      </c>
      <c r="AS71" t="e">
        <f>VLOOKUP($B71,[1]Data_Aspire!$B$1:$CZ$600,10,FALSE)</f>
        <v>#N/A</v>
      </c>
      <c r="AT71" t="e">
        <f>VLOOKUP($B71,[1]Data_Aspire!$B$1:$CZ$600,11,FALSE)</f>
        <v>#N/A</v>
      </c>
      <c r="AU71" t="e">
        <f>VLOOKUP($B71,[1]Data_Aspire!$B$1:$CZ$600,12,FALSE)</f>
        <v>#N/A</v>
      </c>
      <c r="AV71" t="e">
        <f>VLOOKUP($B71,[1]Data_Aspire!$B$1:$CZ$600,13,FALSE)</f>
        <v>#N/A</v>
      </c>
      <c r="AW71" t="e">
        <f>VLOOKUP($B71,[1]Data_Aspire!$B$1:$CZ$600,14,FALSE)</f>
        <v>#N/A</v>
      </c>
      <c r="AX71" t="e">
        <f>VLOOKUP($B71,[1]Data_Aspire!$B$1:$CZ$600,15,FALSE)</f>
        <v>#N/A</v>
      </c>
      <c r="AY71" t="e">
        <f>VLOOKUP($B71,[1]Data_Aspire!$B$1:$CZ$600,16,FALSE)</f>
        <v>#N/A</v>
      </c>
      <c r="AZ71" t="e">
        <f>VLOOKUP($B71,[1]Data_Aspire!$B$1:$CZ$600,17,FALSE)</f>
        <v>#N/A</v>
      </c>
      <c r="BA71" t="e">
        <f>VLOOKUP($B71,[1]Data_Aspire!$B$1:$CZ$600,18,FALSE)</f>
        <v>#N/A</v>
      </c>
      <c r="BB71" t="e">
        <f>VLOOKUP($B71,[1]Data_Aspire!$B$1:$CZ$600,19,FALSE)</f>
        <v>#N/A</v>
      </c>
      <c r="BC71" t="e">
        <f>VLOOKUP($B71,[1]Data_Aspire!$B$1:$CZ$600,20,FALSE)</f>
        <v>#N/A</v>
      </c>
      <c r="BD71" t="e">
        <f>VLOOKUP($B71,[1]Data_Aspire!$B$1:$CZ$600,21,FALSE)</f>
        <v>#N/A</v>
      </c>
      <c r="BE71" t="e">
        <f>VLOOKUP($B71,[1]Data_Aspire!$B$1:$CZ$600,22,FALSE)</f>
        <v>#N/A</v>
      </c>
      <c r="BF71" t="e">
        <f>VLOOKUP($B71,[1]Data_Aspire!$B$1:$CZ$600,23,FALSE)</f>
        <v>#N/A</v>
      </c>
      <c r="BG71" t="e">
        <f>VLOOKUP($B71,[1]Data_Aspire!$B$1:$CZ$600,24,FALSE)</f>
        <v>#N/A</v>
      </c>
      <c r="BH71" t="e">
        <f>VLOOKUP($B71,[1]Data_Aspire!$B$1:$CZ$600,25,FALSE)</f>
        <v>#N/A</v>
      </c>
      <c r="BI71" t="e">
        <f>VLOOKUP($B71,[1]Data_Aspire!$B$1:$CZ$600,26,FALSE)</f>
        <v>#N/A</v>
      </c>
      <c r="BJ71" s="7">
        <v>1</v>
      </c>
      <c r="BK71">
        <v>226</v>
      </c>
      <c r="BL71">
        <f>VLOOKUP($B71,'[1]Data_UN_PopulationTot.&amp;%'!$B$4:$CZ$603,8,FALSE)</f>
        <v>1402.98</v>
      </c>
      <c r="BM71">
        <f>VLOOKUP($B71,'[1]Data_UN_PopulationTot.&amp;%'!$B$4:$CZ$603,9,FALSE)</f>
        <v>1449.89</v>
      </c>
      <c r="BN71">
        <v>1496.67</v>
      </c>
      <c r="BO71">
        <f>VLOOKUP($B71,'[1]Data_UN_PopulationTot.&amp;%'!$B$4:$CZ$603,11,FALSE)</f>
        <v>1543.39</v>
      </c>
      <c r="BP71">
        <f>VLOOKUP($B71,'[1]Data_UN_PopulationTot.&amp;%'!$B$4:$CZ$603,12,FALSE)</f>
        <v>1590.2</v>
      </c>
      <c r="BQ71">
        <f>VLOOKUP($B71,'[1]Data_UN_PopulationTot.&amp;%'!$B$4:$CZ$603,13,FALSE)</f>
        <v>1637.21</v>
      </c>
      <c r="BR71">
        <f>VLOOKUP($B71,'[1]Data_UN_PopulationTot.&amp;%'!$B$4:$CZ$603,14,FALSE)</f>
        <v>1684.46</v>
      </c>
      <c r="BS71">
        <f>VLOOKUP($B71,'[1]Data_UN_PopulationTot.&amp;%'!$B$4:$CZ$603,15,FALSE)</f>
        <v>1731.87</v>
      </c>
      <c r="BT71">
        <f>VLOOKUP($B71,'[1]Data_UN_PopulationTot.&amp;%'!$B$4:$CZ$603,16,FALSE)</f>
        <v>1779.31</v>
      </c>
      <c r="BU71">
        <f>VLOOKUP($B71,'[1]Data_UN_PopulationTot.&amp;%'!$B$4:$CZ$603,17,FALSE)</f>
        <v>1826.58</v>
      </c>
      <c r="BV71">
        <f>VLOOKUP($B71,'[1]Data_UN_PopulationTot.&amp;%'!$B$4:$CZ$603,18,FALSE)</f>
        <v>1873.55</v>
      </c>
      <c r="BW71">
        <f>VLOOKUP($B71,'[1]Data_UN_PopulationTot.&amp;%'!$B$4:$CZ$603,61,FALSE)</f>
        <v>14.230637642731899</v>
      </c>
      <c r="BX71">
        <f>VLOOKUP($B71,'[1]Data_UN_PopulationTot.&amp;%'!$B$4:$CZ$603,62,FALSE)</f>
        <v>12.260331579922736</v>
      </c>
      <c r="BY71">
        <f>VLOOKUP($B71,'[1]Data_UN_PopulationTot.&amp;%'!$B$4:$CZ$603,63,FALSE)</f>
        <v>10.288528703188927</v>
      </c>
      <c r="BZ71">
        <f>VLOOKUP($B71,'[1]Data_UN_PopulationTot.&amp;%'!$B$4:$CZ$603,64,FALSE)</f>
        <v>8.6210067142796039</v>
      </c>
      <c r="CA71">
        <f>VLOOKUP($B71,'[1]Data_UN_PopulationTot.&amp;%'!$B$4:$CZ$603,65,FALSE)</f>
        <v>9.849890946414062</v>
      </c>
      <c r="CB71">
        <f>VLOOKUP($B71,'[1]Data_UN_PopulationTot.&amp;%'!$B$4:$CZ$603,66,FALSE)</f>
        <v>10.562730758813384</v>
      </c>
      <c r="CC71">
        <f>VLOOKUP($B71,'[1]Data_UN_PopulationTot.&amp;%'!$B$4:$CZ$603,67,FALSE)</f>
        <v>10.239846612211151</v>
      </c>
      <c r="CD71">
        <f>VLOOKUP($B71,'[1]Data_UN_PopulationTot.&amp;%'!$B$4:$CZ$603,68,FALSE)</f>
        <v>7.5067356626609074</v>
      </c>
      <c r="CE71">
        <f>VLOOKUP($B71,'[1]Data_UN_PopulationTot.&amp;%'!$B$4:$CZ$603,69,FALSE)</f>
        <v>4.8968623929065274</v>
      </c>
      <c r="CF71">
        <f>VLOOKUP($B71,'[1]Data_UN_PopulationTot.&amp;%'!$B$4:$CZ$603,70,FALSE)</f>
        <v>3.3257779868565476</v>
      </c>
      <c r="CG71">
        <f>VLOOKUP($B71,'[1]Data_UN_PopulationTot.&amp;%'!$B$4:$CZ$603,71,FALSE)</f>
        <v>2.6505723531340433</v>
      </c>
      <c r="CH71">
        <f>VLOOKUP($B71,'[1]Data_UN_PopulationTot.&amp;%'!$B$4:$CZ$603,72,FALSE)</f>
        <v>1.7840596444710546</v>
      </c>
      <c r="CI71">
        <f>VLOOKUP($B71,'[1]Data_UN_PopulationTot.&amp;%'!$B$4:$CZ$603,73,FALSE)</f>
        <v>1.4018731557114144</v>
      </c>
      <c r="CJ71">
        <f>VLOOKUP($B71,'[1]Data_UN_PopulationTot.&amp;%'!$B$4:$CZ$603,74,FALSE)</f>
        <v>1.0841922194186659</v>
      </c>
      <c r="CK71">
        <f>VLOOKUP($B71,'[1]Data_UN_PopulationTot.&amp;%'!$B$4:$CZ$603,75,FALSE)</f>
        <v>0.65033001183195771</v>
      </c>
      <c r="CL71">
        <f>VLOOKUP($B71,'[1]Data_UN_PopulationTot.&amp;%'!$B$4:$CZ$603,76,FALSE)</f>
        <v>0.39893654934496581</v>
      </c>
      <c r="CM71">
        <f>VLOOKUP($B71,'[1]Data_UN_PopulationTot.&amp;%'!$B$4:$CZ$603,77,FALSE)</f>
        <v>0.18075810061440648</v>
      </c>
      <c r="CN71">
        <f>VLOOKUP($B71,'[1]Data_UN_PopulationTot.&amp;%'!$B$4:$CZ$603,78,FALSE)</f>
        <v>5.8660850475416602E-2</v>
      </c>
      <c r="CO71">
        <f>VLOOKUP($B71,'[1]Data_UN_PopulationTot.&amp;%'!$B$4:$CZ$603,79,FALSE)</f>
        <v>8.1968381587763182E-3</v>
      </c>
      <c r="CP71">
        <f>VLOOKUP($B71,'[1]Data_UN_PopulationTot.&amp;%'!$B$4:$CZ$603,80,FALSE)</f>
        <v>4.2766112132746009E-4</v>
      </c>
      <c r="CQ71">
        <f>VLOOKUP($B71,'[1]Data_UN_PopulationTot.&amp;%'!$B$4:$CZ$603,81,FALSE)</f>
        <v>0</v>
      </c>
      <c r="CR71">
        <f>VLOOKUP($B71,'[1]Data_UN_PopulationTot.&amp;%'!$B$4:$CZ$603,82,FALSE)</f>
        <v>12.989084892316724</v>
      </c>
      <c r="CS71">
        <f>VLOOKUP($B71,'[1]Data_UN_PopulationTot.&amp;%'!$B$4:$CZ$603,83,FALSE)</f>
        <v>11.749939953564089</v>
      </c>
      <c r="CT71">
        <f>VLOOKUP($B71,'[1]Data_UN_PopulationTot.&amp;%'!$B$4:$CZ$603,84,FALSE)</f>
        <v>10.443436257372369</v>
      </c>
      <c r="CU71">
        <f>VLOOKUP($B71,'[1]Data_UN_PopulationTot.&amp;%'!$B$4:$CZ$603,85,FALSE)</f>
        <v>9.5984094366309947</v>
      </c>
      <c r="CV71">
        <f>VLOOKUP($B71,'[1]Data_UN_PopulationTot.&amp;%'!$B$4:$CZ$603,86,FALSE)</f>
        <v>9.7633903552080277</v>
      </c>
      <c r="CW71">
        <f>VLOOKUP($B71,'[1]Data_UN_PopulationTot.&amp;%'!$B$4:$CZ$603,87,FALSE)</f>
        <v>9.7274158682714642</v>
      </c>
      <c r="CX71">
        <f>VLOOKUP($B71,'[1]Data_UN_PopulationTot.&amp;%'!$B$4:$CZ$603,88,FALSE)</f>
        <v>9.8415307838061441</v>
      </c>
      <c r="CY71">
        <f>VLOOKUP($B71,'[1]Data_UN_PopulationTot.&amp;%'!$B$4:$CZ$603,89,FALSE)</f>
        <v>8.3443196071628734</v>
      </c>
      <c r="CZ71">
        <f>VLOOKUP($B71,'[1]Data_UN_PopulationTot.&amp;%'!$B$4:$CZ$603,90,FALSE)</f>
        <v>6.137332870753383</v>
      </c>
      <c r="DA71">
        <f>VLOOKUP($B71,'[1]Data_UN_PopulationTot.&amp;%'!$B$4:$CZ$603,91,FALSE)</f>
        <v>3.6611779776360382</v>
      </c>
      <c r="DB71">
        <f>VLOOKUP($B71,'[1]Data_UN_PopulationTot.&amp;%'!$B$4:$CZ$603,92,FALSE)</f>
        <v>2.2485121827546637</v>
      </c>
      <c r="DC71">
        <f>VLOOKUP($B71,'[1]Data_UN_PopulationTot.&amp;%'!$B$4:$CZ$603,93,FALSE)</f>
        <v>1.76680633022871</v>
      </c>
      <c r="DD71">
        <f>VLOOKUP($B71,'[1]Data_UN_PopulationTot.&amp;%'!$B$4:$CZ$603,94,FALSE)</f>
        <v>1.5236849830535615</v>
      </c>
      <c r="DE71">
        <f>VLOOKUP($B71,'[1]Data_UN_PopulationTot.&amp;%'!$B$4:$CZ$603,95,FALSE)</f>
        <v>0.95209628779589561</v>
      </c>
      <c r="DF71">
        <f>VLOOKUP($B71,'[1]Data_UN_PopulationTot.&amp;%'!$B$4:$CZ$603,96,FALSE)</f>
        <v>0.6435910437404927</v>
      </c>
      <c r="DG71">
        <f>VLOOKUP($B71,'[1]Data_UN_PopulationTot.&amp;%'!$B$4:$CZ$603,97,FALSE)</f>
        <v>0.39614635317979235</v>
      </c>
      <c r="DH71">
        <f>VLOOKUP($B71,'[1]Data_UN_PopulationTot.&amp;%'!$B$4:$CZ$603,98,FALSE)</f>
        <v>0.15414587280830508</v>
      </c>
      <c r="DI71">
        <f>VLOOKUP($B71,'[1]Data_UN_PopulationTot.&amp;%'!$B$4:$CZ$603,99,FALSE)</f>
        <v>5.0225507725974748E-2</v>
      </c>
      <c r="DJ71">
        <f>VLOOKUP($B71,'[1]Data_UN_PopulationTot.&amp;%'!$B$4:$DE$603,100,FALSE)</f>
        <v>8.2730645032158216E-3</v>
      </c>
      <c r="DK71">
        <f>VLOOKUP($B71,'[1]Data_UN_PopulationTot.&amp;%'!$B$4:$DE$603,101,FALSE)</f>
        <v>5.3374609698166584E-4</v>
      </c>
      <c r="DL71">
        <f>VLOOKUP($B71,'[1]Data_UN_PopulationTot.&amp;%'!$B$4:$DE$603,102,FALSE)</f>
        <v>0</v>
      </c>
    </row>
    <row r="72" spans="1:116">
      <c r="A72" t="s">
        <v>65</v>
      </c>
      <c r="B72" t="s">
        <v>443</v>
      </c>
      <c r="C72" t="s">
        <v>485</v>
      </c>
      <c r="D72" t="s">
        <v>622</v>
      </c>
      <c r="E72" t="s">
        <v>2269</v>
      </c>
      <c r="F72">
        <v>0</v>
      </c>
      <c r="G72">
        <v>0</v>
      </c>
      <c r="H72">
        <v>0</v>
      </c>
      <c r="I72">
        <v>1</v>
      </c>
      <c r="J72" s="18">
        <f t="shared" si="3"/>
        <v>82.962454332869996</v>
      </c>
      <c r="K72">
        <f>VLOOKUP($B72,'[1]Source GDP Current USD'!$B$1:$CZ$600,64,FALSE)</f>
        <v>188835201625.91</v>
      </c>
      <c r="L72" s="45">
        <f>VLOOKUP($B72,'[1]Source GDP Current USD'!$B$1:$CZ$600,65,FALSE)</f>
        <v>188835201625.91</v>
      </c>
      <c r="M72" s="17">
        <f>VLOOKUP($B72,'[1]Source GDP Current LCU'!$B$1:$CZ$600,64,FALSE)</f>
        <v>165326427000</v>
      </c>
      <c r="N72" s="45">
        <v>170000000000</v>
      </c>
      <c r="O72" s="45">
        <f>VLOOKUP($B72,'[1]Source GNI Current USD'!$B$1:$CZ$600,64,FALSE)</f>
        <v>188028901406.48499</v>
      </c>
      <c r="P72" s="45">
        <f>VLOOKUP($B72,'[1]Source GNI Current LCU'!$B$1:$CZ$600,64,FALSE)</f>
        <v>164620506000</v>
      </c>
      <c r="Q72">
        <f t="shared" si="2"/>
        <v>100.42881717299545</v>
      </c>
      <c r="R72">
        <v>17930</v>
      </c>
      <c r="S72">
        <v>17930</v>
      </c>
      <c r="T72">
        <v>0.63141599999999998</v>
      </c>
      <c r="U72" s="45">
        <v>11000000</v>
      </c>
      <c r="V72">
        <v>50.180999999999997</v>
      </c>
      <c r="W72">
        <f>VLOOKUP($B72,'[1]Source Gov. Revenue WEO'!$B$1:$CZ$600,5,FALSE)</f>
        <v>48.783000000000001</v>
      </c>
      <c r="X72">
        <f>VLOOKUP($B72,'[1]Source Gov. Revenue WEO'!$B$1:$CZ$600,6,FALSE)</f>
        <v>48.121000000000002</v>
      </c>
      <c r="Y72">
        <f>VLOOKUP($B72,'[1]Source Gov. Revenue WEO'!$B$1:$CZ$600,7,FALSE)</f>
        <v>48.064</v>
      </c>
      <c r="Z72">
        <f>VLOOKUP($B72,'[1]Source Gov. Revenue WEO'!$B$1:$CZ$600,8,FALSE)</f>
        <v>47.79</v>
      </c>
      <c r="AA72">
        <f>VLOOKUP($B72,'[1]Source Gov. Revenue WEO'!$B$1:$CZ$600,9,FALSE)</f>
        <v>47.177</v>
      </c>
      <c r="AB72">
        <f>VLOOKUP($B72,'[1]Source Gov. Revenue WEO'!$B$1:$CZ$600,10,FALSE)</f>
        <v>46.756999999999998</v>
      </c>
      <c r="AC72" t="e">
        <f>VLOOKUP($B72,[2]Summary!$B$1:$CZ$600,39,FALSE)</f>
        <v>#N/A</v>
      </c>
      <c r="AD72" t="e">
        <f>VLOOKUP($B72,[2]Summary!$B$1:$CZ$600,40,FALSE)</f>
        <v>#N/A</v>
      </c>
      <c r="AE72" t="e">
        <f>VLOOKUP($B72,[2]Summary!$B$1:$CZ$600,47,FALSE)</f>
        <v>#N/A</v>
      </c>
      <c r="AF72">
        <f>VLOOKUP($B72,'[1]CALC GDP Growth rates WDI'!$B$1:$CZ$600,27,FALSE)</f>
        <v>-22.68975584584993</v>
      </c>
      <c r="AG72">
        <f>VLOOKUP($B72,'[1]CALC GDP Growth rates WDI'!$B$1:$CZ$600,29,FALSE)</f>
        <v>-21.199731568504976</v>
      </c>
      <c r="AH72">
        <v>-5.27</v>
      </c>
      <c r="AI72">
        <f>VLOOKUP($B72,'[1]CALC GDP Growth rates WDI'!$B$1:$CZ$600,30,FALSE)</f>
        <v>1.953938555646495</v>
      </c>
      <c r="AK72" t="e">
        <f>VLOOKUP($B72,[1]Data_Aspire!$B$1:$CZ$600,2,FALSE)</f>
        <v>#N/A</v>
      </c>
      <c r="AL72" t="e">
        <f>VLOOKUP($B72,[1]Data_Aspire!$B$1:$CZ$600,3,FALSE)</f>
        <v>#N/A</v>
      </c>
      <c r="AM72" t="e">
        <f>VLOOKUP($B72,[1]Data_Aspire!$B$1:$CZ$600,4,FALSE)</f>
        <v>#N/A</v>
      </c>
      <c r="AN72" t="e">
        <f>VLOOKUP($B72,[1]Data_Aspire!$B$1:$CZ$600,5,FALSE)</f>
        <v>#N/A</v>
      </c>
      <c r="AO72" t="e">
        <f>VLOOKUP($B72,[1]Data_Aspire!$B$1:$CZ$600,6,FALSE)</f>
        <v>#N/A</v>
      </c>
      <c r="AP72" t="e">
        <f>VLOOKUP($B72,[1]Data_Aspire!$B$1:$CZ$600,7,FALSE)</f>
        <v>#N/A</v>
      </c>
      <c r="AQ72" t="e">
        <f>VLOOKUP($B72,[1]Data_Aspire!$B$1:$CZ$600,8,FALSE)</f>
        <v>#N/A</v>
      </c>
      <c r="AR72" t="e">
        <f>VLOOKUP($B72,[1]Data_Aspire!$B$1:$CZ$600,9,FALSE)</f>
        <v>#N/A</v>
      </c>
      <c r="AS72" t="e">
        <f>VLOOKUP($B72,[1]Data_Aspire!$B$1:$CZ$600,10,FALSE)</f>
        <v>#N/A</v>
      </c>
      <c r="AT72" t="e">
        <f>VLOOKUP($B72,[1]Data_Aspire!$B$1:$CZ$600,11,FALSE)</f>
        <v>#N/A</v>
      </c>
      <c r="AU72" t="e">
        <f>VLOOKUP($B72,[1]Data_Aspire!$B$1:$CZ$600,12,FALSE)</f>
        <v>#N/A</v>
      </c>
      <c r="AV72" t="e">
        <f>VLOOKUP($B72,[1]Data_Aspire!$B$1:$CZ$600,13,FALSE)</f>
        <v>#N/A</v>
      </c>
      <c r="AW72" t="e">
        <f>VLOOKUP($B72,[1]Data_Aspire!$B$1:$CZ$600,14,FALSE)</f>
        <v>#N/A</v>
      </c>
      <c r="AX72" t="e">
        <f>VLOOKUP($B72,[1]Data_Aspire!$B$1:$CZ$600,15,FALSE)</f>
        <v>#N/A</v>
      </c>
      <c r="AY72" t="e">
        <f>VLOOKUP($B72,[1]Data_Aspire!$B$1:$CZ$600,16,FALSE)</f>
        <v>#N/A</v>
      </c>
      <c r="AZ72" t="e">
        <f>VLOOKUP($B72,[1]Data_Aspire!$B$1:$CZ$600,17,FALSE)</f>
        <v>#N/A</v>
      </c>
      <c r="BA72" t="e">
        <f>VLOOKUP($B72,[1]Data_Aspire!$B$1:$CZ$600,18,FALSE)</f>
        <v>#N/A</v>
      </c>
      <c r="BB72" t="e">
        <f>VLOOKUP($B72,[1]Data_Aspire!$B$1:$CZ$600,19,FALSE)</f>
        <v>#N/A</v>
      </c>
      <c r="BC72" t="e">
        <f>VLOOKUP($B72,[1]Data_Aspire!$B$1:$CZ$600,20,FALSE)</f>
        <v>#N/A</v>
      </c>
      <c r="BD72" t="e">
        <f>VLOOKUP($B72,[1]Data_Aspire!$B$1:$CZ$600,21,FALSE)</f>
        <v>#N/A</v>
      </c>
      <c r="BE72" t="e">
        <f>VLOOKUP($B72,[1]Data_Aspire!$B$1:$CZ$600,22,FALSE)</f>
        <v>#N/A</v>
      </c>
      <c r="BF72" t="e">
        <f>VLOOKUP($B72,[1]Data_Aspire!$B$1:$CZ$600,23,FALSE)</f>
        <v>#N/A</v>
      </c>
      <c r="BG72" t="e">
        <f>VLOOKUP($B72,[1]Data_Aspire!$B$1:$CZ$600,24,FALSE)</f>
        <v>#N/A</v>
      </c>
      <c r="BH72" t="e">
        <f>VLOOKUP($B72,[1]Data_Aspire!$B$1:$CZ$600,25,FALSE)</f>
        <v>#N/A</v>
      </c>
      <c r="BI72" t="e">
        <f>VLOOKUP($B72,[1]Data_Aspire!$B$1:$CZ$600,26,FALSE)</f>
        <v>#N/A</v>
      </c>
      <c r="BJ72" s="7">
        <v>0</v>
      </c>
      <c r="BK72">
        <v>300</v>
      </c>
      <c r="BL72">
        <f>VLOOKUP($B72,'[1]Data_UN_PopulationTot.&amp;%'!$B$4:$CZ$603,8,FALSE)</f>
        <v>10423.1</v>
      </c>
      <c r="BM72">
        <f>VLOOKUP($B72,'[1]Data_UN_PopulationTot.&amp;%'!$B$4:$CZ$603,9,FALSE)</f>
        <v>10370.700000000001</v>
      </c>
      <c r="BN72">
        <v>10316.6</v>
      </c>
      <c r="BO72">
        <f>VLOOKUP($B72,'[1]Data_UN_PopulationTot.&amp;%'!$B$4:$CZ$603,11,FALSE)</f>
        <v>10261.700000000001</v>
      </c>
      <c r="BP72">
        <f>VLOOKUP($B72,'[1]Data_UN_PopulationTot.&amp;%'!$B$4:$CZ$603,12,FALSE)</f>
        <v>10207.4</v>
      </c>
      <c r="BQ72">
        <f>VLOOKUP($B72,'[1]Data_UN_PopulationTot.&amp;%'!$B$4:$CZ$603,13,FALSE)</f>
        <v>10154.700000000001</v>
      </c>
      <c r="BR72">
        <f>VLOOKUP($B72,'[1]Data_UN_PopulationTot.&amp;%'!$B$4:$CZ$603,14,FALSE)</f>
        <v>10103.9</v>
      </c>
      <c r="BS72">
        <f>VLOOKUP($B72,'[1]Data_UN_PopulationTot.&amp;%'!$B$4:$CZ$603,15,FALSE)</f>
        <v>10054.799999999999</v>
      </c>
      <c r="BT72">
        <f>VLOOKUP($B72,'[1]Data_UN_PopulationTot.&amp;%'!$B$4:$CZ$603,16,FALSE)</f>
        <v>10007.4</v>
      </c>
      <c r="BU72">
        <f>VLOOKUP($B72,'[1]Data_UN_PopulationTot.&amp;%'!$B$4:$CZ$603,17,FALSE)</f>
        <v>9961.66</v>
      </c>
      <c r="BV72">
        <f>VLOOKUP($B72,'[1]Data_UN_PopulationTot.&amp;%'!$B$4:$CZ$603,18,FALSE)</f>
        <v>9917.25</v>
      </c>
      <c r="BW72">
        <f>VLOOKUP($B72,'[1]Data_UN_PopulationTot.&amp;%'!$B$4:$CZ$603,61,FALSE)</f>
        <v>3.9283802323684891</v>
      </c>
      <c r="BX72">
        <f>VLOOKUP($B72,'[1]Data_UN_PopulationTot.&amp;%'!$B$4:$CZ$603,62,FALSE)</f>
        <v>4.5252180253475451</v>
      </c>
      <c r="BY72">
        <f>VLOOKUP($B72,'[1]Data_UN_PopulationTot.&amp;%'!$B$4:$CZ$603,63,FALSE)</f>
        <v>5.2022622828141341</v>
      </c>
      <c r="BZ72">
        <f>VLOOKUP($B72,'[1]Data_UN_PopulationTot.&amp;%'!$B$4:$CZ$603,64,FALSE)</f>
        <v>5.052412430083181</v>
      </c>
      <c r="CA72">
        <f>VLOOKUP($B72,'[1]Data_UN_PopulationTot.&amp;%'!$B$4:$CZ$603,65,FALSE)</f>
        <v>5.0792566510922859</v>
      </c>
      <c r="CB72">
        <f>VLOOKUP($B72,'[1]Data_UN_PopulationTot.&amp;%'!$B$4:$CZ$603,66,FALSE)</f>
        <v>5.0637526263779487</v>
      </c>
      <c r="CC72">
        <f>VLOOKUP($B72,'[1]Data_UN_PopulationTot.&amp;%'!$B$4:$CZ$603,67,FALSE)</f>
        <v>5.7354529842369351</v>
      </c>
      <c r="CD72">
        <f>VLOOKUP($B72,'[1]Data_UN_PopulationTot.&amp;%'!$B$4:$CZ$603,68,FALSE)</f>
        <v>7.0871717627193433</v>
      </c>
      <c r="CE72">
        <f>VLOOKUP($B72,'[1]Data_UN_PopulationTot.&amp;%'!$B$4:$CZ$603,69,FALSE)</f>
        <v>7.4878203221690285</v>
      </c>
      <c r="CF72">
        <f>VLOOKUP($B72,'[1]Data_UN_PopulationTot.&amp;%'!$B$4:$CZ$603,70,FALSE)</f>
        <v>7.6171772313419233</v>
      </c>
      <c r="CG72">
        <f>VLOOKUP($B72,'[1]Data_UN_PopulationTot.&amp;%'!$B$4:$CZ$603,71,FALSE)</f>
        <v>7.6401742283965417</v>
      </c>
      <c r="CH72">
        <f>VLOOKUP($B72,'[1]Data_UN_PopulationTot.&amp;%'!$B$4:$CZ$603,72,FALSE)</f>
        <v>6.8055664821406294</v>
      </c>
      <c r="CI72">
        <f>VLOOKUP($B72,'[1]Data_UN_PopulationTot.&amp;%'!$B$4:$CZ$603,73,FALSE)</f>
        <v>6.49066016828007</v>
      </c>
      <c r="CJ72">
        <f>VLOOKUP($B72,'[1]Data_UN_PopulationTot.&amp;%'!$B$4:$CZ$603,74,FALSE)</f>
        <v>5.5706459690495151</v>
      </c>
      <c r="CK72">
        <f>VLOOKUP($B72,'[1]Data_UN_PopulationTot.&amp;%'!$B$4:$CZ$603,75,FALSE)</f>
        <v>5.2715986606671725</v>
      </c>
      <c r="CL72">
        <f>VLOOKUP($B72,'[1]Data_UN_PopulationTot.&amp;%'!$B$4:$CZ$603,76,FALSE)</f>
        <v>3.9011330602220071</v>
      </c>
      <c r="CM72">
        <f>VLOOKUP($B72,'[1]Data_UN_PopulationTot.&amp;%'!$B$4:$CZ$603,77,FALSE)</f>
        <v>3.7838263088716406</v>
      </c>
      <c r="CN72">
        <f>VLOOKUP($B72,'[1]Data_UN_PopulationTot.&amp;%'!$B$4:$CZ$603,78,FALSE)</f>
        <v>2.5017125423338542</v>
      </c>
      <c r="CO72">
        <f>VLOOKUP($B72,'[1]Data_UN_PopulationTot.&amp;%'!$B$4:$CZ$603,79,FALSE)</f>
        <v>1.0070804271282054</v>
      </c>
      <c r="CP72">
        <f>VLOOKUP($B72,'[1]Data_UN_PopulationTot.&amp;%'!$B$4:$CZ$603,80,FALSE)</f>
        <v>0.22255375080350373</v>
      </c>
      <c r="CQ72">
        <f>VLOOKUP($B72,'[1]Data_UN_PopulationTot.&amp;%'!$B$4:$CZ$603,81,FALSE)</f>
        <v>2.5721714269267303E-2</v>
      </c>
      <c r="CR72">
        <f>VLOOKUP($B72,'[1]Data_UN_PopulationTot.&amp;%'!$B$4:$CZ$603,82,FALSE)</f>
        <v>3.3533388792255918</v>
      </c>
      <c r="CS72">
        <f>VLOOKUP($B72,'[1]Data_UN_PopulationTot.&amp;%'!$B$4:$CZ$603,83,FALSE)</f>
        <v>3.5799642037863317</v>
      </c>
      <c r="CT72">
        <f>VLOOKUP($B72,'[1]Data_UN_PopulationTot.&amp;%'!$B$4:$CZ$603,84,FALSE)</f>
        <v>4.1119261892157608</v>
      </c>
      <c r="CU72">
        <f>VLOOKUP($B72,'[1]Data_UN_PopulationTot.&amp;%'!$B$4:$CZ$603,85,FALSE)</f>
        <v>4.7557236128967197</v>
      </c>
      <c r="CV72">
        <f>VLOOKUP($B72,'[1]Data_UN_PopulationTot.&amp;%'!$B$4:$CZ$603,86,FALSE)</f>
        <v>5.4642668078348322</v>
      </c>
      <c r="CW72">
        <f>VLOOKUP($B72,'[1]Data_UN_PopulationTot.&amp;%'!$B$4:$CZ$603,87,FALSE)</f>
        <v>5.2736393657515945</v>
      </c>
      <c r="CX72">
        <f>VLOOKUP($B72,'[1]Data_UN_PopulationTot.&amp;%'!$B$4:$CZ$603,88,FALSE)</f>
        <v>5.2745367919534152</v>
      </c>
      <c r="CY72">
        <f>VLOOKUP($B72,'[1]Data_UN_PopulationTot.&amp;%'!$B$4:$CZ$603,89,FALSE)</f>
        <v>5.2538556555496738</v>
      </c>
      <c r="CZ72">
        <f>VLOOKUP($B72,'[1]Data_UN_PopulationTot.&amp;%'!$B$4:$CZ$603,90,FALSE)</f>
        <v>5.9552496911946351</v>
      </c>
      <c r="DA72">
        <f>VLOOKUP($B72,'[1]Data_UN_PopulationTot.&amp;%'!$B$4:$CZ$603,91,FALSE)</f>
        <v>7.3463510549799587</v>
      </c>
      <c r="DB72">
        <f>VLOOKUP($B72,'[1]Data_UN_PopulationTot.&amp;%'!$B$4:$CZ$603,92,FALSE)</f>
        <v>7.710554841311855</v>
      </c>
      <c r="DC72">
        <f>VLOOKUP($B72,'[1]Data_UN_PopulationTot.&amp;%'!$B$4:$CZ$603,93,FALSE)</f>
        <v>7.7534094633088806</v>
      </c>
      <c r="DD72">
        <f>VLOOKUP($B72,'[1]Data_UN_PopulationTot.&amp;%'!$B$4:$CZ$603,94,FALSE)</f>
        <v>7.6525044745267081</v>
      </c>
      <c r="DE72">
        <f>VLOOKUP($B72,'[1]Data_UN_PopulationTot.&amp;%'!$B$4:$CZ$603,95,FALSE)</f>
        <v>6.6814691572764637</v>
      </c>
      <c r="DF72">
        <f>VLOOKUP($B72,'[1]Data_UN_PopulationTot.&amp;%'!$B$4:$CZ$603,96,FALSE)</f>
        <v>6.1957699967228823</v>
      </c>
      <c r="DG72">
        <f>VLOOKUP($B72,'[1]Data_UN_PopulationTot.&amp;%'!$B$4:$CZ$603,97,FALSE)</f>
        <v>5.0387153696841356</v>
      </c>
      <c r="DH72">
        <f>VLOOKUP($B72,'[1]Data_UN_PopulationTot.&amp;%'!$B$4:$CZ$603,98,FALSE)</f>
        <v>4.2110665759157024</v>
      </c>
      <c r="DI72">
        <f>VLOOKUP($B72,'[1]Data_UN_PopulationTot.&amp;%'!$B$4:$CZ$603,99,FALSE)</f>
        <v>2.3957952053240565</v>
      </c>
      <c r="DJ72">
        <f>VLOOKUP($B72,'[1]Data_UN_PopulationTot.&amp;%'!$B$4:$DE$603,100,FALSE)</f>
        <v>1.4605056845395652</v>
      </c>
      <c r="DK72">
        <f>VLOOKUP($B72,'[1]Data_UN_PopulationTot.&amp;%'!$B$4:$DE$603,101,FALSE)</f>
        <v>0.46491718974514107</v>
      </c>
      <c r="DL72">
        <f>VLOOKUP($B72,'[1]Data_UN_PopulationTot.&amp;%'!$B$4:$DE$603,102,FALSE)</f>
        <v>6.6459956137033968E-2</v>
      </c>
    </row>
    <row r="73" spans="1:116">
      <c r="A73" t="s">
        <v>216</v>
      </c>
      <c r="B73" t="s">
        <v>431</v>
      </c>
      <c r="C73" t="s">
        <v>497</v>
      </c>
      <c r="D73" t="s">
        <v>389</v>
      </c>
      <c r="E73" t="s">
        <v>301</v>
      </c>
      <c r="F73">
        <v>0</v>
      </c>
      <c r="G73">
        <v>0</v>
      </c>
      <c r="H73">
        <v>1</v>
      </c>
      <c r="I73">
        <v>0</v>
      </c>
      <c r="J73" s="18">
        <f t="shared" si="3"/>
        <v>0.80490700600499998</v>
      </c>
      <c r="K73">
        <f>VLOOKUP($B73,'[1]Source GDP Current USD'!$B$1:$CZ$600,64,FALSE)</f>
        <v>1042100555.55556</v>
      </c>
      <c r="L73" s="45">
        <f>VLOOKUP($B73,'[1]Source GDP Current USD'!$B$1:$CZ$600,65,FALSE)</f>
        <v>1042100555.55556</v>
      </c>
      <c r="M73" s="17">
        <f>VLOOKUP($B73,'[1]Source GDP Current LCU'!$B$1:$CZ$600,64,FALSE)</f>
        <v>2813671500</v>
      </c>
      <c r="N73" s="45">
        <v>2800000000</v>
      </c>
      <c r="O73" s="45">
        <f>VLOOKUP($B73,'[1]Source GNI Current USD'!$B$1:$CZ$600,64,FALSE)</f>
        <v>1053198814.81481</v>
      </c>
      <c r="P73" s="45">
        <f>VLOOKUP($B73,'[1]Source GNI Current LCU'!$B$1:$CZ$600,64,FALSE)</f>
        <v>2843636800</v>
      </c>
      <c r="Q73">
        <f t="shared" si="2"/>
        <v>98.946233217969322</v>
      </c>
      <c r="R73">
        <v>9410</v>
      </c>
      <c r="S73">
        <v>9410</v>
      </c>
      <c r="T73">
        <v>0.60599400000000003</v>
      </c>
      <c r="U73">
        <v>112519</v>
      </c>
      <c r="V73">
        <v>28.606999999999999</v>
      </c>
      <c r="W73">
        <f>VLOOKUP($B73,'[1]Source Gov. Revenue WEO'!$B$1:$CZ$600,5,FALSE)</f>
        <v>28.152000000000001</v>
      </c>
      <c r="X73">
        <f>VLOOKUP($B73,'[1]Source Gov. Revenue WEO'!$B$1:$CZ$600,6,FALSE)</f>
        <v>26.922999999999998</v>
      </c>
      <c r="Y73">
        <f>VLOOKUP($B73,'[1]Source Gov. Revenue WEO'!$B$1:$CZ$600,7,FALSE)</f>
        <v>26.946000000000002</v>
      </c>
      <c r="Z73">
        <f>VLOOKUP($B73,'[1]Source Gov. Revenue WEO'!$B$1:$CZ$600,8,FALSE)</f>
        <v>26.79</v>
      </c>
      <c r="AA73">
        <f>VLOOKUP($B73,'[1]Source Gov. Revenue WEO'!$B$1:$CZ$600,9,FALSE)</f>
        <v>26.794</v>
      </c>
      <c r="AB73">
        <f>VLOOKUP($B73,'[1]Source Gov. Revenue WEO'!$B$1:$CZ$600,10,FALSE)</f>
        <v>26.794</v>
      </c>
      <c r="AC73">
        <f>VLOOKUP($B73,[2]Summary!$B$1:$CZ$600,39,FALSE)</f>
        <v>6.4239129999999992E-2</v>
      </c>
      <c r="AD73">
        <f>VLOOKUP($B73,[2]Summary!$B$1:$CZ$600,40,FALSE)</f>
        <v>5.8217390000000001E-2</v>
      </c>
      <c r="AE73">
        <f>VLOOKUP($B73,[2]Summary!$B$1:$CZ$600,47,FALSE)</f>
        <v>0.28382086309399251</v>
      </c>
      <c r="AF73">
        <f>VLOOKUP($B73,'[1]CALC GDP Growth rates WDI'!$B$1:$CZ$600,27,FALSE)</f>
        <v>14.418458800546164</v>
      </c>
      <c r="AG73">
        <f>VLOOKUP($B73,'[1]CALC GDP Growth rates WDI'!$B$1:$CZ$600,29,FALSE)</f>
        <v>30.247235815822894</v>
      </c>
      <c r="AH73">
        <v>-1.77</v>
      </c>
      <c r="AI73">
        <f>VLOOKUP($B73,'[1]CALC GDP Growth rates WDI'!$B$1:$CZ$600,30,FALSE)</f>
        <v>19.635194982686599</v>
      </c>
      <c r="AJ73" s="45" t="s">
        <v>2467</v>
      </c>
      <c r="AK73">
        <f>VLOOKUP($B73,[1]Data_Aspire!$B$1:$CZ$600,2,FALSE)</f>
        <v>2015</v>
      </c>
      <c r="AL73">
        <f>VLOOKUP($B73,[1]Data_Aspire!$B$1:$CZ$600,3,FALSE)</f>
        <v>1.96</v>
      </c>
      <c r="AM73">
        <f>VLOOKUP($B73,[1]Data_Aspire!$B$1:$CZ$600,4,FALSE)</f>
        <v>0.39</v>
      </c>
      <c r="AN73">
        <f>VLOOKUP($B73,[1]Data_Aspire!$B$1:$CZ$600,5,FALSE)</f>
        <v>0.41</v>
      </c>
      <c r="AO73">
        <f>VLOOKUP($B73,[1]Data_Aspire!$B$1:$CZ$600,6,FALSE)</f>
        <v>0.02</v>
      </c>
      <c r="AP73">
        <f>VLOOKUP($B73,[1]Data_Aspire!$B$1:$CZ$600,7,FALSE)</f>
        <v>0.12</v>
      </c>
      <c r="AQ73">
        <f>VLOOKUP($B73,[1]Data_Aspire!$B$1:$CZ$600,8,FALSE)</f>
        <v>0.76</v>
      </c>
      <c r="AR73">
        <f>VLOOKUP($B73,[1]Data_Aspire!$B$1:$CZ$600,9,FALSE)</f>
        <v>0.02</v>
      </c>
      <c r="AT73">
        <f>VLOOKUP($B73,[1]Data_Aspire!$B$1:$CZ$600,11,FALSE)</f>
        <v>0.24</v>
      </c>
      <c r="AU73">
        <f>VLOOKUP($B73,[1]Data_Aspire!$B$1:$CZ$600,12,FALSE)</f>
        <v>1.96</v>
      </c>
      <c r="AV73">
        <f>VLOOKUP($B73,[1]Data_Aspire!$B$1:$CZ$600,13,FALSE)</f>
        <v>7318</v>
      </c>
      <c r="AW73">
        <f>VLOOKUP($B73,[1]Data_Aspire!$B$1:$CZ$600,14,FALSE)</f>
        <v>2015</v>
      </c>
      <c r="AX73">
        <f>VLOOKUP($B73,[1]Data_Aspire!$B$1:$CZ$600,15,FALSE)</f>
        <v>202</v>
      </c>
      <c r="AY73">
        <f>VLOOKUP($B73,[1]Data_Aspire!$B$1:$CZ$600,16,FALSE)</f>
        <v>2015</v>
      </c>
      <c r="AZ73">
        <f>VLOOKUP($B73,[1]Data_Aspire!$B$1:$CZ$600,17,FALSE)</f>
        <v>206</v>
      </c>
      <c r="BA73">
        <f>VLOOKUP($B73,[1]Data_Aspire!$B$1:$CZ$600,18,FALSE)</f>
        <v>2015</v>
      </c>
      <c r="BB73">
        <f>VLOOKUP($B73,[1]Data_Aspire!$B$1:$CZ$600,19,FALSE)</f>
        <v>4532</v>
      </c>
      <c r="BC73">
        <f>VLOOKUP($B73,[1]Data_Aspire!$B$1:$CZ$600,20,FALSE)</f>
        <v>2015</v>
      </c>
      <c r="BD73">
        <f>VLOOKUP($B73,[1]Data_Aspire!$B$1:$CZ$600,21,FALSE)</f>
        <v>7051</v>
      </c>
      <c r="BE73">
        <f>VLOOKUP($B73,[1]Data_Aspire!$B$1:$CZ$600,22,FALSE)</f>
        <v>2012</v>
      </c>
      <c r="BF73">
        <f>VLOOKUP($B73,[1]Data_Aspire!$B$1:$CZ$600,23,FALSE)</f>
        <v>33392</v>
      </c>
      <c r="BG73">
        <f>VLOOKUP($B73,[1]Data_Aspire!$B$1:$CZ$600,24,FALSE)</f>
        <v>2015</v>
      </c>
      <c r="BJ73" s="7">
        <v>0</v>
      </c>
      <c r="BK73">
        <v>308</v>
      </c>
      <c r="BL73">
        <f>VLOOKUP($B73,'[1]Data_UN_PopulationTot.&amp;%'!$B$4:$CZ$603,8,FALSE)</f>
        <v>112.51900000000001</v>
      </c>
      <c r="BM73">
        <f>VLOOKUP($B73,'[1]Data_UN_PopulationTot.&amp;%'!$B$4:$CZ$603,9,FALSE)</f>
        <v>113.015</v>
      </c>
      <c r="BN73">
        <v>113.477</v>
      </c>
      <c r="BO73">
        <f>VLOOKUP($B73,'[1]Data_UN_PopulationTot.&amp;%'!$B$4:$CZ$603,11,FALSE)</f>
        <v>113.90300000000001</v>
      </c>
      <c r="BP73">
        <f>VLOOKUP($B73,'[1]Data_UN_PopulationTot.&amp;%'!$B$4:$CZ$603,12,FALSE)</f>
        <v>114.289</v>
      </c>
      <c r="BQ73">
        <f>VLOOKUP($B73,'[1]Data_UN_PopulationTot.&amp;%'!$B$4:$CZ$603,13,FALSE)</f>
        <v>114.624</v>
      </c>
      <c r="BR73">
        <f>VLOOKUP($B73,'[1]Data_UN_PopulationTot.&amp;%'!$B$4:$CZ$603,14,FALSE)</f>
        <v>114.929</v>
      </c>
      <c r="BS73">
        <f>VLOOKUP($B73,'[1]Data_UN_PopulationTot.&amp;%'!$B$4:$CZ$603,15,FALSE)</f>
        <v>115.193</v>
      </c>
      <c r="BT73">
        <f>VLOOKUP($B73,'[1]Data_UN_PopulationTot.&amp;%'!$B$4:$CZ$603,16,FALSE)</f>
        <v>115.422</v>
      </c>
      <c r="BU73">
        <f>VLOOKUP($B73,'[1]Data_UN_PopulationTot.&amp;%'!$B$4:$CZ$603,17,FALSE)</f>
        <v>115.621</v>
      </c>
      <c r="BV73">
        <f>VLOOKUP($B73,'[1]Data_UN_PopulationTot.&amp;%'!$B$4:$CZ$603,18,FALSE)</f>
        <v>115.78100000000001</v>
      </c>
      <c r="BW73">
        <f>VLOOKUP($B73,'[1]Data_UN_PopulationTot.&amp;%'!$B$4:$CZ$603,61,FALSE)</f>
        <v>8.0093139825273951</v>
      </c>
      <c r="BX73">
        <f>VLOOKUP($B73,'[1]Data_UN_PopulationTot.&amp;%'!$B$4:$CZ$603,62,FALSE)</f>
        <v>8.104409033141069</v>
      </c>
      <c r="BY73">
        <f>VLOOKUP($B73,'[1]Data_UN_PopulationTot.&amp;%'!$B$4:$CZ$603,63,FALSE)</f>
        <v>7.6635945929131966</v>
      </c>
      <c r="BZ73">
        <f>VLOOKUP($B73,'[1]Data_UN_PopulationTot.&amp;%'!$B$4:$CZ$603,64,FALSE)</f>
        <v>6.6779832739359568</v>
      </c>
      <c r="CA73">
        <f>VLOOKUP($B73,'[1]Data_UN_PopulationTot.&amp;%'!$B$4:$CZ$603,65,FALSE)</f>
        <v>7.7311387410126287</v>
      </c>
      <c r="CB73">
        <f>VLOOKUP($B73,'[1]Data_UN_PopulationTot.&amp;%'!$B$4:$CZ$603,66,FALSE)</f>
        <v>8.5230050035993923</v>
      </c>
      <c r="CC73">
        <f>VLOOKUP($B73,'[1]Data_UN_PopulationTot.&amp;%'!$B$4:$CZ$603,67,FALSE)</f>
        <v>8.3052639998578019</v>
      </c>
      <c r="CD73">
        <f>VLOOKUP($B73,'[1]Data_UN_PopulationTot.&amp;%'!$B$4:$CZ$603,68,FALSE)</f>
        <v>7.8786693802824406</v>
      </c>
      <c r="CE73">
        <f>VLOOKUP($B73,'[1]Data_UN_PopulationTot.&amp;%'!$B$4:$CZ$603,69,FALSE)</f>
        <v>5.8310152063207097</v>
      </c>
      <c r="CF73">
        <f>VLOOKUP($B73,'[1]Data_UN_PopulationTot.&amp;%'!$B$4:$CZ$603,70,FALSE)</f>
        <v>5.6079417698344267</v>
      </c>
      <c r="CG73">
        <f>VLOOKUP($B73,'[1]Data_UN_PopulationTot.&amp;%'!$B$4:$CZ$603,71,FALSE)</f>
        <v>5.2586674250571006</v>
      </c>
      <c r="CH73">
        <f>VLOOKUP($B73,'[1]Data_UN_PopulationTot.&amp;%'!$B$4:$CZ$603,72,FALSE)</f>
        <v>5.5350651889903038</v>
      </c>
      <c r="CI73">
        <f>VLOOKUP($B73,'[1]Data_UN_PopulationTot.&amp;%'!$B$4:$CZ$603,73,FALSE)</f>
        <v>5.0818084056914827</v>
      </c>
      <c r="CJ73">
        <f>VLOOKUP($B73,'[1]Data_UN_PopulationTot.&amp;%'!$B$4:$CZ$603,74,FALSE)</f>
        <v>3.4287542548369609</v>
      </c>
      <c r="CK73">
        <f>VLOOKUP($B73,'[1]Data_UN_PopulationTot.&amp;%'!$B$4:$CZ$603,75,FALSE)</f>
        <v>2.4822474426541294</v>
      </c>
      <c r="CL73">
        <f>VLOOKUP($B73,'[1]Data_UN_PopulationTot.&amp;%'!$B$4:$CZ$603,76,FALSE)</f>
        <v>1.7730338876100926</v>
      </c>
      <c r="CM73">
        <f>VLOOKUP($B73,'[1]Data_UN_PopulationTot.&amp;%'!$B$4:$CZ$603,77,FALSE)</f>
        <v>1.2317919640238535</v>
      </c>
      <c r="CN73">
        <f>VLOOKUP($B73,'[1]Data_UN_PopulationTot.&amp;%'!$B$4:$CZ$603,78,FALSE)</f>
        <v>0.62389463112896482</v>
      </c>
      <c r="CO73">
        <f>VLOOKUP($B73,'[1]Data_UN_PopulationTot.&amp;%'!$B$4:$CZ$603,79,FALSE)</f>
        <v>0.21596352616002629</v>
      </c>
      <c r="CP73">
        <f>VLOOKUP($B73,'[1]Data_UN_PopulationTot.&amp;%'!$B$4:$CZ$603,80,FALSE)</f>
        <v>3.3772074049716043E-2</v>
      </c>
      <c r="CQ73">
        <f>VLOOKUP($B73,'[1]Data_UN_PopulationTot.&amp;%'!$B$4:$CZ$603,81,FALSE)</f>
        <v>2.6662163723460038E-3</v>
      </c>
      <c r="CR73">
        <f>VLOOKUP($B73,'[1]Data_UN_PopulationTot.&amp;%'!$B$4:$CZ$603,82,FALSE)</f>
        <v>6.5002029693991243</v>
      </c>
      <c r="CS73">
        <f>VLOOKUP($B73,'[1]Data_UN_PopulationTot.&amp;%'!$B$4:$CZ$603,83,FALSE)</f>
        <v>7.1894352268506916</v>
      </c>
      <c r="CT73">
        <f>VLOOKUP($B73,'[1]Data_UN_PopulationTot.&amp;%'!$B$4:$CZ$603,84,FALSE)</f>
        <v>7.7145645658614104</v>
      </c>
      <c r="CU73">
        <f>VLOOKUP($B73,'[1]Data_UN_PopulationTot.&amp;%'!$B$4:$CZ$603,85,FALSE)</f>
        <v>7.7275200594225293</v>
      </c>
      <c r="CV73">
        <f>VLOOKUP($B73,'[1]Data_UN_PopulationTot.&amp;%'!$B$4:$CZ$603,86,FALSE)</f>
        <v>7.128112557328059</v>
      </c>
      <c r="CW73">
        <f>VLOOKUP($B73,'[1]Data_UN_PopulationTot.&amp;%'!$B$4:$CZ$603,87,FALSE)</f>
        <v>6.0942641711507068</v>
      </c>
      <c r="CX73">
        <f>VLOOKUP($B73,'[1]Data_UN_PopulationTot.&amp;%'!$B$4:$CZ$603,88,FALSE)</f>
        <v>7.1445228491721444</v>
      </c>
      <c r="CY73">
        <f>VLOOKUP($B73,'[1]Data_UN_PopulationTot.&amp;%'!$B$4:$CZ$603,89,FALSE)</f>
        <v>7.9615826430934264</v>
      </c>
      <c r="CZ73">
        <f>VLOOKUP($B73,'[1]Data_UN_PopulationTot.&amp;%'!$B$4:$CZ$603,90,FALSE)</f>
        <v>7.7767509349547845</v>
      </c>
      <c r="DA73">
        <f>VLOOKUP($B73,'[1]Data_UN_PopulationTot.&amp;%'!$B$4:$CZ$603,91,FALSE)</f>
        <v>7.3492196474378355</v>
      </c>
      <c r="DB73">
        <f>VLOOKUP($B73,'[1]Data_UN_PopulationTot.&amp;%'!$B$4:$CZ$603,92,FALSE)</f>
        <v>5.3618469351620739</v>
      </c>
      <c r="DC73">
        <f>VLOOKUP($B73,'[1]Data_UN_PopulationTot.&amp;%'!$B$4:$CZ$603,93,FALSE)</f>
        <v>5.0448691927000109</v>
      </c>
      <c r="DD73">
        <f>VLOOKUP($B73,'[1]Data_UN_PopulationTot.&amp;%'!$B$4:$CZ$603,94,FALSE)</f>
        <v>4.5586063343726515</v>
      </c>
      <c r="DE73">
        <f>VLOOKUP($B73,'[1]Data_UN_PopulationTot.&amp;%'!$B$4:$CZ$603,95,FALSE)</f>
        <v>4.5206035532600337</v>
      </c>
      <c r="DF73">
        <f>VLOOKUP($B73,'[1]Data_UN_PopulationTot.&amp;%'!$B$4:$CZ$603,96,FALSE)</f>
        <v>3.7683212271443498</v>
      </c>
      <c r="DG73">
        <f>VLOOKUP($B73,'[1]Data_UN_PopulationTot.&amp;%'!$B$4:$CZ$603,97,FALSE)</f>
        <v>2.1575215277118009</v>
      </c>
      <c r="DH73">
        <f>VLOOKUP($B73,'[1]Data_UN_PopulationTot.&amp;%'!$B$4:$CZ$603,98,FALSE)</f>
        <v>1.1953602059059776</v>
      </c>
      <c r="DI73">
        <f>VLOOKUP($B73,'[1]Data_UN_PopulationTot.&amp;%'!$B$4:$CZ$603,99,FALSE)</f>
        <v>0.56054102141111239</v>
      </c>
      <c r="DJ73">
        <f>VLOOKUP($B73,'[1]Data_UN_PopulationTot.&amp;%'!$B$4:$DE$603,100,FALSE)</f>
        <v>0.20124199998272602</v>
      </c>
      <c r="DK73">
        <f>VLOOKUP($B73,'[1]Data_UN_PopulationTot.&amp;%'!$B$4:$DE$603,101,FALSE)</f>
        <v>4.0593879824841722E-2</v>
      </c>
      <c r="DL73">
        <f>VLOOKUP($B73,'[1]Data_UN_PopulationTot.&amp;%'!$B$4:$DE$603,102,FALSE)</f>
        <v>4.3184978537065665E-3</v>
      </c>
    </row>
    <row r="74" spans="1:116">
      <c r="A74" t="s">
        <v>183</v>
      </c>
      <c r="B74" t="s">
        <v>398</v>
      </c>
      <c r="C74" t="s">
        <v>497</v>
      </c>
      <c r="D74" t="s">
        <v>389</v>
      </c>
      <c r="E74" t="s">
        <v>301</v>
      </c>
      <c r="F74">
        <v>0</v>
      </c>
      <c r="G74">
        <v>0</v>
      </c>
      <c r="H74">
        <v>1</v>
      </c>
      <c r="I74">
        <v>0</v>
      </c>
      <c r="J74" s="18">
        <f t="shared" si="3"/>
        <v>64.064300233280008</v>
      </c>
      <c r="K74">
        <f>VLOOKUP($B74,'[1]Source GDP Current USD'!$B$1:$CZ$600,64,FALSE)</f>
        <v>77604632170.585297</v>
      </c>
      <c r="L74" s="45">
        <f>VLOOKUP($B74,'[1]Source GDP Current USD'!$B$1:$CZ$600,65,FALSE)</f>
        <v>77604632170.585297</v>
      </c>
      <c r="M74" s="17">
        <f>VLOOKUP($B74,'[1]Source GDP Current LCU'!$B$1:$CZ$600,64,FALSE)</f>
        <v>599235808000</v>
      </c>
      <c r="N74" s="45">
        <v>600000000000</v>
      </c>
      <c r="O74" s="45">
        <f>VLOOKUP($B74,'[1]Source GNI Current USD'!$B$1:$CZ$600,64,FALSE)</f>
        <v>76225163391.244095</v>
      </c>
      <c r="P74" s="45">
        <f>VLOOKUP($B74,'[1]Source GNI Current LCU'!$B$1:$CZ$600,64,FALSE)</f>
        <v>588584032900</v>
      </c>
      <c r="Q74">
        <f t="shared" si="2"/>
        <v>101.80972885851453</v>
      </c>
      <c r="R74">
        <v>4490</v>
      </c>
      <c r="S74">
        <v>4490</v>
      </c>
      <c r="T74">
        <v>0.51993599999999995</v>
      </c>
      <c r="U74" s="45">
        <v>17000000</v>
      </c>
      <c r="V74">
        <v>10.691000000000001</v>
      </c>
      <c r="W74">
        <f>VLOOKUP($B74,'[1]Source Gov. Revenue WEO'!$B$1:$CZ$600,5,FALSE)</f>
        <v>11.48</v>
      </c>
      <c r="X74">
        <f>VLOOKUP($B74,'[1]Source Gov. Revenue WEO'!$B$1:$CZ$600,6,FALSE)</f>
        <v>11.3</v>
      </c>
      <c r="Y74">
        <f>VLOOKUP($B74,'[1]Source Gov. Revenue WEO'!$B$1:$CZ$600,7,FALSE)</f>
        <v>11.526</v>
      </c>
      <c r="Z74">
        <f>VLOOKUP($B74,'[1]Source Gov. Revenue WEO'!$B$1:$CZ$600,8,FALSE)</f>
        <v>11.638999999999999</v>
      </c>
      <c r="AA74">
        <f>VLOOKUP($B74,'[1]Source Gov. Revenue WEO'!$B$1:$CZ$600,9,FALSE)</f>
        <v>11.718</v>
      </c>
      <c r="AB74">
        <f>VLOOKUP($B74,'[1]Source Gov. Revenue WEO'!$B$1:$CZ$600,10,FALSE)</f>
        <v>11.821</v>
      </c>
      <c r="AC74">
        <f>VLOOKUP($B74,[2]Summary!$B$1:$CZ$600,39,FALSE)</f>
        <v>6.9650790000000004E-2</v>
      </c>
      <c r="AD74">
        <f>VLOOKUP($B74,[2]Summary!$B$1:$CZ$600,40,FALSE)</f>
        <v>7.2499999999999995E-2</v>
      </c>
      <c r="AE74">
        <f>VLOOKUP($B74,[2]Summary!$B$1:$CZ$600,47,FALSE)</f>
        <v>0.20445590368394745</v>
      </c>
      <c r="AF74">
        <f>VLOOKUP($B74,'[1]CALC GDP Growth rates WDI'!$B$1:$CZ$600,27,FALSE)</f>
        <v>35.262657899083692</v>
      </c>
      <c r="AG74">
        <f>VLOOKUP($B74,'[1]CALC GDP Growth rates WDI'!$B$1:$CZ$600,29,FALSE)</f>
        <v>36.150107776358517</v>
      </c>
      <c r="AH74">
        <v>11.85</v>
      </c>
      <c r="AI74">
        <f>VLOOKUP($B74,'[1]CALC GDP Growth rates WDI'!$B$1:$CZ$600,30,FALSE)</f>
        <v>13.91505245182325</v>
      </c>
      <c r="AK74">
        <f>VLOOKUP($B74,[1]Data_Aspire!$B$1:$CZ$600,2,FALSE)</f>
        <v>2013</v>
      </c>
      <c r="AL74">
        <f>VLOOKUP($B74,[1]Data_Aspire!$B$1:$CZ$600,3,FALSE)</f>
        <v>0.35</v>
      </c>
      <c r="AM74">
        <f>VLOOKUP($B74,[1]Data_Aspire!$B$1:$CZ$600,4,FALSE)</f>
        <v>0.13</v>
      </c>
      <c r="AN74">
        <f>VLOOKUP($B74,[1]Data_Aspire!$B$1:$CZ$600,5,FALSE)</f>
        <v>0.01</v>
      </c>
      <c r="AO74">
        <f>VLOOKUP($B74,[1]Data_Aspire!$B$1:$CZ$600,6,FALSE)</f>
        <v>0.01</v>
      </c>
      <c r="AP74">
        <f>VLOOKUP($B74,[1]Data_Aspire!$B$1:$CZ$600,7,FALSE)</f>
        <v>0.14000000000000001</v>
      </c>
      <c r="AR74">
        <f>VLOOKUP($B74,[1]Data_Aspire!$B$1:$CZ$600,9,FALSE)</f>
        <v>0.05</v>
      </c>
      <c r="AT74">
        <f>VLOOKUP($B74,[1]Data_Aspire!$B$1:$CZ$600,11,FALSE)</f>
        <v>0.02</v>
      </c>
      <c r="AU74">
        <f>VLOOKUP($B74,[1]Data_Aspire!$B$1:$CZ$600,12,FALSE)</f>
        <v>0.35</v>
      </c>
      <c r="AV74">
        <f>VLOOKUP($B74,[1]Data_Aspire!$B$1:$CZ$600,13,FALSE)</f>
        <v>5150673</v>
      </c>
      <c r="AW74">
        <f>VLOOKUP($B74,[1]Data_Aspire!$B$1:$CZ$600,14,FALSE)</f>
        <v>2013</v>
      </c>
      <c r="BB74">
        <f>VLOOKUP($B74,[1]Data_Aspire!$B$1:$CZ$600,19,FALSE)</f>
        <v>196341</v>
      </c>
      <c r="BC74">
        <f>VLOOKUP($B74,[1]Data_Aspire!$B$1:$CZ$600,20,FALSE)</f>
        <v>2013</v>
      </c>
      <c r="BD74">
        <f>VLOOKUP($B74,[1]Data_Aspire!$B$1:$CZ$600,21,FALSE)</f>
        <v>3052000</v>
      </c>
      <c r="BE74">
        <f>VLOOKUP($B74,[1]Data_Aspire!$B$1:$CZ$600,22,FALSE)</f>
        <v>2011</v>
      </c>
      <c r="BJ74" s="7">
        <v>0</v>
      </c>
      <c r="BK74">
        <v>320</v>
      </c>
      <c r="BL74">
        <f>VLOOKUP($B74,'[1]Data_UN_PopulationTot.&amp;%'!$B$4:$CZ$603,8,FALSE)</f>
        <v>17915.599999999999</v>
      </c>
      <c r="BM74">
        <f>VLOOKUP($B74,'[1]Data_UN_PopulationTot.&amp;%'!$B$4:$CZ$603,9,FALSE)</f>
        <v>18249.900000000001</v>
      </c>
      <c r="BN74">
        <v>18584</v>
      </c>
      <c r="BO74">
        <f>VLOOKUP($B74,'[1]Data_UN_PopulationTot.&amp;%'!$B$4:$CZ$603,11,FALSE)</f>
        <v>18917.7</v>
      </c>
      <c r="BP74">
        <f>VLOOKUP($B74,'[1]Data_UN_PopulationTot.&amp;%'!$B$4:$CZ$603,12,FALSE)</f>
        <v>19250.5</v>
      </c>
      <c r="BQ74">
        <f>VLOOKUP($B74,'[1]Data_UN_PopulationTot.&amp;%'!$B$4:$CZ$603,13,FALSE)</f>
        <v>19582</v>
      </c>
      <c r="BR74">
        <f>VLOOKUP($B74,'[1]Data_UN_PopulationTot.&amp;%'!$B$4:$CZ$603,14,FALSE)</f>
        <v>19911.900000000001</v>
      </c>
      <c r="BS74">
        <f>VLOOKUP($B74,'[1]Data_UN_PopulationTot.&amp;%'!$B$4:$CZ$603,15,FALSE)</f>
        <v>20240.099999999999</v>
      </c>
      <c r="BT74">
        <f>VLOOKUP($B74,'[1]Data_UN_PopulationTot.&amp;%'!$B$4:$CZ$603,16,FALSE)</f>
        <v>20566.3</v>
      </c>
      <c r="BU74">
        <f>VLOOKUP($B74,'[1]Data_UN_PopulationTot.&amp;%'!$B$4:$CZ$603,17,FALSE)</f>
        <v>20890.5</v>
      </c>
      <c r="BV74">
        <f>VLOOKUP($B74,'[1]Data_UN_PopulationTot.&amp;%'!$B$4:$CZ$603,18,FALSE)</f>
        <v>21212.6</v>
      </c>
      <c r="BW74">
        <f>VLOOKUP($B74,'[1]Data_UN_PopulationTot.&amp;%'!$B$4:$CZ$603,61,FALSE)</f>
        <v>11.528388666860167</v>
      </c>
      <c r="BX74">
        <f>VLOOKUP($B74,'[1]Data_UN_PopulationTot.&amp;%'!$B$4:$CZ$603,62,FALSE)</f>
        <v>11.063430753086696</v>
      </c>
      <c r="BY74">
        <f>VLOOKUP($B74,'[1]Data_UN_PopulationTot.&amp;%'!$B$4:$CZ$603,63,FALSE)</f>
        <v>10.75051910067204</v>
      </c>
      <c r="BZ74">
        <f>VLOOKUP($B74,'[1]Data_UN_PopulationTot.&amp;%'!$B$4:$CZ$603,64,FALSE)</f>
        <v>10.859697693630132</v>
      </c>
      <c r="CA74">
        <f>VLOOKUP($B74,'[1]Data_UN_PopulationTot.&amp;%'!$B$4:$CZ$603,65,FALSE)</f>
        <v>10.061008283283842</v>
      </c>
      <c r="CB74">
        <f>VLOOKUP($B74,'[1]Data_UN_PopulationTot.&amp;%'!$B$4:$CZ$603,66,FALSE)</f>
        <v>8.9902654669673367</v>
      </c>
      <c r="CC74">
        <f>VLOOKUP($B74,'[1]Data_UN_PopulationTot.&amp;%'!$B$4:$CZ$603,67,FALSE)</f>
        <v>7.5584406885619249</v>
      </c>
      <c r="CD74">
        <f>VLOOKUP($B74,'[1]Data_UN_PopulationTot.&amp;%'!$B$4:$CZ$603,68,FALSE)</f>
        <v>6.5748844582375146</v>
      </c>
      <c r="CE74">
        <f>VLOOKUP($B74,'[1]Data_UN_PopulationTot.&amp;%'!$B$4:$CZ$603,69,FALSE)</f>
        <v>5.3383866574382104</v>
      </c>
      <c r="CF74">
        <f>VLOOKUP($B74,'[1]Data_UN_PopulationTot.&amp;%'!$B$4:$CZ$603,70,FALSE)</f>
        <v>4.16167474156601</v>
      </c>
      <c r="CG74">
        <f>VLOOKUP($B74,'[1]Data_UN_PopulationTot.&amp;%'!$B$4:$CZ$603,71,FALSE)</f>
        <v>3.2592042689053113</v>
      </c>
      <c r="CH74">
        <f>VLOOKUP($B74,'[1]Data_UN_PopulationTot.&amp;%'!$B$4:$CZ$603,72,FALSE)</f>
        <v>2.622915224720356</v>
      </c>
      <c r="CI74">
        <f>VLOOKUP($B74,'[1]Data_UN_PopulationTot.&amp;%'!$B$4:$CZ$603,73,FALSE)</f>
        <v>2.1888856638906877</v>
      </c>
      <c r="CJ74">
        <f>VLOOKUP($B74,'[1]Data_UN_PopulationTot.&amp;%'!$B$4:$CZ$603,74,FALSE)</f>
        <v>1.8235504253276476</v>
      </c>
      <c r="CK74">
        <f>VLOOKUP($B74,'[1]Data_UN_PopulationTot.&amp;%'!$B$4:$CZ$603,75,FALSE)</f>
        <v>1.2359619549442944</v>
      </c>
      <c r="CL74">
        <f>VLOOKUP($B74,'[1]Data_UN_PopulationTot.&amp;%'!$B$4:$CZ$603,76,FALSE)</f>
        <v>0.89908794570095352</v>
      </c>
      <c r="CM74">
        <f>VLOOKUP($B74,'[1]Data_UN_PopulationTot.&amp;%'!$B$4:$CZ$603,77,FALSE)</f>
        <v>0.60752081984415818</v>
      </c>
      <c r="CN74">
        <f>VLOOKUP($B74,'[1]Data_UN_PopulationTot.&amp;%'!$B$4:$CZ$603,78,FALSE)</f>
        <v>0.32897028288195762</v>
      </c>
      <c r="CO74">
        <f>VLOOKUP($B74,'[1]Data_UN_PopulationTot.&amp;%'!$B$4:$CZ$603,79,FALSE)</f>
        <v>0.12001272633905648</v>
      </c>
      <c r="CP74">
        <f>VLOOKUP($B74,'[1]Data_UN_PopulationTot.&amp;%'!$B$4:$CZ$603,80,FALSE)</f>
        <v>2.433633258166068E-2</v>
      </c>
      <c r="CQ74">
        <f>VLOOKUP($B74,'[1]Data_UN_PopulationTot.&amp;%'!$B$4:$CZ$603,81,FALSE)</f>
        <v>2.5899216325437052E-3</v>
      </c>
      <c r="CR74">
        <f>VLOOKUP($B74,'[1]Data_UN_PopulationTot.&amp;%'!$B$4:$CZ$603,82,FALSE)</f>
        <v>9.9752034168371644</v>
      </c>
      <c r="CS74">
        <f>VLOOKUP($B74,'[1]Data_UN_PopulationTot.&amp;%'!$B$4:$CZ$603,83,FALSE)</f>
        <v>9.8959580626608723</v>
      </c>
      <c r="CT74">
        <f>VLOOKUP($B74,'[1]Data_UN_PopulationTot.&amp;%'!$B$4:$CZ$603,84,FALSE)</f>
        <v>9.6500193281351656</v>
      </c>
      <c r="CU74">
        <f>VLOOKUP($B74,'[1]Data_UN_PopulationTot.&amp;%'!$B$4:$CZ$603,85,FALSE)</f>
        <v>9.2442699150504897</v>
      </c>
      <c r="CV74">
        <f>VLOOKUP($B74,'[1]Data_UN_PopulationTot.&amp;%'!$B$4:$CZ$603,86,FALSE)</f>
        <v>8.9106945871793179</v>
      </c>
      <c r="CW74">
        <f>VLOOKUP($B74,'[1]Data_UN_PopulationTot.&amp;%'!$B$4:$CZ$603,87,FALSE)</f>
        <v>8.9275242073107499</v>
      </c>
      <c r="CX74">
        <f>VLOOKUP($B74,'[1]Data_UN_PopulationTot.&amp;%'!$B$4:$CZ$603,88,FALSE)</f>
        <v>8.2323713264757732</v>
      </c>
      <c r="CY74">
        <f>VLOOKUP($B74,'[1]Data_UN_PopulationTot.&amp;%'!$B$4:$CZ$603,89,FALSE)</f>
        <v>7.3418157133024726</v>
      </c>
      <c r="CZ74">
        <f>VLOOKUP($B74,'[1]Data_UN_PopulationTot.&amp;%'!$B$4:$CZ$603,90,FALSE)</f>
        <v>6.1623280503097222</v>
      </c>
      <c r="DA74">
        <f>VLOOKUP($B74,'[1]Data_UN_PopulationTot.&amp;%'!$B$4:$CZ$603,91,FALSE)</f>
        <v>5.3437108133844982</v>
      </c>
      <c r="DB74">
        <f>VLOOKUP($B74,'[1]Data_UN_PopulationTot.&amp;%'!$B$4:$CZ$603,92,FALSE)</f>
        <v>4.3100138596871673</v>
      </c>
      <c r="DC74">
        <f>VLOOKUP($B74,'[1]Data_UN_PopulationTot.&amp;%'!$B$4:$CZ$603,93,FALSE)</f>
        <v>3.324014972233484</v>
      </c>
      <c r="DD74">
        <f>VLOOKUP($B74,'[1]Data_UN_PopulationTot.&amp;%'!$B$4:$CZ$603,94,FALSE)</f>
        <v>2.5577015547363358</v>
      </c>
      <c r="DE74">
        <f>VLOOKUP($B74,'[1]Data_UN_PopulationTot.&amp;%'!$B$4:$CZ$603,95,FALSE)</f>
        <v>2.0025786560817629</v>
      </c>
      <c r="DF74">
        <f>VLOOKUP($B74,'[1]Data_UN_PopulationTot.&amp;%'!$B$4:$CZ$603,96,FALSE)</f>
        <v>1.6022599775605064</v>
      </c>
      <c r="DG74">
        <f>VLOOKUP($B74,'[1]Data_UN_PopulationTot.&amp;%'!$B$4:$CZ$603,97,FALSE)</f>
        <v>1.2295286763527338</v>
      </c>
      <c r="DH74">
        <f>VLOOKUP($B74,'[1]Data_UN_PopulationTot.&amp;%'!$B$4:$CZ$603,98,FALSE)</f>
        <v>0.70647633953405053</v>
      </c>
      <c r="DI74">
        <f>VLOOKUP($B74,'[1]Data_UN_PopulationTot.&amp;%'!$B$4:$CZ$603,99,FALSE)</f>
        <v>0.37756333499901001</v>
      </c>
      <c r="DJ74">
        <f>VLOOKUP($B74,'[1]Data_UN_PopulationTot.&amp;%'!$B$4:$DE$603,100,FALSE)</f>
        <v>0.15665217842225845</v>
      </c>
      <c r="DK74">
        <f>VLOOKUP($B74,'[1]Data_UN_PopulationTot.&amp;%'!$B$4:$DE$603,101,FALSE)</f>
        <v>4.2705750355920537E-2</v>
      </c>
      <c r="DL74">
        <f>VLOOKUP($B74,'[1]Data_UN_PopulationTot.&amp;%'!$B$4:$DE$603,102,FALSE)</f>
        <v>6.4819965492207464E-3</v>
      </c>
    </row>
    <row r="75" spans="1:116">
      <c r="A75" t="s">
        <v>531</v>
      </c>
      <c r="B75" t="s">
        <v>532</v>
      </c>
      <c r="C75" t="s">
        <v>493</v>
      </c>
      <c r="D75" t="s">
        <v>622</v>
      </c>
      <c r="E75" t="s">
        <v>2269</v>
      </c>
      <c r="F75">
        <v>0</v>
      </c>
      <c r="G75">
        <v>0</v>
      </c>
      <c r="H75">
        <v>0</v>
      </c>
      <c r="I75">
        <v>1</v>
      </c>
      <c r="J75" s="18">
        <f t="shared" si="3"/>
        <v>0</v>
      </c>
      <c r="K75">
        <f>VLOOKUP($B75,'[1]Source GDP Current USD'!$B$1:$CZ$600,64,FALSE)</f>
        <v>5844000000</v>
      </c>
      <c r="L75" s="45">
        <f>VLOOKUP($B75,'[1]Source GDP Current USD'!$B$1:$CZ$600,65,FALSE)</f>
        <v>5844000000</v>
      </c>
      <c r="M75" s="17">
        <f>VLOOKUP($B75,'[1]Source GDP Current LCU'!$B$1:$CZ$600,64,FALSE)</f>
        <v>5844000000</v>
      </c>
      <c r="N75" s="45">
        <v>5800000000</v>
      </c>
      <c r="O75" s="45" t="str">
        <f>VLOOKUP($B75,'[1]Source GNI Current USD'!$B$1:$CZ$600,64,FALSE)</f>
        <v>..</v>
      </c>
      <c r="P75" s="45" t="str">
        <f>VLOOKUP($B75,'[1]Source GNI Current LCU'!$B$1:$CZ$600,64,FALSE)</f>
        <v>..</v>
      </c>
      <c r="Q75" t="e">
        <f t="shared" si="2"/>
        <v>#VALUE!</v>
      </c>
      <c r="U75">
        <v>168783</v>
      </c>
      <c r="W75" t="e">
        <f>VLOOKUP($B75,'[1]Source Gov. Revenue WEO'!$B$1:$CZ$600,5,FALSE)</f>
        <v>#N/A</v>
      </c>
      <c r="X75" t="e">
        <f>VLOOKUP($B75,'[1]Source Gov. Revenue WEO'!$B$1:$CZ$600,6,FALSE)</f>
        <v>#N/A</v>
      </c>
      <c r="Y75" t="e">
        <f>VLOOKUP($B75,'[1]Source Gov. Revenue WEO'!$B$1:$CZ$600,7,FALSE)</f>
        <v>#N/A</v>
      </c>
      <c r="Z75" t="e">
        <f>VLOOKUP($B75,'[1]Source Gov. Revenue WEO'!$B$1:$CZ$600,8,FALSE)</f>
        <v>#N/A</v>
      </c>
      <c r="AA75" t="e">
        <f>VLOOKUP($B75,'[1]Source Gov. Revenue WEO'!$B$1:$CZ$600,9,FALSE)</f>
        <v>#N/A</v>
      </c>
      <c r="AB75" t="e">
        <f>VLOOKUP($B75,'[1]Source Gov. Revenue WEO'!$B$1:$CZ$600,10,FALSE)</f>
        <v>#N/A</v>
      </c>
      <c r="AC75" t="e">
        <f>VLOOKUP($B75,[2]Summary!$B$1:$CZ$600,39,FALSE)</f>
        <v>#N/A</v>
      </c>
      <c r="AD75" t="e">
        <f>VLOOKUP($B75,[2]Summary!$B$1:$CZ$600,40,FALSE)</f>
        <v>#N/A</v>
      </c>
      <c r="AE75" t="e">
        <f>VLOOKUP($B75,[2]Summary!$B$1:$CZ$600,47,FALSE)</f>
        <v>#N/A</v>
      </c>
      <c r="AF75">
        <f>VLOOKUP($B75,'[1]CALC GDP Growth rates WDI'!$B$1:$CZ$600,27,FALSE)</f>
        <v>-3.2420889147739107</v>
      </c>
      <c r="AG75">
        <f>VLOOKUP($B75,'[1]CALC GDP Growth rates WDI'!$B$1:$CZ$600,29,FALSE)</f>
        <v>9.5462529044231026</v>
      </c>
      <c r="AH75">
        <v>-9.2899999999999991</v>
      </c>
      <c r="AI75">
        <f>VLOOKUP($B75,'[1]CALC GDP Growth rates WDI'!$B$1:$CZ$600,30,FALSE)</f>
        <v>1.2448579595556675</v>
      </c>
      <c r="AK75" t="e">
        <f>VLOOKUP($B75,[1]Data_Aspire!$B$1:$CZ$600,2,FALSE)</f>
        <v>#N/A</v>
      </c>
      <c r="AL75" t="e">
        <f>VLOOKUP($B75,[1]Data_Aspire!$B$1:$CZ$600,3,FALSE)</f>
        <v>#N/A</v>
      </c>
      <c r="AM75" t="e">
        <f>VLOOKUP($B75,[1]Data_Aspire!$B$1:$CZ$600,4,FALSE)</f>
        <v>#N/A</v>
      </c>
      <c r="AN75" t="e">
        <f>VLOOKUP($B75,[1]Data_Aspire!$B$1:$CZ$600,5,FALSE)</f>
        <v>#N/A</v>
      </c>
      <c r="AO75" t="e">
        <f>VLOOKUP($B75,[1]Data_Aspire!$B$1:$CZ$600,6,FALSE)</f>
        <v>#N/A</v>
      </c>
      <c r="AP75" t="e">
        <f>VLOOKUP($B75,[1]Data_Aspire!$B$1:$CZ$600,7,FALSE)</f>
        <v>#N/A</v>
      </c>
      <c r="AQ75" t="e">
        <f>VLOOKUP($B75,[1]Data_Aspire!$B$1:$CZ$600,8,FALSE)</f>
        <v>#N/A</v>
      </c>
      <c r="AR75" t="e">
        <f>VLOOKUP($B75,[1]Data_Aspire!$B$1:$CZ$600,9,FALSE)</f>
        <v>#N/A</v>
      </c>
      <c r="AS75" t="e">
        <f>VLOOKUP($B75,[1]Data_Aspire!$B$1:$CZ$600,10,FALSE)</f>
        <v>#N/A</v>
      </c>
      <c r="AT75" t="e">
        <f>VLOOKUP($B75,[1]Data_Aspire!$B$1:$CZ$600,11,FALSE)</f>
        <v>#N/A</v>
      </c>
      <c r="AU75" t="e">
        <f>VLOOKUP($B75,[1]Data_Aspire!$B$1:$CZ$600,12,FALSE)</f>
        <v>#N/A</v>
      </c>
      <c r="AV75" t="e">
        <f>VLOOKUP($B75,[1]Data_Aspire!$B$1:$CZ$600,13,FALSE)</f>
        <v>#N/A</v>
      </c>
      <c r="AW75" t="e">
        <f>VLOOKUP($B75,[1]Data_Aspire!$B$1:$CZ$600,14,FALSE)</f>
        <v>#N/A</v>
      </c>
      <c r="AX75" t="e">
        <f>VLOOKUP($B75,[1]Data_Aspire!$B$1:$CZ$600,15,FALSE)</f>
        <v>#N/A</v>
      </c>
      <c r="AY75" t="e">
        <f>VLOOKUP($B75,[1]Data_Aspire!$B$1:$CZ$600,16,FALSE)</f>
        <v>#N/A</v>
      </c>
      <c r="AZ75" t="e">
        <f>VLOOKUP($B75,[1]Data_Aspire!$B$1:$CZ$600,17,FALSE)</f>
        <v>#N/A</v>
      </c>
      <c r="BA75" t="e">
        <f>VLOOKUP($B75,[1]Data_Aspire!$B$1:$CZ$600,18,FALSE)</f>
        <v>#N/A</v>
      </c>
      <c r="BB75" t="e">
        <f>VLOOKUP($B75,[1]Data_Aspire!$B$1:$CZ$600,19,FALSE)</f>
        <v>#N/A</v>
      </c>
      <c r="BC75" t="e">
        <f>VLOOKUP($B75,[1]Data_Aspire!$B$1:$CZ$600,20,FALSE)</f>
        <v>#N/A</v>
      </c>
      <c r="BD75" t="e">
        <f>VLOOKUP($B75,[1]Data_Aspire!$B$1:$CZ$600,21,FALSE)</f>
        <v>#N/A</v>
      </c>
      <c r="BE75" t="e">
        <f>VLOOKUP($B75,[1]Data_Aspire!$B$1:$CZ$600,22,FALSE)</f>
        <v>#N/A</v>
      </c>
      <c r="BF75" t="e">
        <f>VLOOKUP($B75,[1]Data_Aspire!$B$1:$CZ$600,23,FALSE)</f>
        <v>#N/A</v>
      </c>
      <c r="BG75" t="e">
        <f>VLOOKUP($B75,[1]Data_Aspire!$B$1:$CZ$600,24,FALSE)</f>
        <v>#N/A</v>
      </c>
      <c r="BH75" t="e">
        <f>VLOOKUP($B75,[1]Data_Aspire!$B$1:$CZ$600,25,FALSE)</f>
        <v>#N/A</v>
      </c>
      <c r="BI75" t="e">
        <f>VLOOKUP($B75,[1]Data_Aspire!$B$1:$CZ$600,26,FALSE)</f>
        <v>#N/A</v>
      </c>
      <c r="BJ75" s="7">
        <v>0</v>
      </c>
      <c r="BK75">
        <v>316</v>
      </c>
      <c r="BL75">
        <f>VLOOKUP($B75,'[1]Data_UN_PopulationTot.&amp;%'!$B$4:$CZ$603,8,FALSE)</f>
        <v>168.78299999999999</v>
      </c>
      <c r="BM75">
        <f>VLOOKUP($B75,'[1]Data_UN_PopulationTot.&amp;%'!$B$4:$CZ$603,9,FALSE)</f>
        <v>170.184</v>
      </c>
      <c r="BN75">
        <v>171.52799999999999</v>
      </c>
      <c r="BO75">
        <f>VLOOKUP($B75,'[1]Data_UN_PopulationTot.&amp;%'!$B$4:$CZ$603,11,FALSE)</f>
        <v>172.81899999999999</v>
      </c>
      <c r="BP75">
        <f>VLOOKUP($B75,'[1]Data_UN_PopulationTot.&amp;%'!$B$4:$CZ$603,12,FALSE)</f>
        <v>174.07</v>
      </c>
      <c r="BQ75">
        <f>VLOOKUP($B75,'[1]Data_UN_PopulationTot.&amp;%'!$B$4:$CZ$603,13,FALSE)</f>
        <v>175.32900000000001</v>
      </c>
      <c r="BR75">
        <f>VLOOKUP($B75,'[1]Data_UN_PopulationTot.&amp;%'!$B$4:$CZ$603,14,FALSE)</f>
        <v>176.559</v>
      </c>
      <c r="BS75">
        <f>VLOOKUP($B75,'[1]Data_UN_PopulationTot.&amp;%'!$B$4:$CZ$603,15,FALSE)</f>
        <v>177.75399999999999</v>
      </c>
      <c r="BT75">
        <f>VLOOKUP($B75,'[1]Data_UN_PopulationTot.&amp;%'!$B$4:$CZ$603,16,FALSE)</f>
        <v>178.92400000000001</v>
      </c>
      <c r="BU75">
        <f>VLOOKUP($B75,'[1]Data_UN_PopulationTot.&amp;%'!$B$4:$CZ$603,17,FALSE)</f>
        <v>180.047</v>
      </c>
      <c r="BV75">
        <f>VLOOKUP($B75,'[1]Data_UN_PopulationTot.&amp;%'!$B$4:$CZ$603,18,FALSE)</f>
        <v>181.143</v>
      </c>
      <c r="BW75">
        <f>VLOOKUP($B75,'[1]Data_UN_PopulationTot.&amp;%'!$B$4:$CZ$603,61,FALSE)</f>
        <v>8.0250973143029807</v>
      </c>
      <c r="BX75">
        <f>VLOOKUP($B75,'[1]Data_UN_PopulationTot.&amp;%'!$B$4:$CZ$603,62,FALSE)</f>
        <v>7.9599248739505759</v>
      </c>
      <c r="BY75">
        <f>VLOOKUP($B75,'[1]Data_UN_PopulationTot.&amp;%'!$B$4:$CZ$603,63,FALSE)</f>
        <v>7.8740157480314963</v>
      </c>
      <c r="BZ75">
        <f>VLOOKUP($B75,'[1]Data_UN_PopulationTot.&amp;%'!$B$4:$CZ$603,64,FALSE)</f>
        <v>8.2182447284382913</v>
      </c>
      <c r="CA75">
        <f>VLOOKUP($B75,'[1]Data_UN_PopulationTot.&amp;%'!$B$4:$CZ$603,65,FALSE)</f>
        <v>8.1921757522973291</v>
      </c>
      <c r="CB75">
        <f>VLOOKUP($B75,'[1]Data_UN_PopulationTot.&amp;%'!$B$4:$CZ$603,66,FALSE)</f>
        <v>7.8230627492105258</v>
      </c>
      <c r="CC75">
        <f>VLOOKUP($B75,'[1]Data_UN_PopulationTot.&amp;%'!$B$4:$CZ$603,67,FALSE)</f>
        <v>6.9426423277225799</v>
      </c>
      <c r="CD75">
        <f>VLOOKUP($B75,'[1]Data_UN_PopulationTot.&amp;%'!$B$4:$CZ$603,68,FALSE)</f>
        <v>5.9940870822298464</v>
      </c>
      <c r="CE75">
        <f>VLOOKUP($B75,'[1]Data_UN_PopulationTot.&amp;%'!$B$4:$CZ$603,69,FALSE)</f>
        <v>5.7233252164021264</v>
      </c>
      <c r="CF75">
        <f>VLOOKUP($B75,'[1]Data_UN_PopulationTot.&amp;%'!$B$4:$CZ$603,70,FALSE)</f>
        <v>6.0882908823755955</v>
      </c>
      <c r="CG75">
        <f>VLOOKUP($B75,'[1]Data_UN_PopulationTot.&amp;%'!$B$4:$CZ$603,71,FALSE)</f>
        <v>6.058074569121298</v>
      </c>
      <c r="CH75">
        <f>VLOOKUP($B75,'[1]Data_UN_PopulationTot.&amp;%'!$B$4:$CZ$603,72,FALSE)</f>
        <v>5.8886262242050451</v>
      </c>
      <c r="CI75">
        <f>VLOOKUP($B75,'[1]Data_UN_PopulationTot.&amp;%'!$B$4:$CZ$603,73,FALSE)</f>
        <v>4.6752338801893556</v>
      </c>
      <c r="CJ75">
        <f>VLOOKUP($B75,'[1]Data_UN_PopulationTot.&amp;%'!$B$4:$CZ$603,74,FALSE)</f>
        <v>3.8155501442680846</v>
      </c>
      <c r="CK75">
        <f>VLOOKUP($B75,'[1]Data_UN_PopulationTot.&amp;%'!$B$4:$CZ$603,75,FALSE)</f>
        <v>2.9345372460496617</v>
      </c>
      <c r="CL75">
        <f>VLOOKUP($B75,'[1]Data_UN_PopulationTot.&amp;%'!$B$4:$CZ$603,76,FALSE)</f>
        <v>1.6755241937872891</v>
      </c>
      <c r="CM75">
        <f>VLOOKUP($B75,'[1]Data_UN_PopulationTot.&amp;%'!$B$4:$CZ$603,77,FALSE)</f>
        <v>1.232351599390934</v>
      </c>
      <c r="CN75">
        <f>VLOOKUP($B75,'[1]Data_UN_PopulationTot.&amp;%'!$B$4:$CZ$603,78,FALSE)</f>
        <v>0.63454257834023564</v>
      </c>
      <c r="CO75">
        <f>VLOOKUP($B75,'[1]Data_UN_PopulationTot.&amp;%'!$B$4:$CZ$603,79,FALSE)</f>
        <v>0.19610979778769189</v>
      </c>
      <c r="CP75">
        <f>VLOOKUP($B75,'[1]Data_UN_PopulationTot.&amp;%'!$B$4:$CZ$603,80,FALSE)</f>
        <v>4.2065847863825147E-2</v>
      </c>
      <c r="CQ75">
        <f>VLOOKUP($B75,'[1]Data_UN_PopulationTot.&amp;%'!$B$4:$CZ$603,81,FALSE)</f>
        <v>6.5172440352405164E-3</v>
      </c>
      <c r="CR75">
        <f>VLOOKUP($B75,'[1]Data_UN_PopulationTot.&amp;%'!$B$4:$CZ$603,82,FALSE)</f>
        <v>7.4344578592603643</v>
      </c>
      <c r="CS75">
        <f>VLOOKUP($B75,'[1]Data_UN_PopulationTot.&amp;%'!$B$4:$CZ$603,83,FALSE)</f>
        <v>7.4101676575964852</v>
      </c>
      <c r="CT75">
        <f>VLOOKUP($B75,'[1]Data_UN_PopulationTot.&amp;%'!$B$4:$CZ$603,84,FALSE)</f>
        <v>7.2136378441341922</v>
      </c>
      <c r="CU75">
        <f>VLOOKUP($B75,'[1]Data_UN_PopulationTot.&amp;%'!$B$4:$CZ$603,85,FALSE)</f>
        <v>7.1479438896341563</v>
      </c>
      <c r="CV75">
        <f>VLOOKUP($B75,'[1]Data_UN_PopulationTot.&amp;%'!$B$4:$CZ$603,86,FALSE)</f>
        <v>7.0651363839618426</v>
      </c>
      <c r="CW75">
        <f>VLOOKUP($B75,'[1]Data_UN_PopulationTot.&amp;%'!$B$4:$CZ$603,87,FALSE)</f>
        <v>7.3969184566889137</v>
      </c>
      <c r="CX75">
        <f>VLOOKUP($B75,'[1]Data_UN_PopulationTot.&amp;%'!$B$4:$CZ$603,88,FALSE)</f>
        <v>7.400230756915807</v>
      </c>
      <c r="CY75">
        <f>VLOOKUP($B75,'[1]Data_UN_PopulationTot.&amp;%'!$B$4:$CZ$603,89,FALSE)</f>
        <v>7.0706568843399955</v>
      </c>
      <c r="CZ75">
        <f>VLOOKUP($B75,'[1]Data_UN_PopulationTot.&amp;%'!$B$4:$CZ$603,90,FALSE)</f>
        <v>6.2392695273899621</v>
      </c>
      <c r="DA75">
        <f>VLOOKUP($B75,'[1]Data_UN_PopulationTot.&amp;%'!$B$4:$CZ$603,91,FALSE)</f>
        <v>5.3333554153348457</v>
      </c>
      <c r="DB75">
        <f>VLOOKUP($B75,'[1]Data_UN_PopulationTot.&amp;%'!$B$4:$CZ$603,92,FALSE)</f>
        <v>5.0501537459355319</v>
      </c>
      <c r="DC75">
        <f>VLOOKUP($B75,'[1]Data_UN_PopulationTot.&amp;%'!$B$4:$CZ$603,93,FALSE)</f>
        <v>5.3477087163180466</v>
      </c>
      <c r="DD75">
        <f>VLOOKUP($B75,'[1]Data_UN_PopulationTot.&amp;%'!$B$4:$CZ$603,94,FALSE)</f>
        <v>5.2483397095112698</v>
      </c>
      <c r="DE75">
        <f>VLOOKUP($B75,'[1]Data_UN_PopulationTot.&amp;%'!$B$4:$CZ$603,95,FALSE)</f>
        <v>4.9673462402632174</v>
      </c>
      <c r="DF75">
        <f>VLOOKUP($B75,'[1]Data_UN_PopulationTot.&amp;%'!$B$4:$CZ$603,96,FALSE)</f>
        <v>3.752284107031461</v>
      </c>
      <c r="DG75">
        <f>VLOOKUP($B75,'[1]Data_UN_PopulationTot.&amp;%'!$B$4:$CZ$603,97,FALSE)</f>
        <v>2.7999977917998486</v>
      </c>
      <c r="DH75">
        <f>VLOOKUP($B75,'[1]Data_UN_PopulationTot.&amp;%'!$B$4:$CZ$603,98,FALSE)</f>
        <v>1.8432950762657128</v>
      </c>
      <c r="DI75">
        <f>VLOOKUP($B75,'[1]Data_UN_PopulationTot.&amp;%'!$B$4:$CZ$603,99,FALSE)</f>
        <v>0.79274385430295402</v>
      </c>
      <c r="DJ75">
        <f>VLOOKUP($B75,'[1]Data_UN_PopulationTot.&amp;%'!$B$4:$DE$603,100,FALSE)</f>
        <v>0.37042557537415194</v>
      </c>
      <c r="DK75">
        <f>VLOOKUP($B75,'[1]Data_UN_PopulationTot.&amp;%'!$B$4:$DE$603,101,FALSE)</f>
        <v>0.10268130703366954</v>
      </c>
      <c r="DL75">
        <f>VLOOKUP($B75,'[1]Data_UN_PopulationTot.&amp;%'!$B$4:$DE$603,102,FALSE)</f>
        <v>1.3249200907570263E-2</v>
      </c>
    </row>
    <row r="76" spans="1:116">
      <c r="A76" t="s">
        <v>214</v>
      </c>
      <c r="B76" t="s">
        <v>429</v>
      </c>
      <c r="C76" t="s">
        <v>497</v>
      </c>
      <c r="D76" t="s">
        <v>389</v>
      </c>
      <c r="E76" t="s">
        <v>301</v>
      </c>
      <c r="F76">
        <v>0</v>
      </c>
      <c r="G76">
        <v>0</v>
      </c>
      <c r="H76">
        <v>1</v>
      </c>
      <c r="I76">
        <v>0</v>
      </c>
      <c r="J76" s="18">
        <f t="shared" si="3"/>
        <v>259.32828881</v>
      </c>
      <c r="K76">
        <f>VLOOKUP($B76,'[1]Source GDP Current USD'!$B$1:$CZ$600,64,FALSE)</f>
        <v>5471256594.7242203</v>
      </c>
      <c r="L76" s="45">
        <f>VLOOKUP($B76,'[1]Source GDP Current USD'!$B$1:$CZ$600,65,FALSE)</f>
        <v>5471256594.7242203</v>
      </c>
      <c r="M76" s="17">
        <f>VLOOKUP($B76,'[1]Source GDP Current LCU'!$B$1:$CZ$600,64,FALSE)</f>
        <v>1140757000000</v>
      </c>
      <c r="N76" s="45">
        <v>1100000000000</v>
      </c>
      <c r="O76" s="45">
        <f>VLOOKUP($B76,'[1]Source GNI Current USD'!$B$1:$CZ$600,64,FALSE)</f>
        <v>4610616839.8081503</v>
      </c>
      <c r="P76" s="45">
        <f>VLOOKUP($B76,'[1]Source GNI Current LCU'!$B$1:$CZ$600,64,FALSE)</f>
        <v>961313611100</v>
      </c>
      <c r="Q76">
        <f t="shared" si="2"/>
        <v>118.66647749787593</v>
      </c>
      <c r="R76">
        <v>7130</v>
      </c>
      <c r="S76">
        <v>7130</v>
      </c>
      <c r="T76">
        <v>0.35301100000000002</v>
      </c>
      <c r="U76">
        <v>786559</v>
      </c>
      <c r="V76">
        <v>22.733000000000001</v>
      </c>
      <c r="W76">
        <f>VLOOKUP($B76,'[1]Source Gov. Revenue WEO'!$B$1:$CZ$600,5,FALSE)</f>
        <v>19.789000000000001</v>
      </c>
      <c r="X76">
        <f>VLOOKUP($B76,'[1]Source Gov. Revenue WEO'!$B$1:$CZ$600,6,FALSE)</f>
        <v>18.734000000000002</v>
      </c>
      <c r="Y76">
        <f>VLOOKUP($B76,'[1]Source Gov. Revenue WEO'!$B$1:$CZ$600,7,FALSE)</f>
        <v>17.888000000000002</v>
      </c>
      <c r="Z76">
        <f>VLOOKUP($B76,'[1]Source Gov. Revenue WEO'!$B$1:$CZ$600,8,FALSE)</f>
        <v>19.030999999999999</v>
      </c>
      <c r="AA76">
        <f>VLOOKUP($B76,'[1]Source Gov. Revenue WEO'!$B$1:$CZ$600,9,FALSE)</f>
        <v>19.329999999999998</v>
      </c>
      <c r="AB76">
        <f>VLOOKUP($B76,'[1]Source Gov. Revenue WEO'!$B$1:$CZ$600,10,FALSE)</f>
        <v>19.271999999999998</v>
      </c>
      <c r="AC76">
        <f>VLOOKUP($B76,[2]Summary!$B$1:$CZ$600,39,FALSE)</f>
        <v>5.6057509999999998E-2</v>
      </c>
      <c r="AD76">
        <f>VLOOKUP($B76,[2]Summary!$B$1:$CZ$600,40,FALSE)</f>
        <v>7.7499999999999999E-3</v>
      </c>
      <c r="AE76">
        <f>VLOOKUP($B76,[2]Summary!$B$1:$CZ$600,47,FALSE)</f>
        <v>0.32245901864190946</v>
      </c>
      <c r="AF76">
        <f>VLOOKUP($B76,'[1]CALC GDP Growth rates WDI'!$B$1:$CZ$600,27,FALSE)</f>
        <v>100.28316605857717</v>
      </c>
      <c r="AG76">
        <f>VLOOKUP($B76,'[1]CALC GDP Growth rates WDI'!$B$1:$CZ$600,29,FALSE)</f>
        <v>40.495201780169964</v>
      </c>
      <c r="AH76">
        <v>70</v>
      </c>
      <c r="AI76">
        <f>VLOOKUP($B76,'[1]CALC GDP Growth rates WDI'!$B$1:$CZ$600,30,FALSE)</f>
        <v>15.703422901574427</v>
      </c>
      <c r="AJ76" s="45" t="s">
        <v>2465</v>
      </c>
      <c r="AK76" t="e">
        <f>VLOOKUP($B76,[1]Data_Aspire!$B$1:$CZ$600,2,FALSE)</f>
        <v>#N/A</v>
      </c>
      <c r="AL76" t="e">
        <f>VLOOKUP($B76,[1]Data_Aspire!$B$1:$CZ$600,3,FALSE)</f>
        <v>#N/A</v>
      </c>
      <c r="AM76" t="e">
        <f>VLOOKUP($B76,[1]Data_Aspire!$B$1:$CZ$600,4,FALSE)</f>
        <v>#N/A</v>
      </c>
      <c r="AN76" t="e">
        <f>VLOOKUP($B76,[1]Data_Aspire!$B$1:$CZ$600,5,FALSE)</f>
        <v>#N/A</v>
      </c>
      <c r="AO76" t="e">
        <f>VLOOKUP($B76,[1]Data_Aspire!$B$1:$CZ$600,6,FALSE)</f>
        <v>#N/A</v>
      </c>
      <c r="AP76" t="e">
        <f>VLOOKUP($B76,[1]Data_Aspire!$B$1:$CZ$600,7,FALSE)</f>
        <v>#N/A</v>
      </c>
      <c r="AQ76" t="e">
        <f>VLOOKUP($B76,[1]Data_Aspire!$B$1:$CZ$600,8,FALSE)</f>
        <v>#N/A</v>
      </c>
      <c r="AR76" t="e">
        <f>VLOOKUP($B76,[1]Data_Aspire!$B$1:$CZ$600,9,FALSE)</f>
        <v>#N/A</v>
      </c>
      <c r="AS76" t="e">
        <f>VLOOKUP($B76,[1]Data_Aspire!$B$1:$CZ$600,10,FALSE)</f>
        <v>#N/A</v>
      </c>
      <c r="AT76" t="e">
        <f>VLOOKUP($B76,[1]Data_Aspire!$B$1:$CZ$600,11,FALSE)</f>
        <v>#N/A</v>
      </c>
      <c r="AU76" t="e">
        <f>VLOOKUP($B76,[1]Data_Aspire!$B$1:$CZ$600,12,FALSE)</f>
        <v>#N/A</v>
      </c>
      <c r="AV76" t="e">
        <f>VLOOKUP($B76,[1]Data_Aspire!$B$1:$CZ$600,13,FALSE)</f>
        <v>#N/A</v>
      </c>
      <c r="AW76" t="e">
        <f>VLOOKUP($B76,[1]Data_Aspire!$B$1:$CZ$600,14,FALSE)</f>
        <v>#N/A</v>
      </c>
      <c r="AX76" t="e">
        <f>VLOOKUP($B76,[1]Data_Aspire!$B$1:$CZ$600,15,FALSE)</f>
        <v>#N/A</v>
      </c>
      <c r="AY76" t="e">
        <f>VLOOKUP($B76,[1]Data_Aspire!$B$1:$CZ$600,16,FALSE)</f>
        <v>#N/A</v>
      </c>
      <c r="AZ76" t="e">
        <f>VLOOKUP($B76,[1]Data_Aspire!$B$1:$CZ$600,17,FALSE)</f>
        <v>#N/A</v>
      </c>
      <c r="BA76" t="e">
        <f>VLOOKUP($B76,[1]Data_Aspire!$B$1:$CZ$600,18,FALSE)</f>
        <v>#N/A</v>
      </c>
      <c r="BB76" t="e">
        <f>VLOOKUP($B76,[1]Data_Aspire!$B$1:$CZ$600,19,FALSE)</f>
        <v>#N/A</v>
      </c>
      <c r="BC76" t="e">
        <f>VLOOKUP($B76,[1]Data_Aspire!$B$1:$CZ$600,20,FALSE)</f>
        <v>#N/A</v>
      </c>
      <c r="BD76" t="e">
        <f>VLOOKUP($B76,[1]Data_Aspire!$B$1:$CZ$600,21,FALSE)</f>
        <v>#N/A</v>
      </c>
      <c r="BE76" t="e">
        <f>VLOOKUP($B76,[1]Data_Aspire!$B$1:$CZ$600,22,FALSE)</f>
        <v>#N/A</v>
      </c>
      <c r="BF76" t="e">
        <f>VLOOKUP($B76,[1]Data_Aspire!$B$1:$CZ$600,23,FALSE)</f>
        <v>#N/A</v>
      </c>
      <c r="BG76" t="e">
        <f>VLOOKUP($B76,[1]Data_Aspire!$B$1:$CZ$600,24,FALSE)</f>
        <v>#N/A</v>
      </c>
      <c r="BH76" t="e">
        <f>VLOOKUP($B76,[1]Data_Aspire!$B$1:$CZ$600,25,FALSE)</f>
        <v>#N/A</v>
      </c>
      <c r="BI76" t="e">
        <f>VLOOKUP($B76,[1]Data_Aspire!$B$1:$CZ$600,26,FALSE)</f>
        <v>#N/A</v>
      </c>
      <c r="BJ76" s="7">
        <v>0</v>
      </c>
      <c r="BK76">
        <v>328</v>
      </c>
      <c r="BL76">
        <f>VLOOKUP($B76,'[1]Data_UN_PopulationTot.&amp;%'!$B$4:$CZ$603,8,FALSE)</f>
        <v>786.55899999999997</v>
      </c>
      <c r="BM76">
        <f>VLOOKUP($B76,'[1]Data_UN_PopulationTot.&amp;%'!$B$4:$CZ$603,9,FALSE)</f>
        <v>790.32899999999995</v>
      </c>
      <c r="BN76">
        <v>794.03899999999999</v>
      </c>
      <c r="BO76">
        <f>VLOOKUP($B76,'[1]Data_UN_PopulationTot.&amp;%'!$B$4:$CZ$603,11,FALSE)</f>
        <v>797.71100000000001</v>
      </c>
      <c r="BP76">
        <f>VLOOKUP($B76,'[1]Data_UN_PopulationTot.&amp;%'!$B$4:$CZ$603,12,FALSE)</f>
        <v>801.34299999999996</v>
      </c>
      <c r="BQ76">
        <f>VLOOKUP($B76,'[1]Data_UN_PopulationTot.&amp;%'!$B$4:$CZ$603,13,FALSE)</f>
        <v>804.95</v>
      </c>
      <c r="BR76">
        <f>VLOOKUP($B76,'[1]Data_UN_PopulationTot.&amp;%'!$B$4:$CZ$603,14,FALSE)</f>
        <v>808.53800000000001</v>
      </c>
      <c r="BS76">
        <f>VLOOKUP($B76,'[1]Data_UN_PopulationTot.&amp;%'!$B$4:$CZ$603,15,FALSE)</f>
        <v>812.05799999999999</v>
      </c>
      <c r="BT76">
        <f>VLOOKUP($B76,'[1]Data_UN_PopulationTot.&amp;%'!$B$4:$CZ$603,16,FALSE)</f>
        <v>815.46299999999997</v>
      </c>
      <c r="BU76">
        <f>VLOOKUP($B76,'[1]Data_UN_PopulationTot.&amp;%'!$B$4:$CZ$603,17,FALSE)</f>
        <v>818.64800000000002</v>
      </c>
      <c r="BV76">
        <f>VLOOKUP($B76,'[1]Data_UN_PopulationTot.&amp;%'!$B$4:$CZ$603,18,FALSE)</f>
        <v>821.58500000000004</v>
      </c>
      <c r="BW76">
        <f>VLOOKUP($B76,'[1]Data_UN_PopulationTot.&amp;%'!$B$4:$CZ$603,61,FALSE)</f>
        <v>9.3907767885180906</v>
      </c>
      <c r="BX76">
        <f>VLOOKUP($B76,'[1]Data_UN_PopulationTot.&amp;%'!$B$4:$CZ$603,62,FALSE)</f>
        <v>9.3780631840713795</v>
      </c>
      <c r="BY76">
        <f>VLOOKUP($B76,'[1]Data_UN_PopulationTot.&amp;%'!$B$4:$CZ$603,63,FALSE)</f>
        <v>8.9629639988862877</v>
      </c>
      <c r="BZ76">
        <f>VLOOKUP($B76,'[1]Data_UN_PopulationTot.&amp;%'!$B$4:$CZ$603,64,FALSE)</f>
        <v>9.5163872004515877</v>
      </c>
      <c r="CA76">
        <f>VLOOKUP($B76,'[1]Data_UN_PopulationTot.&amp;%'!$B$4:$CZ$603,65,FALSE)</f>
        <v>9.8396941615314297</v>
      </c>
      <c r="CB76">
        <f>VLOOKUP($B76,'[1]Data_UN_PopulationTot.&amp;%'!$B$4:$CZ$603,66,FALSE)</f>
        <v>8.6339359158054272</v>
      </c>
      <c r="CC76">
        <f>VLOOKUP($B76,'[1]Data_UN_PopulationTot.&amp;%'!$B$4:$CZ$603,67,FALSE)</f>
        <v>5.5983085820644094</v>
      </c>
      <c r="CD76">
        <f>VLOOKUP($B76,'[1]Data_UN_PopulationTot.&amp;%'!$B$4:$CZ$603,68,FALSE)</f>
        <v>6.2392013822230759</v>
      </c>
      <c r="CE76">
        <f>VLOOKUP($B76,'[1]Data_UN_PopulationTot.&amp;%'!$B$4:$CZ$603,69,FALSE)</f>
        <v>5.7592628143597624</v>
      </c>
      <c r="CF76">
        <f>VLOOKUP($B76,'[1]Data_UN_PopulationTot.&amp;%'!$B$4:$CZ$603,70,FALSE)</f>
        <v>5.7497276110247295</v>
      </c>
      <c r="CG76">
        <f>VLOOKUP($B76,'[1]Data_UN_PopulationTot.&amp;%'!$B$4:$CZ$603,71,FALSE)</f>
        <v>5.4381171660358598</v>
      </c>
      <c r="CH76">
        <f>VLOOKUP($B76,'[1]Data_UN_PopulationTot.&amp;%'!$B$4:$CZ$603,72,FALSE)</f>
        <v>4.6484751938506843</v>
      </c>
      <c r="CI76">
        <f>VLOOKUP($B76,'[1]Data_UN_PopulationTot.&amp;%'!$B$4:$CZ$603,73,FALSE)</f>
        <v>3.8452296649075275</v>
      </c>
      <c r="CJ76">
        <f>VLOOKUP($B76,'[1]Data_UN_PopulationTot.&amp;%'!$B$4:$CZ$603,74,FALSE)</f>
        <v>2.6839690347450098</v>
      </c>
      <c r="CK76">
        <f>VLOOKUP($B76,'[1]Data_UN_PopulationTot.&amp;%'!$B$4:$CZ$603,75,FALSE)</f>
        <v>1.9100919320737542</v>
      </c>
      <c r="CL76">
        <f>VLOOKUP($B76,'[1]Data_UN_PopulationTot.&amp;%'!$B$4:$CZ$603,76,FALSE)</f>
        <v>1.0064089280015869</v>
      </c>
      <c r="CM76">
        <f>VLOOKUP($B76,'[1]Data_UN_PopulationTot.&amp;%'!$B$4:$CZ$603,77,FALSE)</f>
        <v>0.86045674895335256</v>
      </c>
      <c r="CN76">
        <f>VLOOKUP($B76,'[1]Data_UN_PopulationTot.&amp;%'!$B$4:$CZ$603,78,FALSE)</f>
        <v>0.27690230484935013</v>
      </c>
      <c r="CO76">
        <f>VLOOKUP($B76,'[1]Data_UN_PopulationTot.&amp;%'!$B$4:$CZ$603,79,FALSE)</f>
        <v>0.16120850438428649</v>
      </c>
      <c r="CP76">
        <f>VLOOKUP($B76,'[1]Data_UN_PopulationTot.&amp;%'!$B$4:$CZ$603,80,FALSE)</f>
        <v>8.4291197481689242E-2</v>
      </c>
      <c r="CQ76">
        <f>VLOOKUP($B76,'[1]Data_UN_PopulationTot.&amp;%'!$B$4:$CZ$603,81,FALSE)</f>
        <v>1.6527685780723382E-2</v>
      </c>
      <c r="CR76">
        <f>VLOOKUP($B76,'[1]Data_UN_PopulationTot.&amp;%'!$B$4:$CZ$603,82,FALSE)</f>
        <v>8.2631742302987501</v>
      </c>
      <c r="CS76">
        <f>VLOOKUP($B76,'[1]Data_UN_PopulationTot.&amp;%'!$B$4:$CZ$603,83,FALSE)</f>
        <v>8.573184758728555</v>
      </c>
      <c r="CT76">
        <f>VLOOKUP($B76,'[1]Data_UN_PopulationTot.&amp;%'!$B$4:$CZ$603,84,FALSE)</f>
        <v>8.7741377946286754</v>
      </c>
      <c r="CU76">
        <f>VLOOKUP($B76,'[1]Data_UN_PopulationTot.&amp;%'!$B$4:$CZ$603,85,FALSE)</f>
        <v>8.5600394359682817</v>
      </c>
      <c r="CV76">
        <f>VLOOKUP($B76,'[1]Data_UN_PopulationTot.&amp;%'!$B$4:$CZ$603,86,FALSE)</f>
        <v>7.6339027611263601</v>
      </c>
      <c r="CW76">
        <f>VLOOKUP($B76,'[1]Data_UN_PopulationTot.&amp;%'!$B$4:$CZ$603,87,FALSE)</f>
        <v>7.844349641242232</v>
      </c>
      <c r="CX76">
        <f>VLOOKUP($B76,'[1]Data_UN_PopulationTot.&amp;%'!$B$4:$CZ$603,88,FALSE)</f>
        <v>8.2344492657485233</v>
      </c>
      <c r="CY76">
        <f>VLOOKUP($B76,'[1]Data_UN_PopulationTot.&amp;%'!$B$4:$CZ$603,89,FALSE)</f>
        <v>7.3350901002330851</v>
      </c>
      <c r="CZ76">
        <f>VLOOKUP($B76,'[1]Data_UN_PopulationTot.&amp;%'!$B$4:$CZ$603,90,FALSE)</f>
        <v>4.7168582678602942</v>
      </c>
      <c r="DA76">
        <f>VLOOKUP($B76,'[1]Data_UN_PopulationTot.&amp;%'!$B$4:$CZ$603,91,FALSE)</f>
        <v>5.4159946931845147</v>
      </c>
      <c r="DB76">
        <f>VLOOKUP($B76,'[1]Data_UN_PopulationTot.&amp;%'!$B$4:$CZ$603,92,FALSE)</f>
        <v>4.9829293378043653</v>
      </c>
      <c r="DC76">
        <f>VLOOKUP($B76,'[1]Data_UN_PopulationTot.&amp;%'!$B$4:$CZ$603,93,FALSE)</f>
        <v>4.8731415495657782</v>
      </c>
      <c r="DD76">
        <f>VLOOKUP($B76,'[1]Data_UN_PopulationTot.&amp;%'!$B$4:$CZ$603,94,FALSE)</f>
        <v>4.4852328121862008</v>
      </c>
      <c r="DE76">
        <f>VLOOKUP($B76,'[1]Data_UN_PopulationTot.&amp;%'!$B$4:$CZ$603,95,FALSE)</f>
        <v>3.6845852833243056</v>
      </c>
      <c r="DF76">
        <f>VLOOKUP($B76,'[1]Data_UN_PopulationTot.&amp;%'!$B$4:$CZ$603,96,FALSE)</f>
        <v>2.8598379960685745</v>
      </c>
      <c r="DG76">
        <f>VLOOKUP($B76,'[1]Data_UN_PopulationTot.&amp;%'!$B$4:$CZ$603,97,FALSE)</f>
        <v>1.8061430040713984</v>
      </c>
      <c r="DH76">
        <f>VLOOKUP($B76,'[1]Data_UN_PopulationTot.&amp;%'!$B$4:$CZ$603,98,FALSE)</f>
        <v>1.0854628553345058</v>
      </c>
      <c r="DI76">
        <f>VLOOKUP($B76,'[1]Data_UN_PopulationTot.&amp;%'!$B$4:$CZ$603,99,FALSE)</f>
        <v>0.46617209418380323</v>
      </c>
      <c r="DJ76">
        <f>VLOOKUP($B76,'[1]Data_UN_PopulationTot.&amp;%'!$B$4:$DE$603,100,FALSE)</f>
        <v>0.30465502656450638</v>
      </c>
      <c r="DK76">
        <f>VLOOKUP($B76,'[1]Data_UN_PopulationTot.&amp;%'!$B$4:$DE$603,101,FALSE)</f>
        <v>6.8160932831052179E-2</v>
      </c>
      <c r="DL76">
        <f>VLOOKUP($B76,'[1]Data_UN_PopulationTot.&amp;%'!$B$4:$DE$603,102,FALSE)</f>
        <v>3.2498159046233807E-2</v>
      </c>
    </row>
    <row r="77" spans="1:116">
      <c r="A77" t="s">
        <v>148</v>
      </c>
      <c r="B77" t="s">
        <v>362</v>
      </c>
      <c r="C77" t="s">
        <v>497</v>
      </c>
      <c r="D77" t="s">
        <v>334</v>
      </c>
      <c r="E77" t="s">
        <v>300</v>
      </c>
      <c r="F77">
        <v>0</v>
      </c>
      <c r="G77">
        <v>1</v>
      </c>
      <c r="H77">
        <v>0</v>
      </c>
      <c r="I77">
        <v>0</v>
      </c>
      <c r="J77" s="18">
        <f t="shared" si="3"/>
        <v>136.78051027199999</v>
      </c>
      <c r="K77">
        <f>VLOOKUP($B77,'[1]Source GDP Current USD'!$B$1:$CZ$600,64,FALSE)</f>
        <v>23662231633.913898</v>
      </c>
      <c r="L77" s="45">
        <f>VLOOKUP($B77,'[1]Source GDP Current USD'!$B$1:$CZ$600,65,FALSE)</f>
        <v>23662231633.913898</v>
      </c>
      <c r="M77" s="17">
        <f>VLOOKUP($B77,'[1]Source GDP Current LCU'!$B$1:$CZ$600,64,FALSE)</f>
        <v>585733600000</v>
      </c>
      <c r="N77" s="45">
        <v>590000000000</v>
      </c>
      <c r="O77" s="45">
        <f>VLOOKUP($B77,'[1]Source GNI Current USD'!$B$1:$CZ$600,64,FALSE)</f>
        <v>22047103270.936001</v>
      </c>
      <c r="P77" s="45">
        <f>VLOOKUP($B77,'[1]Source GNI Current LCU'!$B$1:$CZ$600,64,FALSE)</f>
        <v>545752800000</v>
      </c>
      <c r="Q77">
        <f t="shared" si="2"/>
        <v>107.32580758174764</v>
      </c>
      <c r="R77">
        <v>2180</v>
      </c>
      <c r="S77">
        <v>2180</v>
      </c>
      <c r="T77">
        <v>0.44075799999999998</v>
      </c>
      <c r="U77" s="45">
        <v>9900000</v>
      </c>
      <c r="V77">
        <v>23.352</v>
      </c>
      <c r="W77">
        <f>VLOOKUP($B77,'[1]Source Gov. Revenue WEO'!$B$1:$CZ$600,5,FALSE)</f>
        <v>24.582999999999998</v>
      </c>
      <c r="X77">
        <f>VLOOKUP($B77,'[1]Source Gov. Revenue WEO'!$B$1:$CZ$600,6,FALSE)</f>
        <v>25.376000000000001</v>
      </c>
      <c r="Y77">
        <f>VLOOKUP($B77,'[1]Source Gov. Revenue WEO'!$B$1:$CZ$600,7,FALSE)</f>
        <v>25.911999999999999</v>
      </c>
      <c r="Z77">
        <f>VLOOKUP($B77,'[1]Source Gov. Revenue WEO'!$B$1:$CZ$600,8,FALSE)</f>
        <v>25.684999999999999</v>
      </c>
      <c r="AA77">
        <f>VLOOKUP($B77,'[1]Source Gov. Revenue WEO'!$B$1:$CZ$600,9,FALSE)</f>
        <v>25.657</v>
      </c>
      <c r="AB77">
        <f>VLOOKUP($B77,'[1]Source Gov. Revenue WEO'!$B$1:$CZ$600,10,FALSE)</f>
        <v>25.57</v>
      </c>
      <c r="AC77">
        <f>VLOOKUP($B77,[2]Summary!$B$1:$CZ$600,39,FALSE)</f>
        <v>0.1653414</v>
      </c>
      <c r="AD77">
        <f>VLOOKUP($B77,[2]Summary!$B$1:$CZ$600,40,FALSE)</f>
        <v>0.15625</v>
      </c>
      <c r="AE77">
        <f>VLOOKUP($B77,[2]Summary!$B$1:$CZ$600,47,FALSE)</f>
        <v>0.41140416537829172</v>
      </c>
      <c r="AF77">
        <f>VLOOKUP($B77,'[1]CALC GDP Growth rates WDI'!$B$1:$CZ$600,27,FALSE)</f>
        <v>25.722746606034384</v>
      </c>
      <c r="AG77">
        <f>VLOOKUP($B77,'[1]CALC GDP Growth rates WDI'!$B$1:$CZ$600,29,FALSE)</f>
        <v>39.215336281889932</v>
      </c>
      <c r="AH77">
        <v>5.71</v>
      </c>
      <c r="AI77">
        <f>VLOOKUP($B77,'[1]CALC GDP Growth rates WDI'!$B$1:$CZ$600,30,FALSE)</f>
        <v>17.171333244715427</v>
      </c>
      <c r="AJ77" t="s">
        <v>2466</v>
      </c>
      <c r="AK77">
        <f>VLOOKUP($B77,[1]Data_Aspire!$B$1:$CZ$600,2,FALSE)</f>
        <v>2018</v>
      </c>
      <c r="AL77">
        <f>VLOOKUP($B77,[1]Data_Aspire!$B$1:$CZ$600,3,FALSE)</f>
        <v>0.43</v>
      </c>
      <c r="AM77">
        <f>VLOOKUP($B77,[1]Data_Aspire!$B$1:$CZ$600,4,FALSE)</f>
        <v>0.11</v>
      </c>
      <c r="AN77">
        <f>VLOOKUP($B77,[1]Data_Aspire!$B$1:$CZ$600,5,FALSE)</f>
        <v>0.01</v>
      </c>
      <c r="AO77">
        <f>VLOOKUP($B77,[1]Data_Aspire!$B$1:$CZ$600,6,FALSE)</f>
        <v>0</v>
      </c>
      <c r="AP77">
        <f>VLOOKUP($B77,[1]Data_Aspire!$B$1:$CZ$600,7,FALSE)</f>
        <v>0.02</v>
      </c>
      <c r="AQ77">
        <f>VLOOKUP($B77,[1]Data_Aspire!$B$1:$CZ$600,8,FALSE)</f>
        <v>0.03</v>
      </c>
      <c r="AR77">
        <f>VLOOKUP($B77,[1]Data_Aspire!$B$1:$CZ$600,9,FALSE)</f>
        <v>7.0000000000000007E-2</v>
      </c>
      <c r="AS77">
        <f>VLOOKUP($B77,[1]Data_Aspire!$B$1:$CZ$600,10,FALSE)</f>
        <v>0.04</v>
      </c>
      <c r="AT77">
        <f>VLOOKUP($B77,[1]Data_Aspire!$B$1:$CZ$600,11,FALSE)</f>
        <v>0.15</v>
      </c>
      <c r="AU77">
        <f>VLOOKUP($B77,[1]Data_Aspire!$B$1:$CZ$600,12,FALSE)</f>
        <v>0.43</v>
      </c>
      <c r="AV77">
        <f>VLOOKUP($B77,[1]Data_Aspire!$B$1:$CZ$600,13,FALSE)</f>
        <v>240530</v>
      </c>
      <c r="AW77">
        <f>VLOOKUP($B77,[1]Data_Aspire!$B$1:$CZ$600,14,FALSE)</f>
        <v>2015</v>
      </c>
      <c r="BD77">
        <f>VLOOKUP($B77,[1]Data_Aspire!$B$1:$CZ$600,21,FALSE)</f>
        <v>1460000</v>
      </c>
      <c r="BE77">
        <f>VLOOKUP($B77,[1]Data_Aspire!$B$1:$CZ$600,22,FALSE)</f>
        <v>2011</v>
      </c>
      <c r="BF77">
        <f>VLOOKUP($B77,[1]Data_Aspire!$B$1:$CZ$600,23,FALSE)</f>
        <v>13000</v>
      </c>
      <c r="BG77">
        <f>VLOOKUP($B77,[1]Data_Aspire!$B$1:$CZ$600,24,FALSE)</f>
        <v>2011</v>
      </c>
      <c r="BJ77" s="7">
        <v>0</v>
      </c>
      <c r="BK77">
        <v>340</v>
      </c>
      <c r="BL77">
        <f>VLOOKUP($B77,'[1]Data_UN_PopulationTot.&amp;%'!$B$4:$CZ$603,8,FALSE)</f>
        <v>9904.61</v>
      </c>
      <c r="BM77">
        <f>VLOOKUP($B77,'[1]Data_UN_PopulationTot.&amp;%'!$B$4:$CZ$603,9,FALSE)</f>
        <v>10063</v>
      </c>
      <c r="BN77">
        <v>10221.299999999999</v>
      </c>
      <c r="BO77">
        <f>VLOOKUP($B77,'[1]Data_UN_PopulationTot.&amp;%'!$B$4:$CZ$603,11,FALSE)</f>
        <v>10379.1</v>
      </c>
      <c r="BP77">
        <f>VLOOKUP($B77,'[1]Data_UN_PopulationTot.&amp;%'!$B$4:$CZ$603,12,FALSE)</f>
        <v>10536.2</v>
      </c>
      <c r="BQ77">
        <f>VLOOKUP($B77,'[1]Data_UN_PopulationTot.&amp;%'!$B$4:$CZ$603,13,FALSE)</f>
        <v>10692.2</v>
      </c>
      <c r="BR77">
        <f>VLOOKUP($B77,'[1]Data_UN_PopulationTot.&amp;%'!$B$4:$CZ$603,14,FALSE)</f>
        <v>10847</v>
      </c>
      <c r="BS77">
        <f>VLOOKUP($B77,'[1]Data_UN_PopulationTot.&amp;%'!$B$4:$CZ$603,15,FALSE)</f>
        <v>11000.4</v>
      </c>
      <c r="BT77">
        <f>VLOOKUP($B77,'[1]Data_UN_PopulationTot.&amp;%'!$B$4:$CZ$603,16,FALSE)</f>
        <v>11152.1</v>
      </c>
      <c r="BU77">
        <f>VLOOKUP($B77,'[1]Data_UN_PopulationTot.&amp;%'!$B$4:$CZ$603,17,FALSE)</f>
        <v>11301.8</v>
      </c>
      <c r="BV77">
        <f>VLOOKUP($B77,'[1]Data_UN_PopulationTot.&amp;%'!$B$4:$CZ$603,18,FALSE)</f>
        <v>11449.2</v>
      </c>
      <c r="BW77">
        <f>VLOOKUP($B77,'[1]Data_UN_PopulationTot.&amp;%'!$B$4:$CZ$603,61,FALSE)</f>
        <v>10.268147862460006</v>
      </c>
      <c r="BX77">
        <f>VLOOKUP($B77,'[1]Data_UN_PopulationTot.&amp;%'!$B$4:$CZ$603,62,FALSE)</f>
        <v>9.9849968852887692</v>
      </c>
      <c r="BY77">
        <f>VLOOKUP($B77,'[1]Data_UN_PopulationTot.&amp;%'!$B$4:$CZ$603,63,FALSE)</f>
        <v>10.335086389065292</v>
      </c>
      <c r="BZ77">
        <f>VLOOKUP($B77,'[1]Data_UN_PopulationTot.&amp;%'!$B$4:$CZ$603,64,FALSE)</f>
        <v>10.510156381725277</v>
      </c>
      <c r="CA77">
        <f>VLOOKUP($B77,'[1]Data_UN_PopulationTot.&amp;%'!$B$4:$CZ$603,65,FALSE)</f>
        <v>10.245027315563156</v>
      </c>
      <c r="CB77">
        <f>VLOOKUP($B77,'[1]Data_UN_PopulationTot.&amp;%'!$B$4:$CZ$603,66,FALSE)</f>
        <v>8.9926508969055821</v>
      </c>
      <c r="CC77">
        <f>VLOOKUP($B77,'[1]Data_UN_PopulationTot.&amp;%'!$B$4:$CZ$603,67,FALSE)</f>
        <v>7.9111242138761639</v>
      </c>
      <c r="CD77">
        <f>VLOOKUP($B77,'[1]Data_UN_PopulationTot.&amp;%'!$B$4:$CZ$603,68,FALSE)</f>
        <v>6.9399097995781753</v>
      </c>
      <c r="CE77">
        <f>VLOOKUP($B77,'[1]Data_UN_PopulationTot.&amp;%'!$B$4:$CZ$603,69,FALSE)</f>
        <v>5.855182586694478</v>
      </c>
      <c r="CF77">
        <f>VLOOKUP($B77,'[1]Data_UN_PopulationTot.&amp;%'!$B$4:$CZ$603,70,FALSE)</f>
        <v>4.7230834934439612</v>
      </c>
      <c r="CG77">
        <f>VLOOKUP($B77,'[1]Data_UN_PopulationTot.&amp;%'!$B$4:$CZ$603,71,FALSE)</f>
        <v>3.8482585381958501</v>
      </c>
      <c r="CH77">
        <f>VLOOKUP($B77,'[1]Data_UN_PopulationTot.&amp;%'!$B$4:$CZ$603,72,FALSE)</f>
        <v>3.017342429434374</v>
      </c>
      <c r="CI77">
        <f>VLOOKUP($B77,'[1]Data_UN_PopulationTot.&amp;%'!$B$4:$CZ$603,73,FALSE)</f>
        <v>2.3958742444174983</v>
      </c>
      <c r="CJ77">
        <f>VLOOKUP($B77,'[1]Data_UN_PopulationTot.&amp;%'!$B$4:$CZ$603,74,FALSE)</f>
        <v>1.8453629168639654</v>
      </c>
      <c r="CK77">
        <f>VLOOKUP($B77,'[1]Data_UN_PopulationTot.&amp;%'!$B$4:$CZ$603,75,FALSE)</f>
        <v>1.2391300616581569</v>
      </c>
      <c r="CL77">
        <f>VLOOKUP($B77,'[1]Data_UN_PopulationTot.&amp;%'!$B$4:$CZ$603,76,FALSE)</f>
        <v>0.83375317150296679</v>
      </c>
      <c r="CM77">
        <f>VLOOKUP($B77,'[1]Data_UN_PopulationTot.&amp;%'!$B$4:$CZ$603,77,FALSE)</f>
        <v>0.55817442584816557</v>
      </c>
      <c r="CN77">
        <f>VLOOKUP($B77,'[1]Data_UN_PopulationTot.&amp;%'!$B$4:$CZ$603,78,FALSE)</f>
        <v>0.32010346697144054</v>
      </c>
      <c r="CO77">
        <f>VLOOKUP($B77,'[1]Data_UN_PopulationTot.&amp;%'!$B$4:$CZ$603,79,FALSE)</f>
        <v>0.13412946092779018</v>
      </c>
      <c r="CP77">
        <f>VLOOKUP($B77,'[1]Data_UN_PopulationTot.&amp;%'!$B$4:$CZ$603,80,FALSE)</f>
        <v>3.7568364630207546E-2</v>
      </c>
      <c r="CQ77">
        <f>VLOOKUP($B77,'[1]Data_UN_PopulationTot.&amp;%'!$B$4:$CZ$603,81,FALSE)</f>
        <v>4.9572875660929602E-3</v>
      </c>
      <c r="CR77">
        <f>VLOOKUP($B77,'[1]Data_UN_PopulationTot.&amp;%'!$B$4:$CZ$603,82,FALSE)</f>
        <v>8.8835901198337002</v>
      </c>
      <c r="CS77">
        <f>VLOOKUP($B77,'[1]Data_UN_PopulationTot.&amp;%'!$B$4:$CZ$603,83,FALSE)</f>
        <v>8.9374803479719098</v>
      </c>
      <c r="CT77">
        <f>VLOOKUP($B77,'[1]Data_UN_PopulationTot.&amp;%'!$B$4:$CZ$603,84,FALSE)</f>
        <v>8.8007895748174541</v>
      </c>
      <c r="CU77">
        <f>VLOOKUP($B77,'[1]Data_UN_PopulationTot.&amp;%'!$B$4:$CZ$603,85,FALSE)</f>
        <v>8.5560563183453855</v>
      </c>
      <c r="CV77">
        <f>VLOOKUP($B77,'[1]Data_UN_PopulationTot.&amp;%'!$B$4:$CZ$603,86,FALSE)</f>
        <v>8.8048946651294404</v>
      </c>
      <c r="CW77">
        <f>VLOOKUP($B77,'[1]Data_UN_PopulationTot.&amp;%'!$B$4:$CZ$603,87,FALSE)</f>
        <v>8.9007092198581557</v>
      </c>
      <c r="CX77">
        <f>VLOOKUP($B77,'[1]Data_UN_PopulationTot.&amp;%'!$B$4:$CZ$603,88,FALSE)</f>
        <v>8.64583551689201</v>
      </c>
      <c r="CY77">
        <f>VLOOKUP($B77,'[1]Data_UN_PopulationTot.&amp;%'!$B$4:$CZ$603,89,FALSE)</f>
        <v>7.5661268909618133</v>
      </c>
      <c r="CZ77">
        <f>VLOOKUP($B77,'[1]Data_UN_PopulationTot.&amp;%'!$B$4:$CZ$603,90,FALSE)</f>
        <v>6.6356688676938127</v>
      </c>
      <c r="DA77">
        <f>VLOOKUP($B77,'[1]Data_UN_PopulationTot.&amp;%'!$B$4:$CZ$603,91,FALSE)</f>
        <v>5.7954354889424584</v>
      </c>
      <c r="DB77">
        <f>VLOOKUP($B77,'[1]Data_UN_PopulationTot.&amp;%'!$B$4:$CZ$603,92,FALSE)</f>
        <v>4.8544090416797685</v>
      </c>
      <c r="DC77">
        <f>VLOOKUP($B77,'[1]Data_UN_PopulationTot.&amp;%'!$B$4:$CZ$603,93,FALSE)</f>
        <v>3.8688467316493726</v>
      </c>
      <c r="DD77">
        <f>VLOOKUP($B77,'[1]Data_UN_PopulationTot.&amp;%'!$B$4:$CZ$603,94,FALSE)</f>
        <v>3.0895870453830834</v>
      </c>
      <c r="DE77">
        <f>VLOOKUP($B77,'[1]Data_UN_PopulationTot.&amp;%'!$B$4:$CZ$603,95,FALSE)</f>
        <v>2.3427051671732522</v>
      </c>
      <c r="DF77">
        <f>VLOOKUP($B77,'[1]Data_UN_PopulationTot.&amp;%'!$B$4:$CZ$603,96,FALSE)</f>
        <v>1.7595028473605143</v>
      </c>
      <c r="DG77">
        <f>VLOOKUP($B77,'[1]Data_UN_PopulationTot.&amp;%'!$B$4:$CZ$603,97,FALSE)</f>
        <v>1.2362435803374907</v>
      </c>
      <c r="DH77">
        <f>VLOOKUP($B77,'[1]Data_UN_PopulationTot.&amp;%'!$B$4:$CZ$603,98,FALSE)</f>
        <v>0.71357824127449943</v>
      </c>
      <c r="DI77">
        <f>VLOOKUP($B77,'[1]Data_UN_PopulationTot.&amp;%'!$B$4:$CZ$603,99,FALSE)</f>
        <v>0.37587779058798865</v>
      </c>
      <c r="DJ77">
        <f>VLOOKUP($B77,'[1]Data_UN_PopulationTot.&amp;%'!$B$4:$DE$603,100,FALSE)</f>
        <v>0.17068441463158998</v>
      </c>
      <c r="DK77">
        <f>VLOOKUP($B77,'[1]Data_UN_PopulationTot.&amp;%'!$B$4:$DE$603,101,FALSE)</f>
        <v>5.3069210075813146E-2</v>
      </c>
      <c r="DL77">
        <f>VLOOKUP($B77,'[1]Data_UN_PopulationTot.&amp;%'!$B$4:$DE$603,102,FALSE)</f>
        <v>9.1796806763791358E-3</v>
      </c>
    </row>
    <row r="78" spans="1:116">
      <c r="A78" t="s">
        <v>238</v>
      </c>
      <c r="B78" t="s">
        <v>509</v>
      </c>
      <c r="C78" t="s">
        <v>485</v>
      </c>
      <c r="D78" t="s">
        <v>622</v>
      </c>
      <c r="E78" t="s">
        <v>2269</v>
      </c>
      <c r="F78">
        <v>0</v>
      </c>
      <c r="G78">
        <v>0</v>
      </c>
      <c r="H78">
        <v>0</v>
      </c>
      <c r="I78">
        <v>1</v>
      </c>
      <c r="J78" s="18">
        <f t="shared" si="3"/>
        <v>181.686971808447</v>
      </c>
      <c r="K78">
        <f>VLOOKUP($B78,'[1]Source GDP Current USD'!$B$1:$CZ$600,64,FALSE)</f>
        <v>57203783203.025902</v>
      </c>
      <c r="L78" s="45">
        <f>VLOOKUP($B78,'[1]Source GDP Current USD'!$B$1:$CZ$600,65,FALSE)</f>
        <v>57203783203.025902</v>
      </c>
      <c r="M78" s="17">
        <f>VLOOKUP($B78,'[1]Source GDP Current LCU'!$B$1:$CZ$600,64,FALSE)</f>
        <v>378348996914.78101</v>
      </c>
      <c r="N78" s="45">
        <v>380000000000</v>
      </c>
      <c r="O78" s="45">
        <f>VLOOKUP($B78,'[1]Source GNI Current USD'!$B$1:$CZ$600,64,FALSE)</f>
        <v>57417029309.209602</v>
      </c>
      <c r="P78" s="45">
        <f>VLOOKUP($B78,'[1]Source GNI Current LCU'!$B$1:$CZ$600,64,FALSE)</f>
        <v>379759418496.23901</v>
      </c>
      <c r="Q78">
        <f t="shared" si="2"/>
        <v>99.628601289984346</v>
      </c>
      <c r="R78">
        <v>14530</v>
      </c>
      <c r="S78">
        <v>14530</v>
      </c>
      <c r="T78">
        <v>0.49006</v>
      </c>
      <c r="U78" s="45">
        <v>4000000</v>
      </c>
      <c r="V78">
        <v>48.021000000000001</v>
      </c>
      <c r="W78">
        <f>VLOOKUP($B78,'[1]Source Gov. Revenue WEO'!$B$1:$CZ$600,5,FALSE)</f>
        <v>51.128</v>
      </c>
      <c r="X78">
        <f>VLOOKUP($B78,'[1]Source Gov. Revenue WEO'!$B$1:$CZ$600,6,FALSE)</f>
        <v>52.317999999999998</v>
      </c>
      <c r="Y78">
        <f>VLOOKUP($B78,'[1]Source Gov. Revenue WEO'!$B$1:$CZ$600,7,FALSE)</f>
        <v>52.057000000000002</v>
      </c>
      <c r="Z78">
        <f>VLOOKUP($B78,'[1]Source Gov. Revenue WEO'!$B$1:$CZ$600,8,FALSE)</f>
        <v>50.411000000000001</v>
      </c>
      <c r="AA78">
        <f>VLOOKUP($B78,'[1]Source Gov. Revenue WEO'!$B$1:$CZ$600,9,FALSE)</f>
        <v>48.79</v>
      </c>
      <c r="AB78">
        <f>VLOOKUP($B78,'[1]Source Gov. Revenue WEO'!$B$1:$CZ$600,10,FALSE)</f>
        <v>48.082000000000001</v>
      </c>
      <c r="AC78">
        <f>VLOOKUP($B78,[2]Summary!$B$1:$CZ$600,39,FALSE)</f>
        <v>5.2976350000000002E-3</v>
      </c>
      <c r="AD78">
        <f>VLOOKUP($B78,[2]Summary!$B$1:$CZ$600,40,FALSE)</f>
        <v>5.0000000000000001E-3</v>
      </c>
      <c r="AE78">
        <f>VLOOKUP($B78,[2]Summary!$B$1:$CZ$600,47,FALSE)</f>
        <v>0.4240331022117646</v>
      </c>
      <c r="AF78">
        <f>VLOOKUP($B78,'[1]CALC GDP Growth rates WDI'!$B$1:$CZ$600,27,FALSE)</f>
        <v>4.1436382519019714</v>
      </c>
      <c r="AG78">
        <f>VLOOKUP($B78,'[1]CALC GDP Growth rates WDI'!$B$1:$CZ$600,29,FALSE)</f>
        <v>7.9904639142639011</v>
      </c>
      <c r="AH78">
        <v>4.78</v>
      </c>
      <c r="AI78">
        <f>VLOOKUP($B78,'[1]CALC GDP Growth rates WDI'!$B$1:$CZ$600,30,FALSE)</f>
        <v>12.79870479688039</v>
      </c>
      <c r="AJ78" s="45"/>
      <c r="AK78">
        <f>VLOOKUP($B78,[1]Data_Aspire!$B$1:$CZ$600,2,FALSE)</f>
        <v>2017</v>
      </c>
      <c r="AL78">
        <f>VLOOKUP($B78,[1]Data_Aspire!$B$1:$CZ$600,3,FALSE)</f>
        <v>3.27</v>
      </c>
      <c r="AM78">
        <f>VLOOKUP($B78,[1]Data_Aspire!$B$1:$CZ$600,4,FALSE)</f>
        <v>0</v>
      </c>
      <c r="AN78">
        <f>VLOOKUP($B78,[1]Data_Aspire!$B$1:$CZ$600,5,FALSE)</f>
        <v>1.58</v>
      </c>
      <c r="AO78">
        <f>VLOOKUP($B78,[1]Data_Aspire!$B$1:$CZ$600,6,FALSE)</f>
        <v>1.64</v>
      </c>
      <c r="AQ78">
        <f>VLOOKUP($B78,[1]Data_Aspire!$B$1:$CZ$600,8,FALSE)</f>
        <v>0.05</v>
      </c>
      <c r="AU78">
        <f>VLOOKUP($B78,[1]Data_Aspire!$B$1:$CZ$600,12,FALSE)</f>
        <v>3.27</v>
      </c>
      <c r="AX78">
        <f>VLOOKUP($B78,[1]Data_Aspire!$B$1:$CZ$600,15,FALSE)</f>
        <v>216013</v>
      </c>
      <c r="AY78">
        <f>VLOOKUP($B78,[1]Data_Aspire!$B$1:$CZ$600,16,FALSE)</f>
        <v>2011</v>
      </c>
      <c r="BB78">
        <f>VLOOKUP($B78,[1]Data_Aspire!$B$1:$CZ$600,19,FALSE)</f>
        <v>1097141</v>
      </c>
      <c r="BC78">
        <f>VLOOKUP($B78,[1]Data_Aspire!$B$1:$CZ$600,20,FALSE)</f>
        <v>2011</v>
      </c>
      <c r="BD78">
        <f>VLOOKUP($B78,[1]Data_Aspire!$B$1:$CZ$600,21,FALSE)</f>
        <v>152000</v>
      </c>
      <c r="BE78">
        <f>VLOOKUP($B78,[1]Data_Aspire!$B$1:$CZ$600,22,FALSE)</f>
        <v>2011</v>
      </c>
      <c r="BJ78" s="7">
        <v>0</v>
      </c>
      <c r="BK78">
        <v>191</v>
      </c>
      <c r="BL78">
        <f>VLOOKUP($B78,'[1]Data_UN_PopulationTot.&amp;%'!$B$4:$CZ$603,8,FALSE)</f>
        <v>4105.2700000000004</v>
      </c>
      <c r="BM78">
        <f>VLOOKUP($B78,'[1]Data_UN_PopulationTot.&amp;%'!$B$4:$CZ$603,9,FALSE)</f>
        <v>4081.66</v>
      </c>
      <c r="BN78">
        <v>4059.28</v>
      </c>
      <c r="BO78">
        <f>VLOOKUP($B78,'[1]Data_UN_PopulationTot.&amp;%'!$B$4:$CZ$603,11,FALSE)</f>
        <v>4037.69</v>
      </c>
      <c r="BP78">
        <f>VLOOKUP($B78,'[1]Data_UN_PopulationTot.&amp;%'!$B$4:$CZ$603,12,FALSE)</f>
        <v>4016.14</v>
      </c>
      <c r="BQ78">
        <f>VLOOKUP($B78,'[1]Data_UN_PopulationTot.&amp;%'!$B$4:$CZ$603,13,FALSE)</f>
        <v>3994.08</v>
      </c>
      <c r="BR78">
        <f>VLOOKUP($B78,'[1]Data_UN_PopulationTot.&amp;%'!$B$4:$CZ$603,14,FALSE)</f>
        <v>3971.4</v>
      </c>
      <c r="BS78">
        <f>VLOOKUP($B78,'[1]Data_UN_PopulationTot.&amp;%'!$B$4:$CZ$603,15,FALSE)</f>
        <v>3948.25</v>
      </c>
      <c r="BT78">
        <f>VLOOKUP($B78,'[1]Data_UN_PopulationTot.&amp;%'!$B$4:$CZ$603,16,FALSE)</f>
        <v>3924.75</v>
      </c>
      <c r="BU78">
        <f>VLOOKUP($B78,'[1]Data_UN_PopulationTot.&amp;%'!$B$4:$CZ$603,17,FALSE)</f>
        <v>3901.05</v>
      </c>
      <c r="BV78">
        <f>VLOOKUP($B78,'[1]Data_UN_PopulationTot.&amp;%'!$B$4:$CZ$603,18,FALSE)</f>
        <v>3877.27</v>
      </c>
      <c r="BW78">
        <f>VLOOKUP($B78,'[1]Data_UN_PopulationTot.&amp;%'!$B$4:$CZ$603,61,FALSE)</f>
        <v>4.4857220109761355</v>
      </c>
      <c r="BX78">
        <f>VLOOKUP($B78,'[1]Data_UN_PopulationTot.&amp;%'!$B$4:$CZ$603,62,FALSE)</f>
        <v>4.9113700195115051</v>
      </c>
      <c r="BY78">
        <f>VLOOKUP($B78,'[1]Data_UN_PopulationTot.&amp;%'!$B$4:$CZ$603,63,FALSE)</f>
        <v>5.1444606566681355</v>
      </c>
      <c r="BZ78">
        <f>VLOOKUP($B78,'[1]Data_UN_PopulationTot.&amp;%'!$B$4:$CZ$603,64,FALSE)</f>
        <v>4.7965663646970844</v>
      </c>
      <c r="CA78">
        <f>VLOOKUP($B78,'[1]Data_UN_PopulationTot.&amp;%'!$B$4:$CZ$603,65,FALSE)</f>
        <v>5.7518993878599938</v>
      </c>
      <c r="CB78">
        <f>VLOOKUP($B78,'[1]Data_UN_PopulationTot.&amp;%'!$B$4:$CZ$603,66,FALSE)</f>
        <v>5.7503891339668272</v>
      </c>
      <c r="CC78">
        <f>VLOOKUP($B78,'[1]Data_UN_PopulationTot.&amp;%'!$B$4:$CZ$603,67,FALSE)</f>
        <v>6.2728882631349459</v>
      </c>
      <c r="CD78">
        <f>VLOOKUP($B78,'[1]Data_UN_PopulationTot.&amp;%'!$B$4:$CZ$603,68,FALSE)</f>
        <v>6.8636654836344499</v>
      </c>
      <c r="CE78">
        <f>VLOOKUP($B78,'[1]Data_UN_PopulationTot.&amp;%'!$B$4:$CZ$603,69,FALSE)</f>
        <v>7.018710097021633</v>
      </c>
      <c r="CF78">
        <f>VLOOKUP($B78,'[1]Data_UN_PopulationTot.&amp;%'!$B$4:$CZ$603,70,FALSE)</f>
        <v>6.5492647255844316</v>
      </c>
      <c r="CG78">
        <f>VLOOKUP($B78,'[1]Data_UN_PopulationTot.&amp;%'!$B$4:$CZ$603,71,FALSE)</f>
        <v>6.8452014118438003</v>
      </c>
      <c r="CH78">
        <f>VLOOKUP($B78,'[1]Data_UN_PopulationTot.&amp;%'!$B$4:$CZ$603,72,FALSE)</f>
        <v>7.3166685747831446</v>
      </c>
      <c r="CI78">
        <f>VLOOKUP($B78,'[1]Data_UN_PopulationTot.&amp;%'!$B$4:$CZ$603,73,FALSE)</f>
        <v>7.0409010856776773</v>
      </c>
      <c r="CJ78">
        <f>VLOOKUP($B78,'[1]Data_UN_PopulationTot.&amp;%'!$B$4:$CZ$603,74,FALSE)</f>
        <v>6.7311041661084401</v>
      </c>
      <c r="CK78">
        <f>VLOOKUP($B78,'[1]Data_UN_PopulationTot.&amp;%'!$B$4:$CZ$603,75,FALSE)</f>
        <v>5.0188172763301804</v>
      </c>
      <c r="CL78">
        <f>VLOOKUP($B78,'[1]Data_UN_PopulationTot.&amp;%'!$B$4:$CZ$603,76,FALSE)</f>
        <v>3.798020593042601</v>
      </c>
      <c r="CM78">
        <f>VLOOKUP($B78,'[1]Data_UN_PopulationTot.&amp;%'!$B$4:$CZ$603,77,FALSE)</f>
        <v>3.2614663590945296</v>
      </c>
      <c r="CN78">
        <f>VLOOKUP($B78,'[1]Data_UN_PopulationTot.&amp;%'!$B$4:$CZ$603,78,FALSE)</f>
        <v>1.7344778784343051</v>
      </c>
      <c r="CO78">
        <f>VLOOKUP($B78,'[1]Data_UN_PopulationTot.&amp;%'!$B$4:$CZ$603,79,FALSE)</f>
        <v>0.60980154776665108</v>
      </c>
      <c r="CP78">
        <f>VLOOKUP($B78,'[1]Data_UN_PopulationTot.&amp;%'!$B$4:$CZ$603,80,FALSE)</f>
        <v>9.2807537628462916E-2</v>
      </c>
      <c r="CQ78">
        <f>VLOOKUP($B78,'[1]Data_UN_PopulationTot.&amp;%'!$B$4:$CZ$603,81,FALSE)</f>
        <v>5.7487083675373356E-3</v>
      </c>
      <c r="CR78">
        <f>VLOOKUP($B78,'[1]Data_UN_PopulationTot.&amp;%'!$B$4:$CZ$603,82,FALSE)</f>
        <v>4.0374283967843354</v>
      </c>
      <c r="CS78">
        <f>VLOOKUP($B78,'[1]Data_UN_PopulationTot.&amp;%'!$B$4:$CZ$603,83,FALSE)</f>
        <v>4.306122606885773</v>
      </c>
      <c r="CT78">
        <f>VLOOKUP($B78,'[1]Data_UN_PopulationTot.&amp;%'!$B$4:$CZ$603,84,FALSE)</f>
        <v>4.727475775481202</v>
      </c>
      <c r="CU78">
        <f>VLOOKUP($B78,'[1]Data_UN_PopulationTot.&amp;%'!$B$4:$CZ$603,85,FALSE)</f>
        <v>5.1711126643230934</v>
      </c>
      <c r="CV78">
        <f>VLOOKUP($B78,'[1]Data_UN_PopulationTot.&amp;%'!$B$4:$CZ$603,86,FALSE)</f>
        <v>5.3790682619471948</v>
      </c>
      <c r="CW78">
        <f>VLOOKUP($B78,'[1]Data_UN_PopulationTot.&amp;%'!$B$4:$CZ$603,87,FALSE)</f>
        <v>4.9744536748794896</v>
      </c>
      <c r="CX78">
        <f>VLOOKUP($B78,'[1]Data_UN_PopulationTot.&amp;%'!$B$4:$CZ$603,88,FALSE)</f>
        <v>5.9766536764269702</v>
      </c>
      <c r="CY78">
        <f>VLOOKUP($B78,'[1]Data_UN_PopulationTot.&amp;%'!$B$4:$CZ$603,89,FALSE)</f>
        <v>5.9865575520920649</v>
      </c>
      <c r="CZ78">
        <f>VLOOKUP($B78,'[1]Data_UN_PopulationTot.&amp;%'!$B$4:$CZ$603,90,FALSE)</f>
        <v>6.5411745893373423</v>
      </c>
      <c r="DA78">
        <f>VLOOKUP($B78,'[1]Data_UN_PopulationTot.&amp;%'!$B$4:$CZ$603,91,FALSE)</f>
        <v>7.1420870870483615</v>
      </c>
      <c r="DB78">
        <f>VLOOKUP($B78,'[1]Data_UN_PopulationTot.&amp;%'!$B$4:$CZ$603,92,FALSE)</f>
        <v>7.2448655884165918</v>
      </c>
      <c r="DC78">
        <f>VLOOKUP($B78,'[1]Data_UN_PopulationTot.&amp;%'!$B$4:$CZ$603,93,FALSE)</f>
        <v>6.6545791239712475</v>
      </c>
      <c r="DD78">
        <f>VLOOKUP($B78,'[1]Data_UN_PopulationTot.&amp;%'!$B$4:$CZ$603,94,FALSE)</f>
        <v>6.7815499049589016</v>
      </c>
      <c r="DE78">
        <f>VLOOKUP($B78,'[1]Data_UN_PopulationTot.&amp;%'!$B$4:$CZ$603,95,FALSE)</f>
        <v>6.9793952961748866</v>
      </c>
      <c r="DF78">
        <f>VLOOKUP($B78,'[1]Data_UN_PopulationTot.&amp;%'!$B$4:$CZ$603,96,FALSE)</f>
        <v>6.3635496109375929</v>
      </c>
      <c r="DG78">
        <f>VLOOKUP($B78,'[1]Data_UN_PopulationTot.&amp;%'!$B$4:$CZ$603,97,FALSE)</f>
        <v>5.5271363614089291</v>
      </c>
      <c r="DH78">
        <f>VLOOKUP($B78,'[1]Data_UN_PopulationTot.&amp;%'!$B$4:$CZ$603,98,FALSE)</f>
        <v>3.3970809358130847</v>
      </c>
      <c r="DI78">
        <f>VLOOKUP($B78,'[1]Data_UN_PopulationTot.&amp;%'!$B$4:$CZ$603,99,FALSE)</f>
        <v>1.7991782878159117</v>
      </c>
      <c r="DJ78">
        <f>VLOOKUP($B78,'[1]Data_UN_PopulationTot.&amp;%'!$B$4:$DE$603,100,FALSE)</f>
        <v>0.83079073678129201</v>
      </c>
      <c r="DK78">
        <f>VLOOKUP($B78,'[1]Data_UN_PopulationTot.&amp;%'!$B$4:$DE$603,101,FALSE)</f>
        <v>0.16511617710399329</v>
      </c>
      <c r="DL78">
        <f>VLOOKUP($B78,'[1]Data_UN_PopulationTot.&amp;%'!$B$4:$DE$603,102,FALSE)</f>
        <v>1.4546317383107184E-2</v>
      </c>
    </row>
    <row r="79" spans="1:116">
      <c r="A79" t="s">
        <v>128</v>
      </c>
      <c r="B79" t="s">
        <v>342</v>
      </c>
      <c r="C79" t="s">
        <v>497</v>
      </c>
      <c r="D79" t="s">
        <v>334</v>
      </c>
      <c r="E79" t="s">
        <v>300</v>
      </c>
      <c r="F79">
        <v>0</v>
      </c>
      <c r="G79">
        <v>1</v>
      </c>
      <c r="H79">
        <v>0</v>
      </c>
      <c r="I79">
        <v>0</v>
      </c>
      <c r="J79" s="18">
        <f t="shared" si="3"/>
        <v>108.524077316625</v>
      </c>
      <c r="K79">
        <f>VLOOKUP($B79,'[1]Source GDP Current USD'!$B$1:$CZ$600,64,FALSE)</f>
        <v>14508218017.4032</v>
      </c>
      <c r="L79" s="45">
        <f>VLOOKUP($B79,'[1]Source GDP Current USD'!$B$1:$CZ$600,65,FALSE)</f>
        <v>14508218017.4032</v>
      </c>
      <c r="M79" s="17">
        <f>VLOOKUP($B79,'[1]Source GDP Current LCU'!$B$1:$CZ$600,64,FALSE)</f>
        <v>1449887472500</v>
      </c>
      <c r="N79" s="45">
        <v>1500000000000</v>
      </c>
      <c r="O79" s="45">
        <f>VLOOKUP($B79,'[1]Source GNI Current USD'!$B$1:$CZ$600,64,FALSE)</f>
        <v>14536821917.3148</v>
      </c>
      <c r="P79" s="45">
        <f>VLOOKUP($B79,'[1]Source GNI Current LCU'!$B$1:$CZ$600,64,FALSE)</f>
        <v>1452746020400</v>
      </c>
      <c r="Q79">
        <f t="shared" si="2"/>
        <v>99.803231407289431</v>
      </c>
      <c r="R79">
        <v>1320</v>
      </c>
      <c r="S79">
        <v>1320</v>
      </c>
      <c r="T79">
        <v>0.41107900000000003</v>
      </c>
      <c r="U79" s="45">
        <v>11000000</v>
      </c>
      <c r="V79">
        <v>7.4850000000000003</v>
      </c>
      <c r="W79">
        <f>VLOOKUP($B79,'[1]Source Gov. Revenue WEO'!$B$1:$CZ$600,5,FALSE)</f>
        <v>7.8609999999999998</v>
      </c>
      <c r="X79">
        <f>VLOOKUP($B79,'[1]Source Gov. Revenue WEO'!$B$1:$CZ$600,6,FALSE)</f>
        <v>7.8780000000000001</v>
      </c>
      <c r="Y79">
        <f>VLOOKUP($B79,'[1]Source Gov. Revenue WEO'!$B$1:$CZ$600,7,FALSE)</f>
        <v>8.9489999999999998</v>
      </c>
      <c r="Z79">
        <f>VLOOKUP($B79,'[1]Source Gov. Revenue WEO'!$B$1:$CZ$600,8,FALSE)</f>
        <v>9.68</v>
      </c>
      <c r="AA79">
        <f>VLOOKUP($B79,'[1]Source Gov. Revenue WEO'!$B$1:$CZ$600,9,FALSE)</f>
        <v>10.206</v>
      </c>
      <c r="AB79">
        <f>VLOOKUP($B79,'[1]Source Gov. Revenue WEO'!$B$1:$CZ$600,10,FALSE)</f>
        <v>10.276999999999999</v>
      </c>
      <c r="AC79">
        <f>VLOOKUP($B79,[2]Summary!$B$1:$CZ$600,39,FALSE)</f>
        <v>0.25347729999999996</v>
      </c>
      <c r="AD79">
        <f>VLOOKUP($B79,[2]Summary!$B$1:$CZ$600,40,FALSE)</f>
        <v>0.26500000000000001</v>
      </c>
      <c r="AE79">
        <f>VLOOKUP($B79,[2]Summary!$B$1:$CZ$600,47,FALSE)</f>
        <v>0.1572015454355809</v>
      </c>
      <c r="AF79">
        <f>VLOOKUP($B79,'[1]CALC GDP Growth rates WDI'!$B$1:$CZ$600,27,FALSE)</f>
        <v>15.923194061795739</v>
      </c>
      <c r="AG79">
        <f>VLOOKUP($B79,'[1]CALC GDP Growth rates WDI'!$B$1:$CZ$600,29,FALSE)</f>
        <v>14.999971360910802</v>
      </c>
      <c r="AH79">
        <v>0.88</v>
      </c>
      <c r="AI79">
        <f>VLOOKUP($B79,'[1]CALC GDP Growth rates WDI'!$B$1:$CZ$600,30,FALSE)</f>
        <v>8.7391949054536067</v>
      </c>
      <c r="AJ79" t="s">
        <v>2464</v>
      </c>
      <c r="AM79">
        <f>VLOOKUP($B79,[1]Data_Aspire!$B$1:$CZ$600,4,FALSE)</f>
        <v>0</v>
      </c>
      <c r="AN79">
        <f>VLOOKUP($B79,[1]Data_Aspire!$B$1:$CZ$600,5,FALSE)</f>
        <v>0</v>
      </c>
      <c r="AV79">
        <f>VLOOKUP($B79,[1]Data_Aspire!$B$1:$CZ$600,13,FALSE)</f>
        <v>86234</v>
      </c>
      <c r="AW79">
        <f>VLOOKUP($B79,[1]Data_Aspire!$B$1:$CZ$600,14,FALSE)</f>
        <v>2014</v>
      </c>
      <c r="BB79">
        <f>VLOOKUP($B79,[1]Data_Aspire!$B$1:$CZ$600,19,FALSE)</f>
        <v>300000</v>
      </c>
      <c r="BC79">
        <f>VLOOKUP($B79,[1]Data_Aspire!$B$1:$CZ$600,20,FALSE)</f>
        <v>2014</v>
      </c>
      <c r="BD79">
        <f>VLOOKUP($B79,[1]Data_Aspire!$B$1:$CZ$600,21,FALSE)</f>
        <v>818828</v>
      </c>
      <c r="BE79">
        <f>VLOOKUP($B79,[1]Data_Aspire!$B$1:$CZ$600,22,FALSE)</f>
        <v>2013</v>
      </c>
      <c r="BF79">
        <f>VLOOKUP($B79,[1]Data_Aspire!$B$1:$CZ$600,23,FALSE)</f>
        <v>450000</v>
      </c>
      <c r="BG79">
        <f>VLOOKUP($B79,[1]Data_Aspire!$B$1:$CZ$600,24,FALSE)</f>
        <v>2009</v>
      </c>
      <c r="BH79">
        <f>VLOOKUP($B79,[1]Data_Aspire!$B$1:$CZ$600,25,FALSE)</f>
        <v>1399173</v>
      </c>
      <c r="BI79">
        <f>VLOOKUP($B79,[1]Data_Aspire!$B$1:$CZ$600,26,FALSE)</f>
        <v>2013</v>
      </c>
      <c r="BJ79" s="7">
        <v>0</v>
      </c>
      <c r="BK79">
        <v>332</v>
      </c>
      <c r="BL79">
        <f>VLOOKUP($B79,'[1]Data_UN_PopulationTot.&amp;%'!$B$4:$CZ$603,8,FALSE)</f>
        <v>11402.5</v>
      </c>
      <c r="BM79">
        <f>VLOOKUP($B79,'[1]Data_UN_PopulationTot.&amp;%'!$B$4:$CZ$603,9,FALSE)</f>
        <v>11541.7</v>
      </c>
      <c r="BN79">
        <v>11680.3</v>
      </c>
      <c r="BO79">
        <f>VLOOKUP($B79,'[1]Data_UN_PopulationTot.&amp;%'!$B$4:$CZ$603,11,FALSE)</f>
        <v>11818</v>
      </c>
      <c r="BP79">
        <f>VLOOKUP($B79,'[1]Data_UN_PopulationTot.&amp;%'!$B$4:$CZ$603,12,FALSE)</f>
        <v>11954.2</v>
      </c>
      <c r="BQ79">
        <f>VLOOKUP($B79,'[1]Data_UN_PopulationTot.&amp;%'!$B$4:$CZ$603,13,FALSE)</f>
        <v>12088.6</v>
      </c>
      <c r="BR79">
        <f>VLOOKUP($B79,'[1]Data_UN_PopulationTot.&amp;%'!$B$4:$CZ$603,14,FALSE)</f>
        <v>12221</v>
      </c>
      <c r="BS79">
        <f>VLOOKUP($B79,'[1]Data_UN_PopulationTot.&amp;%'!$B$4:$CZ$603,15,FALSE)</f>
        <v>12351.5</v>
      </c>
      <c r="BT79">
        <f>VLOOKUP($B79,'[1]Data_UN_PopulationTot.&amp;%'!$B$4:$CZ$603,16,FALSE)</f>
        <v>12480.3</v>
      </c>
      <c r="BU79">
        <f>VLOOKUP($B79,'[1]Data_UN_PopulationTot.&amp;%'!$B$4:$CZ$603,17,FALSE)</f>
        <v>12607.5</v>
      </c>
      <c r="BV79">
        <f>VLOOKUP($B79,'[1]Data_UN_PopulationTot.&amp;%'!$B$4:$CZ$603,18,FALSE)</f>
        <v>12733.2</v>
      </c>
      <c r="BW79">
        <f>VLOOKUP($B79,'[1]Data_UN_PopulationTot.&amp;%'!$B$4:$CZ$603,61,FALSE)</f>
        <v>11.075992106994081</v>
      </c>
      <c r="BX79">
        <f>VLOOKUP($B79,'[1]Data_UN_PopulationTot.&amp;%'!$B$4:$CZ$603,62,FALSE)</f>
        <v>10.855864941898705</v>
      </c>
      <c r="BY79">
        <f>VLOOKUP($B79,'[1]Data_UN_PopulationTot.&amp;%'!$B$4:$CZ$603,63,FALSE)</f>
        <v>10.542161806621355</v>
      </c>
      <c r="BZ79">
        <f>VLOOKUP($B79,'[1]Data_UN_PopulationTot.&amp;%'!$B$4:$CZ$603,64,FALSE)</f>
        <v>10.036921727691297</v>
      </c>
      <c r="CA79">
        <f>VLOOKUP($B79,'[1]Data_UN_PopulationTot.&amp;%'!$B$4:$CZ$603,65,FALSE)</f>
        <v>9.341811006358256</v>
      </c>
      <c r="CB79">
        <f>VLOOKUP($B79,'[1]Data_UN_PopulationTot.&amp;%'!$B$4:$CZ$603,66,FALSE)</f>
        <v>8.5881078710809042</v>
      </c>
      <c r="CC79">
        <f>VLOOKUP($B79,'[1]Data_UN_PopulationTot.&amp;%'!$B$4:$CZ$603,67,FALSE)</f>
        <v>7.9438631878973904</v>
      </c>
      <c r="CD79">
        <f>VLOOKUP($B79,'[1]Data_UN_PopulationTot.&amp;%'!$B$4:$CZ$603,68,FALSE)</f>
        <v>7.2427713220784913</v>
      </c>
      <c r="CE79">
        <f>VLOOKUP($B79,'[1]Data_UN_PopulationTot.&amp;%'!$B$4:$CZ$603,69,FALSE)</f>
        <v>5.5006884455163343</v>
      </c>
      <c r="CF79">
        <f>VLOOKUP($B79,'[1]Data_UN_PopulationTot.&amp;%'!$B$4:$CZ$603,70,FALSE)</f>
        <v>4.2032098224073664</v>
      </c>
      <c r="CG79">
        <f>VLOOKUP($B79,'[1]Data_UN_PopulationTot.&amp;%'!$B$4:$CZ$603,71,FALSE)</f>
        <v>3.7162815172111383</v>
      </c>
      <c r="CH79">
        <f>VLOOKUP($B79,'[1]Data_UN_PopulationTot.&amp;%'!$B$4:$CZ$603,72,FALSE)</f>
        <v>3.2087261565446177</v>
      </c>
      <c r="CI79">
        <f>VLOOKUP($B79,'[1]Data_UN_PopulationTot.&amp;%'!$B$4:$CZ$603,73,FALSE)</f>
        <v>2.5692085069063801</v>
      </c>
      <c r="CJ79">
        <f>VLOOKUP($B79,'[1]Data_UN_PopulationTot.&amp;%'!$B$4:$CZ$603,74,FALSE)</f>
        <v>2.0256785792589342</v>
      </c>
      <c r="CK79">
        <f>VLOOKUP($B79,'[1]Data_UN_PopulationTot.&amp;%'!$B$4:$CZ$603,75,FALSE)</f>
        <v>1.3226222319666741</v>
      </c>
      <c r="CL79">
        <f>VLOOKUP($B79,'[1]Data_UN_PopulationTot.&amp;%'!$B$4:$CZ$603,76,FALSE)</f>
        <v>0.95946502959877222</v>
      </c>
      <c r="CM79">
        <f>VLOOKUP($B79,'[1]Data_UN_PopulationTot.&amp;%'!$B$4:$CZ$603,77,FALSE)</f>
        <v>0.54102170576627928</v>
      </c>
      <c r="CN79">
        <f>VLOOKUP($B79,'[1]Data_UN_PopulationTot.&amp;%'!$B$4:$CZ$603,78,FALSE)</f>
        <v>0.23242271431703573</v>
      </c>
      <c r="CO79">
        <f>VLOOKUP($B79,'[1]Data_UN_PopulationTot.&amp;%'!$B$4:$CZ$603,79,FALSE)</f>
        <v>7.3396185047138782E-2</v>
      </c>
      <c r="CP79">
        <f>VLOOKUP($B79,'[1]Data_UN_PopulationTot.&amp;%'!$B$4:$CZ$603,80,FALSE)</f>
        <v>1.722429291821969E-2</v>
      </c>
      <c r="CQ79">
        <f>VLOOKUP($B79,'[1]Data_UN_PopulationTot.&amp;%'!$B$4:$CZ$603,81,FALSE)</f>
        <v>2.8853321639991233E-3</v>
      </c>
      <c r="CR79">
        <f>VLOOKUP($B79,'[1]Data_UN_PopulationTot.&amp;%'!$B$4:$CZ$603,82,FALSE)</f>
        <v>9.5966449910470271</v>
      </c>
      <c r="CS79">
        <f>VLOOKUP($B79,'[1]Data_UN_PopulationTot.&amp;%'!$B$4:$CZ$603,83,FALSE)</f>
        <v>9.5747337668457266</v>
      </c>
      <c r="CT79">
        <f>VLOOKUP($B79,'[1]Data_UN_PopulationTot.&amp;%'!$B$4:$CZ$603,84,FALSE)</f>
        <v>9.5779536958502174</v>
      </c>
      <c r="CU79">
        <f>VLOOKUP($B79,'[1]Data_UN_PopulationTot.&amp;%'!$B$4:$CZ$603,85,FALSE)</f>
        <v>9.3834228630666274</v>
      </c>
      <c r="CV79">
        <f>VLOOKUP($B79,'[1]Data_UN_PopulationTot.&amp;%'!$B$4:$CZ$603,86,FALSE)</f>
        <v>8.87475261521063</v>
      </c>
      <c r="CW79">
        <f>VLOOKUP($B79,'[1]Data_UN_PopulationTot.&amp;%'!$B$4:$CZ$603,87,FALSE)</f>
        <v>8.2916313259824701</v>
      </c>
      <c r="CX79">
        <f>VLOOKUP($B79,'[1]Data_UN_PopulationTot.&amp;%'!$B$4:$CZ$603,88,FALSE)</f>
        <v>7.711345144975339</v>
      </c>
      <c r="CY79">
        <f>VLOOKUP($B79,'[1]Data_UN_PopulationTot.&amp;%'!$B$4:$CZ$603,89,FALSE)</f>
        <v>7.1296453366003831</v>
      </c>
      <c r="CZ79">
        <f>VLOOKUP($B79,'[1]Data_UN_PopulationTot.&amp;%'!$B$4:$CZ$603,90,FALSE)</f>
        <v>6.6261269751515721</v>
      </c>
      <c r="DA79">
        <f>VLOOKUP($B79,'[1]Data_UN_PopulationTot.&amp;%'!$B$4:$CZ$603,91,FALSE)</f>
        <v>6.0411836773159919</v>
      </c>
      <c r="DB79">
        <f>VLOOKUP($B79,'[1]Data_UN_PopulationTot.&amp;%'!$B$4:$CZ$603,92,FALSE)</f>
        <v>4.5450475921213833</v>
      </c>
      <c r="DC79">
        <f>VLOOKUP($B79,'[1]Data_UN_PopulationTot.&amp;%'!$B$4:$CZ$603,93,FALSE)</f>
        <v>3.4115226337448559</v>
      </c>
      <c r="DD79">
        <f>VLOOKUP($B79,'[1]Data_UN_PopulationTot.&amp;%'!$B$4:$CZ$603,94,FALSE)</f>
        <v>2.923632708195897</v>
      </c>
      <c r="DE79">
        <f>VLOOKUP($B79,'[1]Data_UN_PopulationTot.&amp;%'!$B$4:$CZ$603,95,FALSE)</f>
        <v>2.3856532529136429</v>
      </c>
      <c r="DF79">
        <f>VLOOKUP($B79,'[1]Data_UN_PopulationTot.&amp;%'!$B$4:$CZ$603,96,FALSE)</f>
        <v>1.7314422140545973</v>
      </c>
      <c r="DG79">
        <f>VLOOKUP($B79,'[1]Data_UN_PopulationTot.&amp;%'!$B$4:$CZ$603,97,FALSE)</f>
        <v>1.1593472182954796</v>
      </c>
      <c r="DH79">
        <f>VLOOKUP($B79,'[1]Data_UN_PopulationTot.&amp;%'!$B$4:$CZ$603,98,FALSE)</f>
        <v>0.58841453837212954</v>
      </c>
      <c r="DI79">
        <f>VLOOKUP($B79,'[1]Data_UN_PopulationTot.&amp;%'!$B$4:$CZ$603,99,FALSE)</f>
        <v>0.30356862375522259</v>
      </c>
      <c r="DJ79">
        <f>VLOOKUP($B79,'[1]Data_UN_PopulationTot.&amp;%'!$B$4:$DE$603,100,FALSE)</f>
        <v>0.11102472277196619</v>
      </c>
      <c r="DK79">
        <f>VLOOKUP($B79,'[1]Data_UN_PopulationTot.&amp;%'!$B$4:$DE$603,101,FALSE)</f>
        <v>2.7981968397574844E-2</v>
      </c>
      <c r="DL79">
        <f>VLOOKUP($B79,'[1]Data_UN_PopulationTot.&amp;%'!$B$4:$DE$603,102,FALSE)</f>
        <v>5.1754468633179399E-3</v>
      </c>
    </row>
    <row r="80" spans="1:116">
      <c r="A80" t="s">
        <v>68</v>
      </c>
      <c r="B80" t="s">
        <v>442</v>
      </c>
      <c r="C80" t="s">
        <v>485</v>
      </c>
      <c r="D80" t="s">
        <v>622</v>
      </c>
      <c r="E80" t="s">
        <v>2269</v>
      </c>
      <c r="F80">
        <v>0</v>
      </c>
      <c r="G80">
        <v>0</v>
      </c>
      <c r="H80">
        <v>0</v>
      </c>
      <c r="I80">
        <v>1</v>
      </c>
      <c r="J80" s="18">
        <f t="shared" si="3"/>
        <v>20881.226867270001</v>
      </c>
      <c r="K80">
        <f>VLOOKUP($B80,'[1]Source GDP Current USD'!$B$1:$CZ$600,64,FALSE)</f>
        <v>155808436238.487</v>
      </c>
      <c r="L80" s="45">
        <f>VLOOKUP($B80,'[1]Source GDP Current USD'!$B$1:$CZ$600,65,FALSE)</f>
        <v>155808436238.487</v>
      </c>
      <c r="M80" s="17">
        <f>VLOOKUP($B80,'[1]Source GDP Current LCU'!$B$1:$CZ$600,64,FALSE)</f>
        <v>47988479000000</v>
      </c>
      <c r="N80" s="45">
        <v>48000000000000</v>
      </c>
      <c r="O80" s="45">
        <f>VLOOKUP($B80,'[1]Source GNI Current USD'!$B$1:$CZ$600,64,FALSE)</f>
        <v>151620683124.276</v>
      </c>
      <c r="P80" s="45">
        <f>VLOOKUP($B80,'[1]Source GNI Current LCU'!$B$1:$CZ$600,64,FALSE)</f>
        <v>46698665000000</v>
      </c>
      <c r="Q80">
        <f t="shared" si="2"/>
        <v>102.76199330323468</v>
      </c>
      <c r="R80">
        <v>15890</v>
      </c>
      <c r="S80">
        <v>15890</v>
      </c>
      <c r="T80">
        <v>0.48313400000000001</v>
      </c>
      <c r="U80" s="45">
        <v>9700000</v>
      </c>
      <c r="V80">
        <v>43.512999999999998</v>
      </c>
      <c r="W80">
        <f>VLOOKUP($B80,'[1]Source Gov. Revenue WEO'!$B$1:$CZ$600,5,FALSE)</f>
        <v>42.459000000000003</v>
      </c>
      <c r="X80">
        <f>VLOOKUP($B80,'[1]Source Gov. Revenue WEO'!$B$1:$CZ$600,6,FALSE)</f>
        <v>41.332999999999998</v>
      </c>
      <c r="Y80">
        <f>VLOOKUP($B80,'[1]Source Gov. Revenue WEO'!$B$1:$CZ$600,7,FALSE)</f>
        <v>42.819000000000003</v>
      </c>
      <c r="Z80">
        <f>VLOOKUP($B80,'[1]Source Gov. Revenue WEO'!$B$1:$CZ$600,8,FALSE)</f>
        <v>43.237000000000002</v>
      </c>
      <c r="AA80">
        <f>VLOOKUP($B80,'[1]Source Gov. Revenue WEO'!$B$1:$CZ$600,9,FALSE)</f>
        <v>43.530999999999999</v>
      </c>
      <c r="AB80">
        <f>VLOOKUP($B80,'[1]Source Gov. Revenue WEO'!$B$1:$CZ$600,10,FALSE)</f>
        <v>43.722999999999999</v>
      </c>
      <c r="AC80" t="e">
        <f>VLOOKUP($B80,[2]Summary!$B$1:$CZ$600,39,FALSE)</f>
        <v>#N/A</v>
      </c>
      <c r="AD80" t="e">
        <f>VLOOKUP($B80,[2]Summary!$B$1:$CZ$600,40,FALSE)</f>
        <v>#N/A</v>
      </c>
      <c r="AE80" t="e">
        <f>VLOOKUP($B80,[2]Summary!$B$1:$CZ$600,47,FALSE)</f>
        <v>#N/A</v>
      </c>
      <c r="AF80">
        <f>VLOOKUP($B80,'[1]CALC GDP Growth rates WDI'!$B$1:$CZ$600,27,FALSE)</f>
        <v>23.831080778974844</v>
      </c>
      <c r="AG80">
        <f>VLOOKUP($B80,'[1]CALC GDP Growth rates WDI'!$B$1:$CZ$600,29,FALSE)</f>
        <v>25.571123688733778</v>
      </c>
      <c r="AH80">
        <v>11.9</v>
      </c>
      <c r="AI80">
        <f>VLOOKUP($B80,'[1]CALC GDP Growth rates WDI'!$B$1:$CZ$600,30,FALSE)</f>
        <v>16.402490911456535</v>
      </c>
      <c r="AJ80" s="45"/>
      <c r="AK80">
        <f>VLOOKUP($B80,[1]Data_Aspire!$B$1:$CZ$600,2,FALSE)</f>
        <v>2017</v>
      </c>
      <c r="AL80">
        <f>VLOOKUP($B80,[1]Data_Aspire!$B$1:$CZ$600,3,FALSE)</f>
        <v>1.87</v>
      </c>
      <c r="AM80">
        <f>VLOOKUP($B80,[1]Data_Aspire!$B$1:$CZ$600,4,FALSE)</f>
        <v>0</v>
      </c>
      <c r="AN80">
        <f>VLOOKUP($B80,[1]Data_Aspire!$B$1:$CZ$600,5,FALSE)</f>
        <v>1.08</v>
      </c>
      <c r="AO80">
        <f>VLOOKUP($B80,[1]Data_Aspire!$B$1:$CZ$600,6,FALSE)</f>
        <v>0.02</v>
      </c>
      <c r="AQ80">
        <f>VLOOKUP($B80,[1]Data_Aspire!$B$1:$CZ$600,8,FALSE)</f>
        <v>0.75</v>
      </c>
      <c r="AR80">
        <f>VLOOKUP($B80,[1]Data_Aspire!$B$1:$CZ$600,9,FALSE)</f>
        <v>0.02</v>
      </c>
      <c r="AU80">
        <f>VLOOKUP($B80,[1]Data_Aspire!$B$1:$CZ$600,12,FALSE)</f>
        <v>1.87</v>
      </c>
      <c r="AV80">
        <f>VLOOKUP($B80,[1]Data_Aspire!$B$1:$CZ$600,13,FALSE)</f>
        <v>26000</v>
      </c>
      <c r="AW80">
        <f>VLOOKUP($B80,[1]Data_Aspire!$B$1:$CZ$600,14,FALSE)</f>
        <v>2008</v>
      </c>
      <c r="AX80">
        <f>VLOOKUP($B80,[1]Data_Aspire!$B$1:$CZ$600,15,FALSE)</f>
        <v>269000</v>
      </c>
      <c r="AY80">
        <f>VLOOKUP($B80,[1]Data_Aspire!$B$1:$CZ$600,16,FALSE)</f>
        <v>2009</v>
      </c>
      <c r="BF80">
        <f>VLOOKUP($B80,[1]Data_Aspire!$B$1:$CZ$600,23,FALSE)</f>
        <v>329000</v>
      </c>
      <c r="BG80">
        <f>VLOOKUP($B80,[1]Data_Aspire!$B$1:$CZ$600,24,FALSE)</f>
        <v>2015</v>
      </c>
      <c r="BH80">
        <f>VLOOKUP($B80,[1]Data_Aspire!$B$1:$CZ$600,25,FALSE)</f>
        <v>0</v>
      </c>
      <c r="BI80">
        <f>VLOOKUP($B80,[1]Data_Aspire!$B$1:$CZ$600,26,FALSE)</f>
        <v>0</v>
      </c>
      <c r="BJ80" s="7">
        <v>0</v>
      </c>
      <c r="BK80">
        <v>348</v>
      </c>
      <c r="BL80">
        <f>VLOOKUP($B80,'[1]Data_UN_PopulationTot.&amp;%'!$B$4:$CZ$603,8,FALSE)</f>
        <v>9660.35</v>
      </c>
      <c r="BM80">
        <f>VLOOKUP($B80,'[1]Data_UN_PopulationTot.&amp;%'!$B$4:$CZ$603,9,FALSE)</f>
        <v>9634.16</v>
      </c>
      <c r="BN80">
        <v>9606.25</v>
      </c>
      <c r="BO80">
        <f>VLOOKUP($B80,'[1]Data_UN_PopulationTot.&amp;%'!$B$4:$CZ$603,11,FALSE)</f>
        <v>9576.77</v>
      </c>
      <c r="BP80">
        <f>VLOOKUP($B80,'[1]Data_UN_PopulationTot.&amp;%'!$B$4:$CZ$603,12,FALSE)</f>
        <v>9546.0400000000009</v>
      </c>
      <c r="BQ80">
        <f>VLOOKUP($B80,'[1]Data_UN_PopulationTot.&amp;%'!$B$4:$CZ$603,13,FALSE)</f>
        <v>9514.33</v>
      </c>
      <c r="BR80">
        <f>VLOOKUP($B80,'[1]Data_UN_PopulationTot.&amp;%'!$B$4:$CZ$603,14,FALSE)</f>
        <v>9481.6200000000008</v>
      </c>
      <c r="BS80">
        <f>VLOOKUP($B80,'[1]Data_UN_PopulationTot.&amp;%'!$B$4:$CZ$603,15,FALSE)</f>
        <v>9447.7199999999993</v>
      </c>
      <c r="BT80">
        <f>VLOOKUP($B80,'[1]Data_UN_PopulationTot.&amp;%'!$B$4:$CZ$603,16,FALSE)</f>
        <v>9412.6299999999992</v>
      </c>
      <c r="BU80">
        <f>VLOOKUP($B80,'[1]Data_UN_PopulationTot.&amp;%'!$B$4:$CZ$603,17,FALSE)</f>
        <v>9376.2000000000007</v>
      </c>
      <c r="BV80">
        <f>VLOOKUP($B80,'[1]Data_UN_PopulationTot.&amp;%'!$B$4:$CZ$603,18,FALSE)</f>
        <v>9338.4500000000007</v>
      </c>
      <c r="BW80">
        <f>VLOOKUP($B80,'[1]Data_UN_PopulationTot.&amp;%'!$B$4:$CZ$603,61,FALSE)</f>
        <v>4.773553753228402</v>
      </c>
      <c r="BX80">
        <f>VLOOKUP($B80,'[1]Data_UN_PopulationTot.&amp;%'!$B$4:$CZ$603,62,FALSE)</f>
        <v>4.6315506166960816</v>
      </c>
      <c r="BY80">
        <f>VLOOKUP($B80,'[1]Data_UN_PopulationTot.&amp;%'!$B$4:$CZ$603,63,FALSE)</f>
        <v>5.0035557717888066</v>
      </c>
      <c r="BZ80">
        <f>VLOOKUP($B80,'[1]Data_UN_PopulationTot.&amp;%'!$B$4:$CZ$603,64,FALSE)</f>
        <v>5.0292794774516452</v>
      </c>
      <c r="CA80">
        <f>VLOOKUP($B80,'[1]Data_UN_PopulationTot.&amp;%'!$B$4:$CZ$603,65,FALSE)</f>
        <v>5.3615345199708075</v>
      </c>
      <c r="CB80">
        <f>VLOOKUP($B80,'[1]Data_UN_PopulationTot.&amp;%'!$B$4:$CZ$603,66,FALSE)</f>
        <v>6.5602902586345211</v>
      </c>
      <c r="CC80">
        <f>VLOOKUP($B80,'[1]Data_UN_PopulationTot.&amp;%'!$B$4:$CZ$603,67,FALSE)</f>
        <v>6.3368718524691126</v>
      </c>
      <c r="CD80">
        <f>VLOOKUP($B80,'[1]Data_UN_PopulationTot.&amp;%'!$B$4:$CZ$603,68,FALSE)</f>
        <v>6.6765489863203697</v>
      </c>
      <c r="CE80">
        <f>VLOOKUP($B80,'[1]Data_UN_PopulationTot.&amp;%'!$B$4:$CZ$603,69,FALSE)</f>
        <v>8.4332762270518149</v>
      </c>
      <c r="CF80">
        <f>VLOOKUP($B80,'[1]Data_UN_PopulationTot.&amp;%'!$B$4:$CZ$603,70,FALSE)</f>
        <v>8.007256465863037</v>
      </c>
      <c r="CG80">
        <f>VLOOKUP($B80,'[1]Data_UN_PopulationTot.&amp;%'!$B$4:$CZ$603,71,FALSE)</f>
        <v>6.7093945871526381</v>
      </c>
      <c r="CH80">
        <f>VLOOKUP($B80,'[1]Data_UN_PopulationTot.&amp;%'!$B$4:$CZ$603,72,FALSE)</f>
        <v>5.7268836015258247</v>
      </c>
      <c r="CI80">
        <f>VLOOKUP($B80,'[1]Data_UN_PopulationTot.&amp;%'!$B$4:$CZ$603,73,FALSE)</f>
        <v>6.5869145527853545</v>
      </c>
      <c r="CJ80">
        <f>VLOOKUP($B80,'[1]Data_UN_PopulationTot.&amp;%'!$B$4:$CZ$603,74,FALSE)</f>
        <v>6.9367362466163236</v>
      </c>
      <c r="CK80">
        <f>VLOOKUP($B80,'[1]Data_UN_PopulationTot.&amp;%'!$B$4:$CZ$603,75,FALSE)</f>
        <v>4.9249871899051278</v>
      </c>
      <c r="CL80">
        <f>VLOOKUP($B80,'[1]Data_UN_PopulationTot.&amp;%'!$B$4:$CZ$603,76,FALSE)</f>
        <v>3.8384220033435641</v>
      </c>
      <c r="CM80">
        <f>VLOOKUP($B80,'[1]Data_UN_PopulationTot.&amp;%'!$B$4:$CZ$603,77,FALSE)</f>
        <v>2.4817320283426585</v>
      </c>
      <c r="CN80">
        <f>VLOOKUP($B80,'[1]Data_UN_PopulationTot.&amp;%'!$B$4:$CZ$603,78,FALSE)</f>
        <v>1.3671864891023615</v>
      </c>
      <c r="CO80">
        <f>VLOOKUP($B80,'[1]Data_UN_PopulationTot.&amp;%'!$B$4:$CZ$603,79,FALSE)</f>
        <v>0.47390622492973855</v>
      </c>
      <c r="CP80">
        <f>VLOOKUP($B80,'[1]Data_UN_PopulationTot.&amp;%'!$B$4:$CZ$603,80,FALSE)</f>
        <v>0.13372186307949505</v>
      </c>
      <c r="CQ80">
        <f>VLOOKUP($B80,'[1]Data_UN_PopulationTot.&amp;%'!$B$4:$CZ$603,81,FALSE)</f>
        <v>6.3972837423074734E-3</v>
      </c>
      <c r="CR80">
        <f>VLOOKUP($B80,'[1]Data_UN_PopulationTot.&amp;%'!$B$4:$CZ$603,82,FALSE)</f>
        <v>4.5894661319597994</v>
      </c>
      <c r="CS80">
        <f>VLOOKUP($B80,'[1]Data_UN_PopulationTot.&amp;%'!$B$4:$CZ$603,83,FALSE)</f>
        <v>4.7721945290706698</v>
      </c>
      <c r="CT80">
        <f>VLOOKUP($B80,'[1]Data_UN_PopulationTot.&amp;%'!$B$4:$CZ$603,84,FALSE)</f>
        <v>4.9493866755189568</v>
      </c>
      <c r="CU80">
        <f>VLOOKUP($B80,'[1]Data_UN_PopulationTot.&amp;%'!$B$4:$CZ$603,85,FALSE)</f>
        <v>4.8281352901177383</v>
      </c>
      <c r="CV80">
        <f>VLOOKUP($B80,'[1]Data_UN_PopulationTot.&amp;%'!$B$4:$CZ$603,86,FALSE)</f>
        <v>5.263443076741857</v>
      </c>
      <c r="CW80">
        <f>VLOOKUP($B80,'[1]Data_UN_PopulationTot.&amp;%'!$B$4:$CZ$603,87,FALSE)</f>
        <v>5.3081078765748062</v>
      </c>
      <c r="CX80">
        <f>VLOOKUP($B80,'[1]Data_UN_PopulationTot.&amp;%'!$B$4:$CZ$603,88,FALSE)</f>
        <v>5.6273685675888387</v>
      </c>
      <c r="CY80">
        <f>VLOOKUP($B80,'[1]Data_UN_PopulationTot.&amp;%'!$B$4:$CZ$603,89,FALSE)</f>
        <v>6.8248585150640624</v>
      </c>
      <c r="CZ80">
        <f>VLOOKUP($B80,'[1]Data_UN_PopulationTot.&amp;%'!$B$4:$CZ$603,90,FALSE)</f>
        <v>6.5505089174327642</v>
      </c>
      <c r="DA80">
        <f>VLOOKUP($B80,'[1]Data_UN_PopulationTot.&amp;%'!$B$4:$CZ$603,91,FALSE)</f>
        <v>6.8280174975504497</v>
      </c>
      <c r="DB80">
        <f>VLOOKUP($B80,'[1]Data_UN_PopulationTot.&amp;%'!$B$4:$CZ$603,92,FALSE)</f>
        <v>8.4493358105467173</v>
      </c>
      <c r="DC80">
        <f>VLOOKUP($B80,'[1]Data_UN_PopulationTot.&amp;%'!$B$4:$CZ$603,93,FALSE)</f>
        <v>7.7700796170670721</v>
      </c>
      <c r="DD80">
        <f>VLOOKUP($B80,'[1]Data_UN_PopulationTot.&amp;%'!$B$4:$CZ$603,94,FALSE)</f>
        <v>6.2552457849000636</v>
      </c>
      <c r="DE80">
        <f>VLOOKUP($B80,'[1]Data_UN_PopulationTot.&amp;%'!$B$4:$CZ$603,95,FALSE)</f>
        <v>5.1150137335425043</v>
      </c>
      <c r="DF80">
        <f>VLOOKUP($B80,'[1]Data_UN_PopulationTot.&amp;%'!$B$4:$CZ$603,96,FALSE)</f>
        <v>5.5922235488758831</v>
      </c>
      <c r="DG80">
        <f>VLOOKUP($B80,'[1]Data_UN_PopulationTot.&amp;%'!$B$4:$CZ$603,97,FALSE)</f>
        <v>5.3880890297640391</v>
      </c>
      <c r="DH80">
        <f>VLOOKUP($B80,'[1]Data_UN_PopulationTot.&amp;%'!$B$4:$CZ$603,98,FALSE)</f>
        <v>3.2150089147556606</v>
      </c>
      <c r="DI80">
        <f>VLOOKUP($B80,'[1]Data_UN_PopulationTot.&amp;%'!$B$4:$CZ$603,99,FALSE)</f>
        <v>1.7987781698247569</v>
      </c>
      <c r="DJ80">
        <f>VLOOKUP($B80,'[1]Data_UN_PopulationTot.&amp;%'!$B$4:$DE$603,100,FALSE)</f>
        <v>0.68244730121165709</v>
      </c>
      <c r="DK80">
        <f>VLOOKUP($B80,'[1]Data_UN_PopulationTot.&amp;%'!$B$4:$DE$603,101,FALSE)</f>
        <v>0.17206281556361067</v>
      </c>
      <c r="DL80">
        <f>VLOOKUP($B80,'[1]Data_UN_PopulationTot.&amp;%'!$B$4:$DE$603,102,FALSE)</f>
        <v>2.0271029988916788E-2</v>
      </c>
    </row>
    <row r="81" spans="1:116">
      <c r="A81" t="s">
        <v>171</v>
      </c>
      <c r="B81" t="s">
        <v>385</v>
      </c>
      <c r="C81" t="s">
        <v>493</v>
      </c>
      <c r="D81" t="s">
        <v>334</v>
      </c>
      <c r="E81" t="s">
        <v>300</v>
      </c>
      <c r="F81">
        <v>0</v>
      </c>
      <c r="G81">
        <v>1</v>
      </c>
      <c r="H81">
        <v>0</v>
      </c>
      <c r="I81">
        <v>0</v>
      </c>
      <c r="J81" s="18">
        <f t="shared" si="3"/>
        <v>1908432.8700699999</v>
      </c>
      <c r="K81">
        <f>VLOOKUP($B81,'[1]Source GDP Current USD'!$B$1:$CZ$600,64,FALSE)</f>
        <v>1058423838345.14</v>
      </c>
      <c r="L81" s="45">
        <f>VLOOKUP($B81,'[1]Source GDP Current USD'!$B$1:$CZ$600,65,FALSE)</f>
        <v>1058423838345.14</v>
      </c>
      <c r="M81" s="17">
        <f>VLOOKUP($B81,'[1]Source GDP Current LCU'!$B$1:$CZ$600,64,FALSE)</f>
        <v>1.54341518E+16</v>
      </c>
      <c r="N81" s="45">
        <v>1.5E+16</v>
      </c>
      <c r="O81" s="45">
        <f>VLOOKUP($B81,'[1]Source GNI Current USD'!$B$1:$CZ$600,64,FALSE)</f>
        <v>1029919366254.2</v>
      </c>
      <c r="P81" s="45">
        <f>VLOOKUP($B81,'[1]Source GNI Current LCU'!$B$1:$CZ$600,64,FALSE)</f>
        <v>1.50184937873098E+16</v>
      </c>
      <c r="Q81">
        <f t="shared" si="2"/>
        <v>102.76764114016159</v>
      </c>
      <c r="R81">
        <v>3870</v>
      </c>
      <c r="S81">
        <v>3870</v>
      </c>
      <c r="T81">
        <v>0.320523</v>
      </c>
      <c r="U81" s="45">
        <v>270000000</v>
      </c>
      <c r="V81">
        <v>12.365</v>
      </c>
      <c r="W81">
        <f>VLOOKUP($B81,'[1]Source Gov. Revenue WEO'!$B$1:$CZ$600,5,FALSE)</f>
        <v>12.387</v>
      </c>
      <c r="X81">
        <f>VLOOKUP($B81,'[1]Source Gov. Revenue WEO'!$B$1:$CZ$600,6,FALSE)</f>
        <v>12.041</v>
      </c>
      <c r="Y81">
        <f>VLOOKUP($B81,'[1]Source Gov. Revenue WEO'!$B$1:$CZ$600,7,FALSE)</f>
        <v>12.294</v>
      </c>
      <c r="Z81">
        <f>VLOOKUP($B81,'[1]Source Gov. Revenue WEO'!$B$1:$CZ$600,8,FALSE)</f>
        <v>12.397</v>
      </c>
      <c r="AA81">
        <f>VLOOKUP($B81,'[1]Source Gov. Revenue WEO'!$B$1:$CZ$600,9,FALSE)</f>
        <v>12.644</v>
      </c>
      <c r="AB81">
        <f>VLOOKUP($B81,'[1]Source Gov. Revenue WEO'!$B$1:$CZ$600,10,FALSE)</f>
        <v>12.823</v>
      </c>
      <c r="AC81">
        <f>VLOOKUP($B81,[2]Summary!$B$1:$CZ$600,39,FALSE)</f>
        <v>4.6388619999999998E-2</v>
      </c>
      <c r="AD81">
        <f>VLOOKUP($B81,[2]Summary!$B$1:$CZ$600,40,FALSE)</f>
        <v>9.4999999999999998E-3</v>
      </c>
      <c r="AE81">
        <f>VLOOKUP($B81,[2]Summary!$B$1:$CZ$600,47,FALSE)</f>
        <v>0.2</v>
      </c>
      <c r="AF81">
        <f>VLOOKUP($B81,'[1]CALC GDP Growth rates WDI'!$B$1:$CZ$600,27,FALSE)</f>
        <v>56.20971423179423</v>
      </c>
      <c r="AG81">
        <f>VLOOKUP($B81,'[1]CALC GDP Growth rates WDI'!$B$1:$CZ$600,29,FALSE)</f>
        <v>61.567982104076123</v>
      </c>
      <c r="AH81">
        <v>19.41</v>
      </c>
      <c r="AI81">
        <f>VLOOKUP($B81,'[1]CALC GDP Growth rates WDI'!$B$1:$CZ$600,30,FALSE)</f>
        <v>21.89849363909606</v>
      </c>
      <c r="AK81">
        <f>VLOOKUP($B81,[1]Data_Aspire!$B$1:$CZ$600,2,FALSE)</f>
        <v>2016</v>
      </c>
      <c r="AL81">
        <f>VLOOKUP($B81,[1]Data_Aspire!$B$1:$CZ$600,3,FALSE)</f>
        <v>0.72</v>
      </c>
      <c r="AM81">
        <f>VLOOKUP($B81,[1]Data_Aspire!$B$1:$CZ$600,4,FALSE)</f>
        <v>7.0000000000000007E-2</v>
      </c>
      <c r="AN81">
        <f>VLOOKUP($B81,[1]Data_Aspire!$B$1:$CZ$600,5,FALSE)</f>
        <v>0.02</v>
      </c>
      <c r="AQ81">
        <f>VLOOKUP($B81,[1]Data_Aspire!$B$1:$CZ$600,8,FALSE)</f>
        <v>0</v>
      </c>
      <c r="AR81">
        <f>VLOOKUP($B81,[1]Data_Aspire!$B$1:$CZ$600,9,FALSE)</f>
        <v>0.34</v>
      </c>
      <c r="AS81">
        <f>VLOOKUP($B81,[1]Data_Aspire!$B$1:$CZ$600,10,FALSE)</f>
        <v>0.2</v>
      </c>
      <c r="AT81">
        <f>VLOOKUP($B81,[1]Data_Aspire!$B$1:$CZ$600,11,FALSE)</f>
        <v>0.09</v>
      </c>
      <c r="AU81">
        <f>VLOOKUP($B81,[1]Data_Aspire!$B$1:$CZ$600,12,FALSE)</f>
        <v>0.52</v>
      </c>
      <c r="AV81">
        <f>VLOOKUP($B81,[1]Data_Aspire!$B$1:$CZ$600,13,FALSE)</f>
        <v>39000904</v>
      </c>
      <c r="AW81">
        <f>VLOOKUP($B81,[1]Data_Aspire!$B$1:$CZ$600,14,FALSE)</f>
        <v>2018</v>
      </c>
      <c r="AZ81">
        <f>VLOOKUP($B81,[1]Data_Aspire!$B$1:$CZ$600,17,FALSE)</f>
        <v>30000</v>
      </c>
      <c r="BA81">
        <f>VLOOKUP($B81,[1]Data_Aspire!$B$1:$CZ$600,18,FALSE)</f>
        <v>2016</v>
      </c>
      <c r="BB81">
        <f>VLOOKUP($B81,[1]Data_Aspire!$B$1:$CZ$600,19,FALSE)</f>
        <v>60450000</v>
      </c>
      <c r="BC81">
        <f>VLOOKUP($B81,[1]Data_Aspire!$B$1:$CZ$600,20,FALSE)</f>
        <v>2016</v>
      </c>
      <c r="BD81">
        <f>VLOOKUP($B81,[1]Data_Aspire!$B$1:$CZ$600,21,FALSE)</f>
        <v>1400000</v>
      </c>
      <c r="BE81">
        <f>VLOOKUP($B81,[1]Data_Aspire!$B$1:$CZ$600,22,FALSE)</f>
        <v>2011</v>
      </c>
      <c r="BF81">
        <f>VLOOKUP($B81,[1]Data_Aspire!$B$1:$CZ$600,23,FALSE)</f>
        <v>416559</v>
      </c>
      <c r="BG81">
        <f>VLOOKUP($B81,[1]Data_Aspire!$B$1:$CZ$600,24,FALSE)</f>
        <v>2013</v>
      </c>
      <c r="BH81">
        <f>VLOOKUP($B81,[1]Data_Aspire!$B$1:$CZ$600,25,FALSE)</f>
        <v>92400000</v>
      </c>
      <c r="BI81">
        <f>VLOOKUP($B81,[1]Data_Aspire!$B$1:$CZ$600,26,FALSE)</f>
        <v>2016</v>
      </c>
      <c r="BJ81" s="7">
        <v>0</v>
      </c>
      <c r="BK81">
        <v>360</v>
      </c>
      <c r="BL81">
        <f>VLOOKUP($B81,'[1]Data_UN_PopulationTot.&amp;%'!$B$4:$CZ$603,8,FALSE)</f>
        <v>273524</v>
      </c>
      <c r="BM81">
        <f>VLOOKUP($B81,'[1]Data_UN_PopulationTot.&amp;%'!$B$4:$CZ$603,9,FALSE)</f>
        <v>276362</v>
      </c>
      <c r="BN81">
        <v>279135</v>
      </c>
      <c r="BO81">
        <f>VLOOKUP($B81,'[1]Data_UN_PopulationTot.&amp;%'!$B$4:$CZ$603,11,FALSE)</f>
        <v>281844</v>
      </c>
      <c r="BP81">
        <f>VLOOKUP($B81,'[1]Data_UN_PopulationTot.&amp;%'!$B$4:$CZ$603,12,FALSE)</f>
        <v>284495</v>
      </c>
      <c r="BQ81">
        <f>VLOOKUP($B81,'[1]Data_UN_PopulationTot.&amp;%'!$B$4:$CZ$603,13,FALSE)</f>
        <v>287090</v>
      </c>
      <c r="BR81">
        <f>VLOOKUP($B81,'[1]Data_UN_PopulationTot.&amp;%'!$B$4:$CZ$603,14,FALSE)</f>
        <v>289628</v>
      </c>
      <c r="BS81">
        <f>VLOOKUP($B81,'[1]Data_UN_PopulationTot.&amp;%'!$B$4:$CZ$603,15,FALSE)</f>
        <v>292109</v>
      </c>
      <c r="BT81">
        <f>VLOOKUP($B81,'[1]Data_UN_PopulationTot.&amp;%'!$B$4:$CZ$603,16,FALSE)</f>
        <v>294533</v>
      </c>
      <c r="BU81">
        <f>VLOOKUP($B81,'[1]Data_UN_PopulationTot.&amp;%'!$B$4:$CZ$603,17,FALSE)</f>
        <v>296896</v>
      </c>
      <c r="BV81">
        <f>VLOOKUP($B81,'[1]Data_UN_PopulationTot.&amp;%'!$B$4:$CZ$603,18,FALSE)</f>
        <v>299198</v>
      </c>
      <c r="BW81">
        <f>VLOOKUP($B81,'[1]Data_UN_PopulationTot.&amp;%'!$B$4:$CZ$603,61,FALSE)</f>
        <v>8.6494420964887908</v>
      </c>
      <c r="BX81">
        <f>VLOOKUP($B81,'[1]Data_UN_PopulationTot.&amp;%'!$B$4:$CZ$603,62,FALSE)</f>
        <v>8.8833886605928551</v>
      </c>
      <c r="BY81">
        <f>VLOOKUP($B81,'[1]Data_UN_PopulationTot.&amp;%'!$B$4:$CZ$603,63,FALSE)</f>
        <v>8.4031748585133315</v>
      </c>
      <c r="BZ81">
        <f>VLOOKUP($B81,'[1]Data_UN_PopulationTot.&amp;%'!$B$4:$CZ$603,64,FALSE)</f>
        <v>8.5251385618812243</v>
      </c>
      <c r="CA81">
        <f>VLOOKUP($B81,'[1]Data_UN_PopulationTot.&amp;%'!$B$4:$CZ$603,65,FALSE)</f>
        <v>8.2820154721340717</v>
      </c>
      <c r="CB81">
        <f>VLOOKUP($B81,'[1]Data_UN_PopulationTot.&amp;%'!$B$4:$CZ$603,66,FALSE)</f>
        <v>7.6476652871411659</v>
      </c>
      <c r="CC81">
        <f>VLOOKUP($B81,'[1]Data_UN_PopulationTot.&amp;%'!$B$4:$CZ$603,67,FALSE)</f>
        <v>7.3021745806583702</v>
      </c>
      <c r="CD81">
        <f>VLOOKUP($B81,'[1]Data_UN_PopulationTot.&amp;%'!$B$4:$CZ$603,68,FALSE)</f>
        <v>7.7482780304470547</v>
      </c>
      <c r="CE81">
        <f>VLOOKUP($B81,'[1]Data_UN_PopulationTot.&amp;%'!$B$4:$CZ$603,69,FALSE)</f>
        <v>7.1952369810327435</v>
      </c>
      <c r="CF81">
        <f>VLOOKUP($B81,'[1]Data_UN_PopulationTot.&amp;%'!$B$4:$CZ$603,70,FALSE)</f>
        <v>6.6414647343560338</v>
      </c>
      <c r="CG81">
        <f>VLOOKUP($B81,'[1]Data_UN_PopulationTot.&amp;%'!$B$4:$CZ$603,71,FALSE)</f>
        <v>5.8331261607756542</v>
      </c>
      <c r="CH81">
        <f>VLOOKUP($B81,'[1]Data_UN_PopulationTot.&amp;%'!$B$4:$CZ$603,72,FALSE)</f>
        <v>4.8259384916862871</v>
      </c>
      <c r="CI81">
        <f>VLOOKUP($B81,'[1]Data_UN_PopulationTot.&amp;%'!$B$4:$CZ$603,73,FALSE)</f>
        <v>3.8003246515845044</v>
      </c>
      <c r="CJ81">
        <f>VLOOKUP($B81,'[1]Data_UN_PopulationTot.&amp;%'!$B$4:$CZ$603,74,FALSE)</f>
        <v>2.6090471037276437</v>
      </c>
      <c r="CK81">
        <f>VLOOKUP($B81,'[1]Data_UN_PopulationTot.&amp;%'!$B$4:$CZ$603,75,FALSE)</f>
        <v>1.6881663035053598</v>
      </c>
      <c r="CL81">
        <f>VLOOKUP($B81,'[1]Data_UN_PopulationTot.&amp;%'!$B$4:$CZ$603,76,FALSE)</f>
        <v>1.0810495605504451</v>
      </c>
      <c r="CM81">
        <f>VLOOKUP($B81,'[1]Data_UN_PopulationTot.&amp;%'!$B$4:$CZ$603,77,FALSE)</f>
        <v>0.59653997455433538</v>
      </c>
      <c r="CN81">
        <f>VLOOKUP($B81,'[1]Data_UN_PopulationTot.&amp;%'!$B$4:$CZ$603,78,FALSE)</f>
        <v>0.21684897851742441</v>
      </c>
      <c r="CO81">
        <f>VLOOKUP($B81,'[1]Data_UN_PopulationTot.&amp;%'!$B$4:$CZ$603,79,FALSE)</f>
        <v>6.1783609482166102E-2</v>
      </c>
      <c r="CP81">
        <f>VLOOKUP($B81,'[1]Data_UN_PopulationTot.&amp;%'!$B$4:$CZ$603,80,FALSE)</f>
        <v>8.4983401822143582E-3</v>
      </c>
      <c r="CQ81">
        <f>VLOOKUP($B81,'[1]Data_UN_PopulationTot.&amp;%'!$B$4:$CZ$603,81,FALSE)</f>
        <v>5.7143066056360679E-4</v>
      </c>
      <c r="CR81">
        <f>VLOOKUP($B81,'[1]Data_UN_PopulationTot.&amp;%'!$B$4:$CZ$603,82,FALSE)</f>
        <v>7.5946697504662461</v>
      </c>
      <c r="CS81">
        <f>VLOOKUP($B81,'[1]Data_UN_PopulationTot.&amp;%'!$B$4:$CZ$603,83,FALSE)</f>
        <v>7.6920300269386832</v>
      </c>
      <c r="CT81">
        <f>VLOOKUP($B81,'[1]Data_UN_PopulationTot.&amp;%'!$B$4:$CZ$603,84,FALSE)</f>
        <v>7.8520578346111938</v>
      </c>
      <c r="CU81">
        <f>VLOOKUP($B81,'[1]Data_UN_PopulationTot.&amp;%'!$B$4:$CZ$603,85,FALSE)</f>
        <v>8.0600137701455221</v>
      </c>
      <c r="CV81">
        <f>VLOOKUP($B81,'[1]Data_UN_PopulationTot.&amp;%'!$B$4:$CZ$603,86,FALSE)</f>
        <v>7.5712404494682444</v>
      </c>
      <c r="CW81">
        <f>VLOOKUP($B81,'[1]Data_UN_PopulationTot.&amp;%'!$B$4:$CZ$603,87,FALSE)</f>
        <v>7.6464080642250281</v>
      </c>
      <c r="CX81">
        <f>VLOOKUP($B81,'[1]Data_UN_PopulationTot.&amp;%'!$B$4:$CZ$603,88,FALSE)</f>
        <v>7.4256846636675382</v>
      </c>
      <c r="CY81">
        <f>VLOOKUP($B81,'[1]Data_UN_PopulationTot.&amp;%'!$B$4:$CZ$603,89,FALSE)</f>
        <v>6.8521848408077597</v>
      </c>
      <c r="CZ81">
        <f>VLOOKUP($B81,'[1]Data_UN_PopulationTot.&amp;%'!$B$4:$CZ$603,90,FALSE)</f>
        <v>6.5215008121712046</v>
      </c>
      <c r="DA81">
        <f>VLOOKUP($B81,'[1]Data_UN_PopulationTot.&amp;%'!$B$4:$CZ$603,91,FALSE)</f>
        <v>6.8692972546607933</v>
      </c>
      <c r="DB81">
        <f>VLOOKUP($B81,'[1]Data_UN_PopulationTot.&amp;%'!$B$4:$CZ$603,92,FALSE)</f>
        <v>6.2878762558573262</v>
      </c>
      <c r="DC81">
        <f>VLOOKUP($B81,'[1]Data_UN_PopulationTot.&amp;%'!$B$4:$CZ$603,93,FALSE)</f>
        <v>5.6662477690358894</v>
      </c>
      <c r="DD81">
        <f>VLOOKUP($B81,'[1]Data_UN_PopulationTot.&amp;%'!$B$4:$CZ$603,94,FALSE)</f>
        <v>4.7905400437168701</v>
      </c>
      <c r="DE81">
        <f>VLOOKUP($B81,'[1]Data_UN_PopulationTot.&amp;%'!$B$4:$CZ$603,95,FALSE)</f>
        <v>3.7349848595244621</v>
      </c>
      <c r="DF81">
        <f>VLOOKUP($B81,'[1]Data_UN_PopulationTot.&amp;%'!$B$4:$CZ$603,96,FALSE)</f>
        <v>2.6729122520872468</v>
      </c>
      <c r="DG81">
        <f>VLOOKUP($B81,'[1]Data_UN_PopulationTot.&amp;%'!$B$4:$CZ$603,97,FALSE)</f>
        <v>1.5587604195215208</v>
      </c>
      <c r="DH81">
        <f>VLOOKUP($B81,'[1]Data_UN_PopulationTot.&amp;%'!$B$4:$CZ$603,98,FALSE)</f>
        <v>0.77383872886850846</v>
      </c>
      <c r="DI81">
        <f>VLOOKUP($B81,'[1]Data_UN_PopulationTot.&amp;%'!$B$4:$CZ$603,99,FALSE)</f>
        <v>0.32142828494842879</v>
      </c>
      <c r="DJ81">
        <f>VLOOKUP($B81,'[1]Data_UN_PopulationTot.&amp;%'!$B$4:$DE$603,100,FALSE)</f>
        <v>9.3270342716194624E-2</v>
      </c>
      <c r="DK81">
        <f>VLOOKUP($B81,'[1]Data_UN_PopulationTot.&amp;%'!$B$4:$DE$603,101,FALSE)</f>
        <v>1.3895480584763267E-2</v>
      </c>
      <c r="DL81">
        <f>VLOOKUP($B81,'[1]Data_UN_PopulationTot.&amp;%'!$B$4:$DE$603,102,FALSE)</f>
        <v>1.2861048536420697E-3</v>
      </c>
    </row>
    <row r="82" spans="1:116">
      <c r="A82" t="s">
        <v>142</v>
      </c>
      <c r="B82" t="s">
        <v>356</v>
      </c>
      <c r="C82" t="s">
        <v>483</v>
      </c>
      <c r="D82" t="s">
        <v>334</v>
      </c>
      <c r="E82" t="s">
        <v>300</v>
      </c>
      <c r="F82">
        <v>0</v>
      </c>
      <c r="G82">
        <v>1</v>
      </c>
      <c r="H82">
        <v>0</v>
      </c>
      <c r="I82">
        <v>0</v>
      </c>
      <c r="J82" s="18">
        <f t="shared" si="3"/>
        <v>36120.754789035789</v>
      </c>
      <c r="K82">
        <f>VLOOKUP($B82,'[1]Source GDP Current USD'!$B$1:$CZ$600,64,FALSE)</f>
        <v>2660245248867.6299</v>
      </c>
      <c r="L82" s="45">
        <f>VLOOKUP($B82,'[1]Source GDP Current USD'!$B$1:$CZ$600,65,FALSE)</f>
        <v>2660245248867.6299</v>
      </c>
      <c r="M82" s="17">
        <f>VLOOKUP($B82,'[1]Source GDP Current LCU'!$B$1:$CZ$600,64,FALSE)</f>
        <v>197456703597200</v>
      </c>
      <c r="N82" s="45">
        <v>200000000000000</v>
      </c>
      <c r="O82" s="45">
        <f>VLOOKUP($B82,'[1]Source GNI Current USD'!$B$1:$CZ$600,64,FALSE)</f>
        <v>2635412344092.96</v>
      </c>
      <c r="P82" s="45">
        <f>VLOOKUP($B82,'[1]Source GNI Current LCU'!$B$1:$CZ$600,64,FALSE)</f>
        <v>195613481240300</v>
      </c>
      <c r="Q82">
        <f t="shared" si="2"/>
        <v>100.94227777411501</v>
      </c>
      <c r="R82">
        <v>1920</v>
      </c>
      <c r="S82">
        <v>1920</v>
      </c>
      <c r="T82">
        <v>0.29638999999999999</v>
      </c>
      <c r="U82" s="45">
        <v>1400000000</v>
      </c>
      <c r="V82">
        <v>18.292999999999999</v>
      </c>
      <c r="W82">
        <f>VLOOKUP($B82,'[1]Source Gov. Revenue WEO'!$B$1:$CZ$600,5,FALSE)</f>
        <v>19.169</v>
      </c>
      <c r="X82">
        <f>VLOOKUP($B82,'[1]Source Gov. Revenue WEO'!$B$1:$CZ$600,6,FALSE)</f>
        <v>19.452000000000002</v>
      </c>
      <c r="Y82">
        <f>VLOOKUP($B82,'[1]Source Gov. Revenue WEO'!$B$1:$CZ$600,7,FALSE)</f>
        <v>19.623999999999999</v>
      </c>
      <c r="Z82">
        <f>VLOOKUP($B82,'[1]Source Gov. Revenue WEO'!$B$1:$CZ$600,8,FALSE)</f>
        <v>19.826000000000001</v>
      </c>
      <c r="AA82">
        <f>VLOOKUP($B82,'[1]Source Gov. Revenue WEO'!$B$1:$CZ$600,9,FALSE)</f>
        <v>19.995000000000001</v>
      </c>
      <c r="AB82">
        <f>VLOOKUP($B82,'[1]Source Gov. Revenue WEO'!$B$1:$CZ$600,10,FALSE)</f>
        <v>20.135000000000002</v>
      </c>
      <c r="AC82">
        <f>VLOOKUP($B82,[2]Summary!$B$1:$CZ$600,39,FALSE)</f>
        <v>5.5999999999999994E-2</v>
      </c>
      <c r="AD82">
        <f>VLOOKUP($B82,[2]Summary!$B$1:$CZ$600,40,FALSE)</f>
        <v>8.2500000000000004E-3</v>
      </c>
      <c r="AE82">
        <f>VLOOKUP($B82,[2]Summary!$B$1:$CZ$600,47,FALSE)</f>
        <v>0.25204656920866819</v>
      </c>
      <c r="AF82">
        <f>VLOOKUP($B82,'[1]CALC GDP Growth rates WDI'!$B$1:$CZ$600,27,FALSE)</f>
        <v>62.779882036512035</v>
      </c>
      <c r="AG82">
        <f>VLOOKUP($B82,'[1]CALC GDP Growth rates WDI'!$B$1:$CZ$600,29,FALSE)</f>
        <v>82.630896428626158</v>
      </c>
      <c r="AH82">
        <v>18.82</v>
      </c>
      <c r="AI82">
        <f>VLOOKUP($B82,'[1]CALC GDP Growth rates WDI'!$B$1:$CZ$600,30,FALSE)</f>
        <v>32.728586018471219</v>
      </c>
      <c r="AK82">
        <f>VLOOKUP($B82,[1]Data_Aspire!$B$1:$CZ$600,2,FALSE)</f>
        <v>2016</v>
      </c>
      <c r="AL82">
        <f>VLOOKUP($B82,[1]Data_Aspire!$B$1:$CZ$600,3,FALSE)</f>
        <v>1.5</v>
      </c>
      <c r="AM82">
        <f>VLOOKUP($B82,[1]Data_Aspire!$B$1:$CZ$600,4,FALSE)</f>
        <v>0</v>
      </c>
      <c r="AN82">
        <f>VLOOKUP($B82,[1]Data_Aspire!$B$1:$CZ$600,5,FALSE)</f>
        <v>0</v>
      </c>
      <c r="AO82">
        <f>VLOOKUP($B82,[1]Data_Aspire!$B$1:$CZ$600,6,FALSE)</f>
        <v>0.06</v>
      </c>
      <c r="AP82">
        <f>VLOOKUP($B82,[1]Data_Aspire!$B$1:$CZ$600,7,FALSE)</f>
        <v>0.06</v>
      </c>
      <c r="AQ82">
        <f>VLOOKUP($B82,[1]Data_Aspire!$B$1:$CZ$600,8,FALSE)</f>
        <v>0.25</v>
      </c>
      <c r="AR82">
        <f>VLOOKUP($B82,[1]Data_Aspire!$B$1:$CZ$600,9,FALSE)</f>
        <v>1.02</v>
      </c>
      <c r="AS82">
        <f>VLOOKUP($B82,[1]Data_Aspire!$B$1:$CZ$600,10,FALSE)</f>
        <v>0.09</v>
      </c>
      <c r="AT82">
        <f>VLOOKUP($B82,[1]Data_Aspire!$B$1:$CZ$600,11,FALSE)</f>
        <v>0.02</v>
      </c>
      <c r="AU82">
        <f>VLOOKUP($B82,[1]Data_Aspire!$B$1:$CZ$600,12,FALSE)</f>
        <v>1.5</v>
      </c>
      <c r="AV82">
        <f>VLOOKUP($B82,[1]Data_Aspire!$B$1:$CZ$600,13,FALSE)</f>
        <v>1946858</v>
      </c>
      <c r="AW82">
        <f>VLOOKUP($B82,[1]Data_Aspire!$B$1:$CZ$600,14,FALSE)</f>
        <v>2016</v>
      </c>
      <c r="AZ82">
        <f>VLOOKUP($B82,[1]Data_Aspire!$B$1:$CZ$600,17,FALSE)</f>
        <v>24243753</v>
      </c>
      <c r="BA82">
        <f>VLOOKUP($B82,[1]Data_Aspire!$B$1:$CZ$600,18,FALSE)</f>
        <v>2016</v>
      </c>
      <c r="BB82">
        <f>VLOOKUP($B82,[1]Data_Aspire!$B$1:$CZ$600,19,FALSE)</f>
        <v>232000000</v>
      </c>
      <c r="BC82">
        <f>VLOOKUP($B82,[1]Data_Aspire!$B$1:$CZ$600,20,FALSE)</f>
        <v>2016</v>
      </c>
      <c r="BD82">
        <f>VLOOKUP($B82,[1]Data_Aspire!$B$1:$CZ$600,21,FALSE)</f>
        <v>104500000</v>
      </c>
      <c r="BE82">
        <f>VLOOKUP($B82,[1]Data_Aspire!$B$1:$CZ$600,22,FALSE)</f>
        <v>2014</v>
      </c>
      <c r="BF82">
        <f>VLOOKUP($B82,[1]Data_Aspire!$B$1:$CZ$600,23,FALSE)</f>
        <v>115400000</v>
      </c>
      <c r="BG82">
        <f>VLOOKUP($B82,[1]Data_Aspire!$B$1:$CZ$600,24,FALSE)</f>
        <v>2017</v>
      </c>
      <c r="BJ82" s="7">
        <v>0</v>
      </c>
      <c r="BK82">
        <v>356</v>
      </c>
      <c r="BL82">
        <f>VLOOKUP($B82,'[1]Data_UN_PopulationTot.&amp;%'!$B$4:$CZ$603,8,FALSE)</f>
        <v>1400000</v>
      </c>
      <c r="BM82">
        <f>VLOOKUP($B82,'[1]Data_UN_PopulationTot.&amp;%'!$B$4:$CZ$603,9,FALSE)</f>
        <v>1400000</v>
      </c>
      <c r="BN82" s="45">
        <v>1400000</v>
      </c>
      <c r="BO82">
        <f>VLOOKUP($B82,'[1]Data_UN_PopulationTot.&amp;%'!$B$4:$CZ$603,11,FALSE)</f>
        <v>1400000</v>
      </c>
      <c r="BP82">
        <f>VLOOKUP($B82,'[1]Data_UN_PopulationTot.&amp;%'!$B$4:$CZ$603,12,FALSE)</f>
        <v>1400000</v>
      </c>
      <c r="BQ82">
        <f>VLOOKUP($B82,'[1]Data_UN_PopulationTot.&amp;%'!$B$4:$CZ$603,13,FALSE)</f>
        <v>1400000</v>
      </c>
      <c r="BR82">
        <f>VLOOKUP($B82,'[1]Data_UN_PopulationTot.&amp;%'!$B$4:$CZ$603,14,FALSE)</f>
        <v>1500000</v>
      </c>
      <c r="BS82">
        <f>VLOOKUP($B82,'[1]Data_UN_PopulationTot.&amp;%'!$B$4:$CZ$603,15,FALSE)</f>
        <v>1500000</v>
      </c>
      <c r="BT82">
        <f>VLOOKUP($B82,'[1]Data_UN_PopulationTot.&amp;%'!$B$4:$CZ$603,16,FALSE)</f>
        <v>1500000</v>
      </c>
      <c r="BU82">
        <f>VLOOKUP($B82,'[1]Data_UN_PopulationTot.&amp;%'!$B$4:$CZ$603,17,FALSE)</f>
        <v>1500000</v>
      </c>
      <c r="BV82">
        <f>VLOOKUP($B82,'[1]Data_UN_PopulationTot.&amp;%'!$B$4:$CZ$603,18,FALSE)</f>
        <v>1500000</v>
      </c>
      <c r="BW82">
        <f>VLOOKUP($B82,'[1]Data_UN_PopulationTot.&amp;%'!$B$4:$CZ$603,61,FALSE)</f>
        <v>8.3485714285714288</v>
      </c>
      <c r="BX82">
        <f>VLOOKUP($B82,'[1]Data_UN_PopulationTot.&amp;%'!$B$4:$CZ$603,62,FALSE)</f>
        <v>8.4272857142857145</v>
      </c>
      <c r="BY82">
        <f>VLOOKUP($B82,'[1]Data_UN_PopulationTot.&amp;%'!$B$4:$CZ$603,63,FALSE)</f>
        <v>9.0111428571428558</v>
      </c>
      <c r="BZ82">
        <f>VLOOKUP($B82,'[1]Data_UN_PopulationTot.&amp;%'!$B$4:$CZ$603,64,FALSE)</f>
        <v>9.0032857142857132</v>
      </c>
      <c r="CA82">
        <f>VLOOKUP($B82,'[1]Data_UN_PopulationTot.&amp;%'!$B$4:$CZ$603,65,FALSE)</f>
        <v>8.7503571428571423</v>
      </c>
      <c r="CB82">
        <f>VLOOKUP($B82,'[1]Data_UN_PopulationTot.&amp;%'!$B$4:$CZ$603,66,FALSE)</f>
        <v>8.3855000000000004</v>
      </c>
      <c r="CC82">
        <f>VLOOKUP($B82,'[1]Data_UN_PopulationTot.&amp;%'!$B$4:$CZ$603,67,FALSE)</f>
        <v>8.0125714285714285</v>
      </c>
      <c r="CD82">
        <f>VLOOKUP($B82,'[1]Data_UN_PopulationTot.&amp;%'!$B$4:$CZ$603,68,FALSE)</f>
        <v>7.39</v>
      </c>
      <c r="CE82">
        <f>VLOOKUP($B82,'[1]Data_UN_PopulationTot.&amp;%'!$B$4:$CZ$603,69,FALSE)</f>
        <v>6.4442785714285717</v>
      </c>
      <c r="CF82">
        <f>VLOOKUP($B82,'[1]Data_UN_PopulationTot.&amp;%'!$B$4:$CZ$603,70,FALSE)</f>
        <v>5.6743071428571428</v>
      </c>
      <c r="CG82">
        <f>VLOOKUP($B82,'[1]Data_UN_PopulationTot.&amp;%'!$B$4:$CZ$603,71,FALSE)</f>
        <v>4.9197142857142859</v>
      </c>
      <c r="CH82">
        <f>VLOOKUP($B82,'[1]Data_UN_PopulationTot.&amp;%'!$B$4:$CZ$603,72,FALSE)</f>
        <v>4.2325928571428575</v>
      </c>
      <c r="CI82">
        <f>VLOOKUP($B82,'[1]Data_UN_PopulationTot.&amp;%'!$B$4:$CZ$603,73,FALSE)</f>
        <v>3.4921785714285716</v>
      </c>
      <c r="CJ82">
        <f>VLOOKUP($B82,'[1]Data_UN_PopulationTot.&amp;%'!$B$4:$CZ$603,74,FALSE)</f>
        <v>2.7328785714285715</v>
      </c>
      <c r="CK82">
        <f>VLOOKUP($B82,'[1]Data_UN_PopulationTot.&amp;%'!$B$4:$CZ$603,75,FALSE)</f>
        <v>1.7208142857142859</v>
      </c>
      <c r="CL82">
        <f>VLOOKUP($B82,'[1]Data_UN_PopulationTot.&amp;%'!$B$4:$CZ$603,76,FALSE)</f>
        <v>1.0774285714285714</v>
      </c>
      <c r="CM82">
        <f>VLOOKUP($B82,'[1]Data_UN_PopulationTot.&amp;%'!$B$4:$CZ$603,77,FALSE)</f>
        <v>0.60635785714285717</v>
      </c>
      <c r="CN82">
        <f>VLOOKUP($B82,'[1]Data_UN_PopulationTot.&amp;%'!$B$4:$CZ$603,78,FALSE)</f>
        <v>0.25222428571428573</v>
      </c>
      <c r="CO82">
        <f>VLOOKUP($B82,'[1]Data_UN_PopulationTot.&amp;%'!$B$4:$CZ$603,79,FALSE)</f>
        <v>7.0927500000000004E-2</v>
      </c>
      <c r="CP82">
        <f>VLOOKUP($B82,'[1]Data_UN_PopulationTot.&amp;%'!$B$4:$CZ$603,80,FALSE)</f>
        <v>1.5942642857142857E-2</v>
      </c>
      <c r="CQ82">
        <f>VLOOKUP($B82,'[1]Data_UN_PopulationTot.&amp;%'!$B$4:$CZ$603,81,FALSE)</f>
        <v>3.4242142857142856E-3</v>
      </c>
      <c r="CR82">
        <f>VLOOKUP($B82,'[1]Data_UN_PopulationTot.&amp;%'!$B$4:$CZ$603,82,FALSE)</f>
        <v>7.6424666666666665</v>
      </c>
      <c r="CS82">
        <f>VLOOKUP($B82,'[1]Data_UN_PopulationTot.&amp;%'!$B$4:$CZ$603,83,FALSE)</f>
        <v>7.6955333333333336</v>
      </c>
      <c r="CT82">
        <f>VLOOKUP($B82,'[1]Data_UN_PopulationTot.&amp;%'!$B$4:$CZ$603,84,FALSE)</f>
        <v>7.7039999999999997</v>
      </c>
      <c r="CU82">
        <f>VLOOKUP($B82,'[1]Data_UN_PopulationTot.&amp;%'!$B$4:$CZ$603,85,FALSE)</f>
        <v>7.7899333333333338</v>
      </c>
      <c r="CV82">
        <f>VLOOKUP($B82,'[1]Data_UN_PopulationTot.&amp;%'!$B$4:$CZ$603,86,FALSE)</f>
        <v>8.3044666666666664</v>
      </c>
      <c r="CW82">
        <f>VLOOKUP($B82,'[1]Data_UN_PopulationTot.&amp;%'!$B$4:$CZ$603,87,FALSE)</f>
        <v>8.2623333333333324</v>
      </c>
      <c r="CX82">
        <f>VLOOKUP($B82,'[1]Data_UN_PopulationTot.&amp;%'!$B$4:$CZ$603,88,FALSE)</f>
        <v>8.0128666666666675</v>
      </c>
      <c r="CY82">
        <f>VLOOKUP($B82,'[1]Data_UN_PopulationTot.&amp;%'!$B$4:$CZ$603,89,FALSE)</f>
        <v>7.6593999999999998</v>
      </c>
      <c r="CZ82">
        <f>VLOOKUP($B82,'[1]Data_UN_PopulationTot.&amp;%'!$B$4:$CZ$603,90,FALSE)</f>
        <v>7.278999999999999</v>
      </c>
      <c r="DA82">
        <f>VLOOKUP($B82,'[1]Data_UN_PopulationTot.&amp;%'!$B$4:$CZ$603,91,FALSE)</f>
        <v>6.6530733333333343</v>
      </c>
      <c r="DB82">
        <f>VLOOKUP($B82,'[1]Data_UN_PopulationTot.&amp;%'!$B$4:$CZ$603,92,FALSE)</f>
        <v>5.7070266666666658</v>
      </c>
      <c r="DC82">
        <f>VLOOKUP($B82,'[1]Data_UN_PopulationTot.&amp;%'!$B$4:$CZ$603,93,FALSE)</f>
        <v>4.8832533333333341</v>
      </c>
      <c r="DD82">
        <f>VLOOKUP($B82,'[1]Data_UN_PopulationTot.&amp;%'!$B$4:$CZ$603,94,FALSE)</f>
        <v>4.0575999999999999</v>
      </c>
      <c r="DE82">
        <f>VLOOKUP($B82,'[1]Data_UN_PopulationTot.&amp;%'!$B$4:$CZ$603,95,FALSE)</f>
        <v>3.2757466666666666</v>
      </c>
      <c r="DF82">
        <f>VLOOKUP($B82,'[1]Data_UN_PopulationTot.&amp;%'!$B$4:$CZ$603,96,FALSE)</f>
        <v>2.4329933333333336</v>
      </c>
      <c r="DG82">
        <f>VLOOKUP($B82,'[1]Data_UN_PopulationTot.&amp;%'!$B$4:$CZ$603,97,FALSE)</f>
        <v>1.6134933333333334</v>
      </c>
      <c r="DH82">
        <f>VLOOKUP($B82,'[1]Data_UN_PopulationTot.&amp;%'!$B$4:$CZ$603,98,FALSE)</f>
        <v>0.79320666666666662</v>
      </c>
      <c r="DI82">
        <f>VLOOKUP($B82,'[1]Data_UN_PopulationTot.&amp;%'!$B$4:$CZ$603,99,FALSE)</f>
        <v>0.33826466666666666</v>
      </c>
      <c r="DJ82">
        <f>VLOOKUP($B82,'[1]Data_UN_PopulationTot.&amp;%'!$B$4:$DE$603,100,FALSE)</f>
        <v>0.106598</v>
      </c>
      <c r="DK82">
        <f>VLOOKUP($B82,'[1]Data_UN_PopulationTot.&amp;%'!$B$4:$DE$603,101,FALSE)</f>
        <v>2.5699666666666666E-2</v>
      </c>
      <c r="DL82">
        <f>VLOOKUP($B82,'[1]Data_UN_PopulationTot.&amp;%'!$B$4:$DE$603,102,FALSE)</f>
        <v>5.8168666666666667E-3</v>
      </c>
    </row>
    <row r="83" spans="1:116">
      <c r="A83" t="s">
        <v>61</v>
      </c>
      <c r="B83" t="s">
        <v>466</v>
      </c>
      <c r="C83" t="s">
        <v>485</v>
      </c>
      <c r="D83" t="s">
        <v>622</v>
      </c>
      <c r="E83" t="s">
        <v>2269</v>
      </c>
      <c r="F83">
        <v>0</v>
      </c>
      <c r="G83">
        <v>0</v>
      </c>
      <c r="H83">
        <v>0</v>
      </c>
      <c r="I83">
        <v>1</v>
      </c>
      <c r="J83" s="18">
        <f t="shared" si="3"/>
        <v>84.529289176700019</v>
      </c>
      <c r="K83">
        <f>VLOOKUP($B83,'[1]Source GDP Current USD'!$B$1:$CZ$600,64,FALSE)</f>
        <v>425888950992.00299</v>
      </c>
      <c r="L83" s="45">
        <f>VLOOKUP($B83,'[1]Source GDP Current USD'!$B$1:$CZ$600,65,FALSE)</f>
        <v>425888950992.00299</v>
      </c>
      <c r="M83" s="17">
        <f>VLOOKUP($B83,'[1]Source GDP Current LCU'!$B$1:$CZ$600,64,FALSE)</f>
        <v>372868501000</v>
      </c>
      <c r="N83" s="45">
        <v>370000000000</v>
      </c>
      <c r="O83" s="45">
        <f>VLOOKUP($B83,'[1]Source GNI Current USD'!$B$1:$CZ$600,64,FALSE)</f>
        <v>324082622327.08099</v>
      </c>
      <c r="P83" s="45">
        <f>VLOOKUP($B83,'[1]Source GNI Current LCU'!$B$1:$CZ$600,64,FALSE)</f>
        <v>283736409000</v>
      </c>
      <c r="Q83">
        <f t="shared" si="2"/>
        <v>131.41369566004482</v>
      </c>
      <c r="R83">
        <v>65620</v>
      </c>
      <c r="S83">
        <v>65620</v>
      </c>
      <c r="T83">
        <v>0.91507700000000003</v>
      </c>
      <c r="U83" s="45">
        <v>5000000</v>
      </c>
      <c r="V83">
        <v>22.67</v>
      </c>
      <c r="W83">
        <f>VLOOKUP($B83,'[1]Source Gov. Revenue WEO'!$B$1:$CZ$600,5,FALSE)</f>
        <v>19.853000000000002</v>
      </c>
      <c r="X83">
        <f>VLOOKUP($B83,'[1]Source Gov. Revenue WEO'!$B$1:$CZ$600,6,FALSE)</f>
        <v>19.902000000000001</v>
      </c>
      <c r="Y83">
        <f>VLOOKUP($B83,'[1]Source Gov. Revenue WEO'!$B$1:$CZ$600,7,FALSE)</f>
        <v>19.702999999999999</v>
      </c>
      <c r="Z83">
        <f>VLOOKUP($B83,'[1]Source Gov. Revenue WEO'!$B$1:$CZ$600,8,FALSE)</f>
        <v>19.620999999999999</v>
      </c>
      <c r="AA83">
        <f>VLOOKUP($B83,'[1]Source Gov. Revenue WEO'!$B$1:$CZ$600,9,FALSE)</f>
        <v>19.529</v>
      </c>
      <c r="AB83">
        <f>VLOOKUP($B83,'[1]Source Gov. Revenue WEO'!$B$1:$CZ$600,10,FALSE)</f>
        <v>19.088000000000001</v>
      </c>
      <c r="AC83" t="e">
        <f>VLOOKUP($B83,[2]Summary!$B$1:$CZ$600,39,FALSE)</f>
        <v>#N/A</v>
      </c>
      <c r="AD83" t="e">
        <f>VLOOKUP($B83,[2]Summary!$B$1:$CZ$600,40,FALSE)</f>
        <v>#N/A</v>
      </c>
      <c r="AE83" t="e">
        <f>VLOOKUP($B83,[2]Summary!$B$1:$CZ$600,47,FALSE)</f>
        <v>#N/A</v>
      </c>
      <c r="AF83">
        <f>VLOOKUP($B83,'[1]CALC GDP Growth rates WDI'!$B$1:$CZ$600,27,FALSE)</f>
        <v>87.405841132771044</v>
      </c>
      <c r="AG83">
        <f>VLOOKUP($B83,'[1]CALC GDP Growth rates WDI'!$B$1:$CZ$600,29,FALSE)</f>
        <v>73.259626783341588</v>
      </c>
      <c r="AH83">
        <v>34.61</v>
      </c>
      <c r="AI83">
        <f>VLOOKUP($B83,'[1]CALC GDP Growth rates WDI'!$B$1:$CZ$600,30,FALSE)</f>
        <v>53.108920563223919</v>
      </c>
      <c r="AK83" t="e">
        <f>VLOOKUP($B83,[1]Data_Aspire!$B$1:$CZ$600,2,FALSE)</f>
        <v>#N/A</v>
      </c>
      <c r="AL83" t="e">
        <f>VLOOKUP($B83,[1]Data_Aspire!$B$1:$CZ$600,3,FALSE)</f>
        <v>#N/A</v>
      </c>
      <c r="AM83" t="e">
        <f>VLOOKUP($B83,[1]Data_Aspire!$B$1:$CZ$600,4,FALSE)</f>
        <v>#N/A</v>
      </c>
      <c r="AN83" t="e">
        <f>VLOOKUP($B83,[1]Data_Aspire!$B$1:$CZ$600,5,FALSE)</f>
        <v>#N/A</v>
      </c>
      <c r="AO83" t="e">
        <f>VLOOKUP($B83,[1]Data_Aspire!$B$1:$CZ$600,6,FALSE)</f>
        <v>#N/A</v>
      </c>
      <c r="AP83" t="e">
        <f>VLOOKUP($B83,[1]Data_Aspire!$B$1:$CZ$600,7,FALSE)</f>
        <v>#N/A</v>
      </c>
      <c r="AQ83" t="e">
        <f>VLOOKUP($B83,[1]Data_Aspire!$B$1:$CZ$600,8,FALSE)</f>
        <v>#N/A</v>
      </c>
      <c r="AR83" t="e">
        <f>VLOOKUP($B83,[1]Data_Aspire!$B$1:$CZ$600,9,FALSE)</f>
        <v>#N/A</v>
      </c>
      <c r="AS83" t="e">
        <f>VLOOKUP($B83,[1]Data_Aspire!$B$1:$CZ$600,10,FALSE)</f>
        <v>#N/A</v>
      </c>
      <c r="AT83" t="e">
        <f>VLOOKUP($B83,[1]Data_Aspire!$B$1:$CZ$600,11,FALSE)</f>
        <v>#N/A</v>
      </c>
      <c r="AU83" t="e">
        <f>VLOOKUP($B83,[1]Data_Aspire!$B$1:$CZ$600,12,FALSE)</f>
        <v>#N/A</v>
      </c>
      <c r="AV83" t="e">
        <f>VLOOKUP($B83,[1]Data_Aspire!$B$1:$CZ$600,13,FALSE)</f>
        <v>#N/A</v>
      </c>
      <c r="AW83" t="e">
        <f>VLOOKUP($B83,[1]Data_Aspire!$B$1:$CZ$600,14,FALSE)</f>
        <v>#N/A</v>
      </c>
      <c r="AX83" t="e">
        <f>VLOOKUP($B83,[1]Data_Aspire!$B$1:$CZ$600,15,FALSE)</f>
        <v>#N/A</v>
      </c>
      <c r="AY83" t="e">
        <f>VLOOKUP($B83,[1]Data_Aspire!$B$1:$CZ$600,16,FALSE)</f>
        <v>#N/A</v>
      </c>
      <c r="AZ83" t="e">
        <f>VLOOKUP($B83,[1]Data_Aspire!$B$1:$CZ$600,17,FALSE)</f>
        <v>#N/A</v>
      </c>
      <c r="BA83" t="e">
        <f>VLOOKUP($B83,[1]Data_Aspire!$B$1:$CZ$600,18,FALSE)</f>
        <v>#N/A</v>
      </c>
      <c r="BB83" t="e">
        <f>VLOOKUP($B83,[1]Data_Aspire!$B$1:$CZ$600,19,FALSE)</f>
        <v>#N/A</v>
      </c>
      <c r="BC83" t="e">
        <f>VLOOKUP($B83,[1]Data_Aspire!$B$1:$CZ$600,20,FALSE)</f>
        <v>#N/A</v>
      </c>
      <c r="BD83" t="e">
        <f>VLOOKUP($B83,[1]Data_Aspire!$B$1:$CZ$600,21,FALSE)</f>
        <v>#N/A</v>
      </c>
      <c r="BE83" t="e">
        <f>VLOOKUP($B83,[1]Data_Aspire!$B$1:$CZ$600,22,FALSE)</f>
        <v>#N/A</v>
      </c>
      <c r="BF83" t="e">
        <f>VLOOKUP($B83,[1]Data_Aspire!$B$1:$CZ$600,23,FALSE)</f>
        <v>#N/A</v>
      </c>
      <c r="BG83" t="e">
        <f>VLOOKUP($B83,[1]Data_Aspire!$B$1:$CZ$600,24,FALSE)</f>
        <v>#N/A</v>
      </c>
      <c r="BH83" t="e">
        <f>VLOOKUP($B83,[1]Data_Aspire!$B$1:$CZ$600,25,FALSE)</f>
        <v>#N/A</v>
      </c>
      <c r="BI83" t="e">
        <f>VLOOKUP($B83,[1]Data_Aspire!$B$1:$CZ$600,26,FALSE)</f>
        <v>#N/A</v>
      </c>
      <c r="BJ83" s="7">
        <v>0</v>
      </c>
      <c r="BK83">
        <v>372</v>
      </c>
      <c r="BL83">
        <f>VLOOKUP($B83,'[1]Data_UN_PopulationTot.&amp;%'!$B$4:$CZ$603,8,FALSE)</f>
        <v>4937.8</v>
      </c>
      <c r="BM83">
        <f>VLOOKUP($B83,'[1]Data_UN_PopulationTot.&amp;%'!$B$4:$CZ$603,9,FALSE)</f>
        <v>4982.8999999999996</v>
      </c>
      <c r="BN83">
        <v>5020.2</v>
      </c>
      <c r="BO83">
        <f>VLOOKUP($B83,'[1]Data_UN_PopulationTot.&amp;%'!$B$4:$CZ$603,11,FALSE)</f>
        <v>5051.6099999999997</v>
      </c>
      <c r="BP83">
        <f>VLOOKUP($B83,'[1]Data_UN_PopulationTot.&amp;%'!$B$4:$CZ$603,12,FALSE)</f>
        <v>5080.5</v>
      </c>
      <c r="BQ83">
        <f>VLOOKUP($B83,'[1]Data_UN_PopulationTot.&amp;%'!$B$4:$CZ$603,13,FALSE)</f>
        <v>5109.29</v>
      </c>
      <c r="BR83">
        <f>VLOOKUP($B83,'[1]Data_UN_PopulationTot.&amp;%'!$B$4:$CZ$603,14,FALSE)</f>
        <v>5138.3100000000004</v>
      </c>
      <c r="BS83">
        <f>VLOOKUP($B83,'[1]Data_UN_PopulationTot.&amp;%'!$B$4:$CZ$603,15,FALSE)</f>
        <v>5166.75</v>
      </c>
      <c r="BT83">
        <f>VLOOKUP($B83,'[1]Data_UN_PopulationTot.&amp;%'!$B$4:$CZ$603,16,FALSE)</f>
        <v>5194.6099999999997</v>
      </c>
      <c r="BU83">
        <f>VLOOKUP($B83,'[1]Data_UN_PopulationTot.&amp;%'!$B$4:$CZ$603,17,FALSE)</f>
        <v>5221.75</v>
      </c>
      <c r="BV83">
        <f>VLOOKUP($B83,'[1]Data_UN_PopulationTot.&amp;%'!$B$4:$CZ$603,18,FALSE)</f>
        <v>5248.04</v>
      </c>
      <c r="BW83">
        <f>VLOOKUP($B83,'[1]Data_UN_PopulationTot.&amp;%'!$B$4:$CZ$603,61,FALSE)</f>
        <v>6.3520798736279316</v>
      </c>
      <c r="BX83">
        <f>VLOOKUP($B83,'[1]Data_UN_PopulationTot.&amp;%'!$B$4:$CZ$603,62,FALSE)</f>
        <v>7.2560654542508818</v>
      </c>
      <c r="BY83">
        <f>VLOOKUP($B83,'[1]Data_UN_PopulationTot.&amp;%'!$B$4:$CZ$603,63,FALSE)</f>
        <v>7.2240876503706097</v>
      </c>
      <c r="BZ83">
        <f>VLOOKUP($B83,'[1]Data_UN_PopulationTot.&amp;%'!$B$4:$CZ$603,64,FALSE)</f>
        <v>6.3193324962533923</v>
      </c>
      <c r="CA83">
        <f>VLOOKUP($B83,'[1]Data_UN_PopulationTot.&amp;%'!$B$4:$CZ$603,65,FALSE)</f>
        <v>5.866661266150917</v>
      </c>
      <c r="CB83">
        <f>VLOOKUP($B83,'[1]Data_UN_PopulationTot.&amp;%'!$B$4:$CZ$603,66,FALSE)</f>
        <v>5.6230102474786348</v>
      </c>
      <c r="CC83">
        <f>VLOOKUP($B83,'[1]Data_UN_PopulationTot.&amp;%'!$B$4:$CZ$603,67,FALSE)</f>
        <v>6.2972578881283159</v>
      </c>
      <c r="CD83">
        <f>VLOOKUP($B83,'[1]Data_UN_PopulationTot.&amp;%'!$B$4:$CZ$603,68,FALSE)</f>
        <v>7.7966300781724662</v>
      </c>
      <c r="CE83">
        <f>VLOOKUP($B83,'[1]Data_UN_PopulationTot.&amp;%'!$B$4:$CZ$603,69,FALSE)</f>
        <v>8.0107335250516414</v>
      </c>
      <c r="CF83">
        <f>VLOOKUP($B83,'[1]Data_UN_PopulationTot.&amp;%'!$B$4:$CZ$603,70,FALSE)</f>
        <v>7.4461096034671295</v>
      </c>
      <c r="CG83">
        <f>VLOOKUP($B83,'[1]Data_UN_PopulationTot.&amp;%'!$B$4:$CZ$603,71,FALSE)</f>
        <v>6.3225930576370031</v>
      </c>
      <c r="CH83">
        <f>VLOOKUP($B83,'[1]Data_UN_PopulationTot.&amp;%'!$B$4:$CZ$603,72,FALSE)</f>
        <v>5.8474624326623186</v>
      </c>
      <c r="CI83">
        <f>VLOOKUP($B83,'[1]Data_UN_PopulationTot.&amp;%'!$B$4:$CZ$603,73,FALSE)</f>
        <v>5.0599052209486004</v>
      </c>
      <c r="CJ83">
        <f>VLOOKUP($B83,'[1]Data_UN_PopulationTot.&amp;%'!$B$4:$CZ$603,74,FALSE)</f>
        <v>4.6769208959455622</v>
      </c>
      <c r="CK83">
        <f>VLOOKUP($B83,'[1]Data_UN_PopulationTot.&amp;%'!$B$4:$CZ$603,75,FALSE)</f>
        <v>3.9857021345538501</v>
      </c>
      <c r="CL83">
        <f>VLOOKUP($B83,'[1]Data_UN_PopulationTot.&amp;%'!$B$4:$CZ$603,76,FALSE)</f>
        <v>2.7108631374296244</v>
      </c>
      <c r="CM83">
        <f>VLOOKUP($B83,'[1]Data_UN_PopulationTot.&amp;%'!$B$4:$CZ$603,77,FALSE)</f>
        <v>1.7843574061322858</v>
      </c>
      <c r="CN83">
        <f>VLOOKUP($B83,'[1]Data_UN_PopulationTot.&amp;%'!$B$4:$CZ$603,78,FALSE)</f>
        <v>0.92612094455020444</v>
      </c>
      <c r="CO83">
        <f>VLOOKUP($B83,'[1]Data_UN_PopulationTot.&amp;%'!$B$4:$CZ$603,79,FALSE)</f>
        <v>0.37243306735793269</v>
      </c>
      <c r="CP83">
        <f>VLOOKUP($B83,'[1]Data_UN_PopulationTot.&amp;%'!$B$4:$CZ$603,80,FALSE)</f>
        <v>0.10863137429624528</v>
      </c>
      <c r="CQ83">
        <f>VLOOKUP($B83,'[1]Data_UN_PopulationTot.&amp;%'!$B$4:$CZ$603,81,FALSE)</f>
        <v>1.2961237798209728E-2</v>
      </c>
      <c r="CR83">
        <f>VLOOKUP($B83,'[1]Data_UN_PopulationTot.&amp;%'!$B$4:$CZ$603,82,FALSE)</f>
        <v>5.1596405515201855</v>
      </c>
      <c r="CS83">
        <f>VLOOKUP($B83,'[1]Data_UN_PopulationTot.&amp;%'!$B$4:$CZ$603,83,FALSE)</f>
        <v>5.4850382237940272</v>
      </c>
      <c r="CT83">
        <f>VLOOKUP($B83,'[1]Data_UN_PopulationTot.&amp;%'!$B$4:$CZ$603,84,FALSE)</f>
        <v>6.0380446795375038</v>
      </c>
      <c r="CU83">
        <f>VLOOKUP($B83,'[1]Data_UN_PopulationTot.&amp;%'!$B$4:$CZ$603,85,FALSE)</f>
        <v>6.9062164160334145</v>
      </c>
      <c r="CV83">
        <f>VLOOKUP($B83,'[1]Data_UN_PopulationTot.&amp;%'!$B$4:$CZ$603,86,FALSE)</f>
        <v>6.9903049519439637</v>
      </c>
      <c r="CW83">
        <f>VLOOKUP($B83,'[1]Data_UN_PopulationTot.&amp;%'!$B$4:$CZ$603,87,FALSE)</f>
        <v>6.2520483837775629</v>
      </c>
      <c r="CX83">
        <f>VLOOKUP($B83,'[1]Data_UN_PopulationTot.&amp;%'!$B$4:$CZ$603,88,FALSE)</f>
        <v>5.8327680429265021</v>
      </c>
      <c r="CY83">
        <f>VLOOKUP($B83,'[1]Data_UN_PopulationTot.&amp;%'!$B$4:$CZ$603,89,FALSE)</f>
        <v>5.530655254152026</v>
      </c>
      <c r="CZ83">
        <f>VLOOKUP($B83,'[1]Data_UN_PopulationTot.&amp;%'!$B$4:$CZ$603,90,FALSE)</f>
        <v>6.075525338983697</v>
      </c>
      <c r="DA83">
        <f>VLOOKUP($B83,'[1]Data_UN_PopulationTot.&amp;%'!$B$4:$CZ$603,91,FALSE)</f>
        <v>7.3963041440232926</v>
      </c>
      <c r="DB83">
        <f>VLOOKUP($B83,'[1]Data_UN_PopulationTot.&amp;%'!$B$4:$CZ$603,92,FALSE)</f>
        <v>7.5152247315188143</v>
      </c>
      <c r="DC83">
        <f>VLOOKUP($B83,'[1]Data_UN_PopulationTot.&amp;%'!$B$4:$CZ$603,93,FALSE)</f>
        <v>6.9054161172552044</v>
      </c>
      <c r="DD83">
        <f>VLOOKUP($B83,'[1]Data_UN_PopulationTot.&amp;%'!$B$4:$CZ$603,94,FALSE)</f>
        <v>5.7725741419653813</v>
      </c>
      <c r="DE83">
        <f>VLOOKUP($B83,'[1]Data_UN_PopulationTot.&amp;%'!$B$4:$CZ$603,95,FALSE)</f>
        <v>5.2083063391285132</v>
      </c>
      <c r="DF83">
        <f>VLOOKUP($B83,'[1]Data_UN_PopulationTot.&amp;%'!$B$4:$CZ$603,96,FALSE)</f>
        <v>4.3348373869101602</v>
      </c>
      <c r="DG83">
        <f>VLOOKUP($B83,'[1]Data_UN_PopulationTot.&amp;%'!$B$4:$CZ$603,97,FALSE)</f>
        <v>3.7320980785207429</v>
      </c>
      <c r="DH83">
        <f>VLOOKUP($B83,'[1]Data_UN_PopulationTot.&amp;%'!$B$4:$CZ$603,98,FALSE)</f>
        <v>2.747635307657716</v>
      </c>
      <c r="DI83">
        <f>VLOOKUP($B83,'[1]Data_UN_PopulationTot.&amp;%'!$B$4:$CZ$603,99,FALSE)</f>
        <v>1.4060677891174609</v>
      </c>
      <c r="DJ83">
        <f>VLOOKUP($B83,'[1]Data_UN_PopulationTot.&amp;%'!$B$4:$DE$603,100,FALSE)</f>
        <v>0.56314357360081091</v>
      </c>
      <c r="DK83">
        <f>VLOOKUP($B83,'[1]Data_UN_PopulationTot.&amp;%'!$B$4:$DE$603,101,FALSE)</f>
        <v>0.1306583029092766</v>
      </c>
      <c r="DL83">
        <f>VLOOKUP($B83,'[1]Data_UN_PopulationTot.&amp;%'!$B$4:$DE$603,102,FALSE)</f>
        <v>1.7473189990929946E-2</v>
      </c>
    </row>
    <row r="84" spans="1:116">
      <c r="A84" t="s">
        <v>158</v>
      </c>
      <c r="B84" t="s">
        <v>372</v>
      </c>
      <c r="C84" t="s">
        <v>487</v>
      </c>
      <c r="D84" t="s">
        <v>334</v>
      </c>
      <c r="E84" t="s">
        <v>300</v>
      </c>
      <c r="F84">
        <v>0</v>
      </c>
      <c r="G84">
        <v>1</v>
      </c>
      <c r="H84">
        <v>0</v>
      </c>
      <c r="I84">
        <v>0</v>
      </c>
      <c r="J84" s="18">
        <f t="shared" si="3"/>
        <v>3126750.785175263</v>
      </c>
      <c r="K84">
        <f>VLOOKUP($B84,'[1]Source GDP Current USD'!$B$1:$CZ$600,64,FALSE)</f>
        <v>203471303952.34399</v>
      </c>
      <c r="L84" s="45">
        <f>VLOOKUP($B84,'[1]Source GDP Current USD'!$B$1:$CZ$600,65,FALSE)</f>
        <v>203471303952.34399</v>
      </c>
      <c r="M84" s="17">
        <f>VLOOKUP($B84,'[1]Source GDP Current LCU'!$B$1:$CZ$600,64,FALSE)</f>
        <v>3.50847260455034E+16</v>
      </c>
      <c r="N84" s="45">
        <v>3.5E+16</v>
      </c>
      <c r="O84" s="45">
        <f>VLOOKUP($B84,'[1]Source GNI Current USD'!$B$1:$CZ$600,64,FALSE)</f>
        <v>202972172216.73199</v>
      </c>
      <c r="P84" s="45">
        <f>VLOOKUP($B84,'[1]Source GNI Current LCU'!$B$1:$CZ$600,64,FALSE)</f>
        <v>3.49986603455034E+16</v>
      </c>
      <c r="Q84">
        <f t="shared" si="2"/>
        <v>100.24591141246655</v>
      </c>
      <c r="R84">
        <v>2960</v>
      </c>
      <c r="S84">
        <v>2960</v>
      </c>
      <c r="T84">
        <v>0.18162200000000001</v>
      </c>
      <c r="U84" s="45">
        <v>84000000</v>
      </c>
      <c r="V84">
        <v>8.9120000000000008</v>
      </c>
      <c r="W84">
        <f>VLOOKUP($B84,'[1]Source Gov. Revenue WEO'!$B$1:$CZ$600,5,FALSE)</f>
        <v>9.1690000000000005</v>
      </c>
      <c r="X84">
        <f>VLOOKUP($B84,'[1]Source Gov. Revenue WEO'!$B$1:$CZ$600,6,FALSE)</f>
        <v>9.3989999999999991</v>
      </c>
      <c r="Y84">
        <f>VLOOKUP($B84,'[1]Source Gov. Revenue WEO'!$B$1:$CZ$600,7,FALSE)</f>
        <v>9.6050000000000004</v>
      </c>
      <c r="Z84">
        <f>VLOOKUP($B84,'[1]Source Gov. Revenue WEO'!$B$1:$CZ$600,8,FALSE)</f>
        <v>9.8309999999999995</v>
      </c>
      <c r="AA84">
        <f>VLOOKUP($B84,'[1]Source Gov. Revenue WEO'!$B$1:$CZ$600,9,FALSE)</f>
        <v>10.076000000000001</v>
      </c>
      <c r="AB84">
        <f>VLOOKUP($B84,'[1]Source Gov. Revenue WEO'!$B$1:$CZ$600,10,FALSE)</f>
        <v>10.342000000000001</v>
      </c>
      <c r="AC84">
        <f>VLOOKUP($B84,[2]Summary!$B$1:$CZ$600,39,FALSE)</f>
        <v>3.3707559999999999E-3</v>
      </c>
      <c r="AD84">
        <f>VLOOKUP($B84,[2]Summary!$B$1:$CZ$600,40,FALSE)</f>
        <v>6.7500000000000008E-3</v>
      </c>
      <c r="AE84">
        <f>VLOOKUP($B84,[2]Summary!$B$1:$CZ$600,47,FALSE)</f>
        <v>0.23025988499429095</v>
      </c>
      <c r="AF84">
        <f>VLOOKUP($B84,'[1]CALC GDP Growth rates WDI'!$B$1:$CZ$600,27,FALSE)</f>
        <v>4.291359995631491</v>
      </c>
      <c r="AG84">
        <f>VLOOKUP($B84,'[1]CALC GDP Growth rates WDI'!$B$1:$CZ$600,29,FALSE)</f>
        <v>14.755484900410165</v>
      </c>
      <c r="AH84">
        <v>6.55</v>
      </c>
      <c r="AI84">
        <f>VLOOKUP($B84,'[1]CALC GDP Growth rates WDI'!$B$1:$CZ$600,30,FALSE)</f>
        <v>9.358170848682823</v>
      </c>
      <c r="AM84">
        <f>VLOOKUP($B84,[1]Data_Aspire!$B$1:$CZ$600,4,FALSE)</f>
        <v>0</v>
      </c>
      <c r="AN84">
        <f>VLOOKUP($B84,[1]Data_Aspire!$B$1:$CZ$600,5,FALSE)</f>
        <v>0</v>
      </c>
      <c r="AX84">
        <f>VLOOKUP($B84,[1]Data_Aspire!$B$1:$CZ$600,15,FALSE)</f>
        <v>6100000</v>
      </c>
      <c r="AY84">
        <f>VLOOKUP($B84,[1]Data_Aspire!$B$1:$CZ$600,16,FALSE)</f>
        <v>2009</v>
      </c>
      <c r="BD84">
        <f>VLOOKUP($B84,[1]Data_Aspire!$B$1:$CZ$600,21,FALSE)</f>
        <v>3000</v>
      </c>
      <c r="BE84">
        <f>VLOOKUP($B84,[1]Data_Aspire!$B$1:$CZ$600,22,FALSE)</f>
        <v>2011</v>
      </c>
      <c r="BJ84" s="7">
        <v>0</v>
      </c>
      <c r="BK84">
        <v>364</v>
      </c>
      <c r="BL84">
        <f>VLOOKUP($B84,'[1]Data_UN_PopulationTot.&amp;%'!$B$4:$CZ$603,8,FALSE)</f>
        <v>83993</v>
      </c>
      <c r="BM84">
        <f>VLOOKUP($B84,'[1]Data_UN_PopulationTot.&amp;%'!$B$4:$CZ$603,9,FALSE)</f>
        <v>85028.800000000003</v>
      </c>
      <c r="BN84">
        <v>86022.8</v>
      </c>
      <c r="BO84">
        <f>VLOOKUP($B84,'[1]Data_UN_PopulationTot.&amp;%'!$B$4:$CZ$603,11,FALSE)</f>
        <v>86975.8</v>
      </c>
      <c r="BP84">
        <f>VLOOKUP($B84,'[1]Data_UN_PopulationTot.&amp;%'!$B$4:$CZ$603,12,FALSE)</f>
        <v>87892</v>
      </c>
      <c r="BQ84">
        <f>VLOOKUP($B84,'[1]Data_UN_PopulationTot.&amp;%'!$B$4:$CZ$603,13,FALSE)</f>
        <v>88774.8</v>
      </c>
      <c r="BR84">
        <f>VLOOKUP($B84,'[1]Data_UN_PopulationTot.&amp;%'!$B$4:$CZ$603,14,FALSE)</f>
        <v>89622.5</v>
      </c>
      <c r="BS84">
        <f>VLOOKUP($B84,'[1]Data_UN_PopulationTot.&amp;%'!$B$4:$CZ$603,15,FALSE)</f>
        <v>90432.9</v>
      </c>
      <c r="BT84">
        <f>VLOOKUP($B84,'[1]Data_UN_PopulationTot.&amp;%'!$B$4:$CZ$603,16,FALSE)</f>
        <v>91207.9</v>
      </c>
      <c r="BU84">
        <f>VLOOKUP($B84,'[1]Data_UN_PopulationTot.&amp;%'!$B$4:$CZ$603,17,FALSE)</f>
        <v>91950.6</v>
      </c>
      <c r="BV84">
        <f>VLOOKUP($B84,'[1]Data_UN_PopulationTot.&amp;%'!$B$4:$CZ$603,18,FALSE)</f>
        <v>92663.7</v>
      </c>
      <c r="BW84">
        <f>VLOOKUP($B84,'[1]Data_UN_PopulationTot.&amp;%'!$B$4:$CZ$603,61,FALSE)</f>
        <v>9.0930910909242435</v>
      </c>
      <c r="BX84">
        <f>VLOOKUP($B84,'[1]Data_UN_PopulationTot.&amp;%'!$B$4:$CZ$603,62,FALSE)</f>
        <v>8.2486635791077827</v>
      </c>
      <c r="BY84">
        <f>VLOOKUP($B84,'[1]Data_UN_PopulationTot.&amp;%'!$B$4:$CZ$603,63,FALSE)</f>
        <v>7.4029264343457193</v>
      </c>
      <c r="BZ84">
        <f>VLOOKUP($B84,'[1]Data_UN_PopulationTot.&amp;%'!$B$4:$CZ$603,64,FALSE)</f>
        <v>6.5838581786577448</v>
      </c>
      <c r="CA84">
        <f>VLOOKUP($B84,'[1]Data_UN_PopulationTot.&amp;%'!$B$4:$CZ$603,65,FALSE)</f>
        <v>6.6151107830414428</v>
      </c>
      <c r="CB84">
        <f>VLOOKUP($B84,'[1]Data_UN_PopulationTot.&amp;%'!$B$4:$CZ$603,66,FALSE)</f>
        <v>8.080054290238472</v>
      </c>
      <c r="CC84">
        <f>VLOOKUP($B84,'[1]Data_UN_PopulationTot.&amp;%'!$B$4:$CZ$603,67,FALSE)</f>
        <v>10.080244782303287</v>
      </c>
      <c r="CD84">
        <f>VLOOKUP($B84,'[1]Data_UN_PopulationTot.&amp;%'!$B$4:$CZ$603,68,FALSE)</f>
        <v>9.8493207767313926</v>
      </c>
      <c r="CE84">
        <f>VLOOKUP($B84,'[1]Data_UN_PopulationTot.&amp;%'!$B$4:$CZ$603,69,FALSE)</f>
        <v>7.7284059385901198</v>
      </c>
      <c r="CF84">
        <f>VLOOKUP($B84,'[1]Data_UN_PopulationTot.&amp;%'!$B$4:$CZ$603,70,FALSE)</f>
        <v>6.1484766587691828</v>
      </c>
      <c r="CG84">
        <f>VLOOKUP($B84,'[1]Data_UN_PopulationTot.&amp;%'!$B$4:$CZ$603,71,FALSE)</f>
        <v>5.4986486969152182</v>
      </c>
      <c r="CH84">
        <f>VLOOKUP($B84,'[1]Data_UN_PopulationTot.&amp;%'!$B$4:$CZ$603,72,FALSE)</f>
        <v>4.3775671782172321</v>
      </c>
      <c r="CI84">
        <f>VLOOKUP($B84,'[1]Data_UN_PopulationTot.&amp;%'!$B$4:$CZ$603,73,FALSE)</f>
        <v>3.7292036241115332</v>
      </c>
      <c r="CJ84">
        <f>VLOOKUP($B84,'[1]Data_UN_PopulationTot.&amp;%'!$B$4:$CZ$603,74,FALSE)</f>
        <v>2.6962127796363986</v>
      </c>
      <c r="CK84">
        <f>VLOOKUP($B84,'[1]Data_UN_PopulationTot.&amp;%'!$B$4:$CZ$603,75,FALSE)</f>
        <v>1.7239531865750717</v>
      </c>
      <c r="CL84">
        <f>VLOOKUP($B84,'[1]Data_UN_PopulationTot.&amp;%'!$B$4:$CZ$603,76,FALSE)</f>
        <v>1.0793828057099997</v>
      </c>
      <c r="CM84">
        <f>VLOOKUP($B84,'[1]Data_UN_PopulationTot.&amp;%'!$B$4:$CZ$603,77,FALSE)</f>
        <v>0.65673568035431518</v>
      </c>
      <c r="CN84">
        <f>VLOOKUP($B84,'[1]Data_UN_PopulationTot.&amp;%'!$B$4:$CZ$603,78,FALSE)</f>
        <v>0.33036205398068885</v>
      </c>
      <c r="CO84">
        <f>VLOOKUP($B84,'[1]Data_UN_PopulationTot.&amp;%'!$B$4:$CZ$603,79,FALSE)</f>
        <v>6.7477051659066839E-2</v>
      </c>
      <c r="CP84">
        <f>VLOOKUP($B84,'[1]Data_UN_PopulationTot.&amp;%'!$B$4:$CZ$603,80,FALSE)</f>
        <v>9.6079435191027823E-3</v>
      </c>
      <c r="CQ84">
        <f>VLOOKUP($B84,'[1]Data_UN_PopulationTot.&amp;%'!$B$4:$CZ$603,81,FALSE)</f>
        <v>6.1671805983831989E-4</v>
      </c>
      <c r="CR84">
        <f>VLOOKUP($B84,'[1]Data_UN_PopulationTot.&amp;%'!$B$4:$CZ$603,82,FALSE)</f>
        <v>6.8046818765061188</v>
      </c>
      <c r="CS84">
        <f>VLOOKUP($B84,'[1]Data_UN_PopulationTot.&amp;%'!$B$4:$CZ$603,83,FALSE)</f>
        <v>7.5089598192172344</v>
      </c>
      <c r="CT84">
        <f>VLOOKUP($B84,'[1]Data_UN_PopulationTot.&amp;%'!$B$4:$CZ$603,84,FALSE)</f>
        <v>8.2154176878324527</v>
      </c>
      <c r="CU84">
        <f>VLOOKUP($B84,'[1]Data_UN_PopulationTot.&amp;%'!$B$4:$CZ$603,85,FALSE)</f>
        <v>7.43422721087114</v>
      </c>
      <c r="CV84">
        <f>VLOOKUP($B84,'[1]Data_UN_PopulationTot.&amp;%'!$B$4:$CZ$603,86,FALSE)</f>
        <v>6.6171542901913041</v>
      </c>
      <c r="CW84">
        <f>VLOOKUP($B84,'[1]Data_UN_PopulationTot.&amp;%'!$B$4:$CZ$603,87,FALSE)</f>
        <v>5.8484714078975912</v>
      </c>
      <c r="CX84">
        <f>VLOOKUP($B84,'[1]Data_UN_PopulationTot.&amp;%'!$B$4:$CZ$603,88,FALSE)</f>
        <v>5.8885949945879572</v>
      </c>
      <c r="CY84">
        <f>VLOOKUP($B84,'[1]Data_UN_PopulationTot.&amp;%'!$B$4:$CZ$603,89,FALSE)</f>
        <v>7.2296918858193671</v>
      </c>
      <c r="CZ84">
        <f>VLOOKUP($B84,'[1]Data_UN_PopulationTot.&amp;%'!$B$4:$CZ$603,90,FALSE)</f>
        <v>9.0411887287039043</v>
      </c>
      <c r="DA84">
        <f>VLOOKUP($B84,'[1]Data_UN_PopulationTot.&amp;%'!$B$4:$CZ$603,91,FALSE)</f>
        <v>8.8202607925217755</v>
      </c>
      <c r="DB84">
        <f>VLOOKUP($B84,'[1]Data_UN_PopulationTot.&amp;%'!$B$4:$CZ$603,92,FALSE)</f>
        <v>6.8761230125712656</v>
      </c>
      <c r="DC84">
        <f>VLOOKUP($B84,'[1]Data_UN_PopulationTot.&amp;%'!$B$4:$CZ$603,93,FALSE)</f>
        <v>5.4098530492522965</v>
      </c>
      <c r="DD84">
        <f>VLOOKUP($B84,'[1]Data_UN_PopulationTot.&amp;%'!$B$4:$CZ$603,94,FALSE)</f>
        <v>4.7553356924016636</v>
      </c>
      <c r="DE84">
        <f>VLOOKUP($B84,'[1]Data_UN_PopulationTot.&amp;%'!$B$4:$CZ$603,95,FALSE)</f>
        <v>3.6548939876132733</v>
      </c>
      <c r="DF84">
        <f>VLOOKUP($B84,'[1]Data_UN_PopulationTot.&amp;%'!$B$4:$CZ$603,96,FALSE)</f>
        <v>2.8849700583939559</v>
      </c>
      <c r="DG84">
        <f>VLOOKUP($B84,'[1]Data_UN_PopulationTot.&amp;%'!$B$4:$CZ$603,97,FALSE)</f>
        <v>1.7504912927068528</v>
      </c>
      <c r="DH84">
        <f>VLOOKUP($B84,'[1]Data_UN_PopulationTot.&amp;%'!$B$4:$CZ$603,98,FALSE)</f>
        <v>0.81505055377672164</v>
      </c>
      <c r="DI84">
        <f>VLOOKUP($B84,'[1]Data_UN_PopulationTot.&amp;%'!$B$4:$CZ$603,99,FALSE)</f>
        <v>0.32483701816353111</v>
      </c>
      <c r="DJ84">
        <f>VLOOKUP($B84,'[1]Data_UN_PopulationTot.&amp;%'!$B$4:$DE$603,100,FALSE)</f>
        <v>0.10045033815830795</v>
      </c>
      <c r="DK84">
        <f>VLOOKUP($B84,'[1]Data_UN_PopulationTot.&amp;%'!$B$4:$DE$603,101,FALSE)</f>
        <v>1.8294110854628082E-2</v>
      </c>
      <c r="DL84">
        <f>VLOOKUP($B84,'[1]Data_UN_PopulationTot.&amp;%'!$B$4:$DE$603,102,FALSE)</f>
        <v>1.0478752737048055E-3</v>
      </c>
    </row>
    <row r="85" spans="1:116">
      <c r="A85" t="s">
        <v>185</v>
      </c>
      <c r="B85" t="s">
        <v>400</v>
      </c>
      <c r="C85" t="s">
        <v>487</v>
      </c>
      <c r="D85" t="s">
        <v>389</v>
      </c>
      <c r="E85" t="s">
        <v>301</v>
      </c>
      <c r="F85">
        <v>0</v>
      </c>
      <c r="G85">
        <v>0</v>
      </c>
      <c r="H85">
        <v>1</v>
      </c>
      <c r="I85">
        <v>0</v>
      </c>
      <c r="J85" s="18">
        <f t="shared" si="3"/>
        <v>62210.400620438006</v>
      </c>
      <c r="K85">
        <f>VLOOKUP($B85,'[1]Source GDP Current USD'!$B$1:$CZ$600,64,FALSE)</f>
        <v>166756984395.97299</v>
      </c>
      <c r="L85" s="45">
        <f>VLOOKUP($B85,'[1]Source GDP Current USD'!$B$1:$CZ$600,65,FALSE)</f>
        <v>166756984395.97299</v>
      </c>
      <c r="M85" s="17">
        <f>VLOOKUP($B85,'[1]Source GDP Current LCU'!$B$1:$CZ$600,64,FALSE)</f>
        <v>198774325400000</v>
      </c>
      <c r="N85" s="45">
        <v>200000000000000</v>
      </c>
      <c r="O85" s="45">
        <f>VLOOKUP($B85,'[1]Source GNI Current USD'!$B$1:$CZ$600,64,FALSE)</f>
        <v>164946731319.883</v>
      </c>
      <c r="P85" s="45">
        <f>VLOOKUP($B85,'[1]Source GNI Current LCU'!$B$1:$CZ$600,64,FALSE)</f>
        <v>196616503733300</v>
      </c>
      <c r="Q85">
        <f t="shared" si="2"/>
        <v>101.09747738655091</v>
      </c>
      <c r="R85">
        <v>4680</v>
      </c>
      <c r="S85">
        <v>4680</v>
      </c>
      <c r="T85">
        <v>0.43609799999999999</v>
      </c>
      <c r="U85" s="45">
        <v>40000000</v>
      </c>
      <c r="V85">
        <v>31.297000000000001</v>
      </c>
      <c r="W85">
        <f>VLOOKUP($B85,'[1]Source Gov. Revenue WEO'!$B$1:$CZ$600,5,FALSE)</f>
        <v>42.119</v>
      </c>
      <c r="X85">
        <f>VLOOKUP($B85,'[1]Source Gov. Revenue WEO'!$B$1:$CZ$600,6,FALSE)</f>
        <v>41.331000000000003</v>
      </c>
      <c r="Y85">
        <f>VLOOKUP($B85,'[1]Source Gov. Revenue WEO'!$B$1:$CZ$600,7,FALSE)</f>
        <v>38.963999999999999</v>
      </c>
      <c r="Z85">
        <f>VLOOKUP($B85,'[1]Source Gov. Revenue WEO'!$B$1:$CZ$600,8,FALSE)</f>
        <v>36.548000000000002</v>
      </c>
      <c r="AA85">
        <f>VLOOKUP($B85,'[1]Source Gov. Revenue WEO'!$B$1:$CZ$600,9,FALSE)</f>
        <v>34.731999999999999</v>
      </c>
      <c r="AB85">
        <f>VLOOKUP($B85,'[1]Source Gov. Revenue WEO'!$B$1:$CZ$600,10,FALSE)</f>
        <v>33.317999999999998</v>
      </c>
      <c r="AC85">
        <f>VLOOKUP($B85,[2]Summary!$B$1:$CZ$600,39,FALSE)</f>
        <v>2.0804349999999999E-2</v>
      </c>
      <c r="AD85">
        <f>VLOOKUP($B85,[2]Summary!$B$1:$CZ$600,40,FALSE)</f>
        <v>1.6E-2</v>
      </c>
      <c r="AE85">
        <f>VLOOKUP($B85,[2]Summary!$B$1:$CZ$600,47,FALSE)</f>
        <v>0.40190773405698782</v>
      </c>
      <c r="AF85">
        <f>VLOOKUP($B85,'[1]CALC GDP Growth rates WDI'!$B$1:$CZ$600,27,FALSE)</f>
        <v>41.771405829794155</v>
      </c>
      <c r="AG85">
        <f>VLOOKUP($B85,'[1]CALC GDP Growth rates WDI'!$B$1:$CZ$600,29,FALSE)</f>
        <v>68.366255783539572</v>
      </c>
      <c r="AH85">
        <v>2.46</v>
      </c>
      <c r="AI85">
        <f>VLOOKUP($B85,'[1]CALC GDP Growth rates WDI'!$B$1:$CZ$600,30,FALSE)</f>
        <v>19.746221438259504</v>
      </c>
      <c r="AK85">
        <f>VLOOKUP($B85,[1]Data_Aspire!$B$1:$CZ$600,2,FALSE)</f>
        <v>2013</v>
      </c>
      <c r="AL85">
        <f>VLOOKUP($B85,[1]Data_Aspire!$B$1:$CZ$600,3,FALSE)</f>
        <v>2.56</v>
      </c>
      <c r="AM85">
        <f>VLOOKUP($B85,[1]Data_Aspire!$B$1:$CZ$600,4,FALSE)</f>
        <v>0</v>
      </c>
      <c r="AN85">
        <f>VLOOKUP($B85,[1]Data_Aspire!$B$1:$CZ$600,5,FALSE)</f>
        <v>0.36</v>
      </c>
      <c r="AR85">
        <f>VLOOKUP($B85,[1]Data_Aspire!$B$1:$CZ$600,9,FALSE)</f>
        <v>2.2000000000000002</v>
      </c>
      <c r="AU85">
        <f>VLOOKUP($B85,[1]Data_Aspire!$B$1:$CZ$600,12,FALSE)</f>
        <v>2.56</v>
      </c>
      <c r="AX85">
        <f>VLOOKUP($B85,[1]Data_Aspire!$B$1:$CZ$600,15,FALSE)</f>
        <v>877520</v>
      </c>
      <c r="AY85">
        <f>VLOOKUP($B85,[1]Data_Aspire!$B$1:$CZ$600,16,FALSE)</f>
        <v>2013</v>
      </c>
      <c r="BD85">
        <f>VLOOKUP($B85,[1]Data_Aspire!$B$1:$CZ$600,21,FALSE)</f>
        <v>555000</v>
      </c>
      <c r="BE85">
        <f>VLOOKUP($B85,[1]Data_Aspire!$B$1:$CZ$600,22,FALSE)</f>
        <v>2011</v>
      </c>
      <c r="BJ85" s="7">
        <v>0</v>
      </c>
      <c r="BK85">
        <v>368</v>
      </c>
      <c r="BL85">
        <f>VLOOKUP($B85,'[1]Data_UN_PopulationTot.&amp;%'!$B$4:$CZ$603,8,FALSE)</f>
        <v>40222.5</v>
      </c>
      <c r="BM85">
        <f>VLOOKUP($B85,'[1]Data_UN_PopulationTot.&amp;%'!$B$4:$CZ$603,9,FALSE)</f>
        <v>41179.4</v>
      </c>
      <c r="BN85">
        <v>42165</v>
      </c>
      <c r="BO85">
        <f>VLOOKUP($B85,'[1]Data_UN_PopulationTot.&amp;%'!$B$4:$CZ$603,11,FALSE)</f>
        <v>43170.8</v>
      </c>
      <c r="BP85">
        <f>VLOOKUP($B85,'[1]Data_UN_PopulationTot.&amp;%'!$B$4:$CZ$603,12,FALSE)</f>
        <v>44181.8</v>
      </c>
      <c r="BQ85">
        <f>VLOOKUP($B85,'[1]Data_UN_PopulationTot.&amp;%'!$B$4:$CZ$603,13,FALSE)</f>
        <v>45187.3</v>
      </c>
      <c r="BR85">
        <f>VLOOKUP($B85,'[1]Data_UN_PopulationTot.&amp;%'!$B$4:$CZ$603,14,FALSE)</f>
        <v>46185.9</v>
      </c>
      <c r="BS85">
        <f>VLOOKUP($B85,'[1]Data_UN_PopulationTot.&amp;%'!$B$4:$CZ$603,15,FALSE)</f>
        <v>47183</v>
      </c>
      <c r="BT85">
        <f>VLOOKUP($B85,'[1]Data_UN_PopulationTot.&amp;%'!$B$4:$CZ$603,16,FALSE)</f>
        <v>48180.9</v>
      </c>
      <c r="BU85">
        <f>VLOOKUP($B85,'[1]Data_UN_PopulationTot.&amp;%'!$B$4:$CZ$603,17,FALSE)</f>
        <v>49183.5</v>
      </c>
      <c r="BV85">
        <f>VLOOKUP($B85,'[1]Data_UN_PopulationTot.&amp;%'!$B$4:$CZ$603,18,FALSE)</f>
        <v>50193.8</v>
      </c>
      <c r="BW85">
        <f>VLOOKUP($B85,'[1]Data_UN_PopulationTot.&amp;%'!$B$4:$CZ$603,61,FALSE)</f>
        <v>13.376642426502579</v>
      </c>
      <c r="BX85">
        <f>VLOOKUP($B85,'[1]Data_UN_PopulationTot.&amp;%'!$B$4:$CZ$603,62,FALSE)</f>
        <v>13.002200261047921</v>
      </c>
      <c r="BY85">
        <f>VLOOKUP($B85,'[1]Data_UN_PopulationTot.&amp;%'!$B$4:$CZ$603,63,FALSE)</f>
        <v>11.334899620858971</v>
      </c>
      <c r="BZ85">
        <f>VLOOKUP($B85,'[1]Data_UN_PopulationTot.&amp;%'!$B$4:$CZ$603,64,FALSE)</f>
        <v>10.321536453477531</v>
      </c>
      <c r="CA85">
        <f>VLOOKUP($B85,'[1]Data_UN_PopulationTot.&amp;%'!$B$4:$CZ$603,65,FALSE)</f>
        <v>9.4471253651563192</v>
      </c>
      <c r="CB85">
        <f>VLOOKUP($B85,'[1]Data_UN_PopulationTot.&amp;%'!$B$4:$CZ$603,66,FALSE)</f>
        <v>8.3677543663372482</v>
      </c>
      <c r="CC85">
        <f>VLOOKUP($B85,'[1]Data_UN_PopulationTot.&amp;%'!$B$4:$CZ$603,67,FALSE)</f>
        <v>7.2779165889738335</v>
      </c>
      <c r="CD85">
        <f>VLOOKUP($B85,'[1]Data_UN_PopulationTot.&amp;%'!$B$4:$CZ$603,68,FALSE)</f>
        <v>6.1565541674435948</v>
      </c>
      <c r="CE85">
        <f>VLOOKUP($B85,'[1]Data_UN_PopulationTot.&amp;%'!$B$4:$CZ$603,69,FALSE)</f>
        <v>5.3453166759898068</v>
      </c>
      <c r="CF85">
        <f>VLOOKUP($B85,'[1]Data_UN_PopulationTot.&amp;%'!$B$4:$CZ$603,70,FALSE)</f>
        <v>4.4417925290571194</v>
      </c>
      <c r="CG85">
        <f>VLOOKUP($B85,'[1]Data_UN_PopulationTot.&amp;%'!$B$4:$CZ$603,71,FALSE)</f>
        <v>3.5179066442911306</v>
      </c>
      <c r="CH85">
        <f>VLOOKUP($B85,'[1]Data_UN_PopulationTot.&amp;%'!$B$4:$CZ$603,72,FALSE)</f>
        <v>2.3025843744173038</v>
      </c>
      <c r="CI85">
        <f>VLOOKUP($B85,'[1]Data_UN_PopulationTot.&amp;%'!$B$4:$CZ$603,73,FALSE)</f>
        <v>1.6650282801914353</v>
      </c>
      <c r="CJ85">
        <f>VLOOKUP($B85,'[1]Data_UN_PopulationTot.&amp;%'!$B$4:$CZ$603,74,FALSE)</f>
        <v>1.5480812977810927</v>
      </c>
      <c r="CK85">
        <f>VLOOKUP($B85,'[1]Data_UN_PopulationTot.&amp;%'!$B$4:$CZ$603,75,FALSE)</f>
        <v>0.82527192491764556</v>
      </c>
      <c r="CL85">
        <f>VLOOKUP($B85,'[1]Data_UN_PopulationTot.&amp;%'!$B$4:$CZ$603,76,FALSE)</f>
        <v>0.60108894275592017</v>
      </c>
      <c r="CM85">
        <f>VLOOKUP($B85,'[1]Data_UN_PopulationTot.&amp;%'!$B$4:$CZ$603,77,FALSE)</f>
        <v>0.31476412455715086</v>
      </c>
      <c r="CN85">
        <f>VLOOKUP($B85,'[1]Data_UN_PopulationTot.&amp;%'!$B$4:$CZ$603,78,FALSE)</f>
        <v>0.12031325750512772</v>
      </c>
      <c r="CO85">
        <f>VLOOKUP($B85,'[1]Data_UN_PopulationTot.&amp;%'!$B$4:$CZ$603,79,FALSE)</f>
        <v>2.8650630865808935E-2</v>
      </c>
      <c r="CP85">
        <f>VLOOKUP($B85,'[1]Data_UN_PopulationTot.&amp;%'!$B$4:$CZ$603,80,FALSE)</f>
        <v>4.1519050282801916E-3</v>
      </c>
      <c r="CQ85">
        <f>VLOOKUP($B85,'[1]Data_UN_PopulationTot.&amp;%'!$B$4:$CZ$603,81,FALSE)</f>
        <v>4.151905028280192E-4</v>
      </c>
      <c r="CR85">
        <f>VLOOKUP($B85,'[1]Data_UN_PopulationTot.&amp;%'!$B$4:$CZ$603,82,FALSE)</f>
        <v>12.064856615757325</v>
      </c>
      <c r="CS85">
        <f>VLOOKUP($B85,'[1]Data_UN_PopulationTot.&amp;%'!$B$4:$CZ$603,83,FALSE)</f>
        <v>11.372340807031945</v>
      </c>
      <c r="CT85">
        <f>VLOOKUP($B85,'[1]Data_UN_PopulationTot.&amp;%'!$B$4:$CZ$603,84,FALSE)</f>
        <v>10.632408783554942</v>
      </c>
      <c r="CU85">
        <f>VLOOKUP($B85,'[1]Data_UN_PopulationTot.&amp;%'!$B$4:$CZ$603,85,FALSE)</f>
        <v>10.328566476337715</v>
      </c>
      <c r="CV85">
        <f>VLOOKUP($B85,'[1]Data_UN_PopulationTot.&amp;%'!$B$4:$CZ$603,86,FALSE)</f>
        <v>8.9940191816519164</v>
      </c>
      <c r="CW85">
        <f>VLOOKUP($B85,'[1]Data_UN_PopulationTot.&amp;%'!$B$4:$CZ$603,87,FALSE)</f>
        <v>8.2042204415684807</v>
      </c>
      <c r="CX85">
        <f>VLOOKUP($B85,'[1]Data_UN_PopulationTot.&amp;%'!$B$4:$CZ$603,88,FALSE)</f>
        <v>7.5174822388422466</v>
      </c>
      <c r="CY85">
        <f>VLOOKUP($B85,'[1]Data_UN_PopulationTot.&amp;%'!$B$4:$CZ$603,89,FALSE)</f>
        <v>6.637791918523801</v>
      </c>
      <c r="CZ85">
        <f>VLOOKUP($B85,'[1]Data_UN_PopulationTot.&amp;%'!$B$4:$CZ$603,90,FALSE)</f>
        <v>5.7350708653259961</v>
      </c>
      <c r="DA85">
        <f>VLOOKUP($B85,'[1]Data_UN_PopulationTot.&amp;%'!$B$4:$CZ$603,91,FALSE)</f>
        <v>4.800254214663962</v>
      </c>
      <c r="DB85">
        <f>VLOOKUP($B85,'[1]Data_UN_PopulationTot.&amp;%'!$B$4:$CZ$603,92,FALSE)</f>
        <v>4.0966214950850501</v>
      </c>
      <c r="DC85">
        <f>VLOOKUP($B85,'[1]Data_UN_PopulationTot.&amp;%'!$B$4:$CZ$603,93,FALSE)</f>
        <v>3.3139351872143572</v>
      </c>
      <c r="DD85">
        <f>VLOOKUP($B85,'[1]Data_UN_PopulationTot.&amp;%'!$B$4:$CZ$603,94,FALSE)</f>
        <v>2.5182990727938508</v>
      </c>
      <c r="DE85">
        <f>VLOOKUP($B85,'[1]Data_UN_PopulationTot.&amp;%'!$B$4:$CZ$603,95,FALSE)</f>
        <v>1.5430013268571017</v>
      </c>
      <c r="DF85">
        <f>VLOOKUP($B85,'[1]Data_UN_PopulationTot.&amp;%'!$B$4:$CZ$603,96,FALSE)</f>
        <v>0.99887834752499305</v>
      </c>
      <c r="DG85">
        <f>VLOOKUP($B85,'[1]Data_UN_PopulationTot.&amp;%'!$B$4:$CZ$603,97,FALSE)</f>
        <v>0.77116894915308265</v>
      </c>
      <c r="DH85">
        <f>VLOOKUP($B85,'[1]Data_UN_PopulationTot.&amp;%'!$B$4:$CZ$603,98,FALSE)</f>
        <v>0.29958480927923364</v>
      </c>
      <c r="DI85">
        <f>VLOOKUP($B85,'[1]Data_UN_PopulationTot.&amp;%'!$B$4:$CZ$603,99,FALSE)</f>
        <v>0.13272954030179024</v>
      </c>
      <c r="DJ85">
        <f>VLOOKUP($B85,'[1]Data_UN_PopulationTot.&amp;%'!$B$4:$DE$603,100,FALSE)</f>
        <v>3.3532029852292512E-2</v>
      </c>
      <c r="DK85">
        <f>VLOOKUP($B85,'[1]Data_UN_PopulationTot.&amp;%'!$B$4:$DE$603,101,FALSE)</f>
        <v>4.7834593117078196E-3</v>
      </c>
      <c r="DL85">
        <f>VLOOKUP($B85,'[1]Data_UN_PopulationTot.&amp;%'!$B$4:$DE$603,102,FALSE)</f>
        <v>4.044324199403114E-4</v>
      </c>
    </row>
    <row r="86" spans="1:116">
      <c r="A86" t="s">
        <v>59</v>
      </c>
      <c r="B86" t="s">
        <v>463</v>
      </c>
      <c r="C86" t="s">
        <v>485</v>
      </c>
      <c r="D86" t="s">
        <v>622</v>
      </c>
      <c r="E86" t="s">
        <v>2269</v>
      </c>
      <c r="F86">
        <v>0</v>
      </c>
      <c r="G86">
        <v>0</v>
      </c>
      <c r="H86">
        <v>0</v>
      </c>
      <c r="I86">
        <v>1</v>
      </c>
      <c r="J86" s="18">
        <f t="shared" si="3"/>
        <v>1231.6146122148798</v>
      </c>
      <c r="K86">
        <f>VLOOKUP($B86,'[1]Source GDP Current USD'!$B$1:$CZ$600,64,FALSE)</f>
        <v>21718075725.205399</v>
      </c>
      <c r="L86" s="45">
        <f>VLOOKUP($B86,'[1]Source GDP Current USD'!$B$1:$CZ$600,65,FALSE)</f>
        <v>21718075725.205399</v>
      </c>
      <c r="M86" s="17">
        <f>VLOOKUP($B86,'[1]Source GDP Current LCU'!$B$1:$CZ$600,64,FALSE)</f>
        <v>2941098988000</v>
      </c>
      <c r="N86" s="45">
        <v>2900000000000</v>
      </c>
      <c r="O86" s="45">
        <f>VLOOKUP($B86,'[1]Source GNI Current USD'!$B$1:$CZ$600,64,FALSE)</f>
        <v>21074087065.624199</v>
      </c>
      <c r="P86" s="45">
        <f>VLOOKUP($B86,'[1]Source GNI Current LCU'!$B$1:$CZ$600,64,FALSE)</f>
        <v>2853888941449.7202</v>
      </c>
      <c r="Q86">
        <f t="shared" si="2"/>
        <v>103.05583182595672</v>
      </c>
      <c r="R86">
        <v>62420</v>
      </c>
      <c r="S86">
        <v>62420</v>
      </c>
      <c r="T86">
        <v>1.1053299999999999</v>
      </c>
      <c r="U86">
        <v>366425</v>
      </c>
      <c r="V86">
        <v>41.875999999999998</v>
      </c>
      <c r="W86">
        <f>VLOOKUP($B86,'[1]Source Gov. Revenue WEO'!$B$1:$CZ$600,5,FALSE)</f>
        <v>41.31</v>
      </c>
      <c r="X86">
        <f>VLOOKUP($B86,'[1]Source Gov. Revenue WEO'!$B$1:$CZ$600,6,FALSE)</f>
        <v>41.128</v>
      </c>
      <c r="Y86">
        <f>VLOOKUP($B86,'[1]Source Gov. Revenue WEO'!$B$1:$CZ$600,7,FALSE)</f>
        <v>41.593000000000004</v>
      </c>
      <c r="Z86">
        <f>VLOOKUP($B86,'[1]Source Gov. Revenue WEO'!$B$1:$CZ$600,8,FALSE)</f>
        <v>41.527999999999999</v>
      </c>
      <c r="AA86">
        <f>VLOOKUP($B86,'[1]Source Gov. Revenue WEO'!$B$1:$CZ$600,9,FALSE)</f>
        <v>41.390999999999998</v>
      </c>
      <c r="AB86">
        <f>VLOOKUP($B86,'[1]Source Gov. Revenue WEO'!$B$1:$CZ$600,10,FALSE)</f>
        <v>41.104999999999997</v>
      </c>
      <c r="AC86" t="e">
        <f>VLOOKUP($B86,[2]Summary!$B$1:$CZ$600,39,FALSE)</f>
        <v>#N/A</v>
      </c>
      <c r="AD86" t="e">
        <f>VLOOKUP($B86,[2]Summary!$B$1:$CZ$600,40,FALSE)</f>
        <v>#N/A</v>
      </c>
      <c r="AE86" t="e">
        <f>VLOOKUP($B86,[2]Summary!$B$1:$CZ$600,47,FALSE)</f>
        <v>#N/A</v>
      </c>
      <c r="AF86">
        <f>VLOOKUP($B86,'[1]CALC GDP Growth rates WDI'!$B$1:$CZ$600,27,FALSE)</f>
        <v>27.165916267336588</v>
      </c>
      <c r="AG86">
        <f>VLOOKUP($B86,'[1]CALC GDP Growth rates WDI'!$B$1:$CZ$600,29,FALSE)</f>
        <v>28.763367967652641</v>
      </c>
      <c r="AH86">
        <v>11.24</v>
      </c>
      <c r="AI86">
        <f>VLOOKUP($B86,'[1]CALC GDP Growth rates WDI'!$B$1:$CZ$600,30,FALSE)</f>
        <v>21.097160707631744</v>
      </c>
      <c r="AJ86" s="45"/>
      <c r="AK86" t="e">
        <f>VLOOKUP($B86,[1]Data_Aspire!$B$1:$CZ$600,2,FALSE)</f>
        <v>#N/A</v>
      </c>
      <c r="AL86" t="e">
        <f>VLOOKUP($B86,[1]Data_Aspire!$B$1:$CZ$600,3,FALSE)</f>
        <v>#N/A</v>
      </c>
      <c r="AM86" t="e">
        <f>VLOOKUP($B86,[1]Data_Aspire!$B$1:$CZ$600,4,FALSE)</f>
        <v>#N/A</v>
      </c>
      <c r="AN86" t="e">
        <f>VLOOKUP($B86,[1]Data_Aspire!$B$1:$CZ$600,5,FALSE)</f>
        <v>#N/A</v>
      </c>
      <c r="AO86" t="e">
        <f>VLOOKUP($B86,[1]Data_Aspire!$B$1:$CZ$600,6,FALSE)</f>
        <v>#N/A</v>
      </c>
      <c r="AP86" t="e">
        <f>VLOOKUP($B86,[1]Data_Aspire!$B$1:$CZ$600,7,FALSE)</f>
        <v>#N/A</v>
      </c>
      <c r="AQ86" t="e">
        <f>VLOOKUP($B86,[1]Data_Aspire!$B$1:$CZ$600,8,FALSE)</f>
        <v>#N/A</v>
      </c>
      <c r="AR86" t="e">
        <f>VLOOKUP($B86,[1]Data_Aspire!$B$1:$CZ$600,9,FALSE)</f>
        <v>#N/A</v>
      </c>
      <c r="AS86" t="e">
        <f>VLOOKUP($B86,[1]Data_Aspire!$B$1:$CZ$600,10,FALSE)</f>
        <v>#N/A</v>
      </c>
      <c r="AT86" t="e">
        <f>VLOOKUP($B86,[1]Data_Aspire!$B$1:$CZ$600,11,FALSE)</f>
        <v>#N/A</v>
      </c>
      <c r="AU86" t="e">
        <f>VLOOKUP($B86,[1]Data_Aspire!$B$1:$CZ$600,12,FALSE)</f>
        <v>#N/A</v>
      </c>
      <c r="AV86" t="e">
        <f>VLOOKUP($B86,[1]Data_Aspire!$B$1:$CZ$600,13,FALSE)</f>
        <v>#N/A</v>
      </c>
      <c r="AW86" t="e">
        <f>VLOOKUP($B86,[1]Data_Aspire!$B$1:$CZ$600,14,FALSE)</f>
        <v>#N/A</v>
      </c>
      <c r="AX86" t="e">
        <f>VLOOKUP($B86,[1]Data_Aspire!$B$1:$CZ$600,15,FALSE)</f>
        <v>#N/A</v>
      </c>
      <c r="AY86" t="e">
        <f>VLOOKUP($B86,[1]Data_Aspire!$B$1:$CZ$600,16,FALSE)</f>
        <v>#N/A</v>
      </c>
      <c r="AZ86" t="e">
        <f>VLOOKUP($B86,[1]Data_Aspire!$B$1:$CZ$600,17,FALSE)</f>
        <v>#N/A</v>
      </c>
      <c r="BA86" t="e">
        <f>VLOOKUP($B86,[1]Data_Aspire!$B$1:$CZ$600,18,FALSE)</f>
        <v>#N/A</v>
      </c>
      <c r="BB86" t="e">
        <f>VLOOKUP($B86,[1]Data_Aspire!$B$1:$CZ$600,19,FALSE)</f>
        <v>#N/A</v>
      </c>
      <c r="BC86" t="e">
        <f>VLOOKUP($B86,[1]Data_Aspire!$B$1:$CZ$600,20,FALSE)</f>
        <v>#N/A</v>
      </c>
      <c r="BD86" t="e">
        <f>VLOOKUP($B86,[1]Data_Aspire!$B$1:$CZ$600,21,FALSE)</f>
        <v>#N/A</v>
      </c>
      <c r="BE86" t="e">
        <f>VLOOKUP($B86,[1]Data_Aspire!$B$1:$CZ$600,22,FALSE)</f>
        <v>#N/A</v>
      </c>
      <c r="BF86" t="e">
        <f>VLOOKUP($B86,[1]Data_Aspire!$B$1:$CZ$600,23,FALSE)</f>
        <v>#N/A</v>
      </c>
      <c r="BG86" t="e">
        <f>VLOOKUP($B86,[1]Data_Aspire!$B$1:$CZ$600,24,FALSE)</f>
        <v>#N/A</v>
      </c>
      <c r="BH86" t="e">
        <f>VLOOKUP($B86,[1]Data_Aspire!$B$1:$CZ$600,25,FALSE)</f>
        <v>#N/A</v>
      </c>
      <c r="BI86" t="e">
        <f>VLOOKUP($B86,[1]Data_Aspire!$B$1:$CZ$600,26,FALSE)</f>
        <v>#N/A</v>
      </c>
      <c r="BJ86" s="7">
        <v>0</v>
      </c>
      <c r="BK86">
        <v>352</v>
      </c>
      <c r="BL86">
        <f>VLOOKUP($B86,'[1]Data_UN_PopulationTot.&amp;%'!$B$4:$CZ$603,8,FALSE)</f>
        <v>341.25</v>
      </c>
      <c r="BM86">
        <f>VLOOKUP($B86,'[1]Data_UN_PopulationTot.&amp;%'!$B$4:$CZ$603,9,FALSE)</f>
        <v>343.36</v>
      </c>
      <c r="BN86">
        <v>345.4</v>
      </c>
      <c r="BO86">
        <f>VLOOKUP($B86,'[1]Data_UN_PopulationTot.&amp;%'!$B$4:$CZ$603,11,FALSE)</f>
        <v>347.38</v>
      </c>
      <c r="BP86">
        <f>VLOOKUP($B86,'[1]Data_UN_PopulationTot.&amp;%'!$B$4:$CZ$603,12,FALSE)</f>
        <v>349.31400000000002</v>
      </c>
      <c r="BQ86">
        <f>VLOOKUP($B86,'[1]Data_UN_PopulationTot.&amp;%'!$B$4:$CZ$603,13,FALSE)</f>
        <v>351.18</v>
      </c>
      <c r="BR86">
        <f>VLOOKUP($B86,'[1]Data_UN_PopulationTot.&amp;%'!$B$4:$CZ$603,14,FALSE)</f>
        <v>353.00799999999998</v>
      </c>
      <c r="BS86">
        <f>VLOOKUP($B86,'[1]Data_UN_PopulationTot.&amp;%'!$B$4:$CZ$603,15,FALSE)</f>
        <v>354.77800000000002</v>
      </c>
      <c r="BT86">
        <f>VLOOKUP($B86,'[1]Data_UN_PopulationTot.&amp;%'!$B$4:$CZ$603,16,FALSE)</f>
        <v>356.48200000000003</v>
      </c>
      <c r="BU86">
        <f>VLOOKUP($B86,'[1]Data_UN_PopulationTot.&amp;%'!$B$4:$CZ$603,17,FALSE)</f>
        <v>358.12900000000002</v>
      </c>
      <c r="BV86">
        <f>VLOOKUP($B86,'[1]Data_UN_PopulationTot.&amp;%'!$B$4:$CZ$603,18,FALSE)</f>
        <v>359.709</v>
      </c>
      <c r="BW86">
        <f>VLOOKUP($B86,'[1]Data_UN_PopulationTot.&amp;%'!$B$4:$CZ$603,61,FALSE)</f>
        <v>5.9894505494505497</v>
      </c>
      <c r="BX86">
        <f>VLOOKUP($B86,'[1]Data_UN_PopulationTot.&amp;%'!$B$4:$CZ$603,62,FALSE)</f>
        <v>6.631794871794872</v>
      </c>
      <c r="BY86">
        <f>VLOOKUP($B86,'[1]Data_UN_PopulationTot.&amp;%'!$B$4:$CZ$603,63,FALSE)</f>
        <v>6.8023443223443225</v>
      </c>
      <c r="BZ86">
        <f>VLOOKUP($B86,'[1]Data_UN_PopulationTot.&amp;%'!$B$4:$CZ$603,64,FALSE)</f>
        <v>6.2989010989010996</v>
      </c>
      <c r="CA86">
        <f>VLOOKUP($B86,'[1]Data_UN_PopulationTot.&amp;%'!$B$4:$CZ$603,65,FALSE)</f>
        <v>6.516923076923077</v>
      </c>
      <c r="CB86">
        <f>VLOOKUP($B86,'[1]Data_UN_PopulationTot.&amp;%'!$B$4:$CZ$603,66,FALSE)</f>
        <v>7.4898168498168509</v>
      </c>
      <c r="CC86">
        <f>VLOOKUP($B86,'[1]Data_UN_PopulationTot.&amp;%'!$B$4:$CZ$603,67,FALSE)</f>
        <v>6.8295970695970691</v>
      </c>
      <c r="CD86">
        <f>VLOOKUP($B86,'[1]Data_UN_PopulationTot.&amp;%'!$B$4:$CZ$603,68,FALSE)</f>
        <v>6.9054945054945058</v>
      </c>
      <c r="CE86">
        <f>VLOOKUP($B86,'[1]Data_UN_PopulationTot.&amp;%'!$B$4:$CZ$603,69,FALSE)</f>
        <v>6.3929670329670323</v>
      </c>
      <c r="CF86">
        <f>VLOOKUP($B86,'[1]Data_UN_PopulationTot.&amp;%'!$B$4:$CZ$603,70,FALSE)</f>
        <v>6.197802197802198</v>
      </c>
      <c r="CG86">
        <f>VLOOKUP($B86,'[1]Data_UN_PopulationTot.&amp;%'!$B$4:$CZ$603,71,FALSE)</f>
        <v>6.0735531135531131</v>
      </c>
      <c r="CH86">
        <f>VLOOKUP($B86,'[1]Data_UN_PopulationTot.&amp;%'!$B$4:$CZ$603,72,FALSE)</f>
        <v>6.2666666666666675</v>
      </c>
      <c r="CI86">
        <f>VLOOKUP($B86,'[1]Data_UN_PopulationTot.&amp;%'!$B$4:$CZ$603,73,FALSE)</f>
        <v>5.9812454212454211</v>
      </c>
      <c r="CJ86">
        <f>VLOOKUP($B86,'[1]Data_UN_PopulationTot.&amp;%'!$B$4:$CZ$603,74,FALSE)</f>
        <v>5.0183150183150182</v>
      </c>
      <c r="CK86">
        <f>VLOOKUP($B86,'[1]Data_UN_PopulationTot.&amp;%'!$B$4:$CZ$603,75,FALSE)</f>
        <v>4.0852747252747257</v>
      </c>
      <c r="CL86">
        <f>VLOOKUP($B86,'[1]Data_UN_PopulationTot.&amp;%'!$B$4:$CZ$603,76,FALSE)</f>
        <v>2.7762637362637363</v>
      </c>
      <c r="CM86">
        <f>VLOOKUP($B86,'[1]Data_UN_PopulationTot.&amp;%'!$B$4:$CZ$603,77,FALSE)</f>
        <v>1.8019047619047619</v>
      </c>
      <c r="CN86">
        <f>VLOOKUP($B86,'[1]Data_UN_PopulationTot.&amp;%'!$B$4:$CZ$603,78,FALSE)</f>
        <v>1.251868131868132</v>
      </c>
      <c r="CO86">
        <f>VLOOKUP($B86,'[1]Data_UN_PopulationTot.&amp;%'!$B$4:$CZ$603,79,FALSE)</f>
        <v>0.53772893772893771</v>
      </c>
      <c r="CP86">
        <f>VLOOKUP($B86,'[1]Data_UN_PopulationTot.&amp;%'!$B$4:$CZ$603,80,FALSE)</f>
        <v>0.13714285714285715</v>
      </c>
      <c r="CQ86">
        <f>VLOOKUP($B86,'[1]Data_UN_PopulationTot.&amp;%'!$B$4:$CZ$603,81,FALSE)</f>
        <v>1.4945054945054943E-2</v>
      </c>
      <c r="CR86">
        <f>VLOOKUP($B86,'[1]Data_UN_PopulationTot.&amp;%'!$B$4:$CZ$603,82,FALSE)</f>
        <v>5.4424548732447615</v>
      </c>
      <c r="CS86">
        <f>VLOOKUP($B86,'[1]Data_UN_PopulationTot.&amp;%'!$B$4:$CZ$603,83,FALSE)</f>
        <v>5.5845141489370578</v>
      </c>
      <c r="CT86">
        <f>VLOOKUP($B86,'[1]Data_UN_PopulationTot.&amp;%'!$B$4:$CZ$603,84,FALSE)</f>
        <v>5.7029432124300472</v>
      </c>
      <c r="CU86">
        <f>VLOOKUP($B86,'[1]Data_UN_PopulationTot.&amp;%'!$B$4:$CZ$603,85,FALSE)</f>
        <v>6.3551370691308815</v>
      </c>
      <c r="CV86">
        <f>VLOOKUP($B86,'[1]Data_UN_PopulationTot.&amp;%'!$B$4:$CZ$603,86,FALSE)</f>
        <v>6.6050613134505944</v>
      </c>
      <c r="CW86">
        <f>VLOOKUP($B86,'[1]Data_UN_PopulationTot.&amp;%'!$B$4:$CZ$603,87,FALSE)</f>
        <v>6.161091326600113</v>
      </c>
      <c r="CX86">
        <f>VLOOKUP($B86,'[1]Data_UN_PopulationTot.&amp;%'!$B$4:$CZ$603,88,FALSE)</f>
        <v>6.3306728494421876</v>
      </c>
      <c r="CY86">
        <f>VLOOKUP($B86,'[1]Data_UN_PopulationTot.&amp;%'!$B$4:$CZ$603,89,FALSE)</f>
        <v>7.1966506259226213</v>
      </c>
      <c r="CZ86">
        <f>VLOOKUP($B86,'[1]Data_UN_PopulationTot.&amp;%'!$B$4:$CZ$603,90,FALSE)</f>
        <v>6.5249965944694175</v>
      </c>
      <c r="DA86">
        <f>VLOOKUP($B86,'[1]Data_UN_PopulationTot.&amp;%'!$B$4:$CZ$603,91,FALSE)</f>
        <v>6.5539088541015094</v>
      </c>
      <c r="DB86">
        <f>VLOOKUP($B86,'[1]Data_UN_PopulationTot.&amp;%'!$B$4:$CZ$603,92,FALSE)</f>
        <v>6.0320981682415509</v>
      </c>
      <c r="DC86">
        <f>VLOOKUP($B86,'[1]Data_UN_PopulationTot.&amp;%'!$B$4:$CZ$603,93,FALSE)</f>
        <v>5.7994100787025067</v>
      </c>
      <c r="DD86">
        <f>VLOOKUP($B86,'[1]Data_UN_PopulationTot.&amp;%'!$B$4:$CZ$603,94,FALSE)</f>
        <v>5.6042523261858888</v>
      </c>
      <c r="DE86">
        <f>VLOOKUP($B86,'[1]Data_UN_PopulationTot.&amp;%'!$B$4:$CZ$603,95,FALSE)</f>
        <v>5.6437286806835516</v>
      </c>
      <c r="DF86">
        <f>VLOOKUP($B86,'[1]Data_UN_PopulationTot.&amp;%'!$B$4:$CZ$603,96,FALSE)</f>
        <v>5.1814105290665511</v>
      </c>
      <c r="DG86">
        <f>VLOOKUP($B86,'[1]Data_UN_PopulationTot.&amp;%'!$B$4:$CZ$603,97,FALSE)</f>
        <v>4.0655085082664044</v>
      </c>
      <c r="DH86">
        <f>VLOOKUP($B86,'[1]Data_UN_PopulationTot.&amp;%'!$B$4:$CZ$603,98,FALSE)</f>
        <v>2.8976200206277851</v>
      </c>
      <c r="DI86">
        <f>VLOOKUP($B86,'[1]Data_UN_PopulationTot.&amp;%'!$B$4:$CZ$603,99,FALSE)</f>
        <v>1.5123335807555554</v>
      </c>
      <c r="DJ86">
        <f>VLOOKUP($B86,'[1]Data_UN_PopulationTot.&amp;%'!$B$4:$DE$603,100,FALSE)</f>
        <v>0.59937338237297377</v>
      </c>
      <c r="DK86">
        <f>VLOOKUP($B86,'[1]Data_UN_PopulationTot.&amp;%'!$B$4:$DE$603,101,FALSE)</f>
        <v>0.18292564267227121</v>
      </c>
      <c r="DL86">
        <f>VLOOKUP($B86,'[1]Data_UN_PopulationTot.&amp;%'!$B$4:$DE$603,102,FALSE)</f>
        <v>2.3908214695767968E-2</v>
      </c>
    </row>
    <row r="87" spans="1:116">
      <c r="A87" t="s">
        <v>258</v>
      </c>
      <c r="B87" t="s">
        <v>524</v>
      </c>
      <c r="C87" t="s">
        <v>487</v>
      </c>
      <c r="D87" t="s">
        <v>622</v>
      </c>
      <c r="E87" t="s">
        <v>2269</v>
      </c>
      <c r="F87">
        <v>0</v>
      </c>
      <c r="G87">
        <v>0</v>
      </c>
      <c r="H87">
        <v>0</v>
      </c>
      <c r="I87">
        <v>1</v>
      </c>
      <c r="J87" s="18">
        <f t="shared" si="3"/>
        <v>486.94652822626</v>
      </c>
      <c r="K87">
        <f>VLOOKUP($B87,'[1]Source GDP Current USD'!$B$1:$CZ$600,64,FALSE)</f>
        <v>407100736594.06403</v>
      </c>
      <c r="L87" s="45">
        <f>VLOOKUP($B87,'[1]Source GDP Current USD'!$B$1:$CZ$600,65,FALSE)</f>
        <v>407100736594.06403</v>
      </c>
      <c r="M87" s="17">
        <f>VLOOKUP($B87,'[1]Source GDP Current LCU'!$B$1:$CZ$600,64,FALSE)</f>
        <v>1401405958000</v>
      </c>
      <c r="N87" s="45">
        <v>1400000000000</v>
      </c>
      <c r="O87" s="45">
        <f>VLOOKUP($B87,'[1]Source GNI Current USD'!$B$1:$CZ$600,64,FALSE)</f>
        <v>402948235519.34497</v>
      </c>
      <c r="P87" s="45">
        <f>VLOOKUP($B87,'[1]Source GNI Current LCU'!$B$1:$CZ$600,64,FALSE)</f>
        <v>1387111364000</v>
      </c>
      <c r="Q87">
        <f t="shared" si="2"/>
        <v>101.03052965832381</v>
      </c>
      <c r="R87">
        <v>42600</v>
      </c>
      <c r="S87">
        <v>42600</v>
      </c>
      <c r="T87">
        <v>1.1187199999999999</v>
      </c>
      <c r="U87" s="45">
        <v>9200000</v>
      </c>
      <c r="V87">
        <v>34.747</v>
      </c>
      <c r="W87">
        <f>VLOOKUP($B87,'[1]Source Gov. Revenue WEO'!$B$1:$CZ$600,5,FALSE)</f>
        <v>35.801000000000002</v>
      </c>
      <c r="X87">
        <f>VLOOKUP($B87,'[1]Source Gov. Revenue WEO'!$B$1:$CZ$600,6,FALSE)</f>
        <v>35.311999999999998</v>
      </c>
      <c r="Y87">
        <f>VLOOKUP($B87,'[1]Source Gov. Revenue WEO'!$B$1:$CZ$600,7,FALSE)</f>
        <v>34.984000000000002</v>
      </c>
      <c r="Z87">
        <f>VLOOKUP($B87,'[1]Source Gov. Revenue WEO'!$B$1:$CZ$600,8,FALSE)</f>
        <v>34.996000000000002</v>
      </c>
      <c r="AA87">
        <f>VLOOKUP($B87,'[1]Source Gov. Revenue WEO'!$B$1:$CZ$600,9,FALSE)</f>
        <v>35.008000000000003</v>
      </c>
      <c r="AB87">
        <f>VLOOKUP($B87,'[1]Source Gov. Revenue WEO'!$B$1:$CZ$600,10,FALSE)</f>
        <v>35.012</v>
      </c>
      <c r="AC87" t="e">
        <f>VLOOKUP($B87,[2]Summary!$B$1:$CZ$600,39,FALSE)</f>
        <v>#N/A</v>
      </c>
      <c r="AD87" t="e">
        <f>VLOOKUP($B87,[2]Summary!$B$1:$CZ$600,40,FALSE)</f>
        <v>#N/A</v>
      </c>
      <c r="AE87" t="e">
        <f>VLOOKUP($B87,[2]Summary!$B$1:$CZ$600,47,FALSE)</f>
        <v>#N/A</v>
      </c>
      <c r="AF87">
        <f>VLOOKUP($B87,'[1]CALC GDP Growth rates WDI'!$B$1:$CZ$600,27,FALSE)</f>
        <v>39.409109265499318</v>
      </c>
      <c r="AG87">
        <f>VLOOKUP($B87,'[1]CALC GDP Growth rates WDI'!$B$1:$CZ$600,29,FALSE)</f>
        <v>45.186688717805758</v>
      </c>
      <c r="AH87">
        <v>15.13</v>
      </c>
      <c r="AI87">
        <f>VLOOKUP($B87,'[1]CALC GDP Growth rates WDI'!$B$1:$CZ$600,30,FALSE)</f>
        <v>16.031496189708825</v>
      </c>
      <c r="AK87" t="e">
        <f>VLOOKUP($B87,[1]Data_Aspire!$B$1:$CZ$600,2,FALSE)</f>
        <v>#N/A</v>
      </c>
      <c r="AL87" t="e">
        <f>VLOOKUP($B87,[1]Data_Aspire!$B$1:$CZ$600,3,FALSE)</f>
        <v>#N/A</v>
      </c>
      <c r="AM87" t="e">
        <f>VLOOKUP($B87,[1]Data_Aspire!$B$1:$CZ$600,4,FALSE)</f>
        <v>#N/A</v>
      </c>
      <c r="AN87" t="e">
        <f>VLOOKUP($B87,[1]Data_Aspire!$B$1:$CZ$600,5,FALSE)</f>
        <v>#N/A</v>
      </c>
      <c r="AO87" t="e">
        <f>VLOOKUP($B87,[1]Data_Aspire!$B$1:$CZ$600,6,FALSE)</f>
        <v>#N/A</v>
      </c>
      <c r="AP87" t="e">
        <f>VLOOKUP($B87,[1]Data_Aspire!$B$1:$CZ$600,7,FALSE)</f>
        <v>#N/A</v>
      </c>
      <c r="AQ87" t="e">
        <f>VLOOKUP($B87,[1]Data_Aspire!$B$1:$CZ$600,8,FALSE)</f>
        <v>#N/A</v>
      </c>
      <c r="AR87" t="e">
        <f>VLOOKUP($B87,[1]Data_Aspire!$B$1:$CZ$600,9,FALSE)</f>
        <v>#N/A</v>
      </c>
      <c r="AS87" t="e">
        <f>VLOOKUP($B87,[1]Data_Aspire!$B$1:$CZ$600,10,FALSE)</f>
        <v>#N/A</v>
      </c>
      <c r="AT87" t="e">
        <f>VLOOKUP($B87,[1]Data_Aspire!$B$1:$CZ$600,11,FALSE)</f>
        <v>#N/A</v>
      </c>
      <c r="AU87" t="e">
        <f>VLOOKUP($B87,[1]Data_Aspire!$B$1:$CZ$600,12,FALSE)</f>
        <v>#N/A</v>
      </c>
      <c r="AV87" t="e">
        <f>VLOOKUP($B87,[1]Data_Aspire!$B$1:$CZ$600,13,FALSE)</f>
        <v>#N/A</v>
      </c>
      <c r="AW87" t="e">
        <f>VLOOKUP($B87,[1]Data_Aspire!$B$1:$CZ$600,14,FALSE)</f>
        <v>#N/A</v>
      </c>
      <c r="AX87" t="e">
        <f>VLOOKUP($B87,[1]Data_Aspire!$B$1:$CZ$600,15,FALSE)</f>
        <v>#N/A</v>
      </c>
      <c r="AY87" t="e">
        <f>VLOOKUP($B87,[1]Data_Aspire!$B$1:$CZ$600,16,FALSE)</f>
        <v>#N/A</v>
      </c>
      <c r="AZ87" t="e">
        <f>VLOOKUP($B87,[1]Data_Aspire!$B$1:$CZ$600,17,FALSE)</f>
        <v>#N/A</v>
      </c>
      <c r="BA87" t="e">
        <f>VLOOKUP($B87,[1]Data_Aspire!$B$1:$CZ$600,18,FALSE)</f>
        <v>#N/A</v>
      </c>
      <c r="BB87" t="e">
        <f>VLOOKUP($B87,[1]Data_Aspire!$B$1:$CZ$600,19,FALSE)</f>
        <v>#N/A</v>
      </c>
      <c r="BC87" t="e">
        <f>VLOOKUP($B87,[1]Data_Aspire!$B$1:$CZ$600,20,FALSE)</f>
        <v>#N/A</v>
      </c>
      <c r="BD87" t="e">
        <f>VLOOKUP($B87,[1]Data_Aspire!$B$1:$CZ$600,21,FALSE)</f>
        <v>#N/A</v>
      </c>
      <c r="BE87" t="e">
        <f>VLOOKUP($B87,[1]Data_Aspire!$B$1:$CZ$600,22,FALSE)</f>
        <v>#N/A</v>
      </c>
      <c r="BF87" t="e">
        <f>VLOOKUP($B87,[1]Data_Aspire!$B$1:$CZ$600,23,FALSE)</f>
        <v>#N/A</v>
      </c>
      <c r="BG87" t="e">
        <f>VLOOKUP($B87,[1]Data_Aspire!$B$1:$CZ$600,24,FALSE)</f>
        <v>#N/A</v>
      </c>
      <c r="BH87" t="e">
        <f>VLOOKUP($B87,[1]Data_Aspire!$B$1:$CZ$600,25,FALSE)</f>
        <v>#N/A</v>
      </c>
      <c r="BI87" t="e">
        <f>VLOOKUP($B87,[1]Data_Aspire!$B$1:$CZ$600,26,FALSE)</f>
        <v>#N/A</v>
      </c>
      <c r="BJ87" s="7">
        <v>0</v>
      </c>
      <c r="BK87">
        <v>376</v>
      </c>
      <c r="BL87">
        <f>VLOOKUP($B87,'[1]Data_UN_PopulationTot.&amp;%'!$B$4:$CZ$603,8,FALSE)</f>
        <v>8655.5400000000009</v>
      </c>
      <c r="BM87">
        <f>VLOOKUP($B87,'[1]Data_UN_PopulationTot.&amp;%'!$B$4:$CZ$603,9,FALSE)</f>
        <v>8789.7800000000007</v>
      </c>
      <c r="BN87">
        <v>8922.89</v>
      </c>
      <c r="BO87">
        <f>VLOOKUP($B87,'[1]Data_UN_PopulationTot.&amp;%'!$B$4:$CZ$603,11,FALSE)</f>
        <v>9055.15</v>
      </c>
      <c r="BP87">
        <f>VLOOKUP($B87,'[1]Data_UN_PopulationTot.&amp;%'!$B$4:$CZ$603,12,FALSE)</f>
        <v>9187.0400000000009</v>
      </c>
      <c r="BQ87">
        <f>VLOOKUP($B87,'[1]Data_UN_PopulationTot.&amp;%'!$B$4:$CZ$603,13,FALSE)</f>
        <v>9318.9599999999991</v>
      </c>
      <c r="BR87">
        <f>VLOOKUP($B87,'[1]Data_UN_PopulationTot.&amp;%'!$B$4:$CZ$603,14,FALSE)</f>
        <v>9450.93</v>
      </c>
      <c r="BS87">
        <f>VLOOKUP($B87,'[1]Data_UN_PopulationTot.&amp;%'!$B$4:$CZ$603,15,FALSE)</f>
        <v>9582.85</v>
      </c>
      <c r="BT87">
        <f>VLOOKUP($B87,'[1]Data_UN_PopulationTot.&amp;%'!$B$4:$CZ$603,16,FALSE)</f>
        <v>9714.85</v>
      </c>
      <c r="BU87">
        <f>VLOOKUP($B87,'[1]Data_UN_PopulationTot.&amp;%'!$B$4:$CZ$603,17,FALSE)</f>
        <v>9847.1</v>
      </c>
      <c r="BV87">
        <f>VLOOKUP($B87,'[1]Data_UN_PopulationTot.&amp;%'!$B$4:$CZ$603,18,FALSE)</f>
        <v>9979.7000000000007</v>
      </c>
      <c r="BW87">
        <f>VLOOKUP($B87,'[1]Data_UN_PopulationTot.&amp;%'!$B$4:$CZ$603,61,FALSE)</f>
        <v>9.7952063071743627</v>
      </c>
      <c r="BX87">
        <f>VLOOKUP($B87,'[1]Data_UN_PopulationTot.&amp;%'!$B$4:$CZ$603,62,FALSE)</f>
        <v>9.5114574018489879</v>
      </c>
      <c r="BY87">
        <f>VLOOKUP($B87,'[1]Data_UN_PopulationTot.&amp;%'!$B$4:$CZ$603,63,FALSE)</f>
        <v>8.521813774761597</v>
      </c>
      <c r="BZ87">
        <f>VLOOKUP($B87,'[1]Data_UN_PopulationTot.&amp;%'!$B$4:$CZ$603,64,FALSE)</f>
        <v>7.7112924208079443</v>
      </c>
      <c r="CA87">
        <f>VLOOKUP($B87,'[1]Data_UN_PopulationTot.&amp;%'!$B$4:$CZ$603,65,FALSE)</f>
        <v>7.2089436360989589</v>
      </c>
      <c r="CB87">
        <f>VLOOKUP($B87,'[1]Data_UN_PopulationTot.&amp;%'!$B$4:$CZ$603,66,FALSE)</f>
        <v>6.6200606779010895</v>
      </c>
      <c r="CC87">
        <f>VLOOKUP($B87,'[1]Data_UN_PopulationTot.&amp;%'!$B$4:$CZ$603,67,FALSE)</f>
        <v>6.5242376558828212</v>
      </c>
      <c r="CD87">
        <f>VLOOKUP($B87,'[1]Data_UN_PopulationTot.&amp;%'!$B$4:$CZ$603,68,FALSE)</f>
        <v>6.4413889832407909</v>
      </c>
      <c r="CE87">
        <f>VLOOKUP($B87,'[1]Data_UN_PopulationTot.&amp;%'!$B$4:$CZ$603,69,FALSE)</f>
        <v>6.2812025592857283</v>
      </c>
      <c r="CF87">
        <f>VLOOKUP($B87,'[1]Data_UN_PopulationTot.&amp;%'!$B$4:$CZ$603,70,FALSE)</f>
        <v>5.7362683321895567</v>
      </c>
      <c r="CG87">
        <f>VLOOKUP($B87,'[1]Data_UN_PopulationTot.&amp;%'!$B$4:$CZ$603,71,FALSE)</f>
        <v>4.8237429438255726</v>
      </c>
      <c r="CH87">
        <f>VLOOKUP($B87,'[1]Data_UN_PopulationTot.&amp;%'!$B$4:$CZ$603,72,FALSE)</f>
        <v>4.3668563717572786</v>
      </c>
      <c r="CI87">
        <f>VLOOKUP($B87,'[1]Data_UN_PopulationTot.&amp;%'!$B$4:$CZ$603,73,FALSE)</f>
        <v>4.0431561751202114</v>
      </c>
      <c r="CJ87">
        <f>VLOOKUP($B87,'[1]Data_UN_PopulationTot.&amp;%'!$B$4:$CZ$603,74,FALSE)</f>
        <v>4.0862384091576027</v>
      </c>
      <c r="CK87">
        <f>VLOOKUP($B87,'[1]Data_UN_PopulationTot.&amp;%'!$B$4:$CZ$603,75,FALSE)</f>
        <v>3.3354244795818633</v>
      </c>
      <c r="CL87">
        <f>VLOOKUP($B87,'[1]Data_UN_PopulationTot.&amp;%'!$B$4:$CZ$603,76,FALSE)</f>
        <v>1.9751627281486768</v>
      </c>
      <c r="CM87">
        <f>VLOOKUP($B87,'[1]Data_UN_PopulationTot.&amp;%'!$B$4:$CZ$603,77,FALSE)</f>
        <v>1.437391543450784</v>
      </c>
      <c r="CN87">
        <f>VLOOKUP($B87,'[1]Data_UN_PopulationTot.&amp;%'!$B$4:$CZ$603,78,FALSE)</f>
        <v>0.96874371789628355</v>
      </c>
      <c r="CO87">
        <f>VLOOKUP($B87,'[1]Data_UN_PopulationTot.&amp;%'!$B$4:$CZ$603,79,FALSE)</f>
        <v>0.46358748269894184</v>
      </c>
      <c r="CP87">
        <f>VLOOKUP($B87,'[1]Data_UN_PopulationTot.&amp;%'!$B$4:$CZ$603,80,FALSE)</f>
        <v>0.13341744131504216</v>
      </c>
      <c r="CQ87">
        <f>VLOOKUP($B87,'[1]Data_UN_PopulationTot.&amp;%'!$B$4:$CZ$603,81,FALSE)</f>
        <v>1.4418511150084221E-2</v>
      </c>
      <c r="CR87">
        <f>VLOOKUP($B87,'[1]Data_UN_PopulationTot.&amp;%'!$B$4:$CZ$603,82,FALSE)</f>
        <v>8.7045502369810706</v>
      </c>
      <c r="CS87">
        <f>VLOOKUP($B87,'[1]Data_UN_PopulationTot.&amp;%'!$B$4:$CZ$603,83,FALSE)</f>
        <v>8.5481627704239607</v>
      </c>
      <c r="CT87">
        <f>VLOOKUP($B87,'[1]Data_UN_PopulationTot.&amp;%'!$B$4:$CZ$603,84,FALSE)</f>
        <v>8.5229014900247488</v>
      </c>
      <c r="CU87">
        <f>VLOOKUP($B87,'[1]Data_UN_PopulationTot.&amp;%'!$B$4:$CZ$603,85,FALSE)</f>
        <v>8.2867420864354635</v>
      </c>
      <c r="CV87">
        <f>VLOOKUP($B87,'[1]Data_UN_PopulationTot.&amp;%'!$B$4:$CZ$603,86,FALSE)</f>
        <v>7.4871188512680735</v>
      </c>
      <c r="CW87">
        <f>VLOOKUP($B87,'[1]Data_UN_PopulationTot.&amp;%'!$B$4:$CZ$603,87,FALSE)</f>
        <v>6.8416786075733729</v>
      </c>
      <c r="CX87">
        <f>VLOOKUP($B87,'[1]Data_UN_PopulationTot.&amp;%'!$B$4:$CZ$603,88,FALSE)</f>
        <v>6.4085994568975018</v>
      </c>
      <c r="CY87">
        <f>VLOOKUP($B87,'[1]Data_UN_PopulationTot.&amp;%'!$B$4:$CZ$603,89,FALSE)</f>
        <v>5.8581620690000689</v>
      </c>
      <c r="CZ87">
        <f>VLOOKUP($B87,'[1]Data_UN_PopulationTot.&amp;%'!$B$4:$CZ$603,90,FALSE)</f>
        <v>5.7250217942423118</v>
      </c>
      <c r="DA87">
        <f>VLOOKUP($B87,'[1]Data_UN_PopulationTot.&amp;%'!$B$4:$CZ$603,91,FALSE)</f>
        <v>5.6052185937453025</v>
      </c>
      <c r="DB87">
        <f>VLOOKUP($B87,'[1]Data_UN_PopulationTot.&amp;%'!$B$4:$CZ$603,92,FALSE)</f>
        <v>5.4180586590779285</v>
      </c>
      <c r="DC87">
        <f>VLOOKUP($B87,'[1]Data_UN_PopulationTot.&amp;%'!$B$4:$CZ$603,93,FALSE)</f>
        <v>4.8962393659128018</v>
      </c>
      <c r="DD87">
        <f>VLOOKUP($B87,'[1]Data_UN_PopulationTot.&amp;%'!$B$4:$CZ$603,94,FALSE)</f>
        <v>4.0573163521949551</v>
      </c>
      <c r="DE87">
        <f>VLOOKUP($B87,'[1]Data_UN_PopulationTot.&amp;%'!$B$4:$CZ$603,95,FALSE)</f>
        <v>3.5905788751164862</v>
      </c>
      <c r="DF87">
        <f>VLOOKUP($B87,'[1]Data_UN_PopulationTot.&amp;%'!$B$4:$CZ$603,96,FALSE)</f>
        <v>3.2010381073579364</v>
      </c>
      <c r="DG87">
        <f>VLOOKUP($B87,'[1]Data_UN_PopulationTot.&amp;%'!$B$4:$CZ$603,97,FALSE)</f>
        <v>3.0173251700952934</v>
      </c>
      <c r="DH87">
        <f>VLOOKUP($B87,'[1]Data_UN_PopulationTot.&amp;%'!$B$4:$CZ$603,98,FALSE)</f>
        <v>2.1589626942693667</v>
      </c>
      <c r="DI87">
        <f>VLOOKUP($B87,'[1]Data_UN_PopulationTot.&amp;%'!$B$4:$CZ$603,99,FALSE)</f>
        <v>0.99722436546188753</v>
      </c>
      <c r="DJ87">
        <f>VLOOKUP($B87,'[1]Data_UN_PopulationTot.&amp;%'!$B$4:$DE$603,100,FALSE)</f>
        <v>0.47810054410453212</v>
      </c>
      <c r="DK87">
        <f>VLOOKUP($B87,'[1]Data_UN_PopulationTot.&amp;%'!$B$4:$DE$603,101,FALSE)</f>
        <v>0.1666282553583775</v>
      </c>
      <c r="DL87">
        <f>VLOOKUP($B87,'[1]Data_UN_PopulationTot.&amp;%'!$B$4:$DE$603,102,FALSE)</f>
        <v>3.0321552752086735E-2</v>
      </c>
    </row>
    <row r="88" spans="1:116">
      <c r="A88" t="s">
        <v>63</v>
      </c>
      <c r="B88" t="s">
        <v>450</v>
      </c>
      <c r="C88" t="s">
        <v>485</v>
      </c>
      <c r="D88" t="s">
        <v>622</v>
      </c>
      <c r="E88" t="s">
        <v>2269</v>
      </c>
      <c r="F88">
        <v>0</v>
      </c>
      <c r="G88">
        <v>0</v>
      </c>
      <c r="H88">
        <v>0</v>
      </c>
      <c r="I88">
        <v>1</v>
      </c>
      <c r="J88" s="18">
        <f t="shared" si="3"/>
        <v>790.31068696800003</v>
      </c>
      <c r="K88">
        <f>VLOOKUP($B88,'[1]Source GDP Current USD'!$B$1:$CZ$600,64,FALSE)</f>
        <v>1888709443687.48</v>
      </c>
      <c r="L88" s="45">
        <f>VLOOKUP($B88,'[1]Source GDP Current USD'!$B$1:$CZ$600,65,FALSE)</f>
        <v>1888709443687.48</v>
      </c>
      <c r="M88" s="17">
        <f>VLOOKUP($B88,'[1]Source GDP Current LCU'!$B$1:$CZ$600,64,FALSE)</f>
        <v>1653577200000</v>
      </c>
      <c r="N88" s="45">
        <v>1700000000000</v>
      </c>
      <c r="O88" s="45">
        <f>VLOOKUP($B88,'[1]Source GNI Current USD'!$B$1:$CZ$600,64,FALSE)</f>
        <v>1911916584229.1101</v>
      </c>
      <c r="P88" s="45">
        <f>VLOOKUP($B88,'[1]Source GNI Current LCU'!$B$1:$CZ$600,64,FALSE)</f>
        <v>1673895200000</v>
      </c>
      <c r="Q88">
        <f t="shared" si="2"/>
        <v>98.78618446363906</v>
      </c>
      <c r="R88">
        <v>32290</v>
      </c>
      <c r="S88">
        <v>32290</v>
      </c>
      <c r="T88">
        <v>0.75819499999999995</v>
      </c>
      <c r="U88" s="45">
        <v>60000000</v>
      </c>
      <c r="V88">
        <v>47.793999999999997</v>
      </c>
      <c r="W88">
        <f>VLOOKUP($B88,'[1]Source Gov. Revenue WEO'!$B$1:$CZ$600,5,FALSE)</f>
        <v>47.473999999999997</v>
      </c>
      <c r="X88">
        <f>VLOOKUP($B88,'[1]Source Gov. Revenue WEO'!$B$1:$CZ$600,6,FALSE)</f>
        <v>47.453000000000003</v>
      </c>
      <c r="Y88">
        <f>VLOOKUP($B88,'[1]Source Gov. Revenue WEO'!$B$1:$CZ$600,7,FALSE)</f>
        <v>47.606999999999999</v>
      </c>
      <c r="Z88">
        <f>VLOOKUP($B88,'[1]Source Gov. Revenue WEO'!$B$1:$CZ$600,8,FALSE)</f>
        <v>47.567</v>
      </c>
      <c r="AA88">
        <f>VLOOKUP($B88,'[1]Source Gov. Revenue WEO'!$B$1:$CZ$600,9,FALSE)</f>
        <v>47.430999999999997</v>
      </c>
      <c r="AB88">
        <f>VLOOKUP($B88,'[1]Source Gov. Revenue WEO'!$B$1:$CZ$600,10,FALSE)</f>
        <v>47.067999999999998</v>
      </c>
      <c r="AC88" t="e">
        <f>VLOOKUP($B88,[2]Summary!$B$1:$CZ$600,39,FALSE)</f>
        <v>#N/A</v>
      </c>
      <c r="AD88" t="e">
        <f>VLOOKUP($B88,[2]Summary!$B$1:$CZ$600,40,FALSE)</f>
        <v>#N/A</v>
      </c>
      <c r="AE88" t="e">
        <f>VLOOKUP($B88,[2]Summary!$B$1:$CZ$600,47,FALSE)</f>
        <v>#N/A</v>
      </c>
      <c r="AF88">
        <f>VLOOKUP($B88,'[1]CALC GDP Growth rates WDI'!$B$1:$CZ$600,27,FALSE)</f>
        <v>-8.1508127715501857</v>
      </c>
      <c r="AG88">
        <f>VLOOKUP($B88,'[1]CALC GDP Growth rates WDI'!$B$1:$CZ$600,29,FALSE)</f>
        <v>2.0937517797246619</v>
      </c>
      <c r="AH88">
        <v>-4.96</v>
      </c>
      <c r="AI88">
        <f>VLOOKUP($B88,'[1]CALC GDP Growth rates WDI'!$B$1:$CZ$600,30,FALSE)</f>
        <v>4.6629662668207894</v>
      </c>
      <c r="AK88" t="e">
        <f>VLOOKUP($B88,[1]Data_Aspire!$B$1:$CZ$600,2,FALSE)</f>
        <v>#N/A</v>
      </c>
      <c r="AL88" t="e">
        <f>VLOOKUP($B88,[1]Data_Aspire!$B$1:$CZ$600,3,FALSE)</f>
        <v>#N/A</v>
      </c>
      <c r="AM88" t="e">
        <f>VLOOKUP($B88,[1]Data_Aspire!$B$1:$CZ$600,4,FALSE)</f>
        <v>#N/A</v>
      </c>
      <c r="AN88" t="e">
        <f>VLOOKUP($B88,[1]Data_Aspire!$B$1:$CZ$600,5,FALSE)</f>
        <v>#N/A</v>
      </c>
      <c r="AO88" t="e">
        <f>VLOOKUP($B88,[1]Data_Aspire!$B$1:$CZ$600,6,FALSE)</f>
        <v>#N/A</v>
      </c>
      <c r="AP88" t="e">
        <f>VLOOKUP($B88,[1]Data_Aspire!$B$1:$CZ$600,7,FALSE)</f>
        <v>#N/A</v>
      </c>
      <c r="AQ88" t="e">
        <f>VLOOKUP($B88,[1]Data_Aspire!$B$1:$CZ$600,8,FALSE)</f>
        <v>#N/A</v>
      </c>
      <c r="AR88" t="e">
        <f>VLOOKUP($B88,[1]Data_Aspire!$B$1:$CZ$600,9,FALSE)</f>
        <v>#N/A</v>
      </c>
      <c r="AS88" t="e">
        <f>VLOOKUP($B88,[1]Data_Aspire!$B$1:$CZ$600,10,FALSE)</f>
        <v>#N/A</v>
      </c>
      <c r="AT88" t="e">
        <f>VLOOKUP($B88,[1]Data_Aspire!$B$1:$CZ$600,11,FALSE)</f>
        <v>#N/A</v>
      </c>
      <c r="AU88" t="e">
        <f>VLOOKUP($B88,[1]Data_Aspire!$B$1:$CZ$600,12,FALSE)</f>
        <v>#N/A</v>
      </c>
      <c r="AV88" t="e">
        <f>VLOOKUP($B88,[1]Data_Aspire!$B$1:$CZ$600,13,FALSE)</f>
        <v>#N/A</v>
      </c>
      <c r="AW88" t="e">
        <f>VLOOKUP($B88,[1]Data_Aspire!$B$1:$CZ$600,14,FALSE)</f>
        <v>#N/A</v>
      </c>
      <c r="AX88" t="e">
        <f>VLOOKUP($B88,[1]Data_Aspire!$B$1:$CZ$600,15,FALSE)</f>
        <v>#N/A</v>
      </c>
      <c r="AY88" t="e">
        <f>VLOOKUP($B88,[1]Data_Aspire!$B$1:$CZ$600,16,FALSE)</f>
        <v>#N/A</v>
      </c>
      <c r="AZ88" t="e">
        <f>VLOOKUP($B88,[1]Data_Aspire!$B$1:$CZ$600,17,FALSE)</f>
        <v>#N/A</v>
      </c>
      <c r="BA88" t="e">
        <f>VLOOKUP($B88,[1]Data_Aspire!$B$1:$CZ$600,18,FALSE)</f>
        <v>#N/A</v>
      </c>
      <c r="BB88" t="e">
        <f>VLOOKUP($B88,[1]Data_Aspire!$B$1:$CZ$600,19,FALSE)</f>
        <v>#N/A</v>
      </c>
      <c r="BC88" t="e">
        <f>VLOOKUP($B88,[1]Data_Aspire!$B$1:$CZ$600,20,FALSE)</f>
        <v>#N/A</v>
      </c>
      <c r="BD88" t="e">
        <f>VLOOKUP($B88,[1]Data_Aspire!$B$1:$CZ$600,21,FALSE)</f>
        <v>#N/A</v>
      </c>
      <c r="BE88" t="e">
        <f>VLOOKUP($B88,[1]Data_Aspire!$B$1:$CZ$600,22,FALSE)</f>
        <v>#N/A</v>
      </c>
      <c r="BF88" t="e">
        <f>VLOOKUP($B88,[1]Data_Aspire!$B$1:$CZ$600,23,FALSE)</f>
        <v>#N/A</v>
      </c>
      <c r="BG88" t="e">
        <f>VLOOKUP($B88,[1]Data_Aspire!$B$1:$CZ$600,24,FALSE)</f>
        <v>#N/A</v>
      </c>
      <c r="BH88" t="e">
        <f>VLOOKUP($B88,[1]Data_Aspire!$B$1:$CZ$600,25,FALSE)</f>
        <v>#N/A</v>
      </c>
      <c r="BI88" t="e">
        <f>VLOOKUP($B88,[1]Data_Aspire!$B$1:$CZ$600,26,FALSE)</f>
        <v>#N/A</v>
      </c>
      <c r="BJ88" s="7">
        <v>0</v>
      </c>
      <c r="BK88" s="45">
        <v>380</v>
      </c>
      <c r="BL88">
        <f>VLOOKUP($B88,'[1]Data_UN_PopulationTot.&amp;%'!$B$4:$CZ$603,8,FALSE)</f>
        <v>60461.8</v>
      </c>
      <c r="BM88">
        <f>VLOOKUP($B88,'[1]Data_UN_PopulationTot.&amp;%'!$B$4:$CZ$603,9,FALSE)</f>
        <v>60367.5</v>
      </c>
      <c r="BN88">
        <v>60262.8</v>
      </c>
      <c r="BO88">
        <f>VLOOKUP($B88,'[1]Data_UN_PopulationTot.&amp;%'!$B$4:$CZ$603,11,FALSE)</f>
        <v>60147.5</v>
      </c>
      <c r="BP88">
        <f>VLOOKUP($B88,'[1]Data_UN_PopulationTot.&amp;%'!$B$4:$CZ$603,12,FALSE)</f>
        <v>60019.199999999997</v>
      </c>
      <c r="BQ88">
        <f>VLOOKUP($B88,'[1]Data_UN_PopulationTot.&amp;%'!$B$4:$CZ$603,13,FALSE)</f>
        <v>59876.6</v>
      </c>
      <c r="BR88">
        <f>VLOOKUP($B88,'[1]Data_UN_PopulationTot.&amp;%'!$B$4:$CZ$603,14,FALSE)</f>
        <v>59721</v>
      </c>
      <c r="BS88">
        <f>VLOOKUP($B88,'[1]Data_UN_PopulationTot.&amp;%'!$B$4:$CZ$603,15,FALSE)</f>
        <v>59555.9</v>
      </c>
      <c r="BT88">
        <f>VLOOKUP($B88,'[1]Data_UN_PopulationTot.&amp;%'!$B$4:$CZ$603,16,FALSE)</f>
        <v>59384.1</v>
      </c>
      <c r="BU88">
        <f>VLOOKUP($B88,'[1]Data_UN_PopulationTot.&amp;%'!$B$4:$CZ$603,17,FALSE)</f>
        <v>59208.5</v>
      </c>
      <c r="BV88">
        <f>VLOOKUP($B88,'[1]Data_UN_PopulationTot.&amp;%'!$B$4:$CZ$603,18,FALSE)</f>
        <v>59031.5</v>
      </c>
      <c r="BW88">
        <f>VLOOKUP($B88,'[1]Data_UN_PopulationTot.&amp;%'!$B$4:$CZ$603,61,FALSE)</f>
        <v>3.8448904928401069</v>
      </c>
      <c r="BX88">
        <f>VLOOKUP($B88,'[1]Data_UN_PopulationTot.&amp;%'!$B$4:$CZ$603,62,FALSE)</f>
        <v>4.4165076130713938</v>
      </c>
      <c r="BY88">
        <f>VLOOKUP($B88,'[1]Data_UN_PopulationTot.&amp;%'!$B$4:$CZ$603,63,FALSE)</f>
        <v>4.7258930432107551</v>
      </c>
      <c r="BZ88">
        <f>VLOOKUP($B88,'[1]Data_UN_PopulationTot.&amp;%'!$B$4:$CZ$603,64,FALSE)</f>
        <v>4.7568712807094728</v>
      </c>
      <c r="CA88">
        <f>VLOOKUP($B88,'[1]Data_UN_PopulationTot.&amp;%'!$B$4:$CZ$603,65,FALSE)</f>
        <v>4.8667257673440094</v>
      </c>
      <c r="CB88">
        <f>VLOOKUP($B88,'[1]Data_UN_PopulationTot.&amp;%'!$B$4:$CZ$603,66,FALSE)</f>
        <v>5.2279786575986815</v>
      </c>
      <c r="CC88">
        <f>VLOOKUP($B88,'[1]Data_UN_PopulationTot.&amp;%'!$B$4:$CZ$603,67,FALSE)</f>
        <v>5.5663410616289957</v>
      </c>
      <c r="CD88">
        <f>VLOOKUP($B88,'[1]Data_UN_PopulationTot.&amp;%'!$B$4:$CZ$603,68,FALSE)</f>
        <v>6.0086203189451846</v>
      </c>
      <c r="CE88">
        <f>VLOOKUP($B88,'[1]Data_UN_PopulationTot.&amp;%'!$B$4:$CZ$603,69,FALSE)</f>
        <v>6.9283084526097465</v>
      </c>
      <c r="CF88">
        <f>VLOOKUP($B88,'[1]Data_UN_PopulationTot.&amp;%'!$B$4:$CZ$603,70,FALSE)</f>
        <v>7.9935099517381234</v>
      </c>
      <c r="CG88">
        <f>VLOOKUP($B88,'[1]Data_UN_PopulationTot.&amp;%'!$B$4:$CZ$603,71,FALSE)</f>
        <v>8.1179356221614309</v>
      </c>
      <c r="CH88">
        <f>VLOOKUP($B88,'[1]Data_UN_PopulationTot.&amp;%'!$B$4:$CZ$603,72,FALSE)</f>
        <v>7.7056091614870867</v>
      </c>
      <c r="CI88">
        <f>VLOOKUP($B88,'[1]Data_UN_PopulationTot.&amp;%'!$B$4:$CZ$603,73,FALSE)</f>
        <v>6.5389551750030597</v>
      </c>
      <c r="CJ88">
        <f>VLOOKUP($B88,'[1]Data_UN_PopulationTot.&amp;%'!$B$4:$CZ$603,74,FALSE)</f>
        <v>5.8405307152615364</v>
      </c>
      <c r="CK88">
        <f>VLOOKUP($B88,'[1]Data_UN_PopulationTot.&amp;%'!$B$4:$CZ$603,75,FALSE)</f>
        <v>5.6098230618340832</v>
      </c>
      <c r="CL88">
        <f>VLOOKUP($B88,'[1]Data_UN_PopulationTot.&amp;%'!$B$4:$CZ$603,76,FALSE)</f>
        <v>4.3616134484914442</v>
      </c>
      <c r="CM88">
        <f>VLOOKUP($B88,'[1]Data_UN_PopulationTot.&amp;%'!$B$4:$CZ$603,77,FALSE)</f>
        <v>3.8080077007300477</v>
      </c>
      <c r="CN88">
        <f>VLOOKUP($B88,'[1]Data_UN_PopulationTot.&amp;%'!$B$4:$CZ$603,78,FALSE)</f>
        <v>2.3109798252781091</v>
      </c>
      <c r="CO88">
        <f>VLOOKUP($B88,'[1]Data_UN_PopulationTot.&amp;%'!$B$4:$CZ$603,79,FALSE)</f>
        <v>1.058087916668045</v>
      </c>
      <c r="CP88">
        <f>VLOOKUP($B88,'[1]Data_UN_PopulationTot.&amp;%'!$B$4:$CZ$603,80,FALSE)</f>
        <v>0.28553400659590022</v>
      </c>
      <c r="CQ88">
        <f>VLOOKUP($B88,'[1]Data_UN_PopulationTot.&amp;%'!$B$4:$CZ$603,81,FALSE)</f>
        <v>2.7318075214432913E-2</v>
      </c>
      <c r="CR88">
        <f>VLOOKUP($B88,'[1]Data_UN_PopulationTot.&amp;%'!$B$4:$CZ$603,82,FALSE)</f>
        <v>3.5352989505602941</v>
      </c>
      <c r="CS88">
        <f>VLOOKUP($B88,'[1]Data_UN_PopulationTot.&amp;%'!$B$4:$CZ$603,83,FALSE)</f>
        <v>3.6419708121934895</v>
      </c>
      <c r="CT88">
        <f>VLOOKUP($B88,'[1]Data_UN_PopulationTot.&amp;%'!$B$4:$CZ$603,84,FALSE)</f>
        <v>3.9979671870103246</v>
      </c>
      <c r="CU88">
        <f>VLOOKUP($B88,'[1]Data_UN_PopulationTot.&amp;%'!$B$4:$CZ$603,85,FALSE)</f>
        <v>4.595055182402616</v>
      </c>
      <c r="CV88">
        <f>VLOOKUP($B88,'[1]Data_UN_PopulationTot.&amp;%'!$B$4:$CZ$603,86,FALSE)</f>
        <v>5.0184731880436715</v>
      </c>
      <c r="CW88">
        <f>VLOOKUP($B88,'[1]Data_UN_PopulationTot.&amp;%'!$B$4:$CZ$603,87,FALSE)</f>
        <v>5.1624810482538983</v>
      </c>
      <c r="CX88">
        <f>VLOOKUP($B88,'[1]Data_UN_PopulationTot.&amp;%'!$B$4:$CZ$603,88,FALSE)</f>
        <v>5.2867706224642781</v>
      </c>
      <c r="CY88">
        <f>VLOOKUP($B88,'[1]Data_UN_PopulationTot.&amp;%'!$B$4:$CZ$603,89,FALSE)</f>
        <v>5.5878132861268988</v>
      </c>
      <c r="CZ88">
        <f>VLOOKUP($B88,'[1]Data_UN_PopulationTot.&amp;%'!$B$4:$CZ$603,90,FALSE)</f>
        <v>5.8499275810372433</v>
      </c>
      <c r="DA88">
        <f>VLOOKUP($B88,'[1]Data_UN_PopulationTot.&amp;%'!$B$4:$CZ$603,91,FALSE)</f>
        <v>6.2233214470240457</v>
      </c>
      <c r="DB88">
        <f>VLOOKUP($B88,'[1]Data_UN_PopulationTot.&amp;%'!$B$4:$CZ$603,92,FALSE)</f>
        <v>7.0794745178421685</v>
      </c>
      <c r="DC88">
        <f>VLOOKUP($B88,'[1]Data_UN_PopulationTot.&amp;%'!$B$4:$CZ$603,93,FALSE)</f>
        <v>8.0638133877675475</v>
      </c>
      <c r="DD88">
        <f>VLOOKUP($B88,'[1]Data_UN_PopulationTot.&amp;%'!$B$4:$CZ$603,94,FALSE)</f>
        <v>8.0704539102004862</v>
      </c>
      <c r="DE88">
        <f>VLOOKUP($B88,'[1]Data_UN_PopulationTot.&amp;%'!$B$4:$CZ$603,95,FALSE)</f>
        <v>7.5014187340657106</v>
      </c>
      <c r="DF88">
        <f>VLOOKUP($B88,'[1]Data_UN_PopulationTot.&amp;%'!$B$4:$CZ$603,96,FALSE)</f>
        <v>6.1725858228234083</v>
      </c>
      <c r="DG88">
        <f>VLOOKUP($B88,'[1]Data_UN_PopulationTot.&amp;%'!$B$4:$CZ$603,97,FALSE)</f>
        <v>5.2175533401658436</v>
      </c>
      <c r="DH88">
        <f>VLOOKUP($B88,'[1]Data_UN_PopulationTot.&amp;%'!$B$4:$CZ$603,98,FALSE)</f>
        <v>4.4351405605481817</v>
      </c>
      <c r="DI88">
        <f>VLOOKUP($B88,'[1]Data_UN_PopulationTot.&amp;%'!$B$4:$CZ$603,99,FALSE)</f>
        <v>2.6551078661392644</v>
      </c>
      <c r="DJ88">
        <f>VLOOKUP($B88,'[1]Data_UN_PopulationTot.&amp;%'!$B$4:$DE$603,100,FALSE)</f>
        <v>1.4415608615739055</v>
      </c>
      <c r="DK88">
        <f>VLOOKUP($B88,'[1]Data_UN_PopulationTot.&amp;%'!$B$4:$DE$603,101,FALSE)</f>
        <v>0.40424688513759605</v>
      </c>
      <c r="DL88">
        <f>VLOOKUP($B88,'[1]Data_UN_PopulationTot.&amp;%'!$B$4:$DE$603,102,FALSE)</f>
        <v>5.9500436207787374E-2</v>
      </c>
    </row>
    <row r="89" spans="1:116">
      <c r="A89" t="s">
        <v>180</v>
      </c>
      <c r="B89" t="s">
        <v>395</v>
      </c>
      <c r="C89" t="s">
        <v>497</v>
      </c>
      <c r="D89" t="s">
        <v>389</v>
      </c>
      <c r="E89" t="s">
        <v>301</v>
      </c>
      <c r="F89">
        <v>0</v>
      </c>
      <c r="G89">
        <v>0</v>
      </c>
      <c r="H89">
        <v>1</v>
      </c>
      <c r="I89">
        <v>0</v>
      </c>
      <c r="J89" s="18">
        <f t="shared" si="3"/>
        <v>573.37918128000001</v>
      </c>
      <c r="K89">
        <f>VLOOKUP($B89,'[1]Source GDP Current USD'!$B$1:$CZ$600,64,FALSE)</f>
        <v>13812425036.586399</v>
      </c>
      <c r="L89" s="45">
        <f>VLOOKUP($B89,'[1]Source GDP Current USD'!$B$1:$CZ$600,65,FALSE)</f>
        <v>13812425036.586399</v>
      </c>
      <c r="M89" s="17">
        <f>VLOOKUP($B89,'[1]Source GDP Current LCU'!$B$1:$CZ$600,64,FALSE)</f>
        <v>1966928000000</v>
      </c>
      <c r="N89" s="45">
        <v>2000000000000</v>
      </c>
      <c r="O89" s="45">
        <f>VLOOKUP($B89,'[1]Source GNI Current USD'!$B$1:$CZ$600,64,FALSE)</f>
        <v>13357884098.486799</v>
      </c>
      <c r="P89" s="45">
        <f>VLOOKUP($B89,'[1]Source GNI Current LCU'!$B$1:$CZ$600,64,FALSE)</f>
        <v>1902200097700</v>
      </c>
      <c r="Q89">
        <f t="shared" si="2"/>
        <v>103.40279145071354</v>
      </c>
      <c r="R89">
        <v>4670</v>
      </c>
      <c r="S89">
        <v>4670</v>
      </c>
      <c r="T89">
        <v>0.50473299999999999</v>
      </c>
      <c r="U89" s="45">
        <v>3000000</v>
      </c>
      <c r="V89">
        <v>29.151</v>
      </c>
      <c r="W89">
        <f>VLOOKUP($B89,'[1]Source Gov. Revenue WEO'!$B$1:$CZ$600,5,FALSE)</f>
        <v>29.55</v>
      </c>
      <c r="X89">
        <f>VLOOKUP($B89,'[1]Source Gov. Revenue WEO'!$B$1:$CZ$600,6,FALSE)</f>
        <v>29.524000000000001</v>
      </c>
      <c r="Y89">
        <f>VLOOKUP($B89,'[1]Source Gov. Revenue WEO'!$B$1:$CZ$600,7,FALSE)</f>
        <v>30.26</v>
      </c>
      <c r="Z89">
        <f>VLOOKUP($B89,'[1]Source Gov. Revenue WEO'!$B$1:$CZ$600,8,FALSE)</f>
        <v>30.218</v>
      </c>
      <c r="AA89">
        <f>VLOOKUP($B89,'[1]Source Gov. Revenue WEO'!$B$1:$CZ$600,9,FALSE)</f>
        <v>29.966000000000001</v>
      </c>
      <c r="AB89">
        <f>VLOOKUP($B89,'[1]Source Gov. Revenue WEO'!$B$1:$CZ$600,10,FALSE)</f>
        <v>29.832999999999998</v>
      </c>
      <c r="AC89">
        <f>VLOOKUP($B89,[2]Summary!$B$1:$CZ$600,39,FALSE)</f>
        <v>1.8364370000000001E-2</v>
      </c>
      <c r="AD89">
        <f>VLOOKUP($B89,[2]Summary!$B$1:$CZ$600,40,FALSE)</f>
        <v>2.9750000000000002E-2</v>
      </c>
      <c r="AE89">
        <f>VLOOKUP($B89,[2]Summary!$B$1:$CZ$600,47,FALSE)</f>
        <v>0.26509868587153113</v>
      </c>
      <c r="AF89">
        <f>VLOOKUP($B89,'[1]CALC GDP Growth rates WDI'!$B$1:$CZ$600,27,FALSE)</f>
        <v>-2.1723299212099643</v>
      </c>
      <c r="AG89">
        <f>VLOOKUP($B89,'[1]CALC GDP Growth rates WDI'!$B$1:$CZ$600,29,FALSE)</f>
        <v>5.985107530652245</v>
      </c>
      <c r="AH89">
        <v>-5.29</v>
      </c>
      <c r="AI89">
        <f>VLOOKUP($B89,'[1]CALC GDP Growth rates WDI'!$B$1:$CZ$600,30,FALSE)</f>
        <v>5.1027801283050289</v>
      </c>
      <c r="AK89">
        <f>VLOOKUP($B89,[1]Data_Aspire!$B$1:$CZ$600,2,FALSE)</f>
        <v>2018</v>
      </c>
      <c r="AL89">
        <f>VLOOKUP($B89,[1]Data_Aspire!$B$1:$CZ$600,3,FALSE)</f>
        <v>1.51</v>
      </c>
      <c r="AM89">
        <f>VLOOKUP($B89,[1]Data_Aspire!$B$1:$CZ$600,4,FALSE)</f>
        <v>0.37</v>
      </c>
      <c r="AN89">
        <f>VLOOKUP($B89,[1]Data_Aspire!$B$1:$CZ$600,5,FALSE)</f>
        <v>0</v>
      </c>
      <c r="AO89">
        <f>VLOOKUP($B89,[1]Data_Aspire!$B$1:$CZ$600,6,FALSE)</f>
        <v>0</v>
      </c>
      <c r="AP89">
        <f>VLOOKUP($B89,[1]Data_Aspire!$B$1:$CZ$600,7,FALSE)</f>
        <v>0.3</v>
      </c>
      <c r="AR89">
        <f>VLOOKUP($B89,[1]Data_Aspire!$B$1:$CZ$600,9,FALSE)</f>
        <v>0.04</v>
      </c>
      <c r="AS89">
        <f>VLOOKUP($B89,[1]Data_Aspire!$B$1:$CZ$600,10,FALSE)</f>
        <v>0.51</v>
      </c>
      <c r="AT89">
        <f>VLOOKUP($B89,[1]Data_Aspire!$B$1:$CZ$600,11,FALSE)</f>
        <v>0.27</v>
      </c>
      <c r="AU89">
        <f>VLOOKUP($B89,[1]Data_Aspire!$B$1:$CZ$600,12,FALSE)</f>
        <v>1.23</v>
      </c>
      <c r="AV89">
        <f>VLOOKUP($B89,[1]Data_Aspire!$B$1:$CZ$600,13,FALSE)</f>
        <v>265285</v>
      </c>
      <c r="AW89">
        <f>VLOOKUP($B89,[1]Data_Aspire!$B$1:$CZ$600,14,FALSE)</f>
        <v>2018</v>
      </c>
      <c r="BD89">
        <f>VLOOKUP($B89,[1]Data_Aspire!$B$1:$CZ$600,21,FALSE)</f>
        <v>172300</v>
      </c>
      <c r="BE89">
        <f>VLOOKUP($B89,[1]Data_Aspire!$B$1:$CZ$600,22,FALSE)</f>
        <v>2018</v>
      </c>
      <c r="BJ89" s="7">
        <v>0</v>
      </c>
      <c r="BK89">
        <v>388</v>
      </c>
      <c r="BL89">
        <f>VLOOKUP($B89,'[1]Data_UN_PopulationTot.&amp;%'!$B$4:$CZ$603,8,FALSE)</f>
        <v>2961.16</v>
      </c>
      <c r="BM89">
        <f>VLOOKUP($B89,'[1]Data_UN_PopulationTot.&amp;%'!$B$4:$CZ$603,9,FALSE)</f>
        <v>2973.46</v>
      </c>
      <c r="BN89">
        <v>2985.09</v>
      </c>
      <c r="BO89">
        <f>VLOOKUP($B89,'[1]Data_UN_PopulationTot.&amp;%'!$B$4:$CZ$603,11,FALSE)</f>
        <v>2996</v>
      </c>
      <c r="BP89">
        <f>VLOOKUP($B89,'[1]Data_UN_PopulationTot.&amp;%'!$B$4:$CZ$603,12,FALSE)</f>
        <v>3006.09</v>
      </c>
      <c r="BQ89">
        <f>VLOOKUP($B89,'[1]Data_UN_PopulationTot.&amp;%'!$B$4:$CZ$603,13,FALSE)</f>
        <v>3015.32</v>
      </c>
      <c r="BR89">
        <f>VLOOKUP($B89,'[1]Data_UN_PopulationTot.&amp;%'!$B$4:$CZ$603,14,FALSE)</f>
        <v>3023.67</v>
      </c>
      <c r="BS89">
        <f>VLOOKUP($B89,'[1]Data_UN_PopulationTot.&amp;%'!$B$4:$CZ$603,15,FALSE)</f>
        <v>3031.1</v>
      </c>
      <c r="BT89">
        <f>VLOOKUP($B89,'[1]Data_UN_PopulationTot.&amp;%'!$B$4:$CZ$603,16,FALSE)</f>
        <v>3037.62</v>
      </c>
      <c r="BU89">
        <f>VLOOKUP($B89,'[1]Data_UN_PopulationTot.&amp;%'!$B$4:$CZ$603,17,FALSE)</f>
        <v>3043.25</v>
      </c>
      <c r="BV89">
        <f>VLOOKUP($B89,'[1]Data_UN_PopulationTot.&amp;%'!$B$4:$CZ$603,18,FALSE)</f>
        <v>3047.97</v>
      </c>
      <c r="BW89">
        <f>VLOOKUP($B89,'[1]Data_UN_PopulationTot.&amp;%'!$B$4:$CZ$603,61,FALSE)</f>
        <v>7.7950195193775409</v>
      </c>
      <c r="BX89">
        <f>VLOOKUP($B89,'[1]Data_UN_PopulationTot.&amp;%'!$B$4:$CZ$603,62,FALSE)</f>
        <v>7.9011603560766739</v>
      </c>
      <c r="BY89">
        <f>VLOOKUP($B89,'[1]Data_UN_PopulationTot.&amp;%'!$B$4:$CZ$603,63,FALSE)</f>
        <v>7.6619297842737311</v>
      </c>
      <c r="BZ89">
        <f>VLOOKUP($B89,'[1]Data_UN_PopulationTot.&amp;%'!$B$4:$CZ$603,64,FALSE)</f>
        <v>8.095408556106392</v>
      </c>
      <c r="CA89">
        <f>VLOOKUP($B89,'[1]Data_UN_PopulationTot.&amp;%'!$B$4:$CZ$603,65,FALSE)</f>
        <v>8.8198543813910781</v>
      </c>
      <c r="CB89">
        <f>VLOOKUP($B89,'[1]Data_UN_PopulationTot.&amp;%'!$B$4:$CZ$603,66,FALSE)</f>
        <v>8.5887287414391658</v>
      </c>
      <c r="CC89">
        <f>VLOOKUP($B89,'[1]Data_UN_PopulationTot.&amp;%'!$B$4:$CZ$603,67,FALSE)</f>
        <v>7.8514501073903471</v>
      </c>
      <c r="CD89">
        <f>VLOOKUP($B89,'[1]Data_UN_PopulationTot.&amp;%'!$B$4:$CZ$603,68,FALSE)</f>
        <v>7.1218373880506292</v>
      </c>
      <c r="CE89">
        <f>VLOOKUP($B89,'[1]Data_UN_PopulationTot.&amp;%'!$B$4:$CZ$603,69,FALSE)</f>
        <v>6.0304745437598779</v>
      </c>
      <c r="CF89">
        <f>VLOOKUP($B89,'[1]Data_UN_PopulationTot.&amp;%'!$B$4:$CZ$603,70,FALSE)</f>
        <v>6.0401329208823569</v>
      </c>
      <c r="CG89">
        <f>VLOOKUP($B89,'[1]Data_UN_PopulationTot.&amp;%'!$B$4:$CZ$603,71,FALSE)</f>
        <v>5.7837131394453527</v>
      </c>
      <c r="CH89">
        <f>VLOOKUP($B89,'[1]Data_UN_PopulationTot.&amp;%'!$B$4:$CZ$603,72,FALSE)</f>
        <v>5.0408623647489499</v>
      </c>
      <c r="CI89">
        <f>VLOOKUP($B89,'[1]Data_UN_PopulationTot.&amp;%'!$B$4:$CZ$603,73,FALSE)</f>
        <v>4.1917694417052775</v>
      </c>
      <c r="CJ89">
        <f>VLOOKUP($B89,'[1]Data_UN_PopulationTot.&amp;%'!$B$4:$CZ$603,74,FALSE)</f>
        <v>3.0533979926785451</v>
      </c>
      <c r="CK89">
        <f>VLOOKUP($B89,'[1]Data_UN_PopulationTot.&amp;%'!$B$4:$CZ$603,75,FALSE)</f>
        <v>2.3882194815545259</v>
      </c>
      <c r="CL89">
        <f>VLOOKUP($B89,'[1]Data_UN_PopulationTot.&amp;%'!$B$4:$CZ$603,76,FALSE)</f>
        <v>1.6480703508084671</v>
      </c>
      <c r="CM89">
        <f>VLOOKUP($B89,'[1]Data_UN_PopulationTot.&amp;%'!$B$4:$CZ$603,77,FALSE)</f>
        <v>1.083764470680409</v>
      </c>
      <c r="CN89">
        <f>VLOOKUP($B89,'[1]Data_UN_PopulationTot.&amp;%'!$B$4:$CZ$603,78,FALSE)</f>
        <v>0.59925839873563069</v>
      </c>
      <c r="CO89">
        <f>VLOOKUP($B89,'[1]Data_UN_PopulationTot.&amp;%'!$B$4:$CZ$603,79,FALSE)</f>
        <v>0.24740304475273203</v>
      </c>
      <c r="CP89">
        <f>VLOOKUP($B89,'[1]Data_UN_PopulationTot.&amp;%'!$B$4:$CZ$603,80,FALSE)</f>
        <v>5.0351889124532284E-2</v>
      </c>
      <c r="CQ89">
        <f>VLOOKUP($B89,'[1]Data_UN_PopulationTot.&amp;%'!$B$4:$CZ$603,81,FALSE)</f>
        <v>7.2268975671696233E-3</v>
      </c>
      <c r="CR89">
        <f>VLOOKUP($B89,'[1]Data_UN_PopulationTot.&amp;%'!$B$4:$CZ$603,82,FALSE)</f>
        <v>6.7068245422363084</v>
      </c>
      <c r="CS89">
        <f>VLOOKUP($B89,'[1]Data_UN_PopulationTot.&amp;%'!$B$4:$CZ$603,83,FALSE)</f>
        <v>7.1362907115227507</v>
      </c>
      <c r="CT89">
        <f>VLOOKUP($B89,'[1]Data_UN_PopulationTot.&amp;%'!$B$4:$CZ$603,84,FALSE)</f>
        <v>7.4542728438928219</v>
      </c>
      <c r="CU89">
        <f>VLOOKUP($B89,'[1]Data_UN_PopulationTot.&amp;%'!$B$4:$CZ$603,85,FALSE)</f>
        <v>7.403452133715227</v>
      </c>
      <c r="CV89">
        <f>VLOOKUP($B89,'[1]Data_UN_PopulationTot.&amp;%'!$B$4:$CZ$603,86,FALSE)</f>
        <v>6.8292995009793414</v>
      </c>
      <c r="CW89">
        <f>VLOOKUP($B89,'[1]Data_UN_PopulationTot.&amp;%'!$B$4:$CZ$603,87,FALSE)</f>
        <v>7.0883243601479036</v>
      </c>
      <c r="CX89">
        <f>VLOOKUP($B89,'[1]Data_UN_PopulationTot.&amp;%'!$B$4:$CZ$603,88,FALSE)</f>
        <v>7.8806221846015561</v>
      </c>
      <c r="CY89">
        <f>VLOOKUP($B89,'[1]Data_UN_PopulationTot.&amp;%'!$B$4:$CZ$603,89,FALSE)</f>
        <v>7.8074915435519383</v>
      </c>
      <c r="CZ89">
        <f>VLOOKUP($B89,'[1]Data_UN_PopulationTot.&amp;%'!$B$4:$CZ$603,90,FALSE)</f>
        <v>7.2040735309074568</v>
      </c>
      <c r="DA89">
        <f>VLOOKUP($B89,'[1]Data_UN_PopulationTot.&amp;%'!$B$4:$CZ$603,91,FALSE)</f>
        <v>6.5494739121448058</v>
      </c>
      <c r="DB89">
        <f>VLOOKUP($B89,'[1]Data_UN_PopulationTot.&amp;%'!$B$4:$CZ$603,92,FALSE)</f>
        <v>5.5031053455250545</v>
      </c>
      <c r="DC89">
        <f>VLOOKUP($B89,'[1]Data_UN_PopulationTot.&amp;%'!$B$4:$CZ$603,93,FALSE)</f>
        <v>5.4268250671758578</v>
      </c>
      <c r="DD89">
        <f>VLOOKUP($B89,'[1]Data_UN_PopulationTot.&amp;%'!$B$4:$CZ$603,94,FALSE)</f>
        <v>5.050935540704141</v>
      </c>
      <c r="DE89">
        <f>VLOOKUP($B89,'[1]Data_UN_PopulationTot.&amp;%'!$B$4:$CZ$603,95,FALSE)</f>
        <v>4.2242213670082052</v>
      </c>
      <c r="DF89">
        <f>VLOOKUP($B89,'[1]Data_UN_PopulationTot.&amp;%'!$B$4:$CZ$603,96,FALSE)</f>
        <v>3.301902577781278</v>
      </c>
      <c r="DG89">
        <f>VLOOKUP($B89,'[1]Data_UN_PopulationTot.&amp;%'!$B$4:$CZ$603,97,FALSE)</f>
        <v>2.1333871396372017</v>
      </c>
      <c r="DH89">
        <f>VLOOKUP($B89,'[1]Data_UN_PopulationTot.&amp;%'!$B$4:$CZ$603,98,FALSE)</f>
        <v>1.342007959395926</v>
      </c>
      <c r="DI89">
        <f>VLOOKUP($B89,'[1]Data_UN_PopulationTot.&amp;%'!$B$4:$CZ$603,99,FALSE)</f>
        <v>0.64380554926721734</v>
      </c>
      <c r="DJ89">
        <f>VLOOKUP($B89,'[1]Data_UN_PopulationTot.&amp;%'!$B$4:$DE$603,100,FALSE)</f>
        <v>0.24202994123957913</v>
      </c>
      <c r="DK89">
        <f>VLOOKUP($B89,'[1]Data_UN_PopulationTot.&amp;%'!$B$4:$DE$603,101,FALSE)</f>
        <v>6.1155457566839579E-2</v>
      </c>
      <c r="DL89">
        <f>VLOOKUP($B89,'[1]Data_UN_PopulationTot.&amp;%'!$B$4:$DE$603,102,FALSE)</f>
        <v>1.0465982276728446E-2</v>
      </c>
    </row>
    <row r="90" spans="1:116">
      <c r="A90" t="s">
        <v>176</v>
      </c>
      <c r="B90" t="s">
        <v>391</v>
      </c>
      <c r="C90" t="s">
        <v>487</v>
      </c>
      <c r="D90" t="s">
        <v>389</v>
      </c>
      <c r="E90" t="s">
        <v>301</v>
      </c>
      <c r="F90">
        <v>0</v>
      </c>
      <c r="G90">
        <v>0</v>
      </c>
      <c r="H90">
        <v>1</v>
      </c>
      <c r="I90">
        <v>0</v>
      </c>
      <c r="J90" s="18">
        <f t="shared" si="3"/>
        <v>7.0287903465550006</v>
      </c>
      <c r="K90">
        <f>VLOOKUP($B90,'[1]Source GDP Current USD'!$B$1:$CZ$600,64,FALSE)</f>
        <v>43697659295.774696</v>
      </c>
      <c r="L90" s="45">
        <f>VLOOKUP($B90,'[1]Source GDP Current USD'!$B$1:$CZ$600,65,FALSE)</f>
        <v>43697659295.774696</v>
      </c>
      <c r="M90" s="17">
        <f>VLOOKUP($B90,'[1]Source GDP Current LCU'!$B$1:$CZ$600,64,FALSE)</f>
        <v>31025338100</v>
      </c>
      <c r="N90" s="45">
        <v>31000000000</v>
      </c>
      <c r="O90" s="45">
        <f>VLOOKUP($B90,'[1]Source GNI Current USD'!$B$1:$CZ$600,64,FALSE)</f>
        <v>43573532535.211304</v>
      </c>
      <c r="P90" s="45">
        <f>VLOOKUP($B90,'[1]Source GNI Current LCU'!$B$1:$CZ$600,64,FALSE)</f>
        <v>30937208100</v>
      </c>
      <c r="Q90">
        <f t="shared" si="2"/>
        <v>100.28486733423109</v>
      </c>
      <c r="R90">
        <v>4310</v>
      </c>
      <c r="S90">
        <v>4310</v>
      </c>
      <c r="T90">
        <v>0.41359400000000002</v>
      </c>
      <c r="U90" s="45">
        <v>10000000</v>
      </c>
      <c r="V90">
        <v>22.655000000000001</v>
      </c>
      <c r="W90">
        <f>VLOOKUP($B90,'[1]Source Gov. Revenue WEO'!$B$1:$CZ$600,5,FALSE)</f>
        <v>24.87</v>
      </c>
      <c r="X90">
        <f>VLOOKUP($B90,'[1]Source Gov. Revenue WEO'!$B$1:$CZ$600,6,FALSE)</f>
        <v>25.425999999999998</v>
      </c>
      <c r="Y90">
        <f>VLOOKUP($B90,'[1]Source Gov. Revenue WEO'!$B$1:$CZ$600,7,FALSE)</f>
        <v>25.308</v>
      </c>
      <c r="Z90">
        <f>VLOOKUP($B90,'[1]Source Gov. Revenue WEO'!$B$1:$CZ$600,8,FALSE)</f>
        <v>25.641999999999999</v>
      </c>
      <c r="AA90">
        <f>VLOOKUP($B90,'[1]Source Gov. Revenue WEO'!$B$1:$CZ$600,9,FALSE)</f>
        <v>25.611999999999998</v>
      </c>
      <c r="AB90">
        <f>VLOOKUP($B90,'[1]Source Gov. Revenue WEO'!$B$1:$CZ$600,10,FALSE)</f>
        <v>25.318000000000001</v>
      </c>
      <c r="AC90">
        <f>VLOOKUP($B90,[2]Summary!$B$1:$CZ$600,39,FALSE)</f>
        <v>2.2868419999999999E-3</v>
      </c>
      <c r="AD90">
        <f>VLOOKUP($B90,[2]Summary!$B$1:$CZ$600,40,FALSE)</f>
        <v>6.0000000000000001E-3</v>
      </c>
      <c r="AE90">
        <f>VLOOKUP($B90,[2]Summary!$B$1:$CZ$600,47,FALSE)</f>
        <v>0.28965454442115479</v>
      </c>
      <c r="AF90">
        <f>VLOOKUP($B90,'[1]CALC GDP Growth rates WDI'!$B$1:$CZ$600,27,FALSE)</f>
        <v>21.896232252559081</v>
      </c>
      <c r="AG90">
        <f>VLOOKUP($B90,'[1]CALC GDP Growth rates WDI'!$B$1:$CZ$600,29,FALSE)</f>
        <v>24.262347795457238</v>
      </c>
      <c r="AH90">
        <v>6.53</v>
      </c>
      <c r="AI90">
        <f>VLOOKUP($B90,'[1]CALC GDP Growth rates WDI'!$B$1:$CZ$600,30,FALSE)</f>
        <v>8.7941979229927636</v>
      </c>
      <c r="AJ90" s="45"/>
      <c r="AK90">
        <f>VLOOKUP($B90,[1]Data_Aspire!$B$1:$CZ$600,2,FALSE)</f>
        <v>2015</v>
      </c>
      <c r="AL90">
        <f>VLOOKUP($B90,[1]Data_Aspire!$B$1:$CZ$600,3,FALSE)</f>
        <v>1.0900000000000001</v>
      </c>
      <c r="AM90">
        <f>VLOOKUP($B90,[1]Data_Aspire!$B$1:$CZ$600,4,FALSE)</f>
        <v>0</v>
      </c>
      <c r="AN90">
        <f>VLOOKUP($B90,[1]Data_Aspire!$B$1:$CZ$600,5,FALSE)</f>
        <v>0.4</v>
      </c>
      <c r="AO90">
        <f>VLOOKUP($B90,[1]Data_Aspire!$B$1:$CZ$600,6,FALSE)</f>
        <v>0</v>
      </c>
      <c r="AP90">
        <f>VLOOKUP($B90,[1]Data_Aspire!$B$1:$CZ$600,7,FALSE)</f>
        <v>0.02</v>
      </c>
      <c r="AR90">
        <f>VLOOKUP($B90,[1]Data_Aspire!$B$1:$CZ$600,9,FALSE)</f>
        <v>0.01</v>
      </c>
      <c r="AS90">
        <f>VLOOKUP($B90,[1]Data_Aspire!$B$1:$CZ$600,10,FALSE)</f>
        <v>0.67</v>
      </c>
      <c r="AU90">
        <f>VLOOKUP($B90,[1]Data_Aspire!$B$1:$CZ$600,12,FALSE)</f>
        <v>0.48</v>
      </c>
      <c r="AX90">
        <f>VLOOKUP($B90,[1]Data_Aspire!$B$1:$CZ$600,15,FALSE)</f>
        <v>250000</v>
      </c>
      <c r="AY90">
        <f>VLOOKUP($B90,[1]Data_Aspire!$B$1:$CZ$600,16,FALSE)</f>
        <v>2011</v>
      </c>
      <c r="BB90">
        <f>VLOOKUP($B90,[1]Data_Aspire!$B$1:$CZ$600,19,FALSE)</f>
        <v>40000</v>
      </c>
      <c r="BC90">
        <f>VLOOKUP($B90,[1]Data_Aspire!$B$1:$CZ$600,20,FALSE)</f>
        <v>2014</v>
      </c>
      <c r="BD90">
        <f>VLOOKUP($B90,[1]Data_Aspire!$B$1:$CZ$600,21,FALSE)</f>
        <v>184698</v>
      </c>
      <c r="BE90">
        <f>VLOOKUP($B90,[1]Data_Aspire!$B$1:$CZ$600,22,FALSE)</f>
        <v>2014</v>
      </c>
      <c r="BF90">
        <f>VLOOKUP($B90,[1]Data_Aspire!$B$1:$CZ$600,23,FALSE)</f>
        <v>42000</v>
      </c>
      <c r="BG90">
        <f>VLOOKUP($B90,[1]Data_Aspire!$B$1:$CZ$600,24,FALSE)</f>
        <v>2011</v>
      </c>
      <c r="BJ90" s="7">
        <v>0</v>
      </c>
      <c r="BK90">
        <v>400</v>
      </c>
      <c r="BL90">
        <f>VLOOKUP($B90,'[1]Data_UN_PopulationTot.&amp;%'!$B$4:$CZ$603,8,FALSE)</f>
        <v>10203.1</v>
      </c>
      <c r="BM90">
        <f>VLOOKUP($B90,'[1]Data_UN_PopulationTot.&amp;%'!$B$4:$CZ$603,9,FALSE)</f>
        <v>10269</v>
      </c>
      <c r="BN90">
        <v>10300.9</v>
      </c>
      <c r="BO90">
        <f>VLOOKUP($B90,'[1]Data_UN_PopulationTot.&amp;%'!$B$4:$CZ$603,11,FALSE)</f>
        <v>10312.299999999999</v>
      </c>
      <c r="BP90">
        <f>VLOOKUP($B90,'[1]Data_UN_PopulationTot.&amp;%'!$B$4:$CZ$603,12,FALSE)</f>
        <v>10320.9</v>
      </c>
      <c r="BQ90">
        <f>VLOOKUP($B90,'[1]Data_UN_PopulationTot.&amp;%'!$B$4:$CZ$603,13,FALSE)</f>
        <v>10339.799999999999</v>
      </c>
      <c r="BR90">
        <f>VLOOKUP($B90,'[1]Data_UN_PopulationTot.&amp;%'!$B$4:$CZ$603,14,FALSE)</f>
        <v>10375</v>
      </c>
      <c r="BS90">
        <f>VLOOKUP($B90,'[1]Data_UN_PopulationTot.&amp;%'!$B$4:$CZ$603,15,FALSE)</f>
        <v>10426</v>
      </c>
      <c r="BT90">
        <f>VLOOKUP($B90,'[1]Data_UN_PopulationTot.&amp;%'!$B$4:$CZ$603,16,FALSE)</f>
        <v>10491.8</v>
      </c>
      <c r="BU90">
        <f>VLOOKUP($B90,'[1]Data_UN_PopulationTot.&amp;%'!$B$4:$CZ$603,17,FALSE)</f>
        <v>10569.1</v>
      </c>
      <c r="BV90">
        <f>VLOOKUP($B90,'[1]Data_UN_PopulationTot.&amp;%'!$B$4:$CZ$603,18,FALSE)</f>
        <v>10655.2</v>
      </c>
      <c r="BW90">
        <f>VLOOKUP($B90,'[1]Data_UN_PopulationTot.&amp;%'!$B$4:$CZ$603,61,FALSE)</f>
        <v>10.370573649185049</v>
      </c>
      <c r="BX90">
        <f>VLOOKUP($B90,'[1]Data_UN_PopulationTot.&amp;%'!$B$4:$CZ$603,62,FALSE)</f>
        <v>11.314600464564691</v>
      </c>
      <c r="BY90">
        <f>VLOOKUP($B90,'[1]Data_UN_PopulationTot.&amp;%'!$B$4:$CZ$603,63,FALSE)</f>
        <v>11.16876243494624</v>
      </c>
      <c r="BZ90">
        <f>VLOOKUP($B90,'[1]Data_UN_PopulationTot.&amp;%'!$B$4:$CZ$603,64,FALSE)</f>
        <v>10.19582283815703</v>
      </c>
      <c r="CA90">
        <f>VLOOKUP($B90,'[1]Data_UN_PopulationTot.&amp;%'!$B$4:$CZ$603,65,FALSE)</f>
        <v>9.2143662220305576</v>
      </c>
      <c r="CB90">
        <f>VLOOKUP($B90,'[1]Data_UN_PopulationTot.&amp;%'!$B$4:$CZ$603,66,FALSE)</f>
        <v>8.452186100302848</v>
      </c>
      <c r="CC90">
        <f>VLOOKUP($B90,'[1]Data_UN_PopulationTot.&amp;%'!$B$4:$CZ$603,67,FALSE)</f>
        <v>7.6200566494496762</v>
      </c>
      <c r="CD90">
        <f>VLOOKUP($B90,'[1]Data_UN_PopulationTot.&amp;%'!$B$4:$CZ$603,68,FALSE)</f>
        <v>6.9893071713498829</v>
      </c>
      <c r="CE90">
        <f>VLOOKUP($B90,'[1]Data_UN_PopulationTot.&amp;%'!$B$4:$CZ$603,69,FALSE)</f>
        <v>5.9463986435495091</v>
      </c>
      <c r="CF90">
        <f>VLOOKUP($B90,'[1]Data_UN_PopulationTot.&amp;%'!$B$4:$CZ$603,70,FALSE)</f>
        <v>5.2398584743852359</v>
      </c>
      <c r="CG90">
        <f>VLOOKUP($B90,'[1]Data_UN_PopulationTot.&amp;%'!$B$4:$CZ$603,71,FALSE)</f>
        <v>4.2459938646097752</v>
      </c>
      <c r="CH90">
        <f>VLOOKUP($B90,'[1]Data_UN_PopulationTot.&amp;%'!$B$4:$CZ$603,72,FALSE)</f>
        <v>3.1595103448951787</v>
      </c>
      <c r="CI90">
        <f>VLOOKUP($B90,'[1]Data_UN_PopulationTot.&amp;%'!$B$4:$CZ$603,73,FALSE)</f>
        <v>2.1291470239437031</v>
      </c>
      <c r="CJ90">
        <f>VLOOKUP($B90,'[1]Data_UN_PopulationTot.&amp;%'!$B$4:$CZ$603,74,FALSE)</f>
        <v>1.4607227215258107</v>
      </c>
      <c r="CK90">
        <f>VLOOKUP($B90,'[1]Data_UN_PopulationTot.&amp;%'!$B$4:$CZ$603,75,FALSE)</f>
        <v>1.0930795542531191</v>
      </c>
      <c r="CL90">
        <f>VLOOKUP($B90,'[1]Data_UN_PopulationTot.&amp;%'!$B$4:$CZ$603,76,FALSE)</f>
        <v>0.77646009546118333</v>
      </c>
      <c r="CM90">
        <f>VLOOKUP($B90,'[1]Data_UN_PopulationTot.&amp;%'!$B$4:$CZ$603,77,FALSE)</f>
        <v>0.42260685477942972</v>
      </c>
      <c r="CN90">
        <f>VLOOKUP($B90,'[1]Data_UN_PopulationTot.&amp;%'!$B$4:$CZ$603,78,FALSE)</f>
        <v>0.15958875243798454</v>
      </c>
      <c r="CO90">
        <f>VLOOKUP($B90,'[1]Data_UN_PopulationTot.&amp;%'!$B$4:$CZ$603,79,FALSE)</f>
        <v>3.6665327204477072E-2</v>
      </c>
      <c r="CP90">
        <f>VLOOKUP($B90,'[1]Data_UN_PopulationTot.&amp;%'!$B$4:$CZ$603,80,FALSE)</f>
        <v>4.3516186257117929E-3</v>
      </c>
      <c r="CQ90">
        <f>VLOOKUP($B90,'[1]Data_UN_PopulationTot.&amp;%'!$B$4:$CZ$603,81,FALSE)</f>
        <v>2.7442639981966265E-4</v>
      </c>
      <c r="CR90">
        <f>VLOOKUP($B90,'[1]Data_UN_PopulationTot.&amp;%'!$B$4:$CZ$603,82,FALSE)</f>
        <v>9.1885745926871394</v>
      </c>
      <c r="CS90">
        <f>VLOOKUP($B90,'[1]Data_UN_PopulationTot.&amp;%'!$B$4:$CZ$603,83,FALSE)</f>
        <v>8.9597661235828525</v>
      </c>
      <c r="CT90">
        <f>VLOOKUP($B90,'[1]Data_UN_PopulationTot.&amp;%'!$B$4:$CZ$603,84,FALSE)</f>
        <v>8.6437420226743757</v>
      </c>
      <c r="CU90">
        <f>VLOOKUP($B90,'[1]Data_UN_PopulationTot.&amp;%'!$B$4:$CZ$603,85,FALSE)</f>
        <v>9.5435092724679027</v>
      </c>
      <c r="CV90">
        <f>VLOOKUP($B90,'[1]Data_UN_PopulationTot.&amp;%'!$B$4:$CZ$603,86,FALSE)</f>
        <v>9.457354155717395</v>
      </c>
      <c r="CW90">
        <f>VLOOKUP($B90,'[1]Data_UN_PopulationTot.&amp;%'!$B$4:$CZ$603,87,FALSE)</f>
        <v>8.5748836248967635</v>
      </c>
      <c r="CX90">
        <f>VLOOKUP($B90,'[1]Data_UN_PopulationTot.&amp;%'!$B$4:$CZ$603,88,FALSE)</f>
        <v>7.6827839927922508</v>
      </c>
      <c r="CY90">
        <f>VLOOKUP($B90,'[1]Data_UN_PopulationTot.&amp;%'!$B$4:$CZ$603,89,FALSE)</f>
        <v>7.0847191981379982</v>
      </c>
      <c r="CZ90">
        <f>VLOOKUP($B90,'[1]Data_UN_PopulationTot.&amp;%'!$B$4:$CZ$603,90,FALSE)</f>
        <v>6.4618683835122743</v>
      </c>
      <c r="DA90">
        <f>VLOOKUP($B90,'[1]Data_UN_PopulationTot.&amp;%'!$B$4:$CZ$603,91,FALSE)</f>
        <v>5.9759366318792706</v>
      </c>
      <c r="DB90">
        <f>VLOOKUP($B90,'[1]Data_UN_PopulationTot.&amp;%'!$B$4:$CZ$603,92,FALSE)</f>
        <v>5.0376717471281625</v>
      </c>
      <c r="DC90">
        <f>VLOOKUP($B90,'[1]Data_UN_PopulationTot.&amp;%'!$B$4:$CZ$603,93,FALSE)</f>
        <v>4.3861401006081531</v>
      </c>
      <c r="DD90">
        <f>VLOOKUP($B90,'[1]Data_UN_PopulationTot.&amp;%'!$B$4:$CZ$603,94,FALSE)</f>
        <v>3.4533654929048723</v>
      </c>
      <c r="DE90">
        <f>VLOOKUP($B90,'[1]Data_UN_PopulationTot.&amp;%'!$B$4:$CZ$603,95,FALSE)</f>
        <v>2.4380584127937528</v>
      </c>
      <c r="DF90">
        <f>VLOOKUP($B90,'[1]Data_UN_PopulationTot.&amp;%'!$B$4:$CZ$603,96,FALSE)</f>
        <v>1.485209099782266</v>
      </c>
      <c r="DG90">
        <f>VLOOKUP($B90,'[1]Data_UN_PopulationTot.&amp;%'!$B$4:$CZ$603,97,FALSE)</f>
        <v>0.85190329604324655</v>
      </c>
      <c r="DH90">
        <f>VLOOKUP($B90,'[1]Data_UN_PopulationTot.&amp;%'!$B$4:$CZ$603,98,FALSE)</f>
        <v>0.47825474885501917</v>
      </c>
      <c r="DI90">
        <f>VLOOKUP($B90,'[1]Data_UN_PopulationTot.&amp;%'!$B$4:$CZ$603,99,FALSE)</f>
        <v>0.22107515579247694</v>
      </c>
      <c r="DJ90">
        <f>VLOOKUP($B90,'[1]Data_UN_PopulationTot.&amp;%'!$B$4:$DE$603,100,FALSE)</f>
        <v>6.4541256851114948E-2</v>
      </c>
      <c r="DK90">
        <f>VLOOKUP($B90,'[1]Data_UN_PopulationTot.&amp;%'!$B$4:$DE$603,101,FALSE)</f>
        <v>9.9012688640288306E-3</v>
      </c>
      <c r="DL90">
        <f>VLOOKUP($B90,'[1]Data_UN_PopulationTot.&amp;%'!$B$4:$DE$603,102,FALSE)</f>
        <v>6.8511149485697112E-4</v>
      </c>
    </row>
    <row r="91" spans="1:116">
      <c r="A91" t="s">
        <v>57</v>
      </c>
      <c r="B91" t="s">
        <v>451</v>
      </c>
      <c r="C91" t="s">
        <v>493</v>
      </c>
      <c r="D91" t="s">
        <v>622</v>
      </c>
      <c r="E91" t="s">
        <v>2269</v>
      </c>
      <c r="F91">
        <v>0</v>
      </c>
      <c r="G91">
        <v>0</v>
      </c>
      <c r="H91">
        <v>0</v>
      </c>
      <c r="I91">
        <v>1</v>
      </c>
      <c r="J91" s="18">
        <f t="shared" si="3"/>
        <v>187685.53635399998</v>
      </c>
      <c r="K91">
        <f>VLOOKUP($B91,'[1]Source GDP Current USD'!$B$1:$CZ$600,64,FALSE)</f>
        <v>5057758958706.6396</v>
      </c>
      <c r="L91" s="45">
        <f>VLOOKUP($B91,'[1]Source GDP Current USD'!$B$1:$CZ$600,65,FALSE)</f>
        <v>5057758958706.6396</v>
      </c>
      <c r="M91" s="17">
        <f>VLOOKUP($B91,'[1]Source GDP Current LCU'!$B$1:$CZ$600,64,FALSE)</f>
        <v>540040100000000</v>
      </c>
      <c r="N91" s="45">
        <v>540000000000000</v>
      </c>
      <c r="O91" s="45">
        <f>VLOOKUP($B91,'[1]Source GNI Current USD'!$B$1:$CZ$600,64,FALSE)</f>
        <v>5146353156320.9697</v>
      </c>
      <c r="P91" s="45">
        <f>VLOOKUP($B91,'[1]Source GNI Current LCU'!$B$1:$CZ$600,64,FALSE)</f>
        <v>549499708441146</v>
      </c>
      <c r="Q91">
        <f t="shared" si="2"/>
        <v>98.278505284746814</v>
      </c>
      <c r="R91">
        <v>40360</v>
      </c>
      <c r="S91">
        <v>40360</v>
      </c>
      <c r="T91">
        <v>0.94816900000000004</v>
      </c>
      <c r="U91" s="45">
        <v>130000000</v>
      </c>
      <c r="V91">
        <v>34.753999999999998</v>
      </c>
      <c r="W91">
        <f>VLOOKUP($B91,'[1]Source Gov. Revenue WEO'!$B$1:$CZ$600,5,FALSE)</f>
        <v>34.539000000000001</v>
      </c>
      <c r="X91">
        <f>VLOOKUP($B91,'[1]Source Gov. Revenue WEO'!$B$1:$CZ$600,6,FALSE)</f>
        <v>34.454000000000001</v>
      </c>
      <c r="Y91">
        <f>VLOOKUP($B91,'[1]Source Gov. Revenue WEO'!$B$1:$CZ$600,7,FALSE)</f>
        <v>34.554000000000002</v>
      </c>
      <c r="Z91">
        <f>VLOOKUP($B91,'[1]Source Gov. Revenue WEO'!$B$1:$CZ$600,8,FALSE)</f>
        <v>34.573999999999998</v>
      </c>
      <c r="AA91">
        <f>VLOOKUP($B91,'[1]Source Gov. Revenue WEO'!$B$1:$CZ$600,9,FALSE)</f>
        <v>34.555</v>
      </c>
      <c r="AB91">
        <f>VLOOKUP($B91,'[1]Source Gov. Revenue WEO'!$B$1:$CZ$600,10,FALSE)</f>
        <v>34.54</v>
      </c>
      <c r="AC91" t="e">
        <f>VLOOKUP($B91,[2]Summary!$B$1:$CZ$600,39,FALSE)</f>
        <v>#N/A</v>
      </c>
      <c r="AD91" t="e">
        <f>VLOOKUP($B91,[2]Summary!$B$1:$CZ$600,40,FALSE)</f>
        <v>#N/A</v>
      </c>
      <c r="AE91" t="e">
        <f>VLOOKUP($B91,[2]Summary!$B$1:$CZ$600,47,FALSE)</f>
        <v>#N/A</v>
      </c>
      <c r="AF91">
        <f>VLOOKUP($B91,'[1]CALC GDP Growth rates WDI'!$B$1:$CZ$600,27,FALSE)</f>
        <v>3.8362703637329818</v>
      </c>
      <c r="AG91">
        <f>VLOOKUP($B91,'[1]CALC GDP Growth rates WDI'!$B$1:$CZ$600,29,FALSE)</f>
        <v>12.953576292845215</v>
      </c>
      <c r="AH91">
        <v>-1.44</v>
      </c>
      <c r="AI91">
        <f>VLOOKUP($B91,'[1]CALC GDP Growth rates WDI'!$B$1:$CZ$600,30,FALSE)</f>
        <v>4.5967912305552305</v>
      </c>
      <c r="AJ91" s="45"/>
      <c r="AK91" t="e">
        <f>VLOOKUP($B91,[1]Data_Aspire!$B$1:$CZ$600,2,FALSE)</f>
        <v>#N/A</v>
      </c>
      <c r="AL91" t="e">
        <f>VLOOKUP($B91,[1]Data_Aspire!$B$1:$CZ$600,3,FALSE)</f>
        <v>#N/A</v>
      </c>
      <c r="AM91" t="e">
        <f>VLOOKUP($B91,[1]Data_Aspire!$B$1:$CZ$600,4,FALSE)</f>
        <v>#N/A</v>
      </c>
      <c r="AN91" t="e">
        <f>VLOOKUP($B91,[1]Data_Aspire!$B$1:$CZ$600,5,FALSE)</f>
        <v>#N/A</v>
      </c>
      <c r="AO91" t="e">
        <f>VLOOKUP($B91,[1]Data_Aspire!$B$1:$CZ$600,6,FALSE)</f>
        <v>#N/A</v>
      </c>
      <c r="AP91" t="e">
        <f>VLOOKUP($B91,[1]Data_Aspire!$B$1:$CZ$600,7,FALSE)</f>
        <v>#N/A</v>
      </c>
      <c r="AQ91" t="e">
        <f>VLOOKUP($B91,[1]Data_Aspire!$B$1:$CZ$600,8,FALSE)</f>
        <v>#N/A</v>
      </c>
      <c r="AR91" t="e">
        <f>VLOOKUP($B91,[1]Data_Aspire!$B$1:$CZ$600,9,FALSE)</f>
        <v>#N/A</v>
      </c>
      <c r="AS91" t="e">
        <f>VLOOKUP($B91,[1]Data_Aspire!$B$1:$CZ$600,10,FALSE)</f>
        <v>#N/A</v>
      </c>
      <c r="AT91" t="e">
        <f>VLOOKUP($B91,[1]Data_Aspire!$B$1:$CZ$600,11,FALSE)</f>
        <v>#N/A</v>
      </c>
      <c r="AU91" t="e">
        <f>VLOOKUP($B91,[1]Data_Aspire!$B$1:$CZ$600,12,FALSE)</f>
        <v>#N/A</v>
      </c>
      <c r="AV91" t="e">
        <f>VLOOKUP($B91,[1]Data_Aspire!$B$1:$CZ$600,13,FALSE)</f>
        <v>#N/A</v>
      </c>
      <c r="AW91" t="e">
        <f>VLOOKUP($B91,[1]Data_Aspire!$B$1:$CZ$600,14,FALSE)</f>
        <v>#N/A</v>
      </c>
      <c r="AX91" t="e">
        <f>VLOOKUP($B91,[1]Data_Aspire!$B$1:$CZ$600,15,FALSE)</f>
        <v>#N/A</v>
      </c>
      <c r="AY91" t="e">
        <f>VLOOKUP($B91,[1]Data_Aspire!$B$1:$CZ$600,16,FALSE)</f>
        <v>#N/A</v>
      </c>
      <c r="AZ91" t="e">
        <f>VLOOKUP($B91,[1]Data_Aspire!$B$1:$CZ$600,17,FALSE)</f>
        <v>#N/A</v>
      </c>
      <c r="BA91" t="e">
        <f>VLOOKUP($B91,[1]Data_Aspire!$B$1:$CZ$600,18,FALSE)</f>
        <v>#N/A</v>
      </c>
      <c r="BB91" t="e">
        <f>VLOOKUP($B91,[1]Data_Aspire!$B$1:$CZ$600,19,FALSE)</f>
        <v>#N/A</v>
      </c>
      <c r="BC91" t="e">
        <f>VLOOKUP($B91,[1]Data_Aspire!$B$1:$CZ$600,20,FALSE)</f>
        <v>#N/A</v>
      </c>
      <c r="BD91" t="e">
        <f>VLOOKUP($B91,[1]Data_Aspire!$B$1:$CZ$600,21,FALSE)</f>
        <v>#N/A</v>
      </c>
      <c r="BE91" t="e">
        <f>VLOOKUP($B91,[1]Data_Aspire!$B$1:$CZ$600,22,FALSE)</f>
        <v>#N/A</v>
      </c>
      <c r="BF91" t="e">
        <f>VLOOKUP($B91,[1]Data_Aspire!$B$1:$CZ$600,23,FALSE)</f>
        <v>#N/A</v>
      </c>
      <c r="BG91" t="e">
        <f>VLOOKUP($B91,[1]Data_Aspire!$B$1:$CZ$600,24,FALSE)</f>
        <v>#N/A</v>
      </c>
      <c r="BH91" t="e">
        <f>VLOOKUP($B91,[1]Data_Aspire!$B$1:$CZ$600,25,FALSE)</f>
        <v>#N/A</v>
      </c>
      <c r="BI91" t="e">
        <f>VLOOKUP($B91,[1]Data_Aspire!$B$1:$CZ$600,26,FALSE)</f>
        <v>#N/A</v>
      </c>
      <c r="BJ91" s="7">
        <v>0</v>
      </c>
      <c r="BK91">
        <v>392</v>
      </c>
      <c r="BL91">
        <f>VLOOKUP($B91,'[1]Data_UN_PopulationTot.&amp;%'!$B$4:$CZ$603,8,FALSE)</f>
        <v>126476</v>
      </c>
      <c r="BM91">
        <f>VLOOKUP($B91,'[1]Data_UN_PopulationTot.&amp;%'!$B$4:$CZ$603,9,FALSE)</f>
        <v>126051</v>
      </c>
      <c r="BN91">
        <v>125585</v>
      </c>
      <c r="BO91">
        <f>VLOOKUP($B91,'[1]Data_UN_PopulationTot.&amp;%'!$B$4:$CZ$603,11,FALSE)</f>
        <v>125081</v>
      </c>
      <c r="BP91">
        <f>VLOOKUP($B91,'[1]Data_UN_PopulationTot.&amp;%'!$B$4:$CZ$603,12,FALSE)</f>
        <v>124544</v>
      </c>
      <c r="BQ91">
        <f>VLOOKUP($B91,'[1]Data_UN_PopulationTot.&amp;%'!$B$4:$CZ$603,13,FALSE)</f>
        <v>123976</v>
      </c>
      <c r="BR91">
        <f>VLOOKUP($B91,'[1]Data_UN_PopulationTot.&amp;%'!$B$4:$CZ$603,14,FALSE)</f>
        <v>123379</v>
      </c>
      <c r="BS91">
        <f>VLOOKUP($B91,'[1]Data_UN_PopulationTot.&amp;%'!$B$4:$CZ$603,15,FALSE)</f>
        <v>122755</v>
      </c>
      <c r="BT91">
        <f>VLOOKUP($B91,'[1]Data_UN_PopulationTot.&amp;%'!$B$4:$CZ$603,16,FALSE)</f>
        <v>122107</v>
      </c>
      <c r="BU91">
        <f>VLOOKUP($B91,'[1]Data_UN_PopulationTot.&amp;%'!$B$4:$CZ$603,17,FALSE)</f>
        <v>121441</v>
      </c>
      <c r="BV91">
        <f>VLOOKUP($B91,'[1]Data_UN_PopulationTot.&amp;%'!$B$4:$CZ$603,18,FALSE)</f>
        <v>120758</v>
      </c>
      <c r="BW91">
        <f>VLOOKUP($B91,'[1]Data_UN_PopulationTot.&amp;%'!$B$4:$CZ$603,61,FALSE)</f>
        <v>3.7781713526676994</v>
      </c>
      <c r="BX91">
        <f>VLOOKUP($B91,'[1]Data_UN_PopulationTot.&amp;%'!$B$4:$CZ$603,62,FALSE)</f>
        <v>4.2707628324741451</v>
      </c>
      <c r="BY91">
        <f>VLOOKUP($B91,'[1]Data_UN_PopulationTot.&amp;%'!$B$4:$CZ$603,63,FALSE)</f>
        <v>4.3996726651696765</v>
      </c>
      <c r="BZ91">
        <f>VLOOKUP($B91,'[1]Data_UN_PopulationTot.&amp;%'!$B$4:$CZ$603,64,FALSE)</f>
        <v>4.5088791549384863</v>
      </c>
      <c r="CA91">
        <f>VLOOKUP($B91,'[1]Data_UN_PopulationTot.&amp;%'!$B$4:$CZ$603,65,FALSE)</f>
        <v>4.741516176982195</v>
      </c>
      <c r="CB91">
        <f>VLOOKUP($B91,'[1]Data_UN_PopulationTot.&amp;%'!$B$4:$CZ$603,66,FALSE)</f>
        <v>4.8629384231000348</v>
      </c>
      <c r="CC91">
        <f>VLOOKUP($B91,'[1]Data_UN_PopulationTot.&amp;%'!$B$4:$CZ$603,67,FALSE)</f>
        <v>5.3684098168822549</v>
      </c>
      <c r="CD91">
        <f>VLOOKUP($B91,'[1]Data_UN_PopulationTot.&amp;%'!$B$4:$CZ$603,68,FALSE)</f>
        <v>6.0609680888073632</v>
      </c>
      <c r="CE91">
        <f>VLOOKUP($B91,'[1]Data_UN_PopulationTot.&amp;%'!$B$4:$CZ$603,69,FALSE)</f>
        <v>6.6956734874600716</v>
      </c>
      <c r="CF91">
        <f>VLOOKUP($B91,'[1]Data_UN_PopulationTot.&amp;%'!$B$4:$CZ$603,70,FALSE)</f>
        <v>7.9103545336664665</v>
      </c>
      <c r="CG91">
        <f>VLOOKUP($B91,'[1]Data_UN_PopulationTot.&amp;%'!$B$4:$CZ$603,71,FALSE)</f>
        <v>6.8460498434485597</v>
      </c>
      <c r="CH91">
        <f>VLOOKUP($B91,'[1]Data_UN_PopulationTot.&amp;%'!$B$4:$CZ$603,72,FALSE)</f>
        <v>6.2327239950662578</v>
      </c>
      <c r="CI91">
        <f>VLOOKUP($B91,'[1]Data_UN_PopulationTot.&amp;%'!$B$4:$CZ$603,73,FALSE)</f>
        <v>5.9269110345045704</v>
      </c>
      <c r="CJ91">
        <f>VLOOKUP($B91,'[1]Data_UN_PopulationTot.&amp;%'!$B$4:$CZ$603,74,FALSE)</f>
        <v>6.6250592997881022</v>
      </c>
      <c r="CK91">
        <f>VLOOKUP($B91,'[1]Data_UN_PopulationTot.&amp;%'!$B$4:$CZ$603,75,FALSE)</f>
        <v>7.2166418925329694</v>
      </c>
      <c r="CL91">
        <f>VLOOKUP($B91,'[1]Data_UN_PopulationTot.&amp;%'!$B$4:$CZ$603,76,FALSE)</f>
        <v>5.5805528321578795</v>
      </c>
      <c r="CM91">
        <f>VLOOKUP($B91,'[1]Data_UN_PopulationTot.&amp;%'!$B$4:$CZ$603,77,FALSE)</f>
        <v>4.2213937822195522</v>
      </c>
      <c r="CN91">
        <f>VLOOKUP($B91,'[1]Data_UN_PopulationTot.&amp;%'!$B$4:$CZ$603,78,FALSE)</f>
        <v>2.8703785698472437</v>
      </c>
      <c r="CO91">
        <f>VLOOKUP($B91,'[1]Data_UN_PopulationTot.&amp;%'!$B$4:$CZ$603,79,FALSE)</f>
        <v>1.4119833011796705</v>
      </c>
      <c r="CP91">
        <f>VLOOKUP($B91,'[1]Data_UN_PopulationTot.&amp;%'!$B$4:$CZ$603,80,FALSE)</f>
        <v>0.40918830450045851</v>
      </c>
      <c r="CQ91">
        <f>VLOOKUP($B91,'[1]Data_UN_PopulationTot.&amp;%'!$B$4:$CZ$603,81,FALSE)</f>
        <v>6.2174641829279856E-2</v>
      </c>
      <c r="CR91">
        <f>VLOOKUP($B91,'[1]Data_UN_PopulationTot.&amp;%'!$B$4:$CZ$603,82,FALSE)</f>
        <v>3.5124960665131919</v>
      </c>
      <c r="CS91">
        <f>VLOOKUP($B91,'[1]Data_UN_PopulationTot.&amp;%'!$B$4:$CZ$603,83,FALSE)</f>
        <v>3.6492240679706516</v>
      </c>
      <c r="CT91">
        <f>VLOOKUP($B91,'[1]Data_UN_PopulationTot.&amp;%'!$B$4:$CZ$603,84,FALSE)</f>
        <v>3.9647062720482289</v>
      </c>
      <c r="CU91">
        <f>VLOOKUP($B91,'[1]Data_UN_PopulationTot.&amp;%'!$B$4:$CZ$603,85,FALSE)</f>
        <v>4.4946338958909555</v>
      </c>
      <c r="CV91">
        <f>VLOOKUP($B91,'[1]Data_UN_PopulationTot.&amp;%'!$B$4:$CZ$603,86,FALSE)</f>
        <v>4.6633100912568937</v>
      </c>
      <c r="CW91">
        <f>VLOOKUP($B91,'[1]Data_UN_PopulationTot.&amp;%'!$B$4:$CZ$603,87,FALSE)</f>
        <v>4.762475363951042</v>
      </c>
      <c r="CX91">
        <f>VLOOKUP($B91,'[1]Data_UN_PopulationTot.&amp;%'!$B$4:$CZ$603,88,FALSE)</f>
        <v>4.9917189751403628</v>
      </c>
      <c r="CY91">
        <f>VLOOKUP($B91,'[1]Data_UN_PopulationTot.&amp;%'!$B$4:$CZ$603,89,FALSE)</f>
        <v>5.125076599479951</v>
      </c>
      <c r="CZ91">
        <f>VLOOKUP($B91,'[1]Data_UN_PopulationTot.&amp;%'!$B$4:$CZ$603,90,FALSE)</f>
        <v>5.6585981881117613</v>
      </c>
      <c r="DA91">
        <f>VLOOKUP($B91,'[1]Data_UN_PopulationTot.&amp;%'!$B$4:$CZ$603,91,FALSE)</f>
        <v>6.3143311416220875</v>
      </c>
      <c r="DB91">
        <f>VLOOKUP($B91,'[1]Data_UN_PopulationTot.&amp;%'!$B$4:$CZ$603,92,FALSE)</f>
        <v>6.9333377498799251</v>
      </c>
      <c r="DC91">
        <f>VLOOKUP($B91,'[1]Data_UN_PopulationTot.&amp;%'!$B$4:$CZ$603,93,FALSE)</f>
        <v>8.1197519004952046</v>
      </c>
      <c r="DD91">
        <f>VLOOKUP($B91,'[1]Data_UN_PopulationTot.&amp;%'!$B$4:$CZ$603,94,FALSE)</f>
        <v>6.9400453800162314</v>
      </c>
      <c r="DE91">
        <f>VLOOKUP($B91,'[1]Data_UN_PopulationTot.&amp;%'!$B$4:$CZ$603,95,FALSE)</f>
        <v>6.201999039401116</v>
      </c>
      <c r="DF91">
        <f>VLOOKUP($B91,'[1]Data_UN_PopulationTot.&amp;%'!$B$4:$CZ$603,96,FALSE)</f>
        <v>5.7378061908941849</v>
      </c>
      <c r="DG91">
        <f>VLOOKUP($B91,'[1]Data_UN_PopulationTot.&amp;%'!$B$4:$CZ$603,97,FALSE)</f>
        <v>6.1192716010533461</v>
      </c>
      <c r="DH91">
        <f>VLOOKUP($B91,'[1]Data_UN_PopulationTot.&amp;%'!$B$4:$CZ$603,98,FALSE)</f>
        <v>6.0598800907600321</v>
      </c>
      <c r="DI91">
        <f>VLOOKUP($B91,'[1]Data_UN_PopulationTot.&amp;%'!$B$4:$CZ$603,99,FALSE)</f>
        <v>3.8602328624190529</v>
      </c>
      <c r="DJ91">
        <f>VLOOKUP($B91,'[1]Data_UN_PopulationTot.&amp;%'!$B$4:$DE$603,100,FALSE)</f>
        <v>2.0218370625548618</v>
      </c>
      <c r="DK91">
        <f>VLOOKUP($B91,'[1]Data_UN_PopulationTot.&amp;%'!$B$4:$DE$603,101,FALSE)</f>
        <v>0.73000877788635121</v>
      </c>
      <c r="DL91">
        <f>VLOOKUP($B91,'[1]Data_UN_PopulationTot.&amp;%'!$B$4:$DE$603,102,FALSE)</f>
        <v>0.13930588449626527</v>
      </c>
    </row>
    <row r="92" spans="1:116">
      <c r="A92" t="s">
        <v>212</v>
      </c>
      <c r="B92" t="s">
        <v>427</v>
      </c>
      <c r="C92" t="s">
        <v>485</v>
      </c>
      <c r="D92" t="s">
        <v>389</v>
      </c>
      <c r="E92" t="s">
        <v>301</v>
      </c>
      <c r="F92">
        <v>0</v>
      </c>
      <c r="G92">
        <v>0</v>
      </c>
      <c r="H92">
        <v>1</v>
      </c>
      <c r="I92">
        <v>0</v>
      </c>
      <c r="J92" s="18">
        <f t="shared" si="3"/>
        <v>12358.635377675999</v>
      </c>
      <c r="K92">
        <f>VLOOKUP($B92,'[1]Source GDP Current USD'!$B$1:$CZ$600,64,FALSE)</f>
        <v>171082379532.98801</v>
      </c>
      <c r="L92" s="45">
        <f>VLOOKUP($B92,'[1]Source GDP Current USD'!$B$1:$CZ$600,65,FALSE)</f>
        <v>171082379532.98801</v>
      </c>
      <c r="M92" s="17">
        <f>VLOOKUP($B92,'[1]Source GDP Current LCU'!$B$1:$CZ$600,64,FALSE)</f>
        <v>70649033200000</v>
      </c>
      <c r="N92" s="45">
        <v>71000000000000</v>
      </c>
      <c r="O92" s="45">
        <f>VLOOKUP($B92,'[1]Source GNI Current USD'!$B$1:$CZ$600,64,FALSE)</f>
        <v>156099005593.991</v>
      </c>
      <c r="P92" s="45">
        <f>VLOOKUP($B92,'[1]Source GNI Current LCU'!$B$1:$CZ$600,64,FALSE)</f>
        <v>64461599486756.898</v>
      </c>
      <c r="Q92">
        <f t="shared" si="2"/>
        <v>109.59863509827159</v>
      </c>
      <c r="R92">
        <v>8710</v>
      </c>
      <c r="S92">
        <v>8710</v>
      </c>
      <c r="T92">
        <v>0.34096199999999999</v>
      </c>
      <c r="U92" s="45">
        <v>19000000</v>
      </c>
      <c r="V92">
        <v>17.492999999999999</v>
      </c>
      <c r="W92">
        <f>VLOOKUP($B92,'[1]Source Gov. Revenue WEO'!$B$1:$CZ$600,5,FALSE)</f>
        <v>18.347999999999999</v>
      </c>
      <c r="X92">
        <f>VLOOKUP($B92,'[1]Source Gov. Revenue WEO'!$B$1:$CZ$600,6,FALSE)</f>
        <v>18.888000000000002</v>
      </c>
      <c r="Y92">
        <f>VLOOKUP($B92,'[1]Source Gov. Revenue WEO'!$B$1:$CZ$600,7,FALSE)</f>
        <v>19.111000000000001</v>
      </c>
      <c r="Z92">
        <f>VLOOKUP($B92,'[1]Source Gov. Revenue WEO'!$B$1:$CZ$600,8,FALSE)</f>
        <v>19.036999999999999</v>
      </c>
      <c r="AA92">
        <f>VLOOKUP($B92,'[1]Source Gov. Revenue WEO'!$B$1:$CZ$600,9,FALSE)</f>
        <v>18.899000000000001</v>
      </c>
      <c r="AB92">
        <f>VLOOKUP($B92,'[1]Source Gov. Revenue WEO'!$B$1:$CZ$600,10,FALSE)</f>
        <v>18.821000000000002</v>
      </c>
      <c r="AC92">
        <f>VLOOKUP($B92,[2]Summary!$B$1:$CZ$600,39,FALSE)</f>
        <v>1.94174E-4</v>
      </c>
      <c r="AD92">
        <f>VLOOKUP($B92,[2]Summary!$B$1:$CZ$600,40,FALSE)</f>
        <v>9.999999999999999E-14</v>
      </c>
      <c r="AE92">
        <f>VLOOKUP($B92,[2]Summary!$B$1:$CZ$600,47,FALSE)</f>
        <v>0.26137973950746324</v>
      </c>
      <c r="AF92">
        <f>VLOOKUP($B92,'[1]CALC GDP Growth rates WDI'!$B$1:$CZ$600,27,FALSE)</f>
        <v>40.440763396722922</v>
      </c>
      <c r="AG92">
        <f>VLOOKUP($B92,'[1]CALC GDP Growth rates WDI'!$B$1:$CZ$600,29,FALSE)</f>
        <v>48.011251251430153</v>
      </c>
      <c r="AH92">
        <v>11.61</v>
      </c>
      <c r="AI92">
        <f>VLOOKUP($B92,'[1]CALC GDP Growth rates WDI'!$B$1:$CZ$600,30,FALSE)</f>
        <v>10.957294799445805</v>
      </c>
      <c r="AJ92" s="45"/>
      <c r="AK92">
        <f>VLOOKUP($B92,[1]Data_Aspire!$B$1:$CZ$600,2,FALSE)</f>
        <v>2017</v>
      </c>
      <c r="AL92">
        <f>VLOOKUP($B92,[1]Data_Aspire!$B$1:$CZ$600,3,FALSE)</f>
        <v>1.71</v>
      </c>
      <c r="AM92">
        <f>VLOOKUP($B92,[1]Data_Aspire!$B$1:$CZ$600,4,FALSE)</f>
        <v>0.04</v>
      </c>
      <c r="AN92">
        <f>VLOOKUP($B92,[1]Data_Aspire!$B$1:$CZ$600,5,FALSE)</f>
        <v>0.44</v>
      </c>
      <c r="AO92">
        <f>VLOOKUP($B92,[1]Data_Aspire!$B$1:$CZ$600,6,FALSE)</f>
        <v>1.07</v>
      </c>
      <c r="AP92">
        <f>VLOOKUP($B92,[1]Data_Aspire!$B$1:$CZ$600,7,FALSE)</f>
        <v>0</v>
      </c>
      <c r="AQ92">
        <f>VLOOKUP($B92,[1]Data_Aspire!$B$1:$CZ$600,8,FALSE)</f>
        <v>0.03</v>
      </c>
      <c r="AT92">
        <f>VLOOKUP($B92,[1]Data_Aspire!$B$1:$CZ$600,11,FALSE)</f>
        <v>0.13</v>
      </c>
      <c r="AU92">
        <f>VLOOKUP($B92,[1]Data_Aspire!$B$1:$CZ$600,12,FALSE)</f>
        <v>1.71</v>
      </c>
      <c r="AV92">
        <f>VLOOKUP($B92,[1]Data_Aspire!$B$1:$CZ$600,13,FALSE)</f>
        <v>179603</v>
      </c>
      <c r="AW92">
        <f>VLOOKUP($B92,[1]Data_Aspire!$B$1:$CZ$600,14,FALSE)</f>
        <v>2017</v>
      </c>
      <c r="AX92">
        <f>VLOOKUP($B92,[1]Data_Aspire!$B$1:$CZ$600,15,FALSE)</f>
        <v>539600</v>
      </c>
      <c r="AY92">
        <f>VLOOKUP($B92,[1]Data_Aspire!$B$1:$CZ$600,16,FALSE)</f>
        <v>2017</v>
      </c>
      <c r="AZ92">
        <f>VLOOKUP($B92,[1]Data_Aspire!$B$1:$CZ$600,17,FALSE)</f>
        <v>2112751</v>
      </c>
      <c r="BA92">
        <f>VLOOKUP($B92,[1]Data_Aspire!$B$1:$CZ$600,18,FALSE)</f>
        <v>2017</v>
      </c>
      <c r="BF92">
        <f>VLOOKUP($B92,[1]Data_Aspire!$B$1:$CZ$600,23,FALSE)</f>
        <v>94500</v>
      </c>
      <c r="BG92">
        <f>VLOOKUP($B92,[1]Data_Aspire!$B$1:$CZ$600,24,FALSE)</f>
        <v>2014</v>
      </c>
      <c r="BJ92" s="7">
        <v>0</v>
      </c>
      <c r="BK92">
        <v>398</v>
      </c>
      <c r="BL92">
        <f>VLOOKUP($B92,'[1]Data_UN_PopulationTot.&amp;%'!$B$4:$CZ$603,8,FALSE)</f>
        <v>18776.7</v>
      </c>
      <c r="BM92">
        <f>VLOOKUP($B92,'[1]Data_UN_PopulationTot.&amp;%'!$B$4:$CZ$603,9,FALSE)</f>
        <v>18995</v>
      </c>
      <c r="BN92">
        <v>19205</v>
      </c>
      <c r="BO92">
        <f>VLOOKUP($B92,'[1]Data_UN_PopulationTot.&amp;%'!$B$4:$CZ$603,11,FALSE)</f>
        <v>19407</v>
      </c>
      <c r="BP92">
        <f>VLOOKUP($B92,'[1]Data_UN_PopulationTot.&amp;%'!$B$4:$CZ$603,12,FALSE)</f>
        <v>19601.099999999999</v>
      </c>
      <c r="BQ92">
        <f>VLOOKUP($B92,'[1]Data_UN_PopulationTot.&amp;%'!$B$4:$CZ$603,13,FALSE)</f>
        <v>19787.7</v>
      </c>
      <c r="BR92">
        <f>VLOOKUP($B92,'[1]Data_UN_PopulationTot.&amp;%'!$B$4:$CZ$603,14,FALSE)</f>
        <v>19967</v>
      </c>
      <c r="BS92">
        <f>VLOOKUP($B92,'[1]Data_UN_PopulationTot.&amp;%'!$B$4:$CZ$603,15,FALSE)</f>
        <v>20139.599999999999</v>
      </c>
      <c r="BT92">
        <f>VLOOKUP($B92,'[1]Data_UN_PopulationTot.&amp;%'!$B$4:$CZ$603,16,FALSE)</f>
        <v>20307.5</v>
      </c>
      <c r="BU92">
        <f>VLOOKUP($B92,'[1]Data_UN_PopulationTot.&amp;%'!$B$4:$CZ$603,17,FALSE)</f>
        <v>20473.3</v>
      </c>
      <c r="BV92">
        <f>VLOOKUP($B92,'[1]Data_UN_PopulationTot.&amp;%'!$B$4:$CZ$603,18,FALSE)</f>
        <v>20639</v>
      </c>
      <c r="BW92">
        <f>VLOOKUP($B92,'[1]Data_UN_PopulationTot.&amp;%'!$B$4:$CZ$603,61,FALSE)</f>
        <v>10.226397609803639</v>
      </c>
      <c r="BX92">
        <f>VLOOKUP($B92,'[1]Data_UN_PopulationTot.&amp;%'!$B$4:$CZ$603,62,FALSE)</f>
        <v>10.373654582541127</v>
      </c>
      <c r="BY92">
        <f>VLOOKUP($B92,'[1]Data_UN_PopulationTot.&amp;%'!$B$4:$CZ$603,63,FALSE)</f>
        <v>8.5441531259486485</v>
      </c>
      <c r="BZ92">
        <f>VLOOKUP($B92,'[1]Data_UN_PopulationTot.&amp;%'!$B$4:$CZ$603,64,FALSE)</f>
        <v>5.9468383688294528</v>
      </c>
      <c r="CA92">
        <f>VLOOKUP($B92,'[1]Data_UN_PopulationTot.&amp;%'!$B$4:$CZ$603,65,FALSE)</f>
        <v>5.8585907001762818</v>
      </c>
      <c r="CB92">
        <f>VLOOKUP($B92,'[1]Data_UN_PopulationTot.&amp;%'!$B$4:$CZ$603,66,FALSE)</f>
        <v>7.8456278259758108</v>
      </c>
      <c r="CC92">
        <f>VLOOKUP($B92,'[1]Data_UN_PopulationTot.&amp;%'!$B$4:$CZ$603,67,FALSE)</f>
        <v>8.8278025425127939</v>
      </c>
      <c r="CD92">
        <f>VLOOKUP($B92,'[1]Data_UN_PopulationTot.&amp;%'!$B$4:$CZ$603,68,FALSE)</f>
        <v>7.1148284842384442</v>
      </c>
      <c r="CE92">
        <f>VLOOKUP($B92,'[1]Data_UN_PopulationTot.&amp;%'!$B$4:$CZ$603,69,FALSE)</f>
        <v>6.304089643015014</v>
      </c>
      <c r="CF92">
        <f>VLOOKUP($B92,'[1]Data_UN_PopulationTot.&amp;%'!$B$4:$CZ$603,70,FALSE)</f>
        <v>5.8728104512507517</v>
      </c>
      <c r="CG92">
        <f>VLOOKUP($B92,'[1]Data_UN_PopulationTot.&amp;%'!$B$4:$CZ$603,71,FALSE)</f>
        <v>5.2068787380104053</v>
      </c>
      <c r="CH92">
        <f>VLOOKUP($B92,'[1]Data_UN_PopulationTot.&amp;%'!$B$4:$CZ$603,72,FALSE)</f>
        <v>5.6546677531195577</v>
      </c>
      <c r="CI92">
        <f>VLOOKUP($B92,'[1]Data_UN_PopulationTot.&amp;%'!$B$4:$CZ$603,73,FALSE)</f>
        <v>4.3209829203214616</v>
      </c>
      <c r="CJ92">
        <f>VLOOKUP($B92,'[1]Data_UN_PopulationTot.&amp;%'!$B$4:$CZ$603,74,FALSE)</f>
        <v>3.3422859181858366</v>
      </c>
      <c r="CK92">
        <f>VLOOKUP($B92,'[1]Data_UN_PopulationTot.&amp;%'!$B$4:$CZ$603,75,FALSE)</f>
        <v>1.7041439656595676</v>
      </c>
      <c r="CL92">
        <f>VLOOKUP($B92,'[1]Data_UN_PopulationTot.&amp;%'!$B$4:$CZ$603,76,FALSE)</f>
        <v>1.2383592431044859</v>
      </c>
      <c r="CM92">
        <f>VLOOKUP($B92,'[1]Data_UN_PopulationTot.&amp;%'!$B$4:$CZ$603,77,FALSE)</f>
        <v>1.1483540771275038</v>
      </c>
      <c r="CN92">
        <f>VLOOKUP($B92,'[1]Data_UN_PopulationTot.&amp;%'!$B$4:$CZ$603,78,FALSE)</f>
        <v>0.33078762508854059</v>
      </c>
      <c r="CO92">
        <f>VLOOKUP($B92,'[1]Data_UN_PopulationTot.&amp;%'!$B$4:$CZ$603,79,FALSE)</f>
        <v>0.12134187583547694</v>
      </c>
      <c r="CP92">
        <f>VLOOKUP($B92,'[1]Data_UN_PopulationTot.&amp;%'!$B$4:$CZ$603,80,FALSE)</f>
        <v>1.6344725111441305E-2</v>
      </c>
      <c r="CQ92">
        <f>VLOOKUP($B92,'[1]Data_UN_PopulationTot.&amp;%'!$B$4:$CZ$603,81,FALSE)</f>
        <v>1.1929678804049699E-3</v>
      </c>
      <c r="CR92">
        <f>VLOOKUP($B92,'[1]Data_UN_PopulationTot.&amp;%'!$B$4:$CZ$603,82,FALSE)</f>
        <v>7.8122971074179954</v>
      </c>
      <c r="CS92">
        <f>VLOOKUP($B92,'[1]Data_UN_PopulationTot.&amp;%'!$B$4:$CZ$603,83,FALSE)</f>
        <v>8.2562139638548366</v>
      </c>
      <c r="CT92">
        <f>VLOOKUP($B92,'[1]Data_UN_PopulationTot.&amp;%'!$B$4:$CZ$603,84,FALSE)</f>
        <v>9.2772905664034102</v>
      </c>
      <c r="CU92">
        <f>VLOOKUP($B92,'[1]Data_UN_PopulationTot.&amp;%'!$B$4:$CZ$603,85,FALSE)</f>
        <v>9.4092737051213717</v>
      </c>
      <c r="CV92">
        <f>VLOOKUP($B92,'[1]Data_UN_PopulationTot.&amp;%'!$B$4:$CZ$603,86,FALSE)</f>
        <v>7.7339987402490431</v>
      </c>
      <c r="CW92">
        <f>VLOOKUP($B92,'[1]Data_UN_PopulationTot.&amp;%'!$B$4:$CZ$603,87,FALSE)</f>
        <v>5.3683317990212709</v>
      </c>
      <c r="CX92">
        <f>VLOOKUP($B92,'[1]Data_UN_PopulationTot.&amp;%'!$B$4:$CZ$603,88,FALSE)</f>
        <v>5.2718154949367699</v>
      </c>
      <c r="CY92">
        <f>VLOOKUP($B92,'[1]Data_UN_PopulationTot.&amp;%'!$B$4:$CZ$603,89,FALSE)</f>
        <v>7.0203498231503474</v>
      </c>
      <c r="CZ92">
        <f>VLOOKUP($B92,'[1]Data_UN_PopulationTot.&amp;%'!$B$4:$CZ$603,90,FALSE)</f>
        <v>7.8321139590096411</v>
      </c>
      <c r="DA92">
        <f>VLOOKUP($B92,'[1]Data_UN_PopulationTot.&amp;%'!$B$4:$CZ$603,91,FALSE)</f>
        <v>6.2454091768012017</v>
      </c>
      <c r="DB92">
        <f>VLOOKUP($B92,'[1]Data_UN_PopulationTot.&amp;%'!$B$4:$CZ$603,92,FALSE)</f>
        <v>5.4615049178739277</v>
      </c>
      <c r="DC92">
        <f>VLOOKUP($B92,'[1]Data_UN_PopulationTot.&amp;%'!$B$4:$CZ$603,93,FALSE)</f>
        <v>4.9822181307233881</v>
      </c>
      <c r="DD92">
        <f>VLOOKUP($B92,'[1]Data_UN_PopulationTot.&amp;%'!$B$4:$CZ$603,94,FALSE)</f>
        <v>4.2620621154125686</v>
      </c>
      <c r="DE92">
        <f>VLOOKUP($B92,'[1]Data_UN_PopulationTot.&amp;%'!$B$4:$CZ$603,95,FALSE)</f>
        <v>4.3626726101070785</v>
      </c>
      <c r="DF92">
        <f>VLOOKUP($B92,'[1]Data_UN_PopulationTot.&amp;%'!$B$4:$CZ$603,96,FALSE)</f>
        <v>3.0679538737341927</v>
      </c>
      <c r="DG92">
        <f>VLOOKUP($B92,'[1]Data_UN_PopulationTot.&amp;%'!$B$4:$CZ$603,97,FALSE)</f>
        <v>2.095305005087456</v>
      </c>
      <c r="DH92">
        <f>VLOOKUP($B92,'[1]Data_UN_PopulationTot.&amp;%'!$B$4:$CZ$603,98,FALSE)</f>
        <v>0.85184359707350166</v>
      </c>
      <c r="DI92">
        <f>VLOOKUP($B92,'[1]Data_UN_PopulationTot.&amp;%'!$B$4:$CZ$603,99,FALSE)</f>
        <v>0.43287949997577407</v>
      </c>
      <c r="DJ92">
        <f>VLOOKUP($B92,'[1]Data_UN_PopulationTot.&amp;%'!$B$4:$DE$603,100,FALSE)</f>
        <v>0.22556325403362568</v>
      </c>
      <c r="DK92">
        <f>VLOOKUP($B92,'[1]Data_UN_PopulationTot.&amp;%'!$B$4:$DE$603,101,FALSE)</f>
        <v>2.7646688308542083E-2</v>
      </c>
      <c r="DL92">
        <f>VLOOKUP($B92,'[1]Data_UN_PopulationTot.&amp;%'!$B$4:$DE$603,102,FALSE)</f>
        <v>3.3528756238189834E-3</v>
      </c>
    </row>
    <row r="93" spans="1:116">
      <c r="A93" t="s">
        <v>139</v>
      </c>
      <c r="B93" t="s">
        <v>353</v>
      </c>
      <c r="C93" t="s">
        <v>496</v>
      </c>
      <c r="D93" t="s">
        <v>334</v>
      </c>
      <c r="E93" t="s">
        <v>300</v>
      </c>
      <c r="F93">
        <v>0</v>
      </c>
      <c r="G93">
        <v>1</v>
      </c>
      <c r="H93">
        <v>0</v>
      </c>
      <c r="I93">
        <v>0</v>
      </c>
      <c r="J93" s="18">
        <f t="shared" si="3"/>
        <v>1784.24396256</v>
      </c>
      <c r="K93">
        <f>VLOOKUP($B93,'[1]Source GDP Current USD'!$B$1:$CZ$600,64,FALSE)</f>
        <v>101013726529.063</v>
      </c>
      <c r="L93" s="45">
        <f>VLOOKUP($B93,'[1]Source GDP Current USD'!$B$1:$CZ$600,65,FALSE)</f>
        <v>101013726529.063</v>
      </c>
      <c r="M93" s="17">
        <f>VLOOKUP($B93,'[1]Source GDP Current LCU'!$B$1:$CZ$600,64,FALSE)</f>
        <v>10752992000000</v>
      </c>
      <c r="N93" s="45">
        <v>11000000000000</v>
      </c>
      <c r="O93" s="45">
        <f>VLOOKUP($B93,'[1]Source GNI Current USD'!$B$1:$CZ$600,64,FALSE)</f>
        <v>99325669699.053497</v>
      </c>
      <c r="P93" s="45">
        <f>VLOOKUP($B93,'[1]Source GNI Current LCU'!$B$1:$CZ$600,64,FALSE)</f>
        <v>10573297000000</v>
      </c>
      <c r="Q93">
        <f t="shared" si="2"/>
        <v>101.69951718938756</v>
      </c>
      <c r="R93">
        <v>1840</v>
      </c>
      <c r="S93">
        <v>1840</v>
      </c>
      <c r="T93">
        <v>0.410358</v>
      </c>
      <c r="U93" s="45">
        <v>54000000</v>
      </c>
      <c r="V93">
        <v>16.593</v>
      </c>
      <c r="W93">
        <f>VLOOKUP($B93,'[1]Source Gov. Revenue WEO'!$B$1:$CZ$600,5,FALSE)</f>
        <v>16.335999999999999</v>
      </c>
      <c r="X93">
        <f>VLOOKUP($B93,'[1]Source Gov. Revenue WEO'!$B$1:$CZ$600,6,FALSE)</f>
        <v>16.972000000000001</v>
      </c>
      <c r="Y93">
        <f>VLOOKUP($B93,'[1]Source Gov. Revenue WEO'!$B$1:$CZ$600,7,FALSE)</f>
        <v>17.818999999999999</v>
      </c>
      <c r="Z93">
        <f>VLOOKUP($B93,'[1]Source Gov. Revenue WEO'!$B$1:$CZ$600,8,FALSE)</f>
        <v>18.286000000000001</v>
      </c>
      <c r="AA93">
        <f>VLOOKUP($B93,'[1]Source Gov. Revenue WEO'!$B$1:$CZ$600,9,FALSE)</f>
        <v>18.681000000000001</v>
      </c>
      <c r="AB93">
        <f>VLOOKUP($B93,'[1]Source Gov. Revenue WEO'!$B$1:$CZ$600,10,FALSE)</f>
        <v>19.053999999999998</v>
      </c>
      <c r="AC93">
        <f>VLOOKUP($B93,[2]Summary!$B$1:$CZ$600,39,FALSE)</f>
        <v>0.32642400000000005</v>
      </c>
      <c r="AD93">
        <f>VLOOKUP($B93,[2]Summary!$B$1:$CZ$600,40,FALSE)</f>
        <v>0.2175</v>
      </c>
      <c r="AE93">
        <f>VLOOKUP($B93,[2]Summary!$B$1:$CZ$600,47,FALSE)</f>
        <v>0.18967063865395406</v>
      </c>
      <c r="AF93">
        <f>VLOOKUP($B93,'[1]CALC GDP Growth rates WDI'!$B$1:$CZ$600,27,FALSE)</f>
        <v>50.422886697089019</v>
      </c>
      <c r="AG93">
        <f>VLOOKUP($B93,'[1]CALC GDP Growth rates WDI'!$B$1:$CZ$600,29,FALSE)</f>
        <v>55.708211557822132</v>
      </c>
      <c r="AH93">
        <v>19.59</v>
      </c>
      <c r="AI93">
        <f>VLOOKUP($B93,'[1]CALC GDP Growth rates WDI'!$B$1:$CZ$600,30,FALSE)</f>
        <v>20.25421772443692</v>
      </c>
      <c r="AJ93" t="s">
        <v>2464</v>
      </c>
      <c r="AK93">
        <f>VLOOKUP($B93,[1]Data_Aspire!$B$1:$CZ$600,2,FALSE)</f>
        <v>2017</v>
      </c>
      <c r="AL93">
        <f>VLOOKUP($B93,[1]Data_Aspire!$B$1:$CZ$600,3,FALSE)</f>
        <v>0.39</v>
      </c>
      <c r="AM93">
        <f>VLOOKUP($B93,[1]Data_Aspire!$B$1:$CZ$600,4,FALSE)</f>
        <v>0.1</v>
      </c>
      <c r="AN93">
        <f>VLOOKUP($B93,[1]Data_Aspire!$B$1:$CZ$600,5,FALSE)</f>
        <v>7.0000000000000007E-2</v>
      </c>
      <c r="AO93">
        <f>VLOOKUP($B93,[1]Data_Aspire!$B$1:$CZ$600,6,FALSE)</f>
        <v>0.1</v>
      </c>
      <c r="AP93">
        <f>VLOOKUP($B93,[1]Data_Aspire!$B$1:$CZ$600,7,FALSE)</f>
        <v>0.02</v>
      </c>
      <c r="AQ93">
        <f>VLOOKUP($B93,[1]Data_Aspire!$B$1:$CZ$600,8,FALSE)</f>
        <v>0.03</v>
      </c>
      <c r="AR93">
        <f>VLOOKUP($B93,[1]Data_Aspire!$B$1:$CZ$600,9,FALSE)</f>
        <v>0.06</v>
      </c>
      <c r="AS93">
        <f>VLOOKUP($B93,[1]Data_Aspire!$B$1:$CZ$600,10,FALSE)</f>
        <v>0.02</v>
      </c>
      <c r="AU93">
        <f>VLOOKUP($B93,[1]Data_Aspire!$B$1:$CZ$600,12,FALSE)</f>
        <v>0.38</v>
      </c>
      <c r="AV93">
        <f>VLOOKUP($B93,[1]Data_Aspire!$B$1:$CZ$600,13,FALSE)</f>
        <v>2018</v>
      </c>
      <c r="AW93">
        <f>VLOOKUP($B93,[1]Data_Aspire!$B$1:$CZ$600,14,FALSE)</f>
        <v>2016</v>
      </c>
      <c r="AX93">
        <f>VLOOKUP($B93,[1]Data_Aspire!$B$1:$CZ$600,15,FALSE)</f>
        <v>507190</v>
      </c>
      <c r="AY93">
        <f>VLOOKUP($B93,[1]Data_Aspire!$B$1:$CZ$600,16,FALSE)</f>
        <v>2016</v>
      </c>
      <c r="AZ93">
        <f>VLOOKUP($B93,[1]Data_Aspire!$B$1:$CZ$600,17,FALSE)</f>
        <v>310000</v>
      </c>
      <c r="BA93">
        <f>VLOOKUP($B93,[1]Data_Aspire!$B$1:$CZ$600,18,FALSE)</f>
        <v>2017</v>
      </c>
      <c r="BB93">
        <f>VLOOKUP($B93,[1]Data_Aspire!$B$1:$CZ$600,19,FALSE)</f>
        <v>333000</v>
      </c>
      <c r="BC93">
        <f>VLOOKUP($B93,[1]Data_Aspire!$B$1:$CZ$600,20,FALSE)</f>
        <v>2016</v>
      </c>
      <c r="BD93">
        <f>VLOOKUP($B93,[1]Data_Aspire!$B$1:$CZ$600,21,FALSE)</f>
        <v>907659</v>
      </c>
      <c r="BE93">
        <f>VLOOKUP($B93,[1]Data_Aspire!$B$1:$CZ$600,22,FALSE)</f>
        <v>2016</v>
      </c>
      <c r="BF93">
        <f>VLOOKUP($B93,[1]Data_Aspire!$B$1:$CZ$600,23,FALSE)</f>
        <v>300000</v>
      </c>
      <c r="BG93">
        <f>VLOOKUP($B93,[1]Data_Aspire!$B$1:$CZ$600,24,FALSE)</f>
        <v>2016</v>
      </c>
      <c r="BH93">
        <f>VLOOKUP($B93,[1]Data_Aspire!$B$1:$CZ$600,25,FALSE)</f>
        <v>932310</v>
      </c>
      <c r="BI93">
        <f>VLOOKUP($B93,[1]Data_Aspire!$B$1:$CZ$600,26,FALSE)</f>
        <v>2016</v>
      </c>
      <c r="BJ93" s="7">
        <v>1</v>
      </c>
      <c r="BK93">
        <v>404</v>
      </c>
      <c r="BL93">
        <f>VLOOKUP($B93,'[1]Data_UN_PopulationTot.&amp;%'!$B$4:$CZ$603,8,FALSE)</f>
        <v>53771.3</v>
      </c>
      <c r="BM93">
        <f>VLOOKUP($B93,'[1]Data_UN_PopulationTot.&amp;%'!$B$4:$CZ$603,9,FALSE)</f>
        <v>54985.7</v>
      </c>
      <c r="BN93">
        <v>56215.199999999997</v>
      </c>
      <c r="BO93">
        <f>VLOOKUP($B93,'[1]Data_UN_PopulationTot.&amp;%'!$B$4:$CZ$603,11,FALSE)</f>
        <v>57458.9</v>
      </c>
      <c r="BP93">
        <f>VLOOKUP($B93,'[1]Data_UN_PopulationTot.&amp;%'!$B$4:$CZ$603,12,FALSE)</f>
        <v>58714.8</v>
      </c>
      <c r="BQ93">
        <f>VLOOKUP($B93,'[1]Data_UN_PopulationTot.&amp;%'!$B$4:$CZ$603,13,FALSE)</f>
        <v>59981.3</v>
      </c>
      <c r="BR93">
        <f>VLOOKUP($B93,'[1]Data_UN_PopulationTot.&amp;%'!$B$4:$CZ$603,14,FALSE)</f>
        <v>61257.8</v>
      </c>
      <c r="BS93">
        <f>VLOOKUP($B93,'[1]Data_UN_PopulationTot.&amp;%'!$B$4:$CZ$603,15,FALSE)</f>
        <v>62544</v>
      </c>
      <c r="BT93">
        <f>VLOOKUP($B93,'[1]Data_UN_PopulationTot.&amp;%'!$B$4:$CZ$603,16,FALSE)</f>
        <v>63838.9</v>
      </c>
      <c r="BU93">
        <f>VLOOKUP($B93,'[1]Data_UN_PopulationTot.&amp;%'!$B$4:$CZ$603,17,FALSE)</f>
        <v>65141.2</v>
      </c>
      <c r="BV93">
        <f>VLOOKUP($B93,'[1]Data_UN_PopulationTot.&amp;%'!$B$4:$CZ$603,18,FALSE)</f>
        <v>66449.7</v>
      </c>
      <c r="BW93">
        <f>VLOOKUP($B93,'[1]Data_UN_PopulationTot.&amp;%'!$B$4:$CZ$603,61,FALSE)</f>
        <v>13.100594555087936</v>
      </c>
      <c r="BX93">
        <f>VLOOKUP($B93,'[1]Data_UN_PopulationTot.&amp;%'!$B$4:$CZ$603,62,FALSE)</f>
        <v>12.961468292564993</v>
      </c>
      <c r="BY93">
        <f>VLOOKUP($B93,'[1]Data_UN_PopulationTot.&amp;%'!$B$4:$CZ$603,63,FALSE)</f>
        <v>12.527537924506197</v>
      </c>
      <c r="BZ93">
        <f>VLOOKUP($B93,'[1]Data_UN_PopulationTot.&amp;%'!$B$4:$CZ$603,64,FALSE)</f>
        <v>11.178193571663693</v>
      </c>
      <c r="CA93">
        <f>VLOOKUP($B93,'[1]Data_UN_PopulationTot.&amp;%'!$B$4:$CZ$603,65,FALSE)</f>
        <v>9.7386338065101636</v>
      </c>
      <c r="CB93">
        <f>VLOOKUP($B93,'[1]Data_UN_PopulationTot.&amp;%'!$B$4:$CZ$603,66,FALSE)</f>
        <v>8.1041001426411494</v>
      </c>
      <c r="CC93">
        <f>VLOOKUP($B93,'[1]Data_UN_PopulationTot.&amp;%'!$B$4:$CZ$603,67,FALSE)</f>
        <v>7.4811098113677739</v>
      </c>
      <c r="CD93">
        <f>VLOOKUP($B93,'[1]Data_UN_PopulationTot.&amp;%'!$B$4:$CZ$603,68,FALSE)</f>
        <v>6.411319793272618</v>
      </c>
      <c r="CE93">
        <f>VLOOKUP($B93,'[1]Data_UN_PopulationTot.&amp;%'!$B$4:$CZ$603,69,FALSE)</f>
        <v>5.131826829554055</v>
      </c>
      <c r="CF93">
        <f>VLOOKUP($B93,'[1]Data_UN_PopulationTot.&amp;%'!$B$4:$CZ$603,70,FALSE)</f>
        <v>3.9864946542114477</v>
      </c>
      <c r="CG93">
        <f>VLOOKUP($B93,'[1]Data_UN_PopulationTot.&amp;%'!$B$4:$CZ$603,71,FALSE)</f>
        <v>2.9831341254535411</v>
      </c>
      <c r="CH93">
        <f>VLOOKUP($B93,'[1]Data_UN_PopulationTot.&amp;%'!$B$4:$CZ$603,72,FALSE)</f>
        <v>2.2345191579894848</v>
      </c>
      <c r="CI93">
        <f>VLOOKUP($B93,'[1]Data_UN_PopulationTot.&amp;%'!$B$4:$CZ$603,73,FALSE)</f>
        <v>1.6518384342576802</v>
      </c>
      <c r="CJ93">
        <f>VLOOKUP($B93,'[1]Data_UN_PopulationTot.&amp;%'!$B$4:$CZ$603,74,FALSE)</f>
        <v>1.172765025208615</v>
      </c>
      <c r="CK93">
        <f>VLOOKUP($B93,'[1]Data_UN_PopulationTot.&amp;%'!$B$4:$CZ$603,75,FALSE)</f>
        <v>0.70868102500776431</v>
      </c>
      <c r="CL93">
        <f>VLOOKUP($B93,'[1]Data_UN_PopulationTot.&amp;%'!$B$4:$CZ$603,76,FALSE)</f>
        <v>0.35943337802879971</v>
      </c>
      <c r="CM93">
        <f>VLOOKUP($B93,'[1]Data_UN_PopulationTot.&amp;%'!$B$4:$CZ$603,77,FALSE)</f>
        <v>0.18917898581585343</v>
      </c>
      <c r="CN93">
        <f>VLOOKUP($B93,'[1]Data_UN_PopulationTot.&amp;%'!$B$4:$CZ$603,78,FALSE)</f>
        <v>6.7682946106938077E-2</v>
      </c>
      <c r="CO93">
        <f>VLOOKUP($B93,'[1]Data_UN_PopulationTot.&amp;%'!$B$4:$CZ$603,79,FALSE)</f>
        <v>1.0801301065810199E-2</v>
      </c>
      <c r="CP93">
        <f>VLOOKUP($B93,'[1]Data_UN_PopulationTot.&amp;%'!$B$4:$CZ$603,80,FALSE)</f>
        <v>6.3788675371434208E-4</v>
      </c>
      <c r="CQ93">
        <f>VLOOKUP($B93,'[1]Data_UN_PopulationTot.&amp;%'!$B$4:$CZ$603,81,FALSE)</f>
        <v>1.6737553304457955E-5</v>
      </c>
      <c r="CR93">
        <f>VLOOKUP($B93,'[1]Data_UN_PopulationTot.&amp;%'!$B$4:$CZ$603,82,FALSE)</f>
        <v>11.967879463714659</v>
      </c>
      <c r="CS93">
        <f>VLOOKUP($B93,'[1]Data_UN_PopulationTot.&amp;%'!$B$4:$CZ$603,83,FALSE)</f>
        <v>11.22524255188511</v>
      </c>
      <c r="CT93">
        <f>VLOOKUP($B93,'[1]Data_UN_PopulationTot.&amp;%'!$B$4:$CZ$603,84,FALSE)</f>
        <v>10.48379450923029</v>
      </c>
      <c r="CU93">
        <f>VLOOKUP($B93,'[1]Data_UN_PopulationTot.&amp;%'!$B$4:$CZ$603,85,FALSE)</f>
        <v>10.408730212476506</v>
      </c>
      <c r="CV93">
        <f>VLOOKUP($B93,'[1]Data_UN_PopulationTot.&amp;%'!$B$4:$CZ$603,86,FALSE)</f>
        <v>10.016824756168951</v>
      </c>
      <c r="CW93">
        <f>VLOOKUP($B93,'[1]Data_UN_PopulationTot.&amp;%'!$B$4:$CZ$603,87,FALSE)</f>
        <v>8.8724102591885288</v>
      </c>
      <c r="CX93">
        <f>VLOOKUP($B93,'[1]Data_UN_PopulationTot.&amp;%'!$B$4:$CZ$603,88,FALSE)</f>
        <v>7.6742859636687601</v>
      </c>
      <c r="CY93">
        <f>VLOOKUP($B93,'[1]Data_UN_PopulationTot.&amp;%'!$B$4:$CZ$603,89,FALSE)</f>
        <v>6.3360857912074851</v>
      </c>
      <c r="CZ93">
        <f>VLOOKUP($B93,'[1]Data_UN_PopulationTot.&amp;%'!$B$4:$CZ$603,90,FALSE)</f>
        <v>5.7921254723497624</v>
      </c>
      <c r="DA93">
        <f>VLOOKUP($B93,'[1]Data_UN_PopulationTot.&amp;%'!$B$4:$CZ$603,91,FALSE)</f>
        <v>4.9037542682660726</v>
      </c>
      <c r="DB93">
        <f>VLOOKUP($B93,'[1]Data_UN_PopulationTot.&amp;%'!$B$4:$CZ$603,92,FALSE)</f>
        <v>3.8590843901477356</v>
      </c>
      <c r="DC93">
        <f>VLOOKUP($B93,'[1]Data_UN_PopulationTot.&amp;%'!$B$4:$CZ$603,93,FALSE)</f>
        <v>2.9243322392727129</v>
      </c>
      <c r="DD93">
        <f>VLOOKUP($B93,'[1]Data_UN_PopulationTot.&amp;%'!$B$4:$CZ$603,94,FALSE)</f>
        <v>2.1099719035601363</v>
      </c>
      <c r="DE93">
        <f>VLOOKUP($B93,'[1]Data_UN_PopulationTot.&amp;%'!$B$4:$CZ$603,95,FALSE)</f>
        <v>1.4862851149064631</v>
      </c>
      <c r="DF93">
        <f>VLOOKUP($B93,'[1]Data_UN_PopulationTot.&amp;%'!$B$4:$CZ$603,96,FALSE)</f>
        <v>0.98905337420635464</v>
      </c>
      <c r="DG93">
        <f>VLOOKUP($B93,'[1]Data_UN_PopulationTot.&amp;%'!$B$4:$CZ$603,97,FALSE)</f>
        <v>0.58941876336537258</v>
      </c>
      <c r="DH93">
        <f>VLOOKUP($B93,'[1]Data_UN_PopulationTot.&amp;%'!$B$4:$CZ$603,98,FALSE)</f>
        <v>0.26348802176684016</v>
      </c>
      <c r="DI93">
        <f>VLOOKUP($B93,'[1]Data_UN_PopulationTot.&amp;%'!$B$4:$CZ$603,99,FALSE)</f>
        <v>7.8823531182232578E-2</v>
      </c>
      <c r="DJ93">
        <f>VLOOKUP($B93,'[1]Data_UN_PopulationTot.&amp;%'!$B$4:$DE$603,100,FALSE)</f>
        <v>1.6773589647507817E-2</v>
      </c>
      <c r="DK93">
        <f>VLOOKUP($B93,'[1]Data_UN_PopulationTot.&amp;%'!$B$4:$DE$603,101,FALSE)</f>
        <v>1.5184417687363523E-3</v>
      </c>
      <c r="DL93">
        <f>VLOOKUP($B93,'[1]Data_UN_PopulationTot.&amp;%'!$B$4:$DE$603,102,FALSE)</f>
        <v>5.2671419133570215E-5</v>
      </c>
    </row>
    <row r="94" spans="1:116">
      <c r="A94" t="s">
        <v>123</v>
      </c>
      <c r="B94" t="s">
        <v>337</v>
      </c>
      <c r="C94" t="s">
        <v>485</v>
      </c>
      <c r="D94" t="s">
        <v>334</v>
      </c>
      <c r="E94" t="s">
        <v>300</v>
      </c>
      <c r="F94">
        <v>0</v>
      </c>
      <c r="G94">
        <v>1</v>
      </c>
      <c r="H94">
        <v>0</v>
      </c>
      <c r="I94">
        <v>0</v>
      </c>
      <c r="J94" s="18">
        <f t="shared" si="3"/>
        <v>185.58253012</v>
      </c>
      <c r="K94">
        <f>VLOOKUP($B94,'[1]Source GDP Current USD'!$B$1:$CZ$600,64,FALSE)</f>
        <v>7735976272.7598305</v>
      </c>
      <c r="L94" s="45">
        <f>VLOOKUP($B94,'[1]Source GDP Current USD'!$B$1:$CZ$600,65,FALSE)</f>
        <v>7735976272.7598305</v>
      </c>
      <c r="M94" s="17">
        <f>VLOOKUP($B94,'[1]Source GDP Current LCU'!$B$1:$CZ$600,64,FALSE)</f>
        <v>598344500000</v>
      </c>
      <c r="N94" s="45">
        <v>600000000000</v>
      </c>
      <c r="O94" s="45">
        <f>VLOOKUP($B94,'[1]Source GNI Current USD'!$B$1:$CZ$600,64,FALSE)</f>
        <v>7406338578.6152296</v>
      </c>
      <c r="P94" s="45">
        <f>VLOOKUP($B94,'[1]Source GNI Current LCU'!$B$1:$CZ$600,64,FALSE)</f>
        <v>572848441800</v>
      </c>
      <c r="Q94">
        <f t="shared" si="2"/>
        <v>104.4507510782235</v>
      </c>
      <c r="R94">
        <v>1160</v>
      </c>
      <c r="S94">
        <v>1160</v>
      </c>
      <c r="T94">
        <v>0.23638999999999999</v>
      </c>
      <c r="U94" s="45">
        <v>6600000</v>
      </c>
      <c r="V94">
        <v>31.015999999999998</v>
      </c>
      <c r="W94">
        <f>VLOOKUP($B94,'[1]Source Gov. Revenue WEO'!$B$1:$CZ$600,5,FALSE)</f>
        <v>31.306000000000001</v>
      </c>
      <c r="X94">
        <f>VLOOKUP($B94,'[1]Source Gov. Revenue WEO'!$B$1:$CZ$600,6,FALSE)</f>
        <v>30.709</v>
      </c>
      <c r="Y94">
        <f>VLOOKUP($B94,'[1]Source Gov. Revenue WEO'!$B$1:$CZ$600,7,FALSE)</f>
        <v>30.556999999999999</v>
      </c>
      <c r="Z94">
        <f>VLOOKUP($B94,'[1]Source Gov. Revenue WEO'!$B$1:$CZ$600,8,FALSE)</f>
        <v>30.545999999999999</v>
      </c>
      <c r="AA94">
        <f>VLOOKUP($B94,'[1]Source Gov. Revenue WEO'!$B$1:$CZ$600,9,FALSE)</f>
        <v>30.692</v>
      </c>
      <c r="AB94">
        <f>VLOOKUP($B94,'[1]Source Gov. Revenue WEO'!$B$1:$CZ$600,10,FALSE)</f>
        <v>30.574000000000002</v>
      </c>
      <c r="AC94">
        <f>VLOOKUP($B94,[2]Summary!$B$1:$CZ$600,39,FALSE)</f>
        <v>8.613964E-3</v>
      </c>
      <c r="AD94">
        <f>VLOOKUP($B94,[2]Summary!$B$1:$CZ$600,40,FALSE)</f>
        <v>4.2500000000000003E-3</v>
      </c>
      <c r="AE94">
        <f>VLOOKUP($B94,[2]Summary!$B$1:$CZ$600,47,FALSE)</f>
        <v>0.33732718154023245</v>
      </c>
      <c r="AF94">
        <f>VLOOKUP($B94,'[1]CALC GDP Growth rates WDI'!$B$1:$CZ$600,27,FALSE)</f>
        <v>37.515906026837683</v>
      </c>
      <c r="AG94">
        <f>VLOOKUP($B94,'[1]CALC GDP Growth rates WDI'!$B$1:$CZ$600,29,FALSE)</f>
        <v>42.956428588366656</v>
      </c>
      <c r="AH94">
        <v>8.39</v>
      </c>
      <c r="AI94">
        <f>VLOOKUP($B94,'[1]CALC GDP Growth rates WDI'!$B$1:$CZ$600,30,FALSE)</f>
        <v>17.59450014715993</v>
      </c>
      <c r="AJ94" t="s">
        <v>2465</v>
      </c>
      <c r="AK94">
        <f>VLOOKUP($B94,[1]Data_Aspire!$B$1:$CZ$600,2,FALSE)</f>
        <v>2018</v>
      </c>
      <c r="AL94">
        <f>VLOOKUP($B94,[1]Data_Aspire!$B$1:$CZ$600,3,FALSE)</f>
        <v>2.6</v>
      </c>
      <c r="AM94">
        <f>VLOOKUP($B94,[1]Data_Aspire!$B$1:$CZ$600,4,FALSE)</f>
        <v>0</v>
      </c>
      <c r="AN94">
        <f>VLOOKUP($B94,[1]Data_Aspire!$B$1:$CZ$600,5,FALSE)</f>
        <v>1.2</v>
      </c>
      <c r="AO94">
        <f>VLOOKUP($B94,[1]Data_Aspire!$B$1:$CZ$600,6,FALSE)</f>
        <v>1.2</v>
      </c>
      <c r="AP94">
        <f>VLOOKUP($B94,[1]Data_Aspire!$B$1:$CZ$600,7,FALSE)</f>
        <v>0.08</v>
      </c>
      <c r="AQ94">
        <f>VLOOKUP($B94,[1]Data_Aspire!$B$1:$CZ$600,8,FALSE)</f>
        <v>0.01</v>
      </c>
      <c r="AR94">
        <f>VLOOKUP($B94,[1]Data_Aspire!$B$1:$CZ$600,9,FALSE)</f>
        <v>0.02</v>
      </c>
      <c r="AT94">
        <f>VLOOKUP($B94,[1]Data_Aspire!$B$1:$CZ$600,11,FALSE)</f>
        <v>0.09</v>
      </c>
      <c r="AU94">
        <f>VLOOKUP($B94,[1]Data_Aspire!$B$1:$CZ$600,12,FALSE)</f>
        <v>2.6</v>
      </c>
      <c r="AX94">
        <f>VLOOKUP($B94,[1]Data_Aspire!$B$1:$CZ$600,15,FALSE)</f>
        <v>291846</v>
      </c>
      <c r="AY94">
        <f>VLOOKUP($B94,[1]Data_Aspire!$B$1:$CZ$600,16,FALSE)</f>
        <v>2017</v>
      </c>
      <c r="BB94">
        <f>VLOOKUP($B94,[1]Data_Aspire!$B$1:$CZ$600,19,FALSE)</f>
        <v>800</v>
      </c>
      <c r="BC94">
        <f>VLOOKUP($B94,[1]Data_Aspire!$B$1:$CZ$600,20,FALSE)</f>
        <v>2012</v>
      </c>
      <c r="BD94">
        <f>VLOOKUP($B94,[1]Data_Aspire!$B$1:$CZ$600,21,FALSE)</f>
        <v>400000</v>
      </c>
      <c r="BE94">
        <f>VLOOKUP($B94,[1]Data_Aspire!$B$1:$CZ$600,22,FALSE)</f>
        <v>2012</v>
      </c>
      <c r="BJ94" s="7">
        <v>0</v>
      </c>
      <c r="BK94">
        <v>417</v>
      </c>
      <c r="BL94">
        <f>VLOOKUP($B94,'[1]Data_UN_PopulationTot.&amp;%'!$B$4:$CZ$603,8,FALSE)</f>
        <v>6524.19</v>
      </c>
      <c r="BM94">
        <f>VLOOKUP($B94,'[1]Data_UN_PopulationTot.&amp;%'!$B$4:$CZ$603,9,FALSE)</f>
        <v>6628.35</v>
      </c>
      <c r="BN94">
        <v>6728.27</v>
      </c>
      <c r="BO94">
        <f>VLOOKUP($B94,'[1]Data_UN_PopulationTot.&amp;%'!$B$4:$CZ$603,11,FALSE)</f>
        <v>6824.52</v>
      </c>
      <c r="BP94">
        <f>VLOOKUP($B94,'[1]Data_UN_PopulationTot.&amp;%'!$B$4:$CZ$603,12,FALSE)</f>
        <v>6918.1</v>
      </c>
      <c r="BQ94">
        <f>VLOOKUP($B94,'[1]Data_UN_PopulationTot.&amp;%'!$B$4:$CZ$603,13,FALSE)</f>
        <v>7009.83</v>
      </c>
      <c r="BR94">
        <f>VLOOKUP($B94,'[1]Data_UN_PopulationTot.&amp;%'!$B$4:$CZ$603,14,FALSE)</f>
        <v>7099.81</v>
      </c>
      <c r="BS94">
        <f>VLOOKUP($B94,'[1]Data_UN_PopulationTot.&amp;%'!$B$4:$CZ$603,15,FALSE)</f>
        <v>7187.97</v>
      </c>
      <c r="BT94">
        <f>VLOOKUP($B94,'[1]Data_UN_PopulationTot.&amp;%'!$B$4:$CZ$603,16,FALSE)</f>
        <v>7274.74</v>
      </c>
      <c r="BU94">
        <f>VLOOKUP($B94,'[1]Data_UN_PopulationTot.&amp;%'!$B$4:$CZ$603,17,FALSE)</f>
        <v>7360.65</v>
      </c>
      <c r="BV94">
        <f>VLOOKUP($B94,'[1]Data_UN_PopulationTot.&amp;%'!$B$4:$CZ$603,18,FALSE)</f>
        <v>7446.11</v>
      </c>
      <c r="BW94">
        <f>VLOOKUP($B94,'[1]Data_UN_PopulationTot.&amp;%'!$B$4:$CZ$603,61,FALSE)</f>
        <v>11.65286418697187</v>
      </c>
      <c r="BX94">
        <f>VLOOKUP($B94,'[1]Data_UN_PopulationTot.&amp;%'!$B$4:$CZ$603,62,FALSE)</f>
        <v>11.789892691659809</v>
      </c>
      <c r="BY94">
        <f>VLOOKUP($B94,'[1]Data_UN_PopulationTot.&amp;%'!$B$4:$CZ$603,63,FALSE)</f>
        <v>9.2061389996306051</v>
      </c>
      <c r="BZ94">
        <f>VLOOKUP($B94,'[1]Data_UN_PopulationTot.&amp;%'!$B$4:$CZ$603,64,FALSE)</f>
        <v>7.6649361836488517</v>
      </c>
      <c r="CA94">
        <f>VLOOKUP($B94,'[1]Data_UN_PopulationTot.&amp;%'!$B$4:$CZ$603,65,FALSE)</f>
        <v>7.8843350668818664</v>
      </c>
      <c r="CB94">
        <f>VLOOKUP($B94,'[1]Data_UN_PopulationTot.&amp;%'!$B$4:$CZ$603,66,FALSE)</f>
        <v>8.7145070882362425</v>
      </c>
      <c r="CC94">
        <f>VLOOKUP($B94,'[1]Data_UN_PopulationTot.&amp;%'!$B$4:$CZ$603,67,FALSE)</f>
        <v>8.7702381445052957</v>
      </c>
      <c r="CD94">
        <f>VLOOKUP($B94,'[1]Data_UN_PopulationTot.&amp;%'!$B$4:$CZ$603,68,FALSE)</f>
        <v>6.7827270511741684</v>
      </c>
      <c r="CE94">
        <f>VLOOKUP($B94,'[1]Data_UN_PopulationTot.&amp;%'!$B$4:$CZ$603,69,FALSE)</f>
        <v>5.5402892926171683</v>
      </c>
      <c r="CF94">
        <f>VLOOKUP($B94,'[1]Data_UN_PopulationTot.&amp;%'!$B$4:$CZ$603,70,FALSE)</f>
        <v>4.9810934384191752</v>
      </c>
      <c r="CG94">
        <f>VLOOKUP($B94,'[1]Data_UN_PopulationTot.&amp;%'!$B$4:$CZ$603,71,FALSE)</f>
        <v>4.5365478319914043</v>
      </c>
      <c r="CH94">
        <f>VLOOKUP($B94,'[1]Data_UN_PopulationTot.&amp;%'!$B$4:$CZ$603,72,FALSE)</f>
        <v>4.3754397097570736</v>
      </c>
      <c r="CI94">
        <f>VLOOKUP($B94,'[1]Data_UN_PopulationTot.&amp;%'!$B$4:$CZ$603,73,FALSE)</f>
        <v>3.3731237134418217</v>
      </c>
      <c r="CJ94">
        <f>VLOOKUP($B94,'[1]Data_UN_PopulationTot.&amp;%'!$B$4:$CZ$603,74,FALSE)</f>
        <v>2.2034152898674013</v>
      </c>
      <c r="CK94">
        <f>VLOOKUP($B94,'[1]Data_UN_PopulationTot.&amp;%'!$B$4:$CZ$603,75,FALSE)</f>
        <v>1.2050384798725973</v>
      </c>
      <c r="CL94">
        <f>VLOOKUP($B94,'[1]Data_UN_PopulationTot.&amp;%'!$B$4:$CZ$603,76,FALSE)</f>
        <v>0.49960224947464749</v>
      </c>
      <c r="CM94">
        <f>VLOOKUP($B94,'[1]Data_UN_PopulationTot.&amp;%'!$B$4:$CZ$603,77,FALSE)</f>
        <v>0.49825342303029185</v>
      </c>
      <c r="CN94">
        <f>VLOOKUP($B94,'[1]Data_UN_PopulationTot.&amp;%'!$B$4:$CZ$603,78,FALSE)</f>
        <v>0.23898752182263241</v>
      </c>
      <c r="CO94">
        <f>VLOOKUP($B94,'[1]Data_UN_PopulationTot.&amp;%'!$B$4:$CZ$603,79,FALSE)</f>
        <v>6.797778728087317E-2</v>
      </c>
      <c r="CP94">
        <f>VLOOKUP($B94,'[1]Data_UN_PopulationTot.&amp;%'!$B$4:$CZ$603,80,FALSE)</f>
        <v>1.3748833188487766E-2</v>
      </c>
      <c r="CQ94">
        <f>VLOOKUP($B94,'[1]Data_UN_PopulationTot.&amp;%'!$B$4:$CZ$603,81,FALSE)</f>
        <v>8.5834410095352845E-4</v>
      </c>
      <c r="CR94">
        <f>VLOOKUP($B94,'[1]Data_UN_PopulationTot.&amp;%'!$B$4:$CZ$603,82,FALSE)</f>
        <v>9.3011653064486026</v>
      </c>
      <c r="CS94">
        <f>VLOOKUP($B94,'[1]Data_UN_PopulationTot.&amp;%'!$B$4:$CZ$603,83,FALSE)</f>
        <v>9.6111258093151992</v>
      </c>
      <c r="CT94">
        <f>VLOOKUP($B94,'[1]Data_UN_PopulationTot.&amp;%'!$B$4:$CZ$603,84,FALSE)</f>
        <v>10.14227563116849</v>
      </c>
      <c r="CU94">
        <f>VLOOKUP($B94,'[1]Data_UN_PopulationTot.&amp;%'!$B$4:$CZ$603,85,FALSE)</f>
        <v>10.207705768515373</v>
      </c>
      <c r="CV94">
        <f>VLOOKUP($B94,'[1]Data_UN_PopulationTot.&amp;%'!$B$4:$CZ$603,86,FALSE)</f>
        <v>7.8223528795572452</v>
      </c>
      <c r="CW94">
        <f>VLOOKUP($B94,'[1]Data_UN_PopulationTot.&amp;%'!$B$4:$CZ$603,87,FALSE)</f>
        <v>6.4161286900139807</v>
      </c>
      <c r="CX94">
        <f>VLOOKUP($B94,'[1]Data_UN_PopulationTot.&amp;%'!$B$4:$CZ$603,88,FALSE)</f>
        <v>6.6275679515881452</v>
      </c>
      <c r="CY94">
        <f>VLOOKUP($B94,'[1]Data_UN_PopulationTot.&amp;%'!$B$4:$CZ$603,89,FALSE)</f>
        <v>7.3714060093122455</v>
      </c>
      <c r="CZ94">
        <f>VLOOKUP($B94,'[1]Data_UN_PopulationTot.&amp;%'!$B$4:$CZ$603,90,FALSE)</f>
        <v>7.4119103800507915</v>
      </c>
      <c r="DA94">
        <f>VLOOKUP($B94,'[1]Data_UN_PopulationTot.&amp;%'!$B$4:$CZ$603,91,FALSE)</f>
        <v>5.6800262150303986</v>
      </c>
      <c r="DB94">
        <f>VLOOKUP($B94,'[1]Data_UN_PopulationTot.&amp;%'!$B$4:$CZ$603,92,FALSE)</f>
        <v>4.5815734658768132</v>
      </c>
      <c r="DC94">
        <f>VLOOKUP($B94,'[1]Data_UN_PopulationTot.&amp;%'!$B$4:$CZ$603,93,FALSE)</f>
        <v>4.0411436307011313</v>
      </c>
      <c r="DD94">
        <f>VLOOKUP($B94,'[1]Data_UN_PopulationTot.&amp;%'!$B$4:$CZ$603,94,FALSE)</f>
        <v>3.5548494448779291</v>
      </c>
      <c r="DE94">
        <f>VLOOKUP($B94,'[1]Data_UN_PopulationTot.&amp;%'!$B$4:$CZ$603,95,FALSE)</f>
        <v>3.2441771609605556</v>
      </c>
      <c r="DF94">
        <f>VLOOKUP($B94,'[1]Data_UN_PopulationTot.&amp;%'!$B$4:$CZ$603,96,FALSE)</f>
        <v>2.2292042422150629</v>
      </c>
      <c r="DG94">
        <f>VLOOKUP($B94,'[1]Data_UN_PopulationTot.&amp;%'!$B$4:$CZ$603,97,FALSE)</f>
        <v>1.1212700322718843</v>
      </c>
      <c r="DH94">
        <f>VLOOKUP($B94,'[1]Data_UN_PopulationTot.&amp;%'!$B$4:$CZ$603,98,FALSE)</f>
        <v>0.41847353853220004</v>
      </c>
      <c r="DI94">
        <f>VLOOKUP($B94,'[1]Data_UN_PopulationTot.&amp;%'!$B$4:$CZ$603,99,FALSE)</f>
        <v>0.11632919739300118</v>
      </c>
      <c r="DJ94">
        <f>VLOOKUP($B94,'[1]Data_UN_PopulationTot.&amp;%'!$B$4:$DE$603,100,FALSE)</f>
        <v>7.7033511457660436E-2</v>
      </c>
      <c r="DK94">
        <f>VLOOKUP($B94,'[1]Data_UN_PopulationTot.&amp;%'!$B$4:$DE$603,101,FALSE)</f>
        <v>2.1205703380691394E-2</v>
      </c>
      <c r="DL94">
        <f>VLOOKUP($B94,'[1]Data_UN_PopulationTot.&amp;%'!$B$4:$DE$603,102,FALSE)</f>
        <v>3.0217120080149231E-3</v>
      </c>
    </row>
    <row r="95" spans="1:116">
      <c r="A95" t="s">
        <v>132</v>
      </c>
      <c r="B95" t="s">
        <v>346</v>
      </c>
      <c r="C95" t="s">
        <v>493</v>
      </c>
      <c r="D95" t="s">
        <v>334</v>
      </c>
      <c r="E95" t="s">
        <v>300</v>
      </c>
      <c r="F95">
        <v>0</v>
      </c>
      <c r="G95">
        <v>1</v>
      </c>
      <c r="H95">
        <v>0</v>
      </c>
      <c r="I95">
        <v>0</v>
      </c>
      <c r="J95" s="18">
        <f t="shared" si="3"/>
        <v>25473.452774329005</v>
      </c>
      <c r="K95">
        <f>VLOOKUP($B95,'[1]Source GDP Current USD'!$B$1:$CZ$600,64,FALSE)</f>
        <v>25808561550.951401</v>
      </c>
      <c r="L95" s="45">
        <f>VLOOKUP($B95,'[1]Source GDP Current USD'!$B$1:$CZ$600,65,FALSE)</f>
        <v>25808561550.951401</v>
      </c>
      <c r="M95" s="17">
        <f>VLOOKUP($B95,'[1]Source GDP Current LCU'!$B$1:$CZ$600,64,FALSE)</f>
        <v>105628847131900</v>
      </c>
      <c r="N95" s="45">
        <v>110000000000000</v>
      </c>
      <c r="O95" s="45">
        <f>VLOOKUP($B95,'[1]Source GNI Current USD'!$B$1:$CZ$600,64,FALSE)</f>
        <v>24798236899.965801</v>
      </c>
      <c r="P95" s="45">
        <f>VLOOKUP($B95,'[1]Source GNI Current LCU'!$B$1:$CZ$600,64,FALSE)</f>
        <v>101493807373800</v>
      </c>
      <c r="Q95">
        <f t="shared" si="2"/>
        <v>104.07417936630429</v>
      </c>
      <c r="R95">
        <v>1500</v>
      </c>
      <c r="S95">
        <v>1500</v>
      </c>
      <c r="T95">
        <v>0.34912900000000002</v>
      </c>
      <c r="U95" s="45">
        <v>17000000</v>
      </c>
      <c r="V95">
        <v>24.116</v>
      </c>
      <c r="W95">
        <f>VLOOKUP($B95,'[1]Source Gov. Revenue WEO'!$B$1:$CZ$600,5,FALSE)</f>
        <v>24.233000000000001</v>
      </c>
      <c r="X95">
        <f>VLOOKUP($B95,'[1]Source Gov. Revenue WEO'!$B$1:$CZ$600,6,FALSE)</f>
        <v>24.265999999999998</v>
      </c>
      <c r="Y95">
        <f>VLOOKUP($B95,'[1]Source Gov. Revenue WEO'!$B$1:$CZ$600,7,FALSE)</f>
        <v>24.13</v>
      </c>
      <c r="Z95">
        <f>VLOOKUP($B95,'[1]Source Gov. Revenue WEO'!$B$1:$CZ$600,8,FALSE)</f>
        <v>24.009</v>
      </c>
      <c r="AA95">
        <f>VLOOKUP($B95,'[1]Source Gov. Revenue WEO'!$B$1:$CZ$600,9,FALSE)</f>
        <v>23.949000000000002</v>
      </c>
      <c r="AB95">
        <f>VLOOKUP($B95,'[1]Source Gov. Revenue WEO'!$B$1:$CZ$600,10,FALSE)</f>
        <v>23.922999999999998</v>
      </c>
      <c r="AC95">
        <f>VLOOKUP($B95,[2]Summary!$B$1:$CZ$600,39,FALSE)</f>
        <v>6.9999999999999993E-3</v>
      </c>
      <c r="AD95">
        <f>VLOOKUP($B95,[2]Summary!$B$1:$CZ$600,40,FALSE)</f>
        <v>9.999999999999999E-14</v>
      </c>
      <c r="AE95">
        <f>VLOOKUP($B95,[2]Summary!$B$1:$CZ$600,47,FALSE)</f>
        <v>0.23770832118815993</v>
      </c>
      <c r="AF95">
        <f>VLOOKUP($B95,'[1]CALC GDP Growth rates WDI'!$B$1:$CZ$600,27,FALSE)</f>
        <v>80.234406327794588</v>
      </c>
      <c r="AG95">
        <f>VLOOKUP($B95,'[1]CALC GDP Growth rates WDI'!$B$1:$CZ$600,29,FALSE)</f>
        <v>84.666956531584788</v>
      </c>
      <c r="AH95">
        <v>27.48</v>
      </c>
      <c r="AI95">
        <f>VLOOKUP($B95,'[1]CALC GDP Growth rates WDI'!$B$1:$CZ$600,30,FALSE)</f>
        <v>31.863243875059787</v>
      </c>
      <c r="AJ95" s="45" t="s">
        <v>2466</v>
      </c>
      <c r="AK95">
        <f>VLOOKUP($B95,[1]Data_Aspire!$B$1:$CZ$600,2,FALSE)</f>
        <v>2015</v>
      </c>
      <c r="AL95">
        <f>VLOOKUP($B95,[1]Data_Aspire!$B$1:$CZ$600,3,FALSE)</f>
        <v>0.9</v>
      </c>
      <c r="AM95">
        <f>VLOOKUP($B95,[1]Data_Aspire!$B$1:$CZ$600,4,FALSE)</f>
        <v>0</v>
      </c>
      <c r="AN95">
        <f>VLOOKUP($B95,[1]Data_Aspire!$B$1:$CZ$600,5,FALSE)</f>
        <v>0.01</v>
      </c>
      <c r="AO95">
        <f>VLOOKUP($B95,[1]Data_Aspire!$B$1:$CZ$600,6,FALSE)</f>
        <v>0</v>
      </c>
      <c r="AP95">
        <f>VLOOKUP($B95,[1]Data_Aspire!$B$1:$CZ$600,7,FALSE)</f>
        <v>0.04</v>
      </c>
      <c r="AQ95">
        <f>VLOOKUP($B95,[1]Data_Aspire!$B$1:$CZ$600,8,FALSE)</f>
        <v>0.01</v>
      </c>
      <c r="AS95">
        <f>VLOOKUP($B95,[1]Data_Aspire!$B$1:$CZ$600,10,FALSE)</f>
        <v>0.1</v>
      </c>
      <c r="AT95">
        <f>VLOOKUP($B95,[1]Data_Aspire!$B$1:$CZ$600,11,FALSE)</f>
        <v>0.74</v>
      </c>
      <c r="AU95">
        <f>VLOOKUP($B95,[1]Data_Aspire!$B$1:$CZ$600,12,FALSE)</f>
        <v>0.79</v>
      </c>
      <c r="AV95">
        <f>VLOOKUP($B95,[1]Data_Aspire!$B$1:$CZ$600,13,FALSE)</f>
        <v>150655</v>
      </c>
      <c r="AW95">
        <f>VLOOKUP($B95,[1]Data_Aspire!$B$1:$CZ$600,14,FALSE)</f>
        <v>2015</v>
      </c>
      <c r="BD95">
        <f>VLOOKUP($B95,[1]Data_Aspire!$B$1:$CZ$600,21,FALSE)</f>
        <v>296007</v>
      </c>
      <c r="BE95">
        <f>VLOOKUP($B95,[1]Data_Aspire!$B$1:$CZ$600,22,FALSE)</f>
        <v>2015</v>
      </c>
      <c r="BF95">
        <f>VLOOKUP($B95,[1]Data_Aspire!$B$1:$CZ$600,23,FALSE)</f>
        <v>131928</v>
      </c>
      <c r="BG95">
        <f>VLOOKUP($B95,[1]Data_Aspire!$B$1:$CZ$600,24,FALSE)</f>
        <v>2015</v>
      </c>
      <c r="BH95">
        <f>VLOOKUP($B95,[1]Data_Aspire!$B$1:$CZ$600,25,FALSE)</f>
        <v>2956305</v>
      </c>
      <c r="BI95">
        <f>VLOOKUP($B95,[1]Data_Aspire!$B$1:$CZ$600,26,FALSE)</f>
        <v>2015</v>
      </c>
      <c r="BJ95" s="7">
        <v>0</v>
      </c>
      <c r="BK95">
        <v>116</v>
      </c>
      <c r="BL95">
        <f>VLOOKUP($B95,'[1]Data_UN_PopulationTot.&amp;%'!$B$4:$CZ$603,8,FALSE)</f>
        <v>16719</v>
      </c>
      <c r="BM95">
        <f>VLOOKUP($B95,'[1]Data_UN_PopulationTot.&amp;%'!$B$4:$CZ$603,9,FALSE)</f>
        <v>16946.400000000001</v>
      </c>
      <c r="BN95">
        <v>17168.599999999999</v>
      </c>
      <c r="BO95">
        <f>VLOOKUP($B95,'[1]Data_UN_PopulationTot.&amp;%'!$B$4:$CZ$603,11,FALSE)</f>
        <v>17385.7</v>
      </c>
      <c r="BP95">
        <f>VLOOKUP($B95,'[1]Data_UN_PopulationTot.&amp;%'!$B$4:$CZ$603,12,FALSE)</f>
        <v>17597.900000000001</v>
      </c>
      <c r="BQ95">
        <f>VLOOKUP($B95,'[1]Data_UN_PopulationTot.&amp;%'!$B$4:$CZ$603,13,FALSE)</f>
        <v>17805.599999999999</v>
      </c>
      <c r="BR95">
        <f>VLOOKUP($B95,'[1]Data_UN_PopulationTot.&amp;%'!$B$4:$CZ$603,14,FALSE)</f>
        <v>18008.7</v>
      </c>
      <c r="BS95">
        <f>VLOOKUP($B95,'[1]Data_UN_PopulationTot.&amp;%'!$B$4:$CZ$603,15,FALSE)</f>
        <v>18207.099999999999</v>
      </c>
      <c r="BT95">
        <f>VLOOKUP($B95,'[1]Data_UN_PopulationTot.&amp;%'!$B$4:$CZ$603,16,FALSE)</f>
        <v>18401.5</v>
      </c>
      <c r="BU95">
        <f>VLOOKUP($B95,'[1]Data_UN_PopulationTot.&amp;%'!$B$4:$CZ$603,17,FALSE)</f>
        <v>18592.599999999999</v>
      </c>
      <c r="BV95">
        <f>VLOOKUP($B95,'[1]Data_UN_PopulationTot.&amp;%'!$B$4:$CZ$603,18,FALSE)</f>
        <v>18781</v>
      </c>
      <c r="BW95">
        <f>VLOOKUP($B95,'[1]Data_UN_PopulationTot.&amp;%'!$B$4:$CZ$603,61,FALSE)</f>
        <v>10.640468927567438</v>
      </c>
      <c r="BX95">
        <f>VLOOKUP($B95,'[1]Data_UN_PopulationTot.&amp;%'!$B$4:$CZ$603,62,FALSE)</f>
        <v>10.476762964292123</v>
      </c>
      <c r="BY95">
        <f>VLOOKUP($B95,'[1]Data_UN_PopulationTot.&amp;%'!$B$4:$CZ$603,63,FALSE)</f>
        <v>9.8076439978467622</v>
      </c>
      <c r="BZ95">
        <f>VLOOKUP($B95,'[1]Data_UN_PopulationTot.&amp;%'!$B$4:$CZ$603,64,FALSE)</f>
        <v>8.7344936898139842</v>
      </c>
      <c r="CA95">
        <f>VLOOKUP($B95,'[1]Data_UN_PopulationTot.&amp;%'!$B$4:$CZ$603,65,FALSE)</f>
        <v>9.1411567677492673</v>
      </c>
      <c r="CB95">
        <f>VLOOKUP($B95,'[1]Data_UN_PopulationTot.&amp;%'!$B$4:$CZ$603,66,FALSE)</f>
        <v>9.5059513128775635</v>
      </c>
      <c r="CC95">
        <f>VLOOKUP($B95,'[1]Data_UN_PopulationTot.&amp;%'!$B$4:$CZ$603,67,FALSE)</f>
        <v>7.4244871104731143</v>
      </c>
      <c r="CD95">
        <f>VLOOKUP($B95,'[1]Data_UN_PopulationTot.&amp;%'!$B$4:$CZ$603,68,FALSE)</f>
        <v>9.8568694299898318</v>
      </c>
      <c r="CE95">
        <f>VLOOKUP($B95,'[1]Data_UN_PopulationTot.&amp;%'!$B$4:$CZ$603,69,FALSE)</f>
        <v>3.749620192595251</v>
      </c>
      <c r="CF95">
        <f>VLOOKUP($B95,'[1]Data_UN_PopulationTot.&amp;%'!$B$4:$CZ$603,70,FALSE)</f>
        <v>4.7980620850529334</v>
      </c>
      <c r="CG95">
        <f>VLOOKUP($B95,'[1]Data_UN_PopulationTot.&amp;%'!$B$4:$CZ$603,71,FALSE)</f>
        <v>4.3831688498115913</v>
      </c>
      <c r="CH95">
        <f>VLOOKUP($B95,'[1]Data_UN_PopulationTot.&amp;%'!$B$4:$CZ$603,72,FALSE)</f>
        <v>3.9156767749267303</v>
      </c>
      <c r="CI95">
        <f>VLOOKUP($B95,'[1]Data_UN_PopulationTot.&amp;%'!$B$4:$CZ$603,73,FALSE)</f>
        <v>2.7125964471559305</v>
      </c>
      <c r="CJ95">
        <f>VLOOKUP($B95,'[1]Data_UN_PopulationTot.&amp;%'!$B$4:$CZ$603,74,FALSE)</f>
        <v>2.1727196602667624</v>
      </c>
      <c r="CK95">
        <f>VLOOKUP($B95,'[1]Data_UN_PopulationTot.&amp;%'!$B$4:$CZ$603,75,FALSE)</f>
        <v>1.3232729230217117</v>
      </c>
      <c r="CL95">
        <f>VLOOKUP($B95,'[1]Data_UN_PopulationTot.&amp;%'!$B$4:$CZ$603,76,FALSE)</f>
        <v>0.78477779771517431</v>
      </c>
      <c r="CM95">
        <f>VLOOKUP($B95,'[1]Data_UN_PopulationTot.&amp;%'!$B$4:$CZ$603,77,FALSE)</f>
        <v>0.37969974280758423</v>
      </c>
      <c r="CN95">
        <f>VLOOKUP($B95,'[1]Data_UN_PopulationTot.&amp;%'!$B$4:$CZ$603,78,FALSE)</f>
        <v>0.15303546862850648</v>
      </c>
      <c r="CO95">
        <f>VLOOKUP($B95,'[1]Data_UN_PopulationTot.&amp;%'!$B$4:$CZ$603,79,FALSE)</f>
        <v>3.4601351755487772E-2</v>
      </c>
      <c r="CP95">
        <f>VLOOKUP($B95,'[1]Data_UN_PopulationTot.&amp;%'!$B$4:$CZ$603,80,FALSE)</f>
        <v>4.5277827621269216E-3</v>
      </c>
      <c r="CQ95">
        <f>VLOOKUP($B95,'[1]Data_UN_PopulationTot.&amp;%'!$B$4:$CZ$603,81,FALSE)</f>
        <v>2.3924875889706323E-4</v>
      </c>
      <c r="CR95">
        <f>VLOOKUP($B95,'[1]Data_UN_PopulationTot.&amp;%'!$B$4:$CZ$603,82,FALSE)</f>
        <v>8.8626803684574824</v>
      </c>
      <c r="CS95">
        <f>VLOOKUP($B95,'[1]Data_UN_PopulationTot.&amp;%'!$B$4:$CZ$603,83,FALSE)</f>
        <v>9.0919546350034608</v>
      </c>
      <c r="CT95">
        <f>VLOOKUP($B95,'[1]Data_UN_PopulationTot.&amp;%'!$B$4:$CZ$603,84,FALSE)</f>
        <v>9.3422607954847976</v>
      </c>
      <c r="CU95">
        <f>VLOOKUP($B95,'[1]Data_UN_PopulationTot.&amp;%'!$B$4:$CZ$603,85,FALSE)</f>
        <v>9.1278419679463294</v>
      </c>
      <c r="CV95">
        <f>VLOOKUP($B95,'[1]Data_UN_PopulationTot.&amp;%'!$B$4:$CZ$603,86,FALSE)</f>
        <v>8.4000319471806613</v>
      </c>
      <c r="CW95">
        <f>VLOOKUP($B95,'[1]Data_UN_PopulationTot.&amp;%'!$B$4:$CZ$603,87,FALSE)</f>
        <v>7.3775091848144401</v>
      </c>
      <c r="CX95">
        <f>VLOOKUP($B95,'[1]Data_UN_PopulationTot.&amp;%'!$B$4:$CZ$603,88,FALSE)</f>
        <v>7.7490016506043338</v>
      </c>
      <c r="CY95">
        <f>VLOOKUP($B95,'[1]Data_UN_PopulationTot.&amp;%'!$B$4:$CZ$603,89,FALSE)</f>
        <v>8.0960545231883287</v>
      </c>
      <c r="CZ95">
        <f>VLOOKUP($B95,'[1]Data_UN_PopulationTot.&amp;%'!$B$4:$CZ$603,90,FALSE)</f>
        <v>6.3000372717107718</v>
      </c>
      <c r="DA95">
        <f>VLOOKUP($B95,'[1]Data_UN_PopulationTot.&amp;%'!$B$4:$CZ$603,91,FALSE)</f>
        <v>8.376284542889092</v>
      </c>
      <c r="DB95">
        <f>VLOOKUP($B95,'[1]Data_UN_PopulationTot.&amp;%'!$B$4:$CZ$603,92,FALSE)</f>
        <v>3.1300889196528403</v>
      </c>
      <c r="DC95">
        <f>VLOOKUP($B95,'[1]Data_UN_PopulationTot.&amp;%'!$B$4:$CZ$603,93,FALSE)</f>
        <v>3.9663063734625421</v>
      </c>
      <c r="DD95">
        <f>VLOOKUP($B95,'[1]Data_UN_PopulationTot.&amp;%'!$B$4:$CZ$603,94,FALSE)</f>
        <v>3.4901602683563175</v>
      </c>
      <c r="DE95">
        <f>VLOOKUP($B95,'[1]Data_UN_PopulationTot.&amp;%'!$B$4:$CZ$603,95,FALSE)</f>
        <v>2.9010808796123744</v>
      </c>
      <c r="DF95">
        <f>VLOOKUP($B95,'[1]Data_UN_PopulationTot.&amp;%'!$B$4:$CZ$603,96,FALSE)</f>
        <v>1.7989137958575157</v>
      </c>
      <c r="DG95">
        <f>VLOOKUP($B95,'[1]Data_UN_PopulationTot.&amp;%'!$B$4:$CZ$603,97,FALSE)</f>
        <v>1.1912943932697939</v>
      </c>
      <c r="DH95">
        <f>VLOOKUP($B95,'[1]Data_UN_PopulationTot.&amp;%'!$B$4:$CZ$603,98,FALSE)</f>
        <v>0.53479047974016292</v>
      </c>
      <c r="DI95">
        <f>VLOOKUP($B95,'[1]Data_UN_PopulationTot.&amp;%'!$B$4:$CZ$603,99,FALSE)</f>
        <v>0.20212448751397691</v>
      </c>
      <c r="DJ95">
        <f>VLOOKUP($B95,'[1]Data_UN_PopulationTot.&amp;%'!$B$4:$DE$603,100,FALSE)</f>
        <v>5.2191044140354609E-2</v>
      </c>
      <c r="DK95">
        <f>VLOOKUP($B95,'[1]Data_UN_PopulationTot.&amp;%'!$B$4:$DE$603,101,FALSE)</f>
        <v>8.8919652840636805E-3</v>
      </c>
      <c r="DL95">
        <f>VLOOKUP($B95,'[1]Data_UN_PopulationTot.&amp;%'!$B$4:$DE$603,102,FALSE)</f>
        <v>6.3894361322613274E-4</v>
      </c>
    </row>
    <row r="96" spans="1:116">
      <c r="A96" t="s">
        <v>152</v>
      </c>
      <c r="B96" t="s">
        <v>366</v>
      </c>
      <c r="C96" t="s">
        <v>493</v>
      </c>
      <c r="D96" t="s">
        <v>334</v>
      </c>
      <c r="E96" t="s">
        <v>300</v>
      </c>
      <c r="F96">
        <v>0</v>
      </c>
      <c r="G96">
        <v>1</v>
      </c>
      <c r="H96">
        <v>0</v>
      </c>
      <c r="I96">
        <v>0</v>
      </c>
      <c r="J96" s="18">
        <f t="shared" si="3"/>
        <v>0.30367182999999998</v>
      </c>
      <c r="K96">
        <f>VLOOKUP($B96,'[1]Source GDP Current USD'!$B$1:$CZ$600,64,FALSE)</f>
        <v>197508774.34450501</v>
      </c>
      <c r="L96" s="45">
        <f>VLOOKUP($B96,'[1]Source GDP Current USD'!$B$1:$CZ$600,65,FALSE)</f>
        <v>197508774.34450501</v>
      </c>
      <c r="M96" s="17">
        <f>VLOOKUP($B96,'[1]Source GDP Current LCU'!$B$1:$CZ$600,64,FALSE)</f>
        <v>287000000</v>
      </c>
      <c r="N96" s="45">
        <v>290000000</v>
      </c>
      <c r="O96" s="45">
        <f>VLOOKUP($B96,'[1]Source GNI Current USD'!$B$1:$CZ$600,64,FALSE)</f>
        <v>353038331.84226799</v>
      </c>
      <c r="P96" s="45">
        <f>VLOOKUP($B96,'[1]Source GNI Current LCU'!$B$1:$CZ$600,64,FALSE)</f>
        <v>513000000</v>
      </c>
      <c r="Q96">
        <f t="shared" si="2"/>
        <v>55.945419103313846</v>
      </c>
      <c r="R96">
        <v>2960</v>
      </c>
      <c r="S96">
        <v>2960</v>
      </c>
      <c r="T96">
        <v>0.69376400000000005</v>
      </c>
      <c r="U96">
        <v>119446</v>
      </c>
      <c r="V96">
        <v>105.809</v>
      </c>
      <c r="W96">
        <f>VLOOKUP($B96,'[1]Source Gov. Revenue WEO'!$B$1:$CZ$600,5,FALSE)</f>
        <v>106.851</v>
      </c>
      <c r="X96">
        <f>VLOOKUP($B96,'[1]Source Gov. Revenue WEO'!$B$1:$CZ$600,6,FALSE)</f>
        <v>103.316</v>
      </c>
      <c r="Y96">
        <f>VLOOKUP($B96,'[1]Source Gov. Revenue WEO'!$B$1:$CZ$600,7,FALSE)</f>
        <v>99.822999999999993</v>
      </c>
      <c r="Z96">
        <f>VLOOKUP($B96,'[1]Source Gov. Revenue WEO'!$B$1:$CZ$600,8,FALSE)</f>
        <v>98.537000000000006</v>
      </c>
      <c r="AA96">
        <f>VLOOKUP($B96,'[1]Source Gov. Revenue WEO'!$B$1:$CZ$600,9,FALSE)</f>
        <v>97.483999999999995</v>
      </c>
      <c r="AB96">
        <f>VLOOKUP($B96,'[1]Source Gov. Revenue WEO'!$B$1:$CZ$600,10,FALSE)</f>
        <v>97.114999999999995</v>
      </c>
      <c r="AC96">
        <f>VLOOKUP($B96,[2]Summary!$B$1:$CZ$600,39,FALSE)</f>
        <v>0.1116539</v>
      </c>
      <c r="AD96">
        <f>VLOOKUP($B96,[2]Summary!$B$1:$CZ$600,40,FALSE)</f>
        <v>9.4249989999999992E-2</v>
      </c>
      <c r="AE96">
        <f>VLOOKUP($B96,[2]Summary!$B$1:$CZ$600,47,FALSE)</f>
        <v>0.95907734056987781</v>
      </c>
      <c r="AF96">
        <f>VLOOKUP($B96,'[1]CALC GDP Growth rates WDI'!$B$1:$CZ$600,27,FALSE)</f>
        <v>36.344158189800609</v>
      </c>
      <c r="AG96">
        <f>VLOOKUP($B96,'[1]CALC GDP Growth rates WDI'!$B$1:$CZ$600,29,FALSE)</f>
        <v>32.654340521959988</v>
      </c>
      <c r="AH96">
        <v>12.16</v>
      </c>
      <c r="AI96">
        <f>VLOOKUP($B96,'[1]CALC GDP Growth rates WDI'!$B$1:$CZ$600,30,FALSE)</f>
        <v>21.616104845194339</v>
      </c>
      <c r="AJ96" t="s">
        <v>2464</v>
      </c>
      <c r="AK96">
        <f>VLOOKUP($B96,[1]Data_Aspire!$B$1:$CZ$600,2,FALSE)</f>
        <v>2016</v>
      </c>
      <c r="AL96">
        <f>VLOOKUP($B96,[1]Data_Aspire!$B$1:$CZ$600,3,FALSE)</f>
        <v>1.29</v>
      </c>
      <c r="AM96">
        <f>VLOOKUP($B96,[1]Data_Aspire!$B$1:$CZ$600,4,FALSE)</f>
        <v>0</v>
      </c>
      <c r="AN96">
        <f>VLOOKUP($B96,[1]Data_Aspire!$B$1:$CZ$600,5,FALSE)</f>
        <v>0</v>
      </c>
      <c r="AO96">
        <f>VLOOKUP($B96,[1]Data_Aspire!$B$1:$CZ$600,6,FALSE)</f>
        <v>1.29</v>
      </c>
      <c r="AP96">
        <f>VLOOKUP($B96,[1]Data_Aspire!$B$1:$CZ$600,7,FALSE)</f>
        <v>0</v>
      </c>
      <c r="AU96">
        <f>VLOOKUP($B96,[1]Data_Aspire!$B$1:$CZ$600,12,FALSE)</f>
        <v>1.29</v>
      </c>
      <c r="AZ96">
        <f>VLOOKUP($B96,[1]Data_Aspire!$B$1:$CZ$600,17,FALSE)</f>
        <v>6698</v>
      </c>
      <c r="BA96">
        <f>VLOOKUP($B96,[1]Data_Aspire!$B$1:$CZ$600,18,FALSE)</f>
        <v>2015</v>
      </c>
      <c r="BJ96" s="7">
        <v>0</v>
      </c>
      <c r="BK96">
        <v>296</v>
      </c>
      <c r="BL96">
        <f>VLOOKUP($B96,'[1]Data_UN_PopulationTot.&amp;%'!$B$4:$CZ$603,8,FALSE)</f>
        <v>119.446</v>
      </c>
      <c r="BM96">
        <f>VLOOKUP($B96,'[1]Data_UN_PopulationTot.&amp;%'!$B$4:$CZ$603,9,FALSE)</f>
        <v>121.38800000000001</v>
      </c>
      <c r="BN96">
        <v>123.416</v>
      </c>
      <c r="BO96">
        <f>VLOOKUP($B96,'[1]Data_UN_PopulationTot.&amp;%'!$B$4:$CZ$603,11,FALSE)</f>
        <v>125.501</v>
      </c>
      <c r="BP96">
        <f>VLOOKUP($B96,'[1]Data_UN_PopulationTot.&amp;%'!$B$4:$CZ$603,12,FALSE)</f>
        <v>127.58</v>
      </c>
      <c r="BQ96">
        <f>VLOOKUP($B96,'[1]Data_UN_PopulationTot.&amp;%'!$B$4:$CZ$603,13,FALSE)</f>
        <v>129.619</v>
      </c>
      <c r="BR96">
        <f>VLOOKUP($B96,'[1]Data_UN_PopulationTot.&amp;%'!$B$4:$CZ$603,14,FALSE)</f>
        <v>131.607</v>
      </c>
      <c r="BS96">
        <f>VLOOKUP($B96,'[1]Data_UN_PopulationTot.&amp;%'!$B$4:$CZ$603,15,FALSE)</f>
        <v>133.53899999999999</v>
      </c>
      <c r="BT96">
        <f>VLOOKUP($B96,'[1]Data_UN_PopulationTot.&amp;%'!$B$4:$CZ$603,16,FALSE)</f>
        <v>135.44499999999999</v>
      </c>
      <c r="BU96">
        <f>VLOOKUP($B96,'[1]Data_UN_PopulationTot.&amp;%'!$B$4:$CZ$603,17,FALSE)</f>
        <v>137.32400000000001</v>
      </c>
      <c r="BV96">
        <f>VLOOKUP($B96,'[1]Data_UN_PopulationTot.&amp;%'!$B$4:$CZ$603,18,FALSE)</f>
        <v>139.178</v>
      </c>
      <c r="BW96">
        <f>VLOOKUP($B96,'[1]Data_UN_PopulationTot.&amp;%'!$B$4:$CZ$603,61,FALSE)</f>
        <v>12.691927733034175</v>
      </c>
      <c r="BX96">
        <f>VLOOKUP($B96,'[1]Data_UN_PopulationTot.&amp;%'!$B$4:$CZ$603,62,FALSE)</f>
        <v>11.974448704854076</v>
      </c>
      <c r="BY96">
        <f>VLOOKUP($B96,'[1]Data_UN_PopulationTot.&amp;%'!$B$4:$CZ$603,63,FALSE)</f>
        <v>11.250272089479765</v>
      </c>
      <c r="BZ96">
        <f>VLOOKUP($B96,'[1]Data_UN_PopulationTot.&amp;%'!$B$4:$CZ$603,64,FALSE)</f>
        <v>8.5344004822262782</v>
      </c>
      <c r="CA96">
        <f>VLOOKUP($B96,'[1]Data_UN_PopulationTot.&amp;%'!$B$4:$CZ$603,65,FALSE)</f>
        <v>9.1229509569177711</v>
      </c>
      <c r="CB96">
        <f>VLOOKUP($B96,'[1]Data_UN_PopulationTot.&amp;%'!$B$4:$CZ$603,66,FALSE)</f>
        <v>8.0597089898364125</v>
      </c>
      <c r="CC96">
        <f>VLOOKUP($B96,'[1]Data_UN_PopulationTot.&amp;%'!$B$4:$CZ$603,67,FALSE)</f>
        <v>7.5858546958458213</v>
      </c>
      <c r="CD96">
        <f>VLOOKUP($B96,'[1]Data_UN_PopulationTot.&amp;%'!$B$4:$CZ$603,68,FALSE)</f>
        <v>6.3149875257438506</v>
      </c>
      <c r="CE96">
        <f>VLOOKUP($B96,'[1]Data_UN_PopulationTot.&amp;%'!$B$4:$CZ$603,69,FALSE)</f>
        <v>5.2241180114863628</v>
      </c>
      <c r="CF96">
        <f>VLOOKUP($B96,'[1]Data_UN_PopulationTot.&amp;%'!$B$4:$CZ$603,70,FALSE)</f>
        <v>4.1298997036317671</v>
      </c>
      <c r="CG96">
        <f>VLOOKUP($B96,'[1]Data_UN_PopulationTot.&amp;%'!$B$4:$CZ$603,71,FALSE)</f>
        <v>4.547661704870821</v>
      </c>
      <c r="CH96">
        <f>VLOOKUP($B96,'[1]Data_UN_PopulationTot.&amp;%'!$B$4:$CZ$603,72,FALSE)</f>
        <v>3.8142759071044656</v>
      </c>
      <c r="CI96">
        <f>VLOOKUP($B96,'[1]Data_UN_PopulationTot.&amp;%'!$B$4:$CZ$603,73,FALSE)</f>
        <v>2.5350367530097282</v>
      </c>
      <c r="CJ96">
        <f>VLOOKUP($B96,'[1]Data_UN_PopulationTot.&amp;%'!$B$4:$CZ$603,74,FALSE)</f>
        <v>1.769000217671584</v>
      </c>
      <c r="CK96">
        <f>VLOOKUP($B96,'[1]Data_UN_PopulationTot.&amp;%'!$B$4:$CZ$603,75,FALSE)</f>
        <v>1.2239840597424778</v>
      </c>
      <c r="CL96">
        <f>VLOOKUP($B96,'[1]Data_UN_PopulationTot.&amp;%'!$B$4:$CZ$603,76,FALSE)</f>
        <v>0.72668821057214139</v>
      </c>
      <c r="CM96">
        <f>VLOOKUP($B96,'[1]Data_UN_PopulationTot.&amp;%'!$B$4:$CZ$603,77,FALSE)</f>
        <v>0.31227500293019445</v>
      </c>
      <c r="CN96">
        <f>VLOOKUP($B96,'[1]Data_UN_PopulationTot.&amp;%'!$B$4:$CZ$603,78,FALSE)</f>
        <v>0.12390536309294577</v>
      </c>
      <c r="CO96">
        <f>VLOOKUP($B96,'[1]Data_UN_PopulationTot.&amp;%'!$B$4:$CZ$603,79,FALSE)</f>
        <v>4.6883110359492997E-2</v>
      </c>
      <c r="CP96">
        <f>VLOOKUP($B96,'[1]Data_UN_PopulationTot.&amp;%'!$B$4:$CZ$603,80,FALSE)</f>
        <v>1.0046380791319927E-2</v>
      </c>
      <c r="CQ96">
        <f>VLOOKUP($B96,'[1]Data_UN_PopulationTot.&amp;%'!$B$4:$CZ$603,81,FALSE)</f>
        <v>1.6743967985533212E-3</v>
      </c>
      <c r="CR96">
        <f>VLOOKUP($B96,'[1]Data_UN_PopulationTot.&amp;%'!$B$4:$CZ$603,82,FALSE)</f>
        <v>10.877437526045783</v>
      </c>
      <c r="CS96">
        <f>VLOOKUP($B96,'[1]Data_UN_PopulationTot.&amp;%'!$B$4:$CZ$603,83,FALSE)</f>
        <v>10.863067438819355</v>
      </c>
      <c r="CT96">
        <f>VLOOKUP($B96,'[1]Data_UN_PopulationTot.&amp;%'!$B$4:$CZ$603,84,FALSE)</f>
        <v>10.693500409547486</v>
      </c>
      <c r="CU96">
        <f>VLOOKUP($B96,'[1]Data_UN_PopulationTot.&amp;%'!$B$4:$CZ$603,85,FALSE)</f>
        <v>10.005891735762837</v>
      </c>
      <c r="CV96">
        <f>VLOOKUP($B96,'[1]Data_UN_PopulationTot.&amp;%'!$B$4:$CZ$603,86,FALSE)</f>
        <v>9.1113538059176022</v>
      </c>
      <c r="CW96">
        <f>VLOOKUP($B96,'[1]Data_UN_PopulationTot.&amp;%'!$B$4:$CZ$603,87,FALSE)</f>
        <v>6.6756240210378088</v>
      </c>
      <c r="CX96">
        <f>VLOOKUP($B96,'[1]Data_UN_PopulationTot.&amp;%'!$B$4:$CZ$603,88,FALSE)</f>
        <v>7.2396499446751656</v>
      </c>
      <c r="CY96">
        <f>VLOOKUP($B96,'[1]Data_UN_PopulationTot.&amp;%'!$B$4:$CZ$603,89,FALSE)</f>
        <v>6.4478581384989004</v>
      </c>
      <c r="CZ96">
        <f>VLOOKUP($B96,'[1]Data_UN_PopulationTot.&amp;%'!$B$4:$CZ$603,90,FALSE)</f>
        <v>6.1166276279297014</v>
      </c>
      <c r="DA96">
        <f>VLOOKUP($B96,'[1]Data_UN_PopulationTot.&amp;%'!$B$4:$CZ$603,91,FALSE)</f>
        <v>5.0755148083748871</v>
      </c>
      <c r="DB96">
        <f>VLOOKUP($B96,'[1]Data_UN_PopulationTot.&amp;%'!$B$4:$CZ$603,92,FALSE)</f>
        <v>4.1421776430182931</v>
      </c>
      <c r="DC96">
        <f>VLOOKUP($B96,'[1]Data_UN_PopulationTot.&amp;%'!$B$4:$CZ$603,93,FALSE)</f>
        <v>3.1908778686286623</v>
      </c>
      <c r="DD96">
        <f>VLOOKUP($B96,'[1]Data_UN_PopulationTot.&amp;%'!$B$4:$CZ$603,94,FALSE)</f>
        <v>3.3891850723533885</v>
      </c>
      <c r="DE96">
        <f>VLOOKUP($B96,'[1]Data_UN_PopulationTot.&amp;%'!$B$4:$CZ$603,95,FALSE)</f>
        <v>2.6814582764517385</v>
      </c>
      <c r="DF96">
        <f>VLOOKUP($B96,'[1]Data_UN_PopulationTot.&amp;%'!$B$4:$CZ$603,96,FALSE)</f>
        <v>1.6374714394516372</v>
      </c>
      <c r="DG96">
        <f>VLOOKUP($B96,'[1]Data_UN_PopulationTot.&amp;%'!$B$4:$CZ$603,97,FALSE)</f>
        <v>0.99584704479156183</v>
      </c>
      <c r="DH96">
        <f>VLOOKUP($B96,'[1]Data_UN_PopulationTot.&amp;%'!$B$4:$CZ$603,98,FALSE)</f>
        <v>0.54534481024299819</v>
      </c>
      <c r="DI96">
        <f>VLOOKUP($B96,'[1]Data_UN_PopulationTot.&amp;%'!$B$4:$CZ$603,99,FALSE)</f>
        <v>0.23279541306815732</v>
      </c>
      <c r="DJ96">
        <f>VLOOKUP($B96,'[1]Data_UN_PopulationTot.&amp;%'!$B$4:$DE$603,100,FALSE)</f>
        <v>6.1791375073646689E-2</v>
      </c>
      <c r="DK96">
        <f>VLOOKUP($B96,'[1]Data_UN_PopulationTot.&amp;%'!$B$4:$DE$603,101,FALSE)</f>
        <v>1.3651582865107991E-2</v>
      </c>
      <c r="DL96">
        <f>VLOOKUP($B96,'[1]Data_UN_PopulationTot.&amp;%'!$B$4:$DE$603,102,FALSE)</f>
        <v>2.8740174452858932E-3</v>
      </c>
    </row>
    <row r="97" spans="1:116">
      <c r="A97" t="s">
        <v>73</v>
      </c>
      <c r="B97" t="s">
        <v>449</v>
      </c>
      <c r="C97" t="s">
        <v>493</v>
      </c>
      <c r="D97" t="s">
        <v>622</v>
      </c>
      <c r="E97" t="s">
        <v>2269</v>
      </c>
      <c r="F97">
        <v>0</v>
      </c>
      <c r="G97">
        <v>0</v>
      </c>
      <c r="H97">
        <v>0</v>
      </c>
      <c r="I97">
        <v>1</v>
      </c>
      <c r="J97" s="18">
        <f t="shared" si="3"/>
        <v>443697.13884800009</v>
      </c>
      <c r="K97">
        <f>VLOOKUP($B97,'[1]Source GDP Current USD'!$B$1:$CZ$600,64,FALSE)</f>
        <v>1637895802792.8999</v>
      </c>
      <c r="L97" s="45">
        <f>VLOOKUP($B97,'[1]Source GDP Current USD'!$B$1:$CZ$600,65,FALSE)</f>
        <v>1637895802792.8999</v>
      </c>
      <c r="M97" s="17">
        <f>VLOOKUP($B97,'[1]Source GDP Current LCU'!$B$1:$CZ$600,64,FALSE)</f>
        <v>1933152400000000</v>
      </c>
      <c r="N97" s="45">
        <v>1900000000000000</v>
      </c>
      <c r="O97" s="45">
        <f>VLOOKUP($B97,'[1]Source GNI Current USD'!$B$1:$CZ$600,64,FALSE)</f>
        <v>1650493219408.71</v>
      </c>
      <c r="P97" s="45">
        <f>VLOOKUP($B97,'[1]Source GNI Current LCU'!$B$1:$CZ$600,64,FALSE)</f>
        <v>1948020700000000</v>
      </c>
      <c r="Q97">
        <f t="shared" si="2"/>
        <v>99.236748356934811</v>
      </c>
      <c r="R97">
        <v>32960</v>
      </c>
      <c r="S97">
        <v>32960</v>
      </c>
      <c r="T97">
        <v>0.69865999999999995</v>
      </c>
      <c r="U97" s="45">
        <v>52000000</v>
      </c>
      <c r="V97">
        <v>22.952000000000002</v>
      </c>
      <c r="W97">
        <f>VLOOKUP($B97,'[1]Source Gov. Revenue WEO'!$B$1:$CZ$600,5,FALSE)</f>
        <v>23.594000000000001</v>
      </c>
      <c r="X97">
        <f>VLOOKUP($B97,'[1]Source Gov. Revenue WEO'!$B$1:$CZ$600,6,FALSE)</f>
        <v>23.198</v>
      </c>
      <c r="Y97">
        <f>VLOOKUP($B97,'[1]Source Gov. Revenue WEO'!$B$1:$CZ$600,7,FALSE)</f>
        <v>23.231999999999999</v>
      </c>
      <c r="Z97">
        <f>VLOOKUP($B97,'[1]Source Gov. Revenue WEO'!$B$1:$CZ$600,8,FALSE)</f>
        <v>23.236999999999998</v>
      </c>
      <c r="AA97">
        <f>VLOOKUP($B97,'[1]Source Gov. Revenue WEO'!$B$1:$CZ$600,9,FALSE)</f>
        <v>23.227</v>
      </c>
      <c r="AB97">
        <f>VLOOKUP($B97,'[1]Source Gov. Revenue WEO'!$B$1:$CZ$600,10,FALSE)</f>
        <v>23.236000000000001</v>
      </c>
      <c r="AC97" t="e">
        <f>VLOOKUP($B97,[2]Summary!$B$1:$CZ$600,39,FALSE)</f>
        <v>#N/A</v>
      </c>
      <c r="AD97" t="e">
        <f>VLOOKUP($B97,[2]Summary!$B$1:$CZ$600,40,FALSE)</f>
        <v>#N/A</v>
      </c>
      <c r="AE97" t="e">
        <f>VLOOKUP($B97,[2]Summary!$B$1:$CZ$600,47,FALSE)</f>
        <v>#N/A</v>
      </c>
      <c r="AF97">
        <f>VLOOKUP($B97,'[1]CALC GDP Growth rates WDI'!$B$1:$CZ$600,27,FALSE)</f>
        <v>28.757740334132091</v>
      </c>
      <c r="AG97">
        <f>VLOOKUP($B97,'[1]CALC GDP Growth rates WDI'!$B$1:$CZ$600,29,FALSE)</f>
        <v>35.709757148182945</v>
      </c>
      <c r="AH97">
        <v>10.78</v>
      </c>
      <c r="AI97">
        <f>VLOOKUP($B97,'[1]CALC GDP Growth rates WDI'!$B$1:$CZ$600,30,FALSE)</f>
        <v>12.400851587414774</v>
      </c>
      <c r="AK97" t="e">
        <f>VLOOKUP($B97,[1]Data_Aspire!$B$1:$CZ$600,2,FALSE)</f>
        <v>#N/A</v>
      </c>
      <c r="AL97" t="e">
        <f>VLOOKUP($B97,[1]Data_Aspire!$B$1:$CZ$600,3,FALSE)</f>
        <v>#N/A</v>
      </c>
      <c r="AM97" t="e">
        <f>VLOOKUP($B97,[1]Data_Aspire!$B$1:$CZ$600,4,FALSE)</f>
        <v>#N/A</v>
      </c>
      <c r="AN97" t="e">
        <f>VLOOKUP($B97,[1]Data_Aspire!$B$1:$CZ$600,5,FALSE)</f>
        <v>#N/A</v>
      </c>
      <c r="AO97" t="e">
        <f>VLOOKUP($B97,[1]Data_Aspire!$B$1:$CZ$600,6,FALSE)</f>
        <v>#N/A</v>
      </c>
      <c r="AP97" t="e">
        <f>VLOOKUP($B97,[1]Data_Aspire!$B$1:$CZ$600,7,FALSE)</f>
        <v>#N/A</v>
      </c>
      <c r="AQ97" t="e">
        <f>VLOOKUP($B97,[1]Data_Aspire!$B$1:$CZ$600,8,FALSE)</f>
        <v>#N/A</v>
      </c>
      <c r="AR97" t="e">
        <f>VLOOKUP($B97,[1]Data_Aspire!$B$1:$CZ$600,9,FALSE)</f>
        <v>#N/A</v>
      </c>
      <c r="AS97" t="e">
        <f>VLOOKUP($B97,[1]Data_Aspire!$B$1:$CZ$600,10,FALSE)</f>
        <v>#N/A</v>
      </c>
      <c r="AT97" t="e">
        <f>VLOOKUP($B97,[1]Data_Aspire!$B$1:$CZ$600,11,FALSE)</f>
        <v>#N/A</v>
      </c>
      <c r="AU97" t="e">
        <f>VLOOKUP($B97,[1]Data_Aspire!$B$1:$CZ$600,12,FALSE)</f>
        <v>#N/A</v>
      </c>
      <c r="AV97" t="e">
        <f>VLOOKUP($B97,[1]Data_Aspire!$B$1:$CZ$600,13,FALSE)</f>
        <v>#N/A</v>
      </c>
      <c r="AW97" t="e">
        <f>VLOOKUP($B97,[1]Data_Aspire!$B$1:$CZ$600,14,FALSE)</f>
        <v>#N/A</v>
      </c>
      <c r="AX97" t="e">
        <f>VLOOKUP($B97,[1]Data_Aspire!$B$1:$CZ$600,15,FALSE)</f>
        <v>#N/A</v>
      </c>
      <c r="AY97" t="e">
        <f>VLOOKUP($B97,[1]Data_Aspire!$B$1:$CZ$600,16,FALSE)</f>
        <v>#N/A</v>
      </c>
      <c r="AZ97" t="e">
        <f>VLOOKUP($B97,[1]Data_Aspire!$B$1:$CZ$600,17,FALSE)</f>
        <v>#N/A</v>
      </c>
      <c r="BA97" t="e">
        <f>VLOOKUP($B97,[1]Data_Aspire!$B$1:$CZ$600,18,FALSE)</f>
        <v>#N/A</v>
      </c>
      <c r="BB97" t="e">
        <f>VLOOKUP($B97,[1]Data_Aspire!$B$1:$CZ$600,19,FALSE)</f>
        <v>#N/A</v>
      </c>
      <c r="BC97" t="e">
        <f>VLOOKUP($B97,[1]Data_Aspire!$B$1:$CZ$600,20,FALSE)</f>
        <v>#N/A</v>
      </c>
      <c r="BD97" t="e">
        <f>VLOOKUP($B97,[1]Data_Aspire!$B$1:$CZ$600,21,FALSE)</f>
        <v>#N/A</v>
      </c>
      <c r="BE97" t="e">
        <f>VLOOKUP($B97,[1]Data_Aspire!$B$1:$CZ$600,22,FALSE)</f>
        <v>#N/A</v>
      </c>
      <c r="BF97" t="e">
        <f>VLOOKUP($B97,[1]Data_Aspire!$B$1:$CZ$600,23,FALSE)</f>
        <v>#N/A</v>
      </c>
      <c r="BG97" t="e">
        <f>VLOOKUP($B97,[1]Data_Aspire!$B$1:$CZ$600,24,FALSE)</f>
        <v>#N/A</v>
      </c>
      <c r="BH97" t="e">
        <f>VLOOKUP($B97,[1]Data_Aspire!$B$1:$CZ$600,25,FALSE)</f>
        <v>#N/A</v>
      </c>
      <c r="BI97" t="e">
        <f>VLOOKUP($B97,[1]Data_Aspire!$B$1:$CZ$600,26,FALSE)</f>
        <v>#N/A</v>
      </c>
      <c r="BJ97" s="7">
        <v>0</v>
      </c>
      <c r="BK97">
        <v>410</v>
      </c>
      <c r="BL97">
        <f>VLOOKUP($B97,'[1]Data_UN_PopulationTot.&amp;%'!$B$4:$CZ$603,8,FALSE)</f>
        <v>51269.2</v>
      </c>
      <c r="BM97">
        <f>VLOOKUP($B97,'[1]Data_UN_PopulationTot.&amp;%'!$B$4:$CZ$603,9,FALSE)</f>
        <v>51305.2</v>
      </c>
      <c r="BN97">
        <v>51329.9</v>
      </c>
      <c r="BO97">
        <f>VLOOKUP($B97,'[1]Data_UN_PopulationTot.&amp;%'!$B$4:$CZ$603,11,FALSE)</f>
        <v>51344</v>
      </c>
      <c r="BP97">
        <f>VLOOKUP($B97,'[1]Data_UN_PopulationTot.&amp;%'!$B$4:$CZ$603,12,FALSE)</f>
        <v>51347.199999999997</v>
      </c>
      <c r="BQ97">
        <f>VLOOKUP($B97,'[1]Data_UN_PopulationTot.&amp;%'!$B$4:$CZ$603,13,FALSE)</f>
        <v>51339.4</v>
      </c>
      <c r="BR97">
        <f>VLOOKUP($B97,'[1]Data_UN_PopulationTot.&amp;%'!$B$4:$CZ$603,14,FALSE)</f>
        <v>51321.2</v>
      </c>
      <c r="BS97">
        <f>VLOOKUP($B97,'[1]Data_UN_PopulationTot.&amp;%'!$B$4:$CZ$603,15,FALSE)</f>
        <v>51293.5</v>
      </c>
      <c r="BT97">
        <f>VLOOKUP($B97,'[1]Data_UN_PopulationTot.&amp;%'!$B$4:$CZ$603,16,FALSE)</f>
        <v>51256.3</v>
      </c>
      <c r="BU97">
        <f>VLOOKUP($B97,'[1]Data_UN_PopulationTot.&amp;%'!$B$4:$CZ$603,17,FALSE)</f>
        <v>51209.3</v>
      </c>
      <c r="BV97">
        <f>VLOOKUP($B97,'[1]Data_UN_PopulationTot.&amp;%'!$B$4:$CZ$603,18,FALSE)</f>
        <v>51152.1</v>
      </c>
      <c r="BW97">
        <f>VLOOKUP($B97,'[1]Data_UN_PopulationTot.&amp;%'!$B$4:$CZ$603,61,FALSE)</f>
        <v>3.7000967442441079</v>
      </c>
      <c r="BX97">
        <f>VLOOKUP($B97,'[1]Data_UN_PopulationTot.&amp;%'!$B$4:$CZ$603,62,FALSE)</f>
        <v>4.4018631068945888</v>
      </c>
      <c r="BY97">
        <f>VLOOKUP($B97,'[1]Data_UN_PopulationTot.&amp;%'!$B$4:$CZ$603,63,FALSE)</f>
        <v>4.4408338729685664</v>
      </c>
      <c r="BZ97">
        <f>VLOOKUP($B97,'[1]Data_UN_PopulationTot.&amp;%'!$B$4:$CZ$603,64,FALSE)</f>
        <v>4.8303464848290982</v>
      </c>
      <c r="CA97">
        <f>VLOOKUP($B97,'[1]Data_UN_PopulationTot.&amp;%'!$B$4:$CZ$603,65,FALSE)</f>
        <v>6.2732400739625351</v>
      </c>
      <c r="CB97">
        <f>VLOOKUP($B97,'[1]Data_UN_PopulationTot.&amp;%'!$B$4:$CZ$603,66,FALSE)</f>
        <v>6.8268082981595199</v>
      </c>
      <c r="CC97">
        <f>VLOOKUP($B97,'[1]Data_UN_PopulationTot.&amp;%'!$B$4:$CZ$603,67,FALSE)</f>
        <v>6.4023429271375401</v>
      </c>
      <c r="CD97">
        <f>VLOOKUP($B97,'[1]Data_UN_PopulationTot.&amp;%'!$B$4:$CZ$603,68,FALSE)</f>
        <v>7.4068056454947611</v>
      </c>
      <c r="CE97">
        <f>VLOOKUP($B97,'[1]Data_UN_PopulationTot.&amp;%'!$B$4:$CZ$603,69,FALSE)</f>
        <v>7.6555319763132639</v>
      </c>
      <c r="CF97">
        <f>VLOOKUP($B97,'[1]Data_UN_PopulationTot.&amp;%'!$B$4:$CZ$603,70,FALSE)</f>
        <v>8.3752233309667403</v>
      </c>
      <c r="CG97">
        <f>VLOOKUP($B97,'[1]Data_UN_PopulationTot.&amp;%'!$B$4:$CZ$603,71,FALSE)</f>
        <v>8.4173733937724808</v>
      </c>
      <c r="CH97">
        <f>VLOOKUP($B97,'[1]Data_UN_PopulationTot.&amp;%'!$B$4:$CZ$603,72,FALSE)</f>
        <v>8.1163349535393579</v>
      </c>
      <c r="CI97">
        <f>VLOOKUP($B97,'[1]Data_UN_PopulationTot.&amp;%'!$B$4:$CZ$603,73,FALSE)</f>
        <v>7.3622564814742582</v>
      </c>
      <c r="CJ97">
        <f>VLOOKUP($B97,'[1]Data_UN_PopulationTot.&amp;%'!$B$4:$CZ$603,74,FALSE)</f>
        <v>5.2256325435154052</v>
      </c>
      <c r="CK97">
        <f>VLOOKUP($B97,'[1]Data_UN_PopulationTot.&amp;%'!$B$4:$CZ$603,75,FALSE)</f>
        <v>3.8972521513891385</v>
      </c>
      <c r="CL97">
        <f>VLOOKUP($B97,'[1]Data_UN_PopulationTot.&amp;%'!$B$4:$CZ$603,76,FALSE)</f>
        <v>3.0477557675953593</v>
      </c>
      <c r="CM97">
        <f>VLOOKUP($B97,'[1]Data_UN_PopulationTot.&amp;%'!$B$4:$CZ$603,77,FALSE)</f>
        <v>2.1139982679659521</v>
      </c>
      <c r="CN97">
        <f>VLOOKUP($B97,'[1]Data_UN_PopulationTot.&amp;%'!$B$4:$CZ$603,78,FALSE)</f>
        <v>1.0534648482909816</v>
      </c>
      <c r="CO97">
        <f>VLOOKUP($B97,'[1]Data_UN_PopulationTot.&amp;%'!$B$4:$CZ$603,79,FALSE)</f>
        <v>0.36066293213079198</v>
      </c>
      <c r="CP97">
        <f>VLOOKUP($B97,'[1]Data_UN_PopulationTot.&amp;%'!$B$4:$CZ$603,80,FALSE)</f>
        <v>8.3668167242711033E-2</v>
      </c>
      <c r="CQ97">
        <f>VLOOKUP($B97,'[1]Data_UN_PopulationTot.&amp;%'!$B$4:$CZ$603,81,FALSE)</f>
        <v>8.4787747809601088E-3</v>
      </c>
      <c r="CR97">
        <f>VLOOKUP($B97,'[1]Data_UN_PopulationTot.&amp;%'!$B$4:$CZ$603,82,FALSE)</f>
        <v>3.3380447723553872</v>
      </c>
      <c r="CS97">
        <f>VLOOKUP($B97,'[1]Data_UN_PopulationTot.&amp;%'!$B$4:$CZ$603,83,FALSE)</f>
        <v>3.4063704129449235</v>
      </c>
      <c r="CT97">
        <f>VLOOKUP($B97,'[1]Data_UN_PopulationTot.&amp;%'!$B$4:$CZ$603,84,FALSE)</f>
        <v>3.7174035865585187</v>
      </c>
      <c r="CU97">
        <f>VLOOKUP($B97,'[1]Data_UN_PopulationTot.&amp;%'!$B$4:$CZ$603,85,FALSE)</f>
        <v>4.4442359160229987</v>
      </c>
      <c r="CV97">
        <f>VLOOKUP($B97,'[1]Data_UN_PopulationTot.&amp;%'!$B$4:$CZ$603,86,FALSE)</f>
        <v>4.5217889392615351</v>
      </c>
      <c r="CW97">
        <f>VLOOKUP($B97,'[1]Data_UN_PopulationTot.&amp;%'!$B$4:$CZ$603,87,FALSE)</f>
        <v>4.9202867526455414</v>
      </c>
      <c r="CX97">
        <f>VLOOKUP($B97,'[1]Data_UN_PopulationTot.&amp;%'!$B$4:$CZ$603,88,FALSE)</f>
        <v>6.3407758430250176</v>
      </c>
      <c r="CY97">
        <f>VLOOKUP($B97,'[1]Data_UN_PopulationTot.&amp;%'!$B$4:$CZ$603,89,FALSE)</f>
        <v>6.863100439669144</v>
      </c>
      <c r="CZ97">
        <f>VLOOKUP($B97,'[1]Data_UN_PopulationTot.&amp;%'!$B$4:$CZ$603,90,FALSE)</f>
        <v>6.409433825786234</v>
      </c>
      <c r="DA97">
        <f>VLOOKUP($B97,'[1]Data_UN_PopulationTot.&amp;%'!$B$4:$CZ$603,91,FALSE)</f>
        <v>7.3700786477974507</v>
      </c>
      <c r="DB97">
        <f>VLOOKUP($B97,'[1]Data_UN_PopulationTot.&amp;%'!$B$4:$CZ$603,92,FALSE)</f>
        <v>7.5640100797425722</v>
      </c>
      <c r="DC97">
        <f>VLOOKUP($B97,'[1]Data_UN_PopulationTot.&amp;%'!$B$4:$CZ$603,93,FALSE)</f>
        <v>8.2030258777254517</v>
      </c>
      <c r="DD97">
        <f>VLOOKUP($B97,'[1]Data_UN_PopulationTot.&amp;%'!$B$4:$CZ$603,94,FALSE)</f>
        <v>8.1559114875049126</v>
      </c>
      <c r="DE97">
        <f>VLOOKUP($B97,'[1]Data_UN_PopulationTot.&amp;%'!$B$4:$CZ$603,95,FALSE)</f>
        <v>7.7341497221032949</v>
      </c>
      <c r="DF97">
        <f>VLOOKUP($B97,'[1]Data_UN_PopulationTot.&amp;%'!$B$4:$CZ$603,96,FALSE)</f>
        <v>6.7913927287442748</v>
      </c>
      <c r="DG97">
        <f>VLOOKUP($B97,'[1]Data_UN_PopulationTot.&amp;%'!$B$4:$CZ$603,97,FALSE)</f>
        <v>4.4994829146799447</v>
      </c>
      <c r="DH97">
        <f>VLOOKUP($B97,'[1]Data_UN_PopulationTot.&amp;%'!$B$4:$CZ$603,98,FALSE)</f>
        <v>2.9245915612457747</v>
      </c>
      <c r="DI97">
        <f>VLOOKUP($B97,'[1]Data_UN_PopulationTot.&amp;%'!$B$4:$CZ$603,99,FALSE)</f>
        <v>1.7754227099180682</v>
      </c>
      <c r="DJ97">
        <f>VLOOKUP($B97,'[1]Data_UN_PopulationTot.&amp;%'!$B$4:$DE$603,100,FALSE)</f>
        <v>0.79505826740251151</v>
      </c>
      <c r="DK97">
        <f>VLOOKUP($B97,'[1]Data_UN_PopulationTot.&amp;%'!$B$4:$DE$603,101,FALSE)</f>
        <v>0.20022051880567954</v>
      </c>
      <c r="DL97">
        <f>VLOOKUP($B97,'[1]Data_UN_PopulationTot.&amp;%'!$B$4:$DE$603,102,FALSE)</f>
        <v>2.5113338455312686E-2</v>
      </c>
    </row>
    <row r="98" spans="1:116">
      <c r="A98" t="s">
        <v>254</v>
      </c>
      <c r="B98" t="s">
        <v>571</v>
      </c>
      <c r="C98" t="s">
        <v>487</v>
      </c>
      <c r="D98" t="s">
        <v>622</v>
      </c>
      <c r="E98" t="s">
        <v>2269</v>
      </c>
      <c r="F98">
        <v>0</v>
      </c>
      <c r="G98">
        <v>0</v>
      </c>
      <c r="H98">
        <v>0</v>
      </c>
      <c r="I98">
        <v>1</v>
      </c>
      <c r="J98" s="18">
        <f t="shared" si="3"/>
        <v>19.063396600871027</v>
      </c>
      <c r="K98">
        <f>VLOOKUP($B98,'[1]Source GDP Current USD'!$B$1:$CZ$600,64,FALSE)</f>
        <v>105960225688.145</v>
      </c>
      <c r="L98" s="45">
        <f>VLOOKUP($B98,'[1]Source GDP Current USD'!$B$1:$CZ$600,65,FALSE)</f>
        <v>105960225688.145</v>
      </c>
      <c r="M98" s="17">
        <f>VLOOKUP($B98,'[1]Source GDP Current LCU'!$B$1:$CZ$600,64,FALSE)</f>
        <v>32445021105.710098</v>
      </c>
      <c r="N98" s="45">
        <v>32000000000</v>
      </c>
      <c r="O98" s="45" t="str">
        <f>VLOOKUP($B98,'[1]Source GNI Current USD'!$B$1:$CZ$600,64,FALSE)</f>
        <v>..</v>
      </c>
      <c r="P98" s="45" t="str">
        <f>VLOOKUP($B98,'[1]Source GNI Current LCU'!$B$1:$CZ$600,64,FALSE)</f>
        <v>..</v>
      </c>
      <c r="Q98" t="e">
        <f t="shared" si="2"/>
        <v>#VALUE!</v>
      </c>
      <c r="S98">
        <v>36290</v>
      </c>
      <c r="T98">
        <v>0.52448399999999995</v>
      </c>
      <c r="U98" s="45">
        <v>4300000</v>
      </c>
      <c r="V98">
        <v>58.756</v>
      </c>
      <c r="W98">
        <f>VLOOKUP($B98,'[1]Source Gov. Revenue WEO'!$B$1:$CZ$600,5,FALSE)</f>
        <v>54.970999999999997</v>
      </c>
      <c r="X98">
        <f>VLOOKUP($B98,'[1]Source Gov. Revenue WEO'!$B$1:$CZ$600,6,FALSE)</f>
        <v>56.192999999999998</v>
      </c>
      <c r="Y98">
        <f>VLOOKUP($B98,'[1]Source Gov. Revenue WEO'!$B$1:$CZ$600,7,FALSE)</f>
        <v>54.798999999999999</v>
      </c>
      <c r="Z98">
        <f>VLOOKUP($B98,'[1]Source Gov. Revenue WEO'!$B$1:$CZ$600,8,FALSE)</f>
        <v>53.389000000000003</v>
      </c>
      <c r="AA98">
        <f>VLOOKUP($B98,'[1]Source Gov. Revenue WEO'!$B$1:$CZ$600,9,FALSE)</f>
        <v>52.503</v>
      </c>
      <c r="AB98">
        <f>VLOOKUP($B98,'[1]Source Gov. Revenue WEO'!$B$1:$CZ$600,10,FALSE)</f>
        <v>51.786000000000001</v>
      </c>
      <c r="AC98" t="e">
        <f>VLOOKUP($B98,[2]Summary!$B$1:$CZ$600,39,FALSE)</f>
        <v>#N/A</v>
      </c>
      <c r="AD98" t="e">
        <f>VLOOKUP($B98,[2]Summary!$B$1:$CZ$600,40,FALSE)</f>
        <v>#N/A</v>
      </c>
      <c r="AE98" t="e">
        <f>VLOOKUP($B98,[2]Summary!$B$1:$CZ$600,47,FALSE)</f>
        <v>#N/A</v>
      </c>
      <c r="AF98">
        <f>VLOOKUP($B98,'[1]CALC GDP Growth rates WDI'!$B$1:$CZ$600,27,FALSE)</f>
        <v>8.8479192385162388</v>
      </c>
      <c r="AG98">
        <f>VLOOKUP($B98,'[1]CALC GDP Growth rates WDI'!$B$1:$CZ$600,29,FALSE)</f>
        <v>15.761796799821482</v>
      </c>
      <c r="AH98" s="45">
        <v>-8.99</v>
      </c>
      <c r="AI98">
        <f>VLOOKUP($B98,'[1]CALC GDP Growth rates WDI'!$B$1:$CZ$600,30,FALSE)</f>
        <v>-0.21507639266542533</v>
      </c>
      <c r="AK98">
        <f>VLOOKUP($B98,[1]Data_Aspire!$B$1:$CZ$600,2,FALSE)</f>
        <v>2010</v>
      </c>
      <c r="AL98">
        <f>VLOOKUP($B98,[1]Data_Aspire!$B$1:$CZ$600,3,FALSE)</f>
        <v>0.8</v>
      </c>
      <c r="AM98">
        <f>VLOOKUP($B98,[1]Data_Aspire!$B$1:$CZ$600,4,FALSE)</f>
        <v>0.02</v>
      </c>
      <c r="AN98">
        <f>VLOOKUP($B98,[1]Data_Aspire!$B$1:$CZ$600,5,FALSE)</f>
        <v>0.19</v>
      </c>
      <c r="AO98">
        <f>VLOOKUP($B98,[1]Data_Aspire!$B$1:$CZ$600,6,FALSE)</f>
        <v>0.18</v>
      </c>
      <c r="AP98">
        <f>VLOOKUP($B98,[1]Data_Aspire!$B$1:$CZ$600,7,FALSE)</f>
        <v>0</v>
      </c>
      <c r="AS98">
        <f>VLOOKUP($B98,[1]Data_Aspire!$B$1:$CZ$600,10,FALSE)</f>
        <v>0.41</v>
      </c>
      <c r="AU98">
        <f>VLOOKUP($B98,[1]Data_Aspire!$B$1:$CZ$600,12,FALSE)</f>
        <v>0.8</v>
      </c>
      <c r="BJ98" s="7">
        <v>0</v>
      </c>
      <c r="BK98">
        <v>414</v>
      </c>
      <c r="BL98">
        <f>VLOOKUP($B98,'[1]Data_UN_PopulationTot.&amp;%'!$B$4:$CZ$603,8,FALSE)</f>
        <v>4270.5600000000004</v>
      </c>
      <c r="BM98">
        <f>VLOOKUP($B98,'[1]Data_UN_PopulationTot.&amp;%'!$B$4:$CZ$603,9,FALSE)</f>
        <v>4328.55</v>
      </c>
      <c r="BN98">
        <v>4380.33</v>
      </c>
      <c r="BO98">
        <f>VLOOKUP($B98,'[1]Data_UN_PopulationTot.&amp;%'!$B$4:$CZ$603,11,FALSE)</f>
        <v>4427.8500000000004</v>
      </c>
      <c r="BP98">
        <f>VLOOKUP($B98,'[1]Data_UN_PopulationTot.&amp;%'!$B$4:$CZ$603,12,FALSE)</f>
        <v>4473.16</v>
      </c>
      <c r="BQ98">
        <f>VLOOKUP($B98,'[1]Data_UN_PopulationTot.&amp;%'!$B$4:$CZ$603,13,FALSE)</f>
        <v>4517.8599999999997</v>
      </c>
      <c r="BR98">
        <f>VLOOKUP($B98,'[1]Data_UN_PopulationTot.&amp;%'!$B$4:$CZ$603,14,FALSE)</f>
        <v>4563.1400000000003</v>
      </c>
      <c r="BS98">
        <f>VLOOKUP($B98,'[1]Data_UN_PopulationTot.&amp;%'!$B$4:$CZ$603,15,FALSE)</f>
        <v>4609.3500000000004</v>
      </c>
      <c r="BT98">
        <f>VLOOKUP($B98,'[1]Data_UN_PopulationTot.&amp;%'!$B$4:$CZ$603,16,FALSE)</f>
        <v>4656.03</v>
      </c>
      <c r="BU98">
        <f>VLOOKUP($B98,'[1]Data_UN_PopulationTot.&amp;%'!$B$4:$CZ$603,17,FALSE)</f>
        <v>4702.18</v>
      </c>
      <c r="BV98">
        <f>VLOOKUP($B98,'[1]Data_UN_PopulationTot.&amp;%'!$B$4:$CZ$603,18,FALSE)</f>
        <v>4747.08</v>
      </c>
      <c r="BW98">
        <f>VLOOKUP($B98,'[1]Data_UN_PopulationTot.&amp;%'!$B$4:$CZ$603,61,FALSE)</f>
        <v>6.7833960885691811</v>
      </c>
      <c r="BX98">
        <f>VLOOKUP($B98,'[1]Data_UN_PopulationTot.&amp;%'!$B$4:$CZ$603,62,FALSE)</f>
        <v>7.4612463002510205</v>
      </c>
      <c r="BY98">
        <f>VLOOKUP($B98,'[1]Data_UN_PopulationTot.&amp;%'!$B$4:$CZ$603,63,FALSE)</f>
        <v>7.2175546064216407</v>
      </c>
      <c r="BZ98">
        <f>VLOOKUP($B98,'[1]Data_UN_PopulationTot.&amp;%'!$B$4:$CZ$603,64,FALSE)</f>
        <v>5.2685362107077287</v>
      </c>
      <c r="CA98">
        <f>VLOOKUP($B98,'[1]Data_UN_PopulationTot.&amp;%'!$B$4:$CZ$603,65,FALSE)</f>
        <v>4.8493406017009475</v>
      </c>
      <c r="CB98">
        <f>VLOOKUP($B98,'[1]Data_UN_PopulationTot.&amp;%'!$B$4:$CZ$603,66,FALSE)</f>
        <v>5.5680753812146415</v>
      </c>
      <c r="CC98">
        <f>VLOOKUP($B98,'[1]Data_UN_PopulationTot.&amp;%'!$B$4:$CZ$603,67,FALSE)</f>
        <v>8.5796008017683842</v>
      </c>
      <c r="CD98">
        <f>VLOOKUP($B98,'[1]Data_UN_PopulationTot.&amp;%'!$B$4:$CZ$603,68,FALSE)</f>
        <v>11.99278314787756</v>
      </c>
      <c r="CE98">
        <f>VLOOKUP($B98,'[1]Data_UN_PopulationTot.&amp;%'!$B$4:$CZ$603,69,FALSE)</f>
        <v>12.053735341500877</v>
      </c>
      <c r="CF98">
        <f>VLOOKUP($B98,'[1]Data_UN_PopulationTot.&amp;%'!$B$4:$CZ$603,70,FALSE)</f>
        <v>10.551473343074443</v>
      </c>
      <c r="CG98">
        <f>VLOOKUP($B98,'[1]Data_UN_PopulationTot.&amp;%'!$B$4:$CZ$603,71,FALSE)</f>
        <v>8.1301047169457874</v>
      </c>
      <c r="CH98">
        <f>VLOOKUP($B98,'[1]Data_UN_PopulationTot.&amp;%'!$B$4:$CZ$603,72,FALSE)</f>
        <v>5.0133471956839388</v>
      </c>
      <c r="CI98">
        <f>VLOOKUP($B98,'[1]Data_UN_PopulationTot.&amp;%'!$B$4:$CZ$603,73,FALSE)</f>
        <v>3.4951622269678913</v>
      </c>
      <c r="CJ98">
        <f>VLOOKUP($B98,'[1]Data_UN_PopulationTot.&amp;%'!$B$4:$CZ$603,74,FALSE)</f>
        <v>1.6625454272975908</v>
      </c>
      <c r="CK98">
        <f>VLOOKUP($B98,'[1]Data_UN_PopulationTot.&amp;%'!$B$4:$CZ$603,75,FALSE)</f>
        <v>0.75287550110524137</v>
      </c>
      <c r="CL98">
        <f>VLOOKUP($B98,'[1]Data_UN_PopulationTot.&amp;%'!$B$4:$CZ$603,76,FALSE)</f>
        <v>0.38397774530740697</v>
      </c>
      <c r="CM98">
        <f>VLOOKUP($B98,'[1]Data_UN_PopulationTot.&amp;%'!$B$4:$CZ$603,77,FALSE)</f>
        <v>0.18594751039676294</v>
      </c>
      <c r="CN98">
        <f>VLOOKUP($B98,'[1]Data_UN_PopulationTot.&amp;%'!$B$4:$CZ$603,78,FALSE)</f>
        <v>4.6644936495447896E-2</v>
      </c>
      <c r="CO98">
        <f>VLOOKUP($B98,'[1]Data_UN_PopulationTot.&amp;%'!$B$4:$CZ$603,79,FALSE)</f>
        <v>3.3485069873740204E-3</v>
      </c>
      <c r="CP98">
        <f>VLOOKUP($B98,'[1]Data_UN_PopulationTot.&amp;%'!$B$4:$CZ$603,80,FALSE)</f>
        <v>3.7465812446142889E-4</v>
      </c>
      <c r="CQ98">
        <f>VLOOKUP($B98,'[1]Data_UN_PopulationTot.&amp;%'!$B$4:$CZ$603,81,FALSE)</f>
        <v>0</v>
      </c>
      <c r="CR98">
        <f>VLOOKUP($B98,'[1]Data_UN_PopulationTot.&amp;%'!$B$4:$CZ$603,82,FALSE)</f>
        <v>5.3946847325092477</v>
      </c>
      <c r="CS98">
        <f>VLOOKUP($B98,'[1]Data_UN_PopulationTot.&amp;%'!$B$4:$CZ$603,83,FALSE)</f>
        <v>5.2733469838300602</v>
      </c>
      <c r="CT98">
        <f>VLOOKUP($B98,'[1]Data_UN_PopulationTot.&amp;%'!$B$4:$CZ$603,84,FALSE)</f>
        <v>6.1652005022034588</v>
      </c>
      <c r="CU98">
        <f>VLOOKUP($B98,'[1]Data_UN_PopulationTot.&amp;%'!$B$4:$CZ$603,85,FALSE)</f>
        <v>6.7862981032550538</v>
      </c>
      <c r="CV98">
        <f>VLOOKUP($B98,'[1]Data_UN_PopulationTot.&amp;%'!$B$4:$CZ$603,86,FALSE)</f>
        <v>7.631617752386731</v>
      </c>
      <c r="CW98">
        <f>VLOOKUP($B98,'[1]Data_UN_PopulationTot.&amp;%'!$B$4:$CZ$603,87,FALSE)</f>
        <v>8.2165246846482471</v>
      </c>
      <c r="CX98">
        <f>VLOOKUP($B98,'[1]Data_UN_PopulationTot.&amp;%'!$B$4:$CZ$603,88,FALSE)</f>
        <v>8.2147130446506065</v>
      </c>
      <c r="CY98">
        <f>VLOOKUP($B98,'[1]Data_UN_PopulationTot.&amp;%'!$B$4:$CZ$603,89,FALSE)</f>
        <v>6.0832343251009044</v>
      </c>
      <c r="CZ98">
        <f>VLOOKUP($B98,'[1]Data_UN_PopulationTot.&amp;%'!$B$4:$CZ$603,90,FALSE)</f>
        <v>6.0844139976575073</v>
      </c>
      <c r="DA98">
        <f>VLOOKUP($B98,'[1]Data_UN_PopulationTot.&amp;%'!$B$4:$CZ$603,91,FALSE)</f>
        <v>8.7285025742140441</v>
      </c>
      <c r="DB98">
        <f>VLOOKUP($B98,'[1]Data_UN_PopulationTot.&amp;%'!$B$4:$CZ$603,92,FALSE)</f>
        <v>9.2680974409531753</v>
      </c>
      <c r="DC98">
        <f>VLOOKUP($B98,'[1]Data_UN_PopulationTot.&amp;%'!$B$4:$CZ$603,93,FALSE)</f>
        <v>8.1910142656117024</v>
      </c>
      <c r="DD98">
        <f>VLOOKUP($B98,'[1]Data_UN_PopulationTot.&amp;%'!$B$4:$CZ$603,94,FALSE)</f>
        <v>6.380743530759962</v>
      </c>
      <c r="DE98">
        <f>VLOOKUP($B98,'[1]Data_UN_PopulationTot.&amp;%'!$B$4:$CZ$603,95,FALSE)</f>
        <v>3.817546786656218</v>
      </c>
      <c r="DF98">
        <f>VLOOKUP($B98,'[1]Data_UN_PopulationTot.&amp;%'!$B$4:$CZ$603,96,FALSE)</f>
        <v>2.4399630931014435</v>
      </c>
      <c r="DG98">
        <f>VLOOKUP($B98,'[1]Data_UN_PopulationTot.&amp;%'!$B$4:$CZ$603,97,FALSE)</f>
        <v>0.94251624156323466</v>
      </c>
      <c r="DH98">
        <f>VLOOKUP($B98,'[1]Data_UN_PopulationTot.&amp;%'!$B$4:$CZ$603,98,FALSE)</f>
        <v>0.28992559636660853</v>
      </c>
      <c r="DI98">
        <f>VLOOKUP($B98,'[1]Data_UN_PopulationTot.&amp;%'!$B$4:$CZ$603,99,FALSE)</f>
        <v>7.7057896643831572E-2</v>
      </c>
      <c r="DJ98">
        <f>VLOOKUP($B98,'[1]Data_UN_PopulationTot.&amp;%'!$B$4:$DE$603,100,FALSE)</f>
        <v>1.3776890214616143E-2</v>
      </c>
      <c r="DK98">
        <f>VLOOKUP($B98,'[1]Data_UN_PopulationTot.&amp;%'!$B$4:$DE$603,101,FALSE)</f>
        <v>8.8475441745241288E-4</v>
      </c>
      <c r="DL98">
        <f>VLOOKUP($B98,'[1]Data_UN_PopulationTot.&amp;%'!$B$4:$DE$603,102,FALSE)</f>
        <v>0</v>
      </c>
    </row>
    <row r="99" spans="1:116">
      <c r="A99" t="s">
        <v>147</v>
      </c>
      <c r="B99" t="s">
        <v>361</v>
      </c>
      <c r="C99" t="s">
        <v>493</v>
      </c>
      <c r="D99" t="s">
        <v>334</v>
      </c>
      <c r="E99" t="s">
        <v>300</v>
      </c>
      <c r="F99">
        <v>0</v>
      </c>
      <c r="G99">
        <v>1</v>
      </c>
      <c r="H99">
        <v>0</v>
      </c>
      <c r="I99">
        <v>0</v>
      </c>
      <c r="J99" s="18">
        <f t="shared" si="3"/>
        <v>22113.128958593265</v>
      </c>
      <c r="K99">
        <f>VLOOKUP($B99,'[1]Source GDP Current USD'!$B$1:$CZ$600,64,FALSE)</f>
        <v>19132635711.695702</v>
      </c>
      <c r="L99" s="45">
        <f>VLOOKUP($B99,'[1]Source GDP Current USD'!$B$1:$CZ$600,65,FALSE)</f>
        <v>19132635711.695702</v>
      </c>
      <c r="M99" s="17">
        <f>VLOOKUP($B99,'[1]Source GDP Current LCU'!$B$1:$CZ$600,64,FALSE)</f>
        <v>173069804794500</v>
      </c>
      <c r="N99" s="45">
        <v>170000000000000</v>
      </c>
      <c r="O99" s="45">
        <f>VLOOKUP($B99,'[1]Source GNI Current USD'!$B$1:$CZ$600,64,FALSE)</f>
        <v>18109241902.122398</v>
      </c>
      <c r="P99" s="45">
        <f>VLOOKUP($B99,'[1]Source GNI Current LCU'!$B$1:$CZ$600,64,FALSE)</f>
        <v>163812399305800</v>
      </c>
      <c r="Q99">
        <f t="shared" si="2"/>
        <v>105.65122391707268</v>
      </c>
      <c r="R99">
        <v>2520</v>
      </c>
      <c r="S99">
        <v>2520</v>
      </c>
      <c r="T99">
        <v>0.31917200000000001</v>
      </c>
      <c r="U99" s="45">
        <v>7300000</v>
      </c>
      <c r="V99">
        <v>12.776999999999999</v>
      </c>
      <c r="W99">
        <f>VLOOKUP($B99,'[1]Source Gov. Revenue WEO'!$B$1:$CZ$600,5,FALSE)</f>
        <v>13.196999999999999</v>
      </c>
      <c r="X99">
        <f>VLOOKUP($B99,'[1]Source Gov. Revenue WEO'!$B$1:$CZ$600,6,FALSE)</f>
        <v>13.675000000000001</v>
      </c>
      <c r="Y99">
        <f>VLOOKUP($B99,'[1]Source Gov. Revenue WEO'!$B$1:$CZ$600,7,FALSE)</f>
        <v>14.183</v>
      </c>
      <c r="Z99">
        <f>VLOOKUP($B99,'[1]Source Gov. Revenue WEO'!$B$1:$CZ$600,8,FALSE)</f>
        <v>14.625</v>
      </c>
      <c r="AA99">
        <f>VLOOKUP($B99,'[1]Source Gov. Revenue WEO'!$B$1:$CZ$600,9,FALSE)</f>
        <v>14.834</v>
      </c>
      <c r="AB99">
        <f>VLOOKUP($B99,'[1]Source Gov. Revenue WEO'!$B$1:$CZ$600,10,FALSE)</f>
        <v>14.975</v>
      </c>
      <c r="AC99">
        <f>VLOOKUP($B99,[2]Summary!$B$1:$CZ$600,39,FALSE)</f>
        <v>8.6390389999999997E-2</v>
      </c>
      <c r="AD99">
        <f>VLOOKUP($B99,[2]Summary!$B$1:$CZ$600,40,FALSE)</f>
        <v>1.4750000000000001E-2</v>
      </c>
      <c r="AE99">
        <f>VLOOKUP($B99,[2]Summary!$B$1:$CZ$600,47,FALSE)</f>
        <v>0.17500445113313282</v>
      </c>
      <c r="AF99">
        <f>VLOOKUP($B99,'[1]CALC GDP Growth rates WDI'!$B$1:$CZ$600,27,FALSE)</f>
        <v>87.490157846788009</v>
      </c>
      <c r="AG99">
        <f>VLOOKUP($B99,'[1]CALC GDP Growth rates WDI'!$B$1:$CZ$600,29,FALSE)</f>
        <v>92.657060780470488</v>
      </c>
      <c r="AH99">
        <v>28.76</v>
      </c>
      <c r="AI99">
        <f>VLOOKUP($B99,'[1]CALC GDP Growth rates WDI'!$B$1:$CZ$600,30,FALSE)</f>
        <v>30.842731537937084</v>
      </c>
      <c r="AJ99" t="s">
        <v>2464</v>
      </c>
      <c r="AK99">
        <f>VLOOKUP($B99,[1]Data_Aspire!$B$1:$CZ$600,2,FALSE)</f>
        <v>2011</v>
      </c>
      <c r="AL99">
        <f>VLOOKUP($B99,[1]Data_Aspire!$B$1:$CZ$600,3,FALSE)</f>
        <v>0.04</v>
      </c>
      <c r="AM99">
        <f>VLOOKUP($B99,[1]Data_Aspire!$B$1:$CZ$600,4,FALSE)</f>
        <v>0</v>
      </c>
      <c r="AN99">
        <f>VLOOKUP($B99,[1]Data_Aspire!$B$1:$CZ$600,5,FALSE)</f>
        <v>0</v>
      </c>
      <c r="AO99">
        <f>VLOOKUP($B99,[1]Data_Aspire!$B$1:$CZ$600,6,FALSE)</f>
        <v>0</v>
      </c>
      <c r="AP99">
        <f>VLOOKUP($B99,[1]Data_Aspire!$B$1:$CZ$600,7,FALSE)</f>
        <v>0</v>
      </c>
      <c r="AR99">
        <f>VLOOKUP($B99,[1]Data_Aspire!$B$1:$CZ$600,9,FALSE)</f>
        <v>0.03</v>
      </c>
      <c r="AT99">
        <f>VLOOKUP($B99,[1]Data_Aspire!$B$1:$CZ$600,11,FALSE)</f>
        <v>0.01</v>
      </c>
      <c r="AU99">
        <f>VLOOKUP($B99,[1]Data_Aspire!$B$1:$CZ$600,12,FALSE)</f>
        <v>0.04</v>
      </c>
      <c r="BD99">
        <f>VLOOKUP($B99,[1]Data_Aspire!$B$1:$CZ$600,21,FALSE)</f>
        <v>27128</v>
      </c>
      <c r="BE99">
        <f>VLOOKUP($B99,[1]Data_Aspire!$B$1:$CZ$600,22,FALSE)</f>
        <v>2015</v>
      </c>
      <c r="BH99">
        <f>VLOOKUP($B99,[1]Data_Aspire!$B$1:$CZ$600,25,FALSE)</f>
        <v>488813</v>
      </c>
      <c r="BI99">
        <f>VLOOKUP($B99,[1]Data_Aspire!$B$1:$CZ$600,26,FALSE)</f>
        <v>2015</v>
      </c>
      <c r="BJ99" s="7">
        <v>0</v>
      </c>
      <c r="BK99">
        <v>418</v>
      </c>
      <c r="BL99">
        <f>VLOOKUP($B99,'[1]Data_UN_PopulationTot.&amp;%'!$B$4:$CZ$603,8,FALSE)</f>
        <v>7275.56</v>
      </c>
      <c r="BM99">
        <f>VLOOKUP($B99,'[1]Data_UN_PopulationTot.&amp;%'!$B$4:$CZ$603,9,FALSE)</f>
        <v>7379.36</v>
      </c>
      <c r="BN99">
        <v>7481.03</v>
      </c>
      <c r="BO99">
        <f>VLOOKUP($B99,'[1]Data_UN_PopulationTot.&amp;%'!$B$4:$CZ$603,11,FALSE)</f>
        <v>7580.61</v>
      </c>
      <c r="BP99">
        <f>VLOOKUP($B99,'[1]Data_UN_PopulationTot.&amp;%'!$B$4:$CZ$603,12,FALSE)</f>
        <v>7678.4</v>
      </c>
      <c r="BQ99">
        <f>VLOOKUP($B99,'[1]Data_UN_PopulationTot.&amp;%'!$B$4:$CZ$603,13,FALSE)</f>
        <v>7774.53</v>
      </c>
      <c r="BR99">
        <f>VLOOKUP($B99,'[1]Data_UN_PopulationTot.&amp;%'!$B$4:$CZ$603,14,FALSE)</f>
        <v>7868.91</v>
      </c>
      <c r="BS99">
        <f>VLOOKUP($B99,'[1]Data_UN_PopulationTot.&amp;%'!$B$4:$CZ$603,15,FALSE)</f>
        <v>7961.31</v>
      </c>
      <c r="BT99">
        <f>VLOOKUP($B99,'[1]Data_UN_PopulationTot.&amp;%'!$B$4:$CZ$603,16,FALSE)</f>
        <v>8051.68</v>
      </c>
      <c r="BU99">
        <f>VLOOKUP($B99,'[1]Data_UN_PopulationTot.&amp;%'!$B$4:$CZ$603,17,FALSE)</f>
        <v>8140.01</v>
      </c>
      <c r="BV99">
        <f>VLOOKUP($B99,'[1]Data_UN_PopulationTot.&amp;%'!$B$4:$CZ$603,18,FALSE)</f>
        <v>8226.2800000000007</v>
      </c>
      <c r="BW99">
        <f>VLOOKUP($B99,'[1]Data_UN_PopulationTot.&amp;%'!$B$4:$CZ$603,61,FALSE)</f>
        <v>10.952930083732385</v>
      </c>
      <c r="BX99">
        <f>VLOOKUP($B99,'[1]Data_UN_PopulationTot.&amp;%'!$B$4:$CZ$603,62,FALSE)</f>
        <v>10.581384800620159</v>
      </c>
      <c r="BY99">
        <f>VLOOKUP($B99,'[1]Data_UN_PopulationTot.&amp;%'!$B$4:$CZ$603,63,FALSE)</f>
        <v>10.412930413603902</v>
      </c>
      <c r="BZ99">
        <f>VLOOKUP($B99,'[1]Data_UN_PopulationTot.&amp;%'!$B$4:$CZ$603,64,FALSE)</f>
        <v>9.7401712033163079</v>
      </c>
      <c r="CA99">
        <f>VLOOKUP($B99,'[1]Data_UN_PopulationTot.&amp;%'!$B$4:$CZ$603,65,FALSE)</f>
        <v>9.5112816058145349</v>
      </c>
      <c r="CB99">
        <f>VLOOKUP($B99,'[1]Data_UN_PopulationTot.&amp;%'!$B$4:$CZ$603,66,FALSE)</f>
        <v>9.2175172770205993</v>
      </c>
      <c r="CC99">
        <f>VLOOKUP($B99,'[1]Data_UN_PopulationTot.&amp;%'!$B$4:$CZ$603,67,FALSE)</f>
        <v>8.1220689541423621</v>
      </c>
      <c r="CD99">
        <f>VLOOKUP($B99,'[1]Data_UN_PopulationTot.&amp;%'!$B$4:$CZ$603,68,FALSE)</f>
        <v>6.8118880196163589</v>
      </c>
      <c r="CE99">
        <f>VLOOKUP($B99,'[1]Data_UN_PopulationTot.&amp;%'!$B$4:$CZ$603,69,FALSE)</f>
        <v>5.7254286955230942</v>
      </c>
      <c r="CF99">
        <f>VLOOKUP($B99,'[1]Data_UN_PopulationTot.&amp;%'!$B$4:$CZ$603,70,FALSE)</f>
        <v>4.894839709932981</v>
      </c>
      <c r="CG99">
        <f>VLOOKUP($B99,'[1]Data_UN_PopulationTot.&amp;%'!$B$4:$CZ$603,71,FALSE)</f>
        <v>3.9712681910395906</v>
      </c>
      <c r="CH99">
        <f>VLOOKUP($B99,'[1]Data_UN_PopulationTot.&amp;%'!$B$4:$CZ$603,72,FALSE)</f>
        <v>3.2663465080351202</v>
      </c>
      <c r="CI99">
        <f>VLOOKUP($B99,'[1]Data_UN_PopulationTot.&amp;%'!$B$4:$CZ$603,73,FALSE)</f>
        <v>2.5327260032217453</v>
      </c>
      <c r="CJ99">
        <f>VLOOKUP($B99,'[1]Data_UN_PopulationTot.&amp;%'!$B$4:$CZ$603,74,FALSE)</f>
        <v>1.8376729763757014</v>
      </c>
      <c r="CK99">
        <f>VLOOKUP($B99,'[1]Data_UN_PopulationTot.&amp;%'!$B$4:$CZ$603,75,FALSE)</f>
        <v>1.1633056424522648</v>
      </c>
      <c r="CL99">
        <f>VLOOKUP($B99,'[1]Data_UN_PopulationTot.&amp;%'!$B$4:$CZ$603,76,FALSE)</f>
        <v>0.70822039815491866</v>
      </c>
      <c r="CM99">
        <f>VLOOKUP($B99,'[1]Data_UN_PopulationTot.&amp;%'!$B$4:$CZ$603,77,FALSE)</f>
        <v>0.37561369846444809</v>
      </c>
      <c r="CN99">
        <f>VLOOKUP($B99,'[1]Data_UN_PopulationTot.&amp;%'!$B$4:$CZ$603,78,FALSE)</f>
        <v>0.13795501652106504</v>
      </c>
      <c r="CO99">
        <f>VLOOKUP($B99,'[1]Data_UN_PopulationTot.&amp;%'!$B$4:$CZ$603,79,FALSE)</f>
        <v>3.2162472716876771E-2</v>
      </c>
      <c r="CP99">
        <f>VLOOKUP($B99,'[1]Data_UN_PopulationTot.&amp;%'!$B$4:$CZ$603,80,FALSE)</f>
        <v>3.9584581805386801E-3</v>
      </c>
      <c r="CQ99">
        <f>VLOOKUP($B99,'[1]Data_UN_PopulationTot.&amp;%'!$B$4:$CZ$603,81,FALSE)</f>
        <v>2.7489292920407501E-4</v>
      </c>
      <c r="CR99">
        <f>VLOOKUP($B99,'[1]Data_UN_PopulationTot.&amp;%'!$B$4:$CZ$603,82,FALSE)</f>
        <v>9.0801796194634754</v>
      </c>
      <c r="CS99">
        <f>VLOOKUP($B99,'[1]Data_UN_PopulationTot.&amp;%'!$B$4:$CZ$603,83,FALSE)</f>
        <v>9.3212484865577157</v>
      </c>
      <c r="CT99">
        <f>VLOOKUP($B99,'[1]Data_UN_PopulationTot.&amp;%'!$B$4:$CZ$603,84,FALSE)</f>
        <v>9.5025090320290566</v>
      </c>
      <c r="CU99">
        <f>VLOOKUP($B99,'[1]Data_UN_PopulationTot.&amp;%'!$B$4:$CZ$603,85,FALSE)</f>
        <v>9.1491536879367086</v>
      </c>
      <c r="CV99">
        <f>VLOOKUP($B99,'[1]Data_UN_PopulationTot.&amp;%'!$B$4:$CZ$603,86,FALSE)</f>
        <v>8.8001259378479695</v>
      </c>
      <c r="CW99">
        <f>VLOOKUP($B99,'[1]Data_UN_PopulationTot.&amp;%'!$B$4:$CZ$603,87,FALSE)</f>
        <v>8.0667324720286668</v>
      </c>
      <c r="CX99">
        <f>VLOOKUP($B99,'[1]Data_UN_PopulationTot.&amp;%'!$B$4:$CZ$603,88,FALSE)</f>
        <v>7.9200562100973944</v>
      </c>
      <c r="CY99">
        <f>VLOOKUP($B99,'[1]Data_UN_PopulationTot.&amp;%'!$B$4:$CZ$603,89,FALSE)</f>
        <v>7.8091555356734759</v>
      </c>
      <c r="CZ99">
        <f>VLOOKUP($B99,'[1]Data_UN_PopulationTot.&amp;%'!$B$4:$CZ$603,90,FALSE)</f>
        <v>6.9551121527592059</v>
      </c>
      <c r="DA99">
        <f>VLOOKUP($B99,'[1]Data_UN_PopulationTot.&amp;%'!$B$4:$CZ$603,91,FALSE)</f>
        <v>5.8218173949829071</v>
      </c>
      <c r="DB99">
        <f>VLOOKUP($B99,'[1]Data_UN_PopulationTot.&amp;%'!$B$4:$CZ$603,92,FALSE)</f>
        <v>4.8178277423087952</v>
      </c>
      <c r="DC99">
        <f>VLOOKUP($B99,'[1]Data_UN_PopulationTot.&amp;%'!$B$4:$CZ$603,93,FALSE)</f>
        <v>4.0060270255814299</v>
      </c>
      <c r="DD99">
        <f>VLOOKUP($B99,'[1]Data_UN_PopulationTot.&amp;%'!$B$4:$CZ$603,94,FALSE)</f>
        <v>3.1104825024190763</v>
      </c>
      <c r="DE99">
        <f>VLOOKUP($B99,'[1]Data_UN_PopulationTot.&amp;%'!$B$4:$CZ$603,95,FALSE)</f>
        <v>2.3807723539680143</v>
      </c>
      <c r="DF99">
        <f>VLOOKUP($B99,'[1]Data_UN_PopulationTot.&amp;%'!$B$4:$CZ$603,96,FALSE)</f>
        <v>1.6369610565164325</v>
      </c>
      <c r="DG99">
        <f>VLOOKUP($B99,'[1]Data_UN_PopulationTot.&amp;%'!$B$4:$CZ$603,97,FALSE)</f>
        <v>0.97330749743504941</v>
      </c>
      <c r="DH99">
        <f>VLOOKUP($B99,'[1]Data_UN_PopulationTot.&amp;%'!$B$4:$CZ$603,98,FALSE)</f>
        <v>0.44492771945520937</v>
      </c>
      <c r="DI99">
        <f>VLOOKUP($B99,'[1]Data_UN_PopulationTot.&amp;%'!$B$4:$CZ$603,99,FALSE)</f>
        <v>0.15925789056535883</v>
      </c>
      <c r="DJ99">
        <f>VLOOKUP($B99,'[1]Data_UN_PopulationTot.&amp;%'!$B$4:$DE$603,100,FALSE)</f>
        <v>3.8814628240225225E-2</v>
      </c>
      <c r="DK99">
        <f>VLOOKUP($B99,'[1]Data_UN_PopulationTot.&amp;%'!$B$4:$DE$603,101,FALSE)</f>
        <v>5.1177445941543442E-3</v>
      </c>
      <c r="DL99">
        <f>VLOOKUP($B99,'[1]Data_UN_PopulationTot.&amp;%'!$B$4:$DE$603,102,FALSE)</f>
        <v>3.7684105087597308E-4</v>
      </c>
    </row>
    <row r="100" spans="1:116">
      <c r="A100" t="s">
        <v>159</v>
      </c>
      <c r="B100" t="s">
        <v>373</v>
      </c>
      <c r="C100" t="s">
        <v>487</v>
      </c>
      <c r="D100" t="s">
        <v>334</v>
      </c>
      <c r="E100" t="s">
        <v>300</v>
      </c>
      <c r="F100">
        <v>0</v>
      </c>
      <c r="G100">
        <v>1</v>
      </c>
      <c r="H100">
        <v>0</v>
      </c>
      <c r="I100">
        <v>0</v>
      </c>
      <c r="J100" s="18">
        <f t="shared" si="3"/>
        <v>18740.36204828673</v>
      </c>
      <c r="K100">
        <f>VLOOKUP($B100,'[1]Source GDP Current USD'!$B$1:$CZ$600,64,FALSE)</f>
        <v>31735217784.544498</v>
      </c>
      <c r="L100" s="45">
        <f>VLOOKUP($B100,'[1]Source GDP Current USD'!$B$1:$CZ$600,65,FALSE)</f>
        <v>31735217784.544498</v>
      </c>
      <c r="M100" s="17">
        <f>VLOOKUP($B100,'[1]Source GDP Current LCU'!$B$1:$CZ$600,64,FALSE)</f>
        <v>117039483189400</v>
      </c>
      <c r="N100" s="45">
        <v>120000000000000</v>
      </c>
      <c r="O100" s="45">
        <f>VLOOKUP($B100,'[1]Source GNI Current USD'!$B$1:$CZ$600,64,FALSE)</f>
        <v>31004850691.269001</v>
      </c>
      <c r="P100" s="45">
        <f>VLOOKUP($B100,'[1]Source GNI Current LCU'!$B$1:$CZ$600,64,FALSE)</f>
        <v>114345889349400</v>
      </c>
      <c r="Q100">
        <f t="shared" si="2"/>
        <v>102.35565428309306</v>
      </c>
      <c r="R100">
        <v>5370</v>
      </c>
      <c r="S100">
        <v>5370</v>
      </c>
      <c r="T100">
        <v>0.38367099999999998</v>
      </c>
      <c r="U100" s="45">
        <v>6800000</v>
      </c>
      <c r="V100">
        <v>16.012</v>
      </c>
      <c r="W100">
        <f>VLOOKUP($B100,'[1]Source Gov. Revenue WEO'!$B$1:$CZ$600,5,FALSE)</f>
        <v>0</v>
      </c>
      <c r="X100">
        <f>VLOOKUP($B100,'[1]Source Gov. Revenue WEO'!$B$1:$CZ$600,6,FALSE)</f>
        <v>0</v>
      </c>
      <c r="Y100">
        <f>VLOOKUP($B100,'[1]Source Gov. Revenue WEO'!$B$1:$CZ$600,7,FALSE)</f>
        <v>0</v>
      </c>
      <c r="Z100">
        <f>VLOOKUP($B100,'[1]Source Gov. Revenue WEO'!$B$1:$CZ$600,8,FALSE)</f>
        <v>0</v>
      </c>
      <c r="AA100">
        <f>VLOOKUP($B100,'[1]Source Gov. Revenue WEO'!$B$1:$CZ$600,9,FALSE)</f>
        <v>0</v>
      </c>
      <c r="AB100">
        <f>VLOOKUP($B100,'[1]Source Gov. Revenue WEO'!$B$1:$CZ$600,10,FALSE)</f>
        <v>0</v>
      </c>
      <c r="AC100">
        <f>VLOOKUP($B100,[2]Summary!$B$1:$CZ$600,39,FALSE)</f>
        <v>9.999999999999999E-14</v>
      </c>
      <c r="AD100">
        <f>VLOOKUP($B100,[2]Summary!$B$1:$CZ$600,40,FALSE)</f>
        <v>9.999999999999999E-14</v>
      </c>
      <c r="AE100">
        <f>VLOOKUP($B100,[2]Summary!$B$1:$CZ$600,47,FALSE)</f>
        <v>0.20912754187320454</v>
      </c>
      <c r="AF100">
        <f>VLOOKUP($B100,'[1]CALC GDP Growth rates WDI'!$B$1:$CZ$600,27,FALSE)</f>
        <v>-18.811338266524906</v>
      </c>
      <c r="AG100">
        <f>VLOOKUP($B100,'[1]CALC GDP Growth rates WDI'!$B$1:$CZ$600,29,FALSE)</f>
        <v>20.791396116051786</v>
      </c>
      <c r="AH100">
        <v>-26.62</v>
      </c>
      <c r="AI100">
        <f>VLOOKUP($B100,'[1]CALC GDP Growth rates WDI'!$B$1:$CZ$600,30,FALSE)</f>
        <v>1.6939516438954527</v>
      </c>
      <c r="AJ100" s="45"/>
      <c r="AK100">
        <f>VLOOKUP($B100,[1]Data_Aspire!$B$1:$CZ$600,2,FALSE)</f>
        <v>2013</v>
      </c>
      <c r="AL100">
        <f>VLOOKUP($B100,[1]Data_Aspire!$B$1:$CZ$600,3,FALSE)</f>
        <v>0.99</v>
      </c>
      <c r="AM100">
        <f>VLOOKUP($B100,[1]Data_Aspire!$B$1:$CZ$600,4,FALSE)</f>
        <v>0</v>
      </c>
      <c r="AN100">
        <f>VLOOKUP($B100,[1]Data_Aspire!$B$1:$CZ$600,5,FALSE)</f>
        <v>0.17</v>
      </c>
      <c r="AO100">
        <f>VLOOKUP($B100,[1]Data_Aspire!$B$1:$CZ$600,6,FALSE)</f>
        <v>0.03</v>
      </c>
      <c r="AP100">
        <f>VLOOKUP($B100,[1]Data_Aspire!$B$1:$CZ$600,7,FALSE)</f>
        <v>0</v>
      </c>
      <c r="AS100">
        <f>VLOOKUP($B100,[1]Data_Aspire!$B$1:$CZ$600,10,FALSE)</f>
        <v>0.56999999999999995</v>
      </c>
      <c r="AT100">
        <f>VLOOKUP($B100,[1]Data_Aspire!$B$1:$CZ$600,11,FALSE)</f>
        <v>0.21</v>
      </c>
      <c r="AU100">
        <f>VLOOKUP($B100,[1]Data_Aspire!$B$1:$CZ$600,12,FALSE)</f>
        <v>0.42</v>
      </c>
      <c r="BJ100" s="7">
        <v>0</v>
      </c>
      <c r="BK100">
        <v>422</v>
      </c>
      <c r="BL100">
        <f>VLOOKUP($B100,'[1]Data_UN_PopulationTot.&amp;%'!$B$4:$CZ$603,8,FALSE)</f>
        <v>6825.44</v>
      </c>
      <c r="BM100">
        <f>VLOOKUP($B100,'[1]Data_UN_PopulationTot.&amp;%'!$B$4:$CZ$603,9,FALSE)</f>
        <v>6769.15</v>
      </c>
      <c r="BN100">
        <v>6684.85</v>
      </c>
      <c r="BO100">
        <f>VLOOKUP($B100,'[1]Data_UN_PopulationTot.&amp;%'!$B$4:$CZ$603,11,FALSE)</f>
        <v>6585.12</v>
      </c>
      <c r="BP100">
        <f>VLOOKUP($B100,'[1]Data_UN_PopulationTot.&amp;%'!$B$4:$CZ$603,12,FALSE)</f>
        <v>6485.34</v>
      </c>
      <c r="BQ100">
        <f>VLOOKUP($B100,'[1]Data_UN_PopulationTot.&amp;%'!$B$4:$CZ$603,13,FALSE)</f>
        <v>6397.25</v>
      </c>
      <c r="BR100">
        <f>VLOOKUP($B100,'[1]Data_UN_PopulationTot.&amp;%'!$B$4:$CZ$603,14,FALSE)</f>
        <v>6326.66</v>
      </c>
      <c r="BS100">
        <f>VLOOKUP($B100,'[1]Data_UN_PopulationTot.&amp;%'!$B$4:$CZ$603,15,FALSE)</f>
        <v>6273.63</v>
      </c>
      <c r="BT100">
        <f>VLOOKUP($B100,'[1]Data_UN_PopulationTot.&amp;%'!$B$4:$CZ$603,16,FALSE)</f>
        <v>6236.67</v>
      </c>
      <c r="BU100">
        <f>VLOOKUP($B100,'[1]Data_UN_PopulationTot.&amp;%'!$B$4:$CZ$603,17,FALSE)</f>
        <v>6211.49</v>
      </c>
      <c r="BV100">
        <f>VLOOKUP($B100,'[1]Data_UN_PopulationTot.&amp;%'!$B$4:$CZ$603,18,FALSE)</f>
        <v>6194.84</v>
      </c>
      <c r="BW100">
        <f>VLOOKUP($B100,'[1]Data_UN_PopulationTot.&amp;%'!$B$4:$CZ$603,61,FALSE)</f>
        <v>8.2943663705197022</v>
      </c>
      <c r="BX100">
        <f>VLOOKUP($B100,'[1]Data_UN_PopulationTot.&amp;%'!$B$4:$CZ$603,62,FALSE)</f>
        <v>8.5859666190018515</v>
      </c>
      <c r="BY100">
        <f>VLOOKUP($B100,'[1]Data_UN_PopulationTot.&amp;%'!$B$4:$CZ$603,63,FALSE)</f>
        <v>8.1884244825242032</v>
      </c>
      <c r="BZ100">
        <f>VLOOKUP($B100,'[1]Data_UN_PopulationTot.&amp;%'!$B$4:$CZ$603,64,FALSE)</f>
        <v>8.440496143838347</v>
      </c>
      <c r="CA100">
        <f>VLOOKUP($B100,'[1]Data_UN_PopulationTot.&amp;%'!$B$4:$CZ$603,65,FALSE)</f>
        <v>8.6906045617571905</v>
      </c>
      <c r="CB100">
        <f>VLOOKUP($B100,'[1]Data_UN_PopulationTot.&amp;%'!$B$4:$CZ$603,66,FALSE)</f>
        <v>8.5474636067418377</v>
      </c>
      <c r="CC100">
        <f>VLOOKUP($B100,'[1]Data_UN_PopulationTot.&amp;%'!$B$4:$CZ$603,67,FALSE)</f>
        <v>7.648136969924284</v>
      </c>
      <c r="CD100">
        <f>VLOOKUP($B100,'[1]Data_UN_PopulationTot.&amp;%'!$B$4:$CZ$603,68,FALSE)</f>
        <v>7.1442573665580547</v>
      </c>
      <c r="CE100">
        <f>VLOOKUP($B100,'[1]Data_UN_PopulationTot.&amp;%'!$B$4:$CZ$603,69,FALSE)</f>
        <v>6.6371984809770508</v>
      </c>
      <c r="CF100">
        <f>VLOOKUP($B100,'[1]Data_UN_PopulationTot.&amp;%'!$B$4:$CZ$603,70,FALSE)</f>
        <v>6.0029097025246729</v>
      </c>
      <c r="CG100">
        <f>VLOOKUP($B100,'[1]Data_UN_PopulationTot.&amp;%'!$B$4:$CZ$603,71,FALSE)</f>
        <v>5.7193821936754263</v>
      </c>
      <c r="CH100">
        <f>VLOOKUP($B100,'[1]Data_UN_PopulationTot.&amp;%'!$B$4:$CZ$603,72,FALSE)</f>
        <v>4.8993911015260547</v>
      </c>
      <c r="CI100">
        <f>VLOOKUP($B100,'[1]Data_UN_PopulationTot.&amp;%'!$B$4:$CZ$603,73,FALSE)</f>
        <v>3.6523799198293445</v>
      </c>
      <c r="CJ100">
        <f>VLOOKUP($B100,'[1]Data_UN_PopulationTot.&amp;%'!$B$4:$CZ$603,74,FALSE)</f>
        <v>2.9078857919782464</v>
      </c>
      <c r="CK100">
        <f>VLOOKUP($B100,'[1]Data_UN_PopulationTot.&amp;%'!$B$4:$CZ$603,75,FALSE)</f>
        <v>1.9263373496800205</v>
      </c>
      <c r="CL100">
        <f>VLOOKUP($B100,'[1]Data_UN_PopulationTot.&amp;%'!$B$4:$CZ$603,76,FALSE)</f>
        <v>1.1734335075833939</v>
      </c>
      <c r="CM100">
        <f>VLOOKUP($B100,'[1]Data_UN_PopulationTot.&amp;%'!$B$4:$CZ$603,77,FALSE)</f>
        <v>0.91970627534635141</v>
      </c>
      <c r="CN100">
        <f>VLOOKUP($B100,'[1]Data_UN_PopulationTot.&amp;%'!$B$4:$CZ$603,78,FALSE)</f>
        <v>0.47865046062964439</v>
      </c>
      <c r="CO100">
        <f>VLOOKUP($B100,'[1]Data_UN_PopulationTot.&amp;%'!$B$4:$CZ$603,79,FALSE)</f>
        <v>0.11996296209475141</v>
      </c>
      <c r="CP100">
        <f>VLOOKUP($B100,'[1]Data_UN_PopulationTot.&amp;%'!$B$4:$CZ$603,80,FALSE)</f>
        <v>2.0877774912679625E-2</v>
      </c>
      <c r="CQ100">
        <f>VLOOKUP($B100,'[1]Data_UN_PopulationTot.&amp;%'!$B$4:$CZ$603,81,FALSE)</f>
        <v>2.1976605171241709E-3</v>
      </c>
      <c r="CR100">
        <f>VLOOKUP($B100,'[1]Data_UN_PopulationTot.&amp;%'!$B$4:$CZ$603,82,FALSE)</f>
        <v>7.0188899148323447</v>
      </c>
      <c r="CS100">
        <f>VLOOKUP($B100,'[1]Data_UN_PopulationTot.&amp;%'!$B$4:$CZ$603,83,FALSE)</f>
        <v>7.1535988015832528</v>
      </c>
      <c r="CT100">
        <f>VLOOKUP($B100,'[1]Data_UN_PopulationTot.&amp;%'!$B$4:$CZ$603,84,FALSE)</f>
        <v>6.7854698426432307</v>
      </c>
      <c r="CU100">
        <f>VLOOKUP($B100,'[1]Data_UN_PopulationTot.&amp;%'!$B$4:$CZ$603,85,FALSE)</f>
        <v>7.0464128209929564</v>
      </c>
      <c r="CV100">
        <f>VLOOKUP($B100,'[1]Data_UN_PopulationTot.&amp;%'!$B$4:$CZ$603,86,FALSE)</f>
        <v>6.7042409489187769</v>
      </c>
      <c r="CW100">
        <f>VLOOKUP($B100,'[1]Data_UN_PopulationTot.&amp;%'!$B$4:$CZ$603,87,FALSE)</f>
        <v>7.116745549521859</v>
      </c>
      <c r="CX100">
        <f>VLOOKUP($B100,'[1]Data_UN_PopulationTot.&amp;%'!$B$4:$CZ$603,88,FALSE)</f>
        <v>7.509475628103389</v>
      </c>
      <c r="CY100">
        <f>VLOOKUP($B100,'[1]Data_UN_PopulationTot.&amp;%'!$B$4:$CZ$603,89,FALSE)</f>
        <v>7.625346255916214</v>
      </c>
      <c r="CZ100">
        <f>VLOOKUP($B100,'[1]Data_UN_PopulationTot.&amp;%'!$B$4:$CZ$603,90,FALSE)</f>
        <v>6.9946277869969196</v>
      </c>
      <c r="DA100">
        <f>VLOOKUP($B100,'[1]Data_UN_PopulationTot.&amp;%'!$B$4:$CZ$603,91,FALSE)</f>
        <v>6.7012868774657619</v>
      </c>
      <c r="DB100">
        <f>VLOOKUP($B100,'[1]Data_UN_PopulationTot.&amp;%'!$B$4:$CZ$603,92,FALSE)</f>
        <v>6.2758037334297576</v>
      </c>
      <c r="DC100">
        <f>VLOOKUP($B100,'[1]Data_UN_PopulationTot.&amp;%'!$B$4:$CZ$603,93,FALSE)</f>
        <v>5.6745452667058389</v>
      </c>
      <c r="DD100">
        <f>VLOOKUP($B100,'[1]Data_UN_PopulationTot.&amp;%'!$B$4:$CZ$603,94,FALSE)</f>
        <v>5.4058054768161883</v>
      </c>
      <c r="DE100">
        <f>VLOOKUP($B100,'[1]Data_UN_PopulationTot.&amp;%'!$B$4:$CZ$603,95,FALSE)</f>
        <v>4.5203750217923302</v>
      </c>
      <c r="DF100">
        <f>VLOOKUP($B100,'[1]Data_UN_PopulationTot.&amp;%'!$B$4:$CZ$603,96,FALSE)</f>
        <v>3.1687339786015456</v>
      </c>
      <c r="DG100">
        <f>VLOOKUP($B100,'[1]Data_UN_PopulationTot.&amp;%'!$B$4:$CZ$603,97,FALSE)</f>
        <v>2.2626734508074464</v>
      </c>
      <c r="DH100">
        <f>VLOOKUP($B100,'[1]Data_UN_PopulationTot.&amp;%'!$B$4:$CZ$603,98,FALSE)</f>
        <v>1.1921857545957604</v>
      </c>
      <c r="DI100">
        <f>VLOOKUP($B100,'[1]Data_UN_PopulationTot.&amp;%'!$B$4:$CZ$603,99,FALSE)</f>
        <v>0.5120390518560608</v>
      </c>
      <c r="DJ100">
        <f>VLOOKUP($B100,'[1]Data_UN_PopulationTot.&amp;%'!$B$4:$DE$603,100,FALSE)</f>
        <v>0.25960315359234459</v>
      </c>
      <c r="DK100">
        <f>VLOOKUP($B100,'[1]Data_UN_PopulationTot.&amp;%'!$B$4:$DE$603,101,FALSE)</f>
        <v>6.6103402186335716E-2</v>
      </c>
      <c r="DL100">
        <f>VLOOKUP($B100,'[1]Data_UN_PopulationTot.&amp;%'!$B$4:$DE$603,102,FALSE)</f>
        <v>6.0695675755951728E-3</v>
      </c>
    </row>
    <row r="101" spans="1:116">
      <c r="A101" t="s">
        <v>103</v>
      </c>
      <c r="B101" t="s">
        <v>316</v>
      </c>
      <c r="C101" t="s">
        <v>496</v>
      </c>
      <c r="D101" t="s">
        <v>306</v>
      </c>
      <c r="E101" t="s">
        <v>299</v>
      </c>
      <c r="F101">
        <v>1</v>
      </c>
      <c r="G101">
        <v>0</v>
      </c>
      <c r="H101">
        <v>0</v>
      </c>
      <c r="I101">
        <v>0</v>
      </c>
      <c r="J101" s="18">
        <f t="shared" si="3"/>
        <v>0.96035634000000003</v>
      </c>
      <c r="K101">
        <f>VLOOKUP($B101,'[1]Source GDP Current USD'!$B$1:$CZ$600,64,FALSE)</f>
        <v>3201187800</v>
      </c>
      <c r="L101" s="45">
        <f>VLOOKUP($B101,'[1]Source GDP Current USD'!$B$1:$CZ$600,65,FALSE)</f>
        <v>3201187800</v>
      </c>
      <c r="M101" s="17">
        <f>VLOOKUP($B101,'[1]Source GDP Current LCU'!$B$1:$CZ$600,64,FALSE)</f>
        <v>3201187800</v>
      </c>
      <c r="N101" s="45">
        <v>3200000000</v>
      </c>
      <c r="O101" s="45">
        <f>VLOOKUP($B101,'[1]Source GNI Current USD'!$B$1:$CZ$600,64,FALSE)</f>
        <v>2840688200</v>
      </c>
      <c r="P101" s="45">
        <f>VLOOKUP($B101,'[1]Source GNI Current LCU'!$B$1:$CZ$600,64,FALSE)</f>
        <v>2840688200</v>
      </c>
      <c r="Q101">
        <f t="shared" si="2"/>
        <v>112.69057265771021</v>
      </c>
      <c r="R101">
        <v>570</v>
      </c>
      <c r="S101">
        <v>570</v>
      </c>
      <c r="T101">
        <v>0.43104999999999999</v>
      </c>
      <c r="U101" s="45">
        <v>5100000</v>
      </c>
      <c r="V101">
        <v>30</v>
      </c>
      <c r="W101">
        <f>VLOOKUP($B101,'[1]Source Gov. Revenue WEO'!$B$1:$CZ$600,5,FALSE)</f>
        <v>28.712</v>
      </c>
      <c r="X101">
        <f>VLOOKUP($B101,'[1]Source Gov. Revenue WEO'!$B$1:$CZ$600,6,FALSE)</f>
        <v>27.812000000000001</v>
      </c>
      <c r="Y101">
        <f>VLOOKUP($B101,'[1]Source Gov. Revenue WEO'!$B$1:$CZ$600,7,FALSE)</f>
        <v>28.646000000000001</v>
      </c>
      <c r="Z101">
        <f>VLOOKUP($B101,'[1]Source Gov. Revenue WEO'!$B$1:$CZ$600,8,FALSE)</f>
        <v>28.603999999999999</v>
      </c>
      <c r="AA101">
        <f>VLOOKUP($B101,'[1]Source Gov. Revenue WEO'!$B$1:$CZ$600,9,FALSE)</f>
        <v>28.038</v>
      </c>
      <c r="AB101">
        <f>VLOOKUP($B101,'[1]Source Gov. Revenue WEO'!$B$1:$CZ$600,10,FALSE)</f>
        <v>24.960999999999999</v>
      </c>
      <c r="AC101">
        <f>VLOOKUP($B101,[2]Summary!$B$1:$CZ$600,39,FALSE)</f>
        <v>0.42083779999999998</v>
      </c>
      <c r="AD101">
        <f>VLOOKUP($B101,[2]Summary!$B$1:$CZ$600,40,FALSE)</f>
        <v>0.42225000000000001</v>
      </c>
      <c r="AE101">
        <f>VLOOKUP($B101,[2]Summary!$B$1:$CZ$600,47,FALSE)</f>
        <v>0.21147044334975368</v>
      </c>
      <c r="AF101">
        <f>VLOOKUP($B101,'[1]CALC GDP Growth rates WDI'!$B$1:$CZ$600,27,FALSE)</f>
        <v>23.448939895995132</v>
      </c>
      <c r="AG101">
        <f>VLOOKUP($B101,'[1]CALC GDP Growth rates WDI'!$B$1:$CZ$600,29,FALSE)</f>
        <v>38.336340482126815</v>
      </c>
      <c r="AH101">
        <v>-3.44</v>
      </c>
      <c r="AI101">
        <f>VLOOKUP($B101,'[1]CALC GDP Growth rates WDI'!$B$1:$CZ$600,30,FALSE)</f>
        <v>1.9478693148294868</v>
      </c>
      <c r="AJ101" t="s">
        <v>2465</v>
      </c>
      <c r="AK101">
        <f>VLOOKUP($B101,[1]Data_Aspire!$B$1:$CZ$600,2,FALSE)</f>
        <v>2016</v>
      </c>
      <c r="AL101">
        <f>VLOOKUP($B101,[1]Data_Aspire!$B$1:$CZ$600,3,FALSE)</f>
        <v>1.7</v>
      </c>
      <c r="AM101">
        <f>VLOOKUP($B101,[1]Data_Aspire!$B$1:$CZ$600,4,FALSE)</f>
        <v>0</v>
      </c>
      <c r="AN101">
        <f>VLOOKUP($B101,[1]Data_Aspire!$B$1:$CZ$600,5,FALSE)</f>
        <v>0.1</v>
      </c>
      <c r="AO101">
        <f>VLOOKUP($B101,[1]Data_Aspire!$B$1:$CZ$600,6,FALSE)</f>
        <v>0</v>
      </c>
      <c r="AP101">
        <f>VLOOKUP($B101,[1]Data_Aspire!$B$1:$CZ$600,7,FALSE)</f>
        <v>0.64</v>
      </c>
      <c r="AQ101">
        <f>VLOOKUP($B101,[1]Data_Aspire!$B$1:$CZ$600,8,FALSE)</f>
        <v>0.64</v>
      </c>
      <c r="AR101">
        <f>VLOOKUP($B101,[1]Data_Aspire!$B$1:$CZ$600,9,FALSE)</f>
        <v>0.32</v>
      </c>
      <c r="AU101">
        <f>VLOOKUP($B101,[1]Data_Aspire!$B$1:$CZ$600,12,FALSE)</f>
        <v>1.7</v>
      </c>
      <c r="AX101">
        <f>VLOOKUP($B101,[1]Data_Aspire!$B$1:$CZ$600,15,FALSE)</f>
        <v>41086</v>
      </c>
      <c r="AY101">
        <f>VLOOKUP($B101,[1]Data_Aspire!$B$1:$CZ$600,16,FALSE)</f>
        <v>2016</v>
      </c>
      <c r="BB101">
        <f>VLOOKUP($B101,[1]Data_Aspire!$B$1:$CZ$600,19,FALSE)</f>
        <v>30000</v>
      </c>
      <c r="BC101">
        <f>VLOOKUP($B101,[1]Data_Aspire!$B$1:$CZ$600,20,FALSE)</f>
        <v>2015</v>
      </c>
      <c r="BD101">
        <f>VLOOKUP($B101,[1]Data_Aspire!$B$1:$CZ$600,21,FALSE)</f>
        <v>648000</v>
      </c>
      <c r="BE101">
        <f>VLOOKUP($B101,[1]Data_Aspire!$B$1:$CZ$600,22,FALSE)</f>
        <v>2011</v>
      </c>
      <c r="BF101">
        <f>VLOOKUP($B101,[1]Data_Aspire!$B$1:$CZ$600,23,FALSE)</f>
        <v>58581</v>
      </c>
      <c r="BG101">
        <f>VLOOKUP($B101,[1]Data_Aspire!$B$1:$CZ$600,24,FALSE)</f>
        <v>2016</v>
      </c>
      <c r="BJ101" s="7">
        <v>1</v>
      </c>
      <c r="BK101">
        <v>430</v>
      </c>
      <c r="BL101">
        <f>VLOOKUP($B101,'[1]Data_UN_PopulationTot.&amp;%'!$B$4:$CZ$603,8,FALSE)</f>
        <v>5057.68</v>
      </c>
      <c r="BM101">
        <f>VLOOKUP($B101,'[1]Data_UN_PopulationTot.&amp;%'!$B$4:$CZ$603,9,FALSE)</f>
        <v>5180.21</v>
      </c>
      <c r="BN101">
        <v>5305.12</v>
      </c>
      <c r="BO101">
        <f>VLOOKUP($B101,'[1]Data_UN_PopulationTot.&amp;%'!$B$4:$CZ$603,11,FALSE)</f>
        <v>5432.27</v>
      </c>
      <c r="BP101">
        <f>VLOOKUP($B101,'[1]Data_UN_PopulationTot.&amp;%'!$B$4:$CZ$603,12,FALSE)</f>
        <v>5561.38</v>
      </c>
      <c r="BQ101">
        <f>VLOOKUP($B101,'[1]Data_UN_PopulationTot.&amp;%'!$B$4:$CZ$603,13,FALSE)</f>
        <v>5692.19</v>
      </c>
      <c r="BR101">
        <f>VLOOKUP($B101,'[1]Data_UN_PopulationTot.&amp;%'!$B$4:$CZ$603,14,FALSE)</f>
        <v>5824.73</v>
      </c>
      <c r="BS101">
        <f>VLOOKUP($B101,'[1]Data_UN_PopulationTot.&amp;%'!$B$4:$CZ$603,15,FALSE)</f>
        <v>5959.02</v>
      </c>
      <c r="BT101">
        <f>VLOOKUP($B101,'[1]Data_UN_PopulationTot.&amp;%'!$B$4:$CZ$603,16,FALSE)</f>
        <v>6095</v>
      </c>
      <c r="BU101">
        <f>VLOOKUP($B101,'[1]Data_UN_PopulationTot.&amp;%'!$B$4:$CZ$603,17,FALSE)</f>
        <v>6232.54</v>
      </c>
      <c r="BV101">
        <f>VLOOKUP($B101,'[1]Data_UN_PopulationTot.&amp;%'!$B$4:$CZ$603,18,FALSE)</f>
        <v>6371.56</v>
      </c>
      <c r="BW101">
        <f>VLOOKUP($B101,'[1]Data_UN_PopulationTot.&amp;%'!$B$4:$CZ$603,61,FALSE)</f>
        <v>14.640961863937616</v>
      </c>
      <c r="BX101">
        <f>VLOOKUP($B101,'[1]Data_UN_PopulationTot.&amp;%'!$B$4:$CZ$603,62,FALSE)</f>
        <v>13.411742142642474</v>
      </c>
      <c r="BY101">
        <f>VLOOKUP($B101,'[1]Data_UN_PopulationTot.&amp;%'!$B$4:$CZ$603,63,FALSE)</f>
        <v>12.319482450451591</v>
      </c>
      <c r="BZ101">
        <f>VLOOKUP($B101,'[1]Data_UN_PopulationTot.&amp;%'!$B$4:$CZ$603,64,FALSE)</f>
        <v>10.913007544961326</v>
      </c>
      <c r="CA101">
        <f>VLOOKUP($B101,'[1]Data_UN_PopulationTot.&amp;%'!$B$4:$CZ$603,65,FALSE)</f>
        <v>9.1558184780373608</v>
      </c>
      <c r="CB101">
        <f>VLOOKUP($B101,'[1]Data_UN_PopulationTot.&amp;%'!$B$4:$CZ$603,66,FALSE)</f>
        <v>7.469452397146517</v>
      </c>
      <c r="CC101">
        <f>VLOOKUP($B101,'[1]Data_UN_PopulationTot.&amp;%'!$B$4:$CZ$603,67,FALSE)</f>
        <v>6.6098487844228977</v>
      </c>
      <c r="CD101">
        <f>VLOOKUP($B101,'[1]Data_UN_PopulationTot.&amp;%'!$B$4:$CZ$603,68,FALSE)</f>
        <v>5.8426590847977726</v>
      </c>
      <c r="CE101">
        <f>VLOOKUP($B101,'[1]Data_UN_PopulationTot.&amp;%'!$B$4:$CZ$603,69,FALSE)</f>
        <v>4.8521258758956671</v>
      </c>
      <c r="CF101">
        <f>VLOOKUP($B101,'[1]Data_UN_PopulationTot.&amp;%'!$B$4:$CZ$603,70,FALSE)</f>
        <v>3.930478005725945</v>
      </c>
      <c r="CG101">
        <f>VLOOKUP($B101,'[1]Data_UN_PopulationTot.&amp;%'!$B$4:$CZ$603,71,FALSE)</f>
        <v>3.1254448680027207</v>
      </c>
      <c r="CH101">
        <f>VLOOKUP($B101,'[1]Data_UN_PopulationTot.&amp;%'!$B$4:$CZ$603,72,FALSE)</f>
        <v>2.4863771531611332</v>
      </c>
      <c r="CI101">
        <f>VLOOKUP($B101,'[1]Data_UN_PopulationTot.&amp;%'!$B$4:$CZ$603,73,FALSE)</f>
        <v>1.9240442258110435</v>
      </c>
      <c r="CJ101">
        <f>VLOOKUP($B101,'[1]Data_UN_PopulationTot.&amp;%'!$B$4:$CZ$603,74,FALSE)</f>
        <v>1.4069296594486009</v>
      </c>
      <c r="CK101">
        <f>VLOOKUP($B101,'[1]Data_UN_PopulationTot.&amp;%'!$B$4:$CZ$603,75,FALSE)</f>
        <v>0.88987440881985402</v>
      </c>
      <c r="CL101">
        <f>VLOOKUP($B101,'[1]Data_UN_PopulationTot.&amp;%'!$B$4:$CZ$603,76,FALSE)</f>
        <v>0.62178706442479559</v>
      </c>
      <c r="CM101">
        <f>VLOOKUP($B101,'[1]Data_UN_PopulationTot.&amp;%'!$B$4:$CZ$603,77,FALSE)</f>
        <v>0.29661821230287405</v>
      </c>
      <c r="CN101">
        <f>VLOOKUP($B101,'[1]Data_UN_PopulationTot.&amp;%'!$B$4:$CZ$603,78,FALSE)</f>
        <v>8.9369038768763523E-2</v>
      </c>
      <c r="CO101">
        <f>VLOOKUP($B101,'[1]Data_UN_PopulationTot.&amp;%'!$B$4:$CZ$603,79,FALSE)</f>
        <v>1.3187864791762233E-2</v>
      </c>
      <c r="CP101">
        <f>VLOOKUP($B101,'[1]Data_UN_PopulationTot.&amp;%'!$B$4:$CZ$603,80,FALSE)</f>
        <v>7.3156071558501119E-4</v>
      </c>
      <c r="CQ101">
        <f>VLOOKUP($B101,'[1]Data_UN_PopulationTot.&amp;%'!$B$4:$CZ$603,81,FALSE)</f>
        <v>0</v>
      </c>
      <c r="CR101">
        <f>VLOOKUP($B101,'[1]Data_UN_PopulationTot.&amp;%'!$B$4:$CZ$603,82,FALSE)</f>
        <v>13.518463296272811</v>
      </c>
      <c r="CS101">
        <f>VLOOKUP($B101,'[1]Data_UN_PopulationTot.&amp;%'!$B$4:$CZ$603,83,FALSE)</f>
        <v>12.379762569920082</v>
      </c>
      <c r="CT101">
        <f>VLOOKUP($B101,'[1]Data_UN_PopulationTot.&amp;%'!$B$4:$CZ$603,84,FALSE)</f>
        <v>11.299101005091373</v>
      </c>
      <c r="CU101">
        <f>VLOOKUP($B101,'[1]Data_UN_PopulationTot.&amp;%'!$B$4:$CZ$603,85,FALSE)</f>
        <v>10.439295871026873</v>
      </c>
      <c r="CV101">
        <f>VLOOKUP($B101,'[1]Data_UN_PopulationTot.&amp;%'!$B$4:$CZ$603,86,FALSE)</f>
        <v>9.5585696438548791</v>
      </c>
      <c r="CW101">
        <f>VLOOKUP($B101,'[1]Data_UN_PopulationTot.&amp;%'!$B$4:$CZ$603,87,FALSE)</f>
        <v>8.4147524311157706</v>
      </c>
      <c r="CX101">
        <f>VLOOKUP($B101,'[1]Data_UN_PopulationTot.&amp;%'!$B$4:$CZ$603,88,FALSE)</f>
        <v>7.0206040592884627</v>
      </c>
      <c r="CY101">
        <f>VLOOKUP($B101,'[1]Data_UN_PopulationTot.&amp;%'!$B$4:$CZ$603,89,FALSE)</f>
        <v>5.6919812416425488</v>
      </c>
      <c r="CZ101">
        <f>VLOOKUP($B101,'[1]Data_UN_PopulationTot.&amp;%'!$B$4:$CZ$603,90,FALSE)</f>
        <v>4.9954171348931808</v>
      </c>
      <c r="DA101">
        <f>VLOOKUP($B101,'[1]Data_UN_PopulationTot.&amp;%'!$B$4:$CZ$603,91,FALSE)</f>
        <v>4.3667170991091666</v>
      </c>
      <c r="DB101">
        <f>VLOOKUP($B101,'[1]Data_UN_PopulationTot.&amp;%'!$B$4:$CZ$603,92,FALSE)</f>
        <v>3.5666461588684717</v>
      </c>
      <c r="DC101">
        <f>VLOOKUP($B101,'[1]Data_UN_PopulationTot.&amp;%'!$B$4:$CZ$603,93,FALSE)</f>
        <v>2.8165315872408012</v>
      </c>
      <c r="DD101">
        <f>VLOOKUP($B101,'[1]Data_UN_PopulationTot.&amp;%'!$B$4:$CZ$603,94,FALSE)</f>
        <v>2.1533501999510323</v>
      </c>
      <c r="DE101">
        <f>VLOOKUP($B101,'[1]Data_UN_PopulationTot.&amp;%'!$B$4:$CZ$603,95,FALSE)</f>
        <v>1.5998593750980921</v>
      </c>
      <c r="DF101">
        <f>VLOOKUP($B101,'[1]Data_UN_PopulationTot.&amp;%'!$B$4:$CZ$603,96,FALSE)</f>
        <v>1.0985535724375193</v>
      </c>
      <c r="DG101">
        <f>VLOOKUP($B101,'[1]Data_UN_PopulationTot.&amp;%'!$B$4:$CZ$603,97,FALSE)</f>
        <v>0.65600888950272773</v>
      </c>
      <c r="DH101">
        <f>VLOOKUP($B101,'[1]Data_UN_PopulationTot.&amp;%'!$B$4:$CZ$603,98,FALSE)</f>
        <v>0.29239307171242207</v>
      </c>
      <c r="DI101">
        <f>VLOOKUP($B101,'[1]Data_UN_PopulationTot.&amp;%'!$B$4:$CZ$603,99,FALSE)</f>
        <v>0.11162101588935833</v>
      </c>
      <c r="DJ101">
        <f>VLOOKUP($B101,'[1]Data_UN_PopulationTot.&amp;%'!$B$4:$DE$603,100,FALSE)</f>
        <v>1.9084808116065766E-2</v>
      </c>
      <c r="DK101">
        <f>VLOOKUP($B101,'[1]Data_UN_PopulationTot.&amp;%'!$B$4:$DE$603,101,FALSE)</f>
        <v>1.2241899942871132E-3</v>
      </c>
      <c r="DL101">
        <f>VLOOKUP($B101,'[1]Data_UN_PopulationTot.&amp;%'!$B$4:$DE$603,102,FALSE)</f>
        <v>3.138948703300291E-5</v>
      </c>
    </row>
    <row r="102" spans="1:116">
      <c r="A102" t="s">
        <v>209</v>
      </c>
      <c r="B102" t="s">
        <v>424</v>
      </c>
      <c r="C102" t="s">
        <v>487</v>
      </c>
      <c r="D102" t="s">
        <v>389</v>
      </c>
      <c r="E102" t="s">
        <v>301</v>
      </c>
      <c r="F102">
        <v>0</v>
      </c>
      <c r="G102">
        <v>0</v>
      </c>
      <c r="H102">
        <v>1</v>
      </c>
      <c r="I102">
        <v>0</v>
      </c>
      <c r="J102" s="18">
        <f t="shared" si="3"/>
        <v>30.469730341370003</v>
      </c>
      <c r="K102">
        <f>VLOOKUP($B102,'[1]Source GDP Current USD'!$B$1:$CZ$600,64,FALSE)</f>
        <v>25418916028.8964</v>
      </c>
      <c r="L102" s="45">
        <f>VLOOKUP($B102,'[1]Source GDP Current USD'!$B$1:$CZ$600,65,FALSE)</f>
        <v>25418916028.8964</v>
      </c>
      <c r="M102" s="17">
        <f>VLOOKUP($B102,'[1]Source GDP Current LCU'!$B$1:$CZ$600,64,FALSE)</f>
        <v>35538186500</v>
      </c>
      <c r="N102" s="45">
        <v>36000000000</v>
      </c>
      <c r="O102" s="45">
        <f>VLOOKUP($B102,'[1]Source GNI Current USD'!$B$1:$CZ$600,64,FALSE)</f>
        <v>26921454473.928902</v>
      </c>
      <c r="P102" s="45">
        <f>VLOOKUP($B102,'[1]Source GNI Current LCU'!$B$1:$CZ$600,64,FALSE)</f>
        <v>37638885500</v>
      </c>
      <c r="Q102">
        <f t="shared" si="2"/>
        <v>94.41880658235749</v>
      </c>
      <c r="R102">
        <v>4960</v>
      </c>
      <c r="S102">
        <v>4960</v>
      </c>
      <c r="T102">
        <v>0.34106500000000001</v>
      </c>
      <c r="U102" s="45">
        <v>6900000</v>
      </c>
      <c r="V102">
        <v>85.738</v>
      </c>
      <c r="W102">
        <f>VLOOKUP($B102,'[1]Source Gov. Revenue WEO'!$B$1:$CZ$600,5,FALSE)</f>
        <v>72.793000000000006</v>
      </c>
      <c r="X102">
        <f>VLOOKUP($B102,'[1]Source Gov. Revenue WEO'!$B$1:$CZ$600,6,FALSE)</f>
        <v>70.953999999999994</v>
      </c>
      <c r="Y102">
        <f>VLOOKUP($B102,'[1]Source Gov. Revenue WEO'!$B$1:$CZ$600,7,FALSE)</f>
        <v>68.697999999999993</v>
      </c>
      <c r="Z102">
        <f>VLOOKUP($B102,'[1]Source Gov. Revenue WEO'!$B$1:$CZ$600,8,FALSE)</f>
        <v>66.132999999999996</v>
      </c>
      <c r="AA102">
        <f>VLOOKUP($B102,'[1]Source Gov. Revenue WEO'!$B$1:$CZ$600,9,FALSE)</f>
        <v>64.896000000000001</v>
      </c>
      <c r="AB102">
        <f>VLOOKUP($B102,'[1]Source Gov. Revenue WEO'!$B$1:$CZ$600,10,FALSE)</f>
        <v>64.998999999999995</v>
      </c>
      <c r="AC102">
        <f>VLOOKUP($B102,[2]Summary!$B$1:$CZ$600,39,FALSE)</f>
        <v>0.36</v>
      </c>
      <c r="AD102">
        <f>VLOOKUP($B102,[2]Summary!$B$1:$CZ$600,40,FALSE)</f>
        <v>0.37</v>
      </c>
      <c r="AE102">
        <f>VLOOKUP($B102,[2]Summary!$B$1:$CZ$600,47,FALSE)</f>
        <v>0.40010976933514247</v>
      </c>
      <c r="AF102">
        <f>VLOOKUP($B102,'[1]CALC GDP Growth rates WDI'!$B$1:$CZ$600,27,FALSE)</f>
        <v>-49.423601663760778</v>
      </c>
      <c r="AG102">
        <f>VLOOKUP($B102,'[1]CALC GDP Growth rates WDI'!$B$1:$CZ$600,29,FALSE)</f>
        <v>-27.525796201100363</v>
      </c>
      <c r="AH102">
        <v>-0.11</v>
      </c>
      <c r="AI102">
        <f>VLOOKUP($B102,'[1]CALC GDP Growth rates WDI'!$B$1:$CZ$600,30,FALSE)</f>
        <v>24.190149229256818</v>
      </c>
      <c r="AK102" t="e">
        <f>VLOOKUP($B102,[1]Data_Aspire!$B$1:$CZ$600,2,FALSE)</f>
        <v>#N/A</v>
      </c>
      <c r="AL102" t="e">
        <f>VLOOKUP($B102,[1]Data_Aspire!$B$1:$CZ$600,3,FALSE)</f>
        <v>#N/A</v>
      </c>
      <c r="AM102" t="e">
        <f>VLOOKUP($B102,[1]Data_Aspire!$B$1:$CZ$600,4,FALSE)</f>
        <v>#N/A</v>
      </c>
      <c r="AN102" t="e">
        <f>VLOOKUP($B102,[1]Data_Aspire!$B$1:$CZ$600,5,FALSE)</f>
        <v>#N/A</v>
      </c>
      <c r="AO102" t="e">
        <f>VLOOKUP($B102,[1]Data_Aspire!$B$1:$CZ$600,6,FALSE)</f>
        <v>#N/A</v>
      </c>
      <c r="AP102" t="e">
        <f>VLOOKUP($B102,[1]Data_Aspire!$B$1:$CZ$600,7,FALSE)</f>
        <v>#N/A</v>
      </c>
      <c r="AQ102" t="e">
        <f>VLOOKUP($B102,[1]Data_Aspire!$B$1:$CZ$600,8,FALSE)</f>
        <v>#N/A</v>
      </c>
      <c r="AR102" t="e">
        <f>VLOOKUP($B102,[1]Data_Aspire!$B$1:$CZ$600,9,FALSE)</f>
        <v>#N/A</v>
      </c>
      <c r="AS102" t="e">
        <f>VLOOKUP($B102,[1]Data_Aspire!$B$1:$CZ$600,10,FALSE)</f>
        <v>#N/A</v>
      </c>
      <c r="AT102" t="e">
        <f>VLOOKUP($B102,[1]Data_Aspire!$B$1:$CZ$600,11,FALSE)</f>
        <v>#N/A</v>
      </c>
      <c r="AU102" t="e">
        <f>VLOOKUP($B102,[1]Data_Aspire!$B$1:$CZ$600,12,FALSE)</f>
        <v>#N/A</v>
      </c>
      <c r="AV102" t="e">
        <f>VLOOKUP($B102,[1]Data_Aspire!$B$1:$CZ$600,13,FALSE)</f>
        <v>#N/A</v>
      </c>
      <c r="AW102" t="e">
        <f>VLOOKUP($B102,[1]Data_Aspire!$B$1:$CZ$600,14,FALSE)</f>
        <v>#N/A</v>
      </c>
      <c r="AX102" t="e">
        <f>VLOOKUP($B102,[1]Data_Aspire!$B$1:$CZ$600,15,FALSE)</f>
        <v>#N/A</v>
      </c>
      <c r="AY102" t="e">
        <f>VLOOKUP($B102,[1]Data_Aspire!$B$1:$CZ$600,16,FALSE)</f>
        <v>#N/A</v>
      </c>
      <c r="AZ102" t="e">
        <f>VLOOKUP($B102,[1]Data_Aspire!$B$1:$CZ$600,17,FALSE)</f>
        <v>#N/A</v>
      </c>
      <c r="BA102" t="e">
        <f>VLOOKUP($B102,[1]Data_Aspire!$B$1:$CZ$600,18,FALSE)</f>
        <v>#N/A</v>
      </c>
      <c r="BB102" t="e">
        <f>VLOOKUP($B102,[1]Data_Aspire!$B$1:$CZ$600,19,FALSE)</f>
        <v>#N/A</v>
      </c>
      <c r="BC102" t="e">
        <f>VLOOKUP($B102,[1]Data_Aspire!$B$1:$CZ$600,20,FALSE)</f>
        <v>#N/A</v>
      </c>
      <c r="BD102" t="e">
        <f>VLOOKUP($B102,[1]Data_Aspire!$B$1:$CZ$600,21,FALSE)</f>
        <v>#N/A</v>
      </c>
      <c r="BE102" t="e">
        <f>VLOOKUP($B102,[1]Data_Aspire!$B$1:$CZ$600,22,FALSE)</f>
        <v>#N/A</v>
      </c>
      <c r="BF102" t="e">
        <f>VLOOKUP($B102,[1]Data_Aspire!$B$1:$CZ$600,23,FALSE)</f>
        <v>#N/A</v>
      </c>
      <c r="BG102" t="e">
        <f>VLOOKUP($B102,[1]Data_Aspire!$B$1:$CZ$600,24,FALSE)</f>
        <v>#N/A</v>
      </c>
      <c r="BH102" t="e">
        <f>VLOOKUP($B102,[1]Data_Aspire!$B$1:$CZ$600,25,FALSE)</f>
        <v>#N/A</v>
      </c>
      <c r="BI102" t="e">
        <f>VLOOKUP($B102,[1]Data_Aspire!$B$1:$CZ$600,26,FALSE)</f>
        <v>#N/A</v>
      </c>
      <c r="BJ102" s="7">
        <v>0</v>
      </c>
      <c r="BK102">
        <v>434</v>
      </c>
      <c r="BL102">
        <f>VLOOKUP($B102,'[1]Data_UN_PopulationTot.&amp;%'!$B$4:$CZ$603,8,FALSE)</f>
        <v>6871.29</v>
      </c>
      <c r="BM102">
        <f>VLOOKUP($B102,'[1]Data_UN_PopulationTot.&amp;%'!$B$4:$CZ$603,9,FALSE)</f>
        <v>6958.54</v>
      </c>
      <c r="BN102">
        <v>7040.75</v>
      </c>
      <c r="BO102">
        <f>VLOOKUP($B102,'[1]Data_UN_PopulationTot.&amp;%'!$B$4:$CZ$603,11,FALSE)</f>
        <v>7118.66</v>
      </c>
      <c r="BP102">
        <f>VLOOKUP($B102,'[1]Data_UN_PopulationTot.&amp;%'!$B$4:$CZ$603,12,FALSE)</f>
        <v>7193.92</v>
      </c>
      <c r="BQ102">
        <f>VLOOKUP($B102,'[1]Data_UN_PopulationTot.&amp;%'!$B$4:$CZ$603,13,FALSE)</f>
        <v>7267.71</v>
      </c>
      <c r="BR102">
        <f>VLOOKUP($B102,'[1]Data_UN_PopulationTot.&amp;%'!$B$4:$CZ$603,14,FALSE)</f>
        <v>7339.91</v>
      </c>
      <c r="BS102">
        <f>VLOOKUP($B102,'[1]Data_UN_PopulationTot.&amp;%'!$B$4:$CZ$603,15,FALSE)</f>
        <v>7409.79</v>
      </c>
      <c r="BT102">
        <f>VLOOKUP($B102,'[1]Data_UN_PopulationTot.&amp;%'!$B$4:$CZ$603,16,FALSE)</f>
        <v>7477.41</v>
      </c>
      <c r="BU102">
        <f>VLOOKUP($B102,'[1]Data_UN_PopulationTot.&amp;%'!$B$4:$CZ$603,17,FALSE)</f>
        <v>7542.93</v>
      </c>
      <c r="BV102">
        <f>VLOOKUP($B102,'[1]Data_UN_PopulationTot.&amp;%'!$B$4:$CZ$603,18,FALSE)</f>
        <v>7606.41</v>
      </c>
      <c r="BW102">
        <f>VLOOKUP($B102,'[1]Data_UN_PopulationTot.&amp;%'!$B$4:$CZ$603,61,FALSE)</f>
        <v>9.0812351101467126</v>
      </c>
      <c r="BX102">
        <f>VLOOKUP($B102,'[1]Data_UN_PopulationTot.&amp;%'!$B$4:$CZ$603,62,FALSE)</f>
        <v>9.625892663531884</v>
      </c>
      <c r="BY102">
        <f>VLOOKUP($B102,'[1]Data_UN_PopulationTot.&amp;%'!$B$4:$CZ$603,63,FALSE)</f>
        <v>9.0776113364448303</v>
      </c>
      <c r="BZ102">
        <f>VLOOKUP($B102,'[1]Data_UN_PopulationTot.&amp;%'!$B$4:$CZ$603,64,FALSE)</f>
        <v>8.1788863517621877</v>
      </c>
      <c r="CA102">
        <f>VLOOKUP($B102,'[1]Data_UN_PopulationTot.&amp;%'!$B$4:$CZ$603,65,FALSE)</f>
        <v>7.8905271062638889</v>
      </c>
      <c r="CB102">
        <f>VLOOKUP($B102,'[1]Data_UN_PopulationTot.&amp;%'!$B$4:$CZ$603,66,FALSE)</f>
        <v>8.0513993733345561</v>
      </c>
      <c r="CC102">
        <f>VLOOKUP($B102,'[1]Data_UN_PopulationTot.&amp;%'!$B$4:$CZ$603,67,FALSE)</f>
        <v>8.5171779971446409</v>
      </c>
      <c r="CD102">
        <f>VLOOKUP($B102,'[1]Data_UN_PopulationTot.&amp;%'!$B$4:$CZ$603,68,FALSE)</f>
        <v>8.4151302011703759</v>
      </c>
      <c r="CE102">
        <f>VLOOKUP($B102,'[1]Data_UN_PopulationTot.&amp;%'!$B$4:$CZ$603,69,FALSE)</f>
        <v>8.2160700538035787</v>
      </c>
      <c r="CF102">
        <f>VLOOKUP($B102,'[1]Data_UN_PopulationTot.&amp;%'!$B$4:$CZ$603,70,FALSE)</f>
        <v>7.0532607414328305</v>
      </c>
      <c r="CG102">
        <f>VLOOKUP($B102,'[1]Data_UN_PopulationTot.&amp;%'!$B$4:$CZ$603,71,FALSE)</f>
        <v>5.4124771331147423</v>
      </c>
      <c r="CH102">
        <f>VLOOKUP($B102,'[1]Data_UN_PopulationTot.&amp;%'!$B$4:$CZ$603,72,FALSE)</f>
        <v>3.5691551368083725</v>
      </c>
      <c r="CI102">
        <f>VLOOKUP($B102,'[1]Data_UN_PopulationTot.&amp;%'!$B$4:$CZ$603,73,FALSE)</f>
        <v>2.3853454009363597</v>
      </c>
      <c r="CJ102">
        <f>VLOOKUP($B102,'[1]Data_UN_PopulationTot.&amp;%'!$B$4:$CZ$603,74,FALSE)</f>
        <v>1.751563389116163</v>
      </c>
      <c r="CK102">
        <f>VLOOKUP($B102,'[1]Data_UN_PopulationTot.&amp;%'!$B$4:$CZ$603,75,FALSE)</f>
        <v>1.1612230017944229</v>
      </c>
      <c r="CL102">
        <f>VLOOKUP($B102,'[1]Data_UN_PopulationTot.&amp;%'!$B$4:$CZ$603,76,FALSE)</f>
        <v>0.86060987092671093</v>
      </c>
      <c r="CM102">
        <f>VLOOKUP($B102,'[1]Data_UN_PopulationTot.&amp;%'!$B$4:$CZ$603,77,FALSE)</f>
        <v>0.49337169585332602</v>
      </c>
      <c r="CN102">
        <f>VLOOKUP($B102,'[1]Data_UN_PopulationTot.&amp;%'!$B$4:$CZ$603,78,FALSE)</f>
        <v>0.2004281583225275</v>
      </c>
      <c r="CO102">
        <f>VLOOKUP($B102,'[1]Data_UN_PopulationTot.&amp;%'!$B$4:$CZ$603,79,FALSE)</f>
        <v>5.1096664527330381E-2</v>
      </c>
      <c r="CP102">
        <f>VLOOKUP($B102,'[1]Data_UN_PopulationTot.&amp;%'!$B$4:$CZ$603,80,FALSE)</f>
        <v>7.0146944751276682E-3</v>
      </c>
      <c r="CQ102">
        <f>VLOOKUP($B102,'[1]Data_UN_PopulationTot.&amp;%'!$B$4:$CZ$603,81,FALSE)</f>
        <v>4.8025916530957069E-4</v>
      </c>
      <c r="CR102">
        <f>VLOOKUP($B102,'[1]Data_UN_PopulationTot.&amp;%'!$B$4:$CZ$603,82,FALSE)</f>
        <v>7.2312036821575481</v>
      </c>
      <c r="CS102">
        <f>VLOOKUP($B102,'[1]Data_UN_PopulationTot.&amp;%'!$B$4:$CZ$603,83,FALSE)</f>
        <v>7.6730678467240132</v>
      </c>
      <c r="CT102">
        <f>VLOOKUP($B102,'[1]Data_UN_PopulationTot.&amp;%'!$B$4:$CZ$603,84,FALSE)</f>
        <v>8.168189724193148</v>
      </c>
      <c r="CU102">
        <f>VLOOKUP($B102,'[1]Data_UN_PopulationTot.&amp;%'!$B$4:$CZ$603,85,FALSE)</f>
        <v>8.6464705426081423</v>
      </c>
      <c r="CV102">
        <f>VLOOKUP($B102,'[1]Data_UN_PopulationTot.&amp;%'!$B$4:$CZ$603,86,FALSE)</f>
        <v>8.1055846319091387</v>
      </c>
      <c r="CW102">
        <f>VLOOKUP($B102,'[1]Data_UN_PopulationTot.&amp;%'!$B$4:$CZ$603,87,FALSE)</f>
        <v>7.2568399547223992</v>
      </c>
      <c r="CX102">
        <f>VLOOKUP($B102,'[1]Data_UN_PopulationTot.&amp;%'!$B$4:$CZ$603,88,FALSE)</f>
        <v>6.9878168544687984</v>
      </c>
      <c r="CY102">
        <f>VLOOKUP($B102,'[1]Data_UN_PopulationTot.&amp;%'!$B$4:$CZ$603,89,FALSE)</f>
        <v>7.1294079598654303</v>
      </c>
      <c r="CZ102">
        <f>VLOOKUP($B102,'[1]Data_UN_PopulationTot.&amp;%'!$B$4:$CZ$603,90,FALSE)</f>
        <v>7.5258630549760008</v>
      </c>
      <c r="DA102">
        <f>VLOOKUP($B102,'[1]Data_UN_PopulationTot.&amp;%'!$B$4:$CZ$603,91,FALSE)</f>
        <v>7.3904246549949315</v>
      </c>
      <c r="DB102">
        <f>VLOOKUP($B102,'[1]Data_UN_PopulationTot.&amp;%'!$B$4:$CZ$603,92,FALSE)</f>
        <v>7.1322739636701149</v>
      </c>
      <c r="DC102">
        <f>VLOOKUP($B102,'[1]Data_UN_PopulationTot.&amp;%'!$B$4:$CZ$603,93,FALSE)</f>
        <v>5.9919857067920343</v>
      </c>
      <c r="DD102">
        <f>VLOOKUP($B102,'[1]Data_UN_PopulationTot.&amp;%'!$B$4:$CZ$603,94,FALSE)</f>
        <v>4.4328796370429675</v>
      </c>
      <c r="DE102">
        <f>VLOOKUP($B102,'[1]Data_UN_PopulationTot.&amp;%'!$B$4:$CZ$603,95,FALSE)</f>
        <v>2.7565697878499842</v>
      </c>
      <c r="DF102">
        <f>VLOOKUP($B102,'[1]Data_UN_PopulationTot.&amp;%'!$B$4:$CZ$603,96,FALSE)</f>
        <v>1.6733386709367495</v>
      </c>
      <c r="DG102">
        <f>VLOOKUP($B102,'[1]Data_UN_PopulationTot.&amp;%'!$B$4:$CZ$603,97,FALSE)</f>
        <v>1.0473271885160018</v>
      </c>
      <c r="DH102">
        <f>VLOOKUP($B102,'[1]Data_UN_PopulationTot.&amp;%'!$B$4:$CZ$603,98,FALSE)</f>
        <v>0.5260563130307202</v>
      </c>
      <c r="DI102">
        <f>VLOOKUP($B102,'[1]Data_UN_PopulationTot.&amp;%'!$B$4:$CZ$603,99,FALSE)</f>
        <v>0.24407046162381466</v>
      </c>
      <c r="DJ102">
        <f>VLOOKUP($B102,'[1]Data_UN_PopulationTot.&amp;%'!$B$4:$DE$603,100,FALSE)</f>
        <v>6.9112761473546641E-2</v>
      </c>
      <c r="DK102">
        <f>VLOOKUP($B102,'[1]Data_UN_PopulationTot.&amp;%'!$B$4:$DE$603,101,FALSE)</f>
        <v>1.0727794057906423E-2</v>
      </c>
      <c r="DL102">
        <f>VLOOKUP($B102,'[1]Data_UN_PopulationTot.&amp;%'!$B$4:$DE$603,102,FALSE)</f>
        <v>8.4139561238481765E-4</v>
      </c>
    </row>
    <row r="103" spans="1:116">
      <c r="A103" t="s">
        <v>217</v>
      </c>
      <c r="B103" t="s">
        <v>432</v>
      </c>
      <c r="C103" t="s">
        <v>497</v>
      </c>
      <c r="D103" t="s">
        <v>389</v>
      </c>
      <c r="E103" t="s">
        <v>301</v>
      </c>
      <c r="F103">
        <v>0</v>
      </c>
      <c r="G103">
        <v>0</v>
      </c>
      <c r="H103">
        <v>1</v>
      </c>
      <c r="I103">
        <v>0</v>
      </c>
      <c r="J103" s="18">
        <f t="shared" si="3"/>
        <v>0.92871468160000004</v>
      </c>
      <c r="K103">
        <f>VLOOKUP($B103,'[1]Source GDP Current USD'!$B$1:$CZ$600,64,FALSE)</f>
        <v>1616772740.7407401</v>
      </c>
      <c r="L103" s="45">
        <f>VLOOKUP($B103,'[1]Source GDP Current USD'!$B$1:$CZ$600,65,FALSE)</f>
        <v>1616772740.7407401</v>
      </c>
      <c r="M103" s="17">
        <f>VLOOKUP($B103,'[1]Source GDP Current LCU'!$B$1:$CZ$600,64,FALSE)</f>
        <v>4365286400</v>
      </c>
      <c r="N103" s="45">
        <v>4400000000</v>
      </c>
      <c r="O103" s="45">
        <f>VLOOKUP($B103,'[1]Source GNI Current USD'!$B$1:$CZ$600,64,FALSE)</f>
        <v>1521505777.7777801</v>
      </c>
      <c r="P103" s="45">
        <f>VLOOKUP($B103,'[1]Source GNI Current LCU'!$B$1:$CZ$600,64,FALSE)</f>
        <v>4108065600</v>
      </c>
      <c r="Q103">
        <f t="shared" si="2"/>
        <v>106.2613605780784</v>
      </c>
      <c r="R103">
        <v>8560</v>
      </c>
      <c r="S103">
        <v>8560</v>
      </c>
      <c r="T103">
        <v>0.69273600000000002</v>
      </c>
      <c r="U103">
        <v>183629</v>
      </c>
      <c r="V103">
        <v>21.274999999999999</v>
      </c>
      <c r="W103">
        <f>VLOOKUP($B103,'[1]Source Gov. Revenue WEO'!$B$1:$CZ$600,5,FALSE)</f>
        <v>22.347999999999999</v>
      </c>
      <c r="X103">
        <f>VLOOKUP($B103,'[1]Source Gov. Revenue WEO'!$B$1:$CZ$600,6,FALSE)</f>
        <v>21.952999999999999</v>
      </c>
      <c r="Y103">
        <f>VLOOKUP($B103,'[1]Source Gov. Revenue WEO'!$B$1:$CZ$600,7,FALSE)</f>
        <v>21.794</v>
      </c>
      <c r="Z103">
        <f>VLOOKUP($B103,'[1]Source Gov. Revenue WEO'!$B$1:$CZ$600,8,FALSE)</f>
        <v>21.712</v>
      </c>
      <c r="AA103">
        <f>VLOOKUP($B103,'[1]Source Gov. Revenue WEO'!$B$1:$CZ$600,9,FALSE)</f>
        <v>21.687000000000001</v>
      </c>
      <c r="AB103">
        <f>VLOOKUP($B103,'[1]Source Gov. Revenue WEO'!$B$1:$CZ$600,10,FALSE)</f>
        <v>21.643999999999998</v>
      </c>
      <c r="AC103">
        <f>VLOOKUP($B103,[2]Summary!$B$1:$CZ$600,39,FALSE)</f>
        <v>4.5802459999999996E-2</v>
      </c>
      <c r="AD103">
        <f>VLOOKUP($B103,[2]Summary!$B$1:$CZ$600,40,FALSE)</f>
        <v>5.5999999999999994E-2</v>
      </c>
      <c r="AE103">
        <f>VLOOKUP($B103,[2]Summary!$B$1:$CZ$600,47,FALSE)</f>
        <v>0.23263351261852369</v>
      </c>
      <c r="AF103">
        <f>VLOOKUP($B103,'[1]CALC GDP Growth rates WDI'!$B$1:$CZ$600,27,FALSE)</f>
        <v>-10.105010343490036</v>
      </c>
      <c r="AG103">
        <f>VLOOKUP($B103,'[1]CALC GDP Growth rates WDI'!$B$1:$CZ$600,29,FALSE)</f>
        <v>14.113567288466133</v>
      </c>
      <c r="AH103">
        <v>-12.11</v>
      </c>
      <c r="AI103">
        <f>VLOOKUP($B103,'[1]CALC GDP Growth rates WDI'!$B$1:$CZ$600,30,FALSE)</f>
        <v>8.2804394438656495</v>
      </c>
      <c r="AJ103" t="s">
        <v>2465</v>
      </c>
      <c r="AK103">
        <f>VLOOKUP($B103,[1]Data_Aspire!$B$1:$CZ$600,2,FALSE)</f>
        <v>2014</v>
      </c>
      <c r="AL103">
        <f>VLOOKUP($B103,[1]Data_Aspire!$B$1:$CZ$600,3,FALSE)</f>
        <v>0.38</v>
      </c>
      <c r="AM103">
        <f>VLOOKUP($B103,[1]Data_Aspire!$B$1:$CZ$600,4,FALSE)</f>
        <v>0</v>
      </c>
      <c r="AN103">
        <f>VLOOKUP($B103,[1]Data_Aspire!$B$1:$CZ$600,5,FALSE)</f>
        <v>0.16</v>
      </c>
      <c r="AO103">
        <f>VLOOKUP($B103,[1]Data_Aspire!$B$1:$CZ$600,6,FALSE)</f>
        <v>0</v>
      </c>
      <c r="AP103">
        <f>VLOOKUP($B103,[1]Data_Aspire!$B$1:$CZ$600,7,FALSE)</f>
        <v>0.02</v>
      </c>
      <c r="AQ103">
        <f>VLOOKUP($B103,[1]Data_Aspire!$B$1:$CZ$600,8,FALSE)</f>
        <v>0.18</v>
      </c>
      <c r="AT103">
        <f>VLOOKUP($B103,[1]Data_Aspire!$B$1:$CZ$600,11,FALSE)</f>
        <v>0.02</v>
      </c>
      <c r="AU103">
        <f>VLOOKUP($B103,[1]Data_Aspire!$B$1:$CZ$600,12,FALSE)</f>
        <v>0.38</v>
      </c>
      <c r="AX103">
        <f>VLOOKUP($B103,[1]Data_Aspire!$B$1:$CZ$600,15,FALSE)</f>
        <v>6685</v>
      </c>
      <c r="AY103">
        <f>VLOOKUP($B103,[1]Data_Aspire!$B$1:$CZ$600,16,FALSE)</f>
        <v>2014</v>
      </c>
      <c r="BD103">
        <f>VLOOKUP($B103,[1]Data_Aspire!$B$1:$CZ$600,21,FALSE)</f>
        <v>7500</v>
      </c>
      <c r="BE103">
        <f>VLOOKUP($B103,[1]Data_Aspire!$B$1:$CZ$600,22,FALSE)</f>
        <v>2014</v>
      </c>
      <c r="BF103">
        <f>VLOOKUP($B103,[1]Data_Aspire!$B$1:$CZ$600,23,FALSE)</f>
        <v>9487</v>
      </c>
      <c r="BG103">
        <f>VLOOKUP($B103,[1]Data_Aspire!$B$1:$CZ$600,24,FALSE)</f>
        <v>2013</v>
      </c>
      <c r="BH103">
        <f>VLOOKUP($B103,[1]Data_Aspire!$B$1:$CZ$600,25,FALSE)</f>
        <v>3000</v>
      </c>
      <c r="BI103">
        <f>VLOOKUP($B103,[1]Data_Aspire!$B$1:$CZ$600,26,FALSE)</f>
        <v>2008</v>
      </c>
      <c r="BJ103" s="7">
        <v>0</v>
      </c>
      <c r="BK103">
        <v>662</v>
      </c>
      <c r="BL103">
        <f>VLOOKUP($B103,'[1]Data_UN_PopulationTot.&amp;%'!$B$4:$CZ$603,8,FALSE)</f>
        <v>183.62899999999999</v>
      </c>
      <c r="BM103">
        <f>VLOOKUP($B103,'[1]Data_UN_PopulationTot.&amp;%'!$B$4:$CZ$603,9,FALSE)</f>
        <v>184.40100000000001</v>
      </c>
      <c r="BN103">
        <v>185.11199999999999</v>
      </c>
      <c r="BO103">
        <f>VLOOKUP($B103,'[1]Data_UN_PopulationTot.&amp;%'!$B$4:$CZ$603,11,FALSE)</f>
        <v>185.77099999999999</v>
      </c>
      <c r="BP103">
        <f>VLOOKUP($B103,'[1]Data_UN_PopulationTot.&amp;%'!$B$4:$CZ$603,12,FALSE)</f>
        <v>186.37899999999999</v>
      </c>
      <c r="BQ103">
        <f>VLOOKUP($B103,'[1]Data_UN_PopulationTot.&amp;%'!$B$4:$CZ$603,13,FALSE)</f>
        <v>186.917</v>
      </c>
      <c r="BR103">
        <f>VLOOKUP($B103,'[1]Data_UN_PopulationTot.&amp;%'!$B$4:$CZ$603,14,FALSE)</f>
        <v>187.40899999999999</v>
      </c>
      <c r="BS103">
        <f>VLOOKUP($B103,'[1]Data_UN_PopulationTot.&amp;%'!$B$4:$CZ$603,15,FALSE)</f>
        <v>187.82300000000001</v>
      </c>
      <c r="BT103">
        <f>VLOOKUP($B103,'[1]Data_UN_PopulationTot.&amp;%'!$B$4:$CZ$603,16,FALSE)</f>
        <v>188.19200000000001</v>
      </c>
      <c r="BU103">
        <f>VLOOKUP($B103,'[1]Data_UN_PopulationTot.&amp;%'!$B$4:$CZ$603,17,FALSE)</f>
        <v>188.49</v>
      </c>
      <c r="BV103">
        <f>VLOOKUP($B103,'[1]Data_UN_PopulationTot.&amp;%'!$B$4:$CZ$603,18,FALSE)</f>
        <v>188.74199999999999</v>
      </c>
      <c r="BW103">
        <f>VLOOKUP($B103,'[1]Data_UN_PopulationTot.&amp;%'!$B$4:$CZ$603,61,FALSE)</f>
        <v>5.8955829416922167</v>
      </c>
      <c r="BX103">
        <f>VLOOKUP($B103,'[1]Data_UN_PopulationTot.&amp;%'!$B$4:$CZ$603,62,FALSE)</f>
        <v>5.9827151484787269</v>
      </c>
      <c r="BY103">
        <f>VLOOKUP($B103,'[1]Data_UN_PopulationTot.&amp;%'!$B$4:$CZ$603,63,FALSE)</f>
        <v>6.0731148130197292</v>
      </c>
      <c r="BZ103">
        <f>VLOOKUP($B103,'[1]Data_UN_PopulationTot.&amp;%'!$B$4:$CZ$603,64,FALSE)</f>
        <v>7.1791492629159892</v>
      </c>
      <c r="CA103">
        <f>VLOOKUP($B103,'[1]Data_UN_PopulationTot.&amp;%'!$B$4:$CZ$603,65,FALSE)</f>
        <v>8.6424257606369359</v>
      </c>
      <c r="CB103">
        <f>VLOOKUP($B103,'[1]Data_UN_PopulationTot.&amp;%'!$B$4:$CZ$603,66,FALSE)</f>
        <v>9.2283898512762157</v>
      </c>
      <c r="CC103">
        <f>VLOOKUP($B103,'[1]Data_UN_PopulationTot.&amp;%'!$B$4:$CZ$603,67,FALSE)</f>
        <v>7.7830843712049846</v>
      </c>
      <c r="CD103">
        <f>VLOOKUP($B103,'[1]Data_UN_PopulationTot.&amp;%'!$B$4:$CZ$603,68,FALSE)</f>
        <v>7.7084774191440344</v>
      </c>
      <c r="CE103">
        <f>VLOOKUP($B103,'[1]Data_UN_PopulationTot.&amp;%'!$B$4:$CZ$603,69,FALSE)</f>
        <v>7.0174101040685288</v>
      </c>
      <c r="CF103">
        <f>VLOOKUP($B103,'[1]Data_UN_PopulationTot.&amp;%'!$B$4:$CZ$603,70,FALSE)</f>
        <v>6.8785431495025309</v>
      </c>
      <c r="CG103">
        <f>VLOOKUP($B103,'[1]Data_UN_PopulationTot.&amp;%'!$B$4:$CZ$603,71,FALSE)</f>
        <v>6.7293292453806313</v>
      </c>
      <c r="CH103">
        <f>VLOOKUP($B103,'[1]Data_UN_PopulationTot.&amp;%'!$B$4:$CZ$603,72,FALSE)</f>
        <v>6.0001415898360282</v>
      </c>
      <c r="CI103">
        <f>VLOOKUP($B103,'[1]Data_UN_PopulationTot.&amp;%'!$B$4:$CZ$603,73,FALSE)</f>
        <v>4.5836986532628288</v>
      </c>
      <c r="CJ103">
        <f>VLOOKUP($B103,'[1]Data_UN_PopulationTot.&amp;%'!$B$4:$CZ$603,74,FALSE)</f>
        <v>3.3426092828474809</v>
      </c>
      <c r="CK103">
        <f>VLOOKUP($B103,'[1]Data_UN_PopulationTot.&amp;%'!$B$4:$CZ$603,75,FALSE)</f>
        <v>2.6575323069885477</v>
      </c>
      <c r="CL103">
        <f>VLOOKUP($B103,'[1]Data_UN_PopulationTot.&amp;%'!$B$4:$CZ$603,76,FALSE)</f>
        <v>1.8934917687293402</v>
      </c>
      <c r="CM103">
        <f>VLOOKUP($B103,'[1]Data_UN_PopulationTot.&amp;%'!$B$4:$CZ$603,77,FALSE)</f>
        <v>1.3097059832597246</v>
      </c>
      <c r="CN103">
        <f>VLOOKUP($B103,'[1]Data_UN_PopulationTot.&amp;%'!$B$4:$CZ$603,78,FALSE)</f>
        <v>0.67527460259545058</v>
      </c>
      <c r="CO103">
        <f>VLOOKUP($B103,'[1]Data_UN_PopulationTot.&amp;%'!$B$4:$CZ$603,79,FALSE)</f>
        <v>0.31585424960109787</v>
      </c>
      <c r="CP103">
        <f>VLOOKUP($B103,'[1]Data_UN_PopulationTot.&amp;%'!$B$4:$CZ$603,80,FALSE)</f>
        <v>8.549847790926271E-2</v>
      </c>
      <c r="CQ103">
        <f>VLOOKUP($B103,'[1]Data_UN_PopulationTot.&amp;%'!$B$4:$CZ$603,81,FALSE)</f>
        <v>1.797101764971764E-2</v>
      </c>
      <c r="CR103">
        <f>VLOOKUP($B103,'[1]Data_UN_PopulationTot.&amp;%'!$B$4:$CZ$603,82,FALSE)</f>
        <v>4.8934524377192155</v>
      </c>
      <c r="CS103">
        <f>VLOOKUP($B103,'[1]Data_UN_PopulationTot.&amp;%'!$B$4:$CZ$603,83,FALSE)</f>
        <v>5.3761219018554431</v>
      </c>
      <c r="CT103">
        <f>VLOOKUP($B103,'[1]Data_UN_PopulationTot.&amp;%'!$B$4:$CZ$603,84,FALSE)</f>
        <v>5.7125600025431549</v>
      </c>
      <c r="CU103">
        <f>VLOOKUP($B103,'[1]Data_UN_PopulationTot.&amp;%'!$B$4:$CZ$603,85,FALSE)</f>
        <v>5.7989212787826778</v>
      </c>
      <c r="CV103">
        <f>VLOOKUP($B103,'[1]Data_UN_PopulationTot.&amp;%'!$B$4:$CZ$603,86,FALSE)</f>
        <v>5.8720369605069358</v>
      </c>
      <c r="CW103">
        <f>VLOOKUP($B103,'[1]Data_UN_PopulationTot.&amp;%'!$B$4:$CZ$603,87,FALSE)</f>
        <v>6.9221476936770827</v>
      </c>
      <c r="CX103">
        <f>VLOOKUP($B103,'[1]Data_UN_PopulationTot.&amp;%'!$B$4:$CZ$603,88,FALSE)</f>
        <v>8.3230017696114285</v>
      </c>
      <c r="CY103">
        <f>VLOOKUP($B103,'[1]Data_UN_PopulationTot.&amp;%'!$B$4:$CZ$603,89,FALSE)</f>
        <v>8.8676606160790907</v>
      </c>
      <c r="CZ103">
        <f>VLOOKUP($B103,'[1]Data_UN_PopulationTot.&amp;%'!$B$4:$CZ$603,90,FALSE)</f>
        <v>7.446673236481546</v>
      </c>
      <c r="DA103">
        <f>VLOOKUP($B103,'[1]Data_UN_PopulationTot.&amp;%'!$B$4:$CZ$603,91,FALSE)</f>
        <v>7.3120979962064627</v>
      </c>
      <c r="DB103">
        <f>VLOOKUP($B103,'[1]Data_UN_PopulationTot.&amp;%'!$B$4:$CZ$603,92,FALSE)</f>
        <v>6.5634569942037286</v>
      </c>
      <c r="DC103">
        <f>VLOOKUP($B103,'[1]Data_UN_PopulationTot.&amp;%'!$B$4:$CZ$603,93,FALSE)</f>
        <v>6.2911275709698957</v>
      </c>
      <c r="DD103">
        <f>VLOOKUP($B103,'[1]Data_UN_PopulationTot.&amp;%'!$B$4:$CZ$603,94,FALSE)</f>
        <v>5.9827701306545444</v>
      </c>
      <c r="DE103">
        <f>VLOOKUP($B103,'[1]Data_UN_PopulationTot.&amp;%'!$B$4:$CZ$603,95,FALSE)</f>
        <v>5.2007502304733455</v>
      </c>
      <c r="DF103">
        <f>VLOOKUP($B103,'[1]Data_UN_PopulationTot.&amp;%'!$B$4:$CZ$603,96,FALSE)</f>
        <v>3.8295662862531921</v>
      </c>
      <c r="DG103">
        <f>VLOOKUP($B103,'[1]Data_UN_PopulationTot.&amp;%'!$B$4:$CZ$603,97,FALSE)</f>
        <v>2.5595786841296588</v>
      </c>
      <c r="DH103">
        <f>VLOOKUP($B103,'[1]Data_UN_PopulationTot.&amp;%'!$B$4:$CZ$603,98,FALSE)</f>
        <v>1.6943764503925995</v>
      </c>
      <c r="DI103">
        <f>VLOOKUP($B103,'[1]Data_UN_PopulationTot.&amp;%'!$B$4:$CZ$603,99,FALSE)</f>
        <v>0.87473906178804939</v>
      </c>
      <c r="DJ103">
        <f>VLOOKUP($B103,'[1]Data_UN_PopulationTot.&amp;%'!$B$4:$DE$603,100,FALSE)</f>
        <v>0.36716787996312428</v>
      </c>
      <c r="DK103">
        <f>VLOOKUP($B103,'[1]Data_UN_PopulationTot.&amp;%'!$B$4:$DE$603,101,FALSE)</f>
        <v>9.1659514045628415E-2</v>
      </c>
      <c r="DL103">
        <f>VLOOKUP($B103,'[1]Data_UN_PopulationTot.&amp;%'!$B$4:$DE$603,102,FALSE)</f>
        <v>2.013330366320162E-2</v>
      </c>
    </row>
    <row r="104" spans="1:116">
      <c r="A104" t="s">
        <v>167</v>
      </c>
      <c r="B104" t="s">
        <v>381</v>
      </c>
      <c r="C104" t="s">
        <v>483</v>
      </c>
      <c r="D104" t="s">
        <v>334</v>
      </c>
      <c r="E104" t="s">
        <v>300</v>
      </c>
      <c r="F104">
        <v>0</v>
      </c>
      <c r="G104">
        <v>1</v>
      </c>
      <c r="H104">
        <v>0</v>
      </c>
      <c r="I104">
        <v>0</v>
      </c>
      <c r="J104" s="18">
        <f t="shared" si="3"/>
        <v>1373.3231160293401</v>
      </c>
      <c r="K104">
        <f>VLOOKUP($B104,'[1]Source GDP Current USD'!$B$1:$CZ$600,64,FALSE)</f>
        <v>80676681933.977997</v>
      </c>
      <c r="L104" s="45">
        <f>VLOOKUP($B104,'[1]Source GDP Current USD'!$B$1:$CZ$600,65,FALSE)</f>
        <v>80676681933.977997</v>
      </c>
      <c r="M104" s="17">
        <f>VLOOKUP($B104,'[1]Source GDP Current LCU'!$B$1:$CZ$600,64,FALSE)</f>
        <v>14972995159500</v>
      </c>
      <c r="N104" s="45">
        <v>15000000000000</v>
      </c>
      <c r="O104" s="45">
        <f>VLOOKUP($B104,'[1]Source GNI Current USD'!$B$1:$CZ$600,64,FALSE)</f>
        <v>78493490580.982193</v>
      </c>
      <c r="P104" s="45">
        <f>VLOOKUP($B104,'[1]Source GNI Current LCU'!$B$1:$CZ$600,64,FALSE)</f>
        <v>14567811000000</v>
      </c>
      <c r="Q104">
        <f t="shared" si="2"/>
        <v>102.78136611945337</v>
      </c>
      <c r="R104">
        <v>3720</v>
      </c>
      <c r="S104">
        <v>3720</v>
      </c>
      <c r="T104">
        <v>0.27832000000000001</v>
      </c>
      <c r="U104" s="45">
        <v>22000000</v>
      </c>
      <c r="V104">
        <v>9.1720000000000006</v>
      </c>
      <c r="W104">
        <f>VLOOKUP($B104,'[1]Source Gov. Revenue WEO'!$B$1:$CZ$600,5,FALSE)</f>
        <v>9.4600000000000009</v>
      </c>
      <c r="X104">
        <f>VLOOKUP($B104,'[1]Source Gov. Revenue WEO'!$B$1:$CZ$600,6,FALSE)</f>
        <v>10.331</v>
      </c>
      <c r="Y104">
        <f>VLOOKUP($B104,'[1]Source Gov. Revenue WEO'!$B$1:$CZ$600,7,FALSE)</f>
        <v>10.686</v>
      </c>
      <c r="Z104">
        <f>VLOOKUP($B104,'[1]Source Gov. Revenue WEO'!$B$1:$CZ$600,8,FALSE)</f>
        <v>11.023999999999999</v>
      </c>
      <c r="AA104">
        <f>VLOOKUP($B104,'[1]Source Gov. Revenue WEO'!$B$1:$CZ$600,9,FALSE)</f>
        <v>11.099</v>
      </c>
      <c r="AB104">
        <f>VLOOKUP($B104,'[1]Source Gov. Revenue WEO'!$B$1:$CZ$600,10,FALSE)</f>
        <v>11.137</v>
      </c>
      <c r="AC104">
        <f>VLOOKUP($B104,[2]Summary!$B$1:$CZ$600,39,FALSE)</f>
        <v>6.9043899999999998E-3</v>
      </c>
      <c r="AD104">
        <f>VLOOKUP($B104,[2]Summary!$B$1:$CZ$600,40,FALSE)</f>
        <v>5.0000000000000001E-4</v>
      </c>
      <c r="AE104">
        <f>VLOOKUP($B104,[2]Summary!$B$1:$CZ$600,47,FALSE)</f>
        <v>0.17096622561940639</v>
      </c>
      <c r="AF104">
        <f>VLOOKUP($B104,'[1]CALC GDP Growth rates WDI'!$B$1:$CZ$600,27,FALSE)</f>
        <v>48.598352259243718</v>
      </c>
      <c r="AG104">
        <f>VLOOKUP($B104,'[1]CALC GDP Growth rates WDI'!$B$1:$CZ$600,29,FALSE)</f>
        <v>62.707815402186817</v>
      </c>
      <c r="AH104">
        <v>10.210000000000001</v>
      </c>
      <c r="AI104">
        <f>VLOOKUP($B104,'[1]CALC GDP Growth rates WDI'!$B$1:$CZ$600,30,FALSE)</f>
        <v>17.311538778057379</v>
      </c>
      <c r="AJ104" s="45"/>
      <c r="AK104">
        <f>VLOOKUP($B104,[1]Data_Aspire!$B$1:$CZ$600,2,FALSE)</f>
        <v>2016</v>
      </c>
      <c r="AL104">
        <f>VLOOKUP($B104,[1]Data_Aspire!$B$1:$CZ$600,3,FALSE)</f>
        <v>0.51</v>
      </c>
      <c r="AM104">
        <f>VLOOKUP($B104,[1]Data_Aspire!$B$1:$CZ$600,4,FALSE)</f>
        <v>0</v>
      </c>
      <c r="AN104">
        <f>VLOOKUP($B104,[1]Data_Aspire!$B$1:$CZ$600,5,FALSE)</f>
        <v>0.26</v>
      </c>
      <c r="AO104">
        <f>VLOOKUP($B104,[1]Data_Aspire!$B$1:$CZ$600,6,FALSE)</f>
        <v>0.09</v>
      </c>
      <c r="AP104">
        <f>VLOOKUP($B104,[1]Data_Aspire!$B$1:$CZ$600,7,FALSE)</f>
        <v>0.04</v>
      </c>
      <c r="AR104">
        <f>VLOOKUP($B104,[1]Data_Aspire!$B$1:$CZ$600,9,FALSE)</f>
        <v>0.12</v>
      </c>
      <c r="AU104">
        <f>VLOOKUP($B104,[1]Data_Aspire!$B$1:$CZ$600,12,FALSE)</f>
        <v>0.51</v>
      </c>
      <c r="AV104">
        <f>VLOOKUP($B104,[1]Data_Aspire!$B$1:$CZ$600,13,FALSE)</f>
        <v>72480</v>
      </c>
      <c r="AW104">
        <f>VLOOKUP($B104,[1]Data_Aspire!$B$1:$CZ$600,14,FALSE)</f>
        <v>2016</v>
      </c>
      <c r="AX104">
        <f>VLOOKUP($B104,[1]Data_Aspire!$B$1:$CZ$600,15,FALSE)</f>
        <v>5880000</v>
      </c>
      <c r="AY104">
        <f>VLOOKUP($B104,[1]Data_Aspire!$B$1:$CZ$600,16,FALSE)</f>
        <v>2018</v>
      </c>
      <c r="AZ104">
        <f>VLOOKUP($B104,[1]Data_Aspire!$B$1:$CZ$600,17,FALSE)</f>
        <v>580720</v>
      </c>
      <c r="BA104">
        <f>VLOOKUP($B104,[1]Data_Aspire!$B$1:$CZ$600,18,FALSE)</f>
        <v>2015</v>
      </c>
      <c r="BB104">
        <f>VLOOKUP($B104,[1]Data_Aspire!$B$1:$CZ$600,19,FALSE)</f>
        <v>4206364</v>
      </c>
      <c r="BC104">
        <f>VLOOKUP($B104,[1]Data_Aspire!$B$1:$CZ$600,20,FALSE)</f>
        <v>2016</v>
      </c>
      <c r="BD104">
        <f>VLOOKUP($B104,[1]Data_Aspire!$B$1:$CZ$600,21,FALSE)</f>
        <v>973245</v>
      </c>
      <c r="BE104">
        <f>VLOOKUP($B104,[1]Data_Aspire!$B$1:$CZ$600,22,FALSE)</f>
        <v>2016</v>
      </c>
      <c r="BH104">
        <f>VLOOKUP($B104,[1]Data_Aspire!$B$1:$CZ$600,25,FALSE)</f>
        <v>16728</v>
      </c>
      <c r="BI104">
        <f>VLOOKUP($B104,[1]Data_Aspire!$B$1:$CZ$600,26,FALSE)</f>
        <v>2016</v>
      </c>
      <c r="BJ104" s="7">
        <v>0</v>
      </c>
      <c r="BK104">
        <v>144</v>
      </c>
      <c r="BL104">
        <f>VLOOKUP($B104,'[1]Data_UN_PopulationTot.&amp;%'!$B$4:$CZ$603,8,FALSE)</f>
        <v>21413.3</v>
      </c>
      <c r="BM104">
        <f>VLOOKUP($B104,'[1]Data_UN_PopulationTot.&amp;%'!$B$4:$CZ$603,9,FALSE)</f>
        <v>21497.3</v>
      </c>
      <c r="BN104">
        <v>21575.8</v>
      </c>
      <c r="BO104">
        <f>VLOOKUP($B104,'[1]Data_UN_PopulationTot.&amp;%'!$B$4:$CZ$603,11,FALSE)</f>
        <v>21649</v>
      </c>
      <c r="BP104">
        <f>VLOOKUP($B104,'[1]Data_UN_PopulationTot.&amp;%'!$B$4:$CZ$603,12,FALSE)</f>
        <v>21716.9</v>
      </c>
      <c r="BQ104">
        <f>VLOOKUP($B104,'[1]Data_UN_PopulationTot.&amp;%'!$B$4:$CZ$603,13,FALSE)</f>
        <v>21779.7</v>
      </c>
      <c r="BR104">
        <f>VLOOKUP($B104,'[1]Data_UN_PopulationTot.&amp;%'!$B$4:$CZ$603,14,FALSE)</f>
        <v>21837.4</v>
      </c>
      <c r="BS104">
        <f>VLOOKUP($B104,'[1]Data_UN_PopulationTot.&amp;%'!$B$4:$CZ$603,15,FALSE)</f>
        <v>21890.2</v>
      </c>
      <c r="BT104">
        <f>VLOOKUP($B104,'[1]Data_UN_PopulationTot.&amp;%'!$B$4:$CZ$603,16,FALSE)</f>
        <v>21938.400000000001</v>
      </c>
      <c r="BU104">
        <f>VLOOKUP($B104,'[1]Data_UN_PopulationTot.&amp;%'!$B$4:$CZ$603,17,FALSE)</f>
        <v>21982.6</v>
      </c>
      <c r="BV104">
        <f>VLOOKUP($B104,'[1]Data_UN_PopulationTot.&amp;%'!$B$4:$CZ$603,18,FALSE)</f>
        <v>22023</v>
      </c>
      <c r="BW104">
        <f>VLOOKUP($B104,'[1]Data_UN_PopulationTot.&amp;%'!$B$4:$CZ$603,61,FALSE)</f>
        <v>7.7541060929422381</v>
      </c>
      <c r="BX104">
        <f>VLOOKUP($B104,'[1]Data_UN_PopulationTot.&amp;%'!$B$4:$CZ$603,62,FALSE)</f>
        <v>7.8905633414746923</v>
      </c>
      <c r="BY104">
        <f>VLOOKUP($B104,'[1]Data_UN_PopulationTot.&amp;%'!$B$4:$CZ$603,63,FALSE)</f>
        <v>8.0401432754409647</v>
      </c>
      <c r="BZ104">
        <f>VLOOKUP($B104,'[1]Data_UN_PopulationTot.&amp;%'!$B$4:$CZ$603,64,FALSE)</f>
        <v>7.7734865714299053</v>
      </c>
      <c r="CA104">
        <f>VLOOKUP($B104,'[1]Data_UN_PopulationTot.&amp;%'!$B$4:$CZ$603,65,FALSE)</f>
        <v>6.9846777470077015</v>
      </c>
      <c r="CB104">
        <f>VLOOKUP($B104,'[1]Data_UN_PopulationTot.&amp;%'!$B$4:$CZ$603,66,FALSE)</f>
        <v>6.5669934106373145</v>
      </c>
      <c r="CC104">
        <f>VLOOKUP($B104,'[1]Data_UN_PopulationTot.&amp;%'!$B$4:$CZ$603,67,FALSE)</f>
        <v>6.3156542896237386</v>
      </c>
      <c r="CD104">
        <f>VLOOKUP($B104,'[1]Data_UN_PopulationTot.&amp;%'!$B$4:$CZ$603,68,FALSE)</f>
        <v>6.8538711922029778</v>
      </c>
      <c r="CE104">
        <f>VLOOKUP($B104,'[1]Data_UN_PopulationTot.&amp;%'!$B$4:$CZ$603,69,FALSE)</f>
        <v>7.119126897769144</v>
      </c>
      <c r="CF104">
        <f>VLOOKUP($B104,'[1]Data_UN_PopulationTot.&amp;%'!$B$4:$CZ$603,70,FALSE)</f>
        <v>6.3356418674375279</v>
      </c>
      <c r="CG104">
        <f>VLOOKUP($B104,'[1]Data_UN_PopulationTot.&amp;%'!$B$4:$CZ$603,71,FALSE)</f>
        <v>6.1516907716232438</v>
      </c>
      <c r="CH104">
        <f>VLOOKUP($B104,'[1]Data_UN_PopulationTot.&amp;%'!$B$4:$CZ$603,72,FALSE)</f>
        <v>5.779305384971023</v>
      </c>
      <c r="CI104">
        <f>VLOOKUP($B104,'[1]Data_UN_PopulationTot.&amp;%'!$B$4:$CZ$603,73,FALSE)</f>
        <v>5.2017671260384892</v>
      </c>
      <c r="CJ104">
        <f>VLOOKUP($B104,'[1]Data_UN_PopulationTot.&amp;%'!$B$4:$CZ$603,74,FALSE)</f>
        <v>4.1998384181793558</v>
      </c>
      <c r="CK104">
        <f>VLOOKUP($B104,'[1]Data_UN_PopulationTot.&amp;%'!$B$4:$CZ$603,75,FALSE)</f>
        <v>3.3970989992201113</v>
      </c>
      <c r="CL104">
        <f>VLOOKUP($B104,'[1]Data_UN_PopulationTot.&amp;%'!$B$4:$CZ$603,76,FALSE)</f>
        <v>1.9562888485193781</v>
      </c>
      <c r="CM104">
        <f>VLOOKUP($B104,'[1]Data_UN_PopulationTot.&amp;%'!$B$4:$CZ$603,77,FALSE)</f>
        <v>0.97187262122139051</v>
      </c>
      <c r="CN104">
        <f>VLOOKUP($B104,'[1]Data_UN_PopulationTot.&amp;%'!$B$4:$CZ$603,78,FALSE)</f>
        <v>0.49717231813872687</v>
      </c>
      <c r="CO104">
        <f>VLOOKUP($B104,'[1]Data_UN_PopulationTot.&amp;%'!$B$4:$CZ$603,79,FALSE)</f>
        <v>0.17696011357427396</v>
      </c>
      <c r="CP104">
        <f>VLOOKUP($B104,'[1]Data_UN_PopulationTot.&amp;%'!$B$4:$CZ$603,80,FALSE)</f>
        <v>3.0924705673576705E-2</v>
      </c>
      <c r="CQ104">
        <f>VLOOKUP($B104,'[1]Data_UN_PopulationTot.&amp;%'!$B$4:$CZ$603,81,FALSE)</f>
        <v>2.6852470193758082E-3</v>
      </c>
      <c r="CR104">
        <f>VLOOKUP($B104,'[1]Data_UN_PopulationTot.&amp;%'!$B$4:$CZ$603,82,FALSE)</f>
        <v>6.7290105798483406</v>
      </c>
      <c r="CS104">
        <f>VLOOKUP($B104,'[1]Data_UN_PopulationTot.&amp;%'!$B$4:$CZ$603,83,FALSE)</f>
        <v>6.8507015392998234</v>
      </c>
      <c r="CT104">
        <f>VLOOKUP($B104,'[1]Data_UN_PopulationTot.&amp;%'!$B$4:$CZ$603,84,FALSE)</f>
        <v>7.280207056259365</v>
      </c>
      <c r="CU104">
        <f>VLOOKUP($B104,'[1]Data_UN_PopulationTot.&amp;%'!$B$4:$CZ$603,85,FALSE)</f>
        <v>7.4194251464378151</v>
      </c>
      <c r="CV104">
        <f>VLOOKUP($B104,'[1]Data_UN_PopulationTot.&amp;%'!$B$4:$CZ$603,86,FALSE)</f>
        <v>7.3152159106388783</v>
      </c>
      <c r="CW104">
        <f>VLOOKUP($B104,'[1]Data_UN_PopulationTot.&amp;%'!$B$4:$CZ$603,87,FALSE)</f>
        <v>6.6801525677700591</v>
      </c>
      <c r="CX104">
        <f>VLOOKUP($B104,'[1]Data_UN_PopulationTot.&amp;%'!$B$4:$CZ$603,88,FALSE)</f>
        <v>5.8640966262543701</v>
      </c>
      <c r="CY104">
        <f>VLOOKUP($B104,'[1]Data_UN_PopulationTot.&amp;%'!$B$4:$CZ$603,89,FALSE)</f>
        <v>5.7599782046042778</v>
      </c>
      <c r="CZ104">
        <f>VLOOKUP($B104,'[1]Data_UN_PopulationTot.&amp;%'!$B$4:$CZ$603,90,FALSE)</f>
        <v>5.8020705625936513</v>
      </c>
      <c r="DA104">
        <f>VLOOKUP($B104,'[1]Data_UN_PopulationTot.&amp;%'!$B$4:$CZ$603,91,FALSE)</f>
        <v>6.4773645734005365</v>
      </c>
      <c r="DB104">
        <f>VLOOKUP($B104,'[1]Data_UN_PopulationTot.&amp;%'!$B$4:$CZ$603,92,FALSE)</f>
        <v>6.7867229714389508</v>
      </c>
      <c r="DC104">
        <f>VLOOKUP($B104,'[1]Data_UN_PopulationTot.&amp;%'!$B$4:$CZ$603,93,FALSE)</f>
        <v>5.9716205784861289</v>
      </c>
      <c r="DD104">
        <f>VLOOKUP($B104,'[1]Data_UN_PopulationTot.&amp;%'!$B$4:$CZ$603,94,FALSE)</f>
        <v>5.6372882895155065</v>
      </c>
      <c r="DE104">
        <f>VLOOKUP($B104,'[1]Data_UN_PopulationTot.&amp;%'!$B$4:$CZ$603,95,FALSE)</f>
        <v>5.0594832674930759</v>
      </c>
      <c r="DF104">
        <f>VLOOKUP($B104,'[1]Data_UN_PopulationTot.&amp;%'!$B$4:$CZ$603,96,FALSE)</f>
        <v>4.1865776688007994</v>
      </c>
      <c r="DG104">
        <f>VLOOKUP($B104,'[1]Data_UN_PopulationTot.&amp;%'!$B$4:$CZ$603,97,FALSE)</f>
        <v>2.9959678517913089</v>
      </c>
      <c r="DH104">
        <f>VLOOKUP($B104,'[1]Data_UN_PopulationTot.&amp;%'!$B$4:$CZ$603,98,FALSE)</f>
        <v>2.0516868728147846</v>
      </c>
      <c r="DI104">
        <f>VLOOKUP($B104,'[1]Data_UN_PopulationTot.&amp;%'!$B$4:$CZ$603,99,FALSE)</f>
        <v>0.85179130908595557</v>
      </c>
      <c r="DJ104">
        <f>VLOOKUP($B104,'[1]Data_UN_PopulationTot.&amp;%'!$B$4:$DE$603,100,FALSE)</f>
        <v>0.23077691504336376</v>
      </c>
      <c r="DK104">
        <f>VLOOKUP($B104,'[1]Data_UN_PopulationTot.&amp;%'!$B$4:$DE$603,101,FALSE)</f>
        <v>4.5638650501748174E-2</v>
      </c>
      <c r="DL104">
        <f>VLOOKUP($B104,'[1]Data_UN_PopulationTot.&amp;%'!$B$4:$DE$603,102,FALSE)</f>
        <v>4.3045906552240838E-3</v>
      </c>
    </row>
    <row r="105" spans="1:116">
      <c r="A105" t="s">
        <v>125</v>
      </c>
      <c r="B105" t="s">
        <v>339</v>
      </c>
      <c r="C105" t="s">
        <v>496</v>
      </c>
      <c r="D105" t="s">
        <v>334</v>
      </c>
      <c r="E105" t="s">
        <v>300</v>
      </c>
      <c r="F105">
        <v>0</v>
      </c>
      <c r="G105">
        <v>1</v>
      </c>
      <c r="H105">
        <v>0</v>
      </c>
      <c r="I105">
        <v>0</v>
      </c>
      <c r="J105" s="18">
        <f t="shared" si="3"/>
        <v>17.66501835</v>
      </c>
      <c r="K105">
        <f>VLOOKUP($B105,'[1]Source GDP Current USD'!$B$1:$CZ$600,64,FALSE)</f>
        <v>1875227642.47384</v>
      </c>
      <c r="L105" s="45">
        <f>VLOOKUP($B105,'[1]Source GDP Current USD'!$B$1:$CZ$600,65,FALSE)</f>
        <v>1875227642.47384</v>
      </c>
      <c r="M105" s="17">
        <f>VLOOKUP($B105,'[1]Source GDP Current LCU'!$B$1:$CZ$600,64,FALSE)</f>
        <v>30891000000</v>
      </c>
      <c r="N105" s="45">
        <v>31000000000</v>
      </c>
      <c r="O105" s="45">
        <f>VLOOKUP($B105,'[1]Source GNI Current USD'!$B$1:$CZ$600,64,FALSE)</f>
        <v>2098178811.6455801</v>
      </c>
      <c r="P105" s="45">
        <f>VLOOKUP($B105,'[1]Source GNI Current LCU'!$B$1:$CZ$600,64,FALSE)</f>
        <v>34563719200</v>
      </c>
      <c r="Q105">
        <f t="shared" si="2"/>
        <v>89.374062499616642</v>
      </c>
      <c r="R105">
        <v>1100</v>
      </c>
      <c r="S105">
        <v>1100</v>
      </c>
      <c r="T105">
        <v>0.358153</v>
      </c>
      <c r="U105" s="45">
        <v>2100000</v>
      </c>
      <c r="V105">
        <v>57.185000000000002</v>
      </c>
      <c r="W105">
        <f>VLOOKUP($B105,'[1]Source Gov. Revenue WEO'!$B$1:$CZ$600,5,FALSE)</f>
        <v>46.036999999999999</v>
      </c>
      <c r="X105">
        <f>VLOOKUP($B105,'[1]Source Gov. Revenue WEO'!$B$1:$CZ$600,6,FALSE)</f>
        <v>47.48</v>
      </c>
      <c r="Y105">
        <f>VLOOKUP($B105,'[1]Source Gov. Revenue WEO'!$B$1:$CZ$600,7,FALSE)</f>
        <v>44.98</v>
      </c>
      <c r="Z105">
        <f>VLOOKUP($B105,'[1]Source Gov. Revenue WEO'!$B$1:$CZ$600,8,FALSE)</f>
        <v>45.06</v>
      </c>
      <c r="AA105">
        <f>VLOOKUP($B105,'[1]Source Gov. Revenue WEO'!$B$1:$CZ$600,9,FALSE)</f>
        <v>45.564</v>
      </c>
      <c r="AB105">
        <f>VLOOKUP($B105,'[1]Source Gov. Revenue WEO'!$B$1:$CZ$600,10,FALSE)</f>
        <v>45.235999999999997</v>
      </c>
      <c r="AC105">
        <f>VLOOKUP($B105,[2]Summary!$B$1:$CZ$600,39,FALSE)</f>
        <v>0.26798490000000003</v>
      </c>
      <c r="AD105">
        <f>VLOOKUP($B105,[2]Summary!$B$1:$CZ$600,40,FALSE)</f>
        <v>0.23024999999999998</v>
      </c>
      <c r="AE105">
        <f>VLOOKUP($B105,[2]Summary!$B$1:$CZ$600,47,FALSE)</f>
        <v>0.41757146303190207</v>
      </c>
      <c r="AF105">
        <f>VLOOKUP($B105,'[1]CALC GDP Growth rates WDI'!$B$1:$CZ$600,27,FALSE)</f>
        <v>5.9903186078560484</v>
      </c>
      <c r="AG105">
        <f>VLOOKUP($B105,'[1]CALC GDP Growth rates WDI'!$B$1:$CZ$600,29,FALSE)</f>
        <v>24.065041708213109</v>
      </c>
      <c r="AH105" s="45">
        <v>-10.76</v>
      </c>
      <c r="AI105">
        <f>VLOOKUP($B105,'[1]CALC GDP Growth rates WDI'!$B$1:$CZ$600,30,FALSE)</f>
        <v>2.3321015554423674</v>
      </c>
      <c r="AJ105" s="45" t="s">
        <v>2465</v>
      </c>
      <c r="AK105">
        <f>VLOOKUP($B105,[1]Data_Aspire!$B$1:$CZ$600,2,FALSE)</f>
        <v>2017</v>
      </c>
      <c r="AL105">
        <f>VLOOKUP($B105,[1]Data_Aspire!$B$1:$CZ$600,3,FALSE)</f>
        <v>5.4</v>
      </c>
      <c r="AM105">
        <f>VLOOKUP($B105,[1]Data_Aspire!$B$1:$CZ$600,4,FALSE)</f>
        <v>0</v>
      </c>
      <c r="AN105">
        <f>VLOOKUP($B105,[1]Data_Aspire!$B$1:$CZ$600,5,FALSE)</f>
        <v>0</v>
      </c>
      <c r="AO105">
        <f>VLOOKUP($B105,[1]Data_Aspire!$B$1:$CZ$600,6,FALSE)</f>
        <v>2.2400000000000002</v>
      </c>
      <c r="AP105">
        <f>VLOOKUP($B105,[1]Data_Aspire!$B$1:$CZ$600,7,FALSE)</f>
        <v>0.61</v>
      </c>
      <c r="AQ105">
        <f>VLOOKUP($B105,[1]Data_Aspire!$B$1:$CZ$600,8,FALSE)</f>
        <v>0.31</v>
      </c>
      <c r="AR105">
        <f>VLOOKUP($B105,[1]Data_Aspire!$B$1:$CZ$600,9,FALSE)</f>
        <v>0.01</v>
      </c>
      <c r="AS105">
        <f>VLOOKUP($B105,[1]Data_Aspire!$B$1:$CZ$600,10,FALSE)</f>
        <v>0.24</v>
      </c>
      <c r="AT105">
        <f>VLOOKUP($B105,[1]Data_Aspire!$B$1:$CZ$600,11,FALSE)</f>
        <v>2</v>
      </c>
      <c r="AU105">
        <f>VLOOKUP($B105,[1]Data_Aspire!$B$1:$CZ$600,12,FALSE)</f>
        <v>5.4</v>
      </c>
      <c r="AX105">
        <f>VLOOKUP($B105,[1]Data_Aspire!$B$1:$CZ$600,15,FALSE)</f>
        <v>117600</v>
      </c>
      <c r="AY105">
        <f>VLOOKUP($B105,[1]Data_Aspire!$B$1:$CZ$600,16,FALSE)</f>
        <v>2015</v>
      </c>
      <c r="AZ105">
        <f>VLOOKUP($B105,[1]Data_Aspire!$B$1:$CZ$600,17,FALSE)</f>
        <v>83751</v>
      </c>
      <c r="BA105">
        <f>VLOOKUP($B105,[1]Data_Aspire!$B$1:$CZ$600,18,FALSE)</f>
        <v>2017</v>
      </c>
      <c r="BB105">
        <f>VLOOKUP($B105,[1]Data_Aspire!$B$1:$CZ$600,19,FALSE)</f>
        <v>5512</v>
      </c>
      <c r="BC105">
        <f>VLOOKUP($B105,[1]Data_Aspire!$B$1:$CZ$600,20,FALSE)</f>
        <v>2017</v>
      </c>
      <c r="BD105">
        <f>VLOOKUP($B105,[1]Data_Aspire!$B$1:$CZ$600,21,FALSE)</f>
        <v>295723</v>
      </c>
      <c r="BE105">
        <f>VLOOKUP($B105,[1]Data_Aspire!$B$1:$CZ$600,22,FALSE)</f>
        <v>2017</v>
      </c>
      <c r="BF105">
        <f>VLOOKUP($B105,[1]Data_Aspire!$B$1:$CZ$600,23,FALSE)</f>
        <v>80500</v>
      </c>
      <c r="BG105">
        <f>VLOOKUP($B105,[1]Data_Aspire!$B$1:$CZ$600,24,FALSE)</f>
        <v>2017</v>
      </c>
      <c r="BH105">
        <f>VLOOKUP($B105,[1]Data_Aspire!$B$1:$CZ$600,25,FALSE)</f>
        <v>10657</v>
      </c>
      <c r="BI105">
        <f>VLOOKUP($B105,[1]Data_Aspire!$B$1:$CZ$600,26,FALSE)</f>
        <v>2017</v>
      </c>
      <c r="BJ105" s="7">
        <v>1</v>
      </c>
      <c r="BK105">
        <v>426</v>
      </c>
      <c r="BL105">
        <f>VLOOKUP($B105,'[1]Data_UN_PopulationTot.&amp;%'!$B$4:$CZ$603,8,FALSE)</f>
        <v>2142.25</v>
      </c>
      <c r="BM105">
        <f>VLOOKUP($B105,'[1]Data_UN_PopulationTot.&amp;%'!$B$4:$CZ$603,9,FALSE)</f>
        <v>2159.0700000000002</v>
      </c>
      <c r="BN105">
        <v>2175.6999999999998</v>
      </c>
      <c r="BO105">
        <f>VLOOKUP($B105,'[1]Data_UN_PopulationTot.&amp;%'!$B$4:$CZ$603,11,FALSE)</f>
        <v>2192.4</v>
      </c>
      <c r="BP105">
        <f>VLOOKUP($B105,'[1]Data_UN_PopulationTot.&amp;%'!$B$4:$CZ$603,12,FALSE)</f>
        <v>2209.6</v>
      </c>
      <c r="BQ105">
        <f>VLOOKUP($B105,'[1]Data_UN_PopulationTot.&amp;%'!$B$4:$CZ$603,13,FALSE)</f>
        <v>2227.5700000000002</v>
      </c>
      <c r="BR105">
        <f>VLOOKUP($B105,'[1]Data_UN_PopulationTot.&amp;%'!$B$4:$CZ$603,14,FALSE)</f>
        <v>2246.37</v>
      </c>
      <c r="BS105">
        <f>VLOOKUP($B105,'[1]Data_UN_PopulationTot.&amp;%'!$B$4:$CZ$603,15,FALSE)</f>
        <v>2265.85</v>
      </c>
      <c r="BT105">
        <f>VLOOKUP($B105,'[1]Data_UN_PopulationTot.&amp;%'!$B$4:$CZ$603,16,FALSE)</f>
        <v>2285.7399999999998</v>
      </c>
      <c r="BU105">
        <f>VLOOKUP($B105,'[1]Data_UN_PopulationTot.&amp;%'!$B$4:$CZ$603,17,FALSE)</f>
        <v>2305.6</v>
      </c>
      <c r="BV105">
        <f>VLOOKUP($B105,'[1]Data_UN_PopulationTot.&amp;%'!$B$4:$CZ$603,18,FALSE)</f>
        <v>2325.17</v>
      </c>
      <c r="BW105">
        <f>VLOOKUP($B105,'[1]Data_UN_PopulationTot.&amp;%'!$B$4:$CZ$603,61,FALSE)</f>
        <v>11.83395962189287</v>
      </c>
      <c r="BX105">
        <f>VLOOKUP($B105,'[1]Data_UN_PopulationTot.&amp;%'!$B$4:$CZ$603,62,FALSE)</f>
        <v>10.51394561792508</v>
      </c>
      <c r="BY105">
        <f>VLOOKUP($B105,'[1]Data_UN_PopulationTot.&amp;%'!$B$4:$CZ$603,63,FALSE)</f>
        <v>9.890115532734276</v>
      </c>
      <c r="BZ105">
        <f>VLOOKUP($B105,'[1]Data_UN_PopulationTot.&amp;%'!$B$4:$CZ$603,64,FALSE)</f>
        <v>10.127202707433772</v>
      </c>
      <c r="CA105">
        <f>VLOOKUP($B105,'[1]Data_UN_PopulationTot.&amp;%'!$B$4:$CZ$603,65,FALSE)</f>
        <v>9.5191037460613845</v>
      </c>
      <c r="CB105">
        <f>VLOOKUP($B105,'[1]Data_UN_PopulationTot.&amp;%'!$B$4:$CZ$603,66,FALSE)</f>
        <v>8.9284163846423148</v>
      </c>
      <c r="CC105">
        <f>VLOOKUP($B105,'[1]Data_UN_PopulationTot.&amp;%'!$B$4:$CZ$603,67,FALSE)</f>
        <v>8.1571245186136085</v>
      </c>
      <c r="CD105">
        <f>VLOOKUP($B105,'[1]Data_UN_PopulationTot.&amp;%'!$B$4:$CZ$603,68,FALSE)</f>
        <v>7.1203174232699258</v>
      </c>
      <c r="CE105">
        <f>VLOOKUP($B105,'[1]Data_UN_PopulationTot.&amp;%'!$B$4:$CZ$603,69,FALSE)</f>
        <v>5.5769868129303308</v>
      </c>
      <c r="CF105">
        <f>VLOOKUP($B105,'[1]Data_UN_PopulationTot.&amp;%'!$B$4:$CZ$603,70,FALSE)</f>
        <v>4.2375072937332243</v>
      </c>
      <c r="CG105">
        <f>VLOOKUP($B105,'[1]Data_UN_PopulationTot.&amp;%'!$B$4:$CZ$603,71,FALSE)</f>
        <v>3.4869413000350096</v>
      </c>
      <c r="CH105">
        <f>VLOOKUP($B105,'[1]Data_UN_PopulationTot.&amp;%'!$B$4:$CZ$603,72,FALSE)</f>
        <v>3.0842338662621076</v>
      </c>
      <c r="CI105">
        <f>VLOOKUP($B105,'[1]Data_UN_PopulationTot.&amp;%'!$B$4:$CZ$603,73,FALSE)</f>
        <v>2.5753296767417435</v>
      </c>
      <c r="CJ105">
        <f>VLOOKUP($B105,'[1]Data_UN_PopulationTot.&amp;%'!$B$4:$CZ$603,74,FALSE)</f>
        <v>1.9438907690512313</v>
      </c>
      <c r="CK105">
        <f>VLOOKUP($B105,'[1]Data_UN_PopulationTot.&amp;%'!$B$4:$CZ$603,75,FALSE)</f>
        <v>1.385832652584899</v>
      </c>
      <c r="CL105">
        <f>VLOOKUP($B105,'[1]Data_UN_PopulationTot.&amp;%'!$B$4:$CZ$603,76,FALSE)</f>
        <v>0.86922628077955411</v>
      </c>
      <c r="CM105">
        <f>VLOOKUP($B105,'[1]Data_UN_PopulationTot.&amp;%'!$B$4:$CZ$603,77,FALSE)</f>
        <v>0.48145641265025091</v>
      </c>
      <c r="CN105">
        <f>VLOOKUP($B105,'[1]Data_UN_PopulationTot.&amp;%'!$B$4:$CZ$603,78,FALSE)</f>
        <v>0.21295367020655853</v>
      </c>
      <c r="CO105">
        <f>VLOOKUP($B105,'[1]Data_UN_PopulationTot.&amp;%'!$B$4:$CZ$603,79,FALSE)</f>
        <v>4.9714085657602977E-2</v>
      </c>
      <c r="CP105">
        <f>VLOOKUP($B105,'[1]Data_UN_PopulationTot.&amp;%'!$B$4:$CZ$603,80,FALSE)</f>
        <v>5.3215077605321508E-3</v>
      </c>
      <c r="CQ105">
        <f>VLOOKUP($B105,'[1]Data_UN_PopulationTot.&amp;%'!$B$4:$CZ$603,81,FALSE)</f>
        <v>5.1347881899871622E-4</v>
      </c>
      <c r="CR105">
        <f>VLOOKUP($B105,'[1]Data_UN_PopulationTot.&amp;%'!$B$4:$CZ$603,82,FALSE)</f>
        <v>10.437559404258613</v>
      </c>
      <c r="CS105">
        <f>VLOOKUP($B105,'[1]Data_UN_PopulationTot.&amp;%'!$B$4:$CZ$603,83,FALSE)</f>
        <v>10.101196901731917</v>
      </c>
      <c r="CT105">
        <f>VLOOKUP($B105,'[1]Data_UN_PopulationTot.&amp;%'!$B$4:$CZ$603,84,FALSE)</f>
        <v>9.9831410176460214</v>
      </c>
      <c r="CU105">
        <f>VLOOKUP($B105,'[1]Data_UN_PopulationTot.&amp;%'!$B$4:$CZ$603,85,FALSE)</f>
        <v>9.2949332736961168</v>
      </c>
      <c r="CV105">
        <f>VLOOKUP($B105,'[1]Data_UN_PopulationTot.&amp;%'!$B$4:$CZ$603,86,FALSE)</f>
        <v>8.6206169871450253</v>
      </c>
      <c r="CW105">
        <f>VLOOKUP($B105,'[1]Data_UN_PopulationTot.&amp;%'!$B$4:$CZ$603,87,FALSE)</f>
        <v>8.425749515089219</v>
      </c>
      <c r="CX105">
        <f>VLOOKUP($B105,'[1]Data_UN_PopulationTot.&amp;%'!$B$4:$CZ$603,88,FALSE)</f>
        <v>7.5904987592305071</v>
      </c>
      <c r="CY105">
        <f>VLOOKUP($B105,'[1]Data_UN_PopulationTot.&amp;%'!$B$4:$CZ$603,89,FALSE)</f>
        <v>7.0828369538571367</v>
      </c>
      <c r="CZ105">
        <f>VLOOKUP($B105,'[1]Data_UN_PopulationTot.&amp;%'!$B$4:$CZ$603,90,FALSE)</f>
        <v>6.5480803554148714</v>
      </c>
      <c r="DA105">
        <f>VLOOKUP($B105,'[1]Data_UN_PopulationTot.&amp;%'!$B$4:$CZ$603,91,FALSE)</f>
        <v>5.7760077757755344</v>
      </c>
      <c r="DB105">
        <f>VLOOKUP($B105,'[1]Data_UN_PopulationTot.&amp;%'!$B$4:$CZ$603,92,FALSE)</f>
        <v>4.5337330173707731</v>
      </c>
      <c r="DC105">
        <f>VLOOKUP($B105,'[1]Data_UN_PopulationTot.&amp;%'!$B$4:$CZ$603,93,FALSE)</f>
        <v>3.3957087008691835</v>
      </c>
      <c r="DD105">
        <f>VLOOKUP($B105,'[1]Data_UN_PopulationTot.&amp;%'!$B$4:$CZ$603,94,FALSE)</f>
        <v>2.6566229566010224</v>
      </c>
      <c r="DE105">
        <f>VLOOKUP($B105,'[1]Data_UN_PopulationTot.&amp;%'!$B$4:$CZ$603,95,FALSE)</f>
        <v>2.1535629652885593</v>
      </c>
      <c r="DF105">
        <f>VLOOKUP($B105,'[1]Data_UN_PopulationTot.&amp;%'!$B$4:$CZ$603,96,FALSE)</f>
        <v>1.6037967116382885</v>
      </c>
      <c r="DG105">
        <f>VLOOKUP($B105,'[1]Data_UN_PopulationTot.&amp;%'!$B$4:$CZ$603,97,FALSE)</f>
        <v>1.0218607671697124</v>
      </c>
      <c r="DH105">
        <f>VLOOKUP($B105,'[1]Data_UN_PopulationTot.&amp;%'!$B$4:$CZ$603,98,FALSE)</f>
        <v>0.53608983429168622</v>
      </c>
      <c r="DI105">
        <f>VLOOKUP($B105,'[1]Data_UN_PopulationTot.&amp;%'!$B$4:$CZ$603,99,FALSE)</f>
        <v>0.19108280254777069</v>
      </c>
      <c r="DJ105">
        <f>VLOOKUP($B105,'[1]Data_UN_PopulationTot.&amp;%'!$B$4:$DE$603,100,FALSE)</f>
        <v>4.111527329184532E-2</v>
      </c>
      <c r="DK105">
        <f>VLOOKUP($B105,'[1]Data_UN_PopulationTot.&amp;%'!$B$4:$DE$603,101,FALSE)</f>
        <v>5.3759510057329145E-3</v>
      </c>
      <c r="DL105">
        <f>VLOOKUP($B105,'[1]Data_UN_PopulationTot.&amp;%'!$B$4:$DE$603,102,FALSE)</f>
        <v>4.7308368850449643E-4</v>
      </c>
    </row>
    <row r="106" spans="1:116">
      <c r="A106" t="s">
        <v>244</v>
      </c>
      <c r="B106" t="s">
        <v>536</v>
      </c>
      <c r="C106" t="s">
        <v>485</v>
      </c>
      <c r="D106" t="s">
        <v>622</v>
      </c>
      <c r="E106" t="s">
        <v>2269</v>
      </c>
      <c r="F106">
        <v>0</v>
      </c>
      <c r="G106">
        <v>0</v>
      </c>
      <c r="H106">
        <v>0</v>
      </c>
      <c r="I106">
        <v>1</v>
      </c>
      <c r="J106" s="18">
        <f t="shared" si="3"/>
        <v>17.485456091370001</v>
      </c>
      <c r="K106">
        <f>VLOOKUP($B106,'[1]Source GDP Current USD'!$B$1:$CZ$600,64,FALSE)</f>
        <v>56546957475.491203</v>
      </c>
      <c r="L106" s="45">
        <f>VLOOKUP($B106,'[1]Source GDP Current USD'!$B$1:$CZ$600,65,FALSE)</f>
        <v>56546957475.491203</v>
      </c>
      <c r="M106" s="17">
        <f>VLOOKUP($B106,'[1]Source GDP Current LCU'!$B$1:$CZ$600,64,FALSE)</f>
        <v>49507223000</v>
      </c>
      <c r="N106" s="45">
        <v>50000000000</v>
      </c>
      <c r="O106" s="45">
        <f>VLOOKUP($B106,'[1]Source GNI Current USD'!$B$1:$CZ$600,64,FALSE)</f>
        <v>54911765539.800903</v>
      </c>
      <c r="P106" s="45">
        <f>VLOOKUP($B106,'[1]Source GNI Current LCU'!$B$1:$CZ$600,64,FALSE)</f>
        <v>48075602000</v>
      </c>
      <c r="Q106">
        <f t="shared" si="2"/>
        <v>102.97785350664981</v>
      </c>
      <c r="R106">
        <v>19620</v>
      </c>
      <c r="S106">
        <v>19620</v>
      </c>
      <c r="T106">
        <v>0.52037100000000003</v>
      </c>
      <c r="U106" s="45">
        <v>2800000</v>
      </c>
      <c r="V106">
        <v>35.319000000000003</v>
      </c>
      <c r="W106">
        <f>VLOOKUP($B106,'[1]Source Gov. Revenue WEO'!$B$1:$CZ$600,5,FALSE)</f>
        <v>36.421999999999997</v>
      </c>
      <c r="X106">
        <f>VLOOKUP($B106,'[1]Source Gov. Revenue WEO'!$B$1:$CZ$600,6,FALSE)</f>
        <v>36.746000000000002</v>
      </c>
      <c r="Y106">
        <f>VLOOKUP($B106,'[1]Source Gov. Revenue WEO'!$B$1:$CZ$600,7,FALSE)</f>
        <v>36.293999999999997</v>
      </c>
      <c r="Z106">
        <f>VLOOKUP($B106,'[1]Source Gov. Revenue WEO'!$B$1:$CZ$600,8,FALSE)</f>
        <v>35.368000000000002</v>
      </c>
      <c r="AA106">
        <f>VLOOKUP($B106,'[1]Source Gov. Revenue WEO'!$B$1:$CZ$600,9,FALSE)</f>
        <v>35.395000000000003</v>
      </c>
      <c r="AB106">
        <f>VLOOKUP($B106,'[1]Source Gov. Revenue WEO'!$B$1:$CZ$600,10,FALSE)</f>
        <v>34.941000000000003</v>
      </c>
      <c r="AC106" t="e">
        <f>VLOOKUP($B106,[2]Summary!$B$1:$CZ$600,39,FALSE)</f>
        <v>#N/A</v>
      </c>
      <c r="AD106" t="e">
        <f>VLOOKUP($B106,[2]Summary!$B$1:$CZ$600,40,FALSE)</f>
        <v>#N/A</v>
      </c>
      <c r="AE106" t="e">
        <f>VLOOKUP($B106,[2]Summary!$B$1:$CZ$600,47,FALSE)</f>
        <v>#N/A</v>
      </c>
      <c r="AF106">
        <f>VLOOKUP($B106,'[1]CALC GDP Growth rates WDI'!$B$1:$CZ$600,27,FALSE)</f>
        <v>39.850969914680476</v>
      </c>
      <c r="AG106">
        <f>VLOOKUP($B106,'[1]CALC GDP Growth rates WDI'!$B$1:$CZ$600,29,FALSE)</f>
        <v>36.354649239116597</v>
      </c>
      <c r="AH106" s="45">
        <v>16.100000000000001</v>
      </c>
      <c r="AI106">
        <f>VLOOKUP($B106,'[1]CALC GDP Growth rates WDI'!$B$1:$CZ$600,30,FALSE)</f>
        <v>13.622604455685728</v>
      </c>
      <c r="AJ106" s="45"/>
      <c r="AK106">
        <f>VLOOKUP($B106,[1]Data_Aspire!$B$1:$CZ$600,2,FALSE)</f>
        <v>2016</v>
      </c>
      <c r="AL106">
        <f>VLOOKUP($B106,[1]Data_Aspire!$B$1:$CZ$600,3,FALSE)</f>
        <v>0.43</v>
      </c>
      <c r="AM106">
        <f>VLOOKUP($B106,[1]Data_Aspire!$B$1:$CZ$600,4,FALSE)</f>
        <v>0</v>
      </c>
      <c r="AN106">
        <f>VLOOKUP($B106,[1]Data_Aspire!$B$1:$CZ$600,5,FALSE)</f>
        <v>0.37</v>
      </c>
      <c r="AO106">
        <f>VLOOKUP($B106,[1]Data_Aspire!$B$1:$CZ$600,6,FALSE)</f>
        <v>0</v>
      </c>
      <c r="AP106">
        <f>VLOOKUP($B106,[1]Data_Aspire!$B$1:$CZ$600,7,FALSE)</f>
        <v>0.04</v>
      </c>
      <c r="AQ106">
        <f>VLOOKUP($B106,[1]Data_Aspire!$B$1:$CZ$600,8,FALSE)</f>
        <v>0.03</v>
      </c>
      <c r="AU106">
        <f>VLOOKUP($B106,[1]Data_Aspire!$B$1:$CZ$600,12,FALSE)</f>
        <v>0.43</v>
      </c>
      <c r="AX106">
        <f>VLOOKUP($B106,[1]Data_Aspire!$B$1:$CZ$600,15,FALSE)</f>
        <v>110701</v>
      </c>
      <c r="AY106">
        <f>VLOOKUP($B106,[1]Data_Aspire!$B$1:$CZ$600,16,FALSE)</f>
        <v>2015</v>
      </c>
      <c r="BD106">
        <f>VLOOKUP($B106,[1]Data_Aspire!$B$1:$CZ$600,21,FALSE)</f>
        <v>75839</v>
      </c>
      <c r="BE106">
        <f>VLOOKUP($B106,[1]Data_Aspire!$B$1:$CZ$600,22,FALSE)</f>
        <v>2015</v>
      </c>
      <c r="BF106">
        <f>VLOOKUP($B106,[1]Data_Aspire!$B$1:$CZ$600,23,FALSE)</f>
        <v>3076</v>
      </c>
      <c r="BG106">
        <f>VLOOKUP($B106,[1]Data_Aspire!$B$1:$CZ$600,24,FALSE)</f>
        <v>2015</v>
      </c>
      <c r="BJ106" s="7">
        <v>0</v>
      </c>
      <c r="BK106">
        <v>440</v>
      </c>
      <c r="BL106">
        <f>VLOOKUP($B106,'[1]Data_UN_PopulationTot.&amp;%'!$B$4:$CZ$603,8,FALSE)</f>
        <v>2722.29</v>
      </c>
      <c r="BM106">
        <f>VLOOKUP($B106,'[1]Data_UN_PopulationTot.&amp;%'!$B$4:$CZ$603,9,FALSE)</f>
        <v>2689.86</v>
      </c>
      <c r="BN106">
        <v>2661.7</v>
      </c>
      <c r="BO106">
        <f>VLOOKUP($B106,'[1]Data_UN_PopulationTot.&amp;%'!$B$4:$CZ$603,11,FALSE)</f>
        <v>2636.85</v>
      </c>
      <c r="BP106">
        <f>VLOOKUP($B106,'[1]Data_UN_PopulationTot.&amp;%'!$B$4:$CZ$603,12,FALSE)</f>
        <v>2613.77</v>
      </c>
      <c r="BQ106">
        <f>VLOOKUP($B106,'[1]Data_UN_PopulationTot.&amp;%'!$B$4:$CZ$603,13,FALSE)</f>
        <v>2591.27</v>
      </c>
      <c r="BR106">
        <f>VLOOKUP($B106,'[1]Data_UN_PopulationTot.&amp;%'!$B$4:$CZ$603,14,FALSE)</f>
        <v>2569.14</v>
      </c>
      <c r="BS106">
        <f>VLOOKUP($B106,'[1]Data_UN_PopulationTot.&amp;%'!$B$4:$CZ$603,15,FALSE)</f>
        <v>2547.56</v>
      </c>
      <c r="BT106">
        <f>VLOOKUP($B106,'[1]Data_UN_PopulationTot.&amp;%'!$B$4:$CZ$603,16,FALSE)</f>
        <v>2526.39</v>
      </c>
      <c r="BU106">
        <f>VLOOKUP($B106,'[1]Data_UN_PopulationTot.&amp;%'!$B$4:$CZ$603,17,FALSE)</f>
        <v>2505.5</v>
      </c>
      <c r="BV106">
        <f>VLOOKUP($B106,'[1]Data_UN_PopulationTot.&amp;%'!$B$4:$CZ$603,18,FALSE)</f>
        <v>2484.8000000000002</v>
      </c>
      <c r="BW106">
        <f>VLOOKUP($B106,'[1]Data_UN_PopulationTot.&amp;%'!$B$4:$CZ$603,61,FALSE)</f>
        <v>5.3307325817602091</v>
      </c>
      <c r="BX106">
        <f>VLOOKUP($B106,'[1]Data_UN_PopulationTot.&amp;%'!$B$4:$CZ$603,62,FALSE)</f>
        <v>5.7141965036788873</v>
      </c>
      <c r="BY106">
        <f>VLOOKUP($B106,'[1]Data_UN_PopulationTot.&amp;%'!$B$4:$CZ$603,63,FALSE)</f>
        <v>4.4330324836810187</v>
      </c>
      <c r="BZ106">
        <f>VLOOKUP($B106,'[1]Data_UN_PopulationTot.&amp;%'!$B$4:$CZ$603,64,FALSE)</f>
        <v>4.487435210796793</v>
      </c>
      <c r="CA106">
        <f>VLOOKUP($B106,'[1]Data_UN_PopulationTot.&amp;%'!$B$4:$CZ$603,65,FALSE)</f>
        <v>4.9092859320645488</v>
      </c>
      <c r="CB106">
        <f>VLOOKUP($B106,'[1]Data_UN_PopulationTot.&amp;%'!$B$4:$CZ$603,66,FALSE)</f>
        <v>6.7308405790712973</v>
      </c>
      <c r="CC106">
        <f>VLOOKUP($B106,'[1]Data_UN_PopulationTot.&amp;%'!$B$4:$CZ$603,67,FALSE)</f>
        <v>6.845817308222121</v>
      </c>
      <c r="CD106">
        <f>VLOOKUP($B106,'[1]Data_UN_PopulationTot.&amp;%'!$B$4:$CZ$603,68,FALSE)</f>
        <v>5.5542208949083305</v>
      </c>
      <c r="CE106">
        <f>VLOOKUP($B106,'[1]Data_UN_PopulationTot.&amp;%'!$B$4:$CZ$603,69,FALSE)</f>
        <v>5.9207138107989961</v>
      </c>
      <c r="CF106">
        <f>VLOOKUP($B106,'[1]Data_UN_PopulationTot.&amp;%'!$B$4:$CZ$603,70,FALSE)</f>
        <v>7.1531688394697106</v>
      </c>
      <c r="CG106">
        <f>VLOOKUP($B106,'[1]Data_UN_PopulationTot.&amp;%'!$B$4:$CZ$603,71,FALSE)</f>
        <v>6.7903860352864696</v>
      </c>
      <c r="CH106">
        <f>VLOOKUP($B106,'[1]Data_UN_PopulationTot.&amp;%'!$B$4:$CZ$603,72,FALSE)</f>
        <v>8.6582987117463617</v>
      </c>
      <c r="CI106">
        <f>VLOOKUP($B106,'[1]Data_UN_PopulationTot.&amp;%'!$B$4:$CZ$603,73,FALSE)</f>
        <v>6.8538987396640323</v>
      </c>
      <c r="CJ106">
        <f>VLOOKUP($B106,'[1]Data_UN_PopulationTot.&amp;%'!$B$4:$CZ$603,74,FALSE)</f>
        <v>6.1061826623908546</v>
      </c>
      <c r="CK106">
        <f>VLOOKUP($B106,'[1]Data_UN_PopulationTot.&amp;%'!$B$4:$CZ$603,75,FALSE)</f>
        <v>3.9840354995242975</v>
      </c>
      <c r="CL106">
        <f>VLOOKUP($B106,'[1]Data_UN_PopulationTot.&amp;%'!$B$4:$CZ$603,76,FALSE)</f>
        <v>4.2179929397676217</v>
      </c>
      <c r="CM106">
        <f>VLOOKUP($B106,'[1]Data_UN_PopulationTot.&amp;%'!$B$4:$CZ$603,77,FALSE)</f>
        <v>3.0614666328715896</v>
      </c>
      <c r="CN106">
        <f>VLOOKUP($B106,'[1]Data_UN_PopulationTot.&amp;%'!$B$4:$CZ$603,78,FALSE)</f>
        <v>2.0507366959434887</v>
      </c>
      <c r="CO106">
        <f>VLOOKUP($B106,'[1]Data_UN_PopulationTot.&amp;%'!$B$4:$CZ$603,79,FALSE)</f>
        <v>0.94615195295137555</v>
      </c>
      <c r="CP106">
        <f>VLOOKUP($B106,'[1]Data_UN_PopulationTot.&amp;%'!$B$4:$CZ$603,80,FALSE)</f>
        <v>0.23046773121159023</v>
      </c>
      <c r="CQ106">
        <f>VLOOKUP($B106,'[1]Data_UN_PopulationTot.&amp;%'!$B$4:$CZ$603,81,FALSE)</f>
        <v>2.0974987969687286E-2</v>
      </c>
      <c r="CR106">
        <f>VLOOKUP($B106,'[1]Data_UN_PopulationTot.&amp;%'!$B$4:$CZ$603,82,FALSE)</f>
        <v>4.4797166773985824</v>
      </c>
      <c r="CS106">
        <f>VLOOKUP($B106,'[1]Data_UN_PopulationTot.&amp;%'!$B$4:$CZ$603,83,FALSE)</f>
        <v>5.0298213135866066</v>
      </c>
      <c r="CT106">
        <f>VLOOKUP($B106,'[1]Data_UN_PopulationTot.&amp;%'!$B$4:$CZ$603,84,FALSE)</f>
        <v>5.7322118480360587</v>
      </c>
      <c r="CU106">
        <f>VLOOKUP($B106,'[1]Data_UN_PopulationTot.&amp;%'!$B$4:$CZ$603,85,FALSE)</f>
        <v>6.0562620734063088</v>
      </c>
      <c r="CV106">
        <f>VLOOKUP($B106,'[1]Data_UN_PopulationTot.&amp;%'!$B$4:$CZ$603,86,FALSE)</f>
        <v>4.2943094011590466</v>
      </c>
      <c r="CW106">
        <f>VLOOKUP($B106,'[1]Data_UN_PopulationTot.&amp;%'!$B$4:$CZ$603,87,FALSE)</f>
        <v>4.1167095943335479</v>
      </c>
      <c r="CX106">
        <f>VLOOKUP($B106,'[1]Data_UN_PopulationTot.&amp;%'!$B$4:$CZ$603,88,FALSE)</f>
        <v>4.643713779781069</v>
      </c>
      <c r="CY106">
        <f>VLOOKUP($B106,'[1]Data_UN_PopulationTot.&amp;%'!$B$4:$CZ$603,89,FALSE)</f>
        <v>6.7579684481648421</v>
      </c>
      <c r="CZ106">
        <f>VLOOKUP($B106,'[1]Data_UN_PopulationTot.&amp;%'!$B$4:$CZ$603,90,FALSE)</f>
        <v>6.9829764971023822</v>
      </c>
      <c r="DA106">
        <f>VLOOKUP($B106,'[1]Data_UN_PopulationTot.&amp;%'!$B$4:$CZ$603,91,FALSE)</f>
        <v>5.6512797810688982</v>
      </c>
      <c r="DB106">
        <f>VLOOKUP($B106,'[1]Data_UN_PopulationTot.&amp;%'!$B$4:$CZ$603,92,FALSE)</f>
        <v>6.0240663232453313</v>
      </c>
      <c r="DC106">
        <f>VLOOKUP($B106,'[1]Data_UN_PopulationTot.&amp;%'!$B$4:$CZ$603,93,FALSE)</f>
        <v>7.2060125563425625</v>
      </c>
      <c r="DD106">
        <f>VLOOKUP($B106,'[1]Data_UN_PopulationTot.&amp;%'!$B$4:$CZ$603,94,FALSE)</f>
        <v>6.6483016741790077</v>
      </c>
      <c r="DE106">
        <f>VLOOKUP($B106,'[1]Data_UN_PopulationTot.&amp;%'!$B$4:$CZ$603,95,FALSE)</f>
        <v>8.1290647134578222</v>
      </c>
      <c r="DF106">
        <f>VLOOKUP($B106,'[1]Data_UN_PopulationTot.&amp;%'!$B$4:$CZ$603,96,FALSE)</f>
        <v>6.0662025112685116</v>
      </c>
      <c r="DG106">
        <f>VLOOKUP($B106,'[1]Data_UN_PopulationTot.&amp;%'!$B$4:$CZ$603,97,FALSE)</f>
        <v>4.9929169349645841</v>
      </c>
      <c r="DH106">
        <f>VLOOKUP($B106,'[1]Data_UN_PopulationTot.&amp;%'!$B$4:$CZ$603,98,FALSE)</f>
        <v>2.8152768834513839</v>
      </c>
      <c r="DI106">
        <f>VLOOKUP($B106,'[1]Data_UN_PopulationTot.&amp;%'!$B$4:$CZ$603,99,FALSE)</f>
        <v>2.3708145524790725</v>
      </c>
      <c r="DJ106">
        <f>VLOOKUP($B106,'[1]Data_UN_PopulationTot.&amp;%'!$B$4:$DE$603,100,FALSE)</f>
        <v>1.2832018673535093</v>
      </c>
      <c r="DK106">
        <f>VLOOKUP($B106,'[1]Data_UN_PopulationTot.&amp;%'!$B$4:$DE$603,101,FALSE)</f>
        <v>0.5755392788151964</v>
      </c>
      <c r="DL106">
        <f>VLOOKUP($B106,'[1]Data_UN_PopulationTot.&amp;%'!$B$4:$DE$603,102,FALSE)</f>
        <v>0.14375402446877011</v>
      </c>
    </row>
    <row r="107" spans="1:116">
      <c r="A107" t="s">
        <v>54</v>
      </c>
      <c r="B107" t="s">
        <v>467</v>
      </c>
      <c r="C107" t="s">
        <v>485</v>
      </c>
      <c r="D107" t="s">
        <v>622</v>
      </c>
      <c r="E107" t="s">
        <v>2269</v>
      </c>
      <c r="F107">
        <v>0</v>
      </c>
      <c r="G107">
        <v>0</v>
      </c>
      <c r="H107">
        <v>0</v>
      </c>
      <c r="I107">
        <v>1</v>
      </c>
      <c r="J107" s="18">
        <f t="shared" si="3"/>
        <v>28.06849013722</v>
      </c>
      <c r="K107">
        <f>VLOOKUP($B107,'[1]Source GDP Current USD'!$B$1:$CZ$600,64,FALSE)</f>
        <v>73353132793.707596</v>
      </c>
      <c r="L107" s="45">
        <f>VLOOKUP($B107,'[1]Source GDP Current USD'!$B$1:$CZ$600,65,FALSE)</f>
        <v>73353132793.707596</v>
      </c>
      <c r="M107" s="17">
        <f>VLOOKUP($B107,'[1]Source GDP Current LCU'!$B$1:$CZ$600,64,FALSE)</f>
        <v>64221137000</v>
      </c>
      <c r="N107" s="45">
        <v>64000000000</v>
      </c>
      <c r="O107" s="45">
        <f>VLOOKUP($B107,'[1]Source GNI Current USD'!$B$1:$CZ$600,64,FALSE)</f>
        <v>51803961862.568199</v>
      </c>
      <c r="P107" s="45">
        <f>VLOOKUP($B107,'[1]Source GNI Current LCU'!$B$1:$CZ$600,64,FALSE)</f>
        <v>45354700000</v>
      </c>
      <c r="Q107">
        <f t="shared" si="2"/>
        <v>141.59753454438018</v>
      </c>
      <c r="R107">
        <v>80860</v>
      </c>
      <c r="S107">
        <v>80860</v>
      </c>
      <c r="T107">
        <v>0.98735700000000004</v>
      </c>
      <c r="U107">
        <v>632275</v>
      </c>
      <c r="V107">
        <v>43.706000000000003</v>
      </c>
      <c r="W107">
        <f>VLOOKUP($B107,'[1]Source Gov. Revenue WEO'!$B$1:$CZ$600,5,FALSE)</f>
        <v>42.787999999999997</v>
      </c>
      <c r="X107">
        <f>VLOOKUP($B107,'[1]Source Gov. Revenue WEO'!$B$1:$CZ$600,6,FALSE)</f>
        <v>42.500999999999998</v>
      </c>
      <c r="Y107">
        <f>VLOOKUP($B107,'[1]Source Gov. Revenue WEO'!$B$1:$CZ$600,7,FALSE)</f>
        <v>42.353000000000002</v>
      </c>
      <c r="Z107">
        <f>VLOOKUP($B107,'[1]Source Gov. Revenue WEO'!$B$1:$CZ$600,8,FALSE)</f>
        <v>42.259</v>
      </c>
      <c r="AA107">
        <f>VLOOKUP($B107,'[1]Source Gov. Revenue WEO'!$B$1:$CZ$600,9,FALSE)</f>
        <v>42.277000000000001</v>
      </c>
      <c r="AB107">
        <f>VLOOKUP($B107,'[1]Source Gov. Revenue WEO'!$B$1:$CZ$600,10,FALSE)</f>
        <v>42.298000000000002</v>
      </c>
      <c r="AC107" t="e">
        <f>VLOOKUP($B107,[2]Summary!$B$1:$CZ$600,39,FALSE)</f>
        <v>#N/A</v>
      </c>
      <c r="AD107" t="e">
        <f>VLOOKUP($B107,[2]Summary!$B$1:$CZ$600,40,FALSE)</f>
        <v>#N/A</v>
      </c>
      <c r="AE107" t="e">
        <f>VLOOKUP($B107,[2]Summary!$B$1:$CZ$600,47,FALSE)</f>
        <v>#N/A</v>
      </c>
      <c r="AF107">
        <f>VLOOKUP($B107,'[1]CALC GDP Growth rates WDI'!$B$1:$CZ$600,27,FALSE)</f>
        <v>22.411427979828961</v>
      </c>
      <c r="AG107">
        <f>VLOOKUP($B107,'[1]CALC GDP Growth rates WDI'!$B$1:$CZ$600,29,FALSE)</f>
        <v>25.235809194723235</v>
      </c>
      <c r="AH107">
        <v>10.06</v>
      </c>
      <c r="AI107">
        <f>VLOOKUP($B107,'[1]CALC GDP Growth rates WDI'!$B$1:$CZ$600,30,FALSE)</f>
        <v>10.986975275627309</v>
      </c>
      <c r="AK107" t="e">
        <f>VLOOKUP($B107,[1]Data_Aspire!$B$1:$CZ$600,2,FALSE)</f>
        <v>#N/A</v>
      </c>
      <c r="AL107" t="e">
        <f>VLOOKUP($B107,[1]Data_Aspire!$B$1:$CZ$600,3,FALSE)</f>
        <v>#N/A</v>
      </c>
      <c r="AM107" t="e">
        <f>VLOOKUP($B107,[1]Data_Aspire!$B$1:$CZ$600,4,FALSE)</f>
        <v>#N/A</v>
      </c>
      <c r="AN107" t="e">
        <f>VLOOKUP($B107,[1]Data_Aspire!$B$1:$CZ$600,5,FALSE)</f>
        <v>#N/A</v>
      </c>
      <c r="AO107" t="e">
        <f>VLOOKUP($B107,[1]Data_Aspire!$B$1:$CZ$600,6,FALSE)</f>
        <v>#N/A</v>
      </c>
      <c r="AP107" t="e">
        <f>VLOOKUP($B107,[1]Data_Aspire!$B$1:$CZ$600,7,FALSE)</f>
        <v>#N/A</v>
      </c>
      <c r="AQ107" t="e">
        <f>VLOOKUP($B107,[1]Data_Aspire!$B$1:$CZ$600,8,FALSE)</f>
        <v>#N/A</v>
      </c>
      <c r="AR107" t="e">
        <f>VLOOKUP($B107,[1]Data_Aspire!$B$1:$CZ$600,9,FALSE)</f>
        <v>#N/A</v>
      </c>
      <c r="AS107" t="e">
        <f>VLOOKUP($B107,[1]Data_Aspire!$B$1:$CZ$600,10,FALSE)</f>
        <v>#N/A</v>
      </c>
      <c r="AT107" t="e">
        <f>VLOOKUP($B107,[1]Data_Aspire!$B$1:$CZ$600,11,FALSE)</f>
        <v>#N/A</v>
      </c>
      <c r="AU107" t="e">
        <f>VLOOKUP($B107,[1]Data_Aspire!$B$1:$CZ$600,12,FALSE)</f>
        <v>#N/A</v>
      </c>
      <c r="AV107" t="e">
        <f>VLOOKUP($B107,[1]Data_Aspire!$B$1:$CZ$600,13,FALSE)</f>
        <v>#N/A</v>
      </c>
      <c r="AW107" t="e">
        <f>VLOOKUP($B107,[1]Data_Aspire!$B$1:$CZ$600,14,FALSE)</f>
        <v>#N/A</v>
      </c>
      <c r="AX107" t="e">
        <f>VLOOKUP($B107,[1]Data_Aspire!$B$1:$CZ$600,15,FALSE)</f>
        <v>#N/A</v>
      </c>
      <c r="AY107" t="e">
        <f>VLOOKUP($B107,[1]Data_Aspire!$B$1:$CZ$600,16,FALSE)</f>
        <v>#N/A</v>
      </c>
      <c r="AZ107" t="e">
        <f>VLOOKUP($B107,[1]Data_Aspire!$B$1:$CZ$600,17,FALSE)</f>
        <v>#N/A</v>
      </c>
      <c r="BA107" t="e">
        <f>VLOOKUP($B107,[1]Data_Aspire!$B$1:$CZ$600,18,FALSE)</f>
        <v>#N/A</v>
      </c>
      <c r="BB107" t="e">
        <f>VLOOKUP($B107,[1]Data_Aspire!$B$1:$CZ$600,19,FALSE)</f>
        <v>#N/A</v>
      </c>
      <c r="BC107" t="e">
        <f>VLOOKUP($B107,[1]Data_Aspire!$B$1:$CZ$600,20,FALSE)</f>
        <v>#N/A</v>
      </c>
      <c r="BD107" t="e">
        <f>VLOOKUP($B107,[1]Data_Aspire!$B$1:$CZ$600,21,FALSE)</f>
        <v>#N/A</v>
      </c>
      <c r="BE107" t="e">
        <f>VLOOKUP($B107,[1]Data_Aspire!$B$1:$CZ$600,22,FALSE)</f>
        <v>#N/A</v>
      </c>
      <c r="BF107" t="e">
        <f>VLOOKUP($B107,[1]Data_Aspire!$B$1:$CZ$600,23,FALSE)</f>
        <v>#N/A</v>
      </c>
      <c r="BG107" t="e">
        <f>VLOOKUP($B107,[1]Data_Aspire!$B$1:$CZ$600,24,FALSE)</f>
        <v>#N/A</v>
      </c>
      <c r="BH107" t="e">
        <f>VLOOKUP($B107,[1]Data_Aspire!$B$1:$CZ$600,25,FALSE)</f>
        <v>#N/A</v>
      </c>
      <c r="BI107" t="e">
        <f>VLOOKUP($B107,[1]Data_Aspire!$B$1:$CZ$600,26,FALSE)</f>
        <v>#N/A</v>
      </c>
      <c r="BJ107" s="7">
        <v>0</v>
      </c>
      <c r="BK107">
        <v>442</v>
      </c>
      <c r="BL107">
        <f>VLOOKUP($B107,'[1]Data_UN_PopulationTot.&amp;%'!$B$4:$CZ$603,8,FALSE)</f>
        <v>625.976</v>
      </c>
      <c r="BM107">
        <f>VLOOKUP($B107,'[1]Data_UN_PopulationTot.&amp;%'!$B$4:$CZ$603,9,FALSE)</f>
        <v>634.81399999999996</v>
      </c>
      <c r="BN107">
        <v>642.36699999999996</v>
      </c>
      <c r="BO107">
        <f>VLOOKUP($B107,'[1]Data_UN_PopulationTot.&amp;%'!$B$4:$CZ$603,11,FALSE)</f>
        <v>648.97299999999996</v>
      </c>
      <c r="BP107">
        <f>VLOOKUP($B107,'[1]Data_UN_PopulationTot.&amp;%'!$B$4:$CZ$603,12,FALSE)</f>
        <v>655.11099999999999</v>
      </c>
      <c r="BQ107">
        <f>VLOOKUP($B107,'[1]Data_UN_PopulationTot.&amp;%'!$B$4:$CZ$603,13,FALSE)</f>
        <v>661.11900000000003</v>
      </c>
      <c r="BR107">
        <f>VLOOKUP($B107,'[1]Data_UN_PopulationTot.&amp;%'!$B$4:$CZ$603,14,FALSE)</f>
        <v>667.125</v>
      </c>
      <c r="BS107">
        <f>VLOOKUP($B107,'[1]Data_UN_PopulationTot.&amp;%'!$B$4:$CZ$603,15,FALSE)</f>
        <v>673.03300000000002</v>
      </c>
      <c r="BT107">
        <f>VLOOKUP($B107,'[1]Data_UN_PopulationTot.&amp;%'!$B$4:$CZ$603,16,FALSE)</f>
        <v>678.88900000000001</v>
      </c>
      <c r="BU107">
        <f>VLOOKUP($B107,'[1]Data_UN_PopulationTot.&amp;%'!$B$4:$CZ$603,17,FALSE)</f>
        <v>684.654</v>
      </c>
      <c r="BV107">
        <f>VLOOKUP($B107,'[1]Data_UN_PopulationTot.&amp;%'!$B$4:$CZ$603,18,FALSE)</f>
        <v>690.34400000000005</v>
      </c>
      <c r="BW107">
        <f>VLOOKUP($B107,'[1]Data_UN_PopulationTot.&amp;%'!$B$4:$CZ$603,61,FALSE)</f>
        <v>5.3115454905619393</v>
      </c>
      <c r="BX107">
        <f>VLOOKUP($B107,'[1]Data_UN_PopulationTot.&amp;%'!$B$4:$CZ$603,62,FALSE)</f>
        <v>5.2169731746904029</v>
      </c>
      <c r="BY107">
        <f>VLOOKUP($B107,'[1]Data_UN_PopulationTot.&amp;%'!$B$4:$CZ$603,63,FALSE)</f>
        <v>5.0291065472158687</v>
      </c>
      <c r="BZ107">
        <f>VLOOKUP($B107,'[1]Data_UN_PopulationTot.&amp;%'!$B$4:$CZ$603,64,FALSE)</f>
        <v>5.49861336536864</v>
      </c>
      <c r="CA107">
        <f>VLOOKUP($B107,'[1]Data_UN_PopulationTot.&amp;%'!$B$4:$CZ$603,65,FALSE)</f>
        <v>6.3636625046327655</v>
      </c>
      <c r="CB107">
        <f>VLOOKUP($B107,'[1]Data_UN_PopulationTot.&amp;%'!$B$4:$CZ$603,66,FALSE)</f>
        <v>7.3002798829348086</v>
      </c>
      <c r="CC107">
        <f>VLOOKUP($B107,'[1]Data_UN_PopulationTot.&amp;%'!$B$4:$CZ$603,67,FALSE)</f>
        <v>7.8498217184045389</v>
      </c>
      <c r="CD107">
        <f>VLOOKUP($B107,'[1]Data_UN_PopulationTot.&amp;%'!$B$4:$CZ$603,68,FALSE)</f>
        <v>7.8562117397472093</v>
      </c>
      <c r="CE107">
        <f>VLOOKUP($B107,'[1]Data_UN_PopulationTot.&amp;%'!$B$4:$CZ$603,69,FALSE)</f>
        <v>7.4371860902015419</v>
      </c>
      <c r="CF107">
        <f>VLOOKUP($B107,'[1]Data_UN_PopulationTot.&amp;%'!$B$4:$CZ$603,70,FALSE)</f>
        <v>7.6752143852160479</v>
      </c>
      <c r="CG107">
        <f>VLOOKUP($B107,'[1]Data_UN_PopulationTot.&amp;%'!$B$4:$CZ$603,71,FALSE)</f>
        <v>7.6972599588482629</v>
      </c>
      <c r="CH107">
        <f>VLOOKUP($B107,'[1]Data_UN_PopulationTot.&amp;%'!$B$4:$CZ$603,72,FALSE)</f>
        <v>6.8170345188952925</v>
      </c>
      <c r="CI107">
        <f>VLOOKUP($B107,'[1]Data_UN_PopulationTot.&amp;%'!$B$4:$CZ$603,73,FALSE)</f>
        <v>5.5562833079862486</v>
      </c>
      <c r="CJ107">
        <f>VLOOKUP($B107,'[1]Data_UN_PopulationTot.&amp;%'!$B$4:$CZ$603,74,FALSE)</f>
        <v>4.3678990887829556</v>
      </c>
      <c r="CK107">
        <f>VLOOKUP($B107,'[1]Data_UN_PopulationTot.&amp;%'!$B$4:$CZ$603,75,FALSE)</f>
        <v>3.5501361074545992</v>
      </c>
      <c r="CL107">
        <f>VLOOKUP($B107,'[1]Data_UN_PopulationTot.&amp;%'!$B$4:$CZ$603,76,FALSE)</f>
        <v>2.50009585032014</v>
      </c>
      <c r="CM107">
        <f>VLOOKUP($B107,'[1]Data_UN_PopulationTot.&amp;%'!$B$4:$CZ$603,77,FALSE)</f>
        <v>1.9574232877937814</v>
      </c>
      <c r="CN107">
        <f>VLOOKUP($B107,'[1]Data_UN_PopulationTot.&amp;%'!$B$4:$CZ$603,78,FALSE)</f>
        <v>1.3379107186218002</v>
      </c>
      <c r="CO107">
        <f>VLOOKUP($B107,'[1]Data_UN_PopulationTot.&amp;%'!$B$4:$CZ$603,79,FALSE)</f>
        <v>0.55449410201030069</v>
      </c>
      <c r="CP107">
        <f>VLOOKUP($B107,'[1]Data_UN_PopulationTot.&amp;%'!$B$4:$CZ$603,80,FALSE)</f>
        <v>0.11278387669814817</v>
      </c>
      <c r="CQ107">
        <f>VLOOKUP($B107,'[1]Data_UN_PopulationTot.&amp;%'!$B$4:$CZ$603,81,FALSE)</f>
        <v>1.0064283614707273E-2</v>
      </c>
      <c r="CR107">
        <f>VLOOKUP($B107,'[1]Data_UN_PopulationTot.&amp;%'!$B$4:$CZ$603,82,FALSE)</f>
        <v>4.9934525396034442</v>
      </c>
      <c r="CS107">
        <f>VLOOKUP($B107,'[1]Data_UN_PopulationTot.&amp;%'!$B$4:$CZ$603,83,FALSE)</f>
        <v>5.1385975687483336</v>
      </c>
      <c r="CT107">
        <f>VLOOKUP($B107,'[1]Data_UN_PopulationTot.&amp;%'!$B$4:$CZ$603,84,FALSE)</f>
        <v>5.2286975768602311</v>
      </c>
      <c r="CU107">
        <f>VLOOKUP($B107,'[1]Data_UN_PopulationTot.&amp;%'!$B$4:$CZ$603,85,FALSE)</f>
        <v>5.3774639889678184</v>
      </c>
      <c r="CV107">
        <f>VLOOKUP($B107,'[1]Data_UN_PopulationTot.&amp;%'!$B$4:$CZ$603,86,FALSE)</f>
        <v>5.5940226901370913</v>
      </c>
      <c r="CW107">
        <f>VLOOKUP($B107,'[1]Data_UN_PopulationTot.&amp;%'!$B$4:$CZ$603,87,FALSE)</f>
        <v>6.2926598913005689</v>
      </c>
      <c r="CX107">
        <f>VLOOKUP($B107,'[1]Data_UN_PopulationTot.&amp;%'!$B$4:$CZ$603,88,FALSE)</f>
        <v>6.9960773179748053</v>
      </c>
      <c r="CY107">
        <f>VLOOKUP($B107,'[1]Data_UN_PopulationTot.&amp;%'!$B$4:$CZ$603,89,FALSE)</f>
        <v>7.4774315413764727</v>
      </c>
      <c r="CZ107">
        <f>VLOOKUP($B107,'[1]Data_UN_PopulationTot.&amp;%'!$B$4:$CZ$603,90,FALSE)</f>
        <v>7.5702838005400199</v>
      </c>
      <c r="DA107">
        <f>VLOOKUP($B107,'[1]Data_UN_PopulationTot.&amp;%'!$B$4:$CZ$603,91,FALSE)</f>
        <v>7.2820217167093499</v>
      </c>
      <c r="DB107">
        <f>VLOOKUP($B107,'[1]Data_UN_PopulationTot.&amp;%'!$B$4:$CZ$603,92,FALSE)</f>
        <v>6.703469574588901</v>
      </c>
      <c r="DC107">
        <f>VLOOKUP($B107,'[1]Data_UN_PopulationTot.&amp;%'!$B$4:$CZ$603,93,FALSE)</f>
        <v>6.733744336157045</v>
      </c>
      <c r="DD107">
        <f>VLOOKUP($B107,'[1]Data_UN_PopulationTot.&amp;%'!$B$4:$CZ$603,94,FALSE)</f>
        <v>6.5720858007022587</v>
      </c>
      <c r="DE107">
        <f>VLOOKUP($B107,'[1]Data_UN_PopulationTot.&amp;%'!$B$4:$CZ$603,95,FALSE)</f>
        <v>5.6650017962059485</v>
      </c>
      <c r="DF107">
        <f>VLOOKUP($B107,'[1]Data_UN_PopulationTot.&amp;%'!$B$4:$CZ$603,96,FALSE)</f>
        <v>4.4774778950783949</v>
      </c>
      <c r="DG107">
        <f>VLOOKUP($B107,'[1]Data_UN_PopulationTot.&amp;%'!$B$4:$CZ$603,97,FALSE)</f>
        <v>3.3394945128805342</v>
      </c>
      <c r="DH107">
        <f>VLOOKUP($B107,'[1]Data_UN_PopulationTot.&amp;%'!$B$4:$CZ$603,98,FALSE)</f>
        <v>2.4196632403555327</v>
      </c>
      <c r="DI107">
        <f>VLOOKUP($B107,'[1]Data_UN_PopulationTot.&amp;%'!$B$4:$CZ$603,99,FALSE)</f>
        <v>1.3262952962580974</v>
      </c>
      <c r="DJ107">
        <f>VLOOKUP($B107,'[1]Data_UN_PopulationTot.&amp;%'!$B$4:$DE$603,100,FALSE)</f>
        <v>0.62722352913909585</v>
      </c>
      <c r="DK107">
        <f>VLOOKUP($B107,'[1]Data_UN_PopulationTot.&amp;%'!$B$4:$DE$603,101,FALSE)</f>
        <v>0.16832188010614996</v>
      </c>
      <c r="DL107">
        <f>VLOOKUP($B107,'[1]Data_UN_PopulationTot.&amp;%'!$B$4:$DE$603,102,FALSE)</f>
        <v>1.6513506309897674E-2</v>
      </c>
    </row>
    <row r="108" spans="1:116">
      <c r="A108" t="s">
        <v>240</v>
      </c>
      <c r="B108" t="s">
        <v>534</v>
      </c>
      <c r="C108" t="s">
        <v>485</v>
      </c>
      <c r="D108" t="s">
        <v>622</v>
      </c>
      <c r="E108" t="s">
        <v>2269</v>
      </c>
      <c r="F108">
        <v>0</v>
      </c>
      <c r="G108">
        <v>0</v>
      </c>
      <c r="H108">
        <v>0</v>
      </c>
      <c r="I108">
        <v>1</v>
      </c>
      <c r="J108" s="18">
        <f t="shared" si="3"/>
        <v>11.388875472</v>
      </c>
      <c r="K108">
        <f>VLOOKUP($B108,'[1]Source GDP Current USD'!$B$1:$CZ$600,64,FALSE)</f>
        <v>33707320816.3036</v>
      </c>
      <c r="L108" s="45">
        <f>VLOOKUP($B108,'[1]Source GDP Current USD'!$B$1:$CZ$600,65,FALSE)</f>
        <v>33707320816.3036</v>
      </c>
      <c r="M108" s="17">
        <f>VLOOKUP($B108,'[1]Source GDP Current LCU'!$B$1:$CZ$600,64,FALSE)</f>
        <v>29510975000</v>
      </c>
      <c r="N108" s="45">
        <v>30000000000</v>
      </c>
      <c r="O108" s="45">
        <f>VLOOKUP($B108,'[1]Source GNI Current USD'!$B$1:$CZ$600,64,FALSE)</f>
        <v>33698927959.294998</v>
      </c>
      <c r="P108" s="45">
        <f>VLOOKUP($B108,'[1]Source GNI Current LCU'!$B$1:$CZ$600,64,FALSE)</f>
        <v>29503627000</v>
      </c>
      <c r="Q108">
        <f t="shared" si="2"/>
        <v>100.02490541247691</v>
      </c>
      <c r="R108">
        <v>17880</v>
      </c>
      <c r="S108">
        <v>17880</v>
      </c>
      <c r="T108">
        <v>0.56337300000000001</v>
      </c>
      <c r="U108" s="45">
        <v>1900000</v>
      </c>
      <c r="V108">
        <v>38.591999999999999</v>
      </c>
      <c r="W108">
        <f>VLOOKUP($B108,'[1]Source Gov. Revenue WEO'!$B$1:$CZ$600,5,FALSE)</f>
        <v>38.521999999999998</v>
      </c>
      <c r="X108">
        <f>VLOOKUP($B108,'[1]Source Gov. Revenue WEO'!$B$1:$CZ$600,6,FALSE)</f>
        <v>38.145000000000003</v>
      </c>
      <c r="Y108">
        <f>VLOOKUP($B108,'[1]Source Gov. Revenue WEO'!$B$1:$CZ$600,7,FALSE)</f>
        <v>39.076000000000001</v>
      </c>
      <c r="Z108">
        <f>VLOOKUP($B108,'[1]Source Gov. Revenue WEO'!$B$1:$CZ$600,8,FALSE)</f>
        <v>38.822000000000003</v>
      </c>
      <c r="AA108">
        <f>VLOOKUP($B108,'[1]Source Gov. Revenue WEO'!$B$1:$CZ$600,9,FALSE)</f>
        <v>38.078000000000003</v>
      </c>
      <c r="AB108">
        <f>VLOOKUP($B108,'[1]Source Gov. Revenue WEO'!$B$1:$CZ$600,10,FALSE)</f>
        <v>37.683</v>
      </c>
      <c r="AC108" t="e">
        <f>VLOOKUP($B108,[2]Summary!$B$1:$CZ$600,39,FALSE)</f>
        <v>#N/A</v>
      </c>
      <c r="AD108" t="e">
        <f>VLOOKUP($B108,[2]Summary!$B$1:$CZ$600,40,FALSE)</f>
        <v>#N/A</v>
      </c>
      <c r="AE108" t="e">
        <f>VLOOKUP($B108,[2]Summary!$B$1:$CZ$600,47,FALSE)</f>
        <v>#N/A</v>
      </c>
      <c r="AF108">
        <f>VLOOKUP($B108,'[1]CALC GDP Growth rates WDI'!$B$1:$CZ$600,27,FALSE)</f>
        <v>28.784494612617451</v>
      </c>
      <c r="AG108">
        <f>VLOOKUP($B108,'[1]CALC GDP Growth rates WDI'!$B$1:$CZ$600,29,FALSE)</f>
        <v>24.492799536692456</v>
      </c>
      <c r="AH108">
        <v>8.6199999999999992</v>
      </c>
      <c r="AI108">
        <f>VLOOKUP($B108,'[1]CALC GDP Growth rates WDI'!$B$1:$CZ$600,30,FALSE)</f>
        <v>14.197413760770971</v>
      </c>
      <c r="AK108">
        <f>VLOOKUP($B108,[1]Data_Aspire!$B$1:$CZ$600,2,FALSE)</f>
        <v>2017</v>
      </c>
      <c r="AL108">
        <f>VLOOKUP($B108,[1]Data_Aspire!$B$1:$CZ$600,3,FALSE)</f>
        <v>1.03</v>
      </c>
      <c r="AM108">
        <f>VLOOKUP($B108,[1]Data_Aspire!$B$1:$CZ$600,4,FALSE)</f>
        <v>0</v>
      </c>
      <c r="AN108">
        <f>VLOOKUP($B108,[1]Data_Aspire!$B$1:$CZ$600,5,FALSE)</f>
        <v>0.79</v>
      </c>
      <c r="AO108">
        <f>VLOOKUP($B108,[1]Data_Aspire!$B$1:$CZ$600,6,FALSE)</f>
        <v>0.22</v>
      </c>
      <c r="AP108">
        <f>VLOOKUP($B108,[1]Data_Aspire!$B$1:$CZ$600,7,FALSE)</f>
        <v>0</v>
      </c>
      <c r="AQ108">
        <f>VLOOKUP($B108,[1]Data_Aspire!$B$1:$CZ$600,8,FALSE)</f>
        <v>0.02</v>
      </c>
      <c r="AU108">
        <f>VLOOKUP($B108,[1]Data_Aspire!$B$1:$CZ$600,12,FALSE)</f>
        <v>1.03</v>
      </c>
      <c r="AX108">
        <f>VLOOKUP($B108,[1]Data_Aspire!$B$1:$CZ$600,15,FALSE)</f>
        <v>319900</v>
      </c>
      <c r="AY108">
        <f>VLOOKUP($B108,[1]Data_Aspire!$B$1:$CZ$600,16,FALSE)</f>
        <v>2017</v>
      </c>
      <c r="BF108">
        <f>VLOOKUP($B108,[1]Data_Aspire!$B$1:$CZ$600,23,FALSE)</f>
        <v>2211</v>
      </c>
      <c r="BG108">
        <f>VLOOKUP($B108,[1]Data_Aspire!$B$1:$CZ$600,24,FALSE)</f>
        <v>2015</v>
      </c>
      <c r="BH108">
        <f>VLOOKUP($B108,[1]Data_Aspire!$B$1:$CZ$600,25,FALSE)</f>
        <v>444350</v>
      </c>
      <c r="BI108">
        <f>VLOOKUP($B108,[1]Data_Aspire!$B$1:$CZ$600,26,FALSE)</f>
        <v>2012</v>
      </c>
      <c r="BJ108" s="7">
        <v>0</v>
      </c>
      <c r="BK108">
        <v>428</v>
      </c>
      <c r="BL108">
        <f>VLOOKUP($B108,'[1]Data_UN_PopulationTot.&amp;%'!$B$4:$CZ$603,8,FALSE)</f>
        <v>1886.2</v>
      </c>
      <c r="BM108">
        <f>VLOOKUP($B108,'[1]Data_UN_PopulationTot.&amp;%'!$B$4:$CZ$603,9,FALSE)</f>
        <v>1866.93</v>
      </c>
      <c r="BN108">
        <v>1848.83</v>
      </c>
      <c r="BO108">
        <f>VLOOKUP($B108,'[1]Data_UN_PopulationTot.&amp;%'!$B$4:$CZ$603,11,FALSE)</f>
        <v>1831.65</v>
      </c>
      <c r="BP108">
        <f>VLOOKUP($B108,'[1]Data_UN_PopulationTot.&amp;%'!$B$4:$CZ$603,12,FALSE)</f>
        <v>1815</v>
      </c>
      <c r="BQ108">
        <f>VLOOKUP($B108,'[1]Data_UN_PopulationTot.&amp;%'!$B$4:$CZ$603,13,FALSE)</f>
        <v>1798.63</v>
      </c>
      <c r="BR108">
        <f>VLOOKUP($B108,'[1]Data_UN_PopulationTot.&amp;%'!$B$4:$CZ$603,14,FALSE)</f>
        <v>1782.47</v>
      </c>
      <c r="BS108">
        <f>VLOOKUP($B108,'[1]Data_UN_PopulationTot.&amp;%'!$B$4:$CZ$603,15,FALSE)</f>
        <v>1766.56</v>
      </c>
      <c r="BT108">
        <f>VLOOKUP($B108,'[1]Data_UN_PopulationTot.&amp;%'!$B$4:$CZ$603,16,FALSE)</f>
        <v>1750.87</v>
      </c>
      <c r="BU108">
        <f>VLOOKUP($B108,'[1]Data_UN_PopulationTot.&amp;%'!$B$4:$CZ$603,17,FALSE)</f>
        <v>1735.4</v>
      </c>
      <c r="BV108">
        <f>VLOOKUP($B108,'[1]Data_UN_PopulationTot.&amp;%'!$B$4:$CZ$603,18,FALSE)</f>
        <v>1720.16</v>
      </c>
      <c r="BW108">
        <f>VLOOKUP($B108,'[1]Data_UN_PopulationTot.&amp;%'!$B$4:$CZ$603,61,FALSE)</f>
        <v>6.0449581168486901</v>
      </c>
      <c r="BX108">
        <f>VLOOKUP($B108,'[1]Data_UN_PopulationTot.&amp;%'!$B$4:$CZ$603,62,FALSE)</f>
        <v>4.9702576609055242</v>
      </c>
      <c r="BY108">
        <f>VLOOKUP($B108,'[1]Data_UN_PopulationTot.&amp;%'!$B$4:$CZ$603,63,FALSE)</f>
        <v>5.4168168805004768</v>
      </c>
      <c r="BZ108">
        <f>VLOOKUP($B108,'[1]Data_UN_PopulationTot.&amp;%'!$B$4:$CZ$603,64,FALSE)</f>
        <v>4.5886968508111545</v>
      </c>
      <c r="CA108">
        <f>VLOOKUP($B108,'[1]Data_UN_PopulationTot.&amp;%'!$B$4:$CZ$603,65,FALSE)</f>
        <v>3.6863004983564838</v>
      </c>
      <c r="CB108">
        <f>VLOOKUP($B108,'[1]Data_UN_PopulationTot.&amp;%'!$B$4:$CZ$603,66,FALSE)</f>
        <v>6.2926518926943054</v>
      </c>
      <c r="CC108">
        <f>VLOOKUP($B108,'[1]Data_UN_PopulationTot.&amp;%'!$B$4:$CZ$603,67,FALSE)</f>
        <v>7.5420952178984191</v>
      </c>
      <c r="CD108">
        <f>VLOOKUP($B108,'[1]Data_UN_PopulationTot.&amp;%'!$B$4:$CZ$603,68,FALSE)</f>
        <v>6.4130526985473431</v>
      </c>
      <c r="CE108">
        <f>VLOOKUP($B108,'[1]Data_UN_PopulationTot.&amp;%'!$B$4:$CZ$603,69,FALSE)</f>
        <v>6.4016541193934895</v>
      </c>
      <c r="CF108">
        <f>VLOOKUP($B108,'[1]Data_UN_PopulationTot.&amp;%'!$B$4:$CZ$603,70,FALSE)</f>
        <v>7.0585833951860879</v>
      </c>
      <c r="CG108">
        <f>VLOOKUP($B108,'[1]Data_UN_PopulationTot.&amp;%'!$B$4:$CZ$603,71,FALSE)</f>
        <v>6.3183649665995132</v>
      </c>
      <c r="CH108">
        <f>VLOOKUP($B108,'[1]Data_UN_PopulationTot.&amp;%'!$B$4:$CZ$603,72,FALSE)</f>
        <v>7.6908599300180249</v>
      </c>
      <c r="CI108">
        <f>VLOOKUP($B108,'[1]Data_UN_PopulationTot.&amp;%'!$B$4:$CZ$603,73,FALSE)</f>
        <v>6.8885059908811375</v>
      </c>
      <c r="CJ108">
        <f>VLOOKUP($B108,'[1]Data_UN_PopulationTot.&amp;%'!$B$4:$CZ$603,74,FALSE)</f>
        <v>6.3732902131269213</v>
      </c>
      <c r="CK108">
        <f>VLOOKUP($B108,'[1]Data_UN_PopulationTot.&amp;%'!$B$4:$CZ$603,75,FALSE)</f>
        <v>3.9614568974658044</v>
      </c>
      <c r="CL108">
        <f>VLOOKUP($B108,'[1]Data_UN_PopulationTot.&amp;%'!$B$4:$CZ$603,76,FALSE)</f>
        <v>4.66456367299332</v>
      </c>
      <c r="CM108">
        <f>VLOOKUP($B108,'[1]Data_UN_PopulationTot.&amp;%'!$B$4:$CZ$603,77,FALSE)</f>
        <v>2.6229456049199444</v>
      </c>
      <c r="CN108">
        <f>VLOOKUP($B108,'[1]Data_UN_PopulationTot.&amp;%'!$B$4:$CZ$603,78,FALSE)</f>
        <v>1.854151203477892</v>
      </c>
      <c r="CO108">
        <f>VLOOKUP($B108,'[1]Data_UN_PopulationTot.&amp;%'!$B$4:$CZ$603,79,FALSE)</f>
        <v>0.93372919096596319</v>
      </c>
      <c r="CP108">
        <f>VLOOKUP($B108,'[1]Data_UN_PopulationTot.&amp;%'!$B$4:$CZ$603,80,FALSE)</f>
        <v>0.24753472590393383</v>
      </c>
      <c r="CQ108">
        <f>VLOOKUP($B108,'[1]Data_UN_PopulationTot.&amp;%'!$B$4:$CZ$603,81,FALSE)</f>
        <v>2.9636305800021207E-2</v>
      </c>
      <c r="CR108">
        <f>VLOOKUP($B108,'[1]Data_UN_PopulationTot.&amp;%'!$B$4:$CZ$603,82,FALSE)</f>
        <v>4.387673239698632</v>
      </c>
      <c r="CS108">
        <f>VLOOKUP($B108,'[1]Data_UN_PopulationTot.&amp;%'!$B$4:$CZ$603,83,FALSE)</f>
        <v>5.0424960468793598</v>
      </c>
      <c r="CT108">
        <f>VLOOKUP($B108,'[1]Data_UN_PopulationTot.&amp;%'!$B$4:$CZ$603,84,FALSE)</f>
        <v>6.5284043344805127</v>
      </c>
      <c r="CU108">
        <f>VLOOKUP($B108,'[1]Data_UN_PopulationTot.&amp;%'!$B$4:$CZ$603,85,FALSE)</f>
        <v>5.26206864477723</v>
      </c>
      <c r="CV108">
        <f>VLOOKUP($B108,'[1]Data_UN_PopulationTot.&amp;%'!$B$4:$CZ$603,86,FALSE)</f>
        <v>5.4339712584875821</v>
      </c>
      <c r="CW108">
        <f>VLOOKUP($B108,'[1]Data_UN_PopulationTot.&amp;%'!$B$4:$CZ$603,87,FALSE)</f>
        <v>4.3302948562924373</v>
      </c>
      <c r="CX108">
        <f>VLOOKUP($B108,'[1]Data_UN_PopulationTot.&amp;%'!$B$4:$CZ$603,88,FALSE)</f>
        <v>3.4134615384615383</v>
      </c>
      <c r="CY108">
        <f>VLOOKUP($B108,'[1]Data_UN_PopulationTot.&amp;%'!$B$4:$CZ$603,89,FALSE)</f>
        <v>6.3665007906241273</v>
      </c>
      <c r="CZ108">
        <f>VLOOKUP($B108,'[1]Data_UN_PopulationTot.&amp;%'!$B$4:$CZ$603,90,FALSE)</f>
        <v>7.7903799646544512</v>
      </c>
      <c r="DA108">
        <f>VLOOKUP($B108,'[1]Data_UN_PopulationTot.&amp;%'!$B$4:$CZ$603,91,FALSE)</f>
        <v>6.6057808575946408</v>
      </c>
      <c r="DB108">
        <f>VLOOKUP($B108,'[1]Data_UN_PopulationTot.&amp;%'!$B$4:$CZ$603,92,FALSE)</f>
        <v>6.5640405543670362</v>
      </c>
      <c r="DC108">
        <f>VLOOKUP($B108,'[1]Data_UN_PopulationTot.&amp;%'!$B$4:$CZ$603,93,FALSE)</f>
        <v>7.1279997209561889</v>
      </c>
      <c r="DD108">
        <f>VLOOKUP($B108,'[1]Data_UN_PopulationTot.&amp;%'!$B$4:$CZ$603,94,FALSE)</f>
        <v>6.1773323411775642</v>
      </c>
      <c r="DE108">
        <f>VLOOKUP($B108,'[1]Data_UN_PopulationTot.&amp;%'!$B$4:$CZ$603,95,FALSE)</f>
        <v>7.1872965305552965</v>
      </c>
      <c r="DF108">
        <f>VLOOKUP($B108,'[1]Data_UN_PopulationTot.&amp;%'!$B$4:$CZ$603,96,FALSE)</f>
        <v>6.0192656497070036</v>
      </c>
      <c r="DG108">
        <f>VLOOKUP($B108,'[1]Data_UN_PopulationTot.&amp;%'!$B$4:$CZ$603,97,FALSE)</f>
        <v>5.0582503953120641</v>
      </c>
      <c r="DH108">
        <f>VLOOKUP($B108,'[1]Data_UN_PopulationTot.&amp;%'!$B$4:$CZ$603,98,FALSE)</f>
        <v>2.6638801041763553</v>
      </c>
      <c r="DI108">
        <f>VLOOKUP($B108,'[1]Data_UN_PopulationTot.&amp;%'!$B$4:$CZ$603,99,FALSE)</f>
        <v>2.4623872197935071</v>
      </c>
      <c r="DJ108">
        <f>VLOOKUP($B108,'[1]Data_UN_PopulationTot.&amp;%'!$B$4:$DE$603,100,FALSE)</f>
        <v>1.0111268719188913</v>
      </c>
      <c r="DK108">
        <f>VLOOKUP($B108,'[1]Data_UN_PopulationTot.&amp;%'!$B$4:$DE$603,101,FALSE)</f>
        <v>0.45077202120732951</v>
      </c>
      <c r="DL108">
        <f>VLOOKUP($B108,'[1]Data_UN_PopulationTot.&amp;%'!$B$4:$DE$603,102,FALSE)</f>
        <v>0.11638452237001207</v>
      </c>
    </row>
    <row r="109" spans="1:116">
      <c r="A109" t="s">
        <v>156</v>
      </c>
      <c r="B109" t="s">
        <v>370</v>
      </c>
      <c r="C109" t="s">
        <v>487</v>
      </c>
      <c r="D109" t="s">
        <v>334</v>
      </c>
      <c r="E109" t="s">
        <v>300</v>
      </c>
      <c r="F109">
        <v>0</v>
      </c>
      <c r="G109">
        <v>1</v>
      </c>
      <c r="H109">
        <v>0</v>
      </c>
      <c r="I109">
        <v>0</v>
      </c>
      <c r="J109" s="18">
        <f t="shared" si="3"/>
        <v>309.62007777999997</v>
      </c>
      <c r="K109">
        <f>VLOOKUP($B109,'[1]Source GDP Current USD'!$B$1:$CZ$600,64,FALSE)</f>
        <v>114725065285.149</v>
      </c>
      <c r="L109" s="45">
        <f>VLOOKUP($B109,'[1]Source GDP Current USD'!$B$1:$CZ$600,65,FALSE)</f>
        <v>114725065285.149</v>
      </c>
      <c r="M109" s="17">
        <f>VLOOKUP($B109,'[1]Source GDP Current LCU'!$B$1:$CZ$600,64,FALSE)</f>
        <v>1089521000000</v>
      </c>
      <c r="N109" s="45">
        <v>1100000000000</v>
      </c>
      <c r="O109" s="45">
        <f>VLOOKUP($B109,'[1]Source GNI Current USD'!$B$1:$CZ$600,64,FALSE)</f>
        <v>113027255496.588</v>
      </c>
      <c r="P109" s="45">
        <f>VLOOKUP($B109,'[1]Source GNI Current LCU'!$B$1:$CZ$600,64,FALSE)</f>
        <v>1073397240000</v>
      </c>
      <c r="Q109">
        <f t="shared" si="2"/>
        <v>101.50212422755997</v>
      </c>
      <c r="R109">
        <v>3020</v>
      </c>
      <c r="S109">
        <v>3020</v>
      </c>
      <c r="T109">
        <v>0.41504799999999997</v>
      </c>
      <c r="U109" s="45">
        <v>37000000</v>
      </c>
      <c r="V109">
        <v>28.417999999999999</v>
      </c>
      <c r="W109">
        <f>VLOOKUP($B109,'[1]Source Gov. Revenue WEO'!$B$1:$CZ$600,5,FALSE)</f>
        <v>24.687999999999999</v>
      </c>
      <c r="X109">
        <f>VLOOKUP($B109,'[1]Source Gov. Revenue WEO'!$B$1:$CZ$600,6,FALSE)</f>
        <v>26.004000000000001</v>
      </c>
      <c r="Y109">
        <f>VLOOKUP($B109,'[1]Source Gov. Revenue WEO'!$B$1:$CZ$600,7,FALSE)</f>
        <v>26.248000000000001</v>
      </c>
      <c r="Z109">
        <f>VLOOKUP($B109,'[1]Source Gov. Revenue WEO'!$B$1:$CZ$600,8,FALSE)</f>
        <v>26.542000000000002</v>
      </c>
      <c r="AA109">
        <f>VLOOKUP($B109,'[1]Source Gov. Revenue WEO'!$B$1:$CZ$600,9,FALSE)</f>
        <v>26.899000000000001</v>
      </c>
      <c r="AB109">
        <f>VLOOKUP($B109,'[1]Source Gov. Revenue WEO'!$B$1:$CZ$600,10,FALSE)</f>
        <v>27.21</v>
      </c>
      <c r="AC109">
        <f>VLOOKUP($B109,[2]Summary!$B$1:$CZ$600,39,FALSE)</f>
        <v>7.0250759999999999E-3</v>
      </c>
      <c r="AD109">
        <f>VLOOKUP($B109,[2]Summary!$B$1:$CZ$600,40,FALSE)</f>
        <v>5.0000000000000001E-3</v>
      </c>
      <c r="AE109">
        <f>VLOOKUP($B109,[2]Summary!$B$1:$CZ$600,47,FALSE)</f>
        <v>0.25638619078712566</v>
      </c>
      <c r="AF109">
        <f>VLOOKUP($B109,'[1]CALC GDP Growth rates WDI'!$B$1:$CZ$600,27,FALSE)</f>
        <v>27.099717535179995</v>
      </c>
      <c r="AG109">
        <f>VLOOKUP($B109,'[1]CALC GDP Growth rates WDI'!$B$1:$CZ$600,29,FALSE)</f>
        <v>37.070907838138737</v>
      </c>
      <c r="AH109">
        <v>4.45</v>
      </c>
      <c r="AI109">
        <f>VLOOKUP($B109,'[1]CALC GDP Growth rates WDI'!$B$1:$CZ$600,30,FALSE)</f>
        <v>13.47330302017571</v>
      </c>
      <c r="AJ109" s="45"/>
      <c r="AK109">
        <f>VLOOKUP($B109,[1]Data_Aspire!$B$1:$CZ$600,2,FALSE)</f>
        <v>2016</v>
      </c>
      <c r="AL109">
        <f>VLOOKUP($B109,[1]Data_Aspire!$B$1:$CZ$600,3,FALSE)</f>
        <v>1.0900000000000001</v>
      </c>
      <c r="AM109">
        <f>VLOOKUP($B109,[1]Data_Aspire!$B$1:$CZ$600,4,FALSE)</f>
        <v>0.1</v>
      </c>
      <c r="AN109">
        <f>VLOOKUP($B109,[1]Data_Aspire!$B$1:$CZ$600,5,FALSE)</f>
        <v>0.11</v>
      </c>
      <c r="AO109">
        <f>VLOOKUP($B109,[1]Data_Aspire!$B$1:$CZ$600,6,FALSE)</f>
        <v>0</v>
      </c>
      <c r="AP109">
        <f>VLOOKUP($B109,[1]Data_Aspire!$B$1:$CZ$600,7,FALSE)</f>
        <v>0</v>
      </c>
      <c r="AR109">
        <f>VLOOKUP($B109,[1]Data_Aspire!$B$1:$CZ$600,9,FALSE)</f>
        <v>0.02</v>
      </c>
      <c r="AS109">
        <f>VLOOKUP($B109,[1]Data_Aspire!$B$1:$CZ$600,10,FALSE)</f>
        <v>0.14000000000000001</v>
      </c>
      <c r="AT109">
        <f>VLOOKUP($B109,[1]Data_Aspire!$B$1:$CZ$600,11,FALSE)</f>
        <v>0.72</v>
      </c>
      <c r="AU109">
        <f>VLOOKUP($B109,[1]Data_Aspire!$B$1:$CZ$600,12,FALSE)</f>
        <v>0.95</v>
      </c>
      <c r="AX109">
        <f>VLOOKUP($B109,[1]Data_Aspire!$B$1:$CZ$600,15,FALSE)</f>
        <v>22627</v>
      </c>
      <c r="AY109">
        <f>VLOOKUP($B109,[1]Data_Aspire!$B$1:$CZ$600,16,FALSE)</f>
        <v>2013</v>
      </c>
      <c r="BB109">
        <f>VLOOKUP($B109,[1]Data_Aspire!$B$1:$CZ$600,19,FALSE)</f>
        <v>3906948</v>
      </c>
      <c r="BC109">
        <f>VLOOKUP($B109,[1]Data_Aspire!$B$1:$CZ$600,20,FALSE)</f>
        <v>2014</v>
      </c>
      <c r="BD109">
        <f>VLOOKUP($B109,[1]Data_Aspire!$B$1:$CZ$600,21,FALSE)</f>
        <v>1267109</v>
      </c>
      <c r="BE109">
        <f>VLOOKUP($B109,[1]Data_Aspire!$B$1:$CZ$600,22,FALSE)</f>
        <v>2014</v>
      </c>
      <c r="BF109">
        <f>VLOOKUP($B109,[1]Data_Aspire!$B$1:$CZ$600,23,FALSE)</f>
        <v>50000</v>
      </c>
      <c r="BG109">
        <f>VLOOKUP($B109,[1]Data_Aspire!$B$1:$CZ$600,24,FALSE)</f>
        <v>2009</v>
      </c>
      <c r="BH109">
        <f>VLOOKUP($B109,[1]Data_Aspire!$B$1:$CZ$600,25,FALSE)</f>
        <v>1684800</v>
      </c>
      <c r="BI109">
        <f>VLOOKUP($B109,[1]Data_Aspire!$B$1:$CZ$600,26,FALSE)</f>
        <v>2010</v>
      </c>
      <c r="BJ109" s="7">
        <v>0</v>
      </c>
      <c r="BK109" s="45">
        <v>504</v>
      </c>
      <c r="BL109">
        <f>VLOOKUP($B109,'[1]Data_UN_PopulationTot.&amp;%'!$B$4:$CZ$603,8,FALSE)</f>
        <v>36910.6</v>
      </c>
      <c r="BM109">
        <f>VLOOKUP($B109,'[1]Data_UN_PopulationTot.&amp;%'!$B$4:$CZ$603,9,FALSE)</f>
        <v>37344.800000000003</v>
      </c>
      <c r="BN109">
        <v>37772.800000000003</v>
      </c>
      <c r="BO109">
        <f>VLOOKUP($B109,'[1]Data_UN_PopulationTot.&amp;%'!$B$4:$CZ$603,11,FALSE)</f>
        <v>38193.599999999999</v>
      </c>
      <c r="BP109">
        <f>VLOOKUP($B109,'[1]Data_UN_PopulationTot.&amp;%'!$B$4:$CZ$603,12,FALSE)</f>
        <v>38606.199999999997</v>
      </c>
      <c r="BQ109">
        <f>VLOOKUP($B109,'[1]Data_UN_PopulationTot.&amp;%'!$B$4:$CZ$603,13,FALSE)</f>
        <v>39009.800000000003</v>
      </c>
      <c r="BR109">
        <f>VLOOKUP($B109,'[1]Data_UN_PopulationTot.&amp;%'!$B$4:$CZ$603,14,FALSE)</f>
        <v>39403.9</v>
      </c>
      <c r="BS109">
        <f>VLOOKUP($B109,'[1]Data_UN_PopulationTot.&amp;%'!$B$4:$CZ$603,15,FALSE)</f>
        <v>39788.5</v>
      </c>
      <c r="BT109">
        <f>VLOOKUP($B109,'[1]Data_UN_PopulationTot.&amp;%'!$B$4:$CZ$603,16,FALSE)</f>
        <v>40163.699999999997</v>
      </c>
      <c r="BU109">
        <f>VLOOKUP($B109,'[1]Data_UN_PopulationTot.&amp;%'!$B$4:$CZ$603,17,FALSE)</f>
        <v>40529.9</v>
      </c>
      <c r="BV109">
        <f>VLOOKUP($B109,'[1]Data_UN_PopulationTot.&amp;%'!$B$4:$CZ$603,18,FALSE)</f>
        <v>40887.300000000003</v>
      </c>
      <c r="BW109">
        <f>VLOOKUP($B109,'[1]Data_UN_PopulationTot.&amp;%'!$B$4:$CZ$603,61,FALSE)</f>
        <v>9.0083607419007006</v>
      </c>
      <c r="BX109">
        <f>VLOOKUP($B109,'[1]Data_UN_PopulationTot.&amp;%'!$B$4:$CZ$603,62,FALSE)</f>
        <v>9.2861671173050571</v>
      </c>
      <c r="BY109">
        <f>VLOOKUP($B109,'[1]Data_UN_PopulationTot.&amp;%'!$B$4:$CZ$603,63,FALSE)</f>
        <v>8.4734466521812166</v>
      </c>
      <c r="BZ109">
        <f>VLOOKUP($B109,'[1]Data_UN_PopulationTot.&amp;%'!$B$4:$CZ$603,64,FALSE)</f>
        <v>8.0453582439732774</v>
      </c>
      <c r="CA109">
        <f>VLOOKUP($B109,'[1]Data_UN_PopulationTot.&amp;%'!$B$4:$CZ$603,65,FALSE)</f>
        <v>7.7873022925663644</v>
      </c>
      <c r="CB109">
        <f>VLOOKUP($B109,'[1]Data_UN_PopulationTot.&amp;%'!$B$4:$CZ$603,66,FALSE)</f>
        <v>8.1519400930897898</v>
      </c>
      <c r="CC109">
        <f>VLOOKUP($B109,'[1]Data_UN_PopulationTot.&amp;%'!$B$4:$CZ$603,67,FALSE)</f>
        <v>7.7553873413057497</v>
      </c>
      <c r="CD109">
        <f>VLOOKUP($B109,'[1]Data_UN_PopulationTot.&amp;%'!$B$4:$CZ$603,68,FALSE)</f>
        <v>7.4336369498192942</v>
      </c>
      <c r="CE109">
        <f>VLOOKUP($B109,'[1]Data_UN_PopulationTot.&amp;%'!$B$4:$CZ$603,69,FALSE)</f>
        <v>6.3951005944091932</v>
      </c>
      <c r="CF109">
        <f>VLOOKUP($B109,'[1]Data_UN_PopulationTot.&amp;%'!$B$4:$CZ$603,70,FALSE)</f>
        <v>5.6676401900808981</v>
      </c>
      <c r="CG109">
        <f>VLOOKUP($B109,'[1]Data_UN_PopulationTot.&amp;%'!$B$4:$CZ$603,71,FALSE)</f>
        <v>5.2141119353248122</v>
      </c>
      <c r="CH109">
        <f>VLOOKUP($B109,'[1]Data_UN_PopulationTot.&amp;%'!$B$4:$CZ$603,72,FALSE)</f>
        <v>4.9287196631861852</v>
      </c>
      <c r="CI109">
        <f>VLOOKUP($B109,'[1]Data_UN_PopulationTot.&amp;%'!$B$4:$CZ$603,73,FALSE)</f>
        <v>4.2460431420784275</v>
      </c>
      <c r="CJ109">
        <f>VLOOKUP($B109,'[1]Data_UN_PopulationTot.&amp;%'!$B$4:$CZ$603,74,FALSE)</f>
        <v>3.1638066029812575</v>
      </c>
      <c r="CK109">
        <f>VLOOKUP($B109,'[1]Data_UN_PopulationTot.&amp;%'!$B$4:$CZ$603,75,FALSE)</f>
        <v>1.8479921756893687</v>
      </c>
      <c r="CL109">
        <f>VLOOKUP($B109,'[1]Data_UN_PopulationTot.&amp;%'!$B$4:$CZ$603,76,FALSE)</f>
        <v>1.3951899996207051</v>
      </c>
      <c r="CM109">
        <f>VLOOKUP($B109,'[1]Data_UN_PopulationTot.&amp;%'!$B$4:$CZ$603,77,FALSE)</f>
        <v>0.84110526515418327</v>
      </c>
      <c r="CN109">
        <f>VLOOKUP($B109,'[1]Data_UN_PopulationTot.&amp;%'!$B$4:$CZ$603,78,FALSE)</f>
        <v>0.30050175288399539</v>
      </c>
      <c r="CO109">
        <f>VLOOKUP($B109,'[1]Data_UN_PopulationTot.&amp;%'!$B$4:$CZ$603,79,FALSE)</f>
        <v>5.3895087048165029E-2</v>
      </c>
      <c r="CP109">
        <f>VLOOKUP($B109,'[1]Data_UN_PopulationTot.&amp;%'!$B$4:$CZ$603,80,FALSE)</f>
        <v>3.9880142831598513E-3</v>
      </c>
      <c r="CQ109">
        <f>VLOOKUP($B109,'[1]Data_UN_PopulationTot.&amp;%'!$B$4:$CZ$603,81,FALSE)</f>
        <v>1.6526417885377102E-4</v>
      </c>
      <c r="CR109">
        <f>VLOOKUP($B109,'[1]Data_UN_PopulationTot.&amp;%'!$B$4:$CZ$603,82,FALSE)</f>
        <v>7.5646961281375882</v>
      </c>
      <c r="CS109">
        <f>VLOOKUP($B109,'[1]Data_UN_PopulationTot.&amp;%'!$B$4:$CZ$603,83,FALSE)</f>
        <v>7.8099556586030374</v>
      </c>
      <c r="CT109">
        <f>VLOOKUP($B109,'[1]Data_UN_PopulationTot.&amp;%'!$B$4:$CZ$603,84,FALSE)</f>
        <v>8.0668324883276696</v>
      </c>
      <c r="CU109">
        <f>VLOOKUP($B109,'[1]Data_UN_PopulationTot.&amp;%'!$B$4:$CZ$603,85,FALSE)</f>
        <v>8.3168123109131677</v>
      </c>
      <c r="CV109">
        <f>VLOOKUP($B109,'[1]Data_UN_PopulationTot.&amp;%'!$B$4:$CZ$603,86,FALSE)</f>
        <v>7.5165149080521338</v>
      </c>
      <c r="CW109">
        <f>VLOOKUP($B109,'[1]Data_UN_PopulationTot.&amp;%'!$B$4:$CZ$603,87,FALSE)</f>
        <v>7.0607010000660342</v>
      </c>
      <c r="CX109">
        <f>VLOOKUP($B109,'[1]Data_UN_PopulationTot.&amp;%'!$B$4:$CZ$603,88,FALSE)</f>
        <v>6.8190611754750243</v>
      </c>
      <c r="CY109">
        <f>VLOOKUP($B109,'[1]Data_UN_PopulationTot.&amp;%'!$B$4:$CZ$603,89,FALSE)</f>
        <v>7.1757489489401349</v>
      </c>
      <c r="CZ109">
        <f>VLOOKUP($B109,'[1]Data_UN_PopulationTot.&amp;%'!$B$4:$CZ$603,90,FALSE)</f>
        <v>6.8469916086413143</v>
      </c>
      <c r="DA109">
        <f>VLOOKUP($B109,'[1]Data_UN_PopulationTot.&amp;%'!$B$4:$CZ$603,91,FALSE)</f>
        <v>6.5691791827780257</v>
      </c>
      <c r="DB109">
        <f>VLOOKUP($B109,'[1]Data_UN_PopulationTot.&amp;%'!$B$4:$CZ$603,92,FALSE)</f>
        <v>5.6347570027857055</v>
      </c>
      <c r="DC109">
        <f>VLOOKUP($B109,'[1]Data_UN_PopulationTot.&amp;%'!$B$4:$CZ$603,93,FALSE)</f>
        <v>4.959657399730478</v>
      </c>
      <c r="DD109">
        <f>VLOOKUP($B109,'[1]Data_UN_PopulationTot.&amp;%'!$B$4:$CZ$603,94,FALSE)</f>
        <v>4.4988052524867133</v>
      </c>
      <c r="DE109">
        <f>VLOOKUP($B109,'[1]Data_UN_PopulationTot.&amp;%'!$B$4:$CZ$603,95,FALSE)</f>
        <v>4.1303289774575473</v>
      </c>
      <c r="DF109">
        <f>VLOOKUP($B109,'[1]Data_UN_PopulationTot.&amp;%'!$B$4:$CZ$603,96,FALSE)</f>
        <v>3.3396678186136035</v>
      </c>
      <c r="DG109">
        <f>VLOOKUP($B109,'[1]Data_UN_PopulationTot.&amp;%'!$B$4:$CZ$603,97,FALSE)</f>
        <v>2.1920376253751166</v>
      </c>
      <c r="DH109">
        <f>VLOOKUP($B109,'[1]Data_UN_PopulationTot.&amp;%'!$B$4:$CZ$603,98,FALSE)</f>
        <v>0.97709313160810307</v>
      </c>
      <c r="DI109">
        <f>VLOOKUP($B109,'[1]Data_UN_PopulationTot.&amp;%'!$B$4:$CZ$603,99,FALSE)</f>
        <v>0.41800754757589764</v>
      </c>
      <c r="DJ109">
        <f>VLOOKUP($B109,'[1]Data_UN_PopulationTot.&amp;%'!$B$4:$DE$603,100,FALSE)</f>
        <v>9.3341942363521183E-2</v>
      </c>
      <c r="DK109">
        <f>VLOOKUP($B109,'[1]Data_UN_PopulationTot.&amp;%'!$B$4:$DE$603,101,FALSE)</f>
        <v>9.240032968672424E-3</v>
      </c>
      <c r="DL109">
        <f>VLOOKUP($B109,'[1]Data_UN_PopulationTot.&amp;%'!$B$4:$DE$603,102,FALSE)</f>
        <v>5.1116116740405947E-4</v>
      </c>
    </row>
    <row r="110" spans="1:116">
      <c r="A110" t="s">
        <v>189</v>
      </c>
      <c r="B110" t="s">
        <v>404</v>
      </c>
      <c r="C110" t="s">
        <v>485</v>
      </c>
      <c r="D110" t="s">
        <v>389</v>
      </c>
      <c r="E110" t="s">
        <v>301</v>
      </c>
      <c r="F110">
        <v>0</v>
      </c>
      <c r="G110">
        <v>0</v>
      </c>
      <c r="H110">
        <v>1</v>
      </c>
      <c r="I110">
        <v>0</v>
      </c>
      <c r="J110" s="18">
        <f t="shared" si="3"/>
        <v>62.662694889801465</v>
      </c>
      <c r="K110">
        <f>VLOOKUP($B110,'[1]Source GDP Current USD'!$B$1:$CZ$600,64,FALSE)</f>
        <v>11915547262.656099</v>
      </c>
      <c r="L110" s="45">
        <f>VLOOKUP($B110,'[1]Source GDP Current USD'!$B$1:$CZ$600,65,FALSE)</f>
        <v>11915547262.656099</v>
      </c>
      <c r="M110" s="17">
        <f>VLOOKUP($B110,'[1]Source GDP Current LCU'!$B$1:$CZ$600,64,FALSE)</f>
        <v>206378470143.92999</v>
      </c>
      <c r="N110" s="45">
        <v>210000000000</v>
      </c>
      <c r="O110" s="45">
        <f>VLOOKUP($B110,'[1]Source GNI Current USD'!$B$1:$CZ$600,64,FALSE)</f>
        <v>12386758436.729601</v>
      </c>
      <c r="P110" s="45">
        <f>VLOOKUP($B110,'[1]Source GNI Current LCU'!$B$1:$CZ$600,64,FALSE)</f>
        <v>214539894800</v>
      </c>
      <c r="Q110">
        <f t="shared" si="2"/>
        <v>96.195847553818226</v>
      </c>
      <c r="R110">
        <v>4560</v>
      </c>
      <c r="S110">
        <v>4560</v>
      </c>
      <c r="T110">
        <v>0.34976299999999999</v>
      </c>
      <c r="U110" s="45">
        <v>2600000</v>
      </c>
      <c r="V110">
        <v>30.363</v>
      </c>
      <c r="W110">
        <f>VLOOKUP($B110,'[1]Source Gov. Revenue WEO'!$B$1:$CZ$600,5,FALSE)</f>
        <v>30.986999999999998</v>
      </c>
      <c r="X110">
        <f>VLOOKUP($B110,'[1]Source Gov. Revenue WEO'!$B$1:$CZ$600,6,FALSE)</f>
        <v>31.815000000000001</v>
      </c>
      <c r="Y110">
        <f>VLOOKUP($B110,'[1]Source Gov. Revenue WEO'!$B$1:$CZ$600,7,FALSE)</f>
        <v>32.165999999999997</v>
      </c>
      <c r="Z110">
        <f>VLOOKUP($B110,'[1]Source Gov. Revenue WEO'!$B$1:$CZ$600,8,FALSE)</f>
        <v>32.283000000000001</v>
      </c>
      <c r="AA110">
        <f>VLOOKUP($B110,'[1]Source Gov. Revenue WEO'!$B$1:$CZ$600,9,FALSE)</f>
        <v>32.439</v>
      </c>
      <c r="AB110">
        <f>VLOOKUP($B110,'[1]Source Gov. Revenue WEO'!$B$1:$CZ$600,10,FALSE)</f>
        <v>32.527999999999999</v>
      </c>
      <c r="AC110">
        <f>VLOOKUP($B110,[2]Summary!$B$1:$CZ$600,39,FALSE)</f>
        <v>1.82387E-4</v>
      </c>
      <c r="AD110">
        <f>VLOOKUP($B110,[2]Summary!$B$1:$CZ$600,40,FALSE)</f>
        <v>9.999999999999999E-14</v>
      </c>
      <c r="AE110">
        <f>VLOOKUP($B110,[2]Summary!$B$1:$CZ$600,47,FALSE)</f>
        <v>0.34538894723645941</v>
      </c>
      <c r="AF110">
        <f>VLOOKUP($B110,'[1]CALC GDP Growth rates WDI'!$B$1:$CZ$600,27,FALSE)</f>
        <v>32.002502310665157</v>
      </c>
      <c r="AG110">
        <f>VLOOKUP($B110,'[1]CALC GDP Growth rates WDI'!$B$1:$CZ$600,29,FALSE)</f>
        <v>46.35245014987197</v>
      </c>
      <c r="AH110">
        <v>9.9700000000000006</v>
      </c>
      <c r="AI110">
        <f>VLOOKUP($B110,'[1]CALC GDP Growth rates WDI'!$B$1:$CZ$600,30,FALSE)</f>
        <v>13.456679750606693</v>
      </c>
      <c r="AJ110" s="45" t="s">
        <v>2466</v>
      </c>
      <c r="AK110">
        <f>VLOOKUP($B110,[1]Data_Aspire!$B$1:$CZ$600,2,FALSE)</f>
        <v>2017</v>
      </c>
      <c r="AL110">
        <f>VLOOKUP($B110,[1]Data_Aspire!$B$1:$CZ$600,3,FALSE)</f>
        <v>1.1100000000000001</v>
      </c>
      <c r="AM110">
        <f>VLOOKUP($B110,[1]Data_Aspire!$B$1:$CZ$600,4,FALSE)</f>
        <v>0</v>
      </c>
      <c r="AN110">
        <f>VLOOKUP($B110,[1]Data_Aspire!$B$1:$CZ$600,5,FALSE)</f>
        <v>0.77</v>
      </c>
      <c r="AO110">
        <f>VLOOKUP($B110,[1]Data_Aspire!$B$1:$CZ$600,6,FALSE)</f>
        <v>0.34</v>
      </c>
      <c r="AP110">
        <f>VLOOKUP($B110,[1]Data_Aspire!$B$1:$CZ$600,7,FALSE)</f>
        <v>0</v>
      </c>
      <c r="AU110">
        <f>VLOOKUP($B110,[1]Data_Aspire!$B$1:$CZ$600,12,FALSE)</f>
        <v>1.1100000000000001</v>
      </c>
      <c r="AX110">
        <f>VLOOKUP($B110,[1]Data_Aspire!$B$1:$CZ$600,15,FALSE)</f>
        <v>159000</v>
      </c>
      <c r="AY110">
        <f>VLOOKUP($B110,[1]Data_Aspire!$B$1:$CZ$600,16,FALSE)</f>
        <v>2017</v>
      </c>
      <c r="AZ110">
        <f>VLOOKUP($B110,[1]Data_Aspire!$B$1:$CZ$600,17,FALSE)</f>
        <v>6222</v>
      </c>
      <c r="BA110">
        <f>VLOOKUP($B110,[1]Data_Aspire!$B$1:$CZ$600,18,FALSE)</f>
        <v>2015</v>
      </c>
      <c r="BF110">
        <f>VLOOKUP($B110,[1]Data_Aspire!$B$1:$CZ$600,23,FALSE)</f>
        <v>112000</v>
      </c>
      <c r="BG110">
        <f>VLOOKUP($B110,[1]Data_Aspire!$B$1:$CZ$600,24,FALSE)</f>
        <v>2009</v>
      </c>
      <c r="BJ110" s="7">
        <v>0</v>
      </c>
      <c r="BK110">
        <v>498</v>
      </c>
      <c r="BL110">
        <f>VLOOKUP($B110,'[1]Data_UN_PopulationTot.&amp;%'!$B$4:$CZ$603,8,FALSE)</f>
        <v>4033.96</v>
      </c>
      <c r="BM110">
        <f>VLOOKUP($B110,'[1]Data_UN_PopulationTot.&amp;%'!$B$4:$CZ$603,9,FALSE)</f>
        <v>4024.02</v>
      </c>
      <c r="BN110">
        <v>4013.18</v>
      </c>
      <c r="BO110">
        <f>VLOOKUP($B110,'[1]Data_UN_PopulationTot.&amp;%'!$B$4:$CZ$603,11,FALSE)</f>
        <v>4001.34</v>
      </c>
      <c r="BP110">
        <f>VLOOKUP($B110,'[1]Data_UN_PopulationTot.&amp;%'!$B$4:$CZ$603,12,FALSE)</f>
        <v>3988.41</v>
      </c>
      <c r="BQ110">
        <f>VLOOKUP($B110,'[1]Data_UN_PopulationTot.&amp;%'!$B$4:$CZ$603,13,FALSE)</f>
        <v>3974.26</v>
      </c>
      <c r="BR110">
        <f>VLOOKUP($B110,'[1]Data_UN_PopulationTot.&amp;%'!$B$4:$CZ$603,14,FALSE)</f>
        <v>3958.89</v>
      </c>
      <c r="BS110">
        <f>VLOOKUP($B110,'[1]Data_UN_PopulationTot.&amp;%'!$B$4:$CZ$603,15,FALSE)</f>
        <v>3942.34</v>
      </c>
      <c r="BT110">
        <f>VLOOKUP($B110,'[1]Data_UN_PopulationTot.&amp;%'!$B$4:$CZ$603,16,FALSE)</f>
        <v>3924.63</v>
      </c>
      <c r="BU110">
        <f>VLOOKUP($B110,'[1]Data_UN_PopulationTot.&amp;%'!$B$4:$CZ$603,17,FALSE)</f>
        <v>3905.8</v>
      </c>
      <c r="BV110">
        <f>VLOOKUP($B110,'[1]Data_UN_PopulationTot.&amp;%'!$B$4:$CZ$603,18,FALSE)</f>
        <v>3885.9</v>
      </c>
      <c r="BW110">
        <f>VLOOKUP($B110,'[1]Data_UN_PopulationTot.&amp;%'!$B$4:$CZ$603,61,FALSE)</f>
        <v>5.020376999276146</v>
      </c>
      <c r="BX110">
        <f>VLOOKUP($B110,'[1]Data_UN_PopulationTot.&amp;%'!$B$4:$CZ$603,62,FALSE)</f>
        <v>5.4918244107527094</v>
      </c>
      <c r="BY110">
        <f>VLOOKUP($B110,'[1]Data_UN_PopulationTot.&amp;%'!$B$4:$CZ$603,63,FALSE)</f>
        <v>5.3761068528195626</v>
      </c>
      <c r="BZ110">
        <f>VLOOKUP($B110,'[1]Data_UN_PopulationTot.&amp;%'!$B$4:$CZ$603,64,FALSE)</f>
        <v>5.0177988874455872</v>
      </c>
      <c r="CA110">
        <f>VLOOKUP($B110,'[1]Data_UN_PopulationTot.&amp;%'!$B$4:$CZ$603,65,FALSE)</f>
        <v>5.9772035419290219</v>
      </c>
      <c r="CB110">
        <f>VLOOKUP($B110,'[1]Data_UN_PopulationTot.&amp;%'!$B$4:$CZ$603,66,FALSE)</f>
        <v>8.173482136659759</v>
      </c>
      <c r="CC110">
        <f>VLOOKUP($B110,'[1]Data_UN_PopulationTot.&amp;%'!$B$4:$CZ$603,67,FALSE)</f>
        <v>10.361753710993662</v>
      </c>
      <c r="CD110">
        <f>VLOOKUP($B110,'[1]Data_UN_PopulationTot.&amp;%'!$B$4:$CZ$603,68,FALSE)</f>
        <v>8.8222738946345522</v>
      </c>
      <c r="CE110">
        <f>VLOOKUP($B110,'[1]Data_UN_PopulationTot.&amp;%'!$B$4:$CZ$603,69,FALSE)</f>
        <v>7.4784331029559041</v>
      </c>
      <c r="CF110">
        <f>VLOOKUP($B110,'[1]Data_UN_PopulationTot.&amp;%'!$B$4:$CZ$603,70,FALSE)</f>
        <v>6.473316542553718</v>
      </c>
      <c r="CG110">
        <f>VLOOKUP($B110,'[1]Data_UN_PopulationTot.&amp;%'!$B$4:$CZ$603,71,FALSE)</f>
        <v>5.8122539638469393</v>
      </c>
      <c r="CH110">
        <f>VLOOKUP($B110,'[1]Data_UN_PopulationTot.&amp;%'!$B$4:$CZ$603,72,FALSE)</f>
        <v>7.1034665688306271</v>
      </c>
      <c r="CI110">
        <f>VLOOKUP($B110,'[1]Data_UN_PopulationTot.&amp;%'!$B$4:$CZ$603,73,FALSE)</f>
        <v>6.3987991948358438</v>
      </c>
      <c r="CJ110">
        <f>VLOOKUP($B110,'[1]Data_UN_PopulationTot.&amp;%'!$B$4:$CZ$603,74,FALSE)</f>
        <v>5.7056589554680759</v>
      </c>
      <c r="CK110">
        <f>VLOOKUP($B110,'[1]Data_UN_PopulationTot.&amp;%'!$B$4:$CZ$603,75,FALSE)</f>
        <v>2.6131890251762537</v>
      </c>
      <c r="CL110">
        <f>VLOOKUP($B110,'[1]Data_UN_PopulationTot.&amp;%'!$B$4:$CZ$603,76,FALSE)</f>
        <v>1.9726026038929489</v>
      </c>
      <c r="CM110">
        <f>VLOOKUP($B110,'[1]Data_UN_PopulationTot.&amp;%'!$B$4:$CZ$603,77,FALSE)</f>
        <v>1.3204146793721305</v>
      </c>
      <c r="CN110">
        <f>VLOOKUP($B110,'[1]Data_UN_PopulationTot.&amp;%'!$B$4:$CZ$603,78,FALSE)</f>
        <v>0.6373885710319388</v>
      </c>
      <c r="CO110">
        <f>VLOOKUP($B110,'[1]Data_UN_PopulationTot.&amp;%'!$B$4:$CZ$603,79,FALSE)</f>
        <v>0.2097938502117026</v>
      </c>
      <c r="CP110">
        <f>VLOOKUP($B110,'[1]Data_UN_PopulationTot.&amp;%'!$B$4:$CZ$603,80,FALSE)</f>
        <v>3.2028081587323627E-2</v>
      </c>
      <c r="CQ110">
        <f>VLOOKUP($B110,'[1]Data_UN_PopulationTot.&amp;%'!$B$4:$CZ$603,81,FALSE)</f>
        <v>1.9087943360866246E-3</v>
      </c>
      <c r="CR110">
        <f>VLOOKUP($B110,'[1]Data_UN_PopulationTot.&amp;%'!$B$4:$CZ$603,82,FALSE)</f>
        <v>4.2461463238889312</v>
      </c>
      <c r="CS110">
        <f>VLOOKUP($B110,'[1]Data_UN_PopulationTot.&amp;%'!$B$4:$CZ$603,83,FALSE)</f>
        <v>4.7467510743971797</v>
      </c>
      <c r="CT110">
        <f>VLOOKUP($B110,'[1]Data_UN_PopulationTot.&amp;%'!$B$4:$CZ$603,84,FALSE)</f>
        <v>5.1903806068092333</v>
      </c>
      <c r="CU110">
        <f>VLOOKUP($B110,'[1]Data_UN_PopulationTot.&amp;%'!$B$4:$CZ$603,85,FALSE)</f>
        <v>5.6656115700352556</v>
      </c>
      <c r="CV110">
        <f>VLOOKUP($B110,'[1]Data_UN_PopulationTot.&amp;%'!$B$4:$CZ$603,86,FALSE)</f>
        <v>5.5071926709385206</v>
      </c>
      <c r="CW110">
        <f>VLOOKUP($B110,'[1]Data_UN_PopulationTot.&amp;%'!$B$4:$CZ$603,87,FALSE)</f>
        <v>5.1132041483311452</v>
      </c>
      <c r="CX110">
        <f>VLOOKUP($B110,'[1]Data_UN_PopulationTot.&amp;%'!$B$4:$CZ$603,88,FALSE)</f>
        <v>6.0989989449033688</v>
      </c>
      <c r="CY110">
        <f>VLOOKUP($B110,'[1]Data_UN_PopulationTot.&amp;%'!$B$4:$CZ$603,89,FALSE)</f>
        <v>8.3360096760081319</v>
      </c>
      <c r="CZ110">
        <f>VLOOKUP($B110,'[1]Data_UN_PopulationTot.&amp;%'!$B$4:$CZ$603,90,FALSE)</f>
        <v>10.507733086286317</v>
      </c>
      <c r="DA110">
        <f>VLOOKUP($B110,'[1]Data_UN_PopulationTot.&amp;%'!$B$4:$CZ$603,91,FALSE)</f>
        <v>8.8389819604210089</v>
      </c>
      <c r="DB110">
        <f>VLOOKUP($B110,'[1]Data_UN_PopulationTot.&amp;%'!$B$4:$CZ$603,92,FALSE)</f>
        <v>7.3407447438173916</v>
      </c>
      <c r="DC110">
        <f>VLOOKUP($B110,'[1]Data_UN_PopulationTot.&amp;%'!$B$4:$CZ$603,93,FALSE)</f>
        <v>6.1700506961064363</v>
      </c>
      <c r="DD110">
        <f>VLOOKUP($B110,'[1]Data_UN_PopulationTot.&amp;%'!$B$4:$CZ$603,94,FALSE)</f>
        <v>5.2830489719241358</v>
      </c>
      <c r="DE110">
        <f>VLOOKUP($B110,'[1]Data_UN_PopulationTot.&amp;%'!$B$4:$CZ$603,95,FALSE)</f>
        <v>6.0249620422553329</v>
      </c>
      <c r="DF110">
        <f>VLOOKUP($B110,'[1]Data_UN_PopulationTot.&amp;%'!$B$4:$CZ$603,96,FALSE)</f>
        <v>4.9490465529221028</v>
      </c>
      <c r="DG110">
        <f>VLOOKUP($B110,'[1]Data_UN_PopulationTot.&amp;%'!$B$4:$CZ$603,97,FALSE)</f>
        <v>3.7546514321006712</v>
      </c>
      <c r="DH110">
        <f>VLOOKUP($B110,'[1]Data_UN_PopulationTot.&amp;%'!$B$4:$CZ$603,98,FALSE)</f>
        <v>1.2965078874906715</v>
      </c>
      <c r="DI110">
        <f>VLOOKUP($B110,'[1]Data_UN_PopulationTot.&amp;%'!$B$4:$CZ$603,99,FALSE)</f>
        <v>0.642682518850202</v>
      </c>
      <c r="DJ110">
        <f>VLOOKUP($B110,'[1]Data_UN_PopulationTot.&amp;%'!$B$4:$DE$603,100,FALSE)</f>
        <v>0.23358810056872281</v>
      </c>
      <c r="DK110">
        <f>VLOOKUP($B110,'[1]Data_UN_PopulationTot.&amp;%'!$B$4:$DE$603,101,FALSE)</f>
        <v>4.8354306595640648E-2</v>
      </c>
      <c r="DL110">
        <f>VLOOKUP($B110,'[1]Data_UN_PopulationTot.&amp;%'!$B$4:$DE$603,102,FALSE)</f>
        <v>5.352685349597262E-3</v>
      </c>
    </row>
    <row r="111" spans="1:116">
      <c r="A111" t="s">
        <v>97</v>
      </c>
      <c r="B111" t="s">
        <v>310</v>
      </c>
      <c r="C111" t="s">
        <v>496</v>
      </c>
      <c r="D111" t="s">
        <v>306</v>
      </c>
      <c r="E111" t="s">
        <v>299</v>
      </c>
      <c r="F111">
        <v>1</v>
      </c>
      <c r="G111">
        <v>0</v>
      </c>
      <c r="H111">
        <v>0</v>
      </c>
      <c r="I111">
        <v>0</v>
      </c>
      <c r="J111" s="18">
        <f t="shared" si="3"/>
        <v>6031.8093023384408</v>
      </c>
      <c r="K111">
        <f>VLOOKUP($B111,'[1]Source GDP Current USD'!$B$1:$CZ$600,64,FALSE)</f>
        <v>13056079982.3887</v>
      </c>
      <c r="L111" s="45">
        <f>VLOOKUP($B111,'[1]Source GDP Current USD'!$B$1:$CZ$600,65,FALSE)</f>
        <v>13056079982.3887</v>
      </c>
      <c r="M111" s="17">
        <f>VLOOKUP($B111,'[1]Source GDP Current LCU'!$B$1:$CZ$600,64,FALSE)</f>
        <v>49453220483220.797</v>
      </c>
      <c r="N111" s="45">
        <v>49000000000000</v>
      </c>
      <c r="O111" s="45">
        <f>VLOOKUP($B111,'[1]Source GNI Current USD'!$B$1:$CZ$600,64,FALSE)</f>
        <v>12671579982.3964</v>
      </c>
      <c r="P111" s="45">
        <f>VLOOKUP($B111,'[1]Source GNI Current LCU'!$B$1:$CZ$600,64,FALSE)</f>
        <v>47996829031800</v>
      </c>
      <c r="Q111">
        <f t="shared" si="2"/>
        <v>103.03434931181781</v>
      </c>
      <c r="R111">
        <v>470</v>
      </c>
      <c r="S111">
        <v>470</v>
      </c>
      <c r="T111">
        <v>0.305338</v>
      </c>
      <c r="U111" s="45">
        <v>28000000</v>
      </c>
      <c r="V111">
        <v>12.196999999999999</v>
      </c>
      <c r="W111">
        <f>VLOOKUP($B111,'[1]Source Gov. Revenue WEO'!$B$1:$CZ$600,5,FALSE)</f>
        <v>12.183999999999999</v>
      </c>
      <c r="X111">
        <f>VLOOKUP($B111,'[1]Source Gov. Revenue WEO'!$B$1:$CZ$600,6,FALSE)</f>
        <v>13.37</v>
      </c>
      <c r="Y111">
        <f>VLOOKUP($B111,'[1]Source Gov. Revenue WEO'!$B$1:$CZ$600,7,FALSE)</f>
        <v>13.404999999999999</v>
      </c>
      <c r="Z111">
        <f>VLOOKUP($B111,'[1]Source Gov. Revenue WEO'!$B$1:$CZ$600,8,FALSE)</f>
        <v>13.68</v>
      </c>
      <c r="AA111">
        <f>VLOOKUP($B111,'[1]Source Gov. Revenue WEO'!$B$1:$CZ$600,9,FALSE)</f>
        <v>13.933</v>
      </c>
      <c r="AB111">
        <f>VLOOKUP($B111,'[1]Source Gov. Revenue WEO'!$B$1:$CZ$600,10,FALSE)</f>
        <v>14.093</v>
      </c>
      <c r="AC111">
        <f>VLOOKUP($B111,[2]Summary!$B$1:$CZ$600,39,FALSE)</f>
        <v>0.75939380000000001</v>
      </c>
      <c r="AD111">
        <f>VLOOKUP($B111,[2]Summary!$B$1:$CZ$600,40,FALSE)</f>
        <v>0.76575000000000004</v>
      </c>
      <c r="AE111">
        <f>VLOOKUP($B111,[2]Summary!$B$1:$CZ$600,47,FALSE)</f>
        <v>0.13568814061534207</v>
      </c>
      <c r="AF111">
        <f>VLOOKUP($B111,'[1]CALC GDP Growth rates WDI'!$B$1:$CZ$600,27,FALSE)</f>
        <v>23.370463955995277</v>
      </c>
      <c r="AG111">
        <f>VLOOKUP($B111,'[1]CALC GDP Growth rates WDI'!$B$1:$CZ$600,29,FALSE)</f>
        <v>27.911540009221735</v>
      </c>
      <c r="AH111">
        <v>8.1300000000000008</v>
      </c>
      <c r="AI111">
        <f>VLOOKUP($B111,'[1]CALC GDP Growth rates WDI'!$B$1:$CZ$600,30,FALSE)</f>
        <v>14.921330630378215</v>
      </c>
      <c r="AJ111" t="s">
        <v>2465</v>
      </c>
      <c r="AK111">
        <f>VLOOKUP($B111,[1]Data_Aspire!$B$1:$CZ$600,2,FALSE)</f>
        <v>2018</v>
      </c>
      <c r="AL111">
        <f>VLOOKUP($B111,[1]Data_Aspire!$B$1:$CZ$600,3,FALSE)</f>
        <v>0.26</v>
      </c>
      <c r="AM111">
        <f>VLOOKUP($B111,[1]Data_Aspire!$B$1:$CZ$600,4,FALSE)</f>
        <v>0.16</v>
      </c>
      <c r="AN111">
        <f>VLOOKUP($B111,[1]Data_Aspire!$B$1:$CZ$600,5,FALSE)</f>
        <v>0.03</v>
      </c>
      <c r="AO111">
        <f>VLOOKUP($B111,[1]Data_Aspire!$B$1:$CZ$600,6,FALSE)</f>
        <v>0</v>
      </c>
      <c r="AP111">
        <f>VLOOKUP($B111,[1]Data_Aspire!$B$1:$CZ$600,7,FALSE)</f>
        <v>0.03</v>
      </c>
      <c r="AQ111">
        <f>VLOOKUP($B111,[1]Data_Aspire!$B$1:$CZ$600,8,FALSE)</f>
        <v>0.03</v>
      </c>
      <c r="AR111">
        <f>VLOOKUP($B111,[1]Data_Aspire!$B$1:$CZ$600,9,FALSE)</f>
        <v>0.01</v>
      </c>
      <c r="AU111">
        <f>VLOOKUP($B111,[1]Data_Aspire!$B$1:$CZ$600,12,FALSE)</f>
        <v>0.26</v>
      </c>
      <c r="AV111">
        <f>VLOOKUP($B111,[1]Data_Aspire!$B$1:$CZ$600,13,FALSE)</f>
        <v>187200</v>
      </c>
      <c r="AW111">
        <f>VLOOKUP($B111,[1]Data_Aspire!$B$1:$CZ$600,14,FALSE)</f>
        <v>2016</v>
      </c>
      <c r="AX111">
        <f>VLOOKUP($B111,[1]Data_Aspire!$B$1:$CZ$600,15,FALSE)</f>
        <v>6660</v>
      </c>
      <c r="AY111">
        <f>VLOOKUP($B111,[1]Data_Aspire!$B$1:$CZ$600,16,FALSE)</f>
        <v>2016</v>
      </c>
      <c r="BB111">
        <f>VLOOKUP($B111,[1]Data_Aspire!$B$1:$CZ$600,19,FALSE)</f>
        <v>115339</v>
      </c>
      <c r="BC111">
        <f>VLOOKUP($B111,[1]Data_Aspire!$B$1:$CZ$600,20,FALSE)</f>
        <v>2016</v>
      </c>
      <c r="BD111">
        <f>VLOOKUP($B111,[1]Data_Aspire!$B$1:$CZ$600,21,FALSE)</f>
        <v>237000</v>
      </c>
      <c r="BE111">
        <f>VLOOKUP($B111,[1]Data_Aspire!$B$1:$CZ$600,22,FALSE)</f>
        <v>2011</v>
      </c>
      <c r="BF111">
        <f>VLOOKUP($B111,[1]Data_Aspire!$B$1:$CZ$600,23,FALSE)</f>
        <v>377179</v>
      </c>
      <c r="BG111">
        <f>VLOOKUP($B111,[1]Data_Aspire!$B$1:$CZ$600,24,FALSE)</f>
        <v>2013</v>
      </c>
      <c r="BJ111" s="7">
        <v>1</v>
      </c>
      <c r="BK111">
        <v>450</v>
      </c>
      <c r="BL111">
        <f>VLOOKUP($B111,'[1]Data_UN_PopulationTot.&amp;%'!$B$4:$CZ$603,8,FALSE)</f>
        <v>27691</v>
      </c>
      <c r="BM111">
        <f>VLOOKUP($B111,'[1]Data_UN_PopulationTot.&amp;%'!$B$4:$CZ$603,9,FALSE)</f>
        <v>28427.3</v>
      </c>
      <c r="BN111">
        <v>29178.1</v>
      </c>
      <c r="BO111">
        <f>VLOOKUP($B111,'[1]Data_UN_PopulationTot.&amp;%'!$B$4:$CZ$603,11,FALSE)</f>
        <v>29942.6</v>
      </c>
      <c r="BP111">
        <f>VLOOKUP($B111,'[1]Data_UN_PopulationTot.&amp;%'!$B$4:$CZ$603,12,FALSE)</f>
        <v>30720.1</v>
      </c>
      <c r="BQ111">
        <f>VLOOKUP($B111,'[1]Data_UN_PopulationTot.&amp;%'!$B$4:$CZ$603,13,FALSE)</f>
        <v>31509.8</v>
      </c>
      <c r="BR111">
        <f>VLOOKUP($B111,'[1]Data_UN_PopulationTot.&amp;%'!$B$4:$CZ$603,14,FALSE)</f>
        <v>32311.4</v>
      </c>
      <c r="BS111">
        <f>VLOOKUP($B111,'[1]Data_UN_PopulationTot.&amp;%'!$B$4:$CZ$603,15,FALSE)</f>
        <v>33124.400000000001</v>
      </c>
      <c r="BT111">
        <f>VLOOKUP($B111,'[1]Data_UN_PopulationTot.&amp;%'!$B$4:$CZ$603,16,FALSE)</f>
        <v>33948</v>
      </c>
      <c r="BU111">
        <f>VLOOKUP($B111,'[1]Data_UN_PopulationTot.&amp;%'!$B$4:$CZ$603,17,FALSE)</f>
        <v>34780.9</v>
      </c>
      <c r="BV111">
        <f>VLOOKUP($B111,'[1]Data_UN_PopulationTot.&amp;%'!$B$4:$CZ$603,18,FALSE)</f>
        <v>35622.300000000003</v>
      </c>
      <c r="BW111">
        <f>VLOOKUP($B111,'[1]Data_UN_PopulationTot.&amp;%'!$B$4:$CZ$603,61,FALSE)</f>
        <v>14.840309125708714</v>
      </c>
      <c r="BX111">
        <f>VLOOKUP($B111,'[1]Data_UN_PopulationTot.&amp;%'!$B$4:$CZ$603,62,FALSE)</f>
        <v>13.193853598642157</v>
      </c>
      <c r="BY111">
        <f>VLOOKUP($B111,'[1]Data_UN_PopulationTot.&amp;%'!$B$4:$CZ$603,63,FALSE)</f>
        <v>12.028420786537142</v>
      </c>
      <c r="BZ111">
        <f>VLOOKUP($B111,'[1]Data_UN_PopulationTot.&amp;%'!$B$4:$CZ$603,64,FALSE)</f>
        <v>10.877685890722617</v>
      </c>
      <c r="CA111">
        <f>VLOOKUP($B111,'[1]Data_UN_PopulationTot.&amp;%'!$B$4:$CZ$603,65,FALSE)</f>
        <v>9.66285074572966</v>
      </c>
      <c r="CB111">
        <f>VLOOKUP($B111,'[1]Data_UN_PopulationTot.&amp;%'!$B$4:$CZ$603,66,FALSE)</f>
        <v>8.0278429814741248</v>
      </c>
      <c r="CC111">
        <f>VLOOKUP($B111,'[1]Data_UN_PopulationTot.&amp;%'!$B$4:$CZ$603,67,FALSE)</f>
        <v>6.607706475027987</v>
      </c>
      <c r="CD111">
        <f>VLOOKUP($B111,'[1]Data_UN_PopulationTot.&amp;%'!$B$4:$CZ$603,68,FALSE)</f>
        <v>5.5655989310606335</v>
      </c>
      <c r="CE111">
        <f>VLOOKUP($B111,'[1]Data_UN_PopulationTot.&amp;%'!$B$4:$CZ$603,69,FALSE)</f>
        <v>4.7454768697410703</v>
      </c>
      <c r="CF111">
        <f>VLOOKUP($B111,'[1]Data_UN_PopulationTot.&amp;%'!$B$4:$CZ$603,70,FALSE)</f>
        <v>3.8777581163554946</v>
      </c>
      <c r="CG111">
        <f>VLOOKUP($B111,'[1]Data_UN_PopulationTot.&amp;%'!$B$4:$CZ$603,71,FALSE)</f>
        <v>3.1001661189556171</v>
      </c>
      <c r="CH111">
        <f>VLOOKUP($B111,'[1]Data_UN_PopulationTot.&amp;%'!$B$4:$CZ$603,72,FALSE)</f>
        <v>2.4603589613953996</v>
      </c>
      <c r="CI111">
        <f>VLOOKUP($B111,'[1]Data_UN_PopulationTot.&amp;%'!$B$4:$CZ$603,73,FALSE)</f>
        <v>1.9113610920515691</v>
      </c>
      <c r="CJ111">
        <f>VLOOKUP($B111,'[1]Data_UN_PopulationTot.&amp;%'!$B$4:$CZ$603,74,FALSE)</f>
        <v>1.3937127586580478</v>
      </c>
      <c r="CK111">
        <f>VLOOKUP($B111,'[1]Data_UN_PopulationTot.&amp;%'!$B$4:$CZ$603,75,FALSE)</f>
        <v>0.81153443357047417</v>
      </c>
      <c r="CL111">
        <f>VLOOKUP($B111,'[1]Data_UN_PopulationTot.&amp;%'!$B$4:$CZ$603,76,FALSE)</f>
        <v>0.48803221263226315</v>
      </c>
      <c r="CM111">
        <f>VLOOKUP($B111,'[1]Data_UN_PopulationTot.&amp;%'!$B$4:$CZ$603,77,FALSE)</f>
        <v>0.26540392185186518</v>
      </c>
      <c r="CN111">
        <f>VLOOKUP($B111,'[1]Data_UN_PopulationTot.&amp;%'!$B$4:$CZ$603,78,FALSE)</f>
        <v>0.10818316420497635</v>
      </c>
      <c r="CO111">
        <f>VLOOKUP($B111,'[1]Data_UN_PopulationTot.&amp;%'!$B$4:$CZ$603,79,FALSE)</f>
        <v>2.8648297280704924E-2</v>
      </c>
      <c r="CP111">
        <f>VLOOKUP($B111,'[1]Data_UN_PopulationTot.&amp;%'!$B$4:$CZ$603,80,FALSE)</f>
        <v>4.7127225452313027E-3</v>
      </c>
      <c r="CQ111">
        <f>VLOOKUP($B111,'[1]Data_UN_PopulationTot.&amp;%'!$B$4:$CZ$603,81,FALSE)</f>
        <v>4.6224405041349174E-4</v>
      </c>
      <c r="CR111">
        <f>VLOOKUP($B111,'[1]Data_UN_PopulationTot.&amp;%'!$B$4:$CZ$603,82,FALSE)</f>
        <v>13.700603273791979</v>
      </c>
      <c r="CS111">
        <f>VLOOKUP($B111,'[1]Data_UN_PopulationTot.&amp;%'!$B$4:$CZ$603,83,FALSE)</f>
        <v>12.592898268781072</v>
      </c>
      <c r="CT111">
        <f>VLOOKUP($B111,'[1]Data_UN_PopulationTot.&amp;%'!$B$4:$CZ$603,84,FALSE)</f>
        <v>11.368552844706825</v>
      </c>
      <c r="CU111">
        <f>VLOOKUP($B111,'[1]Data_UN_PopulationTot.&amp;%'!$B$4:$CZ$603,85,FALSE)</f>
        <v>10.140894888875788</v>
      </c>
      <c r="CV111">
        <f>VLOOKUP($B111,'[1]Data_UN_PopulationTot.&amp;%'!$B$4:$CZ$603,86,FALSE)</f>
        <v>9.2234920260623259</v>
      </c>
      <c r="CW111">
        <f>VLOOKUP($B111,'[1]Data_UN_PopulationTot.&amp;%'!$B$4:$CZ$603,87,FALSE)</f>
        <v>8.3129668774896626</v>
      </c>
      <c r="CX111">
        <f>VLOOKUP($B111,'[1]Data_UN_PopulationTot.&amp;%'!$B$4:$CZ$603,88,FALSE)</f>
        <v>7.3622983355931524</v>
      </c>
      <c r="CY111">
        <f>VLOOKUP($B111,'[1]Data_UN_PopulationTot.&amp;%'!$B$4:$CZ$603,89,FALSE)</f>
        <v>6.0846436080769619</v>
      </c>
      <c r="CZ111">
        <f>VLOOKUP($B111,'[1]Data_UN_PopulationTot.&amp;%'!$B$4:$CZ$603,90,FALSE)</f>
        <v>4.9686572736740748</v>
      </c>
      <c r="DA111">
        <f>VLOOKUP($B111,'[1]Data_UN_PopulationTot.&amp;%'!$B$4:$CZ$603,91,FALSE)</f>
        <v>4.1390645747186454</v>
      </c>
      <c r="DB111">
        <f>VLOOKUP($B111,'[1]Data_UN_PopulationTot.&amp;%'!$B$4:$CZ$603,92,FALSE)</f>
        <v>3.4734421977244585</v>
      </c>
      <c r="DC111">
        <f>VLOOKUP($B111,'[1]Data_UN_PopulationTot.&amp;%'!$B$4:$CZ$603,93,FALSE)</f>
        <v>2.7718620077872567</v>
      </c>
      <c r="DD111">
        <f>VLOOKUP($B111,'[1]Data_UN_PopulationTot.&amp;%'!$B$4:$CZ$603,94,FALSE)</f>
        <v>2.1303004017146558</v>
      </c>
      <c r="DE111">
        <f>VLOOKUP($B111,'[1]Data_UN_PopulationTot.&amp;%'!$B$4:$CZ$603,95,FALSE)</f>
        <v>1.5731662469857366</v>
      </c>
      <c r="DF111">
        <f>VLOOKUP($B111,'[1]Data_UN_PopulationTot.&amp;%'!$B$4:$CZ$603,96,FALSE)</f>
        <v>1.0782683880602879</v>
      </c>
      <c r="DG111">
        <f>VLOOKUP($B111,'[1]Data_UN_PopulationTot.&amp;%'!$B$4:$CZ$603,97,FALSE)</f>
        <v>0.64664269291988441</v>
      </c>
      <c r="DH111">
        <f>VLOOKUP($B111,'[1]Data_UN_PopulationTot.&amp;%'!$B$4:$CZ$603,98,FALSE)</f>
        <v>0.28165222346676094</v>
      </c>
      <c r="DI111">
        <f>VLOOKUP($B111,'[1]Data_UN_PopulationTot.&amp;%'!$B$4:$CZ$603,99,FALSE)</f>
        <v>0.11076769327078823</v>
      </c>
      <c r="DJ111">
        <f>VLOOKUP($B111,'[1]Data_UN_PopulationTot.&amp;%'!$B$4:$DE$603,100,FALSE)</f>
        <v>3.311970310732322E-2</v>
      </c>
      <c r="DK111">
        <f>VLOOKUP($B111,'[1]Data_UN_PopulationTot.&amp;%'!$B$4:$DE$603,101,FALSE)</f>
        <v>6.1057259076477358E-3</v>
      </c>
      <c r="DL111">
        <f>VLOOKUP($B111,'[1]Data_UN_PopulationTot.&amp;%'!$B$4:$DE$603,102,FALSE)</f>
        <v>6.6250635135855899E-4</v>
      </c>
    </row>
    <row r="112" spans="1:116">
      <c r="A112" t="s">
        <v>208</v>
      </c>
      <c r="B112" t="s">
        <v>423</v>
      </c>
      <c r="C112" t="s">
        <v>483</v>
      </c>
      <c r="D112" t="s">
        <v>389</v>
      </c>
      <c r="E112" t="s">
        <v>301</v>
      </c>
      <c r="F112">
        <v>0</v>
      </c>
      <c r="G112">
        <v>0</v>
      </c>
      <c r="H112">
        <v>1</v>
      </c>
      <c r="I112">
        <v>0</v>
      </c>
      <c r="J112" s="18">
        <f t="shared" si="3"/>
        <v>15.680553708126002</v>
      </c>
      <c r="K112">
        <f>VLOOKUP($B112,'[1]Source GDP Current USD'!$B$1:$CZ$600,64,FALSE)</f>
        <v>3742769967.4279799</v>
      </c>
      <c r="L112" s="45">
        <f>VLOOKUP($B112,'[1]Source GDP Current USD'!$B$1:$CZ$600,65,FALSE)</f>
        <v>3742769967.4279799</v>
      </c>
      <c r="M112" s="17">
        <f>VLOOKUP($B112,'[1]Source GDP Current LCU'!$B$1:$CZ$600,64,FALSE)</f>
        <v>57568667700</v>
      </c>
      <c r="N112" s="45">
        <v>58000000000</v>
      </c>
      <c r="O112" s="45">
        <f>VLOOKUP($B112,'[1]Source GNI Current USD'!$B$1:$CZ$600,64,FALSE)</f>
        <v>3458503130.4246101</v>
      </c>
      <c r="P112" s="45">
        <f>VLOOKUP($B112,'[1]Source GNI Current LCU'!$B$1:$CZ$600,64,FALSE)</f>
        <v>53196274200</v>
      </c>
      <c r="Q112">
        <f t="shared" si="2"/>
        <v>108.2193604077633</v>
      </c>
      <c r="R112">
        <v>6490</v>
      </c>
      <c r="S112">
        <v>6490</v>
      </c>
      <c r="T112">
        <v>0.51505299999999998</v>
      </c>
      <c r="U112">
        <v>540542</v>
      </c>
      <c r="V112">
        <v>27.238</v>
      </c>
      <c r="W112">
        <f>VLOOKUP($B112,'[1]Source Gov. Revenue WEO'!$B$1:$CZ$600,5,FALSE)</f>
        <v>27.922000000000001</v>
      </c>
      <c r="X112">
        <f>VLOOKUP($B112,'[1]Source Gov. Revenue WEO'!$B$1:$CZ$600,6,FALSE)</f>
        <v>28.408999999999999</v>
      </c>
      <c r="Y112">
        <f>VLOOKUP($B112,'[1]Source Gov. Revenue WEO'!$B$1:$CZ$600,7,FALSE)</f>
        <v>28.04</v>
      </c>
      <c r="Z112">
        <f>VLOOKUP($B112,'[1]Source Gov. Revenue WEO'!$B$1:$CZ$600,8,FALSE)</f>
        <v>27.861000000000001</v>
      </c>
      <c r="AA112">
        <f>VLOOKUP($B112,'[1]Source Gov. Revenue WEO'!$B$1:$CZ$600,9,FALSE)</f>
        <v>27.283999999999999</v>
      </c>
      <c r="AB112">
        <f>VLOOKUP($B112,'[1]Source Gov. Revenue WEO'!$B$1:$CZ$600,10,FALSE)</f>
        <v>27.216999999999999</v>
      </c>
      <c r="AC112">
        <f>VLOOKUP($B112,[2]Summary!$B$1:$CZ$600,39,FALSE)</f>
        <v>9.999999999999999E-14</v>
      </c>
      <c r="AD112">
        <f>VLOOKUP($B112,[2]Summary!$B$1:$CZ$600,40,FALSE)</f>
        <v>9.999999999999999E-14</v>
      </c>
      <c r="AE112">
        <f>VLOOKUP($B112,[2]Summary!$B$1:$CZ$600,47,FALSE)</f>
        <v>0.30611244971461848</v>
      </c>
      <c r="AF112">
        <f>VLOOKUP($B112,'[1]CALC GDP Growth rates WDI'!$B$1:$CZ$600,27,FALSE)</f>
        <v>15.521852201854248</v>
      </c>
      <c r="AG112">
        <f>VLOOKUP($B112,'[1]CALC GDP Growth rates WDI'!$B$1:$CZ$600,29,FALSE)</f>
        <v>70.54862852577179</v>
      </c>
      <c r="AH112">
        <v>-12.39</v>
      </c>
      <c r="AI112">
        <f>VLOOKUP($B112,'[1]CALC GDP Growth rates WDI'!$B$1:$CZ$600,30,FALSE)</f>
        <v>24.065964386473905</v>
      </c>
      <c r="AJ112" s="45" t="s">
        <v>2464</v>
      </c>
      <c r="AK112">
        <f>VLOOKUP($B112,[1]Data_Aspire!$B$1:$CZ$600,2,FALSE)</f>
        <v>2011</v>
      </c>
      <c r="AL112">
        <f>VLOOKUP($B112,[1]Data_Aspire!$B$1:$CZ$600,3,FALSE)</f>
        <v>1.07</v>
      </c>
      <c r="AM112">
        <f>VLOOKUP($B112,[1]Data_Aspire!$B$1:$CZ$600,4,FALSE)</f>
        <v>0</v>
      </c>
      <c r="AN112">
        <f>VLOOKUP($B112,[1]Data_Aspire!$B$1:$CZ$600,5,FALSE)</f>
        <v>0.02</v>
      </c>
      <c r="AO112">
        <f>VLOOKUP($B112,[1]Data_Aspire!$B$1:$CZ$600,6,FALSE)</f>
        <v>0.9</v>
      </c>
      <c r="AP112">
        <f>VLOOKUP($B112,[1]Data_Aspire!$B$1:$CZ$600,7,FALSE)</f>
        <v>0</v>
      </c>
      <c r="AS112">
        <f>VLOOKUP($B112,[1]Data_Aspire!$B$1:$CZ$600,10,FALSE)</f>
        <v>0.09</v>
      </c>
      <c r="AT112">
        <f>VLOOKUP($B112,[1]Data_Aspire!$B$1:$CZ$600,11,FALSE)</f>
        <v>0.06</v>
      </c>
      <c r="AU112">
        <f>VLOOKUP($B112,[1]Data_Aspire!$B$1:$CZ$600,12,FALSE)</f>
        <v>0.98</v>
      </c>
      <c r="BJ112" s="7">
        <v>0</v>
      </c>
      <c r="BK112">
        <v>462</v>
      </c>
      <c r="BL112">
        <f>VLOOKUP($B112,'[1]Data_UN_PopulationTot.&amp;%'!$B$4:$CZ$603,8,FALSE)</f>
        <v>540.54200000000003</v>
      </c>
      <c r="BM112">
        <f>VLOOKUP($B112,'[1]Data_UN_PopulationTot.&amp;%'!$B$4:$CZ$603,9,FALSE)</f>
        <v>543.62</v>
      </c>
      <c r="BN112">
        <v>540.98500000000001</v>
      </c>
      <c r="BO112">
        <f>VLOOKUP($B112,'[1]Data_UN_PopulationTot.&amp;%'!$B$4:$CZ$603,11,FALSE)</f>
        <v>534.66899999999998</v>
      </c>
      <c r="BP112">
        <f>VLOOKUP($B112,'[1]Data_UN_PopulationTot.&amp;%'!$B$4:$CZ$603,12,FALSE)</f>
        <v>527.65200000000004</v>
      </c>
      <c r="BQ112">
        <f>VLOOKUP($B112,'[1]Data_UN_PopulationTot.&amp;%'!$B$4:$CZ$603,13,FALSE)</f>
        <v>522.12300000000005</v>
      </c>
      <c r="BR112">
        <f>VLOOKUP($B112,'[1]Data_UN_PopulationTot.&amp;%'!$B$4:$CZ$603,14,FALSE)</f>
        <v>518.721</v>
      </c>
      <c r="BS112">
        <f>VLOOKUP($B112,'[1]Data_UN_PopulationTot.&amp;%'!$B$4:$CZ$603,15,FALSE)</f>
        <v>517.00300000000004</v>
      </c>
      <c r="BT112">
        <f>VLOOKUP($B112,'[1]Data_UN_PopulationTot.&amp;%'!$B$4:$CZ$603,16,FALSE)</f>
        <v>516.82899999999995</v>
      </c>
      <c r="BU112">
        <f>VLOOKUP($B112,'[1]Data_UN_PopulationTot.&amp;%'!$B$4:$CZ$603,17,FALSE)</f>
        <v>517.72199999999998</v>
      </c>
      <c r="BV112">
        <f>VLOOKUP($B112,'[1]Data_UN_PopulationTot.&amp;%'!$B$4:$CZ$603,18,FALSE)</f>
        <v>519.34799999999996</v>
      </c>
      <c r="BW112">
        <f>VLOOKUP($B112,'[1]Data_UN_PopulationTot.&amp;%'!$B$4:$CZ$603,61,FALSE)</f>
        <v>6.5820972283374832</v>
      </c>
      <c r="BX112">
        <f>VLOOKUP($B112,'[1]Data_UN_PopulationTot.&amp;%'!$B$4:$CZ$603,62,FALSE)</f>
        <v>6.8897513976712261</v>
      </c>
      <c r="BY112">
        <f>VLOOKUP($B112,'[1]Data_UN_PopulationTot.&amp;%'!$B$4:$CZ$603,63,FALSE)</f>
        <v>6.1281084541071733</v>
      </c>
      <c r="BZ112">
        <f>VLOOKUP($B112,'[1]Data_UN_PopulationTot.&amp;%'!$B$4:$CZ$603,64,FALSE)</f>
        <v>4.8678918566919869</v>
      </c>
      <c r="CA112">
        <f>VLOOKUP($B112,'[1]Data_UN_PopulationTot.&amp;%'!$B$4:$CZ$603,65,FALSE)</f>
        <v>9.4447794990953522</v>
      </c>
      <c r="CB112">
        <f>VLOOKUP($B112,'[1]Data_UN_PopulationTot.&amp;%'!$B$4:$CZ$603,66,FALSE)</f>
        <v>16.396690728935031</v>
      </c>
      <c r="CC112">
        <f>VLOOKUP($B112,'[1]Data_UN_PopulationTot.&amp;%'!$B$4:$CZ$603,67,FALSE)</f>
        <v>15.332943601052277</v>
      </c>
      <c r="CD112">
        <f>VLOOKUP($B112,'[1]Data_UN_PopulationTot.&amp;%'!$B$4:$CZ$603,68,FALSE)</f>
        <v>10.124282664436805</v>
      </c>
      <c r="CE112">
        <f>VLOOKUP($B112,'[1]Data_UN_PopulationTot.&amp;%'!$B$4:$CZ$603,69,FALSE)</f>
        <v>6.8020616344335867</v>
      </c>
      <c r="CF112">
        <f>VLOOKUP($B112,'[1]Data_UN_PopulationTot.&amp;%'!$B$4:$CZ$603,70,FALSE)</f>
        <v>5.1579710734781017</v>
      </c>
      <c r="CG112">
        <f>VLOOKUP($B112,'[1]Data_UN_PopulationTot.&amp;%'!$B$4:$CZ$603,71,FALSE)</f>
        <v>3.7055399950420136</v>
      </c>
      <c r="CH112">
        <f>VLOOKUP($B112,'[1]Data_UN_PopulationTot.&amp;%'!$B$4:$CZ$603,72,FALSE)</f>
        <v>2.8279023646636152</v>
      </c>
      <c r="CI112">
        <f>VLOOKUP($B112,'[1]Data_UN_PopulationTot.&amp;%'!$B$4:$CZ$603,73,FALSE)</f>
        <v>2.1472892023191537</v>
      </c>
      <c r="CJ112">
        <f>VLOOKUP($B112,'[1]Data_UN_PopulationTot.&amp;%'!$B$4:$CZ$603,74,FALSE)</f>
        <v>1.2130417247873431</v>
      </c>
      <c r="CK112">
        <f>VLOOKUP($B112,'[1]Data_UN_PopulationTot.&amp;%'!$B$4:$CZ$603,75,FALSE)</f>
        <v>0.81048281169640835</v>
      </c>
      <c r="CL112">
        <f>VLOOKUP($B112,'[1]Data_UN_PopulationTot.&amp;%'!$B$4:$CZ$603,76,FALSE)</f>
        <v>0.75572295954800917</v>
      </c>
      <c r="CM112">
        <f>VLOOKUP($B112,'[1]Data_UN_PopulationTot.&amp;%'!$B$4:$CZ$603,77,FALSE)</f>
        <v>0.50948862438071418</v>
      </c>
      <c r="CN112">
        <f>VLOOKUP($B112,'[1]Data_UN_PopulationTot.&amp;%'!$B$4:$CZ$603,78,FALSE)</f>
        <v>0.22514439211014131</v>
      </c>
      <c r="CO112">
        <f>VLOOKUP($B112,'[1]Data_UN_PopulationTot.&amp;%'!$B$4:$CZ$603,79,FALSE)</f>
        <v>6.3084829670959894E-2</v>
      </c>
      <c r="CP112">
        <f>VLOOKUP($B112,'[1]Data_UN_PopulationTot.&amp;%'!$B$4:$CZ$603,80,FALSE)</f>
        <v>1.3689963037099797E-2</v>
      </c>
      <c r="CQ112">
        <f>VLOOKUP($B112,'[1]Data_UN_PopulationTot.&amp;%'!$B$4:$CZ$603,81,FALSE)</f>
        <v>2.0349945055148349E-3</v>
      </c>
      <c r="CR112">
        <f>VLOOKUP($B112,'[1]Data_UN_PopulationTot.&amp;%'!$B$4:$CZ$603,82,FALSE)</f>
        <v>5.3287968760830893</v>
      </c>
      <c r="CS112">
        <f>VLOOKUP($B112,'[1]Data_UN_PopulationTot.&amp;%'!$B$4:$CZ$603,83,FALSE)</f>
        <v>6.0939870761031152</v>
      </c>
      <c r="CT112">
        <f>VLOOKUP($B112,'[1]Data_UN_PopulationTot.&amp;%'!$B$4:$CZ$603,84,FALSE)</f>
        <v>6.732479955636685</v>
      </c>
      <c r="CU112">
        <f>VLOOKUP($B112,'[1]Data_UN_PopulationTot.&amp;%'!$B$4:$CZ$603,85,FALSE)</f>
        <v>7.168026063448786</v>
      </c>
      <c r="CV112">
        <f>VLOOKUP($B112,'[1]Data_UN_PopulationTot.&amp;%'!$B$4:$CZ$603,86,FALSE)</f>
        <v>6.7442254519127847</v>
      </c>
      <c r="CW112">
        <f>VLOOKUP($B112,'[1]Data_UN_PopulationTot.&amp;%'!$B$4:$CZ$603,87,FALSE)</f>
        <v>5.9846191763518881</v>
      </c>
      <c r="CX112">
        <f>VLOOKUP($B112,'[1]Data_UN_PopulationTot.&amp;%'!$B$4:$CZ$603,88,FALSE)</f>
        <v>7.5987584432788804</v>
      </c>
      <c r="CY112">
        <f>VLOOKUP($B112,'[1]Data_UN_PopulationTot.&amp;%'!$B$4:$CZ$603,89,FALSE)</f>
        <v>10.441361091214368</v>
      </c>
      <c r="CZ112">
        <f>VLOOKUP($B112,'[1]Data_UN_PopulationTot.&amp;%'!$B$4:$CZ$603,90,FALSE)</f>
        <v>11.735676271016738</v>
      </c>
      <c r="DA112">
        <f>VLOOKUP($B112,'[1]Data_UN_PopulationTot.&amp;%'!$B$4:$CZ$603,91,FALSE)</f>
        <v>9.8947141415775164</v>
      </c>
      <c r="DB112">
        <f>VLOOKUP($B112,'[1]Data_UN_PopulationTot.&amp;%'!$B$4:$CZ$603,92,FALSE)</f>
        <v>6.7430701571971019</v>
      </c>
      <c r="DC112">
        <f>VLOOKUP($B112,'[1]Data_UN_PopulationTot.&amp;%'!$B$4:$CZ$603,93,FALSE)</f>
        <v>5.1331669708942753</v>
      </c>
      <c r="DD112">
        <f>VLOOKUP($B112,'[1]Data_UN_PopulationTot.&amp;%'!$B$4:$CZ$603,94,FALSE)</f>
        <v>3.6761477853000302</v>
      </c>
      <c r="DE112">
        <f>VLOOKUP($B112,'[1]Data_UN_PopulationTot.&amp;%'!$B$4:$CZ$603,95,FALSE)</f>
        <v>2.733234748184262</v>
      </c>
      <c r="DF112">
        <f>VLOOKUP($B112,'[1]Data_UN_PopulationTot.&amp;%'!$B$4:$CZ$603,96,FALSE)</f>
        <v>1.9405100241071498</v>
      </c>
      <c r="DG112">
        <f>VLOOKUP($B112,'[1]Data_UN_PopulationTot.&amp;%'!$B$4:$CZ$603,97,FALSE)</f>
        <v>0.95812441753891431</v>
      </c>
      <c r="DH112">
        <f>VLOOKUP($B112,'[1]Data_UN_PopulationTot.&amp;%'!$B$4:$CZ$603,98,FALSE)</f>
        <v>0.51506889407487844</v>
      </c>
      <c r="DI112">
        <f>VLOOKUP($B112,'[1]Data_UN_PopulationTot.&amp;%'!$B$4:$CZ$603,99,FALSE)</f>
        <v>0.36372528632054041</v>
      </c>
      <c r="DJ112">
        <f>VLOOKUP($B112,'[1]Data_UN_PopulationTot.&amp;%'!$B$4:$DE$603,100,FALSE)</f>
        <v>0.1659773408196431</v>
      </c>
      <c r="DK112">
        <f>VLOOKUP($B112,'[1]Data_UN_PopulationTot.&amp;%'!$B$4:$DE$603,101,FALSE)</f>
        <v>4.2360806241672253E-2</v>
      </c>
      <c r="DL112">
        <f>VLOOKUP($B112,'[1]Data_UN_PopulationTot.&amp;%'!$B$4:$DE$603,102,FALSE)</f>
        <v>5.9690226976901808E-3</v>
      </c>
    </row>
    <row r="113" spans="1:116">
      <c r="A113" t="s">
        <v>215</v>
      </c>
      <c r="B113" t="s">
        <v>430</v>
      </c>
      <c r="C113" t="s">
        <v>497</v>
      </c>
      <c r="D113" t="s">
        <v>389</v>
      </c>
      <c r="E113" t="s">
        <v>301</v>
      </c>
      <c r="F113">
        <v>0</v>
      </c>
      <c r="G113">
        <v>0</v>
      </c>
      <c r="H113">
        <v>1</v>
      </c>
      <c r="I113">
        <v>0</v>
      </c>
      <c r="J113" s="18">
        <f t="shared" si="3"/>
        <v>5658.6008214967605</v>
      </c>
      <c r="K113">
        <f>VLOOKUP($B113,'[1]Source GDP Current USD'!$B$1:$CZ$600,64,FALSE)</f>
        <v>1073915880822.5</v>
      </c>
      <c r="L113" s="45">
        <f>VLOOKUP($B113,'[1]Source GDP Current USD'!$B$1:$CZ$600,65,FALSE)</f>
        <v>1073915880822.5</v>
      </c>
      <c r="M113" s="17">
        <f>VLOOKUP($B113,'[1]Source GDP Current LCU'!$B$1:$CZ$600,64,FALSE)</f>
        <v>23073727049000</v>
      </c>
      <c r="N113" s="45">
        <v>23000000000000</v>
      </c>
      <c r="O113" s="45">
        <f>VLOOKUP($B113,'[1]Source GNI Current USD'!$B$1:$CZ$600,64,FALSE)</f>
        <v>1037040166520.83</v>
      </c>
      <c r="P113" s="45">
        <f>VLOOKUP($B113,'[1]Source GNI Current LCU'!$B$1:$CZ$600,64,FALSE)</f>
        <v>22281430201800</v>
      </c>
      <c r="Q113">
        <f t="shared" si="2"/>
        <v>103.55586171993572</v>
      </c>
      <c r="R113">
        <v>8480</v>
      </c>
      <c r="S113">
        <v>8480</v>
      </c>
      <c r="T113">
        <v>0.451596</v>
      </c>
      <c r="U113" s="45">
        <v>130000000</v>
      </c>
      <c r="V113">
        <v>24.524000000000001</v>
      </c>
      <c r="W113">
        <f>VLOOKUP($B113,'[1]Source Gov. Revenue WEO'!$B$1:$CZ$600,5,FALSE)</f>
        <v>24.041</v>
      </c>
      <c r="X113">
        <f>VLOOKUP($B113,'[1]Source Gov. Revenue WEO'!$B$1:$CZ$600,6,FALSE)</f>
        <v>23.21</v>
      </c>
      <c r="Y113">
        <f>VLOOKUP($B113,'[1]Source Gov. Revenue WEO'!$B$1:$CZ$600,7,FALSE)</f>
        <v>22.948</v>
      </c>
      <c r="Z113">
        <f>VLOOKUP($B113,'[1]Source Gov. Revenue WEO'!$B$1:$CZ$600,8,FALSE)</f>
        <v>22.983000000000001</v>
      </c>
      <c r="AA113">
        <f>VLOOKUP($B113,'[1]Source Gov. Revenue WEO'!$B$1:$CZ$600,9,FALSE)</f>
        <v>23.033999999999999</v>
      </c>
      <c r="AB113">
        <f>VLOOKUP($B113,'[1]Source Gov. Revenue WEO'!$B$1:$CZ$600,10,FALSE)</f>
        <v>23.085000000000001</v>
      </c>
      <c r="AC113">
        <f>VLOOKUP($B113,[2]Summary!$B$1:$CZ$600,39,FALSE)</f>
        <v>1.7419830000000001E-2</v>
      </c>
      <c r="AD113">
        <f>VLOOKUP($B113,[2]Summary!$B$1:$CZ$600,40,FALSE)</f>
        <v>2.1000000000000001E-2</v>
      </c>
      <c r="AE113">
        <f>VLOOKUP($B113,[2]Summary!$B$1:$CZ$600,47,FALSE)</f>
        <v>0.2</v>
      </c>
      <c r="AF113">
        <f>VLOOKUP($B113,'[1]CALC GDP Growth rates WDI'!$B$1:$CZ$600,27,FALSE)</f>
        <v>13.402804545717531</v>
      </c>
      <c r="AG113">
        <f>VLOOKUP($B113,'[1]CALC GDP Growth rates WDI'!$B$1:$CZ$600,29,FALSE)</f>
        <v>30.002461962156456</v>
      </c>
      <c r="AH113">
        <v>-1.96</v>
      </c>
      <c r="AI113">
        <f>VLOOKUP($B113,'[1]CALC GDP Growth rates WDI'!$B$1:$CZ$600,30,FALSE)</f>
        <v>10.42525995364867</v>
      </c>
      <c r="AJ113" s="45"/>
      <c r="AK113">
        <f>VLOOKUP($B113,[1]Data_Aspire!$B$1:$CZ$600,2,FALSE)</f>
        <v>2015</v>
      </c>
      <c r="AL113">
        <f>VLOOKUP($B113,[1]Data_Aspire!$B$1:$CZ$600,3,FALSE)</f>
        <v>1.22</v>
      </c>
      <c r="AM113">
        <f>VLOOKUP($B113,[1]Data_Aspire!$B$1:$CZ$600,4,FALSE)</f>
        <v>0</v>
      </c>
      <c r="AN113">
        <f>VLOOKUP($B113,[1]Data_Aspire!$B$1:$CZ$600,5,FALSE)</f>
        <v>0.19</v>
      </c>
      <c r="AO113">
        <f>VLOOKUP($B113,[1]Data_Aspire!$B$1:$CZ$600,6,FALSE)</f>
        <v>0.21</v>
      </c>
      <c r="AP113">
        <f>VLOOKUP($B113,[1]Data_Aspire!$B$1:$CZ$600,7,FALSE)</f>
        <v>0</v>
      </c>
      <c r="AQ113">
        <f>VLOOKUP($B113,[1]Data_Aspire!$B$1:$CZ$600,8,FALSE)</f>
        <v>0.01</v>
      </c>
      <c r="AR113">
        <f>VLOOKUP($B113,[1]Data_Aspire!$B$1:$CZ$600,9,FALSE)</f>
        <v>0.06</v>
      </c>
      <c r="AS113">
        <f>VLOOKUP($B113,[1]Data_Aspire!$B$1:$CZ$600,10,FALSE)</f>
        <v>0.61</v>
      </c>
      <c r="AT113">
        <f>VLOOKUP($B113,[1]Data_Aspire!$B$1:$CZ$600,11,FALSE)</f>
        <v>0.12</v>
      </c>
      <c r="AU113">
        <f>VLOOKUP($B113,[1]Data_Aspire!$B$1:$CZ$600,12,FALSE)</f>
        <v>0.68</v>
      </c>
      <c r="AZ113">
        <f>VLOOKUP($B113,[1]Data_Aspire!$B$1:$CZ$600,17,FALSE)</f>
        <v>5701662</v>
      </c>
      <c r="BA113">
        <f>VLOOKUP($B113,[1]Data_Aspire!$B$1:$CZ$600,18,FALSE)</f>
        <v>2015</v>
      </c>
      <c r="BB113">
        <f>VLOOKUP($B113,[1]Data_Aspire!$B$1:$CZ$600,19,FALSE)</f>
        <v>6432853</v>
      </c>
      <c r="BC113">
        <f>VLOOKUP($B113,[1]Data_Aspire!$B$1:$CZ$600,20,FALSE)</f>
        <v>2015</v>
      </c>
      <c r="BD113">
        <f>VLOOKUP($B113,[1]Data_Aspire!$B$1:$CZ$600,21,FALSE)</f>
        <v>5164000</v>
      </c>
      <c r="BE113">
        <f>VLOOKUP($B113,[1]Data_Aspire!$B$1:$CZ$600,22,FALSE)</f>
        <v>2011</v>
      </c>
      <c r="BF113">
        <f>VLOOKUP($B113,[1]Data_Aspire!$B$1:$CZ$600,23,FALSE)</f>
        <v>1440640</v>
      </c>
      <c r="BG113">
        <f>VLOOKUP($B113,[1]Data_Aspire!$B$1:$CZ$600,24,FALSE)</f>
        <v>2014</v>
      </c>
      <c r="BH113">
        <f>VLOOKUP($B113,[1]Data_Aspire!$B$1:$CZ$600,25,FALSE)</f>
        <v>2984153</v>
      </c>
      <c r="BI113">
        <f>VLOOKUP($B113,[1]Data_Aspire!$B$1:$CZ$600,26,FALSE)</f>
        <v>2015</v>
      </c>
      <c r="BJ113" s="7">
        <v>0</v>
      </c>
      <c r="BK113">
        <v>484</v>
      </c>
      <c r="BL113">
        <f>VLOOKUP($B113,'[1]Data_UN_PopulationTot.&amp;%'!$B$4:$CZ$603,8,FALSE)</f>
        <v>128933</v>
      </c>
      <c r="BM113">
        <f>VLOOKUP($B113,'[1]Data_UN_PopulationTot.&amp;%'!$B$4:$CZ$603,9,FALSE)</f>
        <v>130262</v>
      </c>
      <c r="BN113">
        <v>131563</v>
      </c>
      <c r="BO113">
        <f>VLOOKUP($B113,'[1]Data_UN_PopulationTot.&amp;%'!$B$4:$CZ$603,11,FALSE)</f>
        <v>132834</v>
      </c>
      <c r="BP113">
        <f>VLOOKUP($B113,'[1]Data_UN_PopulationTot.&amp;%'!$B$4:$CZ$603,12,FALSE)</f>
        <v>134074</v>
      </c>
      <c r="BQ113">
        <f>VLOOKUP($B113,'[1]Data_UN_PopulationTot.&amp;%'!$B$4:$CZ$603,13,FALSE)</f>
        <v>135284</v>
      </c>
      <c r="BR113">
        <f>VLOOKUP($B113,'[1]Data_UN_PopulationTot.&amp;%'!$B$4:$CZ$603,14,FALSE)</f>
        <v>136462</v>
      </c>
      <c r="BS113">
        <f>VLOOKUP($B113,'[1]Data_UN_PopulationTot.&amp;%'!$B$4:$CZ$603,15,FALSE)</f>
        <v>137609</v>
      </c>
      <c r="BT113">
        <f>VLOOKUP($B113,'[1]Data_UN_PopulationTot.&amp;%'!$B$4:$CZ$603,16,FALSE)</f>
        <v>138725</v>
      </c>
      <c r="BU113">
        <f>VLOOKUP($B113,'[1]Data_UN_PopulationTot.&amp;%'!$B$4:$CZ$603,17,FALSE)</f>
        <v>139814</v>
      </c>
      <c r="BV113">
        <f>VLOOKUP($B113,'[1]Data_UN_PopulationTot.&amp;%'!$B$4:$CZ$603,18,FALSE)</f>
        <v>140876</v>
      </c>
      <c r="BW113">
        <f>VLOOKUP($B113,'[1]Data_UN_PopulationTot.&amp;%'!$B$4:$CZ$603,61,FALSE)</f>
        <v>8.4995307640402391</v>
      </c>
      <c r="BX113">
        <f>VLOOKUP($B113,'[1]Data_UN_PopulationTot.&amp;%'!$B$4:$CZ$603,62,FALSE)</f>
        <v>8.6948259948965738</v>
      </c>
      <c r="BY113">
        <f>VLOOKUP($B113,'[1]Data_UN_PopulationTot.&amp;%'!$B$4:$CZ$603,63,FALSE)</f>
        <v>8.6408444696082451</v>
      </c>
      <c r="BZ113">
        <f>VLOOKUP($B113,'[1]Data_UN_PopulationTot.&amp;%'!$B$4:$CZ$603,64,FALSE)</f>
        <v>8.6941279579316397</v>
      </c>
      <c r="CA113">
        <f>VLOOKUP($B113,'[1]Data_UN_PopulationTot.&amp;%'!$B$4:$CZ$603,65,FALSE)</f>
        <v>8.4848719877765966</v>
      </c>
      <c r="CB113">
        <f>VLOOKUP($B113,'[1]Data_UN_PopulationTot.&amp;%'!$B$4:$CZ$603,66,FALSE)</f>
        <v>8.3731860733869521</v>
      </c>
      <c r="CC113">
        <f>VLOOKUP($B113,'[1]Data_UN_PopulationTot.&amp;%'!$B$4:$CZ$603,67,FALSE)</f>
        <v>7.5929979136450703</v>
      </c>
      <c r="CD113">
        <f>VLOOKUP($B113,'[1]Data_UN_PopulationTot.&amp;%'!$B$4:$CZ$603,68,FALSE)</f>
        <v>7.0502896853404478</v>
      </c>
      <c r="CE113">
        <f>VLOOKUP($B113,'[1]Data_UN_PopulationTot.&amp;%'!$B$4:$CZ$603,69,FALSE)</f>
        <v>6.6173594037213128</v>
      </c>
      <c r="CF113">
        <f>VLOOKUP($B113,'[1]Data_UN_PopulationTot.&amp;%'!$B$4:$CZ$603,70,FALSE)</f>
        <v>6.2170196923983774</v>
      </c>
      <c r="CG113">
        <f>VLOOKUP($B113,'[1]Data_UN_PopulationTot.&amp;%'!$B$4:$CZ$603,71,FALSE)</f>
        <v>5.3709445991328835</v>
      </c>
      <c r="CH113">
        <f>VLOOKUP($B113,'[1]Data_UN_PopulationTot.&amp;%'!$B$4:$CZ$603,72,FALSE)</f>
        <v>4.5240939092396824</v>
      </c>
      <c r="CI113">
        <f>VLOOKUP($B113,'[1]Data_UN_PopulationTot.&amp;%'!$B$4:$CZ$603,73,FALSE)</f>
        <v>3.6216096732411405</v>
      </c>
      <c r="CJ113">
        <f>VLOOKUP($B113,'[1]Data_UN_PopulationTot.&amp;%'!$B$4:$CZ$603,74,FALSE)</f>
        <v>2.7886576749164296</v>
      </c>
      <c r="CK113">
        <f>VLOOKUP($B113,'[1]Data_UN_PopulationTot.&amp;%'!$B$4:$CZ$603,75,FALSE)</f>
        <v>1.9131719575283288</v>
      </c>
      <c r="CL113">
        <f>VLOOKUP($B113,'[1]Data_UN_PopulationTot.&amp;%'!$B$4:$CZ$603,76,FALSE)</f>
        <v>1.3355851488757726</v>
      </c>
      <c r="CM113">
        <f>VLOOKUP($B113,'[1]Data_UN_PopulationTot.&amp;%'!$B$4:$CZ$603,77,FALSE)</f>
        <v>0.8209690304266557</v>
      </c>
      <c r="CN113">
        <f>VLOOKUP($B113,'[1]Data_UN_PopulationTot.&amp;%'!$B$4:$CZ$603,78,FALSE)</f>
        <v>0.47310153335453303</v>
      </c>
      <c r="CO113">
        <f>VLOOKUP($B113,'[1]Data_UN_PopulationTot.&amp;%'!$B$4:$CZ$603,79,FALSE)</f>
        <v>0.21339145137396942</v>
      </c>
      <c r="CP113">
        <f>VLOOKUP($B113,'[1]Data_UN_PopulationTot.&amp;%'!$B$4:$CZ$603,80,FALSE)</f>
        <v>6.3162262570482339E-2</v>
      </c>
      <c r="CQ113">
        <f>VLOOKUP($B113,'[1]Data_UN_PopulationTot.&amp;%'!$B$4:$CZ$603,81,FALSE)</f>
        <v>1.0053283488323392E-2</v>
      </c>
      <c r="CR113">
        <f>VLOOKUP($B113,'[1]Data_UN_PopulationTot.&amp;%'!$B$4:$CZ$603,82,FALSE)</f>
        <v>7.2709333030466503</v>
      </c>
      <c r="CS113">
        <f>VLOOKUP($B113,'[1]Data_UN_PopulationTot.&amp;%'!$B$4:$CZ$603,83,FALSE)</f>
        <v>7.5300973906130224</v>
      </c>
      <c r="CT113">
        <f>VLOOKUP($B113,'[1]Data_UN_PopulationTot.&amp;%'!$B$4:$CZ$603,84,FALSE)</f>
        <v>7.7473806752037255</v>
      </c>
      <c r="CU113">
        <f>VLOOKUP($B113,'[1]Data_UN_PopulationTot.&amp;%'!$B$4:$CZ$603,85,FALSE)</f>
        <v>7.9043981941565633</v>
      </c>
      <c r="CV113">
        <f>VLOOKUP($B113,'[1]Data_UN_PopulationTot.&amp;%'!$B$4:$CZ$603,86,FALSE)</f>
        <v>7.7957210596552988</v>
      </c>
      <c r="CW113">
        <f>VLOOKUP($B113,'[1]Data_UN_PopulationTot.&amp;%'!$B$4:$CZ$603,87,FALSE)</f>
        <v>7.7950821999488911</v>
      </c>
      <c r="CX113">
        <f>VLOOKUP($B113,'[1]Data_UN_PopulationTot.&amp;%'!$B$4:$CZ$603,88,FALSE)</f>
        <v>7.5906470938981796</v>
      </c>
      <c r="CY113">
        <f>VLOOKUP($B113,'[1]Data_UN_PopulationTot.&amp;%'!$B$4:$CZ$603,89,FALSE)</f>
        <v>7.4863000085181293</v>
      </c>
      <c r="CZ113">
        <f>VLOOKUP($B113,'[1]Data_UN_PopulationTot.&amp;%'!$B$4:$CZ$603,90,FALSE)</f>
        <v>6.7733609699310042</v>
      </c>
      <c r="DA113">
        <f>VLOOKUP($B113,'[1]Data_UN_PopulationTot.&amp;%'!$B$4:$CZ$603,91,FALSE)</f>
        <v>6.2537408785030806</v>
      </c>
      <c r="DB113">
        <f>VLOOKUP($B113,'[1]Data_UN_PopulationTot.&amp;%'!$B$4:$CZ$603,92,FALSE)</f>
        <v>5.8062267526051281</v>
      </c>
      <c r="DC113">
        <f>VLOOKUP($B113,'[1]Data_UN_PopulationTot.&amp;%'!$B$4:$CZ$603,93,FALSE)</f>
        <v>5.3550285357335525</v>
      </c>
      <c r="DD113">
        <f>VLOOKUP($B113,'[1]Data_UN_PopulationTot.&amp;%'!$B$4:$CZ$603,94,FALSE)</f>
        <v>4.4928873619353187</v>
      </c>
      <c r="DE113">
        <f>VLOOKUP($B113,'[1]Data_UN_PopulationTot.&amp;%'!$B$4:$CZ$603,95,FALSE)</f>
        <v>3.6152360941537238</v>
      </c>
      <c r="DF113">
        <f>VLOOKUP($B113,'[1]Data_UN_PopulationTot.&amp;%'!$B$4:$CZ$603,96,FALSE)</f>
        <v>2.698777648428405</v>
      </c>
      <c r="DG113">
        <f>VLOOKUP($B113,'[1]Data_UN_PopulationTot.&amp;%'!$B$4:$CZ$603,97,FALSE)</f>
        <v>1.8667267668020102</v>
      </c>
      <c r="DH113">
        <f>VLOOKUP($B113,'[1]Data_UN_PopulationTot.&amp;%'!$B$4:$CZ$603,98,FALSE)</f>
        <v>1.0870197904540162</v>
      </c>
      <c r="DI113">
        <f>VLOOKUP($B113,'[1]Data_UN_PopulationTot.&amp;%'!$B$4:$CZ$603,99,FALSE)</f>
        <v>0.59129731111048012</v>
      </c>
      <c r="DJ113">
        <f>VLOOKUP($B113,'[1]Data_UN_PopulationTot.&amp;%'!$B$4:$DE$603,100,FALSE)</f>
        <v>0.2475616854538743</v>
      </c>
      <c r="DK113">
        <f>VLOOKUP($B113,'[1]Data_UN_PopulationTot.&amp;%'!$B$4:$DE$603,101,FALSE)</f>
        <v>7.7767682216985143E-2</v>
      </c>
      <c r="DL113">
        <f>VLOOKUP($B113,'[1]Data_UN_PopulationTot.&amp;%'!$B$4:$DE$603,102,FALSE)</f>
        <v>1.3592805020017605E-2</v>
      </c>
    </row>
    <row r="114" spans="1:116">
      <c r="A114" t="s">
        <v>193</v>
      </c>
      <c r="B114" t="s">
        <v>408</v>
      </c>
      <c r="C114" t="s">
        <v>485</v>
      </c>
      <c r="D114" t="s">
        <v>389</v>
      </c>
      <c r="E114" t="s">
        <v>301</v>
      </c>
      <c r="F114">
        <v>0</v>
      </c>
      <c r="G114">
        <v>0</v>
      </c>
      <c r="H114">
        <v>1</v>
      </c>
      <c r="I114">
        <v>0</v>
      </c>
      <c r="J114" s="18">
        <f t="shared" si="3"/>
        <v>189.7674179</v>
      </c>
      <c r="K114">
        <f>VLOOKUP($B114,'[1]Source GDP Current USD'!$B$1:$CZ$600,64,FALSE)</f>
        <v>12263710122.7645</v>
      </c>
      <c r="L114" s="45">
        <f>VLOOKUP($B114,'[1]Source GDP Current USD'!$B$1:$CZ$600,65,FALSE)</f>
        <v>12263710122.7645</v>
      </c>
      <c r="M114" s="17">
        <f>VLOOKUP($B114,'[1]Source GDP Current LCU'!$B$1:$CZ$600,64,FALSE)</f>
        <v>664010000000</v>
      </c>
      <c r="N114" s="45">
        <v>660000000000</v>
      </c>
      <c r="O114" s="45">
        <f>VLOOKUP($B114,'[1]Source GNI Current USD'!$B$1:$CZ$600,64,FALSE)</f>
        <v>11793965385.091299</v>
      </c>
      <c r="P114" s="45">
        <f>VLOOKUP($B114,'[1]Source GNI Current LCU'!$B$1:$CZ$600,64,FALSE)</f>
        <v>638576000000</v>
      </c>
      <c r="Q114">
        <f t="shared" si="2"/>
        <v>103.98292450702813</v>
      </c>
      <c r="R114">
        <v>5750</v>
      </c>
      <c r="S114">
        <v>5750</v>
      </c>
      <c r="T114">
        <v>0.34890199999999999</v>
      </c>
      <c r="U114" s="45">
        <v>2100000</v>
      </c>
      <c r="V114">
        <v>28.579000000000001</v>
      </c>
      <c r="W114">
        <f>VLOOKUP($B114,'[1]Source Gov. Revenue WEO'!$B$1:$CZ$600,5,FALSE)</f>
        <v>29.681000000000001</v>
      </c>
      <c r="X114">
        <f>VLOOKUP($B114,'[1]Source Gov. Revenue WEO'!$B$1:$CZ$600,6,FALSE)</f>
        <v>30.114000000000001</v>
      </c>
      <c r="Y114">
        <f>VLOOKUP($B114,'[1]Source Gov. Revenue WEO'!$B$1:$CZ$600,7,FALSE)</f>
        <v>30.140999999999998</v>
      </c>
      <c r="Z114">
        <f>VLOOKUP($B114,'[1]Source Gov. Revenue WEO'!$B$1:$CZ$600,8,FALSE)</f>
        <v>30.140999999999998</v>
      </c>
      <c r="AA114">
        <f>VLOOKUP($B114,'[1]Source Gov. Revenue WEO'!$B$1:$CZ$600,9,FALSE)</f>
        <v>30.140999999999998</v>
      </c>
      <c r="AB114">
        <f>VLOOKUP($B114,'[1]Source Gov. Revenue WEO'!$B$1:$CZ$600,10,FALSE)</f>
        <v>30.140999999999998</v>
      </c>
      <c r="AC114">
        <f>VLOOKUP($B114,[2]Summary!$B$1:$CZ$600,39,FALSE)</f>
        <v>4.0558480000000001E-2</v>
      </c>
      <c r="AD114">
        <f>VLOOKUP($B114,[2]Summary!$B$1:$CZ$600,40,FALSE)</f>
        <v>2.6000000000000002E-2</v>
      </c>
      <c r="AE114">
        <f>VLOOKUP($B114,[2]Summary!$B$1:$CZ$600,47,FALSE)</f>
        <v>0.32010735166882959</v>
      </c>
      <c r="AF114">
        <f>VLOOKUP($B114,'[1]CALC GDP Growth rates WDI'!$B$1:$CZ$600,27,FALSE)</f>
        <v>18.884661428408183</v>
      </c>
      <c r="AG114">
        <f>VLOOKUP($B114,'[1]CALC GDP Growth rates WDI'!$B$1:$CZ$600,29,FALSE)</f>
        <v>24.698630089446951</v>
      </c>
      <c r="AH114">
        <v>5.37</v>
      </c>
      <c r="AI114">
        <f>VLOOKUP($B114,'[1]CALC GDP Growth rates WDI'!$B$1:$CZ$600,30,FALSE)</f>
        <v>11.032833981002565</v>
      </c>
      <c r="AJ114" s="45"/>
      <c r="AK114">
        <f>VLOOKUP($B114,[1]Data_Aspire!$B$1:$CZ$600,2,FALSE)</f>
        <v>2017</v>
      </c>
      <c r="AL114">
        <f>VLOOKUP($B114,[1]Data_Aspire!$B$1:$CZ$600,3,FALSE)</f>
        <v>1.27</v>
      </c>
      <c r="AM114">
        <f>VLOOKUP($B114,[1]Data_Aspire!$B$1:$CZ$600,4,FALSE)</f>
        <v>0.59</v>
      </c>
      <c r="AN114">
        <f>VLOOKUP($B114,[1]Data_Aspire!$B$1:$CZ$600,5,FALSE)</f>
        <v>0.05</v>
      </c>
      <c r="AO114">
        <f>VLOOKUP($B114,[1]Data_Aspire!$B$1:$CZ$600,6,FALSE)</f>
        <v>0.62</v>
      </c>
      <c r="AP114">
        <f>VLOOKUP($B114,[1]Data_Aspire!$B$1:$CZ$600,7,FALSE)</f>
        <v>0</v>
      </c>
      <c r="AT114">
        <f>VLOOKUP($B114,[1]Data_Aspire!$B$1:$CZ$600,11,FALSE)</f>
        <v>0.01</v>
      </c>
      <c r="AU114">
        <f>VLOOKUP($B114,[1]Data_Aspire!$B$1:$CZ$600,12,FALSE)</f>
        <v>1.27</v>
      </c>
      <c r="AV114">
        <f>VLOOKUP($B114,[1]Data_Aspire!$B$1:$CZ$600,13,FALSE)</f>
        <v>4715</v>
      </c>
      <c r="AW114">
        <f>VLOOKUP($B114,[1]Data_Aspire!$B$1:$CZ$600,14,FALSE)</f>
        <v>2017</v>
      </c>
      <c r="AX114">
        <f>VLOOKUP($B114,[1]Data_Aspire!$B$1:$CZ$600,15,FALSE)</f>
        <v>25373</v>
      </c>
      <c r="AY114">
        <f>VLOOKUP($B114,[1]Data_Aspire!$B$1:$CZ$600,16,FALSE)</f>
        <v>2017</v>
      </c>
      <c r="BH114">
        <f>VLOOKUP($B114,[1]Data_Aspire!$B$1:$CZ$600,25,FALSE)</f>
        <v>5653</v>
      </c>
      <c r="BI114">
        <f>VLOOKUP($B114,[1]Data_Aspire!$B$1:$CZ$600,26,FALSE)</f>
        <v>2014</v>
      </c>
      <c r="BJ114" s="7">
        <v>0</v>
      </c>
      <c r="BK114" s="45">
        <v>807</v>
      </c>
      <c r="BL114">
        <f>VLOOKUP($B114,'[1]Data_UN_PopulationTot.&amp;%'!$B$4:$CZ$603,8,FALSE)</f>
        <v>2083.38</v>
      </c>
      <c r="BM114">
        <f>VLOOKUP($B114,'[1]Data_UN_PopulationTot.&amp;%'!$B$4:$CZ$603,9,FALSE)</f>
        <v>2082.66</v>
      </c>
      <c r="BN114">
        <v>2081.3000000000002</v>
      </c>
      <c r="BO114">
        <f>VLOOKUP($B114,'[1]Data_UN_PopulationTot.&amp;%'!$B$4:$CZ$603,11,FALSE)</f>
        <v>2079.34</v>
      </c>
      <c r="BP114">
        <f>VLOOKUP($B114,'[1]Data_UN_PopulationTot.&amp;%'!$B$4:$CZ$603,12,FALSE)</f>
        <v>2076.8200000000002</v>
      </c>
      <c r="BQ114">
        <f>VLOOKUP($B114,'[1]Data_UN_PopulationTot.&amp;%'!$B$4:$CZ$603,13,FALSE)</f>
        <v>2073.81</v>
      </c>
      <c r="BR114">
        <f>VLOOKUP($B114,'[1]Data_UN_PopulationTot.&amp;%'!$B$4:$CZ$603,14,FALSE)</f>
        <v>2070.2800000000002</v>
      </c>
      <c r="BS114">
        <f>VLOOKUP($B114,'[1]Data_UN_PopulationTot.&amp;%'!$B$4:$CZ$603,15,FALSE)</f>
        <v>2066.2199999999998</v>
      </c>
      <c r="BT114">
        <f>VLOOKUP($B114,'[1]Data_UN_PopulationTot.&amp;%'!$B$4:$CZ$603,16,FALSE)</f>
        <v>2061.61</v>
      </c>
      <c r="BU114">
        <f>VLOOKUP($B114,'[1]Data_UN_PopulationTot.&amp;%'!$B$4:$CZ$603,17,FALSE)</f>
        <v>2056.46</v>
      </c>
      <c r="BV114">
        <f>VLOOKUP($B114,'[1]Data_UN_PopulationTot.&amp;%'!$B$4:$CZ$603,18,FALSE)</f>
        <v>2050.7399999999998</v>
      </c>
      <c r="BW114">
        <f>VLOOKUP($B114,'[1]Data_UN_PopulationTot.&amp;%'!$B$4:$CZ$603,61,FALSE)</f>
        <v>5.3702637060929828</v>
      </c>
      <c r="BX114">
        <f>VLOOKUP($B114,'[1]Data_UN_PopulationTot.&amp;%'!$B$4:$CZ$603,62,FALSE)</f>
        <v>5.5519876354769648</v>
      </c>
      <c r="BY114">
        <f>VLOOKUP($B114,'[1]Data_UN_PopulationTot.&amp;%'!$B$4:$CZ$603,63,FALSE)</f>
        <v>5.3879273104282461</v>
      </c>
      <c r="BZ114">
        <f>VLOOKUP($B114,'[1]Data_UN_PopulationTot.&amp;%'!$B$4:$CZ$603,64,FALSE)</f>
        <v>5.8174696886789734</v>
      </c>
      <c r="CA114">
        <f>VLOOKUP($B114,'[1]Data_UN_PopulationTot.&amp;%'!$B$4:$CZ$603,65,FALSE)</f>
        <v>6.2539719110291934</v>
      </c>
      <c r="CB114">
        <f>VLOOKUP($B114,'[1]Data_UN_PopulationTot.&amp;%'!$B$4:$CZ$603,66,FALSE)</f>
        <v>7.3289078324645525</v>
      </c>
      <c r="CC114">
        <f>VLOOKUP($B114,'[1]Data_UN_PopulationTot.&amp;%'!$B$4:$CZ$603,67,FALSE)</f>
        <v>7.7763538096746636</v>
      </c>
      <c r="CD114">
        <f>VLOOKUP($B114,'[1]Data_UN_PopulationTot.&amp;%'!$B$4:$CZ$603,68,FALSE)</f>
        <v>7.8701917077057466</v>
      </c>
      <c r="CE114">
        <f>VLOOKUP($B114,'[1]Data_UN_PopulationTot.&amp;%'!$B$4:$CZ$603,69,FALSE)</f>
        <v>7.4177538423139318</v>
      </c>
      <c r="CF114">
        <f>VLOOKUP($B114,'[1]Data_UN_PopulationTot.&amp;%'!$B$4:$CZ$603,70,FALSE)</f>
        <v>6.9771717113536651</v>
      </c>
      <c r="CG114">
        <f>VLOOKUP($B114,'[1]Data_UN_PopulationTot.&amp;%'!$B$4:$CZ$603,71,FALSE)</f>
        <v>6.9633480210043297</v>
      </c>
      <c r="CH114">
        <f>VLOOKUP($B114,'[1]Data_UN_PopulationTot.&amp;%'!$B$4:$CZ$603,72,FALSE)</f>
        <v>6.6122838848409788</v>
      </c>
      <c r="CI114">
        <f>VLOOKUP($B114,'[1]Data_UN_PopulationTot.&amp;%'!$B$4:$CZ$603,73,FALSE)</f>
        <v>6.1949812324203934</v>
      </c>
      <c r="CJ114">
        <f>VLOOKUP($B114,'[1]Data_UN_PopulationTot.&amp;%'!$B$4:$CZ$603,74,FALSE)</f>
        <v>5.5477637300924458</v>
      </c>
      <c r="CK114">
        <f>VLOOKUP($B114,'[1]Data_UN_PopulationTot.&amp;%'!$B$4:$CZ$603,75,FALSE)</f>
        <v>3.8003148729468457</v>
      </c>
      <c r="CL114">
        <f>VLOOKUP($B114,'[1]Data_UN_PopulationTot.&amp;%'!$B$4:$CZ$603,76,FALSE)</f>
        <v>2.6259251792759839</v>
      </c>
      <c r="CM114">
        <f>VLOOKUP($B114,'[1]Data_UN_PopulationTot.&amp;%'!$B$4:$CZ$603,77,FALSE)</f>
        <v>1.6471311042632646</v>
      </c>
      <c r="CN114">
        <f>VLOOKUP($B114,'[1]Data_UN_PopulationTot.&amp;%'!$B$4:$CZ$603,78,FALSE)</f>
        <v>0.68336069272048305</v>
      </c>
      <c r="CO114">
        <f>VLOOKUP($B114,'[1]Data_UN_PopulationTot.&amp;%'!$B$4:$CZ$603,79,FALSE)</f>
        <v>0.15676448847545815</v>
      </c>
      <c r="CP114">
        <f>VLOOKUP($B114,'[1]Data_UN_PopulationTot.&amp;%'!$B$4:$CZ$603,80,FALSE)</f>
        <v>1.5551651643003195E-2</v>
      </c>
      <c r="CQ114">
        <f>VLOOKUP($B114,'[1]Data_UN_PopulationTot.&amp;%'!$B$4:$CZ$603,81,FALSE)</f>
        <v>5.7598709788900726E-4</v>
      </c>
      <c r="CR114">
        <f>VLOOKUP($B114,'[1]Data_UN_PopulationTot.&amp;%'!$B$4:$CZ$603,82,FALSE)</f>
        <v>4.6415440280094025</v>
      </c>
      <c r="CS114">
        <f>VLOOKUP($B114,'[1]Data_UN_PopulationTot.&amp;%'!$B$4:$CZ$603,83,FALSE)</f>
        <v>5.0139949481650525</v>
      </c>
      <c r="CT114">
        <f>VLOOKUP($B114,'[1]Data_UN_PopulationTot.&amp;%'!$B$4:$CZ$603,84,FALSE)</f>
        <v>5.4300886509260078</v>
      </c>
      <c r="CU114">
        <f>VLOOKUP($B114,'[1]Data_UN_PopulationTot.&amp;%'!$B$4:$CZ$603,85,FALSE)</f>
        <v>5.608902152393771</v>
      </c>
      <c r="CV114">
        <f>VLOOKUP($B114,'[1]Data_UN_PopulationTot.&amp;%'!$B$4:$CZ$603,86,FALSE)</f>
        <v>5.4075114348966729</v>
      </c>
      <c r="CW114">
        <f>VLOOKUP($B114,'[1]Data_UN_PopulationTot.&amp;%'!$B$4:$CZ$603,87,FALSE)</f>
        <v>5.8083423544671682</v>
      </c>
      <c r="CX114">
        <f>VLOOKUP($B114,'[1]Data_UN_PopulationTot.&amp;%'!$B$4:$CZ$603,88,FALSE)</f>
        <v>6.242429562011762</v>
      </c>
      <c r="CY114">
        <f>VLOOKUP($B114,'[1]Data_UN_PopulationTot.&amp;%'!$B$4:$CZ$603,89,FALSE)</f>
        <v>7.3375952095341201</v>
      </c>
      <c r="CZ114">
        <f>VLOOKUP($B114,'[1]Data_UN_PopulationTot.&amp;%'!$B$4:$CZ$603,90,FALSE)</f>
        <v>7.7842632415615824</v>
      </c>
      <c r="DA114">
        <f>VLOOKUP($B114,'[1]Data_UN_PopulationTot.&amp;%'!$B$4:$CZ$603,91,FALSE)</f>
        <v>7.846143343378488</v>
      </c>
      <c r="DB114">
        <f>VLOOKUP($B114,'[1]Data_UN_PopulationTot.&amp;%'!$B$4:$CZ$603,92,FALSE)</f>
        <v>7.3280376839579855</v>
      </c>
      <c r="DC114">
        <f>VLOOKUP($B114,'[1]Data_UN_PopulationTot.&amp;%'!$B$4:$CZ$603,93,FALSE)</f>
        <v>6.7677521284999553</v>
      </c>
      <c r="DD114">
        <f>VLOOKUP($B114,'[1]Data_UN_PopulationTot.&amp;%'!$B$4:$CZ$603,94,FALSE)</f>
        <v>6.5449545042277428</v>
      </c>
      <c r="DE114">
        <f>VLOOKUP($B114,'[1]Data_UN_PopulationTot.&amp;%'!$B$4:$CZ$603,95,FALSE)</f>
        <v>5.9208383315291071</v>
      </c>
      <c r="DF114">
        <f>VLOOKUP($B114,'[1]Data_UN_PopulationTot.&amp;%'!$B$4:$CZ$603,96,FALSE)</f>
        <v>5.1433628836420029</v>
      </c>
      <c r="DG114">
        <f>VLOOKUP($B114,'[1]Data_UN_PopulationTot.&amp;%'!$B$4:$CZ$603,97,FALSE)</f>
        <v>3.9959234227644655</v>
      </c>
      <c r="DH114">
        <f>VLOOKUP($B114,'[1]Data_UN_PopulationTot.&amp;%'!$B$4:$CZ$603,98,FALSE)</f>
        <v>2.0546729473263312</v>
      </c>
      <c r="DI114">
        <f>VLOOKUP($B114,'[1]Data_UN_PopulationTot.&amp;%'!$B$4:$CZ$603,99,FALSE)</f>
        <v>0.85705647717409339</v>
      </c>
      <c r="DJ114">
        <f>VLOOKUP($B114,'[1]Data_UN_PopulationTot.&amp;%'!$B$4:$DE$603,100,FALSE)</f>
        <v>0.23703638686522915</v>
      </c>
      <c r="DK114">
        <f>VLOOKUP($B114,'[1]Data_UN_PopulationTot.&amp;%'!$B$4:$DE$603,101,FALSE)</f>
        <v>2.8184947872475302E-2</v>
      </c>
      <c r="DL114">
        <f>VLOOKUP($B114,'[1]Data_UN_PopulationTot.&amp;%'!$B$4:$DE$603,102,FALSE)</f>
        <v>1.4628865677755348E-3</v>
      </c>
    </row>
    <row r="115" spans="1:116">
      <c r="A115" t="s">
        <v>113</v>
      </c>
      <c r="B115" t="s">
        <v>326</v>
      </c>
      <c r="C115" t="s">
        <v>496</v>
      </c>
      <c r="D115" t="s">
        <v>306</v>
      </c>
      <c r="E115" t="s">
        <v>299</v>
      </c>
      <c r="F115">
        <v>1</v>
      </c>
      <c r="G115">
        <v>0</v>
      </c>
      <c r="H115">
        <v>0</v>
      </c>
      <c r="I115">
        <v>0</v>
      </c>
      <c r="J115" s="18">
        <f t="shared" si="3"/>
        <v>2083.2491311070871</v>
      </c>
      <c r="K115">
        <f>VLOOKUP($B115,'[1]Source GDP Current USD'!$B$1:$CZ$600,64,FALSE)</f>
        <v>17465392915.915298</v>
      </c>
      <c r="L115" s="45">
        <f>VLOOKUP($B115,'[1]Source GDP Current USD'!$B$1:$CZ$600,65,FALSE)</f>
        <v>17465392915.915298</v>
      </c>
      <c r="M115" s="17">
        <f>VLOOKUP($B115,'[1]Source GDP Current LCU'!$B$1:$CZ$600,64,FALSE)</f>
        <v>10052835646900</v>
      </c>
      <c r="N115" s="45">
        <v>10000000000000</v>
      </c>
      <c r="O115" s="45">
        <f>VLOOKUP($B115,'[1]Source GNI Current USD'!$B$1:$CZ$600,64,FALSE)</f>
        <v>16749289497.6598</v>
      </c>
      <c r="P115" s="45">
        <f>VLOOKUP($B115,'[1]Source GNI Current LCU'!$B$1:$CZ$600,64,FALSE)</f>
        <v>9640656544800</v>
      </c>
      <c r="Q115">
        <f t="shared" si="2"/>
        <v>104.27542564331182</v>
      </c>
      <c r="R115">
        <v>830</v>
      </c>
      <c r="S115">
        <v>830</v>
      </c>
      <c r="T115">
        <v>0.36731599999999998</v>
      </c>
      <c r="U115" s="45">
        <v>20000000</v>
      </c>
      <c r="V115">
        <v>20.722999999999999</v>
      </c>
      <c r="W115">
        <f>VLOOKUP($B115,'[1]Source Gov. Revenue WEO'!$B$1:$CZ$600,5,FALSE)</f>
        <v>22.042000000000002</v>
      </c>
      <c r="X115">
        <f>VLOOKUP($B115,'[1]Source Gov. Revenue WEO'!$B$1:$CZ$600,6,FALSE)</f>
        <v>22.024000000000001</v>
      </c>
      <c r="Y115">
        <f>VLOOKUP($B115,'[1]Source Gov. Revenue WEO'!$B$1:$CZ$600,7,FALSE)</f>
        <v>22.53</v>
      </c>
      <c r="Z115">
        <f>VLOOKUP($B115,'[1]Source Gov. Revenue WEO'!$B$1:$CZ$600,8,FALSE)</f>
        <v>22.817</v>
      </c>
      <c r="AA115">
        <f>VLOOKUP($B115,'[1]Source Gov. Revenue WEO'!$B$1:$CZ$600,9,FALSE)</f>
        <v>22.88</v>
      </c>
      <c r="AB115">
        <f>VLOOKUP($B115,'[1]Source Gov. Revenue WEO'!$B$1:$CZ$600,10,FALSE)</f>
        <v>22.945</v>
      </c>
      <c r="AC115">
        <f>VLOOKUP($B115,[2]Summary!$B$1:$CZ$600,39,FALSE)</f>
        <v>0.42669690000000005</v>
      </c>
      <c r="AD115">
        <f>VLOOKUP($B115,[2]Summary!$B$1:$CZ$600,40,FALSE)</f>
        <v>0.38</v>
      </c>
      <c r="AE115">
        <f>VLOOKUP($B115,[2]Summary!$B$1:$CZ$600,47,FALSE)</f>
        <v>0.15506789586281294</v>
      </c>
      <c r="AF115">
        <f>VLOOKUP($B115,'[1]CALC GDP Growth rates WDI'!$B$1:$CZ$600,27,FALSE)</f>
        <v>43.796496585246516</v>
      </c>
      <c r="AG115">
        <f>VLOOKUP($B115,'[1]CALC GDP Growth rates WDI'!$B$1:$CZ$600,29,FALSE)</f>
        <v>46.600094657029146</v>
      </c>
      <c r="AH115">
        <v>20.84</v>
      </c>
      <c r="AI115">
        <f>VLOOKUP($B115,'[1]CALC GDP Growth rates WDI'!$B$1:$CZ$600,30,FALSE)</f>
        <v>24.159675840701112</v>
      </c>
      <c r="AJ115" t="s">
        <v>2465</v>
      </c>
      <c r="AK115">
        <f>VLOOKUP($B115,[1]Data_Aspire!$B$1:$CZ$600,2,FALSE)</f>
        <v>2016</v>
      </c>
      <c r="AL115">
        <f>VLOOKUP($B115,[1]Data_Aspire!$B$1:$CZ$600,3,FALSE)</f>
        <v>0.6</v>
      </c>
      <c r="AM115">
        <f>VLOOKUP($B115,[1]Data_Aspire!$B$1:$CZ$600,4,FALSE)</f>
        <v>0</v>
      </c>
      <c r="AN115">
        <f>VLOOKUP($B115,[1]Data_Aspire!$B$1:$CZ$600,5,FALSE)</f>
        <v>0.11</v>
      </c>
      <c r="AO115">
        <f>VLOOKUP($B115,[1]Data_Aspire!$B$1:$CZ$600,6,FALSE)</f>
        <v>0</v>
      </c>
      <c r="AP115">
        <f>VLOOKUP($B115,[1]Data_Aspire!$B$1:$CZ$600,7,FALSE)</f>
        <v>0.06</v>
      </c>
      <c r="AQ115">
        <f>VLOOKUP($B115,[1]Data_Aspire!$B$1:$CZ$600,8,FALSE)</f>
        <v>7.0000000000000007E-2</v>
      </c>
      <c r="AR115">
        <f>VLOOKUP($B115,[1]Data_Aspire!$B$1:$CZ$600,9,FALSE)</f>
        <v>0.31</v>
      </c>
      <c r="AT115">
        <f>VLOOKUP($B115,[1]Data_Aspire!$B$1:$CZ$600,11,FALSE)</f>
        <v>0.06</v>
      </c>
      <c r="AU115">
        <f>VLOOKUP($B115,[1]Data_Aspire!$B$1:$CZ$600,12,FALSE)</f>
        <v>0.6</v>
      </c>
      <c r="AX115">
        <f>VLOOKUP($B115,[1]Data_Aspire!$B$1:$CZ$600,15,FALSE)</f>
        <v>321790</v>
      </c>
      <c r="AY115">
        <f>VLOOKUP($B115,[1]Data_Aspire!$B$1:$CZ$600,16,FALSE)</f>
        <v>2016</v>
      </c>
      <c r="BB115">
        <f>VLOOKUP($B115,[1]Data_Aspire!$B$1:$CZ$600,19,FALSE)</f>
        <v>427048</v>
      </c>
      <c r="BC115">
        <f>VLOOKUP($B115,[1]Data_Aspire!$B$1:$CZ$600,20,FALSE)</f>
        <v>2016</v>
      </c>
      <c r="BD115">
        <f>VLOOKUP($B115,[1]Data_Aspire!$B$1:$CZ$600,21,FALSE)</f>
        <v>479465</v>
      </c>
      <c r="BE115">
        <f>VLOOKUP($B115,[1]Data_Aspire!$B$1:$CZ$600,22,FALSE)</f>
        <v>2016</v>
      </c>
      <c r="BF115">
        <f>VLOOKUP($B115,[1]Data_Aspire!$B$1:$CZ$600,23,FALSE)</f>
        <v>91038</v>
      </c>
      <c r="BG115">
        <f>VLOOKUP($B115,[1]Data_Aspire!$B$1:$CZ$600,24,FALSE)</f>
        <v>2016</v>
      </c>
      <c r="BJ115" s="7">
        <v>1</v>
      </c>
      <c r="BK115">
        <v>466</v>
      </c>
      <c r="BL115">
        <f>VLOOKUP($B115,'[1]Data_UN_PopulationTot.&amp;%'!$B$4:$CZ$603,8,FALSE)</f>
        <v>20250.8</v>
      </c>
      <c r="BM115">
        <f>VLOOKUP($B115,'[1]Data_UN_PopulationTot.&amp;%'!$B$4:$CZ$603,9,FALSE)</f>
        <v>20855.7</v>
      </c>
      <c r="BN115">
        <v>21473.8</v>
      </c>
      <c r="BO115">
        <f>VLOOKUP($B115,'[1]Data_UN_PopulationTot.&amp;%'!$B$4:$CZ$603,11,FALSE)</f>
        <v>22105.7</v>
      </c>
      <c r="BP115">
        <f>VLOOKUP($B115,'[1]Data_UN_PopulationTot.&amp;%'!$B$4:$CZ$603,12,FALSE)</f>
        <v>22752.799999999999</v>
      </c>
      <c r="BQ115">
        <f>VLOOKUP($B115,'[1]Data_UN_PopulationTot.&amp;%'!$B$4:$CZ$603,13,FALSE)</f>
        <v>23415.9</v>
      </c>
      <c r="BR115">
        <f>VLOOKUP($B115,'[1]Data_UN_PopulationTot.&amp;%'!$B$4:$CZ$603,14,FALSE)</f>
        <v>24094.9</v>
      </c>
      <c r="BS115">
        <f>VLOOKUP($B115,'[1]Data_UN_PopulationTot.&amp;%'!$B$4:$CZ$603,15,FALSE)</f>
        <v>24789.3</v>
      </c>
      <c r="BT115">
        <f>VLOOKUP($B115,'[1]Data_UN_PopulationTot.&amp;%'!$B$4:$CZ$603,16,FALSE)</f>
        <v>25498.400000000001</v>
      </c>
      <c r="BU115">
        <f>VLOOKUP($B115,'[1]Data_UN_PopulationTot.&amp;%'!$B$4:$CZ$603,17,FALSE)</f>
        <v>26221.4</v>
      </c>
      <c r="BV115">
        <f>VLOOKUP($B115,'[1]Data_UN_PopulationTot.&amp;%'!$B$4:$CZ$603,18,FALSE)</f>
        <v>26957.4</v>
      </c>
      <c r="BW115">
        <f>VLOOKUP($B115,'[1]Data_UN_PopulationTot.&amp;%'!$B$4:$CZ$603,61,FALSE)</f>
        <v>17.804284275189129</v>
      </c>
      <c r="BX115">
        <f>VLOOKUP($B115,'[1]Data_UN_PopulationTot.&amp;%'!$B$4:$CZ$603,62,FALSE)</f>
        <v>15.578643806664431</v>
      </c>
      <c r="BY115">
        <f>VLOOKUP($B115,'[1]Data_UN_PopulationTot.&amp;%'!$B$4:$CZ$603,63,FALSE)</f>
        <v>13.624400023702767</v>
      </c>
      <c r="BZ115">
        <f>VLOOKUP($B115,'[1]Data_UN_PopulationTot.&amp;%'!$B$4:$CZ$603,64,FALSE)</f>
        <v>11.112696782349339</v>
      </c>
      <c r="CA115">
        <f>VLOOKUP($B115,'[1]Data_UN_PopulationTot.&amp;%'!$B$4:$CZ$603,65,FALSE)</f>
        <v>8.7698757579947468</v>
      </c>
      <c r="CB115">
        <f>VLOOKUP($B115,'[1]Data_UN_PopulationTot.&amp;%'!$B$4:$CZ$603,66,FALSE)</f>
        <v>7.0507831789361406</v>
      </c>
      <c r="CC115">
        <f>VLOOKUP($B115,'[1]Data_UN_PopulationTot.&amp;%'!$B$4:$CZ$603,67,FALSE)</f>
        <v>5.7650561953108026</v>
      </c>
      <c r="CD115">
        <f>VLOOKUP($B115,'[1]Data_UN_PopulationTot.&amp;%'!$B$4:$CZ$603,68,FALSE)</f>
        <v>4.9034210994133565</v>
      </c>
      <c r="CE115">
        <f>VLOOKUP($B115,'[1]Data_UN_PopulationTot.&amp;%'!$B$4:$CZ$603,69,FALSE)</f>
        <v>4.0842287712090393</v>
      </c>
      <c r="CF115">
        <f>VLOOKUP($B115,'[1]Data_UN_PopulationTot.&amp;%'!$B$4:$CZ$603,70,FALSE)</f>
        <v>3.2535603531712325</v>
      </c>
      <c r="CG115">
        <f>VLOOKUP($B115,'[1]Data_UN_PopulationTot.&amp;%'!$B$4:$CZ$603,71,FALSE)</f>
        <v>2.4158107334031249</v>
      </c>
      <c r="CH115">
        <f>VLOOKUP($B115,'[1]Data_UN_PopulationTot.&amp;%'!$B$4:$CZ$603,72,FALSE)</f>
        <v>1.7772038635510696</v>
      </c>
      <c r="CI115">
        <f>VLOOKUP($B115,'[1]Data_UN_PopulationTot.&amp;%'!$B$4:$CZ$603,73,FALSE)</f>
        <v>1.3829478341596382</v>
      </c>
      <c r="CJ115">
        <f>VLOOKUP($B115,'[1]Data_UN_PopulationTot.&amp;%'!$B$4:$CZ$603,74,FALSE)</f>
        <v>1.0924654828451221</v>
      </c>
      <c r="CK115">
        <f>VLOOKUP($B115,'[1]Data_UN_PopulationTot.&amp;%'!$B$4:$CZ$603,75,FALSE)</f>
        <v>0.69741936121042136</v>
      </c>
      <c r="CL115">
        <f>VLOOKUP($B115,'[1]Data_UN_PopulationTot.&amp;%'!$B$4:$CZ$603,76,FALSE)</f>
        <v>0.44368617536097338</v>
      </c>
      <c r="CM115">
        <f>VLOOKUP($B115,'[1]Data_UN_PopulationTot.&amp;%'!$B$4:$CZ$603,77,FALSE)</f>
        <v>0.18110889446342862</v>
      </c>
      <c r="CN115">
        <f>VLOOKUP($B115,'[1]Data_UN_PopulationTot.&amp;%'!$B$4:$CZ$603,78,FALSE)</f>
        <v>5.2906551839927318E-2</v>
      </c>
      <c r="CO115">
        <f>VLOOKUP($B115,'[1]Data_UN_PopulationTot.&amp;%'!$B$4:$CZ$603,79,FALSE)</f>
        <v>8.8440950480968665E-3</v>
      </c>
      <c r="CP115">
        <f>VLOOKUP($B115,'[1]Data_UN_PopulationTot.&amp;%'!$B$4:$CZ$603,80,FALSE)</f>
        <v>6.8145455981985905E-4</v>
      </c>
      <c r="CQ115">
        <f>VLOOKUP($B115,'[1]Data_UN_PopulationTot.&amp;%'!$B$4:$CZ$603,81,FALSE)</f>
        <v>3.4566535643036322E-5</v>
      </c>
      <c r="CR115">
        <f>VLOOKUP($B115,'[1]Data_UN_PopulationTot.&amp;%'!$B$4:$CZ$603,82,FALSE)</f>
        <v>16.372350449227298</v>
      </c>
      <c r="CS115">
        <f>VLOOKUP($B115,'[1]Data_UN_PopulationTot.&amp;%'!$B$4:$CZ$603,83,FALSE)</f>
        <v>14.415522268468028</v>
      </c>
      <c r="CT115">
        <f>VLOOKUP($B115,'[1]Data_UN_PopulationTot.&amp;%'!$B$4:$CZ$603,84,FALSE)</f>
        <v>12.819040411909159</v>
      </c>
      <c r="CU115">
        <f>VLOOKUP($B115,'[1]Data_UN_PopulationTot.&amp;%'!$B$4:$CZ$603,85,FALSE)</f>
        <v>11.39501583980651</v>
      </c>
      <c r="CV115">
        <f>VLOOKUP($B115,'[1]Data_UN_PopulationTot.&amp;%'!$B$4:$CZ$603,86,FALSE)</f>
        <v>9.8322538523744871</v>
      </c>
      <c r="CW115">
        <f>VLOOKUP($B115,'[1]Data_UN_PopulationTot.&amp;%'!$B$4:$CZ$603,87,FALSE)</f>
        <v>7.8369204745264751</v>
      </c>
      <c r="CX115">
        <f>VLOOKUP($B115,'[1]Data_UN_PopulationTot.&amp;%'!$B$4:$CZ$603,88,FALSE)</f>
        <v>6.0959884855364379</v>
      </c>
      <c r="CY115">
        <f>VLOOKUP($B115,'[1]Data_UN_PopulationTot.&amp;%'!$B$4:$CZ$603,89,FALSE)</f>
        <v>4.8873036717190823</v>
      </c>
      <c r="CZ115">
        <f>VLOOKUP($B115,'[1]Data_UN_PopulationTot.&amp;%'!$B$4:$CZ$603,90,FALSE)</f>
        <v>3.9972697663721273</v>
      </c>
      <c r="DA115">
        <f>VLOOKUP($B115,'[1]Data_UN_PopulationTot.&amp;%'!$B$4:$CZ$603,91,FALSE)</f>
        <v>3.396232574358061</v>
      </c>
      <c r="DB115">
        <f>VLOOKUP($B115,'[1]Data_UN_PopulationTot.&amp;%'!$B$4:$CZ$603,92,FALSE)</f>
        <v>2.8053002144123691</v>
      </c>
      <c r="DC115">
        <f>VLOOKUP($B115,'[1]Data_UN_PopulationTot.&amp;%'!$B$4:$CZ$603,93,FALSE)</f>
        <v>2.1832446749315588</v>
      </c>
      <c r="DD115">
        <f>VLOOKUP($B115,'[1]Data_UN_PopulationTot.&amp;%'!$B$4:$CZ$603,94,FALSE)</f>
        <v>1.5471113683070323</v>
      </c>
      <c r="DE115">
        <f>VLOOKUP($B115,'[1]Data_UN_PopulationTot.&amp;%'!$B$4:$CZ$603,95,FALSE)</f>
        <v>1.0473265225874897</v>
      </c>
      <c r="DF115">
        <f>VLOOKUP($B115,'[1]Data_UN_PopulationTot.&amp;%'!$B$4:$CZ$603,96,FALSE)</f>
        <v>0.70388464762922232</v>
      </c>
      <c r="DG115">
        <f>VLOOKUP($B115,'[1]Data_UN_PopulationTot.&amp;%'!$B$4:$CZ$603,97,FALSE)</f>
        <v>0.42783057713280948</v>
      </c>
      <c r="DH115">
        <f>VLOOKUP($B115,'[1]Data_UN_PopulationTot.&amp;%'!$B$4:$CZ$603,98,FALSE)</f>
        <v>0.17381869171359254</v>
      </c>
      <c r="DI115">
        <f>VLOOKUP($B115,'[1]Data_UN_PopulationTot.&amp;%'!$B$4:$CZ$603,99,FALSE)</f>
        <v>5.4619510783680908E-2</v>
      </c>
      <c r="DJ115">
        <f>VLOOKUP($B115,'[1]Data_UN_PopulationTot.&amp;%'!$B$4:$DE$603,100,FALSE)</f>
        <v>8.2166677795336342E-3</v>
      </c>
      <c r="DK115">
        <f>VLOOKUP($B115,'[1]Data_UN_PopulationTot.&amp;%'!$B$4:$DE$603,101,FALSE)</f>
        <v>6.4917239793155115E-4</v>
      </c>
      <c r="DL115">
        <f>VLOOKUP($B115,'[1]Data_UN_PopulationTot.&amp;%'!$B$4:$DE$603,102,FALSE)</f>
        <v>2.9676452476870915E-5</v>
      </c>
    </row>
    <row r="116" spans="1:116">
      <c r="A116" t="s">
        <v>252</v>
      </c>
      <c r="B116" t="s">
        <v>540</v>
      </c>
      <c r="C116" t="s">
        <v>487</v>
      </c>
      <c r="D116" t="s">
        <v>622</v>
      </c>
      <c r="E116" t="s">
        <v>2269</v>
      </c>
      <c r="F116">
        <v>0</v>
      </c>
      <c r="G116">
        <v>0</v>
      </c>
      <c r="H116">
        <v>0</v>
      </c>
      <c r="I116">
        <v>1</v>
      </c>
      <c r="J116" s="18">
        <f t="shared" si="3"/>
        <v>4.5920692508468699</v>
      </c>
      <c r="K116">
        <f>VLOOKUP($B116,'[1]Source GDP Current USD'!$B$1:$CZ$600,64,FALSE)</f>
        <v>14647384607.604</v>
      </c>
      <c r="L116" s="45">
        <f>VLOOKUP($B116,'[1]Source GDP Current USD'!$B$1:$CZ$600,65,FALSE)</f>
        <v>14647384607.604</v>
      </c>
      <c r="M116" s="17">
        <f>VLOOKUP($B116,'[1]Source GDP Current LCU'!$B$1:$CZ$600,64,FALSE)</f>
        <v>12823785223.9573</v>
      </c>
      <c r="N116" s="45">
        <v>13000000000</v>
      </c>
      <c r="O116" s="45">
        <f>VLOOKUP($B116,'[1]Source GNI Current USD'!$B$1:$CZ$600,64,FALSE)</f>
        <v>13329361714.5839</v>
      </c>
      <c r="P116" s="45">
        <f>VLOOKUP($B116,'[1]Source GNI Current LCU'!$B$1:$CZ$600,64,FALSE)</f>
        <v>11669856181.1182</v>
      </c>
      <c r="Q116">
        <f t="shared" si="2"/>
        <v>109.88811708499162</v>
      </c>
      <c r="R116">
        <v>25370</v>
      </c>
      <c r="S116">
        <v>25370</v>
      </c>
      <c r="T116">
        <v>0.66804300000000005</v>
      </c>
      <c r="U116">
        <v>525285</v>
      </c>
      <c r="V116">
        <v>35.808999999999997</v>
      </c>
      <c r="W116">
        <f>VLOOKUP($B116,'[1]Source Gov. Revenue WEO'!$B$1:$CZ$600,5,FALSE)</f>
        <v>35.570999999999998</v>
      </c>
      <c r="X116">
        <f>VLOOKUP($B116,'[1]Source Gov. Revenue WEO'!$B$1:$CZ$600,6,FALSE)</f>
        <v>35.255000000000003</v>
      </c>
      <c r="Y116">
        <f>VLOOKUP($B116,'[1]Source Gov. Revenue WEO'!$B$1:$CZ$600,7,FALSE)</f>
        <v>34.951999999999998</v>
      </c>
      <c r="Z116">
        <f>VLOOKUP($B116,'[1]Source Gov. Revenue WEO'!$B$1:$CZ$600,8,FALSE)</f>
        <v>34.759</v>
      </c>
      <c r="AA116">
        <f>VLOOKUP($B116,'[1]Source Gov. Revenue WEO'!$B$1:$CZ$600,9,FALSE)</f>
        <v>34.616</v>
      </c>
      <c r="AB116">
        <f>VLOOKUP($B116,'[1]Source Gov. Revenue WEO'!$B$1:$CZ$600,10,FALSE)</f>
        <v>34.593000000000004</v>
      </c>
      <c r="AC116">
        <f>VLOOKUP($B116,[2]Summary!$B$1:$CZ$600,39,FALSE)</f>
        <v>1.5988649999999999E-3</v>
      </c>
      <c r="AD116">
        <f>VLOOKUP($B116,[2]Summary!$B$1:$CZ$600,40,FALSE)</f>
        <v>1E-3</v>
      </c>
      <c r="AE116">
        <f>VLOOKUP($B116,[2]Summary!$B$1:$CZ$600,47,FALSE)</f>
        <v>0.37139837916182272</v>
      </c>
      <c r="AF116">
        <f>VLOOKUP($B116,'[1]CALC GDP Growth rates WDI'!$B$1:$CZ$600,27,FALSE)</f>
        <v>51.224068874865566</v>
      </c>
      <c r="AG116">
        <f>VLOOKUP($B116,'[1]CALC GDP Growth rates WDI'!$B$1:$CZ$600,29,FALSE)</f>
        <v>62.466686654969038</v>
      </c>
      <c r="AH116">
        <v>16.23</v>
      </c>
      <c r="AI116">
        <f>VLOOKUP($B116,'[1]CALC GDP Growth rates WDI'!$B$1:$CZ$600,30,FALSE)</f>
        <v>29.62645004640201</v>
      </c>
      <c r="AK116" t="e">
        <f>VLOOKUP($B116,[1]Data_Aspire!$B$1:$CZ$600,2,FALSE)</f>
        <v>#N/A</v>
      </c>
      <c r="AL116" t="e">
        <f>VLOOKUP($B116,[1]Data_Aspire!$B$1:$CZ$600,3,FALSE)</f>
        <v>#N/A</v>
      </c>
      <c r="AM116" t="e">
        <f>VLOOKUP($B116,[1]Data_Aspire!$B$1:$CZ$600,4,FALSE)</f>
        <v>#N/A</v>
      </c>
      <c r="AN116" t="e">
        <f>VLOOKUP($B116,[1]Data_Aspire!$B$1:$CZ$600,5,FALSE)</f>
        <v>#N/A</v>
      </c>
      <c r="AO116" t="e">
        <f>VLOOKUP($B116,[1]Data_Aspire!$B$1:$CZ$600,6,FALSE)</f>
        <v>#N/A</v>
      </c>
      <c r="AP116" t="e">
        <f>VLOOKUP($B116,[1]Data_Aspire!$B$1:$CZ$600,7,FALSE)</f>
        <v>#N/A</v>
      </c>
      <c r="AQ116" t="e">
        <f>VLOOKUP($B116,[1]Data_Aspire!$B$1:$CZ$600,8,FALSE)</f>
        <v>#N/A</v>
      </c>
      <c r="AR116" t="e">
        <f>VLOOKUP($B116,[1]Data_Aspire!$B$1:$CZ$600,9,FALSE)</f>
        <v>#N/A</v>
      </c>
      <c r="AS116" t="e">
        <f>VLOOKUP($B116,[1]Data_Aspire!$B$1:$CZ$600,10,FALSE)</f>
        <v>#N/A</v>
      </c>
      <c r="AT116" t="e">
        <f>VLOOKUP($B116,[1]Data_Aspire!$B$1:$CZ$600,11,FALSE)</f>
        <v>#N/A</v>
      </c>
      <c r="AU116" t="e">
        <f>VLOOKUP($B116,[1]Data_Aspire!$B$1:$CZ$600,12,FALSE)</f>
        <v>#N/A</v>
      </c>
      <c r="AV116" t="e">
        <f>VLOOKUP($B116,[1]Data_Aspire!$B$1:$CZ$600,13,FALSE)</f>
        <v>#N/A</v>
      </c>
      <c r="AW116" t="e">
        <f>VLOOKUP($B116,[1]Data_Aspire!$B$1:$CZ$600,14,FALSE)</f>
        <v>#N/A</v>
      </c>
      <c r="AX116" t="e">
        <f>VLOOKUP($B116,[1]Data_Aspire!$B$1:$CZ$600,15,FALSE)</f>
        <v>#N/A</v>
      </c>
      <c r="AY116" t="e">
        <f>VLOOKUP($B116,[1]Data_Aspire!$B$1:$CZ$600,16,FALSE)</f>
        <v>#N/A</v>
      </c>
      <c r="AZ116" t="e">
        <f>VLOOKUP($B116,[1]Data_Aspire!$B$1:$CZ$600,17,FALSE)</f>
        <v>#N/A</v>
      </c>
      <c r="BA116" t="e">
        <f>VLOOKUP($B116,[1]Data_Aspire!$B$1:$CZ$600,18,FALSE)</f>
        <v>#N/A</v>
      </c>
      <c r="BB116" t="e">
        <f>VLOOKUP($B116,[1]Data_Aspire!$B$1:$CZ$600,19,FALSE)</f>
        <v>#N/A</v>
      </c>
      <c r="BC116" t="e">
        <f>VLOOKUP($B116,[1]Data_Aspire!$B$1:$CZ$600,20,FALSE)</f>
        <v>#N/A</v>
      </c>
      <c r="BD116" t="e">
        <f>VLOOKUP($B116,[1]Data_Aspire!$B$1:$CZ$600,21,FALSE)</f>
        <v>#N/A</v>
      </c>
      <c r="BE116" t="e">
        <f>VLOOKUP($B116,[1]Data_Aspire!$B$1:$CZ$600,22,FALSE)</f>
        <v>#N/A</v>
      </c>
      <c r="BF116" t="e">
        <f>VLOOKUP($B116,[1]Data_Aspire!$B$1:$CZ$600,23,FALSE)</f>
        <v>#N/A</v>
      </c>
      <c r="BG116" t="e">
        <f>VLOOKUP($B116,[1]Data_Aspire!$B$1:$CZ$600,24,FALSE)</f>
        <v>#N/A</v>
      </c>
      <c r="BH116" t="e">
        <f>VLOOKUP($B116,[1]Data_Aspire!$B$1:$CZ$600,25,FALSE)</f>
        <v>#N/A</v>
      </c>
      <c r="BI116" t="e">
        <f>VLOOKUP($B116,[1]Data_Aspire!$B$1:$CZ$600,26,FALSE)</f>
        <v>#N/A</v>
      </c>
      <c r="BJ116" s="7">
        <v>0</v>
      </c>
      <c r="BK116">
        <v>470</v>
      </c>
      <c r="BL116">
        <f>VLOOKUP($B116,'[1]Data_UN_PopulationTot.&amp;%'!$B$4:$CZ$603,8,FALSE)</f>
        <v>441.53899999999999</v>
      </c>
      <c r="BM116">
        <f>VLOOKUP($B116,'[1]Data_UN_PopulationTot.&amp;%'!$B$4:$CZ$603,9,FALSE)</f>
        <v>442.79</v>
      </c>
      <c r="BN116">
        <v>444.03</v>
      </c>
      <c r="BO116">
        <f>VLOOKUP($B116,'[1]Data_UN_PopulationTot.&amp;%'!$B$4:$CZ$603,11,FALSE)</f>
        <v>445.22800000000001</v>
      </c>
      <c r="BP116">
        <f>VLOOKUP($B116,'[1]Data_UN_PopulationTot.&amp;%'!$B$4:$CZ$603,12,FALSE)</f>
        <v>446.303</v>
      </c>
      <c r="BQ116">
        <f>VLOOKUP($B116,'[1]Data_UN_PopulationTot.&amp;%'!$B$4:$CZ$603,13,FALSE)</f>
        <v>447.18599999999998</v>
      </c>
      <c r="BR116">
        <f>VLOOKUP($B116,'[1]Data_UN_PopulationTot.&amp;%'!$B$4:$CZ$603,14,FALSE)</f>
        <v>447.88499999999999</v>
      </c>
      <c r="BS116">
        <f>VLOOKUP($B116,'[1]Data_UN_PopulationTot.&amp;%'!$B$4:$CZ$603,15,FALSE)</f>
        <v>448.41300000000001</v>
      </c>
      <c r="BT116">
        <f>VLOOKUP($B116,'[1]Data_UN_PopulationTot.&amp;%'!$B$4:$CZ$603,16,FALSE)</f>
        <v>448.76299999999998</v>
      </c>
      <c r="BU116">
        <f>VLOOKUP($B116,'[1]Data_UN_PopulationTot.&amp;%'!$B$4:$CZ$603,17,FALSE)</f>
        <v>448.93299999999999</v>
      </c>
      <c r="BV116">
        <f>VLOOKUP($B116,'[1]Data_UN_PopulationTot.&amp;%'!$B$4:$CZ$603,18,FALSE)</f>
        <v>448.89400000000001</v>
      </c>
      <c r="BW116">
        <f>VLOOKUP($B116,'[1]Data_UN_PopulationTot.&amp;%'!$B$4:$CZ$603,61,FALSE)</f>
        <v>4.9087396583314273</v>
      </c>
      <c r="BX116">
        <f>VLOOKUP($B116,'[1]Data_UN_PopulationTot.&amp;%'!$B$4:$CZ$603,62,FALSE)</f>
        <v>4.8530254405613098</v>
      </c>
      <c r="BY116">
        <f>VLOOKUP($B116,'[1]Data_UN_PopulationTot.&amp;%'!$B$4:$CZ$603,63,FALSE)</f>
        <v>4.6122766052375894</v>
      </c>
      <c r="BZ116">
        <f>VLOOKUP($B116,'[1]Data_UN_PopulationTot.&amp;%'!$B$4:$CZ$603,64,FALSE)</f>
        <v>4.6568932755656922</v>
      </c>
      <c r="CA116">
        <f>VLOOKUP($B116,'[1]Data_UN_PopulationTot.&amp;%'!$B$4:$CZ$603,65,FALSE)</f>
        <v>5.673338029030278</v>
      </c>
      <c r="CB116">
        <f>VLOOKUP($B116,'[1]Data_UN_PopulationTot.&amp;%'!$B$4:$CZ$603,66,FALSE)</f>
        <v>6.8311066519605292</v>
      </c>
      <c r="CC116">
        <f>VLOOKUP($B116,'[1]Data_UN_PopulationTot.&amp;%'!$B$4:$CZ$603,67,FALSE)</f>
        <v>7.4573254004742502</v>
      </c>
      <c r="CD116">
        <f>VLOOKUP($B116,'[1]Data_UN_PopulationTot.&amp;%'!$B$4:$CZ$603,68,FALSE)</f>
        <v>7.3438586398936456</v>
      </c>
      <c r="CE116">
        <f>VLOOKUP($B116,'[1]Data_UN_PopulationTot.&amp;%'!$B$4:$CZ$603,69,FALSE)</f>
        <v>7.0555488869612883</v>
      </c>
      <c r="CF116">
        <f>VLOOKUP($B116,'[1]Data_UN_PopulationTot.&amp;%'!$B$4:$CZ$603,70,FALSE)</f>
        <v>6.4078144852436596</v>
      </c>
      <c r="CG116">
        <f>VLOOKUP($B116,'[1]Data_UN_PopulationTot.&amp;%'!$B$4:$CZ$603,71,FALSE)</f>
        <v>5.6701673011897027</v>
      </c>
      <c r="CH116">
        <f>VLOOKUP($B116,'[1]Data_UN_PopulationTot.&amp;%'!$B$4:$CZ$603,72,FALSE)</f>
        <v>6.3813162597188473</v>
      </c>
      <c r="CI116">
        <f>VLOOKUP($B116,'[1]Data_UN_PopulationTot.&amp;%'!$B$4:$CZ$603,73,FALSE)</f>
        <v>6.8240857545992544</v>
      </c>
      <c r="CJ116">
        <f>VLOOKUP($B116,'[1]Data_UN_PopulationTot.&amp;%'!$B$4:$CZ$603,74,FALSE)</f>
        <v>6.2393129485730592</v>
      </c>
      <c r="CK116">
        <f>VLOOKUP($B116,'[1]Data_UN_PopulationTot.&amp;%'!$B$4:$CZ$603,75,FALSE)</f>
        <v>6.334661264350375</v>
      </c>
      <c r="CL116">
        <f>VLOOKUP($B116,'[1]Data_UN_PopulationTot.&amp;%'!$B$4:$CZ$603,76,FALSE)</f>
        <v>3.8945597104672527</v>
      </c>
      <c r="CM116">
        <f>VLOOKUP($B116,'[1]Data_UN_PopulationTot.&amp;%'!$B$4:$CZ$603,77,FALSE)</f>
        <v>2.6366866799988222</v>
      </c>
      <c r="CN116">
        <f>VLOOKUP($B116,'[1]Data_UN_PopulationTot.&amp;%'!$B$4:$CZ$603,78,FALSE)</f>
        <v>1.4764267709081191</v>
      </c>
      <c r="CO116">
        <f>VLOOKUP($B116,'[1]Data_UN_PopulationTot.&amp;%'!$B$4:$CZ$603,79,FALSE)</f>
        <v>0.57820486978500196</v>
      </c>
      <c r="CP116">
        <f>VLOOKUP($B116,'[1]Data_UN_PopulationTot.&amp;%'!$B$4:$CZ$603,80,FALSE)</f>
        <v>0.14698588346669264</v>
      </c>
      <c r="CQ116">
        <f>VLOOKUP($B116,'[1]Data_UN_PopulationTot.&amp;%'!$B$4:$CZ$603,81,FALSE)</f>
        <v>1.7665483683208052E-2</v>
      </c>
      <c r="CR116">
        <f>VLOOKUP($B116,'[1]Data_UN_PopulationTot.&amp;%'!$B$4:$CZ$603,82,FALSE)</f>
        <v>4.6068782385151064</v>
      </c>
      <c r="CS116">
        <f>VLOOKUP($B116,'[1]Data_UN_PopulationTot.&amp;%'!$B$4:$CZ$603,83,FALSE)</f>
        <v>4.8521477230704795</v>
      </c>
      <c r="CT116">
        <f>VLOOKUP($B116,'[1]Data_UN_PopulationTot.&amp;%'!$B$4:$CZ$603,84,FALSE)</f>
        <v>4.8615040521815835</v>
      </c>
      <c r="CU116">
        <f>VLOOKUP($B116,'[1]Data_UN_PopulationTot.&amp;%'!$B$4:$CZ$603,85,FALSE)</f>
        <v>4.860612973218621</v>
      </c>
      <c r="CV116">
        <f>VLOOKUP($B116,'[1]Data_UN_PopulationTot.&amp;%'!$B$4:$CZ$603,86,FALSE)</f>
        <v>4.7576933529964753</v>
      </c>
      <c r="CW116">
        <f>VLOOKUP($B116,'[1]Data_UN_PopulationTot.&amp;%'!$B$4:$CZ$603,87,FALSE)</f>
        <v>4.8659594469963956</v>
      </c>
      <c r="CX116">
        <f>VLOOKUP($B116,'[1]Data_UN_PopulationTot.&amp;%'!$B$4:$CZ$603,88,FALSE)</f>
        <v>5.8162951609956925</v>
      </c>
      <c r="CY116">
        <f>VLOOKUP($B116,'[1]Data_UN_PopulationTot.&amp;%'!$B$4:$CZ$603,89,FALSE)</f>
        <v>6.8713326531430585</v>
      </c>
      <c r="CZ116">
        <f>VLOOKUP($B116,'[1]Data_UN_PopulationTot.&amp;%'!$B$4:$CZ$603,90,FALSE)</f>
        <v>7.4128858928833985</v>
      </c>
      <c r="DA116">
        <f>VLOOKUP($B116,'[1]Data_UN_PopulationTot.&amp;%'!$B$4:$CZ$603,91,FALSE)</f>
        <v>7.2471452057724077</v>
      </c>
      <c r="DB116">
        <f>VLOOKUP($B116,'[1]Data_UN_PopulationTot.&amp;%'!$B$4:$CZ$603,92,FALSE)</f>
        <v>6.9092035090689565</v>
      </c>
      <c r="DC116">
        <f>VLOOKUP($B116,'[1]Data_UN_PopulationTot.&amp;%'!$B$4:$CZ$603,93,FALSE)</f>
        <v>6.2074788257361426</v>
      </c>
      <c r="DD116">
        <f>VLOOKUP($B116,'[1]Data_UN_PopulationTot.&amp;%'!$B$4:$CZ$603,94,FALSE)</f>
        <v>5.4130819302552498</v>
      </c>
      <c r="DE116">
        <f>VLOOKUP($B116,'[1]Data_UN_PopulationTot.&amp;%'!$B$4:$CZ$603,95,FALSE)</f>
        <v>5.9653281175511363</v>
      </c>
      <c r="DF116">
        <f>VLOOKUP($B116,'[1]Data_UN_PopulationTot.&amp;%'!$B$4:$CZ$603,96,FALSE)</f>
        <v>6.1553507064028476</v>
      </c>
      <c r="DG116">
        <f>VLOOKUP($B116,'[1]Data_UN_PopulationTot.&amp;%'!$B$4:$CZ$603,97,FALSE)</f>
        <v>5.2328612099961234</v>
      </c>
      <c r="DH116">
        <f>VLOOKUP($B116,'[1]Data_UN_PopulationTot.&amp;%'!$B$4:$CZ$603,98,FALSE)</f>
        <v>4.5970763699225206</v>
      </c>
      <c r="DI116">
        <f>VLOOKUP($B116,'[1]Data_UN_PopulationTot.&amp;%'!$B$4:$CZ$603,99,FALSE)</f>
        <v>2.1588615575169197</v>
      </c>
      <c r="DJ116">
        <f>VLOOKUP($B116,'[1]Data_UN_PopulationTot.&amp;%'!$B$4:$DE$603,100,FALSE)</f>
        <v>0.91625194366598806</v>
      </c>
      <c r="DK116">
        <f>VLOOKUP($B116,'[1]Data_UN_PopulationTot.&amp;%'!$B$4:$DE$603,101,FALSE)</f>
        <v>0.25440304392573743</v>
      </c>
      <c r="DL116">
        <f>VLOOKUP($B116,'[1]Data_UN_PopulationTot.&amp;%'!$B$4:$DE$603,102,FALSE)</f>
        <v>3.7648086185157303E-2</v>
      </c>
    </row>
    <row r="117" spans="1:116">
      <c r="A117" t="s">
        <v>120</v>
      </c>
      <c r="B117" t="s">
        <v>333</v>
      </c>
      <c r="C117" t="s">
        <v>493</v>
      </c>
      <c r="D117" t="s">
        <v>334</v>
      </c>
      <c r="E117" t="s">
        <v>300</v>
      </c>
      <c r="F117">
        <v>0</v>
      </c>
      <c r="G117">
        <v>1</v>
      </c>
      <c r="H117">
        <v>0</v>
      </c>
      <c r="I117">
        <v>0</v>
      </c>
      <c r="J117" s="18">
        <f t="shared" si="3"/>
        <v>18297.919142923267</v>
      </c>
      <c r="K117">
        <f>VLOOKUP($B117,'[1]Source GDP Current USD'!$B$1:$CZ$600,64,FALSE)</f>
        <v>79852046610.967606</v>
      </c>
      <c r="L117" s="45">
        <f>VLOOKUP($B117,'[1]Source GDP Current USD'!$B$1:$CZ$600,65,FALSE)</f>
        <v>79852046610.967606</v>
      </c>
      <c r="M117" s="17">
        <f>VLOOKUP($B117,'[1]Source GDP Current LCU'!$B$1:$CZ$600,64,FALSE)</f>
        <v>114091028450700</v>
      </c>
      <c r="N117" s="45">
        <v>110000000000000</v>
      </c>
      <c r="O117" s="45">
        <f>VLOOKUP($B117,'[1]Source GNI Current USD'!$B$1:$CZ$600,64,FALSE)</f>
        <v>77673271416.750702</v>
      </c>
      <c r="P117" s="45">
        <f>VLOOKUP($B117,'[1]Source GNI Current LCU'!$B$1:$CZ$600,64,FALSE)</f>
        <v>110978037447700</v>
      </c>
      <c r="Q117">
        <f t="shared" si="2"/>
        <v>102.80505140890335</v>
      </c>
      <c r="R117">
        <v>1350</v>
      </c>
      <c r="S117">
        <v>1350</v>
      </c>
      <c r="T117">
        <v>0.28642699999999999</v>
      </c>
      <c r="U117" s="45">
        <v>54000000</v>
      </c>
      <c r="V117">
        <v>16.038</v>
      </c>
      <c r="W117">
        <f>VLOOKUP($B117,'[1]Source Gov. Revenue WEO'!$B$1:$CZ$600,5,FALSE)</f>
        <v>14.125</v>
      </c>
      <c r="X117">
        <f>VLOOKUP($B117,'[1]Source Gov. Revenue WEO'!$B$1:$CZ$600,6,FALSE)</f>
        <v>15.135</v>
      </c>
      <c r="Y117">
        <f>VLOOKUP($B117,'[1]Source Gov. Revenue WEO'!$B$1:$CZ$600,7,FALSE)</f>
        <v>16.045000000000002</v>
      </c>
      <c r="Z117">
        <f>VLOOKUP($B117,'[1]Source Gov. Revenue WEO'!$B$1:$CZ$600,8,FALSE)</f>
        <v>16.355</v>
      </c>
      <c r="AA117">
        <f>VLOOKUP($B117,'[1]Source Gov. Revenue WEO'!$B$1:$CZ$600,9,FALSE)</f>
        <v>16.664999999999999</v>
      </c>
      <c r="AB117">
        <f>VLOOKUP($B117,'[1]Source Gov. Revenue WEO'!$B$1:$CZ$600,10,FALSE)</f>
        <v>16.975000000000001</v>
      </c>
      <c r="AC117">
        <f>VLOOKUP($B117,[2]Summary!$B$1:$CZ$600,39,FALSE)</f>
        <v>1.524815E-2</v>
      </c>
      <c r="AD117">
        <f>VLOOKUP($B117,[2]Summary!$B$1:$CZ$600,40,FALSE)</f>
        <v>1.25E-3</v>
      </c>
      <c r="AE117">
        <f>VLOOKUP($B117,[2]Summary!$B$1:$CZ$600,47,FALSE)</f>
        <v>0.17054545454545456</v>
      </c>
      <c r="AF117">
        <f>VLOOKUP($B117,'[1]CALC GDP Growth rates WDI'!$B$1:$CZ$600,27,FALSE)</f>
        <v>89.061153366061333</v>
      </c>
      <c r="AG117">
        <f>VLOOKUP($B117,'[1]CALC GDP Growth rates WDI'!$B$1:$CZ$600,29,FALSE)</f>
        <v>90.0954543019201</v>
      </c>
      <c r="AH117">
        <v>36.94</v>
      </c>
      <c r="AI117">
        <f>VLOOKUP($B117,'[1]CALC GDP Growth rates WDI'!$B$1:$CZ$600,30,FALSE)</f>
        <v>29.205971077172709</v>
      </c>
      <c r="AJ117" s="45" t="s">
        <v>2466</v>
      </c>
      <c r="AK117">
        <f>VLOOKUP($B117,[1]Data_Aspire!$B$1:$CZ$600,2,FALSE)</f>
        <v>2016</v>
      </c>
      <c r="AL117">
        <f>VLOOKUP($B117,[1]Data_Aspire!$B$1:$CZ$600,3,FALSE)</f>
        <v>0.02</v>
      </c>
      <c r="AM117">
        <f>VLOOKUP($B117,[1]Data_Aspire!$B$1:$CZ$600,4,FALSE)</f>
        <v>0.02</v>
      </c>
      <c r="AN117">
        <f>VLOOKUP($B117,[1]Data_Aspire!$B$1:$CZ$600,5,FALSE)</f>
        <v>0</v>
      </c>
      <c r="AO117">
        <f>VLOOKUP($B117,[1]Data_Aspire!$B$1:$CZ$600,6,FALSE)</f>
        <v>0</v>
      </c>
      <c r="AP117">
        <f>VLOOKUP($B117,[1]Data_Aspire!$B$1:$CZ$600,7,FALSE)</f>
        <v>0</v>
      </c>
      <c r="AU117">
        <f>VLOOKUP($B117,[1]Data_Aspire!$B$1:$CZ$600,12,FALSE)</f>
        <v>0.02</v>
      </c>
      <c r="AV117">
        <f>VLOOKUP($B117,[1]Data_Aspire!$B$1:$CZ$600,13,FALSE)</f>
        <v>196000</v>
      </c>
      <c r="AW117">
        <f>VLOOKUP($B117,[1]Data_Aspire!$B$1:$CZ$600,14,FALSE)</f>
        <v>2016</v>
      </c>
      <c r="AX117">
        <f>VLOOKUP($B117,[1]Data_Aspire!$B$1:$CZ$600,15,FALSE)</f>
        <v>318157</v>
      </c>
      <c r="AY117">
        <f>VLOOKUP($B117,[1]Data_Aspire!$B$1:$CZ$600,16,FALSE)</f>
        <v>2014</v>
      </c>
      <c r="BD117">
        <f>VLOOKUP($B117,[1]Data_Aspire!$B$1:$CZ$600,21,FALSE)</f>
        <v>583271</v>
      </c>
      <c r="BE117">
        <f>VLOOKUP($B117,[1]Data_Aspire!$B$1:$CZ$600,22,FALSE)</f>
        <v>2014</v>
      </c>
      <c r="BH117">
        <f>VLOOKUP($B117,[1]Data_Aspire!$B$1:$CZ$600,25,FALSE)</f>
        <v>5200000</v>
      </c>
      <c r="BI117">
        <f>VLOOKUP($B117,[1]Data_Aspire!$B$1:$CZ$600,26,FALSE)</f>
        <v>2013</v>
      </c>
      <c r="BJ117" s="7">
        <v>0</v>
      </c>
      <c r="BK117">
        <v>104</v>
      </c>
      <c r="BL117">
        <f>VLOOKUP($B117,'[1]Data_UN_PopulationTot.&amp;%'!$B$4:$CZ$603,8,FALSE)</f>
        <v>54409.8</v>
      </c>
      <c r="BM117">
        <f>VLOOKUP($B117,'[1]Data_UN_PopulationTot.&amp;%'!$B$4:$CZ$603,9,FALSE)</f>
        <v>54806</v>
      </c>
      <c r="BN117">
        <v>55227.199999999997</v>
      </c>
      <c r="BO117">
        <f>VLOOKUP($B117,'[1]Data_UN_PopulationTot.&amp;%'!$B$4:$CZ$603,11,FALSE)</f>
        <v>55663.7</v>
      </c>
      <c r="BP117">
        <f>VLOOKUP($B117,'[1]Data_UN_PopulationTot.&amp;%'!$B$4:$CZ$603,12,FALSE)</f>
        <v>56101.1</v>
      </c>
      <c r="BQ117">
        <f>VLOOKUP($B117,'[1]Data_UN_PopulationTot.&amp;%'!$B$4:$CZ$603,13,FALSE)</f>
        <v>56528.5</v>
      </c>
      <c r="BR117">
        <f>VLOOKUP($B117,'[1]Data_UN_PopulationTot.&amp;%'!$B$4:$CZ$603,14,FALSE)</f>
        <v>56942.8</v>
      </c>
      <c r="BS117">
        <f>VLOOKUP($B117,'[1]Data_UN_PopulationTot.&amp;%'!$B$4:$CZ$603,15,FALSE)</f>
        <v>57345.599999999999</v>
      </c>
      <c r="BT117">
        <f>VLOOKUP($B117,'[1]Data_UN_PopulationTot.&amp;%'!$B$4:$CZ$603,16,FALSE)</f>
        <v>57735.9</v>
      </c>
      <c r="BU117">
        <f>VLOOKUP($B117,'[1]Data_UN_PopulationTot.&amp;%'!$B$4:$CZ$603,17,FALSE)</f>
        <v>58113.599999999999</v>
      </c>
      <c r="BV117">
        <f>VLOOKUP($B117,'[1]Data_UN_PopulationTot.&amp;%'!$B$4:$CZ$603,18,FALSE)</f>
        <v>58478.5</v>
      </c>
      <c r="BW117">
        <f>VLOOKUP($B117,'[1]Data_UN_PopulationTot.&amp;%'!$B$4:$CZ$603,61,FALSE)</f>
        <v>8.2863013648276596</v>
      </c>
      <c r="BX117">
        <f>VLOOKUP($B117,'[1]Data_UN_PopulationTot.&amp;%'!$B$4:$CZ$603,62,FALSE)</f>
        <v>8.2939286672621471</v>
      </c>
      <c r="BY117">
        <f>VLOOKUP($B117,'[1]Data_UN_PopulationTot.&amp;%'!$B$4:$CZ$603,63,FALSE)</f>
        <v>8.9053810159199251</v>
      </c>
      <c r="BZ117">
        <f>VLOOKUP($B117,'[1]Data_UN_PopulationTot.&amp;%'!$B$4:$CZ$603,64,FALSE)</f>
        <v>9.3204533006921544</v>
      </c>
      <c r="CA117">
        <f>VLOOKUP($B117,'[1]Data_UN_PopulationTot.&amp;%'!$B$4:$CZ$603,65,FALSE)</f>
        <v>8.7466044719885012</v>
      </c>
      <c r="CB117">
        <f>VLOOKUP($B117,'[1]Data_UN_PopulationTot.&amp;%'!$B$4:$CZ$603,66,FALSE)</f>
        <v>8.0942587548566607</v>
      </c>
      <c r="CC117">
        <f>VLOOKUP($B117,'[1]Data_UN_PopulationTot.&amp;%'!$B$4:$CZ$603,67,FALSE)</f>
        <v>7.5863906869718321</v>
      </c>
      <c r="CD117">
        <f>VLOOKUP($B117,'[1]Data_UN_PopulationTot.&amp;%'!$B$4:$CZ$603,68,FALSE)</f>
        <v>7.2510099283584939</v>
      </c>
      <c r="CE117">
        <f>VLOOKUP($B117,'[1]Data_UN_PopulationTot.&amp;%'!$B$4:$CZ$603,69,FALSE)</f>
        <v>6.9105014170241379</v>
      </c>
      <c r="CF117">
        <f>VLOOKUP($B117,'[1]Data_UN_PopulationTot.&amp;%'!$B$4:$CZ$603,70,FALSE)</f>
        <v>6.3591301566997123</v>
      </c>
      <c r="CG117">
        <f>VLOOKUP($B117,'[1]Data_UN_PopulationTot.&amp;%'!$B$4:$CZ$603,71,FALSE)</f>
        <v>5.6080889839697994</v>
      </c>
      <c r="CH117">
        <f>VLOOKUP($B117,'[1]Data_UN_PopulationTot.&amp;%'!$B$4:$CZ$603,72,FALSE)</f>
        <v>4.6349554675812072</v>
      </c>
      <c r="CI117">
        <f>VLOOKUP($B117,'[1]Data_UN_PopulationTot.&amp;%'!$B$4:$CZ$603,73,FALSE)</f>
        <v>3.7669316924524625</v>
      </c>
      <c r="CJ117">
        <f>VLOOKUP($B117,'[1]Data_UN_PopulationTot.&amp;%'!$B$4:$CZ$603,74,FALSE)</f>
        <v>2.8568199111189529</v>
      </c>
      <c r="CK117">
        <f>VLOOKUP($B117,'[1]Data_UN_PopulationTot.&amp;%'!$B$4:$CZ$603,75,FALSE)</f>
        <v>1.6381166628070678</v>
      </c>
      <c r="CL117">
        <f>VLOOKUP($B117,'[1]Data_UN_PopulationTot.&amp;%'!$B$4:$CZ$603,76,FALSE)</f>
        <v>0.97727615245782939</v>
      </c>
      <c r="CM117">
        <f>VLOOKUP($B117,'[1]Data_UN_PopulationTot.&amp;%'!$B$4:$CZ$603,77,FALSE)</f>
        <v>0.51369606210645868</v>
      </c>
      <c r="CN117">
        <f>VLOOKUP($B117,'[1]Data_UN_PopulationTot.&amp;%'!$B$4:$CZ$603,78,FALSE)</f>
        <v>0.19872155383772772</v>
      </c>
      <c r="CO117">
        <f>VLOOKUP($B117,'[1]Data_UN_PopulationTot.&amp;%'!$B$4:$CZ$603,79,FALSE)</f>
        <v>4.5370503107896004E-2</v>
      </c>
      <c r="CP117">
        <f>VLOOKUP($B117,'[1]Data_UN_PopulationTot.&amp;%'!$B$4:$CZ$603,80,FALSE)</f>
        <v>5.6901514065480843E-3</v>
      </c>
      <c r="CQ117">
        <f>VLOOKUP($B117,'[1]Data_UN_PopulationTot.&amp;%'!$B$4:$CZ$603,81,FALSE)</f>
        <v>4.0250102003683156E-4</v>
      </c>
      <c r="CR117">
        <f>VLOOKUP($B117,'[1]Data_UN_PopulationTot.&amp;%'!$B$4:$CZ$603,82,FALSE)</f>
        <v>7.6021443778482691</v>
      </c>
      <c r="CS117">
        <f>VLOOKUP($B117,'[1]Data_UN_PopulationTot.&amp;%'!$B$4:$CZ$603,83,FALSE)</f>
        <v>7.6068982617543188</v>
      </c>
      <c r="CT117">
        <f>VLOOKUP($B117,'[1]Data_UN_PopulationTot.&amp;%'!$B$4:$CZ$603,84,FALSE)</f>
        <v>7.6092068025000641</v>
      </c>
      <c r="CU117">
        <f>VLOOKUP($B117,'[1]Data_UN_PopulationTot.&amp;%'!$B$4:$CZ$603,85,FALSE)</f>
        <v>7.6243405696110544</v>
      </c>
      <c r="CV117">
        <f>VLOOKUP($B117,'[1]Data_UN_PopulationTot.&amp;%'!$B$4:$CZ$603,86,FALSE)</f>
        <v>8.1154783381926698</v>
      </c>
      <c r="CW117">
        <f>VLOOKUP($B117,'[1]Data_UN_PopulationTot.&amp;%'!$B$4:$CZ$603,87,FALSE)</f>
        <v>8.4313209128141118</v>
      </c>
      <c r="CX117">
        <f>VLOOKUP($B117,'[1]Data_UN_PopulationTot.&amp;%'!$B$4:$CZ$603,88,FALSE)</f>
        <v>7.8959617637251291</v>
      </c>
      <c r="CY117">
        <f>VLOOKUP($B117,'[1]Data_UN_PopulationTot.&amp;%'!$B$4:$CZ$603,89,FALSE)</f>
        <v>7.3001701480031116</v>
      </c>
      <c r="CZ117">
        <f>VLOOKUP($B117,'[1]Data_UN_PopulationTot.&amp;%'!$B$4:$CZ$603,90,FALSE)</f>
        <v>6.8172576245970742</v>
      </c>
      <c r="DA117">
        <f>VLOOKUP($B117,'[1]Data_UN_PopulationTot.&amp;%'!$B$4:$CZ$603,91,FALSE)</f>
        <v>6.4552955359662096</v>
      </c>
      <c r="DB117">
        <f>VLOOKUP($B117,'[1]Data_UN_PopulationTot.&amp;%'!$B$4:$CZ$603,92,FALSE)</f>
        <v>6.0484109544533462</v>
      </c>
      <c r="DC117">
        <f>VLOOKUP($B117,'[1]Data_UN_PopulationTot.&amp;%'!$B$4:$CZ$603,93,FALSE)</f>
        <v>5.4108433013842685</v>
      </c>
      <c r="DD117">
        <f>VLOOKUP($B117,'[1]Data_UN_PopulationTot.&amp;%'!$B$4:$CZ$603,94,FALSE)</f>
        <v>4.5605649939721431</v>
      </c>
      <c r="DE117">
        <f>VLOOKUP($B117,'[1]Data_UN_PopulationTot.&amp;%'!$B$4:$CZ$603,95,FALSE)</f>
        <v>3.5029626272903713</v>
      </c>
      <c r="DF117">
        <f>VLOOKUP($B117,'[1]Data_UN_PopulationTot.&amp;%'!$B$4:$CZ$603,96,FALSE)</f>
        <v>2.5222090169891498</v>
      </c>
      <c r="DG117">
        <f>VLOOKUP($B117,'[1]Data_UN_PopulationTot.&amp;%'!$B$4:$CZ$603,97,FALSE)</f>
        <v>1.5647699581897621</v>
      </c>
      <c r="DH117">
        <f>VLOOKUP($B117,'[1]Data_UN_PopulationTot.&amp;%'!$B$4:$CZ$603,98,FALSE)</f>
        <v>0.64128183862445176</v>
      </c>
      <c r="DI117">
        <f>VLOOKUP($B117,'[1]Data_UN_PopulationTot.&amp;%'!$B$4:$CZ$603,99,FALSE)</f>
        <v>0.22641483622185929</v>
      </c>
      <c r="DJ117">
        <f>VLOOKUP($B117,'[1]Data_UN_PopulationTot.&amp;%'!$B$4:$DE$603,100,FALSE)</f>
        <v>5.5748693964448467E-2</v>
      </c>
      <c r="DK117">
        <f>VLOOKUP($B117,'[1]Data_UN_PopulationTot.&amp;%'!$B$4:$DE$603,101,FALSE)</f>
        <v>8.0747625195584701E-3</v>
      </c>
      <c r="DL117">
        <f>VLOOKUP($B117,'[1]Data_UN_PopulationTot.&amp;%'!$B$4:$DE$603,102,FALSE)</f>
        <v>5.9338047316535132E-4</v>
      </c>
    </row>
    <row r="118" spans="1:116">
      <c r="A118" t="s">
        <v>213</v>
      </c>
      <c r="B118" t="s">
        <v>428</v>
      </c>
      <c r="C118" t="s">
        <v>485</v>
      </c>
      <c r="D118" t="s">
        <v>389</v>
      </c>
      <c r="E118" t="s">
        <v>301</v>
      </c>
      <c r="F118">
        <v>0</v>
      </c>
      <c r="G118">
        <v>0</v>
      </c>
      <c r="H118">
        <v>1</v>
      </c>
      <c r="I118">
        <v>0</v>
      </c>
      <c r="J118" s="18">
        <f t="shared" si="3"/>
        <v>1.8137255948239999</v>
      </c>
      <c r="K118">
        <f>VLOOKUP($B118,'[1]Source GDP Current USD'!$B$1:$CZ$600,64,FALSE)</f>
        <v>4769860740.7407398</v>
      </c>
      <c r="L118" s="45">
        <f>VLOOKUP($B118,'[1]Source GDP Current USD'!$B$1:$CZ$600,65,FALSE)</f>
        <v>4769860740.7407398</v>
      </c>
      <c r="M118" s="17">
        <f>VLOOKUP($B118,'[1]Source GDP Current LCU'!$B$1:$CZ$600,64,FALSE)</f>
        <v>4185552800</v>
      </c>
      <c r="N118" s="45">
        <v>4200000000</v>
      </c>
      <c r="O118" s="45">
        <f>VLOOKUP($B118,'[1]Source GNI Current USD'!$B$1:$CZ$600,64,FALSE)</f>
        <v>4845766267.8062696</v>
      </c>
      <c r="P118" s="45">
        <f>VLOOKUP($B118,'[1]Source GNI Current LCU'!$B$1:$CZ$600,64,FALSE)</f>
        <v>4252159900</v>
      </c>
      <c r="Q118">
        <f t="shared" si="2"/>
        <v>98.433570195702188</v>
      </c>
      <c r="R118">
        <v>7900</v>
      </c>
      <c r="S118">
        <v>7900</v>
      </c>
      <c r="T118">
        <v>0.38328400000000001</v>
      </c>
      <c r="U118">
        <v>621306</v>
      </c>
      <c r="V118">
        <v>43.332999999999998</v>
      </c>
      <c r="W118">
        <f>VLOOKUP($B118,'[1]Source Gov. Revenue WEO'!$B$1:$CZ$600,5,FALSE)</f>
        <v>43.320999999999998</v>
      </c>
      <c r="X118">
        <f>VLOOKUP($B118,'[1]Source Gov. Revenue WEO'!$B$1:$CZ$600,6,FALSE)</f>
        <v>42.493000000000002</v>
      </c>
      <c r="Y118">
        <f>VLOOKUP($B118,'[1]Source Gov. Revenue WEO'!$B$1:$CZ$600,7,FALSE)</f>
        <v>41.997</v>
      </c>
      <c r="Z118">
        <f>VLOOKUP($B118,'[1]Source Gov. Revenue WEO'!$B$1:$CZ$600,8,FALSE)</f>
        <v>41.975999999999999</v>
      </c>
      <c r="AA118">
        <f>VLOOKUP($B118,'[1]Source Gov. Revenue WEO'!$B$1:$CZ$600,9,FALSE)</f>
        <v>41.936999999999998</v>
      </c>
      <c r="AB118">
        <f>VLOOKUP($B118,'[1]Source Gov. Revenue WEO'!$B$1:$CZ$600,10,FALSE)</f>
        <v>41.901000000000003</v>
      </c>
      <c r="AC118">
        <f>VLOOKUP($B118,[2]Summary!$B$1:$CZ$600,39,FALSE)</f>
        <v>9.0757640000000001E-3</v>
      </c>
      <c r="AD118">
        <f>VLOOKUP($B118,[2]Summary!$B$1:$CZ$600,40,FALSE)</f>
        <v>2.2500000000000003E-3</v>
      </c>
      <c r="AE118">
        <f>VLOOKUP($B118,[2]Summary!$B$1:$CZ$600,47,FALSE)</f>
        <v>0.48354628991550469</v>
      </c>
      <c r="AF118">
        <f>VLOOKUP($B118,'[1]CALC GDP Growth rates WDI'!$B$1:$CZ$600,27,FALSE)</f>
        <v>9.2456217260941944</v>
      </c>
      <c r="AG118">
        <f>VLOOKUP($B118,'[1]CALC GDP Growth rates WDI'!$B$1:$CZ$600,29,FALSE)</f>
        <v>26.612905704231537</v>
      </c>
      <c r="AH118">
        <v>-0.17</v>
      </c>
      <c r="AI118">
        <f>VLOOKUP($B118,'[1]CALC GDP Growth rates WDI'!$B$1:$CZ$600,30,FALSE)</f>
        <v>16.448065029768234</v>
      </c>
      <c r="AK118">
        <f>VLOOKUP($B118,[1]Data_Aspire!$B$1:$CZ$600,2,FALSE)</f>
        <v>2018</v>
      </c>
      <c r="AL118">
        <f>VLOOKUP($B118,[1]Data_Aspire!$B$1:$CZ$600,3,FALSE)</f>
        <v>0.6</v>
      </c>
      <c r="AM118">
        <f>VLOOKUP($B118,[1]Data_Aspire!$B$1:$CZ$600,4,FALSE)</f>
        <v>0</v>
      </c>
      <c r="AN118">
        <f>VLOOKUP($B118,[1]Data_Aspire!$B$1:$CZ$600,5,FALSE)</f>
        <v>0.28000000000000003</v>
      </c>
      <c r="AO118">
        <f>VLOOKUP($B118,[1]Data_Aspire!$B$1:$CZ$600,6,FALSE)</f>
        <v>0.28999999999999998</v>
      </c>
      <c r="AP118">
        <f>VLOOKUP($B118,[1]Data_Aspire!$B$1:$CZ$600,7,FALSE)</f>
        <v>0</v>
      </c>
      <c r="AR118">
        <f>VLOOKUP($B118,[1]Data_Aspire!$B$1:$CZ$600,9,FALSE)</f>
        <v>0.02</v>
      </c>
      <c r="AU118">
        <f>VLOOKUP($B118,[1]Data_Aspire!$B$1:$CZ$600,12,FALSE)</f>
        <v>0.6</v>
      </c>
      <c r="AX118">
        <f>VLOOKUP($B118,[1]Data_Aspire!$B$1:$CZ$600,15,FALSE)</f>
        <v>42339</v>
      </c>
      <c r="AY118">
        <f>VLOOKUP($B118,[1]Data_Aspire!$B$1:$CZ$600,16,FALSE)</f>
        <v>2008</v>
      </c>
      <c r="BH118">
        <f>VLOOKUP($B118,[1]Data_Aspire!$B$1:$CZ$600,25,FALSE)</f>
        <v>68736</v>
      </c>
      <c r="BI118">
        <f>VLOOKUP($B118,[1]Data_Aspire!$B$1:$CZ$600,26,FALSE)</f>
        <v>2007</v>
      </c>
      <c r="BJ118" s="7">
        <v>0</v>
      </c>
      <c r="BK118">
        <v>499</v>
      </c>
      <c r="BL118">
        <f>VLOOKUP($B118,'[1]Data_UN_PopulationTot.&amp;%'!$B$4:$CZ$603,8,FALSE)</f>
        <v>628.06200000000001</v>
      </c>
      <c r="BM118">
        <f>VLOOKUP($B118,'[1]Data_UN_PopulationTot.&amp;%'!$B$4:$CZ$603,9,FALSE)</f>
        <v>628.05100000000004</v>
      </c>
      <c r="BN118">
        <v>627.95100000000002</v>
      </c>
      <c r="BO118">
        <f>VLOOKUP($B118,'[1]Data_UN_PopulationTot.&amp;%'!$B$4:$CZ$603,11,FALSE)</f>
        <v>627.76599999999996</v>
      </c>
      <c r="BP118">
        <f>VLOOKUP($B118,'[1]Data_UN_PopulationTot.&amp;%'!$B$4:$CZ$603,12,FALSE)</f>
        <v>627.48900000000003</v>
      </c>
      <c r="BQ118">
        <f>VLOOKUP($B118,'[1]Data_UN_PopulationTot.&amp;%'!$B$4:$CZ$603,13,FALSE)</f>
        <v>627.14800000000002</v>
      </c>
      <c r="BR118">
        <f>VLOOKUP($B118,'[1]Data_UN_PopulationTot.&amp;%'!$B$4:$CZ$603,14,FALSE)</f>
        <v>626.70799999999997</v>
      </c>
      <c r="BS118">
        <f>VLOOKUP($B118,'[1]Data_UN_PopulationTot.&amp;%'!$B$4:$CZ$603,15,FALSE)</f>
        <v>626.19200000000001</v>
      </c>
      <c r="BT118">
        <f>VLOOKUP($B118,'[1]Data_UN_PopulationTot.&amp;%'!$B$4:$CZ$603,16,FALSE)</f>
        <v>625.57799999999997</v>
      </c>
      <c r="BU118">
        <f>VLOOKUP($B118,'[1]Data_UN_PopulationTot.&amp;%'!$B$4:$CZ$603,17,FALSE)</f>
        <v>624.86500000000001</v>
      </c>
      <c r="BV118">
        <f>VLOOKUP($B118,'[1]Data_UN_PopulationTot.&amp;%'!$B$4:$CZ$603,18,FALSE)</f>
        <v>624.05799999999999</v>
      </c>
      <c r="BW118">
        <f>VLOOKUP($B118,'[1]Data_UN_PopulationTot.&amp;%'!$B$4:$CZ$603,61,FALSE)</f>
        <v>5.8761714607793492</v>
      </c>
      <c r="BX118">
        <f>VLOOKUP($B118,'[1]Data_UN_PopulationTot.&amp;%'!$B$4:$CZ$603,62,FALSE)</f>
        <v>5.8970292741799373</v>
      </c>
      <c r="BY118">
        <f>VLOOKUP($B118,'[1]Data_UN_PopulationTot.&amp;%'!$B$4:$CZ$603,63,FALSE)</f>
        <v>6.2715145956927829</v>
      </c>
      <c r="BZ118">
        <f>VLOOKUP($B118,'[1]Data_UN_PopulationTot.&amp;%'!$B$4:$CZ$603,64,FALSE)</f>
        <v>6.2331425878336857</v>
      </c>
      <c r="CA118">
        <f>VLOOKUP($B118,'[1]Data_UN_PopulationTot.&amp;%'!$B$4:$CZ$603,65,FALSE)</f>
        <v>6.5706888810340383</v>
      </c>
      <c r="CB118">
        <f>VLOOKUP($B118,'[1]Data_UN_PopulationTot.&amp;%'!$B$4:$CZ$603,66,FALSE)</f>
        <v>6.8349939974078984</v>
      </c>
      <c r="CC118">
        <f>VLOOKUP($B118,'[1]Data_UN_PopulationTot.&amp;%'!$B$4:$CZ$603,67,FALSE)</f>
        <v>6.7765602758963288</v>
      </c>
      <c r="CD118">
        <f>VLOOKUP($B118,'[1]Data_UN_PopulationTot.&amp;%'!$B$4:$CZ$603,68,FALSE)</f>
        <v>7.2902038333795067</v>
      </c>
      <c r="CE118">
        <f>VLOOKUP($B118,'[1]Data_UN_PopulationTot.&amp;%'!$B$4:$CZ$603,69,FALSE)</f>
        <v>6.8263961201282681</v>
      </c>
      <c r="CF118">
        <f>VLOOKUP($B118,'[1]Data_UN_PopulationTot.&amp;%'!$B$4:$CZ$603,70,FALSE)</f>
        <v>6.5356604921170209</v>
      </c>
      <c r="CG118">
        <f>VLOOKUP($B118,'[1]Data_UN_PopulationTot.&amp;%'!$B$4:$CZ$603,71,FALSE)</f>
        <v>6.0731265384627635</v>
      </c>
      <c r="CH118">
        <f>VLOOKUP($B118,'[1]Data_UN_PopulationTot.&amp;%'!$B$4:$CZ$603,72,FALSE)</f>
        <v>6.7154198152411704</v>
      </c>
      <c r="CI118">
        <f>VLOOKUP($B118,'[1]Data_UN_PopulationTot.&amp;%'!$B$4:$CZ$603,73,FALSE)</f>
        <v>6.3296298773051065</v>
      </c>
      <c r="CJ118">
        <f>VLOOKUP($B118,'[1]Data_UN_PopulationTot.&amp;%'!$B$4:$CZ$603,74,FALSE)</f>
        <v>5.9215491464218504</v>
      </c>
      <c r="CK118">
        <f>VLOOKUP($B118,'[1]Data_UN_PopulationTot.&amp;%'!$B$4:$CZ$603,75,FALSE)</f>
        <v>3.9063022440459698</v>
      </c>
      <c r="CL118">
        <f>VLOOKUP($B118,'[1]Data_UN_PopulationTot.&amp;%'!$B$4:$CZ$603,76,FALSE)</f>
        <v>2.5322340788011375</v>
      </c>
      <c r="CM118">
        <f>VLOOKUP($B118,'[1]Data_UN_PopulationTot.&amp;%'!$B$4:$CZ$603,77,FALSE)</f>
        <v>2.0943792173384157</v>
      </c>
      <c r="CN118">
        <f>VLOOKUP($B118,'[1]Data_UN_PopulationTot.&amp;%'!$B$4:$CZ$603,78,FALSE)</f>
        <v>1.0099321404574706</v>
      </c>
      <c r="CO118">
        <f>VLOOKUP($B118,'[1]Data_UN_PopulationTot.&amp;%'!$B$4:$CZ$603,79,FALSE)</f>
        <v>0.27003703456028227</v>
      </c>
      <c r="CP118">
        <f>VLOOKUP($B118,'[1]Data_UN_PopulationTot.&amp;%'!$B$4:$CZ$603,80,FALSE)</f>
        <v>3.3117749521544046E-2</v>
      </c>
      <c r="CQ118">
        <f>VLOOKUP($B118,'[1]Data_UN_PopulationTot.&amp;%'!$B$4:$CZ$603,81,FALSE)</f>
        <v>1.9106393954736952E-3</v>
      </c>
      <c r="CR118">
        <f>VLOOKUP($B118,'[1]Data_UN_PopulationTot.&amp;%'!$B$4:$CZ$603,82,FALSE)</f>
        <v>5.395972810219563</v>
      </c>
      <c r="CS118">
        <f>VLOOKUP($B118,'[1]Data_UN_PopulationTot.&amp;%'!$B$4:$CZ$603,83,FALSE)</f>
        <v>5.6390591900111851</v>
      </c>
      <c r="CT118">
        <f>VLOOKUP($B118,'[1]Data_UN_PopulationTot.&amp;%'!$B$4:$CZ$603,84,FALSE)</f>
        <v>5.8819853282867944</v>
      </c>
      <c r="CU118">
        <f>VLOOKUP($B118,'[1]Data_UN_PopulationTot.&amp;%'!$B$4:$CZ$603,85,FALSE)</f>
        <v>5.8925612683436484</v>
      </c>
      <c r="CV118">
        <f>VLOOKUP($B118,'[1]Data_UN_PopulationTot.&amp;%'!$B$4:$CZ$603,86,FALSE)</f>
        <v>6.2140057494655956</v>
      </c>
      <c r="CW118">
        <f>VLOOKUP($B118,'[1]Data_UN_PopulationTot.&amp;%'!$B$4:$CZ$603,87,FALSE)</f>
        <v>6.1201042210820145</v>
      </c>
      <c r="CX118">
        <f>VLOOKUP($B118,'[1]Data_UN_PopulationTot.&amp;%'!$B$4:$CZ$603,88,FALSE)</f>
        <v>6.4476378798124543</v>
      </c>
      <c r="CY118">
        <f>VLOOKUP($B118,'[1]Data_UN_PopulationTot.&amp;%'!$B$4:$CZ$603,89,FALSE)</f>
        <v>6.7327075367994631</v>
      </c>
      <c r="CZ118">
        <f>VLOOKUP($B118,'[1]Data_UN_PopulationTot.&amp;%'!$B$4:$CZ$603,90,FALSE)</f>
        <v>6.6867182217037522</v>
      </c>
      <c r="DA118">
        <f>VLOOKUP($B118,'[1]Data_UN_PopulationTot.&amp;%'!$B$4:$CZ$603,91,FALSE)</f>
        <v>7.1842681289239154</v>
      </c>
      <c r="DB118">
        <f>VLOOKUP($B118,'[1]Data_UN_PopulationTot.&amp;%'!$B$4:$CZ$603,92,FALSE)</f>
        <v>6.6714952776825234</v>
      </c>
      <c r="DC118">
        <f>VLOOKUP($B118,'[1]Data_UN_PopulationTot.&amp;%'!$B$4:$CZ$603,93,FALSE)</f>
        <v>6.2691288309740436</v>
      </c>
      <c r="DD118">
        <f>VLOOKUP($B118,'[1]Data_UN_PopulationTot.&amp;%'!$B$4:$CZ$603,94,FALSE)</f>
        <v>5.6469110242958189</v>
      </c>
      <c r="DE118">
        <f>VLOOKUP($B118,'[1]Data_UN_PopulationTot.&amp;%'!$B$4:$CZ$603,95,FALSE)</f>
        <v>5.9609843956811712</v>
      </c>
      <c r="DF118">
        <f>VLOOKUP($B118,'[1]Data_UN_PopulationTot.&amp;%'!$B$4:$CZ$603,96,FALSE)</f>
        <v>5.2173035198651405</v>
      </c>
      <c r="DG118">
        <f>VLOOKUP($B118,'[1]Data_UN_PopulationTot.&amp;%'!$B$4:$CZ$603,97,FALSE)</f>
        <v>4.3109775052959822</v>
      </c>
      <c r="DH118">
        <f>VLOOKUP($B118,'[1]Data_UN_PopulationTot.&amp;%'!$B$4:$CZ$603,98,FALSE)</f>
        <v>2.2675776930990388</v>
      </c>
      <c r="DI118">
        <f>VLOOKUP($B118,'[1]Data_UN_PopulationTot.&amp;%'!$B$4:$CZ$603,99,FALSE)</f>
        <v>0.98212025164327676</v>
      </c>
      <c r="DJ118">
        <f>VLOOKUP($B118,'[1]Data_UN_PopulationTot.&amp;%'!$B$4:$DE$603,100,FALSE)</f>
        <v>0.40637248460880238</v>
      </c>
      <c r="DK118">
        <f>VLOOKUP($B118,'[1]Data_UN_PopulationTot.&amp;%'!$B$4:$DE$603,101,FALSE)</f>
        <v>6.7621919757458446E-2</v>
      </c>
      <c r="DL118">
        <f>VLOOKUP($B118,'[1]Data_UN_PopulationTot.&amp;%'!$B$4:$DE$603,102,FALSE)</f>
        <v>4.4867624483621721E-3</v>
      </c>
    </row>
    <row r="119" spans="1:116">
      <c r="A119" t="s">
        <v>166</v>
      </c>
      <c r="B119" t="s">
        <v>380</v>
      </c>
      <c r="C119" t="s">
        <v>493</v>
      </c>
      <c r="D119" t="s">
        <v>334</v>
      </c>
      <c r="E119" t="s">
        <v>300</v>
      </c>
      <c r="F119">
        <v>0</v>
      </c>
      <c r="G119">
        <v>1</v>
      </c>
      <c r="H119">
        <v>0</v>
      </c>
      <c r="I119">
        <v>0</v>
      </c>
      <c r="J119" s="18">
        <f t="shared" si="3"/>
        <v>10542.347939212848</v>
      </c>
      <c r="K119">
        <f>VLOOKUP($B119,'[1]Source GDP Current USD'!$B$1:$CZ$600,64,FALSE)</f>
        <v>13312981594.573</v>
      </c>
      <c r="L119" s="45">
        <f>VLOOKUP($B119,'[1]Source GDP Current USD'!$B$1:$CZ$600,65,FALSE)</f>
        <v>13312981594.573</v>
      </c>
      <c r="M119" s="17">
        <f>VLOOKUP($B119,'[1]Source GDP Current LCU'!$B$1:$CZ$600,64,FALSE)</f>
        <v>37453275327600</v>
      </c>
      <c r="N119" s="45">
        <v>37000000000000</v>
      </c>
      <c r="O119" s="45">
        <f>VLOOKUP($B119,'[1]Source GNI Current USD'!$B$1:$CZ$600,64,FALSE)</f>
        <v>12053017629.2894</v>
      </c>
      <c r="P119" s="45">
        <f>VLOOKUP($B119,'[1]Source GNI Current LCU'!$B$1:$CZ$600,64,FALSE)</f>
        <v>33908631555700</v>
      </c>
      <c r="Q119">
        <f t="shared" si="2"/>
        <v>110.45351466359648</v>
      </c>
      <c r="R119">
        <v>3740</v>
      </c>
      <c r="S119">
        <v>3740</v>
      </c>
      <c r="T119">
        <v>0.32837100000000002</v>
      </c>
      <c r="U119" s="45">
        <v>3300000</v>
      </c>
      <c r="V119">
        <v>28.148</v>
      </c>
      <c r="W119">
        <f>VLOOKUP($B119,'[1]Source Gov. Revenue WEO'!$B$1:$CZ$600,5,FALSE)</f>
        <v>33.716999999999999</v>
      </c>
      <c r="X119">
        <f>VLOOKUP($B119,'[1]Source Gov. Revenue WEO'!$B$1:$CZ$600,6,FALSE)</f>
        <v>32.247</v>
      </c>
      <c r="Y119">
        <f>VLOOKUP($B119,'[1]Source Gov. Revenue WEO'!$B$1:$CZ$600,7,FALSE)</f>
        <v>31.98</v>
      </c>
      <c r="Z119">
        <f>VLOOKUP($B119,'[1]Source Gov. Revenue WEO'!$B$1:$CZ$600,8,FALSE)</f>
        <v>31.613</v>
      </c>
      <c r="AA119">
        <f>VLOOKUP($B119,'[1]Source Gov. Revenue WEO'!$B$1:$CZ$600,9,FALSE)</f>
        <v>31.14</v>
      </c>
      <c r="AB119">
        <f>VLOOKUP($B119,'[1]Source Gov. Revenue WEO'!$B$1:$CZ$600,10,FALSE)</f>
        <v>30.667999999999999</v>
      </c>
      <c r="AC119">
        <f>VLOOKUP($B119,[2]Summary!$B$1:$CZ$600,39,FALSE)</f>
        <v>5.3765110000000005E-3</v>
      </c>
      <c r="AD119">
        <f>VLOOKUP($B119,[2]Summary!$B$1:$CZ$600,40,FALSE)</f>
        <v>2.5000000000000001E-4</v>
      </c>
      <c r="AE119">
        <f>VLOOKUP($B119,[2]Summary!$B$1:$CZ$600,47,FALSE)</f>
        <v>0.33125755815341129</v>
      </c>
      <c r="AF119">
        <f>VLOOKUP($B119,'[1]CALC GDP Growth rates WDI'!$B$1:$CZ$600,27,FALSE)</f>
        <v>89.147023269050237</v>
      </c>
      <c r="AG119">
        <f>VLOOKUP($B119,'[1]CALC GDP Growth rates WDI'!$B$1:$CZ$600,29,FALSE)</f>
        <v>99.72452409278543</v>
      </c>
      <c r="AH119">
        <v>16.440000000000001</v>
      </c>
      <c r="AI119">
        <f>VLOOKUP($B119,'[1]CALC GDP Growth rates WDI'!$B$1:$CZ$600,30,FALSE)</f>
        <v>18.330102720913356</v>
      </c>
      <c r="AK119">
        <f>VLOOKUP($B119,[1]Data_Aspire!$B$1:$CZ$600,2,FALSE)</f>
        <v>2016</v>
      </c>
      <c r="AL119">
        <f>VLOOKUP($B119,[1]Data_Aspire!$B$1:$CZ$600,3,FALSE)</f>
        <v>2.52</v>
      </c>
      <c r="AM119">
        <f>VLOOKUP($B119,[1]Data_Aspire!$B$1:$CZ$600,4,FALSE)</f>
        <v>0</v>
      </c>
      <c r="AN119">
        <f>VLOOKUP($B119,[1]Data_Aspire!$B$1:$CZ$600,5,FALSE)</f>
        <v>1.72</v>
      </c>
      <c r="AO119">
        <f>VLOOKUP($B119,[1]Data_Aspire!$B$1:$CZ$600,6,FALSE)</f>
        <v>0.6</v>
      </c>
      <c r="AP119">
        <f>VLOOKUP($B119,[1]Data_Aspire!$B$1:$CZ$600,7,FALSE)</f>
        <v>0</v>
      </c>
      <c r="AR119">
        <f>VLOOKUP($B119,[1]Data_Aspire!$B$1:$CZ$600,9,FALSE)</f>
        <v>0.08</v>
      </c>
      <c r="AT119">
        <f>VLOOKUP($B119,[1]Data_Aspire!$B$1:$CZ$600,11,FALSE)</f>
        <v>0.13</v>
      </c>
      <c r="AU119">
        <f>VLOOKUP($B119,[1]Data_Aspire!$B$1:$CZ$600,12,FALSE)</f>
        <v>2.52</v>
      </c>
      <c r="AX119">
        <f>VLOOKUP($B119,[1]Data_Aspire!$B$1:$CZ$600,15,FALSE)</f>
        <v>960300</v>
      </c>
      <c r="AY119">
        <f>VLOOKUP($B119,[1]Data_Aspire!$B$1:$CZ$600,16,FALSE)</f>
        <v>2013</v>
      </c>
      <c r="AZ119">
        <f>VLOOKUP($B119,[1]Data_Aspire!$B$1:$CZ$600,17,FALSE)</f>
        <v>63423</v>
      </c>
      <c r="BA119">
        <f>VLOOKUP($B119,[1]Data_Aspire!$B$1:$CZ$600,18,FALSE)</f>
        <v>2013</v>
      </c>
      <c r="BB119">
        <f>VLOOKUP($B119,[1]Data_Aspire!$B$1:$CZ$600,19,FALSE)</f>
        <v>343700</v>
      </c>
      <c r="BC119">
        <f>VLOOKUP($B119,[1]Data_Aspire!$B$1:$CZ$600,20,FALSE)</f>
        <v>2013</v>
      </c>
      <c r="BD119">
        <f>VLOOKUP($B119,[1]Data_Aspire!$B$1:$CZ$600,21,FALSE)</f>
        <v>174600</v>
      </c>
      <c r="BE119">
        <f>VLOOKUP($B119,[1]Data_Aspire!$B$1:$CZ$600,22,FALSE)</f>
        <v>2013</v>
      </c>
      <c r="BH119">
        <f>VLOOKUP($B119,[1]Data_Aspire!$B$1:$CZ$600,25,FALSE)</f>
        <v>103000</v>
      </c>
      <c r="BI119">
        <f>VLOOKUP($B119,[1]Data_Aspire!$B$1:$CZ$600,26,FALSE)</f>
        <v>2013</v>
      </c>
      <c r="BJ119" s="7">
        <v>0</v>
      </c>
      <c r="BK119">
        <v>496</v>
      </c>
      <c r="BL119">
        <f>VLOOKUP($B119,'[1]Data_UN_PopulationTot.&amp;%'!$B$4:$CZ$603,8,FALSE)</f>
        <v>3278.29</v>
      </c>
      <c r="BM119">
        <f>VLOOKUP($B119,'[1]Data_UN_PopulationTot.&amp;%'!$B$4:$CZ$603,9,FALSE)</f>
        <v>3329.28</v>
      </c>
      <c r="BN119">
        <v>3378.08</v>
      </c>
      <c r="BO119">
        <f>VLOOKUP($B119,'[1]Data_UN_PopulationTot.&amp;%'!$B$4:$CZ$603,11,FALSE)</f>
        <v>3424.88</v>
      </c>
      <c r="BP119">
        <f>VLOOKUP($B119,'[1]Data_UN_PopulationTot.&amp;%'!$B$4:$CZ$603,12,FALSE)</f>
        <v>3470.04</v>
      </c>
      <c r="BQ119">
        <f>VLOOKUP($B119,'[1]Data_UN_PopulationTot.&amp;%'!$B$4:$CZ$603,13,FALSE)</f>
        <v>3513.91</v>
      </c>
      <c r="BR119">
        <f>VLOOKUP($B119,'[1]Data_UN_PopulationTot.&amp;%'!$B$4:$CZ$603,14,FALSE)</f>
        <v>3556.5</v>
      </c>
      <c r="BS119">
        <f>VLOOKUP($B119,'[1]Data_UN_PopulationTot.&amp;%'!$B$4:$CZ$603,15,FALSE)</f>
        <v>3597.81</v>
      </c>
      <c r="BT119">
        <f>VLOOKUP($B119,'[1]Data_UN_PopulationTot.&amp;%'!$B$4:$CZ$603,16,FALSE)</f>
        <v>3638.04</v>
      </c>
      <c r="BU119">
        <f>VLOOKUP($B119,'[1]Data_UN_PopulationTot.&amp;%'!$B$4:$CZ$603,17,FALSE)</f>
        <v>3677.43</v>
      </c>
      <c r="BV119">
        <f>VLOOKUP($B119,'[1]Data_UN_PopulationTot.&amp;%'!$B$4:$CZ$603,18,FALSE)</f>
        <v>3716.2</v>
      </c>
      <c r="BW119">
        <f>VLOOKUP($B119,'[1]Data_UN_PopulationTot.&amp;%'!$B$4:$CZ$603,61,FALSE)</f>
        <v>11.45292210268158</v>
      </c>
      <c r="BX119">
        <f>VLOOKUP($B119,'[1]Data_UN_PopulationTot.&amp;%'!$B$4:$CZ$603,62,FALSE)</f>
        <v>11.042799752309893</v>
      </c>
      <c r="BY119">
        <f>VLOOKUP($B119,'[1]Data_UN_PopulationTot.&amp;%'!$B$4:$CZ$603,63,FALSE)</f>
        <v>8.5971954891117015</v>
      </c>
      <c r="BZ119">
        <f>VLOOKUP($B119,'[1]Data_UN_PopulationTot.&amp;%'!$B$4:$CZ$603,64,FALSE)</f>
        <v>6.668171516247801</v>
      </c>
      <c r="CA119">
        <f>VLOOKUP($B119,'[1]Data_UN_PopulationTot.&amp;%'!$B$4:$CZ$603,65,FALSE)</f>
        <v>6.9700667116087969</v>
      </c>
      <c r="CB119">
        <f>VLOOKUP($B119,'[1]Data_UN_PopulationTot.&amp;%'!$B$4:$CZ$603,66,FALSE)</f>
        <v>8.2822752105518429</v>
      </c>
      <c r="CC119">
        <f>VLOOKUP($B119,'[1]Data_UN_PopulationTot.&amp;%'!$B$4:$CZ$603,67,FALSE)</f>
        <v>9.4378166666158272</v>
      </c>
      <c r="CD119">
        <f>VLOOKUP($B119,'[1]Data_UN_PopulationTot.&amp;%'!$B$4:$CZ$603,68,FALSE)</f>
        <v>7.7748155288275296</v>
      </c>
      <c r="CE119">
        <f>VLOOKUP($B119,'[1]Data_UN_PopulationTot.&amp;%'!$B$4:$CZ$603,69,FALSE)</f>
        <v>6.797812274081914</v>
      </c>
      <c r="CF119">
        <f>VLOOKUP($B119,'[1]Data_UN_PopulationTot.&amp;%'!$B$4:$CZ$603,70,FALSE)</f>
        <v>6.1066592644335911</v>
      </c>
      <c r="CG119">
        <f>VLOOKUP($B119,'[1]Data_UN_PopulationTot.&amp;%'!$B$4:$CZ$603,71,FALSE)</f>
        <v>5.135512721571307</v>
      </c>
      <c r="CH119">
        <f>VLOOKUP($B119,'[1]Data_UN_PopulationTot.&amp;%'!$B$4:$CZ$603,72,FALSE)</f>
        <v>4.4442376970920812</v>
      </c>
      <c r="CI119">
        <f>VLOOKUP($B119,'[1]Data_UN_PopulationTot.&amp;%'!$B$4:$CZ$603,73,FALSE)</f>
        <v>2.9774364073953188</v>
      </c>
      <c r="CJ119">
        <f>VLOOKUP($B119,'[1]Data_UN_PopulationTot.&amp;%'!$B$4:$CZ$603,74,FALSE)</f>
        <v>1.8531917554578761</v>
      </c>
      <c r="CK119">
        <f>VLOOKUP($B119,'[1]Data_UN_PopulationTot.&amp;%'!$B$4:$CZ$603,75,FALSE)</f>
        <v>1.0866640840194126</v>
      </c>
      <c r="CL119">
        <f>VLOOKUP($B119,'[1]Data_UN_PopulationTot.&amp;%'!$B$4:$CZ$603,76,FALSE)</f>
        <v>0.74017246796348091</v>
      </c>
      <c r="CM119">
        <f>VLOOKUP($B119,'[1]Data_UN_PopulationTot.&amp;%'!$B$4:$CZ$603,77,FALSE)</f>
        <v>0.40377757916474744</v>
      </c>
      <c r="CN119">
        <f>VLOOKUP($B119,'[1]Data_UN_PopulationTot.&amp;%'!$B$4:$CZ$603,78,FALSE)</f>
        <v>0.17438969706767857</v>
      </c>
      <c r="CO119">
        <f>VLOOKUP($B119,'[1]Data_UN_PopulationTot.&amp;%'!$B$4:$CZ$603,79,FALSE)</f>
        <v>4.5938583834865127E-2</v>
      </c>
      <c r="CP119">
        <f>VLOOKUP($B119,'[1]Data_UN_PopulationTot.&amp;%'!$B$4:$CZ$603,80,FALSE)</f>
        <v>7.5039121005158176E-3</v>
      </c>
      <c r="CQ119">
        <f>VLOOKUP($B119,'[1]Data_UN_PopulationTot.&amp;%'!$B$4:$CZ$603,81,FALSE)</f>
        <v>7.015852776905032E-4</v>
      </c>
      <c r="CR119">
        <f>VLOOKUP($B119,'[1]Data_UN_PopulationTot.&amp;%'!$B$4:$CZ$603,82,FALSE)</f>
        <v>8.6730800279855771</v>
      </c>
      <c r="CS119">
        <f>VLOOKUP($B119,'[1]Data_UN_PopulationTot.&amp;%'!$B$4:$CZ$603,83,FALSE)</f>
        <v>9.1939615736505047</v>
      </c>
      <c r="CT119">
        <f>VLOOKUP($B119,'[1]Data_UN_PopulationTot.&amp;%'!$B$4:$CZ$603,84,FALSE)</f>
        <v>10.052176954953987</v>
      </c>
      <c r="CU119">
        <f>VLOOKUP($B119,'[1]Data_UN_PopulationTot.&amp;%'!$B$4:$CZ$603,85,FALSE)</f>
        <v>9.6966794036919453</v>
      </c>
      <c r="CV119">
        <f>VLOOKUP($B119,'[1]Data_UN_PopulationTot.&amp;%'!$B$4:$CZ$603,86,FALSE)</f>
        <v>7.5174371669985476</v>
      </c>
      <c r="CW119">
        <f>VLOOKUP($B119,'[1]Data_UN_PopulationTot.&amp;%'!$B$4:$CZ$603,87,FALSE)</f>
        <v>5.7985038480167921</v>
      </c>
      <c r="CX119">
        <f>VLOOKUP($B119,'[1]Data_UN_PopulationTot.&amp;%'!$B$4:$CZ$603,88,FALSE)</f>
        <v>6.0453151068295572</v>
      </c>
      <c r="CY119">
        <f>VLOOKUP($B119,'[1]Data_UN_PopulationTot.&amp;%'!$B$4:$CZ$603,89,FALSE)</f>
        <v>7.1591141488617422</v>
      </c>
      <c r="CZ119">
        <f>VLOOKUP($B119,'[1]Data_UN_PopulationTot.&amp;%'!$B$4:$CZ$603,90,FALSE)</f>
        <v>8.0991604327000708</v>
      </c>
      <c r="DA119">
        <f>VLOOKUP($B119,'[1]Data_UN_PopulationTot.&amp;%'!$B$4:$CZ$603,91,FALSE)</f>
        <v>6.5680802970776604</v>
      </c>
      <c r="DB119">
        <f>VLOOKUP($B119,'[1]Data_UN_PopulationTot.&amp;%'!$B$4:$CZ$603,92,FALSE)</f>
        <v>5.5914643991173785</v>
      </c>
      <c r="DC119">
        <f>VLOOKUP($B119,'[1]Data_UN_PopulationTot.&amp;%'!$B$4:$CZ$603,93,FALSE)</f>
        <v>4.8454604165545447</v>
      </c>
      <c r="DD119">
        <f>VLOOKUP($B119,'[1]Data_UN_PopulationTot.&amp;%'!$B$4:$CZ$603,94,FALSE)</f>
        <v>3.89984392659168</v>
      </c>
      <c r="DE119">
        <f>VLOOKUP($B119,'[1]Data_UN_PopulationTot.&amp;%'!$B$4:$CZ$603,95,FALSE)</f>
        <v>3.1815026101932085</v>
      </c>
      <c r="DF119">
        <f>VLOOKUP($B119,'[1]Data_UN_PopulationTot.&amp;%'!$B$4:$CZ$603,96,FALSE)</f>
        <v>1.9306818793391098</v>
      </c>
      <c r="DG119">
        <f>VLOOKUP($B119,'[1]Data_UN_PopulationTot.&amp;%'!$B$4:$CZ$603,97,FALSE)</f>
        <v>1.0034443786663798</v>
      </c>
      <c r="DH119">
        <f>VLOOKUP($B119,'[1]Data_UN_PopulationTot.&amp;%'!$B$4:$CZ$603,98,FALSE)</f>
        <v>0.45070233033744145</v>
      </c>
      <c r="DI119">
        <f>VLOOKUP($B119,'[1]Data_UN_PopulationTot.&amp;%'!$B$4:$CZ$603,99,FALSE)</f>
        <v>0.21024164469081319</v>
      </c>
      <c r="DJ119">
        <f>VLOOKUP($B119,'[1]Data_UN_PopulationTot.&amp;%'!$B$4:$DE$603,100,FALSE)</f>
        <v>6.7219202411065077E-2</v>
      </c>
      <c r="DK119">
        <f>VLOOKUP($B119,'[1]Data_UN_PopulationTot.&amp;%'!$B$4:$DE$603,101,FALSE)</f>
        <v>1.4450244873795813E-2</v>
      </c>
      <c r="DL119">
        <f>VLOOKUP($B119,'[1]Data_UN_PopulationTot.&amp;%'!$B$4:$DE$603,102,FALSE)</f>
        <v>1.587643291534363E-3</v>
      </c>
    </row>
    <row r="120" spans="1:116">
      <c r="A120" t="s">
        <v>95</v>
      </c>
      <c r="B120" t="s">
        <v>308</v>
      </c>
      <c r="C120" t="s">
        <v>496</v>
      </c>
      <c r="D120" t="s">
        <v>306</v>
      </c>
      <c r="E120" t="s">
        <v>299</v>
      </c>
      <c r="F120">
        <v>1</v>
      </c>
      <c r="G120">
        <v>0</v>
      </c>
      <c r="H120">
        <v>0</v>
      </c>
      <c r="I120">
        <v>0</v>
      </c>
      <c r="J120" s="18">
        <f t="shared" si="3"/>
        <v>273.46737815188203</v>
      </c>
      <c r="K120">
        <f>VLOOKUP($B120,'[1]Source GDP Current USD'!$B$1:$CZ$600,64,FALSE)</f>
        <v>14019446610.196301</v>
      </c>
      <c r="L120" s="45">
        <f>VLOOKUP($B120,'[1]Source GDP Current USD'!$B$1:$CZ$600,65,FALSE)</f>
        <v>14019446610.196301</v>
      </c>
      <c r="M120" s="17">
        <f>VLOOKUP($B120,'[1]Source GDP Current LCU'!$B$1:$CZ$600,64,FALSE)</f>
        <v>974511361100</v>
      </c>
      <c r="N120" s="45">
        <v>970000000000</v>
      </c>
      <c r="O120" s="45">
        <f>VLOOKUP($B120,'[1]Source GNI Current USD'!$B$1:$CZ$600,64,FALSE)</f>
        <v>13556748995.128901</v>
      </c>
      <c r="P120" s="45">
        <f>VLOOKUP($B120,'[1]Source GNI Current LCU'!$B$1:$CZ$600,64,FALSE)</f>
        <v>942348602100</v>
      </c>
      <c r="Q120">
        <f t="shared" si="2"/>
        <v>103.41304257557407</v>
      </c>
      <c r="R120">
        <v>460</v>
      </c>
      <c r="S120">
        <v>460</v>
      </c>
      <c r="T120">
        <v>0.34572399999999998</v>
      </c>
      <c r="U120" s="45">
        <v>31000000</v>
      </c>
      <c r="V120">
        <v>28.062000000000001</v>
      </c>
      <c r="W120">
        <f>VLOOKUP($B120,'[1]Source Gov. Revenue WEO'!$B$1:$CZ$600,5,FALSE)</f>
        <v>28.225999999999999</v>
      </c>
      <c r="X120">
        <f>VLOOKUP($B120,'[1]Source Gov. Revenue WEO'!$B$1:$CZ$600,6,FALSE)</f>
        <v>29.533999999999999</v>
      </c>
      <c r="Y120">
        <f>VLOOKUP($B120,'[1]Source Gov. Revenue WEO'!$B$1:$CZ$600,7,FALSE)</f>
        <v>27.260999999999999</v>
      </c>
      <c r="Z120">
        <f>VLOOKUP($B120,'[1]Source Gov. Revenue WEO'!$B$1:$CZ$600,8,FALSE)</f>
        <v>26.692</v>
      </c>
      <c r="AA120">
        <f>VLOOKUP($B120,'[1]Source Gov. Revenue WEO'!$B$1:$CZ$600,9,FALSE)</f>
        <v>26.914000000000001</v>
      </c>
      <c r="AB120">
        <f>VLOOKUP($B120,'[1]Source Gov. Revenue WEO'!$B$1:$CZ$600,10,FALSE)</f>
        <v>27.07</v>
      </c>
      <c r="AC120">
        <f>VLOOKUP($B120,[2]Summary!$B$1:$CZ$600,39,FALSE)</f>
        <v>0.61110129999999996</v>
      </c>
      <c r="AD120">
        <f>VLOOKUP($B120,[2]Summary!$B$1:$CZ$600,40,FALSE)</f>
        <v>0.51924999999999999</v>
      </c>
      <c r="AE120">
        <f>VLOOKUP($B120,[2]Summary!$B$1:$CZ$600,47,FALSE)</f>
        <v>0.22158415603015996</v>
      </c>
      <c r="AF120">
        <f>VLOOKUP($B120,'[1]CALC GDP Growth rates WDI'!$B$1:$CZ$600,27,FALSE)</f>
        <v>59.037655930005208</v>
      </c>
      <c r="AG120">
        <f>VLOOKUP($B120,'[1]CALC GDP Growth rates WDI'!$B$1:$CZ$600,29,FALSE)</f>
        <v>67.674009299742167</v>
      </c>
      <c r="AH120">
        <v>12.6</v>
      </c>
      <c r="AI120">
        <f>VLOOKUP($B120,'[1]CALC GDP Growth rates WDI'!$B$1:$CZ$600,30,FALSE)</f>
        <v>18.950478096821112</v>
      </c>
      <c r="AJ120" s="45" t="s">
        <v>2467</v>
      </c>
      <c r="AK120">
        <f>VLOOKUP($B120,[1]Data_Aspire!$B$1:$CZ$600,2,FALSE)</f>
        <v>2015</v>
      </c>
      <c r="AL120">
        <f>VLOOKUP($B120,[1]Data_Aspire!$B$1:$CZ$600,3,FALSE)</f>
        <v>1.17</v>
      </c>
      <c r="AM120">
        <f>VLOOKUP($B120,[1]Data_Aspire!$B$1:$CZ$600,4,FALSE)</f>
        <v>0</v>
      </c>
      <c r="AN120">
        <f>VLOOKUP($B120,[1]Data_Aspire!$B$1:$CZ$600,5,FALSE)</f>
        <v>0.38</v>
      </c>
      <c r="AO120">
        <f>VLOOKUP($B120,[1]Data_Aspire!$B$1:$CZ$600,6,FALSE)</f>
        <v>0</v>
      </c>
      <c r="AP120">
        <f>VLOOKUP($B120,[1]Data_Aspire!$B$1:$CZ$600,7,FALSE)</f>
        <v>0.08</v>
      </c>
      <c r="AQ120">
        <f>VLOOKUP($B120,[1]Data_Aspire!$B$1:$CZ$600,8,FALSE)</f>
        <v>0.12</v>
      </c>
      <c r="AR120">
        <f>VLOOKUP($B120,[1]Data_Aspire!$B$1:$CZ$600,9,FALSE)</f>
        <v>0.4</v>
      </c>
      <c r="AS120">
        <f>VLOOKUP($B120,[1]Data_Aspire!$B$1:$CZ$600,10,FALSE)</f>
        <v>0.03</v>
      </c>
      <c r="AT120">
        <f>VLOOKUP($B120,[1]Data_Aspire!$B$1:$CZ$600,11,FALSE)</f>
        <v>0.15</v>
      </c>
      <c r="AU120">
        <f>VLOOKUP($B120,[1]Data_Aspire!$B$1:$CZ$600,12,FALSE)</f>
        <v>1.17</v>
      </c>
      <c r="AX120">
        <f>VLOOKUP($B120,[1]Data_Aspire!$B$1:$CZ$600,15,FALSE)</f>
        <v>1671340</v>
      </c>
      <c r="AY120">
        <f>VLOOKUP($B120,[1]Data_Aspire!$B$1:$CZ$600,16,FALSE)</f>
        <v>2015</v>
      </c>
      <c r="BB120">
        <f>VLOOKUP($B120,[1]Data_Aspire!$B$1:$CZ$600,19,FALSE)</f>
        <v>258940</v>
      </c>
      <c r="BC120">
        <f>VLOOKUP($B120,[1]Data_Aspire!$B$1:$CZ$600,20,FALSE)</f>
        <v>2015</v>
      </c>
      <c r="BD120">
        <f>VLOOKUP($B120,[1]Data_Aspire!$B$1:$CZ$600,21,FALSE)</f>
        <v>427000</v>
      </c>
      <c r="BE120">
        <f>VLOOKUP($B120,[1]Data_Aspire!$B$1:$CZ$600,22,FALSE)</f>
        <v>2011</v>
      </c>
      <c r="BF120">
        <f>VLOOKUP($B120,[1]Data_Aspire!$B$1:$CZ$600,23,FALSE)</f>
        <v>282480</v>
      </c>
      <c r="BG120">
        <f>VLOOKUP($B120,[1]Data_Aspire!$B$1:$CZ$600,24,FALSE)</f>
        <v>2015</v>
      </c>
      <c r="BJ120" s="7">
        <v>1</v>
      </c>
      <c r="BK120">
        <v>508</v>
      </c>
      <c r="BL120">
        <f>VLOOKUP($B120,'[1]Data_UN_PopulationTot.&amp;%'!$B$4:$CZ$603,8,FALSE)</f>
        <v>31255.4</v>
      </c>
      <c r="BM120">
        <f>VLOOKUP($B120,'[1]Data_UN_PopulationTot.&amp;%'!$B$4:$CZ$603,9,FALSE)</f>
        <v>32163</v>
      </c>
      <c r="BN120">
        <v>33089.5</v>
      </c>
      <c r="BO120">
        <f>VLOOKUP($B120,'[1]Data_UN_PopulationTot.&amp;%'!$B$4:$CZ$603,11,FALSE)</f>
        <v>34034.800000000003</v>
      </c>
      <c r="BP120">
        <f>VLOOKUP($B120,'[1]Data_UN_PopulationTot.&amp;%'!$B$4:$CZ$603,12,FALSE)</f>
        <v>34999.800000000003</v>
      </c>
      <c r="BQ120">
        <f>VLOOKUP($B120,'[1]Data_UN_PopulationTot.&amp;%'!$B$4:$CZ$603,13,FALSE)</f>
        <v>35984.6</v>
      </c>
      <c r="BR120">
        <f>VLOOKUP($B120,'[1]Data_UN_PopulationTot.&amp;%'!$B$4:$CZ$603,14,FALSE)</f>
        <v>36988.9</v>
      </c>
      <c r="BS120">
        <f>VLOOKUP($B120,'[1]Data_UN_PopulationTot.&amp;%'!$B$4:$CZ$603,15,FALSE)</f>
        <v>38011.800000000003</v>
      </c>
      <c r="BT120">
        <f>VLOOKUP($B120,'[1]Data_UN_PopulationTot.&amp;%'!$B$4:$CZ$603,16,FALSE)</f>
        <v>39052.6</v>
      </c>
      <c r="BU120">
        <f>VLOOKUP($B120,'[1]Data_UN_PopulationTot.&amp;%'!$B$4:$CZ$603,17,FALSE)</f>
        <v>40110.5</v>
      </c>
      <c r="BV120">
        <f>VLOOKUP($B120,'[1]Data_UN_PopulationTot.&amp;%'!$B$4:$CZ$603,18,FALSE)</f>
        <v>41184.800000000003</v>
      </c>
      <c r="BW120">
        <f>VLOOKUP($B120,'[1]Data_UN_PopulationTot.&amp;%'!$B$4:$CZ$603,61,FALSE)</f>
        <v>16.49836508251374</v>
      </c>
      <c r="BX120">
        <f>VLOOKUP($B120,'[1]Data_UN_PopulationTot.&amp;%'!$B$4:$CZ$603,62,FALSE)</f>
        <v>14.593158302245371</v>
      </c>
      <c r="BY120">
        <f>VLOOKUP($B120,'[1]Data_UN_PopulationTot.&amp;%'!$B$4:$CZ$603,63,FALSE)</f>
        <v>12.971326554771334</v>
      </c>
      <c r="BZ120">
        <f>VLOOKUP($B120,'[1]Data_UN_PopulationTot.&amp;%'!$B$4:$CZ$603,64,FALSE)</f>
        <v>11.32994618529918</v>
      </c>
      <c r="CA120">
        <f>VLOOKUP($B120,'[1]Data_UN_PopulationTot.&amp;%'!$B$4:$CZ$603,65,FALSE)</f>
        <v>9.3185817490737595</v>
      </c>
      <c r="CB120">
        <f>VLOOKUP($B120,'[1]Data_UN_PopulationTot.&amp;%'!$B$4:$CZ$603,66,FALSE)</f>
        <v>7.6208911100161894</v>
      </c>
      <c r="CC120">
        <f>VLOOKUP($B120,'[1]Data_UN_PopulationTot.&amp;%'!$B$4:$CZ$603,67,FALSE)</f>
        <v>6.2761314844794818</v>
      </c>
      <c r="CD120">
        <f>VLOOKUP($B120,'[1]Data_UN_PopulationTot.&amp;%'!$B$4:$CZ$603,68,FALSE)</f>
        <v>5.2058524287003198</v>
      </c>
      <c r="CE120">
        <f>VLOOKUP($B120,'[1]Data_UN_PopulationTot.&amp;%'!$B$4:$CZ$603,69,FALSE)</f>
        <v>4.1199280764283932</v>
      </c>
      <c r="CF120">
        <f>VLOOKUP($B120,'[1]Data_UN_PopulationTot.&amp;%'!$B$4:$CZ$603,70,FALSE)</f>
        <v>3.2045342564804806</v>
      </c>
      <c r="CG120">
        <f>VLOOKUP($B120,'[1]Data_UN_PopulationTot.&amp;%'!$B$4:$CZ$603,71,FALSE)</f>
        <v>2.5039513172123855</v>
      </c>
      <c r="CH120">
        <f>VLOOKUP($B120,'[1]Data_UN_PopulationTot.&amp;%'!$B$4:$CZ$603,72,FALSE)</f>
        <v>1.9758089802082199</v>
      </c>
      <c r="CI120">
        <f>VLOOKUP($B120,'[1]Data_UN_PopulationTot.&amp;%'!$B$4:$CZ$603,73,FALSE)</f>
        <v>1.5198333727931812</v>
      </c>
      <c r="CJ120">
        <f>VLOOKUP($B120,'[1]Data_UN_PopulationTot.&amp;%'!$B$4:$CZ$603,74,FALSE)</f>
        <v>1.1794185964665305</v>
      </c>
      <c r="CK120">
        <f>VLOOKUP($B120,'[1]Data_UN_PopulationTot.&amp;%'!$B$4:$CZ$603,75,FALSE)</f>
        <v>0.83895902787998244</v>
      </c>
      <c r="CL120">
        <f>VLOOKUP($B120,'[1]Data_UN_PopulationTot.&amp;%'!$B$4:$CZ$603,76,FALSE)</f>
        <v>0.50751230187423613</v>
      </c>
      <c r="CM120">
        <f>VLOOKUP($B120,'[1]Data_UN_PopulationTot.&amp;%'!$B$4:$CZ$603,77,FALSE)</f>
        <v>0.24544238755543044</v>
      </c>
      <c r="CN120">
        <f>VLOOKUP($B120,'[1]Data_UN_PopulationTot.&amp;%'!$B$4:$CZ$603,78,FALSE)</f>
        <v>7.77465653935E-2</v>
      </c>
      <c r="CO120">
        <f>VLOOKUP($B120,'[1]Data_UN_PopulationTot.&amp;%'!$B$4:$CZ$603,79,FALSE)</f>
        <v>1.1959533392629753E-2</v>
      </c>
      <c r="CP120">
        <f>VLOOKUP($B120,'[1]Data_UN_PopulationTot.&amp;%'!$B$4:$CZ$603,80,FALSE)</f>
        <v>7.5826897112179006E-4</v>
      </c>
      <c r="CQ120">
        <f>VLOOKUP($B120,'[1]Data_UN_PopulationTot.&amp;%'!$B$4:$CZ$603,81,FALSE)</f>
        <v>3.1994471355349797E-5</v>
      </c>
      <c r="CR120">
        <f>VLOOKUP($B120,'[1]Data_UN_PopulationTot.&amp;%'!$B$4:$CZ$603,82,FALSE)</f>
        <v>15.183587148656786</v>
      </c>
      <c r="CS120">
        <f>VLOOKUP($B120,'[1]Data_UN_PopulationTot.&amp;%'!$B$4:$CZ$603,83,FALSE)</f>
        <v>13.746940618869097</v>
      </c>
      <c r="CT120">
        <f>VLOOKUP($B120,'[1]Data_UN_PopulationTot.&amp;%'!$B$4:$CZ$603,84,FALSE)</f>
        <v>12.303179813911928</v>
      </c>
      <c r="CU120">
        <f>VLOOKUP($B120,'[1]Data_UN_PopulationTot.&amp;%'!$B$4:$CZ$603,85,FALSE)</f>
        <v>10.961179852761212</v>
      </c>
      <c r="CV120">
        <f>VLOOKUP($B120,'[1]Data_UN_PopulationTot.&amp;%'!$B$4:$CZ$603,86,FALSE)</f>
        <v>9.6961257551329609</v>
      </c>
      <c r="CW120">
        <f>VLOOKUP($B120,'[1]Data_UN_PopulationTot.&amp;%'!$B$4:$CZ$603,87,FALSE)</f>
        <v>8.383991181212485</v>
      </c>
      <c r="CX120">
        <f>VLOOKUP($B120,'[1]Data_UN_PopulationTot.&amp;%'!$B$4:$CZ$603,88,FALSE)</f>
        <v>6.8098181853499344</v>
      </c>
      <c r="CY120">
        <f>VLOOKUP($B120,'[1]Data_UN_PopulationTot.&amp;%'!$B$4:$CZ$603,89,FALSE)</f>
        <v>5.4863687574056446</v>
      </c>
      <c r="CZ120">
        <f>VLOOKUP($B120,'[1]Data_UN_PopulationTot.&amp;%'!$B$4:$CZ$603,90,FALSE)</f>
        <v>4.4379722616110797</v>
      </c>
      <c r="DA120">
        <f>VLOOKUP($B120,'[1]Data_UN_PopulationTot.&amp;%'!$B$4:$CZ$603,91,FALSE)</f>
        <v>3.6152658262271515</v>
      </c>
      <c r="DB120">
        <f>VLOOKUP($B120,'[1]Data_UN_PopulationTot.&amp;%'!$B$4:$CZ$603,92,FALSE)</f>
        <v>2.8055981818534992</v>
      </c>
      <c r="DC120">
        <f>VLOOKUP($B120,'[1]Data_UN_PopulationTot.&amp;%'!$B$4:$CZ$603,93,FALSE)</f>
        <v>2.1281370796993064</v>
      </c>
      <c r="DD120">
        <f>VLOOKUP($B120,'[1]Data_UN_PopulationTot.&amp;%'!$B$4:$CZ$603,94,FALSE)</f>
        <v>1.5999106466463353</v>
      </c>
      <c r="DE120">
        <f>VLOOKUP($B120,'[1]Data_UN_PopulationTot.&amp;%'!$B$4:$CZ$603,95,FALSE)</f>
        <v>1.1763757502768011</v>
      </c>
      <c r="DF120">
        <f>VLOOKUP($B120,'[1]Data_UN_PopulationTot.&amp;%'!$B$4:$CZ$603,96,FALSE)</f>
        <v>0.80183222936617382</v>
      </c>
      <c r="DG120">
        <f>VLOOKUP($B120,'[1]Data_UN_PopulationTot.&amp;%'!$B$4:$CZ$603,97,FALSE)</f>
        <v>0.50860997261125462</v>
      </c>
      <c r="DH120">
        <f>VLOOKUP($B120,'[1]Data_UN_PopulationTot.&amp;%'!$B$4:$CZ$603,98,FALSE)</f>
        <v>0.25597064936578545</v>
      </c>
      <c r="DI120">
        <f>VLOOKUP($B120,'[1]Data_UN_PopulationTot.&amp;%'!$B$4:$CZ$603,99,FALSE)</f>
        <v>8.3768769060430057E-2</v>
      </c>
      <c r="DJ120">
        <f>VLOOKUP($B120,'[1]Data_UN_PopulationTot.&amp;%'!$B$4:$DE$603,100,FALSE)</f>
        <v>1.4371807074454651E-2</v>
      </c>
      <c r="DK120">
        <f>VLOOKUP($B120,'[1]Data_UN_PopulationTot.&amp;%'!$B$4:$DE$603,101,FALSE)</f>
        <v>1.0295060313513721E-3</v>
      </c>
      <c r="DL120">
        <f>VLOOKUP($B120,'[1]Data_UN_PopulationTot.&amp;%'!$B$4:$DE$603,102,FALSE)</f>
        <v>3.8849284201938574E-5</v>
      </c>
    </row>
    <row r="121" spans="1:116">
      <c r="A121" t="s">
        <v>135</v>
      </c>
      <c r="B121" t="s">
        <v>349</v>
      </c>
      <c r="C121" t="s">
        <v>496</v>
      </c>
      <c r="D121" t="s">
        <v>334</v>
      </c>
      <c r="E121" t="s">
        <v>300</v>
      </c>
      <c r="F121">
        <v>0</v>
      </c>
      <c r="G121">
        <v>1</v>
      </c>
      <c r="H121">
        <v>0</v>
      </c>
      <c r="I121">
        <v>0</v>
      </c>
      <c r="J121" s="18">
        <f t="shared" si="3"/>
        <v>65.48092405017799</v>
      </c>
      <c r="K121">
        <f>VLOOKUP($B121,'[1]Source GDP Current USD'!$B$1:$CZ$600,64,FALSE)</f>
        <v>7913680231.1828003</v>
      </c>
      <c r="L121" s="45">
        <f>VLOOKUP($B121,'[1]Source GDP Current USD'!$B$1:$CZ$600,65,FALSE)</f>
        <v>7913680231.1828003</v>
      </c>
      <c r="M121" s="17">
        <f>VLOOKUP($B121,'[1]Source GDP Current LCU'!$B$1:$CZ$600,64,FALSE)</f>
        <v>294388904600</v>
      </c>
      <c r="N121" s="45">
        <v>290000000000</v>
      </c>
      <c r="O121" s="45">
        <f>VLOOKUP($B121,'[1]Source GNI Current USD'!$B$1:$CZ$600,64,FALSE)</f>
        <v>7807980231.1828003</v>
      </c>
      <c r="P121" s="45">
        <f>VLOOKUP($B121,'[1]Source GNI Current LCU'!$B$1:$CZ$600,64,FALSE)</f>
        <v>290456864600</v>
      </c>
      <c r="Q121">
        <f t="shared" si="2"/>
        <v>101.353743181596</v>
      </c>
      <c r="R121">
        <v>1670</v>
      </c>
      <c r="S121">
        <v>1670</v>
      </c>
      <c r="T121">
        <v>0.31576300000000002</v>
      </c>
      <c r="U121" s="45">
        <v>4600000</v>
      </c>
      <c r="V121">
        <v>22.242999999999999</v>
      </c>
      <c r="W121">
        <f>VLOOKUP($B121,'[1]Source Gov. Revenue WEO'!$B$1:$CZ$600,5,FALSE)</f>
        <v>19.373000000000001</v>
      </c>
      <c r="X121">
        <f>VLOOKUP($B121,'[1]Source Gov. Revenue WEO'!$B$1:$CZ$600,6,FALSE)</f>
        <v>19.257999999999999</v>
      </c>
      <c r="Y121">
        <f>VLOOKUP($B121,'[1]Source Gov. Revenue WEO'!$B$1:$CZ$600,7,FALSE)</f>
        <v>19.922999999999998</v>
      </c>
      <c r="Z121">
        <f>VLOOKUP($B121,'[1]Source Gov. Revenue WEO'!$B$1:$CZ$600,8,FALSE)</f>
        <v>20.111999999999998</v>
      </c>
      <c r="AA121">
        <f>VLOOKUP($B121,'[1]Source Gov. Revenue WEO'!$B$1:$CZ$600,9,FALSE)</f>
        <v>20.395</v>
      </c>
      <c r="AB121">
        <f>VLOOKUP($B121,'[1]Source Gov. Revenue WEO'!$B$1:$CZ$600,10,FALSE)</f>
        <v>20.594999999999999</v>
      </c>
      <c r="AC121">
        <f>VLOOKUP($B121,[2]Summary!$B$1:$CZ$600,39,FALSE)</f>
        <v>6.4367560000000004E-2</v>
      </c>
      <c r="AD121">
        <f>VLOOKUP($B121,[2]Summary!$B$1:$CZ$600,40,FALSE)</f>
        <v>6.0749999999999998E-2</v>
      </c>
      <c r="AE121">
        <f>VLOOKUP($B121,[2]Summary!$B$1:$CZ$600,47,FALSE)</f>
        <v>0.34123145804210836</v>
      </c>
      <c r="AF121">
        <f>VLOOKUP($B121,'[1]CALC GDP Growth rates WDI'!$B$1:$CZ$600,27,FALSE)</f>
        <v>45.548636993254647</v>
      </c>
      <c r="AG121">
        <f>VLOOKUP($B121,'[1]CALC GDP Growth rates WDI'!$B$1:$CZ$600,29,FALSE)</f>
        <v>44.005228879669176</v>
      </c>
      <c r="AH121">
        <v>16.86</v>
      </c>
      <c r="AI121">
        <f>VLOOKUP($B121,'[1]CALC GDP Growth rates WDI'!$B$1:$CZ$600,30,FALSE)</f>
        <v>18.729116251896837</v>
      </c>
      <c r="AJ121" s="45" t="s">
        <v>2464</v>
      </c>
      <c r="AK121">
        <f>VLOOKUP($B121,[1]Data_Aspire!$B$1:$CZ$600,2,FALSE)</f>
        <v>2016</v>
      </c>
      <c r="AL121">
        <f>VLOOKUP($B121,[1]Data_Aspire!$B$1:$CZ$600,3,FALSE)</f>
        <v>3.43</v>
      </c>
      <c r="AM121">
        <f>VLOOKUP($B121,[1]Data_Aspire!$B$1:$CZ$600,4,FALSE)</f>
        <v>0.03</v>
      </c>
      <c r="AN121">
        <f>VLOOKUP($B121,[1]Data_Aspire!$B$1:$CZ$600,5,FALSE)</f>
        <v>0</v>
      </c>
      <c r="AO121">
        <f>VLOOKUP($B121,[1]Data_Aspire!$B$1:$CZ$600,6,FALSE)</f>
        <v>0</v>
      </c>
      <c r="AP121">
        <f>VLOOKUP($B121,[1]Data_Aspire!$B$1:$CZ$600,7,FALSE)</f>
        <v>0.6</v>
      </c>
      <c r="AR121">
        <f>VLOOKUP($B121,[1]Data_Aspire!$B$1:$CZ$600,9,FALSE)</f>
        <v>2.2799999999999998</v>
      </c>
      <c r="AS121">
        <f>VLOOKUP($B121,[1]Data_Aspire!$B$1:$CZ$600,10,FALSE)</f>
        <v>0.52</v>
      </c>
      <c r="AU121">
        <f>VLOOKUP($B121,[1]Data_Aspire!$B$1:$CZ$600,12,FALSE)</f>
        <v>2.91</v>
      </c>
      <c r="AV121">
        <f>VLOOKUP($B121,[1]Data_Aspire!$B$1:$CZ$600,13,FALSE)</f>
        <v>31110</v>
      </c>
      <c r="AW121">
        <f>VLOOKUP($B121,[1]Data_Aspire!$B$1:$CZ$600,14,FALSE)</f>
        <v>2016</v>
      </c>
      <c r="BB121">
        <f>VLOOKUP($B121,[1]Data_Aspire!$B$1:$CZ$600,19,FALSE)</f>
        <v>300000</v>
      </c>
      <c r="BC121">
        <f>VLOOKUP($B121,[1]Data_Aspire!$B$1:$CZ$600,20,FALSE)</f>
        <v>2015</v>
      </c>
      <c r="BD121">
        <f>VLOOKUP($B121,[1]Data_Aspire!$B$1:$CZ$600,21,FALSE)</f>
        <v>346164</v>
      </c>
      <c r="BE121">
        <f>VLOOKUP($B121,[1]Data_Aspire!$B$1:$CZ$600,22,FALSE)</f>
        <v>2016</v>
      </c>
      <c r="BH121">
        <f>VLOOKUP($B121,[1]Data_Aspire!$B$1:$CZ$600,25,FALSE)</f>
        <v>603</v>
      </c>
      <c r="BI121">
        <f>VLOOKUP($B121,[1]Data_Aspire!$B$1:$CZ$600,26,FALSE)</f>
        <v>2015</v>
      </c>
      <c r="BJ121" s="7">
        <v>1</v>
      </c>
      <c r="BK121">
        <v>478</v>
      </c>
      <c r="BL121">
        <f>VLOOKUP($B121,'[1]Data_UN_PopulationTot.&amp;%'!$B$4:$CZ$603,8,FALSE)</f>
        <v>4649.66</v>
      </c>
      <c r="BM121">
        <f>VLOOKUP($B121,'[1]Data_UN_PopulationTot.&amp;%'!$B$4:$CZ$603,9,FALSE)</f>
        <v>4775.1099999999997</v>
      </c>
      <c r="BN121">
        <v>4901.9799999999996</v>
      </c>
      <c r="BO121">
        <f>VLOOKUP($B121,'[1]Data_UN_PopulationTot.&amp;%'!$B$4:$CZ$603,11,FALSE)</f>
        <v>5030.2299999999996</v>
      </c>
      <c r="BP121">
        <f>VLOOKUP($B121,'[1]Data_UN_PopulationTot.&amp;%'!$B$4:$CZ$603,12,FALSE)</f>
        <v>5159.8900000000003</v>
      </c>
      <c r="BQ121">
        <f>VLOOKUP($B121,'[1]Data_UN_PopulationTot.&amp;%'!$B$4:$CZ$603,13,FALSE)</f>
        <v>5290.96</v>
      </c>
      <c r="BR121">
        <f>VLOOKUP($B121,'[1]Data_UN_PopulationTot.&amp;%'!$B$4:$CZ$603,14,FALSE)</f>
        <v>5423.38</v>
      </c>
      <c r="BS121">
        <f>VLOOKUP($B121,'[1]Data_UN_PopulationTot.&amp;%'!$B$4:$CZ$603,15,FALSE)</f>
        <v>5557.16</v>
      </c>
      <c r="BT121">
        <f>VLOOKUP($B121,'[1]Data_UN_PopulationTot.&amp;%'!$B$4:$CZ$603,16,FALSE)</f>
        <v>5692.35</v>
      </c>
      <c r="BU121">
        <f>VLOOKUP($B121,'[1]Data_UN_PopulationTot.&amp;%'!$B$4:$CZ$603,17,FALSE)</f>
        <v>5829</v>
      </c>
      <c r="BV121">
        <f>VLOOKUP($B121,'[1]Data_UN_PopulationTot.&amp;%'!$B$4:$CZ$603,18,FALSE)</f>
        <v>5967.18</v>
      </c>
      <c r="BW121">
        <f>VLOOKUP($B121,'[1]Data_UN_PopulationTot.&amp;%'!$B$4:$CZ$603,61,FALSE)</f>
        <v>14.837084862118951</v>
      </c>
      <c r="BX121">
        <f>VLOOKUP($B121,'[1]Data_UN_PopulationTot.&amp;%'!$B$4:$CZ$603,62,FALSE)</f>
        <v>13.290305097577026</v>
      </c>
      <c r="BY121">
        <f>VLOOKUP($B121,'[1]Data_UN_PopulationTot.&amp;%'!$B$4:$CZ$603,63,FALSE)</f>
        <v>11.55770529458068</v>
      </c>
      <c r="BZ121">
        <f>VLOOKUP($B121,'[1]Data_UN_PopulationTot.&amp;%'!$B$4:$CZ$603,64,FALSE)</f>
        <v>10.111728599510503</v>
      </c>
      <c r="CA121">
        <f>VLOOKUP($B121,'[1]Data_UN_PopulationTot.&amp;%'!$B$4:$CZ$603,65,FALSE)</f>
        <v>8.9496221229079111</v>
      </c>
      <c r="CB121">
        <f>VLOOKUP($B121,'[1]Data_UN_PopulationTot.&amp;%'!$B$4:$CZ$603,66,FALSE)</f>
        <v>7.9957459255085324</v>
      </c>
      <c r="CC121">
        <f>VLOOKUP($B121,'[1]Data_UN_PopulationTot.&amp;%'!$B$4:$CZ$603,67,FALSE)</f>
        <v>7.1897945226102555</v>
      </c>
      <c r="CD121">
        <f>VLOOKUP($B121,'[1]Data_UN_PopulationTot.&amp;%'!$B$4:$CZ$603,68,FALSE)</f>
        <v>6.1397607567004897</v>
      </c>
      <c r="CE121">
        <f>VLOOKUP($B121,'[1]Data_UN_PopulationTot.&amp;%'!$B$4:$CZ$603,69,FALSE)</f>
        <v>5.0458528150445412</v>
      </c>
      <c r="CF121">
        <f>VLOOKUP($B121,'[1]Data_UN_PopulationTot.&amp;%'!$B$4:$CZ$603,70,FALSE)</f>
        <v>4.0436720104265689</v>
      </c>
      <c r="CG121">
        <f>VLOOKUP($B121,'[1]Data_UN_PopulationTot.&amp;%'!$B$4:$CZ$603,71,FALSE)</f>
        <v>3.2186869577560504</v>
      </c>
      <c r="CH121">
        <f>VLOOKUP($B121,'[1]Data_UN_PopulationTot.&amp;%'!$B$4:$CZ$603,72,FALSE)</f>
        <v>2.5268944395934327</v>
      </c>
      <c r="CI121">
        <f>VLOOKUP($B121,'[1]Data_UN_PopulationTot.&amp;%'!$B$4:$CZ$603,73,FALSE)</f>
        <v>1.9152153060653896</v>
      </c>
      <c r="CJ121">
        <f>VLOOKUP($B121,'[1]Data_UN_PopulationTot.&amp;%'!$B$4:$CZ$603,74,FALSE)</f>
        <v>1.3339039843773524</v>
      </c>
      <c r="CK121">
        <f>VLOOKUP($B121,'[1]Data_UN_PopulationTot.&amp;%'!$B$4:$CZ$603,75,FALSE)</f>
        <v>0.89653867164480849</v>
      </c>
      <c r="CL121">
        <f>VLOOKUP($B121,'[1]Data_UN_PopulationTot.&amp;%'!$B$4:$CZ$603,76,FALSE)</f>
        <v>0.5484271968272949</v>
      </c>
      <c r="CM121">
        <f>VLOOKUP($B121,'[1]Data_UN_PopulationTot.&amp;%'!$B$4:$CZ$603,77,FALSE)</f>
        <v>0.2743211331581234</v>
      </c>
      <c r="CN121">
        <f>VLOOKUP($B121,'[1]Data_UN_PopulationTot.&amp;%'!$B$4:$CZ$603,78,FALSE)</f>
        <v>9.927607610018796E-2</v>
      </c>
      <c r="CO121">
        <f>VLOOKUP($B121,'[1]Data_UN_PopulationTot.&amp;%'!$B$4:$CZ$603,79,FALSE)</f>
        <v>2.2410240748785934E-2</v>
      </c>
      <c r="CP121">
        <f>VLOOKUP($B121,'[1]Data_UN_PopulationTot.&amp;%'!$B$4:$CZ$603,80,FALSE)</f>
        <v>2.8604242030600088E-3</v>
      </c>
      <c r="CQ121">
        <f>VLOOKUP($B121,'[1]Data_UN_PopulationTot.&amp;%'!$B$4:$CZ$603,81,FALSE)</f>
        <v>1.9356254005669228E-4</v>
      </c>
      <c r="CR121">
        <f>VLOOKUP($B121,'[1]Data_UN_PopulationTot.&amp;%'!$B$4:$CZ$603,82,FALSE)</f>
        <v>13.456724952154953</v>
      </c>
      <c r="CS121">
        <f>VLOOKUP($B121,'[1]Data_UN_PopulationTot.&amp;%'!$B$4:$CZ$603,83,FALSE)</f>
        <v>12.333145639984046</v>
      </c>
      <c r="CT121">
        <f>VLOOKUP($B121,'[1]Data_UN_PopulationTot.&amp;%'!$B$4:$CZ$603,84,FALSE)</f>
        <v>11.343633005875471</v>
      </c>
      <c r="CU121">
        <f>VLOOKUP($B121,'[1]Data_UN_PopulationTot.&amp;%'!$B$4:$CZ$603,85,FALSE)</f>
        <v>10.286902691053394</v>
      </c>
      <c r="CV121">
        <f>VLOOKUP($B121,'[1]Data_UN_PopulationTot.&amp;%'!$B$4:$CZ$603,86,FALSE)</f>
        <v>8.9581175697733268</v>
      </c>
      <c r="CW121">
        <f>VLOOKUP($B121,'[1]Data_UN_PopulationTot.&amp;%'!$B$4:$CZ$603,87,FALSE)</f>
        <v>7.8487493254770255</v>
      </c>
      <c r="CX121">
        <f>VLOOKUP($B121,'[1]Data_UN_PopulationTot.&amp;%'!$B$4:$CZ$603,88,FALSE)</f>
        <v>6.9431959485049894</v>
      </c>
      <c r="CY121">
        <f>VLOOKUP($B121,'[1]Data_UN_PopulationTot.&amp;%'!$B$4:$CZ$603,89,FALSE)</f>
        <v>6.1729828830368785</v>
      </c>
      <c r="CZ121">
        <f>VLOOKUP($B121,'[1]Data_UN_PopulationTot.&amp;%'!$B$4:$CZ$603,90,FALSE)</f>
        <v>5.5008898675756379</v>
      </c>
      <c r="DA121">
        <f>VLOOKUP($B121,'[1]Data_UN_PopulationTot.&amp;%'!$B$4:$CZ$603,91,FALSE)</f>
        <v>4.6368636441334088</v>
      </c>
      <c r="DB121">
        <f>VLOOKUP($B121,'[1]Data_UN_PopulationTot.&amp;%'!$B$4:$CZ$603,92,FALSE)</f>
        <v>3.7345781424391418</v>
      </c>
      <c r="DC121">
        <f>VLOOKUP($B121,'[1]Data_UN_PopulationTot.&amp;%'!$B$4:$CZ$603,93,FALSE)</f>
        <v>2.9010688465908516</v>
      </c>
      <c r="DD121">
        <f>VLOOKUP($B121,'[1]Data_UN_PopulationTot.&amp;%'!$B$4:$CZ$603,94,FALSE)</f>
        <v>2.200017428668148</v>
      </c>
      <c r="DE121">
        <f>VLOOKUP($B121,'[1]Data_UN_PopulationTot.&amp;%'!$B$4:$CZ$603,95,FALSE)</f>
        <v>1.596935235739495</v>
      </c>
      <c r="DF121">
        <f>VLOOKUP($B121,'[1]Data_UN_PopulationTot.&amp;%'!$B$4:$CZ$603,96,FALSE)</f>
        <v>1.0646905238320277</v>
      </c>
      <c r="DG121">
        <f>VLOOKUP($B121,'[1]Data_UN_PopulationTot.&amp;%'!$B$4:$CZ$603,97,FALSE)</f>
        <v>0.60147339279190504</v>
      </c>
      <c r="DH121">
        <f>VLOOKUP($B121,'[1]Data_UN_PopulationTot.&amp;%'!$B$4:$CZ$603,98,FALSE)</f>
        <v>0.28876286621151032</v>
      </c>
      <c r="DI121">
        <f>VLOOKUP($B121,'[1]Data_UN_PopulationTot.&amp;%'!$B$4:$CZ$603,99,FALSE)</f>
        <v>0.10370057548121558</v>
      </c>
      <c r="DJ121">
        <f>VLOOKUP($B121,'[1]Data_UN_PopulationTot.&amp;%'!$B$4:$DE$603,100,FALSE)</f>
        <v>2.4014693707915633E-2</v>
      </c>
      <c r="DK121">
        <f>VLOOKUP($B121,'[1]Data_UN_PopulationTot.&amp;%'!$B$4:$DE$603,101,FALSE)</f>
        <v>3.2511169430116068E-3</v>
      </c>
      <c r="DL121">
        <f>VLOOKUP($B121,'[1]Data_UN_PopulationTot.&amp;%'!$B$4:$DE$603,102,FALSE)</f>
        <v>2.3461668660908501E-4</v>
      </c>
    </row>
    <row r="122" spans="1:116">
      <c r="A122" t="s">
        <v>221</v>
      </c>
      <c r="B122" t="s">
        <v>436</v>
      </c>
      <c r="C122" t="s">
        <v>496</v>
      </c>
      <c r="D122" t="s">
        <v>389</v>
      </c>
      <c r="E122" t="s">
        <v>301</v>
      </c>
      <c r="F122">
        <v>0</v>
      </c>
      <c r="G122">
        <v>0</v>
      </c>
      <c r="H122">
        <v>1</v>
      </c>
      <c r="I122">
        <v>0</v>
      </c>
      <c r="J122" s="18">
        <f t="shared" si="3"/>
        <v>92.620110600000004</v>
      </c>
      <c r="K122">
        <f>VLOOKUP($B122,'[1]Source GDP Current USD'!$B$1:$CZ$600,64,FALSE)</f>
        <v>10920606197.692801</v>
      </c>
      <c r="L122" s="45">
        <f>VLOOKUP($B122,'[1]Source GDP Current USD'!$B$1:$CZ$600,65,FALSE)</f>
        <v>10920606197.692801</v>
      </c>
      <c r="M122" s="17">
        <f>VLOOKUP($B122,'[1]Source GDP Current LCU'!$B$1:$CZ$600,64,FALSE)</f>
        <v>429692000000</v>
      </c>
      <c r="N122" s="45">
        <v>430000000000</v>
      </c>
      <c r="O122" s="45">
        <f>VLOOKUP($B122,'[1]Source GNI Current USD'!$B$1:$CZ$600,64,FALSE)</f>
        <v>11902233721.0809</v>
      </c>
      <c r="P122" s="45">
        <f>VLOOKUP($B122,'[1]Source GNI Current LCU'!$B$1:$CZ$600,64,FALSE)</f>
        <v>468316000000</v>
      </c>
      <c r="Q122">
        <f t="shared" si="2"/>
        <v>91.75257731958763</v>
      </c>
      <c r="R122">
        <v>10230</v>
      </c>
      <c r="S122">
        <v>10230</v>
      </c>
      <c r="T122">
        <v>0.42024499999999998</v>
      </c>
      <c r="U122" s="45">
        <v>1300000</v>
      </c>
      <c r="V122">
        <v>21.555</v>
      </c>
      <c r="W122">
        <f>VLOOKUP($B122,'[1]Source Gov. Revenue WEO'!$B$1:$CZ$600,5,FALSE)</f>
        <v>22.991</v>
      </c>
      <c r="X122">
        <f>VLOOKUP($B122,'[1]Source Gov. Revenue WEO'!$B$1:$CZ$600,6,FALSE)</f>
        <v>23.678999999999998</v>
      </c>
      <c r="Y122">
        <f>VLOOKUP($B122,'[1]Source Gov. Revenue WEO'!$B$1:$CZ$600,7,FALSE)</f>
        <v>24.5</v>
      </c>
      <c r="Z122">
        <f>VLOOKUP($B122,'[1]Source Gov. Revenue WEO'!$B$1:$CZ$600,8,FALSE)</f>
        <v>25.681999999999999</v>
      </c>
      <c r="AA122">
        <f>VLOOKUP($B122,'[1]Source Gov. Revenue WEO'!$B$1:$CZ$600,9,FALSE)</f>
        <v>25.75</v>
      </c>
      <c r="AB122">
        <f>VLOOKUP($B122,'[1]Source Gov. Revenue WEO'!$B$1:$CZ$600,10,FALSE)</f>
        <v>25.687000000000001</v>
      </c>
      <c r="AC122">
        <f>VLOOKUP($B122,[2]Summary!$B$1:$CZ$600,39,FALSE)</f>
        <v>1.3998369999999999E-3</v>
      </c>
      <c r="AD122">
        <f>VLOOKUP($B122,[2]Summary!$B$1:$CZ$600,40,FALSE)</f>
        <v>9.999999999999999E-14</v>
      </c>
      <c r="AE122">
        <f>VLOOKUP($B122,[2]Summary!$B$1:$CZ$600,47,FALSE)</f>
        <v>0.25550121316438895</v>
      </c>
      <c r="AF122">
        <f>VLOOKUP($B122,'[1]CALC GDP Growth rates WDI'!$B$1:$CZ$600,27,FALSE)</f>
        <v>17.287288227078747</v>
      </c>
      <c r="AG122">
        <f>VLOOKUP($B122,'[1]CALC GDP Growth rates WDI'!$B$1:$CZ$600,29,FALSE)</f>
        <v>39.01629826176962</v>
      </c>
      <c r="AH122">
        <v>-1.88</v>
      </c>
      <c r="AI122">
        <f>VLOOKUP($B122,'[1]CALC GDP Growth rates WDI'!$B$1:$CZ$600,30,FALSE)</f>
        <v>15.307985702326455</v>
      </c>
      <c r="AK122">
        <f>VLOOKUP($B122,[1]Data_Aspire!$B$1:$CZ$600,2,FALSE)</f>
        <v>2015</v>
      </c>
      <c r="AL122">
        <f>VLOOKUP($B122,[1]Data_Aspire!$B$1:$CZ$600,3,FALSE)</f>
        <v>3.46</v>
      </c>
      <c r="AM122">
        <f>VLOOKUP($B122,[1]Data_Aspire!$B$1:$CZ$600,4,FALSE)</f>
        <v>0</v>
      </c>
      <c r="AN122">
        <f>VLOOKUP($B122,[1]Data_Aspire!$B$1:$CZ$600,5,FALSE)</f>
        <v>0.25</v>
      </c>
      <c r="AO122">
        <f>VLOOKUP($B122,[1]Data_Aspire!$B$1:$CZ$600,6,FALSE)</f>
        <v>3.18</v>
      </c>
      <c r="AP122">
        <f>VLOOKUP($B122,[1]Data_Aspire!$B$1:$CZ$600,7,FALSE)</f>
        <v>0</v>
      </c>
      <c r="AR122">
        <f>VLOOKUP($B122,[1]Data_Aspire!$B$1:$CZ$600,9,FALSE)</f>
        <v>0.02</v>
      </c>
      <c r="AU122">
        <f>VLOOKUP($B122,[1]Data_Aspire!$B$1:$CZ$600,12,FALSE)</f>
        <v>3.46</v>
      </c>
      <c r="AX122">
        <f>VLOOKUP($B122,[1]Data_Aspire!$B$1:$CZ$600,15,FALSE)</f>
        <v>19619</v>
      </c>
      <c r="AY122">
        <f>VLOOKUP($B122,[1]Data_Aspire!$B$1:$CZ$600,16,FALSE)</f>
        <v>2016</v>
      </c>
      <c r="AZ122">
        <f>VLOOKUP($B122,[1]Data_Aspire!$B$1:$CZ$600,17,FALSE)</f>
        <v>195591</v>
      </c>
      <c r="BA122">
        <f>VLOOKUP($B122,[1]Data_Aspire!$B$1:$CZ$600,18,FALSE)</f>
        <v>2016</v>
      </c>
      <c r="BB122">
        <f>VLOOKUP($B122,[1]Data_Aspire!$B$1:$CZ$600,19,FALSE)</f>
        <v>3000</v>
      </c>
      <c r="BC122">
        <f>VLOOKUP($B122,[1]Data_Aspire!$B$1:$CZ$600,20,FALSE)</f>
        <v>2014</v>
      </c>
      <c r="BF122">
        <f>VLOOKUP($B122,[1]Data_Aspire!$B$1:$CZ$600,23,FALSE)</f>
        <v>1107</v>
      </c>
      <c r="BG122">
        <f>VLOOKUP($B122,[1]Data_Aspire!$B$1:$CZ$600,24,FALSE)</f>
        <v>2009</v>
      </c>
      <c r="BH122">
        <f>VLOOKUP($B122,[1]Data_Aspire!$B$1:$CZ$600,25,FALSE)</f>
        <v>517</v>
      </c>
      <c r="BI122">
        <f>VLOOKUP($B122,[1]Data_Aspire!$B$1:$CZ$600,26,FALSE)</f>
        <v>2009</v>
      </c>
      <c r="BJ122" s="7">
        <v>1</v>
      </c>
      <c r="BK122">
        <v>480</v>
      </c>
      <c r="BL122">
        <f>VLOOKUP($B122,'[1]Data_UN_PopulationTot.&amp;%'!$B$4:$CZ$603,8,FALSE)</f>
        <v>1271.77</v>
      </c>
      <c r="BM122">
        <f>VLOOKUP($B122,'[1]Data_UN_PopulationTot.&amp;%'!$B$4:$CZ$603,9,FALSE)</f>
        <v>1273.43</v>
      </c>
      <c r="BN122">
        <v>1274.72</v>
      </c>
      <c r="BO122">
        <f>VLOOKUP($B122,'[1]Data_UN_PopulationTot.&amp;%'!$B$4:$CZ$603,11,FALSE)</f>
        <v>1275.6600000000001</v>
      </c>
      <c r="BP122">
        <f>VLOOKUP($B122,'[1]Data_UN_PopulationTot.&amp;%'!$B$4:$CZ$603,12,FALSE)</f>
        <v>1276.28</v>
      </c>
      <c r="BQ122">
        <f>VLOOKUP($B122,'[1]Data_UN_PopulationTot.&amp;%'!$B$4:$CZ$603,13,FALSE)</f>
        <v>1276.6400000000001</v>
      </c>
      <c r="BR122">
        <f>VLOOKUP($B122,'[1]Data_UN_PopulationTot.&amp;%'!$B$4:$CZ$603,14,FALSE)</f>
        <v>1276.72</v>
      </c>
      <c r="BS122">
        <f>VLOOKUP($B122,'[1]Data_UN_PopulationTot.&amp;%'!$B$4:$CZ$603,15,FALSE)</f>
        <v>1276.49</v>
      </c>
      <c r="BT122">
        <f>VLOOKUP($B122,'[1]Data_UN_PopulationTot.&amp;%'!$B$4:$CZ$603,16,FALSE)</f>
        <v>1275.97</v>
      </c>
      <c r="BU122">
        <f>VLOOKUP($B122,'[1]Data_UN_PopulationTot.&amp;%'!$B$4:$CZ$603,17,FALSE)</f>
        <v>1275.1400000000001</v>
      </c>
      <c r="BV122">
        <f>VLOOKUP($B122,'[1]Data_UN_PopulationTot.&amp;%'!$B$4:$CZ$603,18,FALSE)</f>
        <v>1274.04</v>
      </c>
      <c r="BW122">
        <f>VLOOKUP($B122,'[1]Data_UN_PopulationTot.&amp;%'!$B$4:$CZ$603,61,FALSE)</f>
        <v>5.036130746911784</v>
      </c>
      <c r="BX122">
        <f>VLOOKUP($B122,'[1]Data_UN_PopulationTot.&amp;%'!$B$4:$CZ$603,62,FALSE)</f>
        <v>5.4127711771782634</v>
      </c>
      <c r="BY122">
        <f>VLOOKUP($B122,'[1]Data_UN_PopulationTot.&amp;%'!$B$4:$CZ$603,63,FALSE)</f>
        <v>6.3357368077561187</v>
      </c>
      <c r="BZ122">
        <f>VLOOKUP($B122,'[1]Data_UN_PopulationTot.&amp;%'!$B$4:$CZ$603,64,FALSE)</f>
        <v>7.4375083544980614</v>
      </c>
      <c r="CA122">
        <f>VLOOKUP($B122,'[1]Data_UN_PopulationTot.&amp;%'!$B$4:$CZ$603,65,FALSE)</f>
        <v>7.4000015726114006</v>
      </c>
      <c r="CB122">
        <f>VLOOKUP($B122,'[1]Data_UN_PopulationTot.&amp;%'!$B$4:$CZ$603,66,FALSE)</f>
        <v>8.0752022771413063</v>
      </c>
      <c r="CC122">
        <f>VLOOKUP($B122,'[1]Data_UN_PopulationTot.&amp;%'!$B$4:$CZ$603,67,FALSE)</f>
        <v>6.9540089796110927</v>
      </c>
      <c r="CD122">
        <f>VLOOKUP($B122,'[1]Data_UN_PopulationTot.&amp;%'!$B$4:$CZ$603,68,FALSE)</f>
        <v>6.8148328707234791</v>
      </c>
      <c r="CE122">
        <f>VLOOKUP($B122,'[1]Data_UN_PopulationTot.&amp;%'!$B$4:$CZ$603,69,FALSE)</f>
        <v>7.8121043899447224</v>
      </c>
      <c r="CF122">
        <f>VLOOKUP($B122,'[1]Data_UN_PopulationTot.&amp;%'!$B$4:$CZ$603,70,FALSE)</f>
        <v>6.5057361000809903</v>
      </c>
      <c r="CG122">
        <f>VLOOKUP($B122,'[1]Data_UN_PopulationTot.&amp;%'!$B$4:$CZ$603,71,FALSE)</f>
        <v>6.6941349457842216</v>
      </c>
      <c r="CH122">
        <f>VLOOKUP($B122,'[1]Data_UN_PopulationTot.&amp;%'!$B$4:$CZ$603,72,FALSE)</f>
        <v>7.0936568719186646</v>
      </c>
      <c r="CI122">
        <f>VLOOKUP($B122,'[1]Data_UN_PopulationTot.&amp;%'!$B$4:$CZ$603,73,FALSE)</f>
        <v>5.907907876424197</v>
      </c>
      <c r="CJ122">
        <f>VLOOKUP($B122,'[1]Data_UN_PopulationTot.&amp;%'!$B$4:$CZ$603,74,FALSE)</f>
        <v>4.9423244769101329</v>
      </c>
      <c r="CK122">
        <f>VLOOKUP($B122,'[1]Data_UN_PopulationTot.&amp;%'!$B$4:$CZ$603,75,FALSE)</f>
        <v>3.5048790268680658</v>
      </c>
      <c r="CL122">
        <f>VLOOKUP($B122,'[1]Data_UN_PopulationTot.&amp;%'!$B$4:$CZ$603,76,FALSE)</f>
        <v>1.9373786140575733</v>
      </c>
      <c r="CM122">
        <f>VLOOKUP($B122,'[1]Data_UN_PopulationTot.&amp;%'!$B$4:$CZ$603,77,FALSE)</f>
        <v>1.21303380328204</v>
      </c>
      <c r="CN122">
        <f>VLOOKUP($B122,'[1]Data_UN_PopulationTot.&amp;%'!$B$4:$CZ$603,78,FALSE)</f>
        <v>0.6217319169346659</v>
      </c>
      <c r="CO122">
        <f>VLOOKUP($B122,'[1]Data_UN_PopulationTot.&amp;%'!$B$4:$CZ$603,79,FALSE)</f>
        <v>0.22991578665953749</v>
      </c>
      <c r="CP122">
        <f>VLOOKUP($B122,'[1]Data_UN_PopulationTot.&amp;%'!$B$4:$CZ$603,80,FALSE)</f>
        <v>6.1410475164534468E-2</v>
      </c>
      <c r="CQ122">
        <f>VLOOKUP($B122,'[1]Data_UN_PopulationTot.&amp;%'!$B$4:$CZ$603,81,FALSE)</f>
        <v>9.3570378291672231E-3</v>
      </c>
      <c r="CR122">
        <f>VLOOKUP($B122,'[1]Data_UN_PopulationTot.&amp;%'!$B$4:$CZ$603,82,FALSE)</f>
        <v>4.7631157577470091</v>
      </c>
      <c r="CS122">
        <f>VLOOKUP($B122,'[1]Data_UN_PopulationTot.&amp;%'!$B$4:$CZ$603,83,FALSE)</f>
        <v>4.8833631597124105</v>
      </c>
      <c r="CT122">
        <f>VLOOKUP($B122,'[1]Data_UN_PopulationTot.&amp;%'!$B$4:$CZ$603,84,FALSE)</f>
        <v>5.0166399799064401</v>
      </c>
      <c r="CU122">
        <f>VLOOKUP($B122,'[1]Data_UN_PopulationTot.&amp;%'!$B$4:$CZ$603,85,FALSE)</f>
        <v>5.3915104706288659</v>
      </c>
      <c r="CV122">
        <f>VLOOKUP($B122,'[1]Data_UN_PopulationTot.&amp;%'!$B$4:$CZ$603,86,FALSE)</f>
        <v>6.294857304323255</v>
      </c>
      <c r="CW122">
        <f>VLOOKUP($B122,'[1]Data_UN_PopulationTot.&amp;%'!$B$4:$CZ$603,87,FALSE)</f>
        <v>7.3646824275532943</v>
      </c>
      <c r="CX122">
        <f>VLOOKUP($B122,'[1]Data_UN_PopulationTot.&amp;%'!$B$4:$CZ$603,88,FALSE)</f>
        <v>7.3058930645819604</v>
      </c>
      <c r="CY122">
        <f>VLOOKUP($B122,'[1]Data_UN_PopulationTot.&amp;%'!$B$4:$CZ$603,89,FALSE)</f>
        <v>7.9437066340146316</v>
      </c>
      <c r="CZ122">
        <f>VLOOKUP($B122,'[1]Data_UN_PopulationTot.&amp;%'!$B$4:$CZ$603,90,FALSE)</f>
        <v>6.799551034504411</v>
      </c>
      <c r="DA122">
        <f>VLOOKUP($B122,'[1]Data_UN_PopulationTot.&amp;%'!$B$4:$CZ$603,91,FALSE)</f>
        <v>6.6016765564660451</v>
      </c>
      <c r="DB122">
        <f>VLOOKUP($B122,'[1]Data_UN_PopulationTot.&amp;%'!$B$4:$CZ$603,92,FALSE)</f>
        <v>7.4630309880380521</v>
      </c>
      <c r="DC122">
        <f>VLOOKUP($B122,'[1]Data_UN_PopulationTot.&amp;%'!$B$4:$CZ$603,93,FALSE)</f>
        <v>6.0936862264921041</v>
      </c>
      <c r="DD122">
        <f>VLOOKUP($B122,'[1]Data_UN_PopulationTot.&amp;%'!$B$4:$CZ$603,94,FALSE)</f>
        <v>6.0869360459640198</v>
      </c>
      <c r="DE122">
        <f>VLOOKUP($B122,'[1]Data_UN_PopulationTot.&amp;%'!$B$4:$CZ$603,95,FALSE)</f>
        <v>6.1545163417161159</v>
      </c>
      <c r="DF122">
        <f>VLOOKUP($B122,'[1]Data_UN_PopulationTot.&amp;%'!$B$4:$CZ$603,96,FALSE)</f>
        <v>4.7678251860224163</v>
      </c>
      <c r="DG122">
        <f>VLOOKUP($B122,'[1]Data_UN_PopulationTot.&amp;%'!$B$4:$CZ$603,97,FALSE)</f>
        <v>3.5724937992527712</v>
      </c>
      <c r="DH122">
        <f>VLOOKUP($B122,'[1]Data_UN_PopulationTot.&amp;%'!$B$4:$CZ$603,98,FALSE)</f>
        <v>2.1307023327368055</v>
      </c>
      <c r="DI122">
        <f>VLOOKUP($B122,'[1]Data_UN_PopulationTot.&amp;%'!$B$4:$CZ$603,99,FALSE)</f>
        <v>0.88419515870773302</v>
      </c>
      <c r="DJ122">
        <f>VLOOKUP($B122,'[1]Data_UN_PopulationTot.&amp;%'!$B$4:$DE$603,100,FALSE)</f>
        <v>0.35830900128724374</v>
      </c>
      <c r="DK122">
        <f>VLOOKUP($B122,'[1]Data_UN_PopulationTot.&amp;%'!$B$4:$DE$603,101,FALSE)</f>
        <v>0.10337195064519167</v>
      </c>
      <c r="DL122">
        <f>VLOOKUP($B122,'[1]Data_UN_PopulationTot.&amp;%'!$B$4:$DE$603,102,FALSE)</f>
        <v>1.9622617814197357E-2</v>
      </c>
    </row>
    <row r="123" spans="1:116">
      <c r="A123" t="s">
        <v>104</v>
      </c>
      <c r="B123" t="s">
        <v>317</v>
      </c>
      <c r="C123" t="s">
        <v>496</v>
      </c>
      <c r="D123" t="s">
        <v>306</v>
      </c>
      <c r="E123" t="s">
        <v>299</v>
      </c>
      <c r="F123">
        <v>1</v>
      </c>
      <c r="G123">
        <v>0</v>
      </c>
      <c r="H123">
        <v>0</v>
      </c>
      <c r="I123">
        <v>0</v>
      </c>
      <c r="J123" s="18">
        <f t="shared" si="3"/>
        <v>1345.3622766999999</v>
      </c>
      <c r="K123">
        <f>VLOOKUP($B123,'[1]Source GDP Current USD'!$B$1:$CZ$600,64,FALSE)</f>
        <v>12182348212.7073</v>
      </c>
      <c r="L123" s="45">
        <f>VLOOKUP($B123,'[1]Source GDP Current USD'!$B$1:$CZ$600,65,FALSE)</f>
        <v>12182348212.7073</v>
      </c>
      <c r="M123" s="17">
        <f>VLOOKUP($B123,'[1]Source GDP Current LCU'!$B$1:$CZ$600,64,FALSE)</f>
        <v>9131005000000</v>
      </c>
      <c r="N123" s="45">
        <v>9100000000000</v>
      </c>
      <c r="O123" s="45">
        <f>VLOOKUP($B123,'[1]Source GNI Current USD'!$B$1:$CZ$600,64,FALSE)</f>
        <v>11874939502.553301</v>
      </c>
      <c r="P123" s="45">
        <f>VLOOKUP($B123,'[1]Source GNI Current LCU'!$B$1:$CZ$600,64,FALSE)</f>
        <v>8900593718000</v>
      </c>
      <c r="Q123">
        <f t="shared" si="2"/>
        <v>102.58871811589412</v>
      </c>
      <c r="R123">
        <v>580</v>
      </c>
      <c r="S123">
        <v>580</v>
      </c>
      <c r="T123">
        <v>0.40011200000000002</v>
      </c>
      <c r="U123" s="45">
        <v>19000000</v>
      </c>
      <c r="V123">
        <v>14.734</v>
      </c>
      <c r="W123">
        <f>VLOOKUP($B123,'[1]Source Gov. Revenue WEO'!$B$1:$CZ$600,5,FALSE)</f>
        <v>14.282</v>
      </c>
      <c r="X123">
        <f>VLOOKUP($B123,'[1]Source Gov. Revenue WEO'!$B$1:$CZ$600,6,FALSE)</f>
        <v>14.916</v>
      </c>
      <c r="Y123">
        <f>VLOOKUP($B123,'[1]Source Gov. Revenue WEO'!$B$1:$CZ$600,7,FALSE)</f>
        <v>15.179</v>
      </c>
      <c r="Z123">
        <f>VLOOKUP($B123,'[1]Source Gov. Revenue WEO'!$B$1:$CZ$600,8,FALSE)</f>
        <v>15.66</v>
      </c>
      <c r="AA123">
        <f>VLOOKUP($B123,'[1]Source Gov. Revenue WEO'!$B$1:$CZ$600,9,FALSE)</f>
        <v>15.547000000000001</v>
      </c>
      <c r="AB123">
        <f>VLOOKUP($B123,'[1]Source Gov. Revenue WEO'!$B$1:$CZ$600,10,FALSE)</f>
        <v>15.384</v>
      </c>
      <c r="AC123">
        <f>VLOOKUP($B123,[2]Summary!$B$1:$CZ$600,39,FALSE)</f>
        <v>0.69287769999999993</v>
      </c>
      <c r="AD123">
        <f>VLOOKUP($B123,[2]Summary!$B$1:$CZ$600,40,FALSE)</f>
        <v>0.64174999999999993</v>
      </c>
      <c r="AE123">
        <f>VLOOKUP($B123,[2]Summary!$B$1:$CZ$600,47,FALSE)</f>
        <v>0.18545387585074433</v>
      </c>
      <c r="AF123">
        <f>VLOOKUP($B123,'[1]CALC GDP Growth rates WDI'!$B$1:$CZ$600,27,FALSE)</f>
        <v>44.423537156988004</v>
      </c>
      <c r="AG123">
        <f>VLOOKUP($B123,'[1]CALC GDP Growth rates WDI'!$B$1:$CZ$600,29,FALSE)</f>
        <v>45.599105291559084</v>
      </c>
      <c r="AH123">
        <v>18.260000000000002</v>
      </c>
      <c r="AI123">
        <f>VLOOKUP($B123,'[1]CALC GDP Growth rates WDI'!$B$1:$CZ$600,30,FALSE)</f>
        <v>14.682396443940494</v>
      </c>
      <c r="AJ123" s="45" t="s">
        <v>2464</v>
      </c>
      <c r="AK123">
        <f>VLOOKUP($B123,[1]Data_Aspire!$B$1:$CZ$600,2,FALSE)</f>
        <v>2016</v>
      </c>
      <c r="AL123">
        <f>VLOOKUP($B123,[1]Data_Aspire!$B$1:$CZ$600,3,FALSE)</f>
        <v>1.49</v>
      </c>
      <c r="AM123">
        <f>VLOOKUP($B123,[1]Data_Aspire!$B$1:$CZ$600,4,FALSE)</f>
        <v>0</v>
      </c>
      <c r="AN123">
        <f>VLOOKUP($B123,[1]Data_Aspire!$B$1:$CZ$600,5,FALSE)</f>
        <v>0</v>
      </c>
      <c r="AO123">
        <f>VLOOKUP($B123,[1]Data_Aspire!$B$1:$CZ$600,6,FALSE)</f>
        <v>0</v>
      </c>
      <c r="AP123">
        <f>VLOOKUP($B123,[1]Data_Aspire!$B$1:$CZ$600,7,FALSE)</f>
        <v>1.0900000000000001</v>
      </c>
      <c r="AQ123">
        <f>VLOOKUP($B123,[1]Data_Aspire!$B$1:$CZ$600,8,FALSE)</f>
        <v>0.41</v>
      </c>
      <c r="AU123">
        <f>VLOOKUP($B123,[1]Data_Aspire!$B$1:$CZ$600,12,FALSE)</f>
        <v>1.49</v>
      </c>
      <c r="AX123">
        <f>VLOOKUP($B123,[1]Data_Aspire!$B$1:$CZ$600,15,FALSE)</f>
        <v>782561</v>
      </c>
      <c r="AY123">
        <f>VLOOKUP($B123,[1]Data_Aspire!$B$1:$CZ$600,16,FALSE)</f>
        <v>2016</v>
      </c>
      <c r="BB123">
        <f>VLOOKUP($B123,[1]Data_Aspire!$B$1:$CZ$600,19,FALSE)</f>
        <v>125717</v>
      </c>
      <c r="BC123">
        <f>VLOOKUP($B123,[1]Data_Aspire!$B$1:$CZ$600,20,FALSE)</f>
        <v>2015</v>
      </c>
      <c r="BD123">
        <f>VLOOKUP($B123,[1]Data_Aspire!$B$1:$CZ$600,21,FALSE)</f>
        <v>2230000</v>
      </c>
      <c r="BE123">
        <f>VLOOKUP($B123,[1]Data_Aspire!$B$1:$CZ$600,22,FALSE)</f>
        <v>2016</v>
      </c>
      <c r="BF123">
        <f>VLOOKUP($B123,[1]Data_Aspire!$B$1:$CZ$600,23,FALSE)</f>
        <v>2623702</v>
      </c>
      <c r="BG123">
        <f>VLOOKUP($B123,[1]Data_Aspire!$B$1:$CZ$600,24,FALSE)</f>
        <v>2014</v>
      </c>
      <c r="BJ123" s="7">
        <v>1</v>
      </c>
      <c r="BK123">
        <v>454</v>
      </c>
      <c r="BL123">
        <f>VLOOKUP($B123,'[1]Data_UN_PopulationTot.&amp;%'!$B$4:$CZ$603,8,FALSE)</f>
        <v>19130</v>
      </c>
      <c r="BM123">
        <f>VLOOKUP($B123,'[1]Data_UN_PopulationTot.&amp;%'!$B$4:$CZ$603,9,FALSE)</f>
        <v>19647.7</v>
      </c>
      <c r="BN123">
        <v>20180.8</v>
      </c>
      <c r="BO123">
        <f>VLOOKUP($B123,'[1]Data_UN_PopulationTot.&amp;%'!$B$4:$CZ$603,11,FALSE)</f>
        <v>20728.2</v>
      </c>
      <c r="BP123">
        <f>VLOOKUP($B123,'[1]Data_UN_PopulationTot.&amp;%'!$B$4:$CZ$603,12,FALSE)</f>
        <v>21287.599999999999</v>
      </c>
      <c r="BQ123">
        <f>VLOOKUP($B123,'[1]Data_UN_PopulationTot.&amp;%'!$B$4:$CZ$603,13,FALSE)</f>
        <v>21857.5</v>
      </c>
      <c r="BR123">
        <f>VLOOKUP($B123,'[1]Data_UN_PopulationTot.&amp;%'!$B$4:$CZ$603,14,FALSE)</f>
        <v>22437.4</v>
      </c>
      <c r="BS123">
        <f>VLOOKUP($B123,'[1]Data_UN_PopulationTot.&amp;%'!$B$4:$CZ$603,15,FALSE)</f>
        <v>23027.4</v>
      </c>
      <c r="BT123">
        <f>VLOOKUP($B123,'[1]Data_UN_PopulationTot.&amp;%'!$B$4:$CZ$603,16,FALSE)</f>
        <v>23626.6</v>
      </c>
      <c r="BU123">
        <f>VLOOKUP($B123,'[1]Data_UN_PopulationTot.&amp;%'!$B$4:$CZ$603,17,FALSE)</f>
        <v>24234.2</v>
      </c>
      <c r="BV123">
        <f>VLOOKUP($B123,'[1]Data_UN_PopulationTot.&amp;%'!$B$4:$CZ$603,18,FALSE)</f>
        <v>24849.4</v>
      </c>
      <c r="BW123">
        <f>VLOOKUP($B123,'[1]Data_UN_PopulationTot.&amp;%'!$B$4:$CZ$603,61,FALSE)</f>
        <v>15.284579194981704</v>
      </c>
      <c r="BX123">
        <f>VLOOKUP($B123,'[1]Data_UN_PopulationTot.&amp;%'!$B$4:$CZ$603,62,FALSE)</f>
        <v>14.315629900679561</v>
      </c>
      <c r="BY123">
        <f>VLOOKUP($B123,'[1]Data_UN_PopulationTot.&amp;%'!$B$4:$CZ$603,63,FALSE)</f>
        <v>13.391740721380033</v>
      </c>
      <c r="BZ123">
        <f>VLOOKUP($B123,'[1]Data_UN_PopulationTot.&amp;%'!$B$4:$CZ$603,64,FALSE)</f>
        <v>11.375901725039206</v>
      </c>
      <c r="CA123">
        <f>VLOOKUP($B123,'[1]Data_UN_PopulationTot.&amp;%'!$B$4:$CZ$603,65,FALSE)</f>
        <v>9.6117093570308416</v>
      </c>
      <c r="CB123">
        <f>VLOOKUP($B123,'[1]Data_UN_PopulationTot.&amp;%'!$B$4:$CZ$603,66,FALSE)</f>
        <v>8.0439100888656565</v>
      </c>
      <c r="CC123">
        <f>VLOOKUP($B123,'[1]Data_UN_PopulationTot.&amp;%'!$B$4:$CZ$603,67,FALSE)</f>
        <v>6.7560376372190287</v>
      </c>
      <c r="CD123">
        <f>VLOOKUP($B123,'[1]Data_UN_PopulationTot.&amp;%'!$B$4:$CZ$603,68,FALSE)</f>
        <v>5.1939048614741248</v>
      </c>
      <c r="CE123">
        <f>VLOOKUP($B123,'[1]Data_UN_PopulationTot.&amp;%'!$B$4:$CZ$603,69,FALSE)</f>
        <v>4.2173915316257187</v>
      </c>
      <c r="CF123">
        <f>VLOOKUP($B123,'[1]Data_UN_PopulationTot.&amp;%'!$B$4:$CZ$603,70,FALSE)</f>
        <v>3.2930162049137479</v>
      </c>
      <c r="CG123">
        <f>VLOOKUP($B123,'[1]Data_UN_PopulationTot.&amp;%'!$B$4:$CZ$603,71,FALSE)</f>
        <v>2.5160219550444327</v>
      </c>
      <c r="CH123">
        <f>VLOOKUP($B123,'[1]Data_UN_PopulationTot.&amp;%'!$B$4:$CZ$603,72,FALSE)</f>
        <v>1.9071249346576062</v>
      </c>
      <c r="CI123">
        <f>VLOOKUP($B123,'[1]Data_UN_PopulationTot.&amp;%'!$B$4:$CZ$603,73,FALSE)</f>
        <v>1.4512388917929953</v>
      </c>
      <c r="CJ123">
        <f>VLOOKUP($B123,'[1]Data_UN_PopulationTot.&amp;%'!$B$4:$CZ$603,74,FALSE)</f>
        <v>1.059205436487193</v>
      </c>
      <c r="CK123">
        <f>VLOOKUP($B123,'[1]Data_UN_PopulationTot.&amp;%'!$B$4:$CZ$603,75,FALSE)</f>
        <v>0.79856769472033462</v>
      </c>
      <c r="CL123">
        <f>VLOOKUP($B123,'[1]Data_UN_PopulationTot.&amp;%'!$B$4:$CZ$603,76,FALSE)</f>
        <v>0.47818086774699425</v>
      </c>
      <c r="CM123">
        <f>VLOOKUP($B123,'[1]Data_UN_PopulationTot.&amp;%'!$B$4:$CZ$603,77,FALSE)</f>
        <v>0.22374803972817561</v>
      </c>
      <c r="CN123">
        <f>VLOOKUP($B123,'[1]Data_UN_PopulationTot.&amp;%'!$B$4:$CZ$603,78,FALSE)</f>
        <v>6.9806586513329841E-2</v>
      </c>
      <c r="CO123">
        <f>VLOOKUP($B123,'[1]Data_UN_PopulationTot.&amp;%'!$B$4:$CZ$603,79,FALSE)</f>
        <v>1.1301620491374804E-2</v>
      </c>
      <c r="CP123">
        <f>VLOOKUP($B123,'[1]Data_UN_PopulationTot.&amp;%'!$B$4:$CZ$603,80,FALSE)</f>
        <v>7.2660742289597496E-4</v>
      </c>
      <c r="CQ123">
        <f>VLOOKUP($B123,'[1]Data_UN_PopulationTot.&amp;%'!$B$4:$CZ$603,81,FALSE)</f>
        <v>2.6136957658128594E-5</v>
      </c>
      <c r="CR123">
        <f>VLOOKUP($B123,'[1]Data_UN_PopulationTot.&amp;%'!$B$4:$CZ$603,82,FALSE)</f>
        <v>14.245655830724283</v>
      </c>
      <c r="CS123">
        <f>VLOOKUP($B123,'[1]Data_UN_PopulationTot.&amp;%'!$B$4:$CZ$603,83,FALSE)</f>
        <v>12.95250589551458</v>
      </c>
      <c r="CT123">
        <f>VLOOKUP($B123,'[1]Data_UN_PopulationTot.&amp;%'!$B$4:$CZ$603,84,FALSE)</f>
        <v>11.610743116534</v>
      </c>
      <c r="CU123">
        <f>VLOOKUP($B123,'[1]Data_UN_PopulationTot.&amp;%'!$B$4:$CZ$603,85,FALSE)</f>
        <v>10.919619789612627</v>
      </c>
      <c r="CV123">
        <f>VLOOKUP($B123,'[1]Data_UN_PopulationTot.&amp;%'!$B$4:$CZ$603,86,FALSE)</f>
        <v>10.165315862757248</v>
      </c>
      <c r="CW123">
        <f>VLOOKUP($B123,'[1]Data_UN_PopulationTot.&amp;%'!$B$4:$CZ$603,87,FALSE)</f>
        <v>8.5590798973013431</v>
      </c>
      <c r="CX123">
        <f>VLOOKUP($B123,'[1]Data_UN_PopulationTot.&amp;%'!$B$4:$CZ$603,88,FALSE)</f>
        <v>7.1699920320007733</v>
      </c>
      <c r="CY123">
        <f>VLOOKUP($B123,'[1]Data_UN_PopulationTot.&amp;%'!$B$4:$CZ$603,89,FALSE)</f>
        <v>5.9477894838507162</v>
      </c>
      <c r="CZ123">
        <f>VLOOKUP($B123,'[1]Data_UN_PopulationTot.&amp;%'!$B$4:$CZ$603,90,FALSE)</f>
        <v>4.9399985512728675</v>
      </c>
      <c r="DA123">
        <f>VLOOKUP($B123,'[1]Data_UN_PopulationTot.&amp;%'!$B$4:$CZ$603,91,FALSE)</f>
        <v>3.7447906186869702</v>
      </c>
      <c r="DB123">
        <f>VLOOKUP($B123,'[1]Data_UN_PopulationTot.&amp;%'!$B$4:$CZ$603,92,FALSE)</f>
        <v>2.9847159287548188</v>
      </c>
      <c r="DC123">
        <f>VLOOKUP($B123,'[1]Data_UN_PopulationTot.&amp;%'!$B$4:$CZ$603,93,FALSE)</f>
        <v>2.2681312224842447</v>
      </c>
      <c r="DD123">
        <f>VLOOKUP($B123,'[1]Data_UN_PopulationTot.&amp;%'!$B$4:$CZ$603,94,FALSE)</f>
        <v>1.665492929406746</v>
      </c>
      <c r="DE123">
        <f>VLOOKUP($B123,'[1]Data_UN_PopulationTot.&amp;%'!$B$4:$CZ$603,95,FALSE)</f>
        <v>1.1803061643339476</v>
      </c>
      <c r="DF123">
        <f>VLOOKUP($B123,'[1]Data_UN_PopulationTot.&amp;%'!$B$4:$CZ$603,96,FALSE)</f>
        <v>0.79998712242549119</v>
      </c>
      <c r="DG123">
        <f>VLOOKUP($B123,'[1]Data_UN_PopulationTot.&amp;%'!$B$4:$CZ$603,97,FALSE)</f>
        <v>0.48097338366318704</v>
      </c>
      <c r="DH123">
        <f>VLOOKUP($B123,'[1]Data_UN_PopulationTot.&amp;%'!$B$4:$CZ$603,98,FALSE)</f>
        <v>0.26082722319251161</v>
      </c>
      <c r="DI123">
        <f>VLOOKUP($B123,'[1]Data_UN_PopulationTot.&amp;%'!$B$4:$CZ$603,99,FALSE)</f>
        <v>8.7756646035719157E-2</v>
      </c>
      <c r="DJ123">
        <f>VLOOKUP($B123,'[1]Data_UN_PopulationTot.&amp;%'!$B$4:$DE$603,100,FALSE)</f>
        <v>1.5332362149589123E-2</v>
      </c>
      <c r="DK123">
        <f>VLOOKUP($B123,'[1]Data_UN_PopulationTot.&amp;%'!$B$4:$DE$603,101,FALSE)</f>
        <v>1.0865453491834814E-3</v>
      </c>
      <c r="DL123">
        <f>VLOOKUP($B123,'[1]Data_UN_PopulationTot.&amp;%'!$B$4:$DE$603,102,FALSE)</f>
        <v>3.6218178306116038E-5</v>
      </c>
    </row>
    <row r="124" spans="1:116">
      <c r="A124" t="s">
        <v>222</v>
      </c>
      <c r="B124" t="s">
        <v>437</v>
      </c>
      <c r="C124" t="s">
        <v>493</v>
      </c>
      <c r="D124" t="s">
        <v>389</v>
      </c>
      <c r="E124" t="s">
        <v>301</v>
      </c>
      <c r="F124">
        <v>0</v>
      </c>
      <c r="G124">
        <v>0</v>
      </c>
      <c r="H124">
        <v>1</v>
      </c>
      <c r="I124">
        <v>0</v>
      </c>
      <c r="J124" s="18">
        <f t="shared" si="3"/>
        <v>285.89922109999998</v>
      </c>
      <c r="K124">
        <f>VLOOKUP($B124,'[1]Source GDP Current USD'!$B$1:$CZ$600,64,FALSE)</f>
        <v>337006066373.26001</v>
      </c>
      <c r="L124" s="45">
        <f>VLOOKUP($B124,'[1]Source GDP Current USD'!$B$1:$CZ$600,65,FALSE)</f>
        <v>337006066373.26001</v>
      </c>
      <c r="M124" s="17">
        <f>VLOOKUP($B124,'[1]Source GDP Current LCU'!$B$1:$CZ$600,64,FALSE)</f>
        <v>1416605000000</v>
      </c>
      <c r="N124" s="45">
        <v>1400000000000</v>
      </c>
      <c r="O124" s="45">
        <f>VLOOKUP($B124,'[1]Source GNI Current USD'!$B$1:$CZ$600,64,FALSE)</f>
        <v>330206018793.862</v>
      </c>
      <c r="P124" s="45">
        <f>VLOOKUP($B124,'[1]Source GNI Current LCU'!$B$1:$CZ$600,64,FALSE)</f>
        <v>1388021000000</v>
      </c>
      <c r="Q124">
        <f t="shared" si="2"/>
        <v>102.05933483715303</v>
      </c>
      <c r="R124">
        <v>10570</v>
      </c>
      <c r="S124">
        <v>10570</v>
      </c>
      <c r="T124">
        <v>0.372886</v>
      </c>
      <c r="U124" s="45">
        <v>32000000</v>
      </c>
      <c r="V124">
        <v>20.181999999999999</v>
      </c>
      <c r="W124">
        <f>VLOOKUP($B124,'[1]Source Gov. Revenue WEO'!$B$1:$CZ$600,5,FALSE)</f>
        <v>20.146999999999998</v>
      </c>
      <c r="X124">
        <f>VLOOKUP($B124,'[1]Source Gov. Revenue WEO'!$B$1:$CZ$600,6,FALSE)</f>
        <v>19.585999999999999</v>
      </c>
      <c r="Y124">
        <f>VLOOKUP($B124,'[1]Source Gov. Revenue WEO'!$B$1:$CZ$600,7,FALSE)</f>
        <v>19.239000000000001</v>
      </c>
      <c r="Z124">
        <f>VLOOKUP($B124,'[1]Source Gov. Revenue WEO'!$B$1:$CZ$600,8,FALSE)</f>
        <v>19.207999999999998</v>
      </c>
      <c r="AA124">
        <f>VLOOKUP($B124,'[1]Source Gov. Revenue WEO'!$B$1:$CZ$600,9,FALSE)</f>
        <v>19.186</v>
      </c>
      <c r="AB124">
        <f>VLOOKUP($B124,'[1]Source Gov. Revenue WEO'!$B$1:$CZ$600,10,FALSE)</f>
        <v>19.170000000000002</v>
      </c>
      <c r="AC124">
        <f>VLOOKUP($B124,[2]Summary!$B$1:$CZ$600,39,FALSE)</f>
        <v>6.2799999999999995E-5</v>
      </c>
      <c r="AD124">
        <f>VLOOKUP($B124,[2]Summary!$B$1:$CZ$600,40,FALSE)</f>
        <v>9.999999999999999E-14</v>
      </c>
      <c r="AE124">
        <f>VLOOKUP($B124,[2]Summary!$B$1:$CZ$600,47,FALSE)</f>
        <v>0.21114580684650347</v>
      </c>
      <c r="AF124">
        <f>VLOOKUP($B124,'[1]CALC GDP Growth rates WDI'!$B$1:$CZ$600,27,FALSE)</f>
        <v>47.901962034820855</v>
      </c>
      <c r="AG124">
        <f>VLOOKUP($B124,'[1]CALC GDP Growth rates WDI'!$B$1:$CZ$600,29,FALSE)</f>
        <v>61.125923426731468</v>
      </c>
      <c r="AH124">
        <v>14.17</v>
      </c>
      <c r="AI124">
        <f>VLOOKUP($B124,'[1]CALC GDP Growth rates WDI'!$B$1:$CZ$600,30,FALSE)</f>
        <v>21.691485617396111</v>
      </c>
      <c r="AJ124" s="45"/>
      <c r="AK124">
        <f>VLOOKUP($B124,[1]Data_Aspire!$B$1:$CZ$600,2,FALSE)</f>
        <v>2016</v>
      </c>
      <c r="AL124">
        <f>VLOOKUP($B124,[1]Data_Aspire!$B$1:$CZ$600,3,FALSE)</f>
        <v>0.76</v>
      </c>
      <c r="AM124">
        <f>VLOOKUP($B124,[1]Data_Aspire!$B$1:$CZ$600,4,FALSE)</f>
        <v>0</v>
      </c>
      <c r="AN124">
        <f>VLOOKUP($B124,[1]Data_Aspire!$B$1:$CZ$600,5,FALSE)</f>
        <v>0.52</v>
      </c>
      <c r="AO124">
        <f>VLOOKUP($B124,[1]Data_Aspire!$B$1:$CZ$600,6,FALSE)</f>
        <v>0.05</v>
      </c>
      <c r="AP124">
        <f>VLOOKUP($B124,[1]Data_Aspire!$B$1:$CZ$600,7,FALSE)</f>
        <v>0.14000000000000001</v>
      </c>
      <c r="AT124">
        <f>VLOOKUP($B124,[1]Data_Aspire!$B$1:$CZ$600,11,FALSE)</f>
        <v>0.05</v>
      </c>
      <c r="AU124">
        <f>VLOOKUP($B124,[1]Data_Aspire!$B$1:$CZ$600,12,FALSE)</f>
        <v>0.76</v>
      </c>
      <c r="AX124">
        <f>VLOOKUP($B124,[1]Data_Aspire!$B$1:$CZ$600,15,FALSE)</f>
        <v>7400000</v>
      </c>
      <c r="AY124">
        <f>VLOOKUP($B124,[1]Data_Aspire!$B$1:$CZ$600,16,FALSE)</f>
        <v>2016</v>
      </c>
      <c r="AZ124">
        <f>VLOOKUP($B124,[1]Data_Aspire!$B$1:$CZ$600,17,FALSE)</f>
        <v>141493</v>
      </c>
      <c r="BA124">
        <f>VLOOKUP($B124,[1]Data_Aspire!$B$1:$CZ$600,18,FALSE)</f>
        <v>2015</v>
      </c>
      <c r="BJ124" s="7">
        <v>0</v>
      </c>
      <c r="BK124">
        <v>458</v>
      </c>
      <c r="BL124">
        <f>VLOOKUP($B124,'[1]Data_UN_PopulationTot.&amp;%'!$B$4:$CZ$603,8,FALSE)</f>
        <v>32366</v>
      </c>
      <c r="BM124">
        <f>VLOOKUP($B124,'[1]Data_UN_PopulationTot.&amp;%'!$B$4:$CZ$603,9,FALSE)</f>
        <v>32776.199999999997</v>
      </c>
      <c r="BN124">
        <v>33181.1</v>
      </c>
      <c r="BO124">
        <f>VLOOKUP($B124,'[1]Data_UN_PopulationTot.&amp;%'!$B$4:$CZ$603,11,FALSE)</f>
        <v>33579.300000000003</v>
      </c>
      <c r="BP124">
        <f>VLOOKUP($B124,'[1]Data_UN_PopulationTot.&amp;%'!$B$4:$CZ$603,12,FALSE)</f>
        <v>33969.300000000003</v>
      </c>
      <c r="BQ124">
        <f>VLOOKUP($B124,'[1]Data_UN_PopulationTot.&amp;%'!$B$4:$CZ$603,13,FALSE)</f>
        <v>34349.9</v>
      </c>
      <c r="BR124">
        <f>VLOOKUP($B124,'[1]Data_UN_PopulationTot.&amp;%'!$B$4:$CZ$603,14,FALSE)</f>
        <v>34720.300000000003</v>
      </c>
      <c r="BS124">
        <f>VLOOKUP($B124,'[1]Data_UN_PopulationTot.&amp;%'!$B$4:$CZ$603,15,FALSE)</f>
        <v>35080.1</v>
      </c>
      <c r="BT124">
        <f>VLOOKUP($B124,'[1]Data_UN_PopulationTot.&amp;%'!$B$4:$CZ$603,16,FALSE)</f>
        <v>35429.1</v>
      </c>
      <c r="BU124">
        <f>VLOOKUP($B124,'[1]Data_UN_PopulationTot.&amp;%'!$B$4:$CZ$603,17,FALSE)</f>
        <v>35767.4</v>
      </c>
      <c r="BV124">
        <f>VLOOKUP($B124,'[1]Data_UN_PopulationTot.&amp;%'!$B$4:$CZ$603,18,FALSE)</f>
        <v>36095.1</v>
      </c>
      <c r="BW124">
        <f>VLOOKUP($B124,'[1]Data_UN_PopulationTot.&amp;%'!$B$4:$CZ$603,61,FALSE)</f>
        <v>8.1415992090465306</v>
      </c>
      <c r="BX124">
        <f>VLOOKUP($B124,'[1]Data_UN_PopulationTot.&amp;%'!$B$4:$CZ$603,62,FALSE)</f>
        <v>7.7491194463325712</v>
      </c>
      <c r="BY124">
        <f>VLOOKUP($B124,'[1]Data_UN_PopulationTot.&amp;%'!$B$4:$CZ$603,63,FALSE)</f>
        <v>7.5574059197923757</v>
      </c>
      <c r="BZ124">
        <f>VLOOKUP($B124,'[1]Data_UN_PopulationTot.&amp;%'!$B$4:$CZ$603,64,FALSE)</f>
        <v>8.248594203794104</v>
      </c>
      <c r="CA124">
        <f>VLOOKUP($B124,'[1]Data_UN_PopulationTot.&amp;%'!$B$4:$CZ$603,65,FALSE)</f>
        <v>8.8458876598900069</v>
      </c>
      <c r="CB124">
        <f>VLOOKUP($B124,'[1]Data_UN_PopulationTot.&amp;%'!$B$4:$CZ$603,66,FALSE)</f>
        <v>8.9826052029907935</v>
      </c>
      <c r="CC124">
        <f>VLOOKUP($B124,'[1]Data_UN_PopulationTot.&amp;%'!$B$4:$CZ$603,67,FALSE)</f>
        <v>9.0516282518692446</v>
      </c>
      <c r="CD124">
        <f>VLOOKUP($B124,'[1]Data_UN_PopulationTot.&amp;%'!$B$4:$CZ$603,68,FALSE)</f>
        <v>8.4087313847865062</v>
      </c>
      <c r="CE124">
        <f>VLOOKUP($B124,'[1]Data_UN_PopulationTot.&amp;%'!$B$4:$CZ$603,69,FALSE)</f>
        <v>6.4750046344929855</v>
      </c>
      <c r="CF124">
        <f>VLOOKUP($B124,'[1]Data_UN_PopulationTot.&amp;%'!$B$4:$CZ$603,70,FALSE)</f>
        <v>5.8543842303651976</v>
      </c>
      <c r="CG124">
        <f>VLOOKUP($B124,'[1]Data_UN_PopulationTot.&amp;%'!$B$4:$CZ$603,71,FALSE)</f>
        <v>5.1735463140332447</v>
      </c>
      <c r="CH124">
        <f>VLOOKUP($B124,'[1]Data_UN_PopulationTot.&amp;%'!$B$4:$CZ$603,72,FALSE)</f>
        <v>4.5466229994438603</v>
      </c>
      <c r="CI124">
        <f>VLOOKUP($B124,'[1]Data_UN_PopulationTot.&amp;%'!$B$4:$CZ$603,73,FALSE)</f>
        <v>3.7811901377989248</v>
      </c>
      <c r="CJ124">
        <f>VLOOKUP($B124,'[1]Data_UN_PopulationTot.&amp;%'!$B$4:$CZ$603,74,FALSE)</f>
        <v>2.8658098004078356</v>
      </c>
      <c r="CK124">
        <f>VLOOKUP($B124,'[1]Data_UN_PopulationTot.&amp;%'!$B$4:$CZ$603,75,FALSE)</f>
        <v>2.0326268306247295</v>
      </c>
      <c r="CL124">
        <f>VLOOKUP($B124,'[1]Data_UN_PopulationTot.&amp;%'!$B$4:$CZ$603,76,FALSE)</f>
        <v>1.1348359389482789</v>
      </c>
      <c r="CM124">
        <f>VLOOKUP($B124,'[1]Data_UN_PopulationTot.&amp;%'!$B$4:$CZ$603,77,FALSE)</f>
        <v>0.70926280664895258</v>
      </c>
      <c r="CN124">
        <f>VLOOKUP($B124,'[1]Data_UN_PopulationTot.&amp;%'!$B$4:$CZ$603,78,FALSE)</f>
        <v>0.31931656676759562</v>
      </c>
      <c r="CO124">
        <f>VLOOKUP($B124,'[1]Data_UN_PopulationTot.&amp;%'!$B$4:$CZ$603,79,FALSE)</f>
        <v>9.7145152320336145E-2</v>
      </c>
      <c r="CP124">
        <f>VLOOKUP($B124,'[1]Data_UN_PopulationTot.&amp;%'!$B$4:$CZ$603,80,FALSE)</f>
        <v>2.1290860779830688E-2</v>
      </c>
      <c r="CQ124">
        <f>VLOOKUP($B124,'[1]Data_UN_PopulationTot.&amp;%'!$B$4:$CZ$603,81,FALSE)</f>
        <v>3.3831798801211145E-3</v>
      </c>
      <c r="CR124">
        <f>VLOOKUP($B124,'[1]Data_UN_PopulationTot.&amp;%'!$B$4:$CZ$603,82,FALSE)</f>
        <v>7.0872500699540941</v>
      </c>
      <c r="CS124">
        <f>VLOOKUP($B124,'[1]Data_UN_PopulationTot.&amp;%'!$B$4:$CZ$603,83,FALSE)</f>
        <v>7.3473130701951233</v>
      </c>
      <c r="CT124">
        <f>VLOOKUP($B124,'[1]Data_UN_PopulationTot.&amp;%'!$B$4:$CZ$603,84,FALSE)</f>
        <v>7.3193037282068758</v>
      </c>
      <c r="CU124">
        <f>VLOOKUP($B124,'[1]Data_UN_PopulationTot.&amp;%'!$B$4:$CZ$603,85,FALSE)</f>
        <v>7.0156337009732628</v>
      </c>
      <c r="CV124">
        <f>VLOOKUP($B124,'[1]Data_UN_PopulationTot.&amp;%'!$B$4:$CZ$603,86,FALSE)</f>
        <v>6.9473972921532292</v>
      </c>
      <c r="CW124">
        <f>VLOOKUP($B124,'[1]Data_UN_PopulationTot.&amp;%'!$B$4:$CZ$603,87,FALSE)</f>
        <v>7.6082349127720938</v>
      </c>
      <c r="CX124">
        <f>VLOOKUP($B124,'[1]Data_UN_PopulationTot.&amp;%'!$B$4:$CZ$603,88,FALSE)</f>
        <v>8.0954201539821202</v>
      </c>
      <c r="CY124">
        <f>VLOOKUP($B124,'[1]Data_UN_PopulationTot.&amp;%'!$B$4:$CZ$603,89,FALSE)</f>
        <v>8.1304941667982629</v>
      </c>
      <c r="CZ124">
        <f>VLOOKUP($B124,'[1]Data_UN_PopulationTot.&amp;%'!$B$4:$CZ$603,90,FALSE)</f>
        <v>8.0998805932107114</v>
      </c>
      <c r="DA124">
        <f>VLOOKUP($B124,'[1]Data_UN_PopulationTot.&amp;%'!$B$4:$CZ$603,91,FALSE)</f>
        <v>7.4314519145257938</v>
      </c>
      <c r="DB124">
        <f>VLOOKUP($B124,'[1]Data_UN_PopulationTot.&amp;%'!$B$4:$CZ$603,92,FALSE)</f>
        <v>5.6289911927103686</v>
      </c>
      <c r="DC124">
        <f>VLOOKUP($B124,'[1]Data_UN_PopulationTot.&amp;%'!$B$4:$CZ$603,93,FALSE)</f>
        <v>4.9759939714808938</v>
      </c>
      <c r="DD124">
        <f>VLOOKUP($B124,'[1]Data_UN_PopulationTot.&amp;%'!$B$4:$CZ$603,94,FALSE)</f>
        <v>4.2841272084022481</v>
      </c>
      <c r="DE124">
        <f>VLOOKUP($B124,'[1]Data_UN_PopulationTot.&amp;%'!$B$4:$CZ$603,95,FALSE)</f>
        <v>3.6178594878529218</v>
      </c>
      <c r="DF124">
        <f>VLOOKUP($B124,'[1]Data_UN_PopulationTot.&amp;%'!$B$4:$CZ$603,96,FALSE)</f>
        <v>2.7865278112541589</v>
      </c>
      <c r="DG124">
        <f>VLOOKUP($B124,'[1]Data_UN_PopulationTot.&amp;%'!$B$4:$CZ$603,97,FALSE)</f>
        <v>1.8560386312823622</v>
      </c>
      <c r="DH124">
        <f>VLOOKUP($B124,'[1]Data_UN_PopulationTot.&amp;%'!$B$4:$CZ$603,98,FALSE)</f>
        <v>1.0953287288302291</v>
      </c>
      <c r="DI124">
        <f>VLOOKUP($B124,'[1]Data_UN_PopulationTot.&amp;%'!$B$4:$CZ$603,99,FALSE)</f>
        <v>0.45296175935237748</v>
      </c>
      <c r="DJ124">
        <f>VLOOKUP($B124,'[1]Data_UN_PopulationTot.&amp;%'!$B$4:$DE$603,100,FALSE)</f>
        <v>0.17361913389906108</v>
      </c>
      <c r="DK124">
        <f>VLOOKUP($B124,'[1]Data_UN_PopulationTot.&amp;%'!$B$4:$DE$603,101,FALSE)</f>
        <v>3.9722843266814606E-2</v>
      </c>
      <c r="DL124">
        <f>VLOOKUP($B124,'[1]Data_UN_PopulationTot.&amp;%'!$B$4:$DE$603,102,FALSE)</f>
        <v>6.33049915362473E-3</v>
      </c>
    </row>
    <row r="125" spans="1:116">
      <c r="A125" t="s">
        <v>177</v>
      </c>
      <c r="B125" t="s">
        <v>392</v>
      </c>
      <c r="C125" t="s">
        <v>496</v>
      </c>
      <c r="D125" t="s">
        <v>389</v>
      </c>
      <c r="E125" t="s">
        <v>301</v>
      </c>
      <c r="F125">
        <v>0</v>
      </c>
      <c r="G125">
        <v>0</v>
      </c>
      <c r="H125">
        <v>1</v>
      </c>
      <c r="I125">
        <v>0</v>
      </c>
      <c r="J125" s="18">
        <f t="shared" si="3"/>
        <v>54.072238159721003</v>
      </c>
      <c r="K125">
        <f>VLOOKUP($B125,'[1]Source GDP Current USD'!$B$1:$CZ$600,64,FALSE)</f>
        <v>10619194505.3543</v>
      </c>
      <c r="L125" s="45">
        <f>VLOOKUP($B125,'[1]Source GDP Current USD'!$B$1:$CZ$600,65,FALSE)</f>
        <v>10619194505.3543</v>
      </c>
      <c r="M125" s="17">
        <f>VLOOKUP($B125,'[1]Source GDP Current LCU'!$B$1:$CZ$600,64,FALSE)</f>
        <v>174826984900</v>
      </c>
      <c r="N125" s="45">
        <v>170000000000</v>
      </c>
      <c r="O125" s="45">
        <f>VLOOKUP($B125,'[1]Source GNI Current USD'!$B$1:$CZ$600,64,FALSE)</f>
        <v>10490545619.650999</v>
      </c>
      <c r="P125" s="45">
        <f>VLOOKUP($B125,'[1]Source GNI Current LCU'!$B$1:$CZ$600,64,FALSE)</f>
        <v>172708999700</v>
      </c>
      <c r="Q125">
        <f t="shared" si="2"/>
        <v>101.22633169300906</v>
      </c>
      <c r="R125">
        <v>4500</v>
      </c>
      <c r="S125">
        <v>4500</v>
      </c>
      <c r="T125">
        <v>0.44947700000000002</v>
      </c>
      <c r="U125" s="45">
        <v>2500000</v>
      </c>
      <c r="V125">
        <v>30.928999999999998</v>
      </c>
      <c r="W125">
        <f>VLOOKUP($B125,'[1]Source Gov. Revenue WEO'!$B$1:$CZ$600,5,FALSE)</f>
        <v>28.312999999999999</v>
      </c>
      <c r="X125">
        <f>VLOOKUP($B125,'[1]Source Gov. Revenue WEO'!$B$1:$CZ$600,6,FALSE)</f>
        <v>28.617000000000001</v>
      </c>
      <c r="Y125">
        <f>VLOOKUP($B125,'[1]Source Gov. Revenue WEO'!$B$1:$CZ$600,7,FALSE)</f>
        <v>31.402000000000001</v>
      </c>
      <c r="Z125">
        <f>VLOOKUP($B125,'[1]Source Gov. Revenue WEO'!$B$1:$CZ$600,8,FALSE)</f>
        <v>32.393999999999998</v>
      </c>
      <c r="AA125">
        <f>VLOOKUP($B125,'[1]Source Gov. Revenue WEO'!$B$1:$CZ$600,9,FALSE)</f>
        <v>32.637999999999998</v>
      </c>
      <c r="AB125">
        <f>VLOOKUP($B125,'[1]Source Gov. Revenue WEO'!$B$1:$CZ$600,10,FALSE)</f>
        <v>32.911000000000001</v>
      </c>
      <c r="AC125">
        <f>VLOOKUP($B125,[2]Summary!$B$1:$CZ$600,39,FALSE)</f>
        <v>0.1477221</v>
      </c>
      <c r="AD125">
        <f>VLOOKUP($B125,[2]Summary!$B$1:$CZ$600,40,FALSE)</f>
        <v>0.15825</v>
      </c>
      <c r="AE125">
        <f>VLOOKUP($B125,[2]Summary!$B$1:$CZ$600,47,FALSE)</f>
        <v>0.29621935178865805</v>
      </c>
      <c r="AF125">
        <f>VLOOKUP($B125,'[1]CALC GDP Growth rates WDI'!$B$1:$CZ$600,27,FALSE)</f>
        <v>17.042398443249279</v>
      </c>
      <c r="AG125">
        <f>VLOOKUP($B125,'[1]CALC GDP Growth rates WDI'!$B$1:$CZ$600,29,FALSE)</f>
        <v>36.722270797952092</v>
      </c>
      <c r="AH125">
        <v>-9.26</v>
      </c>
      <c r="AI125">
        <f>VLOOKUP($B125,'[1]CALC GDP Growth rates WDI'!$B$1:$CZ$600,30,FALSE)</f>
        <v>4.2202555402599762</v>
      </c>
      <c r="AJ125" s="45"/>
      <c r="AK125">
        <f>VLOOKUP($B125,[1]Data_Aspire!$B$1:$CZ$600,2,FALSE)</f>
        <v>2018</v>
      </c>
      <c r="AL125">
        <f>VLOOKUP($B125,[1]Data_Aspire!$B$1:$CZ$600,3,FALSE)</f>
        <v>2.85</v>
      </c>
      <c r="AM125">
        <f>VLOOKUP($B125,[1]Data_Aspire!$B$1:$CZ$600,4,FALSE)</f>
        <v>0</v>
      </c>
      <c r="AN125">
        <f>VLOOKUP($B125,[1]Data_Aspire!$B$1:$CZ$600,5,FALSE)</f>
        <v>0.57999999999999996</v>
      </c>
      <c r="AO125">
        <f>VLOOKUP($B125,[1]Data_Aspire!$B$1:$CZ$600,6,FALSE)</f>
        <v>2.15</v>
      </c>
      <c r="AP125">
        <f>VLOOKUP($B125,[1]Data_Aspire!$B$1:$CZ$600,7,FALSE)</f>
        <v>0.04</v>
      </c>
      <c r="AR125">
        <f>VLOOKUP($B125,[1]Data_Aspire!$B$1:$CZ$600,9,FALSE)</f>
        <v>0.04</v>
      </c>
      <c r="AT125">
        <f>VLOOKUP($B125,[1]Data_Aspire!$B$1:$CZ$600,11,FALSE)</f>
        <v>0.04</v>
      </c>
      <c r="AU125">
        <f>VLOOKUP($B125,[1]Data_Aspire!$B$1:$CZ$600,12,FALSE)</f>
        <v>2.85</v>
      </c>
      <c r="AX125">
        <f>VLOOKUP($B125,[1]Data_Aspire!$B$1:$CZ$600,15,FALSE)</f>
        <v>176187</v>
      </c>
      <c r="AY125">
        <f>VLOOKUP($B125,[1]Data_Aspire!$B$1:$CZ$600,16,FALSE)</f>
        <v>2018</v>
      </c>
      <c r="AZ125">
        <f>VLOOKUP($B125,[1]Data_Aspire!$B$1:$CZ$600,17,FALSE)</f>
        <v>176187</v>
      </c>
      <c r="BA125">
        <f>VLOOKUP($B125,[1]Data_Aspire!$B$1:$CZ$600,18,FALSE)</f>
        <v>2018</v>
      </c>
      <c r="BD125">
        <f>VLOOKUP($B125,[1]Data_Aspire!$B$1:$CZ$600,21,FALSE)</f>
        <v>377752</v>
      </c>
      <c r="BE125">
        <f>VLOOKUP($B125,[1]Data_Aspire!$B$1:$CZ$600,22,FALSE)</f>
        <v>2018</v>
      </c>
      <c r="BJ125" s="7">
        <v>1</v>
      </c>
      <c r="BK125">
        <v>516</v>
      </c>
      <c r="BL125">
        <f>VLOOKUP($B125,'[1]Data_UN_PopulationTot.&amp;%'!$B$4:$CZ$603,8,FALSE)</f>
        <v>2540.92</v>
      </c>
      <c r="BM125">
        <f>VLOOKUP($B125,'[1]Data_UN_PopulationTot.&amp;%'!$B$4:$CZ$603,9,FALSE)</f>
        <v>2587.34</v>
      </c>
      <c r="BN125">
        <v>2633.87</v>
      </c>
      <c r="BO125">
        <f>VLOOKUP($B125,'[1]Data_UN_PopulationTot.&amp;%'!$B$4:$CZ$603,11,FALSE)</f>
        <v>2680.5</v>
      </c>
      <c r="BP125">
        <f>VLOOKUP($B125,'[1]Data_UN_PopulationTot.&amp;%'!$B$4:$CZ$603,12,FALSE)</f>
        <v>2727.26</v>
      </c>
      <c r="BQ125">
        <f>VLOOKUP($B125,'[1]Data_UN_PopulationTot.&amp;%'!$B$4:$CZ$603,13,FALSE)</f>
        <v>2774.2</v>
      </c>
      <c r="BR125">
        <f>VLOOKUP($B125,'[1]Data_UN_PopulationTot.&amp;%'!$B$4:$CZ$603,14,FALSE)</f>
        <v>2821.27</v>
      </c>
      <c r="BS125">
        <f>VLOOKUP($B125,'[1]Data_UN_PopulationTot.&amp;%'!$B$4:$CZ$603,15,FALSE)</f>
        <v>2868.43</v>
      </c>
      <c r="BT125">
        <f>VLOOKUP($B125,'[1]Data_UN_PopulationTot.&amp;%'!$B$4:$CZ$603,16,FALSE)</f>
        <v>2915.72</v>
      </c>
      <c r="BU125">
        <f>VLOOKUP($B125,'[1]Data_UN_PopulationTot.&amp;%'!$B$4:$CZ$603,17,FALSE)</f>
        <v>2963.19</v>
      </c>
      <c r="BV125">
        <f>VLOOKUP($B125,'[1]Data_UN_PopulationTot.&amp;%'!$B$4:$CZ$603,18,FALSE)</f>
        <v>3010.87</v>
      </c>
      <c r="BW125">
        <f>VLOOKUP($B125,'[1]Data_UN_PopulationTot.&amp;%'!$B$4:$CZ$603,61,FALSE)</f>
        <v>13.226626576200745</v>
      </c>
      <c r="BX125">
        <f>VLOOKUP($B125,'[1]Data_UN_PopulationTot.&amp;%'!$B$4:$CZ$603,62,FALSE)</f>
        <v>12.532783401287723</v>
      </c>
      <c r="BY125">
        <f>VLOOKUP($B125,'[1]Data_UN_PopulationTot.&amp;%'!$B$4:$CZ$603,63,FALSE)</f>
        <v>11.081734175023218</v>
      </c>
      <c r="BZ125">
        <f>VLOOKUP($B125,'[1]Data_UN_PopulationTot.&amp;%'!$B$4:$CZ$603,64,FALSE)</f>
        <v>9.6365096106921904</v>
      </c>
      <c r="CA125">
        <f>VLOOKUP($B125,'[1]Data_UN_PopulationTot.&amp;%'!$B$4:$CZ$603,65,FALSE)</f>
        <v>9.6150606866804154</v>
      </c>
      <c r="CB125">
        <f>VLOOKUP($B125,'[1]Data_UN_PopulationTot.&amp;%'!$B$4:$CZ$603,66,FALSE)</f>
        <v>8.9887914613604512</v>
      </c>
      <c r="CC125">
        <f>VLOOKUP($B125,'[1]Data_UN_PopulationTot.&amp;%'!$B$4:$CZ$603,67,FALSE)</f>
        <v>7.7683673630023762</v>
      </c>
      <c r="CD125">
        <f>VLOOKUP($B125,'[1]Data_UN_PopulationTot.&amp;%'!$B$4:$CZ$603,68,FALSE)</f>
        <v>6.2756403192544425</v>
      </c>
      <c r="CE125">
        <f>VLOOKUP($B125,'[1]Data_UN_PopulationTot.&amp;%'!$B$4:$CZ$603,69,FALSE)</f>
        <v>5.1449868551548255</v>
      </c>
      <c r="CF125">
        <f>VLOOKUP($B125,'[1]Data_UN_PopulationTot.&amp;%'!$B$4:$CZ$603,70,FALSE)</f>
        <v>4.2042645970750749</v>
      </c>
      <c r="CG125">
        <f>VLOOKUP($B125,'[1]Data_UN_PopulationTot.&amp;%'!$B$4:$CZ$603,71,FALSE)</f>
        <v>3.2455960833084081</v>
      </c>
      <c r="CH125">
        <f>VLOOKUP($B125,'[1]Data_UN_PopulationTot.&amp;%'!$B$4:$CZ$603,72,FALSE)</f>
        <v>2.6709223430883302</v>
      </c>
      <c r="CI125">
        <f>VLOOKUP($B125,'[1]Data_UN_PopulationTot.&amp;%'!$B$4:$CZ$603,73,FALSE)</f>
        <v>2.0225351447507203</v>
      </c>
      <c r="CJ125">
        <f>VLOOKUP($B125,'[1]Data_UN_PopulationTot.&amp;%'!$B$4:$CZ$603,74,FALSE)</f>
        <v>1.4195645671646491</v>
      </c>
      <c r="CK125">
        <f>VLOOKUP($B125,'[1]Data_UN_PopulationTot.&amp;%'!$B$4:$CZ$603,75,FALSE)</f>
        <v>0.95555940368055658</v>
      </c>
      <c r="CL125">
        <f>VLOOKUP($B125,'[1]Data_UN_PopulationTot.&amp;%'!$B$4:$CZ$603,76,FALSE)</f>
        <v>0.66318498811454119</v>
      </c>
      <c r="CM125">
        <f>VLOOKUP($B125,'[1]Data_UN_PopulationTot.&amp;%'!$B$4:$CZ$603,77,FALSE)</f>
        <v>0.36793759740566406</v>
      </c>
      <c r="CN125">
        <f>VLOOKUP($B125,'[1]Data_UN_PopulationTot.&amp;%'!$B$4:$CZ$603,78,FALSE)</f>
        <v>0.1433339105520835</v>
      </c>
      <c r="CO125">
        <f>VLOOKUP($B125,'[1]Data_UN_PopulationTot.&amp;%'!$B$4:$CZ$603,79,FALSE)</f>
        <v>3.3452450293594449E-2</v>
      </c>
      <c r="CP125">
        <f>VLOOKUP($B125,'[1]Data_UN_PopulationTot.&amp;%'!$B$4:$CZ$603,80,FALSE)</f>
        <v>2.9123309667364577E-3</v>
      </c>
      <c r="CQ125">
        <f>VLOOKUP($B125,'[1]Data_UN_PopulationTot.&amp;%'!$B$4:$CZ$603,81,FALSE)</f>
        <v>7.8711647749633986E-5</v>
      </c>
      <c r="CR125">
        <f>VLOOKUP($B125,'[1]Data_UN_PopulationTot.&amp;%'!$B$4:$CZ$603,82,FALSE)</f>
        <v>11.388701604519625</v>
      </c>
      <c r="CS125">
        <f>VLOOKUP($B125,'[1]Data_UN_PopulationTot.&amp;%'!$B$4:$CZ$603,83,FALSE)</f>
        <v>11.182681417663334</v>
      </c>
      <c r="CT125">
        <f>VLOOKUP($B125,'[1]Data_UN_PopulationTot.&amp;%'!$B$4:$CZ$603,84,FALSE)</f>
        <v>10.992869170704815</v>
      </c>
      <c r="CU125">
        <f>VLOOKUP($B125,'[1]Data_UN_PopulationTot.&amp;%'!$B$4:$CZ$603,85,FALSE)</f>
        <v>10.432134233626826</v>
      </c>
      <c r="CV125">
        <f>VLOOKUP($B125,'[1]Data_UN_PopulationTot.&amp;%'!$B$4:$CZ$603,86,FALSE)</f>
        <v>9.1084304536562524</v>
      </c>
      <c r="CW125">
        <f>VLOOKUP($B125,'[1]Data_UN_PopulationTot.&amp;%'!$B$4:$CZ$603,87,FALSE)</f>
        <v>7.7654299255696859</v>
      </c>
      <c r="CX125">
        <f>VLOOKUP($B125,'[1]Data_UN_PopulationTot.&amp;%'!$B$4:$CZ$603,88,FALSE)</f>
        <v>7.6652595429228105</v>
      </c>
      <c r="CY125">
        <f>VLOOKUP($B125,'[1]Data_UN_PopulationTot.&amp;%'!$B$4:$CZ$603,89,FALSE)</f>
        <v>7.1109015002308302</v>
      </c>
      <c r="CZ125">
        <f>VLOOKUP($B125,'[1]Data_UN_PopulationTot.&amp;%'!$B$4:$CZ$603,90,FALSE)</f>
        <v>6.080866991932564</v>
      </c>
      <c r="DA125">
        <f>VLOOKUP($B125,'[1]Data_UN_PopulationTot.&amp;%'!$B$4:$CZ$603,91,FALSE)</f>
        <v>4.8457422605426341</v>
      </c>
      <c r="DB125">
        <f>VLOOKUP($B125,'[1]Data_UN_PopulationTot.&amp;%'!$B$4:$CZ$603,92,FALSE)</f>
        <v>3.9004340938001305</v>
      </c>
      <c r="DC125">
        <f>VLOOKUP($B125,'[1]Data_UN_PopulationTot.&amp;%'!$B$4:$CZ$603,93,FALSE)</f>
        <v>3.1017280719526248</v>
      </c>
      <c r="DD125">
        <f>VLOOKUP($B125,'[1]Data_UN_PopulationTot.&amp;%'!$B$4:$CZ$603,94,FALSE)</f>
        <v>2.2997671769289276</v>
      </c>
      <c r="DE125">
        <f>VLOOKUP($B125,'[1]Data_UN_PopulationTot.&amp;%'!$B$4:$CZ$603,95,FALSE)</f>
        <v>1.767960755529133</v>
      </c>
      <c r="DF125">
        <f>VLOOKUP($B125,'[1]Data_UN_PopulationTot.&amp;%'!$B$4:$CZ$603,96,FALSE)</f>
        <v>1.1905861096626558</v>
      </c>
      <c r="DG125">
        <f>VLOOKUP($B125,'[1]Data_UN_PopulationTot.&amp;%'!$B$4:$CZ$603,97,FALSE)</f>
        <v>0.68757535197467845</v>
      </c>
      <c r="DH125">
        <f>VLOOKUP($B125,'[1]Data_UN_PopulationTot.&amp;%'!$B$4:$CZ$603,98,FALSE)</f>
        <v>0.32698190224088058</v>
      </c>
      <c r="DI125">
        <f>VLOOKUP($B125,'[1]Data_UN_PopulationTot.&amp;%'!$B$4:$CZ$603,99,FALSE)</f>
        <v>0.12461514445990694</v>
      </c>
      <c r="DJ125">
        <f>VLOOKUP($B125,'[1]Data_UN_PopulationTot.&amp;%'!$B$4:$DE$603,100,FALSE)</f>
        <v>2.5109021644906623E-2</v>
      </c>
      <c r="DK125">
        <f>VLOOKUP($B125,'[1]Data_UN_PopulationTot.&amp;%'!$B$4:$DE$603,101,FALSE)</f>
        <v>2.1920574451902608E-3</v>
      </c>
      <c r="DL125">
        <f>VLOOKUP($B125,'[1]Data_UN_PopulationTot.&amp;%'!$B$4:$DE$603,102,FALSE)</f>
        <v>1.3285196637516733E-4</v>
      </c>
    </row>
    <row r="126" spans="1:116">
      <c r="A126" t="s">
        <v>557</v>
      </c>
      <c r="B126" t="s">
        <v>558</v>
      </c>
      <c r="C126" t="s">
        <v>493</v>
      </c>
      <c r="D126" t="s">
        <v>622</v>
      </c>
      <c r="E126" t="s">
        <v>2269</v>
      </c>
      <c r="F126">
        <v>0</v>
      </c>
      <c r="G126">
        <v>0</v>
      </c>
      <c r="H126">
        <v>0</v>
      </c>
      <c r="I126">
        <v>1</v>
      </c>
      <c r="J126" s="18" t="e">
        <f t="shared" si="3"/>
        <v>#VALUE!</v>
      </c>
      <c r="K126" t="str">
        <f>VLOOKUP($B126,'[1]Source GDP Current USD'!$B$1:$CZ$600,64,FALSE)</f>
        <v>..</v>
      </c>
      <c r="L126" s="45">
        <f>VLOOKUP($B126,'[1]Source GDP Current USD'!$B$1:$CZ$600,65,FALSE)</f>
        <v>9438127994.0945606</v>
      </c>
      <c r="M126" s="17" t="str">
        <f>VLOOKUP($B126,'[1]Source GDP Current LCU'!$B$1:$CZ$600,64,FALSE)</f>
        <v>..</v>
      </c>
      <c r="N126" s="45">
        <v>1000000000000</v>
      </c>
      <c r="O126" s="45" t="str">
        <f>VLOOKUP($B126,'[1]Source GNI Current USD'!$B$1:$CZ$600,64,FALSE)</f>
        <v>..</v>
      </c>
      <c r="P126" s="45" t="str">
        <f>VLOOKUP($B126,'[1]Source GNI Current LCU'!$B$1:$CZ$600,64,FALSE)</f>
        <v>..</v>
      </c>
      <c r="Q126" t="e">
        <f t="shared" si="2"/>
        <v>#VALUE!</v>
      </c>
      <c r="U126">
        <v>272000</v>
      </c>
      <c r="W126" t="e">
        <f>VLOOKUP($B126,'[1]Source Gov. Revenue WEO'!$B$1:$CZ$600,5,FALSE)</f>
        <v>#N/A</v>
      </c>
      <c r="X126" t="e">
        <f>VLOOKUP($B126,'[1]Source Gov. Revenue WEO'!$B$1:$CZ$600,6,FALSE)</f>
        <v>#N/A</v>
      </c>
      <c r="Y126" t="e">
        <f>VLOOKUP($B126,'[1]Source Gov. Revenue WEO'!$B$1:$CZ$600,7,FALSE)</f>
        <v>#N/A</v>
      </c>
      <c r="Z126" t="e">
        <f>VLOOKUP($B126,'[1]Source Gov. Revenue WEO'!$B$1:$CZ$600,8,FALSE)</f>
        <v>#N/A</v>
      </c>
      <c r="AA126" t="e">
        <f>VLOOKUP($B126,'[1]Source Gov. Revenue WEO'!$B$1:$CZ$600,9,FALSE)</f>
        <v>#N/A</v>
      </c>
      <c r="AB126" t="e">
        <f>VLOOKUP($B126,'[1]Source Gov. Revenue WEO'!$B$1:$CZ$600,10,FALSE)</f>
        <v>#N/A</v>
      </c>
      <c r="AC126" t="e">
        <f>VLOOKUP($B126,[2]Summary!$B$1:$CZ$600,39,FALSE)</f>
        <v>#N/A</v>
      </c>
      <c r="AD126" t="e">
        <f>VLOOKUP($B126,[2]Summary!$B$1:$CZ$600,40,FALSE)</f>
        <v>#N/A</v>
      </c>
      <c r="AE126" t="e">
        <f>VLOOKUP($B126,[2]Summary!$B$1:$CZ$600,47,FALSE)</f>
        <v>#N/A</v>
      </c>
      <c r="AF126" t="e">
        <f>VLOOKUP($B126,'[1]CALC GDP Growth rates WDI'!$B$1:$CZ$600,27,FALSE)</f>
        <v>#VALUE!</v>
      </c>
      <c r="AG126" t="e">
        <f>VLOOKUP($B126,'[1]CALC GDP Growth rates WDI'!$B$1:$CZ$600,29,FALSE)</f>
        <v>#VALUE!</v>
      </c>
      <c r="AH126">
        <v>-100</v>
      </c>
      <c r="AI126" t="e">
        <f>VLOOKUP($B126,'[1]CALC GDP Growth rates WDI'!$B$1:$CZ$600,30,FALSE)</f>
        <v>#VALUE!</v>
      </c>
      <c r="AK126" t="e">
        <f>VLOOKUP($B126,[1]Data_Aspire!$B$1:$CZ$600,2,FALSE)</f>
        <v>#N/A</v>
      </c>
      <c r="AL126" t="e">
        <f>VLOOKUP($B126,[1]Data_Aspire!$B$1:$CZ$600,3,FALSE)</f>
        <v>#N/A</v>
      </c>
      <c r="AM126" t="e">
        <f>VLOOKUP($B126,[1]Data_Aspire!$B$1:$CZ$600,4,FALSE)</f>
        <v>#N/A</v>
      </c>
      <c r="AN126" t="e">
        <f>VLOOKUP($B126,[1]Data_Aspire!$B$1:$CZ$600,5,FALSE)</f>
        <v>#N/A</v>
      </c>
      <c r="AO126" t="e">
        <f>VLOOKUP($B126,[1]Data_Aspire!$B$1:$CZ$600,6,FALSE)</f>
        <v>#N/A</v>
      </c>
      <c r="AP126" t="e">
        <f>VLOOKUP($B126,[1]Data_Aspire!$B$1:$CZ$600,7,FALSE)</f>
        <v>#N/A</v>
      </c>
      <c r="AQ126" t="e">
        <f>VLOOKUP($B126,[1]Data_Aspire!$B$1:$CZ$600,8,FALSE)</f>
        <v>#N/A</v>
      </c>
      <c r="AR126" t="e">
        <f>VLOOKUP($B126,[1]Data_Aspire!$B$1:$CZ$600,9,FALSE)</f>
        <v>#N/A</v>
      </c>
      <c r="AS126" t="e">
        <f>VLOOKUP($B126,[1]Data_Aspire!$B$1:$CZ$600,10,FALSE)</f>
        <v>#N/A</v>
      </c>
      <c r="AT126" t="e">
        <f>VLOOKUP($B126,[1]Data_Aspire!$B$1:$CZ$600,11,FALSE)</f>
        <v>#N/A</v>
      </c>
      <c r="AU126" t="e">
        <f>VLOOKUP($B126,[1]Data_Aspire!$B$1:$CZ$600,12,FALSE)</f>
        <v>#N/A</v>
      </c>
      <c r="AV126" t="e">
        <f>VLOOKUP($B126,[1]Data_Aspire!$B$1:$CZ$600,13,FALSE)</f>
        <v>#N/A</v>
      </c>
      <c r="AW126" t="e">
        <f>VLOOKUP($B126,[1]Data_Aspire!$B$1:$CZ$600,14,FALSE)</f>
        <v>#N/A</v>
      </c>
      <c r="AX126" t="e">
        <f>VLOOKUP($B126,[1]Data_Aspire!$B$1:$CZ$600,15,FALSE)</f>
        <v>#N/A</v>
      </c>
      <c r="AY126" t="e">
        <f>VLOOKUP($B126,[1]Data_Aspire!$B$1:$CZ$600,16,FALSE)</f>
        <v>#N/A</v>
      </c>
      <c r="AZ126" t="e">
        <f>VLOOKUP($B126,[1]Data_Aspire!$B$1:$CZ$600,17,FALSE)</f>
        <v>#N/A</v>
      </c>
      <c r="BA126" t="e">
        <f>VLOOKUP($B126,[1]Data_Aspire!$B$1:$CZ$600,18,FALSE)</f>
        <v>#N/A</v>
      </c>
      <c r="BB126" t="e">
        <f>VLOOKUP($B126,[1]Data_Aspire!$B$1:$CZ$600,19,FALSE)</f>
        <v>#N/A</v>
      </c>
      <c r="BC126" t="e">
        <f>VLOOKUP($B126,[1]Data_Aspire!$B$1:$CZ$600,20,FALSE)</f>
        <v>#N/A</v>
      </c>
      <c r="BD126" t="e">
        <f>VLOOKUP($B126,[1]Data_Aspire!$B$1:$CZ$600,21,FALSE)</f>
        <v>#N/A</v>
      </c>
      <c r="BE126" t="e">
        <f>VLOOKUP($B126,[1]Data_Aspire!$B$1:$CZ$600,22,FALSE)</f>
        <v>#N/A</v>
      </c>
      <c r="BF126" t="e">
        <f>VLOOKUP($B126,[1]Data_Aspire!$B$1:$CZ$600,23,FALSE)</f>
        <v>#N/A</v>
      </c>
      <c r="BG126" t="e">
        <f>VLOOKUP($B126,[1]Data_Aspire!$B$1:$CZ$600,24,FALSE)</f>
        <v>#N/A</v>
      </c>
      <c r="BH126" t="e">
        <f>VLOOKUP($B126,[1]Data_Aspire!$B$1:$CZ$600,25,FALSE)</f>
        <v>#N/A</v>
      </c>
      <c r="BI126" t="e">
        <f>VLOOKUP($B126,[1]Data_Aspire!$B$1:$CZ$600,26,FALSE)</f>
        <v>#N/A</v>
      </c>
      <c r="BJ126" s="7">
        <v>0</v>
      </c>
      <c r="BK126">
        <v>540</v>
      </c>
      <c r="BL126">
        <f>VLOOKUP($B126,'[1]Data_UN_PopulationTot.&amp;%'!$B$4:$CZ$603,8,FALSE)</f>
        <v>285.49099999999999</v>
      </c>
      <c r="BM126">
        <f>VLOOKUP($B126,'[1]Data_UN_PopulationTot.&amp;%'!$B$4:$CZ$603,9,FALSE)</f>
        <v>288.21699999999998</v>
      </c>
      <c r="BN126">
        <v>290.92399999999998</v>
      </c>
      <c r="BO126">
        <f>VLOOKUP($B126,'[1]Data_UN_PopulationTot.&amp;%'!$B$4:$CZ$603,11,FALSE)</f>
        <v>293.58100000000002</v>
      </c>
      <c r="BP126">
        <f>VLOOKUP($B126,'[1]Data_UN_PopulationTot.&amp;%'!$B$4:$CZ$603,12,FALSE)</f>
        <v>296.20999999999998</v>
      </c>
      <c r="BQ126">
        <f>VLOOKUP($B126,'[1]Data_UN_PopulationTot.&amp;%'!$B$4:$CZ$603,13,FALSE)</f>
        <v>298.786</v>
      </c>
      <c r="BR126">
        <f>VLOOKUP($B126,'[1]Data_UN_PopulationTot.&amp;%'!$B$4:$CZ$603,14,FALSE)</f>
        <v>301.31599999999997</v>
      </c>
      <c r="BS126">
        <f>VLOOKUP($B126,'[1]Data_UN_PopulationTot.&amp;%'!$B$4:$CZ$603,15,FALSE)</f>
        <v>303.79700000000003</v>
      </c>
      <c r="BT126">
        <f>VLOOKUP($B126,'[1]Data_UN_PopulationTot.&amp;%'!$B$4:$CZ$603,16,FALSE)</f>
        <v>306.25</v>
      </c>
      <c r="BU126">
        <f>VLOOKUP($B126,'[1]Data_UN_PopulationTot.&amp;%'!$B$4:$CZ$603,17,FALSE)</f>
        <v>308.65800000000002</v>
      </c>
      <c r="BV126">
        <f>VLOOKUP($B126,'[1]Data_UN_PopulationTot.&amp;%'!$B$4:$CZ$603,18,FALSE)</f>
        <v>311.02699999999999</v>
      </c>
      <c r="BW126">
        <f>VLOOKUP($B126,'[1]Data_UN_PopulationTot.&amp;%'!$B$4:$CZ$603,61,FALSE)</f>
        <v>6.9347194832761803</v>
      </c>
      <c r="BX126">
        <f>VLOOKUP($B126,'[1]Data_UN_PopulationTot.&amp;%'!$B$4:$CZ$603,62,FALSE)</f>
        <v>7.5364897667527169</v>
      </c>
      <c r="BY126">
        <f>VLOOKUP($B126,'[1]Data_UN_PopulationTot.&amp;%'!$B$4:$CZ$603,63,FALSE)</f>
        <v>7.6384194247804658</v>
      </c>
      <c r="BZ126">
        <f>VLOOKUP($B126,'[1]Data_UN_PopulationTot.&amp;%'!$B$4:$CZ$603,64,FALSE)</f>
        <v>7.4944569180814806</v>
      </c>
      <c r="CA126">
        <f>VLOOKUP($B126,'[1]Data_UN_PopulationTot.&amp;%'!$B$4:$CZ$603,65,FALSE)</f>
        <v>8.1785415302058553</v>
      </c>
      <c r="CB126">
        <f>VLOOKUP($B126,'[1]Data_UN_PopulationTot.&amp;%'!$B$4:$CZ$603,66,FALSE)</f>
        <v>6.9504818015278937</v>
      </c>
      <c r="CC126">
        <f>VLOOKUP($B126,'[1]Data_UN_PopulationTot.&amp;%'!$B$4:$CZ$603,67,FALSE)</f>
        <v>7.2846429484642243</v>
      </c>
      <c r="CD126">
        <f>VLOOKUP($B126,'[1]Data_UN_PopulationTot.&amp;%'!$B$4:$CZ$603,68,FALSE)</f>
        <v>7.2485647533547475</v>
      </c>
      <c r="CE126">
        <f>VLOOKUP($B126,'[1]Data_UN_PopulationTot.&amp;%'!$B$4:$CZ$603,69,FALSE)</f>
        <v>6.9094997740734385</v>
      </c>
      <c r="CF126">
        <f>VLOOKUP($B126,'[1]Data_UN_PopulationTot.&amp;%'!$B$4:$CZ$603,70,FALSE)</f>
        <v>7.3897250701423172</v>
      </c>
      <c r="CG126">
        <f>VLOOKUP($B126,'[1]Data_UN_PopulationTot.&amp;%'!$B$4:$CZ$603,71,FALSE)</f>
        <v>6.3903940929836676</v>
      </c>
      <c r="CH126">
        <f>VLOOKUP($B126,'[1]Data_UN_PopulationTot.&amp;%'!$B$4:$CZ$603,72,FALSE)</f>
        <v>5.8520233562529125</v>
      </c>
      <c r="CI126">
        <f>VLOOKUP($B126,'[1]Data_UN_PopulationTot.&amp;%'!$B$4:$CZ$603,73,FALSE)</f>
        <v>4.4947126179108983</v>
      </c>
      <c r="CJ126">
        <f>VLOOKUP($B126,'[1]Data_UN_PopulationTot.&amp;%'!$B$4:$CZ$603,74,FALSE)</f>
        <v>3.4897772609294164</v>
      </c>
      <c r="CK126">
        <f>VLOOKUP($B126,'[1]Data_UN_PopulationTot.&amp;%'!$B$4:$CZ$603,75,FALSE)</f>
        <v>2.8351156428749067</v>
      </c>
      <c r="CL126">
        <f>VLOOKUP($B126,'[1]Data_UN_PopulationTot.&amp;%'!$B$4:$CZ$603,76,FALSE)</f>
        <v>1.8245759060705939</v>
      </c>
      <c r="CM126">
        <f>VLOOKUP($B126,'[1]Data_UN_PopulationTot.&amp;%'!$B$4:$CZ$603,77,FALSE)</f>
        <v>0.9905741336854752</v>
      </c>
      <c r="CN126">
        <f>VLOOKUP($B126,'[1]Data_UN_PopulationTot.&amp;%'!$B$4:$CZ$603,78,FALSE)</f>
        <v>0.39686014620425869</v>
      </c>
      <c r="CO126">
        <f>VLOOKUP($B126,'[1]Data_UN_PopulationTot.&amp;%'!$B$4:$CZ$603,79,FALSE)</f>
        <v>0.13275374705332216</v>
      </c>
      <c r="CP126">
        <f>VLOOKUP($B126,'[1]Data_UN_PopulationTot.&amp;%'!$B$4:$CZ$603,80,FALSE)</f>
        <v>2.4519161724888001E-2</v>
      </c>
      <c r="CQ126">
        <f>VLOOKUP($B126,'[1]Data_UN_PopulationTot.&amp;%'!$B$4:$CZ$603,81,FALSE)</f>
        <v>3.1524636503427431E-3</v>
      </c>
      <c r="CR126">
        <f>VLOOKUP($B126,'[1]Data_UN_PopulationTot.&amp;%'!$B$4:$CZ$603,82,FALSE)</f>
        <v>6.3701865111389049</v>
      </c>
      <c r="CS126">
        <f>VLOOKUP($B126,'[1]Data_UN_PopulationTot.&amp;%'!$B$4:$CZ$603,83,FALSE)</f>
        <v>6.3496095194307891</v>
      </c>
      <c r="CT126">
        <f>VLOOKUP($B126,'[1]Data_UN_PopulationTot.&amp;%'!$B$4:$CZ$603,84,FALSE)</f>
        <v>6.388191378883505</v>
      </c>
      <c r="CU126">
        <f>VLOOKUP($B126,'[1]Data_UN_PopulationTot.&amp;%'!$B$4:$CZ$603,85,FALSE)</f>
        <v>7.0090378005767988</v>
      </c>
      <c r="CV126">
        <f>VLOOKUP($B126,'[1]Data_UN_PopulationTot.&amp;%'!$B$4:$CZ$603,86,FALSE)</f>
        <v>7.2357062248615076</v>
      </c>
      <c r="CW126">
        <f>VLOOKUP($B126,'[1]Data_UN_PopulationTot.&amp;%'!$B$4:$CZ$603,87,FALSE)</f>
        <v>7.155970381992562</v>
      </c>
      <c r="CX126">
        <f>VLOOKUP($B126,'[1]Data_UN_PopulationTot.&amp;%'!$B$4:$CZ$603,88,FALSE)</f>
        <v>7.7305185723425947</v>
      </c>
      <c r="CY126">
        <f>VLOOKUP($B126,'[1]Data_UN_PopulationTot.&amp;%'!$B$4:$CZ$603,89,FALSE)</f>
        <v>6.5309442588585549</v>
      </c>
      <c r="CZ126">
        <f>VLOOKUP($B126,'[1]Data_UN_PopulationTot.&amp;%'!$B$4:$CZ$603,90,FALSE)</f>
        <v>6.7611493535930958</v>
      </c>
      <c r="DA126">
        <f>VLOOKUP($B126,'[1]Data_UN_PopulationTot.&amp;%'!$B$4:$CZ$603,91,FALSE)</f>
        <v>6.6592289415388377</v>
      </c>
      <c r="DB126">
        <f>VLOOKUP($B126,'[1]Data_UN_PopulationTot.&amp;%'!$B$4:$CZ$603,92,FALSE)</f>
        <v>6.2734103470116747</v>
      </c>
      <c r="DC126">
        <f>VLOOKUP($B126,'[1]Data_UN_PopulationTot.&amp;%'!$B$4:$CZ$603,93,FALSE)</f>
        <v>6.5942828114600989</v>
      </c>
      <c r="DD126">
        <f>VLOOKUP($B126,'[1]Data_UN_PopulationTot.&amp;%'!$B$4:$CZ$603,94,FALSE)</f>
        <v>5.5667192880360874</v>
      </c>
      <c r="DE126">
        <f>VLOOKUP($B126,'[1]Data_UN_PopulationTot.&amp;%'!$B$4:$CZ$603,95,FALSE)</f>
        <v>4.8963594800451409</v>
      </c>
      <c r="DF126">
        <f>VLOOKUP($B126,'[1]Data_UN_PopulationTot.&amp;%'!$B$4:$CZ$603,96,FALSE)</f>
        <v>3.5122352721789429</v>
      </c>
      <c r="DG126">
        <f>VLOOKUP($B126,'[1]Data_UN_PopulationTot.&amp;%'!$B$4:$CZ$603,97,FALSE)</f>
        <v>2.4059004523723022</v>
      </c>
      <c r="DH126">
        <f>VLOOKUP($B126,'[1]Data_UN_PopulationTot.&amp;%'!$B$4:$CZ$603,98,FALSE)</f>
        <v>1.5786410826069761</v>
      </c>
      <c r="DI126">
        <f>VLOOKUP($B126,'[1]Data_UN_PopulationTot.&amp;%'!$B$4:$CZ$603,99,FALSE)</f>
        <v>0.70508348149839084</v>
      </c>
      <c r="DJ126">
        <f>VLOOKUP($B126,'[1]Data_UN_PopulationTot.&amp;%'!$B$4:$DE$603,100,FALSE)</f>
        <v>0.22827600176190491</v>
      </c>
      <c r="DK126">
        <f>VLOOKUP($B126,'[1]Data_UN_PopulationTot.&amp;%'!$B$4:$DE$603,101,FALSE)</f>
        <v>4.2761560893427267E-2</v>
      </c>
      <c r="DL126">
        <f>VLOOKUP($B126,'[1]Data_UN_PopulationTot.&amp;%'!$B$4:$DE$603,102,FALSE)</f>
        <v>5.7872789179074487E-3</v>
      </c>
    </row>
    <row r="127" spans="1:116">
      <c r="A127" t="s">
        <v>101</v>
      </c>
      <c r="B127" t="s">
        <v>314</v>
      </c>
      <c r="C127" t="s">
        <v>496</v>
      </c>
      <c r="D127" t="s">
        <v>306</v>
      </c>
      <c r="E127" t="s">
        <v>299</v>
      </c>
      <c r="F127">
        <v>1</v>
      </c>
      <c r="G127">
        <v>0</v>
      </c>
      <c r="H127">
        <v>0</v>
      </c>
      <c r="I127">
        <v>0</v>
      </c>
      <c r="J127" s="18">
        <f t="shared" si="3"/>
        <v>1388.4064312355638</v>
      </c>
      <c r="K127">
        <f>VLOOKUP($B127,'[1]Source GDP Current USD'!$B$1:$CZ$600,64,FALSE)</f>
        <v>13741378450.136</v>
      </c>
      <c r="L127" s="45">
        <f>VLOOKUP($B127,'[1]Source GDP Current USD'!$B$1:$CZ$600,65,FALSE)</f>
        <v>13741378450.136</v>
      </c>
      <c r="M127" s="17">
        <f>VLOOKUP($B127,'[1]Source GDP Current LCU'!$B$1:$CZ$600,64,FALSE)</f>
        <v>7909345056600</v>
      </c>
      <c r="N127" s="45">
        <v>7900000000000</v>
      </c>
      <c r="O127" s="45">
        <f>VLOOKUP($B127,'[1]Source GNI Current USD'!$B$1:$CZ$600,64,FALSE)</f>
        <v>13156292048.4515</v>
      </c>
      <c r="P127" s="45">
        <f>VLOOKUP($B127,'[1]Source GNI Current LCU'!$B$1:$CZ$600,64,FALSE)</f>
        <v>7572577515000</v>
      </c>
      <c r="Q127">
        <f t="shared" si="2"/>
        <v>104.44719834076206</v>
      </c>
      <c r="R127">
        <v>550</v>
      </c>
      <c r="S127">
        <v>550</v>
      </c>
      <c r="T127">
        <v>0.44064900000000001</v>
      </c>
      <c r="U127" s="45">
        <v>24000000</v>
      </c>
      <c r="V127">
        <v>17.553999999999998</v>
      </c>
      <c r="W127">
        <f>VLOOKUP($B127,'[1]Source Gov. Revenue WEO'!$B$1:$CZ$600,5,FALSE)</f>
        <v>17.213000000000001</v>
      </c>
      <c r="X127">
        <f>VLOOKUP($B127,'[1]Source Gov. Revenue WEO'!$B$1:$CZ$600,6,FALSE)</f>
        <v>17.131</v>
      </c>
      <c r="Y127">
        <f>VLOOKUP($B127,'[1]Source Gov. Revenue WEO'!$B$1:$CZ$600,7,FALSE)</f>
        <v>17.885999999999999</v>
      </c>
      <c r="Z127">
        <f>VLOOKUP($B127,'[1]Source Gov. Revenue WEO'!$B$1:$CZ$600,8,FALSE)</f>
        <v>18.302</v>
      </c>
      <c r="AA127">
        <f>VLOOKUP($B127,'[1]Source Gov. Revenue WEO'!$B$1:$CZ$600,9,FALSE)</f>
        <v>18.591999999999999</v>
      </c>
      <c r="AB127">
        <f>VLOOKUP($B127,'[1]Source Gov. Revenue WEO'!$B$1:$CZ$600,10,FALSE)</f>
        <v>18.760999999999999</v>
      </c>
      <c r="AC127">
        <f>VLOOKUP($B127,[2]Summary!$B$1:$CZ$600,39,FALSE)</f>
        <v>0.41337029999999997</v>
      </c>
      <c r="AD127">
        <f>VLOOKUP($B127,[2]Summary!$B$1:$CZ$600,40,FALSE)</f>
        <v>0.32750000000000001</v>
      </c>
      <c r="AE127">
        <f>VLOOKUP($B127,[2]Summary!$B$1:$CZ$600,47,FALSE)</f>
        <v>0.1421422512507062</v>
      </c>
      <c r="AF127">
        <f>VLOOKUP($B127,'[1]CALC GDP Growth rates WDI'!$B$1:$CZ$600,27,FALSE)</f>
        <v>73.293775099350739</v>
      </c>
      <c r="AG127">
        <f>VLOOKUP($B127,'[1]CALC GDP Growth rates WDI'!$B$1:$CZ$600,29,FALSE)</f>
        <v>72.590898564637101</v>
      </c>
      <c r="AH127">
        <v>30.63</v>
      </c>
      <c r="AI127">
        <f>VLOOKUP($B127,'[1]CALC GDP Growth rates WDI'!$B$1:$CZ$600,30,FALSE)</f>
        <v>25.077852351716224</v>
      </c>
      <c r="AJ127" t="s">
        <v>2465</v>
      </c>
      <c r="AK127">
        <f>VLOOKUP($B127,[1]Data_Aspire!$B$1:$CZ$600,2,FALSE)</f>
        <v>2017</v>
      </c>
      <c r="AL127">
        <f>VLOOKUP($B127,[1]Data_Aspire!$B$1:$CZ$600,3,FALSE)</f>
        <v>0.42</v>
      </c>
      <c r="AM127">
        <f>VLOOKUP($B127,[1]Data_Aspire!$B$1:$CZ$600,4,FALSE)</f>
        <v>0.04</v>
      </c>
      <c r="AN127">
        <f>VLOOKUP($B127,[1]Data_Aspire!$B$1:$CZ$600,5,FALSE)</f>
        <v>0</v>
      </c>
      <c r="AO127">
        <f>VLOOKUP($B127,[1]Data_Aspire!$B$1:$CZ$600,6,FALSE)</f>
        <v>0</v>
      </c>
      <c r="AP127">
        <f>VLOOKUP($B127,[1]Data_Aspire!$B$1:$CZ$600,7,FALSE)</f>
        <v>0.02</v>
      </c>
      <c r="AQ127">
        <f>VLOOKUP($B127,[1]Data_Aspire!$B$1:$CZ$600,8,FALSE)</f>
        <v>0.01</v>
      </c>
      <c r="AR127">
        <f>VLOOKUP($B127,[1]Data_Aspire!$B$1:$CZ$600,9,FALSE)</f>
        <v>0.36</v>
      </c>
      <c r="AU127">
        <f>VLOOKUP($B127,[1]Data_Aspire!$B$1:$CZ$600,12,FALSE)</f>
        <v>0.42</v>
      </c>
      <c r="AV127">
        <f>VLOOKUP($B127,[1]Data_Aspire!$B$1:$CZ$600,13,FALSE)</f>
        <v>43117</v>
      </c>
      <c r="AW127">
        <f>VLOOKUP($B127,[1]Data_Aspire!$B$1:$CZ$600,14,FALSE)</f>
        <v>2017</v>
      </c>
      <c r="AX127">
        <f>VLOOKUP($B127,[1]Data_Aspire!$B$1:$CZ$600,15,FALSE)</f>
        <v>2385</v>
      </c>
      <c r="AY127">
        <f>VLOOKUP($B127,[1]Data_Aspire!$B$1:$CZ$600,16,FALSE)</f>
        <v>2017</v>
      </c>
      <c r="BB127">
        <f>VLOOKUP($B127,[1]Data_Aspire!$B$1:$CZ$600,19,FALSE)</f>
        <v>1178830</v>
      </c>
      <c r="BC127">
        <f>VLOOKUP($B127,[1]Data_Aspire!$B$1:$CZ$600,20,FALSE)</f>
        <v>2016</v>
      </c>
      <c r="BD127">
        <f>VLOOKUP($B127,[1]Data_Aspire!$B$1:$CZ$600,21,FALSE)</f>
        <v>302849</v>
      </c>
      <c r="BE127">
        <f>VLOOKUP($B127,[1]Data_Aspire!$B$1:$CZ$600,22,FALSE)</f>
        <v>2017</v>
      </c>
      <c r="BF127">
        <f>VLOOKUP($B127,[1]Data_Aspire!$B$1:$CZ$600,23,FALSE)</f>
        <v>12500</v>
      </c>
      <c r="BG127">
        <f>VLOOKUP($B127,[1]Data_Aspire!$B$1:$CZ$600,24,FALSE)</f>
        <v>2017</v>
      </c>
      <c r="BJ127" s="7">
        <v>1</v>
      </c>
      <c r="BK127">
        <v>562</v>
      </c>
      <c r="BL127">
        <f>VLOOKUP($B127,'[1]Data_UN_PopulationTot.&amp;%'!$B$4:$CZ$603,8,FALSE)</f>
        <v>24206.6</v>
      </c>
      <c r="BM127">
        <f>VLOOKUP($B127,'[1]Data_UN_PopulationTot.&amp;%'!$B$4:$CZ$603,9,FALSE)</f>
        <v>25130.799999999999</v>
      </c>
      <c r="BN127">
        <v>26083.7</v>
      </c>
      <c r="BO127">
        <f>VLOOKUP($B127,'[1]Data_UN_PopulationTot.&amp;%'!$B$4:$CZ$603,11,FALSE)</f>
        <v>27066.2</v>
      </c>
      <c r="BP127">
        <f>VLOOKUP($B127,'[1]Data_UN_PopulationTot.&amp;%'!$B$4:$CZ$603,12,FALSE)</f>
        <v>28079.8</v>
      </c>
      <c r="BQ127">
        <f>VLOOKUP($B127,'[1]Data_UN_PopulationTot.&amp;%'!$B$4:$CZ$603,13,FALSE)</f>
        <v>29125.5</v>
      </c>
      <c r="BR127">
        <f>VLOOKUP($B127,'[1]Data_UN_PopulationTot.&amp;%'!$B$4:$CZ$603,14,FALSE)</f>
        <v>30203.7</v>
      </c>
      <c r="BS127">
        <f>VLOOKUP($B127,'[1]Data_UN_PopulationTot.&amp;%'!$B$4:$CZ$603,15,FALSE)</f>
        <v>31314.6</v>
      </c>
      <c r="BT127">
        <f>VLOOKUP($B127,'[1]Data_UN_PopulationTot.&amp;%'!$B$4:$CZ$603,16,FALSE)</f>
        <v>32458.5</v>
      </c>
      <c r="BU127">
        <f>VLOOKUP($B127,'[1]Data_UN_PopulationTot.&amp;%'!$B$4:$CZ$603,17,FALSE)</f>
        <v>33635.599999999999</v>
      </c>
      <c r="BV127">
        <f>VLOOKUP($B127,'[1]Data_UN_PopulationTot.&amp;%'!$B$4:$CZ$603,18,FALSE)</f>
        <v>34846</v>
      </c>
      <c r="BW127">
        <f>VLOOKUP($B127,'[1]Data_UN_PopulationTot.&amp;%'!$B$4:$CZ$603,61,FALSE)</f>
        <v>19.777540009749409</v>
      </c>
      <c r="BX127">
        <f>VLOOKUP($B127,'[1]Data_UN_PopulationTot.&amp;%'!$B$4:$CZ$603,62,FALSE)</f>
        <v>16.402757925524444</v>
      </c>
      <c r="BY127">
        <f>VLOOKUP($B127,'[1]Data_UN_PopulationTot.&amp;%'!$B$4:$CZ$603,63,FALSE)</f>
        <v>13.4917336594152</v>
      </c>
      <c r="BZ127">
        <f>VLOOKUP($B127,'[1]Data_UN_PopulationTot.&amp;%'!$B$4:$CZ$603,64,FALSE)</f>
        <v>10.886452455115547</v>
      </c>
      <c r="CA127">
        <f>VLOOKUP($B127,'[1]Data_UN_PopulationTot.&amp;%'!$B$4:$CZ$603,65,FALSE)</f>
        <v>8.6210372377781272</v>
      </c>
      <c r="CB127">
        <f>VLOOKUP($B127,'[1]Data_UN_PopulationTot.&amp;%'!$B$4:$CZ$603,66,FALSE)</f>
        <v>6.7357249675708291</v>
      </c>
      <c r="CC127">
        <f>VLOOKUP($B127,'[1]Data_UN_PopulationTot.&amp;%'!$B$4:$CZ$603,67,FALSE)</f>
        <v>5.2296068014508448</v>
      </c>
      <c r="CD127">
        <f>VLOOKUP($B127,'[1]Data_UN_PopulationTot.&amp;%'!$B$4:$CZ$603,68,FALSE)</f>
        <v>4.1026290350565553</v>
      </c>
      <c r="CE127">
        <f>VLOOKUP($B127,'[1]Data_UN_PopulationTot.&amp;%'!$B$4:$CZ$603,69,FALSE)</f>
        <v>3.461969049763288</v>
      </c>
      <c r="CF127">
        <f>VLOOKUP($B127,'[1]Data_UN_PopulationTot.&amp;%'!$B$4:$CZ$603,70,FALSE)</f>
        <v>2.8532259796914894</v>
      </c>
      <c r="CG127">
        <f>VLOOKUP($B127,'[1]Data_UN_PopulationTot.&amp;%'!$B$4:$CZ$603,71,FALSE)</f>
        <v>2.3189956458156042</v>
      </c>
      <c r="CH127">
        <f>VLOOKUP($B127,'[1]Data_UN_PopulationTot.&amp;%'!$B$4:$CZ$603,72,FALSE)</f>
        <v>2.0056513512843606</v>
      </c>
      <c r="CI127">
        <f>VLOOKUP($B127,'[1]Data_UN_PopulationTot.&amp;%'!$B$4:$CZ$603,73,FALSE)</f>
        <v>1.5167103186734197</v>
      </c>
      <c r="CJ127">
        <f>VLOOKUP($B127,'[1]Data_UN_PopulationTot.&amp;%'!$B$4:$CZ$603,74,FALSE)</f>
        <v>1.1468153313559113</v>
      </c>
      <c r="CK127">
        <f>VLOOKUP($B127,'[1]Data_UN_PopulationTot.&amp;%'!$B$4:$CZ$603,75,FALSE)</f>
        <v>0.78348053836556975</v>
      </c>
      <c r="CL127">
        <f>VLOOKUP($B127,'[1]Data_UN_PopulationTot.&amp;%'!$B$4:$CZ$603,76,FALSE)</f>
        <v>0.4391570893888444</v>
      </c>
      <c r="CM127">
        <f>VLOOKUP($B127,'[1]Data_UN_PopulationTot.&amp;%'!$B$4:$CZ$603,77,FALSE)</f>
        <v>0.17320895953996018</v>
      </c>
      <c r="CN127">
        <f>VLOOKUP($B127,'[1]Data_UN_PopulationTot.&amp;%'!$B$4:$CZ$603,78,FALSE)</f>
        <v>4.6037031222889629E-2</v>
      </c>
      <c r="CO127">
        <f>VLOOKUP($B127,'[1]Data_UN_PopulationTot.&amp;%'!$B$4:$CZ$603,79,FALSE)</f>
        <v>6.8617649731891302E-3</v>
      </c>
      <c r="CP127">
        <f>VLOOKUP($B127,'[1]Data_UN_PopulationTot.&amp;%'!$B$4:$CZ$603,80,FALSE)</f>
        <v>5.1225698776366784E-4</v>
      </c>
      <c r="CQ127">
        <f>VLOOKUP($B127,'[1]Data_UN_PopulationTot.&amp;%'!$B$4:$CZ$603,81,FALSE)</f>
        <v>1.6524418960118317E-5</v>
      </c>
      <c r="CR127">
        <f>VLOOKUP($B127,'[1]Data_UN_PopulationTot.&amp;%'!$B$4:$CZ$603,82,FALSE)</f>
        <v>18.487573896573494</v>
      </c>
      <c r="CS127">
        <f>VLOOKUP($B127,'[1]Data_UN_PopulationTot.&amp;%'!$B$4:$CZ$603,83,FALSE)</f>
        <v>15.690437926878264</v>
      </c>
      <c r="CT127">
        <f>VLOOKUP($B127,'[1]Data_UN_PopulationTot.&amp;%'!$B$4:$CZ$603,84,FALSE)</f>
        <v>13.334729954657638</v>
      </c>
      <c r="CU127">
        <f>VLOOKUP($B127,'[1]Data_UN_PopulationTot.&amp;%'!$B$4:$CZ$603,85,FALSE)</f>
        <v>11.240142340584285</v>
      </c>
      <c r="CV127">
        <f>VLOOKUP($B127,'[1]Data_UN_PopulationTot.&amp;%'!$B$4:$CZ$603,86,FALSE)</f>
        <v>9.2199104631808524</v>
      </c>
      <c r="CW127">
        <f>VLOOKUP($B127,'[1]Data_UN_PopulationTot.&amp;%'!$B$4:$CZ$603,87,FALSE)</f>
        <v>7.3930723755954775</v>
      </c>
      <c r="CX127">
        <f>VLOOKUP($B127,'[1]Data_UN_PopulationTot.&amp;%'!$B$4:$CZ$603,88,FALSE)</f>
        <v>5.8249153417895885</v>
      </c>
      <c r="CY127">
        <f>VLOOKUP($B127,'[1]Data_UN_PopulationTot.&amp;%'!$B$4:$CZ$603,89,FALSE)</f>
        <v>4.5320553291626018</v>
      </c>
      <c r="CZ127">
        <f>VLOOKUP($B127,'[1]Data_UN_PopulationTot.&amp;%'!$B$4:$CZ$603,90,FALSE)</f>
        <v>3.4990529759513285</v>
      </c>
      <c r="DA127">
        <f>VLOOKUP($B127,'[1]Data_UN_PopulationTot.&amp;%'!$B$4:$CZ$603,91,FALSE)</f>
        <v>2.7189634391321817</v>
      </c>
      <c r="DB127">
        <f>VLOOKUP($B127,'[1]Data_UN_PopulationTot.&amp;%'!$B$4:$CZ$603,92,FALSE)</f>
        <v>2.2553463812202263</v>
      </c>
      <c r="DC127">
        <f>VLOOKUP($B127,'[1]Data_UN_PopulationTot.&amp;%'!$B$4:$CZ$603,93,FALSE)</f>
        <v>1.8041324685760203</v>
      </c>
      <c r="DD127">
        <f>VLOOKUP($B127,'[1]Data_UN_PopulationTot.&amp;%'!$B$4:$CZ$603,94,FALSE)</f>
        <v>1.402528267232968</v>
      </c>
      <c r="DE127">
        <f>VLOOKUP($B127,'[1]Data_UN_PopulationTot.&amp;%'!$B$4:$CZ$603,95,FALSE)</f>
        <v>1.1299202203983241</v>
      </c>
      <c r="DF127">
        <f>VLOOKUP($B127,'[1]Data_UN_PopulationTot.&amp;%'!$B$4:$CZ$603,96,FALSE)</f>
        <v>0.75268610457441321</v>
      </c>
      <c r="DG127">
        <f>VLOOKUP($B127,'[1]Data_UN_PopulationTot.&amp;%'!$B$4:$CZ$603,97,FALSE)</f>
        <v>0.44671698329793957</v>
      </c>
      <c r="DH127">
        <f>VLOOKUP($B127,'[1]Data_UN_PopulationTot.&amp;%'!$B$4:$CZ$603,98,FALSE)</f>
        <v>0.20106181484244962</v>
      </c>
      <c r="DI127">
        <f>VLOOKUP($B127,'[1]Data_UN_PopulationTot.&amp;%'!$B$4:$CZ$603,99,FALSE)</f>
        <v>5.7527406302014583E-2</v>
      </c>
      <c r="DJ127">
        <f>VLOOKUP($B127,'[1]Data_UN_PopulationTot.&amp;%'!$B$4:$DE$603,100,FALSE)</f>
        <v>8.528955977730587E-3</v>
      </c>
      <c r="DK127">
        <f>VLOOKUP($B127,'[1]Data_UN_PopulationTot.&amp;%'!$B$4:$DE$603,101,FALSE)</f>
        <v>6.7726568329219998E-4</v>
      </c>
      <c r="DL127">
        <f>VLOOKUP($B127,'[1]Data_UN_PopulationTot.&amp;%'!$B$4:$DE$603,102,FALSE)</f>
        <v>2.8697698444584744E-5</v>
      </c>
    </row>
    <row r="128" spans="1:116">
      <c r="A128" t="s">
        <v>141</v>
      </c>
      <c r="B128" t="s">
        <v>355</v>
      </c>
      <c r="C128" t="s">
        <v>496</v>
      </c>
      <c r="D128" t="s">
        <v>334</v>
      </c>
      <c r="E128" t="s">
        <v>300</v>
      </c>
      <c r="F128">
        <v>0</v>
      </c>
      <c r="G128">
        <v>1</v>
      </c>
      <c r="H128">
        <v>0</v>
      </c>
      <c r="I128">
        <v>0</v>
      </c>
      <c r="J128" s="18">
        <f t="shared" si="3"/>
        <v>9750.2890775362594</v>
      </c>
      <c r="K128">
        <f>VLOOKUP($B128,'[1]Source GDP Current USD'!$B$1:$CZ$600,64,FALSE)</f>
        <v>432293776262.39801</v>
      </c>
      <c r="L128" s="45">
        <f>VLOOKUP($B128,'[1]Source GDP Current USD'!$B$1:$CZ$600,65,FALSE)</f>
        <v>432293776262.39801</v>
      </c>
      <c r="M128" s="17">
        <f>VLOOKUP($B128,'[1]Source GDP Current LCU'!$B$1:$CZ$600,64,FALSE)</f>
        <v>154252318897900</v>
      </c>
      <c r="N128" s="45">
        <v>150000000000000</v>
      </c>
      <c r="O128" s="45">
        <f>VLOOKUP($B128,'[1]Source GNI Current USD'!$B$1:$CZ$600,64,FALSE)</f>
        <v>416521073586.08398</v>
      </c>
      <c r="P128" s="45">
        <f>VLOOKUP($B128,'[1]Source GNI Current LCU'!$B$1:$CZ$600,64,FALSE)</f>
        <v>148624257388100</v>
      </c>
      <c r="Q128">
        <f t="shared" si="2"/>
        <v>103.78677182897778</v>
      </c>
      <c r="R128">
        <v>2000</v>
      </c>
      <c r="S128">
        <v>2000</v>
      </c>
      <c r="T128">
        <v>0.40434399999999998</v>
      </c>
      <c r="U128" s="45">
        <v>210000000</v>
      </c>
      <c r="V128">
        <v>6.3209999999999997</v>
      </c>
      <c r="W128">
        <f>VLOOKUP($B128,'[1]Source Gov. Revenue WEO'!$B$1:$CZ$600,5,FALSE)</f>
        <v>7.2270000000000003</v>
      </c>
      <c r="X128">
        <f>VLOOKUP($B128,'[1]Source Gov. Revenue WEO'!$B$1:$CZ$600,6,FALSE)</f>
        <v>6.9180000000000001</v>
      </c>
      <c r="Y128">
        <f>VLOOKUP($B128,'[1]Source Gov. Revenue WEO'!$B$1:$CZ$600,7,FALSE)</f>
        <v>6.5540000000000003</v>
      </c>
      <c r="Z128">
        <f>VLOOKUP($B128,'[1]Source Gov. Revenue WEO'!$B$1:$CZ$600,8,FALSE)</f>
        <v>6.5919999999999996</v>
      </c>
      <c r="AA128">
        <f>VLOOKUP($B128,'[1]Source Gov. Revenue WEO'!$B$1:$CZ$600,9,FALSE)</f>
        <v>6.5289999999999999</v>
      </c>
      <c r="AB128">
        <f>VLOOKUP($B128,'[1]Source Gov. Revenue WEO'!$B$1:$CZ$600,10,FALSE)</f>
        <v>6.4980000000000002</v>
      </c>
      <c r="AC128">
        <f>VLOOKUP($B128,[2]Summary!$B$1:$CZ$600,39,FALSE)</f>
        <v>0.46</v>
      </c>
      <c r="AD128">
        <f>VLOOKUP($B128,[2]Summary!$B$1:$CZ$600,40,FALSE)</f>
        <v>0.47</v>
      </c>
      <c r="AE128">
        <f>VLOOKUP($B128,[2]Summary!$B$1:$CZ$600,47,FALSE)</f>
        <v>0.15</v>
      </c>
      <c r="AF128">
        <f>VLOOKUP($B128,'[1]CALC GDP Growth rates WDI'!$B$1:$CZ$600,27,FALSE)</f>
        <v>29.642205023860303</v>
      </c>
      <c r="AG128">
        <f>VLOOKUP($B128,'[1]CALC GDP Growth rates WDI'!$B$1:$CZ$600,29,FALSE)</f>
        <v>39.50827736949072</v>
      </c>
      <c r="AH128">
        <v>1.46</v>
      </c>
      <c r="AI128">
        <f>VLOOKUP($B128,'[1]CALC GDP Growth rates WDI'!$B$1:$CZ$600,30,FALSE)</f>
        <v>3.7716522978495481</v>
      </c>
      <c r="AJ128" s="45"/>
      <c r="AK128">
        <f>VLOOKUP($B128,[1]Data_Aspire!$B$1:$CZ$600,2,FALSE)</f>
        <v>2016</v>
      </c>
      <c r="AL128">
        <f>VLOOKUP($B128,[1]Data_Aspire!$B$1:$CZ$600,3,FALSE)</f>
        <v>0.28000000000000003</v>
      </c>
      <c r="AM128">
        <f>VLOOKUP($B128,[1]Data_Aspire!$B$1:$CZ$600,4,FALSE)</f>
        <v>0</v>
      </c>
      <c r="AN128">
        <f>VLOOKUP($B128,[1]Data_Aspire!$B$1:$CZ$600,5,FALSE)</f>
        <v>0.01</v>
      </c>
      <c r="AO128">
        <f>VLOOKUP($B128,[1]Data_Aspire!$B$1:$CZ$600,6,FALSE)</f>
        <v>0</v>
      </c>
      <c r="AP128">
        <f>VLOOKUP($B128,[1]Data_Aspire!$B$1:$CZ$600,7,FALSE)</f>
        <v>0</v>
      </c>
      <c r="AQ128">
        <f>VLOOKUP($B128,[1]Data_Aspire!$B$1:$CZ$600,8,FALSE)</f>
        <v>0.27</v>
      </c>
      <c r="AU128">
        <f>VLOOKUP($B128,[1]Data_Aspire!$B$1:$CZ$600,12,FALSE)</f>
        <v>0.28000000000000003</v>
      </c>
      <c r="AV128">
        <f>VLOOKUP($B128,[1]Data_Aspire!$B$1:$CZ$600,13,FALSE)</f>
        <v>16271</v>
      </c>
      <c r="AW128">
        <f>VLOOKUP($B128,[1]Data_Aspire!$B$1:$CZ$600,14,FALSE)</f>
        <v>2014</v>
      </c>
      <c r="AX128">
        <f>VLOOKUP($B128,[1]Data_Aspire!$B$1:$CZ$600,15,FALSE)</f>
        <v>47746</v>
      </c>
      <c r="AY128">
        <f>VLOOKUP($B128,[1]Data_Aspire!$B$1:$CZ$600,16,FALSE)</f>
        <v>2013</v>
      </c>
      <c r="AZ128">
        <f>VLOOKUP($B128,[1]Data_Aspire!$B$1:$CZ$600,17,FALSE)</f>
        <v>25000</v>
      </c>
      <c r="BA128">
        <f>VLOOKUP($B128,[1]Data_Aspire!$B$1:$CZ$600,18,FALSE)</f>
        <v>2013</v>
      </c>
      <c r="BB128">
        <f>VLOOKUP($B128,[1]Data_Aspire!$B$1:$CZ$600,19,FALSE)</f>
        <v>7000</v>
      </c>
      <c r="BC128">
        <f>VLOOKUP($B128,[1]Data_Aspire!$B$1:$CZ$600,20,FALSE)</f>
        <v>2012</v>
      </c>
      <c r="BD128">
        <f>VLOOKUP($B128,[1]Data_Aspire!$B$1:$CZ$600,21,FALSE)</f>
        <v>155000</v>
      </c>
      <c r="BE128">
        <f>VLOOKUP($B128,[1]Data_Aspire!$B$1:$CZ$600,22,FALSE)</f>
        <v>2011</v>
      </c>
      <c r="BF128">
        <f>VLOOKUP($B128,[1]Data_Aspire!$B$1:$CZ$600,23,FALSE)</f>
        <v>34091</v>
      </c>
      <c r="BG128">
        <f>VLOOKUP($B128,[1]Data_Aspire!$B$1:$CZ$600,24,FALSE)</f>
        <v>2016</v>
      </c>
      <c r="BJ128" s="7">
        <v>1</v>
      </c>
      <c r="BK128" s="45">
        <v>566</v>
      </c>
      <c r="BL128">
        <f>VLOOKUP($B128,'[1]Data_UN_PopulationTot.&amp;%'!$B$4:$CZ$603,8,FALSE)</f>
        <v>206140</v>
      </c>
      <c r="BM128">
        <f>VLOOKUP($B128,'[1]Data_UN_PopulationTot.&amp;%'!$B$4:$CZ$603,9,FALSE)</f>
        <v>211401</v>
      </c>
      <c r="BN128">
        <v>216747</v>
      </c>
      <c r="BO128">
        <f>VLOOKUP($B128,'[1]Data_UN_PopulationTot.&amp;%'!$B$4:$CZ$603,11,FALSE)</f>
        <v>222182</v>
      </c>
      <c r="BP128">
        <f>VLOOKUP($B128,'[1]Data_UN_PopulationTot.&amp;%'!$B$4:$CZ$603,12,FALSE)</f>
        <v>227713</v>
      </c>
      <c r="BQ128">
        <f>VLOOKUP($B128,'[1]Data_UN_PopulationTot.&amp;%'!$B$4:$CZ$603,13,FALSE)</f>
        <v>233343</v>
      </c>
      <c r="BR128">
        <f>VLOOKUP($B128,'[1]Data_UN_PopulationTot.&amp;%'!$B$4:$CZ$603,14,FALSE)</f>
        <v>239073</v>
      </c>
      <c r="BS128">
        <f>VLOOKUP($B128,'[1]Data_UN_PopulationTot.&amp;%'!$B$4:$CZ$603,15,FALSE)</f>
        <v>244902</v>
      </c>
      <c r="BT128">
        <f>VLOOKUP($B128,'[1]Data_UN_PopulationTot.&amp;%'!$B$4:$CZ$603,16,FALSE)</f>
        <v>250830</v>
      </c>
      <c r="BU128">
        <f>VLOOKUP($B128,'[1]Data_UN_PopulationTot.&amp;%'!$B$4:$CZ$603,17,FALSE)</f>
        <v>256855</v>
      </c>
      <c r="BV128">
        <f>VLOOKUP($B128,'[1]Data_UN_PopulationTot.&amp;%'!$B$4:$CZ$603,18,FALSE)</f>
        <v>262977</v>
      </c>
      <c r="BW128">
        <f>VLOOKUP($B128,'[1]Data_UN_PopulationTot.&amp;%'!$B$4:$CZ$603,61,FALSE)</f>
        <v>16.463956534394104</v>
      </c>
      <c r="BX128">
        <f>VLOOKUP($B128,'[1]Data_UN_PopulationTot.&amp;%'!$B$4:$CZ$603,62,FALSE)</f>
        <v>14.511302997962549</v>
      </c>
      <c r="BY128">
        <f>VLOOKUP($B128,'[1]Data_UN_PopulationTot.&amp;%'!$B$4:$CZ$603,63,FALSE)</f>
        <v>12.512224701659067</v>
      </c>
      <c r="BZ128">
        <f>VLOOKUP($B128,'[1]Data_UN_PopulationTot.&amp;%'!$B$4:$CZ$603,64,FALSE)</f>
        <v>10.628892985349763</v>
      </c>
      <c r="CA128">
        <f>VLOOKUP($B128,'[1]Data_UN_PopulationTot.&amp;%'!$B$4:$CZ$603,65,FALSE)</f>
        <v>8.7652081109925284</v>
      </c>
      <c r="CB128">
        <f>VLOOKUP($B128,'[1]Data_UN_PopulationTot.&amp;%'!$B$4:$CZ$603,66,FALSE)</f>
        <v>7.3293877947026287</v>
      </c>
      <c r="CC128">
        <f>VLOOKUP($B128,'[1]Data_UN_PopulationTot.&amp;%'!$B$4:$CZ$603,67,FALSE)</f>
        <v>6.3279809837974197</v>
      </c>
      <c r="CD128">
        <f>VLOOKUP($B128,'[1]Data_UN_PopulationTot.&amp;%'!$B$4:$CZ$603,68,FALSE)</f>
        <v>5.4931114776365577</v>
      </c>
      <c r="CE128">
        <f>VLOOKUP($B128,'[1]Data_UN_PopulationTot.&amp;%'!$B$4:$CZ$603,69,FALSE)</f>
        <v>4.5884544484331036</v>
      </c>
      <c r="CF128">
        <f>VLOOKUP($B128,'[1]Data_UN_PopulationTot.&amp;%'!$B$4:$CZ$603,70,FALSE)</f>
        <v>3.6765402153876003</v>
      </c>
      <c r="CG128">
        <f>VLOOKUP($B128,'[1]Data_UN_PopulationTot.&amp;%'!$B$4:$CZ$603,71,FALSE)</f>
        <v>2.883220141651305</v>
      </c>
      <c r="CH128">
        <f>VLOOKUP($B128,'[1]Data_UN_PopulationTot.&amp;%'!$B$4:$CZ$603,72,FALSE)</f>
        <v>2.3075094595905692</v>
      </c>
      <c r="CI128">
        <f>VLOOKUP($B128,'[1]Data_UN_PopulationTot.&amp;%'!$B$4:$CZ$603,73,FALSE)</f>
        <v>1.7738527214514406</v>
      </c>
      <c r="CJ128">
        <f>VLOOKUP($B128,'[1]Data_UN_PopulationTot.&amp;%'!$B$4:$CZ$603,74,FALSE)</f>
        <v>1.262200446298632</v>
      </c>
      <c r="CK128">
        <f>VLOOKUP($B128,'[1]Data_UN_PopulationTot.&amp;%'!$B$4:$CZ$603,75,FALSE)</f>
        <v>0.83288541767730673</v>
      </c>
      <c r="CL128">
        <f>VLOOKUP($B128,'[1]Data_UN_PopulationTot.&amp;%'!$B$4:$CZ$603,76,FALSE)</f>
        <v>0.43989085087804403</v>
      </c>
      <c r="CM128">
        <f>VLOOKUP($B128,'[1]Data_UN_PopulationTot.&amp;%'!$B$4:$CZ$603,77,FALSE)</f>
        <v>0.16170951780343457</v>
      </c>
      <c r="CN128">
        <f>VLOOKUP($B128,'[1]Data_UN_PopulationTot.&amp;%'!$B$4:$CZ$603,78,FALSE)</f>
        <v>3.6595517609391677E-2</v>
      </c>
      <c r="CO128">
        <f>VLOOKUP($B128,'[1]Data_UN_PopulationTot.&amp;%'!$B$4:$CZ$603,79,FALSE)</f>
        <v>4.4489182109246142E-3</v>
      </c>
      <c r="CP128">
        <f>VLOOKUP($B128,'[1]Data_UN_PopulationTot.&amp;%'!$B$4:$CZ$603,80,FALSE)</f>
        <v>3.0998350635490446E-4</v>
      </c>
      <c r="CQ128">
        <f>VLOOKUP($B128,'[1]Data_UN_PopulationTot.&amp;%'!$B$4:$CZ$603,81,FALSE)</f>
        <v>1.4553216260793633E-5</v>
      </c>
      <c r="CR128">
        <f>VLOOKUP($B128,'[1]Data_UN_PopulationTot.&amp;%'!$B$4:$CZ$603,82,FALSE)</f>
        <v>15.152998170942706</v>
      </c>
      <c r="CS128">
        <f>VLOOKUP($B128,'[1]Data_UN_PopulationTot.&amp;%'!$B$4:$CZ$603,83,FALSE)</f>
        <v>13.551641398297187</v>
      </c>
      <c r="CT128">
        <f>VLOOKUP($B128,'[1]Data_UN_PopulationTot.&amp;%'!$B$4:$CZ$603,84,FALSE)</f>
        <v>12.221372971780802</v>
      </c>
      <c r="CU128">
        <f>VLOOKUP($B128,'[1]Data_UN_PopulationTot.&amp;%'!$B$4:$CZ$603,85,FALSE)</f>
        <v>10.939968134095377</v>
      </c>
      <c r="CV128">
        <f>VLOOKUP($B128,'[1]Data_UN_PopulationTot.&amp;%'!$B$4:$CZ$603,86,FALSE)</f>
        <v>9.3742418538503358</v>
      </c>
      <c r="CW128">
        <f>VLOOKUP($B128,'[1]Data_UN_PopulationTot.&amp;%'!$B$4:$CZ$603,87,FALSE)</f>
        <v>7.8579495545237785</v>
      </c>
      <c r="CX128">
        <f>VLOOKUP($B128,'[1]Data_UN_PopulationTot.&amp;%'!$B$4:$CZ$603,88,FALSE)</f>
        <v>6.4333763028705926</v>
      </c>
      <c r="CY128">
        <f>VLOOKUP($B128,'[1]Data_UN_PopulationTot.&amp;%'!$B$4:$CZ$603,89,FALSE)</f>
        <v>5.3562098586568405</v>
      </c>
      <c r="CZ128">
        <f>VLOOKUP($B128,'[1]Data_UN_PopulationTot.&amp;%'!$B$4:$CZ$603,90,FALSE)</f>
        <v>4.601505074588272</v>
      </c>
      <c r="DA128">
        <f>VLOOKUP($B128,'[1]Data_UN_PopulationTot.&amp;%'!$B$4:$CZ$603,91,FALSE)</f>
        <v>3.9593576624571734</v>
      </c>
      <c r="DB128">
        <f>VLOOKUP($B128,'[1]Data_UN_PopulationTot.&amp;%'!$B$4:$CZ$603,92,FALSE)</f>
        <v>3.2524745510063617</v>
      </c>
      <c r="DC128">
        <f>VLOOKUP($B128,'[1]Data_UN_PopulationTot.&amp;%'!$B$4:$CZ$603,93,FALSE)</f>
        <v>2.5265289359905996</v>
      </c>
      <c r="DD128">
        <f>VLOOKUP($B128,'[1]Data_UN_PopulationTot.&amp;%'!$B$4:$CZ$603,94,FALSE)</f>
        <v>1.8714526365423594</v>
      </c>
      <c r="DE128">
        <f>VLOOKUP($B128,'[1]Data_UN_PopulationTot.&amp;%'!$B$4:$CZ$603,95,FALSE)</f>
        <v>1.3505097403955479</v>
      </c>
      <c r="DF128">
        <f>VLOOKUP($B128,'[1]Data_UN_PopulationTot.&amp;%'!$B$4:$CZ$603,96,FALSE)</f>
        <v>0.86806831015640151</v>
      </c>
      <c r="DG128">
        <f>VLOOKUP($B128,'[1]Data_UN_PopulationTot.&amp;%'!$B$4:$CZ$603,97,FALSE)</f>
        <v>0.4538533788125958</v>
      </c>
      <c r="DH128">
        <f>VLOOKUP($B128,'[1]Data_UN_PopulationTot.&amp;%'!$B$4:$CZ$603,98,FALSE)</f>
        <v>0.1795339516383562</v>
      </c>
      <c r="DI128">
        <f>VLOOKUP($B128,'[1]Data_UN_PopulationTot.&amp;%'!$B$4:$CZ$603,99,FALSE)</f>
        <v>4.3346756560459665E-2</v>
      </c>
      <c r="DJ128">
        <f>VLOOKUP($B128,'[1]Data_UN_PopulationTot.&amp;%'!$B$4:$DE$603,100,FALSE)</f>
        <v>5.3407712461546065E-3</v>
      </c>
      <c r="DK128">
        <f>VLOOKUP($B128,'[1]Data_UN_PopulationTot.&amp;%'!$B$4:$DE$603,101,FALSE)</f>
        <v>3.5706544678812212E-4</v>
      </c>
      <c r="DL128">
        <f>VLOOKUP($B128,'[1]Data_UN_PopulationTot.&amp;%'!$B$4:$DE$603,102,FALSE)</f>
        <v>1.8632808192351422E-5</v>
      </c>
    </row>
    <row r="129" spans="1:116">
      <c r="A129" t="s">
        <v>140</v>
      </c>
      <c r="B129" t="s">
        <v>354</v>
      </c>
      <c r="C129" t="s">
        <v>497</v>
      </c>
      <c r="D129" t="s">
        <v>334</v>
      </c>
      <c r="E129" t="s">
        <v>300</v>
      </c>
      <c r="F129">
        <v>0</v>
      </c>
      <c r="G129">
        <v>1</v>
      </c>
      <c r="H129">
        <v>0</v>
      </c>
      <c r="I129">
        <v>0</v>
      </c>
      <c r="J129" s="18">
        <f t="shared" si="3"/>
        <v>116.32470813</v>
      </c>
      <c r="K129">
        <f>VLOOKUP($B129,'[1]Source GDP Current USD'!$B$1:$CZ$600,64,FALSE)</f>
        <v>12621505382.606199</v>
      </c>
      <c r="L129" s="45">
        <f>VLOOKUP($B129,'[1]Source GDP Current USD'!$B$1:$CZ$600,65,FALSE)</f>
        <v>12621505382.606199</v>
      </c>
      <c r="M129" s="17">
        <f>VLOOKUP($B129,'[1]Source GDP Current LCU'!$B$1:$CZ$600,64,FALSE)</f>
        <v>433449000000</v>
      </c>
      <c r="N129" s="45">
        <v>430000000000</v>
      </c>
      <c r="O129" s="45">
        <f>VLOOKUP($B129,'[1]Source GNI Current USD'!$B$1:$CZ$600,64,FALSE)</f>
        <v>12258005206.437599</v>
      </c>
      <c r="P129" s="45">
        <f>VLOOKUP($B129,'[1]Source GNI Current LCU'!$B$1:$CZ$600,64,FALSE)</f>
        <v>420965640600</v>
      </c>
      <c r="Q129">
        <f t="shared" si="2"/>
        <v>102.96541052191517</v>
      </c>
      <c r="R129">
        <v>1850</v>
      </c>
      <c r="S129">
        <v>1850</v>
      </c>
      <c r="T129">
        <v>0.34207500000000002</v>
      </c>
      <c r="U129" s="45">
        <v>6600000</v>
      </c>
      <c r="V129">
        <v>26.837</v>
      </c>
      <c r="W129">
        <f>VLOOKUP($B129,'[1]Source Gov. Revenue WEO'!$B$1:$CZ$600,5,FALSE)</f>
        <v>26.927</v>
      </c>
      <c r="X129">
        <f>VLOOKUP($B129,'[1]Source Gov. Revenue WEO'!$B$1:$CZ$600,6,FALSE)</f>
        <v>26.92</v>
      </c>
      <c r="Y129">
        <f>VLOOKUP($B129,'[1]Source Gov. Revenue WEO'!$B$1:$CZ$600,7,FALSE)</f>
        <v>26.898</v>
      </c>
      <c r="Z129">
        <f>VLOOKUP($B129,'[1]Source Gov. Revenue WEO'!$B$1:$CZ$600,8,FALSE)</f>
        <v>26.888999999999999</v>
      </c>
      <c r="AA129">
        <f>VLOOKUP($B129,'[1]Source Gov. Revenue WEO'!$B$1:$CZ$600,9,FALSE)</f>
        <v>26.937999999999999</v>
      </c>
      <c r="AB129">
        <f>VLOOKUP($B129,'[1]Source Gov. Revenue WEO'!$B$1:$CZ$600,10,FALSE)</f>
        <v>27.187999999999999</v>
      </c>
      <c r="AC129">
        <f>VLOOKUP($B129,[2]Summary!$B$1:$CZ$600,39,FALSE)</f>
        <v>2.5059429999999997E-2</v>
      </c>
      <c r="AD129">
        <f>VLOOKUP($B129,[2]Summary!$B$1:$CZ$600,40,FALSE)</f>
        <v>2.5249999999999998E-2</v>
      </c>
      <c r="AE129">
        <f>VLOOKUP($B129,[2]Summary!$B$1:$CZ$600,47,FALSE)</f>
        <v>0.23033829275227849</v>
      </c>
      <c r="AF129">
        <f>VLOOKUP($B129,'[1]CALC GDP Growth rates WDI'!$B$1:$CZ$600,27,FALSE)</f>
        <v>30.227886148938587</v>
      </c>
      <c r="AG129">
        <f>VLOOKUP($B129,'[1]CALC GDP Growth rates WDI'!$B$1:$CZ$600,29,FALSE)</f>
        <v>44.286012845059375</v>
      </c>
      <c r="AH129">
        <v>-0.24</v>
      </c>
      <c r="AI129">
        <f>VLOOKUP($B129,'[1]CALC GDP Growth rates WDI'!$B$1:$CZ$600,30,FALSE)</f>
        <v>11.008450865333884</v>
      </c>
      <c r="AJ129" t="s">
        <v>2465</v>
      </c>
      <c r="AK129">
        <f>VLOOKUP($B129,[1]Data_Aspire!$B$1:$CZ$600,2,FALSE)</f>
        <v>2013</v>
      </c>
      <c r="AL129">
        <f>VLOOKUP($B129,[1]Data_Aspire!$B$1:$CZ$600,3,FALSE)</f>
        <v>2.2200000000000002</v>
      </c>
      <c r="AM129">
        <f>VLOOKUP($B129,[1]Data_Aspire!$B$1:$CZ$600,4,FALSE)</f>
        <v>0</v>
      </c>
      <c r="AN129">
        <f>VLOOKUP($B129,[1]Data_Aspire!$B$1:$CZ$600,5,FALSE)</f>
        <v>0.19</v>
      </c>
      <c r="AO129">
        <f>VLOOKUP($B129,[1]Data_Aspire!$B$1:$CZ$600,6,FALSE)</f>
        <v>0</v>
      </c>
      <c r="AP129">
        <f>VLOOKUP($B129,[1]Data_Aspire!$B$1:$CZ$600,7,FALSE)</f>
        <v>0.2</v>
      </c>
      <c r="AS129">
        <f>VLOOKUP($B129,[1]Data_Aspire!$B$1:$CZ$600,10,FALSE)</f>
        <v>1.7</v>
      </c>
      <c r="AT129">
        <f>VLOOKUP($B129,[1]Data_Aspire!$B$1:$CZ$600,11,FALSE)</f>
        <v>0.14000000000000001</v>
      </c>
      <c r="AU129">
        <f>VLOOKUP($B129,[1]Data_Aspire!$B$1:$CZ$600,12,FALSE)</f>
        <v>1.03</v>
      </c>
      <c r="AZ129">
        <f>VLOOKUP($B129,[1]Data_Aspire!$B$1:$CZ$600,17,FALSE)</f>
        <v>403016</v>
      </c>
      <c r="BA129">
        <f>VLOOKUP($B129,[1]Data_Aspire!$B$1:$CZ$600,18,FALSE)</f>
        <v>2013</v>
      </c>
      <c r="BB129">
        <f>VLOOKUP($B129,[1]Data_Aspire!$B$1:$CZ$600,19,FALSE)</f>
        <v>54217</v>
      </c>
      <c r="BC129">
        <f>VLOOKUP($B129,[1]Data_Aspire!$B$1:$CZ$600,20,FALSE)</f>
        <v>2013</v>
      </c>
      <c r="BD129">
        <f>VLOOKUP($B129,[1]Data_Aspire!$B$1:$CZ$600,21,FALSE)</f>
        <v>1050000</v>
      </c>
      <c r="BE129">
        <f>VLOOKUP($B129,[1]Data_Aspire!$B$1:$CZ$600,22,FALSE)</f>
        <v>2013</v>
      </c>
      <c r="BH129">
        <f>VLOOKUP($B129,[1]Data_Aspire!$B$1:$CZ$600,25,FALSE)</f>
        <v>300000</v>
      </c>
      <c r="BI129">
        <f>VLOOKUP($B129,[1]Data_Aspire!$B$1:$CZ$600,26,FALSE)</f>
        <v>2013</v>
      </c>
      <c r="BJ129" s="7">
        <v>0</v>
      </c>
      <c r="BK129">
        <v>558</v>
      </c>
      <c r="BL129">
        <f>VLOOKUP($B129,'[1]Data_UN_PopulationTot.&amp;%'!$B$4:$CZ$603,8,FALSE)</f>
        <v>6624.55</v>
      </c>
      <c r="BM129">
        <f>VLOOKUP($B129,'[1]Data_UN_PopulationTot.&amp;%'!$B$4:$CZ$603,9,FALSE)</f>
        <v>6702.38</v>
      </c>
      <c r="BN129">
        <v>6779.1</v>
      </c>
      <c r="BO129">
        <f>VLOOKUP($B129,'[1]Data_UN_PopulationTot.&amp;%'!$B$4:$CZ$603,11,FALSE)</f>
        <v>6855.18</v>
      </c>
      <c r="BP129">
        <f>VLOOKUP($B129,'[1]Data_UN_PopulationTot.&amp;%'!$B$4:$CZ$603,12,FALSE)</f>
        <v>6931.33</v>
      </c>
      <c r="BQ129">
        <f>VLOOKUP($B129,'[1]Data_UN_PopulationTot.&amp;%'!$B$4:$CZ$603,13,FALSE)</f>
        <v>7008.01</v>
      </c>
      <c r="BR129">
        <f>VLOOKUP($B129,'[1]Data_UN_PopulationTot.&amp;%'!$B$4:$CZ$603,14,FALSE)</f>
        <v>7085.36</v>
      </c>
      <c r="BS129">
        <f>VLOOKUP($B129,'[1]Data_UN_PopulationTot.&amp;%'!$B$4:$CZ$603,15,FALSE)</f>
        <v>7163.1</v>
      </c>
      <c r="BT129">
        <f>VLOOKUP($B129,'[1]Data_UN_PopulationTot.&amp;%'!$B$4:$CZ$603,16,FALSE)</f>
        <v>7240.6</v>
      </c>
      <c r="BU129">
        <f>VLOOKUP($B129,'[1]Data_UN_PopulationTot.&amp;%'!$B$4:$CZ$603,17,FALSE)</f>
        <v>7317.07</v>
      </c>
      <c r="BV129">
        <f>VLOOKUP($B129,'[1]Data_UN_PopulationTot.&amp;%'!$B$4:$CZ$603,18,FALSE)</f>
        <v>7391.88</v>
      </c>
      <c r="BW129">
        <f>VLOOKUP($B129,'[1]Data_UN_PopulationTot.&amp;%'!$B$4:$CZ$603,61,FALSE)</f>
        <v>9.9167792529303878</v>
      </c>
      <c r="BX129">
        <f>VLOOKUP($B129,'[1]Data_UN_PopulationTot.&amp;%'!$B$4:$CZ$603,62,FALSE)</f>
        <v>9.966020333456612</v>
      </c>
      <c r="BY129">
        <f>VLOOKUP($B129,'[1]Data_UN_PopulationTot.&amp;%'!$B$4:$CZ$603,63,FALSE)</f>
        <v>9.6178608358303581</v>
      </c>
      <c r="BZ129">
        <f>VLOOKUP($B129,'[1]Data_UN_PopulationTot.&amp;%'!$B$4:$CZ$603,64,FALSE)</f>
        <v>9.102822078480802</v>
      </c>
      <c r="CA129">
        <f>VLOOKUP($B129,'[1]Data_UN_PopulationTot.&amp;%'!$B$4:$CZ$603,65,FALSE)</f>
        <v>8.8264108505483403</v>
      </c>
      <c r="CB129">
        <f>VLOOKUP($B129,'[1]Data_UN_PopulationTot.&amp;%'!$B$4:$CZ$603,66,FALSE)</f>
        <v>8.7747847023571399</v>
      </c>
      <c r="CC129">
        <f>VLOOKUP($B129,'[1]Data_UN_PopulationTot.&amp;%'!$B$4:$CZ$603,67,FALSE)</f>
        <v>8.2882459940675215</v>
      </c>
      <c r="CD129">
        <f>VLOOKUP($B129,'[1]Data_UN_PopulationTot.&amp;%'!$B$4:$CZ$603,68,FALSE)</f>
        <v>7.644187152334875</v>
      </c>
      <c r="CE129">
        <f>VLOOKUP($B129,'[1]Data_UN_PopulationTot.&amp;%'!$B$4:$CZ$603,69,FALSE)</f>
        <v>6.3580922477753194</v>
      </c>
      <c r="CF129">
        <f>VLOOKUP($B129,'[1]Data_UN_PopulationTot.&amp;%'!$B$4:$CZ$603,70,FALSE)</f>
        <v>5.160229751454815</v>
      </c>
      <c r="CG129">
        <f>VLOOKUP($B129,'[1]Data_UN_PopulationTot.&amp;%'!$B$4:$CZ$603,71,FALSE)</f>
        <v>4.1346355601512554</v>
      </c>
      <c r="CH129">
        <f>VLOOKUP($B129,'[1]Data_UN_PopulationTot.&amp;%'!$B$4:$CZ$603,72,FALSE)</f>
        <v>3.5235449955091291</v>
      </c>
      <c r="CI129">
        <f>VLOOKUP($B129,'[1]Data_UN_PopulationTot.&amp;%'!$B$4:$CZ$603,73,FALSE)</f>
        <v>3.008959099108619</v>
      </c>
      <c r="CJ129">
        <f>VLOOKUP($B129,'[1]Data_UN_PopulationTot.&amp;%'!$B$4:$CZ$603,74,FALSE)</f>
        <v>2.2555796242763657</v>
      </c>
      <c r="CK129">
        <f>VLOOKUP($B129,'[1]Data_UN_PopulationTot.&amp;%'!$B$4:$CZ$603,75,FALSE)</f>
        <v>1.2591194873614056</v>
      </c>
      <c r="CL129">
        <f>VLOOKUP($B129,'[1]Data_UN_PopulationTot.&amp;%'!$B$4:$CZ$603,76,FALSE)</f>
        <v>1.0127631310806016</v>
      </c>
      <c r="CM129">
        <f>VLOOKUP($B129,'[1]Data_UN_PopulationTot.&amp;%'!$B$4:$CZ$603,77,FALSE)</f>
        <v>0.64617219282819205</v>
      </c>
      <c r="CN129">
        <f>VLOOKUP($B129,'[1]Data_UN_PopulationTot.&amp;%'!$B$4:$CZ$603,78,FALSE)</f>
        <v>0.33141873787653497</v>
      </c>
      <c r="CO129">
        <f>VLOOKUP($B129,'[1]Data_UN_PopulationTot.&amp;%'!$B$4:$CZ$603,79,FALSE)</f>
        <v>0.1306805745295907</v>
      </c>
      <c r="CP129">
        <f>VLOOKUP($B129,'[1]Data_UN_PopulationTot.&amp;%'!$B$4:$CZ$603,80,FALSE)</f>
        <v>3.5504298405174689E-2</v>
      </c>
      <c r="CQ129">
        <f>VLOOKUP($B129,'[1]Data_UN_PopulationTot.&amp;%'!$B$4:$CZ$603,81,FALSE)</f>
        <v>6.2494810968292186E-3</v>
      </c>
      <c r="CR129">
        <f>VLOOKUP($B129,'[1]Data_UN_PopulationTot.&amp;%'!$B$4:$CZ$603,82,FALSE)</f>
        <v>8.2053956503622896</v>
      </c>
      <c r="CS129">
        <f>VLOOKUP($B129,'[1]Data_UN_PopulationTot.&amp;%'!$B$4:$CZ$603,83,FALSE)</f>
        <v>8.4361759119466218</v>
      </c>
      <c r="CT129">
        <f>VLOOKUP($B129,'[1]Data_UN_PopulationTot.&amp;%'!$B$4:$CZ$603,84,FALSE)</f>
        <v>8.6892779644691203</v>
      </c>
      <c r="CU129">
        <f>VLOOKUP($B129,'[1]Data_UN_PopulationTot.&amp;%'!$B$4:$CZ$603,85,FALSE)</f>
        <v>8.6570804720855854</v>
      </c>
      <c r="CV129">
        <f>VLOOKUP($B129,'[1]Data_UN_PopulationTot.&amp;%'!$B$4:$CZ$603,86,FALSE)</f>
        <v>8.2676802112588401</v>
      </c>
      <c r="CW129">
        <f>VLOOKUP($B129,'[1]Data_UN_PopulationTot.&amp;%'!$B$4:$CZ$603,87,FALSE)</f>
        <v>7.7785624225501486</v>
      </c>
      <c r="CX129">
        <f>VLOOKUP($B129,'[1]Data_UN_PopulationTot.&amp;%'!$B$4:$CZ$603,88,FALSE)</f>
        <v>7.5609181967239731</v>
      </c>
      <c r="CY129">
        <f>VLOOKUP($B129,'[1]Data_UN_PopulationTot.&amp;%'!$B$4:$CZ$603,89,FALSE)</f>
        <v>7.5531258624328315</v>
      </c>
      <c r="CZ129">
        <f>VLOOKUP($B129,'[1]Data_UN_PopulationTot.&amp;%'!$B$4:$CZ$603,90,FALSE)</f>
        <v>7.1406597509699825</v>
      </c>
      <c r="DA129">
        <f>VLOOKUP($B129,'[1]Data_UN_PopulationTot.&amp;%'!$B$4:$CZ$603,91,FALSE)</f>
        <v>6.5646763746164707</v>
      </c>
      <c r="DB129">
        <f>VLOOKUP($B129,'[1]Data_UN_PopulationTot.&amp;%'!$B$4:$CZ$603,92,FALSE)</f>
        <v>5.4178233412880079</v>
      </c>
      <c r="DC129">
        <f>VLOOKUP($B129,'[1]Data_UN_PopulationTot.&amp;%'!$B$4:$CZ$603,93,FALSE)</f>
        <v>4.3403707852400197</v>
      </c>
      <c r="DD129">
        <f>VLOOKUP($B129,'[1]Data_UN_PopulationTot.&amp;%'!$B$4:$CZ$603,94,FALSE)</f>
        <v>3.4016109568878279</v>
      </c>
      <c r="DE129">
        <f>VLOOKUP($B129,'[1]Data_UN_PopulationTot.&amp;%'!$B$4:$CZ$603,95,FALSE)</f>
        <v>2.7917661000990277</v>
      </c>
      <c r="DF129">
        <f>VLOOKUP($B129,'[1]Data_UN_PopulationTot.&amp;%'!$B$4:$CZ$603,96,FALSE)</f>
        <v>2.2460997743469862</v>
      </c>
      <c r="DG129">
        <f>VLOOKUP($B129,'[1]Data_UN_PopulationTot.&amp;%'!$B$4:$CZ$603,97,FALSE)</f>
        <v>1.5396218553331493</v>
      </c>
      <c r="DH129">
        <f>VLOOKUP($B129,'[1]Data_UN_PopulationTot.&amp;%'!$B$4:$CZ$603,98,FALSE)</f>
        <v>0.72973316666396104</v>
      </c>
      <c r="DI129">
        <f>VLOOKUP($B129,'[1]Data_UN_PopulationTot.&amp;%'!$B$4:$CZ$603,99,FALSE)</f>
        <v>0.43646541881091139</v>
      </c>
      <c r="DJ129">
        <f>VLOOKUP($B129,'[1]Data_UN_PopulationTot.&amp;%'!$B$4:$DE$603,100,FALSE)</f>
        <v>0.17975129466387441</v>
      </c>
      <c r="DK129">
        <f>VLOOKUP($B129,'[1]Data_UN_PopulationTot.&amp;%'!$B$4:$DE$603,101,FALSE)</f>
        <v>5.2354746018604202E-2</v>
      </c>
      <c r="DL129">
        <f>VLOOKUP($B129,'[1]Data_UN_PopulationTot.&amp;%'!$B$4:$DE$603,102,FALSE)</f>
        <v>1.0863271589906763E-2</v>
      </c>
    </row>
    <row r="130" spans="1:116">
      <c r="A130" t="s">
        <v>66</v>
      </c>
      <c r="B130" t="s">
        <v>460</v>
      </c>
      <c r="C130" t="s">
        <v>485</v>
      </c>
      <c r="D130" t="s">
        <v>622</v>
      </c>
      <c r="E130" t="s">
        <v>2269</v>
      </c>
      <c r="F130">
        <v>0</v>
      </c>
      <c r="G130">
        <v>0</v>
      </c>
      <c r="H130">
        <v>0</v>
      </c>
      <c r="I130">
        <v>1</v>
      </c>
      <c r="J130" s="18">
        <f t="shared" si="3"/>
        <v>328.6150184</v>
      </c>
      <c r="K130">
        <f>VLOOKUP($B130,'[1]Source GDP Current USD'!$B$1:$CZ$600,64,FALSE)</f>
        <v>913865395789.88599</v>
      </c>
      <c r="L130" s="45">
        <f>VLOOKUP($B130,'[1]Source GDP Current USD'!$B$1:$CZ$600,65,FALSE)</f>
        <v>913865395789.88599</v>
      </c>
      <c r="M130" s="17">
        <f>VLOOKUP($B130,'[1]Source GDP Current LCU'!$B$1:$CZ$600,64,FALSE)</f>
        <v>800095000000</v>
      </c>
      <c r="N130" s="45">
        <v>800000000000</v>
      </c>
      <c r="O130" s="45">
        <f>VLOOKUP($B130,'[1]Source GNI Current USD'!$B$1:$CZ$600,64,FALSE)</f>
        <v>897972879129.96399</v>
      </c>
      <c r="P130" s="45">
        <f>VLOOKUP($B130,'[1]Source GNI Current LCU'!$B$1:$CZ$600,64,FALSE)</f>
        <v>786181000000</v>
      </c>
      <c r="Q130">
        <f t="shared" si="2"/>
        <v>101.76982145332944</v>
      </c>
      <c r="R130">
        <v>51060</v>
      </c>
      <c r="S130">
        <v>51060</v>
      </c>
      <c r="T130">
        <v>0.88406899999999999</v>
      </c>
      <c r="U130" s="45">
        <v>17000000</v>
      </c>
      <c r="V130">
        <v>41.072000000000003</v>
      </c>
      <c r="W130">
        <f>VLOOKUP($B130,'[1]Source Gov. Revenue WEO'!$B$1:$CZ$600,5,FALSE)</f>
        <v>42.054000000000002</v>
      </c>
      <c r="X130">
        <f>VLOOKUP($B130,'[1]Source Gov. Revenue WEO'!$B$1:$CZ$600,6,FALSE)</f>
        <v>42.445999999999998</v>
      </c>
      <c r="Y130">
        <f>VLOOKUP($B130,'[1]Source Gov. Revenue WEO'!$B$1:$CZ$600,7,FALSE)</f>
        <v>42.756</v>
      </c>
      <c r="Z130">
        <f>VLOOKUP($B130,'[1]Source Gov. Revenue WEO'!$B$1:$CZ$600,8,FALSE)</f>
        <v>42.673000000000002</v>
      </c>
      <c r="AA130">
        <f>VLOOKUP($B130,'[1]Source Gov. Revenue WEO'!$B$1:$CZ$600,9,FALSE)</f>
        <v>42.646999999999998</v>
      </c>
      <c r="AB130">
        <f>VLOOKUP($B130,'[1]Source Gov. Revenue WEO'!$B$1:$CZ$600,10,FALSE)</f>
        <v>42.704000000000001</v>
      </c>
      <c r="AC130" t="e">
        <f>VLOOKUP($B130,[2]Summary!$B$1:$CZ$600,39,FALSE)</f>
        <v>#N/A</v>
      </c>
      <c r="AD130" t="e">
        <f>VLOOKUP($B130,[2]Summary!$B$1:$CZ$600,40,FALSE)</f>
        <v>#N/A</v>
      </c>
      <c r="AE130" t="e">
        <f>VLOOKUP($B130,[2]Summary!$B$1:$CZ$600,47,FALSE)</f>
        <v>#N/A</v>
      </c>
      <c r="AF130">
        <f>VLOOKUP($B130,'[1]CALC GDP Growth rates WDI'!$B$1:$CZ$600,27,FALSE)</f>
        <v>9.5946233334491282</v>
      </c>
      <c r="AG130">
        <f>VLOOKUP($B130,'[1]CALC GDP Growth rates WDI'!$B$1:$CZ$600,29,FALSE)</f>
        <v>13.18725401469354</v>
      </c>
      <c r="AH130">
        <v>5.58</v>
      </c>
      <c r="AI130">
        <f>VLOOKUP($B130,'[1]CALC GDP Growth rates WDI'!$B$1:$CZ$600,30,FALSE)</f>
        <v>9.7097992879246355</v>
      </c>
      <c r="AJ130" s="45"/>
      <c r="AK130" t="e">
        <f>VLOOKUP($B130,[1]Data_Aspire!$B$1:$CZ$600,2,FALSE)</f>
        <v>#N/A</v>
      </c>
      <c r="AL130" t="e">
        <f>VLOOKUP($B130,[1]Data_Aspire!$B$1:$CZ$600,3,FALSE)</f>
        <v>#N/A</v>
      </c>
      <c r="AM130" t="e">
        <f>VLOOKUP($B130,[1]Data_Aspire!$B$1:$CZ$600,4,FALSE)</f>
        <v>#N/A</v>
      </c>
      <c r="AN130" t="e">
        <f>VLOOKUP($B130,[1]Data_Aspire!$B$1:$CZ$600,5,FALSE)</f>
        <v>#N/A</v>
      </c>
      <c r="AO130" t="e">
        <f>VLOOKUP($B130,[1]Data_Aspire!$B$1:$CZ$600,6,FALSE)</f>
        <v>#N/A</v>
      </c>
      <c r="AP130" t="e">
        <f>VLOOKUP($B130,[1]Data_Aspire!$B$1:$CZ$600,7,FALSE)</f>
        <v>#N/A</v>
      </c>
      <c r="AQ130" t="e">
        <f>VLOOKUP($B130,[1]Data_Aspire!$B$1:$CZ$600,8,FALSE)</f>
        <v>#N/A</v>
      </c>
      <c r="AR130" t="e">
        <f>VLOOKUP($B130,[1]Data_Aspire!$B$1:$CZ$600,9,FALSE)</f>
        <v>#N/A</v>
      </c>
      <c r="AS130" t="e">
        <f>VLOOKUP($B130,[1]Data_Aspire!$B$1:$CZ$600,10,FALSE)</f>
        <v>#N/A</v>
      </c>
      <c r="AT130" t="e">
        <f>VLOOKUP($B130,[1]Data_Aspire!$B$1:$CZ$600,11,FALSE)</f>
        <v>#N/A</v>
      </c>
      <c r="AU130" t="e">
        <f>VLOOKUP($B130,[1]Data_Aspire!$B$1:$CZ$600,12,FALSE)</f>
        <v>#N/A</v>
      </c>
      <c r="AV130" t="e">
        <f>VLOOKUP($B130,[1]Data_Aspire!$B$1:$CZ$600,13,FALSE)</f>
        <v>#N/A</v>
      </c>
      <c r="AW130" t="e">
        <f>VLOOKUP($B130,[1]Data_Aspire!$B$1:$CZ$600,14,FALSE)</f>
        <v>#N/A</v>
      </c>
      <c r="AX130" t="e">
        <f>VLOOKUP($B130,[1]Data_Aspire!$B$1:$CZ$600,15,FALSE)</f>
        <v>#N/A</v>
      </c>
      <c r="AY130" t="e">
        <f>VLOOKUP($B130,[1]Data_Aspire!$B$1:$CZ$600,16,FALSE)</f>
        <v>#N/A</v>
      </c>
      <c r="AZ130" t="e">
        <f>VLOOKUP($B130,[1]Data_Aspire!$B$1:$CZ$600,17,FALSE)</f>
        <v>#N/A</v>
      </c>
      <c r="BA130" t="e">
        <f>VLOOKUP($B130,[1]Data_Aspire!$B$1:$CZ$600,18,FALSE)</f>
        <v>#N/A</v>
      </c>
      <c r="BB130" t="e">
        <f>VLOOKUP($B130,[1]Data_Aspire!$B$1:$CZ$600,19,FALSE)</f>
        <v>#N/A</v>
      </c>
      <c r="BC130" t="e">
        <f>VLOOKUP($B130,[1]Data_Aspire!$B$1:$CZ$600,20,FALSE)</f>
        <v>#N/A</v>
      </c>
      <c r="BD130" t="e">
        <f>VLOOKUP($B130,[1]Data_Aspire!$B$1:$CZ$600,21,FALSE)</f>
        <v>#N/A</v>
      </c>
      <c r="BE130" t="e">
        <f>VLOOKUP($B130,[1]Data_Aspire!$B$1:$CZ$600,22,FALSE)</f>
        <v>#N/A</v>
      </c>
      <c r="BF130" t="e">
        <f>VLOOKUP($B130,[1]Data_Aspire!$B$1:$CZ$600,23,FALSE)</f>
        <v>#N/A</v>
      </c>
      <c r="BG130" t="e">
        <f>VLOOKUP($B130,[1]Data_Aspire!$B$1:$CZ$600,24,FALSE)</f>
        <v>#N/A</v>
      </c>
      <c r="BH130" t="e">
        <f>VLOOKUP($B130,[1]Data_Aspire!$B$1:$CZ$600,25,FALSE)</f>
        <v>#N/A</v>
      </c>
      <c r="BI130" t="e">
        <f>VLOOKUP($B130,[1]Data_Aspire!$B$1:$CZ$600,26,FALSE)</f>
        <v>#N/A</v>
      </c>
      <c r="BJ130" s="7">
        <v>0</v>
      </c>
      <c r="BK130">
        <v>528</v>
      </c>
      <c r="BL130">
        <f>VLOOKUP($B130,'[1]Data_UN_PopulationTot.&amp;%'!$B$4:$CZ$603,8,FALSE)</f>
        <v>17134.900000000001</v>
      </c>
      <c r="BM130">
        <f>VLOOKUP($B130,'[1]Data_UN_PopulationTot.&amp;%'!$B$4:$CZ$603,9,FALSE)</f>
        <v>17173.099999999999</v>
      </c>
      <c r="BN130">
        <v>17211.400000000001</v>
      </c>
      <c r="BO130">
        <f>VLOOKUP($B130,'[1]Data_UN_PopulationTot.&amp;%'!$B$4:$CZ$603,11,FALSE)</f>
        <v>17249.3</v>
      </c>
      <c r="BP130">
        <f>VLOOKUP($B130,'[1]Data_UN_PopulationTot.&amp;%'!$B$4:$CZ$603,12,FALSE)</f>
        <v>17285.599999999999</v>
      </c>
      <c r="BQ130">
        <f>VLOOKUP($B130,'[1]Data_UN_PopulationTot.&amp;%'!$B$4:$CZ$603,13,FALSE)</f>
        <v>17319.599999999999</v>
      </c>
      <c r="BR130">
        <f>VLOOKUP($B130,'[1]Data_UN_PopulationTot.&amp;%'!$B$4:$CZ$603,14,FALSE)</f>
        <v>17351.099999999999</v>
      </c>
      <c r="BS130">
        <f>VLOOKUP($B130,'[1]Data_UN_PopulationTot.&amp;%'!$B$4:$CZ$603,15,FALSE)</f>
        <v>17380.099999999999</v>
      </c>
      <c r="BT130">
        <f>VLOOKUP($B130,'[1]Data_UN_PopulationTot.&amp;%'!$B$4:$CZ$603,16,FALSE)</f>
        <v>17406.400000000001</v>
      </c>
      <c r="BU130">
        <f>VLOOKUP($B130,'[1]Data_UN_PopulationTot.&amp;%'!$B$4:$CZ$603,17,FALSE)</f>
        <v>17429.8</v>
      </c>
      <c r="BV130">
        <f>VLOOKUP($B130,'[1]Data_UN_PopulationTot.&amp;%'!$B$4:$CZ$603,18,FALSE)</f>
        <v>17450.3</v>
      </c>
      <c r="BW130">
        <f>VLOOKUP($B130,'[1]Data_UN_PopulationTot.&amp;%'!$B$4:$CZ$603,61,FALSE)</f>
        <v>5.0125766710047914</v>
      </c>
      <c r="BX130">
        <f>VLOOKUP($B130,'[1]Data_UN_PopulationTot.&amp;%'!$B$4:$CZ$603,62,FALSE)</f>
        <v>5.2166222154783508</v>
      </c>
      <c r="BY130">
        <f>VLOOKUP($B130,'[1]Data_UN_PopulationTot.&amp;%'!$B$4:$CZ$603,63,FALSE)</f>
        <v>5.4724567986973947</v>
      </c>
      <c r="BZ130">
        <f>VLOOKUP($B130,'[1]Data_UN_PopulationTot.&amp;%'!$B$4:$CZ$603,64,FALSE)</f>
        <v>5.9293605448529014</v>
      </c>
      <c r="CA130">
        <f>VLOOKUP($B130,'[1]Data_UN_PopulationTot.&amp;%'!$B$4:$CZ$603,65,FALSE)</f>
        <v>5.9571401058658058</v>
      </c>
      <c r="CB130">
        <f>VLOOKUP($B130,'[1]Data_UN_PopulationTot.&amp;%'!$B$4:$CZ$603,66,FALSE)</f>
        <v>6.2838417498789019</v>
      </c>
      <c r="CC130">
        <f>VLOOKUP($B130,'[1]Data_UN_PopulationTot.&amp;%'!$B$4:$CZ$603,67,FALSE)</f>
        <v>6.2862345271930398</v>
      </c>
      <c r="CD130">
        <f>VLOOKUP($B130,'[1]Data_UN_PopulationTot.&amp;%'!$B$4:$CZ$603,68,FALSE)</f>
        <v>5.9550391306631489</v>
      </c>
      <c r="CE130">
        <f>VLOOKUP($B130,'[1]Data_UN_PopulationTot.&amp;%'!$B$4:$CZ$603,69,FALSE)</f>
        <v>5.864755557371212</v>
      </c>
      <c r="CF130">
        <f>VLOOKUP($B130,'[1]Data_UN_PopulationTot.&amp;%'!$B$4:$CZ$603,70,FALSE)</f>
        <v>6.6910807766604989</v>
      </c>
      <c r="CG130">
        <f>VLOOKUP($B130,'[1]Data_UN_PopulationTot.&amp;%'!$B$4:$CZ$603,71,FALSE)</f>
        <v>7.4334253482658195</v>
      </c>
      <c r="CH130">
        <f>VLOOKUP($B130,'[1]Data_UN_PopulationTot.&amp;%'!$B$4:$CZ$603,72,FALSE)</f>
        <v>7.2971537622046228</v>
      </c>
      <c r="CI130">
        <f>VLOOKUP($B130,'[1]Data_UN_PopulationTot.&amp;%'!$B$4:$CZ$603,73,FALSE)</f>
        <v>6.5653140666125864</v>
      </c>
      <c r="CJ130">
        <f>VLOOKUP($B130,'[1]Data_UN_PopulationTot.&amp;%'!$B$4:$CZ$603,74,FALSE)</f>
        <v>5.8625378613239638</v>
      </c>
      <c r="CK130">
        <f>VLOOKUP($B130,'[1]Data_UN_PopulationTot.&amp;%'!$B$4:$CZ$603,75,FALSE)</f>
        <v>5.558532585541788</v>
      </c>
      <c r="CL130">
        <f>VLOOKUP($B130,'[1]Data_UN_PopulationTot.&amp;%'!$B$4:$CZ$603,76,FALSE)</f>
        <v>3.7296686878826257</v>
      </c>
      <c r="CM130">
        <f>VLOOKUP($B130,'[1]Data_UN_PopulationTot.&amp;%'!$B$4:$CZ$603,77,FALSE)</f>
        <v>2.5586609784708401</v>
      </c>
      <c r="CN130">
        <f>VLOOKUP($B130,'[1]Data_UN_PopulationTot.&amp;%'!$B$4:$CZ$603,78,FALSE)</f>
        <v>1.527619069851589</v>
      </c>
      <c r="CO130">
        <f>VLOOKUP($B130,'[1]Data_UN_PopulationTot.&amp;%'!$B$4:$CZ$603,79,FALSE)</f>
        <v>0.62267652568733978</v>
      </c>
      <c r="CP130">
        <f>VLOOKUP($B130,'[1]Data_UN_PopulationTot.&amp;%'!$B$4:$CZ$603,80,FALSE)</f>
        <v>0.15778323771950814</v>
      </c>
      <c r="CQ130">
        <f>VLOOKUP($B130,'[1]Data_UN_PopulationTot.&amp;%'!$B$4:$CZ$603,81,FALSE)</f>
        <v>1.729219312630946E-2</v>
      </c>
      <c r="CR130">
        <f>VLOOKUP($B130,'[1]Data_UN_PopulationTot.&amp;%'!$B$4:$CZ$603,82,FALSE)</f>
        <v>5.0453459252849528</v>
      </c>
      <c r="CS130">
        <f>VLOOKUP($B130,'[1]Data_UN_PopulationTot.&amp;%'!$B$4:$CZ$603,83,FALSE)</f>
        <v>5.0558958871767246</v>
      </c>
      <c r="CT130">
        <f>VLOOKUP($B130,'[1]Data_UN_PopulationTot.&amp;%'!$B$4:$CZ$603,84,FALSE)</f>
        <v>4.958281519515424</v>
      </c>
      <c r="CU130">
        <f>VLOOKUP($B130,'[1]Data_UN_PopulationTot.&amp;%'!$B$4:$CZ$603,85,FALSE)</f>
        <v>5.1697793161149104</v>
      </c>
      <c r="CV130">
        <f>VLOOKUP($B130,'[1]Data_UN_PopulationTot.&amp;%'!$B$4:$CZ$603,86,FALSE)</f>
        <v>5.4904786737190774</v>
      </c>
      <c r="CW130">
        <f>VLOOKUP($B130,'[1]Data_UN_PopulationTot.&amp;%'!$B$4:$CZ$603,87,FALSE)</f>
        <v>6.0052262711815851</v>
      </c>
      <c r="CX130">
        <f>VLOOKUP($B130,'[1]Data_UN_PopulationTot.&amp;%'!$B$4:$CZ$603,88,FALSE)</f>
        <v>6.0342229073425671</v>
      </c>
      <c r="CY130">
        <f>VLOOKUP($B130,'[1]Data_UN_PopulationTot.&amp;%'!$B$4:$CZ$603,89,FALSE)</f>
        <v>6.3064818369884756</v>
      </c>
      <c r="CZ130">
        <f>VLOOKUP($B130,'[1]Data_UN_PopulationTot.&amp;%'!$B$4:$CZ$603,90,FALSE)</f>
        <v>6.250207732818347</v>
      </c>
      <c r="DA130">
        <f>VLOOKUP($B130,'[1]Data_UN_PopulationTot.&amp;%'!$B$4:$CZ$603,91,FALSE)</f>
        <v>5.8693546815814059</v>
      </c>
      <c r="DB130">
        <f>VLOOKUP($B130,'[1]Data_UN_PopulationTot.&amp;%'!$B$4:$CZ$603,92,FALSE)</f>
        <v>5.7207268642945968</v>
      </c>
      <c r="DC130">
        <f>VLOOKUP($B130,'[1]Data_UN_PopulationTot.&amp;%'!$B$4:$CZ$603,93,FALSE)</f>
        <v>6.441608453722858</v>
      </c>
      <c r="DD130">
        <f>VLOOKUP($B130,'[1]Data_UN_PopulationTot.&amp;%'!$B$4:$CZ$603,94,FALSE)</f>
        <v>7.0386755528558247</v>
      </c>
      <c r="DE130">
        <f>VLOOKUP($B130,'[1]Data_UN_PopulationTot.&amp;%'!$B$4:$CZ$603,95,FALSE)</f>
        <v>6.7477923015650161</v>
      </c>
      <c r="DF130">
        <f>VLOOKUP($B130,'[1]Data_UN_PopulationTot.&amp;%'!$B$4:$CZ$603,96,FALSE)</f>
        <v>5.8441975209595256</v>
      </c>
      <c r="DG130">
        <f>VLOOKUP($B130,'[1]Data_UN_PopulationTot.&amp;%'!$B$4:$CZ$603,97,FALSE)</f>
        <v>4.8647129275714462</v>
      </c>
      <c r="DH130">
        <f>VLOOKUP($B130,'[1]Data_UN_PopulationTot.&amp;%'!$B$4:$CZ$603,98,FALSE)</f>
        <v>4.0130886001959851</v>
      </c>
      <c r="DI130">
        <f>VLOOKUP($B130,'[1]Data_UN_PopulationTot.&amp;%'!$B$4:$CZ$603,99,FALSE)</f>
        <v>2.0504862380589444</v>
      </c>
      <c r="DJ130">
        <f>VLOOKUP($B130,'[1]Data_UN_PopulationTot.&amp;%'!$B$4:$DE$603,100,FALSE)</f>
        <v>0.84645536179893766</v>
      </c>
      <c r="DK130">
        <f>VLOOKUP($B130,'[1]Data_UN_PopulationTot.&amp;%'!$B$4:$DE$603,101,FALSE)</f>
        <v>0.21906213646756789</v>
      </c>
      <c r="DL130">
        <f>VLOOKUP($B130,'[1]Data_UN_PopulationTot.&amp;%'!$B$4:$DE$603,102,FALSE)</f>
        <v>2.7970865830386871E-2</v>
      </c>
    </row>
    <row r="131" spans="1:116">
      <c r="A131" t="s">
        <v>51</v>
      </c>
      <c r="B131" t="s">
        <v>468</v>
      </c>
      <c r="C131" t="s">
        <v>485</v>
      </c>
      <c r="D131" t="s">
        <v>622</v>
      </c>
      <c r="E131" t="s">
        <v>2269</v>
      </c>
      <c r="F131">
        <v>0</v>
      </c>
      <c r="G131">
        <v>0</v>
      </c>
      <c r="H131">
        <v>0</v>
      </c>
      <c r="I131">
        <v>1</v>
      </c>
      <c r="J131" s="18">
        <f t="shared" si="3"/>
        <v>1734.1878915000002</v>
      </c>
      <c r="K131">
        <f>VLOOKUP($B131,'[1]Source GDP Current USD'!$B$1:$CZ$600,64,FALSE)</f>
        <v>362198318435.26001</v>
      </c>
      <c r="L131" s="45">
        <f>VLOOKUP($B131,'[1]Source GDP Current USD'!$B$1:$CZ$600,65,FALSE)</f>
        <v>362198318435.26001</v>
      </c>
      <c r="M131" s="17">
        <f>VLOOKUP($B131,'[1]Source GDP Current LCU'!$B$1:$CZ$600,64,FALSE)</f>
        <v>3410399000000</v>
      </c>
      <c r="N131" s="45">
        <v>3400000000000</v>
      </c>
      <c r="O131" s="45">
        <f>VLOOKUP($B131,'[1]Source GNI Current USD'!$B$1:$CZ$600,64,FALSE)</f>
        <v>378698291884.23798</v>
      </c>
      <c r="P131" s="45">
        <f>VLOOKUP($B131,'[1]Source GNI Current LCU'!$B$1:$CZ$600,64,FALSE)</f>
        <v>3565760000000</v>
      </c>
      <c r="Q131">
        <f t="shared" si="2"/>
        <v>95.642976532352151</v>
      </c>
      <c r="R131">
        <v>78290</v>
      </c>
      <c r="S131">
        <v>78290</v>
      </c>
      <c r="T131">
        <v>1.0747800000000001</v>
      </c>
      <c r="U131" s="45">
        <v>5400000</v>
      </c>
      <c r="V131">
        <v>50.85</v>
      </c>
      <c r="W131">
        <f>VLOOKUP($B131,'[1]Source Gov. Revenue WEO'!$B$1:$CZ$600,5,FALSE)</f>
        <v>44.899000000000001</v>
      </c>
      <c r="X131">
        <f>VLOOKUP($B131,'[1]Source Gov. Revenue WEO'!$B$1:$CZ$600,6,FALSE)</f>
        <v>50.368000000000002</v>
      </c>
      <c r="Y131">
        <f>VLOOKUP($B131,'[1]Source Gov. Revenue WEO'!$B$1:$CZ$600,7,FALSE)</f>
        <v>52.314</v>
      </c>
      <c r="Z131">
        <f>VLOOKUP($B131,'[1]Source Gov. Revenue WEO'!$B$1:$CZ$600,8,FALSE)</f>
        <v>53.473999999999997</v>
      </c>
      <c r="AA131">
        <f>VLOOKUP($B131,'[1]Source Gov. Revenue WEO'!$B$1:$CZ$600,9,FALSE)</f>
        <v>53.823999999999998</v>
      </c>
      <c r="AB131">
        <f>VLOOKUP($B131,'[1]Source Gov. Revenue WEO'!$B$1:$CZ$600,10,FALSE)</f>
        <v>53.9</v>
      </c>
      <c r="AC131" t="e">
        <f>VLOOKUP($B131,[2]Summary!$B$1:$CZ$600,39,FALSE)</f>
        <v>#N/A</v>
      </c>
      <c r="AD131" t="e">
        <f>VLOOKUP($B131,[2]Summary!$B$1:$CZ$600,40,FALSE)</f>
        <v>#N/A</v>
      </c>
      <c r="AE131" t="e">
        <f>VLOOKUP($B131,[2]Summary!$B$1:$CZ$600,47,FALSE)</f>
        <v>#N/A</v>
      </c>
      <c r="AF131">
        <f>VLOOKUP($B131,'[1]CALC GDP Growth rates WDI'!$B$1:$CZ$600,27,FALSE)</f>
        <v>13.962031309531753</v>
      </c>
      <c r="AG131">
        <f>VLOOKUP($B131,'[1]CALC GDP Growth rates WDI'!$B$1:$CZ$600,29,FALSE)</f>
        <v>14.735455543842724</v>
      </c>
      <c r="AH131">
        <v>4.6100000000000003</v>
      </c>
      <c r="AI131">
        <f>VLOOKUP($B131,'[1]CALC GDP Growth rates WDI'!$B$1:$CZ$600,30,FALSE)</f>
        <v>6.6342693248746309</v>
      </c>
      <c r="AK131" t="e">
        <f>VLOOKUP($B131,[1]Data_Aspire!$B$1:$CZ$600,2,FALSE)</f>
        <v>#N/A</v>
      </c>
      <c r="AL131" t="e">
        <f>VLOOKUP($B131,[1]Data_Aspire!$B$1:$CZ$600,3,FALSE)</f>
        <v>#N/A</v>
      </c>
      <c r="AM131" t="e">
        <f>VLOOKUP($B131,[1]Data_Aspire!$B$1:$CZ$600,4,FALSE)</f>
        <v>#N/A</v>
      </c>
      <c r="AN131" t="e">
        <f>VLOOKUP($B131,[1]Data_Aspire!$B$1:$CZ$600,5,FALSE)</f>
        <v>#N/A</v>
      </c>
      <c r="AO131" t="e">
        <f>VLOOKUP($B131,[1]Data_Aspire!$B$1:$CZ$600,6,FALSE)</f>
        <v>#N/A</v>
      </c>
      <c r="AP131" t="e">
        <f>VLOOKUP($B131,[1]Data_Aspire!$B$1:$CZ$600,7,FALSE)</f>
        <v>#N/A</v>
      </c>
      <c r="AQ131" t="e">
        <f>VLOOKUP($B131,[1]Data_Aspire!$B$1:$CZ$600,8,FALSE)</f>
        <v>#N/A</v>
      </c>
      <c r="AR131" t="e">
        <f>VLOOKUP($B131,[1]Data_Aspire!$B$1:$CZ$600,9,FALSE)</f>
        <v>#N/A</v>
      </c>
      <c r="AS131" t="e">
        <f>VLOOKUP($B131,[1]Data_Aspire!$B$1:$CZ$600,10,FALSE)</f>
        <v>#N/A</v>
      </c>
      <c r="AT131" t="e">
        <f>VLOOKUP($B131,[1]Data_Aspire!$B$1:$CZ$600,11,FALSE)</f>
        <v>#N/A</v>
      </c>
      <c r="AU131" t="e">
        <f>VLOOKUP($B131,[1]Data_Aspire!$B$1:$CZ$600,12,FALSE)</f>
        <v>#N/A</v>
      </c>
      <c r="AV131" t="e">
        <f>VLOOKUP($B131,[1]Data_Aspire!$B$1:$CZ$600,13,FALSE)</f>
        <v>#N/A</v>
      </c>
      <c r="AW131" t="e">
        <f>VLOOKUP($B131,[1]Data_Aspire!$B$1:$CZ$600,14,FALSE)</f>
        <v>#N/A</v>
      </c>
      <c r="AX131" t="e">
        <f>VLOOKUP($B131,[1]Data_Aspire!$B$1:$CZ$600,15,FALSE)</f>
        <v>#N/A</v>
      </c>
      <c r="AY131" t="e">
        <f>VLOOKUP($B131,[1]Data_Aspire!$B$1:$CZ$600,16,FALSE)</f>
        <v>#N/A</v>
      </c>
      <c r="AZ131" t="e">
        <f>VLOOKUP($B131,[1]Data_Aspire!$B$1:$CZ$600,17,FALSE)</f>
        <v>#N/A</v>
      </c>
      <c r="BA131" t="e">
        <f>VLOOKUP($B131,[1]Data_Aspire!$B$1:$CZ$600,18,FALSE)</f>
        <v>#N/A</v>
      </c>
      <c r="BB131" t="e">
        <f>VLOOKUP($B131,[1]Data_Aspire!$B$1:$CZ$600,19,FALSE)</f>
        <v>#N/A</v>
      </c>
      <c r="BC131" t="e">
        <f>VLOOKUP($B131,[1]Data_Aspire!$B$1:$CZ$600,20,FALSE)</f>
        <v>#N/A</v>
      </c>
      <c r="BD131" t="e">
        <f>VLOOKUP($B131,[1]Data_Aspire!$B$1:$CZ$600,21,FALSE)</f>
        <v>#N/A</v>
      </c>
      <c r="BE131" t="e">
        <f>VLOOKUP($B131,[1]Data_Aspire!$B$1:$CZ$600,22,FALSE)</f>
        <v>#N/A</v>
      </c>
      <c r="BF131" t="e">
        <f>VLOOKUP($B131,[1]Data_Aspire!$B$1:$CZ$600,23,FALSE)</f>
        <v>#N/A</v>
      </c>
      <c r="BG131" t="e">
        <f>VLOOKUP($B131,[1]Data_Aspire!$B$1:$CZ$600,24,FALSE)</f>
        <v>#N/A</v>
      </c>
      <c r="BH131" t="e">
        <f>VLOOKUP($B131,[1]Data_Aspire!$B$1:$CZ$600,25,FALSE)</f>
        <v>#N/A</v>
      </c>
      <c r="BI131" t="e">
        <f>VLOOKUP($B131,[1]Data_Aspire!$B$1:$CZ$600,26,FALSE)</f>
        <v>#N/A</v>
      </c>
      <c r="BJ131" s="7">
        <v>0</v>
      </c>
      <c r="BK131" s="45">
        <v>578</v>
      </c>
      <c r="BL131">
        <f>VLOOKUP($B131,'[1]Data_UN_PopulationTot.&amp;%'!$B$4:$CZ$603,8,FALSE)</f>
        <v>5421.24</v>
      </c>
      <c r="BM131">
        <f>VLOOKUP($B131,'[1]Data_UN_PopulationTot.&amp;%'!$B$4:$CZ$603,9,FALSE)</f>
        <v>5465.63</v>
      </c>
      <c r="BN131">
        <v>5511.37</v>
      </c>
      <c r="BO131">
        <f>VLOOKUP($B131,'[1]Data_UN_PopulationTot.&amp;%'!$B$4:$CZ$603,11,FALSE)</f>
        <v>5558.03</v>
      </c>
      <c r="BP131">
        <f>VLOOKUP($B131,'[1]Data_UN_PopulationTot.&amp;%'!$B$4:$CZ$603,12,FALSE)</f>
        <v>5604.8</v>
      </c>
      <c r="BQ131">
        <f>VLOOKUP($B131,'[1]Data_UN_PopulationTot.&amp;%'!$B$4:$CZ$603,13,FALSE)</f>
        <v>5651.1</v>
      </c>
      <c r="BR131">
        <f>VLOOKUP($B131,'[1]Data_UN_PopulationTot.&amp;%'!$B$4:$CZ$603,14,FALSE)</f>
        <v>5696.88</v>
      </c>
      <c r="BS131">
        <f>VLOOKUP($B131,'[1]Data_UN_PopulationTot.&amp;%'!$B$4:$CZ$603,15,FALSE)</f>
        <v>5742.4</v>
      </c>
      <c r="BT131">
        <f>VLOOKUP($B131,'[1]Data_UN_PopulationTot.&amp;%'!$B$4:$CZ$603,16,FALSE)</f>
        <v>5787.49</v>
      </c>
      <c r="BU131">
        <f>VLOOKUP($B131,'[1]Data_UN_PopulationTot.&amp;%'!$B$4:$CZ$603,17,FALSE)</f>
        <v>5832.03</v>
      </c>
      <c r="BV131">
        <f>VLOOKUP($B131,'[1]Data_UN_PopulationTot.&amp;%'!$B$4:$CZ$603,18,FALSE)</f>
        <v>5875.92</v>
      </c>
      <c r="BW131">
        <f>VLOOKUP($B131,'[1]Data_UN_PopulationTot.&amp;%'!$B$4:$CZ$603,61,FALSE)</f>
        <v>5.566032863330161</v>
      </c>
      <c r="BX131">
        <f>VLOOKUP($B131,'[1]Data_UN_PopulationTot.&amp;%'!$B$4:$CZ$603,62,FALSE)</f>
        <v>5.765747319801374</v>
      </c>
      <c r="BY131">
        <f>VLOOKUP($B131,'[1]Data_UN_PopulationTot.&amp;%'!$B$4:$CZ$603,63,FALSE)</f>
        <v>5.9253233577557909</v>
      </c>
      <c r="BZ131">
        <f>VLOOKUP($B131,'[1]Data_UN_PopulationTot.&amp;%'!$B$4:$CZ$603,64,FALSE)</f>
        <v>5.9360035711387065</v>
      </c>
      <c r="CA131">
        <f>VLOOKUP($B131,'[1]Data_UN_PopulationTot.&amp;%'!$B$4:$CZ$603,65,FALSE)</f>
        <v>6.5163873947657738</v>
      </c>
      <c r="CB131">
        <f>VLOOKUP($B131,'[1]Data_UN_PopulationTot.&amp;%'!$B$4:$CZ$603,66,FALSE)</f>
        <v>6.8824475581232338</v>
      </c>
      <c r="CC131">
        <f>VLOOKUP($B131,'[1]Data_UN_PopulationTot.&amp;%'!$B$4:$CZ$603,67,FALSE)</f>
        <v>6.9510849916255317</v>
      </c>
      <c r="CD131">
        <f>VLOOKUP($B131,'[1]Data_UN_PopulationTot.&amp;%'!$B$4:$CZ$603,68,FALSE)</f>
        <v>6.6753916078240412</v>
      </c>
      <c r="CE131">
        <f>VLOOKUP($B131,'[1]Data_UN_PopulationTot.&amp;%'!$B$4:$CZ$603,69,FALSE)</f>
        <v>6.408460057108706</v>
      </c>
      <c r="CF131">
        <f>VLOOKUP($B131,'[1]Data_UN_PopulationTot.&amp;%'!$B$4:$CZ$603,70,FALSE)</f>
        <v>6.9635729095188559</v>
      </c>
      <c r="CG131">
        <f>VLOOKUP($B131,'[1]Data_UN_PopulationTot.&amp;%'!$B$4:$CZ$603,71,FALSE)</f>
        <v>6.961248718005475</v>
      </c>
      <c r="CH131">
        <f>VLOOKUP($B131,'[1]Data_UN_PopulationTot.&amp;%'!$B$4:$CZ$603,72,FALSE)</f>
        <v>6.1816484789457764</v>
      </c>
      <c r="CI131">
        <f>VLOOKUP($B131,'[1]Data_UN_PopulationTot.&amp;%'!$B$4:$CZ$603,73,FALSE)</f>
        <v>5.7400705373678349</v>
      </c>
      <c r="CJ131">
        <f>VLOOKUP($B131,'[1]Data_UN_PopulationTot.&amp;%'!$B$4:$CZ$603,74,FALSE)</f>
        <v>5.0721421667367617</v>
      </c>
      <c r="CK131">
        <f>VLOOKUP($B131,'[1]Data_UN_PopulationTot.&amp;%'!$B$4:$CZ$603,75,FALSE)</f>
        <v>4.9210143804738395</v>
      </c>
      <c r="CL131">
        <f>VLOOKUP($B131,'[1]Data_UN_PopulationTot.&amp;%'!$B$4:$CZ$603,76,FALSE)</f>
        <v>3.3141495303657469</v>
      </c>
      <c r="CM131">
        <f>VLOOKUP($B131,'[1]Data_UN_PopulationTot.&amp;%'!$B$4:$CZ$603,77,FALSE)</f>
        <v>2.0893559407072924</v>
      </c>
      <c r="CN131">
        <f>VLOOKUP($B131,'[1]Data_UN_PopulationTot.&amp;%'!$B$4:$CZ$603,78,FALSE)</f>
        <v>1.3063063063063063</v>
      </c>
      <c r="CO131">
        <f>VLOOKUP($B131,'[1]Data_UN_PopulationTot.&amp;%'!$B$4:$CZ$603,79,FALSE)</f>
        <v>0.62004264706967405</v>
      </c>
      <c r="CP131">
        <f>VLOOKUP($B131,'[1]Data_UN_PopulationTot.&amp;%'!$B$4:$CZ$603,80,FALSE)</f>
        <v>0.18368491341464316</v>
      </c>
      <c r="CQ131">
        <f>VLOOKUP($B131,'[1]Data_UN_PopulationTot.&amp;%'!$B$4:$CZ$603,81,FALSE)</f>
        <v>1.9921641543263167E-2</v>
      </c>
      <c r="CR131">
        <f>VLOOKUP($B131,'[1]Data_UN_PopulationTot.&amp;%'!$B$4:$CZ$603,82,FALSE)</f>
        <v>5.5466378031014711</v>
      </c>
      <c r="CS131">
        <f>VLOOKUP($B131,'[1]Data_UN_PopulationTot.&amp;%'!$B$4:$CZ$603,83,FALSE)</f>
        <v>5.4526099742678591</v>
      </c>
      <c r="CT131">
        <f>VLOOKUP($B131,'[1]Data_UN_PopulationTot.&amp;%'!$B$4:$CZ$603,84,FALSE)</f>
        <v>5.2466677558578061</v>
      </c>
      <c r="CU131">
        <f>VLOOKUP($B131,'[1]Data_UN_PopulationTot.&amp;%'!$B$4:$CZ$603,85,FALSE)</f>
        <v>5.6265061471224929</v>
      </c>
      <c r="CV131">
        <f>VLOOKUP($B131,'[1]Data_UN_PopulationTot.&amp;%'!$B$4:$CZ$603,86,FALSE)</f>
        <v>6.1788792223175255</v>
      </c>
      <c r="CW131">
        <f>VLOOKUP($B131,'[1]Data_UN_PopulationTot.&amp;%'!$B$4:$CZ$603,87,FALSE)</f>
        <v>6.3571321597298809</v>
      </c>
      <c r="CX131">
        <f>VLOOKUP($B131,'[1]Data_UN_PopulationTot.&amp;%'!$B$4:$CZ$603,88,FALSE)</f>
        <v>6.7491048210322813</v>
      </c>
      <c r="CY131">
        <f>VLOOKUP($B131,'[1]Data_UN_PopulationTot.&amp;%'!$B$4:$CZ$603,89,FALSE)</f>
        <v>6.8659546079592637</v>
      </c>
      <c r="CZ131">
        <f>VLOOKUP($B131,'[1]Data_UN_PopulationTot.&amp;%'!$B$4:$CZ$603,90,FALSE)</f>
        <v>6.7428589905921115</v>
      </c>
      <c r="DA131">
        <f>VLOOKUP($B131,'[1]Data_UN_PopulationTot.&amp;%'!$B$4:$CZ$603,91,FALSE)</f>
        <v>6.3482484444989034</v>
      </c>
      <c r="DB131">
        <f>VLOOKUP($B131,'[1]Data_UN_PopulationTot.&amp;%'!$B$4:$CZ$603,92,FALSE)</f>
        <v>5.9871986003893856</v>
      </c>
      <c r="DC131">
        <f>VLOOKUP($B131,'[1]Data_UN_PopulationTot.&amp;%'!$B$4:$CZ$603,93,FALSE)</f>
        <v>6.3765503955125329</v>
      </c>
      <c r="DD131">
        <f>VLOOKUP($B131,'[1]Data_UN_PopulationTot.&amp;%'!$B$4:$CZ$603,94,FALSE)</f>
        <v>6.2475323013247293</v>
      </c>
      <c r="DE131">
        <f>VLOOKUP($B131,'[1]Data_UN_PopulationTot.&amp;%'!$B$4:$CZ$603,95,FALSE)</f>
        <v>5.4052131410910969</v>
      </c>
      <c r="DF131">
        <f>VLOOKUP($B131,'[1]Data_UN_PopulationTot.&amp;%'!$B$4:$CZ$603,96,FALSE)</f>
        <v>4.8291671772250124</v>
      </c>
      <c r="DG131">
        <f>VLOOKUP($B131,'[1]Data_UN_PopulationTot.&amp;%'!$B$4:$CZ$603,97,FALSE)</f>
        <v>4.0019775626625274</v>
      </c>
      <c r="DH131">
        <f>VLOOKUP($B131,'[1]Data_UN_PopulationTot.&amp;%'!$B$4:$CZ$603,98,FALSE)</f>
        <v>3.4059857860556306</v>
      </c>
      <c r="DI131">
        <f>VLOOKUP($B131,'[1]Data_UN_PopulationTot.&amp;%'!$B$4:$CZ$603,99,FALSE)</f>
        <v>1.7645407017113917</v>
      </c>
      <c r="DJ131">
        <f>VLOOKUP($B131,'[1]Data_UN_PopulationTot.&amp;%'!$B$4:$DE$603,100,FALSE)</f>
        <v>0.67002273686503555</v>
      </c>
      <c r="DK131">
        <f>VLOOKUP($B131,'[1]Data_UN_PopulationTot.&amp;%'!$B$4:$DE$603,101,FALSE)</f>
        <v>0.1732494656155972</v>
      </c>
      <c r="DL131">
        <f>VLOOKUP($B131,'[1]Data_UN_PopulationTot.&amp;%'!$B$4:$DE$603,102,FALSE)</f>
        <v>2.3996242290568962E-2</v>
      </c>
    </row>
    <row r="132" spans="1:116">
      <c r="A132" t="s">
        <v>124</v>
      </c>
      <c r="B132" t="s">
        <v>338</v>
      </c>
      <c r="C132" t="s">
        <v>483</v>
      </c>
      <c r="D132" t="s">
        <v>334</v>
      </c>
      <c r="E132" t="s">
        <v>300</v>
      </c>
      <c r="F132">
        <v>0</v>
      </c>
      <c r="G132">
        <v>1</v>
      </c>
      <c r="H132">
        <v>0</v>
      </c>
      <c r="I132">
        <v>0</v>
      </c>
      <c r="J132" s="18">
        <f t="shared" si="3"/>
        <v>865.03149510607807</v>
      </c>
      <c r="K132">
        <f>VLOOKUP($B132,'[1]Source GDP Current USD'!$B$1:$CZ$600,64,FALSE)</f>
        <v>33657175561.328999</v>
      </c>
      <c r="L132" s="45">
        <f>VLOOKUP($B132,'[1]Source GDP Current USD'!$B$1:$CZ$600,65,FALSE)</f>
        <v>33657175561.328999</v>
      </c>
      <c r="M132" s="17">
        <f>VLOOKUP($B132,'[1]Source GDP Current LCU'!$B$1:$CZ$600,64,FALSE)</f>
        <v>3914701068498.3398</v>
      </c>
      <c r="N132" s="45">
        <v>3900000000000</v>
      </c>
      <c r="O132" s="45">
        <f>VLOOKUP($B132,'[1]Source GNI Current USD'!$B$1:$CZ$600,64,FALSE)</f>
        <v>34053537648.91</v>
      </c>
      <c r="P132" s="45">
        <f>VLOOKUP($B132,'[1]Source GNI Current LCU'!$B$1:$CZ$600,64,FALSE)</f>
        <v>3960802354832.8999</v>
      </c>
      <c r="Q132">
        <f t="shared" ref="Q132:Q192" si="4">(M132/P132)*100</f>
        <v>98.836061933807215</v>
      </c>
      <c r="R132">
        <v>1190</v>
      </c>
      <c r="S132">
        <v>1190</v>
      </c>
      <c r="T132">
        <v>0.28817300000000001</v>
      </c>
      <c r="U132" s="45">
        <v>29000000</v>
      </c>
      <c r="V132">
        <v>22.097000000000001</v>
      </c>
      <c r="W132">
        <f>VLOOKUP($B132,'[1]Source Gov. Revenue WEO'!$B$1:$CZ$600,5,FALSE)</f>
        <v>24.204000000000001</v>
      </c>
      <c r="X132">
        <f>VLOOKUP($B132,'[1]Source Gov. Revenue WEO'!$B$1:$CZ$600,6,FALSE)</f>
        <v>24.425000000000001</v>
      </c>
      <c r="Y132">
        <f>VLOOKUP($B132,'[1]Source Gov. Revenue WEO'!$B$1:$CZ$600,7,FALSE)</f>
        <v>25.585999999999999</v>
      </c>
      <c r="Z132">
        <f>VLOOKUP($B132,'[1]Source Gov. Revenue WEO'!$B$1:$CZ$600,8,FALSE)</f>
        <v>26.468</v>
      </c>
      <c r="AA132">
        <f>VLOOKUP($B132,'[1]Source Gov. Revenue WEO'!$B$1:$CZ$600,9,FALSE)</f>
        <v>27.08</v>
      </c>
      <c r="AB132">
        <f>VLOOKUP($B132,'[1]Source Gov. Revenue WEO'!$B$1:$CZ$600,10,FALSE)</f>
        <v>27.184000000000001</v>
      </c>
      <c r="AC132">
        <f>VLOOKUP($B132,[2]Summary!$B$1:$CZ$600,39,FALSE)</f>
        <v>5.8060059999999997E-2</v>
      </c>
      <c r="AD132">
        <f>VLOOKUP($B132,[2]Summary!$B$1:$CZ$600,40,FALSE)</f>
        <v>2.2000000000000002E-2</v>
      </c>
      <c r="AE132">
        <f>VLOOKUP($B132,[2]Summary!$B$1:$CZ$600,47,FALSE)</f>
        <v>0.28569183168501761</v>
      </c>
      <c r="AF132">
        <f>VLOOKUP($B132,'[1]CALC GDP Growth rates WDI'!$B$1:$CZ$600,27,FALSE)</f>
        <v>51.61571747364966</v>
      </c>
      <c r="AG132">
        <f>VLOOKUP($B132,'[1]CALC GDP Growth rates WDI'!$B$1:$CZ$600,29,FALSE)</f>
        <v>52.654663936137936</v>
      </c>
      <c r="AH132">
        <v>23.03</v>
      </c>
      <c r="AI132">
        <f>VLOOKUP($B132,'[1]CALC GDP Growth rates WDI'!$B$1:$CZ$600,30,FALSE)</f>
        <v>22.859622610868691</v>
      </c>
      <c r="AJ132" s="45" t="s">
        <v>2466</v>
      </c>
      <c r="AK132">
        <f>VLOOKUP($B132,[1]Data_Aspire!$B$1:$CZ$600,2,FALSE)</f>
        <v>2016</v>
      </c>
      <c r="AL132">
        <f>VLOOKUP($B132,[1]Data_Aspire!$B$1:$CZ$600,3,FALSE)</f>
        <v>2.06</v>
      </c>
      <c r="AM132">
        <f>VLOOKUP($B132,[1]Data_Aspire!$B$1:$CZ$600,4,FALSE)</f>
        <v>0</v>
      </c>
      <c r="AN132">
        <f>VLOOKUP($B132,[1]Data_Aspire!$B$1:$CZ$600,5,FALSE)</f>
        <v>0.06</v>
      </c>
      <c r="AO132">
        <f>VLOOKUP($B132,[1]Data_Aspire!$B$1:$CZ$600,6,FALSE)</f>
        <v>1.82</v>
      </c>
      <c r="AP132">
        <f>VLOOKUP($B132,[1]Data_Aspire!$B$1:$CZ$600,7,FALSE)</f>
        <v>7.0000000000000007E-2</v>
      </c>
      <c r="AQ132">
        <f>VLOOKUP($B132,[1]Data_Aspire!$B$1:$CZ$600,8,FALSE)</f>
        <v>0.03</v>
      </c>
      <c r="AT132">
        <f>VLOOKUP($B132,[1]Data_Aspire!$B$1:$CZ$600,11,FALSE)</f>
        <v>0.08</v>
      </c>
      <c r="AU132">
        <f>VLOOKUP($B132,[1]Data_Aspire!$B$1:$CZ$600,12,FALSE)</f>
        <v>2.06</v>
      </c>
      <c r="AV132">
        <f>VLOOKUP($B132,[1]Data_Aspire!$B$1:$CZ$600,13,FALSE)</f>
        <v>1112682</v>
      </c>
      <c r="AW132">
        <f>VLOOKUP($B132,[1]Data_Aspire!$B$1:$CZ$600,14,FALSE)</f>
        <v>2015</v>
      </c>
      <c r="AX132">
        <f>VLOOKUP($B132,[1]Data_Aspire!$B$1:$CZ$600,15,FALSE)</f>
        <v>2080094</v>
      </c>
      <c r="AY132">
        <f>VLOOKUP($B132,[1]Data_Aspire!$B$1:$CZ$600,16,FALSE)</f>
        <v>2015</v>
      </c>
      <c r="AZ132">
        <f>VLOOKUP($B132,[1]Data_Aspire!$B$1:$CZ$600,17,FALSE)</f>
        <v>1046273</v>
      </c>
      <c r="BA132">
        <f>VLOOKUP($B132,[1]Data_Aspire!$B$1:$CZ$600,18,FALSE)</f>
        <v>2016</v>
      </c>
      <c r="BD132">
        <f>VLOOKUP($B132,[1]Data_Aspire!$B$1:$CZ$600,21,FALSE)</f>
        <v>586349</v>
      </c>
      <c r="BE132">
        <f>VLOOKUP($B132,[1]Data_Aspire!$B$1:$CZ$600,22,FALSE)</f>
        <v>2016</v>
      </c>
      <c r="BF132">
        <f>VLOOKUP($B132,[1]Data_Aspire!$B$1:$CZ$600,23,FALSE)</f>
        <v>19170</v>
      </c>
      <c r="BG132">
        <f>VLOOKUP($B132,[1]Data_Aspire!$B$1:$CZ$600,24,FALSE)</f>
        <v>2016</v>
      </c>
      <c r="BJ132" s="7">
        <v>0</v>
      </c>
      <c r="BK132" s="45">
        <v>524</v>
      </c>
      <c r="BL132">
        <f>VLOOKUP($B132,'[1]Data_UN_PopulationTot.&amp;%'!$B$4:$CZ$603,8,FALSE)</f>
        <v>29136.799999999999</v>
      </c>
      <c r="BM132">
        <f>VLOOKUP($B132,'[1]Data_UN_PopulationTot.&amp;%'!$B$4:$CZ$603,9,FALSE)</f>
        <v>29674.9</v>
      </c>
      <c r="BN132">
        <v>30225.599999999999</v>
      </c>
      <c r="BO132">
        <f>VLOOKUP($B132,'[1]Data_UN_PopulationTot.&amp;%'!$B$4:$CZ$603,11,FALSE)</f>
        <v>30769.7</v>
      </c>
      <c r="BP132">
        <f>VLOOKUP($B132,'[1]Data_UN_PopulationTot.&amp;%'!$B$4:$CZ$603,12,FALSE)</f>
        <v>31285.7</v>
      </c>
      <c r="BQ132">
        <f>VLOOKUP($B132,'[1]Data_UN_PopulationTot.&amp;%'!$B$4:$CZ$603,13,FALSE)</f>
        <v>31757.4</v>
      </c>
      <c r="BR132">
        <f>VLOOKUP($B132,'[1]Data_UN_PopulationTot.&amp;%'!$B$4:$CZ$603,14,FALSE)</f>
        <v>32175.3</v>
      </c>
      <c r="BS132">
        <f>VLOOKUP($B132,'[1]Data_UN_PopulationTot.&amp;%'!$B$4:$CZ$603,15,FALSE)</f>
        <v>32539.200000000001</v>
      </c>
      <c r="BT132">
        <f>VLOOKUP($B132,'[1]Data_UN_PopulationTot.&amp;%'!$B$4:$CZ$603,16,FALSE)</f>
        <v>32855.4</v>
      </c>
      <c r="BU132">
        <f>VLOOKUP($B132,'[1]Data_UN_PopulationTot.&amp;%'!$B$4:$CZ$603,17,FALSE)</f>
        <v>33135.699999999997</v>
      </c>
      <c r="BV132">
        <f>VLOOKUP($B132,'[1]Data_UN_PopulationTot.&amp;%'!$B$4:$CZ$603,18,FALSE)</f>
        <v>33389.5</v>
      </c>
      <c r="BW132">
        <f>VLOOKUP($B132,'[1]Data_UN_PopulationTot.&amp;%'!$B$4:$CZ$603,61,FALSE)</f>
        <v>9.2898671096345513</v>
      </c>
      <c r="BX132">
        <f>VLOOKUP($B132,'[1]Data_UN_PopulationTot.&amp;%'!$B$4:$CZ$603,62,FALSE)</f>
        <v>9.4595494357650818</v>
      </c>
      <c r="BY132">
        <f>VLOOKUP($B132,'[1]Data_UN_PopulationTot.&amp;%'!$B$4:$CZ$603,63,FALSE)</f>
        <v>10.060301748990968</v>
      </c>
      <c r="BZ132">
        <f>VLOOKUP($B132,'[1]Data_UN_PopulationTot.&amp;%'!$B$4:$CZ$603,64,FALSE)</f>
        <v>10.944510035419126</v>
      </c>
      <c r="CA132">
        <f>VLOOKUP($B132,'[1]Data_UN_PopulationTot.&amp;%'!$B$4:$CZ$603,65,FALSE)</f>
        <v>11.056533318689766</v>
      </c>
      <c r="CB132">
        <f>VLOOKUP($B132,'[1]Data_UN_PopulationTot.&amp;%'!$B$4:$CZ$603,66,FALSE)</f>
        <v>9.1459940693555914</v>
      </c>
      <c r="CC132">
        <f>VLOOKUP($B132,'[1]Data_UN_PopulationTot.&amp;%'!$B$4:$CZ$603,67,FALSE)</f>
        <v>7.1018780373960091</v>
      </c>
      <c r="CD132">
        <f>VLOOKUP($B132,'[1]Data_UN_PopulationTot.&amp;%'!$B$4:$CZ$603,68,FALSE)</f>
        <v>5.9151313802476597</v>
      </c>
      <c r="CE132">
        <f>VLOOKUP($B132,'[1]Data_UN_PopulationTot.&amp;%'!$B$4:$CZ$603,69,FALSE)</f>
        <v>5.4811441201504625</v>
      </c>
      <c r="CF132">
        <f>VLOOKUP($B132,'[1]Data_UN_PopulationTot.&amp;%'!$B$4:$CZ$603,70,FALSE)</f>
        <v>4.9718225748881144</v>
      </c>
      <c r="CG132">
        <f>VLOOKUP($B132,'[1]Data_UN_PopulationTot.&amp;%'!$B$4:$CZ$603,71,FALSE)</f>
        <v>4.3360629856401527</v>
      </c>
      <c r="CH132">
        <f>VLOOKUP($B132,'[1]Data_UN_PopulationTot.&amp;%'!$B$4:$CZ$603,72,FALSE)</f>
        <v>3.5841616100601299</v>
      </c>
      <c r="CI132">
        <f>VLOOKUP($B132,'[1]Data_UN_PopulationTot.&amp;%'!$B$4:$CZ$603,73,FALSE)</f>
        <v>2.8249190027731257</v>
      </c>
      <c r="CJ132">
        <f>VLOOKUP($B132,'[1]Data_UN_PopulationTot.&amp;%'!$B$4:$CZ$603,74,FALSE)</f>
        <v>2.2822924960874222</v>
      </c>
      <c r="CK132">
        <f>VLOOKUP($B132,'[1]Data_UN_PopulationTot.&amp;%'!$B$4:$CZ$603,75,FALSE)</f>
        <v>1.6258923423299745</v>
      </c>
      <c r="CL132">
        <f>VLOOKUP($B132,'[1]Data_UN_PopulationTot.&amp;%'!$B$4:$CZ$603,76,FALSE)</f>
        <v>1.1593654759616707</v>
      </c>
      <c r="CM132">
        <f>VLOOKUP($B132,'[1]Data_UN_PopulationTot.&amp;%'!$B$4:$CZ$603,77,FALSE)</f>
        <v>0.52344114659125229</v>
      </c>
      <c r="CN132">
        <f>VLOOKUP($B132,'[1]Data_UN_PopulationTot.&amp;%'!$B$4:$CZ$603,78,FALSE)</f>
        <v>0.18584745064660499</v>
      </c>
      <c r="CO132">
        <f>VLOOKUP($B132,'[1]Data_UN_PopulationTot.&amp;%'!$B$4:$CZ$603,79,FALSE)</f>
        <v>4.5519755086351282E-2</v>
      </c>
      <c r="CP132">
        <f>VLOOKUP($B132,'[1]Data_UN_PopulationTot.&amp;%'!$B$4:$CZ$603,80,FALSE)</f>
        <v>5.4501523846132733E-3</v>
      </c>
      <c r="CQ132">
        <f>VLOOKUP($B132,'[1]Data_UN_PopulationTot.&amp;%'!$B$4:$CZ$603,81,FALSE)</f>
        <v>3.3634441668268307E-4</v>
      </c>
      <c r="CR132">
        <f>VLOOKUP($B132,'[1]Data_UN_PopulationTot.&amp;%'!$B$4:$CZ$603,82,FALSE)</f>
        <v>7.5221252190059751</v>
      </c>
      <c r="CS132">
        <f>VLOOKUP($B132,'[1]Data_UN_PopulationTot.&amp;%'!$B$4:$CZ$603,83,FALSE)</f>
        <v>8.0900882013806719</v>
      </c>
      <c r="CT132">
        <f>VLOOKUP($B132,'[1]Data_UN_PopulationTot.&amp;%'!$B$4:$CZ$603,84,FALSE)</f>
        <v>8.0240494766318751</v>
      </c>
      <c r="CU132">
        <f>VLOOKUP($B132,'[1]Data_UN_PopulationTot.&amp;%'!$B$4:$CZ$603,85,FALSE)</f>
        <v>8.1652315847796455</v>
      </c>
      <c r="CV132">
        <f>VLOOKUP($B132,'[1]Data_UN_PopulationTot.&amp;%'!$B$4:$CZ$603,86,FALSE)</f>
        <v>8.5133649800086868</v>
      </c>
      <c r="CW132">
        <f>VLOOKUP($B132,'[1]Data_UN_PopulationTot.&amp;%'!$B$4:$CZ$603,87,FALSE)</f>
        <v>9.1575794785785956</v>
      </c>
      <c r="CX132">
        <f>VLOOKUP($B132,'[1]Data_UN_PopulationTot.&amp;%'!$B$4:$CZ$603,88,FALSE)</f>
        <v>9.5444376226059102</v>
      </c>
      <c r="CY132">
        <f>VLOOKUP($B132,'[1]Data_UN_PopulationTot.&amp;%'!$B$4:$CZ$603,89,FALSE)</f>
        <v>8.3698468081283028</v>
      </c>
      <c r="CZ132">
        <f>VLOOKUP($B132,'[1]Data_UN_PopulationTot.&amp;%'!$B$4:$CZ$603,90,FALSE)</f>
        <v>6.8095958310247227</v>
      </c>
      <c r="DA132">
        <f>VLOOKUP($B132,'[1]Data_UN_PopulationTot.&amp;%'!$B$4:$CZ$603,91,FALSE)</f>
        <v>5.6672906153131972</v>
      </c>
      <c r="DB132">
        <f>VLOOKUP($B132,'[1]Data_UN_PopulationTot.&amp;%'!$B$4:$CZ$603,92,FALSE)</f>
        <v>5.060363287859956</v>
      </c>
      <c r="DC132">
        <f>VLOOKUP($B132,'[1]Data_UN_PopulationTot.&amp;%'!$B$4:$CZ$603,93,FALSE)</f>
        <v>4.3838332409889338</v>
      </c>
      <c r="DD132">
        <f>VLOOKUP($B132,'[1]Data_UN_PopulationTot.&amp;%'!$B$4:$CZ$603,94,FALSE)</f>
        <v>3.6184129741385767</v>
      </c>
      <c r="DE132">
        <f>VLOOKUP($B132,'[1]Data_UN_PopulationTot.&amp;%'!$B$4:$CZ$603,95,FALSE)</f>
        <v>2.777388101049731</v>
      </c>
      <c r="DF132">
        <f>VLOOKUP($B132,'[1]Data_UN_PopulationTot.&amp;%'!$B$4:$CZ$603,96,FALSE)</f>
        <v>1.9512092124769762</v>
      </c>
      <c r="DG132">
        <f>VLOOKUP($B132,'[1]Data_UN_PopulationTot.&amp;%'!$B$4:$CZ$603,97,FALSE)</f>
        <v>1.3022896419533085</v>
      </c>
      <c r="DH132">
        <f>VLOOKUP($B132,'[1]Data_UN_PopulationTot.&amp;%'!$B$4:$CZ$603,98,FALSE)</f>
        <v>0.68224741310891146</v>
      </c>
      <c r="DI132">
        <f>VLOOKUP($B132,'[1]Data_UN_PopulationTot.&amp;%'!$B$4:$CZ$603,99,FALSE)</f>
        <v>0.29176537534254782</v>
      </c>
      <c r="DJ132">
        <f>VLOOKUP($B132,'[1]Data_UN_PopulationTot.&amp;%'!$B$4:$DE$603,100,FALSE)</f>
        <v>6.0719687326854246E-2</v>
      </c>
      <c r="DK132">
        <f>VLOOKUP($B132,'[1]Data_UN_PopulationTot.&amp;%'!$B$4:$DE$603,101,FALSE)</f>
        <v>7.7269800386349004E-3</v>
      </c>
      <c r="DL132">
        <f>VLOOKUP($B132,'[1]Data_UN_PopulationTot.&amp;%'!$B$4:$DE$603,102,FALSE)</f>
        <v>5.8102097964929096E-4</v>
      </c>
    </row>
    <row r="133" spans="1:116">
      <c r="A133" t="s">
        <v>71</v>
      </c>
      <c r="B133" t="s">
        <v>453</v>
      </c>
      <c r="C133" t="s">
        <v>493</v>
      </c>
      <c r="D133" t="s">
        <v>622</v>
      </c>
      <c r="E133" t="s">
        <v>2269</v>
      </c>
      <c r="F133">
        <v>0</v>
      </c>
      <c r="G133">
        <v>0</v>
      </c>
      <c r="H133">
        <v>0</v>
      </c>
      <c r="I133">
        <v>1</v>
      </c>
      <c r="J133" s="18">
        <f t="shared" ref="J133:J192" si="5">(M133*(V133/100))/1000000000</f>
        <v>120.87413425999999</v>
      </c>
      <c r="K133">
        <f>VLOOKUP($B133,'[1]Source GDP Current USD'!$B$1:$CZ$600,64,FALSE)</f>
        <v>210700848973.509</v>
      </c>
      <c r="L133" s="45">
        <f>VLOOKUP($B133,'[1]Source GDP Current USD'!$B$1:$CZ$600,65,FALSE)</f>
        <v>210700848973.509</v>
      </c>
      <c r="M133" s="17">
        <f>VLOOKUP($B133,'[1]Source GDP Current LCU'!$B$1:$CZ$600,64,FALSE)</f>
        <v>324913000000</v>
      </c>
      <c r="N133" s="45">
        <v>320000000000</v>
      </c>
      <c r="O133" s="45">
        <f>VLOOKUP($B133,'[1]Source GNI Current USD'!$B$1:$CZ$600,64,FALSE)</f>
        <v>203803178806.686</v>
      </c>
      <c r="P133" s="45">
        <f>VLOOKUP($B133,'[1]Source GNI Current LCU'!$B$1:$CZ$600,64,FALSE)</f>
        <v>314276390238.66699</v>
      </c>
      <c r="Q133">
        <f t="shared" si="4"/>
        <v>103.38447624183775</v>
      </c>
      <c r="R133">
        <v>41550</v>
      </c>
      <c r="S133">
        <v>41550</v>
      </c>
      <c r="T133">
        <v>0.93145</v>
      </c>
      <c r="U133" s="45">
        <v>5100000</v>
      </c>
      <c r="V133">
        <v>37.201999999999998</v>
      </c>
      <c r="W133">
        <f>VLOOKUP($B133,'[1]Source Gov. Revenue WEO'!$B$1:$CZ$600,5,FALSE)</f>
        <v>36.244999999999997</v>
      </c>
      <c r="X133">
        <f>VLOOKUP($B133,'[1]Source Gov. Revenue WEO'!$B$1:$CZ$600,6,FALSE)</f>
        <v>35.74</v>
      </c>
      <c r="Y133">
        <f>VLOOKUP($B133,'[1]Source Gov. Revenue WEO'!$B$1:$CZ$600,7,FALSE)</f>
        <v>36.039000000000001</v>
      </c>
      <c r="Z133">
        <f>VLOOKUP($B133,'[1]Source Gov. Revenue WEO'!$B$1:$CZ$600,8,FALSE)</f>
        <v>36.006</v>
      </c>
      <c r="AA133">
        <f>VLOOKUP($B133,'[1]Source Gov. Revenue WEO'!$B$1:$CZ$600,9,FALSE)</f>
        <v>36.002000000000002</v>
      </c>
      <c r="AB133">
        <f>VLOOKUP($B133,'[1]Source Gov. Revenue WEO'!$B$1:$CZ$600,10,FALSE)</f>
        <v>35.987000000000002</v>
      </c>
      <c r="AC133">
        <f>VLOOKUP($B133,[2]Summary!$B$1:$CZ$600,39,FALSE)</f>
        <v>9.999999999999999E-14</v>
      </c>
      <c r="AD133">
        <f>VLOOKUP($B133,[2]Summary!$B$1:$CZ$600,40,FALSE)</f>
        <v>9.999999999999999E-14</v>
      </c>
      <c r="AE133">
        <f>VLOOKUP($B133,[2]Summary!$B$1:$CZ$600,47,FALSE)</f>
        <v>0.48496244487430917</v>
      </c>
      <c r="AF133">
        <f>VLOOKUP($B133,'[1]CALC GDP Growth rates WDI'!$B$1:$CZ$600,27,FALSE)</f>
        <v>32.742978033649457</v>
      </c>
      <c r="AG133">
        <f>VLOOKUP($B133,'[1]CALC GDP Growth rates WDI'!$B$1:$CZ$600,29,FALSE)</f>
        <v>30.322187762545827</v>
      </c>
      <c r="AH133">
        <v>14.82</v>
      </c>
      <c r="AI133">
        <f>VLOOKUP($B133,'[1]CALC GDP Growth rates WDI'!$B$1:$CZ$600,30,FALSE)</f>
        <v>15.162008530020499</v>
      </c>
      <c r="AK133" t="e">
        <f>VLOOKUP($B133,[1]Data_Aspire!$B$1:$CZ$600,2,FALSE)</f>
        <v>#N/A</v>
      </c>
      <c r="AL133" t="e">
        <f>VLOOKUP($B133,[1]Data_Aspire!$B$1:$CZ$600,3,FALSE)</f>
        <v>#N/A</v>
      </c>
      <c r="AM133" t="e">
        <f>VLOOKUP($B133,[1]Data_Aspire!$B$1:$CZ$600,4,FALSE)</f>
        <v>#N/A</v>
      </c>
      <c r="AN133" t="e">
        <f>VLOOKUP($B133,[1]Data_Aspire!$B$1:$CZ$600,5,FALSE)</f>
        <v>#N/A</v>
      </c>
      <c r="AO133" t="e">
        <f>VLOOKUP($B133,[1]Data_Aspire!$B$1:$CZ$600,6,FALSE)</f>
        <v>#N/A</v>
      </c>
      <c r="AP133" t="e">
        <f>VLOOKUP($B133,[1]Data_Aspire!$B$1:$CZ$600,7,FALSE)</f>
        <v>#N/A</v>
      </c>
      <c r="AQ133" t="e">
        <f>VLOOKUP($B133,[1]Data_Aspire!$B$1:$CZ$600,8,FALSE)</f>
        <v>#N/A</v>
      </c>
      <c r="AR133" t="e">
        <f>VLOOKUP($B133,[1]Data_Aspire!$B$1:$CZ$600,9,FALSE)</f>
        <v>#N/A</v>
      </c>
      <c r="AS133" t="e">
        <f>VLOOKUP($B133,[1]Data_Aspire!$B$1:$CZ$600,10,FALSE)</f>
        <v>#N/A</v>
      </c>
      <c r="AT133" t="e">
        <f>VLOOKUP($B133,[1]Data_Aspire!$B$1:$CZ$600,11,FALSE)</f>
        <v>#N/A</v>
      </c>
      <c r="AU133" t="e">
        <f>VLOOKUP($B133,[1]Data_Aspire!$B$1:$CZ$600,12,FALSE)</f>
        <v>#N/A</v>
      </c>
      <c r="AV133" t="e">
        <f>VLOOKUP($B133,[1]Data_Aspire!$B$1:$CZ$600,13,FALSE)</f>
        <v>#N/A</v>
      </c>
      <c r="AW133" t="e">
        <f>VLOOKUP($B133,[1]Data_Aspire!$B$1:$CZ$600,14,FALSE)</f>
        <v>#N/A</v>
      </c>
      <c r="AX133" t="e">
        <f>VLOOKUP($B133,[1]Data_Aspire!$B$1:$CZ$600,15,FALSE)</f>
        <v>#N/A</v>
      </c>
      <c r="AY133" t="e">
        <f>VLOOKUP($B133,[1]Data_Aspire!$B$1:$CZ$600,16,FALSE)</f>
        <v>#N/A</v>
      </c>
      <c r="AZ133" t="e">
        <f>VLOOKUP($B133,[1]Data_Aspire!$B$1:$CZ$600,17,FALSE)</f>
        <v>#N/A</v>
      </c>
      <c r="BA133" t="e">
        <f>VLOOKUP($B133,[1]Data_Aspire!$B$1:$CZ$600,18,FALSE)</f>
        <v>#N/A</v>
      </c>
      <c r="BB133" t="e">
        <f>VLOOKUP($B133,[1]Data_Aspire!$B$1:$CZ$600,19,FALSE)</f>
        <v>#N/A</v>
      </c>
      <c r="BC133" t="e">
        <f>VLOOKUP($B133,[1]Data_Aspire!$B$1:$CZ$600,20,FALSE)</f>
        <v>#N/A</v>
      </c>
      <c r="BD133" t="e">
        <f>VLOOKUP($B133,[1]Data_Aspire!$B$1:$CZ$600,21,FALSE)</f>
        <v>#N/A</v>
      </c>
      <c r="BE133" t="e">
        <f>VLOOKUP($B133,[1]Data_Aspire!$B$1:$CZ$600,22,FALSE)</f>
        <v>#N/A</v>
      </c>
      <c r="BF133" t="e">
        <f>VLOOKUP($B133,[1]Data_Aspire!$B$1:$CZ$600,23,FALSE)</f>
        <v>#N/A</v>
      </c>
      <c r="BG133" t="e">
        <f>VLOOKUP($B133,[1]Data_Aspire!$B$1:$CZ$600,24,FALSE)</f>
        <v>#N/A</v>
      </c>
      <c r="BH133" t="e">
        <f>VLOOKUP($B133,[1]Data_Aspire!$B$1:$CZ$600,25,FALSE)</f>
        <v>#N/A</v>
      </c>
      <c r="BI133" t="e">
        <f>VLOOKUP($B133,[1]Data_Aspire!$B$1:$CZ$600,26,FALSE)</f>
        <v>#N/A</v>
      </c>
      <c r="BJ133" s="7">
        <v>0</v>
      </c>
      <c r="BK133">
        <v>554</v>
      </c>
      <c r="BL133">
        <f>VLOOKUP($B133,'[1]Data_UN_PopulationTot.&amp;%'!$B$4:$CZ$603,8,FALSE)</f>
        <v>4822.2299999999996</v>
      </c>
      <c r="BM133">
        <f>VLOOKUP($B133,'[1]Data_UN_PopulationTot.&amp;%'!$B$4:$CZ$603,9,FALSE)</f>
        <v>4860.6400000000003</v>
      </c>
      <c r="BN133">
        <v>4898.2</v>
      </c>
      <c r="BO133">
        <f>VLOOKUP($B133,'[1]Data_UN_PopulationTot.&amp;%'!$B$4:$CZ$603,11,FALSE)</f>
        <v>4934.9799999999996</v>
      </c>
      <c r="BP133">
        <f>VLOOKUP($B133,'[1]Data_UN_PopulationTot.&amp;%'!$B$4:$CZ$603,12,FALSE)</f>
        <v>4971.05</v>
      </c>
      <c r="BQ133">
        <f>VLOOKUP($B133,'[1]Data_UN_PopulationTot.&amp;%'!$B$4:$CZ$603,13,FALSE)</f>
        <v>5006.45</v>
      </c>
      <c r="BR133">
        <f>VLOOKUP($B133,'[1]Data_UN_PopulationTot.&amp;%'!$B$4:$CZ$603,14,FALSE)</f>
        <v>5041.24</v>
      </c>
      <c r="BS133">
        <f>VLOOKUP($B133,'[1]Data_UN_PopulationTot.&amp;%'!$B$4:$CZ$603,15,FALSE)</f>
        <v>5075.41</v>
      </c>
      <c r="BT133">
        <f>VLOOKUP($B133,'[1]Data_UN_PopulationTot.&amp;%'!$B$4:$CZ$603,16,FALSE)</f>
        <v>5108.8599999999997</v>
      </c>
      <c r="BU133">
        <f>VLOOKUP($B133,'[1]Data_UN_PopulationTot.&amp;%'!$B$4:$CZ$603,17,FALSE)</f>
        <v>5141.41</v>
      </c>
      <c r="BV133">
        <f>VLOOKUP($B133,'[1]Data_UN_PopulationTot.&amp;%'!$B$4:$CZ$603,18,FALSE)</f>
        <v>5172.96</v>
      </c>
      <c r="BW133">
        <f>VLOOKUP($B133,'[1]Data_UN_PopulationTot.&amp;%'!$B$4:$CZ$603,61,FALSE)</f>
        <v>6.2472341634472013</v>
      </c>
      <c r="BX133">
        <f>VLOOKUP($B133,'[1]Data_UN_PopulationTot.&amp;%'!$B$4:$CZ$603,62,FALSE)</f>
        <v>6.5120908791160943</v>
      </c>
      <c r="BY133">
        <f>VLOOKUP($B133,'[1]Data_UN_PopulationTot.&amp;%'!$B$4:$CZ$603,63,FALSE)</f>
        <v>6.6713325577585483</v>
      </c>
      <c r="BZ133">
        <f>VLOOKUP($B133,'[1]Data_UN_PopulationTot.&amp;%'!$B$4:$CZ$603,64,FALSE)</f>
        <v>6.2885013779931693</v>
      </c>
      <c r="CA133">
        <f>VLOOKUP($B133,'[1]Data_UN_PopulationTot.&amp;%'!$B$4:$CZ$603,65,FALSE)</f>
        <v>6.7287748614230338</v>
      </c>
      <c r="CB133">
        <f>VLOOKUP($B133,'[1]Data_UN_PopulationTot.&amp;%'!$B$4:$CZ$603,66,FALSE)</f>
        <v>7.1908225032816766</v>
      </c>
      <c r="CC133">
        <f>VLOOKUP($B133,'[1]Data_UN_PopulationTot.&amp;%'!$B$4:$CZ$603,67,FALSE)</f>
        <v>6.7280905307295598</v>
      </c>
      <c r="CD133">
        <f>VLOOKUP($B133,'[1]Data_UN_PopulationTot.&amp;%'!$B$4:$CZ$603,68,FALSE)</f>
        <v>6.1096629567648169</v>
      </c>
      <c r="CE133">
        <f>VLOOKUP($B133,'[1]Data_UN_PopulationTot.&amp;%'!$B$4:$CZ$603,69,FALSE)</f>
        <v>5.7735736370932127</v>
      </c>
      <c r="CF133">
        <f>VLOOKUP($B133,'[1]Data_UN_PopulationTot.&amp;%'!$B$4:$CZ$603,70,FALSE)</f>
        <v>6.500291358977071</v>
      </c>
      <c r="CG133">
        <f>VLOOKUP($B133,'[1]Data_UN_PopulationTot.&amp;%'!$B$4:$CZ$603,71,FALSE)</f>
        <v>6.4696416388268503</v>
      </c>
      <c r="CH133">
        <f>VLOOKUP($B133,'[1]Data_UN_PopulationTot.&amp;%'!$B$4:$CZ$603,72,FALSE)</f>
        <v>6.5677083009313115</v>
      </c>
      <c r="CI133">
        <f>VLOOKUP($B133,'[1]Data_UN_PopulationTot.&amp;%'!$B$4:$CZ$603,73,FALSE)</f>
        <v>5.8440389612274828</v>
      </c>
      <c r="CJ133">
        <f>VLOOKUP($B133,'[1]Data_UN_PopulationTot.&amp;%'!$B$4:$CZ$603,74,FALSE)</f>
        <v>4.9872984075832143</v>
      </c>
      <c r="CK133">
        <f>VLOOKUP($B133,'[1]Data_UN_PopulationTot.&amp;%'!$B$4:$CZ$603,75,FALSE)</f>
        <v>4.4296103669878875</v>
      </c>
      <c r="CL133">
        <f>VLOOKUP($B133,'[1]Data_UN_PopulationTot.&amp;%'!$B$4:$CZ$603,76,FALSE)</f>
        <v>3.0738061021560568</v>
      </c>
      <c r="CM133">
        <f>VLOOKUP($B133,'[1]Data_UN_PopulationTot.&amp;%'!$B$4:$CZ$603,77,FALSE)</f>
        <v>2.0181534269414771</v>
      </c>
      <c r="CN133">
        <f>VLOOKUP($B133,'[1]Data_UN_PopulationTot.&amp;%'!$B$4:$CZ$603,78,FALSE)</f>
        <v>1.1472493016716334</v>
      </c>
      <c r="CO133">
        <f>VLOOKUP($B133,'[1]Data_UN_PopulationTot.&amp;%'!$B$4:$CZ$603,79,FALSE)</f>
        <v>0.56359816931170859</v>
      </c>
      <c r="CP133">
        <f>VLOOKUP($B133,'[1]Data_UN_PopulationTot.&amp;%'!$B$4:$CZ$603,80,FALSE)</f>
        <v>0.13423250238997311</v>
      </c>
      <c r="CQ133">
        <f>VLOOKUP($B133,'[1]Data_UN_PopulationTot.&amp;%'!$B$4:$CZ$603,81,FALSE)</f>
        <v>1.4350207269250948E-2</v>
      </c>
      <c r="CR133">
        <f>VLOOKUP($B133,'[1]Data_UN_PopulationTot.&amp;%'!$B$4:$CZ$603,82,FALSE)</f>
        <v>5.8212706071572171</v>
      </c>
      <c r="CS133">
        <f>VLOOKUP($B133,'[1]Data_UN_PopulationTot.&amp;%'!$B$4:$CZ$603,83,FALSE)</f>
        <v>5.9317296093532521</v>
      </c>
      <c r="CT133">
        <f>VLOOKUP($B133,'[1]Data_UN_PopulationTot.&amp;%'!$B$4:$CZ$603,84,FALSE)</f>
        <v>6.006425721443815</v>
      </c>
      <c r="CU133">
        <f>VLOOKUP($B133,'[1]Data_UN_PopulationTot.&amp;%'!$B$4:$CZ$603,85,FALSE)</f>
        <v>6.265928984565897</v>
      </c>
      <c r="CV133">
        <f>VLOOKUP($B133,'[1]Data_UN_PopulationTot.&amp;%'!$B$4:$CZ$603,86,FALSE)</f>
        <v>6.4087485694843958</v>
      </c>
      <c r="CW133">
        <f>VLOOKUP($B133,'[1]Data_UN_PopulationTot.&amp;%'!$B$4:$CZ$603,87,FALSE)</f>
        <v>6.0744332065200588</v>
      </c>
      <c r="CX133">
        <f>VLOOKUP($B133,'[1]Data_UN_PopulationTot.&amp;%'!$B$4:$CZ$603,88,FALSE)</f>
        <v>6.5250842844328973</v>
      </c>
      <c r="CY133">
        <f>VLOOKUP($B133,'[1]Data_UN_PopulationTot.&amp;%'!$B$4:$CZ$603,89,FALSE)</f>
        <v>6.9448246265194387</v>
      </c>
      <c r="CZ133">
        <f>VLOOKUP($B133,'[1]Data_UN_PopulationTot.&amp;%'!$B$4:$CZ$603,90,FALSE)</f>
        <v>6.4543897497757561</v>
      </c>
      <c r="DA133">
        <f>VLOOKUP($B133,'[1]Data_UN_PopulationTot.&amp;%'!$B$4:$CZ$603,91,FALSE)</f>
        <v>5.7907851597537965</v>
      </c>
      <c r="DB133">
        <f>VLOOKUP($B133,'[1]Data_UN_PopulationTot.&amp;%'!$B$4:$CZ$603,92,FALSE)</f>
        <v>5.3874957471157714</v>
      </c>
      <c r="DC133">
        <f>VLOOKUP($B133,'[1]Data_UN_PopulationTot.&amp;%'!$B$4:$CZ$603,93,FALSE)</f>
        <v>5.9809277473632116</v>
      </c>
      <c r="DD133">
        <f>VLOOKUP($B133,'[1]Data_UN_PopulationTot.&amp;%'!$B$4:$CZ$603,94,FALSE)</f>
        <v>5.8710486839256442</v>
      </c>
      <c r="DE133">
        <f>VLOOKUP($B133,'[1]Data_UN_PopulationTot.&amp;%'!$B$4:$CZ$603,95,FALSE)</f>
        <v>5.8371995917231141</v>
      </c>
      <c r="DF133">
        <f>VLOOKUP($B133,'[1]Data_UN_PopulationTot.&amp;%'!$B$4:$CZ$603,96,FALSE)</f>
        <v>5.0112121493303645</v>
      </c>
      <c r="DG133">
        <f>VLOOKUP($B133,'[1]Data_UN_PopulationTot.&amp;%'!$B$4:$CZ$603,97,FALSE)</f>
        <v>4.0014227830874392</v>
      </c>
      <c r="DH133">
        <f>VLOOKUP($B133,'[1]Data_UN_PopulationTot.&amp;%'!$B$4:$CZ$603,98,FALSE)</f>
        <v>3.1327131854876122</v>
      </c>
      <c r="DI133">
        <f>VLOOKUP($B133,'[1]Data_UN_PopulationTot.&amp;%'!$B$4:$CZ$603,99,FALSE)</f>
        <v>1.6860752837833657</v>
      </c>
      <c r="DJ133">
        <f>VLOOKUP($B133,'[1]Data_UN_PopulationTot.&amp;%'!$B$4:$DE$603,100,FALSE)</f>
        <v>0.68193065478952097</v>
      </c>
      <c r="DK133">
        <f>VLOOKUP($B133,'[1]Data_UN_PopulationTot.&amp;%'!$B$4:$DE$603,101,FALSE)</f>
        <v>0.1642579876898333</v>
      </c>
      <c r="DL133">
        <f>VLOOKUP($B133,'[1]Data_UN_PopulationTot.&amp;%'!$B$4:$DE$603,102,FALSE)</f>
        <v>2.2114997989545637E-2</v>
      </c>
    </row>
    <row r="134" spans="1:116">
      <c r="A134" t="s">
        <v>233</v>
      </c>
      <c r="B134" t="s">
        <v>578</v>
      </c>
      <c r="C134" t="s">
        <v>487</v>
      </c>
      <c r="D134" t="s">
        <v>622</v>
      </c>
      <c r="E134" t="s">
        <v>2269</v>
      </c>
      <c r="F134">
        <v>0</v>
      </c>
      <c r="G134">
        <v>0</v>
      </c>
      <c r="H134">
        <v>0</v>
      </c>
      <c r="I134">
        <v>1</v>
      </c>
      <c r="J134" s="18">
        <f t="shared" si="5"/>
        <v>9.8346747600000004</v>
      </c>
      <c r="K134">
        <f>VLOOKUP($B134,'[1]Source GDP Current USD'!$B$1:$CZ$600,64,FALSE)</f>
        <v>73971391417.425201</v>
      </c>
      <c r="L134" s="45">
        <f>VLOOKUP($B134,'[1]Source GDP Current USD'!$B$1:$CZ$600,65,FALSE)</f>
        <v>73971391417.425201</v>
      </c>
      <c r="M134" s="17">
        <f>VLOOKUP($B134,'[1]Source GDP Current LCU'!$B$1:$CZ$600,64,FALSE)</f>
        <v>28442000000</v>
      </c>
      <c r="N134" s="45">
        <v>28000000000</v>
      </c>
      <c r="O134" s="45">
        <f>VLOOKUP($B134,'[1]Source GNI Current USD'!$B$1:$CZ$600,64,FALSE)</f>
        <v>68579453836.150803</v>
      </c>
      <c r="P134" s="45">
        <f>VLOOKUP($B134,'[1]Source GNI Current LCU'!$B$1:$CZ$600,64,FALSE)</f>
        <v>26368800000</v>
      </c>
      <c r="Q134">
        <f t="shared" si="4"/>
        <v>107.86232213828464</v>
      </c>
      <c r="R134">
        <v>15030</v>
      </c>
      <c r="S134">
        <v>15030</v>
      </c>
      <c r="T134">
        <v>0.46546399999999999</v>
      </c>
      <c r="U134" s="45">
        <v>5100000</v>
      </c>
      <c r="V134">
        <v>34.578000000000003</v>
      </c>
      <c r="W134">
        <f>VLOOKUP($B134,'[1]Source Gov. Revenue WEO'!$B$1:$CZ$600,5,FALSE)</f>
        <v>32.33</v>
      </c>
      <c r="X134">
        <f>VLOOKUP($B134,'[1]Source Gov. Revenue WEO'!$B$1:$CZ$600,6,FALSE)</f>
        <v>34.557000000000002</v>
      </c>
      <c r="Y134">
        <f>VLOOKUP($B134,'[1]Source Gov. Revenue WEO'!$B$1:$CZ$600,7,FALSE)</f>
        <v>34.287999999999997</v>
      </c>
      <c r="Z134">
        <f>VLOOKUP($B134,'[1]Source Gov. Revenue WEO'!$B$1:$CZ$600,8,FALSE)</f>
        <v>34.481999999999999</v>
      </c>
      <c r="AA134">
        <f>VLOOKUP($B134,'[1]Source Gov. Revenue WEO'!$B$1:$CZ$600,9,FALSE)</f>
        <v>33.585999999999999</v>
      </c>
      <c r="AB134">
        <f>VLOOKUP($B134,'[1]Source Gov. Revenue WEO'!$B$1:$CZ$600,10,FALSE)</f>
        <v>32.845999999999997</v>
      </c>
      <c r="AC134" t="e">
        <f>VLOOKUP($B134,[2]Summary!$B$1:$CZ$600,39,FALSE)</f>
        <v>#N/A</v>
      </c>
      <c r="AD134" t="e">
        <f>VLOOKUP($B134,[2]Summary!$B$1:$CZ$600,40,FALSE)</f>
        <v>#N/A</v>
      </c>
      <c r="AE134" t="e">
        <f>VLOOKUP($B134,[2]Summary!$B$1:$CZ$600,47,FALSE)</f>
        <v>#N/A</v>
      </c>
      <c r="AF134">
        <f>VLOOKUP($B134,'[1]CALC GDP Growth rates WDI'!$B$1:$CZ$600,27,FALSE)</f>
        <v>28.065658313588294</v>
      </c>
      <c r="AG134">
        <f>VLOOKUP($B134,'[1]CALC GDP Growth rates WDI'!$B$1:$CZ$600,29,FALSE)</f>
        <v>36.030764230282706</v>
      </c>
      <c r="AH134">
        <v>2.13</v>
      </c>
      <c r="AI134">
        <f>VLOOKUP($B134,'[1]CALC GDP Growth rates WDI'!$B$1:$CZ$600,30,FALSE)</f>
        <v>12.015142080531449</v>
      </c>
      <c r="AK134" t="e">
        <f>VLOOKUP($B134,[1]Data_Aspire!$B$1:$CZ$600,2,FALSE)</f>
        <v>#N/A</v>
      </c>
      <c r="AL134" t="e">
        <f>VLOOKUP($B134,[1]Data_Aspire!$B$1:$CZ$600,3,FALSE)</f>
        <v>#N/A</v>
      </c>
      <c r="AM134" t="e">
        <f>VLOOKUP($B134,[1]Data_Aspire!$B$1:$CZ$600,4,FALSE)</f>
        <v>#N/A</v>
      </c>
      <c r="AN134" t="e">
        <f>VLOOKUP($B134,[1]Data_Aspire!$B$1:$CZ$600,5,FALSE)</f>
        <v>#N/A</v>
      </c>
      <c r="AO134" t="e">
        <f>VLOOKUP($B134,[1]Data_Aspire!$B$1:$CZ$600,6,FALSE)</f>
        <v>#N/A</v>
      </c>
      <c r="AP134" t="e">
        <f>VLOOKUP($B134,[1]Data_Aspire!$B$1:$CZ$600,7,FALSE)</f>
        <v>#N/A</v>
      </c>
      <c r="AQ134" t="e">
        <f>VLOOKUP($B134,[1]Data_Aspire!$B$1:$CZ$600,8,FALSE)</f>
        <v>#N/A</v>
      </c>
      <c r="AR134" t="e">
        <f>VLOOKUP($B134,[1]Data_Aspire!$B$1:$CZ$600,9,FALSE)</f>
        <v>#N/A</v>
      </c>
      <c r="AS134" t="e">
        <f>VLOOKUP($B134,[1]Data_Aspire!$B$1:$CZ$600,10,FALSE)</f>
        <v>#N/A</v>
      </c>
      <c r="AT134" t="e">
        <f>VLOOKUP($B134,[1]Data_Aspire!$B$1:$CZ$600,11,FALSE)</f>
        <v>#N/A</v>
      </c>
      <c r="AU134" t="e">
        <f>VLOOKUP($B134,[1]Data_Aspire!$B$1:$CZ$600,12,FALSE)</f>
        <v>#N/A</v>
      </c>
      <c r="AV134" t="e">
        <f>VLOOKUP($B134,[1]Data_Aspire!$B$1:$CZ$600,13,FALSE)</f>
        <v>#N/A</v>
      </c>
      <c r="AW134" t="e">
        <f>VLOOKUP($B134,[1]Data_Aspire!$B$1:$CZ$600,14,FALSE)</f>
        <v>#N/A</v>
      </c>
      <c r="AX134" t="e">
        <f>VLOOKUP($B134,[1]Data_Aspire!$B$1:$CZ$600,15,FALSE)</f>
        <v>#N/A</v>
      </c>
      <c r="AY134" t="e">
        <f>VLOOKUP($B134,[1]Data_Aspire!$B$1:$CZ$600,16,FALSE)</f>
        <v>#N/A</v>
      </c>
      <c r="AZ134" t="e">
        <f>VLOOKUP($B134,[1]Data_Aspire!$B$1:$CZ$600,17,FALSE)</f>
        <v>#N/A</v>
      </c>
      <c r="BA134" t="e">
        <f>VLOOKUP($B134,[1]Data_Aspire!$B$1:$CZ$600,18,FALSE)</f>
        <v>#N/A</v>
      </c>
      <c r="BB134" t="e">
        <f>VLOOKUP($B134,[1]Data_Aspire!$B$1:$CZ$600,19,FALSE)</f>
        <v>#N/A</v>
      </c>
      <c r="BC134" t="e">
        <f>VLOOKUP($B134,[1]Data_Aspire!$B$1:$CZ$600,20,FALSE)</f>
        <v>#N/A</v>
      </c>
      <c r="BD134" t="e">
        <f>VLOOKUP($B134,[1]Data_Aspire!$B$1:$CZ$600,21,FALSE)</f>
        <v>#N/A</v>
      </c>
      <c r="BE134" t="e">
        <f>VLOOKUP($B134,[1]Data_Aspire!$B$1:$CZ$600,22,FALSE)</f>
        <v>#N/A</v>
      </c>
      <c r="BF134" t="e">
        <f>VLOOKUP($B134,[1]Data_Aspire!$B$1:$CZ$600,23,FALSE)</f>
        <v>#N/A</v>
      </c>
      <c r="BG134" t="e">
        <f>VLOOKUP($B134,[1]Data_Aspire!$B$1:$CZ$600,24,FALSE)</f>
        <v>#N/A</v>
      </c>
      <c r="BH134" t="e">
        <f>VLOOKUP($B134,[1]Data_Aspire!$B$1:$CZ$600,25,FALSE)</f>
        <v>#N/A</v>
      </c>
      <c r="BI134" t="e">
        <f>VLOOKUP($B134,[1]Data_Aspire!$B$1:$CZ$600,26,FALSE)</f>
        <v>#N/A</v>
      </c>
      <c r="BJ134" s="7">
        <v>0</v>
      </c>
      <c r="BK134">
        <v>512</v>
      </c>
      <c r="BL134">
        <f>VLOOKUP($B134,'[1]Data_UN_PopulationTot.&amp;%'!$B$4:$CZ$603,8,FALSE)</f>
        <v>5106.62</v>
      </c>
      <c r="BM134">
        <f>VLOOKUP($B134,'[1]Data_UN_PopulationTot.&amp;%'!$B$4:$CZ$603,9,FALSE)</f>
        <v>5223.38</v>
      </c>
      <c r="BN134">
        <v>5324</v>
      </c>
      <c r="BO134">
        <f>VLOOKUP($B134,'[1]Data_UN_PopulationTot.&amp;%'!$B$4:$CZ$603,11,FALSE)</f>
        <v>5412.49</v>
      </c>
      <c r="BP134">
        <f>VLOOKUP($B134,'[1]Data_UN_PopulationTot.&amp;%'!$B$4:$CZ$603,12,FALSE)</f>
        <v>5494.16</v>
      </c>
      <c r="BQ134">
        <f>VLOOKUP($B134,'[1]Data_UN_PopulationTot.&amp;%'!$B$4:$CZ$603,13,FALSE)</f>
        <v>5573</v>
      </c>
      <c r="BR134">
        <f>VLOOKUP($B134,'[1]Data_UN_PopulationTot.&amp;%'!$B$4:$CZ$603,14,FALSE)</f>
        <v>5650.94</v>
      </c>
      <c r="BS134">
        <f>VLOOKUP($B134,'[1]Data_UN_PopulationTot.&amp;%'!$B$4:$CZ$603,15,FALSE)</f>
        <v>5727.61</v>
      </c>
      <c r="BT134">
        <f>VLOOKUP($B134,'[1]Data_UN_PopulationTot.&amp;%'!$B$4:$CZ$603,16,FALSE)</f>
        <v>5801.98</v>
      </c>
      <c r="BU134">
        <f>VLOOKUP($B134,'[1]Data_UN_PopulationTot.&amp;%'!$B$4:$CZ$603,17,FALSE)</f>
        <v>5871.93</v>
      </c>
      <c r="BV134">
        <f>VLOOKUP($B134,'[1]Data_UN_PopulationTot.&amp;%'!$B$4:$CZ$603,18,FALSE)</f>
        <v>5936.08</v>
      </c>
      <c r="BW134">
        <f>VLOOKUP($B134,'[1]Data_UN_PopulationTot.&amp;%'!$B$4:$CZ$603,61,FALSE)</f>
        <v>8.8838801398968403</v>
      </c>
      <c r="BX134">
        <f>VLOOKUP($B134,'[1]Data_UN_PopulationTot.&amp;%'!$B$4:$CZ$603,62,FALSE)</f>
        <v>7.4199176754878957</v>
      </c>
      <c r="BY134">
        <f>VLOOKUP($B134,'[1]Data_UN_PopulationTot.&amp;%'!$B$4:$CZ$603,63,FALSE)</f>
        <v>6.1831700811887309</v>
      </c>
      <c r="BZ134">
        <f>VLOOKUP($B134,'[1]Data_UN_PopulationTot.&amp;%'!$B$4:$CZ$603,64,FALSE)</f>
        <v>4.2014678985317095</v>
      </c>
      <c r="CA134">
        <f>VLOOKUP($B134,'[1]Data_UN_PopulationTot.&amp;%'!$B$4:$CZ$603,65,FALSE)</f>
        <v>6.4437338200218548</v>
      </c>
      <c r="CB134">
        <f>VLOOKUP($B134,'[1]Data_UN_PopulationTot.&amp;%'!$B$4:$CZ$603,66,FALSE)</f>
        <v>14.813829891395875</v>
      </c>
      <c r="CC134">
        <f>VLOOKUP($B134,'[1]Data_UN_PopulationTot.&amp;%'!$B$4:$CZ$603,67,FALSE)</f>
        <v>16.997798935499411</v>
      </c>
      <c r="CD134">
        <f>VLOOKUP($B134,'[1]Data_UN_PopulationTot.&amp;%'!$B$4:$CZ$603,68,FALSE)</f>
        <v>11.197367338866021</v>
      </c>
      <c r="CE134">
        <f>VLOOKUP($B134,'[1]Data_UN_PopulationTot.&amp;%'!$B$4:$CZ$603,69,FALSE)</f>
        <v>7.8393536233359846</v>
      </c>
      <c r="CF134">
        <f>VLOOKUP($B134,'[1]Data_UN_PopulationTot.&amp;%'!$B$4:$CZ$603,70,FALSE)</f>
        <v>5.5740000234989084</v>
      </c>
      <c r="CG134">
        <f>VLOOKUP($B134,'[1]Data_UN_PopulationTot.&amp;%'!$B$4:$CZ$603,71,FALSE)</f>
        <v>3.5584594115089829</v>
      </c>
      <c r="CH134">
        <f>VLOOKUP($B134,'[1]Data_UN_PopulationTot.&amp;%'!$B$4:$CZ$603,72,FALSE)</f>
        <v>2.6217537235979966</v>
      </c>
      <c r="CI134">
        <f>VLOOKUP($B134,'[1]Data_UN_PopulationTot.&amp;%'!$B$4:$CZ$603,73,FALSE)</f>
        <v>1.7542719058790357</v>
      </c>
      <c r="CJ134">
        <f>VLOOKUP($B134,'[1]Data_UN_PopulationTot.&amp;%'!$B$4:$CZ$603,74,FALSE)</f>
        <v>1.0418437244204584</v>
      </c>
      <c r="CK134">
        <f>VLOOKUP($B134,'[1]Data_UN_PopulationTot.&amp;%'!$B$4:$CZ$603,75,FALSE)</f>
        <v>0.55345806032170008</v>
      </c>
      <c r="CL134">
        <f>VLOOKUP($B134,'[1]Data_UN_PopulationTot.&amp;%'!$B$4:$CZ$603,76,FALSE)</f>
        <v>0.48554621256330022</v>
      </c>
      <c r="CM134">
        <f>VLOOKUP($B134,'[1]Data_UN_PopulationTot.&amp;%'!$B$4:$CZ$603,77,FALSE)</f>
        <v>0.25224120847057352</v>
      </c>
      <c r="CN134">
        <f>VLOOKUP($B134,'[1]Data_UN_PopulationTot.&amp;%'!$B$4:$CZ$603,78,FALSE)</f>
        <v>0.11042529109273845</v>
      </c>
      <c r="CO134">
        <f>VLOOKUP($B134,'[1]Data_UN_PopulationTot.&amp;%'!$B$4:$CZ$603,79,FALSE)</f>
        <v>4.815318155648942E-2</v>
      </c>
      <c r="CP134">
        <f>VLOOKUP($B134,'[1]Data_UN_PopulationTot.&amp;%'!$B$4:$CZ$603,80,FALSE)</f>
        <v>1.5156796472030424E-2</v>
      </c>
      <c r="CQ134">
        <f>VLOOKUP($B134,'[1]Data_UN_PopulationTot.&amp;%'!$B$4:$CZ$603,81,FALSE)</f>
        <v>4.2102212422306731E-3</v>
      </c>
      <c r="CR134">
        <f>VLOOKUP($B134,'[1]Data_UN_PopulationTot.&amp;%'!$B$4:$CZ$603,82,FALSE)</f>
        <v>6.3678387083732026</v>
      </c>
      <c r="CS134">
        <f>VLOOKUP($B134,'[1]Data_UN_PopulationTot.&amp;%'!$B$4:$CZ$603,83,FALSE)</f>
        <v>7.0862589452972333</v>
      </c>
      <c r="CT134">
        <f>VLOOKUP($B134,'[1]Data_UN_PopulationTot.&amp;%'!$B$4:$CZ$603,84,FALSE)</f>
        <v>7.6658333445640894</v>
      </c>
      <c r="CU134">
        <f>VLOOKUP($B134,'[1]Data_UN_PopulationTot.&amp;%'!$B$4:$CZ$603,85,FALSE)</f>
        <v>6.5831491489333027</v>
      </c>
      <c r="CV134">
        <f>VLOOKUP($B134,'[1]Data_UN_PopulationTot.&amp;%'!$B$4:$CZ$603,86,FALSE)</f>
        <v>7.0826707187234677</v>
      </c>
      <c r="CW134">
        <f>VLOOKUP($B134,'[1]Data_UN_PopulationTot.&amp;%'!$B$4:$CZ$603,87,FALSE)</f>
        <v>7.8702106440614008</v>
      </c>
      <c r="CX134">
        <f>VLOOKUP($B134,'[1]Data_UN_PopulationTot.&amp;%'!$B$4:$CZ$603,88,FALSE)</f>
        <v>9.88580005660301</v>
      </c>
      <c r="CY134">
        <f>VLOOKUP($B134,'[1]Data_UN_PopulationTot.&amp;%'!$B$4:$CZ$603,89,FALSE)</f>
        <v>12.84861390008221</v>
      </c>
      <c r="CZ134">
        <f>VLOOKUP($B134,'[1]Data_UN_PopulationTot.&amp;%'!$B$4:$CZ$603,90,FALSE)</f>
        <v>11.200421827199095</v>
      </c>
      <c r="DA134">
        <f>VLOOKUP($B134,'[1]Data_UN_PopulationTot.&amp;%'!$B$4:$CZ$603,91,FALSE)</f>
        <v>6.873003733103328</v>
      </c>
      <c r="DB134">
        <f>VLOOKUP($B134,'[1]Data_UN_PopulationTot.&amp;%'!$B$4:$CZ$603,92,FALSE)</f>
        <v>5.3425829840568184</v>
      </c>
      <c r="DC134">
        <f>VLOOKUP($B134,'[1]Data_UN_PopulationTot.&amp;%'!$B$4:$CZ$603,93,FALSE)</f>
        <v>4.0617545585639006</v>
      </c>
      <c r="DD134">
        <f>VLOOKUP($B134,'[1]Data_UN_PopulationTot.&amp;%'!$B$4:$CZ$603,94,FALSE)</f>
        <v>2.6959205401544457</v>
      </c>
      <c r="DE134">
        <f>VLOOKUP($B134,'[1]Data_UN_PopulationTot.&amp;%'!$B$4:$CZ$603,95,FALSE)</f>
        <v>1.943454266115012</v>
      </c>
      <c r="DF134">
        <f>VLOOKUP($B134,'[1]Data_UN_PopulationTot.&amp;%'!$B$4:$CZ$603,96,FALSE)</f>
        <v>1.2130564278109459</v>
      </c>
      <c r="DG134">
        <f>VLOOKUP($B134,'[1]Data_UN_PopulationTot.&amp;%'!$B$4:$CZ$603,97,FALSE)</f>
        <v>0.66484953032977989</v>
      </c>
      <c r="DH134">
        <f>VLOOKUP($B134,'[1]Data_UN_PopulationTot.&amp;%'!$B$4:$CZ$603,98,FALSE)</f>
        <v>0.30476341289200953</v>
      </c>
      <c r="DI134">
        <f>VLOOKUP($B134,'[1]Data_UN_PopulationTot.&amp;%'!$B$4:$CZ$603,99,FALSE)</f>
        <v>0.20609560518052317</v>
      </c>
      <c r="DJ134">
        <f>VLOOKUP($B134,'[1]Data_UN_PopulationTot.&amp;%'!$B$4:$DE$603,100,FALSE)</f>
        <v>7.4459912939178724E-2</v>
      </c>
      <c r="DK134">
        <f>VLOOKUP($B134,'[1]Data_UN_PopulationTot.&amp;%'!$B$4:$DE$603,101,FALSE)</f>
        <v>2.2034743467069177E-2</v>
      </c>
      <c r="DL134">
        <f>VLOOKUP($B134,'[1]Data_UN_PopulationTot.&amp;%'!$B$4:$DE$603,102,FALSE)</f>
        <v>7.2775299524265166E-3</v>
      </c>
    </row>
    <row r="135" spans="1:116">
      <c r="A135" t="s">
        <v>130</v>
      </c>
      <c r="B135" t="s">
        <v>344</v>
      </c>
      <c r="C135" t="s">
        <v>483</v>
      </c>
      <c r="D135" t="s">
        <v>334</v>
      </c>
      <c r="E135" t="s">
        <v>300</v>
      </c>
      <c r="F135">
        <v>0</v>
      </c>
      <c r="G135">
        <v>1</v>
      </c>
      <c r="H135">
        <v>0</v>
      </c>
      <c r="I135">
        <v>0</v>
      </c>
      <c r="J135" s="18">
        <f t="shared" si="5"/>
        <v>6306.1724704999997</v>
      </c>
      <c r="K135">
        <f>VLOOKUP($B135,'[1]Source GDP Current USD'!$B$1:$CZ$600,64,FALSE)</f>
        <v>262610002938.509</v>
      </c>
      <c r="L135" s="45">
        <f>VLOOKUP($B135,'[1]Source GDP Current USD'!$B$1:$CZ$600,65,FALSE)</f>
        <v>262610002938.509</v>
      </c>
      <c r="M135" s="17">
        <f>VLOOKUP($B135,'[1]Source GDP Current LCU'!$B$1:$CZ$600,64,FALSE)</f>
        <v>41556326000000</v>
      </c>
      <c r="N135" s="45">
        <v>42000000000000</v>
      </c>
      <c r="O135" s="45">
        <f>VLOOKUP($B135,'[1]Source GNI Current USD'!$B$1:$CZ$600,64,FALSE)</f>
        <v>257151004622.62299</v>
      </c>
      <c r="P135" s="45">
        <f>VLOOKUP($B135,'[1]Source GNI Current LCU'!$B$1:$CZ$600,64,FALSE)</f>
        <v>40692475000000</v>
      </c>
      <c r="Q135">
        <f t="shared" si="4"/>
        <v>102.12287652692544</v>
      </c>
      <c r="R135">
        <v>1270</v>
      </c>
      <c r="S135">
        <v>1270</v>
      </c>
      <c r="T135">
        <v>0.24701600000000001</v>
      </c>
      <c r="U135" s="45">
        <v>220000000</v>
      </c>
      <c r="V135">
        <v>15.175000000000001</v>
      </c>
      <c r="W135">
        <f>VLOOKUP($B135,'[1]Source Gov. Revenue WEO'!$B$1:$CZ$600,5,FALSE)</f>
        <v>14.532</v>
      </c>
      <c r="X135">
        <f>VLOOKUP($B135,'[1]Source Gov. Revenue WEO'!$B$1:$CZ$600,6,FALSE)</f>
        <v>15.365</v>
      </c>
      <c r="Y135">
        <f>VLOOKUP($B135,'[1]Source Gov. Revenue WEO'!$B$1:$CZ$600,7,FALSE)</f>
        <v>16.591000000000001</v>
      </c>
      <c r="Z135">
        <f>VLOOKUP($B135,'[1]Source Gov. Revenue WEO'!$B$1:$CZ$600,8,FALSE)</f>
        <v>16.626000000000001</v>
      </c>
      <c r="AA135">
        <f>VLOOKUP($B135,'[1]Source Gov. Revenue WEO'!$B$1:$CZ$600,9,FALSE)</f>
        <v>16.628</v>
      </c>
      <c r="AB135">
        <f>VLOOKUP($B135,'[1]Source Gov. Revenue WEO'!$B$1:$CZ$600,10,FALSE)</f>
        <v>16.695</v>
      </c>
      <c r="AC135">
        <f>VLOOKUP($B135,[2]Summary!$B$1:$CZ$600,39,FALSE)</f>
        <v>1.6104540000000001E-2</v>
      </c>
      <c r="AD135">
        <f>VLOOKUP($B135,[2]Summary!$B$1:$CZ$600,40,FALSE)</f>
        <v>1.375E-2</v>
      </c>
      <c r="AE135">
        <f>VLOOKUP($B135,[2]Summary!$B$1:$CZ$600,47,FALSE)</f>
        <v>0.17567181008902077</v>
      </c>
      <c r="AF135">
        <f>VLOOKUP($B135,'[1]CALC GDP Growth rates WDI'!$B$1:$CZ$600,27,FALSE)</f>
        <v>43.775102218204189</v>
      </c>
      <c r="AG135">
        <f>VLOOKUP($B135,'[1]CALC GDP Growth rates WDI'!$B$1:$CZ$600,29,FALSE)</f>
        <v>45.811466083433231</v>
      </c>
      <c r="AH135">
        <v>18.11</v>
      </c>
      <c r="AI135">
        <f>VLOOKUP($B135,'[1]CALC GDP Growth rates WDI'!$B$1:$CZ$600,30,FALSE)</f>
        <v>23.480081677343456</v>
      </c>
      <c r="AK135">
        <f>VLOOKUP($B135,[1]Data_Aspire!$B$1:$CZ$600,2,FALSE)</f>
        <v>2016</v>
      </c>
      <c r="AL135">
        <f>VLOOKUP($B135,[1]Data_Aspire!$B$1:$CZ$600,3,FALSE)</f>
        <v>0.64</v>
      </c>
      <c r="AM135">
        <f>VLOOKUP($B135,[1]Data_Aspire!$B$1:$CZ$600,4,FALSE)</f>
        <v>0.01</v>
      </c>
      <c r="AN135">
        <f>VLOOKUP($B135,[1]Data_Aspire!$B$1:$CZ$600,5,FALSE)</f>
        <v>0.6</v>
      </c>
      <c r="AO135">
        <f>VLOOKUP($B135,[1]Data_Aspire!$B$1:$CZ$600,6,FALSE)</f>
        <v>0</v>
      </c>
      <c r="AP135">
        <f>VLOOKUP($B135,[1]Data_Aspire!$B$1:$CZ$600,7,FALSE)</f>
        <v>0</v>
      </c>
      <c r="AR135">
        <f>VLOOKUP($B135,[1]Data_Aspire!$B$1:$CZ$600,9,FALSE)</f>
        <v>0.02</v>
      </c>
      <c r="AS135">
        <f>VLOOKUP($B135,[1]Data_Aspire!$B$1:$CZ$600,10,FALSE)</f>
        <v>0</v>
      </c>
      <c r="AT135">
        <f>VLOOKUP($B135,[1]Data_Aspire!$B$1:$CZ$600,11,FALSE)</f>
        <v>0.01</v>
      </c>
      <c r="AU135">
        <f>VLOOKUP($B135,[1]Data_Aspire!$B$1:$CZ$600,12,FALSE)</f>
        <v>0.64</v>
      </c>
      <c r="AV135">
        <f>VLOOKUP($B135,[1]Data_Aspire!$B$1:$CZ$600,13,FALSE)</f>
        <v>1930711</v>
      </c>
      <c r="AW135">
        <f>VLOOKUP($B135,[1]Data_Aspire!$B$1:$CZ$600,14,FALSE)</f>
        <v>2016</v>
      </c>
      <c r="AX135">
        <f>VLOOKUP($B135,[1]Data_Aspire!$B$1:$CZ$600,15,FALSE)</f>
        <v>33480000</v>
      </c>
      <c r="AY135">
        <f>VLOOKUP($B135,[1]Data_Aspire!$B$1:$CZ$600,16,FALSE)</f>
        <v>2017</v>
      </c>
      <c r="BF135">
        <f>VLOOKUP($B135,[1]Data_Aspire!$B$1:$CZ$600,23,FALSE)</f>
        <v>3118451</v>
      </c>
      <c r="BG135">
        <f>VLOOKUP($B135,[1]Data_Aspire!$B$1:$CZ$600,24,FALSE)</f>
        <v>2016</v>
      </c>
      <c r="BJ135" s="7">
        <v>0</v>
      </c>
      <c r="BK135">
        <v>586</v>
      </c>
      <c r="BL135">
        <f>VLOOKUP($B135,'[1]Data_UN_PopulationTot.&amp;%'!$B$4:$CZ$603,8,FALSE)</f>
        <v>220892</v>
      </c>
      <c r="BM135">
        <f>VLOOKUP($B135,'[1]Data_UN_PopulationTot.&amp;%'!$B$4:$CZ$603,9,FALSE)</f>
        <v>225200</v>
      </c>
      <c r="BN135">
        <v>229489</v>
      </c>
      <c r="BO135">
        <f>VLOOKUP($B135,'[1]Data_UN_PopulationTot.&amp;%'!$B$4:$CZ$603,11,FALSE)</f>
        <v>233757</v>
      </c>
      <c r="BP135">
        <f>VLOOKUP($B135,'[1]Data_UN_PopulationTot.&amp;%'!$B$4:$CZ$603,12,FALSE)</f>
        <v>238006</v>
      </c>
      <c r="BQ135">
        <f>VLOOKUP($B135,'[1]Data_UN_PopulationTot.&amp;%'!$B$4:$CZ$603,13,FALSE)</f>
        <v>242234</v>
      </c>
      <c r="BR135">
        <f>VLOOKUP($B135,'[1]Data_UN_PopulationTot.&amp;%'!$B$4:$CZ$603,14,FALSE)</f>
        <v>246439</v>
      </c>
      <c r="BS135">
        <f>VLOOKUP($B135,'[1]Data_UN_PopulationTot.&amp;%'!$B$4:$CZ$603,15,FALSE)</f>
        <v>250617</v>
      </c>
      <c r="BT135">
        <f>VLOOKUP($B135,'[1]Data_UN_PopulationTot.&amp;%'!$B$4:$CZ$603,16,FALSE)</f>
        <v>254764</v>
      </c>
      <c r="BU135">
        <f>VLOOKUP($B135,'[1]Data_UN_PopulationTot.&amp;%'!$B$4:$CZ$603,17,FALSE)</f>
        <v>258878</v>
      </c>
      <c r="BV135">
        <f>VLOOKUP($B135,'[1]Data_UN_PopulationTot.&amp;%'!$B$4:$CZ$603,18,FALSE)</f>
        <v>262959</v>
      </c>
      <c r="BW135">
        <f>VLOOKUP($B135,'[1]Data_UN_PopulationTot.&amp;%'!$B$4:$CZ$603,61,FALSE)</f>
        <v>12.659082266446953</v>
      </c>
      <c r="BX135">
        <f>VLOOKUP($B135,'[1]Data_UN_PopulationTot.&amp;%'!$B$4:$CZ$603,62,FALSE)</f>
        <v>11.543831374608407</v>
      </c>
      <c r="BY135">
        <f>VLOOKUP($B135,'[1]Data_UN_PopulationTot.&amp;%'!$B$4:$CZ$603,63,FALSE)</f>
        <v>10.616726726182931</v>
      </c>
      <c r="BZ135">
        <f>VLOOKUP($B135,'[1]Data_UN_PopulationTot.&amp;%'!$B$4:$CZ$603,64,FALSE)</f>
        <v>9.9487079658837807</v>
      </c>
      <c r="CA135">
        <f>VLOOKUP($B135,'[1]Data_UN_PopulationTot.&amp;%'!$B$4:$CZ$603,65,FALSE)</f>
        <v>9.4038263042572829</v>
      </c>
      <c r="CB135">
        <f>VLOOKUP($B135,'[1]Data_UN_PopulationTot.&amp;%'!$B$4:$CZ$603,66,FALSE)</f>
        <v>8.6730619488256693</v>
      </c>
      <c r="CC135">
        <f>VLOOKUP($B135,'[1]Data_UN_PopulationTot.&amp;%'!$B$4:$CZ$603,67,FALSE)</f>
        <v>7.6138112742878867</v>
      </c>
      <c r="CD135">
        <f>VLOOKUP($B135,'[1]Data_UN_PopulationTot.&amp;%'!$B$4:$CZ$603,68,FALSE)</f>
        <v>6.3368976694493231</v>
      </c>
      <c r="CE135">
        <f>VLOOKUP($B135,'[1]Data_UN_PopulationTot.&amp;%'!$B$4:$CZ$603,69,FALSE)</f>
        <v>5.2584520942360973</v>
      </c>
      <c r="CF135">
        <f>VLOOKUP($B135,'[1]Data_UN_PopulationTot.&amp;%'!$B$4:$CZ$603,70,FALSE)</f>
        <v>4.3610542708653997</v>
      </c>
      <c r="CG135">
        <f>VLOOKUP($B135,'[1]Data_UN_PopulationTot.&amp;%'!$B$4:$CZ$603,71,FALSE)</f>
        <v>3.7261240787353094</v>
      </c>
      <c r="CH135">
        <f>VLOOKUP($B135,'[1]Data_UN_PopulationTot.&amp;%'!$B$4:$CZ$603,72,FALSE)</f>
        <v>3.1200315086105426</v>
      </c>
      <c r="CI135">
        <f>VLOOKUP($B135,'[1]Data_UN_PopulationTot.&amp;%'!$B$4:$CZ$603,73,FALSE)</f>
        <v>2.38989641996994</v>
      </c>
      <c r="CJ135">
        <f>VLOOKUP($B135,'[1]Data_UN_PopulationTot.&amp;%'!$B$4:$CZ$603,74,FALSE)</f>
        <v>1.6403129130978036</v>
      </c>
      <c r="CK135">
        <f>VLOOKUP($B135,'[1]Data_UN_PopulationTot.&amp;%'!$B$4:$CZ$603,75,FALSE)</f>
        <v>1.2249153432446624</v>
      </c>
      <c r="CL135">
        <f>VLOOKUP($B135,'[1]Data_UN_PopulationTot.&amp;%'!$B$4:$CZ$603,76,FALSE)</f>
        <v>0.83895749959256116</v>
      </c>
      <c r="CM135">
        <f>VLOOKUP($B135,'[1]Data_UN_PopulationTot.&amp;%'!$B$4:$CZ$603,77,FALSE)</f>
        <v>0.43544492331093926</v>
      </c>
      <c r="CN135">
        <f>VLOOKUP($B135,'[1]Data_UN_PopulationTot.&amp;%'!$B$4:$CZ$603,78,FALSE)</f>
        <v>0.16517076218242396</v>
      </c>
      <c r="CO135">
        <f>VLOOKUP($B135,'[1]Data_UN_PopulationTot.&amp;%'!$B$4:$CZ$603,79,FALSE)</f>
        <v>3.8617514441446496E-2</v>
      </c>
      <c r="CP135">
        <f>VLOOKUP($B135,'[1]Data_UN_PopulationTot.&amp;%'!$B$4:$CZ$603,80,FALSE)</f>
        <v>4.8530503594516779E-3</v>
      </c>
      <c r="CQ135">
        <f>VLOOKUP($B135,'[1]Data_UN_PopulationTot.&amp;%'!$B$4:$CZ$603,81,FALSE)</f>
        <v>3.8027633413613893E-4</v>
      </c>
      <c r="CR135">
        <f>VLOOKUP($B135,'[1]Data_UN_PopulationTot.&amp;%'!$B$4:$CZ$603,82,FALSE)</f>
        <v>10.765442521457718</v>
      </c>
      <c r="CS135">
        <f>VLOOKUP($B135,'[1]Data_UN_PopulationTot.&amp;%'!$B$4:$CZ$603,83,FALSE)</f>
        <v>10.637627919181316</v>
      </c>
      <c r="CT135">
        <f>VLOOKUP($B135,'[1]Data_UN_PopulationTot.&amp;%'!$B$4:$CZ$603,84,FALSE)</f>
        <v>10.439041827813462</v>
      </c>
      <c r="CU135">
        <f>VLOOKUP($B135,'[1]Data_UN_PopulationTot.&amp;%'!$B$4:$CZ$603,85,FALSE)</f>
        <v>9.5784133648211309</v>
      </c>
      <c r="CV135">
        <f>VLOOKUP($B135,'[1]Data_UN_PopulationTot.&amp;%'!$B$4:$CZ$603,86,FALSE)</f>
        <v>8.7487022691750411</v>
      </c>
      <c r="CW135">
        <f>VLOOKUP($B135,'[1]Data_UN_PopulationTot.&amp;%'!$B$4:$CZ$603,87,FALSE)</f>
        <v>8.1423720047611976</v>
      </c>
      <c r="CX135">
        <f>VLOOKUP($B135,'[1]Data_UN_PopulationTot.&amp;%'!$B$4:$CZ$603,88,FALSE)</f>
        <v>7.6902102609151992</v>
      </c>
      <c r="CY135">
        <f>VLOOKUP($B135,'[1]Data_UN_PopulationTot.&amp;%'!$B$4:$CZ$603,89,FALSE)</f>
        <v>7.0937674694534127</v>
      </c>
      <c r="CZ135">
        <f>VLOOKUP($B135,'[1]Data_UN_PopulationTot.&amp;%'!$B$4:$CZ$603,90,FALSE)</f>
        <v>6.2067850881696387</v>
      </c>
      <c r="DA135">
        <f>VLOOKUP($B135,'[1]Data_UN_PopulationTot.&amp;%'!$B$4:$CZ$603,91,FALSE)</f>
        <v>5.1252856909252014</v>
      </c>
      <c r="DB135">
        <f>VLOOKUP($B135,'[1]Data_UN_PopulationTot.&amp;%'!$B$4:$CZ$603,92,FALSE)</f>
        <v>4.192592761609224</v>
      </c>
      <c r="DC135">
        <f>VLOOKUP($B135,'[1]Data_UN_PopulationTot.&amp;%'!$B$4:$CZ$603,93,FALSE)</f>
        <v>3.3930194440958474</v>
      </c>
      <c r="DD135">
        <f>VLOOKUP($B135,'[1]Data_UN_PopulationTot.&amp;%'!$B$4:$CZ$603,94,FALSE)</f>
        <v>2.777767636779878</v>
      </c>
      <c r="DE135">
        <f>VLOOKUP($B135,'[1]Data_UN_PopulationTot.&amp;%'!$B$4:$CZ$603,95,FALSE)</f>
        <v>2.1639457101677451</v>
      </c>
      <c r="DF135">
        <f>VLOOKUP($B135,'[1]Data_UN_PopulationTot.&amp;%'!$B$4:$CZ$603,96,FALSE)</f>
        <v>1.4802763928977523</v>
      </c>
      <c r="DG135">
        <f>VLOOKUP($B135,'[1]Data_UN_PopulationTot.&amp;%'!$B$4:$CZ$603,97,FALSE)</f>
        <v>0.84888138455044315</v>
      </c>
      <c r="DH135">
        <f>VLOOKUP($B135,'[1]Data_UN_PopulationTot.&amp;%'!$B$4:$CZ$603,98,FALSE)</f>
        <v>0.47014553599610587</v>
      </c>
      <c r="DI135">
        <f>VLOOKUP($B135,'[1]Data_UN_PopulationTot.&amp;%'!$B$4:$CZ$603,99,FALSE)</f>
        <v>0.19447366319464252</v>
      </c>
      <c r="DJ135">
        <f>VLOOKUP($B135,'[1]Data_UN_PopulationTot.&amp;%'!$B$4:$DE$603,100,FALSE)</f>
        <v>4.5192596564483434E-2</v>
      </c>
      <c r="DK135">
        <f>VLOOKUP($B135,'[1]Data_UN_PopulationTot.&amp;%'!$B$4:$DE$603,101,FALSE)</f>
        <v>5.5769150323814734E-3</v>
      </c>
      <c r="DL135">
        <f>VLOOKUP($B135,'[1]Data_UN_PopulationTot.&amp;%'!$B$4:$DE$603,102,FALSE)</f>
        <v>4.2211903756859438E-4</v>
      </c>
    </row>
    <row r="136" spans="1:116">
      <c r="A136" t="s">
        <v>228</v>
      </c>
      <c r="B136" t="s">
        <v>547</v>
      </c>
      <c r="C136" t="s">
        <v>497</v>
      </c>
      <c r="D136" t="s">
        <v>622</v>
      </c>
      <c r="E136" t="s">
        <v>2269</v>
      </c>
      <c r="F136">
        <v>0</v>
      </c>
      <c r="G136">
        <v>0</v>
      </c>
      <c r="H136">
        <v>0</v>
      </c>
      <c r="I136">
        <v>1</v>
      </c>
      <c r="J136" s="18">
        <f t="shared" si="5"/>
        <v>10.000325644095684</v>
      </c>
      <c r="K136">
        <f>VLOOKUP($B136,'[1]Source GDP Current USD'!$B$1:$CZ$600,64,FALSE)</f>
        <v>53977036995.172897</v>
      </c>
      <c r="L136" s="45">
        <f>VLOOKUP($B136,'[1]Source GDP Current USD'!$B$1:$CZ$600,65,FALSE)</f>
        <v>53977036995.172897</v>
      </c>
      <c r="M136" s="17">
        <f>VLOOKUP($B136,'[1]Source GDP Current LCU'!$B$1:$CZ$600,64,FALSE)</f>
        <v>53977036995.172897</v>
      </c>
      <c r="N136" s="45">
        <v>54000000000</v>
      </c>
      <c r="O136" s="45">
        <f>VLOOKUP($B136,'[1]Source GNI Current USD'!$B$1:$CZ$600,64,FALSE)</f>
        <v>52307035334.022903</v>
      </c>
      <c r="P136" s="45">
        <f>VLOOKUP($B136,'[1]Source GNI Current LCU'!$B$1:$CZ$600,64,FALSE)</f>
        <v>52307035334.022903</v>
      </c>
      <c r="Q136">
        <f t="shared" si="4"/>
        <v>103.19269033407394</v>
      </c>
      <c r="R136">
        <v>12420</v>
      </c>
      <c r="S136">
        <v>12420</v>
      </c>
      <c r="T136">
        <v>0.46709000000000001</v>
      </c>
      <c r="U136" s="45">
        <v>4300000</v>
      </c>
      <c r="V136">
        <v>18.527000000000001</v>
      </c>
      <c r="W136">
        <f>VLOOKUP($B136,'[1]Source Gov. Revenue WEO'!$B$1:$CZ$600,5,FALSE)</f>
        <v>18.954999999999998</v>
      </c>
      <c r="X136">
        <f>VLOOKUP($B136,'[1]Source Gov. Revenue WEO'!$B$1:$CZ$600,6,FALSE)</f>
        <v>21.047000000000001</v>
      </c>
      <c r="Y136">
        <f>VLOOKUP($B136,'[1]Source Gov. Revenue WEO'!$B$1:$CZ$600,7,FALSE)</f>
        <v>21.271999999999998</v>
      </c>
      <c r="Z136">
        <f>VLOOKUP($B136,'[1]Source Gov. Revenue WEO'!$B$1:$CZ$600,8,FALSE)</f>
        <v>21.550999999999998</v>
      </c>
      <c r="AA136">
        <f>VLOOKUP($B136,'[1]Source Gov. Revenue WEO'!$B$1:$CZ$600,9,FALSE)</f>
        <v>21.641999999999999</v>
      </c>
      <c r="AB136">
        <f>VLOOKUP($B136,'[1]Source Gov. Revenue WEO'!$B$1:$CZ$600,10,FALSE)</f>
        <v>21.507999999999999</v>
      </c>
      <c r="AC136">
        <f>VLOOKUP($B136,[2]Summary!$B$1:$CZ$600,39,FALSE)</f>
        <v>1.70365E-2</v>
      </c>
      <c r="AD136">
        <f>VLOOKUP($B136,[2]Summary!$B$1:$CZ$600,40,FALSE)</f>
        <v>9.0000000000000011E-3</v>
      </c>
      <c r="AE136">
        <f>VLOOKUP($B136,[2]Summary!$B$1:$CZ$600,47,FALSE)</f>
        <v>0.28212285291137901</v>
      </c>
      <c r="AF136">
        <f>VLOOKUP($B136,'[1]CALC GDP Growth rates WDI'!$B$1:$CZ$600,27,FALSE)</f>
        <v>40.906926787618325</v>
      </c>
      <c r="AG136">
        <f>VLOOKUP($B136,'[1]CALC GDP Growth rates WDI'!$B$1:$CZ$600,29,FALSE)</f>
        <v>75.499634895722849</v>
      </c>
      <c r="AH136">
        <v>-2.9</v>
      </c>
      <c r="AI136">
        <f>VLOOKUP($B136,'[1]CALC GDP Growth rates WDI'!$B$1:$CZ$600,30,FALSE)</f>
        <v>20.823757524435372</v>
      </c>
      <c r="AK136">
        <f>VLOOKUP($B136,[1]Data_Aspire!$B$1:$CZ$600,2,FALSE)</f>
        <v>2015</v>
      </c>
      <c r="AL136">
        <f>VLOOKUP($B136,[1]Data_Aspire!$B$1:$CZ$600,3,FALSE)</f>
        <v>1.48</v>
      </c>
      <c r="AM136">
        <f>VLOOKUP($B136,[1]Data_Aspire!$B$1:$CZ$600,4,FALSE)</f>
        <v>0.08</v>
      </c>
      <c r="AN136">
        <f>VLOOKUP($B136,[1]Data_Aspire!$B$1:$CZ$600,5,FALSE)</f>
        <v>0.04</v>
      </c>
      <c r="AO136">
        <f>VLOOKUP($B136,[1]Data_Aspire!$B$1:$CZ$600,6,FALSE)</f>
        <v>0.31</v>
      </c>
      <c r="AP136">
        <f>VLOOKUP($B136,[1]Data_Aspire!$B$1:$CZ$600,7,FALSE)</f>
        <v>0.04</v>
      </c>
      <c r="AR136">
        <f>VLOOKUP($B136,[1]Data_Aspire!$B$1:$CZ$600,9,FALSE)</f>
        <v>0.03</v>
      </c>
      <c r="AS136">
        <f>VLOOKUP($B136,[1]Data_Aspire!$B$1:$CZ$600,10,FALSE)</f>
        <v>0.43</v>
      </c>
      <c r="AT136">
        <f>VLOOKUP($B136,[1]Data_Aspire!$B$1:$CZ$600,11,FALSE)</f>
        <v>0.54</v>
      </c>
      <c r="AU136">
        <f>VLOOKUP($B136,[1]Data_Aspire!$B$1:$CZ$600,12,FALSE)</f>
        <v>1.48</v>
      </c>
      <c r="AV136">
        <f>VLOOKUP($B136,[1]Data_Aspire!$B$1:$CZ$600,13,FALSE)</f>
        <v>222371</v>
      </c>
      <c r="AW136">
        <f>VLOOKUP($B136,[1]Data_Aspire!$B$1:$CZ$600,14,FALSE)</f>
        <v>2015</v>
      </c>
      <c r="AZ136">
        <f>VLOOKUP($B136,[1]Data_Aspire!$B$1:$CZ$600,17,FALSE)</f>
        <v>117940</v>
      </c>
      <c r="BA136">
        <f>VLOOKUP($B136,[1]Data_Aspire!$B$1:$CZ$600,18,FALSE)</f>
        <v>2015</v>
      </c>
      <c r="BB136">
        <f>VLOOKUP($B136,[1]Data_Aspire!$B$1:$CZ$600,19,FALSE)</f>
        <v>30360</v>
      </c>
      <c r="BC136">
        <f>VLOOKUP($B136,[1]Data_Aspire!$B$1:$CZ$600,20,FALSE)</f>
        <v>2009</v>
      </c>
      <c r="BD136">
        <f>VLOOKUP($B136,[1]Data_Aspire!$B$1:$CZ$600,21,FALSE)</f>
        <v>461000</v>
      </c>
      <c r="BE136">
        <f>VLOOKUP($B136,[1]Data_Aspire!$B$1:$CZ$600,22,FALSE)</f>
        <v>2011</v>
      </c>
      <c r="BF136">
        <f>VLOOKUP($B136,[1]Data_Aspire!$B$1:$CZ$600,23,FALSE)</f>
        <v>110095</v>
      </c>
      <c r="BG136">
        <f>VLOOKUP($B136,[1]Data_Aspire!$B$1:$CZ$600,24,FALSE)</f>
        <v>2011</v>
      </c>
      <c r="BH136">
        <f>VLOOKUP($B136,[1]Data_Aspire!$B$1:$CZ$600,25,FALSE)</f>
        <v>554953</v>
      </c>
      <c r="BI136">
        <f>VLOOKUP($B136,[1]Data_Aspire!$B$1:$CZ$600,26,FALSE)</f>
        <v>2015</v>
      </c>
      <c r="BJ136" s="7">
        <v>0</v>
      </c>
      <c r="BK136">
        <v>591</v>
      </c>
      <c r="BL136">
        <f>VLOOKUP($B136,'[1]Data_UN_PopulationTot.&amp;%'!$B$4:$CZ$603,8,FALSE)</f>
        <v>4314.7700000000004</v>
      </c>
      <c r="BM136">
        <f>VLOOKUP($B136,'[1]Data_UN_PopulationTot.&amp;%'!$B$4:$CZ$603,9,FALSE)</f>
        <v>4381.58</v>
      </c>
      <c r="BN136">
        <v>4446.96</v>
      </c>
      <c r="BO136">
        <f>VLOOKUP($B136,'[1]Data_UN_PopulationTot.&amp;%'!$B$4:$CZ$603,11,FALSE)</f>
        <v>4510.97</v>
      </c>
      <c r="BP136">
        <f>VLOOKUP($B136,'[1]Data_UN_PopulationTot.&amp;%'!$B$4:$CZ$603,12,FALSE)</f>
        <v>4573.7700000000004</v>
      </c>
      <c r="BQ136">
        <f>VLOOKUP($B136,'[1]Data_UN_PopulationTot.&amp;%'!$B$4:$CZ$603,13,FALSE)</f>
        <v>4635.5</v>
      </c>
      <c r="BR136">
        <f>VLOOKUP($B136,'[1]Data_UN_PopulationTot.&amp;%'!$B$4:$CZ$603,14,FALSE)</f>
        <v>4696.09</v>
      </c>
      <c r="BS136">
        <f>VLOOKUP($B136,'[1]Data_UN_PopulationTot.&amp;%'!$B$4:$CZ$603,15,FALSE)</f>
        <v>4755.4799999999996</v>
      </c>
      <c r="BT136">
        <f>VLOOKUP($B136,'[1]Data_UN_PopulationTot.&amp;%'!$B$4:$CZ$603,16,FALSE)</f>
        <v>4813.7700000000004</v>
      </c>
      <c r="BU136">
        <f>VLOOKUP($B136,'[1]Data_UN_PopulationTot.&amp;%'!$B$4:$CZ$603,17,FALSE)</f>
        <v>4871.1000000000004</v>
      </c>
      <c r="BV136">
        <f>VLOOKUP($B136,'[1]Data_UN_PopulationTot.&amp;%'!$B$4:$CZ$603,18,FALSE)</f>
        <v>4927.6099999999997</v>
      </c>
      <c r="BW136">
        <f>VLOOKUP($B136,'[1]Data_UN_PopulationTot.&amp;%'!$B$4:$CZ$603,61,FALSE)</f>
        <v>9.0227984342154954</v>
      </c>
      <c r="BX136">
        <f>VLOOKUP($B136,'[1]Data_UN_PopulationTot.&amp;%'!$B$4:$CZ$603,62,FALSE)</f>
        <v>8.9104633618941449</v>
      </c>
      <c r="BY136">
        <f>VLOOKUP($B136,'[1]Data_UN_PopulationTot.&amp;%'!$B$4:$CZ$603,63,FALSE)</f>
        <v>8.561545574851035</v>
      </c>
      <c r="BZ136">
        <f>VLOOKUP($B136,'[1]Data_UN_PopulationTot.&amp;%'!$B$4:$CZ$603,64,FALSE)</f>
        <v>8.2784945663384129</v>
      </c>
      <c r="CA136">
        <f>VLOOKUP($B136,'[1]Data_UN_PopulationTot.&amp;%'!$B$4:$CZ$603,65,FALSE)</f>
        <v>8.0899561274413223</v>
      </c>
      <c r="CB136">
        <f>VLOOKUP($B136,'[1]Data_UN_PopulationTot.&amp;%'!$B$4:$CZ$603,66,FALSE)</f>
        <v>7.6294217304746255</v>
      </c>
      <c r="CC136">
        <f>VLOOKUP($B136,'[1]Data_UN_PopulationTot.&amp;%'!$B$4:$CZ$603,67,FALSE)</f>
        <v>7.3498935053316856</v>
      </c>
      <c r="CD136">
        <f>VLOOKUP($B136,'[1]Data_UN_PopulationTot.&amp;%'!$B$4:$CZ$603,68,FALSE)</f>
        <v>6.9867918799843318</v>
      </c>
      <c r="CE136">
        <f>VLOOKUP($B136,'[1]Data_UN_PopulationTot.&amp;%'!$B$4:$CZ$603,69,FALSE)</f>
        <v>6.6776212868820348</v>
      </c>
      <c r="CF136">
        <f>VLOOKUP($B136,'[1]Data_UN_PopulationTot.&amp;%'!$B$4:$CZ$603,70,FALSE)</f>
        <v>6.2175040616301676</v>
      </c>
      <c r="CG136">
        <f>VLOOKUP($B136,'[1]Data_UN_PopulationTot.&amp;%'!$B$4:$CZ$603,71,FALSE)</f>
        <v>5.4381577697073071</v>
      </c>
      <c r="CH136">
        <f>VLOOKUP($B136,'[1]Data_UN_PopulationTot.&amp;%'!$B$4:$CZ$603,72,FALSE)</f>
        <v>4.5966528922746743</v>
      </c>
      <c r="CI136">
        <f>VLOOKUP($B136,'[1]Data_UN_PopulationTot.&amp;%'!$B$4:$CZ$603,73,FALSE)</f>
        <v>3.7018659163756116</v>
      </c>
      <c r="CJ136">
        <f>VLOOKUP($B136,'[1]Data_UN_PopulationTot.&amp;%'!$B$4:$CZ$603,74,FALSE)</f>
        <v>2.8484716450703047</v>
      </c>
      <c r="CK136">
        <f>VLOOKUP($B136,'[1]Data_UN_PopulationTot.&amp;%'!$B$4:$CZ$603,75,FALSE)</f>
        <v>2.1233808522818132</v>
      </c>
      <c r="CL136">
        <f>VLOOKUP($B136,'[1]Data_UN_PopulationTot.&amp;%'!$B$4:$CZ$603,76,FALSE)</f>
        <v>1.5340099240515714</v>
      </c>
      <c r="CM136">
        <f>VLOOKUP($B136,'[1]Data_UN_PopulationTot.&amp;%'!$B$4:$CZ$603,77,FALSE)</f>
        <v>1.0201238999993045</v>
      </c>
      <c r="CN136">
        <f>VLOOKUP($B136,'[1]Data_UN_PopulationTot.&amp;%'!$B$4:$CZ$603,78,FALSE)</f>
        <v>0.5963701425568454</v>
      </c>
      <c r="CO136">
        <f>VLOOKUP($B136,'[1]Data_UN_PopulationTot.&amp;%'!$B$4:$CZ$603,79,FALSE)</f>
        <v>0.28761672116937864</v>
      </c>
      <c r="CP136">
        <f>VLOOKUP($B136,'[1]Data_UN_PopulationTot.&amp;%'!$B$4:$CZ$603,80,FALSE)</f>
        <v>0.10320364700783587</v>
      </c>
      <c r="CQ136">
        <f>VLOOKUP($B136,'[1]Data_UN_PopulationTot.&amp;%'!$B$4:$CZ$603,81,FALSE)</f>
        <v>2.5609708049328234E-2</v>
      </c>
      <c r="CR136">
        <f>VLOOKUP($B136,'[1]Data_UN_PopulationTot.&amp;%'!$B$4:$CZ$603,82,FALSE)</f>
        <v>8.036817037062594</v>
      </c>
      <c r="CS136">
        <f>VLOOKUP($B136,'[1]Data_UN_PopulationTot.&amp;%'!$B$4:$CZ$603,83,FALSE)</f>
        <v>7.9941188527501161</v>
      </c>
      <c r="CT136">
        <f>VLOOKUP($B136,'[1]Data_UN_PopulationTot.&amp;%'!$B$4:$CZ$603,84,FALSE)</f>
        <v>7.892385963986599</v>
      </c>
      <c r="CU136">
        <f>VLOOKUP($B136,'[1]Data_UN_PopulationTot.&amp;%'!$B$4:$CZ$603,85,FALSE)</f>
        <v>7.859489691757263</v>
      </c>
      <c r="CV136">
        <f>VLOOKUP($B136,'[1]Data_UN_PopulationTot.&amp;%'!$B$4:$CZ$603,86,FALSE)</f>
        <v>7.5833111792532284</v>
      </c>
      <c r="CW136">
        <f>VLOOKUP($B136,'[1]Data_UN_PopulationTot.&amp;%'!$B$4:$CZ$603,87,FALSE)</f>
        <v>7.328664403229963</v>
      </c>
      <c r="CX136">
        <f>VLOOKUP($B136,'[1]Data_UN_PopulationTot.&amp;%'!$B$4:$CZ$603,88,FALSE)</f>
        <v>7.1589066504857328</v>
      </c>
      <c r="CY136">
        <f>VLOOKUP($B136,'[1]Data_UN_PopulationTot.&amp;%'!$B$4:$CZ$603,89,FALSE)</f>
        <v>6.754511822161251</v>
      </c>
      <c r="CZ136">
        <f>VLOOKUP($B136,'[1]Data_UN_PopulationTot.&amp;%'!$B$4:$CZ$603,90,FALSE)</f>
        <v>6.4904893041454175</v>
      </c>
      <c r="DA136">
        <f>VLOOKUP($B136,'[1]Data_UN_PopulationTot.&amp;%'!$B$4:$CZ$603,91,FALSE)</f>
        <v>6.1201069078112926</v>
      </c>
      <c r="DB136">
        <f>VLOOKUP($B136,'[1]Data_UN_PopulationTot.&amp;%'!$B$4:$CZ$603,92,FALSE)</f>
        <v>5.7499477434293702</v>
      </c>
      <c r="DC136">
        <f>VLOOKUP($B136,'[1]Data_UN_PopulationTot.&amp;%'!$B$4:$CZ$603,93,FALSE)</f>
        <v>5.2419529954683917</v>
      </c>
      <c r="DD136">
        <f>VLOOKUP($B136,'[1]Data_UN_PopulationTot.&amp;%'!$B$4:$CZ$603,94,FALSE)</f>
        <v>4.4877942856679001</v>
      </c>
      <c r="DE136">
        <f>VLOOKUP($B136,'[1]Data_UN_PopulationTot.&amp;%'!$B$4:$CZ$603,95,FALSE)</f>
        <v>3.6814398866793443</v>
      </c>
      <c r="DF136">
        <f>VLOOKUP($B136,'[1]Data_UN_PopulationTot.&amp;%'!$B$4:$CZ$603,96,FALSE)</f>
        <v>2.8294244065581493</v>
      </c>
      <c r="DG136">
        <f>VLOOKUP($B136,'[1]Data_UN_PopulationTot.&amp;%'!$B$4:$CZ$603,97,FALSE)</f>
        <v>2.0241861673306127</v>
      </c>
      <c r="DH136">
        <f>VLOOKUP($B136,'[1]Data_UN_PopulationTot.&amp;%'!$B$4:$CZ$603,98,FALSE)</f>
        <v>1.3453175068643826</v>
      </c>
      <c r="DI136">
        <f>VLOOKUP($B136,'[1]Data_UN_PopulationTot.&amp;%'!$B$4:$CZ$603,99,FALSE)</f>
        <v>0.81187431635214646</v>
      </c>
      <c r="DJ136">
        <f>VLOOKUP($B136,'[1]Data_UN_PopulationTot.&amp;%'!$B$4:$DE$603,100,FALSE)</f>
        <v>0.40959004466668431</v>
      </c>
      <c r="DK136">
        <f>VLOOKUP($B136,'[1]Data_UN_PopulationTot.&amp;%'!$B$4:$DE$603,101,FALSE)</f>
        <v>0.15610001603211296</v>
      </c>
      <c r="DL136">
        <f>VLOOKUP($B136,'[1]Data_UN_PopulationTot.&amp;%'!$B$4:$DE$603,102,FALSE)</f>
        <v>4.36114059351288E-2</v>
      </c>
    </row>
    <row r="137" spans="1:116">
      <c r="A137" t="s">
        <v>196</v>
      </c>
      <c r="B137" t="s">
        <v>411</v>
      </c>
      <c r="C137" t="s">
        <v>497</v>
      </c>
      <c r="D137" t="s">
        <v>389</v>
      </c>
      <c r="E137" t="s">
        <v>301</v>
      </c>
      <c r="F137">
        <v>0</v>
      </c>
      <c r="G137">
        <v>0</v>
      </c>
      <c r="H137">
        <v>1</v>
      </c>
      <c r="I137">
        <v>0</v>
      </c>
      <c r="J137" s="18">
        <f t="shared" si="5"/>
        <v>126.18695460000001</v>
      </c>
      <c r="K137">
        <f>VLOOKUP($B137,'[1]Source GDP Current USD'!$B$1:$CZ$600,64,FALSE)</f>
        <v>202014363787.233</v>
      </c>
      <c r="L137" s="45">
        <f>VLOOKUP($B137,'[1]Source GDP Current USD'!$B$1:$CZ$600,65,FALSE)</f>
        <v>202014363787.233</v>
      </c>
      <c r="M137" s="17">
        <f>VLOOKUP($B137,'[1]Source GDP Current LCU'!$B$1:$CZ$600,64,FALSE)</f>
        <v>706020000000</v>
      </c>
      <c r="N137" s="45">
        <v>710000000000</v>
      </c>
      <c r="O137" s="45">
        <f>VLOOKUP($B137,'[1]Source GNI Current USD'!$B$1:$CZ$600,64,FALSE)</f>
        <v>195843944032.733</v>
      </c>
      <c r="P137" s="45">
        <f>VLOOKUP($B137,'[1]Source GNI Current LCU'!$B$1:$CZ$600,64,FALSE)</f>
        <v>684455000000</v>
      </c>
      <c r="Q137">
        <f t="shared" si="4"/>
        <v>103.1506819294183</v>
      </c>
      <c r="R137">
        <v>6030</v>
      </c>
      <c r="S137">
        <v>6030</v>
      </c>
      <c r="T137">
        <v>0.51579399999999997</v>
      </c>
      <c r="U137" s="45">
        <v>33000000</v>
      </c>
      <c r="V137">
        <v>17.873000000000001</v>
      </c>
      <c r="W137">
        <f>VLOOKUP($B137,'[1]Source Gov. Revenue WEO'!$B$1:$CZ$600,5,FALSE)</f>
        <v>18.285</v>
      </c>
      <c r="X137">
        <f>VLOOKUP($B137,'[1]Source Gov. Revenue WEO'!$B$1:$CZ$600,6,FALSE)</f>
        <v>18.731999999999999</v>
      </c>
      <c r="Y137">
        <f>VLOOKUP($B137,'[1]Source Gov. Revenue WEO'!$B$1:$CZ$600,7,FALSE)</f>
        <v>18.797999999999998</v>
      </c>
      <c r="Z137">
        <f>VLOOKUP($B137,'[1]Source Gov. Revenue WEO'!$B$1:$CZ$600,8,FALSE)</f>
        <v>18.920999999999999</v>
      </c>
      <c r="AA137">
        <f>VLOOKUP($B137,'[1]Source Gov. Revenue WEO'!$B$1:$CZ$600,9,FALSE)</f>
        <v>19.052</v>
      </c>
      <c r="AB137">
        <f>VLOOKUP($B137,'[1]Source Gov. Revenue WEO'!$B$1:$CZ$600,10,FALSE)</f>
        <v>19.167000000000002</v>
      </c>
      <c r="AC137">
        <f>VLOOKUP($B137,[2]Summary!$B$1:$CZ$600,39,FALSE)</f>
        <v>2.640791E-2</v>
      </c>
      <c r="AD137">
        <f>VLOOKUP($B137,[2]Summary!$B$1:$CZ$600,40,FALSE)</f>
        <v>2.0250000000000001E-2</v>
      </c>
      <c r="AE137">
        <f>VLOOKUP($B137,[2]Summary!$B$1:$CZ$600,47,FALSE)</f>
        <v>0.22432707945990008</v>
      </c>
      <c r="AF137">
        <f>VLOOKUP($B137,'[1]CALC GDP Growth rates WDI'!$B$1:$CZ$600,27,FALSE)</f>
        <v>27.06468000240821</v>
      </c>
      <c r="AG137">
        <f>VLOOKUP($B137,'[1]CALC GDP Growth rates WDI'!$B$1:$CZ$600,29,FALSE)</f>
        <v>51.051823513009296</v>
      </c>
      <c r="AH137">
        <v>0.63</v>
      </c>
      <c r="AI137">
        <f>VLOOKUP($B137,'[1]CALC GDP Growth rates WDI'!$B$1:$CZ$600,30,FALSE)</f>
        <v>14.00387065976556</v>
      </c>
      <c r="AJ137" s="45"/>
      <c r="AK137">
        <f>VLOOKUP($B137,[1]Data_Aspire!$B$1:$CZ$600,2,FALSE)</f>
        <v>2018</v>
      </c>
      <c r="AL137">
        <f>VLOOKUP($B137,[1]Data_Aspire!$B$1:$CZ$600,3,FALSE)</f>
        <v>1.39</v>
      </c>
      <c r="AM137">
        <f>VLOOKUP($B137,[1]Data_Aspire!$B$1:$CZ$600,4,FALSE)</f>
        <v>0.45</v>
      </c>
      <c r="AN137">
        <f>VLOOKUP($B137,[1]Data_Aspire!$B$1:$CZ$600,5,FALSE)</f>
        <v>0</v>
      </c>
      <c r="AO137">
        <f>VLOOKUP($B137,[1]Data_Aspire!$B$1:$CZ$600,6,FALSE)</f>
        <v>0.13</v>
      </c>
      <c r="AP137">
        <f>VLOOKUP($B137,[1]Data_Aspire!$B$1:$CZ$600,7,FALSE)</f>
        <v>0.2</v>
      </c>
      <c r="AR137">
        <f>VLOOKUP($B137,[1]Data_Aspire!$B$1:$CZ$600,9,FALSE)</f>
        <v>0.06</v>
      </c>
      <c r="AS137">
        <f>VLOOKUP($B137,[1]Data_Aspire!$B$1:$CZ$600,10,FALSE)</f>
        <v>0.28999999999999998</v>
      </c>
      <c r="AT137">
        <f>VLOOKUP($B137,[1]Data_Aspire!$B$1:$CZ$600,11,FALSE)</f>
        <v>0.26</v>
      </c>
      <c r="AU137">
        <f>VLOOKUP($B137,[1]Data_Aspire!$B$1:$CZ$600,12,FALSE)</f>
        <v>1.1000000000000001</v>
      </c>
      <c r="AV137">
        <f>VLOOKUP($B137,[1]Data_Aspire!$B$1:$CZ$600,13,FALSE)</f>
        <v>2933486</v>
      </c>
      <c r="AW137">
        <f>VLOOKUP($B137,[1]Data_Aspire!$B$1:$CZ$600,14,FALSE)</f>
        <v>2015</v>
      </c>
      <c r="AZ137">
        <f>VLOOKUP($B137,[1]Data_Aspire!$B$1:$CZ$600,17,FALSE)</f>
        <v>501681</v>
      </c>
      <c r="BA137">
        <f>VLOOKUP($B137,[1]Data_Aspire!$B$1:$CZ$600,18,FALSE)</f>
        <v>2015</v>
      </c>
      <c r="BB137">
        <f>VLOOKUP($B137,[1]Data_Aspire!$B$1:$CZ$600,19,FALSE)</f>
        <v>1768049</v>
      </c>
      <c r="BC137">
        <f>VLOOKUP($B137,[1]Data_Aspire!$B$1:$CZ$600,20,FALSE)</f>
        <v>2010</v>
      </c>
      <c r="BD137">
        <f>VLOOKUP($B137,[1]Data_Aspire!$B$1:$CZ$600,21,FALSE)</f>
        <v>2398480</v>
      </c>
      <c r="BE137">
        <f>VLOOKUP($B137,[1]Data_Aspire!$B$1:$CZ$600,22,FALSE)</f>
        <v>2015</v>
      </c>
      <c r="BJ137" s="7">
        <v>0</v>
      </c>
      <c r="BK137">
        <v>604</v>
      </c>
      <c r="BL137">
        <f>VLOOKUP($B137,'[1]Data_UN_PopulationTot.&amp;%'!$B$4:$CZ$603,8,FALSE)</f>
        <v>32971.800000000003</v>
      </c>
      <c r="BM137">
        <f>VLOOKUP($B137,'[1]Data_UN_PopulationTot.&amp;%'!$B$4:$CZ$603,9,FALSE)</f>
        <v>33359.4</v>
      </c>
      <c r="BN137">
        <v>33684.199999999997</v>
      </c>
      <c r="BO137">
        <f>VLOOKUP($B137,'[1]Data_UN_PopulationTot.&amp;%'!$B$4:$CZ$603,11,FALSE)</f>
        <v>33966</v>
      </c>
      <c r="BP137">
        <f>VLOOKUP($B137,'[1]Data_UN_PopulationTot.&amp;%'!$B$4:$CZ$603,12,FALSE)</f>
        <v>34236.199999999997</v>
      </c>
      <c r="BQ137">
        <f>VLOOKUP($B137,'[1]Data_UN_PopulationTot.&amp;%'!$B$4:$CZ$603,13,FALSE)</f>
        <v>34517.5</v>
      </c>
      <c r="BR137">
        <f>VLOOKUP($B137,'[1]Data_UN_PopulationTot.&amp;%'!$B$4:$CZ$603,14,FALSE)</f>
        <v>34814.699999999997</v>
      </c>
      <c r="BS137">
        <f>VLOOKUP($B137,'[1]Data_UN_PopulationTot.&amp;%'!$B$4:$CZ$603,15,FALSE)</f>
        <v>35119.9</v>
      </c>
      <c r="BT137">
        <f>VLOOKUP($B137,'[1]Data_UN_PopulationTot.&amp;%'!$B$4:$CZ$603,16,FALSE)</f>
        <v>35429.199999999997</v>
      </c>
      <c r="BU137">
        <f>VLOOKUP($B137,'[1]Data_UN_PopulationTot.&amp;%'!$B$4:$CZ$603,17,FALSE)</f>
        <v>35734.699999999997</v>
      </c>
      <c r="BV137">
        <f>VLOOKUP($B137,'[1]Data_UN_PopulationTot.&amp;%'!$B$4:$CZ$603,18,FALSE)</f>
        <v>36030.6</v>
      </c>
      <c r="BW137">
        <f>VLOOKUP($B137,'[1]Data_UN_PopulationTot.&amp;%'!$B$4:$CZ$603,61,FALSE)</f>
        <v>8.5929794551707825</v>
      </c>
      <c r="BX137">
        <f>VLOOKUP($B137,'[1]Data_UN_PopulationTot.&amp;%'!$B$4:$CZ$603,62,FALSE)</f>
        <v>7.9223457621361275</v>
      </c>
      <c r="BY137">
        <f>VLOOKUP($B137,'[1]Data_UN_PopulationTot.&amp;%'!$B$4:$CZ$603,63,FALSE)</f>
        <v>8.1768359628531044</v>
      </c>
      <c r="BZ137">
        <f>VLOOKUP($B137,'[1]Data_UN_PopulationTot.&amp;%'!$B$4:$CZ$603,64,FALSE)</f>
        <v>7.3958655578403363</v>
      </c>
      <c r="CA137">
        <f>VLOOKUP($B137,'[1]Data_UN_PopulationTot.&amp;%'!$B$4:$CZ$603,65,FALSE)</f>
        <v>7.9100625382902967</v>
      </c>
      <c r="CB137">
        <f>VLOOKUP($B137,'[1]Data_UN_PopulationTot.&amp;%'!$B$4:$CZ$603,66,FALSE)</f>
        <v>8.3941125446593752</v>
      </c>
      <c r="CC137">
        <f>VLOOKUP($B137,'[1]Data_UN_PopulationTot.&amp;%'!$B$4:$CZ$603,67,FALSE)</f>
        <v>8.1687381337991862</v>
      </c>
      <c r="CD137">
        <f>VLOOKUP($B137,'[1]Data_UN_PopulationTot.&amp;%'!$B$4:$CZ$603,68,FALSE)</f>
        <v>7.6968197065371013</v>
      </c>
      <c r="CE137">
        <f>VLOOKUP($B137,'[1]Data_UN_PopulationTot.&amp;%'!$B$4:$CZ$603,69,FALSE)</f>
        <v>6.9781752891865167</v>
      </c>
      <c r="CF137">
        <f>VLOOKUP($B137,'[1]Data_UN_PopulationTot.&amp;%'!$B$4:$CZ$603,70,FALSE)</f>
        <v>6.2047871211156194</v>
      </c>
      <c r="CG137">
        <f>VLOOKUP($B137,'[1]Data_UN_PopulationTot.&amp;%'!$B$4:$CZ$603,71,FALSE)</f>
        <v>5.4353417162544959</v>
      </c>
      <c r="CH137">
        <f>VLOOKUP($B137,'[1]Data_UN_PopulationTot.&amp;%'!$B$4:$CZ$603,72,FALSE)</f>
        <v>4.6153076265172048</v>
      </c>
      <c r="CI137">
        <f>VLOOKUP($B137,'[1]Data_UN_PopulationTot.&amp;%'!$B$4:$CZ$603,73,FALSE)</f>
        <v>3.783445247150595</v>
      </c>
      <c r="CJ137">
        <f>VLOOKUP($B137,'[1]Data_UN_PopulationTot.&amp;%'!$B$4:$CZ$603,74,FALSE)</f>
        <v>3.1213643173863725</v>
      </c>
      <c r="CK137">
        <f>VLOOKUP($B137,'[1]Data_UN_PopulationTot.&amp;%'!$B$4:$CZ$603,75,FALSE)</f>
        <v>2.2203185752673491</v>
      </c>
      <c r="CL137">
        <f>VLOOKUP($B137,'[1]Data_UN_PopulationTot.&amp;%'!$B$4:$CZ$603,76,FALSE)</f>
        <v>1.5872048235158527</v>
      </c>
      <c r="CM137">
        <f>VLOOKUP($B137,'[1]Data_UN_PopulationTot.&amp;%'!$B$4:$CZ$603,77,FALSE)</f>
        <v>1.0474890664143297</v>
      </c>
      <c r="CN137">
        <f>VLOOKUP($B137,'[1]Data_UN_PopulationTot.&amp;%'!$B$4:$CZ$603,78,FALSE)</f>
        <v>0.52937965170236378</v>
      </c>
      <c r="CO137">
        <f>VLOOKUP($B137,'[1]Data_UN_PopulationTot.&amp;%'!$B$4:$CZ$603,79,FALSE)</f>
        <v>0.17769427207492461</v>
      </c>
      <c r="CP137">
        <f>VLOOKUP($B137,'[1]Data_UN_PopulationTot.&amp;%'!$B$4:$CZ$603,80,FALSE)</f>
        <v>3.7325836017445206E-2</v>
      </c>
      <c r="CQ137">
        <f>VLOOKUP($B137,'[1]Data_UN_PopulationTot.&amp;%'!$B$4:$CZ$603,81,FALSE)</f>
        <v>4.5068816382484427E-3</v>
      </c>
      <c r="CR137">
        <f>VLOOKUP($B137,'[1]Data_UN_PopulationTot.&amp;%'!$B$4:$CZ$603,82,FALSE)</f>
        <v>7.4633505964374738</v>
      </c>
      <c r="CS137">
        <f>VLOOKUP($B137,'[1]Data_UN_PopulationTot.&amp;%'!$B$4:$CZ$603,83,FALSE)</f>
        <v>7.77355914139648</v>
      </c>
      <c r="CT137">
        <f>VLOOKUP($B137,'[1]Data_UN_PopulationTot.&amp;%'!$B$4:$CZ$603,84,FALSE)</f>
        <v>7.7796928166613943</v>
      </c>
      <c r="CU137">
        <f>VLOOKUP($B137,'[1]Data_UN_PopulationTot.&amp;%'!$B$4:$CZ$603,85,FALSE)</f>
        <v>7.1475079515744957</v>
      </c>
      <c r="CV137">
        <f>VLOOKUP($B137,'[1]Data_UN_PopulationTot.&amp;%'!$B$4:$CZ$603,86,FALSE)</f>
        <v>7.3308798632273682</v>
      </c>
      <c r="CW137">
        <f>VLOOKUP($B137,'[1]Data_UN_PopulationTot.&amp;%'!$B$4:$CZ$603,87,FALSE)</f>
        <v>6.5727742529960649</v>
      </c>
      <c r="CX137">
        <f>VLOOKUP($B137,'[1]Data_UN_PopulationTot.&amp;%'!$B$4:$CZ$603,88,FALSE)</f>
        <v>7.0121785371323266</v>
      </c>
      <c r="CY137">
        <f>VLOOKUP($B137,'[1]Data_UN_PopulationTot.&amp;%'!$B$4:$CZ$603,89,FALSE)</f>
        <v>7.4320438738183654</v>
      </c>
      <c r="CZ137">
        <f>VLOOKUP($B137,'[1]Data_UN_PopulationTot.&amp;%'!$B$4:$CZ$603,90,FALSE)</f>
        <v>7.2111483017213134</v>
      </c>
      <c r="DA137">
        <f>VLOOKUP($B137,'[1]Data_UN_PopulationTot.&amp;%'!$B$4:$CZ$603,91,FALSE)</f>
        <v>6.7643336497310624</v>
      </c>
      <c r="DB137">
        <f>VLOOKUP($B137,'[1]Data_UN_PopulationTot.&amp;%'!$B$4:$CZ$603,92,FALSE)</f>
        <v>6.0918219513413607</v>
      </c>
      <c r="DC137">
        <f>VLOOKUP($B137,'[1]Data_UN_PopulationTot.&amp;%'!$B$4:$CZ$603,93,FALSE)</f>
        <v>5.3622476450572565</v>
      </c>
      <c r="DD137">
        <f>VLOOKUP($B137,'[1]Data_UN_PopulationTot.&amp;%'!$B$4:$CZ$603,94,FALSE)</f>
        <v>4.6160208267417149</v>
      </c>
      <c r="DE137">
        <f>VLOOKUP($B137,'[1]Data_UN_PopulationTot.&amp;%'!$B$4:$CZ$603,95,FALSE)</f>
        <v>3.806458954333261</v>
      </c>
      <c r="DF137">
        <f>VLOOKUP($B137,'[1]Data_UN_PopulationTot.&amp;%'!$B$4:$CZ$603,96,FALSE)</f>
        <v>2.9595677007876637</v>
      </c>
      <c r="DG137">
        <f>VLOOKUP($B137,'[1]Data_UN_PopulationTot.&amp;%'!$B$4:$CZ$603,97,FALSE)</f>
        <v>2.2182450472653801</v>
      </c>
      <c r="DH137">
        <f>VLOOKUP($B137,'[1]Data_UN_PopulationTot.&amp;%'!$B$4:$CZ$603,98,FALSE)</f>
        <v>1.3399749102152061</v>
      </c>
      <c r="DI137">
        <f>VLOOKUP($B137,'[1]Data_UN_PopulationTot.&amp;%'!$B$4:$CZ$603,99,FALSE)</f>
        <v>0.72302431821840329</v>
      </c>
      <c r="DJ137">
        <f>VLOOKUP($B137,'[1]Data_UN_PopulationTot.&amp;%'!$B$4:$DE$603,100,FALSE)</f>
        <v>0.30084150694132206</v>
      </c>
      <c r="DK137">
        <f>VLOOKUP($B137,'[1]Data_UN_PopulationTot.&amp;%'!$B$4:$DE$603,101,FALSE)</f>
        <v>8.181379161046444E-2</v>
      </c>
      <c r="DL137">
        <f>VLOOKUP($B137,'[1]Data_UN_PopulationTot.&amp;%'!$B$4:$DE$603,102,FALSE)</f>
        <v>1.2486608604908049E-2</v>
      </c>
    </row>
    <row r="138" spans="1:116">
      <c r="A138" t="s">
        <v>163</v>
      </c>
      <c r="B138" t="s">
        <v>377</v>
      </c>
      <c r="C138" t="s">
        <v>493</v>
      </c>
      <c r="D138" t="s">
        <v>334</v>
      </c>
      <c r="E138" t="s">
        <v>300</v>
      </c>
      <c r="F138">
        <v>0</v>
      </c>
      <c r="G138">
        <v>1</v>
      </c>
      <c r="H138">
        <v>0</v>
      </c>
      <c r="I138">
        <v>0</v>
      </c>
      <c r="J138" s="18">
        <f t="shared" si="5"/>
        <v>3702.8821839997104</v>
      </c>
      <c r="K138">
        <f>VLOOKUP($B138,'[1]Source GDP Current USD'!$B$1:$CZ$600,64,FALSE)</f>
        <v>361489325230.73102</v>
      </c>
      <c r="L138" s="45">
        <f>VLOOKUP($B138,'[1]Source GDP Current USD'!$B$1:$CZ$600,65,FALSE)</f>
        <v>361489325230.73102</v>
      </c>
      <c r="M138" s="17">
        <f>VLOOKUP($B138,'[1]Source GDP Current LCU'!$B$1:$CZ$600,64,FALSE)</f>
        <v>17938582424182.301</v>
      </c>
      <c r="N138" s="45">
        <v>18000000000000</v>
      </c>
      <c r="O138" s="45">
        <f>VLOOKUP($B138,'[1]Source GNI Current USD'!$B$1:$CZ$600,64,FALSE)</f>
        <v>389323888010.06</v>
      </c>
      <c r="P138" s="45">
        <f>VLOOKUP($B138,'[1]Source GNI Current LCU'!$B$1:$CZ$600,64,FALSE)</f>
        <v>19319847551000</v>
      </c>
      <c r="Q138">
        <f t="shared" si="4"/>
        <v>92.850538167180289</v>
      </c>
      <c r="R138">
        <v>3430</v>
      </c>
      <c r="S138">
        <v>3430</v>
      </c>
      <c r="T138">
        <v>0.39319300000000001</v>
      </c>
      <c r="U138" s="45">
        <v>110000000</v>
      </c>
      <c r="V138">
        <v>20.641999999999999</v>
      </c>
      <c r="W138">
        <f>VLOOKUP($B138,'[1]Source Gov. Revenue WEO'!$B$1:$CZ$600,5,FALSE)</f>
        <v>20.07</v>
      </c>
      <c r="X138">
        <f>VLOOKUP($B138,'[1]Source Gov. Revenue WEO'!$B$1:$CZ$600,6,FALSE)</f>
        <v>20.884</v>
      </c>
      <c r="Y138">
        <f>VLOOKUP($B138,'[1]Source Gov. Revenue WEO'!$B$1:$CZ$600,7,FALSE)</f>
        <v>21.190999999999999</v>
      </c>
      <c r="Z138">
        <f>VLOOKUP($B138,'[1]Source Gov. Revenue WEO'!$B$1:$CZ$600,8,FALSE)</f>
        <v>21.657</v>
      </c>
      <c r="AA138">
        <f>VLOOKUP($B138,'[1]Source Gov. Revenue WEO'!$B$1:$CZ$600,9,FALSE)</f>
        <v>21.978999999999999</v>
      </c>
      <c r="AB138">
        <f>VLOOKUP($B138,'[1]Source Gov. Revenue WEO'!$B$1:$CZ$600,10,FALSE)</f>
        <v>22.231999999999999</v>
      </c>
      <c r="AC138">
        <f>VLOOKUP($B138,[2]Summary!$B$1:$CZ$600,39,FALSE)</f>
        <v>4.58152E-2</v>
      </c>
      <c r="AD138">
        <f>VLOOKUP($B138,[2]Summary!$B$1:$CZ$600,40,FALSE)</f>
        <v>1.2500000000000001E-2</v>
      </c>
      <c r="AE138">
        <f>VLOOKUP($B138,[2]Summary!$B$1:$CZ$600,47,FALSE)</f>
        <v>0.24288427338873791</v>
      </c>
      <c r="AF138">
        <f>VLOOKUP($B138,'[1]CALC GDP Growth rates WDI'!$B$1:$CZ$600,27,FALSE)</f>
        <v>56.718990966458428</v>
      </c>
      <c r="AG138">
        <f>VLOOKUP($B138,'[1]CALC GDP Growth rates WDI'!$B$1:$CZ$600,29,FALSE)</f>
        <v>74.873563437312711</v>
      </c>
      <c r="AH138">
        <v>16.940000000000001</v>
      </c>
      <c r="AI138">
        <f>VLOOKUP($B138,'[1]CALC GDP Growth rates WDI'!$B$1:$CZ$600,30,FALSE)</f>
        <v>29.264494388410412</v>
      </c>
      <c r="AK138">
        <f>VLOOKUP($B138,[1]Data_Aspire!$B$1:$CZ$600,2,FALSE)</f>
        <v>2016</v>
      </c>
      <c r="AL138">
        <f>VLOOKUP($B138,[1]Data_Aspire!$B$1:$CZ$600,3,FALSE)</f>
        <v>0.67</v>
      </c>
      <c r="AM138">
        <f>VLOOKUP($B138,[1]Data_Aspire!$B$1:$CZ$600,4,FALSE)</f>
        <v>0.35</v>
      </c>
      <c r="AN138">
        <f>VLOOKUP($B138,[1]Data_Aspire!$B$1:$CZ$600,5,FALSE)</f>
        <v>0</v>
      </c>
      <c r="AO138">
        <f>VLOOKUP($B138,[1]Data_Aspire!$B$1:$CZ$600,6,FALSE)</f>
        <v>0.06</v>
      </c>
      <c r="AP138">
        <f>VLOOKUP($B138,[1]Data_Aspire!$B$1:$CZ$600,7,FALSE)</f>
        <v>0</v>
      </c>
      <c r="AR138">
        <f>VLOOKUP($B138,[1]Data_Aspire!$B$1:$CZ$600,9,FALSE)</f>
        <v>0.03</v>
      </c>
      <c r="AS138">
        <f>VLOOKUP($B138,[1]Data_Aspire!$B$1:$CZ$600,10,FALSE)</f>
        <v>0.14000000000000001</v>
      </c>
      <c r="AT138">
        <f>VLOOKUP($B138,[1]Data_Aspire!$B$1:$CZ$600,11,FALSE)</f>
        <v>0.08</v>
      </c>
      <c r="AU138">
        <f>VLOOKUP($B138,[1]Data_Aspire!$B$1:$CZ$600,12,FALSE)</f>
        <v>0.56000000000000005</v>
      </c>
      <c r="AV138">
        <f>VLOOKUP($B138,[1]Data_Aspire!$B$1:$CZ$600,13,FALSE)</f>
        <v>20240000</v>
      </c>
      <c r="AW138">
        <f>VLOOKUP($B138,[1]Data_Aspire!$B$1:$CZ$600,14,FALSE)</f>
        <v>2015</v>
      </c>
      <c r="AZ138">
        <f>VLOOKUP($B138,[1]Data_Aspire!$B$1:$CZ$600,17,FALSE)</f>
        <v>1368941</v>
      </c>
      <c r="BA138">
        <f>VLOOKUP($B138,[1]Data_Aspire!$B$1:$CZ$600,18,FALSE)</f>
        <v>2016</v>
      </c>
      <c r="BD138">
        <f>VLOOKUP($B138,[1]Data_Aspire!$B$1:$CZ$600,21,FALSE)</f>
        <v>562000</v>
      </c>
      <c r="BE138">
        <f>VLOOKUP($B138,[1]Data_Aspire!$B$1:$CZ$600,22,FALSE)</f>
        <v>2013</v>
      </c>
      <c r="BF138">
        <f>VLOOKUP($B138,[1]Data_Aspire!$B$1:$CZ$600,23,FALSE)</f>
        <v>145380</v>
      </c>
      <c r="BG138">
        <f>VLOOKUP($B138,[1]Data_Aspire!$B$1:$CZ$600,24,FALSE)</f>
        <v>2013</v>
      </c>
      <c r="BH138">
        <f>VLOOKUP($B138,[1]Data_Aspire!$B$1:$CZ$600,25,FALSE)</f>
        <v>46200000</v>
      </c>
      <c r="BI138">
        <f>VLOOKUP($B138,[1]Data_Aspire!$B$1:$CZ$600,26,FALSE)</f>
        <v>2013</v>
      </c>
      <c r="BJ138" s="7">
        <v>0</v>
      </c>
      <c r="BK138">
        <v>608</v>
      </c>
      <c r="BL138">
        <f>VLOOKUP($B138,'[1]Data_UN_PopulationTot.&amp;%'!$B$4:$CZ$603,8,FALSE)</f>
        <v>109581</v>
      </c>
      <c r="BM138">
        <f>VLOOKUP($B138,'[1]Data_UN_PopulationTot.&amp;%'!$B$4:$CZ$603,9,FALSE)</f>
        <v>111047</v>
      </c>
      <c r="BN138">
        <v>112509</v>
      </c>
      <c r="BO138">
        <f>VLOOKUP($B138,'[1]Data_UN_PopulationTot.&amp;%'!$B$4:$CZ$603,11,FALSE)</f>
        <v>113964</v>
      </c>
      <c r="BP138">
        <f>VLOOKUP($B138,'[1]Data_UN_PopulationTot.&amp;%'!$B$4:$CZ$603,12,FALSE)</f>
        <v>115407</v>
      </c>
      <c r="BQ138">
        <f>VLOOKUP($B138,'[1]Data_UN_PopulationTot.&amp;%'!$B$4:$CZ$603,13,FALSE)</f>
        <v>116833</v>
      </c>
      <c r="BR138">
        <f>VLOOKUP($B138,'[1]Data_UN_PopulationTot.&amp;%'!$B$4:$CZ$603,14,FALSE)</f>
        <v>118241</v>
      </c>
      <c r="BS138">
        <f>VLOOKUP($B138,'[1]Data_UN_PopulationTot.&amp;%'!$B$4:$CZ$603,15,FALSE)</f>
        <v>119633</v>
      </c>
      <c r="BT138">
        <f>VLOOKUP($B138,'[1]Data_UN_PopulationTot.&amp;%'!$B$4:$CZ$603,16,FALSE)</f>
        <v>121006</v>
      </c>
      <c r="BU138">
        <f>VLOOKUP($B138,'[1]Data_UN_PopulationTot.&amp;%'!$B$4:$CZ$603,17,FALSE)</f>
        <v>122361</v>
      </c>
      <c r="BV138">
        <f>VLOOKUP($B138,'[1]Data_UN_PopulationTot.&amp;%'!$B$4:$CZ$603,18,FALSE)</f>
        <v>123698</v>
      </c>
      <c r="BW138">
        <f>VLOOKUP($B138,'[1]Data_UN_PopulationTot.&amp;%'!$B$4:$CZ$603,61,FALSE)</f>
        <v>9.6880846132084937</v>
      </c>
      <c r="BX138">
        <f>VLOOKUP($B138,'[1]Data_UN_PopulationTot.&amp;%'!$B$4:$CZ$603,62,FALSE)</f>
        <v>10.401438205528331</v>
      </c>
      <c r="BY138">
        <f>VLOOKUP($B138,'[1]Data_UN_PopulationTot.&amp;%'!$B$4:$CZ$603,63,FALSE)</f>
        <v>9.9531853149724867</v>
      </c>
      <c r="BZ138">
        <f>VLOOKUP($B138,'[1]Data_UN_PopulationTot.&amp;%'!$B$4:$CZ$603,64,FALSE)</f>
        <v>9.5480968416057515</v>
      </c>
      <c r="CA138">
        <f>VLOOKUP($B138,'[1]Data_UN_PopulationTot.&amp;%'!$B$4:$CZ$603,65,FALSE)</f>
        <v>9.2208503298929561</v>
      </c>
      <c r="CB138">
        <f>VLOOKUP($B138,'[1]Data_UN_PopulationTot.&amp;%'!$B$4:$CZ$603,66,FALSE)</f>
        <v>8.6509340122831517</v>
      </c>
      <c r="CC138">
        <f>VLOOKUP($B138,'[1]Data_UN_PopulationTot.&amp;%'!$B$4:$CZ$603,67,FALSE)</f>
        <v>7.5261222292185694</v>
      </c>
      <c r="CD138">
        <f>VLOOKUP($B138,'[1]Data_UN_PopulationTot.&amp;%'!$B$4:$CZ$603,68,FALSE)</f>
        <v>6.6204268988237001</v>
      </c>
      <c r="CE138">
        <f>VLOOKUP($B138,'[1]Data_UN_PopulationTot.&amp;%'!$B$4:$CZ$603,69,FALSE)</f>
        <v>5.9791022166251446</v>
      </c>
      <c r="CF138">
        <f>VLOOKUP($B138,'[1]Data_UN_PopulationTot.&amp;%'!$B$4:$CZ$603,70,FALSE)</f>
        <v>5.2557103877497013</v>
      </c>
      <c r="CG138">
        <f>VLOOKUP($B138,'[1]Data_UN_PopulationTot.&amp;%'!$B$4:$CZ$603,71,FALSE)</f>
        <v>4.6696051322765806</v>
      </c>
      <c r="CH138">
        <f>VLOOKUP($B138,'[1]Data_UN_PopulationTot.&amp;%'!$B$4:$CZ$603,72,FALSE)</f>
        <v>3.8783365729460404</v>
      </c>
      <c r="CI138">
        <f>VLOOKUP($B138,'[1]Data_UN_PopulationTot.&amp;%'!$B$4:$CZ$603,73,FALSE)</f>
        <v>3.0965130816473661</v>
      </c>
      <c r="CJ138">
        <f>VLOOKUP($B138,'[1]Data_UN_PopulationTot.&amp;%'!$B$4:$CZ$603,74,FALSE)</f>
        <v>2.2683585658097662</v>
      </c>
      <c r="CK138">
        <f>VLOOKUP($B138,'[1]Data_UN_PopulationTot.&amp;%'!$B$4:$CZ$603,75,FALSE)</f>
        <v>1.5161661236893258</v>
      </c>
      <c r="CL138">
        <f>VLOOKUP($B138,'[1]Data_UN_PopulationTot.&amp;%'!$B$4:$CZ$603,76,FALSE)</f>
        <v>0.89266387421177029</v>
      </c>
      <c r="CM138">
        <f>VLOOKUP($B138,'[1]Data_UN_PopulationTot.&amp;%'!$B$4:$CZ$603,77,FALSE)</f>
        <v>0.52977797245872915</v>
      </c>
      <c r="CN138">
        <f>VLOOKUP($B138,'[1]Data_UN_PopulationTot.&amp;%'!$B$4:$CZ$603,78,FALSE)</f>
        <v>0.21995875197342601</v>
      </c>
      <c r="CO138">
        <f>VLOOKUP($B138,'[1]Data_UN_PopulationTot.&amp;%'!$B$4:$CZ$603,79,FALSE)</f>
        <v>6.9413493215064653E-2</v>
      </c>
      <c r="CP138">
        <f>VLOOKUP($B138,'[1]Data_UN_PopulationTot.&amp;%'!$B$4:$CZ$603,80,FALSE)</f>
        <v>1.3677553590494702E-2</v>
      </c>
      <c r="CQ138">
        <f>VLOOKUP($B138,'[1]Data_UN_PopulationTot.&amp;%'!$B$4:$CZ$603,81,FALSE)</f>
        <v>1.6398828264023873E-3</v>
      </c>
      <c r="CR138">
        <f>VLOOKUP($B138,'[1]Data_UN_PopulationTot.&amp;%'!$B$4:$CZ$603,82,FALSE)</f>
        <v>8.840967517663989</v>
      </c>
      <c r="CS138">
        <f>VLOOKUP($B138,'[1]Data_UN_PopulationTot.&amp;%'!$B$4:$CZ$603,83,FALSE)</f>
        <v>8.7043444518100532</v>
      </c>
      <c r="CT138">
        <f>VLOOKUP($B138,'[1]Data_UN_PopulationTot.&amp;%'!$B$4:$CZ$603,84,FALSE)</f>
        <v>8.5002991155879641</v>
      </c>
      <c r="CU138">
        <f>VLOOKUP($B138,'[1]Data_UN_PopulationTot.&amp;%'!$B$4:$CZ$603,85,FALSE)</f>
        <v>9.11938754062313</v>
      </c>
      <c r="CV138">
        <f>VLOOKUP($B138,'[1]Data_UN_PopulationTot.&amp;%'!$B$4:$CZ$603,86,FALSE)</f>
        <v>8.6420152306423699</v>
      </c>
      <c r="CW138">
        <f>VLOOKUP($B138,'[1]Data_UN_PopulationTot.&amp;%'!$B$4:$CZ$603,87,FALSE)</f>
        <v>8.2310142443693515</v>
      </c>
      <c r="CX138">
        <f>VLOOKUP($B138,'[1]Data_UN_PopulationTot.&amp;%'!$B$4:$CZ$603,88,FALSE)</f>
        <v>7.9432731329528368</v>
      </c>
      <c r="CY138">
        <f>VLOOKUP($B138,'[1]Data_UN_PopulationTot.&amp;%'!$B$4:$CZ$603,89,FALSE)</f>
        <v>7.447937719284063</v>
      </c>
      <c r="CZ138">
        <f>VLOOKUP($B138,'[1]Data_UN_PopulationTot.&amp;%'!$B$4:$CZ$603,90,FALSE)</f>
        <v>6.4500315283998138</v>
      </c>
      <c r="DA138">
        <f>VLOOKUP($B138,'[1]Data_UN_PopulationTot.&amp;%'!$B$4:$CZ$603,91,FALSE)</f>
        <v>5.620187876926062</v>
      </c>
      <c r="DB138">
        <f>VLOOKUP($B138,'[1]Data_UN_PopulationTot.&amp;%'!$B$4:$CZ$603,92,FALSE)</f>
        <v>4.9896360490872933</v>
      </c>
      <c r="DC138">
        <f>VLOOKUP($B138,'[1]Data_UN_PopulationTot.&amp;%'!$B$4:$CZ$603,93,FALSE)</f>
        <v>4.2647334637585095</v>
      </c>
      <c r="DD138">
        <f>VLOOKUP($B138,'[1]Data_UN_PopulationTot.&amp;%'!$B$4:$CZ$603,94,FALSE)</f>
        <v>3.6416433572086864</v>
      </c>
      <c r="DE138">
        <f>VLOOKUP($B138,'[1]Data_UN_PopulationTot.&amp;%'!$B$4:$CZ$603,95,FALSE)</f>
        <v>2.8764733463758509</v>
      </c>
      <c r="DF138">
        <f>VLOOKUP($B138,'[1]Data_UN_PopulationTot.&amp;%'!$B$4:$CZ$603,96,FALSE)</f>
        <v>2.1400426846028231</v>
      </c>
      <c r="DG138">
        <f>VLOOKUP($B138,'[1]Data_UN_PopulationTot.&amp;%'!$B$4:$CZ$603,97,FALSE)</f>
        <v>1.3856327507316206</v>
      </c>
      <c r="DH138">
        <f>VLOOKUP($B138,'[1]Data_UN_PopulationTot.&amp;%'!$B$4:$CZ$603,98,FALSE)</f>
        <v>0.74696923151546502</v>
      </c>
      <c r="DI138">
        <f>VLOOKUP($B138,'[1]Data_UN_PopulationTot.&amp;%'!$B$4:$CZ$603,99,FALSE)</f>
        <v>0.31351759931445938</v>
      </c>
      <c r="DJ138">
        <f>VLOOKUP($B138,'[1]Data_UN_PopulationTot.&amp;%'!$B$4:$DE$603,100,FALSE)</f>
        <v>0.11393393587608532</v>
      </c>
      <c r="DK138">
        <f>VLOOKUP($B138,'[1]Data_UN_PopulationTot.&amp;%'!$B$4:$DE$603,101,FALSE)</f>
        <v>2.4288185742695922E-2</v>
      </c>
      <c r="DL138">
        <f>VLOOKUP($B138,'[1]Data_UN_PopulationTot.&amp;%'!$B$4:$DE$603,102,FALSE)</f>
        <v>3.6104059887791238E-3</v>
      </c>
    </row>
    <row r="139" spans="1:116">
      <c r="A139" t="s">
        <v>150</v>
      </c>
      <c r="B139" t="s">
        <v>364</v>
      </c>
      <c r="C139" t="s">
        <v>493</v>
      </c>
      <c r="D139" t="s">
        <v>334</v>
      </c>
      <c r="E139" t="s">
        <v>300</v>
      </c>
      <c r="F139">
        <v>0</v>
      </c>
      <c r="G139">
        <v>1</v>
      </c>
      <c r="H139">
        <v>0</v>
      </c>
      <c r="I139">
        <v>0</v>
      </c>
      <c r="J139" s="18">
        <f t="shared" si="5"/>
        <v>12.658910011691223</v>
      </c>
      <c r="K139">
        <f>VLOOKUP($B139,'[1]Source GDP Current USD'!$B$1:$CZ$600,64,FALSE)</f>
        <v>24668899683.429901</v>
      </c>
      <c r="L139" s="45">
        <f>VLOOKUP($B139,'[1]Source GDP Current USD'!$B$1:$CZ$600,65,FALSE)</f>
        <v>24668899683.429901</v>
      </c>
      <c r="M139" s="17">
        <f>VLOOKUP($B139,'[1]Source GDP Current LCU'!$B$1:$CZ$600,64,FALSE)</f>
        <v>85354392904.667404</v>
      </c>
      <c r="N139" s="45">
        <v>85000000000</v>
      </c>
      <c r="O139" s="45">
        <f>VLOOKUP($B139,'[1]Source GNI Current USD'!$B$1:$CZ$600,64,FALSE)</f>
        <v>24398606581.310398</v>
      </c>
      <c r="P139" s="45">
        <f>VLOOKUP($B139,'[1]Source GNI Current LCU'!$B$1:$CZ$600,64,FALSE)</f>
        <v>84419178771.334106</v>
      </c>
      <c r="Q139">
        <f t="shared" si="4"/>
        <v>101.10782187998595</v>
      </c>
      <c r="R139">
        <v>2720</v>
      </c>
      <c r="S139">
        <v>2720</v>
      </c>
      <c r="T139">
        <v>0.64321300000000003</v>
      </c>
      <c r="U139" s="45">
        <v>8900000</v>
      </c>
      <c r="V139">
        <v>14.831</v>
      </c>
      <c r="W139">
        <f>VLOOKUP($B139,'[1]Source Gov. Revenue WEO'!$B$1:$CZ$600,5,FALSE)</f>
        <v>14.02</v>
      </c>
      <c r="X139">
        <f>VLOOKUP($B139,'[1]Source Gov. Revenue WEO'!$B$1:$CZ$600,6,FALSE)</f>
        <v>14.91</v>
      </c>
      <c r="Y139">
        <f>VLOOKUP($B139,'[1]Source Gov. Revenue WEO'!$B$1:$CZ$600,7,FALSE)</f>
        <v>15.427</v>
      </c>
      <c r="Z139">
        <f>VLOOKUP($B139,'[1]Source Gov. Revenue WEO'!$B$1:$CZ$600,8,FALSE)</f>
        <v>15.602</v>
      </c>
      <c r="AA139">
        <f>VLOOKUP($B139,'[1]Source Gov. Revenue WEO'!$B$1:$CZ$600,9,FALSE)</f>
        <v>15.766</v>
      </c>
      <c r="AB139">
        <f>VLOOKUP($B139,'[1]Source Gov. Revenue WEO'!$B$1:$CZ$600,10,FALSE)</f>
        <v>16.007000000000001</v>
      </c>
      <c r="AC139">
        <f>VLOOKUP($B139,[2]Summary!$B$1:$CZ$600,39,FALSE)</f>
        <v>0.27337020000000001</v>
      </c>
      <c r="AD139">
        <f>VLOOKUP($B139,[2]Summary!$B$1:$CZ$600,40,FALSE)</f>
        <v>0.19774999999999998</v>
      </c>
      <c r="AE139">
        <f>VLOOKUP($B139,[2]Summary!$B$1:$CZ$600,47,FALSE)</f>
        <v>0.15770872935096708</v>
      </c>
      <c r="AF139">
        <f>VLOOKUP($B139,'[1]CALC GDP Growth rates WDI'!$B$1:$CZ$600,27,FALSE)</f>
        <v>45.992070164924712</v>
      </c>
      <c r="AG139">
        <f>VLOOKUP($B139,'[1]CALC GDP Growth rates WDI'!$B$1:$CZ$600,29,FALSE)</f>
        <v>59.461749980085798</v>
      </c>
      <c r="AH139">
        <v>9.81</v>
      </c>
      <c r="AI139">
        <f>VLOOKUP($B139,'[1]CALC GDP Growth rates WDI'!$B$1:$CZ$600,30,FALSE)</f>
        <v>16.075247416519311</v>
      </c>
      <c r="AJ139" s="45" t="s">
        <v>2464</v>
      </c>
      <c r="AK139">
        <f>VLOOKUP($B139,[1]Data_Aspire!$B$1:$CZ$600,2,FALSE)</f>
        <v>2015</v>
      </c>
      <c r="AL139">
        <f>VLOOKUP($B139,[1]Data_Aspire!$B$1:$CZ$600,3,FALSE)</f>
        <v>0.01</v>
      </c>
      <c r="AM139">
        <f>VLOOKUP($B139,[1]Data_Aspire!$B$1:$CZ$600,4,FALSE)</f>
        <v>0</v>
      </c>
      <c r="AN139">
        <f>VLOOKUP($B139,[1]Data_Aspire!$B$1:$CZ$600,5,FALSE)</f>
        <v>0</v>
      </c>
      <c r="AO139">
        <f>VLOOKUP($B139,[1]Data_Aspire!$B$1:$CZ$600,6,FALSE)</f>
        <v>0.01</v>
      </c>
      <c r="AP139">
        <f>VLOOKUP($B139,[1]Data_Aspire!$B$1:$CZ$600,7,FALSE)</f>
        <v>0</v>
      </c>
      <c r="AU139">
        <f>VLOOKUP($B139,[1]Data_Aspire!$B$1:$CZ$600,12,FALSE)</f>
        <v>0.01</v>
      </c>
      <c r="BJ139" s="7">
        <v>0</v>
      </c>
      <c r="BK139">
        <v>598</v>
      </c>
      <c r="BL139">
        <f>VLOOKUP($B139,'[1]Data_UN_PopulationTot.&amp;%'!$B$4:$CZ$603,8,FALSE)</f>
        <v>8947.0300000000007</v>
      </c>
      <c r="BM139">
        <f>VLOOKUP($B139,'[1]Data_UN_PopulationTot.&amp;%'!$B$4:$CZ$603,9,FALSE)</f>
        <v>9119</v>
      </c>
      <c r="BN139">
        <v>9292.17</v>
      </c>
      <c r="BO139">
        <f>VLOOKUP($B139,'[1]Data_UN_PopulationTot.&amp;%'!$B$4:$CZ$603,11,FALSE)</f>
        <v>9466.43</v>
      </c>
      <c r="BP139">
        <f>VLOOKUP($B139,'[1]Data_UN_PopulationTot.&amp;%'!$B$4:$CZ$603,12,FALSE)</f>
        <v>9641.7099999999991</v>
      </c>
      <c r="BQ139">
        <f>VLOOKUP($B139,'[1]Data_UN_PopulationTot.&amp;%'!$B$4:$CZ$603,13,FALSE)</f>
        <v>9817.92</v>
      </c>
      <c r="BR139">
        <f>VLOOKUP($B139,'[1]Data_UN_PopulationTot.&amp;%'!$B$4:$CZ$603,14,FALSE)</f>
        <v>9994.9699999999993</v>
      </c>
      <c r="BS139">
        <f>VLOOKUP($B139,'[1]Data_UN_PopulationTot.&amp;%'!$B$4:$CZ$603,15,FALSE)</f>
        <v>10172.799999999999</v>
      </c>
      <c r="BT139">
        <f>VLOOKUP($B139,'[1]Data_UN_PopulationTot.&amp;%'!$B$4:$CZ$603,16,FALSE)</f>
        <v>10351.200000000001</v>
      </c>
      <c r="BU139">
        <f>VLOOKUP($B139,'[1]Data_UN_PopulationTot.&amp;%'!$B$4:$CZ$603,17,FALSE)</f>
        <v>10530.1</v>
      </c>
      <c r="BV139">
        <f>VLOOKUP($B139,'[1]Data_UN_PopulationTot.&amp;%'!$B$4:$CZ$603,18,FALSE)</f>
        <v>10709.4</v>
      </c>
      <c r="BW139">
        <f>VLOOKUP($B139,'[1]Data_UN_PopulationTot.&amp;%'!$B$4:$CZ$603,61,FALSE)</f>
        <v>12.374832765733434</v>
      </c>
      <c r="BX139">
        <f>VLOOKUP($B139,'[1]Data_UN_PopulationTot.&amp;%'!$B$4:$CZ$603,62,FALSE)</f>
        <v>11.659288054248169</v>
      </c>
      <c r="BY139">
        <f>VLOOKUP($B139,'[1]Data_UN_PopulationTot.&amp;%'!$B$4:$CZ$603,63,FALSE)</f>
        <v>11.111776757203227</v>
      </c>
      <c r="BZ139">
        <f>VLOOKUP($B139,'[1]Data_UN_PopulationTot.&amp;%'!$B$4:$CZ$603,64,FALSE)</f>
        <v>10.324196968155912</v>
      </c>
      <c r="CA139">
        <f>VLOOKUP($B139,'[1]Data_UN_PopulationTot.&amp;%'!$B$4:$CZ$603,65,FALSE)</f>
        <v>9.3529249371020313</v>
      </c>
      <c r="CB139">
        <f>VLOOKUP($B139,'[1]Data_UN_PopulationTot.&amp;%'!$B$4:$CZ$603,66,FALSE)</f>
        <v>8.0180238581965178</v>
      </c>
      <c r="CC139">
        <f>VLOOKUP($B139,'[1]Data_UN_PopulationTot.&amp;%'!$B$4:$CZ$603,67,FALSE)</f>
        <v>7.1142155553295323</v>
      </c>
      <c r="CD139">
        <f>VLOOKUP($B139,'[1]Data_UN_PopulationTot.&amp;%'!$B$4:$CZ$603,68,FALSE)</f>
        <v>6.5275963084956672</v>
      </c>
      <c r="CE139">
        <f>VLOOKUP($B139,'[1]Data_UN_PopulationTot.&amp;%'!$B$4:$CZ$603,69,FALSE)</f>
        <v>5.7068211462351197</v>
      </c>
      <c r="CF139">
        <f>VLOOKUP($B139,'[1]Data_UN_PopulationTot.&amp;%'!$B$4:$CZ$603,70,FALSE)</f>
        <v>4.7813967316528494</v>
      </c>
      <c r="CG139">
        <f>VLOOKUP($B139,'[1]Data_UN_PopulationTot.&amp;%'!$B$4:$CZ$603,71,FALSE)</f>
        <v>3.8977515443672366</v>
      </c>
      <c r="CH139">
        <f>VLOOKUP($B139,'[1]Data_UN_PopulationTot.&amp;%'!$B$4:$CZ$603,72,FALSE)</f>
        <v>3.1338444154093592</v>
      </c>
      <c r="CI139">
        <f>VLOOKUP($B139,'[1]Data_UN_PopulationTot.&amp;%'!$B$4:$CZ$603,73,FALSE)</f>
        <v>2.4256093921670092</v>
      </c>
      <c r="CJ139">
        <f>VLOOKUP($B139,'[1]Data_UN_PopulationTot.&amp;%'!$B$4:$CZ$603,74,FALSE)</f>
        <v>1.7331561423176181</v>
      </c>
      <c r="CK139">
        <f>VLOOKUP($B139,'[1]Data_UN_PopulationTot.&amp;%'!$B$4:$CZ$603,75,FALSE)</f>
        <v>1.0036514910534555</v>
      </c>
      <c r="CL139">
        <f>VLOOKUP($B139,'[1]Data_UN_PopulationTot.&amp;%'!$B$4:$CZ$603,76,FALSE)</f>
        <v>0.52372686802212565</v>
      </c>
      <c r="CM139">
        <f>VLOOKUP($B139,'[1]Data_UN_PopulationTot.&amp;%'!$B$4:$CZ$603,77,FALSE)</f>
        <v>0.22642150523693336</v>
      </c>
      <c r="CN139">
        <f>VLOOKUP($B139,'[1]Data_UN_PopulationTot.&amp;%'!$B$4:$CZ$603,78,FALSE)</f>
        <v>6.9766168214480104E-2</v>
      </c>
      <c r="CO139">
        <f>VLOOKUP($B139,'[1]Data_UN_PopulationTot.&amp;%'!$B$4:$CZ$603,79,FALSE)</f>
        <v>1.390405531220975E-2</v>
      </c>
      <c r="CP139">
        <f>VLOOKUP($B139,'[1]Data_UN_PopulationTot.&amp;%'!$B$4:$CZ$603,80,FALSE)</f>
        <v>9.388590403742918E-4</v>
      </c>
      <c r="CQ139">
        <f>VLOOKUP($B139,'[1]Data_UN_PopulationTot.&amp;%'!$B$4:$CZ$603,81,FALSE)</f>
        <v>3.3530680013367562E-5</v>
      </c>
      <c r="CR139">
        <f>VLOOKUP($B139,'[1]Data_UN_PopulationTot.&amp;%'!$B$4:$CZ$603,82,FALSE)</f>
        <v>11.388032943022019</v>
      </c>
      <c r="CS139">
        <f>VLOOKUP($B139,'[1]Data_UN_PopulationTot.&amp;%'!$B$4:$CZ$603,83,FALSE)</f>
        <v>10.795562776626143</v>
      </c>
      <c r="CT139">
        <f>VLOOKUP($B139,'[1]Data_UN_PopulationTot.&amp;%'!$B$4:$CZ$603,84,FALSE)</f>
        <v>10.205333632136256</v>
      </c>
      <c r="CU139">
        <f>VLOOKUP($B139,'[1]Data_UN_PopulationTot.&amp;%'!$B$4:$CZ$603,85,FALSE)</f>
        <v>9.6448914038134728</v>
      </c>
      <c r="CV139">
        <f>VLOOKUP($B139,'[1]Data_UN_PopulationTot.&amp;%'!$B$4:$CZ$603,86,FALSE)</f>
        <v>9.1492800717127007</v>
      </c>
      <c r="CW139">
        <f>VLOOKUP($B139,'[1]Data_UN_PopulationTot.&amp;%'!$B$4:$CZ$603,87,FALSE)</f>
        <v>8.4544418921694948</v>
      </c>
      <c r="CX139">
        <f>VLOOKUP($B139,'[1]Data_UN_PopulationTot.&amp;%'!$B$4:$CZ$603,88,FALSE)</f>
        <v>7.6370291519599602</v>
      </c>
      <c r="CY139">
        <f>VLOOKUP($B139,'[1]Data_UN_PopulationTot.&amp;%'!$B$4:$CZ$603,89,FALSE)</f>
        <v>6.5227370347545151</v>
      </c>
      <c r="CZ139">
        <f>VLOOKUP($B139,'[1]Data_UN_PopulationTot.&amp;%'!$B$4:$CZ$603,90,FALSE)</f>
        <v>5.7460735428688823</v>
      </c>
      <c r="DA139">
        <f>VLOOKUP($B139,'[1]Data_UN_PopulationTot.&amp;%'!$B$4:$CZ$603,91,FALSE)</f>
        <v>5.2082282854314901</v>
      </c>
      <c r="DB139">
        <f>VLOOKUP($B139,'[1]Data_UN_PopulationTot.&amp;%'!$B$4:$CZ$603,92,FALSE)</f>
        <v>4.4618279268679855</v>
      </c>
      <c r="DC139">
        <f>VLOOKUP($B139,'[1]Data_UN_PopulationTot.&amp;%'!$B$4:$CZ$603,93,FALSE)</f>
        <v>3.6201187741610172</v>
      </c>
      <c r="DD139">
        <f>VLOOKUP($B139,'[1]Data_UN_PopulationTot.&amp;%'!$B$4:$CZ$603,94,FALSE)</f>
        <v>2.7918090649336098</v>
      </c>
      <c r="DE139">
        <f>VLOOKUP($B139,'[1]Data_UN_PopulationTot.&amp;%'!$B$4:$CZ$603,95,FALSE)</f>
        <v>2.0213644088370968</v>
      </c>
      <c r="DF139">
        <f>VLOOKUP($B139,'[1]Data_UN_PopulationTot.&amp;%'!$B$4:$CZ$603,96,FALSE)</f>
        <v>1.3040413095038004</v>
      </c>
      <c r="DG139">
        <f>VLOOKUP($B139,'[1]Data_UN_PopulationTot.&amp;%'!$B$4:$CZ$603,97,FALSE)</f>
        <v>0.69959101350215691</v>
      </c>
      <c r="DH139">
        <f>VLOOKUP($B139,'[1]Data_UN_PopulationTot.&amp;%'!$B$4:$CZ$603,98,FALSE)</f>
        <v>0.26302127103292439</v>
      </c>
      <c r="DI139">
        <f>VLOOKUP($B139,'[1]Data_UN_PopulationTot.&amp;%'!$B$4:$CZ$603,99,FALSE)</f>
        <v>7.230096924197435E-2</v>
      </c>
      <c r="DJ139">
        <f>VLOOKUP($B139,'[1]Data_UN_PopulationTot.&amp;%'!$B$4:$DE$603,100,FALSE)</f>
        <v>1.2680448951388501E-2</v>
      </c>
      <c r="DK139">
        <f>VLOOKUP($B139,'[1]Data_UN_PopulationTot.&amp;%'!$B$4:$DE$603,101,FALSE)</f>
        <v>1.2138868657441129E-3</v>
      </c>
      <c r="DL139">
        <f>VLOOKUP($B139,'[1]Data_UN_PopulationTot.&amp;%'!$B$4:$DE$603,102,FALSE)</f>
        <v>6.5363138924683E-5</v>
      </c>
    </row>
    <row r="140" spans="1:116">
      <c r="A140" t="s">
        <v>75</v>
      </c>
      <c r="B140" t="s">
        <v>441</v>
      </c>
      <c r="C140" t="s">
        <v>485</v>
      </c>
      <c r="D140" t="s">
        <v>622</v>
      </c>
      <c r="E140" t="s">
        <v>2269</v>
      </c>
      <c r="F140">
        <v>0</v>
      </c>
      <c r="G140">
        <v>0</v>
      </c>
      <c r="H140">
        <v>0</v>
      </c>
      <c r="I140">
        <v>1</v>
      </c>
      <c r="J140" s="18">
        <f t="shared" si="5"/>
        <v>970.44821760000013</v>
      </c>
      <c r="K140">
        <f>VLOOKUP($B140,'[1]Source GDP Current USD'!$B$1:$CZ$600,64,FALSE)</f>
        <v>596624355719.67102</v>
      </c>
      <c r="L140" s="45">
        <f>VLOOKUP($B140,'[1]Source GDP Current USD'!$B$1:$CZ$600,65,FALSE)</f>
        <v>596624355719.67102</v>
      </c>
      <c r="M140" s="17">
        <f>VLOOKUP($B140,'[1]Source GDP Current LCU'!$B$1:$CZ$600,64,FALSE)</f>
        <v>2326656000000</v>
      </c>
      <c r="N140" s="45">
        <v>2300000000000</v>
      </c>
      <c r="O140" s="45">
        <f>VLOOKUP($B140,'[1]Source GNI Current USD'!$B$1:$CZ$600,64,FALSE)</f>
        <v>574989614585.73706</v>
      </c>
      <c r="P140" s="45">
        <f>VLOOKUP($B140,'[1]Source GNI Current LCU'!$B$1:$CZ$600,64,FALSE)</f>
        <v>2242287000000</v>
      </c>
      <c r="Q140">
        <f t="shared" si="4"/>
        <v>103.76263163457666</v>
      </c>
      <c r="R140">
        <v>15240</v>
      </c>
      <c r="S140">
        <v>15240</v>
      </c>
      <c r="T140">
        <v>0.45913799999999999</v>
      </c>
      <c r="U140" s="45">
        <v>38000000</v>
      </c>
      <c r="V140">
        <v>41.71</v>
      </c>
      <c r="W140">
        <f>VLOOKUP($B140,'[1]Source Gov. Revenue WEO'!$B$1:$CZ$600,5,FALSE)</f>
        <v>40.918999999999997</v>
      </c>
      <c r="X140">
        <f>VLOOKUP($B140,'[1]Source Gov. Revenue WEO'!$B$1:$CZ$600,6,FALSE)</f>
        <v>41.097000000000001</v>
      </c>
      <c r="Y140">
        <f>VLOOKUP($B140,'[1]Source Gov. Revenue WEO'!$B$1:$CZ$600,7,FALSE)</f>
        <v>41.326999999999998</v>
      </c>
      <c r="Z140">
        <f>VLOOKUP($B140,'[1]Source Gov. Revenue WEO'!$B$1:$CZ$600,8,FALSE)</f>
        <v>41.256</v>
      </c>
      <c r="AA140">
        <f>VLOOKUP($B140,'[1]Source Gov. Revenue WEO'!$B$1:$CZ$600,9,FALSE)</f>
        <v>41.225000000000001</v>
      </c>
      <c r="AB140">
        <f>VLOOKUP($B140,'[1]Source Gov. Revenue WEO'!$B$1:$CZ$600,10,FALSE)</f>
        <v>41.112000000000002</v>
      </c>
      <c r="AC140" t="e">
        <f>VLOOKUP($B140,[2]Summary!$B$1:$CZ$600,39,FALSE)</f>
        <v>#N/A</v>
      </c>
      <c r="AD140" t="e">
        <f>VLOOKUP($B140,[2]Summary!$B$1:$CZ$600,40,FALSE)</f>
        <v>#N/A</v>
      </c>
      <c r="AE140" t="e">
        <f>VLOOKUP($B140,[2]Summary!$B$1:$CZ$600,47,FALSE)</f>
        <v>#N/A</v>
      </c>
      <c r="AF140">
        <f>VLOOKUP($B140,'[1]CALC GDP Growth rates WDI'!$B$1:$CZ$600,27,FALSE)</f>
        <v>34.506232263144057</v>
      </c>
      <c r="AG140">
        <f>VLOOKUP($B140,'[1]CALC GDP Growth rates WDI'!$B$1:$CZ$600,29,FALSE)</f>
        <v>36.833958413241</v>
      </c>
      <c r="AH140">
        <v>16.28</v>
      </c>
      <c r="AI140">
        <f>VLOOKUP($B140,'[1]CALC GDP Growth rates WDI'!$B$1:$CZ$600,30,FALSE)</f>
        <v>18.864242261483444</v>
      </c>
      <c r="AK140">
        <f>VLOOKUP($B140,[1]Data_Aspire!$B$1:$CZ$600,2,FALSE)</f>
        <v>2016</v>
      </c>
      <c r="AL140">
        <f>VLOOKUP($B140,[1]Data_Aspire!$B$1:$CZ$600,3,FALSE)</f>
        <v>1.97</v>
      </c>
      <c r="AM140">
        <f>VLOOKUP($B140,[1]Data_Aspire!$B$1:$CZ$600,4,FALSE)</f>
        <v>0</v>
      </c>
      <c r="AN140">
        <f>VLOOKUP($B140,[1]Data_Aspire!$B$1:$CZ$600,5,FALSE)</f>
        <v>1.48</v>
      </c>
      <c r="AO140">
        <f>VLOOKUP($B140,[1]Data_Aspire!$B$1:$CZ$600,6,FALSE)</f>
        <v>0.22</v>
      </c>
      <c r="AP140">
        <f>VLOOKUP($B140,[1]Data_Aspire!$B$1:$CZ$600,7,FALSE)</f>
        <v>0</v>
      </c>
      <c r="AQ140">
        <f>VLOOKUP($B140,[1]Data_Aspire!$B$1:$CZ$600,8,FALSE)</f>
        <v>0.03</v>
      </c>
      <c r="AR140">
        <f>VLOOKUP($B140,[1]Data_Aspire!$B$1:$CZ$600,9,FALSE)</f>
        <v>0.02</v>
      </c>
      <c r="AS140">
        <f>VLOOKUP($B140,[1]Data_Aspire!$B$1:$CZ$600,10,FALSE)</f>
        <v>0.06</v>
      </c>
      <c r="AT140">
        <f>VLOOKUP($B140,[1]Data_Aspire!$B$1:$CZ$600,11,FALSE)</f>
        <v>0.16</v>
      </c>
      <c r="AU140">
        <f>VLOOKUP($B140,[1]Data_Aspire!$B$1:$CZ$600,12,FALSE)</f>
        <v>1.97</v>
      </c>
      <c r="AX140">
        <f>VLOOKUP($B140,[1]Data_Aspire!$B$1:$CZ$600,15,FALSE)</f>
        <v>3820000</v>
      </c>
      <c r="AY140">
        <f>VLOOKUP($B140,[1]Data_Aspire!$B$1:$CZ$600,16,FALSE)</f>
        <v>2016</v>
      </c>
      <c r="BB140">
        <f>VLOOKUP($B140,[1]Data_Aspire!$B$1:$CZ$600,19,FALSE)</f>
        <v>554400</v>
      </c>
      <c r="BC140">
        <f>VLOOKUP($B140,[1]Data_Aspire!$B$1:$CZ$600,20,FALSE)</f>
        <v>2013</v>
      </c>
      <c r="BD140">
        <f>VLOOKUP($B140,[1]Data_Aspire!$B$1:$CZ$600,21,FALSE)</f>
        <v>730000</v>
      </c>
      <c r="BE140">
        <f>VLOOKUP($B140,[1]Data_Aspire!$B$1:$CZ$600,22,FALSE)</f>
        <v>2011</v>
      </c>
      <c r="BF140">
        <f>VLOOKUP($B140,[1]Data_Aspire!$B$1:$CZ$600,23,FALSE)</f>
        <v>9070</v>
      </c>
      <c r="BG140">
        <f>VLOOKUP($B140,[1]Data_Aspire!$B$1:$CZ$600,24,FALSE)</f>
        <v>2013</v>
      </c>
      <c r="BH140">
        <f>VLOOKUP($B140,[1]Data_Aspire!$B$1:$CZ$600,25,FALSE)</f>
        <v>188650</v>
      </c>
      <c r="BI140">
        <f>VLOOKUP($B140,[1]Data_Aspire!$B$1:$CZ$600,26,FALSE)</f>
        <v>2013</v>
      </c>
      <c r="BJ140" s="7">
        <v>0</v>
      </c>
      <c r="BK140">
        <v>616</v>
      </c>
      <c r="BL140">
        <f>VLOOKUP($B140,'[1]Data_UN_PopulationTot.&amp;%'!$B$4:$CZ$603,8,FALSE)</f>
        <v>37846.6</v>
      </c>
      <c r="BM140">
        <f>VLOOKUP($B140,'[1]Data_UN_PopulationTot.&amp;%'!$B$4:$CZ$603,9,FALSE)</f>
        <v>37797</v>
      </c>
      <c r="BN140">
        <v>37739.800000000003</v>
      </c>
      <c r="BO140">
        <f>VLOOKUP($B140,'[1]Data_UN_PopulationTot.&amp;%'!$B$4:$CZ$603,11,FALSE)</f>
        <v>37674</v>
      </c>
      <c r="BP140">
        <f>VLOOKUP($B140,'[1]Data_UN_PopulationTot.&amp;%'!$B$4:$CZ$603,12,FALSE)</f>
        <v>37599.1</v>
      </c>
      <c r="BQ140">
        <f>VLOOKUP($B140,'[1]Data_UN_PopulationTot.&amp;%'!$B$4:$CZ$603,13,FALSE)</f>
        <v>37514.699999999997</v>
      </c>
      <c r="BR140">
        <f>VLOOKUP($B140,'[1]Data_UN_PopulationTot.&amp;%'!$B$4:$CZ$603,14,FALSE)</f>
        <v>37420.1</v>
      </c>
      <c r="BS140">
        <f>VLOOKUP($B140,'[1]Data_UN_PopulationTot.&amp;%'!$B$4:$CZ$603,15,FALSE)</f>
        <v>37315</v>
      </c>
      <c r="BT140">
        <f>VLOOKUP($B140,'[1]Data_UN_PopulationTot.&amp;%'!$B$4:$CZ$603,16,FALSE)</f>
        <v>37200.1</v>
      </c>
      <c r="BU140">
        <f>VLOOKUP($B140,'[1]Data_UN_PopulationTot.&amp;%'!$B$4:$CZ$603,17,FALSE)</f>
        <v>37076.300000000003</v>
      </c>
      <c r="BV140">
        <f>VLOOKUP($B140,'[1]Data_UN_PopulationTot.&amp;%'!$B$4:$CZ$603,18,FALSE)</f>
        <v>36944.6</v>
      </c>
      <c r="BW140">
        <f>VLOOKUP($B140,'[1]Data_UN_PopulationTot.&amp;%'!$B$4:$CZ$603,61,FALSE)</f>
        <v>4.9803945400643652</v>
      </c>
      <c r="BX140">
        <f>VLOOKUP($B140,'[1]Data_UN_PopulationTot.&amp;%'!$B$4:$CZ$603,62,FALSE)</f>
        <v>5.0201603314432477</v>
      </c>
      <c r="BY140">
        <f>VLOOKUP($B140,'[1]Data_UN_PopulationTot.&amp;%'!$B$4:$CZ$603,63,FALSE)</f>
        <v>5.217139716645617</v>
      </c>
      <c r="BZ140">
        <f>VLOOKUP($B140,'[1]Data_UN_PopulationTot.&amp;%'!$B$4:$CZ$603,64,FALSE)</f>
        <v>4.583291497783156</v>
      </c>
      <c r="CA140">
        <f>VLOOKUP($B140,'[1]Data_UN_PopulationTot.&amp;%'!$B$4:$CZ$603,65,FALSE)</f>
        <v>5.1946013644554601</v>
      </c>
      <c r="CB140">
        <f>VLOOKUP($B140,'[1]Data_UN_PopulationTot.&amp;%'!$B$4:$CZ$603,66,FALSE)</f>
        <v>6.514640681065142</v>
      </c>
      <c r="CC140">
        <f>VLOOKUP($B140,'[1]Data_UN_PopulationTot.&amp;%'!$B$4:$CZ$603,67,FALSE)</f>
        <v>7.4665888085059153</v>
      </c>
      <c r="CD140">
        <f>VLOOKUP($B140,'[1]Data_UN_PopulationTot.&amp;%'!$B$4:$CZ$603,68,FALSE)</f>
        <v>8.3998826843098193</v>
      </c>
      <c r="CE140">
        <f>VLOOKUP($B140,'[1]Data_UN_PopulationTot.&amp;%'!$B$4:$CZ$603,69,FALSE)</f>
        <v>7.8174525584860985</v>
      </c>
      <c r="CF140">
        <f>VLOOKUP($B140,'[1]Data_UN_PopulationTot.&amp;%'!$B$4:$CZ$603,70,FALSE)</f>
        <v>6.8085376229304622</v>
      </c>
      <c r="CG140">
        <f>VLOOKUP($B140,'[1]Data_UN_PopulationTot.&amp;%'!$B$4:$CZ$603,71,FALSE)</f>
        <v>5.914666046619776</v>
      </c>
      <c r="CH140">
        <f>VLOOKUP($B140,'[1]Data_UN_PopulationTot.&amp;%'!$B$4:$CZ$603,72,FALSE)</f>
        <v>6.1423483219100268</v>
      </c>
      <c r="CI140">
        <f>VLOOKUP($B140,'[1]Data_UN_PopulationTot.&amp;%'!$B$4:$CZ$603,73,FALSE)</f>
        <v>7.2008053563596217</v>
      </c>
      <c r="CJ140">
        <f>VLOOKUP($B140,'[1]Data_UN_PopulationTot.&amp;%'!$B$4:$CZ$603,74,FALSE)</f>
        <v>6.4705680298890789</v>
      </c>
      <c r="CK140">
        <f>VLOOKUP($B140,'[1]Data_UN_PopulationTot.&amp;%'!$B$4:$CZ$603,75,FALSE)</f>
        <v>4.9036108923919191</v>
      </c>
      <c r="CL140">
        <f>VLOOKUP($B140,'[1]Data_UN_PopulationTot.&amp;%'!$B$4:$CZ$603,76,FALSE)</f>
        <v>2.7602743707492881</v>
      </c>
      <c r="CM140">
        <f>VLOOKUP($B140,'[1]Data_UN_PopulationTot.&amp;%'!$B$4:$CZ$603,77,FALSE)</f>
        <v>2.3359033572368455</v>
      </c>
      <c r="CN140">
        <f>VLOOKUP($B140,'[1]Data_UN_PopulationTot.&amp;%'!$B$4:$CZ$603,78,FALSE)</f>
        <v>1.4731706414843078</v>
      </c>
      <c r="CO140">
        <f>VLOOKUP($B140,'[1]Data_UN_PopulationTot.&amp;%'!$B$4:$CZ$603,79,FALSE)</f>
        <v>0.63202771186843731</v>
      </c>
      <c r="CP140">
        <f>VLOOKUP($B140,'[1]Data_UN_PopulationTot.&amp;%'!$B$4:$CZ$603,80,FALSE)</f>
        <v>0.15062119186399836</v>
      </c>
      <c r="CQ140">
        <f>VLOOKUP($B140,'[1]Data_UN_PopulationTot.&amp;%'!$B$4:$CZ$603,81,FALSE)</f>
        <v>1.3274640258305898E-2</v>
      </c>
      <c r="CR140">
        <f>VLOOKUP($B140,'[1]Data_UN_PopulationTot.&amp;%'!$B$4:$CZ$603,82,FALSE)</f>
        <v>4.2150950341863229</v>
      </c>
      <c r="CS140">
        <f>VLOOKUP($B140,'[1]Data_UN_PopulationTot.&amp;%'!$B$4:$CZ$603,83,FALSE)</f>
        <v>4.6421669201994336</v>
      </c>
      <c r="CT140">
        <f>VLOOKUP($B140,'[1]Data_UN_PopulationTot.&amp;%'!$B$4:$CZ$603,84,FALSE)</f>
        <v>5.0884026352971752</v>
      </c>
      <c r="CU140">
        <f>VLOOKUP($B140,'[1]Data_UN_PopulationTot.&amp;%'!$B$4:$CZ$603,85,FALSE)</f>
        <v>5.1240776730564148</v>
      </c>
      <c r="CV140">
        <f>VLOOKUP($B140,'[1]Data_UN_PopulationTot.&amp;%'!$B$4:$CZ$603,86,FALSE)</f>
        <v>5.3002333223258615</v>
      </c>
      <c r="CW140">
        <f>VLOOKUP($B140,'[1]Data_UN_PopulationTot.&amp;%'!$B$4:$CZ$603,87,FALSE)</f>
        <v>4.6283353994900471</v>
      </c>
      <c r="CX140">
        <f>VLOOKUP($B140,'[1]Data_UN_PopulationTot.&amp;%'!$B$4:$CZ$603,88,FALSE)</f>
        <v>5.2452049825955616</v>
      </c>
      <c r="CY140">
        <f>VLOOKUP($B140,'[1]Data_UN_PopulationTot.&amp;%'!$B$4:$CZ$603,89,FALSE)</f>
        <v>6.5883782744974919</v>
      </c>
      <c r="CZ140">
        <f>VLOOKUP($B140,'[1]Data_UN_PopulationTot.&amp;%'!$B$4:$CZ$603,90,FALSE)</f>
        <v>7.5384223946124731</v>
      </c>
      <c r="DA140">
        <f>VLOOKUP($B140,'[1]Data_UN_PopulationTot.&amp;%'!$B$4:$CZ$603,91,FALSE)</f>
        <v>8.4315705136880634</v>
      </c>
      <c r="DB140">
        <f>VLOOKUP($B140,'[1]Data_UN_PopulationTot.&amp;%'!$B$4:$CZ$603,92,FALSE)</f>
        <v>7.755071106467522</v>
      </c>
      <c r="DC140">
        <f>VLOOKUP($B140,'[1]Data_UN_PopulationTot.&amp;%'!$B$4:$CZ$603,93,FALSE)</f>
        <v>6.6251630820201051</v>
      </c>
      <c r="DD140">
        <f>VLOOKUP($B140,'[1]Data_UN_PopulationTot.&amp;%'!$B$4:$CZ$603,94,FALSE)</f>
        <v>5.5964606464814892</v>
      </c>
      <c r="DE140">
        <f>VLOOKUP($B140,'[1]Data_UN_PopulationTot.&amp;%'!$B$4:$CZ$603,95,FALSE)</f>
        <v>5.6019012250775484</v>
      </c>
      <c r="DF140">
        <f>VLOOKUP($B140,'[1]Data_UN_PopulationTot.&amp;%'!$B$4:$CZ$603,96,FALSE)</f>
        <v>6.2603195054216316</v>
      </c>
      <c r="DG140">
        <f>VLOOKUP($B140,'[1]Data_UN_PopulationTot.&amp;%'!$B$4:$CZ$603,97,FALSE)</f>
        <v>5.229532868132285</v>
      </c>
      <c r="DH140">
        <f>VLOOKUP($B140,'[1]Data_UN_PopulationTot.&amp;%'!$B$4:$CZ$603,98,FALSE)</f>
        <v>3.4575553666841707</v>
      </c>
      <c r="DI140">
        <f>VLOOKUP($B140,'[1]Data_UN_PopulationTot.&amp;%'!$B$4:$CZ$603,99,FALSE)</f>
        <v>1.5125376915706221</v>
      </c>
      <c r="DJ140">
        <f>VLOOKUP($B140,'[1]Data_UN_PopulationTot.&amp;%'!$B$4:$DE$603,100,FALSE)</f>
        <v>0.83737812833269265</v>
      </c>
      <c r="DK140">
        <f>VLOOKUP($B140,'[1]Data_UN_PopulationTot.&amp;%'!$B$4:$DE$603,101,FALSE)</f>
        <v>0.27480335421144092</v>
      </c>
      <c r="DL140">
        <f>VLOOKUP($B140,'[1]Data_UN_PopulationTot.&amp;%'!$B$4:$DE$603,102,FALSE)</f>
        <v>4.7316793252599847E-2</v>
      </c>
    </row>
    <row r="141" spans="1:116">
      <c r="A141" t="s">
        <v>243</v>
      </c>
      <c r="B141" t="s">
        <v>579</v>
      </c>
      <c r="C141" t="s">
        <v>497</v>
      </c>
      <c r="D141" t="s">
        <v>622</v>
      </c>
      <c r="E141" t="s">
        <v>2269</v>
      </c>
      <c r="F141">
        <v>0</v>
      </c>
      <c r="G141">
        <v>0</v>
      </c>
      <c r="H141">
        <v>0</v>
      </c>
      <c r="I141">
        <v>1</v>
      </c>
      <c r="J141" s="18">
        <f t="shared" si="5"/>
        <v>20.266675949999996</v>
      </c>
      <c r="K141">
        <f>VLOOKUP($B141,'[1]Source GDP Current USD'!$B$1:$CZ$600,64,FALSE)</f>
        <v>103138300000</v>
      </c>
      <c r="L141" s="45">
        <f>VLOOKUP($B141,'[1]Source GDP Current USD'!$B$1:$CZ$600,65,FALSE)</f>
        <v>103138300000</v>
      </c>
      <c r="M141" s="17">
        <f>VLOOKUP($B141,'[1]Source GDP Current LCU'!$B$1:$CZ$600,64,FALSE)</f>
        <v>103138300000</v>
      </c>
      <c r="N141" s="45">
        <v>100000000000</v>
      </c>
      <c r="O141" s="45">
        <f>VLOOKUP($B141,'[1]Source GNI Current USD'!$B$1:$CZ$600,64,FALSE)</f>
        <v>70186900000</v>
      </c>
      <c r="P141" s="45">
        <f>VLOOKUP($B141,'[1]Source GNI Current LCU'!$B$1:$CZ$600,64,FALSE)</f>
        <v>70186900000</v>
      </c>
      <c r="Q141">
        <f t="shared" si="4"/>
        <v>146.94807720529045</v>
      </c>
      <c r="R141">
        <v>21740</v>
      </c>
      <c r="S141">
        <v>21740</v>
      </c>
      <c r="T141">
        <v>0.91534700000000002</v>
      </c>
      <c r="U141" s="45">
        <v>3200000</v>
      </c>
      <c r="V141">
        <v>19.649999999999999</v>
      </c>
      <c r="W141">
        <f>VLOOKUP($B141,'[1]Source Gov. Revenue WEO'!$B$1:$CZ$600,5,FALSE)</f>
        <v>19.623000000000001</v>
      </c>
      <c r="X141">
        <f>VLOOKUP($B141,'[1]Source Gov. Revenue WEO'!$B$1:$CZ$600,6,FALSE)</f>
        <v>18.414999999999999</v>
      </c>
      <c r="Y141">
        <f>VLOOKUP($B141,'[1]Source Gov. Revenue WEO'!$B$1:$CZ$600,7,FALSE)</f>
        <v>17.173999999999999</v>
      </c>
      <c r="Z141">
        <f>VLOOKUP($B141,'[1]Source Gov. Revenue WEO'!$B$1:$CZ$600,8,FALSE)</f>
        <v>16.760000000000002</v>
      </c>
      <c r="AA141">
        <f>VLOOKUP($B141,'[1]Source Gov. Revenue WEO'!$B$1:$CZ$600,9,FALSE)</f>
        <v>16.827999999999999</v>
      </c>
      <c r="AB141">
        <f>VLOOKUP($B141,'[1]Source Gov. Revenue WEO'!$B$1:$CZ$600,10,FALSE)</f>
        <v>16.911999999999999</v>
      </c>
      <c r="AC141" t="e">
        <f>VLOOKUP($B141,[2]Summary!$B$1:$CZ$600,39,FALSE)</f>
        <v>#N/A</v>
      </c>
      <c r="AD141" t="e">
        <f>VLOOKUP($B141,[2]Summary!$B$1:$CZ$600,40,FALSE)</f>
        <v>#N/A</v>
      </c>
      <c r="AE141" t="e">
        <f>VLOOKUP($B141,[2]Summary!$B$1:$CZ$600,47,FALSE)</f>
        <v>#N/A</v>
      </c>
      <c r="AF141">
        <f>VLOOKUP($B141,'[1]CALC GDP Growth rates WDI'!$B$1:$CZ$600,27,FALSE)</f>
        <v>-12.918615264460673</v>
      </c>
      <c r="AG141">
        <f>VLOOKUP($B141,'[1]CALC GDP Growth rates WDI'!$B$1:$CZ$600,29,FALSE)</f>
        <v>-10.981049412047561</v>
      </c>
      <c r="AH141" s="45">
        <v>-10.39</v>
      </c>
      <c r="AI141">
        <f>VLOOKUP($B141,'[1]CALC GDP Growth rates WDI'!$B$1:$CZ$600,30,FALSE)</f>
        <v>-8.9565147636810458</v>
      </c>
      <c r="AJ141" s="45"/>
      <c r="AK141" t="e">
        <f>VLOOKUP($B141,[1]Data_Aspire!$B$1:$CZ$600,2,FALSE)</f>
        <v>#N/A</v>
      </c>
      <c r="AL141" t="e">
        <f>VLOOKUP($B141,[1]Data_Aspire!$B$1:$CZ$600,3,FALSE)</f>
        <v>#N/A</v>
      </c>
      <c r="AM141" t="e">
        <f>VLOOKUP($B141,[1]Data_Aspire!$B$1:$CZ$600,4,FALSE)</f>
        <v>#N/A</v>
      </c>
      <c r="AN141" t="e">
        <f>VLOOKUP($B141,[1]Data_Aspire!$B$1:$CZ$600,5,FALSE)</f>
        <v>#N/A</v>
      </c>
      <c r="AO141" t="e">
        <f>VLOOKUP($B141,[1]Data_Aspire!$B$1:$CZ$600,6,FALSE)</f>
        <v>#N/A</v>
      </c>
      <c r="AP141" t="e">
        <f>VLOOKUP($B141,[1]Data_Aspire!$B$1:$CZ$600,7,FALSE)</f>
        <v>#N/A</v>
      </c>
      <c r="AQ141" t="e">
        <f>VLOOKUP($B141,[1]Data_Aspire!$B$1:$CZ$600,8,FALSE)</f>
        <v>#N/A</v>
      </c>
      <c r="AR141" t="e">
        <f>VLOOKUP($B141,[1]Data_Aspire!$B$1:$CZ$600,9,FALSE)</f>
        <v>#N/A</v>
      </c>
      <c r="AS141" t="e">
        <f>VLOOKUP($B141,[1]Data_Aspire!$B$1:$CZ$600,10,FALSE)</f>
        <v>#N/A</v>
      </c>
      <c r="AT141" t="e">
        <f>VLOOKUP($B141,[1]Data_Aspire!$B$1:$CZ$600,11,FALSE)</f>
        <v>#N/A</v>
      </c>
      <c r="AU141" t="e">
        <f>VLOOKUP($B141,[1]Data_Aspire!$B$1:$CZ$600,12,FALSE)</f>
        <v>#N/A</v>
      </c>
      <c r="AV141" t="e">
        <f>VLOOKUP($B141,[1]Data_Aspire!$B$1:$CZ$600,13,FALSE)</f>
        <v>#N/A</v>
      </c>
      <c r="AW141" t="e">
        <f>VLOOKUP($B141,[1]Data_Aspire!$B$1:$CZ$600,14,FALSE)</f>
        <v>#N/A</v>
      </c>
      <c r="AX141" t="e">
        <f>VLOOKUP($B141,[1]Data_Aspire!$B$1:$CZ$600,15,FALSE)</f>
        <v>#N/A</v>
      </c>
      <c r="AY141" t="e">
        <f>VLOOKUP($B141,[1]Data_Aspire!$B$1:$CZ$600,16,FALSE)</f>
        <v>#N/A</v>
      </c>
      <c r="AZ141" t="e">
        <f>VLOOKUP($B141,[1]Data_Aspire!$B$1:$CZ$600,17,FALSE)</f>
        <v>#N/A</v>
      </c>
      <c r="BA141" t="e">
        <f>VLOOKUP($B141,[1]Data_Aspire!$B$1:$CZ$600,18,FALSE)</f>
        <v>#N/A</v>
      </c>
      <c r="BB141" t="e">
        <f>VLOOKUP($B141,[1]Data_Aspire!$B$1:$CZ$600,19,FALSE)</f>
        <v>#N/A</v>
      </c>
      <c r="BC141" t="e">
        <f>VLOOKUP($B141,[1]Data_Aspire!$B$1:$CZ$600,20,FALSE)</f>
        <v>#N/A</v>
      </c>
      <c r="BD141" t="e">
        <f>VLOOKUP($B141,[1]Data_Aspire!$B$1:$CZ$600,21,FALSE)</f>
        <v>#N/A</v>
      </c>
      <c r="BE141" t="e">
        <f>VLOOKUP($B141,[1]Data_Aspire!$B$1:$CZ$600,22,FALSE)</f>
        <v>#N/A</v>
      </c>
      <c r="BF141" t="e">
        <f>VLOOKUP($B141,[1]Data_Aspire!$B$1:$CZ$600,23,FALSE)</f>
        <v>#N/A</v>
      </c>
      <c r="BG141" t="e">
        <f>VLOOKUP($B141,[1]Data_Aspire!$B$1:$CZ$600,24,FALSE)</f>
        <v>#N/A</v>
      </c>
      <c r="BH141" t="e">
        <f>VLOOKUP($B141,[1]Data_Aspire!$B$1:$CZ$600,25,FALSE)</f>
        <v>#N/A</v>
      </c>
      <c r="BI141" t="e">
        <f>VLOOKUP($B141,[1]Data_Aspire!$B$1:$CZ$600,26,FALSE)</f>
        <v>#N/A</v>
      </c>
      <c r="BJ141" s="7">
        <v>0</v>
      </c>
      <c r="BK141">
        <v>630</v>
      </c>
      <c r="BL141">
        <f>VLOOKUP($B141,'[1]Data_UN_PopulationTot.&amp;%'!$B$4:$CZ$603,8,FALSE)</f>
        <v>2860.84</v>
      </c>
      <c r="BM141">
        <f>VLOOKUP($B141,'[1]Data_UN_PopulationTot.&amp;%'!$B$4:$CZ$603,9,FALSE)</f>
        <v>2828.25</v>
      </c>
      <c r="BN141">
        <v>2829.81</v>
      </c>
      <c r="BO141">
        <f>VLOOKUP($B141,'[1]Data_UN_PopulationTot.&amp;%'!$B$4:$CZ$603,11,FALSE)</f>
        <v>2854.17</v>
      </c>
      <c r="BP141">
        <f>VLOOKUP($B141,'[1]Data_UN_PopulationTot.&amp;%'!$B$4:$CZ$603,12,FALSE)</f>
        <v>2884.07</v>
      </c>
      <c r="BQ141">
        <f>VLOOKUP($B141,'[1]Data_UN_PopulationTot.&amp;%'!$B$4:$CZ$603,13,FALSE)</f>
        <v>2906.65</v>
      </c>
      <c r="BR141">
        <f>VLOOKUP($B141,'[1]Data_UN_PopulationTot.&amp;%'!$B$4:$CZ$603,14,FALSE)</f>
        <v>2918.92</v>
      </c>
      <c r="BS141">
        <f>VLOOKUP($B141,'[1]Data_UN_PopulationTot.&amp;%'!$B$4:$CZ$603,15,FALSE)</f>
        <v>2923.98</v>
      </c>
      <c r="BT141">
        <f>VLOOKUP($B141,'[1]Data_UN_PopulationTot.&amp;%'!$B$4:$CZ$603,16,FALSE)</f>
        <v>2922.18</v>
      </c>
      <c r="BU141">
        <f>VLOOKUP($B141,'[1]Data_UN_PopulationTot.&amp;%'!$B$4:$CZ$603,17,FALSE)</f>
        <v>2915.46</v>
      </c>
      <c r="BV141">
        <f>VLOOKUP($B141,'[1]Data_UN_PopulationTot.&amp;%'!$B$4:$CZ$603,18,FALSE)</f>
        <v>2905.36</v>
      </c>
      <c r="BW141">
        <f>VLOOKUP($B141,'[1]Data_UN_PopulationTot.&amp;%'!$B$4:$CZ$603,61,FALSE)</f>
        <v>2.9463723941220059</v>
      </c>
      <c r="BX141">
        <f>VLOOKUP($B141,'[1]Data_UN_PopulationTot.&amp;%'!$B$4:$CZ$603,62,FALSE)</f>
        <v>5.45409739796703</v>
      </c>
      <c r="BY141">
        <f>VLOOKUP($B141,'[1]Data_UN_PopulationTot.&amp;%'!$B$4:$CZ$603,63,FALSE)</f>
        <v>7.351791781434823</v>
      </c>
      <c r="BZ141">
        <f>VLOOKUP($B141,'[1]Data_UN_PopulationTot.&amp;%'!$B$4:$CZ$603,64,FALSE)</f>
        <v>6.4436668950378211</v>
      </c>
      <c r="CA141">
        <f>VLOOKUP($B141,'[1]Data_UN_PopulationTot.&amp;%'!$B$4:$CZ$603,65,FALSE)</f>
        <v>5.0154150529215196</v>
      </c>
      <c r="CB141">
        <f>VLOOKUP($B141,'[1]Data_UN_PopulationTot.&amp;%'!$B$4:$CZ$603,66,FALSE)</f>
        <v>5.0778792242837767</v>
      </c>
      <c r="CC141">
        <f>VLOOKUP($B141,'[1]Data_UN_PopulationTot.&amp;%'!$B$4:$CZ$603,67,FALSE)</f>
        <v>5.4736021588065045</v>
      </c>
      <c r="CD141">
        <f>VLOOKUP($B141,'[1]Data_UN_PopulationTot.&amp;%'!$B$4:$CZ$603,68,FALSE)</f>
        <v>6.1144978397953045</v>
      </c>
      <c r="CE141">
        <f>VLOOKUP($B141,'[1]Data_UN_PopulationTot.&amp;%'!$B$4:$CZ$603,69,FALSE)</f>
        <v>6.853616420352064</v>
      </c>
      <c r="CF141">
        <f>VLOOKUP($B141,'[1]Data_UN_PopulationTot.&amp;%'!$B$4:$CZ$603,70,FALSE)</f>
        <v>7.1018651864487348</v>
      </c>
      <c r="CG141">
        <f>VLOOKUP($B141,'[1]Data_UN_PopulationTot.&amp;%'!$B$4:$CZ$603,71,FALSE)</f>
        <v>7.4013925979782149</v>
      </c>
      <c r="CH141">
        <f>VLOOKUP($B141,'[1]Data_UN_PopulationTot.&amp;%'!$B$4:$CZ$603,72,FALSE)</f>
        <v>7.0763132506536541</v>
      </c>
      <c r="CI141">
        <f>VLOOKUP($B141,'[1]Data_UN_PopulationTot.&amp;%'!$B$4:$CZ$603,73,FALSE)</f>
        <v>6.8621803386417977</v>
      </c>
      <c r="CJ141">
        <f>VLOOKUP($B141,'[1]Data_UN_PopulationTot.&amp;%'!$B$4:$CZ$603,74,FALSE)</f>
        <v>5.7573649697291698</v>
      </c>
      <c r="CK141">
        <f>VLOOKUP($B141,'[1]Data_UN_PopulationTot.&amp;%'!$B$4:$CZ$603,75,FALSE)</f>
        <v>5.5085219725674976</v>
      </c>
      <c r="CL141">
        <f>VLOOKUP($B141,'[1]Data_UN_PopulationTot.&amp;%'!$B$4:$CZ$603,76,FALSE)</f>
        <v>4.0579340333608309</v>
      </c>
      <c r="CM141">
        <f>VLOOKUP($B141,'[1]Data_UN_PopulationTot.&amp;%'!$B$4:$CZ$603,77,FALSE)</f>
        <v>2.7334978537772119</v>
      </c>
      <c r="CN141">
        <f>VLOOKUP($B141,'[1]Data_UN_PopulationTot.&amp;%'!$B$4:$CZ$603,78,FALSE)</f>
        <v>1.6554927923267289</v>
      </c>
      <c r="CO141">
        <f>VLOOKUP($B141,'[1]Data_UN_PopulationTot.&amp;%'!$B$4:$CZ$603,79,FALSE)</f>
        <v>0.77826792130982503</v>
      </c>
      <c r="CP141">
        <f>VLOOKUP($B141,'[1]Data_UN_PopulationTot.&amp;%'!$B$4:$CZ$603,80,FALSE)</f>
        <v>0.27820500272647192</v>
      </c>
      <c r="CQ141">
        <f>VLOOKUP($B141,'[1]Data_UN_PopulationTot.&amp;%'!$B$4:$CZ$603,81,FALSE)</f>
        <v>5.8024915759007839E-2</v>
      </c>
      <c r="CR141">
        <f>VLOOKUP($B141,'[1]Data_UN_PopulationTot.&amp;%'!$B$4:$CZ$603,82,FALSE)</f>
        <v>3.7631481124542225</v>
      </c>
      <c r="CS141">
        <f>VLOOKUP($B141,'[1]Data_UN_PopulationTot.&amp;%'!$B$4:$CZ$603,83,FALSE)</f>
        <v>3.4939559985681634</v>
      </c>
      <c r="CT141">
        <f>VLOOKUP($B141,'[1]Data_UN_PopulationTot.&amp;%'!$B$4:$CZ$603,84,FALSE)</f>
        <v>3.0277831318666188</v>
      </c>
      <c r="CU141">
        <f>VLOOKUP($B141,'[1]Data_UN_PopulationTot.&amp;%'!$B$4:$CZ$603,85,FALSE)</f>
        <v>5.6261186221328856</v>
      </c>
      <c r="CV141">
        <f>VLOOKUP($B141,'[1]Data_UN_PopulationTot.&amp;%'!$B$4:$CZ$603,86,FALSE)</f>
        <v>7.9216000770988799</v>
      </c>
      <c r="CW141">
        <f>VLOOKUP($B141,'[1]Data_UN_PopulationTot.&amp;%'!$B$4:$CZ$603,87,FALSE)</f>
        <v>7.2732811080210364</v>
      </c>
      <c r="CX141">
        <f>VLOOKUP($B141,'[1]Data_UN_PopulationTot.&amp;%'!$B$4:$CZ$603,88,FALSE)</f>
        <v>5.7457939807803511</v>
      </c>
      <c r="CY141">
        <f>VLOOKUP($B141,'[1]Data_UN_PopulationTot.&amp;%'!$B$4:$CZ$603,89,FALSE)</f>
        <v>5.5631660104083487</v>
      </c>
      <c r="CZ141">
        <f>VLOOKUP($B141,'[1]Data_UN_PopulationTot.&amp;%'!$B$4:$CZ$603,90,FALSE)</f>
        <v>5.7307183963433097</v>
      </c>
      <c r="DA141">
        <f>VLOOKUP($B141,'[1]Data_UN_PopulationTot.&amp;%'!$B$4:$CZ$603,91,FALSE)</f>
        <v>6.1805421703334531</v>
      </c>
      <c r="DB141">
        <f>VLOOKUP($B141,'[1]Data_UN_PopulationTot.&amp;%'!$B$4:$CZ$603,92,FALSE)</f>
        <v>6.7416086130462309</v>
      </c>
      <c r="DC141">
        <f>VLOOKUP($B141,'[1]Data_UN_PopulationTot.&amp;%'!$B$4:$CZ$603,93,FALSE)</f>
        <v>6.8294806839772004</v>
      </c>
      <c r="DD141">
        <f>VLOOKUP($B141,'[1]Data_UN_PopulationTot.&amp;%'!$B$4:$CZ$603,94,FALSE)</f>
        <v>6.9461271580802384</v>
      </c>
      <c r="DE141">
        <f>VLOOKUP($B141,'[1]Data_UN_PopulationTot.&amp;%'!$B$4:$CZ$603,95,FALSE)</f>
        <v>6.4569623041550797</v>
      </c>
      <c r="DF141">
        <f>VLOOKUP($B141,'[1]Data_UN_PopulationTot.&amp;%'!$B$4:$CZ$603,96,FALSE)</f>
        <v>6.0227992400253321</v>
      </c>
      <c r="DG141">
        <f>VLOOKUP($B141,'[1]Data_UN_PopulationTot.&amp;%'!$B$4:$CZ$603,97,FALSE)</f>
        <v>4.7364182063496436</v>
      </c>
      <c r="DH141">
        <f>VLOOKUP($B141,'[1]Data_UN_PopulationTot.&amp;%'!$B$4:$CZ$603,98,FALSE)</f>
        <v>3.9993666877770737</v>
      </c>
      <c r="DI141">
        <f>VLOOKUP($B141,'[1]Data_UN_PopulationTot.&amp;%'!$B$4:$CZ$603,99,FALSE)</f>
        <v>2.3674518820387145</v>
      </c>
      <c r="DJ141">
        <f>VLOOKUP($B141,'[1]Data_UN_PopulationTot.&amp;%'!$B$4:$DE$603,100,FALSE)</f>
        <v>1.1153178952005949</v>
      </c>
      <c r="DK141">
        <f>VLOOKUP($B141,'[1]Data_UN_PopulationTot.&amp;%'!$B$4:$DE$603,101,FALSE)</f>
        <v>0.37912685519178346</v>
      </c>
      <c r="DL141">
        <f>VLOOKUP($B141,'[1]Data_UN_PopulationTot.&amp;%'!$B$4:$DE$603,102,FALSE)</f>
        <v>7.9164027865737799E-2</v>
      </c>
    </row>
    <row r="142" spans="1:116">
      <c r="A142" t="s">
        <v>543</v>
      </c>
      <c r="B142" t="s">
        <v>544</v>
      </c>
      <c r="C142" t="s">
        <v>493</v>
      </c>
      <c r="D142" t="s">
        <v>306</v>
      </c>
      <c r="E142" t="s">
        <v>299</v>
      </c>
      <c r="F142">
        <v>1</v>
      </c>
      <c r="G142">
        <v>0</v>
      </c>
      <c r="H142">
        <v>0</v>
      </c>
      <c r="I142">
        <v>0</v>
      </c>
      <c r="J142" s="18" t="e">
        <f t="shared" si="5"/>
        <v>#VALUE!</v>
      </c>
      <c r="K142" t="str">
        <f>VLOOKUP($B142,'[1]Source GDP Current USD'!$B$1:$CZ$600,64,FALSE)</f>
        <v>..</v>
      </c>
      <c r="L142" s="45" t="str">
        <f>VLOOKUP($B142,'[1]Source GDP Current USD'!$B$1:$CZ$600,65,FALSE)</f>
        <v/>
      </c>
      <c r="M142" s="17" t="str">
        <f>VLOOKUP($B142,'[1]Source GDP Current LCU'!$B$1:$CZ$600,64,FALSE)</f>
        <v>..</v>
      </c>
      <c r="O142" s="45" t="str">
        <f>VLOOKUP($B142,'[1]Source GNI Current USD'!$B$1:$CZ$600,64,FALSE)</f>
        <v>..</v>
      </c>
      <c r="P142" s="45" t="str">
        <f>VLOOKUP($B142,'[1]Source GNI Current LCU'!$B$1:$CZ$600,64,FALSE)</f>
        <v>..</v>
      </c>
      <c r="Q142" t="e">
        <f t="shared" si="4"/>
        <v>#VALUE!</v>
      </c>
      <c r="U142" s="45">
        <v>26000000</v>
      </c>
      <c r="W142" t="e">
        <f>VLOOKUP($B142,'[1]Source Gov. Revenue WEO'!$B$1:$CZ$600,5,FALSE)</f>
        <v>#N/A</v>
      </c>
      <c r="X142" t="e">
        <f>VLOOKUP($B142,'[1]Source Gov. Revenue WEO'!$B$1:$CZ$600,6,FALSE)</f>
        <v>#N/A</v>
      </c>
      <c r="Y142" t="e">
        <f>VLOOKUP($B142,'[1]Source Gov. Revenue WEO'!$B$1:$CZ$600,7,FALSE)</f>
        <v>#N/A</v>
      </c>
      <c r="Z142" t="e">
        <f>VLOOKUP($B142,'[1]Source Gov. Revenue WEO'!$B$1:$CZ$600,8,FALSE)</f>
        <v>#N/A</v>
      </c>
      <c r="AA142" t="e">
        <f>VLOOKUP($B142,'[1]Source Gov. Revenue WEO'!$B$1:$CZ$600,9,FALSE)</f>
        <v>#N/A</v>
      </c>
      <c r="AB142" t="e">
        <f>VLOOKUP($B142,'[1]Source Gov. Revenue WEO'!$B$1:$CZ$600,10,FALSE)</f>
        <v>#N/A</v>
      </c>
      <c r="AC142">
        <f>VLOOKUP($B142,[2]Summary!$B$1:$CZ$600,39,FALSE)</f>
        <v>0.61</v>
      </c>
      <c r="AD142">
        <f>VLOOKUP($B142,[2]Summary!$B$1:$CZ$600,40,FALSE)</f>
        <v>0.43</v>
      </c>
      <c r="AE142">
        <f>VLOOKUP($B142,[2]Summary!$B$1:$CZ$600,47,FALSE)</f>
        <v>0.20690637720488467</v>
      </c>
      <c r="AF142" t="e">
        <f>VLOOKUP($B142,'[1]CALC GDP Growth rates WDI'!$B$1:$CZ$600,27,FALSE)</f>
        <v>#VALUE!</v>
      </c>
      <c r="AG142" t="e">
        <f>VLOOKUP($B142,'[1]CALC GDP Growth rates WDI'!$B$1:$CZ$600,29,FALSE)</f>
        <v>#VALUE!</v>
      </c>
      <c r="AH142" s="45"/>
      <c r="AI142" t="e">
        <f>VLOOKUP($B142,'[1]CALC GDP Growth rates WDI'!$B$1:$CZ$600,30,FALSE)</f>
        <v>#VALUE!</v>
      </c>
      <c r="AJ142" s="45"/>
      <c r="AK142" t="e">
        <f>VLOOKUP($B142,[1]Data_Aspire!$B$1:$CZ$600,2,FALSE)</f>
        <v>#N/A</v>
      </c>
      <c r="AL142" t="e">
        <f>VLOOKUP($B142,[1]Data_Aspire!$B$1:$CZ$600,3,FALSE)</f>
        <v>#N/A</v>
      </c>
      <c r="AM142" t="e">
        <f>VLOOKUP($B142,[1]Data_Aspire!$B$1:$CZ$600,4,FALSE)</f>
        <v>#N/A</v>
      </c>
      <c r="AN142" t="e">
        <f>VLOOKUP($B142,[1]Data_Aspire!$B$1:$CZ$600,5,FALSE)</f>
        <v>#N/A</v>
      </c>
      <c r="AO142" t="e">
        <f>VLOOKUP($B142,[1]Data_Aspire!$B$1:$CZ$600,6,FALSE)</f>
        <v>#N/A</v>
      </c>
      <c r="AP142" t="e">
        <f>VLOOKUP($B142,[1]Data_Aspire!$B$1:$CZ$600,7,FALSE)</f>
        <v>#N/A</v>
      </c>
      <c r="AQ142" t="e">
        <f>VLOOKUP($B142,[1]Data_Aspire!$B$1:$CZ$600,8,FALSE)</f>
        <v>#N/A</v>
      </c>
      <c r="AR142" t="e">
        <f>VLOOKUP($B142,[1]Data_Aspire!$B$1:$CZ$600,9,FALSE)</f>
        <v>#N/A</v>
      </c>
      <c r="AS142" t="e">
        <f>VLOOKUP($B142,[1]Data_Aspire!$B$1:$CZ$600,10,FALSE)</f>
        <v>#N/A</v>
      </c>
      <c r="AT142" t="e">
        <f>VLOOKUP($B142,[1]Data_Aspire!$B$1:$CZ$600,11,FALSE)</f>
        <v>#N/A</v>
      </c>
      <c r="AU142" t="e">
        <f>VLOOKUP($B142,[1]Data_Aspire!$B$1:$CZ$600,12,FALSE)</f>
        <v>#N/A</v>
      </c>
      <c r="AV142" t="e">
        <f>VLOOKUP($B142,[1]Data_Aspire!$B$1:$CZ$600,13,FALSE)</f>
        <v>#N/A</v>
      </c>
      <c r="AW142" t="e">
        <f>VLOOKUP($B142,[1]Data_Aspire!$B$1:$CZ$600,14,FALSE)</f>
        <v>#N/A</v>
      </c>
      <c r="AX142" t="e">
        <f>VLOOKUP($B142,[1]Data_Aspire!$B$1:$CZ$600,15,FALSE)</f>
        <v>#N/A</v>
      </c>
      <c r="AY142" t="e">
        <f>VLOOKUP($B142,[1]Data_Aspire!$B$1:$CZ$600,16,FALSE)</f>
        <v>#N/A</v>
      </c>
      <c r="AZ142" t="e">
        <f>VLOOKUP($B142,[1]Data_Aspire!$B$1:$CZ$600,17,FALSE)</f>
        <v>#N/A</v>
      </c>
      <c r="BA142" t="e">
        <f>VLOOKUP($B142,[1]Data_Aspire!$B$1:$CZ$600,18,FALSE)</f>
        <v>#N/A</v>
      </c>
      <c r="BB142" t="e">
        <f>VLOOKUP($B142,[1]Data_Aspire!$B$1:$CZ$600,19,FALSE)</f>
        <v>#N/A</v>
      </c>
      <c r="BC142" t="e">
        <f>VLOOKUP($B142,[1]Data_Aspire!$B$1:$CZ$600,20,FALSE)</f>
        <v>#N/A</v>
      </c>
      <c r="BD142" t="e">
        <f>VLOOKUP($B142,[1]Data_Aspire!$B$1:$CZ$600,21,FALSE)</f>
        <v>#N/A</v>
      </c>
      <c r="BE142" t="e">
        <f>VLOOKUP($B142,[1]Data_Aspire!$B$1:$CZ$600,22,FALSE)</f>
        <v>#N/A</v>
      </c>
      <c r="BF142" t="e">
        <f>VLOOKUP($B142,[1]Data_Aspire!$B$1:$CZ$600,23,FALSE)</f>
        <v>#N/A</v>
      </c>
      <c r="BG142" t="e">
        <f>VLOOKUP($B142,[1]Data_Aspire!$B$1:$CZ$600,24,FALSE)</f>
        <v>#N/A</v>
      </c>
      <c r="BH142" t="e">
        <f>VLOOKUP($B142,[1]Data_Aspire!$B$1:$CZ$600,25,FALSE)</f>
        <v>#N/A</v>
      </c>
      <c r="BI142" t="e">
        <f>VLOOKUP($B142,[1]Data_Aspire!$B$1:$CZ$600,26,FALSE)</f>
        <v>#N/A</v>
      </c>
      <c r="BJ142" s="7">
        <v>0</v>
      </c>
      <c r="BK142">
        <v>408</v>
      </c>
      <c r="BL142">
        <f>VLOOKUP($B142,'[1]Data_UN_PopulationTot.&amp;%'!$B$4:$CZ$603,8,FALSE)</f>
        <v>25778.799999999999</v>
      </c>
      <c r="BM142">
        <f>VLOOKUP($B142,'[1]Data_UN_PopulationTot.&amp;%'!$B$4:$CZ$603,9,FALSE)</f>
        <v>25887</v>
      </c>
      <c r="BN142">
        <v>25990.7</v>
      </c>
      <c r="BO142">
        <f>VLOOKUP($B142,'[1]Data_UN_PopulationTot.&amp;%'!$B$4:$CZ$603,11,FALSE)</f>
        <v>26089.8</v>
      </c>
      <c r="BP142">
        <f>VLOOKUP($B142,'[1]Data_UN_PopulationTot.&amp;%'!$B$4:$CZ$603,12,FALSE)</f>
        <v>26184.7</v>
      </c>
      <c r="BQ142">
        <f>VLOOKUP($B142,'[1]Data_UN_PopulationTot.&amp;%'!$B$4:$CZ$603,13,FALSE)</f>
        <v>26275.5</v>
      </c>
      <c r="BR142">
        <f>VLOOKUP($B142,'[1]Data_UN_PopulationTot.&amp;%'!$B$4:$CZ$603,14,FALSE)</f>
        <v>26362.1</v>
      </c>
      <c r="BS142">
        <f>VLOOKUP($B142,'[1]Data_UN_PopulationTot.&amp;%'!$B$4:$CZ$603,15,FALSE)</f>
        <v>26443.9</v>
      </c>
      <c r="BT142">
        <f>VLOOKUP($B142,'[1]Data_UN_PopulationTot.&amp;%'!$B$4:$CZ$603,16,FALSE)</f>
        <v>26520.1</v>
      </c>
      <c r="BU142">
        <f>VLOOKUP($B142,'[1]Data_UN_PopulationTot.&amp;%'!$B$4:$CZ$603,17,FALSE)</f>
        <v>26589.599999999999</v>
      </c>
      <c r="BV142">
        <f>VLOOKUP($B142,'[1]Data_UN_PopulationTot.&amp;%'!$B$4:$CZ$603,18,FALSE)</f>
        <v>26651.3</v>
      </c>
      <c r="BW142">
        <f>VLOOKUP($B142,'[1]Data_UN_PopulationTot.&amp;%'!$B$4:$CZ$603,61,FALSE)</f>
        <v>6.773356401384083</v>
      </c>
      <c r="BX142">
        <f>VLOOKUP($B142,'[1]Data_UN_PopulationTot.&amp;%'!$B$4:$CZ$603,62,FALSE)</f>
        <v>6.5335857371173214</v>
      </c>
      <c r="BY142">
        <f>VLOOKUP($B142,'[1]Data_UN_PopulationTot.&amp;%'!$B$4:$CZ$603,63,FALSE)</f>
        <v>6.5363399382438274</v>
      </c>
      <c r="BZ142">
        <f>VLOOKUP($B142,'[1]Data_UN_PopulationTot.&amp;%'!$B$4:$CZ$603,64,FALSE)</f>
        <v>7.2782286219684398</v>
      </c>
      <c r="CA142">
        <f>VLOOKUP($B142,'[1]Data_UN_PopulationTot.&amp;%'!$B$4:$CZ$603,65,FALSE)</f>
        <v>7.5289385076109046</v>
      </c>
      <c r="CB142">
        <f>VLOOKUP($B142,'[1]Data_UN_PopulationTot.&amp;%'!$B$4:$CZ$603,66,FALSE)</f>
        <v>7.699505019628532</v>
      </c>
      <c r="CC142">
        <f>VLOOKUP($B142,'[1]Data_UN_PopulationTot.&amp;%'!$B$4:$CZ$603,67,FALSE)</f>
        <v>7.1804350861948585</v>
      </c>
      <c r="CD142">
        <f>VLOOKUP($B142,'[1]Data_UN_PopulationTot.&amp;%'!$B$4:$CZ$603,68,FALSE)</f>
        <v>6.9470650301798376</v>
      </c>
      <c r="CE142">
        <f>VLOOKUP($B142,'[1]Data_UN_PopulationTot.&amp;%'!$B$4:$CZ$603,69,FALSE)</f>
        <v>6.0376355765202421</v>
      </c>
      <c r="CF142">
        <f>VLOOKUP($B142,'[1]Data_UN_PopulationTot.&amp;%'!$B$4:$CZ$603,70,FALSE)</f>
        <v>8.3707930547581721</v>
      </c>
      <c r="CG142">
        <f>VLOOKUP($B142,'[1]Data_UN_PopulationTot.&amp;%'!$B$4:$CZ$603,71,FALSE)</f>
        <v>8.3032957313761688</v>
      </c>
      <c r="CH142">
        <f>VLOOKUP($B142,'[1]Data_UN_PopulationTot.&amp;%'!$B$4:$CZ$603,72,FALSE)</f>
        <v>5.7500737039738077</v>
      </c>
      <c r="CI142">
        <f>VLOOKUP($B142,'[1]Data_UN_PopulationTot.&amp;%'!$B$4:$CZ$603,73,FALSE)</f>
        <v>5.7121355532453029</v>
      </c>
      <c r="CJ142">
        <f>VLOOKUP($B142,'[1]Data_UN_PopulationTot.&amp;%'!$B$4:$CZ$603,74,FALSE)</f>
        <v>2.5686455537108013</v>
      </c>
      <c r="CK142">
        <f>VLOOKUP($B142,'[1]Data_UN_PopulationTot.&amp;%'!$B$4:$CZ$603,75,FALSE)</f>
        <v>2.8902896954086303</v>
      </c>
      <c r="CL142">
        <f>VLOOKUP($B142,'[1]Data_UN_PopulationTot.&amp;%'!$B$4:$CZ$603,76,FALSE)</f>
        <v>2.1679713563082839</v>
      </c>
      <c r="CM142">
        <f>VLOOKUP($B142,'[1]Data_UN_PopulationTot.&amp;%'!$B$4:$CZ$603,77,FALSE)</f>
        <v>1.1973288128229398</v>
      </c>
      <c r="CN142">
        <f>VLOOKUP($B142,'[1]Data_UN_PopulationTot.&amp;%'!$B$4:$CZ$603,78,FALSE)</f>
        <v>0.41051561748413423</v>
      </c>
      <c r="CO142">
        <f>VLOOKUP($B142,'[1]Data_UN_PopulationTot.&amp;%'!$B$4:$CZ$603,79,FALSE)</f>
        <v>9.8639191894114547E-2</v>
      </c>
      <c r="CP142">
        <f>VLOOKUP($B142,'[1]Data_UN_PopulationTot.&amp;%'!$B$4:$CZ$603,80,FALSE)</f>
        <v>1.4286933449190808E-2</v>
      </c>
      <c r="CQ142">
        <f>VLOOKUP($B142,'[1]Data_UN_PopulationTot.&amp;%'!$B$4:$CZ$603,81,FALSE)</f>
        <v>1.0357347898273001E-3</v>
      </c>
      <c r="CR142">
        <f>VLOOKUP($B142,'[1]Data_UN_PopulationTot.&amp;%'!$B$4:$CZ$603,82,FALSE)</f>
        <v>6.3128252655592787</v>
      </c>
      <c r="CS142">
        <f>VLOOKUP($B142,'[1]Data_UN_PopulationTot.&amp;%'!$B$4:$CZ$603,83,FALSE)</f>
        <v>6.4949552179443408</v>
      </c>
      <c r="CT142">
        <f>VLOOKUP($B142,'[1]Data_UN_PopulationTot.&amp;%'!$B$4:$CZ$603,84,FALSE)</f>
        <v>6.5111270369550462</v>
      </c>
      <c r="CU142">
        <f>VLOOKUP($B142,'[1]Data_UN_PopulationTot.&amp;%'!$B$4:$CZ$603,85,FALSE)</f>
        <v>6.2814571897055682</v>
      </c>
      <c r="CV142">
        <f>VLOOKUP($B142,'[1]Data_UN_PopulationTot.&amp;%'!$B$4:$CZ$603,86,FALSE)</f>
        <v>6.2673865815175995</v>
      </c>
      <c r="CW142">
        <f>VLOOKUP($B142,'[1]Data_UN_PopulationTot.&amp;%'!$B$4:$CZ$603,87,FALSE)</f>
        <v>6.9489668421427853</v>
      </c>
      <c r="CX142">
        <f>VLOOKUP($B142,'[1]Data_UN_PopulationTot.&amp;%'!$B$4:$CZ$603,88,FALSE)</f>
        <v>7.1579622757614079</v>
      </c>
      <c r="CY142">
        <f>VLOOKUP($B142,'[1]Data_UN_PopulationTot.&amp;%'!$B$4:$CZ$603,89,FALSE)</f>
        <v>7.3120260550142024</v>
      </c>
      <c r="CZ142">
        <f>VLOOKUP($B142,'[1]Data_UN_PopulationTot.&amp;%'!$B$4:$CZ$603,90,FALSE)</f>
        <v>6.8106621440605153</v>
      </c>
      <c r="DA142">
        <f>VLOOKUP($B142,'[1]Data_UN_PopulationTot.&amp;%'!$B$4:$CZ$603,91,FALSE)</f>
        <v>6.5624941372465884</v>
      </c>
      <c r="DB142">
        <f>VLOOKUP($B142,'[1]Data_UN_PopulationTot.&amp;%'!$B$4:$CZ$603,92,FALSE)</f>
        <v>5.6590485267135193</v>
      </c>
      <c r="DC142">
        <f>VLOOKUP($B142,'[1]Data_UN_PopulationTot.&amp;%'!$B$4:$CZ$603,93,FALSE)</f>
        <v>7.7051400869751197</v>
      </c>
      <c r="DD142">
        <f>VLOOKUP($B142,'[1]Data_UN_PopulationTot.&amp;%'!$B$4:$CZ$603,94,FALSE)</f>
        <v>7.280920630513334</v>
      </c>
      <c r="DE142">
        <f>VLOOKUP($B142,'[1]Data_UN_PopulationTot.&amp;%'!$B$4:$CZ$603,95,FALSE)</f>
        <v>4.6245023694904193</v>
      </c>
      <c r="DF142">
        <f>VLOOKUP($B142,'[1]Data_UN_PopulationTot.&amp;%'!$B$4:$CZ$603,96,FALSE)</f>
        <v>4.1345825531962799</v>
      </c>
      <c r="DG142">
        <f>VLOOKUP($B142,'[1]Data_UN_PopulationTot.&amp;%'!$B$4:$CZ$603,97,FALSE)</f>
        <v>1.6037866820755462</v>
      </c>
      <c r="DH142">
        <f>VLOOKUP($B142,'[1]Data_UN_PopulationTot.&amp;%'!$B$4:$CZ$603,98,FALSE)</f>
        <v>1.3874557713882625</v>
      </c>
      <c r="DI142">
        <f>VLOOKUP($B142,'[1]Data_UN_PopulationTot.&amp;%'!$B$4:$CZ$603,99,FALSE)</f>
        <v>0.6952568917838905</v>
      </c>
      <c r="DJ142">
        <f>VLOOKUP($B142,'[1]Data_UN_PopulationTot.&amp;%'!$B$4:$DE$603,100,FALSE)</f>
        <v>0.21374567094288086</v>
      </c>
      <c r="DK142">
        <f>VLOOKUP($B142,'[1]Data_UN_PopulationTot.&amp;%'!$B$4:$DE$603,101,FALSE)</f>
        <v>3.2985257754781193E-2</v>
      </c>
      <c r="DL142">
        <f>VLOOKUP($B142,'[1]Data_UN_PopulationTot.&amp;%'!$B$4:$DE$603,102,FALSE)</f>
        <v>2.8253781241440378E-3</v>
      </c>
    </row>
    <row r="143" spans="1:116">
      <c r="A143" t="s">
        <v>62</v>
      </c>
      <c r="B143" t="s">
        <v>445</v>
      </c>
      <c r="C143" t="s">
        <v>485</v>
      </c>
      <c r="D143" t="s">
        <v>622</v>
      </c>
      <c r="E143" t="s">
        <v>2269</v>
      </c>
      <c r="F143">
        <v>0</v>
      </c>
      <c r="G143">
        <v>0</v>
      </c>
      <c r="H143">
        <v>0</v>
      </c>
      <c r="I143">
        <v>1</v>
      </c>
      <c r="J143" s="18">
        <f t="shared" si="5"/>
        <v>86.58589547454001</v>
      </c>
      <c r="K143">
        <f>VLOOKUP($B143,'[1]Source GDP Current USD'!$B$1:$CZ$600,64,FALSE)</f>
        <v>228539245045.341</v>
      </c>
      <c r="L143" s="45">
        <f>VLOOKUP($B143,'[1]Source GDP Current USD'!$B$1:$CZ$600,65,FALSE)</f>
        <v>228539245045.341</v>
      </c>
      <c r="M143" s="17">
        <f>VLOOKUP($B143,'[1]Source GDP Current LCU'!$B$1:$CZ$600,64,FALSE)</f>
        <v>200087571000</v>
      </c>
      <c r="N143" s="45">
        <v>200000000000</v>
      </c>
      <c r="O143" s="45">
        <f>VLOOKUP($B143,'[1]Source GNI Current USD'!$B$1:$CZ$600,64,FALSE)</f>
        <v>224930527837.94</v>
      </c>
      <c r="P143" s="45">
        <f>VLOOKUP($B143,'[1]Source GNI Current LCU'!$B$1:$CZ$600,64,FALSE)</f>
        <v>196928116000</v>
      </c>
      <c r="Q143">
        <f t="shared" si="4"/>
        <v>101.60436968787127</v>
      </c>
      <c r="R143">
        <v>21790</v>
      </c>
      <c r="S143">
        <v>21790</v>
      </c>
      <c r="T143">
        <v>0.64939899999999995</v>
      </c>
      <c r="U143" s="45">
        <v>10000000</v>
      </c>
      <c r="V143">
        <v>43.274000000000001</v>
      </c>
      <c r="W143">
        <f>VLOOKUP($B143,'[1]Source Gov. Revenue WEO'!$B$1:$CZ$600,5,FALSE)</f>
        <v>44.031999999999996</v>
      </c>
      <c r="X143">
        <f>VLOOKUP($B143,'[1]Source Gov. Revenue WEO'!$B$1:$CZ$600,6,FALSE)</f>
        <v>43.512</v>
      </c>
      <c r="Y143">
        <f>VLOOKUP($B143,'[1]Source Gov. Revenue WEO'!$B$1:$CZ$600,7,FALSE)</f>
        <v>43.360999999999997</v>
      </c>
      <c r="Z143">
        <f>VLOOKUP($B143,'[1]Source Gov. Revenue WEO'!$B$1:$CZ$600,8,FALSE)</f>
        <v>43.081000000000003</v>
      </c>
      <c r="AA143">
        <f>VLOOKUP($B143,'[1]Source Gov. Revenue WEO'!$B$1:$CZ$600,9,FALSE)</f>
        <v>42.671999999999997</v>
      </c>
      <c r="AB143">
        <f>VLOOKUP($B143,'[1]Source Gov. Revenue WEO'!$B$1:$CZ$600,10,FALSE)</f>
        <v>42.179000000000002</v>
      </c>
      <c r="AC143" t="e">
        <f>VLOOKUP($B143,[2]Summary!$B$1:$CZ$600,39,FALSE)</f>
        <v>#N/A</v>
      </c>
      <c r="AD143" t="e">
        <f>VLOOKUP($B143,[2]Summary!$B$1:$CZ$600,40,FALSE)</f>
        <v>#N/A</v>
      </c>
      <c r="AE143" t="e">
        <f>VLOOKUP($B143,[2]Summary!$B$1:$CZ$600,47,FALSE)</f>
        <v>#N/A</v>
      </c>
      <c r="AF143">
        <f>VLOOKUP($B143,'[1]CALC GDP Growth rates WDI'!$B$1:$CZ$600,27,FALSE)</f>
        <v>-2.109448096268546</v>
      </c>
      <c r="AG143">
        <f>VLOOKUP($B143,'[1]CALC GDP Growth rates WDI'!$B$1:$CZ$600,29,FALSE)</f>
        <v>5.7571829464282187</v>
      </c>
      <c r="AH143">
        <v>2.11</v>
      </c>
      <c r="AI143">
        <f>VLOOKUP($B143,'[1]CALC GDP Growth rates WDI'!$B$1:$CZ$600,30,FALSE)</f>
        <v>10.368353012890385</v>
      </c>
      <c r="AK143" t="e">
        <f>VLOOKUP($B143,[1]Data_Aspire!$B$1:$CZ$600,2,FALSE)</f>
        <v>#N/A</v>
      </c>
      <c r="AL143" t="e">
        <f>VLOOKUP($B143,[1]Data_Aspire!$B$1:$CZ$600,3,FALSE)</f>
        <v>#N/A</v>
      </c>
      <c r="AM143" t="e">
        <f>VLOOKUP($B143,[1]Data_Aspire!$B$1:$CZ$600,4,FALSE)</f>
        <v>#N/A</v>
      </c>
      <c r="AN143" t="e">
        <f>VLOOKUP($B143,[1]Data_Aspire!$B$1:$CZ$600,5,FALSE)</f>
        <v>#N/A</v>
      </c>
      <c r="AO143" t="e">
        <f>VLOOKUP($B143,[1]Data_Aspire!$B$1:$CZ$600,6,FALSE)</f>
        <v>#N/A</v>
      </c>
      <c r="AP143" t="e">
        <f>VLOOKUP($B143,[1]Data_Aspire!$B$1:$CZ$600,7,FALSE)</f>
        <v>#N/A</v>
      </c>
      <c r="AQ143" t="e">
        <f>VLOOKUP($B143,[1]Data_Aspire!$B$1:$CZ$600,8,FALSE)</f>
        <v>#N/A</v>
      </c>
      <c r="AR143" t="e">
        <f>VLOOKUP($B143,[1]Data_Aspire!$B$1:$CZ$600,9,FALSE)</f>
        <v>#N/A</v>
      </c>
      <c r="AS143" t="e">
        <f>VLOOKUP($B143,[1]Data_Aspire!$B$1:$CZ$600,10,FALSE)</f>
        <v>#N/A</v>
      </c>
      <c r="AT143" t="e">
        <f>VLOOKUP($B143,[1]Data_Aspire!$B$1:$CZ$600,11,FALSE)</f>
        <v>#N/A</v>
      </c>
      <c r="AU143" t="e">
        <f>VLOOKUP($B143,[1]Data_Aspire!$B$1:$CZ$600,12,FALSE)</f>
        <v>#N/A</v>
      </c>
      <c r="AV143" t="e">
        <f>VLOOKUP($B143,[1]Data_Aspire!$B$1:$CZ$600,13,FALSE)</f>
        <v>#N/A</v>
      </c>
      <c r="AW143" t="e">
        <f>VLOOKUP($B143,[1]Data_Aspire!$B$1:$CZ$600,14,FALSE)</f>
        <v>#N/A</v>
      </c>
      <c r="AX143" t="e">
        <f>VLOOKUP($B143,[1]Data_Aspire!$B$1:$CZ$600,15,FALSE)</f>
        <v>#N/A</v>
      </c>
      <c r="AY143" t="e">
        <f>VLOOKUP($B143,[1]Data_Aspire!$B$1:$CZ$600,16,FALSE)</f>
        <v>#N/A</v>
      </c>
      <c r="AZ143" t="e">
        <f>VLOOKUP($B143,[1]Data_Aspire!$B$1:$CZ$600,17,FALSE)</f>
        <v>#N/A</v>
      </c>
      <c r="BA143" t="e">
        <f>VLOOKUP($B143,[1]Data_Aspire!$B$1:$CZ$600,18,FALSE)</f>
        <v>#N/A</v>
      </c>
      <c r="BB143" t="e">
        <f>VLOOKUP($B143,[1]Data_Aspire!$B$1:$CZ$600,19,FALSE)</f>
        <v>#N/A</v>
      </c>
      <c r="BC143" t="e">
        <f>VLOOKUP($B143,[1]Data_Aspire!$B$1:$CZ$600,20,FALSE)</f>
        <v>#N/A</v>
      </c>
      <c r="BD143" t="e">
        <f>VLOOKUP($B143,[1]Data_Aspire!$B$1:$CZ$600,21,FALSE)</f>
        <v>#N/A</v>
      </c>
      <c r="BE143" t="e">
        <f>VLOOKUP($B143,[1]Data_Aspire!$B$1:$CZ$600,22,FALSE)</f>
        <v>#N/A</v>
      </c>
      <c r="BF143" t="e">
        <f>VLOOKUP($B143,[1]Data_Aspire!$B$1:$CZ$600,23,FALSE)</f>
        <v>#N/A</v>
      </c>
      <c r="BG143" t="e">
        <f>VLOOKUP($B143,[1]Data_Aspire!$B$1:$CZ$600,24,FALSE)</f>
        <v>#N/A</v>
      </c>
      <c r="BH143" t="e">
        <f>VLOOKUP($B143,[1]Data_Aspire!$B$1:$CZ$600,25,FALSE)</f>
        <v>#N/A</v>
      </c>
      <c r="BI143" t="e">
        <f>VLOOKUP($B143,[1]Data_Aspire!$B$1:$CZ$600,26,FALSE)</f>
        <v>#N/A</v>
      </c>
      <c r="BJ143" s="7">
        <v>0</v>
      </c>
      <c r="BK143">
        <v>620</v>
      </c>
      <c r="BL143">
        <f>VLOOKUP($B143,'[1]Data_UN_PopulationTot.&amp;%'!$B$4:$CZ$603,8,FALSE)</f>
        <v>10196.700000000001</v>
      </c>
      <c r="BM143">
        <f>VLOOKUP($B143,'[1]Data_UN_PopulationTot.&amp;%'!$B$4:$CZ$603,9,FALSE)</f>
        <v>10167.9</v>
      </c>
      <c r="BN143">
        <v>10140.6</v>
      </c>
      <c r="BO143">
        <f>VLOOKUP($B143,'[1]Data_UN_PopulationTot.&amp;%'!$B$4:$CZ$603,11,FALSE)</f>
        <v>10114</v>
      </c>
      <c r="BP143">
        <f>VLOOKUP($B143,'[1]Data_UN_PopulationTot.&amp;%'!$B$4:$CZ$603,12,FALSE)</f>
        <v>10087.5</v>
      </c>
      <c r="BQ143">
        <f>VLOOKUP($B143,'[1]Data_UN_PopulationTot.&amp;%'!$B$4:$CZ$603,13,FALSE)</f>
        <v>10060.4</v>
      </c>
      <c r="BR143">
        <f>VLOOKUP($B143,'[1]Data_UN_PopulationTot.&amp;%'!$B$4:$CZ$603,14,FALSE)</f>
        <v>10032.5</v>
      </c>
      <c r="BS143">
        <f>VLOOKUP($B143,'[1]Data_UN_PopulationTot.&amp;%'!$B$4:$CZ$603,15,FALSE)</f>
        <v>10003.6</v>
      </c>
      <c r="BT143">
        <f>VLOOKUP($B143,'[1]Data_UN_PopulationTot.&amp;%'!$B$4:$CZ$603,16,FALSE)</f>
        <v>9973.8799999999992</v>
      </c>
      <c r="BU143">
        <f>VLOOKUP($B143,'[1]Data_UN_PopulationTot.&amp;%'!$B$4:$CZ$603,17,FALSE)</f>
        <v>9943.5400000000009</v>
      </c>
      <c r="BV143">
        <f>VLOOKUP($B143,'[1]Data_UN_PopulationTot.&amp;%'!$B$4:$CZ$603,18,FALSE)</f>
        <v>9912.68</v>
      </c>
      <c r="BW143">
        <f>VLOOKUP($B143,'[1]Data_UN_PopulationTot.&amp;%'!$B$4:$CZ$603,61,FALSE)</f>
        <v>3.9292320064334536</v>
      </c>
      <c r="BX143">
        <f>VLOOKUP($B143,'[1]Data_UN_PopulationTot.&amp;%'!$B$4:$CZ$603,62,FALSE)</f>
        <v>4.3192797669834349</v>
      </c>
      <c r="BY143">
        <f>VLOOKUP($B143,'[1]Data_UN_PopulationTot.&amp;%'!$B$4:$CZ$603,63,FALSE)</f>
        <v>4.8054664744476154</v>
      </c>
      <c r="BZ143">
        <f>VLOOKUP($B143,'[1]Data_UN_PopulationTot.&amp;%'!$B$4:$CZ$603,64,FALSE)</f>
        <v>5.1503623721400063</v>
      </c>
      <c r="CA143">
        <f>VLOOKUP($B143,'[1]Data_UN_PopulationTot.&amp;%'!$B$4:$CZ$603,65,FALSE)</f>
        <v>5.2942030264693472</v>
      </c>
      <c r="CB143">
        <f>VLOOKUP($B143,'[1]Data_UN_PopulationTot.&amp;%'!$B$4:$CZ$603,66,FALSE)</f>
        <v>5.2356546725901518</v>
      </c>
      <c r="CC143">
        <f>VLOOKUP($B143,'[1]Data_UN_PopulationTot.&amp;%'!$B$4:$CZ$603,67,FALSE)</f>
        <v>5.5017505663597044</v>
      </c>
      <c r="CD143">
        <f>VLOOKUP($B143,'[1]Data_UN_PopulationTot.&amp;%'!$B$4:$CZ$603,68,FALSE)</f>
        <v>6.4168995851599044</v>
      </c>
      <c r="CE143">
        <f>VLOOKUP($B143,'[1]Data_UN_PopulationTot.&amp;%'!$B$4:$CZ$603,69,FALSE)</f>
        <v>7.5068502554748102</v>
      </c>
      <c r="CF143">
        <f>VLOOKUP($B143,'[1]Data_UN_PopulationTot.&amp;%'!$B$4:$CZ$603,70,FALSE)</f>
        <v>7.9482577696705787</v>
      </c>
      <c r="CG143">
        <f>VLOOKUP($B143,'[1]Data_UN_PopulationTot.&amp;%'!$B$4:$CZ$603,71,FALSE)</f>
        <v>7.2904861376719925</v>
      </c>
      <c r="CH143">
        <f>VLOOKUP($B143,'[1]Data_UN_PopulationTot.&amp;%'!$B$4:$CZ$603,72,FALSE)</f>
        <v>7.2338893955887693</v>
      </c>
      <c r="CI143">
        <f>VLOOKUP($B143,'[1]Data_UN_PopulationTot.&amp;%'!$B$4:$CZ$603,73,FALSE)</f>
        <v>6.5954573538497749</v>
      </c>
      <c r="CJ143">
        <f>VLOOKUP($B143,'[1]Data_UN_PopulationTot.&amp;%'!$B$4:$CZ$603,74,FALSE)</f>
        <v>6.0931968185785594</v>
      </c>
      <c r="CK143">
        <f>VLOOKUP($B143,'[1]Data_UN_PopulationTot.&amp;%'!$B$4:$CZ$603,75,FALSE)</f>
        <v>5.5600635499720488</v>
      </c>
      <c r="CL143">
        <f>VLOOKUP($B143,'[1]Data_UN_PopulationTot.&amp;%'!$B$4:$CZ$603,76,FALSE)</f>
        <v>4.4266380299508663</v>
      </c>
      <c r="CM143">
        <f>VLOOKUP($B143,'[1]Data_UN_PopulationTot.&amp;%'!$B$4:$CZ$603,77,FALSE)</f>
        <v>3.4541763511724382</v>
      </c>
      <c r="CN143">
        <f>VLOOKUP($B143,'[1]Data_UN_PopulationTot.&amp;%'!$B$4:$CZ$603,78,FALSE)</f>
        <v>2.19806407955515</v>
      </c>
      <c r="CO143">
        <f>VLOOKUP($B143,'[1]Data_UN_PopulationTot.&amp;%'!$B$4:$CZ$603,79,FALSE)</f>
        <v>0.83285768925240522</v>
      </c>
      <c r="CP143">
        <f>VLOOKUP($B143,'[1]Data_UN_PopulationTot.&amp;%'!$B$4:$CZ$603,80,FALSE)</f>
        <v>0.18805103611952886</v>
      </c>
      <c r="CQ143">
        <f>VLOOKUP($B143,'[1]Data_UN_PopulationTot.&amp;%'!$B$4:$CZ$603,81,FALSE)</f>
        <v>1.9231712220620395E-2</v>
      </c>
      <c r="CR143">
        <f>VLOOKUP($B143,'[1]Data_UN_PopulationTot.&amp;%'!$B$4:$CZ$603,82,FALSE)</f>
        <v>3.8954450259667412</v>
      </c>
      <c r="CS143">
        <f>VLOOKUP($B143,'[1]Data_UN_PopulationTot.&amp;%'!$B$4:$CZ$603,83,FALSE)</f>
        <v>3.9361706420463487</v>
      </c>
      <c r="CT143">
        <f>VLOOKUP($B143,'[1]Data_UN_PopulationTot.&amp;%'!$B$4:$CZ$603,84,FALSE)</f>
        <v>4.0577926453794531</v>
      </c>
      <c r="CU143">
        <f>VLOOKUP($B143,'[1]Data_UN_PopulationTot.&amp;%'!$B$4:$CZ$603,85,FALSE)</f>
        <v>4.5031817833320549</v>
      </c>
      <c r="CV143">
        <f>VLOOKUP($B143,'[1]Data_UN_PopulationTot.&amp;%'!$B$4:$CZ$603,86,FALSE)</f>
        <v>5.0802507495450264</v>
      </c>
      <c r="CW143">
        <f>VLOOKUP($B143,'[1]Data_UN_PopulationTot.&amp;%'!$B$4:$CZ$603,87,FALSE)</f>
        <v>5.4599966911067437</v>
      </c>
      <c r="CX143">
        <f>VLOOKUP($B143,'[1]Data_UN_PopulationTot.&amp;%'!$B$4:$CZ$603,88,FALSE)</f>
        <v>5.5755759290121336</v>
      </c>
      <c r="CY143">
        <f>VLOOKUP($B143,'[1]Data_UN_PopulationTot.&amp;%'!$B$4:$CZ$603,89,FALSE)</f>
        <v>5.4670684416323336</v>
      </c>
      <c r="CZ143">
        <f>VLOOKUP($B143,'[1]Data_UN_PopulationTot.&amp;%'!$B$4:$CZ$603,90,FALSE)</f>
        <v>5.6906810267253656</v>
      </c>
      <c r="DA143">
        <f>VLOOKUP($B143,'[1]Data_UN_PopulationTot.&amp;%'!$B$4:$CZ$603,91,FALSE)</f>
        <v>6.56839522712324</v>
      </c>
      <c r="DB143">
        <f>VLOOKUP($B143,'[1]Data_UN_PopulationTot.&amp;%'!$B$4:$CZ$603,92,FALSE)</f>
        <v>7.5942530173474783</v>
      </c>
      <c r="DC143">
        <f>VLOOKUP($B143,'[1]Data_UN_PopulationTot.&amp;%'!$B$4:$CZ$603,93,FALSE)</f>
        <v>7.9393261963464967</v>
      </c>
      <c r="DD143">
        <f>VLOOKUP($B143,'[1]Data_UN_PopulationTot.&amp;%'!$B$4:$CZ$603,94,FALSE)</f>
        <v>7.1851406481395541</v>
      </c>
      <c r="DE143">
        <f>VLOOKUP($B143,'[1]Data_UN_PopulationTot.&amp;%'!$B$4:$CZ$603,95,FALSE)</f>
        <v>7.0019913888070633</v>
      </c>
      <c r="DF143">
        <f>VLOOKUP($B143,'[1]Data_UN_PopulationTot.&amp;%'!$B$4:$CZ$603,96,FALSE)</f>
        <v>6.1977386539260815</v>
      </c>
      <c r="DG143">
        <f>VLOOKUP($B143,'[1]Data_UN_PopulationTot.&amp;%'!$B$4:$CZ$603,97,FALSE)</f>
        <v>5.3974908904554564</v>
      </c>
      <c r="DH143">
        <f>VLOOKUP($B143,'[1]Data_UN_PopulationTot.&amp;%'!$B$4:$CZ$603,98,FALSE)</f>
        <v>4.3105900725131852</v>
      </c>
      <c r="DI143">
        <f>VLOOKUP($B143,'[1]Data_UN_PopulationTot.&amp;%'!$B$4:$CZ$603,99,FALSE)</f>
        <v>2.5737641081927389</v>
      </c>
      <c r="DJ143">
        <f>VLOOKUP($B143,'[1]Data_UN_PopulationTot.&amp;%'!$B$4:$DE$603,100,FALSE)</f>
        <v>1.190949369897949</v>
      </c>
      <c r="DK143">
        <f>VLOOKUP($B143,'[1]Data_UN_PopulationTot.&amp;%'!$B$4:$DE$603,101,FALSE)</f>
        <v>0.33437980445247906</v>
      </c>
      <c r="DL143">
        <f>VLOOKUP($B143,'[1]Data_UN_PopulationTot.&amp;%'!$B$4:$DE$603,102,FALSE)</f>
        <v>3.9847952319655232E-2</v>
      </c>
    </row>
    <row r="144" spans="1:116">
      <c r="A144" t="s">
        <v>188</v>
      </c>
      <c r="B144" t="s">
        <v>403</v>
      </c>
      <c r="C144" t="s">
        <v>497</v>
      </c>
      <c r="D144" t="s">
        <v>389</v>
      </c>
      <c r="E144" t="s">
        <v>301</v>
      </c>
      <c r="F144">
        <v>0</v>
      </c>
      <c r="G144">
        <v>0</v>
      </c>
      <c r="H144">
        <v>1</v>
      </c>
      <c r="I144">
        <v>0</v>
      </c>
      <c r="J144" s="18">
        <f t="shared" si="5"/>
        <v>44767.045337738622</v>
      </c>
      <c r="K144">
        <f>VLOOKUP($B144,'[1]Source GDP Current USD'!$B$1:$CZ$600,64,FALSE)</f>
        <v>35670301496.106102</v>
      </c>
      <c r="L144" s="45">
        <f>VLOOKUP($B144,'[1]Source GDP Current USD'!$B$1:$CZ$600,65,FALSE)</f>
        <v>35670301496.106102</v>
      </c>
      <c r="M144" s="17">
        <f>VLOOKUP($B144,'[1]Source GDP Current LCU'!$B$1:$CZ$600,64,FALSE)</f>
        <v>241527085717500</v>
      </c>
      <c r="N144" s="45">
        <v>240000000000000</v>
      </c>
      <c r="O144" s="45">
        <f>VLOOKUP($B144,'[1]Source GNI Current USD'!$B$1:$CZ$600,64,FALSE)</f>
        <v>34595478133.647903</v>
      </c>
      <c r="P144" s="45">
        <f>VLOOKUP($B144,'[1]Source GNI Current LCU'!$B$1:$CZ$600,64,FALSE)</f>
        <v>234249352042500</v>
      </c>
      <c r="Q144">
        <f t="shared" si="4"/>
        <v>103.10683193423715</v>
      </c>
      <c r="R144">
        <v>5180</v>
      </c>
      <c r="S144">
        <v>5180</v>
      </c>
      <c r="T144">
        <v>0.382662</v>
      </c>
      <c r="U144" s="45">
        <v>7100000</v>
      </c>
      <c r="V144">
        <v>18.535</v>
      </c>
      <c r="W144">
        <f>VLOOKUP($B144,'[1]Source Gov. Revenue WEO'!$B$1:$CZ$600,5,FALSE)</f>
        <v>18.187999999999999</v>
      </c>
      <c r="X144">
        <f>VLOOKUP($B144,'[1]Source Gov. Revenue WEO'!$B$1:$CZ$600,6,FALSE)</f>
        <v>18.716000000000001</v>
      </c>
      <c r="Y144">
        <f>VLOOKUP($B144,'[1]Source Gov. Revenue WEO'!$B$1:$CZ$600,7,FALSE)</f>
        <v>19.175000000000001</v>
      </c>
      <c r="Z144">
        <f>VLOOKUP($B144,'[1]Source Gov. Revenue WEO'!$B$1:$CZ$600,8,FALSE)</f>
        <v>18.959</v>
      </c>
      <c r="AA144">
        <f>VLOOKUP($B144,'[1]Source Gov. Revenue WEO'!$B$1:$CZ$600,9,FALSE)</f>
        <v>19.052</v>
      </c>
      <c r="AB144">
        <f>VLOOKUP($B144,'[1]Source Gov. Revenue WEO'!$B$1:$CZ$600,10,FALSE)</f>
        <v>19.254999999999999</v>
      </c>
      <c r="AC144">
        <f>VLOOKUP($B144,[2]Summary!$B$1:$CZ$600,39,FALSE)</f>
        <v>1.6341349999999998E-2</v>
      </c>
      <c r="AD144">
        <f>VLOOKUP($B144,[2]Summary!$B$1:$CZ$600,40,FALSE)</f>
        <v>1.4250000000000001E-2</v>
      </c>
      <c r="AE144">
        <f>VLOOKUP($B144,[2]Summary!$B$1:$CZ$600,47,FALSE)</f>
        <v>0.2</v>
      </c>
      <c r="AF144">
        <f>VLOOKUP($B144,'[1]CALC GDP Growth rates WDI'!$B$1:$CZ$600,27,FALSE)</f>
        <v>35.791188289954661</v>
      </c>
      <c r="AG144">
        <f>VLOOKUP($B144,'[1]CALC GDP Growth rates WDI'!$B$1:$CZ$600,29,FALSE)</f>
        <v>52.282269409742767</v>
      </c>
      <c r="AH144" s="45">
        <v>11.71</v>
      </c>
      <c r="AI144">
        <f>VLOOKUP($B144,'[1]CALC GDP Growth rates WDI'!$B$1:$CZ$600,30,FALSE)</f>
        <v>16.085539965941731</v>
      </c>
      <c r="AK144">
        <f>VLOOKUP($B144,[1]Data_Aspire!$B$1:$CZ$600,2,FALSE)</f>
        <v>2017</v>
      </c>
      <c r="AL144">
        <f>VLOOKUP($B144,[1]Data_Aspire!$B$1:$CZ$600,3,FALSE)</f>
        <v>1.43</v>
      </c>
      <c r="AM144">
        <f>VLOOKUP($B144,[1]Data_Aspire!$B$1:$CZ$600,4,FALSE)</f>
        <v>0.18</v>
      </c>
      <c r="AN144">
        <f>VLOOKUP($B144,[1]Data_Aspire!$B$1:$CZ$600,5,FALSE)</f>
        <v>0.03</v>
      </c>
      <c r="AO144">
        <f>VLOOKUP($B144,[1]Data_Aspire!$B$1:$CZ$600,6,FALSE)</f>
        <v>0.47</v>
      </c>
      <c r="AP144">
        <f>VLOOKUP($B144,[1]Data_Aspire!$B$1:$CZ$600,7,FALSE)</f>
        <v>0.23</v>
      </c>
      <c r="AR144">
        <f>VLOOKUP($B144,[1]Data_Aspire!$B$1:$CZ$600,9,FALSE)</f>
        <v>0.2</v>
      </c>
      <c r="AS144">
        <f>VLOOKUP($B144,[1]Data_Aspire!$B$1:$CZ$600,10,FALSE)</f>
        <v>0.28999999999999998</v>
      </c>
      <c r="AT144">
        <f>VLOOKUP($B144,[1]Data_Aspire!$B$1:$CZ$600,11,FALSE)</f>
        <v>0.04</v>
      </c>
      <c r="AU144">
        <f>VLOOKUP($B144,[1]Data_Aspire!$B$1:$CZ$600,12,FALSE)</f>
        <v>1.43</v>
      </c>
      <c r="AV144">
        <f>VLOOKUP($B144,[1]Data_Aspire!$B$1:$CZ$600,13,FALSE)</f>
        <v>647979</v>
      </c>
      <c r="AW144">
        <f>VLOOKUP($B144,[1]Data_Aspire!$B$1:$CZ$600,14,FALSE)</f>
        <v>2015</v>
      </c>
      <c r="AZ144">
        <f>VLOOKUP($B144,[1]Data_Aspire!$B$1:$CZ$600,17,FALSE)</f>
        <v>137223</v>
      </c>
      <c r="BA144">
        <f>VLOOKUP($B144,[1]Data_Aspire!$B$1:$CZ$600,18,FALSE)</f>
        <v>2016</v>
      </c>
      <c r="BB144">
        <f>VLOOKUP($B144,[1]Data_Aspire!$B$1:$CZ$600,19,FALSE)</f>
        <v>113709</v>
      </c>
      <c r="BC144">
        <f>VLOOKUP($B144,[1]Data_Aspire!$B$1:$CZ$600,20,FALSE)</f>
        <v>2016</v>
      </c>
      <c r="BD144">
        <f>VLOOKUP($B144,[1]Data_Aspire!$B$1:$CZ$600,21,FALSE)</f>
        <v>10000</v>
      </c>
      <c r="BE144">
        <f>VLOOKUP($B144,[1]Data_Aspire!$B$1:$CZ$600,22,FALSE)</f>
        <v>2011</v>
      </c>
      <c r="BJ144" s="7">
        <v>0</v>
      </c>
      <c r="BK144">
        <v>600</v>
      </c>
      <c r="BL144">
        <f>VLOOKUP($B144,'[1]Data_UN_PopulationTot.&amp;%'!$B$4:$CZ$603,8,FALSE)</f>
        <v>7132.53</v>
      </c>
      <c r="BM144">
        <f>VLOOKUP($B144,'[1]Data_UN_PopulationTot.&amp;%'!$B$4:$CZ$603,9,FALSE)</f>
        <v>7219.64</v>
      </c>
      <c r="BN144">
        <v>7305.84</v>
      </c>
      <c r="BO144">
        <f>VLOOKUP($B144,'[1]Data_UN_PopulationTot.&amp;%'!$B$4:$CZ$603,11,FALSE)</f>
        <v>7391.01</v>
      </c>
      <c r="BP144">
        <f>VLOOKUP($B144,'[1]Data_UN_PopulationTot.&amp;%'!$B$4:$CZ$603,12,FALSE)</f>
        <v>7475.02</v>
      </c>
      <c r="BQ144">
        <f>VLOOKUP($B144,'[1]Data_UN_PopulationTot.&amp;%'!$B$4:$CZ$603,13,FALSE)</f>
        <v>7557.75</v>
      </c>
      <c r="BR144">
        <f>VLOOKUP($B144,'[1]Data_UN_PopulationTot.&amp;%'!$B$4:$CZ$603,14,FALSE)</f>
        <v>7639.09</v>
      </c>
      <c r="BS144">
        <f>VLOOKUP($B144,'[1]Data_UN_PopulationTot.&amp;%'!$B$4:$CZ$603,15,FALSE)</f>
        <v>7718.99</v>
      </c>
      <c r="BT144">
        <f>VLOOKUP($B144,'[1]Data_UN_PopulationTot.&amp;%'!$B$4:$CZ$603,16,FALSE)</f>
        <v>7797.42</v>
      </c>
      <c r="BU144">
        <f>VLOOKUP($B144,'[1]Data_UN_PopulationTot.&amp;%'!$B$4:$CZ$603,17,FALSE)</f>
        <v>7874.41</v>
      </c>
      <c r="BV144">
        <f>VLOOKUP($B144,'[1]Data_UN_PopulationTot.&amp;%'!$B$4:$CZ$603,18,FALSE)</f>
        <v>7949.97</v>
      </c>
      <c r="BW144">
        <f>VLOOKUP($B144,'[1]Data_UN_PopulationTot.&amp;%'!$B$4:$CZ$603,61,FALSE)</f>
        <v>9.8294994903631672</v>
      </c>
      <c r="BX144">
        <f>VLOOKUP($B144,'[1]Data_UN_PopulationTot.&amp;%'!$B$4:$CZ$603,62,FALSE)</f>
        <v>9.5733070873869437</v>
      </c>
      <c r="BY144">
        <f>VLOOKUP($B144,'[1]Data_UN_PopulationTot.&amp;%'!$B$4:$CZ$603,63,FALSE)</f>
        <v>9.49068563328861</v>
      </c>
      <c r="BZ144">
        <f>VLOOKUP($B144,'[1]Data_UN_PopulationTot.&amp;%'!$B$4:$CZ$603,64,FALSE)</f>
        <v>9.2442933993968488</v>
      </c>
      <c r="CA144">
        <f>VLOOKUP($B144,'[1]Data_UN_PopulationTot.&amp;%'!$B$4:$CZ$603,65,FALSE)</f>
        <v>9.5027711064657279</v>
      </c>
      <c r="CB144">
        <f>VLOOKUP($B144,'[1]Data_UN_PopulationTot.&amp;%'!$B$4:$CZ$603,66,FALSE)</f>
        <v>9.0186091050440726</v>
      </c>
      <c r="CC144">
        <f>VLOOKUP($B144,'[1]Data_UN_PopulationTot.&amp;%'!$B$4:$CZ$603,67,FALSE)</f>
        <v>8.3430143301184856</v>
      </c>
      <c r="CD144">
        <f>VLOOKUP($B144,'[1]Data_UN_PopulationTot.&amp;%'!$B$4:$CZ$603,68,FALSE)</f>
        <v>7.2072322163383831</v>
      </c>
      <c r="CE144">
        <f>VLOOKUP($B144,'[1]Data_UN_PopulationTot.&amp;%'!$B$4:$CZ$603,69,FALSE)</f>
        <v>5.7053247585358919</v>
      </c>
      <c r="CF144">
        <f>VLOOKUP($B144,'[1]Data_UN_PopulationTot.&amp;%'!$B$4:$CZ$603,70,FALSE)</f>
        <v>4.49635683270873</v>
      </c>
      <c r="CG144">
        <f>VLOOKUP($B144,'[1]Data_UN_PopulationTot.&amp;%'!$B$4:$CZ$603,71,FALSE)</f>
        <v>4.0773049675220436</v>
      </c>
      <c r="CH144">
        <f>VLOOKUP($B144,'[1]Data_UN_PopulationTot.&amp;%'!$B$4:$CZ$603,72,FALSE)</f>
        <v>3.6109066488328825</v>
      </c>
      <c r="CI144">
        <f>VLOOKUP($B144,'[1]Data_UN_PopulationTot.&amp;%'!$B$4:$CZ$603,73,FALSE)</f>
        <v>3.0897311332724855</v>
      </c>
      <c r="CJ144">
        <f>VLOOKUP($B144,'[1]Data_UN_PopulationTot.&amp;%'!$B$4:$CZ$603,74,FALSE)</f>
        <v>2.5486888944035289</v>
      </c>
      <c r="CK144">
        <f>VLOOKUP($B144,'[1]Data_UN_PopulationTot.&amp;%'!$B$4:$CZ$603,75,FALSE)</f>
        <v>1.7877246923602146</v>
      </c>
      <c r="CL144">
        <f>VLOOKUP($B144,'[1]Data_UN_PopulationTot.&amp;%'!$B$4:$CZ$603,76,FALSE)</f>
        <v>1.2087576217695544</v>
      </c>
      <c r="CM144">
        <f>VLOOKUP($B144,'[1]Data_UN_PopulationTot.&amp;%'!$B$4:$CZ$603,77,FALSE)</f>
        <v>0.7551738303238823</v>
      </c>
      <c r="CN144">
        <f>VLOOKUP($B144,'[1]Data_UN_PopulationTot.&amp;%'!$B$4:$CZ$603,78,FALSE)</f>
        <v>0.33924848546027847</v>
      </c>
      <c r="CO144">
        <f>VLOOKUP($B144,'[1]Data_UN_PopulationTot.&amp;%'!$B$4:$CZ$603,79,FALSE)</f>
        <v>0.13557601580364892</v>
      </c>
      <c r="CP144">
        <f>VLOOKUP($B144,'[1]Data_UN_PopulationTot.&amp;%'!$B$4:$CZ$603,80,FALSE)</f>
        <v>3.1293243771845336E-2</v>
      </c>
      <c r="CQ144">
        <f>VLOOKUP($B144,'[1]Data_UN_PopulationTot.&amp;%'!$B$4:$CZ$603,81,FALSE)</f>
        <v>4.5005068327788316E-3</v>
      </c>
      <c r="CR144">
        <f>VLOOKUP($B144,'[1]Data_UN_PopulationTot.&amp;%'!$B$4:$CZ$603,82,FALSE)</f>
        <v>8.6034538495113821</v>
      </c>
      <c r="CS144">
        <f>VLOOKUP($B144,'[1]Data_UN_PopulationTot.&amp;%'!$B$4:$CZ$603,83,FALSE)</f>
        <v>8.7541462420612906</v>
      </c>
      <c r="CT144">
        <f>VLOOKUP($B144,'[1]Data_UN_PopulationTot.&amp;%'!$B$4:$CZ$603,84,FALSE)</f>
        <v>8.7175800663398721</v>
      </c>
      <c r="CU144">
        <f>VLOOKUP($B144,'[1]Data_UN_PopulationTot.&amp;%'!$B$4:$CZ$603,85,FALSE)</f>
        <v>8.4459186638440134</v>
      </c>
      <c r="CV144">
        <f>VLOOKUP($B144,'[1]Data_UN_PopulationTot.&amp;%'!$B$4:$CZ$603,86,FALSE)</f>
        <v>8.2855532788174031</v>
      </c>
      <c r="CW144">
        <f>VLOOKUP($B144,'[1]Data_UN_PopulationTot.&amp;%'!$B$4:$CZ$603,87,FALSE)</f>
        <v>7.9665961003626427</v>
      </c>
      <c r="CX144">
        <f>VLOOKUP($B144,'[1]Data_UN_PopulationTot.&amp;%'!$B$4:$CZ$603,88,FALSE)</f>
        <v>8.1303451459565252</v>
      </c>
      <c r="CY144">
        <f>VLOOKUP($B144,'[1]Data_UN_PopulationTot.&amp;%'!$B$4:$CZ$603,89,FALSE)</f>
        <v>7.6638779768980259</v>
      </c>
      <c r="CZ144">
        <f>VLOOKUP($B144,'[1]Data_UN_PopulationTot.&amp;%'!$B$4:$CZ$603,90,FALSE)</f>
        <v>7.0768443151357801</v>
      </c>
      <c r="DA144">
        <f>VLOOKUP($B144,'[1]Data_UN_PopulationTot.&amp;%'!$B$4:$CZ$603,91,FALSE)</f>
        <v>6.0934695351051635</v>
      </c>
      <c r="DB144">
        <f>VLOOKUP($B144,'[1]Data_UN_PopulationTot.&amp;%'!$B$4:$CZ$603,92,FALSE)</f>
        <v>4.7435147554015931</v>
      </c>
      <c r="DC144">
        <f>VLOOKUP($B144,'[1]Data_UN_PopulationTot.&amp;%'!$B$4:$CZ$603,93,FALSE)</f>
        <v>3.6879384450507362</v>
      </c>
      <c r="DD144">
        <f>VLOOKUP($B144,'[1]Data_UN_PopulationTot.&amp;%'!$B$4:$CZ$603,94,FALSE)</f>
        <v>3.306943296641371</v>
      </c>
      <c r="DE144">
        <f>VLOOKUP($B144,'[1]Data_UN_PopulationTot.&amp;%'!$B$4:$CZ$603,95,FALSE)</f>
        <v>2.8239854993163496</v>
      </c>
      <c r="DF144">
        <f>VLOOKUP($B144,'[1]Data_UN_PopulationTot.&amp;%'!$B$4:$CZ$603,96,FALSE)</f>
        <v>2.2734802772840657</v>
      </c>
      <c r="DG144">
        <f>VLOOKUP($B144,'[1]Data_UN_PopulationTot.&amp;%'!$B$4:$CZ$603,97,FALSE)</f>
        <v>1.7146479798036973</v>
      </c>
      <c r="DH144">
        <f>VLOOKUP($B144,'[1]Data_UN_PopulationTot.&amp;%'!$B$4:$CZ$603,98,FALSE)</f>
        <v>1.0072490839588073</v>
      </c>
      <c r="DI144">
        <f>VLOOKUP($B144,'[1]Data_UN_PopulationTot.&amp;%'!$B$4:$CZ$603,99,FALSE)</f>
        <v>0.47710871864925275</v>
      </c>
      <c r="DJ144">
        <f>VLOOKUP($B144,'[1]Data_UN_PopulationTot.&amp;%'!$B$4:$DE$603,100,FALSE)</f>
        <v>0.17745978915643706</v>
      </c>
      <c r="DK144">
        <f>VLOOKUP($B144,'[1]Data_UN_PopulationTot.&amp;%'!$B$4:$DE$603,101,FALSE)</f>
        <v>4.1849214525337831E-2</v>
      </c>
      <c r="DL144">
        <f>VLOOKUP($B144,'[1]Data_UN_PopulationTot.&amp;%'!$B$4:$DE$603,102,FALSE)</f>
        <v>8.0251875164308803E-3</v>
      </c>
    </row>
    <row r="145" spans="1:116">
      <c r="A145" t="s">
        <v>260</v>
      </c>
      <c r="B145" t="s">
        <v>580</v>
      </c>
      <c r="C145" t="s">
        <v>487</v>
      </c>
      <c r="D145" t="s">
        <v>622</v>
      </c>
      <c r="E145" t="s">
        <v>2269</v>
      </c>
      <c r="F145">
        <v>0</v>
      </c>
      <c r="G145">
        <v>0</v>
      </c>
      <c r="H145">
        <v>0</v>
      </c>
      <c r="I145">
        <v>1</v>
      </c>
      <c r="J145" s="18">
        <f t="shared" si="5"/>
        <v>188.05392146184414</v>
      </c>
      <c r="K145">
        <f>VLOOKUP($B145,'[1]Source GDP Current USD'!$B$1:$CZ$600,64,FALSE)</f>
        <v>144411363345.26999</v>
      </c>
      <c r="L145" s="45">
        <f>VLOOKUP($B145,'[1]Source GDP Current USD'!$B$1:$CZ$600,65,FALSE)</f>
        <v>144411363345.26999</v>
      </c>
      <c r="M145" s="17">
        <f>VLOOKUP($B145,'[1]Source GDP Current LCU'!$B$1:$CZ$600,64,FALSE)</f>
        <v>525657362576.78302</v>
      </c>
      <c r="N145" s="45">
        <v>530000000000</v>
      </c>
      <c r="O145" s="45">
        <f>VLOOKUP($B145,'[1]Source GNI Current USD'!$B$1:$CZ$600,64,FALSE)</f>
        <v>141358890817.798</v>
      </c>
      <c r="P145" s="45">
        <f>VLOOKUP($B145,'[1]Source GNI Current LCU'!$B$1:$CZ$600,64,FALSE)</f>
        <v>514546362576.78302</v>
      </c>
      <c r="Q145">
        <f t="shared" si="4"/>
        <v>102.15937781473326</v>
      </c>
      <c r="R145">
        <v>55990</v>
      </c>
      <c r="S145">
        <v>55990</v>
      </c>
      <c r="T145">
        <v>0.55713100000000004</v>
      </c>
      <c r="U145" s="45">
        <v>2900000</v>
      </c>
      <c r="V145">
        <v>35.774999999999999</v>
      </c>
      <c r="W145">
        <f>VLOOKUP($B145,'[1]Source Gov. Revenue WEO'!$B$1:$CZ$600,5,FALSE)</f>
        <v>34.347999999999999</v>
      </c>
      <c r="X145">
        <f>VLOOKUP($B145,'[1]Source Gov. Revenue WEO'!$B$1:$CZ$600,6,FALSE)</f>
        <v>36.439</v>
      </c>
      <c r="Y145">
        <f>VLOOKUP($B145,'[1]Source Gov. Revenue WEO'!$B$1:$CZ$600,7,FALSE)</f>
        <v>36.703000000000003</v>
      </c>
      <c r="Z145">
        <f>VLOOKUP($B145,'[1]Source Gov. Revenue WEO'!$B$1:$CZ$600,8,FALSE)</f>
        <v>35.78</v>
      </c>
      <c r="AA145">
        <f>VLOOKUP($B145,'[1]Source Gov. Revenue WEO'!$B$1:$CZ$600,9,FALSE)</f>
        <v>35.591999999999999</v>
      </c>
      <c r="AB145">
        <f>VLOOKUP($B145,'[1]Source Gov. Revenue WEO'!$B$1:$CZ$600,10,FALSE)</f>
        <v>35.795999999999999</v>
      </c>
      <c r="AC145" t="e">
        <f>VLOOKUP($B145,[2]Summary!$B$1:$CZ$600,39,FALSE)</f>
        <v>#N/A</v>
      </c>
      <c r="AD145" t="e">
        <f>VLOOKUP($B145,[2]Summary!$B$1:$CZ$600,40,FALSE)</f>
        <v>#N/A</v>
      </c>
      <c r="AE145" t="e">
        <f>VLOOKUP($B145,[2]Summary!$B$1:$CZ$600,47,FALSE)</f>
        <v>#N/A</v>
      </c>
      <c r="AF145">
        <f>VLOOKUP($B145,'[1]CALC GDP Growth rates WDI'!$B$1:$CZ$600,27,FALSE)</f>
        <v>38.019837053508994</v>
      </c>
      <c r="AG145">
        <f>VLOOKUP($B145,'[1]CALC GDP Growth rates WDI'!$B$1:$CZ$600,29,FALSE)</f>
        <v>69.920104918962281</v>
      </c>
      <c r="AH145">
        <v>-0.19</v>
      </c>
      <c r="AI145">
        <f>VLOOKUP($B145,'[1]CALC GDP Growth rates WDI'!$B$1:$CZ$600,30,FALSE)</f>
        <v>7.621565474865899</v>
      </c>
      <c r="AM145">
        <f>VLOOKUP($B145,[1]Data_Aspire!$B$1:$CZ$600,4,FALSE)</f>
        <v>0</v>
      </c>
      <c r="AN145">
        <f>VLOOKUP($B145,[1]Data_Aspire!$B$1:$CZ$600,5,FALSE)</f>
        <v>0</v>
      </c>
      <c r="AO145">
        <f>VLOOKUP($B145,[1]Data_Aspire!$B$1:$CZ$600,6,FALSE)</f>
        <v>0</v>
      </c>
      <c r="AP145">
        <f>VLOOKUP($B145,[1]Data_Aspire!$B$1:$CZ$600,7,FALSE)</f>
        <v>0</v>
      </c>
      <c r="BJ145" s="7">
        <v>0</v>
      </c>
      <c r="BK145">
        <v>634</v>
      </c>
      <c r="BL145">
        <f>VLOOKUP($B145,'[1]Data_UN_PopulationTot.&amp;%'!$B$4:$CZ$603,8,FALSE)</f>
        <v>2881.06</v>
      </c>
      <c r="BM145">
        <f>VLOOKUP($B145,'[1]Data_UN_PopulationTot.&amp;%'!$B$4:$CZ$603,9,FALSE)</f>
        <v>2930.52</v>
      </c>
      <c r="BN145">
        <v>2979.92</v>
      </c>
      <c r="BO145">
        <f>VLOOKUP($B145,'[1]Data_UN_PopulationTot.&amp;%'!$B$4:$CZ$603,11,FALSE)</f>
        <v>3028.94</v>
      </c>
      <c r="BP145">
        <f>VLOOKUP($B145,'[1]Data_UN_PopulationTot.&amp;%'!$B$4:$CZ$603,12,FALSE)</f>
        <v>3076.46</v>
      </c>
      <c r="BQ145">
        <f>VLOOKUP($B145,'[1]Data_UN_PopulationTot.&amp;%'!$B$4:$CZ$603,13,FALSE)</f>
        <v>3121.71</v>
      </c>
      <c r="BR145">
        <f>VLOOKUP($B145,'[1]Data_UN_PopulationTot.&amp;%'!$B$4:$CZ$603,14,FALSE)</f>
        <v>3165.1</v>
      </c>
      <c r="BS145">
        <f>VLOOKUP($B145,'[1]Data_UN_PopulationTot.&amp;%'!$B$4:$CZ$603,15,FALSE)</f>
        <v>3207.42</v>
      </c>
      <c r="BT145">
        <f>VLOOKUP($B145,'[1]Data_UN_PopulationTot.&amp;%'!$B$4:$CZ$603,16,FALSE)</f>
        <v>3248.61</v>
      </c>
      <c r="BU145">
        <f>VLOOKUP($B145,'[1]Data_UN_PopulationTot.&amp;%'!$B$4:$CZ$603,17,FALSE)</f>
        <v>3288.49</v>
      </c>
      <c r="BV145">
        <f>VLOOKUP($B145,'[1]Data_UN_PopulationTot.&amp;%'!$B$4:$CZ$603,18,FALSE)</f>
        <v>3326.89</v>
      </c>
      <c r="BW145">
        <f>VLOOKUP($B145,'[1]Data_UN_PopulationTot.&amp;%'!$B$4:$CZ$603,61,FALSE)</f>
        <v>4.6913983047905985</v>
      </c>
      <c r="BX145">
        <f>VLOOKUP($B145,'[1]Data_UN_PopulationTot.&amp;%'!$B$4:$CZ$603,62,FALSE)</f>
        <v>4.6987567076006744</v>
      </c>
      <c r="BY145">
        <f>VLOOKUP($B145,'[1]Data_UN_PopulationTot.&amp;%'!$B$4:$CZ$603,63,FALSE)</f>
        <v>4.2490611094527706</v>
      </c>
      <c r="BZ145">
        <f>VLOOKUP($B145,'[1]Data_UN_PopulationTot.&amp;%'!$B$4:$CZ$603,64,FALSE)</f>
        <v>3.6785766349885112</v>
      </c>
      <c r="CA145">
        <f>VLOOKUP($B145,'[1]Data_UN_PopulationTot.&amp;%'!$B$4:$CZ$603,65,FALSE)</f>
        <v>8.2415152756277212</v>
      </c>
      <c r="CB145">
        <f>VLOOKUP($B145,'[1]Data_UN_PopulationTot.&amp;%'!$B$4:$CZ$603,66,FALSE)</f>
        <v>16.65803558412529</v>
      </c>
      <c r="CC145">
        <f>VLOOKUP($B145,'[1]Data_UN_PopulationTot.&amp;%'!$B$4:$CZ$603,67,FALSE)</f>
        <v>17.186452208562127</v>
      </c>
      <c r="CD145">
        <f>VLOOKUP($B145,'[1]Data_UN_PopulationTot.&amp;%'!$B$4:$CZ$603,68,FALSE)</f>
        <v>12.183987837809696</v>
      </c>
      <c r="CE145">
        <f>VLOOKUP($B145,'[1]Data_UN_PopulationTot.&amp;%'!$B$4:$CZ$603,69,FALSE)</f>
        <v>8.8508396215281877</v>
      </c>
      <c r="CF145">
        <f>VLOOKUP($B145,'[1]Data_UN_PopulationTot.&amp;%'!$B$4:$CZ$603,70,FALSE)</f>
        <v>7.177983103441095</v>
      </c>
      <c r="CG145">
        <f>VLOOKUP($B145,'[1]Data_UN_PopulationTot.&amp;%'!$B$4:$CZ$603,71,FALSE)</f>
        <v>5.4009288248075364</v>
      </c>
      <c r="CH145">
        <f>VLOOKUP($B145,'[1]Data_UN_PopulationTot.&amp;%'!$B$4:$CZ$603,72,FALSE)</f>
        <v>3.4208589893997354</v>
      </c>
      <c r="CI145">
        <f>VLOOKUP($B145,'[1]Data_UN_PopulationTot.&amp;%'!$B$4:$CZ$603,73,FALSE)</f>
        <v>1.8725399679284709</v>
      </c>
      <c r="CJ145">
        <f>VLOOKUP($B145,'[1]Data_UN_PopulationTot.&amp;%'!$B$4:$CZ$603,74,FALSE)</f>
        <v>0.96655397666136778</v>
      </c>
      <c r="CK145">
        <f>VLOOKUP($B145,'[1]Data_UN_PopulationTot.&amp;%'!$B$4:$CZ$603,75,FALSE)</f>
        <v>0.44650232900390835</v>
      </c>
      <c r="CL145">
        <f>VLOOKUP($B145,'[1]Data_UN_PopulationTot.&amp;%'!$B$4:$CZ$603,76,FALSE)</f>
        <v>0.13401317570616372</v>
      </c>
      <c r="CM145">
        <f>VLOOKUP($B145,'[1]Data_UN_PopulationTot.&amp;%'!$B$4:$CZ$603,77,FALSE)</f>
        <v>7.9623471916586253E-2</v>
      </c>
      <c r="CN145">
        <f>VLOOKUP($B145,'[1]Data_UN_PopulationTot.&amp;%'!$B$4:$CZ$603,78,FALSE)</f>
        <v>3.6444919578210798E-2</v>
      </c>
      <c r="CO145">
        <f>VLOOKUP($B145,'[1]Data_UN_PopulationTot.&amp;%'!$B$4:$CZ$603,79,FALSE)</f>
        <v>1.7910074764149304E-2</v>
      </c>
      <c r="CP145">
        <f>VLOOKUP($B145,'[1]Data_UN_PopulationTot.&amp;%'!$B$4:$CZ$603,80,FALSE)</f>
        <v>4.9287415048627934E-3</v>
      </c>
      <c r="CQ145">
        <f>VLOOKUP($B145,'[1]Data_UN_PopulationTot.&amp;%'!$B$4:$CZ$603,81,FALSE)</f>
        <v>3.089140802343582E-3</v>
      </c>
      <c r="CR145">
        <f>VLOOKUP($B145,'[1]Data_UN_PopulationTot.&amp;%'!$B$4:$CZ$603,82,FALSE)</f>
        <v>4.0391777305531589</v>
      </c>
      <c r="CS145">
        <f>VLOOKUP($B145,'[1]Data_UN_PopulationTot.&amp;%'!$B$4:$CZ$603,83,FALSE)</f>
        <v>4.3011942084048469</v>
      </c>
      <c r="CT145">
        <f>VLOOKUP($B145,'[1]Data_UN_PopulationTot.&amp;%'!$B$4:$CZ$603,84,FALSE)</f>
        <v>4.3782331246299089</v>
      </c>
      <c r="CU145">
        <f>VLOOKUP($B145,'[1]Data_UN_PopulationTot.&amp;%'!$B$4:$CZ$603,85,FALSE)</f>
        <v>4.4596605237924907</v>
      </c>
      <c r="CV145">
        <f>VLOOKUP($B145,'[1]Data_UN_PopulationTot.&amp;%'!$B$4:$CZ$603,86,FALSE)</f>
        <v>6.9076825503698664</v>
      </c>
      <c r="CW145">
        <f>VLOOKUP($B145,'[1]Data_UN_PopulationTot.&amp;%'!$B$4:$CZ$603,87,FALSE)</f>
        <v>11.602698015263506</v>
      </c>
      <c r="CX145">
        <f>VLOOKUP($B145,'[1]Data_UN_PopulationTot.&amp;%'!$B$4:$CZ$603,88,FALSE)</f>
        <v>13.555031876617502</v>
      </c>
      <c r="CY145">
        <f>VLOOKUP($B145,'[1]Data_UN_PopulationTot.&amp;%'!$B$4:$CZ$603,89,FALSE)</f>
        <v>12.790774567238472</v>
      </c>
      <c r="CZ145">
        <f>VLOOKUP($B145,'[1]Data_UN_PopulationTot.&amp;%'!$B$4:$CZ$603,90,FALSE)</f>
        <v>10.47125092804391</v>
      </c>
      <c r="DA145">
        <f>VLOOKUP($B145,'[1]Data_UN_PopulationTot.&amp;%'!$B$4:$CZ$603,91,FALSE)</f>
        <v>7.7187403250483175</v>
      </c>
      <c r="DB145">
        <f>VLOOKUP($B145,'[1]Data_UN_PopulationTot.&amp;%'!$B$4:$CZ$603,92,FALSE)</f>
        <v>5.7725683746682339</v>
      </c>
      <c r="DC145">
        <f>VLOOKUP($B145,'[1]Data_UN_PopulationTot.&amp;%'!$B$4:$CZ$603,93,FALSE)</f>
        <v>5.0840274250125486</v>
      </c>
      <c r="DD145">
        <f>VLOOKUP($B145,'[1]Data_UN_PopulationTot.&amp;%'!$B$4:$CZ$603,94,FALSE)</f>
        <v>4.2096071706608882</v>
      </c>
      <c r="DE145">
        <f>VLOOKUP($B145,'[1]Data_UN_PopulationTot.&amp;%'!$B$4:$CZ$603,95,FALSE)</f>
        <v>2.5387974955589154</v>
      </c>
      <c r="DF145">
        <f>VLOOKUP($B145,'[1]Data_UN_PopulationTot.&amp;%'!$B$4:$CZ$603,96,FALSE)</f>
        <v>1.2557974564833825</v>
      </c>
      <c r="DG145">
        <f>VLOOKUP($B145,'[1]Data_UN_PopulationTot.&amp;%'!$B$4:$CZ$603,97,FALSE)</f>
        <v>0.57489126481488728</v>
      </c>
      <c r="DH145">
        <f>VLOOKUP($B145,'[1]Data_UN_PopulationTot.&amp;%'!$B$4:$CZ$603,98,FALSE)</f>
        <v>0.23433296562254841</v>
      </c>
      <c r="DI145">
        <f>VLOOKUP($B145,'[1]Data_UN_PopulationTot.&amp;%'!$B$4:$CZ$603,99,FALSE)</f>
        <v>6.1318528716008049E-2</v>
      </c>
      <c r="DJ145">
        <f>VLOOKUP($B145,'[1]Data_UN_PopulationTot.&amp;%'!$B$4:$DE$603,100,FALSE)</f>
        <v>3.0058102311768649E-2</v>
      </c>
      <c r="DK145">
        <f>VLOOKUP($B145,'[1]Data_UN_PopulationTot.&amp;%'!$B$4:$DE$603,101,FALSE)</f>
        <v>1.0159638581377804E-2</v>
      </c>
      <c r="DL145">
        <f>VLOOKUP($B145,'[1]Data_UN_PopulationTot.&amp;%'!$B$4:$DE$603,102,FALSE)</f>
        <v>3.9376114028416937E-3</v>
      </c>
    </row>
    <row r="146" spans="1:116">
      <c r="A146" t="s">
        <v>229</v>
      </c>
      <c r="B146" t="s">
        <v>549</v>
      </c>
      <c r="C146" t="s">
        <v>485</v>
      </c>
      <c r="D146" t="s">
        <v>622</v>
      </c>
      <c r="E146" t="s">
        <v>2269</v>
      </c>
      <c r="F146">
        <v>0</v>
      </c>
      <c r="G146">
        <v>0</v>
      </c>
      <c r="H146">
        <v>0</v>
      </c>
      <c r="I146">
        <v>1</v>
      </c>
      <c r="J146" s="18">
        <f t="shared" si="5"/>
        <v>305.54971113599998</v>
      </c>
      <c r="K146">
        <f>VLOOKUP($B146,'[1]Source GDP Current USD'!$B$1:$CZ$600,64,FALSE)</f>
        <v>248715551366.63501</v>
      </c>
      <c r="L146" s="45">
        <f>VLOOKUP($B146,'[1]Source GDP Current USD'!$B$1:$CZ$600,65,FALSE)</f>
        <v>248715551366.63501</v>
      </c>
      <c r="M146" s="17">
        <f>VLOOKUP($B146,'[1]Source GDP Current LCU'!$B$1:$CZ$600,64,FALSE)</f>
        <v>1055548800000</v>
      </c>
      <c r="N146" s="45">
        <v>1100000000000</v>
      </c>
      <c r="O146" s="45">
        <f>VLOOKUP($B146,'[1]Source GNI Current USD'!$B$1:$CZ$600,64,FALSE)</f>
        <v>244825583812.44101</v>
      </c>
      <c r="P146" s="45">
        <f>VLOOKUP($B146,'[1]Source GNI Current LCU'!$B$1:$CZ$600,64,FALSE)</f>
        <v>1039039777700</v>
      </c>
      <c r="Q146">
        <f t="shared" si="4"/>
        <v>101.5888729819896</v>
      </c>
      <c r="R146">
        <v>12580</v>
      </c>
      <c r="S146">
        <v>12580</v>
      </c>
      <c r="T146">
        <v>0.40154099999999998</v>
      </c>
      <c r="U146" s="45">
        <v>19000000</v>
      </c>
      <c r="V146">
        <v>28.946999999999999</v>
      </c>
      <c r="W146">
        <f>VLOOKUP($B146,'[1]Source Gov. Revenue WEO'!$B$1:$CZ$600,5,FALSE)</f>
        <v>30.331</v>
      </c>
      <c r="X146">
        <f>VLOOKUP($B146,'[1]Source Gov. Revenue WEO'!$B$1:$CZ$600,6,FALSE)</f>
        <v>30.158999999999999</v>
      </c>
      <c r="Y146">
        <f>VLOOKUP($B146,'[1]Source Gov. Revenue WEO'!$B$1:$CZ$600,7,FALSE)</f>
        <v>29.779</v>
      </c>
      <c r="Z146">
        <f>VLOOKUP($B146,'[1]Source Gov. Revenue WEO'!$B$1:$CZ$600,8,FALSE)</f>
        <v>29.852</v>
      </c>
      <c r="AA146">
        <f>VLOOKUP($B146,'[1]Source Gov. Revenue WEO'!$B$1:$CZ$600,9,FALSE)</f>
        <v>29.963000000000001</v>
      </c>
      <c r="AB146">
        <f>VLOOKUP($B146,'[1]Source Gov. Revenue WEO'!$B$1:$CZ$600,10,FALSE)</f>
        <v>30.198</v>
      </c>
      <c r="AC146">
        <f>VLOOKUP($B146,[2]Summary!$B$1:$CZ$600,39,FALSE)</f>
        <v>3.2661330000000002E-2</v>
      </c>
      <c r="AD146">
        <f>VLOOKUP($B146,[2]Summary!$B$1:$CZ$600,40,FALSE)</f>
        <v>1.3999999999999999E-2</v>
      </c>
      <c r="AE146">
        <f>VLOOKUP($B146,[2]Summary!$B$1:$CZ$600,47,FALSE)</f>
        <v>0.37602054790372241</v>
      </c>
      <c r="AF146">
        <f>VLOOKUP($B146,'[1]CALC GDP Growth rates WDI'!$B$1:$CZ$600,27,FALSE)</f>
        <v>35.250791440765994</v>
      </c>
      <c r="AG146">
        <f>VLOOKUP($B146,'[1]CALC GDP Growth rates WDI'!$B$1:$CZ$600,29,FALSE)</f>
        <v>29.858512606442854</v>
      </c>
      <c r="AH146">
        <v>17.5</v>
      </c>
      <c r="AI146">
        <f>VLOOKUP($B146,'[1]CALC GDP Growth rates WDI'!$B$1:$CZ$600,30,FALSE)</f>
        <v>20.866829826890609</v>
      </c>
      <c r="AK146">
        <f>VLOOKUP($B146,[1]Data_Aspire!$B$1:$CZ$600,2,FALSE)</f>
        <v>2018</v>
      </c>
      <c r="AL146">
        <f>VLOOKUP($B146,[1]Data_Aspire!$B$1:$CZ$600,3,FALSE)</f>
        <v>1.1599999999999999</v>
      </c>
      <c r="AM146">
        <f>VLOOKUP($B146,[1]Data_Aspire!$B$1:$CZ$600,4,FALSE)</f>
        <v>0.15</v>
      </c>
      <c r="AN146">
        <f>VLOOKUP($B146,[1]Data_Aspire!$B$1:$CZ$600,5,FALSE)</f>
        <v>0.6</v>
      </c>
      <c r="AO146">
        <f>VLOOKUP($B146,[1]Data_Aspire!$B$1:$CZ$600,6,FALSE)</f>
        <v>0.34</v>
      </c>
      <c r="AP146">
        <f>VLOOKUP($B146,[1]Data_Aspire!$B$1:$CZ$600,7,FALSE)</f>
        <v>0</v>
      </c>
      <c r="AR146">
        <f>VLOOKUP($B146,[1]Data_Aspire!$B$1:$CZ$600,9,FALSE)</f>
        <v>0.01</v>
      </c>
      <c r="AT146">
        <f>VLOOKUP($B146,[1]Data_Aspire!$B$1:$CZ$600,11,FALSE)</f>
        <v>7.0000000000000007E-2</v>
      </c>
      <c r="AU146">
        <f>VLOOKUP($B146,[1]Data_Aspire!$B$1:$CZ$600,12,FALSE)</f>
        <v>1.1599999999999999</v>
      </c>
      <c r="AV146">
        <f>VLOOKUP($B146,[1]Data_Aspire!$B$1:$CZ$600,13,FALSE)</f>
        <v>215487</v>
      </c>
      <c r="AW146">
        <f>VLOOKUP($B146,[1]Data_Aspire!$B$1:$CZ$600,14,FALSE)</f>
        <v>2014</v>
      </c>
      <c r="AX146">
        <f>VLOOKUP($B146,[1]Data_Aspire!$B$1:$CZ$600,15,FALSE)</f>
        <v>3635792</v>
      </c>
      <c r="AY146">
        <f>VLOOKUP($B146,[1]Data_Aspire!$B$1:$CZ$600,16,FALSE)</f>
        <v>2017</v>
      </c>
      <c r="AZ146">
        <f>VLOOKUP($B146,[1]Data_Aspire!$B$1:$CZ$600,17,FALSE)</f>
        <v>1336514</v>
      </c>
      <c r="BA146">
        <f>VLOOKUP($B146,[1]Data_Aspire!$B$1:$CZ$600,18,FALSE)</f>
        <v>2014</v>
      </c>
      <c r="BB146">
        <f>VLOOKUP($B146,[1]Data_Aspire!$B$1:$CZ$600,19,FALSE)</f>
        <v>680260</v>
      </c>
      <c r="BC146">
        <f>VLOOKUP($B146,[1]Data_Aspire!$B$1:$CZ$600,20,FALSE)</f>
        <v>2014</v>
      </c>
      <c r="BF146">
        <f>VLOOKUP($B146,[1]Data_Aspire!$B$1:$CZ$600,23,FALSE)</f>
        <v>2812</v>
      </c>
      <c r="BG146">
        <f>VLOOKUP($B146,[1]Data_Aspire!$B$1:$CZ$600,24,FALSE)</f>
        <v>2012</v>
      </c>
      <c r="BH146">
        <f>VLOOKUP($B146,[1]Data_Aspire!$B$1:$CZ$600,25,FALSE)</f>
        <v>3592213</v>
      </c>
      <c r="BI146">
        <f>VLOOKUP($B146,[1]Data_Aspire!$B$1:$CZ$600,26,FALSE)</f>
        <v>2009</v>
      </c>
      <c r="BJ146" s="7">
        <v>0</v>
      </c>
      <c r="BK146">
        <v>642</v>
      </c>
      <c r="BL146">
        <f>VLOOKUP($B146,'[1]Data_UN_PopulationTot.&amp;%'!$B$4:$CZ$603,8,FALSE)</f>
        <v>19237.7</v>
      </c>
      <c r="BM146">
        <f>VLOOKUP($B146,'[1]Data_UN_PopulationTot.&amp;%'!$B$4:$CZ$603,9,FALSE)</f>
        <v>19127.8</v>
      </c>
      <c r="BN146">
        <v>19031.3</v>
      </c>
      <c r="BO146">
        <f>VLOOKUP($B146,'[1]Data_UN_PopulationTot.&amp;%'!$B$4:$CZ$603,11,FALSE)</f>
        <v>18944.099999999999</v>
      </c>
      <c r="BP146">
        <f>VLOOKUP($B146,'[1]Data_UN_PopulationTot.&amp;%'!$B$4:$CZ$603,12,FALSE)</f>
        <v>18859.599999999999</v>
      </c>
      <c r="BQ146">
        <f>VLOOKUP($B146,'[1]Data_UN_PopulationTot.&amp;%'!$B$4:$CZ$603,13,FALSE)</f>
        <v>18772.900000000001</v>
      </c>
      <c r="BR146">
        <f>VLOOKUP($B146,'[1]Data_UN_PopulationTot.&amp;%'!$B$4:$CZ$603,14,FALSE)</f>
        <v>18682.900000000001</v>
      </c>
      <c r="BS146">
        <f>VLOOKUP($B146,'[1]Data_UN_PopulationTot.&amp;%'!$B$4:$CZ$603,15,FALSE)</f>
        <v>18590.7</v>
      </c>
      <c r="BT146">
        <f>VLOOKUP($B146,'[1]Data_UN_PopulationTot.&amp;%'!$B$4:$CZ$603,16,FALSE)</f>
        <v>18496.7</v>
      </c>
      <c r="BU146">
        <f>VLOOKUP($B146,'[1]Data_UN_PopulationTot.&amp;%'!$B$4:$CZ$603,17,FALSE)</f>
        <v>18401.599999999999</v>
      </c>
      <c r="BV146">
        <f>VLOOKUP($B146,'[1]Data_UN_PopulationTot.&amp;%'!$B$4:$CZ$603,18,FALSE)</f>
        <v>18306.099999999999</v>
      </c>
      <c r="BW146">
        <f>VLOOKUP($B146,'[1]Data_UN_PopulationTot.&amp;%'!$B$4:$CZ$603,61,FALSE)</f>
        <v>4.8841909375860935</v>
      </c>
      <c r="BX146">
        <f>VLOOKUP($B146,'[1]Data_UN_PopulationTot.&amp;%'!$B$4:$CZ$603,62,FALSE)</f>
        <v>5.0184845381724426</v>
      </c>
      <c r="BY146">
        <f>VLOOKUP($B146,'[1]Data_UN_PopulationTot.&amp;%'!$B$4:$CZ$603,63,FALSE)</f>
        <v>5.6179272990014395</v>
      </c>
      <c r="BZ146">
        <f>VLOOKUP($B146,'[1]Data_UN_PopulationTot.&amp;%'!$B$4:$CZ$603,64,FALSE)</f>
        <v>5.1697708145984187</v>
      </c>
      <c r="CA146">
        <f>VLOOKUP($B146,'[1]Data_UN_PopulationTot.&amp;%'!$B$4:$CZ$603,65,FALSE)</f>
        <v>5.2494840859354284</v>
      </c>
      <c r="CB146">
        <f>VLOOKUP($B146,'[1]Data_UN_PopulationTot.&amp;%'!$B$4:$CZ$603,66,FALSE)</f>
        <v>5.5952114857805251</v>
      </c>
      <c r="CC146">
        <f>VLOOKUP($B146,'[1]Data_UN_PopulationTot.&amp;%'!$B$4:$CZ$603,67,FALSE)</f>
        <v>7.2574164271196659</v>
      </c>
      <c r="CD146">
        <f>VLOOKUP($B146,'[1]Data_UN_PopulationTot.&amp;%'!$B$4:$CZ$603,68,FALSE)</f>
        <v>6.1844191353436218</v>
      </c>
      <c r="CE146">
        <f>VLOOKUP($B146,'[1]Data_UN_PopulationTot.&amp;%'!$B$4:$CZ$603,69,FALSE)</f>
        <v>7.9193458677492625</v>
      </c>
      <c r="CF146">
        <f>VLOOKUP($B146,'[1]Data_UN_PopulationTot.&amp;%'!$B$4:$CZ$603,70,FALSE)</f>
        <v>7.8126283287503178</v>
      </c>
      <c r="CG146">
        <f>VLOOKUP($B146,'[1]Data_UN_PopulationTot.&amp;%'!$B$4:$CZ$603,71,FALSE)</f>
        <v>7.9331209032264773</v>
      </c>
      <c r="CH146">
        <f>VLOOKUP($B146,'[1]Data_UN_PopulationTot.&amp;%'!$B$4:$CZ$603,72,FALSE)</f>
        <v>5.4216980200335794</v>
      </c>
      <c r="CI146">
        <f>VLOOKUP($B146,'[1]Data_UN_PopulationTot.&amp;%'!$B$4:$CZ$603,73,FALSE)</f>
        <v>6.7053753827120701</v>
      </c>
      <c r="CJ146">
        <f>VLOOKUP($B146,'[1]Data_UN_PopulationTot.&amp;%'!$B$4:$CZ$603,74,FALSE)</f>
        <v>6.4768137563222208</v>
      </c>
      <c r="CK146">
        <f>VLOOKUP($B146,'[1]Data_UN_PopulationTot.&amp;%'!$B$4:$CZ$603,75,FALSE)</f>
        <v>4.8210440957079062</v>
      </c>
      <c r="CL146">
        <f>VLOOKUP($B146,'[1]Data_UN_PopulationTot.&amp;%'!$B$4:$CZ$603,76,FALSE)</f>
        <v>3.1334878909640964</v>
      </c>
      <c r="CM146">
        <f>VLOOKUP($B146,'[1]Data_UN_PopulationTot.&amp;%'!$B$4:$CZ$603,77,FALSE)</f>
        <v>2.7913420003430764</v>
      </c>
      <c r="CN146">
        <f>VLOOKUP($B146,'[1]Data_UN_PopulationTot.&amp;%'!$B$4:$CZ$603,78,FALSE)</f>
        <v>1.4274679405542243</v>
      </c>
      <c r="CO146">
        <f>VLOOKUP($B146,'[1]Data_UN_PopulationTot.&amp;%'!$B$4:$CZ$603,79,FALSE)</f>
        <v>0.48702807508174051</v>
      </c>
      <c r="CP146">
        <f>VLOOKUP($B146,'[1]Data_UN_PopulationTot.&amp;%'!$B$4:$CZ$603,80,FALSE)</f>
        <v>8.7666405027628028E-2</v>
      </c>
      <c r="CQ146">
        <f>VLOOKUP($B146,'[1]Data_UN_PopulationTot.&amp;%'!$B$4:$CZ$603,81,FALSE)</f>
        <v>6.0402231035934645E-3</v>
      </c>
      <c r="CR146">
        <f>VLOOKUP($B146,'[1]Data_UN_PopulationTot.&amp;%'!$B$4:$CZ$603,82,FALSE)</f>
        <v>4.5614958948110198</v>
      </c>
      <c r="CS146">
        <f>VLOOKUP($B146,'[1]Data_UN_PopulationTot.&amp;%'!$B$4:$CZ$603,83,FALSE)</f>
        <v>4.7669519996066887</v>
      </c>
      <c r="CT146">
        <f>VLOOKUP($B146,'[1]Data_UN_PopulationTot.&amp;%'!$B$4:$CZ$603,84,FALSE)</f>
        <v>5.1010100458317176</v>
      </c>
      <c r="CU146">
        <f>VLOOKUP($B146,'[1]Data_UN_PopulationTot.&amp;%'!$B$4:$CZ$603,85,FALSE)</f>
        <v>5.2398326240979785</v>
      </c>
      <c r="CV146">
        <f>VLOOKUP($B146,'[1]Data_UN_PopulationTot.&amp;%'!$B$4:$CZ$603,86,FALSE)</f>
        <v>5.8258722502335294</v>
      </c>
      <c r="CW146">
        <f>VLOOKUP($B146,'[1]Data_UN_PopulationTot.&amp;%'!$B$4:$CZ$603,87,FALSE)</f>
        <v>5.3054446332096958</v>
      </c>
      <c r="CX146">
        <f>VLOOKUP($B146,'[1]Data_UN_PopulationTot.&amp;%'!$B$4:$CZ$603,88,FALSE)</f>
        <v>5.3730614385368813</v>
      </c>
      <c r="CY146">
        <f>VLOOKUP($B146,'[1]Data_UN_PopulationTot.&amp;%'!$B$4:$CZ$603,89,FALSE)</f>
        <v>5.7457350282146384</v>
      </c>
      <c r="CZ146">
        <f>VLOOKUP($B146,'[1]Data_UN_PopulationTot.&amp;%'!$B$4:$CZ$603,90,FALSE)</f>
        <v>7.4720994641130547</v>
      </c>
      <c r="DA146">
        <f>VLOOKUP($B146,'[1]Data_UN_PopulationTot.&amp;%'!$B$4:$CZ$603,91,FALSE)</f>
        <v>6.3235752017087199</v>
      </c>
      <c r="DB146">
        <f>VLOOKUP($B146,'[1]Data_UN_PopulationTot.&amp;%'!$B$4:$CZ$603,92,FALSE)</f>
        <v>8.0088604344999759</v>
      </c>
      <c r="DC146">
        <f>VLOOKUP($B146,'[1]Data_UN_PopulationTot.&amp;%'!$B$4:$CZ$603,93,FALSE)</f>
        <v>7.7075401095809601</v>
      </c>
      <c r="DD146">
        <f>VLOOKUP($B146,'[1]Data_UN_PopulationTot.&amp;%'!$B$4:$CZ$603,94,FALSE)</f>
        <v>7.5333905091745379</v>
      </c>
      <c r="DE146">
        <f>VLOOKUP($B146,'[1]Data_UN_PopulationTot.&amp;%'!$B$4:$CZ$603,95,FALSE)</f>
        <v>4.9246098295103824</v>
      </c>
      <c r="DF146">
        <f>VLOOKUP($B146,'[1]Data_UN_PopulationTot.&amp;%'!$B$4:$CZ$603,96,FALSE)</f>
        <v>5.7731575813526641</v>
      </c>
      <c r="DG146">
        <f>VLOOKUP($B146,'[1]Data_UN_PopulationTot.&amp;%'!$B$4:$CZ$603,97,FALSE)</f>
        <v>5.0415817678260257</v>
      </c>
      <c r="DH146">
        <f>VLOOKUP($B146,'[1]Data_UN_PopulationTot.&amp;%'!$B$4:$CZ$603,98,FALSE)</f>
        <v>3.0642681947547539</v>
      </c>
      <c r="DI146">
        <f>VLOOKUP($B146,'[1]Data_UN_PopulationTot.&amp;%'!$B$4:$CZ$603,99,FALSE)</f>
        <v>1.3829433904545481</v>
      </c>
      <c r="DJ146">
        <f>VLOOKUP($B146,'[1]Data_UN_PopulationTot.&amp;%'!$B$4:$DE$603,100,FALSE)</f>
        <v>0.68296906495649001</v>
      </c>
      <c r="DK146">
        <f>VLOOKUP($B146,'[1]Data_UN_PopulationTot.&amp;%'!$B$4:$DE$603,101,FALSE)</f>
        <v>0.14856250102424876</v>
      </c>
      <c r="DL146">
        <f>VLOOKUP($B146,'[1]Data_UN_PopulationTot.&amp;%'!$B$4:$DE$603,102,FALSE)</f>
        <v>1.7021648521531076E-2</v>
      </c>
    </row>
    <row r="147" spans="1:116">
      <c r="A147" t="s">
        <v>223</v>
      </c>
      <c r="B147" t="s">
        <v>438</v>
      </c>
      <c r="C147" t="s">
        <v>485</v>
      </c>
      <c r="D147" t="s">
        <v>389</v>
      </c>
      <c r="E147" t="s">
        <v>301</v>
      </c>
      <c r="F147">
        <v>0</v>
      </c>
      <c r="G147">
        <v>0</v>
      </c>
      <c r="H147">
        <v>1</v>
      </c>
      <c r="I147">
        <v>0</v>
      </c>
      <c r="J147" s="18">
        <f t="shared" si="5"/>
        <v>37856.853566198872</v>
      </c>
      <c r="K147">
        <f>VLOOKUP($B147,'[1]Source GDP Current USD'!$B$1:$CZ$600,64,FALSE)</f>
        <v>1483497784867.6001</v>
      </c>
      <c r="L147" s="45">
        <f>VLOOKUP($B147,'[1]Source GDP Current USD'!$B$1:$CZ$600,65,FALSE)</f>
        <v>1483497784867.6001</v>
      </c>
      <c r="M147" s="17">
        <f>VLOOKUP($B147,'[1]Source GDP Current LCU'!$B$1:$CZ$600,64,FALSE)</f>
        <v>106967459428100</v>
      </c>
      <c r="N147" s="45">
        <v>110000000000000</v>
      </c>
      <c r="O147" s="45">
        <f>VLOOKUP($B147,'[1]Source GNI Current USD'!$B$1:$CZ$600,64,FALSE)</f>
        <v>1448704617346.3899</v>
      </c>
      <c r="P147" s="45">
        <f>VLOOKUP($B147,'[1]Source GNI Current LCU'!$B$1:$CZ$600,64,FALSE)</f>
        <v>104458701563300</v>
      </c>
      <c r="Q147">
        <f t="shared" si="4"/>
        <v>102.40167437202896</v>
      </c>
      <c r="R147">
        <v>10690</v>
      </c>
      <c r="S147">
        <v>10690</v>
      </c>
      <c r="T147">
        <v>0.33968399999999999</v>
      </c>
      <c r="U147" s="45">
        <v>140000000</v>
      </c>
      <c r="V147">
        <v>35.390999999999998</v>
      </c>
      <c r="W147">
        <f>VLOOKUP($B147,'[1]Source Gov. Revenue WEO'!$B$1:$CZ$600,5,FALSE)</f>
        <v>36.418999999999997</v>
      </c>
      <c r="X147">
        <f>VLOOKUP($B147,'[1]Source Gov. Revenue WEO'!$B$1:$CZ$600,6,FALSE)</f>
        <v>36.332000000000001</v>
      </c>
      <c r="Y147">
        <f>VLOOKUP($B147,'[1]Source Gov. Revenue WEO'!$B$1:$CZ$600,7,FALSE)</f>
        <v>36.036999999999999</v>
      </c>
      <c r="Z147">
        <f>VLOOKUP($B147,'[1]Source Gov. Revenue WEO'!$B$1:$CZ$600,8,FALSE)</f>
        <v>35.804000000000002</v>
      </c>
      <c r="AA147">
        <f>VLOOKUP($B147,'[1]Source Gov. Revenue WEO'!$B$1:$CZ$600,9,FALSE)</f>
        <v>35.387999999999998</v>
      </c>
      <c r="AB147">
        <f>VLOOKUP($B147,'[1]Source Gov. Revenue WEO'!$B$1:$CZ$600,10,FALSE)</f>
        <v>34.945999999999998</v>
      </c>
      <c r="AC147">
        <f>VLOOKUP($B147,[2]Summary!$B$1:$CZ$600,39,FALSE)</f>
        <v>1.91165E-4</v>
      </c>
      <c r="AD147">
        <f>VLOOKUP($B147,[2]Summary!$B$1:$CZ$600,40,FALSE)</f>
        <v>9.999999999999999E-14</v>
      </c>
      <c r="AE147">
        <f>VLOOKUP($B147,[2]Summary!$B$1:$CZ$600,47,FALSE)</f>
        <v>0.42588141582770472</v>
      </c>
      <c r="AF147">
        <f>VLOOKUP($B147,'[1]CALC GDP Growth rates WDI'!$B$1:$CZ$600,27,FALSE)</f>
        <v>13.229871396581199</v>
      </c>
      <c r="AG147">
        <f>VLOOKUP($B147,'[1]CALC GDP Growth rates WDI'!$B$1:$CZ$600,29,FALSE)</f>
        <v>19.462295020413876</v>
      </c>
      <c r="AH147">
        <v>3.89</v>
      </c>
      <c r="AI147">
        <f>VLOOKUP($B147,'[1]CALC GDP Growth rates WDI'!$B$1:$CZ$600,30,FALSE)</f>
        <v>2.7904600427020254</v>
      </c>
      <c r="AK147">
        <f>VLOOKUP($B147,[1]Data_Aspire!$B$1:$CZ$600,2,FALSE)</f>
        <v>2018</v>
      </c>
      <c r="AL147">
        <f>VLOOKUP($B147,[1]Data_Aspire!$B$1:$CZ$600,3,FALSE)</f>
        <v>1.61</v>
      </c>
      <c r="AM147">
        <f>VLOOKUP($B147,[1]Data_Aspire!$B$1:$CZ$600,4,FALSE)</f>
        <v>0</v>
      </c>
      <c r="AN147">
        <f>VLOOKUP($B147,[1]Data_Aspire!$B$1:$CZ$600,5,FALSE)</f>
        <v>1.1299999999999999</v>
      </c>
      <c r="AO147">
        <f>VLOOKUP($B147,[1]Data_Aspire!$B$1:$CZ$600,6,FALSE)</f>
        <v>0.48</v>
      </c>
      <c r="AP147">
        <f>VLOOKUP($B147,[1]Data_Aspire!$B$1:$CZ$600,7,FALSE)</f>
        <v>0</v>
      </c>
      <c r="AU147">
        <f>VLOOKUP($B147,[1]Data_Aspire!$B$1:$CZ$600,12,FALSE)</f>
        <v>1.61</v>
      </c>
      <c r="AX147">
        <f>VLOOKUP($B147,[1]Data_Aspire!$B$1:$CZ$600,15,FALSE)</f>
        <v>8056000</v>
      </c>
      <c r="AY147">
        <f>VLOOKUP($B147,[1]Data_Aspire!$B$1:$CZ$600,16,FALSE)</f>
        <v>2015</v>
      </c>
      <c r="BD147">
        <f>VLOOKUP($B147,[1]Data_Aspire!$B$1:$CZ$600,21,FALSE)</f>
        <v>2647000</v>
      </c>
      <c r="BE147">
        <f>VLOOKUP($B147,[1]Data_Aspire!$B$1:$CZ$600,22,FALSE)</f>
        <v>2011</v>
      </c>
      <c r="BF147">
        <f>VLOOKUP($B147,[1]Data_Aspire!$B$1:$CZ$600,23,FALSE)</f>
        <v>811900</v>
      </c>
      <c r="BG147">
        <f>VLOOKUP($B147,[1]Data_Aspire!$B$1:$CZ$600,24,FALSE)</f>
        <v>2013</v>
      </c>
      <c r="BJ147" s="7">
        <v>0</v>
      </c>
      <c r="BK147">
        <v>643</v>
      </c>
      <c r="BL147">
        <f>VLOOKUP($B147,'[1]Data_UN_PopulationTot.&amp;%'!$B$4:$CZ$603,8,FALSE)</f>
        <v>145934</v>
      </c>
      <c r="BM147">
        <f>VLOOKUP($B147,'[1]Data_UN_PopulationTot.&amp;%'!$B$4:$CZ$603,9,FALSE)</f>
        <v>145912</v>
      </c>
      <c r="BN147">
        <v>145806</v>
      </c>
      <c r="BO147">
        <f>VLOOKUP($B147,'[1]Data_UN_PopulationTot.&amp;%'!$B$4:$CZ$603,11,FALSE)</f>
        <v>145629</v>
      </c>
      <c r="BP147">
        <f>VLOOKUP($B147,'[1]Data_UN_PopulationTot.&amp;%'!$B$4:$CZ$603,12,FALSE)</f>
        <v>145399</v>
      </c>
      <c r="BQ147">
        <f>VLOOKUP($B147,'[1]Data_UN_PopulationTot.&amp;%'!$B$4:$CZ$603,13,FALSE)</f>
        <v>145133</v>
      </c>
      <c r="BR147">
        <f>VLOOKUP($B147,'[1]Data_UN_PopulationTot.&amp;%'!$B$4:$CZ$603,14,FALSE)</f>
        <v>144834</v>
      </c>
      <c r="BS147">
        <f>VLOOKUP($B147,'[1]Data_UN_PopulationTot.&amp;%'!$B$4:$CZ$603,15,FALSE)</f>
        <v>144503</v>
      </c>
      <c r="BT147">
        <f>VLOOKUP($B147,'[1]Data_UN_PopulationTot.&amp;%'!$B$4:$CZ$603,16,FALSE)</f>
        <v>144142</v>
      </c>
      <c r="BU147">
        <f>VLOOKUP($B147,'[1]Data_UN_PopulationTot.&amp;%'!$B$4:$CZ$603,17,FALSE)</f>
        <v>143756</v>
      </c>
      <c r="BV147">
        <f>VLOOKUP($B147,'[1]Data_UN_PopulationTot.&amp;%'!$B$4:$CZ$603,18,FALSE)</f>
        <v>143348</v>
      </c>
      <c r="BW147">
        <f>VLOOKUP($B147,'[1]Data_UN_PopulationTot.&amp;%'!$B$4:$CZ$603,61,FALSE)</f>
        <v>6.3533446626557213</v>
      </c>
      <c r="BX147">
        <f>VLOOKUP($B147,'[1]Data_UN_PopulationTot.&amp;%'!$B$4:$CZ$603,62,FALSE)</f>
        <v>6.4076363287513534</v>
      </c>
      <c r="BY147">
        <f>VLOOKUP($B147,'[1]Data_UN_PopulationTot.&amp;%'!$B$4:$CZ$603,63,FALSE)</f>
        <v>5.6013403319308726</v>
      </c>
      <c r="BZ147">
        <f>VLOOKUP($B147,'[1]Data_UN_PopulationTot.&amp;%'!$B$4:$CZ$603,64,FALSE)</f>
        <v>4.8527210930968794</v>
      </c>
      <c r="CA147">
        <f>VLOOKUP($B147,'[1]Data_UN_PopulationTot.&amp;%'!$B$4:$CZ$603,65,FALSE)</f>
        <v>4.5326654515054754</v>
      </c>
      <c r="CB147">
        <f>VLOOKUP($B147,'[1]Data_UN_PopulationTot.&amp;%'!$B$4:$CZ$603,66,FALSE)</f>
        <v>6.1624364438718873</v>
      </c>
      <c r="CC147">
        <f>VLOOKUP($B147,'[1]Data_UN_PopulationTot.&amp;%'!$B$4:$CZ$603,67,FALSE)</f>
        <v>8.5955294859319959</v>
      </c>
      <c r="CD147">
        <f>VLOOKUP($B147,'[1]Data_UN_PopulationTot.&amp;%'!$B$4:$CZ$603,68,FALSE)</f>
        <v>8.1712966135376277</v>
      </c>
      <c r="CE147">
        <f>VLOOKUP($B147,'[1]Data_UN_PopulationTot.&amp;%'!$B$4:$CZ$603,69,FALSE)</f>
        <v>7.2667096084531373</v>
      </c>
      <c r="CF147">
        <f>VLOOKUP($B147,'[1]Data_UN_PopulationTot.&amp;%'!$B$4:$CZ$603,70,FALSE)</f>
        <v>6.6952732056957256</v>
      </c>
      <c r="CG147">
        <f>VLOOKUP($B147,'[1]Data_UN_PopulationTot.&amp;%'!$B$4:$CZ$603,71,FALSE)</f>
        <v>5.8106061644304958</v>
      </c>
      <c r="CH147">
        <f>VLOOKUP($B147,'[1]Data_UN_PopulationTot.&amp;%'!$B$4:$CZ$603,72,FALSE)</f>
        <v>7.1388435868269218</v>
      </c>
      <c r="CI147">
        <f>VLOOKUP($B147,'[1]Data_UN_PopulationTot.&amp;%'!$B$4:$CZ$603,73,FALSE)</f>
        <v>6.9028464922499211</v>
      </c>
      <c r="CJ147">
        <f>VLOOKUP($B147,'[1]Data_UN_PopulationTot.&amp;%'!$B$4:$CZ$603,74,FALSE)</f>
        <v>5.7750421423383171</v>
      </c>
      <c r="CK147">
        <f>VLOOKUP($B147,'[1]Data_UN_PopulationTot.&amp;%'!$B$4:$CZ$603,75,FALSE)</f>
        <v>3.6937108555922542</v>
      </c>
      <c r="CL147">
        <f>VLOOKUP($B147,'[1]Data_UN_PopulationTot.&amp;%'!$B$4:$CZ$603,76,FALSE)</f>
        <v>2.1649101648690503</v>
      </c>
      <c r="CM147">
        <f>VLOOKUP($B147,'[1]Data_UN_PopulationTot.&amp;%'!$B$4:$CZ$603,77,FALSE)</f>
        <v>2.3886003261748461</v>
      </c>
      <c r="CN147">
        <f>VLOOKUP($B147,'[1]Data_UN_PopulationTot.&amp;%'!$B$4:$CZ$603,78,FALSE)</f>
        <v>0.95223868324036898</v>
      </c>
      <c r="CO147">
        <f>VLOOKUP($B147,'[1]Data_UN_PopulationTot.&amp;%'!$B$4:$CZ$603,79,FALSE)</f>
        <v>0.45797278221661847</v>
      </c>
      <c r="CP147">
        <f>VLOOKUP($B147,'[1]Data_UN_PopulationTot.&amp;%'!$B$4:$CZ$603,80,FALSE)</f>
        <v>7.0061123521591953E-2</v>
      </c>
      <c r="CQ147">
        <f>VLOOKUP($B147,'[1]Data_UN_PopulationTot.&amp;%'!$B$4:$CZ$603,81,FALSE)</f>
        <v>6.4460646593665627E-3</v>
      </c>
      <c r="CR147">
        <f>VLOOKUP($B147,'[1]Data_UN_PopulationTot.&amp;%'!$B$4:$CZ$603,82,FALSE)</f>
        <v>5.1410413818120935</v>
      </c>
      <c r="CS147">
        <f>VLOOKUP($B147,'[1]Data_UN_PopulationTot.&amp;%'!$B$4:$CZ$603,83,FALSE)</f>
        <v>5.7427798085777271</v>
      </c>
      <c r="CT147">
        <f>VLOOKUP($B147,'[1]Data_UN_PopulationTot.&amp;%'!$B$4:$CZ$603,84,FALSE)</f>
        <v>6.4703727990624209</v>
      </c>
      <c r="CU147">
        <f>VLOOKUP($B147,'[1]Data_UN_PopulationTot.&amp;%'!$B$4:$CZ$603,85,FALSE)</f>
        <v>6.5484136506962081</v>
      </c>
      <c r="CV147">
        <f>VLOOKUP($B147,'[1]Data_UN_PopulationTot.&amp;%'!$B$4:$CZ$603,86,FALSE)</f>
        <v>5.7695538130981951</v>
      </c>
      <c r="CW147">
        <f>VLOOKUP($B147,'[1]Data_UN_PopulationTot.&amp;%'!$B$4:$CZ$603,87,FALSE)</f>
        <v>5.0118732036721827</v>
      </c>
      <c r="CX147">
        <f>VLOOKUP($B147,'[1]Data_UN_PopulationTot.&amp;%'!$B$4:$CZ$603,88,FALSE)</f>
        <v>4.6391787817060584</v>
      </c>
      <c r="CY147">
        <f>VLOOKUP($B147,'[1]Data_UN_PopulationTot.&amp;%'!$B$4:$CZ$603,89,FALSE)</f>
        <v>6.1765214722214479</v>
      </c>
      <c r="CZ147">
        <f>VLOOKUP($B147,'[1]Data_UN_PopulationTot.&amp;%'!$B$4:$CZ$603,90,FALSE)</f>
        <v>8.4626224293328125</v>
      </c>
      <c r="DA147">
        <f>VLOOKUP($B147,'[1]Data_UN_PopulationTot.&amp;%'!$B$4:$CZ$603,91,FALSE)</f>
        <v>7.9489075536456735</v>
      </c>
      <c r="DB147">
        <f>VLOOKUP($B147,'[1]Data_UN_PopulationTot.&amp;%'!$B$4:$CZ$603,92,FALSE)</f>
        <v>6.9709099534001169</v>
      </c>
      <c r="DC147">
        <f>VLOOKUP($B147,'[1]Data_UN_PopulationTot.&amp;%'!$B$4:$CZ$603,93,FALSE)</f>
        <v>6.2706630019253851</v>
      </c>
      <c r="DD147">
        <f>VLOOKUP($B147,'[1]Data_UN_PopulationTot.&amp;%'!$B$4:$CZ$603,94,FALSE)</f>
        <v>5.2436936685548456</v>
      </c>
      <c r="DE147">
        <f>VLOOKUP($B147,'[1]Data_UN_PopulationTot.&amp;%'!$B$4:$CZ$603,95,FALSE)</f>
        <v>6.1060705416189975</v>
      </c>
      <c r="DF147">
        <f>VLOOKUP($B147,'[1]Data_UN_PopulationTot.&amp;%'!$B$4:$CZ$603,96,FALSE)</f>
        <v>5.5086781817674471</v>
      </c>
      <c r="DG147">
        <f>VLOOKUP($B147,'[1]Data_UN_PopulationTot.&amp;%'!$B$4:$CZ$603,97,FALSE)</f>
        <v>4.1255336663225162</v>
      </c>
      <c r="DH147">
        <f>VLOOKUP($B147,'[1]Data_UN_PopulationTot.&amp;%'!$B$4:$CZ$603,98,FALSE)</f>
        <v>2.1528587772413985</v>
      </c>
      <c r="DI147">
        <f>VLOOKUP($B147,'[1]Data_UN_PopulationTot.&amp;%'!$B$4:$CZ$603,99,FALSE)</f>
        <v>0.92049418199068</v>
      </c>
      <c r="DJ147">
        <f>VLOOKUP($B147,'[1]Data_UN_PopulationTot.&amp;%'!$B$4:$DE$603,100,FALSE)</f>
        <v>0.63604305605937994</v>
      </c>
      <c r="DK147">
        <f>VLOOKUP($B147,'[1]Data_UN_PopulationTot.&amp;%'!$B$4:$DE$603,101,FALSE)</f>
        <v>0.12879984373691994</v>
      </c>
      <c r="DL147">
        <f>VLOOKUP($B147,'[1]Data_UN_PopulationTot.&amp;%'!$B$4:$DE$603,102,FALSE)</f>
        <v>2.4663755336663221E-2</v>
      </c>
    </row>
    <row r="148" spans="1:116">
      <c r="A148" t="s">
        <v>111</v>
      </c>
      <c r="B148" t="s">
        <v>324</v>
      </c>
      <c r="C148" t="s">
        <v>496</v>
      </c>
      <c r="D148" t="s">
        <v>306</v>
      </c>
      <c r="E148" t="s">
        <v>299</v>
      </c>
      <c r="F148">
        <v>1</v>
      </c>
      <c r="G148">
        <v>0</v>
      </c>
      <c r="H148">
        <v>0</v>
      </c>
      <c r="I148">
        <v>0</v>
      </c>
      <c r="J148" s="18">
        <f t="shared" si="5"/>
        <v>2295.36971829</v>
      </c>
      <c r="K148">
        <f>VLOOKUP($B148,'[1]Source GDP Current USD'!$B$1:$CZ$600,64,FALSE)</f>
        <v>10333991455.5443</v>
      </c>
      <c r="L148" s="45">
        <f>VLOOKUP($B148,'[1]Source GDP Current USD'!$B$1:$CZ$600,65,FALSE)</f>
        <v>10333991455.5443</v>
      </c>
      <c r="M148" s="17">
        <f>VLOOKUP($B148,'[1]Source GDP Current LCU'!$B$1:$CZ$600,64,FALSE)</f>
        <v>9746379000000</v>
      </c>
      <c r="N148" s="45">
        <v>9700000000000</v>
      </c>
      <c r="O148" s="45">
        <f>VLOOKUP($B148,'[1]Source GNI Current USD'!$B$1:$CZ$600,64,FALSE)</f>
        <v>10097233925.1768</v>
      </c>
      <c r="P148" s="45">
        <f>VLOOKUP($B148,'[1]Source GNI Current LCU'!$B$1:$CZ$600,64,FALSE)</f>
        <v>9523084000000</v>
      </c>
      <c r="Q148">
        <f t="shared" si="4"/>
        <v>102.3447761250452</v>
      </c>
      <c r="R148">
        <v>780</v>
      </c>
      <c r="S148">
        <v>780</v>
      </c>
      <c r="T148">
        <v>0.36039599999999999</v>
      </c>
      <c r="U148" s="45">
        <v>13000000</v>
      </c>
      <c r="V148">
        <v>23.550999999999998</v>
      </c>
      <c r="W148">
        <f>VLOOKUP($B148,'[1]Source Gov. Revenue WEO'!$B$1:$CZ$600,5,FALSE)</f>
        <v>25.486999999999998</v>
      </c>
      <c r="X148">
        <f>VLOOKUP($B148,'[1]Source Gov. Revenue WEO'!$B$1:$CZ$600,6,FALSE)</f>
        <v>24.594000000000001</v>
      </c>
      <c r="Y148">
        <f>VLOOKUP($B148,'[1]Source Gov. Revenue WEO'!$B$1:$CZ$600,7,FALSE)</f>
        <v>24.2</v>
      </c>
      <c r="Z148">
        <f>VLOOKUP($B148,'[1]Source Gov. Revenue WEO'!$B$1:$CZ$600,8,FALSE)</f>
        <v>24.451000000000001</v>
      </c>
      <c r="AA148">
        <f>VLOOKUP($B148,'[1]Source Gov. Revenue WEO'!$B$1:$CZ$600,9,FALSE)</f>
        <v>25.350999999999999</v>
      </c>
      <c r="AB148">
        <f>VLOOKUP($B148,'[1]Source Gov. Revenue WEO'!$B$1:$CZ$600,10,FALSE)</f>
        <v>24.5</v>
      </c>
      <c r="AC148">
        <f>VLOOKUP($B148,[2]Summary!$B$1:$CZ$600,39,FALSE)</f>
        <v>0.51479799999999998</v>
      </c>
      <c r="AD148">
        <f>VLOOKUP($B148,[2]Summary!$B$1:$CZ$600,40,FALSE)</f>
        <v>0.31624999999999998</v>
      </c>
      <c r="AE148">
        <f>VLOOKUP($B148,[2]Summary!$B$1:$CZ$600,47,FALSE)</f>
        <v>0.20697404750825524</v>
      </c>
      <c r="AF148">
        <f>VLOOKUP($B148,'[1]CALC GDP Growth rates WDI'!$B$1:$CZ$600,27,FALSE)</f>
        <v>79.651344201046783</v>
      </c>
      <c r="AG148">
        <f>VLOOKUP($B148,'[1]CALC GDP Growth rates WDI'!$B$1:$CZ$600,29,FALSE)</f>
        <v>83.111918101088108</v>
      </c>
      <c r="AH148">
        <v>26.6</v>
      </c>
      <c r="AI148">
        <f>VLOOKUP($B148,'[1]CALC GDP Growth rates WDI'!$B$1:$CZ$600,30,FALSE)</f>
        <v>30.829345495613158</v>
      </c>
      <c r="AJ148" t="s">
        <v>2465</v>
      </c>
      <c r="AK148">
        <f>VLOOKUP($B148,[1]Data_Aspire!$B$1:$CZ$600,2,FALSE)</f>
        <v>2016</v>
      </c>
      <c r="AL148">
        <f>VLOOKUP($B148,[1]Data_Aspire!$B$1:$CZ$600,3,FALSE)</f>
        <v>1.44</v>
      </c>
      <c r="AM148">
        <f>VLOOKUP($B148,[1]Data_Aspire!$B$1:$CZ$600,4,FALSE)</f>
        <v>0</v>
      </c>
      <c r="AN148">
        <f>VLOOKUP($B148,[1]Data_Aspire!$B$1:$CZ$600,5,FALSE)</f>
        <v>1.1599999999999999</v>
      </c>
      <c r="AO148">
        <f>VLOOKUP($B148,[1]Data_Aspire!$B$1:$CZ$600,6,FALSE)</f>
        <v>0.08</v>
      </c>
      <c r="AP148">
        <f>VLOOKUP($B148,[1]Data_Aspire!$B$1:$CZ$600,7,FALSE)</f>
        <v>0</v>
      </c>
      <c r="AQ148">
        <f>VLOOKUP($B148,[1]Data_Aspire!$B$1:$CZ$600,8,FALSE)</f>
        <v>0.13</v>
      </c>
      <c r="AT148">
        <f>VLOOKUP($B148,[1]Data_Aspire!$B$1:$CZ$600,11,FALSE)</f>
        <v>7.0000000000000007E-2</v>
      </c>
      <c r="AU148">
        <f>VLOOKUP($B148,[1]Data_Aspire!$B$1:$CZ$600,12,FALSE)</f>
        <v>1.44</v>
      </c>
      <c r="AX148">
        <f>VLOOKUP($B148,[1]Data_Aspire!$B$1:$CZ$600,15,FALSE)</f>
        <v>246009</v>
      </c>
      <c r="AY148">
        <f>VLOOKUP($B148,[1]Data_Aspire!$B$1:$CZ$600,16,FALSE)</f>
        <v>2015</v>
      </c>
      <c r="AZ148">
        <f>VLOOKUP($B148,[1]Data_Aspire!$B$1:$CZ$600,17,FALSE)</f>
        <v>2821</v>
      </c>
      <c r="BA148">
        <f>VLOOKUP($B148,[1]Data_Aspire!$B$1:$CZ$600,18,FALSE)</f>
        <v>2015</v>
      </c>
      <c r="BB148">
        <f>VLOOKUP($B148,[1]Data_Aspire!$B$1:$CZ$600,19,FALSE)</f>
        <v>872900</v>
      </c>
      <c r="BC148">
        <f>VLOOKUP($B148,[1]Data_Aspire!$B$1:$CZ$600,20,FALSE)</f>
        <v>2015</v>
      </c>
      <c r="BD148">
        <f>VLOOKUP($B148,[1]Data_Aspire!$B$1:$CZ$600,21,FALSE)</f>
        <v>25000</v>
      </c>
      <c r="BE148">
        <f>VLOOKUP($B148,[1]Data_Aspire!$B$1:$CZ$600,22,FALSE)</f>
        <v>2014</v>
      </c>
      <c r="BF148">
        <f>VLOOKUP($B148,[1]Data_Aspire!$B$1:$CZ$600,23,FALSE)</f>
        <v>296915</v>
      </c>
      <c r="BG148">
        <f>VLOOKUP($B148,[1]Data_Aspire!$B$1:$CZ$600,24,FALSE)</f>
        <v>2015</v>
      </c>
      <c r="BJ148" s="7">
        <v>1</v>
      </c>
      <c r="BK148">
        <v>646</v>
      </c>
      <c r="BL148">
        <f>VLOOKUP($B148,'[1]Data_UN_PopulationTot.&amp;%'!$B$4:$CZ$603,8,FALSE)</f>
        <v>12952.2</v>
      </c>
      <c r="BM148">
        <f>VLOOKUP($B148,'[1]Data_UN_PopulationTot.&amp;%'!$B$4:$CZ$603,9,FALSE)</f>
        <v>13276.5</v>
      </c>
      <c r="BN148">
        <v>13600.5</v>
      </c>
      <c r="BO148">
        <f>VLOOKUP($B148,'[1]Data_UN_PopulationTot.&amp;%'!$B$4:$CZ$603,11,FALSE)</f>
        <v>13924.5</v>
      </c>
      <c r="BP148">
        <f>VLOOKUP($B148,'[1]Data_UN_PopulationTot.&amp;%'!$B$4:$CZ$603,12,FALSE)</f>
        <v>14249.7</v>
      </c>
      <c r="BQ148">
        <f>VLOOKUP($B148,'[1]Data_UN_PopulationTot.&amp;%'!$B$4:$CZ$603,13,FALSE)</f>
        <v>14577</v>
      </c>
      <c r="BR148">
        <f>VLOOKUP($B148,'[1]Data_UN_PopulationTot.&amp;%'!$B$4:$CZ$603,14,FALSE)</f>
        <v>14906</v>
      </c>
      <c r="BS148">
        <f>VLOOKUP($B148,'[1]Data_UN_PopulationTot.&amp;%'!$B$4:$CZ$603,15,FALSE)</f>
        <v>15236.3</v>
      </c>
      <c r="BT148">
        <f>VLOOKUP($B148,'[1]Data_UN_PopulationTot.&amp;%'!$B$4:$CZ$603,16,FALSE)</f>
        <v>15567.7</v>
      </c>
      <c r="BU148">
        <f>VLOOKUP($B148,'[1]Data_UN_PopulationTot.&amp;%'!$B$4:$CZ$603,17,FALSE)</f>
        <v>15900.4</v>
      </c>
      <c r="BV148">
        <f>VLOOKUP($B148,'[1]Data_UN_PopulationTot.&amp;%'!$B$4:$CZ$603,18,FALSE)</f>
        <v>16234.4</v>
      </c>
      <c r="BW148">
        <f>VLOOKUP($B148,'[1]Data_UN_PopulationTot.&amp;%'!$B$4:$CZ$603,61,FALSE)</f>
        <v>14.554284214264756</v>
      </c>
      <c r="BX148">
        <f>VLOOKUP($B148,'[1]Data_UN_PopulationTot.&amp;%'!$B$4:$CZ$603,62,FALSE)</f>
        <v>12.939269004493445</v>
      </c>
      <c r="BY148">
        <f>VLOOKUP($B148,'[1]Data_UN_PopulationTot.&amp;%'!$B$4:$CZ$603,63,FALSE)</f>
        <v>11.980744583931687</v>
      </c>
      <c r="BZ148">
        <f>VLOOKUP($B148,'[1]Data_UN_PopulationTot.&amp;%'!$B$4:$CZ$603,64,FALSE)</f>
        <v>10.454054137521037</v>
      </c>
      <c r="CA148">
        <f>VLOOKUP($B148,'[1]Data_UN_PopulationTot.&amp;%'!$B$4:$CZ$603,65,FALSE)</f>
        <v>9.1379070737017631</v>
      </c>
      <c r="CB148">
        <f>VLOOKUP($B148,'[1]Data_UN_PopulationTot.&amp;%'!$B$4:$CZ$603,66,FALSE)</f>
        <v>7.9328608267321385</v>
      </c>
      <c r="CC148">
        <f>VLOOKUP($B148,'[1]Data_UN_PopulationTot.&amp;%'!$B$4:$CZ$603,67,FALSE)</f>
        <v>7.5553033461496888</v>
      </c>
      <c r="CD148">
        <f>VLOOKUP($B148,'[1]Data_UN_PopulationTot.&amp;%'!$B$4:$CZ$603,68,FALSE)</f>
        <v>6.4388752489924483</v>
      </c>
      <c r="CE148">
        <f>VLOOKUP($B148,'[1]Data_UN_PopulationTot.&amp;%'!$B$4:$CZ$603,69,FALSE)</f>
        <v>4.7029230555426871</v>
      </c>
      <c r="CF148">
        <f>VLOOKUP($B148,'[1]Data_UN_PopulationTot.&amp;%'!$B$4:$CZ$603,70,FALSE)</f>
        <v>3.5589475147079259</v>
      </c>
      <c r="CG148">
        <f>VLOOKUP($B148,'[1]Data_UN_PopulationTot.&amp;%'!$B$4:$CZ$603,71,FALSE)</f>
        <v>2.7363613903429531</v>
      </c>
      <c r="CH148">
        <f>VLOOKUP($B148,'[1]Data_UN_PopulationTot.&amp;%'!$B$4:$CZ$603,72,FALSE)</f>
        <v>2.8877565201278546</v>
      </c>
      <c r="CI148">
        <f>VLOOKUP($B148,'[1]Data_UN_PopulationTot.&amp;%'!$B$4:$CZ$603,73,FALSE)</f>
        <v>2.0014900943469067</v>
      </c>
      <c r="CJ148">
        <f>VLOOKUP($B148,'[1]Data_UN_PopulationTot.&amp;%'!$B$4:$CZ$603,74,FALSE)</f>
        <v>1.435408656444465</v>
      </c>
      <c r="CK148">
        <f>VLOOKUP($B148,'[1]Data_UN_PopulationTot.&amp;%'!$B$4:$CZ$603,75,FALSE)</f>
        <v>0.84513827766711447</v>
      </c>
      <c r="CL148">
        <f>VLOOKUP($B148,'[1]Data_UN_PopulationTot.&amp;%'!$B$4:$CZ$603,76,FALSE)</f>
        <v>0.5045706520899923</v>
      </c>
      <c r="CM148">
        <f>VLOOKUP($B148,'[1]Data_UN_PopulationTot.&amp;%'!$B$4:$CZ$603,77,FALSE)</f>
        <v>0.19837556554098915</v>
      </c>
      <c r="CN148">
        <f>VLOOKUP($B148,'[1]Data_UN_PopulationTot.&amp;%'!$B$4:$CZ$603,78,FALSE)</f>
        <v>0.1204583005203749</v>
      </c>
      <c r="CO148">
        <f>VLOOKUP($B148,'[1]Data_UN_PopulationTot.&amp;%'!$B$4:$CZ$603,79,FALSE)</f>
        <v>1.2993931532867002E-2</v>
      </c>
      <c r="CP148">
        <f>VLOOKUP($B148,'[1]Data_UN_PopulationTot.&amp;%'!$B$4:$CZ$603,80,FALSE)</f>
        <v>2.2853260449962167E-3</v>
      </c>
      <c r="CQ148">
        <f>VLOOKUP($B148,'[1]Data_UN_PopulationTot.&amp;%'!$B$4:$CZ$603,81,FALSE)</f>
        <v>5.4044872685721342E-5</v>
      </c>
      <c r="CR148">
        <f>VLOOKUP($B148,'[1]Data_UN_PopulationTot.&amp;%'!$B$4:$CZ$603,82,FALSE)</f>
        <v>12.454048193958506</v>
      </c>
      <c r="CS148">
        <f>VLOOKUP($B148,'[1]Data_UN_PopulationTot.&amp;%'!$B$4:$CZ$603,83,FALSE)</f>
        <v>11.97143103533238</v>
      </c>
      <c r="CT148">
        <f>VLOOKUP($B148,'[1]Data_UN_PopulationTot.&amp;%'!$B$4:$CZ$603,84,FALSE)</f>
        <v>11.496821564086138</v>
      </c>
      <c r="CU148">
        <f>VLOOKUP($B148,'[1]Data_UN_PopulationTot.&amp;%'!$B$4:$CZ$603,85,FALSE)</f>
        <v>10.217747499137634</v>
      </c>
      <c r="CV148">
        <f>VLOOKUP($B148,'[1]Data_UN_PopulationTot.&amp;%'!$B$4:$CZ$603,86,FALSE)</f>
        <v>9.3790346424875572</v>
      </c>
      <c r="CW148">
        <f>VLOOKUP($B148,'[1]Data_UN_PopulationTot.&amp;%'!$B$4:$CZ$603,87,FALSE)</f>
        <v>8.1108017542995121</v>
      </c>
      <c r="CX148">
        <f>VLOOKUP($B148,'[1]Data_UN_PopulationTot.&amp;%'!$B$4:$CZ$603,88,FALSE)</f>
        <v>7.0628418666535255</v>
      </c>
      <c r="CY148">
        <f>VLOOKUP($B148,'[1]Data_UN_PopulationTot.&amp;%'!$B$4:$CZ$603,89,FALSE)</f>
        <v>6.1174419750652937</v>
      </c>
      <c r="CZ148">
        <f>VLOOKUP($B148,'[1]Data_UN_PopulationTot.&amp;%'!$B$4:$CZ$603,90,FALSE)</f>
        <v>5.8053515990735729</v>
      </c>
      <c r="DA148">
        <f>VLOOKUP($B148,'[1]Data_UN_PopulationTot.&amp;%'!$B$4:$CZ$603,91,FALSE)</f>
        <v>4.9111947469570785</v>
      </c>
      <c r="DB148">
        <f>VLOOKUP($B148,'[1]Data_UN_PopulationTot.&amp;%'!$B$4:$CZ$603,92,FALSE)</f>
        <v>3.5376238111664118</v>
      </c>
      <c r="DC148">
        <f>VLOOKUP($B148,'[1]Data_UN_PopulationTot.&amp;%'!$B$4:$CZ$603,93,FALSE)</f>
        <v>2.6207620854481841</v>
      </c>
      <c r="DD148">
        <f>VLOOKUP($B148,'[1]Data_UN_PopulationTot.&amp;%'!$B$4:$CZ$603,94,FALSE)</f>
        <v>1.9477159611688759</v>
      </c>
      <c r="DE148">
        <f>VLOOKUP($B148,'[1]Data_UN_PopulationTot.&amp;%'!$B$4:$CZ$603,95,FALSE)</f>
        <v>1.9402133740698764</v>
      </c>
      <c r="DF148">
        <f>VLOOKUP($B148,'[1]Data_UN_PopulationTot.&amp;%'!$B$4:$CZ$603,96,FALSE)</f>
        <v>1.217525747794806</v>
      </c>
      <c r="DG148">
        <f>VLOOKUP($B148,'[1]Data_UN_PopulationTot.&amp;%'!$B$4:$CZ$603,97,FALSE)</f>
        <v>0.73941753313950631</v>
      </c>
      <c r="DH148">
        <f>VLOOKUP($B148,'[1]Data_UN_PopulationTot.&amp;%'!$B$4:$CZ$603,98,FALSE)</f>
        <v>0.32785936037057117</v>
      </c>
      <c r="DI148">
        <f>VLOOKUP($B148,'[1]Data_UN_PopulationTot.&amp;%'!$B$4:$CZ$603,99,FALSE)</f>
        <v>0.11927142364362095</v>
      </c>
      <c r="DJ148">
        <f>VLOOKUP($B148,'[1]Data_UN_PopulationTot.&amp;%'!$B$4:$DE$603,100,FALSE)</f>
        <v>1.9649632878332428E-2</v>
      </c>
      <c r="DK148">
        <f>VLOOKUP($B148,'[1]Data_UN_PopulationTot.&amp;%'!$B$4:$DE$603,101,FALSE)</f>
        <v>3.0306016853102057E-3</v>
      </c>
      <c r="DL148">
        <f>VLOOKUP($B148,'[1]Data_UN_PopulationTot.&amp;%'!$B$4:$DE$603,102,FALSE)</f>
        <v>6.7757354752870453E-5</v>
      </c>
    </row>
    <row r="149" spans="1:116">
      <c r="A149" t="s">
        <v>245</v>
      </c>
      <c r="B149" t="s">
        <v>582</v>
      </c>
      <c r="C149" t="s">
        <v>487</v>
      </c>
      <c r="D149" t="s">
        <v>622</v>
      </c>
      <c r="E149" t="s">
        <v>2269</v>
      </c>
      <c r="F149">
        <v>0</v>
      </c>
      <c r="G149">
        <v>0</v>
      </c>
      <c r="H149">
        <v>0</v>
      </c>
      <c r="I149">
        <v>1</v>
      </c>
      <c r="J149" s="18">
        <f t="shared" si="5"/>
        <v>778.83737662725491</v>
      </c>
      <c r="K149">
        <f>VLOOKUP($B149,'[1]Source GDP Current USD'!$B$1:$CZ$600,64,FALSE)</f>
        <v>700117873253.33301</v>
      </c>
      <c r="L149" s="45">
        <f>VLOOKUP($B149,'[1]Source GDP Current USD'!$B$1:$CZ$600,65,FALSE)</f>
        <v>700117873253.33301</v>
      </c>
      <c r="M149" s="17">
        <f>VLOOKUP($B149,'[1]Source GDP Current LCU'!$B$1:$CZ$600,64,FALSE)</f>
        <v>2625442024700</v>
      </c>
      <c r="N149" s="45">
        <v>2600000000000</v>
      </c>
      <c r="O149" s="45">
        <f>VLOOKUP($B149,'[1]Source GNI Current USD'!$B$1:$CZ$600,64,FALSE)</f>
        <v>715551421493.33301</v>
      </c>
      <c r="P149" s="45">
        <f>VLOOKUP($B149,'[1]Source GNI Current LCU'!$B$1:$CZ$600,64,FALSE)</f>
        <v>2683317830600</v>
      </c>
      <c r="Q149">
        <f t="shared" si="4"/>
        <v>97.843125207159716</v>
      </c>
      <c r="R149">
        <v>21930</v>
      </c>
      <c r="S149">
        <v>21930</v>
      </c>
      <c r="T149">
        <v>0.43007800000000002</v>
      </c>
      <c r="U149" s="45">
        <v>35000000</v>
      </c>
      <c r="V149">
        <v>29.664999999999999</v>
      </c>
      <c r="W149">
        <f>VLOOKUP($B149,'[1]Source Gov. Revenue WEO'!$B$1:$CZ$600,5,FALSE)</f>
        <v>29.082000000000001</v>
      </c>
      <c r="X149">
        <f>VLOOKUP($B149,'[1]Source Gov. Revenue WEO'!$B$1:$CZ$600,6,FALSE)</f>
        <v>29.062000000000001</v>
      </c>
      <c r="Y149">
        <f>VLOOKUP($B149,'[1]Source Gov. Revenue WEO'!$B$1:$CZ$600,7,FALSE)</f>
        <v>29.03</v>
      </c>
      <c r="Z149">
        <f>VLOOKUP($B149,'[1]Source Gov. Revenue WEO'!$B$1:$CZ$600,8,FALSE)</f>
        <v>29.067</v>
      </c>
      <c r="AA149">
        <f>VLOOKUP($B149,'[1]Source Gov. Revenue WEO'!$B$1:$CZ$600,9,FALSE)</f>
        <v>29.164000000000001</v>
      </c>
      <c r="AB149">
        <f>VLOOKUP($B149,'[1]Source Gov. Revenue WEO'!$B$1:$CZ$600,10,FALSE)</f>
        <v>29.175999999999998</v>
      </c>
      <c r="AC149" t="e">
        <f>VLOOKUP($B149,[2]Summary!$B$1:$CZ$600,39,FALSE)</f>
        <v>#N/A</v>
      </c>
      <c r="AD149" t="e">
        <f>VLOOKUP($B149,[2]Summary!$B$1:$CZ$600,40,FALSE)</f>
        <v>#N/A</v>
      </c>
      <c r="AE149" t="e">
        <f>VLOOKUP($B149,[2]Summary!$B$1:$CZ$600,47,FALSE)</f>
        <v>#N/A</v>
      </c>
      <c r="AF149">
        <f>VLOOKUP($B149,'[1]CALC GDP Growth rates WDI'!$B$1:$CZ$600,27,FALSE)</f>
        <v>27.798593200327332</v>
      </c>
      <c r="AG149">
        <f>VLOOKUP($B149,'[1]CALC GDP Growth rates WDI'!$B$1:$CZ$600,29,FALSE)</f>
        <v>39.399641621722978</v>
      </c>
      <c r="AH149">
        <v>-0.55000000000000004</v>
      </c>
      <c r="AI149">
        <f>VLOOKUP($B149,'[1]CALC GDP Growth rates WDI'!$B$1:$CZ$600,30,FALSE)</f>
        <v>7.5211943143757232</v>
      </c>
      <c r="AK149">
        <f>VLOOKUP($B149,[1]Data_Aspire!$B$1:$CZ$600,2,FALSE)</f>
        <v>2012</v>
      </c>
      <c r="AL149">
        <f>VLOOKUP($B149,[1]Data_Aspire!$B$1:$CZ$600,3,FALSE)</f>
        <v>0.71</v>
      </c>
      <c r="AM149">
        <f>VLOOKUP($B149,[1]Data_Aspire!$B$1:$CZ$600,4,FALSE)</f>
        <v>0</v>
      </c>
      <c r="AN149">
        <f>VLOOKUP($B149,[1]Data_Aspire!$B$1:$CZ$600,5,FALSE)</f>
        <v>0.35</v>
      </c>
      <c r="AO149">
        <f>VLOOKUP($B149,[1]Data_Aspire!$B$1:$CZ$600,6,FALSE)</f>
        <v>0.36</v>
      </c>
      <c r="AP149">
        <f>VLOOKUP($B149,[1]Data_Aspire!$B$1:$CZ$600,7,FALSE)</f>
        <v>0</v>
      </c>
      <c r="AU149">
        <f>VLOOKUP($B149,[1]Data_Aspire!$B$1:$CZ$600,12,FALSE)</f>
        <v>0.71</v>
      </c>
      <c r="AV149">
        <f>VLOOKUP($B149,[1]Data_Aspire!$B$1:$CZ$600,13,FALSE)</f>
        <v>428028</v>
      </c>
      <c r="AW149">
        <f>VLOOKUP($B149,[1]Data_Aspire!$B$1:$CZ$600,14,FALSE)</f>
        <v>2012</v>
      </c>
      <c r="AX149">
        <f>VLOOKUP($B149,[1]Data_Aspire!$B$1:$CZ$600,15,FALSE)</f>
        <v>370846</v>
      </c>
      <c r="AY149">
        <f>VLOOKUP($B149,[1]Data_Aspire!$B$1:$CZ$600,16,FALSE)</f>
        <v>2012</v>
      </c>
      <c r="BJ149" s="7">
        <v>0</v>
      </c>
      <c r="BK149">
        <v>682</v>
      </c>
      <c r="BL149">
        <f>VLOOKUP($B149,'[1]Data_UN_PopulationTot.&amp;%'!$B$4:$CZ$603,8,FALSE)</f>
        <v>34813.9</v>
      </c>
      <c r="BM149">
        <f>VLOOKUP($B149,'[1]Data_UN_PopulationTot.&amp;%'!$B$4:$CZ$603,9,FALSE)</f>
        <v>35340.699999999997</v>
      </c>
      <c r="BN149">
        <v>35844.9</v>
      </c>
      <c r="BO149">
        <f>VLOOKUP($B149,'[1]Data_UN_PopulationTot.&amp;%'!$B$4:$CZ$603,11,FALSE)</f>
        <v>36329.4</v>
      </c>
      <c r="BP149">
        <f>VLOOKUP($B149,'[1]Data_UN_PopulationTot.&amp;%'!$B$4:$CZ$603,12,FALSE)</f>
        <v>36796.699999999997</v>
      </c>
      <c r="BQ149">
        <f>VLOOKUP($B149,'[1]Data_UN_PopulationTot.&amp;%'!$B$4:$CZ$603,13,FALSE)</f>
        <v>37248.9</v>
      </c>
      <c r="BR149">
        <f>VLOOKUP($B149,'[1]Data_UN_PopulationTot.&amp;%'!$B$4:$CZ$603,14,FALSE)</f>
        <v>37688.1</v>
      </c>
      <c r="BS149">
        <f>VLOOKUP($B149,'[1]Data_UN_PopulationTot.&amp;%'!$B$4:$CZ$603,15,FALSE)</f>
        <v>38115.300000000003</v>
      </c>
      <c r="BT149">
        <f>VLOOKUP($B149,'[1]Data_UN_PopulationTot.&amp;%'!$B$4:$CZ$603,16,FALSE)</f>
        <v>38530.699999999997</v>
      </c>
      <c r="BU149">
        <f>VLOOKUP($B149,'[1]Data_UN_PopulationTot.&amp;%'!$B$4:$CZ$603,17,FALSE)</f>
        <v>38933.199999999997</v>
      </c>
      <c r="BV149">
        <f>VLOOKUP($B149,'[1]Data_UN_PopulationTot.&amp;%'!$B$4:$CZ$603,18,FALSE)</f>
        <v>39322.300000000003</v>
      </c>
      <c r="BW149">
        <f>VLOOKUP($B149,'[1]Data_UN_PopulationTot.&amp;%'!$B$4:$CZ$603,61,FALSE)</f>
        <v>8.555031180074625</v>
      </c>
      <c r="BX149">
        <f>VLOOKUP($B149,'[1]Data_UN_PopulationTot.&amp;%'!$B$4:$CZ$603,62,FALSE)</f>
        <v>8.5537098687593165</v>
      </c>
      <c r="BY149">
        <f>VLOOKUP($B149,'[1]Data_UN_PopulationTot.&amp;%'!$B$4:$CZ$603,63,FALSE)</f>
        <v>7.5874866073608525</v>
      </c>
      <c r="BZ149">
        <f>VLOOKUP($B149,'[1]Data_UN_PopulationTot.&amp;%'!$B$4:$CZ$603,64,FALSE)</f>
        <v>6.3732589569108891</v>
      </c>
      <c r="CA149">
        <f>VLOOKUP($B149,'[1]Data_UN_PopulationTot.&amp;%'!$B$4:$CZ$603,65,FALSE)</f>
        <v>6.7017197154010315</v>
      </c>
      <c r="CB149">
        <f>VLOOKUP($B149,'[1]Data_UN_PopulationTot.&amp;%'!$B$4:$CZ$603,66,FALSE)</f>
        <v>8.6793780645087164</v>
      </c>
      <c r="CC149">
        <f>VLOOKUP($B149,'[1]Data_UN_PopulationTot.&amp;%'!$B$4:$CZ$603,67,FALSE)</f>
        <v>9.8751935290214536</v>
      </c>
      <c r="CD149">
        <f>VLOOKUP($B149,'[1]Data_UN_PopulationTot.&amp;%'!$B$4:$CZ$603,68,FALSE)</f>
        <v>10.17533226670956</v>
      </c>
      <c r="CE149">
        <f>VLOOKUP($B149,'[1]Data_UN_PopulationTot.&amp;%'!$B$4:$CZ$603,69,FALSE)</f>
        <v>10.276240237376449</v>
      </c>
      <c r="CF149">
        <f>VLOOKUP($B149,'[1]Data_UN_PopulationTot.&amp;%'!$B$4:$CZ$603,70,FALSE)</f>
        <v>8.1324700766073317</v>
      </c>
      <c r="CG149">
        <f>VLOOKUP($B149,'[1]Data_UN_PopulationTot.&amp;%'!$B$4:$CZ$603,71,FALSE)</f>
        <v>5.4338927842040103</v>
      </c>
      <c r="CH149">
        <f>VLOOKUP($B149,'[1]Data_UN_PopulationTot.&amp;%'!$B$4:$CZ$603,72,FALSE)</f>
        <v>3.8054627605640277</v>
      </c>
      <c r="CI149">
        <f>VLOOKUP($B149,'[1]Data_UN_PopulationTot.&amp;%'!$B$4:$CZ$603,73,FALSE)</f>
        <v>2.3523276622268692</v>
      </c>
      <c r="CJ149">
        <f>VLOOKUP($B149,'[1]Data_UN_PopulationTot.&amp;%'!$B$4:$CZ$603,74,FALSE)</f>
        <v>1.5929959010625063</v>
      </c>
      <c r="CK149">
        <f>VLOOKUP($B149,'[1]Data_UN_PopulationTot.&amp;%'!$B$4:$CZ$603,75,FALSE)</f>
        <v>0.84173562858513395</v>
      </c>
      <c r="CL149">
        <f>VLOOKUP($B149,'[1]Data_UN_PopulationTot.&amp;%'!$B$4:$CZ$603,76,FALSE)</f>
        <v>0.57682419952949826</v>
      </c>
      <c r="CM149">
        <f>VLOOKUP($B149,'[1]Data_UN_PopulationTot.&amp;%'!$B$4:$CZ$603,77,FALSE)</f>
        <v>0.30497301365259277</v>
      </c>
      <c r="CN149">
        <f>VLOOKUP($B149,'[1]Data_UN_PopulationTot.&amp;%'!$B$4:$CZ$603,78,FALSE)</f>
        <v>0.12929605703469016</v>
      </c>
      <c r="CO149">
        <f>VLOOKUP($B149,'[1]Data_UN_PopulationTot.&amp;%'!$B$4:$CZ$603,79,FALSE)</f>
        <v>4.2867934934034971E-2</v>
      </c>
      <c r="CP149">
        <f>VLOOKUP($B149,'[1]Data_UN_PopulationTot.&amp;%'!$B$4:$CZ$603,80,FALSE)</f>
        <v>8.8700203079804339E-3</v>
      </c>
      <c r="CQ149">
        <f>VLOOKUP($B149,'[1]Data_UN_PopulationTot.&amp;%'!$B$4:$CZ$603,81,FALSE)</f>
        <v>8.9332134578429874E-4</v>
      </c>
      <c r="CR149">
        <f>VLOOKUP($B149,'[1]Data_UN_PopulationTot.&amp;%'!$B$4:$CZ$603,82,FALSE)</f>
        <v>6.5478875854159098</v>
      </c>
      <c r="CS149">
        <f>VLOOKUP($B149,'[1]Data_UN_PopulationTot.&amp;%'!$B$4:$CZ$603,83,FALSE)</f>
        <v>7.106273030824747</v>
      </c>
      <c r="CT149">
        <f>VLOOKUP($B149,'[1]Data_UN_PopulationTot.&amp;%'!$B$4:$CZ$603,84,FALSE)</f>
        <v>7.4982643436421563</v>
      </c>
      <c r="CU149">
        <f>VLOOKUP($B149,'[1]Data_UN_PopulationTot.&amp;%'!$B$4:$CZ$603,85,FALSE)</f>
        <v>7.4893126800822927</v>
      </c>
      <c r="CV149">
        <f>VLOOKUP($B149,'[1]Data_UN_PopulationTot.&amp;%'!$B$4:$CZ$603,86,FALSE)</f>
        <v>7.0075758539047808</v>
      </c>
      <c r="CW149">
        <f>VLOOKUP($B149,'[1]Data_UN_PopulationTot.&amp;%'!$B$4:$CZ$603,87,FALSE)</f>
        <v>6.8190314401751673</v>
      </c>
      <c r="CX149">
        <f>VLOOKUP($B149,'[1]Data_UN_PopulationTot.&amp;%'!$B$4:$CZ$603,88,FALSE)</f>
        <v>7.558433764047372</v>
      </c>
      <c r="CY149">
        <f>VLOOKUP($B149,'[1]Data_UN_PopulationTot.&amp;%'!$B$4:$CZ$603,89,FALSE)</f>
        <v>8.7106552770310977</v>
      </c>
      <c r="CZ149">
        <f>VLOOKUP($B149,'[1]Data_UN_PopulationTot.&amp;%'!$B$4:$CZ$603,90,FALSE)</f>
        <v>8.6097710459459389</v>
      </c>
      <c r="DA149">
        <f>VLOOKUP($B149,'[1]Data_UN_PopulationTot.&amp;%'!$B$4:$CZ$603,91,FALSE)</f>
        <v>8.1335527169061823</v>
      </c>
      <c r="DB149">
        <f>VLOOKUP($B149,'[1]Data_UN_PopulationTot.&amp;%'!$B$4:$CZ$603,92,FALSE)</f>
        <v>7.9292157376348777</v>
      </c>
      <c r="DC149">
        <f>VLOOKUP($B149,'[1]Data_UN_PopulationTot.&amp;%'!$B$4:$CZ$603,93,FALSE)</f>
        <v>6.2521520867294118</v>
      </c>
      <c r="DD149">
        <f>VLOOKUP($B149,'[1]Data_UN_PopulationTot.&amp;%'!$B$4:$CZ$603,94,FALSE)</f>
        <v>4.2886860636331035</v>
      </c>
      <c r="DE149">
        <f>VLOOKUP($B149,'[1]Data_UN_PopulationTot.&amp;%'!$B$4:$CZ$603,95,FALSE)</f>
        <v>2.882511958863037</v>
      </c>
      <c r="DF149">
        <f>VLOOKUP($B149,'[1]Data_UN_PopulationTot.&amp;%'!$B$4:$CZ$603,96,FALSE)</f>
        <v>1.6103101802285216</v>
      </c>
      <c r="DG149">
        <f>VLOOKUP($B149,'[1]Data_UN_PopulationTot.&amp;%'!$B$4:$CZ$603,97,FALSE)</f>
        <v>0.9235904308751014</v>
      </c>
      <c r="DH149">
        <f>VLOOKUP($B149,'[1]Data_UN_PopulationTot.&amp;%'!$B$4:$CZ$603,98,FALSE)</f>
        <v>0.38474351703740622</v>
      </c>
      <c r="DI149">
        <f>VLOOKUP($B149,'[1]Data_UN_PopulationTot.&amp;%'!$B$4:$CZ$603,99,FALSE)</f>
        <v>0.17936387240827723</v>
      </c>
      <c r="DJ149">
        <f>VLOOKUP($B149,'[1]Data_UN_PopulationTot.&amp;%'!$B$4:$DE$603,100,FALSE)</f>
        <v>5.5510486416104857E-2</v>
      </c>
      <c r="DK149">
        <f>VLOOKUP($B149,'[1]Data_UN_PopulationTot.&amp;%'!$B$4:$DE$603,101,FALSE)</f>
        <v>1.1756687681035952E-2</v>
      </c>
      <c r="DL149">
        <f>VLOOKUP($B149,'[1]Data_UN_PopulationTot.&amp;%'!$B$4:$DE$603,102,FALSE)</f>
        <v>1.5055070532496826E-3</v>
      </c>
    </row>
    <row r="150" spans="1:116">
      <c r="A150" t="s">
        <v>106</v>
      </c>
      <c r="B150" t="s">
        <v>319</v>
      </c>
      <c r="C150" t="s">
        <v>496</v>
      </c>
      <c r="D150" t="s">
        <v>306</v>
      </c>
      <c r="E150" t="s">
        <v>299</v>
      </c>
      <c r="F150">
        <v>1</v>
      </c>
      <c r="G150">
        <v>0</v>
      </c>
      <c r="H150">
        <v>0</v>
      </c>
      <c r="I150">
        <v>0</v>
      </c>
      <c r="J150" s="18">
        <f t="shared" si="5"/>
        <v>195.68099321981998</v>
      </c>
      <c r="K150">
        <f>VLOOKUP($B150,'[1]Source GDP Current USD'!$B$1:$CZ$600,64,FALSE)</f>
        <v>21329109521.807701</v>
      </c>
      <c r="L150" s="45">
        <f>VLOOKUP($B150,'[1]Source GDP Current USD'!$B$1:$CZ$600,65,FALSE)</f>
        <v>21329109521.807701</v>
      </c>
      <c r="M150" s="17">
        <f>VLOOKUP($B150,'[1]Source GDP Current LCU'!$B$1:$CZ$600,64,FALSE)</f>
        <v>4058929542000</v>
      </c>
      <c r="N150" s="45">
        <v>4100000000000</v>
      </c>
      <c r="O150" s="45">
        <f>VLOOKUP($B150,'[1]Source GNI Current USD'!$B$1:$CZ$600,64,FALSE)</f>
        <v>19857202368.3657</v>
      </c>
      <c r="P150" s="45">
        <f>VLOOKUP($B150,'[1]Source GNI Current LCU'!$B$1:$CZ$600,64,FALSE)</f>
        <v>3778825610700</v>
      </c>
      <c r="Q150">
        <f t="shared" si="4"/>
        <v>107.41245985278778</v>
      </c>
      <c r="R150">
        <v>530</v>
      </c>
      <c r="S150">
        <v>530</v>
      </c>
      <c r="T150">
        <v>0.117423</v>
      </c>
      <c r="U150" s="45">
        <v>44000000</v>
      </c>
      <c r="V150">
        <v>4.8209999999999997</v>
      </c>
      <c r="W150">
        <f>VLOOKUP($B150,'[1]Source Gov. Revenue WEO'!$B$1:$CZ$600,5,FALSE)</f>
        <v>9.0380000000000003</v>
      </c>
      <c r="X150">
        <f>VLOOKUP($B150,'[1]Source Gov. Revenue WEO'!$B$1:$CZ$600,6,FALSE)</f>
        <v>12.5</v>
      </c>
      <c r="Y150">
        <f>VLOOKUP($B150,'[1]Source Gov. Revenue WEO'!$B$1:$CZ$600,7,FALSE)</f>
        <v>12.295</v>
      </c>
      <c r="Z150">
        <f>VLOOKUP($B150,'[1]Source Gov. Revenue WEO'!$B$1:$CZ$600,8,FALSE)</f>
        <v>12.272</v>
      </c>
      <c r="AA150">
        <f>VLOOKUP($B150,'[1]Source Gov. Revenue WEO'!$B$1:$CZ$600,9,FALSE)</f>
        <v>11.723000000000001</v>
      </c>
      <c r="AB150">
        <f>VLOOKUP($B150,'[1]Source Gov. Revenue WEO'!$B$1:$CZ$600,10,FALSE)</f>
        <v>11.56</v>
      </c>
      <c r="AC150">
        <f>VLOOKUP($B150,[2]Summary!$B$1:$CZ$600,39,FALSE)</f>
        <v>0.12109529999999999</v>
      </c>
      <c r="AD150">
        <f>VLOOKUP($B150,[2]Summary!$B$1:$CZ$600,40,FALSE)</f>
        <v>0.10099999999999999</v>
      </c>
      <c r="AE150">
        <f>VLOOKUP($B150,[2]Summary!$B$1:$CZ$600,47,FALSE)</f>
        <v>8.9723202170963356E-2</v>
      </c>
      <c r="AF150">
        <f>VLOOKUP($B150,'[1]CALC GDP Growth rates WDI'!$B$1:$CZ$600,27,FALSE)</f>
        <v>-16.491361433427834</v>
      </c>
      <c r="AG150">
        <f>VLOOKUP($B150,'[1]CALC GDP Growth rates WDI'!$B$1:$CZ$600,29,FALSE)</f>
        <v>-7.8534496965488865</v>
      </c>
      <c r="AH150">
        <v>-4.41</v>
      </c>
      <c r="AI150">
        <f>VLOOKUP($B150,'[1]CALC GDP Growth rates WDI'!$B$1:$CZ$600,30,FALSE)</f>
        <v>3.5080944452517526</v>
      </c>
      <c r="AJ150" s="45" t="s">
        <v>2467</v>
      </c>
      <c r="AK150">
        <f>VLOOKUP($B150,[1]Data_Aspire!$B$1:$CZ$600,2,FALSE)</f>
        <v>2016</v>
      </c>
      <c r="AL150">
        <f>VLOOKUP($B150,[1]Data_Aspire!$B$1:$CZ$600,3,FALSE)</f>
        <v>1.19</v>
      </c>
      <c r="AM150">
        <f>VLOOKUP($B150,[1]Data_Aspire!$B$1:$CZ$600,4,FALSE)</f>
        <v>0.02</v>
      </c>
      <c r="AN150">
        <f>VLOOKUP($B150,[1]Data_Aspire!$B$1:$CZ$600,5,FALSE)</f>
        <v>0.62</v>
      </c>
      <c r="AO150">
        <f>VLOOKUP($B150,[1]Data_Aspire!$B$1:$CZ$600,6,FALSE)</f>
        <v>0</v>
      </c>
      <c r="AP150">
        <f>VLOOKUP($B150,[1]Data_Aspire!$B$1:$CZ$600,7,FALSE)</f>
        <v>0.02</v>
      </c>
      <c r="AQ150">
        <f>VLOOKUP($B150,[1]Data_Aspire!$B$1:$CZ$600,8,FALSE)</f>
        <v>0.01</v>
      </c>
      <c r="AR150">
        <f>VLOOKUP($B150,[1]Data_Aspire!$B$1:$CZ$600,9,FALSE)</f>
        <v>0.17</v>
      </c>
      <c r="AS150">
        <f>VLOOKUP($B150,[1]Data_Aspire!$B$1:$CZ$600,10,FALSE)</f>
        <v>0.35</v>
      </c>
      <c r="AU150">
        <f>VLOOKUP($B150,[1]Data_Aspire!$B$1:$CZ$600,12,FALSE)</f>
        <v>0.84</v>
      </c>
      <c r="AV150">
        <f>VLOOKUP($B150,[1]Data_Aspire!$B$1:$CZ$600,13,FALSE)</f>
        <v>200000</v>
      </c>
      <c r="AW150">
        <f>VLOOKUP($B150,[1]Data_Aspire!$B$1:$CZ$600,14,FALSE)</f>
        <v>2016</v>
      </c>
      <c r="AX150">
        <f>VLOOKUP($B150,[1]Data_Aspire!$B$1:$CZ$600,15,FALSE)</f>
        <v>15327539</v>
      </c>
      <c r="AY150">
        <f>VLOOKUP($B150,[1]Data_Aspire!$B$1:$CZ$600,16,FALSE)</f>
        <v>2016</v>
      </c>
      <c r="BB150">
        <f>VLOOKUP($B150,[1]Data_Aspire!$B$1:$CZ$600,19,FALSE)</f>
        <v>2095568</v>
      </c>
      <c r="BC150">
        <f>VLOOKUP($B150,[1]Data_Aspire!$B$1:$CZ$600,20,FALSE)</f>
        <v>2015</v>
      </c>
      <c r="BD150">
        <f>VLOOKUP($B150,[1]Data_Aspire!$B$1:$CZ$600,21,FALSE)</f>
        <v>974099</v>
      </c>
      <c r="BE150">
        <f>VLOOKUP($B150,[1]Data_Aspire!$B$1:$CZ$600,22,FALSE)</f>
        <v>2016</v>
      </c>
      <c r="BF150">
        <f>VLOOKUP($B150,[1]Data_Aspire!$B$1:$CZ$600,23,FALSE)</f>
        <v>108362</v>
      </c>
      <c r="BG150">
        <f>VLOOKUP($B150,[1]Data_Aspire!$B$1:$CZ$600,24,FALSE)</f>
        <v>2015</v>
      </c>
      <c r="BH150">
        <f>VLOOKUP($B150,[1]Data_Aspire!$B$1:$CZ$600,25,FALSE)</f>
        <v>15725537</v>
      </c>
      <c r="BI150">
        <f>VLOOKUP($B150,[1]Data_Aspire!$B$1:$CZ$600,26,FALSE)</f>
        <v>2016</v>
      </c>
      <c r="BJ150" s="7">
        <v>0</v>
      </c>
      <c r="BK150">
        <v>729</v>
      </c>
      <c r="BL150">
        <f>VLOOKUP($B150,'[1]Data_UN_PopulationTot.&amp;%'!$B$4:$CZ$603,8,FALSE)</f>
        <v>43849.3</v>
      </c>
      <c r="BM150">
        <f>VLOOKUP($B150,'[1]Data_UN_PopulationTot.&amp;%'!$B$4:$CZ$603,9,FALSE)</f>
        <v>44909.4</v>
      </c>
      <c r="BN150">
        <v>45992</v>
      </c>
      <c r="BO150">
        <f>VLOOKUP($B150,'[1]Data_UN_PopulationTot.&amp;%'!$B$4:$CZ$603,11,FALSE)</f>
        <v>47095.3</v>
      </c>
      <c r="BP150">
        <f>VLOOKUP($B150,'[1]Data_UN_PopulationTot.&amp;%'!$B$4:$CZ$603,12,FALSE)</f>
        <v>48216.4</v>
      </c>
      <c r="BQ150">
        <f>VLOOKUP($B150,'[1]Data_UN_PopulationTot.&amp;%'!$B$4:$CZ$603,13,FALSE)</f>
        <v>49353.5</v>
      </c>
      <c r="BR150">
        <f>VLOOKUP($B150,'[1]Data_UN_PopulationTot.&amp;%'!$B$4:$CZ$603,14,FALSE)</f>
        <v>50505.2</v>
      </c>
      <c r="BS150">
        <f>VLOOKUP($B150,'[1]Data_UN_PopulationTot.&amp;%'!$B$4:$CZ$603,15,FALSE)</f>
        <v>51671.3</v>
      </c>
      <c r="BT150">
        <f>VLOOKUP($B150,'[1]Data_UN_PopulationTot.&amp;%'!$B$4:$CZ$603,16,FALSE)</f>
        <v>52851.4</v>
      </c>
      <c r="BU150">
        <f>VLOOKUP($B150,'[1]Data_UN_PopulationTot.&amp;%'!$B$4:$CZ$603,17,FALSE)</f>
        <v>54045.599999999999</v>
      </c>
      <c r="BV150">
        <f>VLOOKUP($B150,'[1]Data_UN_PopulationTot.&amp;%'!$B$4:$CZ$603,18,FALSE)</f>
        <v>55253.5</v>
      </c>
      <c r="BW150">
        <f>VLOOKUP($B150,'[1]Data_UN_PopulationTot.&amp;%'!$B$4:$CZ$603,61,FALSE)</f>
        <v>14.456513558939365</v>
      </c>
      <c r="BX150">
        <f>VLOOKUP($B150,'[1]Data_UN_PopulationTot.&amp;%'!$B$4:$CZ$603,62,FALSE)</f>
        <v>13.20369994503903</v>
      </c>
      <c r="BY150">
        <f>VLOOKUP($B150,'[1]Data_UN_PopulationTot.&amp;%'!$B$4:$CZ$603,63,FALSE)</f>
        <v>12.139121947214663</v>
      </c>
      <c r="BZ150">
        <f>VLOOKUP($B150,'[1]Data_UN_PopulationTot.&amp;%'!$B$4:$CZ$603,64,FALSE)</f>
        <v>10.948247748538744</v>
      </c>
      <c r="CA150">
        <f>VLOOKUP($B150,'[1]Data_UN_PopulationTot.&amp;%'!$B$4:$CZ$603,65,FALSE)</f>
        <v>9.4856474333683778</v>
      </c>
      <c r="CB150">
        <f>VLOOKUP($B150,'[1]Data_UN_PopulationTot.&amp;%'!$B$4:$CZ$603,66,FALSE)</f>
        <v>7.9083816617369029</v>
      </c>
      <c r="CC150">
        <f>VLOOKUP($B150,'[1]Data_UN_PopulationTot.&amp;%'!$B$4:$CZ$603,67,FALSE)</f>
        <v>6.3839787636290657</v>
      </c>
      <c r="CD150">
        <f>VLOOKUP($B150,'[1]Data_UN_PopulationTot.&amp;%'!$B$4:$CZ$603,68,FALSE)</f>
        <v>5.48220838188979</v>
      </c>
      <c r="CE150">
        <f>VLOOKUP($B150,'[1]Data_UN_PopulationTot.&amp;%'!$B$4:$CZ$603,69,FALSE)</f>
        <v>4.6223999014807529</v>
      </c>
      <c r="CF150">
        <f>VLOOKUP($B150,'[1]Data_UN_PopulationTot.&amp;%'!$B$4:$CZ$603,70,FALSE)</f>
        <v>3.8778954282052394</v>
      </c>
      <c r="CG150">
        <f>VLOOKUP($B150,'[1]Data_UN_PopulationTot.&amp;%'!$B$4:$CZ$603,71,FALSE)</f>
        <v>3.2487633782067213</v>
      </c>
      <c r="CH150">
        <f>VLOOKUP($B150,'[1]Data_UN_PopulationTot.&amp;%'!$B$4:$CZ$603,72,FALSE)</f>
        <v>2.5733592098391536</v>
      </c>
      <c r="CI150">
        <f>VLOOKUP($B150,'[1]Data_UN_PopulationTot.&amp;%'!$B$4:$CZ$603,73,FALSE)</f>
        <v>1.9955985614365563</v>
      </c>
      <c r="CJ150">
        <f>VLOOKUP($B150,'[1]Data_UN_PopulationTot.&amp;%'!$B$4:$CZ$603,74,FALSE)</f>
        <v>1.5072167628673661</v>
      </c>
      <c r="CK150">
        <f>VLOOKUP($B150,'[1]Data_UN_PopulationTot.&amp;%'!$B$4:$CZ$603,75,FALSE)</f>
        <v>1.0379413126321286</v>
      </c>
      <c r="CL150">
        <f>VLOOKUP($B150,'[1]Data_UN_PopulationTot.&amp;%'!$B$4:$CZ$603,76,FALSE)</f>
        <v>0.63380943367396969</v>
      </c>
      <c r="CM150">
        <f>VLOOKUP($B150,'[1]Data_UN_PopulationTot.&amp;%'!$B$4:$CZ$603,77,FALSE)</f>
        <v>0.32582732221494981</v>
      </c>
      <c r="CN150">
        <f>VLOOKUP($B150,'[1]Data_UN_PopulationTot.&amp;%'!$B$4:$CZ$603,78,FALSE)</f>
        <v>0.12762347403493329</v>
      </c>
      <c r="CO150">
        <f>VLOOKUP($B150,'[1]Data_UN_PopulationTot.&amp;%'!$B$4:$CZ$603,79,FALSE)</f>
        <v>3.4871708328297141E-2</v>
      </c>
      <c r="CP150">
        <f>VLOOKUP($B150,'[1]Data_UN_PopulationTot.&amp;%'!$B$4:$CZ$603,80,FALSE)</f>
        <v>6.1893804462100866E-3</v>
      </c>
      <c r="CQ150">
        <f>VLOOKUP($B150,'[1]Data_UN_PopulationTot.&amp;%'!$B$4:$CZ$603,81,FALSE)</f>
        <v>6.4311174864821095E-4</v>
      </c>
      <c r="CR150">
        <f>VLOOKUP($B150,'[1]Data_UN_PopulationTot.&amp;%'!$B$4:$CZ$603,82,FALSE)</f>
        <v>13.325201118481184</v>
      </c>
      <c r="CS150">
        <f>VLOOKUP($B150,'[1]Data_UN_PopulationTot.&amp;%'!$B$4:$CZ$603,83,FALSE)</f>
        <v>12.17846833232284</v>
      </c>
      <c r="CT150">
        <f>VLOOKUP($B150,'[1]Data_UN_PopulationTot.&amp;%'!$B$4:$CZ$603,84,FALSE)</f>
        <v>11.201154677984199</v>
      </c>
      <c r="CU150">
        <f>VLOOKUP($B150,'[1]Data_UN_PopulationTot.&amp;%'!$B$4:$CZ$603,85,FALSE)</f>
        <v>10.310640954871635</v>
      </c>
      <c r="CV150">
        <f>VLOOKUP($B150,'[1]Data_UN_PopulationTot.&amp;%'!$B$4:$CZ$603,86,FALSE)</f>
        <v>9.4532654040015576</v>
      </c>
      <c r="CW150">
        <f>VLOOKUP($B150,'[1]Data_UN_PopulationTot.&amp;%'!$B$4:$CZ$603,87,FALSE)</f>
        <v>8.4718434126344935</v>
      </c>
      <c r="CX150">
        <f>VLOOKUP($B150,'[1]Data_UN_PopulationTot.&amp;%'!$B$4:$CZ$603,88,FALSE)</f>
        <v>7.2996642746613345</v>
      </c>
      <c r="CY150">
        <f>VLOOKUP($B150,'[1]Data_UN_PopulationTot.&amp;%'!$B$4:$CZ$603,89,FALSE)</f>
        <v>6.0535169717755437</v>
      </c>
      <c r="CZ150">
        <f>VLOOKUP($B150,'[1]Data_UN_PopulationTot.&amp;%'!$B$4:$CZ$603,90,FALSE)</f>
        <v>4.8501904856705913</v>
      </c>
      <c r="DA150">
        <f>VLOOKUP($B150,'[1]Data_UN_PopulationTot.&amp;%'!$B$4:$CZ$603,91,FALSE)</f>
        <v>4.1271774638710665</v>
      </c>
      <c r="DB150">
        <f>VLOOKUP($B150,'[1]Data_UN_PopulationTot.&amp;%'!$B$4:$CZ$603,92,FALSE)</f>
        <v>3.4343706733510095</v>
      </c>
      <c r="DC150">
        <f>VLOOKUP($B150,'[1]Data_UN_PopulationTot.&amp;%'!$B$4:$CZ$603,93,FALSE)</f>
        <v>2.8193689087569114</v>
      </c>
      <c r="DD150">
        <f>VLOOKUP($B150,'[1]Data_UN_PopulationTot.&amp;%'!$B$4:$CZ$603,94,FALSE)</f>
        <v>2.2798555747599698</v>
      </c>
      <c r="DE150">
        <f>VLOOKUP($B150,'[1]Data_UN_PopulationTot.&amp;%'!$B$4:$CZ$603,95,FALSE)</f>
        <v>1.696386654239098</v>
      </c>
      <c r="DF150">
        <f>VLOOKUP($B150,'[1]Data_UN_PopulationTot.&amp;%'!$B$4:$CZ$603,96,FALSE)</f>
        <v>1.1773009854579348</v>
      </c>
      <c r="DG150">
        <f>VLOOKUP($B150,'[1]Data_UN_PopulationTot.&amp;%'!$B$4:$CZ$603,97,FALSE)</f>
        <v>0.74048159845077688</v>
      </c>
      <c r="DH150">
        <f>VLOOKUP($B150,'[1]Data_UN_PopulationTot.&amp;%'!$B$4:$CZ$603,98,FALSE)</f>
        <v>0.38120481055498745</v>
      </c>
      <c r="DI150">
        <f>VLOOKUP($B150,'[1]Data_UN_PopulationTot.&amp;%'!$B$4:$CZ$603,99,FALSE)</f>
        <v>0.14974074040558516</v>
      </c>
      <c r="DJ150">
        <f>VLOOKUP($B150,'[1]Data_UN_PopulationTot.&amp;%'!$B$4:$DE$603,100,FALSE)</f>
        <v>4.1769299682373064E-2</v>
      </c>
      <c r="DK150">
        <f>VLOOKUP($B150,'[1]Data_UN_PopulationTot.&amp;%'!$B$4:$DE$603,101,FALSE)</f>
        <v>7.574180821124453E-3</v>
      </c>
      <c r="DL150">
        <f>VLOOKUP($B150,'[1]Data_UN_PopulationTot.&amp;%'!$B$4:$DE$603,102,FALSE)</f>
        <v>8.6510356809975841E-4</v>
      </c>
    </row>
    <row r="151" spans="1:116">
      <c r="A151" t="s">
        <v>131</v>
      </c>
      <c r="B151" t="s">
        <v>345</v>
      </c>
      <c r="C151" t="s">
        <v>496</v>
      </c>
      <c r="D151" t="s">
        <v>334</v>
      </c>
      <c r="E151" t="s">
        <v>300</v>
      </c>
      <c r="F151">
        <v>0</v>
      </c>
      <c r="G151">
        <v>1</v>
      </c>
      <c r="H151">
        <v>0</v>
      </c>
      <c r="I151">
        <v>0</v>
      </c>
      <c r="J151" s="18">
        <f t="shared" si="5"/>
        <v>2842.6492332453599</v>
      </c>
      <c r="K151">
        <f>VLOOKUP($B151,'[1]Source GDP Current USD'!$B$1:$CZ$600,64,FALSE)</f>
        <v>24644234594.656601</v>
      </c>
      <c r="L151" s="45">
        <f>VLOOKUP($B151,'[1]Source GDP Current USD'!$B$1:$CZ$600,65,FALSE)</f>
        <v>24644234594.656601</v>
      </c>
      <c r="M151" s="17">
        <f>VLOOKUP($B151,'[1]Source GDP Current LCU'!$B$1:$CZ$600,64,FALSE)</f>
        <v>14184876413400</v>
      </c>
      <c r="N151" s="45">
        <v>14000000000000</v>
      </c>
      <c r="O151" s="45">
        <f>VLOOKUP($B151,'[1]Source GNI Current USD'!$B$1:$CZ$600,64,FALSE)</f>
        <v>24045962914.316898</v>
      </c>
      <c r="P151" s="45">
        <f>VLOOKUP($B151,'[1]Source GNI Current LCU'!$B$1:$CZ$600,64,FALSE)</f>
        <v>13840519610000</v>
      </c>
      <c r="Q151">
        <f t="shared" si="4"/>
        <v>102.48803378126929</v>
      </c>
      <c r="R151">
        <v>1430</v>
      </c>
      <c r="S151">
        <v>1430</v>
      </c>
      <c r="T151">
        <v>0.42018499999999998</v>
      </c>
      <c r="U151" s="45">
        <v>17000000</v>
      </c>
      <c r="V151">
        <v>20.04</v>
      </c>
      <c r="W151">
        <f>VLOOKUP($B151,'[1]Source Gov. Revenue WEO'!$B$1:$CZ$600,5,FALSE)</f>
        <v>20.199000000000002</v>
      </c>
      <c r="X151">
        <f>VLOOKUP($B151,'[1]Source Gov. Revenue WEO'!$B$1:$CZ$600,6,FALSE)</f>
        <v>20.957000000000001</v>
      </c>
      <c r="Y151">
        <f>VLOOKUP($B151,'[1]Source Gov. Revenue WEO'!$B$1:$CZ$600,7,FALSE)</f>
        <v>21.943000000000001</v>
      </c>
      <c r="Z151">
        <f>VLOOKUP($B151,'[1]Source Gov. Revenue WEO'!$B$1:$CZ$600,8,FALSE)</f>
        <v>22.966999999999999</v>
      </c>
      <c r="AA151">
        <f>VLOOKUP($B151,'[1]Source Gov. Revenue WEO'!$B$1:$CZ$600,9,FALSE)</f>
        <v>23.867999999999999</v>
      </c>
      <c r="AB151">
        <f>VLOOKUP($B151,'[1]Source Gov. Revenue WEO'!$B$1:$CZ$600,10,FALSE)</f>
        <v>23.853999999999999</v>
      </c>
      <c r="AC151">
        <f>VLOOKUP($B151,[2]Summary!$B$1:$CZ$600,39,FALSE)</f>
        <v>0.28112510000000002</v>
      </c>
      <c r="AD151">
        <f>VLOOKUP($B151,[2]Summary!$B$1:$CZ$600,40,FALSE)</f>
        <v>0.2155</v>
      </c>
      <c r="AE151">
        <f>VLOOKUP($B151,[2]Summary!$B$1:$CZ$600,47,FALSE)</f>
        <v>0.186</v>
      </c>
      <c r="AF151">
        <f>VLOOKUP($B151,'[1]CALC GDP Growth rates WDI'!$B$1:$CZ$600,27,FALSE)</f>
        <v>56.790095344660863</v>
      </c>
      <c r="AG151">
        <f>VLOOKUP($B151,'[1]CALC GDP Growth rates WDI'!$B$1:$CZ$600,29,FALSE)</f>
        <v>53.510481535271296</v>
      </c>
      <c r="AH151">
        <v>28.59</v>
      </c>
      <c r="AI151">
        <f>VLOOKUP($B151,'[1]CALC GDP Growth rates WDI'!$B$1:$CZ$600,30,FALSE)</f>
        <v>29.502723417307465</v>
      </c>
      <c r="AJ151" t="s">
        <v>2465</v>
      </c>
      <c r="AK151">
        <f>VLOOKUP($B151,[1]Data_Aspire!$B$1:$CZ$600,2,FALSE)</f>
        <v>2015</v>
      </c>
      <c r="AL151">
        <f>VLOOKUP($B151,[1]Data_Aspire!$B$1:$CZ$600,3,FALSE)</f>
        <v>0.89</v>
      </c>
      <c r="AM151">
        <f>VLOOKUP($B151,[1]Data_Aspire!$B$1:$CZ$600,4,FALSE)</f>
        <v>0.16</v>
      </c>
      <c r="AN151">
        <f>VLOOKUP($B151,[1]Data_Aspire!$B$1:$CZ$600,5,FALSE)</f>
        <v>0.03</v>
      </c>
      <c r="AO151">
        <f>VLOOKUP($B151,[1]Data_Aspire!$B$1:$CZ$600,6,FALSE)</f>
        <v>0</v>
      </c>
      <c r="AP151">
        <f>VLOOKUP($B151,[1]Data_Aspire!$B$1:$CZ$600,7,FALSE)</f>
        <v>0.02</v>
      </c>
      <c r="AR151">
        <f>VLOOKUP($B151,[1]Data_Aspire!$B$1:$CZ$600,9,FALSE)</f>
        <v>0.1</v>
      </c>
      <c r="AS151">
        <f>VLOOKUP($B151,[1]Data_Aspire!$B$1:$CZ$600,10,FALSE)</f>
        <v>0.21</v>
      </c>
      <c r="AT151">
        <f>VLOOKUP($B151,[1]Data_Aspire!$B$1:$CZ$600,11,FALSE)</f>
        <v>0.36</v>
      </c>
      <c r="AU151">
        <f>VLOOKUP($B151,[1]Data_Aspire!$B$1:$CZ$600,12,FALSE)</f>
        <v>0.81</v>
      </c>
      <c r="AV151">
        <f>VLOOKUP($B151,[1]Data_Aspire!$B$1:$CZ$600,13,FALSE)</f>
        <v>2400000</v>
      </c>
      <c r="AW151">
        <f>VLOOKUP($B151,[1]Data_Aspire!$B$1:$CZ$600,14,FALSE)</f>
        <v>2016</v>
      </c>
      <c r="BB151">
        <f>VLOOKUP($B151,[1]Data_Aspire!$B$1:$CZ$600,19,FALSE)</f>
        <v>927416</v>
      </c>
      <c r="BC151">
        <f>VLOOKUP($B151,[1]Data_Aspire!$B$1:$CZ$600,20,FALSE)</f>
        <v>2015</v>
      </c>
      <c r="BD151">
        <f>VLOOKUP($B151,[1]Data_Aspire!$B$1:$CZ$600,21,FALSE)</f>
        <v>303738</v>
      </c>
      <c r="BE151">
        <f>VLOOKUP($B151,[1]Data_Aspire!$B$1:$CZ$600,22,FALSE)</f>
        <v>2015</v>
      </c>
      <c r="BH151">
        <f>VLOOKUP($B151,[1]Data_Aspire!$B$1:$CZ$600,25,FALSE)</f>
        <v>792985</v>
      </c>
      <c r="BI151">
        <f>VLOOKUP($B151,[1]Data_Aspire!$B$1:$CZ$600,26,FALSE)</f>
        <v>2015</v>
      </c>
      <c r="BJ151" s="7">
        <v>1</v>
      </c>
      <c r="BK151">
        <v>686</v>
      </c>
      <c r="BL151">
        <f>VLOOKUP($B151,'[1]Data_UN_PopulationTot.&amp;%'!$B$4:$CZ$603,8,FALSE)</f>
        <v>16743.900000000001</v>
      </c>
      <c r="BM151">
        <f>VLOOKUP($B151,'[1]Data_UN_PopulationTot.&amp;%'!$B$4:$CZ$603,9,FALSE)</f>
        <v>17196.3</v>
      </c>
      <c r="BN151">
        <v>17653.7</v>
      </c>
      <c r="BO151">
        <f>VLOOKUP($B151,'[1]Data_UN_PopulationTot.&amp;%'!$B$4:$CZ$603,11,FALSE)</f>
        <v>18116.5</v>
      </c>
      <c r="BP151">
        <f>VLOOKUP($B151,'[1]Data_UN_PopulationTot.&amp;%'!$B$4:$CZ$603,12,FALSE)</f>
        <v>18585.8</v>
      </c>
      <c r="BQ151">
        <f>VLOOKUP($B151,'[1]Data_UN_PopulationTot.&amp;%'!$B$4:$CZ$603,13,FALSE)</f>
        <v>19062.2</v>
      </c>
      <c r="BR151">
        <f>VLOOKUP($B151,'[1]Data_UN_PopulationTot.&amp;%'!$B$4:$CZ$603,14,FALSE)</f>
        <v>19545.8</v>
      </c>
      <c r="BS151">
        <f>VLOOKUP($B151,'[1]Data_UN_PopulationTot.&amp;%'!$B$4:$CZ$603,15,FALSE)</f>
        <v>20036.3</v>
      </c>
      <c r="BT151">
        <f>VLOOKUP($B151,'[1]Data_UN_PopulationTot.&amp;%'!$B$4:$CZ$603,16,FALSE)</f>
        <v>20533.900000000001</v>
      </c>
      <c r="BU151">
        <f>VLOOKUP($B151,'[1]Data_UN_PopulationTot.&amp;%'!$B$4:$CZ$603,17,FALSE)</f>
        <v>21038.9</v>
      </c>
      <c r="BV151">
        <f>VLOOKUP($B151,'[1]Data_UN_PopulationTot.&amp;%'!$B$4:$CZ$603,18,FALSE)</f>
        <v>21551.5</v>
      </c>
      <c r="BW151">
        <f>VLOOKUP($B151,'[1]Data_UN_PopulationTot.&amp;%'!$B$4:$CZ$603,61,FALSE)</f>
        <v>15.619658502499417</v>
      </c>
      <c r="BX151">
        <f>VLOOKUP($B151,'[1]Data_UN_PopulationTot.&amp;%'!$B$4:$CZ$603,62,FALSE)</f>
        <v>14.436541068687699</v>
      </c>
      <c r="BY151">
        <f>VLOOKUP($B151,'[1]Data_UN_PopulationTot.&amp;%'!$B$4:$CZ$603,63,FALSE)</f>
        <v>12.535430813609732</v>
      </c>
      <c r="BZ151">
        <f>VLOOKUP($B151,'[1]Data_UN_PopulationTot.&amp;%'!$B$4:$CZ$603,64,FALSE)</f>
        <v>10.539838388905808</v>
      </c>
      <c r="CA151">
        <f>VLOOKUP($B151,'[1]Data_UN_PopulationTot.&amp;%'!$B$4:$CZ$603,65,FALSE)</f>
        <v>9.072199427851336</v>
      </c>
      <c r="CB151">
        <f>VLOOKUP($B151,'[1]Data_UN_PopulationTot.&amp;%'!$B$4:$CZ$603,66,FALSE)</f>
        <v>7.7908372601365263</v>
      </c>
      <c r="CC151">
        <f>VLOOKUP($B151,'[1]Data_UN_PopulationTot.&amp;%'!$B$4:$CZ$603,67,FALSE)</f>
        <v>6.6334008205973518</v>
      </c>
      <c r="CD151">
        <f>VLOOKUP($B151,'[1]Data_UN_PopulationTot.&amp;%'!$B$4:$CZ$603,68,FALSE)</f>
        <v>5.617562216687868</v>
      </c>
      <c r="CE151">
        <f>VLOOKUP($B151,'[1]Data_UN_PopulationTot.&amp;%'!$B$4:$CZ$603,69,FALSE)</f>
        <v>4.431261534051206</v>
      </c>
      <c r="CF151">
        <f>VLOOKUP($B151,'[1]Data_UN_PopulationTot.&amp;%'!$B$4:$CZ$603,70,FALSE)</f>
        <v>3.5228471264161869</v>
      </c>
      <c r="CG151">
        <f>VLOOKUP($B151,'[1]Data_UN_PopulationTot.&amp;%'!$B$4:$CZ$603,71,FALSE)</f>
        <v>2.7906580904090443</v>
      </c>
      <c r="CH151">
        <f>VLOOKUP($B151,'[1]Data_UN_PopulationTot.&amp;%'!$B$4:$CZ$603,72,FALSE)</f>
        <v>2.1944409605886324</v>
      </c>
      <c r="CI151">
        <f>VLOOKUP($B151,'[1]Data_UN_PopulationTot.&amp;%'!$B$4:$CZ$603,73,FALSE)</f>
        <v>1.7072844438870274</v>
      </c>
      <c r="CJ151">
        <f>VLOOKUP($B151,'[1]Data_UN_PopulationTot.&amp;%'!$B$4:$CZ$603,74,FALSE)</f>
        <v>1.3133021578007511</v>
      </c>
      <c r="CK151">
        <f>VLOOKUP($B151,'[1]Data_UN_PopulationTot.&amp;%'!$B$4:$CZ$603,75,FALSE)</f>
        <v>0.86970777417447531</v>
      </c>
      <c r="CL151">
        <f>VLOOKUP($B151,'[1]Data_UN_PopulationTot.&amp;%'!$B$4:$CZ$603,76,FALSE)</f>
        <v>0.55876468445224825</v>
      </c>
      <c r="CM151">
        <f>VLOOKUP($B151,'[1]Data_UN_PopulationTot.&amp;%'!$B$4:$CZ$603,77,FALSE)</f>
        <v>0.26942349154020268</v>
      </c>
      <c r="CN151">
        <f>VLOOKUP($B151,'[1]Data_UN_PopulationTot.&amp;%'!$B$4:$CZ$603,78,FALSE)</f>
        <v>8.2203070969129044E-2</v>
      </c>
      <c r="CO151">
        <f>VLOOKUP($B151,'[1]Data_UN_PopulationTot.&amp;%'!$B$4:$CZ$603,79,FALSE)</f>
        <v>1.361689928869618E-2</v>
      </c>
      <c r="CP151">
        <f>VLOOKUP($B151,'[1]Data_UN_PopulationTot.&amp;%'!$B$4:$CZ$603,80,FALSE)</f>
        <v>1.1048799861442075E-3</v>
      </c>
      <c r="CQ151">
        <f>VLOOKUP($B151,'[1]Data_UN_PopulationTot.&amp;%'!$B$4:$CZ$603,81,FALSE)</f>
        <v>3.5833945496568897E-5</v>
      </c>
      <c r="CR151">
        <f>VLOOKUP($B151,'[1]Data_UN_PopulationTot.&amp;%'!$B$4:$CZ$603,82,FALSE)</f>
        <v>13.932487297867896</v>
      </c>
      <c r="CS151">
        <f>VLOOKUP($B151,'[1]Data_UN_PopulationTot.&amp;%'!$B$4:$CZ$603,83,FALSE)</f>
        <v>12.871586664501312</v>
      </c>
      <c r="CT151">
        <f>VLOOKUP($B151,'[1]Data_UN_PopulationTot.&amp;%'!$B$4:$CZ$603,84,FALSE)</f>
        <v>11.968354870890657</v>
      </c>
      <c r="CU151">
        <f>VLOOKUP($B151,'[1]Data_UN_PopulationTot.&amp;%'!$B$4:$CZ$603,85,FALSE)</f>
        <v>11.086328097812217</v>
      </c>
      <c r="CV151">
        <f>VLOOKUP($B151,'[1]Data_UN_PopulationTot.&amp;%'!$B$4:$CZ$603,86,FALSE)</f>
        <v>9.534371157460038</v>
      </c>
      <c r="CW151">
        <f>VLOOKUP($B151,'[1]Data_UN_PopulationTot.&amp;%'!$B$4:$CZ$603,87,FALSE)</f>
        <v>7.9060854232884035</v>
      </c>
      <c r="CX151">
        <f>VLOOKUP($B151,'[1]Data_UN_PopulationTot.&amp;%'!$B$4:$CZ$603,88,FALSE)</f>
        <v>6.7581374846298408</v>
      </c>
      <c r="CY151">
        <f>VLOOKUP($B151,'[1]Data_UN_PopulationTot.&amp;%'!$B$4:$CZ$603,89,FALSE)</f>
        <v>5.7967658863652183</v>
      </c>
      <c r="CZ151">
        <f>VLOOKUP($B151,'[1]Data_UN_PopulationTot.&amp;%'!$B$4:$CZ$603,90,FALSE)</f>
        <v>4.9286128575737189</v>
      </c>
      <c r="DA151">
        <f>VLOOKUP($B151,'[1]Data_UN_PopulationTot.&amp;%'!$B$4:$CZ$603,91,FALSE)</f>
        <v>4.1533396747326172</v>
      </c>
      <c r="DB151">
        <f>VLOOKUP($B151,'[1]Data_UN_PopulationTot.&amp;%'!$B$4:$CZ$603,92,FALSE)</f>
        <v>3.2377235923253602</v>
      </c>
      <c r="DC151">
        <f>VLOOKUP($B151,'[1]Data_UN_PopulationTot.&amp;%'!$B$4:$CZ$603,93,FALSE)</f>
        <v>2.5196900447764654</v>
      </c>
      <c r="DD151">
        <f>VLOOKUP($B151,'[1]Data_UN_PopulationTot.&amp;%'!$B$4:$CZ$603,94,FALSE)</f>
        <v>1.922910238266478</v>
      </c>
      <c r="DE151">
        <f>VLOOKUP($B151,'[1]Data_UN_PopulationTot.&amp;%'!$B$4:$CZ$603,95,FALSE)</f>
        <v>1.4165928125652509</v>
      </c>
      <c r="DF151">
        <f>VLOOKUP($B151,'[1]Data_UN_PopulationTot.&amp;%'!$B$4:$CZ$603,96,FALSE)</f>
        <v>0.9791522631835371</v>
      </c>
      <c r="DG151">
        <f>VLOOKUP($B151,'[1]Data_UN_PopulationTot.&amp;%'!$B$4:$CZ$603,97,FALSE)</f>
        <v>0.60467716864255394</v>
      </c>
      <c r="DH151">
        <f>VLOOKUP($B151,'[1]Data_UN_PopulationTot.&amp;%'!$B$4:$CZ$603,98,FALSE)</f>
        <v>0.27140570261930724</v>
      </c>
      <c r="DI151">
        <f>VLOOKUP($B151,'[1]Data_UN_PopulationTot.&amp;%'!$B$4:$CZ$603,99,FALSE)</f>
        <v>9.2471521703825721E-2</v>
      </c>
      <c r="DJ151">
        <f>VLOOKUP($B151,'[1]Data_UN_PopulationTot.&amp;%'!$B$4:$DE$603,100,FALSE)</f>
        <v>1.7502262023525044E-2</v>
      </c>
      <c r="DK151">
        <f>VLOOKUP($B151,'[1]Data_UN_PopulationTot.&amp;%'!$B$4:$DE$603,101,FALSE)</f>
        <v>1.6008166484931441E-3</v>
      </c>
      <c r="DL151">
        <f>VLOOKUP($B151,'[1]Data_UN_PopulationTot.&amp;%'!$B$4:$DE$603,102,FALSE)</f>
        <v>6.0320627334524279E-5</v>
      </c>
    </row>
    <row r="152" spans="1:116">
      <c r="A152" t="s">
        <v>262</v>
      </c>
      <c r="B152" t="s">
        <v>554</v>
      </c>
      <c r="C152" t="s">
        <v>493</v>
      </c>
      <c r="D152" t="s">
        <v>622</v>
      </c>
      <c r="E152" t="s">
        <v>2269</v>
      </c>
      <c r="F152">
        <v>0</v>
      </c>
      <c r="G152">
        <v>0</v>
      </c>
      <c r="H152">
        <v>0</v>
      </c>
      <c r="I152">
        <v>1</v>
      </c>
      <c r="J152" s="18">
        <f t="shared" si="5"/>
        <v>82.476441137999998</v>
      </c>
      <c r="K152">
        <f>VLOOKUP($B152,'[1]Source GDP Current USD'!$B$1:$CZ$600,64,FALSE)</f>
        <v>339998477929.98499</v>
      </c>
      <c r="L152" s="45">
        <f>VLOOKUP($B152,'[1]Source GDP Current USD'!$B$1:$CZ$600,65,FALSE)</f>
        <v>339998477929.98499</v>
      </c>
      <c r="M152" s="17">
        <f>VLOOKUP($B152,'[1]Source GDP Current LCU'!$B$1:$CZ$600,64,FALSE)</f>
        <v>469095900000</v>
      </c>
      <c r="N152" s="45">
        <v>470000000000</v>
      </c>
      <c r="O152" s="45">
        <f>VLOOKUP($B152,'[1]Source GNI Current USD'!$B$1:$CZ$600,64,FALSE)</f>
        <v>298439225918.67798</v>
      </c>
      <c r="P152" s="45">
        <f>VLOOKUP($B152,'[1]Source GNI Current LCU'!$B$1:$CZ$600,64,FALSE)</f>
        <v>411756600000</v>
      </c>
      <c r="Q152">
        <f t="shared" si="4"/>
        <v>113.92553270548669</v>
      </c>
      <c r="R152">
        <v>54920</v>
      </c>
      <c r="S152">
        <v>54920</v>
      </c>
      <c r="T152">
        <v>0.60696000000000006</v>
      </c>
      <c r="U152" s="45">
        <v>5700000</v>
      </c>
      <c r="V152">
        <v>17.582000000000001</v>
      </c>
      <c r="W152">
        <f>VLOOKUP($B152,'[1]Source Gov. Revenue WEO'!$B$1:$CZ$600,5,FALSE)</f>
        <v>18.98</v>
      </c>
      <c r="X152">
        <f>VLOOKUP($B152,'[1]Source Gov. Revenue WEO'!$B$1:$CZ$600,6,FALSE)</f>
        <v>18.408999999999999</v>
      </c>
      <c r="Y152">
        <f>VLOOKUP($B152,'[1]Source Gov. Revenue WEO'!$B$1:$CZ$600,7,FALSE)</f>
        <v>17.962</v>
      </c>
      <c r="Z152">
        <f>VLOOKUP($B152,'[1]Source Gov. Revenue WEO'!$B$1:$CZ$600,8,FALSE)</f>
        <v>17.547999999999998</v>
      </c>
      <c r="AA152">
        <f>VLOOKUP($B152,'[1]Source Gov. Revenue WEO'!$B$1:$CZ$600,9,FALSE)</f>
        <v>17.367000000000001</v>
      </c>
      <c r="AB152">
        <f>VLOOKUP($B152,'[1]Source Gov. Revenue WEO'!$B$1:$CZ$600,10,FALSE)</f>
        <v>17.236999999999998</v>
      </c>
      <c r="AC152">
        <f>VLOOKUP($B152,[2]Summary!$B$1:$CZ$600,39,FALSE)</f>
        <v>9.0000000000000011E-3</v>
      </c>
      <c r="AD152">
        <f>VLOOKUP($B152,[2]Summary!$B$1:$CZ$600,40,FALSE)</f>
        <v>9.0000000000000011E-3</v>
      </c>
      <c r="AE152">
        <f>VLOOKUP($B152,[2]Summary!$B$1:$CZ$600,47,FALSE)</f>
        <v>0.17760475217431537</v>
      </c>
      <c r="AF152">
        <f>VLOOKUP($B152,'[1]CALC GDP Growth rates WDI'!$B$1:$CZ$600,27,FALSE)</f>
        <v>33.601819820249204</v>
      </c>
      <c r="AG152">
        <f>VLOOKUP($B152,'[1]CALC GDP Growth rates WDI'!$B$1:$CZ$600,29,FALSE)</f>
        <v>59.358288601197849</v>
      </c>
      <c r="AH152">
        <v>7.18</v>
      </c>
      <c r="AI152">
        <f>VLOOKUP($B152,'[1]CALC GDP Growth rates WDI'!$B$1:$CZ$600,30,FALSE)</f>
        <v>14.957437241252048</v>
      </c>
      <c r="AK152" t="e">
        <f>VLOOKUP($B152,[1]Data_Aspire!$B$1:$CZ$600,2,FALSE)</f>
        <v>#N/A</v>
      </c>
      <c r="AL152" t="e">
        <f>VLOOKUP($B152,[1]Data_Aspire!$B$1:$CZ$600,3,FALSE)</f>
        <v>#N/A</v>
      </c>
      <c r="AM152" t="e">
        <f>VLOOKUP($B152,[1]Data_Aspire!$B$1:$CZ$600,4,FALSE)</f>
        <v>#N/A</v>
      </c>
      <c r="AN152" t="e">
        <f>VLOOKUP($B152,[1]Data_Aspire!$B$1:$CZ$600,5,FALSE)</f>
        <v>#N/A</v>
      </c>
      <c r="AO152" t="e">
        <f>VLOOKUP($B152,[1]Data_Aspire!$B$1:$CZ$600,6,FALSE)</f>
        <v>#N/A</v>
      </c>
      <c r="AP152" t="e">
        <f>VLOOKUP($B152,[1]Data_Aspire!$B$1:$CZ$600,7,FALSE)</f>
        <v>#N/A</v>
      </c>
      <c r="AQ152" t="e">
        <f>VLOOKUP($B152,[1]Data_Aspire!$B$1:$CZ$600,8,FALSE)</f>
        <v>#N/A</v>
      </c>
      <c r="AR152" t="e">
        <f>VLOOKUP($B152,[1]Data_Aspire!$B$1:$CZ$600,9,FALSE)</f>
        <v>#N/A</v>
      </c>
      <c r="AS152" t="e">
        <f>VLOOKUP($B152,[1]Data_Aspire!$B$1:$CZ$600,10,FALSE)</f>
        <v>#N/A</v>
      </c>
      <c r="AT152" t="e">
        <f>VLOOKUP($B152,[1]Data_Aspire!$B$1:$CZ$600,11,FALSE)</f>
        <v>#N/A</v>
      </c>
      <c r="AU152" t="e">
        <f>VLOOKUP($B152,[1]Data_Aspire!$B$1:$CZ$600,12,FALSE)</f>
        <v>#N/A</v>
      </c>
      <c r="AV152" t="e">
        <f>VLOOKUP($B152,[1]Data_Aspire!$B$1:$CZ$600,13,FALSE)</f>
        <v>#N/A</v>
      </c>
      <c r="AW152" t="e">
        <f>VLOOKUP($B152,[1]Data_Aspire!$B$1:$CZ$600,14,FALSE)</f>
        <v>#N/A</v>
      </c>
      <c r="AX152" t="e">
        <f>VLOOKUP($B152,[1]Data_Aspire!$B$1:$CZ$600,15,FALSE)</f>
        <v>#N/A</v>
      </c>
      <c r="AY152" t="e">
        <f>VLOOKUP($B152,[1]Data_Aspire!$B$1:$CZ$600,16,FALSE)</f>
        <v>#N/A</v>
      </c>
      <c r="AZ152" t="e">
        <f>VLOOKUP($B152,[1]Data_Aspire!$B$1:$CZ$600,17,FALSE)</f>
        <v>#N/A</v>
      </c>
      <c r="BA152" t="e">
        <f>VLOOKUP($B152,[1]Data_Aspire!$B$1:$CZ$600,18,FALSE)</f>
        <v>#N/A</v>
      </c>
      <c r="BB152" t="e">
        <f>VLOOKUP($B152,[1]Data_Aspire!$B$1:$CZ$600,19,FALSE)</f>
        <v>#N/A</v>
      </c>
      <c r="BC152" t="e">
        <f>VLOOKUP($B152,[1]Data_Aspire!$B$1:$CZ$600,20,FALSE)</f>
        <v>#N/A</v>
      </c>
      <c r="BD152" t="e">
        <f>VLOOKUP($B152,[1]Data_Aspire!$B$1:$CZ$600,21,FALSE)</f>
        <v>#N/A</v>
      </c>
      <c r="BE152" t="e">
        <f>VLOOKUP($B152,[1]Data_Aspire!$B$1:$CZ$600,22,FALSE)</f>
        <v>#N/A</v>
      </c>
      <c r="BF152" t="e">
        <f>VLOOKUP($B152,[1]Data_Aspire!$B$1:$CZ$600,23,FALSE)</f>
        <v>#N/A</v>
      </c>
      <c r="BG152" t="e">
        <f>VLOOKUP($B152,[1]Data_Aspire!$B$1:$CZ$600,24,FALSE)</f>
        <v>#N/A</v>
      </c>
      <c r="BH152" t="e">
        <f>VLOOKUP($B152,[1]Data_Aspire!$B$1:$CZ$600,25,FALSE)</f>
        <v>#N/A</v>
      </c>
      <c r="BI152" t="e">
        <f>VLOOKUP($B152,[1]Data_Aspire!$B$1:$CZ$600,26,FALSE)</f>
        <v>#N/A</v>
      </c>
      <c r="BJ152" s="7">
        <v>0</v>
      </c>
      <c r="BK152">
        <v>702</v>
      </c>
      <c r="BL152">
        <f>VLOOKUP($B152,'[1]Data_UN_PopulationTot.&amp;%'!$B$4:$CZ$603,8,FALSE)</f>
        <v>5850.34</v>
      </c>
      <c r="BM152">
        <f>VLOOKUP($B152,'[1]Data_UN_PopulationTot.&amp;%'!$B$4:$CZ$603,9,FALSE)</f>
        <v>5896.68</v>
      </c>
      <c r="BN152">
        <v>5943.55</v>
      </c>
      <c r="BO152">
        <f>VLOOKUP($B152,'[1]Data_UN_PopulationTot.&amp;%'!$B$4:$CZ$603,11,FALSE)</f>
        <v>5990.29</v>
      </c>
      <c r="BP152">
        <f>VLOOKUP($B152,'[1]Data_UN_PopulationTot.&amp;%'!$B$4:$CZ$603,12,FALSE)</f>
        <v>6035.67</v>
      </c>
      <c r="BQ152">
        <f>VLOOKUP($B152,'[1]Data_UN_PopulationTot.&amp;%'!$B$4:$CZ$603,13,FALSE)</f>
        <v>6078.76</v>
      </c>
      <c r="BR152">
        <f>VLOOKUP($B152,'[1]Data_UN_PopulationTot.&amp;%'!$B$4:$CZ$603,14,FALSE)</f>
        <v>6119.59</v>
      </c>
      <c r="BS152">
        <f>VLOOKUP($B152,'[1]Data_UN_PopulationTot.&amp;%'!$B$4:$CZ$603,15,FALSE)</f>
        <v>6158.53</v>
      </c>
      <c r="BT152">
        <f>VLOOKUP($B152,'[1]Data_UN_PopulationTot.&amp;%'!$B$4:$CZ$603,16,FALSE)</f>
        <v>6195.44</v>
      </c>
      <c r="BU152">
        <f>VLOOKUP($B152,'[1]Data_UN_PopulationTot.&amp;%'!$B$4:$CZ$603,17,FALSE)</f>
        <v>6230.13</v>
      </c>
      <c r="BV152">
        <f>VLOOKUP($B152,'[1]Data_UN_PopulationTot.&amp;%'!$B$4:$CZ$603,18,FALSE)</f>
        <v>6262.46</v>
      </c>
      <c r="BW152">
        <f>VLOOKUP($B152,'[1]Data_UN_PopulationTot.&amp;%'!$B$4:$CZ$603,61,FALSE)</f>
        <v>4.4130084747211269</v>
      </c>
      <c r="BX152">
        <f>VLOOKUP($B152,'[1]Data_UN_PopulationTot.&amp;%'!$B$4:$CZ$603,62,FALSE)</f>
        <v>3.7751822970972624</v>
      </c>
      <c r="BY152">
        <f>VLOOKUP($B152,'[1]Data_UN_PopulationTot.&amp;%'!$B$4:$CZ$603,63,FALSE)</f>
        <v>4.1130088165816003</v>
      </c>
      <c r="BZ152">
        <f>VLOOKUP($B152,'[1]Data_UN_PopulationTot.&amp;%'!$B$4:$CZ$603,64,FALSE)</f>
        <v>4.5325399891288365</v>
      </c>
      <c r="CA152">
        <f>VLOOKUP($B152,'[1]Data_UN_PopulationTot.&amp;%'!$B$4:$CZ$603,65,FALSE)</f>
        <v>6.7951093440723103</v>
      </c>
      <c r="CB152">
        <f>VLOOKUP($B152,'[1]Data_UN_PopulationTot.&amp;%'!$B$4:$CZ$603,66,FALSE)</f>
        <v>7.4443707545202509</v>
      </c>
      <c r="CC152">
        <f>VLOOKUP($B152,'[1]Data_UN_PopulationTot.&amp;%'!$B$4:$CZ$603,67,FALSE)</f>
        <v>7.4299442425568438</v>
      </c>
      <c r="CD152">
        <f>VLOOKUP($B152,'[1]Data_UN_PopulationTot.&amp;%'!$B$4:$CZ$603,68,FALSE)</f>
        <v>7.8959171603701668</v>
      </c>
      <c r="CE152">
        <f>VLOOKUP($B152,'[1]Data_UN_PopulationTot.&amp;%'!$B$4:$CZ$603,69,FALSE)</f>
        <v>8.0896323974333129</v>
      </c>
      <c r="CF152">
        <f>VLOOKUP($B152,'[1]Data_UN_PopulationTot.&amp;%'!$B$4:$CZ$603,70,FALSE)</f>
        <v>8.4029646140224319</v>
      </c>
      <c r="CG152">
        <f>VLOOKUP($B152,'[1]Data_UN_PopulationTot.&amp;%'!$B$4:$CZ$603,71,FALSE)</f>
        <v>7.972374255171494</v>
      </c>
      <c r="CH152">
        <f>VLOOKUP($B152,'[1]Data_UN_PopulationTot.&amp;%'!$B$4:$CZ$603,72,FALSE)</f>
        <v>8.2014207721260632</v>
      </c>
      <c r="CI152">
        <f>VLOOKUP($B152,'[1]Data_UN_PopulationTot.&amp;%'!$B$4:$CZ$603,73,FALSE)</f>
        <v>7.5829951763487236</v>
      </c>
      <c r="CJ152">
        <f>VLOOKUP($B152,'[1]Data_UN_PopulationTot.&amp;%'!$B$4:$CZ$603,74,FALSE)</f>
        <v>6.0798859553461853</v>
      </c>
      <c r="CK152">
        <f>VLOOKUP($B152,'[1]Data_UN_PopulationTot.&amp;%'!$B$4:$CZ$603,75,FALSE)</f>
        <v>3.2515717035249234</v>
      </c>
      <c r="CL152">
        <f>VLOOKUP($B152,'[1]Data_UN_PopulationTot.&amp;%'!$B$4:$CZ$603,76,FALSE)</f>
        <v>1.6991491092825373</v>
      </c>
      <c r="CM152">
        <f>VLOOKUP($B152,'[1]Data_UN_PopulationTot.&amp;%'!$B$4:$CZ$603,77,FALSE)</f>
        <v>1.2543031687047248</v>
      </c>
      <c r="CN152">
        <f>VLOOKUP($B152,'[1]Data_UN_PopulationTot.&amp;%'!$B$4:$CZ$603,78,FALSE)</f>
        <v>0.69225036493605507</v>
      </c>
      <c r="CO152">
        <f>VLOOKUP($B152,'[1]Data_UN_PopulationTot.&amp;%'!$B$4:$CZ$603,79,FALSE)</f>
        <v>0.29025663465713109</v>
      </c>
      <c r="CP152">
        <f>VLOOKUP($B152,'[1]Data_UN_PopulationTot.&amp;%'!$B$4:$CZ$603,80,FALSE)</f>
        <v>7.1329187705329949E-2</v>
      </c>
      <c r="CQ152">
        <f>VLOOKUP($B152,'[1]Data_UN_PopulationTot.&amp;%'!$B$4:$CZ$603,81,FALSE)</f>
        <v>1.2836860763647923E-2</v>
      </c>
      <c r="CR152">
        <f>VLOOKUP($B152,'[1]Data_UN_PopulationTot.&amp;%'!$B$4:$CZ$603,82,FALSE)</f>
        <v>3.9495980812651896</v>
      </c>
      <c r="CS152">
        <f>VLOOKUP($B152,'[1]Data_UN_PopulationTot.&amp;%'!$B$4:$CZ$603,83,FALSE)</f>
        <v>4.1533997821942181</v>
      </c>
      <c r="CT152">
        <f>VLOOKUP($B152,'[1]Data_UN_PopulationTot.&amp;%'!$B$4:$CZ$603,84,FALSE)</f>
        <v>4.2223503223972694</v>
      </c>
      <c r="CU152">
        <f>VLOOKUP($B152,'[1]Data_UN_PopulationTot.&amp;%'!$B$4:$CZ$603,85,FALSE)</f>
        <v>3.7943076682326113</v>
      </c>
      <c r="CV152">
        <f>VLOOKUP($B152,'[1]Data_UN_PopulationTot.&amp;%'!$B$4:$CZ$603,86,FALSE)</f>
        <v>4.469601402643689</v>
      </c>
      <c r="CW152">
        <f>VLOOKUP($B152,'[1]Data_UN_PopulationTot.&amp;%'!$B$4:$CZ$603,87,FALSE)</f>
        <v>5.0234093311574046</v>
      </c>
      <c r="CX152">
        <f>VLOOKUP($B152,'[1]Data_UN_PopulationTot.&amp;%'!$B$4:$CZ$603,88,FALSE)</f>
        <v>7.0196855548777952</v>
      </c>
      <c r="CY152">
        <f>VLOOKUP($B152,'[1]Data_UN_PopulationTot.&amp;%'!$B$4:$CZ$603,89,FALSE)</f>
        <v>7.4343149497162457</v>
      </c>
      <c r="CZ152">
        <f>VLOOKUP($B152,'[1]Data_UN_PopulationTot.&amp;%'!$B$4:$CZ$603,90,FALSE)</f>
        <v>7.2520064000408784</v>
      </c>
      <c r="DA152">
        <f>VLOOKUP($B152,'[1]Data_UN_PopulationTot.&amp;%'!$B$4:$CZ$603,91,FALSE)</f>
        <v>7.5494773619312543</v>
      </c>
      <c r="DB152">
        <f>VLOOKUP($B152,'[1]Data_UN_PopulationTot.&amp;%'!$B$4:$CZ$603,92,FALSE)</f>
        <v>7.6117053043053371</v>
      </c>
      <c r="DC152">
        <f>VLOOKUP($B152,'[1]Data_UN_PopulationTot.&amp;%'!$B$4:$CZ$603,93,FALSE)</f>
        <v>7.7797063773660833</v>
      </c>
      <c r="DD152">
        <f>VLOOKUP($B152,'[1]Data_UN_PopulationTot.&amp;%'!$B$4:$CZ$603,94,FALSE)</f>
        <v>7.2491960028487208</v>
      </c>
      <c r="DE152">
        <f>VLOOKUP($B152,'[1]Data_UN_PopulationTot.&amp;%'!$B$4:$CZ$603,95,FALSE)</f>
        <v>7.2716312758883888</v>
      </c>
      <c r="DF152">
        <f>VLOOKUP($B152,'[1]Data_UN_PopulationTot.&amp;%'!$B$4:$CZ$603,96,FALSE)</f>
        <v>6.4591869648668423</v>
      </c>
      <c r="DG152">
        <f>VLOOKUP($B152,'[1]Data_UN_PopulationTot.&amp;%'!$B$4:$CZ$603,97,FALSE)</f>
        <v>4.816653519543439</v>
      </c>
      <c r="DH152">
        <f>VLOOKUP($B152,'[1]Data_UN_PopulationTot.&amp;%'!$B$4:$CZ$603,98,FALSE)</f>
        <v>2.2912082472383055</v>
      </c>
      <c r="DI152">
        <f>VLOOKUP($B152,'[1]Data_UN_PopulationTot.&amp;%'!$B$4:$CZ$603,99,FALSE)</f>
        <v>0.97303615512115049</v>
      </c>
      <c r="DJ152">
        <f>VLOOKUP($B152,'[1]Data_UN_PopulationTot.&amp;%'!$B$4:$DE$603,100,FALSE)</f>
        <v>0.49999520955024068</v>
      </c>
      <c r="DK152">
        <f>VLOOKUP($B152,'[1]Data_UN_PopulationTot.&amp;%'!$B$4:$DE$603,101,FALSE)</f>
        <v>0.15323051963605355</v>
      </c>
      <c r="DL152">
        <f>VLOOKUP($B152,'[1]Data_UN_PopulationTot.&amp;%'!$B$4:$DE$603,102,FALSE)</f>
        <v>2.6379410008207635E-2</v>
      </c>
    </row>
    <row r="153" spans="1:116">
      <c r="A153" t="s">
        <v>144</v>
      </c>
      <c r="B153" t="s">
        <v>358</v>
      </c>
      <c r="C153" t="s">
        <v>493</v>
      </c>
      <c r="D153" t="s">
        <v>334</v>
      </c>
      <c r="E153" t="s">
        <v>300</v>
      </c>
      <c r="F153">
        <v>0</v>
      </c>
      <c r="G153">
        <v>1</v>
      </c>
      <c r="H153">
        <v>0</v>
      </c>
      <c r="I153">
        <v>0</v>
      </c>
      <c r="J153" s="18">
        <f t="shared" si="5"/>
        <v>4.2216255299999998</v>
      </c>
      <c r="K153">
        <f>VLOOKUP($B153,'[1]Source GDP Current USD'!$B$1:$CZ$600,64,FALSE)</f>
        <v>1545888426.23031</v>
      </c>
      <c r="L153" s="45">
        <f>VLOOKUP($B153,'[1]Source GDP Current USD'!$B$1:$CZ$600,65,FALSE)</f>
        <v>1545888426.23031</v>
      </c>
      <c r="M153" s="17">
        <f>VLOOKUP($B153,'[1]Source GDP Current LCU'!$B$1:$CZ$600,64,FALSE)</f>
        <v>12697000000</v>
      </c>
      <c r="N153" s="45">
        <v>13000000000</v>
      </c>
      <c r="O153" s="45">
        <f>VLOOKUP($B153,'[1]Source GNI Current USD'!$B$1:$CZ$600,64,FALSE)</f>
        <v>1581793499.5936201</v>
      </c>
      <c r="P153" s="45">
        <f>VLOOKUP($B153,'[1]Source GNI Current LCU'!$B$1:$CZ$600,64,FALSE)</f>
        <v>12991902729.562201</v>
      </c>
      <c r="Q153">
        <f t="shared" si="4"/>
        <v>97.730103621456692</v>
      </c>
      <c r="R153">
        <v>2300</v>
      </c>
      <c r="S153">
        <v>2300</v>
      </c>
      <c r="T153">
        <v>0.85931599999999997</v>
      </c>
      <c r="U153">
        <v>686878</v>
      </c>
      <c r="V153">
        <v>33.249000000000002</v>
      </c>
      <c r="W153">
        <f>VLOOKUP($B153,'[1]Source Gov. Revenue WEO'!$B$1:$CZ$600,5,FALSE)</f>
        <v>31.032</v>
      </c>
      <c r="X153">
        <f>VLOOKUP($B153,'[1]Source Gov. Revenue WEO'!$B$1:$CZ$600,6,FALSE)</f>
        <v>32.804000000000002</v>
      </c>
      <c r="Y153">
        <f>VLOOKUP($B153,'[1]Source Gov. Revenue WEO'!$B$1:$CZ$600,7,FALSE)</f>
        <v>31.111999999999998</v>
      </c>
      <c r="Z153">
        <f>VLOOKUP($B153,'[1]Source Gov. Revenue WEO'!$B$1:$CZ$600,8,FALSE)</f>
        <v>30.463000000000001</v>
      </c>
      <c r="AA153">
        <f>VLOOKUP($B153,'[1]Source Gov. Revenue WEO'!$B$1:$CZ$600,9,FALSE)</f>
        <v>29.908999999999999</v>
      </c>
      <c r="AB153">
        <f>VLOOKUP($B153,'[1]Source Gov. Revenue WEO'!$B$1:$CZ$600,10,FALSE)</f>
        <v>29.478999999999999</v>
      </c>
      <c r="AC153">
        <f>VLOOKUP($B153,[2]Summary!$B$1:$CZ$600,39,FALSE)</f>
        <v>0.24331559999999999</v>
      </c>
      <c r="AD153">
        <f>VLOOKUP($B153,[2]Summary!$B$1:$CZ$600,40,FALSE)</f>
        <v>0.25124999999999997</v>
      </c>
      <c r="AE153">
        <f>VLOOKUP($B153,[2]Summary!$B$1:$CZ$600,47,FALSE)</f>
        <v>0.40502232061693122</v>
      </c>
      <c r="AF153">
        <f>VLOOKUP($B153,'[1]CALC GDP Growth rates WDI'!$B$1:$CZ$600,27,FALSE)</f>
        <v>32.418610452787235</v>
      </c>
      <c r="AG153">
        <f>VLOOKUP($B153,'[1]CALC GDP Growth rates WDI'!$B$1:$CZ$600,29,FALSE)</f>
        <v>48.351616328960723</v>
      </c>
      <c r="AH153">
        <v>12.24</v>
      </c>
      <c r="AI153">
        <f>VLOOKUP($B153,'[1]CALC GDP Growth rates WDI'!$B$1:$CZ$600,30,FALSE)</f>
        <v>17.437074230378926</v>
      </c>
      <c r="AJ153" s="45" t="s">
        <v>2465</v>
      </c>
      <c r="AM153">
        <f>VLOOKUP($B153,[1]Data_Aspire!$B$1:$CZ$600,4,FALSE)</f>
        <v>0</v>
      </c>
      <c r="AN153">
        <f>VLOOKUP($B153,[1]Data_Aspire!$B$1:$CZ$600,5,FALSE)</f>
        <v>0</v>
      </c>
      <c r="AO153">
        <f>VLOOKUP($B153,[1]Data_Aspire!$B$1:$CZ$600,6,FALSE)</f>
        <v>0</v>
      </c>
      <c r="AP153">
        <f>VLOOKUP($B153,[1]Data_Aspire!$B$1:$CZ$600,7,FALSE)</f>
        <v>0</v>
      </c>
      <c r="BF153">
        <f>VLOOKUP($B153,[1]Data_Aspire!$B$1:$CZ$600,23,FALSE)</f>
        <v>61857</v>
      </c>
      <c r="BG153">
        <f>VLOOKUP($B153,[1]Data_Aspire!$B$1:$CZ$600,24,FALSE)</f>
        <v>2016</v>
      </c>
      <c r="BJ153" s="7">
        <v>0</v>
      </c>
      <c r="BK153">
        <v>90</v>
      </c>
      <c r="BL153">
        <f>VLOOKUP($B153,'[1]Data_UN_PopulationTot.&amp;%'!$B$4:$CZ$603,8,FALSE)</f>
        <v>686.87800000000004</v>
      </c>
      <c r="BM153">
        <f>VLOOKUP($B153,'[1]Data_UN_PopulationTot.&amp;%'!$B$4:$CZ$603,9,FALSE)</f>
        <v>703.995</v>
      </c>
      <c r="BN153">
        <v>721.16399999999999</v>
      </c>
      <c r="BO153">
        <f>VLOOKUP($B153,'[1]Data_UN_PopulationTot.&amp;%'!$B$4:$CZ$603,11,FALSE)</f>
        <v>738.41600000000005</v>
      </c>
      <c r="BP153">
        <f>VLOOKUP($B153,'[1]Data_UN_PopulationTot.&amp;%'!$B$4:$CZ$603,12,FALSE)</f>
        <v>755.82299999999998</v>
      </c>
      <c r="BQ153">
        <f>VLOOKUP($B153,'[1]Data_UN_PopulationTot.&amp;%'!$B$4:$CZ$603,13,FALSE)</f>
        <v>773.42200000000003</v>
      </c>
      <c r="BR153">
        <f>VLOOKUP($B153,'[1]Data_UN_PopulationTot.&amp;%'!$B$4:$CZ$603,14,FALSE)</f>
        <v>791.21</v>
      </c>
      <c r="BS153">
        <f>VLOOKUP($B153,'[1]Data_UN_PopulationTot.&amp;%'!$B$4:$CZ$603,15,FALSE)</f>
        <v>809.19799999999998</v>
      </c>
      <c r="BT153">
        <f>VLOOKUP($B153,'[1]Data_UN_PopulationTot.&amp;%'!$B$4:$CZ$603,16,FALSE)</f>
        <v>827.40899999999999</v>
      </c>
      <c r="BU153">
        <f>VLOOKUP($B153,'[1]Data_UN_PopulationTot.&amp;%'!$B$4:$CZ$603,17,FALSE)</f>
        <v>845.87199999999996</v>
      </c>
      <c r="BV153">
        <f>VLOOKUP($B153,'[1]Data_UN_PopulationTot.&amp;%'!$B$4:$CZ$603,18,FALSE)</f>
        <v>864.60299999999995</v>
      </c>
      <c r="BW153">
        <f>VLOOKUP($B153,'[1]Data_UN_PopulationTot.&amp;%'!$B$4:$CZ$603,61,FALSE)</f>
        <v>15.018096372281539</v>
      </c>
      <c r="BX153">
        <f>VLOOKUP($B153,'[1]Data_UN_PopulationTot.&amp;%'!$B$4:$CZ$603,62,FALSE)</f>
        <v>13.541560510017788</v>
      </c>
      <c r="BY153">
        <f>VLOOKUP($B153,'[1]Data_UN_PopulationTot.&amp;%'!$B$4:$CZ$603,63,FALSE)</f>
        <v>11.4708871153247</v>
      </c>
      <c r="BZ153">
        <f>VLOOKUP($B153,'[1]Data_UN_PopulationTot.&amp;%'!$B$4:$CZ$603,64,FALSE)</f>
        <v>10.195988224983186</v>
      </c>
      <c r="CA153">
        <f>VLOOKUP($B153,'[1]Data_UN_PopulationTot.&amp;%'!$B$4:$CZ$603,65,FALSE)</f>
        <v>8.8800340089506413</v>
      </c>
      <c r="CB153">
        <f>VLOOKUP($B153,'[1]Data_UN_PopulationTot.&amp;%'!$B$4:$CZ$603,66,FALSE)</f>
        <v>7.4008775939832097</v>
      </c>
      <c r="CC153">
        <f>VLOOKUP($B153,'[1]Data_UN_PopulationTot.&amp;%'!$B$4:$CZ$603,67,FALSE)</f>
        <v>6.2032850084003268</v>
      </c>
      <c r="CD153">
        <f>VLOOKUP($B153,'[1]Data_UN_PopulationTot.&amp;%'!$B$4:$CZ$603,68,FALSE)</f>
        <v>5.7420677325522149</v>
      </c>
      <c r="CE153">
        <f>VLOOKUP($B153,'[1]Data_UN_PopulationTot.&amp;%'!$B$4:$CZ$603,69,FALSE)</f>
        <v>5.3997944321990223</v>
      </c>
      <c r="CF153">
        <f>VLOOKUP($B153,'[1]Data_UN_PopulationTot.&amp;%'!$B$4:$CZ$603,70,FALSE)</f>
        <v>4.5976141323495572</v>
      </c>
      <c r="CG153">
        <f>VLOOKUP($B153,'[1]Data_UN_PopulationTot.&amp;%'!$B$4:$CZ$603,71,FALSE)</f>
        <v>3.3202402755656752</v>
      </c>
      <c r="CH153">
        <f>VLOOKUP($B153,'[1]Data_UN_PopulationTot.&amp;%'!$B$4:$CZ$603,72,FALSE)</f>
        <v>2.6043926286764165</v>
      </c>
      <c r="CI153">
        <f>VLOOKUP($B153,'[1]Data_UN_PopulationTot.&amp;%'!$B$4:$CZ$603,73,FALSE)</f>
        <v>1.9544955581631673</v>
      </c>
      <c r="CJ153">
        <f>VLOOKUP($B153,'[1]Data_UN_PopulationTot.&amp;%'!$B$4:$CZ$603,74,FALSE)</f>
        <v>1.3907855543488072</v>
      </c>
      <c r="CK153">
        <f>VLOOKUP($B153,'[1]Data_UN_PopulationTot.&amp;%'!$B$4:$CZ$603,75,FALSE)</f>
        <v>1.0419608722364087</v>
      </c>
      <c r="CL153">
        <f>VLOOKUP($B153,'[1]Data_UN_PopulationTot.&amp;%'!$B$4:$CZ$603,76,FALSE)</f>
        <v>0.70405515972268728</v>
      </c>
      <c r="CM153">
        <f>VLOOKUP($B153,'[1]Data_UN_PopulationTot.&amp;%'!$B$4:$CZ$603,77,FALSE)</f>
        <v>0.3297528818800427</v>
      </c>
      <c r="CN153">
        <f>VLOOKUP($B153,'[1]Data_UN_PopulationTot.&amp;%'!$B$4:$CZ$603,78,FALSE)</f>
        <v>0.15766992100489458</v>
      </c>
      <c r="CO153">
        <f>VLOOKUP($B153,'[1]Data_UN_PopulationTot.&amp;%'!$B$4:$CZ$603,79,FALSE)</f>
        <v>3.9017118032605498E-2</v>
      </c>
      <c r="CP153">
        <f>VLOOKUP($B153,'[1]Data_UN_PopulationTot.&amp;%'!$B$4:$CZ$603,80,FALSE)</f>
        <v>6.8425542818375314E-3</v>
      </c>
      <c r="CQ153">
        <f>VLOOKUP($B153,'[1]Data_UN_PopulationTot.&amp;%'!$B$4:$CZ$603,81,FALSE)</f>
        <v>5.8234504526276853E-4</v>
      </c>
      <c r="CR153">
        <f>VLOOKUP($B153,'[1]Data_UN_PopulationTot.&amp;%'!$B$4:$CZ$603,82,FALSE)</f>
        <v>13.242956593951213</v>
      </c>
      <c r="CS153">
        <f>VLOOKUP($B153,'[1]Data_UN_PopulationTot.&amp;%'!$B$4:$CZ$603,83,FALSE)</f>
        <v>12.400835990622287</v>
      </c>
      <c r="CT153">
        <f>VLOOKUP($B153,'[1]Data_UN_PopulationTot.&amp;%'!$B$4:$CZ$603,84,FALSE)</f>
        <v>11.824386452510574</v>
      </c>
      <c r="CU153">
        <f>VLOOKUP($B153,'[1]Data_UN_PopulationTot.&amp;%'!$B$4:$CZ$603,85,FALSE)</f>
        <v>10.587865182054655</v>
      </c>
      <c r="CV153">
        <f>VLOOKUP($B153,'[1]Data_UN_PopulationTot.&amp;%'!$B$4:$CZ$603,86,FALSE)</f>
        <v>8.763675351577545</v>
      </c>
      <c r="CW153">
        <f>VLOOKUP($B153,'[1]Data_UN_PopulationTot.&amp;%'!$B$4:$CZ$603,87,FALSE)</f>
        <v>7.6681436451180502</v>
      </c>
      <c r="CX153">
        <f>VLOOKUP($B153,'[1]Data_UN_PopulationTot.&amp;%'!$B$4:$CZ$603,88,FALSE)</f>
        <v>6.6778625565722072</v>
      </c>
      <c r="CY153">
        <f>VLOOKUP($B153,'[1]Data_UN_PopulationTot.&amp;%'!$B$4:$CZ$603,89,FALSE)</f>
        <v>5.5868415908804394</v>
      </c>
      <c r="CZ153">
        <f>VLOOKUP($B153,'[1]Data_UN_PopulationTot.&amp;%'!$B$4:$CZ$603,90,FALSE)</f>
        <v>4.6949871790868185</v>
      </c>
      <c r="DA153">
        <f>VLOOKUP($B153,'[1]Data_UN_PopulationTot.&amp;%'!$B$4:$CZ$603,91,FALSE)</f>
        <v>4.3465035397749023</v>
      </c>
      <c r="DB153">
        <f>VLOOKUP($B153,'[1]Data_UN_PopulationTot.&amp;%'!$B$4:$CZ$603,92,FALSE)</f>
        <v>4.0541150100103751</v>
      </c>
      <c r="DC153">
        <f>VLOOKUP($B153,'[1]Data_UN_PopulationTot.&amp;%'!$B$4:$CZ$603,93,FALSE)</f>
        <v>3.3809736954417233</v>
      </c>
      <c r="DD153">
        <f>VLOOKUP($B153,'[1]Data_UN_PopulationTot.&amp;%'!$B$4:$CZ$603,94,FALSE)</f>
        <v>2.3566885611083932</v>
      </c>
      <c r="DE153">
        <f>VLOOKUP($B153,'[1]Data_UN_PopulationTot.&amp;%'!$B$4:$CZ$603,95,FALSE)</f>
        <v>1.7559504188627613</v>
      </c>
      <c r="DF153">
        <f>VLOOKUP($B153,'[1]Data_UN_PopulationTot.&amp;%'!$B$4:$CZ$603,96,FALSE)</f>
        <v>1.2135049265385387</v>
      </c>
      <c r="DG153">
        <f>VLOOKUP($B153,'[1]Data_UN_PopulationTot.&amp;%'!$B$4:$CZ$603,97,FALSE)</f>
        <v>0.74820466734443447</v>
      </c>
      <c r="DH153">
        <f>VLOOKUP($B153,'[1]Data_UN_PopulationTot.&amp;%'!$B$4:$CZ$603,98,FALSE)</f>
        <v>0.43800449454836504</v>
      </c>
      <c r="DI153">
        <f>VLOOKUP($B153,'[1]Data_UN_PopulationTot.&amp;%'!$B$4:$CZ$603,99,FALSE)</f>
        <v>0.19743165360286749</v>
      </c>
      <c r="DJ153">
        <f>VLOOKUP($B153,'[1]Data_UN_PopulationTot.&amp;%'!$B$4:$DE$603,100,FALSE)</f>
        <v>4.9965128504064878E-2</v>
      </c>
      <c r="DK153">
        <f>VLOOKUP($B153,'[1]Data_UN_PopulationTot.&amp;%'!$B$4:$DE$603,101,FALSE)</f>
        <v>1.0178081732309512E-2</v>
      </c>
      <c r="DL153">
        <f>VLOOKUP($B153,'[1]Data_UN_PopulationTot.&amp;%'!$B$4:$DE$603,102,FALSE)</f>
        <v>9.2528015748268293E-4</v>
      </c>
    </row>
    <row r="154" spans="1:116">
      <c r="A154" t="s">
        <v>98</v>
      </c>
      <c r="B154" t="s">
        <v>311</v>
      </c>
      <c r="C154" t="s">
        <v>496</v>
      </c>
      <c r="D154" t="s">
        <v>306</v>
      </c>
      <c r="E154" t="s">
        <v>299</v>
      </c>
      <c r="F154">
        <v>1</v>
      </c>
      <c r="G154">
        <v>0</v>
      </c>
      <c r="H154">
        <v>0</v>
      </c>
      <c r="I154">
        <v>0</v>
      </c>
      <c r="J154" s="18">
        <f t="shared" si="5"/>
        <v>7703.2553273599997</v>
      </c>
      <c r="K154">
        <f>VLOOKUP($B154,'[1]Source GDP Current USD'!$B$1:$CZ$600,64,FALSE)</f>
        <v>4063289449.5879502</v>
      </c>
      <c r="L154" s="45">
        <f>VLOOKUP($B154,'[1]Source GDP Current USD'!$B$1:$CZ$600,65,FALSE)</f>
        <v>4063289449.5879502</v>
      </c>
      <c r="M154" s="17">
        <f>VLOOKUP($B154,'[1]Source GDP Current LCU'!$B$1:$CZ$600,64,FALSE)</f>
        <v>39938072000000</v>
      </c>
      <c r="N154" s="45">
        <v>40000000000000</v>
      </c>
      <c r="O154" s="45">
        <f>VLOOKUP($B154,'[1]Source GNI Current USD'!$B$1:$CZ$600,64,FALSE)</f>
        <v>3985252721.5383</v>
      </c>
      <c r="P154" s="45">
        <f>VLOOKUP($B154,'[1]Source GNI Current LCU'!$B$1:$CZ$600,64,FALSE)</f>
        <v>39171049000000</v>
      </c>
      <c r="Q154">
        <f t="shared" si="4"/>
        <v>101.95813750098957</v>
      </c>
      <c r="R154">
        <v>510</v>
      </c>
      <c r="S154">
        <v>510</v>
      </c>
      <c r="T154">
        <v>0.294931</v>
      </c>
      <c r="U154" s="45">
        <v>8000000</v>
      </c>
      <c r="V154">
        <v>19.288</v>
      </c>
      <c r="W154">
        <f>VLOOKUP($B154,'[1]Source Gov. Revenue WEO'!$B$1:$CZ$600,5,FALSE)</f>
        <v>18.974</v>
      </c>
      <c r="X154">
        <f>VLOOKUP($B154,'[1]Source Gov. Revenue WEO'!$B$1:$CZ$600,6,FALSE)</f>
        <v>17.649000000000001</v>
      </c>
      <c r="Y154">
        <f>VLOOKUP($B154,'[1]Source Gov. Revenue WEO'!$B$1:$CZ$600,7,FALSE)</f>
        <v>17.672000000000001</v>
      </c>
      <c r="Z154">
        <f>VLOOKUP($B154,'[1]Source Gov. Revenue WEO'!$B$1:$CZ$600,8,FALSE)</f>
        <v>18.141999999999999</v>
      </c>
      <c r="AA154">
        <f>VLOOKUP($B154,'[1]Source Gov. Revenue WEO'!$B$1:$CZ$600,9,FALSE)</f>
        <v>17.8</v>
      </c>
      <c r="AB154">
        <f>VLOOKUP($B154,'[1]Source Gov. Revenue WEO'!$B$1:$CZ$600,10,FALSE)</f>
        <v>17.335000000000001</v>
      </c>
      <c r="AC154">
        <f>VLOOKUP($B154,[2]Summary!$B$1:$CZ$600,39,FALSE)</f>
        <v>0.40062779999999998</v>
      </c>
      <c r="AD154">
        <f>VLOOKUP($B154,[2]Summary!$B$1:$CZ$600,40,FALSE)</f>
        <v>0.30399999999999999</v>
      </c>
      <c r="AE154">
        <f>VLOOKUP($B154,[2]Summary!$B$1:$CZ$600,47,FALSE)</f>
        <v>0.13913484218353733</v>
      </c>
      <c r="AF154">
        <f>VLOOKUP($B154,'[1]CALC GDP Growth rates WDI'!$B$1:$CZ$600,27,FALSE)</f>
        <v>44.772787639595727</v>
      </c>
      <c r="AG154">
        <f>VLOOKUP($B154,'[1]CALC GDP Growth rates WDI'!$B$1:$CZ$600,29,FALSE)</f>
        <v>47.967426217974229</v>
      </c>
      <c r="AH154">
        <v>17.97</v>
      </c>
      <c r="AI154">
        <f>VLOOKUP($B154,'[1]CALC GDP Growth rates WDI'!$B$1:$CZ$600,30,FALSE)</f>
        <v>-9.1235182415819853</v>
      </c>
      <c r="AJ154" t="s">
        <v>2464</v>
      </c>
      <c r="AK154">
        <f>VLOOKUP($B154,[1]Data_Aspire!$B$1:$CZ$600,2,FALSE)</f>
        <v>2016</v>
      </c>
      <c r="AL154">
        <f>VLOOKUP($B154,[1]Data_Aspire!$B$1:$CZ$600,3,FALSE)</f>
        <v>0.9</v>
      </c>
      <c r="AM154">
        <f>VLOOKUP($B154,[1]Data_Aspire!$B$1:$CZ$600,4,FALSE)</f>
        <v>0.13</v>
      </c>
      <c r="AN154">
        <f>VLOOKUP($B154,[1]Data_Aspire!$B$1:$CZ$600,5,FALSE)</f>
        <v>0.01</v>
      </c>
      <c r="AO154">
        <f>VLOOKUP($B154,[1]Data_Aspire!$B$1:$CZ$600,6,FALSE)</f>
        <v>0</v>
      </c>
      <c r="AP154">
        <f>VLOOKUP($B154,[1]Data_Aspire!$B$1:$CZ$600,7,FALSE)</f>
        <v>0.45</v>
      </c>
      <c r="AR154">
        <f>VLOOKUP($B154,[1]Data_Aspire!$B$1:$CZ$600,9,FALSE)</f>
        <v>0.18</v>
      </c>
      <c r="AS154">
        <f>VLOOKUP($B154,[1]Data_Aspire!$B$1:$CZ$600,10,FALSE)</f>
        <v>0.02</v>
      </c>
      <c r="AT154">
        <f>VLOOKUP($B154,[1]Data_Aspire!$B$1:$CZ$600,11,FALSE)</f>
        <v>0.1</v>
      </c>
      <c r="AU154">
        <f>VLOOKUP($B154,[1]Data_Aspire!$B$1:$CZ$600,12,FALSE)</f>
        <v>0.9</v>
      </c>
      <c r="AV154">
        <f>VLOOKUP($B154,[1]Data_Aspire!$B$1:$CZ$600,13,FALSE)</f>
        <v>136768</v>
      </c>
      <c r="AW154">
        <f>VLOOKUP($B154,[1]Data_Aspire!$B$1:$CZ$600,14,FALSE)</f>
        <v>2016</v>
      </c>
      <c r="BB154">
        <f>VLOOKUP($B154,[1]Data_Aspire!$B$1:$CZ$600,19,FALSE)</f>
        <v>110000</v>
      </c>
      <c r="BC154">
        <f>VLOOKUP($B154,[1]Data_Aspire!$B$1:$CZ$600,20,FALSE)</f>
        <v>2012</v>
      </c>
      <c r="BD154">
        <f>VLOOKUP($B154,[1]Data_Aspire!$B$1:$CZ$600,21,FALSE)</f>
        <v>125000</v>
      </c>
      <c r="BE154">
        <f>VLOOKUP($B154,[1]Data_Aspire!$B$1:$CZ$600,22,FALSE)</f>
        <v>2012</v>
      </c>
      <c r="BJ154" s="7">
        <v>1</v>
      </c>
      <c r="BK154">
        <v>694</v>
      </c>
      <c r="BL154">
        <f>VLOOKUP($B154,'[1]Data_UN_PopulationTot.&amp;%'!$B$4:$CZ$603,8,FALSE)</f>
        <v>7976.98</v>
      </c>
      <c r="BM154">
        <f>VLOOKUP($B154,'[1]Data_UN_PopulationTot.&amp;%'!$B$4:$CZ$603,9,FALSE)</f>
        <v>8141.34</v>
      </c>
      <c r="BN154">
        <v>8306.44</v>
      </c>
      <c r="BO154">
        <f>VLOOKUP($B154,'[1]Data_UN_PopulationTot.&amp;%'!$B$4:$CZ$603,11,FALSE)</f>
        <v>8472.2099999999991</v>
      </c>
      <c r="BP154">
        <f>VLOOKUP($B154,'[1]Data_UN_PopulationTot.&amp;%'!$B$4:$CZ$603,12,FALSE)</f>
        <v>8638.68</v>
      </c>
      <c r="BQ154">
        <f>VLOOKUP($B154,'[1]Data_UN_PopulationTot.&amp;%'!$B$4:$CZ$603,13,FALSE)</f>
        <v>8805.82</v>
      </c>
      <c r="BR154">
        <f>VLOOKUP($B154,'[1]Data_UN_PopulationTot.&amp;%'!$B$4:$CZ$603,14,FALSE)</f>
        <v>8973.5400000000009</v>
      </c>
      <c r="BS154">
        <f>VLOOKUP($B154,'[1]Data_UN_PopulationTot.&amp;%'!$B$4:$CZ$603,15,FALSE)</f>
        <v>9141.7000000000007</v>
      </c>
      <c r="BT154">
        <f>VLOOKUP($B154,'[1]Data_UN_PopulationTot.&amp;%'!$B$4:$CZ$603,16,FALSE)</f>
        <v>9310.31</v>
      </c>
      <c r="BU154">
        <f>VLOOKUP($B154,'[1]Data_UN_PopulationTot.&amp;%'!$B$4:$CZ$603,17,FALSE)</f>
        <v>9479.31</v>
      </c>
      <c r="BV154">
        <f>VLOOKUP($B154,'[1]Data_UN_PopulationTot.&amp;%'!$B$4:$CZ$603,18,FALSE)</f>
        <v>9648.68</v>
      </c>
      <c r="BW154">
        <f>VLOOKUP($B154,'[1]Data_UN_PopulationTot.&amp;%'!$B$4:$CZ$603,61,FALSE)</f>
        <v>14.524920458619681</v>
      </c>
      <c r="BX154">
        <f>VLOOKUP($B154,'[1]Data_UN_PopulationTot.&amp;%'!$B$4:$CZ$603,62,FALSE)</f>
        <v>13.378872706212128</v>
      </c>
      <c r="BY154">
        <f>VLOOKUP($B154,'[1]Data_UN_PopulationTot.&amp;%'!$B$4:$CZ$603,63,FALSE)</f>
        <v>12.439782975512035</v>
      </c>
      <c r="BZ154">
        <f>VLOOKUP($B154,'[1]Data_UN_PopulationTot.&amp;%'!$B$4:$CZ$603,64,FALSE)</f>
        <v>10.967521543240675</v>
      </c>
      <c r="CA154">
        <f>VLOOKUP($B154,'[1]Data_UN_PopulationTot.&amp;%'!$B$4:$CZ$603,65,FALSE)</f>
        <v>9.4524619592878523</v>
      </c>
      <c r="CB154">
        <f>VLOOKUP($B154,'[1]Data_UN_PopulationTot.&amp;%'!$B$4:$CZ$603,66,FALSE)</f>
        <v>8.167163513008683</v>
      </c>
      <c r="CC154">
        <f>VLOOKUP($B154,'[1]Data_UN_PopulationTot.&amp;%'!$B$4:$CZ$603,67,FALSE)</f>
        <v>6.9436428322497994</v>
      </c>
      <c r="CD154">
        <f>VLOOKUP($B154,'[1]Data_UN_PopulationTot.&amp;%'!$B$4:$CZ$603,68,FALSE)</f>
        <v>5.8061697534655972</v>
      </c>
      <c r="CE154">
        <f>VLOOKUP($B154,'[1]Data_UN_PopulationTot.&amp;%'!$B$4:$CZ$603,69,FALSE)</f>
        <v>4.6774468533204301</v>
      </c>
      <c r="CF154">
        <f>VLOOKUP($B154,'[1]Data_UN_PopulationTot.&amp;%'!$B$4:$CZ$603,70,FALSE)</f>
        <v>3.7580011483042455</v>
      </c>
      <c r="CG154">
        <f>VLOOKUP($B154,'[1]Data_UN_PopulationTot.&amp;%'!$B$4:$CZ$603,71,FALSE)</f>
        <v>2.9634397980187992</v>
      </c>
      <c r="CH154">
        <f>VLOOKUP($B154,'[1]Data_UN_PopulationTot.&amp;%'!$B$4:$CZ$603,72,FALSE)</f>
        <v>2.2908418975602296</v>
      </c>
      <c r="CI154">
        <f>VLOOKUP($B154,'[1]Data_UN_PopulationTot.&amp;%'!$B$4:$CZ$603,73,FALSE)</f>
        <v>1.7023861160489311</v>
      </c>
      <c r="CJ154">
        <f>VLOOKUP($B154,'[1]Data_UN_PopulationTot.&amp;%'!$B$4:$CZ$603,74,FALSE)</f>
        <v>1.2313682621744069</v>
      </c>
      <c r="CK154">
        <f>VLOOKUP($B154,'[1]Data_UN_PopulationTot.&amp;%'!$B$4:$CZ$603,75,FALSE)</f>
        <v>0.85670266190964495</v>
      </c>
      <c r="CL154">
        <f>VLOOKUP($B154,'[1]Data_UN_PopulationTot.&amp;%'!$B$4:$CZ$603,76,FALSE)</f>
        <v>0.50733485604827899</v>
      </c>
      <c r="CM154">
        <f>VLOOKUP($B154,'[1]Data_UN_PopulationTot.&amp;%'!$B$4:$CZ$603,77,FALSE)</f>
        <v>0.23284501152065074</v>
      </c>
      <c r="CN154">
        <f>VLOOKUP($B154,'[1]Data_UN_PopulationTot.&amp;%'!$B$4:$CZ$603,78,FALSE)</f>
        <v>7.852595844542673E-2</v>
      </c>
      <c r="CO154">
        <f>VLOOKUP($B154,'[1]Data_UN_PopulationTot.&amp;%'!$B$4:$CZ$603,79,FALSE)</f>
        <v>1.7876439454530414E-2</v>
      </c>
      <c r="CP154">
        <f>VLOOKUP($B154,'[1]Data_UN_PopulationTot.&amp;%'!$B$4:$CZ$603,80,FALSE)</f>
        <v>2.482142364654293E-3</v>
      </c>
      <c r="CQ154">
        <f>VLOOKUP($B154,'[1]Data_UN_PopulationTot.&amp;%'!$B$4:$CZ$603,81,FALSE)</f>
        <v>2.1311323332890396E-4</v>
      </c>
      <c r="CR154">
        <f>VLOOKUP($B154,'[1]Data_UN_PopulationTot.&amp;%'!$B$4:$CZ$603,82,FALSE)</f>
        <v>12.733762545757553</v>
      </c>
      <c r="CS154">
        <f>VLOOKUP($B154,'[1]Data_UN_PopulationTot.&amp;%'!$B$4:$CZ$603,83,FALSE)</f>
        <v>12.109221157712765</v>
      </c>
      <c r="CT154">
        <f>VLOOKUP($B154,'[1]Data_UN_PopulationTot.&amp;%'!$B$4:$CZ$603,84,FALSE)</f>
        <v>11.509035432826044</v>
      </c>
      <c r="CU154">
        <f>VLOOKUP($B154,'[1]Data_UN_PopulationTot.&amp;%'!$B$4:$CZ$603,85,FALSE)</f>
        <v>10.716284507310844</v>
      </c>
      <c r="CV154">
        <f>VLOOKUP($B154,'[1]Data_UN_PopulationTot.&amp;%'!$B$4:$CZ$603,86,FALSE)</f>
        <v>9.87398276240895</v>
      </c>
      <c r="CW154">
        <f>VLOOKUP($B154,'[1]Data_UN_PopulationTot.&amp;%'!$B$4:$CZ$603,87,FALSE)</f>
        <v>8.5836197282944404</v>
      </c>
      <c r="CX154">
        <f>VLOOKUP($B154,'[1]Data_UN_PopulationTot.&amp;%'!$B$4:$CZ$603,88,FALSE)</f>
        <v>7.3365683181533639</v>
      </c>
      <c r="CY154">
        <f>VLOOKUP($B154,'[1]Data_UN_PopulationTot.&amp;%'!$B$4:$CZ$603,89,FALSE)</f>
        <v>6.2960011110328047</v>
      </c>
      <c r="CZ154">
        <f>VLOOKUP($B154,'[1]Data_UN_PopulationTot.&amp;%'!$B$4:$CZ$603,90,FALSE)</f>
        <v>5.2968592595049273</v>
      </c>
      <c r="DA154">
        <f>VLOOKUP($B154,'[1]Data_UN_PopulationTot.&amp;%'!$B$4:$CZ$603,91,FALSE)</f>
        <v>4.3613219632115481</v>
      </c>
      <c r="DB154">
        <f>VLOOKUP($B154,'[1]Data_UN_PopulationTot.&amp;%'!$B$4:$CZ$603,92,FALSE)</f>
        <v>3.4303448761903179</v>
      </c>
      <c r="DC154">
        <f>VLOOKUP($B154,'[1]Data_UN_PopulationTot.&amp;%'!$B$4:$CZ$603,93,FALSE)</f>
        <v>2.6543734479742307</v>
      </c>
      <c r="DD154">
        <f>VLOOKUP($B154,'[1]Data_UN_PopulationTot.&amp;%'!$B$4:$CZ$603,94,FALSE)</f>
        <v>1.9728190799155947</v>
      </c>
      <c r="DE154">
        <f>VLOOKUP($B154,'[1]Data_UN_PopulationTot.&amp;%'!$B$4:$CZ$603,95,FALSE)</f>
        <v>1.3873296658195733</v>
      </c>
      <c r="DF154">
        <f>VLOOKUP($B154,'[1]Data_UN_PopulationTot.&amp;%'!$B$4:$CZ$603,96,FALSE)</f>
        <v>0.88647359016984695</v>
      </c>
      <c r="DG154">
        <f>VLOOKUP($B154,'[1]Data_UN_PopulationTot.&amp;%'!$B$4:$CZ$603,97,FALSE)</f>
        <v>0.50449387895546327</v>
      </c>
      <c r="DH154">
        <f>VLOOKUP($B154,'[1]Data_UN_PopulationTot.&amp;%'!$B$4:$CZ$603,98,FALSE)</f>
        <v>0.24270677439815602</v>
      </c>
      <c r="DI154">
        <f>VLOOKUP($B154,'[1]Data_UN_PopulationTot.&amp;%'!$B$4:$CZ$603,99,FALSE)</f>
        <v>8.3866394159615623E-2</v>
      </c>
      <c r="DJ154">
        <f>VLOOKUP($B154,'[1]Data_UN_PopulationTot.&amp;%'!$B$4:$DE$603,100,FALSE)</f>
        <v>1.8406662880311089E-2</v>
      </c>
      <c r="DK154">
        <f>VLOOKUP($B154,'[1]Data_UN_PopulationTot.&amp;%'!$B$4:$DE$603,101,FALSE)</f>
        <v>2.4044739798604578E-3</v>
      </c>
      <c r="DL154">
        <f>VLOOKUP($B154,'[1]Data_UN_PopulationTot.&amp;%'!$B$4:$DE$603,102,FALSE)</f>
        <v>1.8655401567882859E-4</v>
      </c>
    </row>
    <row r="155" spans="1:116">
      <c r="A155" t="s">
        <v>172</v>
      </c>
      <c r="B155" t="s">
        <v>386</v>
      </c>
      <c r="C155" t="s">
        <v>497</v>
      </c>
      <c r="D155" t="s">
        <v>334</v>
      </c>
      <c r="E155" t="s">
        <v>300</v>
      </c>
      <c r="F155">
        <v>0</v>
      </c>
      <c r="G155">
        <v>1</v>
      </c>
      <c r="H155">
        <v>0</v>
      </c>
      <c r="I155">
        <v>0</v>
      </c>
      <c r="J155" s="18">
        <f t="shared" si="5"/>
        <v>6.0426460799999999</v>
      </c>
      <c r="K155">
        <f>VLOOKUP($B155,'[1]Source GDP Current USD'!$B$1:$CZ$600,64,FALSE)</f>
        <v>24638720000</v>
      </c>
      <c r="L155" s="45">
        <f>VLOOKUP($B155,'[1]Source GDP Current USD'!$B$1:$CZ$600,65,FALSE)</f>
        <v>24638720000</v>
      </c>
      <c r="M155" s="17">
        <f>VLOOKUP($B155,'[1]Source GDP Current LCU'!$B$1:$CZ$600,64,FALSE)</f>
        <v>24638720000</v>
      </c>
      <c r="N155" s="45">
        <v>25000000000</v>
      </c>
      <c r="O155" s="45">
        <f>VLOOKUP($B155,'[1]Source GNI Current USD'!$B$1:$CZ$600,64,FALSE)</f>
        <v>23324950000</v>
      </c>
      <c r="P155" s="45">
        <f>VLOOKUP($B155,'[1]Source GNI Current LCU'!$B$1:$CZ$600,64,FALSE)</f>
        <v>23324950000</v>
      </c>
      <c r="Q155">
        <f t="shared" si="4"/>
        <v>105.63246652190037</v>
      </c>
      <c r="R155">
        <v>3630</v>
      </c>
      <c r="S155">
        <v>3630</v>
      </c>
      <c r="T155">
        <v>0.45111800000000002</v>
      </c>
      <c r="U155" s="45">
        <v>6500000</v>
      </c>
      <c r="V155">
        <v>24.524999999999999</v>
      </c>
      <c r="W155">
        <f>VLOOKUP($B155,'[1]Source Gov. Revenue WEO'!$B$1:$CZ$600,5,FALSE)</f>
        <v>25.835999999999999</v>
      </c>
      <c r="X155">
        <f>VLOOKUP($B155,'[1]Source Gov. Revenue WEO'!$B$1:$CZ$600,6,FALSE)</f>
        <v>25.893000000000001</v>
      </c>
      <c r="Y155">
        <f>VLOOKUP($B155,'[1]Source Gov. Revenue WEO'!$B$1:$CZ$600,7,FALSE)</f>
        <v>25.904</v>
      </c>
      <c r="Z155">
        <f>VLOOKUP($B155,'[1]Source Gov. Revenue WEO'!$B$1:$CZ$600,8,FALSE)</f>
        <v>25.895</v>
      </c>
      <c r="AA155">
        <f>VLOOKUP($B155,'[1]Source Gov. Revenue WEO'!$B$1:$CZ$600,9,FALSE)</f>
        <v>25.878</v>
      </c>
      <c r="AB155">
        <f>VLOOKUP($B155,'[1]Source Gov. Revenue WEO'!$B$1:$CZ$600,10,FALSE)</f>
        <v>25.876000000000001</v>
      </c>
      <c r="AC155">
        <f>VLOOKUP($B155,[2]Summary!$B$1:$CZ$600,39,FALSE)</f>
        <v>1.4621249999999999E-2</v>
      </c>
      <c r="AD155">
        <f>VLOOKUP($B155,[2]Summary!$B$1:$CZ$600,40,FALSE)</f>
        <v>1.0749999999999999E-2</v>
      </c>
      <c r="AE155">
        <f>VLOOKUP($B155,[2]Summary!$B$1:$CZ$600,47,FALSE)</f>
        <v>0.2961294115105913</v>
      </c>
      <c r="AF155">
        <f>VLOOKUP($B155,'[1]CALC GDP Growth rates WDI'!$B$1:$CZ$600,27,FALSE)</f>
        <v>14.246413833759023</v>
      </c>
      <c r="AG155">
        <f>VLOOKUP($B155,'[1]CALC GDP Growth rates WDI'!$B$1:$CZ$600,29,FALSE)</f>
        <v>24.444327817543552</v>
      </c>
      <c r="AH155">
        <v>0.51</v>
      </c>
      <c r="AI155">
        <f>VLOOKUP($B155,'[1]CALC GDP Growth rates WDI'!$B$1:$CZ$600,30,FALSE)</f>
        <v>9.8093267547710195</v>
      </c>
      <c r="AK155">
        <f>VLOOKUP($B155,[1]Data_Aspire!$B$1:$CZ$600,2,FALSE)</f>
        <v>2014</v>
      </c>
      <c r="AL155">
        <f>VLOOKUP($B155,[1]Data_Aspire!$B$1:$CZ$600,3,FALSE)</f>
        <v>0.99</v>
      </c>
      <c r="AM155">
        <f>VLOOKUP($B155,[1]Data_Aspire!$B$1:$CZ$600,4,FALSE)</f>
        <v>0.01</v>
      </c>
      <c r="AN155">
        <f>VLOOKUP($B155,[1]Data_Aspire!$B$1:$CZ$600,5,FALSE)</f>
        <v>0.14000000000000001</v>
      </c>
      <c r="AO155">
        <f>VLOOKUP($B155,[1]Data_Aspire!$B$1:$CZ$600,6,FALSE)</f>
        <v>0.09</v>
      </c>
      <c r="AP155">
        <f>VLOOKUP($B155,[1]Data_Aspire!$B$1:$CZ$600,7,FALSE)</f>
        <v>0.11</v>
      </c>
      <c r="AQ155">
        <f>VLOOKUP($B155,[1]Data_Aspire!$B$1:$CZ$600,8,FALSE)</f>
        <v>7.0000000000000007E-2</v>
      </c>
      <c r="AR155">
        <f>VLOOKUP($B155,[1]Data_Aspire!$B$1:$CZ$600,9,FALSE)</f>
        <v>0.49</v>
      </c>
      <c r="AS155">
        <f>VLOOKUP($B155,[1]Data_Aspire!$B$1:$CZ$600,10,FALSE)</f>
        <v>0.05</v>
      </c>
      <c r="AT155">
        <f>VLOOKUP($B155,[1]Data_Aspire!$B$1:$CZ$600,11,FALSE)</f>
        <v>0.03</v>
      </c>
      <c r="AU155">
        <f>VLOOKUP($B155,[1]Data_Aspire!$B$1:$CZ$600,12,FALSE)</f>
        <v>0.97</v>
      </c>
      <c r="AV155">
        <f>VLOOKUP($B155,[1]Data_Aspire!$B$1:$CZ$600,13,FALSE)</f>
        <v>277500</v>
      </c>
      <c r="AW155">
        <f>VLOOKUP($B155,[1]Data_Aspire!$B$1:$CZ$600,14,FALSE)</f>
        <v>2014</v>
      </c>
      <c r="AZ155">
        <f>VLOOKUP($B155,[1]Data_Aspire!$B$1:$CZ$600,17,FALSE)</f>
        <v>26000</v>
      </c>
      <c r="BA155">
        <f>VLOOKUP($B155,[1]Data_Aspire!$B$1:$CZ$600,18,FALSE)</f>
        <v>2014</v>
      </c>
      <c r="BB155">
        <f>VLOOKUP($B155,[1]Data_Aspire!$B$1:$CZ$600,19,FALSE)</f>
        <v>2462400</v>
      </c>
      <c r="BC155">
        <f>VLOOKUP($B155,[1]Data_Aspire!$B$1:$CZ$600,20,FALSE)</f>
        <v>2014</v>
      </c>
      <c r="BD155">
        <f>VLOOKUP($B155,[1]Data_Aspire!$B$1:$CZ$600,21,FALSE)</f>
        <v>1453118</v>
      </c>
      <c r="BE155">
        <f>VLOOKUP($B155,[1]Data_Aspire!$B$1:$CZ$600,22,FALSE)</f>
        <v>2013</v>
      </c>
      <c r="BF155">
        <f>VLOOKUP($B155,[1]Data_Aspire!$B$1:$CZ$600,23,FALSE)</f>
        <v>5500</v>
      </c>
      <c r="BG155">
        <f>VLOOKUP($B155,[1]Data_Aspire!$B$1:$CZ$600,24,FALSE)</f>
        <v>2014</v>
      </c>
      <c r="BH155">
        <f>VLOOKUP($B155,[1]Data_Aspire!$B$1:$CZ$600,25,FALSE)</f>
        <v>59409</v>
      </c>
      <c r="BI155">
        <f>VLOOKUP($B155,[1]Data_Aspire!$B$1:$CZ$600,26,FALSE)</f>
        <v>2014</v>
      </c>
      <c r="BJ155" s="7">
        <v>0</v>
      </c>
      <c r="BK155">
        <v>222</v>
      </c>
      <c r="BL155">
        <f>VLOOKUP($B155,'[1]Data_UN_PopulationTot.&amp;%'!$B$4:$CZ$603,8,FALSE)</f>
        <v>6486.2</v>
      </c>
      <c r="BM155">
        <f>VLOOKUP($B155,'[1]Data_UN_PopulationTot.&amp;%'!$B$4:$CZ$603,9,FALSE)</f>
        <v>6518.5</v>
      </c>
      <c r="BN155">
        <v>6550.4</v>
      </c>
      <c r="BO155">
        <f>VLOOKUP($B155,'[1]Data_UN_PopulationTot.&amp;%'!$B$4:$CZ$603,11,FALSE)</f>
        <v>6581.79</v>
      </c>
      <c r="BP155">
        <f>VLOOKUP($B155,'[1]Data_UN_PopulationTot.&amp;%'!$B$4:$CZ$603,12,FALSE)</f>
        <v>6612.66</v>
      </c>
      <c r="BQ155">
        <f>VLOOKUP($B155,'[1]Data_UN_PopulationTot.&amp;%'!$B$4:$CZ$603,13,FALSE)</f>
        <v>6642.93</v>
      </c>
      <c r="BR155">
        <f>VLOOKUP($B155,'[1]Data_UN_PopulationTot.&amp;%'!$B$4:$CZ$603,14,FALSE)</f>
        <v>6672.55</v>
      </c>
      <c r="BS155">
        <f>VLOOKUP($B155,'[1]Data_UN_PopulationTot.&amp;%'!$B$4:$CZ$603,15,FALSE)</f>
        <v>6701.35</v>
      </c>
      <c r="BT155">
        <f>VLOOKUP($B155,'[1]Data_UN_PopulationTot.&amp;%'!$B$4:$CZ$603,16,FALSE)</f>
        <v>6728.92</v>
      </c>
      <c r="BU155">
        <f>VLOOKUP($B155,'[1]Data_UN_PopulationTot.&amp;%'!$B$4:$CZ$603,17,FALSE)</f>
        <v>6754.78</v>
      </c>
      <c r="BV155">
        <f>VLOOKUP($B155,'[1]Data_UN_PopulationTot.&amp;%'!$B$4:$CZ$603,18,FALSE)</f>
        <v>6778.59</v>
      </c>
      <c r="BW155">
        <f>VLOOKUP($B155,'[1]Data_UN_PopulationTot.&amp;%'!$B$4:$CZ$603,61,FALSE)</f>
        <v>8.883722364404429</v>
      </c>
      <c r="BX155">
        <f>VLOOKUP($B155,'[1]Data_UN_PopulationTot.&amp;%'!$B$4:$CZ$603,62,FALSE)</f>
        <v>8.7972464617187267</v>
      </c>
      <c r="BY155">
        <f>VLOOKUP($B155,'[1]Data_UN_PopulationTot.&amp;%'!$B$4:$CZ$603,63,FALSE)</f>
        <v>8.9096235083716202</v>
      </c>
      <c r="BZ155">
        <f>VLOOKUP($B155,'[1]Data_UN_PopulationTot.&amp;%'!$B$4:$CZ$603,64,FALSE)</f>
        <v>9.0642749221423955</v>
      </c>
      <c r="CA155">
        <f>VLOOKUP($B155,'[1]Data_UN_PopulationTot.&amp;%'!$B$4:$CZ$603,65,FALSE)</f>
        <v>9.7604760876938723</v>
      </c>
      <c r="CB155">
        <f>VLOOKUP($B155,'[1]Data_UN_PopulationTot.&amp;%'!$B$4:$CZ$603,66,FALSE)</f>
        <v>8.9841509666676949</v>
      </c>
      <c r="CC155">
        <f>VLOOKUP($B155,'[1]Data_UN_PopulationTot.&amp;%'!$B$4:$CZ$603,67,FALSE)</f>
        <v>7.3115383429434804</v>
      </c>
      <c r="CD155">
        <f>VLOOKUP($B155,'[1]Data_UN_PopulationTot.&amp;%'!$B$4:$CZ$603,68,FALSE)</f>
        <v>6.2933767074712472</v>
      </c>
      <c r="CE155">
        <f>VLOOKUP($B155,'[1]Data_UN_PopulationTot.&amp;%'!$B$4:$CZ$603,69,FALSE)</f>
        <v>5.8833215133668402</v>
      </c>
      <c r="CF155">
        <f>VLOOKUP($B155,'[1]Data_UN_PopulationTot.&amp;%'!$B$4:$CZ$603,70,FALSE)</f>
        <v>5.2964447596435509</v>
      </c>
      <c r="CG155">
        <f>VLOOKUP($B155,'[1]Data_UN_PopulationTot.&amp;%'!$B$4:$CZ$603,71,FALSE)</f>
        <v>4.6734143257993894</v>
      </c>
      <c r="CH155">
        <f>VLOOKUP($B155,'[1]Data_UN_PopulationTot.&amp;%'!$B$4:$CZ$603,72,FALSE)</f>
        <v>4.0847337424069572</v>
      </c>
      <c r="CI155">
        <f>VLOOKUP($B155,'[1]Data_UN_PopulationTot.&amp;%'!$B$4:$CZ$603,73,FALSE)</f>
        <v>3.4067250470229107</v>
      </c>
      <c r="CJ155">
        <f>VLOOKUP($B155,'[1]Data_UN_PopulationTot.&amp;%'!$B$4:$CZ$603,74,FALSE)</f>
        <v>2.8572816132712529</v>
      </c>
      <c r="CK155">
        <f>VLOOKUP($B155,'[1]Data_UN_PopulationTot.&amp;%'!$B$4:$CZ$603,75,FALSE)</f>
        <v>2.1523388116308473</v>
      </c>
      <c r="CL155">
        <f>VLOOKUP($B155,'[1]Data_UN_PopulationTot.&amp;%'!$B$4:$CZ$603,76,FALSE)</f>
        <v>1.6771915759612719</v>
      </c>
      <c r="CM155">
        <f>VLOOKUP($B155,'[1]Data_UN_PopulationTot.&amp;%'!$B$4:$CZ$603,77,FALSE)</f>
        <v>1.1502574697049122</v>
      </c>
      <c r="CN155">
        <f>VLOOKUP($B155,'[1]Data_UN_PopulationTot.&amp;%'!$B$4:$CZ$603,78,FALSE)</f>
        <v>0.5814960994110574</v>
      </c>
      <c r="CO155">
        <f>VLOOKUP($B155,'[1]Data_UN_PopulationTot.&amp;%'!$B$4:$CZ$603,79,FALSE)</f>
        <v>0.19023465203046469</v>
      </c>
      <c r="CP155">
        <f>VLOOKUP($B155,'[1]Data_UN_PopulationTot.&amp;%'!$B$4:$CZ$603,80,FALSE)</f>
        <v>3.8543368998797449E-2</v>
      </c>
      <c r="CQ155">
        <f>VLOOKUP($B155,'[1]Data_UN_PopulationTot.&amp;%'!$B$4:$CZ$603,81,FALSE)</f>
        <v>3.6230766858869603E-3</v>
      </c>
      <c r="CR155">
        <f>VLOOKUP($B155,'[1]Data_UN_PopulationTot.&amp;%'!$B$4:$CZ$603,82,FALSE)</f>
        <v>7.6080128758340599</v>
      </c>
      <c r="CS155">
        <f>VLOOKUP($B155,'[1]Data_UN_PopulationTot.&amp;%'!$B$4:$CZ$603,83,FALSE)</f>
        <v>8.0344732459110233</v>
      </c>
      <c r="CT155">
        <f>VLOOKUP($B155,'[1]Data_UN_PopulationTot.&amp;%'!$B$4:$CZ$603,84,FALSE)</f>
        <v>8.1969259093705329</v>
      </c>
      <c r="CU155">
        <f>VLOOKUP($B155,'[1]Data_UN_PopulationTot.&amp;%'!$B$4:$CZ$603,85,FALSE)</f>
        <v>7.9061132182356513</v>
      </c>
      <c r="CV155">
        <f>VLOOKUP($B155,'[1]Data_UN_PopulationTot.&amp;%'!$B$4:$CZ$603,86,FALSE)</f>
        <v>7.7028113516232732</v>
      </c>
      <c r="CW155">
        <f>VLOOKUP($B155,'[1]Data_UN_PopulationTot.&amp;%'!$B$4:$CZ$603,87,FALSE)</f>
        <v>7.733835502663533</v>
      </c>
      <c r="CX155">
        <f>VLOOKUP($B155,'[1]Data_UN_PopulationTot.&amp;%'!$B$4:$CZ$603,88,FALSE)</f>
        <v>8.4727207280570145</v>
      </c>
      <c r="CY155">
        <f>VLOOKUP($B155,'[1]Data_UN_PopulationTot.&amp;%'!$B$4:$CZ$603,89,FALSE)</f>
        <v>7.9105536697159735</v>
      </c>
      <c r="CZ155">
        <f>VLOOKUP($B155,'[1]Data_UN_PopulationTot.&amp;%'!$B$4:$CZ$603,90,FALSE)</f>
        <v>6.460502847937402</v>
      </c>
      <c r="DA155">
        <f>VLOOKUP($B155,'[1]Data_UN_PopulationTot.&amp;%'!$B$4:$CZ$603,91,FALSE)</f>
        <v>5.5453420254064634</v>
      </c>
      <c r="DB155">
        <f>VLOOKUP($B155,'[1]Data_UN_PopulationTot.&amp;%'!$B$4:$CZ$603,92,FALSE)</f>
        <v>5.1717097508478904</v>
      </c>
      <c r="DC155">
        <f>VLOOKUP($B155,'[1]Data_UN_PopulationTot.&amp;%'!$B$4:$CZ$603,93,FALSE)</f>
        <v>4.6141306672921658</v>
      </c>
      <c r="DD155">
        <f>VLOOKUP($B155,'[1]Data_UN_PopulationTot.&amp;%'!$B$4:$CZ$603,94,FALSE)</f>
        <v>3.9962145519938512</v>
      </c>
      <c r="DE155">
        <f>VLOOKUP($B155,'[1]Data_UN_PopulationTot.&amp;%'!$B$4:$CZ$603,95,FALSE)</f>
        <v>3.3854238123267524</v>
      </c>
      <c r="DF155">
        <f>VLOOKUP($B155,'[1]Data_UN_PopulationTot.&amp;%'!$B$4:$CZ$603,96,FALSE)</f>
        <v>2.6892170790680656</v>
      </c>
      <c r="DG155">
        <f>VLOOKUP($B155,'[1]Data_UN_PopulationTot.&amp;%'!$B$4:$CZ$603,97,FALSE)</f>
        <v>2.08285203855079</v>
      </c>
      <c r="DH155">
        <f>VLOOKUP($B155,'[1]Data_UN_PopulationTot.&amp;%'!$B$4:$CZ$603,98,FALSE)</f>
        <v>1.3352334335016574</v>
      </c>
      <c r="DI155">
        <f>VLOOKUP($B155,'[1]Data_UN_PopulationTot.&amp;%'!$B$4:$CZ$603,99,FALSE)</f>
        <v>0.76294627643802027</v>
      </c>
      <c r="DJ155">
        <f>VLOOKUP($B155,'[1]Data_UN_PopulationTot.&amp;%'!$B$4:$DE$603,100,FALSE)</f>
        <v>0.31108239324107223</v>
      </c>
      <c r="DK155">
        <f>VLOOKUP($B155,'[1]Data_UN_PopulationTot.&amp;%'!$B$4:$DE$603,101,FALSE)</f>
        <v>7.1784840210132178E-2</v>
      </c>
      <c r="DL155">
        <f>VLOOKUP($B155,'[1]Data_UN_PopulationTot.&amp;%'!$B$4:$DE$603,102,FALSE)</f>
        <v>8.1432864356746765E-3</v>
      </c>
    </row>
    <row r="156" spans="1:116">
      <c r="A156" t="s">
        <v>94</v>
      </c>
      <c r="B156" t="s">
        <v>307</v>
      </c>
      <c r="C156" t="s">
        <v>496</v>
      </c>
      <c r="D156" t="s">
        <v>306</v>
      </c>
      <c r="E156" t="s">
        <v>299</v>
      </c>
      <c r="F156">
        <v>1</v>
      </c>
      <c r="G156">
        <v>0</v>
      </c>
      <c r="H156">
        <v>0</v>
      </c>
      <c r="I156">
        <v>0</v>
      </c>
      <c r="J156" s="18">
        <f t="shared" si="5"/>
        <v>17869.704111250845</v>
      </c>
      <c r="K156">
        <f>VLOOKUP($B156,'[1]Source GDP Current USD'!$B$1:$CZ$600,64,FALSE)</f>
        <v>6965285324.5220699</v>
      </c>
      <c r="L156" s="45">
        <f>VLOOKUP($B156,'[1]Source GDP Current USD'!$B$1:$CZ$600,65,FALSE)</f>
        <v>6965285324.5220699</v>
      </c>
      <c r="M156" s="17">
        <f>VLOOKUP($B156,'[1]Source GDP Current LCU'!$B$1:$CZ$600,64,FALSE)</f>
        <v>179432715245013</v>
      </c>
      <c r="N156" s="45">
        <v>180000000000000</v>
      </c>
      <c r="O156" s="45">
        <f>VLOOKUP($B156,'[1]Source GNI Current USD'!$B$1:$CZ$600,64,FALSE)</f>
        <v>6929252418.7887897</v>
      </c>
      <c r="P156" s="45">
        <f>VLOOKUP($B156,'[1]Source GNI Current LCU'!$B$1:$CZ$600,64,FALSE)</f>
        <v>178504471560418</v>
      </c>
      <c r="Q156">
        <f t="shared" si="4"/>
        <v>100.52001144648122</v>
      </c>
      <c r="R156">
        <v>420</v>
      </c>
      <c r="S156">
        <v>420</v>
      </c>
      <c r="T156">
        <v>0.351802</v>
      </c>
      <c r="U156" s="45">
        <v>16000000</v>
      </c>
      <c r="V156">
        <v>9.9589999999999996</v>
      </c>
      <c r="W156">
        <f>VLOOKUP($B156,'[1]Source Gov. Revenue WEO'!$B$1:$CZ$600,5,FALSE)</f>
        <v>5.7249999999999996</v>
      </c>
      <c r="X156">
        <f>VLOOKUP($B156,'[1]Source Gov. Revenue WEO'!$B$1:$CZ$600,6,FALSE)</f>
        <v>8.7420000000000009</v>
      </c>
      <c r="Y156">
        <f>VLOOKUP($B156,'[1]Source Gov. Revenue WEO'!$B$1:$CZ$600,7,FALSE)</f>
        <v>9.577</v>
      </c>
      <c r="Z156">
        <f>VLOOKUP($B156,'[1]Source Gov. Revenue WEO'!$B$1:$CZ$600,8,FALSE)</f>
        <v>9.0890000000000004</v>
      </c>
      <c r="AA156">
        <f>VLOOKUP($B156,'[1]Source Gov. Revenue WEO'!$B$1:$CZ$600,9,FALSE)</f>
        <v>9.8889999999999993</v>
      </c>
      <c r="AB156">
        <f>VLOOKUP($B156,'[1]Source Gov. Revenue WEO'!$B$1:$CZ$600,10,FALSE)</f>
        <v>10.638</v>
      </c>
      <c r="AC156">
        <f>VLOOKUP($B156,[2]Summary!$B$1:$CZ$600,39,FALSE)</f>
        <v>0.78</v>
      </c>
      <c r="AD156">
        <f>VLOOKUP($B156,[2]Summary!$B$1:$CZ$600,40,FALSE)</f>
        <v>0.76</v>
      </c>
      <c r="AE156">
        <f>VLOOKUP($B156,[2]Summary!$B$1:$CZ$600,47,FALSE)</f>
        <v>8.8071913161465398E-2</v>
      </c>
      <c r="AF156" t="e">
        <f>VLOOKUP($B156,'[1]CALC GDP Growth rates WDI'!$B$1:$CZ$600,27,FALSE)</f>
        <v>#VALUE!</v>
      </c>
      <c r="AG156" t="e">
        <f>VLOOKUP($B156,'[1]CALC GDP Growth rates WDI'!$B$1:$CZ$600,29,FALSE)</f>
        <v>#VALUE!</v>
      </c>
      <c r="AH156">
        <v>32.58</v>
      </c>
      <c r="AI156">
        <f>VLOOKUP($B156,'[1]CALC GDP Growth rates WDI'!$B$1:$CZ$600,30,FALSE)</f>
        <v>38.638040832476129</v>
      </c>
      <c r="AJ156" s="45" t="s">
        <v>2467</v>
      </c>
      <c r="AK156">
        <f>VLOOKUP($B156,[1]Data_Aspire!$B$1:$CZ$600,2,FALSE)</f>
        <v>2016</v>
      </c>
      <c r="AL156">
        <f>VLOOKUP($B156,[1]Data_Aspire!$B$1:$CZ$600,3,FALSE)</f>
        <v>0.18</v>
      </c>
      <c r="AM156">
        <f>VLOOKUP($B156,[1]Data_Aspire!$B$1:$CZ$600,4,FALSE)</f>
        <v>0</v>
      </c>
      <c r="AN156">
        <f>VLOOKUP($B156,[1]Data_Aspire!$B$1:$CZ$600,5,FALSE)</f>
        <v>0</v>
      </c>
      <c r="AO156">
        <f>VLOOKUP($B156,[1]Data_Aspire!$B$1:$CZ$600,6,FALSE)</f>
        <v>0</v>
      </c>
      <c r="AP156">
        <f>VLOOKUP($B156,[1]Data_Aspire!$B$1:$CZ$600,7,FALSE)</f>
        <v>0</v>
      </c>
      <c r="AU156">
        <f>VLOOKUP($B156,[1]Data_Aspire!$B$1:$CZ$600,12,FALSE)</f>
        <v>0.18</v>
      </c>
      <c r="AV156">
        <f>VLOOKUP($B156,[1]Data_Aspire!$B$1:$CZ$600,13,FALSE)</f>
        <v>87000</v>
      </c>
      <c r="AW156">
        <f>VLOOKUP($B156,[1]Data_Aspire!$B$1:$CZ$600,14,FALSE)</f>
        <v>2016</v>
      </c>
      <c r="AX156">
        <f>VLOOKUP($B156,[1]Data_Aspire!$B$1:$CZ$600,15,FALSE)</f>
        <v>34365</v>
      </c>
      <c r="AY156">
        <f>VLOOKUP($B156,[1]Data_Aspire!$B$1:$CZ$600,16,FALSE)</f>
        <v>2016</v>
      </c>
      <c r="BB156">
        <f>VLOOKUP($B156,[1]Data_Aspire!$B$1:$CZ$600,19,FALSE)</f>
        <v>24732</v>
      </c>
      <c r="BC156">
        <f>VLOOKUP($B156,[1]Data_Aspire!$B$1:$CZ$600,20,FALSE)</f>
        <v>2016</v>
      </c>
      <c r="BF156">
        <f>VLOOKUP($B156,[1]Data_Aspire!$B$1:$CZ$600,23,FALSE)</f>
        <v>5104</v>
      </c>
      <c r="BG156">
        <f>VLOOKUP($B156,[1]Data_Aspire!$B$1:$CZ$600,24,FALSE)</f>
        <v>2016</v>
      </c>
      <c r="BJ156" s="7">
        <v>1</v>
      </c>
      <c r="BK156">
        <v>706</v>
      </c>
      <c r="BL156">
        <f>VLOOKUP($B156,'[1]Data_UN_PopulationTot.&amp;%'!$B$4:$CZ$603,8,FALSE)</f>
        <v>15893.2</v>
      </c>
      <c r="BM156">
        <f>VLOOKUP($B156,'[1]Data_UN_PopulationTot.&amp;%'!$B$4:$CZ$603,9,FALSE)</f>
        <v>16359.5</v>
      </c>
      <c r="BN156">
        <v>16841.8</v>
      </c>
      <c r="BO156">
        <f>VLOOKUP($B156,'[1]Data_UN_PopulationTot.&amp;%'!$B$4:$CZ$603,11,FALSE)</f>
        <v>17339.400000000001</v>
      </c>
      <c r="BP156">
        <f>VLOOKUP($B156,'[1]Data_UN_PopulationTot.&amp;%'!$B$4:$CZ$603,12,FALSE)</f>
        <v>17851.3</v>
      </c>
      <c r="BQ156">
        <f>VLOOKUP($B156,'[1]Data_UN_PopulationTot.&amp;%'!$B$4:$CZ$603,13,FALSE)</f>
        <v>18376.5</v>
      </c>
      <c r="BR156">
        <f>VLOOKUP($B156,'[1]Data_UN_PopulationTot.&amp;%'!$B$4:$CZ$603,14,FALSE)</f>
        <v>18914.8</v>
      </c>
      <c r="BS156">
        <f>VLOOKUP($B156,'[1]Data_UN_PopulationTot.&amp;%'!$B$4:$CZ$603,15,FALSE)</f>
        <v>19466</v>
      </c>
      <c r="BT156">
        <f>VLOOKUP($B156,'[1]Data_UN_PopulationTot.&amp;%'!$B$4:$CZ$603,16,FALSE)</f>
        <v>20029.5</v>
      </c>
      <c r="BU156">
        <f>VLOOKUP($B156,'[1]Data_UN_PopulationTot.&amp;%'!$B$4:$CZ$603,17,FALSE)</f>
        <v>20604.7</v>
      </c>
      <c r="BV156">
        <f>VLOOKUP($B156,'[1]Data_UN_PopulationTot.&amp;%'!$B$4:$CZ$603,18,FALSE)</f>
        <v>21191</v>
      </c>
      <c r="BW156">
        <f>VLOOKUP($B156,'[1]Data_UN_PopulationTot.&amp;%'!$B$4:$CZ$603,61,FALSE)</f>
        <v>17.784335439055695</v>
      </c>
      <c r="BX156">
        <f>VLOOKUP($B156,'[1]Data_UN_PopulationTot.&amp;%'!$B$4:$CZ$603,62,FALSE)</f>
        <v>15.030704955578486</v>
      </c>
      <c r="BY156">
        <f>VLOOKUP($B156,'[1]Data_UN_PopulationTot.&amp;%'!$B$4:$CZ$603,63,FALSE)</f>
        <v>13.334885359776507</v>
      </c>
      <c r="BZ156">
        <f>VLOOKUP($B156,'[1]Data_UN_PopulationTot.&amp;%'!$B$4:$CZ$603,64,FALSE)</f>
        <v>11.44042735257846</v>
      </c>
      <c r="CA156">
        <f>VLOOKUP($B156,'[1]Data_UN_PopulationTot.&amp;%'!$B$4:$CZ$603,65,FALSE)</f>
        <v>9.653688369868874</v>
      </c>
      <c r="CB156">
        <f>VLOOKUP($B156,'[1]Data_UN_PopulationTot.&amp;%'!$B$4:$CZ$603,66,FALSE)</f>
        <v>7.2962021493468896</v>
      </c>
      <c r="CC156">
        <f>VLOOKUP($B156,'[1]Data_UN_PopulationTot.&amp;%'!$B$4:$CZ$603,67,FALSE)</f>
        <v>5.4651171570231289</v>
      </c>
      <c r="CD156">
        <f>VLOOKUP($B156,'[1]Data_UN_PopulationTot.&amp;%'!$B$4:$CZ$603,68,FALSE)</f>
        <v>4.1893514207333959</v>
      </c>
      <c r="CE156">
        <f>VLOOKUP($B156,'[1]Data_UN_PopulationTot.&amp;%'!$B$4:$CZ$603,69,FALSE)</f>
        <v>3.5298429517026149</v>
      </c>
      <c r="CF156">
        <f>VLOOKUP($B156,'[1]Data_UN_PopulationTot.&amp;%'!$B$4:$CZ$603,70,FALSE)</f>
        <v>3.1012571414189716</v>
      </c>
      <c r="CG156">
        <f>VLOOKUP($B156,'[1]Data_UN_PopulationTot.&amp;%'!$B$4:$CZ$603,71,FALSE)</f>
        <v>2.5626808949739508</v>
      </c>
      <c r="CH156">
        <f>VLOOKUP($B156,'[1]Data_UN_PopulationTot.&amp;%'!$B$4:$CZ$603,72,FALSE)</f>
        <v>2.0554702640122819</v>
      </c>
      <c r="CI156">
        <f>VLOOKUP($B156,'[1]Data_UN_PopulationTot.&amp;%'!$B$4:$CZ$603,73,FALSE)</f>
        <v>1.6540092618226663</v>
      </c>
      <c r="CJ156">
        <f>VLOOKUP($B156,'[1]Data_UN_PopulationTot.&amp;%'!$B$4:$CZ$603,74,FALSE)</f>
        <v>1.25786499886744</v>
      </c>
      <c r="CK156">
        <f>VLOOKUP($B156,'[1]Data_UN_PopulationTot.&amp;%'!$B$4:$CZ$603,75,FALSE)</f>
        <v>0.84675836206679589</v>
      </c>
      <c r="CL156">
        <f>VLOOKUP($B156,'[1]Data_UN_PopulationTot.&amp;%'!$B$4:$CZ$603,76,FALSE)</f>
        <v>0.47523469156620435</v>
      </c>
      <c r="CM156">
        <f>VLOOKUP($B156,'[1]Data_UN_PopulationTot.&amp;%'!$B$4:$CZ$603,77,FALSE)</f>
        <v>0.22669443535600131</v>
      </c>
      <c r="CN156">
        <f>VLOOKUP($B156,'[1]Data_UN_PopulationTot.&amp;%'!$B$4:$CZ$603,78,FALSE)</f>
        <v>7.404424533762867E-2</v>
      </c>
      <c r="CO156">
        <f>VLOOKUP($B156,'[1]Data_UN_PopulationTot.&amp;%'!$B$4:$CZ$603,79,FALSE)</f>
        <v>1.8555105328064831E-2</v>
      </c>
      <c r="CP156">
        <f>VLOOKUP($B156,'[1]Data_UN_PopulationTot.&amp;%'!$B$4:$CZ$603,80,FALSE)</f>
        <v>2.749603604057081E-3</v>
      </c>
      <c r="CQ156">
        <f>VLOOKUP($B156,'[1]Data_UN_PopulationTot.&amp;%'!$B$4:$CZ$603,81,FALSE)</f>
        <v>2.4538796466413304E-4</v>
      </c>
      <c r="CR156">
        <f>VLOOKUP($B156,'[1]Data_UN_PopulationTot.&amp;%'!$B$4:$CZ$603,82,FALSE)</f>
        <v>17.00401113680336</v>
      </c>
      <c r="CS156">
        <f>VLOOKUP($B156,'[1]Data_UN_PopulationTot.&amp;%'!$B$4:$CZ$603,83,FALSE)</f>
        <v>14.68916049266198</v>
      </c>
      <c r="CT156">
        <f>VLOOKUP($B156,'[1]Data_UN_PopulationTot.&amp;%'!$B$4:$CZ$603,84,FALSE)</f>
        <v>12.667122835165873</v>
      </c>
      <c r="CU156">
        <f>VLOOKUP($B156,'[1]Data_UN_PopulationTot.&amp;%'!$B$4:$CZ$603,85,FALSE)</f>
        <v>10.898164315039404</v>
      </c>
      <c r="CV156">
        <f>VLOOKUP($B156,'[1]Data_UN_PopulationTot.&amp;%'!$B$4:$CZ$603,86,FALSE)</f>
        <v>9.5591996602331175</v>
      </c>
      <c r="CW156">
        <f>VLOOKUP($B156,'[1]Data_UN_PopulationTot.&amp;%'!$B$4:$CZ$603,87,FALSE)</f>
        <v>8.0294936529658809</v>
      </c>
      <c r="CX156">
        <f>VLOOKUP($B156,'[1]Data_UN_PopulationTot.&amp;%'!$B$4:$CZ$603,88,FALSE)</f>
        <v>6.6740125524987022</v>
      </c>
      <c r="CY156">
        <f>VLOOKUP($B156,'[1]Data_UN_PopulationTot.&amp;%'!$B$4:$CZ$603,89,FALSE)</f>
        <v>4.989665424000755</v>
      </c>
      <c r="CZ156">
        <f>VLOOKUP($B156,'[1]Data_UN_PopulationTot.&amp;%'!$B$4:$CZ$603,90,FALSE)</f>
        <v>3.7054457080836203</v>
      </c>
      <c r="DA156">
        <f>VLOOKUP($B156,'[1]Data_UN_PopulationTot.&amp;%'!$B$4:$CZ$603,91,FALSE)</f>
        <v>2.8218488981171248</v>
      </c>
      <c r="DB156">
        <f>VLOOKUP($B156,'[1]Data_UN_PopulationTot.&amp;%'!$B$4:$CZ$603,92,FALSE)</f>
        <v>2.3609645604265963</v>
      </c>
      <c r="DC156">
        <f>VLOOKUP($B156,'[1]Data_UN_PopulationTot.&amp;%'!$B$4:$CZ$603,93,FALSE)</f>
        <v>2.0377660327497522</v>
      </c>
      <c r="DD156">
        <f>VLOOKUP($B156,'[1]Data_UN_PopulationTot.&amp;%'!$B$4:$CZ$603,94,FALSE)</f>
        <v>1.6188098721155206</v>
      </c>
      <c r="DE156">
        <f>VLOOKUP($B156,'[1]Data_UN_PopulationTot.&amp;%'!$B$4:$CZ$603,95,FALSE)</f>
        <v>1.2056061535557547</v>
      </c>
      <c r="DF156">
        <f>VLOOKUP($B156,'[1]Data_UN_PopulationTot.&amp;%'!$B$4:$CZ$603,96,FALSE)</f>
        <v>0.85278184134774204</v>
      </c>
      <c r="DG156">
        <f>VLOOKUP($B156,'[1]Data_UN_PopulationTot.&amp;%'!$B$4:$CZ$603,97,FALSE)</f>
        <v>0.52419423340097215</v>
      </c>
      <c r="DH156">
        <f>VLOOKUP($B156,'[1]Data_UN_PopulationTot.&amp;%'!$B$4:$CZ$603,98,FALSE)</f>
        <v>0.25214477844367894</v>
      </c>
      <c r="DI156">
        <f>VLOOKUP($B156,'[1]Data_UN_PopulationTot.&amp;%'!$B$4:$CZ$603,99,FALSE)</f>
        <v>8.615921853617102E-2</v>
      </c>
      <c r="DJ156">
        <f>VLOOKUP($B156,'[1]Data_UN_PopulationTot.&amp;%'!$B$4:$DE$603,100,FALSE)</f>
        <v>2.0697465905337172E-2</v>
      </c>
      <c r="DK156">
        <f>VLOOKUP($B156,'[1]Data_UN_PopulationTot.&amp;%'!$B$4:$DE$603,101,FALSE)</f>
        <v>2.7511679486574487E-3</v>
      </c>
      <c r="DL156">
        <f>VLOOKUP($B156,'[1]Data_UN_PopulationTot.&amp;%'!$B$4:$DE$603,102,FALSE)</f>
        <v>2.5954414609975931E-4</v>
      </c>
    </row>
    <row r="157" spans="1:116">
      <c r="A157" t="s">
        <v>210</v>
      </c>
      <c r="B157" t="s">
        <v>425</v>
      </c>
      <c r="C157" t="s">
        <v>485</v>
      </c>
      <c r="D157" t="s">
        <v>389</v>
      </c>
      <c r="E157" t="s">
        <v>301</v>
      </c>
      <c r="F157">
        <v>0</v>
      </c>
      <c r="G157">
        <v>0</v>
      </c>
      <c r="H157">
        <v>1</v>
      </c>
      <c r="I157">
        <v>0</v>
      </c>
      <c r="J157" s="18">
        <f t="shared" si="5"/>
        <v>2270.9297334990001</v>
      </c>
      <c r="K157">
        <f>VLOOKUP($B157,'[1]Source GDP Current USD'!$B$1:$CZ$600,64,FALSE)</f>
        <v>53335016425.414803</v>
      </c>
      <c r="L157" s="45">
        <f>VLOOKUP($B157,'[1]Source GDP Current USD'!$B$1:$CZ$600,65,FALSE)</f>
        <v>53335016425.414803</v>
      </c>
      <c r="M157" s="17">
        <f>VLOOKUP($B157,'[1]Source GDP Current LCU'!$B$1:$CZ$600,64,FALSE)</f>
        <v>5502216300000</v>
      </c>
      <c r="N157" s="45">
        <v>5500000000000</v>
      </c>
      <c r="O157" s="45">
        <f>VLOOKUP($B157,'[1]Source GNI Current USD'!$B$1:$CZ$600,64,FALSE)</f>
        <v>51710908191.188103</v>
      </c>
      <c r="P157" s="45">
        <f>VLOOKUP($B157,'[1]Source GNI Current LCU'!$B$1:$CZ$600,64,FALSE)</f>
        <v>5334667935000</v>
      </c>
      <c r="Q157">
        <f t="shared" si="4"/>
        <v>103.14074591036378</v>
      </c>
      <c r="R157">
        <v>7420</v>
      </c>
      <c r="S157">
        <v>7420</v>
      </c>
      <c r="T157">
        <v>0.40406300000000001</v>
      </c>
      <c r="U157" s="45">
        <v>6900000</v>
      </c>
      <c r="V157">
        <v>41.273000000000003</v>
      </c>
      <c r="W157">
        <f>VLOOKUP($B157,'[1]Source Gov. Revenue WEO'!$B$1:$CZ$600,5,FALSE)</f>
        <v>41.426000000000002</v>
      </c>
      <c r="X157">
        <f>VLOOKUP($B157,'[1]Source Gov. Revenue WEO'!$B$1:$CZ$600,6,FALSE)</f>
        <v>41.194000000000003</v>
      </c>
      <c r="Y157">
        <f>VLOOKUP($B157,'[1]Source Gov. Revenue WEO'!$B$1:$CZ$600,7,FALSE)</f>
        <v>41.372999999999998</v>
      </c>
      <c r="Z157">
        <f>VLOOKUP($B157,'[1]Source Gov. Revenue WEO'!$B$1:$CZ$600,8,FALSE)</f>
        <v>41.470999999999997</v>
      </c>
      <c r="AA157">
        <f>VLOOKUP($B157,'[1]Source Gov. Revenue WEO'!$B$1:$CZ$600,9,FALSE)</f>
        <v>41.430999999999997</v>
      </c>
      <c r="AB157">
        <f>VLOOKUP($B157,'[1]Source Gov. Revenue WEO'!$B$1:$CZ$600,10,FALSE)</f>
        <v>41.426000000000002</v>
      </c>
      <c r="AC157">
        <f>VLOOKUP($B157,[2]Summary!$B$1:$CZ$600,39,FALSE)</f>
        <v>6.7814999999999998E-4</v>
      </c>
      <c r="AD157">
        <f>VLOOKUP($B157,[2]Summary!$B$1:$CZ$600,40,FALSE)</f>
        <v>9.999999999999999E-14</v>
      </c>
      <c r="AE157">
        <f>VLOOKUP($B157,[2]Summary!$B$1:$CZ$600,47,FALSE)</f>
        <v>0.43017963012333571</v>
      </c>
      <c r="AF157">
        <f>VLOOKUP($B157,'[1]CALC GDP Growth rates WDI'!$B$1:$CZ$600,27,FALSE)</f>
        <v>19.033090994205441</v>
      </c>
      <c r="AG157">
        <f>VLOOKUP($B157,'[1]CALC GDP Growth rates WDI'!$B$1:$CZ$600,29,FALSE)</f>
        <v>16.187965970555229</v>
      </c>
      <c r="AH157">
        <v>13.92</v>
      </c>
      <c r="AI157">
        <f>VLOOKUP($B157,'[1]CALC GDP Growth rates WDI'!$B$1:$CZ$600,30,FALSE)</f>
        <v>12.405497623197848</v>
      </c>
      <c r="AK157">
        <f>VLOOKUP($B157,[1]Data_Aspire!$B$1:$CZ$600,2,FALSE)</f>
        <v>2013</v>
      </c>
      <c r="AL157">
        <f>VLOOKUP($B157,[1]Data_Aspire!$B$1:$CZ$600,3,FALSE)</f>
        <v>1.85</v>
      </c>
      <c r="AM157">
        <f>VLOOKUP($B157,[1]Data_Aspire!$B$1:$CZ$600,4,FALSE)</f>
        <v>0</v>
      </c>
      <c r="AN157">
        <f>VLOOKUP($B157,[1]Data_Aspire!$B$1:$CZ$600,5,FALSE)</f>
        <v>1.41</v>
      </c>
      <c r="AO157">
        <f>VLOOKUP($B157,[1]Data_Aspire!$B$1:$CZ$600,6,FALSE)</f>
        <v>0.43</v>
      </c>
      <c r="AP157">
        <f>VLOOKUP($B157,[1]Data_Aspire!$B$1:$CZ$600,7,FALSE)</f>
        <v>0</v>
      </c>
      <c r="AQ157">
        <f>VLOOKUP($B157,[1]Data_Aspire!$B$1:$CZ$600,8,FALSE)</f>
        <v>0.01</v>
      </c>
      <c r="AU157">
        <f>VLOOKUP($B157,[1]Data_Aspire!$B$1:$CZ$600,12,FALSE)</f>
        <v>1.85</v>
      </c>
      <c r="AX157">
        <f>VLOOKUP($B157,[1]Data_Aspire!$B$1:$CZ$600,15,FALSE)</f>
        <v>1144215</v>
      </c>
      <c r="AY157">
        <f>VLOOKUP($B157,[1]Data_Aspire!$B$1:$CZ$600,16,FALSE)</f>
        <v>2013</v>
      </c>
      <c r="BF157">
        <f>VLOOKUP($B157,[1]Data_Aspire!$B$1:$CZ$600,23,FALSE)</f>
        <v>1629</v>
      </c>
      <c r="BG157">
        <f>VLOOKUP($B157,[1]Data_Aspire!$B$1:$CZ$600,24,FALSE)</f>
        <v>2013</v>
      </c>
      <c r="BJ157" s="7">
        <v>0</v>
      </c>
      <c r="BK157">
        <v>688</v>
      </c>
      <c r="BL157">
        <f>VLOOKUP($B157,'[1]Data_UN_PopulationTot.&amp;%'!$B$4:$CZ$603,8,FALSE)</f>
        <v>8737.3700000000008</v>
      </c>
      <c r="BM157">
        <f>VLOOKUP($B157,'[1]Data_UN_PopulationTot.&amp;%'!$B$4:$CZ$603,9,FALSE)</f>
        <v>8697.5499999999993</v>
      </c>
      <c r="BN157">
        <v>8653.02</v>
      </c>
      <c r="BO157">
        <f>VLOOKUP($B157,'[1]Data_UN_PopulationTot.&amp;%'!$B$4:$CZ$603,11,FALSE)</f>
        <v>8605</v>
      </c>
      <c r="BP157">
        <f>VLOOKUP($B157,'[1]Data_UN_PopulationTot.&amp;%'!$B$4:$CZ$603,12,FALSE)</f>
        <v>8555.2900000000009</v>
      </c>
      <c r="BQ157">
        <f>VLOOKUP($B157,'[1]Data_UN_PopulationTot.&amp;%'!$B$4:$CZ$603,13,FALSE)</f>
        <v>8505.25</v>
      </c>
      <c r="BR157">
        <f>VLOOKUP($B157,'[1]Data_UN_PopulationTot.&amp;%'!$B$4:$CZ$603,14,FALSE)</f>
        <v>8455.2900000000009</v>
      </c>
      <c r="BS157">
        <f>VLOOKUP($B157,'[1]Data_UN_PopulationTot.&amp;%'!$B$4:$CZ$603,15,FALSE)</f>
        <v>8405.11</v>
      </c>
      <c r="BT157">
        <f>VLOOKUP($B157,'[1]Data_UN_PopulationTot.&amp;%'!$B$4:$CZ$603,16,FALSE)</f>
        <v>8354.5</v>
      </c>
      <c r="BU157">
        <f>VLOOKUP($B157,'[1]Data_UN_PopulationTot.&amp;%'!$B$4:$CZ$603,17,FALSE)</f>
        <v>8303.0499999999993</v>
      </c>
      <c r="BV157">
        <f>VLOOKUP($B157,'[1]Data_UN_PopulationTot.&amp;%'!$B$4:$CZ$603,18,FALSE)</f>
        <v>8250.43</v>
      </c>
      <c r="BW157">
        <f>VLOOKUP($B157,'[1]Data_UN_PopulationTot.&amp;%'!$B$4:$CZ$603,61,FALSE)</f>
        <v>4.796145750952518</v>
      </c>
      <c r="BX157">
        <f>VLOOKUP($B157,'[1]Data_UN_PopulationTot.&amp;%'!$B$4:$CZ$603,62,FALSE)</f>
        <v>4.9987925428361164</v>
      </c>
      <c r="BY157">
        <f>VLOOKUP($B157,'[1]Data_UN_PopulationTot.&amp;%'!$B$4:$CZ$603,63,FALSE)</f>
        <v>5.5721916320357261</v>
      </c>
      <c r="BZ157">
        <f>VLOOKUP($B157,'[1]Data_UN_PopulationTot.&amp;%'!$B$4:$CZ$603,64,FALSE)</f>
        <v>5.8698212391142874</v>
      </c>
      <c r="CA157">
        <f>VLOOKUP($B157,'[1]Data_UN_PopulationTot.&amp;%'!$B$4:$CZ$603,65,FALSE)</f>
        <v>6.0563876772987744</v>
      </c>
      <c r="CB157">
        <f>VLOOKUP($B157,'[1]Data_UN_PopulationTot.&amp;%'!$B$4:$CZ$603,66,FALSE)</f>
        <v>6.5614366794584642</v>
      </c>
      <c r="CC157">
        <f>VLOOKUP($B157,'[1]Data_UN_PopulationTot.&amp;%'!$B$4:$CZ$603,67,FALSE)</f>
        <v>7.0721853372353456</v>
      </c>
      <c r="CD157">
        <f>VLOOKUP($B157,'[1]Data_UN_PopulationTot.&amp;%'!$B$4:$CZ$603,68,FALSE)</f>
        <v>6.8322733270995739</v>
      </c>
      <c r="CE157">
        <f>VLOOKUP($B157,'[1]Data_UN_PopulationTot.&amp;%'!$B$4:$CZ$603,69,FALSE)</f>
        <v>7.113719574654616</v>
      </c>
      <c r="CF157">
        <f>VLOOKUP($B157,'[1]Data_UN_PopulationTot.&amp;%'!$B$4:$CZ$603,70,FALSE)</f>
        <v>6.9625299146081705</v>
      </c>
      <c r="CG157">
        <f>VLOOKUP($B157,'[1]Data_UN_PopulationTot.&amp;%'!$B$4:$CZ$603,71,FALSE)</f>
        <v>6.5311300768995704</v>
      </c>
      <c r="CH157">
        <f>VLOOKUP($B157,'[1]Data_UN_PopulationTot.&amp;%'!$B$4:$CZ$603,72,FALSE)</f>
        <v>6.3046317141199237</v>
      </c>
      <c r="CI157">
        <f>VLOOKUP($B157,'[1]Data_UN_PopulationTot.&amp;%'!$B$4:$CZ$603,73,FALSE)</f>
        <v>6.270239213859548</v>
      </c>
      <c r="CJ157">
        <f>VLOOKUP($B157,'[1]Data_UN_PopulationTot.&amp;%'!$B$4:$CZ$603,74,FALSE)</f>
        <v>6.8054460323873194</v>
      </c>
      <c r="CK157">
        <f>VLOOKUP($B157,'[1]Data_UN_PopulationTot.&amp;%'!$B$4:$CZ$603,75,FALSE)</f>
        <v>5.3121362606825624</v>
      </c>
      <c r="CL157">
        <f>VLOOKUP($B157,'[1]Data_UN_PopulationTot.&amp;%'!$B$4:$CZ$603,76,FALSE)</f>
        <v>3.0391410687655438</v>
      </c>
      <c r="CM157">
        <f>VLOOKUP($B157,'[1]Data_UN_PopulationTot.&amp;%'!$B$4:$CZ$603,77,FALSE)</f>
        <v>2.3400748737892525</v>
      </c>
      <c r="CN157">
        <f>VLOOKUP($B157,'[1]Data_UN_PopulationTot.&amp;%'!$B$4:$CZ$603,78,FALSE)</f>
        <v>1.2064156605477392</v>
      </c>
      <c r="CO157">
        <f>VLOOKUP($B157,'[1]Data_UN_PopulationTot.&amp;%'!$B$4:$CZ$603,79,FALSE)</f>
        <v>0.32049690009693987</v>
      </c>
      <c r="CP157">
        <f>VLOOKUP($B157,'[1]Data_UN_PopulationTot.&amp;%'!$B$4:$CZ$603,80,FALSE)</f>
        <v>3.3579898756719698E-2</v>
      </c>
      <c r="CQ157">
        <f>VLOOKUP($B157,'[1]Data_UN_PopulationTot.&amp;%'!$B$4:$CZ$603,81,FALSE)</f>
        <v>1.2246248012845969E-3</v>
      </c>
      <c r="CR157">
        <f>VLOOKUP($B157,'[1]Data_UN_PopulationTot.&amp;%'!$B$4:$CZ$603,82,FALSE)</f>
        <v>4.3758082912042164</v>
      </c>
      <c r="CS157">
        <f>VLOOKUP($B157,'[1]Data_UN_PopulationTot.&amp;%'!$B$4:$CZ$603,83,FALSE)</f>
        <v>4.6625327407177561</v>
      </c>
      <c r="CT157">
        <f>VLOOKUP($B157,'[1]Data_UN_PopulationTot.&amp;%'!$B$4:$CZ$603,84,FALSE)</f>
        <v>5.0327679890623882</v>
      </c>
      <c r="CU157">
        <f>VLOOKUP($B157,'[1]Data_UN_PopulationTot.&amp;%'!$B$4:$CZ$603,85,FALSE)</f>
        <v>5.2326242389790592</v>
      </c>
      <c r="CV157">
        <f>VLOOKUP($B157,'[1]Data_UN_PopulationTot.&amp;%'!$B$4:$CZ$603,86,FALSE)</f>
        <v>5.7544879479008975</v>
      </c>
      <c r="CW157">
        <f>VLOOKUP($B157,'[1]Data_UN_PopulationTot.&amp;%'!$B$4:$CZ$603,87,FALSE)</f>
        <v>5.9861728419003608</v>
      </c>
      <c r="CX157">
        <f>VLOOKUP($B157,'[1]Data_UN_PopulationTot.&amp;%'!$B$4:$CZ$603,88,FALSE)</f>
        <v>6.1702844579009817</v>
      </c>
      <c r="CY157">
        <f>VLOOKUP($B157,'[1]Data_UN_PopulationTot.&amp;%'!$B$4:$CZ$603,89,FALSE)</f>
        <v>6.7336490340503454</v>
      </c>
      <c r="CZ157">
        <f>VLOOKUP($B157,'[1]Data_UN_PopulationTot.&amp;%'!$B$4:$CZ$603,90,FALSE)</f>
        <v>7.2952076437228115</v>
      </c>
      <c r="DA157">
        <f>VLOOKUP($B157,'[1]Data_UN_PopulationTot.&amp;%'!$B$4:$CZ$603,91,FALSE)</f>
        <v>7.0335243132782184</v>
      </c>
      <c r="DB157">
        <f>VLOOKUP($B157,'[1]Data_UN_PopulationTot.&amp;%'!$B$4:$CZ$603,92,FALSE)</f>
        <v>7.2565914746261715</v>
      </c>
      <c r="DC157">
        <f>VLOOKUP($B157,'[1]Data_UN_PopulationTot.&amp;%'!$B$4:$CZ$603,93,FALSE)</f>
        <v>6.962643159205034</v>
      </c>
      <c r="DD157">
        <f>VLOOKUP($B157,'[1]Data_UN_PopulationTot.&amp;%'!$B$4:$CZ$603,94,FALSE)</f>
        <v>6.3243733962957087</v>
      </c>
      <c r="DE157">
        <f>VLOOKUP($B157,'[1]Data_UN_PopulationTot.&amp;%'!$B$4:$CZ$603,95,FALSE)</f>
        <v>5.8278538209523623</v>
      </c>
      <c r="DF157">
        <f>VLOOKUP($B157,'[1]Data_UN_PopulationTot.&amp;%'!$B$4:$CZ$603,96,FALSE)</f>
        <v>5.4094998684917028</v>
      </c>
      <c r="DG157">
        <f>VLOOKUP($B157,'[1]Data_UN_PopulationTot.&amp;%'!$B$4:$CZ$603,97,FALSE)</f>
        <v>5.1712092581841187</v>
      </c>
      <c r="DH157">
        <f>VLOOKUP($B157,'[1]Data_UN_PopulationTot.&amp;%'!$B$4:$CZ$603,98,FALSE)</f>
        <v>3.1295338545990932</v>
      </c>
      <c r="DI157">
        <f>VLOOKUP($B157,'[1]Data_UN_PopulationTot.&amp;%'!$B$4:$CZ$603,99,FALSE)</f>
        <v>1.1440130999232765</v>
      </c>
      <c r="DJ157">
        <f>VLOOKUP($B157,'[1]Data_UN_PopulationTot.&amp;%'!$B$4:$DE$603,100,FALSE)</f>
        <v>0.42270524081775129</v>
      </c>
      <c r="DK157">
        <f>VLOOKUP($B157,'[1]Data_UN_PopulationTot.&amp;%'!$B$4:$DE$603,101,FALSE)</f>
        <v>7.0166039830651242E-2</v>
      </c>
      <c r="DL157">
        <f>VLOOKUP($B157,'[1]Data_UN_PopulationTot.&amp;%'!$B$4:$DE$603,102,FALSE)</f>
        <v>4.3997706786191746E-3</v>
      </c>
    </row>
    <row r="158" spans="1:116">
      <c r="A158" t="s">
        <v>119</v>
      </c>
      <c r="B158" t="s">
        <v>332</v>
      </c>
      <c r="C158" t="s">
        <v>496</v>
      </c>
      <c r="D158" t="s">
        <v>306</v>
      </c>
      <c r="E158" t="s">
        <v>299</v>
      </c>
      <c r="F158">
        <v>1</v>
      </c>
      <c r="G158">
        <v>0</v>
      </c>
      <c r="H158">
        <v>0</v>
      </c>
      <c r="I158">
        <v>0</v>
      </c>
      <c r="J158" s="18" t="e">
        <f t="shared" si="5"/>
        <v>#VALUE!</v>
      </c>
      <c r="K158" t="str">
        <f>VLOOKUP($B158,'[1]Source GDP Current USD'!$B$1:$CZ$600,64,FALSE)</f>
        <v>..</v>
      </c>
      <c r="L158" s="45">
        <f>VLOOKUP($B158,'[1]Source GDP Current USD'!$B$1:$CZ$600,65,FALSE)</f>
        <v>11997800760.224199</v>
      </c>
      <c r="M158" s="17" t="str">
        <f>VLOOKUP($B158,'[1]Source GDP Current LCU'!$B$1:$CZ$600,64,FALSE)</f>
        <v>..</v>
      </c>
      <c r="N158" s="45">
        <v>43000000000</v>
      </c>
      <c r="O158" s="45" t="str">
        <f>VLOOKUP($B158,'[1]Source GNI Current USD'!$B$1:$CZ$600,64,FALSE)</f>
        <v>..</v>
      </c>
      <c r="P158" s="45" t="str">
        <f>VLOOKUP($B158,'[1]Source GNI Current LCU'!$B$1:$CZ$600,64,FALSE)</f>
        <v>..</v>
      </c>
      <c r="Q158" t="e">
        <f t="shared" si="4"/>
        <v>#VALUE!</v>
      </c>
      <c r="S158">
        <v>1090</v>
      </c>
      <c r="T158">
        <v>0.906802</v>
      </c>
      <c r="U158" s="45">
        <v>11000000</v>
      </c>
      <c r="V158">
        <v>36.457999999999998</v>
      </c>
      <c r="W158">
        <f>VLOOKUP($B158,'[1]Source Gov. Revenue WEO'!$B$1:$CZ$600,5,FALSE)</f>
        <v>50.61</v>
      </c>
      <c r="X158">
        <f>VLOOKUP($B158,'[1]Source Gov. Revenue WEO'!$B$1:$CZ$600,6,FALSE)</f>
        <v>42.65</v>
      </c>
      <c r="Y158">
        <f>VLOOKUP($B158,'[1]Source Gov. Revenue WEO'!$B$1:$CZ$600,7,FALSE)</f>
        <v>36.743000000000002</v>
      </c>
      <c r="Z158">
        <f>VLOOKUP($B158,'[1]Source Gov. Revenue WEO'!$B$1:$CZ$600,8,FALSE)</f>
        <v>38.110999999999997</v>
      </c>
      <c r="AA158">
        <f>VLOOKUP($B158,'[1]Source Gov. Revenue WEO'!$B$1:$CZ$600,9,FALSE)</f>
        <v>39.469000000000001</v>
      </c>
      <c r="AB158">
        <f>VLOOKUP($B158,'[1]Source Gov. Revenue WEO'!$B$1:$CZ$600,10,FALSE)</f>
        <v>35.006999999999998</v>
      </c>
      <c r="AC158">
        <f>VLOOKUP($B158,[2]Summary!$B$1:$CZ$600,39,FALSE)</f>
        <v>0.83</v>
      </c>
      <c r="AD158">
        <f>VLOOKUP($B158,[2]Summary!$B$1:$CZ$600,40,FALSE)</f>
        <v>0.9</v>
      </c>
      <c r="AE158">
        <f>VLOOKUP($B158,[2]Summary!$B$1:$CZ$600,47,FALSE)</f>
        <v>0.34140692216281282</v>
      </c>
      <c r="AF158" t="e">
        <f>VLOOKUP($B158,'[1]CALC GDP Growth rates WDI'!$B$1:$CZ$600,27,FALSE)</f>
        <v>#VALUE!</v>
      </c>
      <c r="AG158" t="e">
        <f>VLOOKUP($B158,'[1]CALC GDP Growth rates WDI'!$B$1:$CZ$600,29,FALSE)</f>
        <v>#VALUE!</v>
      </c>
      <c r="AH158" s="45">
        <v>-100</v>
      </c>
      <c r="AI158" t="e">
        <f>VLOOKUP($B158,'[1]CALC GDP Growth rates WDI'!$B$1:$CZ$600,30,FALSE)</f>
        <v>#VALUE!</v>
      </c>
      <c r="AJ158" s="45" t="s">
        <v>2464</v>
      </c>
      <c r="AK158">
        <f>VLOOKUP($B158,[1]Data_Aspire!$B$1:$CZ$600,2,FALSE)</f>
        <v>2015</v>
      </c>
      <c r="AL158">
        <f>VLOOKUP($B158,[1]Data_Aspire!$B$1:$CZ$600,3,FALSE)</f>
        <v>10.1</v>
      </c>
      <c r="AM158">
        <f>VLOOKUP($B158,[1]Data_Aspire!$B$1:$CZ$600,4,FALSE)</f>
        <v>0</v>
      </c>
      <c r="AN158">
        <f>VLOOKUP($B158,[1]Data_Aspire!$B$1:$CZ$600,5,FALSE)</f>
        <v>0</v>
      </c>
      <c r="AO158">
        <f>VLOOKUP($B158,[1]Data_Aspire!$B$1:$CZ$600,6,FALSE)</f>
        <v>0</v>
      </c>
      <c r="AP158">
        <f>VLOOKUP($B158,[1]Data_Aspire!$B$1:$CZ$600,7,FALSE)</f>
        <v>0</v>
      </c>
      <c r="AQ158">
        <f>VLOOKUP($B158,[1]Data_Aspire!$B$1:$CZ$600,8,FALSE)</f>
        <v>0.03</v>
      </c>
      <c r="AU158">
        <f>VLOOKUP($B158,[1]Data_Aspire!$B$1:$CZ$600,12,FALSE)</f>
        <v>10.1</v>
      </c>
      <c r="AX158">
        <f>VLOOKUP($B158,[1]Data_Aspire!$B$1:$CZ$600,15,FALSE)</f>
        <v>42000</v>
      </c>
      <c r="AY158">
        <f>VLOOKUP($B158,[1]Data_Aspire!$B$1:$CZ$600,16,FALSE)</f>
        <v>2016</v>
      </c>
      <c r="BB158">
        <f>VLOOKUP($B158,[1]Data_Aspire!$B$1:$CZ$600,19,FALSE)</f>
        <v>2208005</v>
      </c>
      <c r="BC158">
        <f>VLOOKUP($B158,[1]Data_Aspire!$B$1:$CZ$600,20,FALSE)</f>
        <v>2016</v>
      </c>
      <c r="BF158">
        <f>VLOOKUP($B158,[1]Data_Aspire!$B$1:$CZ$600,23,FALSE)</f>
        <v>29184</v>
      </c>
      <c r="BG158">
        <f>VLOOKUP($B158,[1]Data_Aspire!$B$1:$CZ$600,24,FALSE)</f>
        <v>2015</v>
      </c>
      <c r="BJ158" s="7">
        <v>1</v>
      </c>
      <c r="BK158">
        <v>728</v>
      </c>
      <c r="BL158">
        <f>VLOOKUP($B158,'[1]Data_UN_PopulationTot.&amp;%'!$B$4:$CZ$603,8,FALSE)</f>
        <v>11193.7</v>
      </c>
      <c r="BM158">
        <f>VLOOKUP($B158,'[1]Data_UN_PopulationTot.&amp;%'!$B$4:$CZ$603,9,FALSE)</f>
        <v>11381.4</v>
      </c>
      <c r="BN158">
        <v>11618.5</v>
      </c>
      <c r="BO158">
        <f>VLOOKUP($B158,'[1]Data_UN_PopulationTot.&amp;%'!$B$4:$CZ$603,11,FALSE)</f>
        <v>11891</v>
      </c>
      <c r="BP158">
        <f>VLOOKUP($B158,'[1]Data_UN_PopulationTot.&amp;%'!$B$4:$CZ$603,12,FALSE)</f>
        <v>12176.5</v>
      </c>
      <c r="BQ158">
        <f>VLOOKUP($B158,'[1]Data_UN_PopulationTot.&amp;%'!$B$4:$CZ$603,13,FALSE)</f>
        <v>12458.3</v>
      </c>
      <c r="BR158">
        <f>VLOOKUP($B158,'[1]Data_UN_PopulationTot.&amp;%'!$B$4:$CZ$603,14,FALSE)</f>
        <v>12733</v>
      </c>
      <c r="BS158">
        <f>VLOOKUP($B158,'[1]Data_UN_PopulationTot.&amp;%'!$B$4:$CZ$603,15,FALSE)</f>
        <v>13005.7</v>
      </c>
      <c r="BT158">
        <f>VLOOKUP($B158,'[1]Data_UN_PopulationTot.&amp;%'!$B$4:$CZ$603,16,FALSE)</f>
        <v>13278.4</v>
      </c>
      <c r="BU158">
        <f>VLOOKUP($B158,'[1]Data_UN_PopulationTot.&amp;%'!$B$4:$CZ$603,17,FALSE)</f>
        <v>13555.2</v>
      </c>
      <c r="BV158">
        <f>VLOOKUP($B158,'[1]Data_UN_PopulationTot.&amp;%'!$B$4:$CZ$603,18,FALSE)</f>
        <v>13839.3</v>
      </c>
      <c r="BW158">
        <f>VLOOKUP($B158,'[1]Data_UN_PopulationTot.&amp;%'!$B$4:$CZ$603,61,FALSE)</f>
        <v>15.253133458999258</v>
      </c>
      <c r="BX158">
        <f>VLOOKUP($B158,'[1]Data_UN_PopulationTot.&amp;%'!$B$4:$CZ$603,62,FALSE)</f>
        <v>13.742462277888453</v>
      </c>
      <c r="BY158">
        <f>VLOOKUP($B158,'[1]Data_UN_PopulationTot.&amp;%'!$B$4:$CZ$603,63,FALSE)</f>
        <v>12.332204722299151</v>
      </c>
      <c r="BZ158">
        <f>VLOOKUP($B158,'[1]Data_UN_PopulationTot.&amp;%'!$B$4:$CZ$603,64,FALSE)</f>
        <v>10.733448278942619</v>
      </c>
      <c r="CA158">
        <f>VLOOKUP($B158,'[1]Data_UN_PopulationTot.&amp;%'!$B$4:$CZ$603,65,FALSE)</f>
        <v>9.4889982758158595</v>
      </c>
      <c r="CB158">
        <f>VLOOKUP($B158,'[1]Data_UN_PopulationTot.&amp;%'!$B$4:$CZ$603,66,FALSE)</f>
        <v>8.0472676594870318</v>
      </c>
      <c r="CC158">
        <f>VLOOKUP($B158,'[1]Data_UN_PopulationTot.&amp;%'!$B$4:$CZ$603,67,FALSE)</f>
        <v>6.6481502988288046</v>
      </c>
      <c r="CD158">
        <f>VLOOKUP($B158,'[1]Data_UN_PopulationTot.&amp;%'!$B$4:$CZ$603,68,FALSE)</f>
        <v>5.2706343746929081</v>
      </c>
      <c r="CE158">
        <f>VLOOKUP($B158,'[1]Data_UN_PopulationTot.&amp;%'!$B$4:$CZ$603,69,FALSE)</f>
        <v>4.3946684295630574</v>
      </c>
      <c r="CF158">
        <f>VLOOKUP($B158,'[1]Data_UN_PopulationTot.&amp;%'!$B$4:$CZ$603,70,FALSE)</f>
        <v>3.6173115234462241</v>
      </c>
      <c r="CG158">
        <f>VLOOKUP($B158,'[1]Data_UN_PopulationTot.&amp;%'!$B$4:$CZ$603,71,FALSE)</f>
        <v>2.9677586499548854</v>
      </c>
      <c r="CH158">
        <f>VLOOKUP($B158,'[1]Data_UN_PopulationTot.&amp;%'!$B$4:$CZ$603,72,FALSE)</f>
        <v>2.3524214513520993</v>
      </c>
      <c r="CI158">
        <f>VLOOKUP($B158,'[1]Data_UN_PopulationTot.&amp;%'!$B$4:$CZ$603,73,FALSE)</f>
        <v>1.7990208778151995</v>
      </c>
      <c r="CJ158">
        <f>VLOOKUP($B158,'[1]Data_UN_PopulationTot.&amp;%'!$B$4:$CZ$603,74,FALSE)</f>
        <v>1.28250712454327</v>
      </c>
      <c r="CK158">
        <f>VLOOKUP($B158,'[1]Data_UN_PopulationTot.&amp;%'!$B$4:$CZ$603,75,FALSE)</f>
        <v>1.0026175437969571</v>
      </c>
      <c r="CL158">
        <f>VLOOKUP($B158,'[1]Data_UN_PopulationTot.&amp;%'!$B$4:$CZ$603,76,FALSE)</f>
        <v>0.62888946460955708</v>
      </c>
      <c r="CM158">
        <f>VLOOKUP($B158,'[1]Data_UN_PopulationTot.&amp;%'!$B$4:$CZ$603,77,FALSE)</f>
        <v>0.30315266623189829</v>
      </c>
      <c r="CN158">
        <f>VLOOKUP($B158,'[1]Data_UN_PopulationTot.&amp;%'!$B$4:$CZ$603,78,FALSE)</f>
        <v>0.10777490910065482</v>
      </c>
      <c r="CO158">
        <f>VLOOKUP($B158,'[1]Data_UN_PopulationTot.&amp;%'!$B$4:$CZ$603,79,FALSE)</f>
        <v>2.4379785057666366E-2</v>
      </c>
      <c r="CP158">
        <f>VLOOKUP($B158,'[1]Data_UN_PopulationTot.&amp;%'!$B$4:$CZ$603,80,FALSE)</f>
        <v>3.2428955573224221E-3</v>
      </c>
      <c r="CQ158">
        <f>VLOOKUP($B158,'[1]Data_UN_PopulationTot.&amp;%'!$B$4:$CZ$603,81,FALSE)</f>
        <v>2.3227351099279055E-4</v>
      </c>
      <c r="CR158">
        <f>VLOOKUP($B158,'[1]Data_UN_PopulationTot.&amp;%'!$B$4:$CZ$603,82,FALSE)</f>
        <v>13.926210140686306</v>
      </c>
      <c r="CS158">
        <f>VLOOKUP($B158,'[1]Data_UN_PopulationTot.&amp;%'!$B$4:$CZ$603,83,FALSE)</f>
        <v>12.776079715014488</v>
      </c>
      <c r="CT158">
        <f>VLOOKUP($B158,'[1]Data_UN_PopulationTot.&amp;%'!$B$4:$CZ$603,84,FALSE)</f>
        <v>11.655069259283346</v>
      </c>
      <c r="CU158">
        <f>VLOOKUP($B158,'[1]Data_UN_PopulationTot.&amp;%'!$B$4:$CZ$603,85,FALSE)</f>
        <v>10.670698662504607</v>
      </c>
      <c r="CV158">
        <f>VLOOKUP($B158,'[1]Data_UN_PopulationTot.&amp;%'!$B$4:$CZ$603,86,FALSE)</f>
        <v>9.5574920696856065</v>
      </c>
      <c r="CW158">
        <f>VLOOKUP($B158,'[1]Data_UN_PopulationTot.&amp;%'!$B$4:$CZ$603,87,FALSE)</f>
        <v>8.2337256942186379</v>
      </c>
      <c r="CX158">
        <f>VLOOKUP($B158,'[1]Data_UN_PopulationTot.&amp;%'!$B$4:$CZ$603,88,FALSE)</f>
        <v>7.190125223096544</v>
      </c>
      <c r="CY158">
        <f>VLOOKUP($B158,'[1]Data_UN_PopulationTot.&amp;%'!$B$4:$CZ$603,89,FALSE)</f>
        <v>6.0064165095055388</v>
      </c>
      <c r="CZ158">
        <f>VLOOKUP($B158,'[1]Data_UN_PopulationTot.&amp;%'!$B$4:$CZ$603,90,FALSE)</f>
        <v>4.8858612791109373</v>
      </c>
      <c r="DA158">
        <f>VLOOKUP($B158,'[1]Data_UN_PopulationTot.&amp;%'!$B$4:$CZ$603,91,FALSE)</f>
        <v>3.8258654700743535</v>
      </c>
      <c r="DB158">
        <f>VLOOKUP($B158,'[1]Data_UN_PopulationTot.&amp;%'!$B$4:$CZ$603,92,FALSE)</f>
        <v>3.1508674571690767</v>
      </c>
      <c r="DC158">
        <f>VLOOKUP($B158,'[1]Data_UN_PopulationTot.&amp;%'!$B$4:$CZ$603,93,FALSE)</f>
        <v>2.5401573779020619</v>
      </c>
      <c r="DD158">
        <f>VLOOKUP($B158,'[1]Data_UN_PopulationTot.&amp;%'!$B$4:$CZ$603,94,FALSE)</f>
        <v>2.0065393480884151</v>
      </c>
      <c r="DE158">
        <f>VLOOKUP($B158,'[1]Data_UN_PopulationTot.&amp;%'!$B$4:$CZ$603,95,FALSE)</f>
        <v>1.4842947258893151</v>
      </c>
      <c r="DF158">
        <f>VLOOKUP($B158,'[1]Data_UN_PopulationTot.&amp;%'!$B$4:$CZ$603,96,FALSE)</f>
        <v>1.0092634743086719</v>
      </c>
      <c r="DG158">
        <f>VLOOKUP($B158,'[1]Data_UN_PopulationTot.&amp;%'!$B$4:$CZ$603,97,FALSE)</f>
        <v>0.58874365032913512</v>
      </c>
      <c r="DH158">
        <f>VLOOKUP($B158,'[1]Data_UN_PopulationTot.&amp;%'!$B$4:$CZ$603,98,FALSE)</f>
        <v>0.33167139956500696</v>
      </c>
      <c r="DI158">
        <f>VLOOKUP($B158,'[1]Data_UN_PopulationTot.&amp;%'!$B$4:$CZ$603,99,FALSE)</f>
        <v>0.12577948306634007</v>
      </c>
      <c r="DJ158">
        <f>VLOOKUP($B158,'[1]Data_UN_PopulationTot.&amp;%'!$B$4:$DE$603,100,FALSE)</f>
        <v>3.0073775407715709E-2</v>
      </c>
      <c r="DK158">
        <f>VLOOKUP($B158,'[1]Data_UN_PopulationTot.&amp;%'!$B$4:$DE$603,101,FALSE)</f>
        <v>4.4221889835468556E-3</v>
      </c>
      <c r="DL158">
        <f>VLOOKUP($B158,'[1]Data_UN_PopulationTot.&amp;%'!$B$4:$DE$603,102,FALSE)</f>
        <v>3.4683835165073379E-4</v>
      </c>
    </row>
    <row r="159" spans="1:116">
      <c r="A159" t="s">
        <v>2469</v>
      </c>
      <c r="B159" t="s">
        <v>357</v>
      </c>
      <c r="C159" t="s">
        <v>496</v>
      </c>
      <c r="D159" t="s">
        <v>334</v>
      </c>
      <c r="E159" t="s">
        <v>300</v>
      </c>
      <c r="F159">
        <v>0</v>
      </c>
      <c r="G159">
        <v>1</v>
      </c>
      <c r="H159">
        <v>0</v>
      </c>
      <c r="I159">
        <v>0</v>
      </c>
      <c r="J159" s="18">
        <f t="shared" si="5"/>
        <v>2.5930792396950002</v>
      </c>
      <c r="K159">
        <f>VLOOKUP($B159,'[1]Source GDP Current USD'!$B$1:$CZ$600,64,FALSE)</f>
        <v>472914469.91933</v>
      </c>
      <c r="L159" s="45">
        <f>VLOOKUP($B159,'[1]Source GDP Current USD'!$B$1:$CZ$600,65,FALSE)</f>
        <v>472914469.91933</v>
      </c>
      <c r="M159" s="17">
        <f>VLOOKUP($B159,'[1]Source GDP Current LCU'!$B$1:$CZ$600,64,FALSE)</f>
        <v>10247299900</v>
      </c>
      <c r="N159" s="45">
        <v>10000000000</v>
      </c>
      <c r="O159" s="45">
        <f>VLOOKUP($B159,'[1]Source GNI Current USD'!$B$1:$CZ$600,64,FALSE)</f>
        <v>470314469.91933</v>
      </c>
      <c r="P159" s="45">
        <f>VLOOKUP($B159,'[1]Source GNI Current LCU'!$B$1:$CZ$600,64,FALSE)</f>
        <v>10190962060</v>
      </c>
      <c r="Q159">
        <f t="shared" si="4"/>
        <v>100.55282160475436</v>
      </c>
      <c r="R159">
        <v>2060</v>
      </c>
      <c r="S159">
        <v>2060</v>
      </c>
      <c r="T159">
        <v>0.50489499999999998</v>
      </c>
      <c r="U159">
        <v>219000</v>
      </c>
      <c r="V159">
        <v>25.305</v>
      </c>
      <c r="W159">
        <f>VLOOKUP($B159,'[1]Source Gov. Revenue WEO'!$B$1:$CZ$600,5,FALSE)</f>
        <v>25.736999999999998</v>
      </c>
      <c r="X159">
        <f>VLOOKUP($B159,'[1]Source Gov. Revenue WEO'!$B$1:$CZ$600,6,FALSE)</f>
        <v>24.759</v>
      </c>
      <c r="Y159">
        <f>VLOOKUP($B159,'[1]Source Gov. Revenue WEO'!$B$1:$CZ$600,7,FALSE)</f>
        <v>23.968</v>
      </c>
      <c r="Z159">
        <f>VLOOKUP($B159,'[1]Source Gov. Revenue WEO'!$B$1:$CZ$600,8,FALSE)</f>
        <v>23.94</v>
      </c>
      <c r="AA159">
        <f>VLOOKUP($B159,'[1]Source Gov. Revenue WEO'!$B$1:$CZ$600,9,FALSE)</f>
        <v>23.792999999999999</v>
      </c>
      <c r="AB159">
        <f>VLOOKUP($B159,'[1]Source Gov. Revenue WEO'!$B$1:$CZ$600,10,FALSE)</f>
        <v>23.529</v>
      </c>
      <c r="AC159">
        <f>VLOOKUP($B159,[2]Summary!$B$1:$CZ$600,39,FALSE)</f>
        <v>0.34003509999999998</v>
      </c>
      <c r="AD159">
        <f>VLOOKUP($B159,[2]Summary!$B$1:$CZ$600,40,FALSE)</f>
        <v>0.31824999999999998</v>
      </c>
      <c r="AE159">
        <f>VLOOKUP($B159,[2]Summary!$B$1:$CZ$600,47,FALSE)</f>
        <v>0.18223610385379355</v>
      </c>
      <c r="AF159">
        <f>VLOOKUP($B159,'[1]CALC GDP Growth rates WDI'!$B$1:$CZ$600,27,FALSE)</f>
        <v>46.625352280260948</v>
      </c>
      <c r="AG159">
        <f>VLOOKUP($B159,'[1]CALC GDP Growth rates WDI'!$B$1:$CZ$600,29,FALSE)</f>
        <v>48.666670232770045</v>
      </c>
      <c r="AH159">
        <v>17.34</v>
      </c>
      <c r="AI159">
        <f>VLOOKUP($B159,'[1]CALC GDP Growth rates WDI'!$B$1:$CZ$600,30,FALSE)</f>
        <v>15.89348062834981</v>
      </c>
      <c r="AJ159" s="45" t="s">
        <v>2467</v>
      </c>
      <c r="AM159">
        <f>VLOOKUP($B159,[1]Data_Aspire!$B$1:$CZ$600,4,FALSE)</f>
        <v>0</v>
      </c>
      <c r="AN159">
        <f>VLOOKUP($B159,[1]Data_Aspire!$B$1:$CZ$600,5,FALSE)</f>
        <v>0</v>
      </c>
      <c r="AO159">
        <f>VLOOKUP($B159,[1]Data_Aspire!$B$1:$CZ$600,6,FALSE)</f>
        <v>0</v>
      </c>
      <c r="AP159">
        <f>VLOOKUP($B159,[1]Data_Aspire!$B$1:$CZ$600,7,FALSE)</f>
        <v>0</v>
      </c>
      <c r="AV159">
        <f>VLOOKUP($B159,[1]Data_Aspire!$B$1:$CZ$600,13,FALSE)</f>
        <v>5018</v>
      </c>
      <c r="AW159">
        <f>VLOOKUP($B159,[1]Data_Aspire!$B$1:$CZ$600,14,FALSE)</f>
        <v>2017</v>
      </c>
      <c r="AZ159">
        <f>VLOOKUP($B159,[1]Data_Aspire!$B$1:$CZ$600,17,FALSE)</f>
        <v>2024</v>
      </c>
      <c r="BA159">
        <f>VLOOKUP($B159,[1]Data_Aspire!$B$1:$CZ$600,18,FALSE)</f>
        <v>2014</v>
      </c>
      <c r="BD159">
        <f>VLOOKUP($B159,[1]Data_Aspire!$B$1:$CZ$600,21,FALSE)</f>
        <v>41000</v>
      </c>
      <c r="BE159">
        <f>VLOOKUP($B159,[1]Data_Aspire!$B$1:$CZ$600,22,FALSE)</f>
        <v>2014</v>
      </c>
      <c r="BJ159" s="7">
        <v>1</v>
      </c>
      <c r="BK159">
        <v>678</v>
      </c>
      <c r="BL159">
        <f>VLOOKUP($B159,'[1]Data_UN_PopulationTot.&amp;%'!$B$4:$CZ$603,8,FALSE)</f>
        <v>219.161</v>
      </c>
      <c r="BM159">
        <f>VLOOKUP($B159,'[1]Data_UN_PopulationTot.&amp;%'!$B$4:$CZ$603,9,FALSE)</f>
        <v>223.364</v>
      </c>
      <c r="BN159">
        <v>227.679</v>
      </c>
      <c r="BO159">
        <f>VLOOKUP($B159,'[1]Data_UN_PopulationTot.&amp;%'!$B$4:$CZ$603,11,FALSE)</f>
        <v>232.13200000000001</v>
      </c>
      <c r="BP159">
        <f>VLOOKUP($B159,'[1]Data_UN_PopulationTot.&amp;%'!$B$4:$CZ$603,12,FALSE)</f>
        <v>236.76</v>
      </c>
      <c r="BQ159">
        <f>VLOOKUP($B159,'[1]Data_UN_PopulationTot.&amp;%'!$B$4:$CZ$603,13,FALSE)</f>
        <v>241.57599999999999</v>
      </c>
      <c r="BR159">
        <f>VLOOKUP($B159,'[1]Data_UN_PopulationTot.&amp;%'!$B$4:$CZ$603,14,FALSE)</f>
        <v>246.58600000000001</v>
      </c>
      <c r="BS159">
        <f>VLOOKUP($B159,'[1]Data_UN_PopulationTot.&amp;%'!$B$4:$CZ$603,15,FALSE)</f>
        <v>251.792</v>
      </c>
      <c r="BT159">
        <f>VLOOKUP($B159,'[1]Data_UN_PopulationTot.&amp;%'!$B$4:$CZ$603,16,FALSE)</f>
        <v>257.15699999999998</v>
      </c>
      <c r="BU159">
        <f>VLOOKUP($B159,'[1]Data_UN_PopulationTot.&amp;%'!$B$4:$CZ$603,17,FALSE)</f>
        <v>262.65300000000002</v>
      </c>
      <c r="BV159">
        <f>VLOOKUP($B159,'[1]Data_UN_PopulationTot.&amp;%'!$B$4:$CZ$603,18,FALSE)</f>
        <v>268.24200000000002</v>
      </c>
      <c r="BW159">
        <f>VLOOKUP($B159,'[1]Data_UN_PopulationTot.&amp;%'!$B$4:$CZ$603,61,FALSE)</f>
        <v>14.48889172799905</v>
      </c>
      <c r="BX159">
        <f>VLOOKUP($B159,'[1]Data_UN_PopulationTot.&amp;%'!$B$4:$CZ$603,62,FALSE)</f>
        <v>13.988346466752752</v>
      </c>
      <c r="BY159">
        <f>VLOOKUP($B159,'[1]Data_UN_PopulationTot.&amp;%'!$B$4:$CZ$603,63,FALSE)</f>
        <v>13.280647560469244</v>
      </c>
      <c r="BZ159">
        <f>VLOOKUP($B159,'[1]Data_UN_PopulationTot.&amp;%'!$B$4:$CZ$603,64,FALSE)</f>
        <v>11.408507900584501</v>
      </c>
      <c r="CA159">
        <f>VLOOKUP($B159,'[1]Data_UN_PopulationTot.&amp;%'!$B$4:$CZ$603,65,FALSE)</f>
        <v>8.5220454369162404</v>
      </c>
      <c r="CB159">
        <f>VLOOKUP($B159,'[1]Data_UN_PopulationTot.&amp;%'!$B$4:$CZ$603,66,FALSE)</f>
        <v>6.8205565771282295</v>
      </c>
      <c r="CC159">
        <f>VLOOKUP($B159,'[1]Data_UN_PopulationTot.&amp;%'!$B$4:$CZ$603,67,FALSE)</f>
        <v>6.4258695662093164</v>
      </c>
      <c r="CD159">
        <f>VLOOKUP($B159,'[1]Data_UN_PopulationTot.&amp;%'!$B$4:$CZ$603,68,FALSE)</f>
        <v>5.7254712289139036</v>
      </c>
      <c r="CE159">
        <f>VLOOKUP($B159,'[1]Data_UN_PopulationTot.&amp;%'!$B$4:$CZ$603,69,FALSE)</f>
        <v>5.0428680285269731</v>
      </c>
      <c r="CF159">
        <f>VLOOKUP($B159,'[1]Data_UN_PopulationTot.&amp;%'!$B$4:$CZ$603,70,FALSE)</f>
        <v>3.4805462650745342</v>
      </c>
      <c r="CG159">
        <f>VLOOKUP($B159,'[1]Data_UN_PopulationTot.&amp;%'!$B$4:$CZ$603,71,FALSE)</f>
        <v>3.3587180200856901</v>
      </c>
      <c r="CH159">
        <f>VLOOKUP($B159,'[1]Data_UN_PopulationTot.&amp;%'!$B$4:$CZ$603,72,FALSE)</f>
        <v>2.4726114591555977</v>
      </c>
      <c r="CI159">
        <f>VLOOKUP($B159,'[1]Data_UN_PopulationTot.&amp;%'!$B$4:$CZ$603,73,FALSE)</f>
        <v>1.9766290535268591</v>
      </c>
      <c r="CJ159">
        <f>VLOOKUP($B159,'[1]Data_UN_PopulationTot.&amp;%'!$B$4:$CZ$603,74,FALSE)</f>
        <v>1.2547852948289158</v>
      </c>
      <c r="CK159">
        <f>VLOOKUP($B159,'[1]Data_UN_PopulationTot.&amp;%'!$B$4:$CZ$603,75,FALSE)</f>
        <v>0.79576201970241056</v>
      </c>
      <c r="CL159">
        <f>VLOOKUP($B159,'[1]Data_UN_PopulationTot.&amp;%'!$B$4:$CZ$603,76,FALSE)</f>
        <v>0.4654112729910887</v>
      </c>
      <c r="CM159">
        <f>VLOOKUP($B159,'[1]Data_UN_PopulationTot.&amp;%'!$B$4:$CZ$603,77,FALSE)</f>
        <v>0.33035074671132181</v>
      </c>
      <c r="CN159">
        <f>VLOOKUP($B159,'[1]Data_UN_PopulationTot.&amp;%'!$B$4:$CZ$603,78,FALSE)</f>
        <v>0.11726538937128413</v>
      </c>
      <c r="CO159">
        <f>VLOOKUP($B159,'[1]Data_UN_PopulationTot.&amp;%'!$B$4:$CZ$603,79,FALSE)</f>
        <v>3.9696843872769332E-2</v>
      </c>
      <c r="CP159">
        <f>VLOOKUP($B159,'[1]Data_UN_PopulationTot.&amp;%'!$B$4:$CZ$603,80,FALSE)</f>
        <v>4.5628556175596937E-3</v>
      </c>
      <c r="CQ159">
        <f>VLOOKUP($B159,'[1]Data_UN_PopulationTot.&amp;%'!$B$4:$CZ$603,81,FALSE)</f>
        <v>4.5628556175596934E-4</v>
      </c>
      <c r="CR159">
        <f>VLOOKUP($B159,'[1]Data_UN_PopulationTot.&amp;%'!$B$4:$CZ$603,82,FALSE)</f>
        <v>13.534047613721937</v>
      </c>
      <c r="CS159">
        <f>VLOOKUP($B159,'[1]Data_UN_PopulationTot.&amp;%'!$B$4:$CZ$603,83,FALSE)</f>
        <v>12.370918797205507</v>
      </c>
      <c r="CT159">
        <f>VLOOKUP($B159,'[1]Data_UN_PopulationTot.&amp;%'!$B$4:$CZ$603,84,FALSE)</f>
        <v>11.64955525234676</v>
      </c>
      <c r="CU159">
        <f>VLOOKUP($B159,'[1]Data_UN_PopulationTot.&amp;%'!$B$4:$CZ$603,85,FALSE)</f>
        <v>11.108998590824703</v>
      </c>
      <c r="CV159">
        <f>VLOOKUP($B159,'[1]Data_UN_PopulationTot.&amp;%'!$B$4:$CZ$603,86,FALSE)</f>
        <v>10.116238322112121</v>
      </c>
      <c r="CW159">
        <f>VLOOKUP($B159,'[1]Data_UN_PopulationTot.&amp;%'!$B$4:$CZ$603,87,FALSE)</f>
        <v>8.3726634904302824</v>
      </c>
      <c r="CX159">
        <f>VLOOKUP($B159,'[1]Data_UN_PopulationTot.&amp;%'!$B$4:$CZ$603,88,FALSE)</f>
        <v>6.1451972472618017</v>
      </c>
      <c r="CY159">
        <f>VLOOKUP($B159,'[1]Data_UN_PopulationTot.&amp;%'!$B$4:$CZ$603,89,FALSE)</f>
        <v>4.9634285458653</v>
      </c>
      <c r="CZ159">
        <f>VLOOKUP($B159,'[1]Data_UN_PopulationTot.&amp;%'!$B$4:$CZ$603,90,FALSE)</f>
        <v>4.7911960095734445</v>
      </c>
      <c r="DA159">
        <f>VLOOKUP($B159,'[1]Data_UN_PopulationTot.&amp;%'!$B$4:$CZ$603,91,FALSE)</f>
        <v>4.3102869796676133</v>
      </c>
      <c r="DB159">
        <f>VLOOKUP($B159,'[1]Data_UN_PopulationTot.&amp;%'!$B$4:$CZ$603,92,FALSE)</f>
        <v>3.7887430007232279</v>
      </c>
      <c r="DC159">
        <f>VLOOKUP($B159,'[1]Data_UN_PopulationTot.&amp;%'!$B$4:$CZ$603,93,FALSE)</f>
        <v>2.5529186331745213</v>
      </c>
      <c r="DD159">
        <f>VLOOKUP($B159,'[1]Data_UN_PopulationTot.&amp;%'!$B$4:$CZ$603,94,FALSE)</f>
        <v>2.3914972301131066</v>
      </c>
      <c r="DE159">
        <f>VLOOKUP($B159,'[1]Data_UN_PopulationTot.&amp;%'!$B$4:$CZ$603,95,FALSE)</f>
        <v>1.6522393957694916</v>
      </c>
      <c r="DF159">
        <f>VLOOKUP($B159,'[1]Data_UN_PopulationTot.&amp;%'!$B$4:$CZ$603,96,FALSE)</f>
        <v>1.186242273767717</v>
      </c>
      <c r="DG159">
        <f>VLOOKUP($B159,'[1]Data_UN_PopulationTot.&amp;%'!$B$4:$CZ$603,97,FALSE)</f>
        <v>0.6248089411799792</v>
      </c>
      <c r="DH159">
        <f>VLOOKUP($B159,'[1]Data_UN_PopulationTot.&amp;%'!$B$4:$CZ$603,98,FALSE)</f>
        <v>0.28891821564110021</v>
      </c>
      <c r="DI159">
        <f>VLOOKUP($B159,'[1]Data_UN_PopulationTot.&amp;%'!$B$4:$CZ$603,99,FALSE)</f>
        <v>0.10699293921160741</v>
      </c>
      <c r="DJ159">
        <f>VLOOKUP($B159,'[1]Data_UN_PopulationTot.&amp;%'!$B$4:$DE$603,100,FALSE)</f>
        <v>3.9143758248149058E-2</v>
      </c>
      <c r="DK159">
        <f>VLOOKUP($B159,'[1]Data_UN_PopulationTot.&amp;%'!$B$4:$DE$603,101,FALSE)</f>
        <v>5.5919654640212936E-3</v>
      </c>
      <c r="DL159">
        <f>VLOOKUP($B159,'[1]Data_UN_PopulationTot.&amp;%'!$B$4:$DE$603,102,FALSE)</f>
        <v>3.7279769760141957E-4</v>
      </c>
    </row>
    <row r="160" spans="1:116">
      <c r="A160" t="s">
        <v>175</v>
      </c>
      <c r="B160" t="s">
        <v>390</v>
      </c>
      <c r="C160" t="s">
        <v>497</v>
      </c>
      <c r="D160" t="s">
        <v>389</v>
      </c>
      <c r="E160" t="s">
        <v>301</v>
      </c>
      <c r="F160">
        <v>0</v>
      </c>
      <c r="G160">
        <v>0</v>
      </c>
      <c r="H160">
        <v>1</v>
      </c>
      <c r="I160">
        <v>0</v>
      </c>
      <c r="J160" s="18">
        <f t="shared" si="5"/>
        <v>7.0657731899999989</v>
      </c>
      <c r="K160">
        <f>VLOOKUP($B160,'[1]Source GDP Current USD'!$B$1:$CZ$600,64,FALSE)</f>
        <v>2884248048.4906802</v>
      </c>
      <c r="L160" s="45">
        <f>VLOOKUP($B160,'[1]Source GDP Current USD'!$B$1:$CZ$600,65,FALSE)</f>
        <v>2884248048.4906802</v>
      </c>
      <c r="M160" s="17">
        <f>VLOOKUP($B160,'[1]Source GDP Current LCU'!$B$1:$CZ$600,64,FALSE)</f>
        <v>38353000000</v>
      </c>
      <c r="N160" s="45">
        <v>38000000000</v>
      </c>
      <c r="O160" s="45">
        <f>VLOOKUP($B160,'[1]Source GNI Current USD'!$B$1:$CZ$600,64,FALSE)</f>
        <v>2418469024.0197301</v>
      </c>
      <c r="P160" s="45">
        <f>VLOOKUP($B160,'[1]Source GNI Current LCU'!$B$1:$CZ$600,64,FALSE)</f>
        <v>32159350000</v>
      </c>
      <c r="Q160">
        <f t="shared" si="4"/>
        <v>119.25925119755219</v>
      </c>
      <c r="R160">
        <v>4620</v>
      </c>
      <c r="S160">
        <v>4620</v>
      </c>
      <c r="T160">
        <v>0.293796</v>
      </c>
      <c r="U160">
        <v>587000</v>
      </c>
      <c r="V160">
        <v>18.422999999999998</v>
      </c>
      <c r="W160">
        <f>VLOOKUP($B160,'[1]Source Gov. Revenue WEO'!$B$1:$CZ$600,5,FALSE)</f>
        <v>22.611999999999998</v>
      </c>
      <c r="X160">
        <f>VLOOKUP($B160,'[1]Source Gov. Revenue WEO'!$B$1:$CZ$600,6,FALSE)</f>
        <v>24.337</v>
      </c>
      <c r="Y160">
        <f>VLOOKUP($B160,'[1]Source Gov. Revenue WEO'!$B$1:$CZ$600,7,FALSE)</f>
        <v>24.760999999999999</v>
      </c>
      <c r="Z160">
        <f>VLOOKUP($B160,'[1]Source Gov. Revenue WEO'!$B$1:$CZ$600,8,FALSE)</f>
        <v>24.024999999999999</v>
      </c>
      <c r="AA160">
        <f>VLOOKUP($B160,'[1]Source Gov. Revenue WEO'!$B$1:$CZ$600,9,FALSE)</f>
        <v>23.113</v>
      </c>
      <c r="AB160">
        <f>VLOOKUP($B160,'[1]Source Gov. Revenue WEO'!$B$1:$CZ$600,10,FALSE)</f>
        <v>22.399000000000001</v>
      </c>
      <c r="AC160">
        <f>VLOOKUP($B160,[2]Summary!$B$1:$CZ$600,39,FALSE)</f>
        <v>0.19367119999999999</v>
      </c>
      <c r="AD160">
        <f>VLOOKUP($B160,[2]Summary!$B$1:$CZ$600,40,FALSE)</f>
        <v>0.21775</v>
      </c>
      <c r="AE160">
        <f>VLOOKUP($B160,[2]Summary!$B$1:$CZ$600,47,FALSE)</f>
        <v>0.27417954618076845</v>
      </c>
      <c r="AF160">
        <f>VLOOKUP($B160,'[1]CALC GDP Growth rates WDI'!$B$1:$CZ$600,27,FALSE)</f>
        <v>-6.6430814874574518</v>
      </c>
      <c r="AG160">
        <f>VLOOKUP($B160,'[1]CALC GDP Growth rates WDI'!$B$1:$CZ$600,29,FALSE)</f>
        <v>14.671327533743138</v>
      </c>
      <c r="AH160">
        <v>-13.83</v>
      </c>
      <c r="AI160">
        <f>VLOOKUP($B160,'[1]CALC GDP Growth rates WDI'!$B$1:$CZ$600,30,FALSE)</f>
        <v>-2.7957614476782355</v>
      </c>
      <c r="AJ160" s="45"/>
      <c r="AM160">
        <f>VLOOKUP($B160,[1]Data_Aspire!$B$1:$CZ$600,4,FALSE)</f>
        <v>0</v>
      </c>
      <c r="AN160">
        <f>VLOOKUP($B160,[1]Data_Aspire!$B$1:$CZ$600,5,FALSE)</f>
        <v>0</v>
      </c>
      <c r="AO160">
        <f>VLOOKUP($B160,[1]Data_Aspire!$B$1:$CZ$600,6,FALSE)</f>
        <v>0</v>
      </c>
      <c r="AP160">
        <f>VLOOKUP($B160,[1]Data_Aspire!$B$1:$CZ$600,7,FALSE)</f>
        <v>0</v>
      </c>
      <c r="AZ160">
        <f>VLOOKUP($B160,[1]Data_Aspire!$B$1:$CZ$600,17,FALSE)</f>
        <v>44739</v>
      </c>
      <c r="BA160">
        <f>VLOOKUP($B160,[1]Data_Aspire!$B$1:$CZ$600,18,FALSE)</f>
        <v>2015</v>
      </c>
      <c r="BJ160" s="7">
        <v>0</v>
      </c>
      <c r="BK160">
        <v>740</v>
      </c>
      <c r="BL160">
        <f>VLOOKUP($B160,'[1]Data_UN_PopulationTot.&amp;%'!$B$4:$CZ$603,8,FALSE)</f>
        <v>586.63400000000001</v>
      </c>
      <c r="BM160">
        <f>VLOOKUP($B160,'[1]Data_UN_PopulationTot.&amp;%'!$B$4:$CZ$603,9,FALSE)</f>
        <v>591.798</v>
      </c>
      <c r="BN160">
        <v>596.83799999999997</v>
      </c>
      <c r="BO160">
        <f>VLOOKUP($B160,'[1]Data_UN_PopulationTot.&amp;%'!$B$4:$CZ$603,11,FALSE)</f>
        <v>601.75</v>
      </c>
      <c r="BP160">
        <f>VLOOKUP($B160,'[1]Data_UN_PopulationTot.&amp;%'!$B$4:$CZ$603,12,FALSE)</f>
        <v>606.53300000000002</v>
      </c>
      <c r="BQ160">
        <f>VLOOKUP($B160,'[1]Data_UN_PopulationTot.&amp;%'!$B$4:$CZ$603,13,FALSE)</f>
        <v>611.19000000000005</v>
      </c>
      <c r="BR160">
        <f>VLOOKUP($B160,'[1]Data_UN_PopulationTot.&amp;%'!$B$4:$CZ$603,14,FALSE)</f>
        <v>615.70299999999997</v>
      </c>
      <c r="BS160">
        <f>VLOOKUP($B160,'[1]Data_UN_PopulationTot.&amp;%'!$B$4:$CZ$603,15,FALSE)</f>
        <v>620.09199999999998</v>
      </c>
      <c r="BT160">
        <f>VLOOKUP($B160,'[1]Data_UN_PopulationTot.&amp;%'!$B$4:$CZ$603,16,FALSE)</f>
        <v>624.34</v>
      </c>
      <c r="BU160">
        <f>VLOOKUP($B160,'[1]Data_UN_PopulationTot.&amp;%'!$B$4:$CZ$603,17,FALSE)</f>
        <v>628.44000000000005</v>
      </c>
      <c r="BV160">
        <f>VLOOKUP($B160,'[1]Data_UN_PopulationTot.&amp;%'!$B$4:$CZ$603,18,FALSE)</f>
        <v>632.399</v>
      </c>
      <c r="BW160">
        <f>VLOOKUP($B160,'[1]Data_UN_PopulationTot.&amp;%'!$B$4:$CZ$603,61,FALSE)</f>
        <v>8.8958362454273026</v>
      </c>
      <c r="BX160">
        <f>VLOOKUP($B160,'[1]Data_UN_PopulationTot.&amp;%'!$B$4:$CZ$603,62,FALSE)</f>
        <v>8.9740792385030534</v>
      </c>
      <c r="BY160">
        <f>VLOOKUP($B160,'[1]Data_UN_PopulationTot.&amp;%'!$B$4:$CZ$603,63,FALSE)</f>
        <v>8.7949215354036756</v>
      </c>
      <c r="BZ160">
        <f>VLOOKUP($B160,'[1]Data_UN_PopulationTot.&amp;%'!$B$4:$CZ$603,64,FALSE)</f>
        <v>8.6317874518012925</v>
      </c>
      <c r="CA160">
        <f>VLOOKUP($B160,'[1]Data_UN_PopulationTot.&amp;%'!$B$4:$CZ$603,65,FALSE)</f>
        <v>8.3077353170801551</v>
      </c>
      <c r="CB160">
        <f>VLOOKUP($B160,'[1]Data_UN_PopulationTot.&amp;%'!$B$4:$CZ$603,66,FALSE)</f>
        <v>8.0179464538366343</v>
      </c>
      <c r="CC160">
        <f>VLOOKUP($B160,'[1]Data_UN_PopulationTot.&amp;%'!$B$4:$CZ$603,67,FALSE)</f>
        <v>7.3246692145358088</v>
      </c>
      <c r="CD160">
        <f>VLOOKUP($B160,'[1]Data_UN_PopulationTot.&amp;%'!$B$4:$CZ$603,68,FALSE)</f>
        <v>6.7873665692748801</v>
      </c>
      <c r="CE160">
        <f>VLOOKUP($B160,'[1]Data_UN_PopulationTot.&amp;%'!$B$4:$CZ$603,69,FALSE)</f>
        <v>6.0008455016245232</v>
      </c>
      <c r="CF160">
        <f>VLOOKUP($B160,'[1]Data_UN_PopulationTot.&amp;%'!$B$4:$CZ$603,70,FALSE)</f>
        <v>6.3959811398589235</v>
      </c>
      <c r="CG160">
        <f>VLOOKUP($B160,'[1]Data_UN_PopulationTot.&amp;%'!$B$4:$CZ$603,71,FALSE)</f>
        <v>5.601959654571675</v>
      </c>
      <c r="CH160">
        <f>VLOOKUP($B160,'[1]Data_UN_PopulationTot.&amp;%'!$B$4:$CZ$603,72,FALSE)</f>
        <v>5.448882949164215</v>
      </c>
      <c r="CI160">
        <f>VLOOKUP($B160,'[1]Data_UN_PopulationTot.&amp;%'!$B$4:$CZ$603,73,FALSE)</f>
        <v>3.6821936676019456</v>
      </c>
      <c r="CJ160">
        <f>VLOOKUP($B160,'[1]Data_UN_PopulationTot.&amp;%'!$B$4:$CZ$603,74,FALSE)</f>
        <v>2.6127022981961496</v>
      </c>
      <c r="CK160">
        <f>VLOOKUP($B160,'[1]Data_UN_PopulationTot.&amp;%'!$B$4:$CZ$603,75,FALSE)</f>
        <v>1.9335735739830966</v>
      </c>
      <c r="CL160">
        <f>VLOOKUP($B160,'[1]Data_UN_PopulationTot.&amp;%'!$B$4:$CZ$603,76,FALSE)</f>
        <v>1.2515469611376087</v>
      </c>
      <c r="CM160">
        <f>VLOOKUP($B160,'[1]Data_UN_PopulationTot.&amp;%'!$B$4:$CZ$603,77,FALSE)</f>
        <v>0.80305607925895883</v>
      </c>
      <c r="CN160">
        <f>VLOOKUP($B160,'[1]Data_UN_PopulationTot.&amp;%'!$B$4:$CZ$603,78,FALSE)</f>
        <v>0.37127067302611166</v>
      </c>
      <c r="CO160">
        <f>VLOOKUP($B160,'[1]Data_UN_PopulationTot.&amp;%'!$B$4:$CZ$603,79,FALSE)</f>
        <v>0.13142777268279709</v>
      </c>
      <c r="CP160">
        <f>VLOOKUP($B160,'[1]Data_UN_PopulationTot.&amp;%'!$B$4:$CZ$603,80,FALSE)</f>
        <v>2.8297030175543868E-2</v>
      </c>
      <c r="CQ160">
        <f>VLOOKUP($B160,'[1]Data_UN_PopulationTot.&amp;%'!$B$4:$CZ$603,81,FALSE)</f>
        <v>3.9206728556476439E-3</v>
      </c>
      <c r="CR160">
        <f>VLOOKUP($B160,'[1]Data_UN_PopulationTot.&amp;%'!$B$4:$CZ$603,82,FALSE)</f>
        <v>7.8972294390092328</v>
      </c>
      <c r="CS160">
        <f>VLOOKUP($B160,'[1]Data_UN_PopulationTot.&amp;%'!$B$4:$CZ$603,83,FALSE)</f>
        <v>8.0514042558574577</v>
      </c>
      <c r="CT160">
        <f>VLOOKUP($B160,'[1]Data_UN_PopulationTot.&amp;%'!$B$4:$CZ$603,84,FALSE)</f>
        <v>8.1790135658026024</v>
      </c>
      <c r="CU160">
        <f>VLOOKUP($B160,'[1]Data_UN_PopulationTot.&amp;%'!$B$4:$CZ$603,85,FALSE)</f>
        <v>8.1894500149430982</v>
      </c>
      <c r="CV160">
        <f>VLOOKUP($B160,'[1]Data_UN_PopulationTot.&amp;%'!$B$4:$CZ$603,86,FALSE)</f>
        <v>7.8716127002098357</v>
      </c>
      <c r="CW160">
        <f>VLOOKUP($B160,'[1]Data_UN_PopulationTot.&amp;%'!$B$4:$CZ$603,87,FALSE)</f>
        <v>7.6228773290280341</v>
      </c>
      <c r="CX160">
        <f>VLOOKUP($B160,'[1]Data_UN_PopulationTot.&amp;%'!$B$4:$CZ$603,88,FALSE)</f>
        <v>7.3229084802474391</v>
      </c>
      <c r="CY160">
        <f>VLOOKUP($B160,'[1]Data_UN_PopulationTot.&amp;%'!$B$4:$CZ$603,89,FALSE)</f>
        <v>7.0838189181197313</v>
      </c>
      <c r="CZ160">
        <f>VLOOKUP($B160,'[1]Data_UN_PopulationTot.&amp;%'!$B$4:$CZ$603,90,FALSE)</f>
        <v>6.4717053632279615</v>
      </c>
      <c r="DA160">
        <f>VLOOKUP($B160,'[1]Data_UN_PopulationTot.&amp;%'!$B$4:$CZ$603,91,FALSE)</f>
        <v>5.986884862246777</v>
      </c>
      <c r="DB160">
        <f>VLOOKUP($B160,'[1]Data_UN_PopulationTot.&amp;%'!$B$4:$CZ$603,92,FALSE)</f>
        <v>5.2463713573234614</v>
      </c>
      <c r="DC160">
        <f>VLOOKUP($B160,'[1]Data_UN_PopulationTot.&amp;%'!$B$4:$CZ$603,93,FALSE)</f>
        <v>5.4860934315202909</v>
      </c>
      <c r="DD160">
        <f>VLOOKUP($B160,'[1]Data_UN_PopulationTot.&amp;%'!$B$4:$CZ$603,94,FALSE)</f>
        <v>4.6176543606172693</v>
      </c>
      <c r="DE160">
        <f>VLOOKUP($B160,'[1]Data_UN_PopulationTot.&amp;%'!$B$4:$CZ$603,95,FALSE)</f>
        <v>4.2172742208637271</v>
      </c>
      <c r="DF160">
        <f>VLOOKUP($B160,'[1]Data_UN_PopulationTot.&amp;%'!$B$4:$CZ$603,96,FALSE)</f>
        <v>2.5790679618405465</v>
      </c>
      <c r="DG160">
        <f>VLOOKUP($B160,'[1]Data_UN_PopulationTot.&amp;%'!$B$4:$CZ$603,97,FALSE)</f>
        <v>1.5806476607331765</v>
      </c>
      <c r="DH160">
        <f>VLOOKUP($B160,'[1]Data_UN_PopulationTot.&amp;%'!$B$4:$CZ$603,98,FALSE)</f>
        <v>0.93437845410887732</v>
      </c>
      <c r="DI160">
        <f>VLOOKUP($B160,'[1]Data_UN_PopulationTot.&amp;%'!$B$4:$CZ$603,99,FALSE)</f>
        <v>0.43769835183167582</v>
      </c>
      <c r="DJ160">
        <f>VLOOKUP($B160,'[1]Data_UN_PopulationTot.&amp;%'!$B$4:$DE$603,100,FALSE)</f>
        <v>0.17504771512921433</v>
      </c>
      <c r="DK160">
        <f>VLOOKUP($B160,'[1]Data_UN_PopulationTot.&amp;%'!$B$4:$DE$603,101,FALSE)</f>
        <v>4.2062052596541111E-2</v>
      </c>
      <c r="DL160">
        <f>VLOOKUP($B160,'[1]Data_UN_PopulationTot.&amp;%'!$B$4:$DE$603,102,FALSE)</f>
        <v>6.7995047430498782E-3</v>
      </c>
    </row>
    <row r="161" spans="1:116">
      <c r="A161" t="s">
        <v>76</v>
      </c>
      <c r="B161" t="s">
        <v>444</v>
      </c>
      <c r="C161" t="s">
        <v>485</v>
      </c>
      <c r="D161" t="s">
        <v>622</v>
      </c>
      <c r="E161" t="s">
        <v>2269</v>
      </c>
      <c r="F161">
        <v>0</v>
      </c>
      <c r="G161">
        <v>0</v>
      </c>
      <c r="H161">
        <v>0</v>
      </c>
      <c r="I161">
        <v>1</v>
      </c>
      <c r="J161" s="18">
        <f t="shared" si="5"/>
        <v>38.327989061250001</v>
      </c>
      <c r="K161">
        <f>VLOOKUP($B161,'[1]Source GDP Current USD'!$B$1:$CZ$600,64,FALSE)</f>
        <v>105172564491.569</v>
      </c>
      <c r="L161" s="45">
        <f>VLOOKUP($B161,'[1]Source GDP Current USD'!$B$1:$CZ$600,65,FALSE)</f>
        <v>105172564491.569</v>
      </c>
      <c r="M161" s="17">
        <f>VLOOKUP($B161,'[1]Source GDP Current LCU'!$B$1:$CZ$600,64,FALSE)</f>
        <v>92079253000</v>
      </c>
      <c r="N161" s="45">
        <v>92000000000</v>
      </c>
      <c r="O161" s="45">
        <f>VLOOKUP($B161,'[1]Source GNI Current USD'!$B$1:$CZ$600,64,FALSE)</f>
        <v>103993121367.507</v>
      </c>
      <c r="P161" s="45">
        <f>VLOOKUP($B161,'[1]Source GNI Current LCU'!$B$1:$CZ$600,64,FALSE)</f>
        <v>91046643000</v>
      </c>
      <c r="Q161">
        <f t="shared" si="4"/>
        <v>101.13415494078129</v>
      </c>
      <c r="R161">
        <v>18920</v>
      </c>
      <c r="S161">
        <v>18920</v>
      </c>
      <c r="T161">
        <v>0.61443499999999995</v>
      </c>
      <c r="U161" s="45">
        <v>5500000</v>
      </c>
      <c r="V161">
        <v>41.625</v>
      </c>
      <c r="W161">
        <f>VLOOKUP($B161,'[1]Source Gov. Revenue WEO'!$B$1:$CZ$600,5,FALSE)</f>
        <v>42.392000000000003</v>
      </c>
      <c r="X161">
        <f>VLOOKUP($B161,'[1]Source Gov. Revenue WEO'!$B$1:$CZ$600,6,FALSE)</f>
        <v>41.933999999999997</v>
      </c>
      <c r="Y161">
        <f>VLOOKUP($B161,'[1]Source Gov. Revenue WEO'!$B$1:$CZ$600,7,FALSE)</f>
        <v>42.637999999999998</v>
      </c>
      <c r="Z161">
        <f>VLOOKUP($B161,'[1]Source Gov. Revenue WEO'!$B$1:$CZ$600,8,FALSE)</f>
        <v>40.892000000000003</v>
      </c>
      <c r="AA161">
        <f>VLOOKUP($B161,'[1]Source Gov. Revenue WEO'!$B$1:$CZ$600,9,FALSE)</f>
        <v>40.665999999999997</v>
      </c>
      <c r="AB161">
        <f>VLOOKUP($B161,'[1]Source Gov. Revenue WEO'!$B$1:$CZ$600,10,FALSE)</f>
        <v>40.311999999999998</v>
      </c>
      <c r="AC161" t="e">
        <f>VLOOKUP($B161,[2]Summary!$B$1:$CZ$600,39,FALSE)</f>
        <v>#N/A</v>
      </c>
      <c r="AD161" t="e">
        <f>VLOOKUP($B161,[2]Summary!$B$1:$CZ$600,40,FALSE)</f>
        <v>#N/A</v>
      </c>
      <c r="AE161" t="e">
        <f>VLOOKUP($B161,[2]Summary!$B$1:$CZ$600,47,FALSE)</f>
        <v>#N/A</v>
      </c>
      <c r="AF161">
        <f>VLOOKUP($B161,'[1]CALC GDP Growth rates WDI'!$B$1:$CZ$600,27,FALSE)</f>
        <v>21.005460151884591</v>
      </c>
      <c r="AG161">
        <f>VLOOKUP($B161,'[1]CALC GDP Growth rates WDI'!$B$1:$CZ$600,29,FALSE)</f>
        <v>30.978188487155656</v>
      </c>
      <c r="AH161">
        <v>6.92</v>
      </c>
      <c r="AI161">
        <f>VLOOKUP($B161,'[1]CALC GDP Growth rates WDI'!$B$1:$CZ$600,30,FALSE)</f>
        <v>14.556744634784181</v>
      </c>
      <c r="AJ161" s="45"/>
      <c r="AK161">
        <f>VLOOKUP($B161,[1]Data_Aspire!$B$1:$CZ$600,2,FALSE)</f>
        <v>2017</v>
      </c>
      <c r="AL161">
        <f>VLOOKUP($B161,[1]Data_Aspire!$B$1:$CZ$600,3,FALSE)</f>
        <v>1.48</v>
      </c>
      <c r="AM161">
        <f>VLOOKUP($B161,[1]Data_Aspire!$B$1:$CZ$600,4,FALSE)</f>
        <v>0</v>
      </c>
      <c r="AN161">
        <f>VLOOKUP($B161,[1]Data_Aspire!$B$1:$CZ$600,5,FALSE)</f>
        <v>1.1399999999999999</v>
      </c>
      <c r="AO161">
        <f>VLOOKUP($B161,[1]Data_Aspire!$B$1:$CZ$600,6,FALSE)</f>
        <v>0.3</v>
      </c>
      <c r="AP161">
        <f>VLOOKUP($B161,[1]Data_Aspire!$B$1:$CZ$600,7,FALSE)</f>
        <v>0</v>
      </c>
      <c r="AQ161">
        <f>VLOOKUP($B161,[1]Data_Aspire!$B$1:$CZ$600,8,FALSE)</f>
        <v>0.02</v>
      </c>
      <c r="AR161">
        <f>VLOOKUP($B161,[1]Data_Aspire!$B$1:$CZ$600,9,FALSE)</f>
        <v>0.01</v>
      </c>
      <c r="AU161">
        <f>VLOOKUP($B161,[1]Data_Aspire!$B$1:$CZ$600,12,FALSE)</f>
        <v>1.48</v>
      </c>
      <c r="AX161">
        <f>VLOOKUP($B161,[1]Data_Aspire!$B$1:$CZ$600,15,FALSE)</f>
        <v>162904</v>
      </c>
      <c r="AY161">
        <f>VLOOKUP($B161,[1]Data_Aspire!$B$1:$CZ$600,16,FALSE)</f>
        <v>2014</v>
      </c>
      <c r="BJ161" s="7">
        <v>0</v>
      </c>
      <c r="BK161">
        <v>703</v>
      </c>
      <c r="BL161">
        <f>VLOOKUP($B161,'[1]Data_UN_PopulationTot.&amp;%'!$B$4:$CZ$603,8,FALSE)</f>
        <v>5459.64</v>
      </c>
      <c r="BM161">
        <f>VLOOKUP($B161,'[1]Data_UN_PopulationTot.&amp;%'!$B$4:$CZ$603,9,FALSE)</f>
        <v>5460.73</v>
      </c>
      <c r="BN161">
        <v>5460.19</v>
      </c>
      <c r="BO161">
        <f>VLOOKUP($B161,'[1]Data_UN_PopulationTot.&amp;%'!$B$4:$CZ$603,11,FALSE)</f>
        <v>5458.1</v>
      </c>
      <c r="BP161">
        <f>VLOOKUP($B161,'[1]Data_UN_PopulationTot.&amp;%'!$B$4:$CZ$603,12,FALSE)</f>
        <v>5454.54</v>
      </c>
      <c r="BQ161">
        <f>VLOOKUP($B161,'[1]Data_UN_PopulationTot.&amp;%'!$B$4:$CZ$603,13,FALSE)</f>
        <v>5449.6</v>
      </c>
      <c r="BR161">
        <f>VLOOKUP($B161,'[1]Data_UN_PopulationTot.&amp;%'!$B$4:$CZ$603,14,FALSE)</f>
        <v>5443.29</v>
      </c>
      <c r="BS161">
        <f>VLOOKUP($B161,'[1]Data_UN_PopulationTot.&amp;%'!$B$4:$CZ$603,15,FALSE)</f>
        <v>5435.54</v>
      </c>
      <c r="BT161">
        <f>VLOOKUP($B161,'[1]Data_UN_PopulationTot.&amp;%'!$B$4:$CZ$603,16,FALSE)</f>
        <v>5426.33</v>
      </c>
      <c r="BU161">
        <f>VLOOKUP($B161,'[1]Data_UN_PopulationTot.&amp;%'!$B$4:$CZ$603,17,FALSE)</f>
        <v>5415.62</v>
      </c>
      <c r="BV161">
        <f>VLOOKUP($B161,'[1]Data_UN_PopulationTot.&amp;%'!$B$4:$CZ$603,18,FALSE)</f>
        <v>5403.41</v>
      </c>
      <c r="BW161">
        <f>VLOOKUP($B161,'[1]Data_UN_PopulationTot.&amp;%'!$B$4:$CZ$603,61,FALSE)</f>
        <v>5.1961484640012889</v>
      </c>
      <c r="BX161">
        <f>VLOOKUP($B161,'[1]Data_UN_PopulationTot.&amp;%'!$B$4:$CZ$603,62,FALSE)</f>
        <v>5.1816603292524777</v>
      </c>
      <c r="BY161">
        <f>VLOOKUP($B161,'[1]Data_UN_PopulationTot.&amp;%'!$B$4:$CZ$603,63,FALSE)</f>
        <v>5.175744188261497</v>
      </c>
      <c r="BZ161">
        <f>VLOOKUP($B161,'[1]Data_UN_PopulationTot.&amp;%'!$B$4:$CZ$603,64,FALSE)</f>
        <v>4.8156655017546939</v>
      </c>
      <c r="CA161">
        <f>VLOOKUP($B161,'[1]Data_UN_PopulationTot.&amp;%'!$B$4:$CZ$603,65,FALSE)</f>
        <v>5.3246184730128725</v>
      </c>
      <c r="CB161">
        <f>VLOOKUP($B161,'[1]Data_UN_PopulationTot.&amp;%'!$B$4:$CZ$603,66,FALSE)</f>
        <v>6.6868877801466757</v>
      </c>
      <c r="CC161">
        <f>VLOOKUP($B161,'[1]Data_UN_PopulationTot.&amp;%'!$B$4:$CZ$603,67,FALSE)</f>
        <v>7.5187008667238135</v>
      </c>
      <c r="CD161">
        <f>VLOOKUP($B161,'[1]Data_UN_PopulationTot.&amp;%'!$B$4:$CZ$603,68,FALSE)</f>
        <v>8.006187221135459</v>
      </c>
      <c r="CE161">
        <f>VLOOKUP($B161,'[1]Data_UN_PopulationTot.&amp;%'!$B$4:$CZ$603,69,FALSE)</f>
        <v>8.3853147826596608</v>
      </c>
      <c r="CF161">
        <f>VLOOKUP($B161,'[1]Data_UN_PopulationTot.&amp;%'!$B$4:$CZ$603,70,FALSE)</f>
        <v>7.3922822750217954</v>
      </c>
      <c r="CG161">
        <f>VLOOKUP($B161,'[1]Data_UN_PopulationTot.&amp;%'!$B$4:$CZ$603,71,FALSE)</f>
        <v>6.3529646643368425</v>
      </c>
      <c r="CH161">
        <f>VLOOKUP($B161,'[1]Data_UN_PopulationTot.&amp;%'!$B$4:$CZ$603,72,FALSE)</f>
        <v>6.6372141752936082</v>
      </c>
      <c r="CI161">
        <f>VLOOKUP($B161,'[1]Data_UN_PopulationTot.&amp;%'!$B$4:$CZ$603,73,FALSE)</f>
        <v>6.6275065755251257</v>
      </c>
      <c r="CJ161">
        <f>VLOOKUP($B161,'[1]Data_UN_PopulationTot.&amp;%'!$B$4:$CZ$603,74,FALSE)</f>
        <v>6.1061352030536806</v>
      </c>
      <c r="CK161">
        <f>VLOOKUP($B161,'[1]Data_UN_PopulationTot.&amp;%'!$B$4:$CZ$603,75,FALSE)</f>
        <v>4.3376669523997915</v>
      </c>
      <c r="CL161">
        <f>VLOOKUP($B161,'[1]Data_UN_PopulationTot.&amp;%'!$B$4:$CZ$603,76,FALSE)</f>
        <v>2.9652138236220695</v>
      </c>
      <c r="CM161">
        <f>VLOOKUP($B161,'[1]Data_UN_PopulationTot.&amp;%'!$B$4:$CZ$603,77,FALSE)</f>
        <v>1.8398465832912059</v>
      </c>
      <c r="CN161">
        <f>VLOOKUP($B161,'[1]Data_UN_PopulationTot.&amp;%'!$B$4:$CZ$603,78,FALSE)</f>
        <v>1.0377057827988658</v>
      </c>
      <c r="CO161">
        <f>VLOOKUP($B161,'[1]Data_UN_PopulationTot.&amp;%'!$B$4:$CZ$603,79,FALSE)</f>
        <v>0.34628656834516558</v>
      </c>
      <c r="CP161">
        <f>VLOOKUP($B161,'[1]Data_UN_PopulationTot.&amp;%'!$B$4:$CZ$603,80,FALSE)</f>
        <v>6.3300876980899839E-2</v>
      </c>
      <c r="CQ161">
        <f>VLOOKUP($B161,'[1]Data_UN_PopulationTot.&amp;%'!$B$4:$CZ$603,81,FALSE)</f>
        <v>3.003861060436219E-3</v>
      </c>
      <c r="CR161">
        <f>VLOOKUP($B161,'[1]Data_UN_PopulationTot.&amp;%'!$B$4:$CZ$603,82,FALSE)</f>
        <v>4.569725414136629</v>
      </c>
      <c r="CS161">
        <f>VLOOKUP($B161,'[1]Data_UN_PopulationTot.&amp;%'!$B$4:$CZ$603,83,FALSE)</f>
        <v>4.9349947533131866</v>
      </c>
      <c r="CT161">
        <f>VLOOKUP($B161,'[1]Data_UN_PopulationTot.&amp;%'!$B$4:$CZ$603,84,FALSE)</f>
        <v>5.250184605647175</v>
      </c>
      <c r="CU161">
        <f>VLOOKUP($B161,'[1]Data_UN_PopulationTot.&amp;%'!$B$4:$CZ$603,85,FALSE)</f>
        <v>5.2363414954630496</v>
      </c>
      <c r="CV161">
        <f>VLOOKUP($B161,'[1]Data_UN_PopulationTot.&amp;%'!$B$4:$CZ$603,86,FALSE)</f>
        <v>5.235212578723436</v>
      </c>
      <c r="CW161">
        <f>VLOOKUP($B161,'[1]Data_UN_PopulationTot.&amp;%'!$B$4:$CZ$603,87,FALSE)</f>
        <v>4.8768647946389407</v>
      </c>
      <c r="CX161">
        <f>VLOOKUP($B161,'[1]Data_UN_PopulationTot.&amp;%'!$B$4:$CZ$603,88,FALSE)</f>
        <v>5.3845071908294946</v>
      </c>
      <c r="CY161">
        <f>VLOOKUP($B161,'[1]Data_UN_PopulationTot.&amp;%'!$B$4:$CZ$603,89,FALSE)</f>
        <v>6.7360055964659358</v>
      </c>
      <c r="CZ161">
        <f>VLOOKUP($B161,'[1]Data_UN_PopulationTot.&amp;%'!$B$4:$CZ$603,90,FALSE)</f>
        <v>7.5369627698064736</v>
      </c>
      <c r="DA161">
        <f>VLOOKUP($B161,'[1]Data_UN_PopulationTot.&amp;%'!$B$4:$CZ$603,91,FALSE)</f>
        <v>7.9639894066894801</v>
      </c>
      <c r="DB161">
        <f>VLOOKUP($B161,'[1]Data_UN_PopulationTot.&amp;%'!$B$4:$CZ$603,92,FALSE)</f>
        <v>8.2326345770541192</v>
      </c>
      <c r="DC161">
        <f>VLOOKUP($B161,'[1]Data_UN_PopulationTot.&amp;%'!$B$4:$CZ$603,93,FALSE)</f>
        <v>7.1131193079925454</v>
      </c>
      <c r="DD161">
        <f>VLOOKUP($B161,'[1]Data_UN_PopulationTot.&amp;%'!$B$4:$CZ$603,94,FALSE)</f>
        <v>5.9356221349111022</v>
      </c>
      <c r="DE161">
        <f>VLOOKUP($B161,'[1]Data_UN_PopulationTot.&amp;%'!$B$4:$CZ$603,95,FALSE)</f>
        <v>5.9491506289546789</v>
      </c>
      <c r="DF161">
        <f>VLOOKUP($B161,'[1]Data_UN_PopulationTot.&amp;%'!$B$4:$CZ$603,96,FALSE)</f>
        <v>5.6154354379919349</v>
      </c>
      <c r="DG161">
        <f>VLOOKUP($B161,'[1]Data_UN_PopulationTot.&amp;%'!$B$4:$CZ$603,97,FALSE)</f>
        <v>4.7187054101021388</v>
      </c>
      <c r="DH161">
        <f>VLOOKUP($B161,'[1]Data_UN_PopulationTot.&amp;%'!$B$4:$CZ$603,98,FALSE)</f>
        <v>2.8019158272276212</v>
      </c>
      <c r="DI161">
        <f>VLOOKUP($B161,'[1]Data_UN_PopulationTot.&amp;%'!$B$4:$CZ$603,99,FALSE)</f>
        <v>1.3573465644842795</v>
      </c>
      <c r="DJ161">
        <f>VLOOKUP($B161,'[1]Data_UN_PopulationTot.&amp;%'!$B$4:$DE$603,100,FALSE)</f>
        <v>0.45238099644483765</v>
      </c>
      <c r="DK161">
        <f>VLOOKUP($B161,'[1]Data_UN_PopulationTot.&amp;%'!$B$4:$DE$603,101,FALSE)</f>
        <v>9.1072119272829571E-2</v>
      </c>
      <c r="DL161">
        <f>VLOOKUP($B161,'[1]Data_UN_PopulationTot.&amp;%'!$B$4:$DE$603,102,FALSE)</f>
        <v>7.7543625229253383E-3</v>
      </c>
    </row>
    <row r="162" spans="1:116">
      <c r="A162" t="s">
        <v>60</v>
      </c>
      <c r="B162" t="s">
        <v>447</v>
      </c>
      <c r="C162" t="s">
        <v>485</v>
      </c>
      <c r="D162" t="s">
        <v>622</v>
      </c>
      <c r="E162" t="s">
        <v>2269</v>
      </c>
      <c r="F162">
        <v>0</v>
      </c>
      <c r="G162">
        <v>0</v>
      </c>
      <c r="H162">
        <v>0</v>
      </c>
      <c r="I162">
        <v>1</v>
      </c>
      <c r="J162" s="18">
        <f t="shared" si="5"/>
        <v>20.173821419079999</v>
      </c>
      <c r="K162">
        <f>VLOOKUP($B162,'[1]Source GDP Current USD'!$B$1:$CZ$600,64,FALSE)</f>
        <v>53589609580.7099</v>
      </c>
      <c r="L162" s="45">
        <f>VLOOKUP($B162,'[1]Source GDP Current USD'!$B$1:$CZ$600,65,FALSE)</f>
        <v>53589609580.7099</v>
      </c>
      <c r="M162" s="17">
        <f>VLOOKUP($B162,'[1]Source GDP Current LCU'!$B$1:$CZ$600,64,FALSE)</f>
        <v>46918046000</v>
      </c>
      <c r="N162" s="45">
        <v>47000000000</v>
      </c>
      <c r="O162" s="45">
        <f>VLOOKUP($B162,'[1]Source GNI Current USD'!$B$1:$CZ$600,64,FALSE)</f>
        <v>53183791871.984596</v>
      </c>
      <c r="P162" s="45">
        <f>VLOOKUP($B162,'[1]Source GNI Current LCU'!$B$1:$CZ$600,64,FALSE)</f>
        <v>46562750000</v>
      </c>
      <c r="Q162">
        <f t="shared" si="4"/>
        <v>100.76304771518005</v>
      </c>
      <c r="R162">
        <v>25360</v>
      </c>
      <c r="S162">
        <v>25360</v>
      </c>
      <c r="T162">
        <v>0.64164500000000002</v>
      </c>
      <c r="U162" s="45">
        <v>2100000</v>
      </c>
      <c r="V162">
        <v>42.997999999999998</v>
      </c>
      <c r="W162">
        <f>VLOOKUP($B162,'[1]Source Gov. Revenue WEO'!$B$1:$CZ$600,5,FALSE)</f>
        <v>42.628</v>
      </c>
      <c r="X162">
        <f>VLOOKUP($B162,'[1]Source Gov. Revenue WEO'!$B$1:$CZ$600,6,FALSE)</f>
        <v>42.487000000000002</v>
      </c>
      <c r="Y162">
        <f>VLOOKUP($B162,'[1]Source Gov. Revenue WEO'!$B$1:$CZ$600,7,FALSE)</f>
        <v>42.220999999999997</v>
      </c>
      <c r="Z162">
        <f>VLOOKUP($B162,'[1]Source Gov. Revenue WEO'!$B$1:$CZ$600,8,FALSE)</f>
        <v>41.954000000000001</v>
      </c>
      <c r="AA162">
        <f>VLOOKUP($B162,'[1]Source Gov. Revenue WEO'!$B$1:$CZ$600,9,FALSE)</f>
        <v>42.125</v>
      </c>
      <c r="AB162">
        <f>VLOOKUP($B162,'[1]Source Gov. Revenue WEO'!$B$1:$CZ$600,10,FALSE)</f>
        <v>42.241999999999997</v>
      </c>
      <c r="AC162" t="e">
        <f>VLOOKUP($B162,[2]Summary!$B$1:$CZ$600,39,FALSE)</f>
        <v>#N/A</v>
      </c>
      <c r="AD162" t="e">
        <f>VLOOKUP($B162,[2]Summary!$B$1:$CZ$600,40,FALSE)</f>
        <v>#N/A</v>
      </c>
      <c r="AE162" t="e">
        <f>VLOOKUP($B162,[2]Summary!$B$1:$CZ$600,47,FALSE)</f>
        <v>#N/A</v>
      </c>
      <c r="AF162">
        <f>VLOOKUP($B162,'[1]CALC GDP Growth rates WDI'!$B$1:$CZ$600,27,FALSE)</f>
        <v>14.013561267646491</v>
      </c>
      <c r="AG162">
        <f>VLOOKUP($B162,'[1]CALC GDP Growth rates WDI'!$B$1:$CZ$600,29,FALSE)</f>
        <v>16.794660229237323</v>
      </c>
      <c r="AH162">
        <v>11.67</v>
      </c>
      <c r="AI162">
        <f>VLOOKUP($B162,'[1]CALC GDP Growth rates WDI'!$B$1:$CZ$600,30,FALSE)</f>
        <v>15.38596345502965</v>
      </c>
      <c r="AK162">
        <f>VLOOKUP($B162,[1]Data_Aspire!$B$1:$CZ$600,2,FALSE)</f>
        <v>2016</v>
      </c>
      <c r="AL162">
        <f>VLOOKUP($B162,[1]Data_Aspire!$B$1:$CZ$600,3,FALSE)</f>
        <v>0.18</v>
      </c>
      <c r="AM162">
        <f>VLOOKUP($B162,[1]Data_Aspire!$B$1:$CZ$600,4,FALSE)</f>
        <v>0</v>
      </c>
      <c r="AN162">
        <f>VLOOKUP($B162,[1]Data_Aspire!$B$1:$CZ$600,5,FALSE)</f>
        <v>0</v>
      </c>
      <c r="AO162">
        <f>VLOOKUP($B162,[1]Data_Aspire!$B$1:$CZ$600,6,FALSE)</f>
        <v>0.1</v>
      </c>
      <c r="AP162">
        <f>VLOOKUP($B162,[1]Data_Aspire!$B$1:$CZ$600,7,FALSE)</f>
        <v>0</v>
      </c>
      <c r="AQ162">
        <f>VLOOKUP($B162,[1]Data_Aspire!$B$1:$CZ$600,8,FALSE)</f>
        <v>0.09</v>
      </c>
      <c r="AU162">
        <f>VLOOKUP($B162,[1]Data_Aspire!$B$1:$CZ$600,12,FALSE)</f>
        <v>0.18</v>
      </c>
      <c r="AX162">
        <f>VLOOKUP($B162,[1]Data_Aspire!$B$1:$CZ$600,15,FALSE)</f>
        <v>371000</v>
      </c>
      <c r="AY162">
        <f>VLOOKUP($B162,[1]Data_Aspire!$B$1:$CZ$600,16,FALSE)</f>
        <v>2007</v>
      </c>
      <c r="BH162">
        <f>VLOOKUP($B162,[1]Data_Aspire!$B$1:$CZ$600,25,FALSE)</f>
        <v>4500</v>
      </c>
      <c r="BI162">
        <f>VLOOKUP($B162,[1]Data_Aspire!$B$1:$CZ$600,26,FALSE)</f>
        <v>2007</v>
      </c>
      <c r="BJ162" s="7">
        <v>0</v>
      </c>
      <c r="BK162">
        <v>705</v>
      </c>
      <c r="BL162">
        <f>VLOOKUP($B162,'[1]Data_UN_PopulationTot.&amp;%'!$B$4:$CZ$603,8,FALSE)</f>
        <v>2078.9299999999998</v>
      </c>
      <c r="BM162">
        <f>VLOOKUP($B162,'[1]Data_UN_PopulationTot.&amp;%'!$B$4:$CZ$603,9,FALSE)</f>
        <v>2078.7199999999998</v>
      </c>
      <c r="BN162">
        <v>2078.0300000000002</v>
      </c>
      <c r="BO162">
        <f>VLOOKUP($B162,'[1]Data_UN_PopulationTot.&amp;%'!$B$4:$CZ$603,11,FALSE)</f>
        <v>2076.87</v>
      </c>
      <c r="BP162">
        <f>VLOOKUP($B162,'[1]Data_UN_PopulationTot.&amp;%'!$B$4:$CZ$603,12,FALSE)</f>
        <v>2075.2199999999998</v>
      </c>
      <c r="BQ162">
        <f>VLOOKUP($B162,'[1]Data_UN_PopulationTot.&amp;%'!$B$4:$CZ$603,13,FALSE)</f>
        <v>2073.0700000000002</v>
      </c>
      <c r="BR162">
        <f>VLOOKUP($B162,'[1]Data_UN_PopulationTot.&amp;%'!$B$4:$CZ$603,14,FALSE)</f>
        <v>2070.44</v>
      </c>
      <c r="BS162">
        <f>VLOOKUP($B162,'[1]Data_UN_PopulationTot.&amp;%'!$B$4:$CZ$603,15,FALSE)</f>
        <v>2067.4</v>
      </c>
      <c r="BT162">
        <f>VLOOKUP($B162,'[1]Data_UN_PopulationTot.&amp;%'!$B$4:$CZ$603,16,FALSE)</f>
        <v>2063.9699999999998</v>
      </c>
      <c r="BU162">
        <f>VLOOKUP($B162,'[1]Data_UN_PopulationTot.&amp;%'!$B$4:$CZ$603,17,FALSE)</f>
        <v>2060.2199999999998</v>
      </c>
      <c r="BV162">
        <f>VLOOKUP($B162,'[1]Data_UN_PopulationTot.&amp;%'!$B$4:$CZ$603,18,FALSE)</f>
        <v>2056.1999999999998</v>
      </c>
      <c r="BW162">
        <f>VLOOKUP($B162,'[1]Data_UN_PopulationTot.&amp;%'!$B$4:$CZ$603,61,FALSE)</f>
        <v>4.8713520897769538</v>
      </c>
      <c r="BX162">
        <f>VLOOKUP($B162,'[1]Data_UN_PopulationTot.&amp;%'!$B$4:$CZ$603,62,FALSE)</f>
        <v>5.2382235092090648</v>
      </c>
      <c r="BY162">
        <f>VLOOKUP($B162,'[1]Data_UN_PopulationTot.&amp;%'!$B$4:$CZ$603,63,FALSE)</f>
        <v>5.0269128830696559</v>
      </c>
      <c r="BZ162">
        <f>VLOOKUP($B162,'[1]Data_UN_PopulationTot.&amp;%'!$B$4:$CZ$603,64,FALSE)</f>
        <v>4.419100210204288</v>
      </c>
      <c r="CA162">
        <f>VLOOKUP($B162,'[1]Data_UN_PopulationTot.&amp;%'!$B$4:$CZ$603,65,FALSE)</f>
        <v>4.6329602247309918</v>
      </c>
      <c r="CB162">
        <f>VLOOKUP($B162,'[1]Data_UN_PopulationTot.&amp;%'!$B$4:$CZ$603,66,FALSE)</f>
        <v>5.2516438744931291</v>
      </c>
      <c r="CC162">
        <f>VLOOKUP($B162,'[1]Data_UN_PopulationTot.&amp;%'!$B$4:$CZ$603,67,FALSE)</f>
        <v>6.4390335412928765</v>
      </c>
      <c r="CD162">
        <f>VLOOKUP($B162,'[1]Data_UN_PopulationTot.&amp;%'!$B$4:$CZ$603,68,FALSE)</f>
        <v>7.2049563958382441</v>
      </c>
      <c r="CE162">
        <f>VLOOKUP($B162,'[1]Data_UN_PopulationTot.&amp;%'!$B$4:$CZ$603,69,FALSE)</f>
        <v>7.6180054162477822</v>
      </c>
      <c r="CF162">
        <f>VLOOKUP($B162,'[1]Data_UN_PopulationTot.&amp;%'!$B$4:$CZ$603,70,FALSE)</f>
        <v>7.0686843712871541</v>
      </c>
      <c r="CG162">
        <f>VLOOKUP($B162,'[1]Data_UN_PopulationTot.&amp;%'!$B$4:$CZ$603,71,FALSE)</f>
        <v>7.2783595407252779</v>
      </c>
      <c r="CH162">
        <f>VLOOKUP($B162,'[1]Data_UN_PopulationTot.&amp;%'!$B$4:$CZ$603,72,FALSE)</f>
        <v>7.2099589692774648</v>
      </c>
      <c r="CI162">
        <f>VLOOKUP($B162,'[1]Data_UN_PopulationTot.&amp;%'!$B$4:$CZ$603,73,FALSE)</f>
        <v>7.0032661032357986</v>
      </c>
      <c r="CJ162">
        <f>VLOOKUP($B162,'[1]Data_UN_PopulationTot.&amp;%'!$B$4:$CZ$603,74,FALSE)</f>
        <v>6.7028711885441083</v>
      </c>
      <c r="CK162">
        <f>VLOOKUP($B162,'[1]Data_UN_PopulationTot.&amp;%'!$B$4:$CZ$603,75,FALSE)</f>
        <v>4.6902974126112955</v>
      </c>
      <c r="CL162">
        <f>VLOOKUP($B162,'[1]Data_UN_PopulationTot.&amp;%'!$B$4:$CZ$603,76,FALSE)</f>
        <v>3.8475080931055881</v>
      </c>
      <c r="CM162">
        <f>VLOOKUP($B162,'[1]Data_UN_PopulationTot.&amp;%'!$B$4:$CZ$603,77,FALSE)</f>
        <v>2.855699807112313</v>
      </c>
      <c r="CN162">
        <f>VLOOKUP($B162,'[1]Data_UN_PopulationTot.&amp;%'!$B$4:$CZ$603,78,FALSE)</f>
        <v>1.7931339679546692</v>
      </c>
      <c r="CO162">
        <f>VLOOKUP($B162,'[1]Data_UN_PopulationTot.&amp;%'!$B$4:$CZ$603,79,FALSE)</f>
        <v>0.69391465802119368</v>
      </c>
      <c r="CP162">
        <f>VLOOKUP($B162,'[1]Data_UN_PopulationTot.&amp;%'!$B$4:$CZ$603,80,FALSE)</f>
        <v>0.14502652806972818</v>
      </c>
      <c r="CQ162">
        <f>VLOOKUP($B162,'[1]Data_UN_PopulationTot.&amp;%'!$B$4:$CZ$603,81,FALSE)</f>
        <v>9.18741852780036E-3</v>
      </c>
      <c r="CR162">
        <f>VLOOKUP($B162,'[1]Data_UN_PopulationTot.&amp;%'!$B$4:$CZ$603,82,FALSE)</f>
        <v>4.2066433226339859</v>
      </c>
      <c r="CS162">
        <f>VLOOKUP($B162,'[1]Data_UN_PopulationTot.&amp;%'!$B$4:$CZ$603,83,FALSE)</f>
        <v>4.5426514930454243</v>
      </c>
      <c r="CT162">
        <f>VLOOKUP($B162,'[1]Data_UN_PopulationTot.&amp;%'!$B$4:$CZ$603,84,FALSE)</f>
        <v>4.9449956229938721</v>
      </c>
      <c r="CU162">
        <f>VLOOKUP($B162,'[1]Data_UN_PopulationTot.&amp;%'!$B$4:$CZ$603,85,FALSE)</f>
        <v>5.3554128975780566</v>
      </c>
      <c r="CV162">
        <f>VLOOKUP($B162,'[1]Data_UN_PopulationTot.&amp;%'!$B$4:$CZ$603,86,FALSE)</f>
        <v>5.2218169438770552</v>
      </c>
      <c r="CW162">
        <f>VLOOKUP($B162,'[1]Data_UN_PopulationTot.&amp;%'!$B$4:$CZ$603,87,FALSE)</f>
        <v>4.6390428946600535</v>
      </c>
      <c r="CX162">
        <f>VLOOKUP($B162,'[1]Data_UN_PopulationTot.&amp;%'!$B$4:$CZ$603,88,FALSE)</f>
        <v>4.8220017508024515</v>
      </c>
      <c r="CY162">
        <f>VLOOKUP($B162,'[1]Data_UN_PopulationTot.&amp;%'!$B$4:$CZ$603,89,FALSE)</f>
        <v>5.3976753234121198</v>
      </c>
      <c r="CZ162">
        <f>VLOOKUP($B162,'[1]Data_UN_PopulationTot.&amp;%'!$B$4:$CZ$603,90,FALSE)</f>
        <v>6.5482929676101547</v>
      </c>
      <c r="DA162">
        <f>VLOOKUP($B162,'[1]Data_UN_PopulationTot.&amp;%'!$B$4:$CZ$603,91,FALSE)</f>
        <v>7.2697694776772694</v>
      </c>
      <c r="DB162">
        <f>VLOOKUP($B162,'[1]Data_UN_PopulationTot.&amp;%'!$B$4:$CZ$603,92,FALSE)</f>
        <v>7.6134617255130834</v>
      </c>
      <c r="DC162">
        <f>VLOOKUP($B162,'[1]Data_UN_PopulationTot.&amp;%'!$B$4:$CZ$603,93,FALSE)</f>
        <v>6.9631358817235673</v>
      </c>
      <c r="DD162">
        <f>VLOOKUP($B162,'[1]Data_UN_PopulationTot.&amp;%'!$B$4:$CZ$603,94,FALSE)</f>
        <v>7.0153195214473305</v>
      </c>
      <c r="DE162">
        <f>VLOOKUP($B162,'[1]Data_UN_PopulationTot.&amp;%'!$B$4:$CZ$603,95,FALSE)</f>
        <v>6.7445287423402407</v>
      </c>
      <c r="DF162">
        <f>VLOOKUP($B162,'[1]Data_UN_PopulationTot.&amp;%'!$B$4:$CZ$603,96,FALSE)</f>
        <v>6.2836786304834176</v>
      </c>
      <c r="DG162">
        <f>VLOOKUP($B162,'[1]Data_UN_PopulationTot.&amp;%'!$B$4:$CZ$603,97,FALSE)</f>
        <v>5.6170119638167497</v>
      </c>
      <c r="DH162">
        <f>VLOOKUP($B162,'[1]Data_UN_PopulationTot.&amp;%'!$B$4:$CZ$603,98,FALSE)</f>
        <v>3.4418830853029867</v>
      </c>
      <c r="DI162">
        <f>VLOOKUP($B162,'[1]Data_UN_PopulationTot.&amp;%'!$B$4:$CZ$603,99,FALSE)</f>
        <v>2.1484777745355514</v>
      </c>
      <c r="DJ162">
        <f>VLOOKUP($B162,'[1]Data_UN_PopulationTot.&amp;%'!$B$4:$DE$603,100,FALSE)</f>
        <v>0.951512498784165</v>
      </c>
      <c r="DK162">
        <f>VLOOKUP($B162,'[1]Data_UN_PopulationTot.&amp;%'!$B$4:$DE$603,101,FALSE)</f>
        <v>0.24652271179846319</v>
      </c>
      <c r="DL162">
        <f>VLOOKUP($B162,'[1]Data_UN_PopulationTot.&amp;%'!$B$4:$DE$603,102,FALSE)</f>
        <v>2.6213403365431383E-2</v>
      </c>
    </row>
    <row r="163" spans="1:116">
      <c r="A163" t="s">
        <v>52</v>
      </c>
      <c r="B163" t="s">
        <v>462</v>
      </c>
      <c r="C163" t="s">
        <v>485</v>
      </c>
      <c r="D163" t="s">
        <v>622</v>
      </c>
      <c r="E163" t="s">
        <v>2269</v>
      </c>
      <c r="F163">
        <v>0</v>
      </c>
      <c r="G163">
        <v>0</v>
      </c>
      <c r="H163">
        <v>0</v>
      </c>
      <c r="I163">
        <v>1</v>
      </c>
      <c r="J163" s="18">
        <f t="shared" si="5"/>
        <v>2429.8427098000002</v>
      </c>
      <c r="K163">
        <f>VLOOKUP($B163,'[1]Source GDP Current USD'!$B$1:$CZ$600,64,FALSE)</f>
        <v>541220059459.25</v>
      </c>
      <c r="L163" s="45">
        <f>VLOOKUP($B163,'[1]Source GDP Current USD'!$B$1:$CZ$600,65,FALSE)</f>
        <v>541220059459.25</v>
      </c>
      <c r="M163" s="17">
        <f>VLOOKUP($B163,'[1]Source GDP Current LCU'!$B$1:$CZ$600,64,FALSE)</f>
        <v>4984804000000</v>
      </c>
      <c r="N163" s="45">
        <v>5000000000000</v>
      </c>
      <c r="O163" s="45">
        <f>VLOOKUP($B163,'[1]Source GNI Current USD'!$B$1:$CZ$600,64,FALSE)</f>
        <v>557959780083.63306</v>
      </c>
      <c r="P163" s="45">
        <f>VLOOKUP($B163,'[1]Source GNI Current LCU'!$B$1:$CZ$600,64,FALSE)</f>
        <v>5138982000000</v>
      </c>
      <c r="Q163">
        <f t="shared" si="4"/>
        <v>96.999833819227234</v>
      </c>
      <c r="R163">
        <v>54050</v>
      </c>
      <c r="S163">
        <v>54050</v>
      </c>
      <c r="T163">
        <v>0.94979199999999997</v>
      </c>
      <c r="U163" s="45">
        <v>10000000</v>
      </c>
      <c r="V163">
        <v>48.744999999999997</v>
      </c>
      <c r="W163">
        <f>VLOOKUP($B163,'[1]Source Gov. Revenue WEO'!$B$1:$CZ$600,5,FALSE)</f>
        <v>49.942</v>
      </c>
      <c r="X163">
        <f>VLOOKUP($B163,'[1]Source Gov. Revenue WEO'!$B$1:$CZ$600,6,FALSE)</f>
        <v>50.598999999999997</v>
      </c>
      <c r="Y163">
        <f>VLOOKUP($B163,'[1]Source Gov. Revenue WEO'!$B$1:$CZ$600,7,FALSE)</f>
        <v>49.444000000000003</v>
      </c>
      <c r="Z163">
        <f>VLOOKUP($B163,'[1]Source Gov. Revenue WEO'!$B$1:$CZ$600,8,FALSE)</f>
        <v>49.235999999999997</v>
      </c>
      <c r="AA163">
        <f>VLOOKUP($B163,'[1]Source Gov. Revenue WEO'!$B$1:$CZ$600,9,FALSE)</f>
        <v>49.087000000000003</v>
      </c>
      <c r="AB163">
        <f>VLOOKUP($B163,'[1]Source Gov. Revenue WEO'!$B$1:$CZ$600,10,FALSE)</f>
        <v>48.933</v>
      </c>
      <c r="AC163" t="e">
        <f>VLOOKUP($B163,[2]Summary!$B$1:$CZ$600,39,FALSE)</f>
        <v>#N/A</v>
      </c>
      <c r="AD163" t="e">
        <f>VLOOKUP($B163,[2]Summary!$B$1:$CZ$600,40,FALSE)</f>
        <v>#N/A</v>
      </c>
      <c r="AE163" t="e">
        <f>VLOOKUP($B163,[2]Summary!$B$1:$CZ$600,47,FALSE)</f>
        <v>#N/A</v>
      </c>
      <c r="AF163">
        <f>VLOOKUP($B163,'[1]CALC GDP Growth rates WDI'!$B$1:$CZ$600,27,FALSE)</f>
        <v>17.634340031441216</v>
      </c>
      <c r="AG163">
        <f>VLOOKUP($B163,'[1]CALC GDP Growth rates WDI'!$B$1:$CZ$600,29,FALSE)</f>
        <v>25.896492062615017</v>
      </c>
      <c r="AH163">
        <v>5.64</v>
      </c>
      <c r="AI163">
        <f>VLOOKUP($B163,'[1]CALC GDP Growth rates WDI'!$B$1:$CZ$600,30,FALSE)</f>
        <v>11.502986084482124</v>
      </c>
      <c r="AJ163" s="45"/>
      <c r="AK163" t="e">
        <f>VLOOKUP($B163,[1]Data_Aspire!$B$1:$CZ$600,2,FALSE)</f>
        <v>#N/A</v>
      </c>
      <c r="AL163" t="e">
        <f>VLOOKUP($B163,[1]Data_Aspire!$B$1:$CZ$600,3,FALSE)</f>
        <v>#N/A</v>
      </c>
      <c r="AM163" t="e">
        <f>VLOOKUP($B163,[1]Data_Aspire!$B$1:$CZ$600,4,FALSE)</f>
        <v>#N/A</v>
      </c>
      <c r="AN163" t="e">
        <f>VLOOKUP($B163,[1]Data_Aspire!$B$1:$CZ$600,5,FALSE)</f>
        <v>#N/A</v>
      </c>
      <c r="AO163" t="e">
        <f>VLOOKUP($B163,[1]Data_Aspire!$B$1:$CZ$600,6,FALSE)</f>
        <v>#N/A</v>
      </c>
      <c r="AP163" t="e">
        <f>VLOOKUP($B163,[1]Data_Aspire!$B$1:$CZ$600,7,FALSE)</f>
        <v>#N/A</v>
      </c>
      <c r="AQ163" t="e">
        <f>VLOOKUP($B163,[1]Data_Aspire!$B$1:$CZ$600,8,FALSE)</f>
        <v>#N/A</v>
      </c>
      <c r="AR163" t="e">
        <f>VLOOKUP($B163,[1]Data_Aspire!$B$1:$CZ$600,9,FALSE)</f>
        <v>#N/A</v>
      </c>
      <c r="AS163" t="e">
        <f>VLOOKUP($B163,[1]Data_Aspire!$B$1:$CZ$600,10,FALSE)</f>
        <v>#N/A</v>
      </c>
      <c r="AT163" t="e">
        <f>VLOOKUP($B163,[1]Data_Aspire!$B$1:$CZ$600,11,FALSE)</f>
        <v>#N/A</v>
      </c>
      <c r="AU163" t="e">
        <f>VLOOKUP($B163,[1]Data_Aspire!$B$1:$CZ$600,12,FALSE)</f>
        <v>#N/A</v>
      </c>
      <c r="AV163" t="e">
        <f>VLOOKUP($B163,[1]Data_Aspire!$B$1:$CZ$600,13,FALSE)</f>
        <v>#N/A</v>
      </c>
      <c r="AW163" t="e">
        <f>VLOOKUP($B163,[1]Data_Aspire!$B$1:$CZ$600,14,FALSE)</f>
        <v>#N/A</v>
      </c>
      <c r="AX163" t="e">
        <f>VLOOKUP($B163,[1]Data_Aspire!$B$1:$CZ$600,15,FALSE)</f>
        <v>#N/A</v>
      </c>
      <c r="AY163" t="e">
        <f>VLOOKUP($B163,[1]Data_Aspire!$B$1:$CZ$600,16,FALSE)</f>
        <v>#N/A</v>
      </c>
      <c r="AZ163" t="e">
        <f>VLOOKUP($B163,[1]Data_Aspire!$B$1:$CZ$600,17,FALSE)</f>
        <v>#N/A</v>
      </c>
      <c r="BA163" t="e">
        <f>VLOOKUP($B163,[1]Data_Aspire!$B$1:$CZ$600,18,FALSE)</f>
        <v>#N/A</v>
      </c>
      <c r="BB163" t="e">
        <f>VLOOKUP($B163,[1]Data_Aspire!$B$1:$CZ$600,19,FALSE)</f>
        <v>#N/A</v>
      </c>
      <c r="BC163" t="e">
        <f>VLOOKUP($B163,[1]Data_Aspire!$B$1:$CZ$600,20,FALSE)</f>
        <v>#N/A</v>
      </c>
      <c r="BD163" t="e">
        <f>VLOOKUP($B163,[1]Data_Aspire!$B$1:$CZ$600,21,FALSE)</f>
        <v>#N/A</v>
      </c>
      <c r="BE163" t="e">
        <f>VLOOKUP($B163,[1]Data_Aspire!$B$1:$CZ$600,22,FALSE)</f>
        <v>#N/A</v>
      </c>
      <c r="BF163" t="e">
        <f>VLOOKUP($B163,[1]Data_Aspire!$B$1:$CZ$600,23,FALSE)</f>
        <v>#N/A</v>
      </c>
      <c r="BG163" t="e">
        <f>VLOOKUP($B163,[1]Data_Aspire!$B$1:$CZ$600,24,FALSE)</f>
        <v>#N/A</v>
      </c>
      <c r="BH163" t="e">
        <f>VLOOKUP($B163,[1]Data_Aspire!$B$1:$CZ$600,25,FALSE)</f>
        <v>#N/A</v>
      </c>
      <c r="BI163" t="e">
        <f>VLOOKUP($B163,[1]Data_Aspire!$B$1:$CZ$600,26,FALSE)</f>
        <v>#N/A</v>
      </c>
      <c r="BJ163" s="7">
        <v>0</v>
      </c>
      <c r="BK163">
        <v>752</v>
      </c>
      <c r="BL163">
        <f>VLOOKUP($B163,'[1]Data_UN_PopulationTot.&amp;%'!$B$4:$CZ$603,8,FALSE)</f>
        <v>10099.299999999999</v>
      </c>
      <c r="BM163">
        <f>VLOOKUP($B163,'[1]Data_UN_PopulationTot.&amp;%'!$B$4:$CZ$603,9,FALSE)</f>
        <v>10160.200000000001</v>
      </c>
      <c r="BN163">
        <v>10219</v>
      </c>
      <c r="BO163">
        <f>VLOOKUP($B163,'[1]Data_UN_PopulationTot.&amp;%'!$B$4:$CZ$603,11,FALSE)</f>
        <v>10275.9</v>
      </c>
      <c r="BP163">
        <f>VLOOKUP($B163,'[1]Data_UN_PopulationTot.&amp;%'!$B$4:$CZ$603,12,FALSE)</f>
        <v>10331.1</v>
      </c>
      <c r="BQ163">
        <f>VLOOKUP($B163,'[1]Data_UN_PopulationTot.&amp;%'!$B$4:$CZ$603,13,FALSE)</f>
        <v>10384.799999999999</v>
      </c>
      <c r="BR163">
        <f>VLOOKUP($B163,'[1]Data_UN_PopulationTot.&amp;%'!$B$4:$CZ$603,14,FALSE)</f>
        <v>10437.200000000001</v>
      </c>
      <c r="BS163">
        <f>VLOOKUP($B163,'[1]Data_UN_PopulationTot.&amp;%'!$B$4:$CZ$603,15,FALSE)</f>
        <v>10488.2</v>
      </c>
      <c r="BT163">
        <f>VLOOKUP($B163,'[1]Data_UN_PopulationTot.&amp;%'!$B$4:$CZ$603,16,FALSE)</f>
        <v>10537.6</v>
      </c>
      <c r="BU163">
        <f>VLOOKUP($B163,'[1]Data_UN_PopulationTot.&amp;%'!$B$4:$CZ$603,17,FALSE)</f>
        <v>10584.9</v>
      </c>
      <c r="BV163">
        <f>VLOOKUP($B163,'[1]Data_UN_PopulationTot.&amp;%'!$B$4:$CZ$603,18,FALSE)</f>
        <v>10630</v>
      </c>
      <c r="BW163">
        <f>VLOOKUP($B163,'[1]Data_UN_PopulationTot.&amp;%'!$B$4:$CZ$603,61,FALSE)</f>
        <v>5.9553632429970405</v>
      </c>
      <c r="BX163">
        <f>VLOOKUP($B163,'[1]Data_UN_PopulationTot.&amp;%'!$B$4:$CZ$603,62,FALSE)</f>
        <v>5.8667531413068232</v>
      </c>
      <c r="BY163">
        <f>VLOOKUP($B163,'[1]Data_UN_PopulationTot.&amp;%'!$B$4:$CZ$603,63,FALSE)</f>
        <v>5.8014020773716997</v>
      </c>
      <c r="BZ163">
        <f>VLOOKUP($B163,'[1]Data_UN_PopulationTot.&amp;%'!$B$4:$CZ$603,64,FALSE)</f>
        <v>5.3590446862653849</v>
      </c>
      <c r="CA163">
        <f>VLOOKUP($B163,'[1]Data_UN_PopulationTot.&amp;%'!$B$4:$CZ$603,65,FALSE)</f>
        <v>5.3843929777311299</v>
      </c>
      <c r="CB163">
        <f>VLOOKUP($B163,'[1]Data_UN_PopulationTot.&amp;%'!$B$4:$CZ$603,66,FALSE)</f>
        <v>7.2593546087352596</v>
      </c>
      <c r="CC163">
        <f>VLOOKUP($B163,'[1]Data_UN_PopulationTot.&amp;%'!$B$4:$CZ$603,67,FALSE)</f>
        <v>6.8613567276939982</v>
      </c>
      <c r="CD163">
        <f>VLOOKUP($B163,'[1]Data_UN_PopulationTot.&amp;%'!$B$4:$CZ$603,68,FALSE)</f>
        <v>6.2118166605606335</v>
      </c>
      <c r="CE163">
        <f>VLOOKUP($B163,'[1]Data_UN_PopulationTot.&amp;%'!$B$4:$CZ$603,69,FALSE)</f>
        <v>6.0321210380917494</v>
      </c>
      <c r="CF163">
        <f>VLOOKUP($B163,'[1]Data_UN_PopulationTot.&amp;%'!$B$4:$CZ$603,70,FALSE)</f>
        <v>6.4848157793114387</v>
      </c>
      <c r="CG163">
        <f>VLOOKUP($B163,'[1]Data_UN_PopulationTot.&amp;%'!$B$4:$CZ$603,71,FALSE)</f>
        <v>6.7272484231580414</v>
      </c>
      <c r="CH163">
        <f>VLOOKUP($B163,'[1]Data_UN_PopulationTot.&amp;%'!$B$4:$CZ$603,72,FALSE)</f>
        <v>6.1117305159763546</v>
      </c>
      <c r="CI163">
        <f>VLOOKUP($B163,'[1]Data_UN_PopulationTot.&amp;%'!$B$4:$CZ$603,73,FALSE)</f>
        <v>5.6155674155634561</v>
      </c>
      <c r="CJ163">
        <f>VLOOKUP($B163,'[1]Data_UN_PopulationTot.&amp;%'!$B$4:$CZ$603,74,FALSE)</f>
        <v>5.2155594942223722</v>
      </c>
      <c r="CK163">
        <f>VLOOKUP($B163,'[1]Data_UN_PopulationTot.&amp;%'!$B$4:$CZ$603,75,FALSE)</f>
        <v>5.5860208133236968</v>
      </c>
      <c r="CL163">
        <f>VLOOKUP($B163,'[1]Data_UN_PopulationTot.&amp;%'!$B$4:$CZ$603,76,FALSE)</f>
        <v>4.2586614913904937</v>
      </c>
      <c r="CM163">
        <f>VLOOKUP($B163,'[1]Data_UN_PopulationTot.&amp;%'!$B$4:$CZ$603,77,FALSE)</f>
        <v>2.6712445417009101</v>
      </c>
      <c r="CN163">
        <f>VLOOKUP($B163,'[1]Data_UN_PopulationTot.&amp;%'!$B$4:$CZ$603,78,FALSE)</f>
        <v>1.601318903290327</v>
      </c>
      <c r="CO163">
        <f>VLOOKUP($B163,'[1]Data_UN_PopulationTot.&amp;%'!$B$4:$CZ$603,79,FALSE)</f>
        <v>0.76154783004762716</v>
      </c>
      <c r="CP163">
        <f>VLOOKUP($B163,'[1]Data_UN_PopulationTot.&amp;%'!$B$4:$CZ$603,80,FALSE)</f>
        <v>0.21190577564781718</v>
      </c>
      <c r="CQ163">
        <f>VLOOKUP($B163,'[1]Data_UN_PopulationTot.&amp;%'!$B$4:$CZ$603,81,FALSE)</f>
        <v>2.2476805323141211E-2</v>
      </c>
      <c r="CR163">
        <f>VLOOKUP($B163,'[1]Data_UN_PopulationTot.&amp;%'!$B$4:$CZ$603,82,FALSE)</f>
        <v>5.5711288805268113</v>
      </c>
      <c r="CS163">
        <f>VLOOKUP($B163,'[1]Data_UN_PopulationTot.&amp;%'!$B$4:$CZ$603,83,FALSE)</f>
        <v>5.7648165569143925</v>
      </c>
      <c r="CT163">
        <f>VLOOKUP($B163,'[1]Data_UN_PopulationTot.&amp;%'!$B$4:$CZ$603,84,FALSE)</f>
        <v>5.7224270931326435</v>
      </c>
      <c r="CU163">
        <f>VLOOKUP($B163,'[1]Data_UN_PopulationTot.&amp;%'!$B$4:$CZ$603,85,FALSE)</f>
        <v>5.754600188146755</v>
      </c>
      <c r="CV163">
        <f>VLOOKUP($B163,'[1]Data_UN_PopulationTot.&amp;%'!$B$4:$CZ$603,86,FALSE)</f>
        <v>5.9313546566321733</v>
      </c>
      <c r="CW163">
        <f>VLOOKUP($B163,'[1]Data_UN_PopulationTot.&amp;%'!$B$4:$CZ$603,87,FALSE)</f>
        <v>5.6084571966133581</v>
      </c>
      <c r="CX163">
        <f>VLOOKUP($B163,'[1]Data_UN_PopulationTot.&amp;%'!$B$4:$CZ$603,88,FALSE)</f>
        <v>5.5464628410159929</v>
      </c>
      <c r="CY163">
        <f>VLOOKUP($B163,'[1]Data_UN_PopulationTot.&amp;%'!$B$4:$CZ$603,89,FALSE)</f>
        <v>7.190874882408278</v>
      </c>
      <c r="CZ163">
        <f>VLOOKUP($B163,'[1]Data_UN_PopulationTot.&amp;%'!$B$4:$CZ$603,90,FALSE)</f>
        <v>6.7034995296331141</v>
      </c>
      <c r="DA163">
        <f>VLOOKUP($B163,'[1]Data_UN_PopulationTot.&amp;%'!$B$4:$CZ$603,91,FALSE)</f>
        <v>6.001138287864535</v>
      </c>
      <c r="DB163">
        <f>VLOOKUP($B163,'[1]Data_UN_PopulationTot.&amp;%'!$B$4:$CZ$603,92,FALSE)</f>
        <v>5.7527939793038572</v>
      </c>
      <c r="DC163">
        <f>VLOOKUP($B163,'[1]Data_UN_PopulationTot.&amp;%'!$B$4:$CZ$603,93,FALSE)</f>
        <v>6.0916933207902169</v>
      </c>
      <c r="DD163">
        <f>VLOOKUP($B163,'[1]Data_UN_PopulationTot.&amp;%'!$B$4:$CZ$603,94,FALSE)</f>
        <v>6.2088899341486359</v>
      </c>
      <c r="DE163">
        <f>VLOOKUP($B163,'[1]Data_UN_PopulationTot.&amp;%'!$B$4:$CZ$603,95,FALSE)</f>
        <v>5.5058984007525877</v>
      </c>
      <c r="DF163">
        <f>VLOOKUP($B163,'[1]Data_UN_PopulationTot.&amp;%'!$B$4:$CZ$603,96,FALSE)</f>
        <v>4.8790780809031045</v>
      </c>
      <c r="DG163">
        <f>VLOOKUP($B163,'[1]Data_UN_PopulationTot.&amp;%'!$B$4:$CZ$603,97,FALSE)</f>
        <v>4.261561618062089</v>
      </c>
      <c r="DH163">
        <f>VLOOKUP($B163,'[1]Data_UN_PopulationTot.&amp;%'!$B$4:$CZ$603,98,FALSE)</f>
        <v>4.0266415804327371</v>
      </c>
      <c r="DI163">
        <f>VLOOKUP($B163,'[1]Data_UN_PopulationTot.&amp;%'!$B$4:$CZ$603,99,FALSE)</f>
        <v>2.3526434619002825</v>
      </c>
      <c r="DJ163">
        <f>VLOOKUP($B163,'[1]Data_UN_PopulationTot.&amp;%'!$B$4:$DE$603,100,FALSE)</f>
        <v>0.88024459078080897</v>
      </c>
      <c r="DK163">
        <f>VLOOKUP($B163,'[1]Data_UN_PopulationTot.&amp;%'!$B$4:$DE$603,101,FALSE)</f>
        <v>0.21708372530573847</v>
      </c>
      <c r="DL163">
        <f>VLOOKUP($B163,'[1]Data_UN_PopulationTot.&amp;%'!$B$4:$DE$603,102,FALSE)</f>
        <v>2.8457196613358417E-2</v>
      </c>
    </row>
    <row r="164" spans="1:116">
      <c r="A164" t="s">
        <v>165</v>
      </c>
      <c r="B164" t="s">
        <v>379</v>
      </c>
      <c r="C164" t="s">
        <v>496</v>
      </c>
      <c r="D164" t="s">
        <v>334</v>
      </c>
      <c r="E164" t="s">
        <v>300</v>
      </c>
      <c r="F164">
        <v>0</v>
      </c>
      <c r="G164">
        <v>1</v>
      </c>
      <c r="H164">
        <v>0</v>
      </c>
      <c r="I164">
        <v>0</v>
      </c>
      <c r="J164" s="18">
        <f t="shared" si="5"/>
        <v>18.555217222608</v>
      </c>
      <c r="K164">
        <f>VLOOKUP($B164,'[1]Source GDP Current USD'!$B$1:$CZ$600,64,FALSE)</f>
        <v>3972728948.47088</v>
      </c>
      <c r="L164" s="45">
        <f>VLOOKUP($B164,'[1]Source GDP Current USD'!$B$1:$CZ$600,65,FALSE)</f>
        <v>3972728948.47088</v>
      </c>
      <c r="M164" s="17">
        <f>VLOOKUP($B164,'[1]Source GDP Current LCU'!$B$1:$CZ$600,64,FALSE)</f>
        <v>65432037600</v>
      </c>
      <c r="N164" s="45">
        <v>65000000000</v>
      </c>
      <c r="O164" s="45">
        <f>VLOOKUP($B164,'[1]Source GNI Current USD'!$B$1:$CZ$600,64,FALSE)</f>
        <v>3574279788.46773</v>
      </c>
      <c r="P164" s="45">
        <f>VLOOKUP($B164,'[1]Source GNI Current LCU'!$B$1:$CZ$600,64,FALSE)</f>
        <v>58869460400</v>
      </c>
      <c r="Q164">
        <f t="shared" si="4"/>
        <v>111.14767683516935</v>
      </c>
      <c r="R164">
        <v>3410</v>
      </c>
      <c r="S164">
        <v>3410</v>
      </c>
      <c r="T164">
        <v>0.38623800000000003</v>
      </c>
      <c r="U164" s="45">
        <v>1200000</v>
      </c>
      <c r="V164">
        <v>28.358000000000001</v>
      </c>
      <c r="W164">
        <f>VLOOKUP($B164,'[1]Source Gov. Revenue WEO'!$B$1:$CZ$600,5,FALSE)</f>
        <v>26.349</v>
      </c>
      <c r="X164">
        <f>VLOOKUP($B164,'[1]Source Gov. Revenue WEO'!$B$1:$CZ$600,6,FALSE)</f>
        <v>23.956</v>
      </c>
      <c r="Y164">
        <f>VLOOKUP($B164,'[1]Source Gov. Revenue WEO'!$B$1:$CZ$600,7,FALSE)</f>
        <v>25.146999999999998</v>
      </c>
      <c r="Z164">
        <f>VLOOKUP($B164,'[1]Source Gov. Revenue WEO'!$B$1:$CZ$600,8,FALSE)</f>
        <v>26.013999999999999</v>
      </c>
      <c r="AA164">
        <f>VLOOKUP($B164,'[1]Source Gov. Revenue WEO'!$B$1:$CZ$600,9,FALSE)</f>
        <v>26.515000000000001</v>
      </c>
      <c r="AB164">
        <f>VLOOKUP($B164,'[1]Source Gov. Revenue WEO'!$B$1:$CZ$600,10,FALSE)</f>
        <v>26.529</v>
      </c>
      <c r="AC164">
        <f>VLOOKUP($B164,[2]Summary!$B$1:$CZ$600,39,FALSE)</f>
        <v>0.27299450000000003</v>
      </c>
      <c r="AD164">
        <f>VLOOKUP($B164,[2]Summary!$B$1:$CZ$600,40,FALSE)</f>
        <v>0.25700000000000001</v>
      </c>
      <c r="AE164">
        <f>VLOOKUP($B164,[2]Summary!$B$1:$CZ$600,47,FALSE)</f>
        <v>0.30875692744007821</v>
      </c>
      <c r="AF164">
        <f>VLOOKUP($B164,'[1]CALC GDP Growth rates WDI'!$B$1:$CZ$600,27,FALSE)</f>
        <v>22.762113751971697</v>
      </c>
      <c r="AG164">
        <f>VLOOKUP($B164,'[1]CALC GDP Growth rates WDI'!$B$1:$CZ$600,29,FALSE)</f>
        <v>26.536818672535301</v>
      </c>
      <c r="AH164">
        <v>6.33</v>
      </c>
      <c r="AI164">
        <f>VLOOKUP($B164,'[1]CALC GDP Growth rates WDI'!$B$1:$CZ$600,30,FALSE)</f>
        <v>7.9252024900501095</v>
      </c>
      <c r="AK164">
        <f>VLOOKUP($B164,[1]Data_Aspire!$B$1:$CZ$600,2,FALSE)</f>
        <v>2015</v>
      </c>
      <c r="AL164">
        <f>VLOOKUP($B164,[1]Data_Aspire!$B$1:$CZ$600,3,FALSE)</f>
        <v>1.51</v>
      </c>
      <c r="AM164">
        <f>VLOOKUP($B164,[1]Data_Aspire!$B$1:$CZ$600,4,FALSE)</f>
        <v>0</v>
      </c>
      <c r="AN164">
        <f>VLOOKUP($B164,[1]Data_Aspire!$B$1:$CZ$600,5,FALSE)</f>
        <v>0.03</v>
      </c>
      <c r="AO164">
        <f>VLOOKUP($B164,[1]Data_Aspire!$B$1:$CZ$600,6,FALSE)</f>
        <v>0.27</v>
      </c>
      <c r="AP164">
        <f>VLOOKUP($B164,[1]Data_Aspire!$B$1:$CZ$600,7,FALSE)</f>
        <v>0.09</v>
      </c>
      <c r="AQ164">
        <f>VLOOKUP($B164,[1]Data_Aspire!$B$1:$CZ$600,8,FALSE)</f>
        <v>7.0000000000000007E-2</v>
      </c>
      <c r="AR164">
        <f>VLOOKUP($B164,[1]Data_Aspire!$B$1:$CZ$600,9,FALSE)</f>
        <v>0.1</v>
      </c>
      <c r="AS164">
        <f>VLOOKUP($B164,[1]Data_Aspire!$B$1:$CZ$600,10,FALSE)</f>
        <v>0.22</v>
      </c>
      <c r="AT164">
        <f>VLOOKUP($B164,[1]Data_Aspire!$B$1:$CZ$600,11,FALSE)</f>
        <v>0.74</v>
      </c>
      <c r="AU164">
        <f>VLOOKUP($B164,[1]Data_Aspire!$B$1:$CZ$600,12,FALSE)</f>
        <v>1.3</v>
      </c>
      <c r="AX164">
        <f>VLOOKUP($B164,[1]Data_Aspire!$B$1:$CZ$600,15,FALSE)</f>
        <v>5075</v>
      </c>
      <c r="AY164">
        <f>VLOOKUP($B164,[1]Data_Aspire!$B$1:$CZ$600,16,FALSE)</f>
        <v>2011</v>
      </c>
      <c r="AZ164">
        <f>VLOOKUP($B164,[1]Data_Aspire!$B$1:$CZ$600,17,FALSE)</f>
        <v>63500</v>
      </c>
      <c r="BA164">
        <f>VLOOKUP($B164,[1]Data_Aspire!$B$1:$CZ$600,18,FALSE)</f>
        <v>2014</v>
      </c>
      <c r="BB164">
        <f>VLOOKUP($B164,[1]Data_Aspire!$B$1:$CZ$600,19,FALSE)</f>
        <v>88511</v>
      </c>
      <c r="BC164">
        <f>VLOOKUP($B164,[1]Data_Aspire!$B$1:$CZ$600,20,FALSE)</f>
        <v>2010</v>
      </c>
      <c r="BD164">
        <f>VLOOKUP($B164,[1]Data_Aspire!$B$1:$CZ$600,21,FALSE)</f>
        <v>328000</v>
      </c>
      <c r="BE164">
        <f>VLOOKUP($B164,[1]Data_Aspire!$B$1:$CZ$600,22,FALSE)</f>
        <v>2011</v>
      </c>
      <c r="BJ164" s="7">
        <v>1</v>
      </c>
      <c r="BK164">
        <v>748</v>
      </c>
      <c r="BL164">
        <f>VLOOKUP($B164,'[1]Data_UN_PopulationTot.&amp;%'!$B$4:$CZ$603,8,FALSE)</f>
        <v>1160.1600000000001</v>
      </c>
      <c r="BM164">
        <f>VLOOKUP($B164,'[1]Data_UN_PopulationTot.&amp;%'!$B$4:$CZ$603,9,FALSE)</f>
        <v>1172.3699999999999</v>
      </c>
      <c r="BN164">
        <v>1184.82</v>
      </c>
      <c r="BO164">
        <f>VLOOKUP($B164,'[1]Data_UN_PopulationTot.&amp;%'!$B$4:$CZ$603,11,FALSE)</f>
        <v>1197.51</v>
      </c>
      <c r="BP164">
        <f>VLOOKUP($B164,'[1]Data_UN_PopulationTot.&amp;%'!$B$4:$CZ$603,12,FALSE)</f>
        <v>1210.45</v>
      </c>
      <c r="BQ164">
        <f>VLOOKUP($B164,'[1]Data_UN_PopulationTot.&amp;%'!$B$4:$CZ$603,13,FALSE)</f>
        <v>1223.69</v>
      </c>
      <c r="BR164">
        <f>VLOOKUP($B164,'[1]Data_UN_PopulationTot.&amp;%'!$B$4:$CZ$603,14,FALSE)</f>
        <v>1237.1300000000001</v>
      </c>
      <c r="BS164">
        <f>VLOOKUP($B164,'[1]Data_UN_PopulationTot.&amp;%'!$B$4:$CZ$603,15,FALSE)</f>
        <v>1250.83</v>
      </c>
      <c r="BT164">
        <f>VLOOKUP($B164,'[1]Data_UN_PopulationTot.&amp;%'!$B$4:$CZ$603,16,FALSE)</f>
        <v>1265.21</v>
      </c>
      <c r="BU164">
        <f>VLOOKUP($B164,'[1]Data_UN_PopulationTot.&amp;%'!$B$4:$CZ$603,17,FALSE)</f>
        <v>1280.76</v>
      </c>
      <c r="BV164">
        <f>VLOOKUP($B164,'[1]Data_UN_PopulationTot.&amp;%'!$B$4:$CZ$603,18,FALSE)</f>
        <v>1297.8399999999999</v>
      </c>
      <c r="BW164">
        <f>VLOOKUP($B164,'[1]Data_UN_PopulationTot.&amp;%'!$B$4:$CZ$603,61,FALSE)</f>
        <v>12.384240104813129</v>
      </c>
      <c r="BX164">
        <f>VLOOKUP($B164,'[1]Data_UN_PopulationTot.&amp;%'!$B$4:$CZ$603,62,FALSE)</f>
        <v>12.320972969245622</v>
      </c>
      <c r="BY164">
        <f>VLOOKUP($B164,'[1]Data_UN_PopulationTot.&amp;%'!$B$4:$CZ$603,63,FALSE)</f>
        <v>12.737812025927456</v>
      </c>
      <c r="BZ164">
        <f>VLOOKUP($B164,'[1]Data_UN_PopulationTot.&amp;%'!$B$4:$CZ$603,64,FALSE)</f>
        <v>11.13975658529858</v>
      </c>
      <c r="CA164">
        <f>VLOOKUP($B164,'[1]Data_UN_PopulationTot.&amp;%'!$B$4:$CZ$603,65,FALSE)</f>
        <v>9.72426217073507</v>
      </c>
      <c r="CB164">
        <f>VLOOKUP($B164,'[1]Data_UN_PopulationTot.&amp;%'!$B$4:$CZ$603,66,FALSE)</f>
        <v>8.6255344090470274</v>
      </c>
      <c r="CC164">
        <f>VLOOKUP($B164,'[1]Data_UN_PopulationTot.&amp;%'!$B$4:$CZ$603,67,FALSE)</f>
        <v>7.1157426561853532</v>
      </c>
      <c r="CD164">
        <f>VLOOKUP($B164,'[1]Data_UN_PopulationTot.&amp;%'!$B$4:$CZ$603,68,FALSE)</f>
        <v>6.7900117225210321</v>
      </c>
      <c r="CE164">
        <f>VLOOKUP($B164,'[1]Data_UN_PopulationTot.&amp;%'!$B$4:$CZ$603,69,FALSE)</f>
        <v>5.189284236657012</v>
      </c>
      <c r="CF164">
        <f>VLOOKUP($B164,'[1]Data_UN_PopulationTot.&amp;%'!$B$4:$CZ$603,70,FALSE)</f>
        <v>3.8093883602261758</v>
      </c>
      <c r="CG164">
        <f>VLOOKUP($B164,'[1]Data_UN_PopulationTot.&amp;%'!$B$4:$CZ$603,71,FALSE)</f>
        <v>2.5508550544752446</v>
      </c>
      <c r="CH164">
        <f>VLOOKUP($B164,'[1]Data_UN_PopulationTot.&amp;%'!$B$4:$CZ$603,72,FALSE)</f>
        <v>1.9068921528065095</v>
      </c>
      <c r="CI164">
        <f>VLOOKUP($B164,'[1]Data_UN_PopulationTot.&amp;%'!$B$4:$CZ$603,73,FALSE)</f>
        <v>1.6927837539649702</v>
      </c>
      <c r="CJ164">
        <f>VLOOKUP($B164,'[1]Data_UN_PopulationTot.&amp;%'!$B$4:$CZ$603,74,FALSE)</f>
        <v>1.4552303130602673</v>
      </c>
      <c r="CK164">
        <f>VLOOKUP($B164,'[1]Data_UN_PopulationTot.&amp;%'!$B$4:$CZ$603,75,FALSE)</f>
        <v>1.1680285477865122</v>
      </c>
      <c r="CL164">
        <f>VLOOKUP($B164,'[1]Data_UN_PopulationTot.&amp;%'!$B$4:$CZ$603,76,FALSE)</f>
        <v>0.77868569852434144</v>
      </c>
      <c r="CM164">
        <f>VLOOKUP($B164,'[1]Data_UN_PopulationTot.&amp;%'!$B$4:$CZ$603,77,FALSE)</f>
        <v>0.42270031719762785</v>
      </c>
      <c r="CN164">
        <f>VLOOKUP($B164,'[1]Data_UN_PopulationTot.&amp;%'!$B$4:$CZ$603,78,FALSE)</f>
        <v>0.15334091849400081</v>
      </c>
      <c r="CO164">
        <f>VLOOKUP($B164,'[1]Data_UN_PopulationTot.&amp;%'!$B$4:$CZ$603,79,FALSE)</f>
        <v>3.1116397738242998E-2</v>
      </c>
      <c r="CP164">
        <f>VLOOKUP($B164,'[1]Data_UN_PopulationTot.&amp;%'!$B$4:$CZ$603,80,FALSE)</f>
        <v>3.4478003034064263E-3</v>
      </c>
      <c r="CQ164">
        <f>VLOOKUP($B164,'[1]Data_UN_PopulationTot.&amp;%'!$B$4:$CZ$603,81,FALSE)</f>
        <v>2.5858502275548199E-4</v>
      </c>
      <c r="CR164">
        <f>VLOOKUP($B164,'[1]Data_UN_PopulationTot.&amp;%'!$B$4:$CZ$603,82,FALSE)</f>
        <v>10.70124206373667</v>
      </c>
      <c r="CS164">
        <f>VLOOKUP($B164,'[1]Data_UN_PopulationTot.&amp;%'!$B$4:$CZ$603,83,FALSE)</f>
        <v>10.53789373112248</v>
      </c>
      <c r="CT164">
        <f>VLOOKUP($B164,'[1]Data_UN_PopulationTot.&amp;%'!$B$4:$CZ$603,84,FALSE)</f>
        <v>10.887705726437774</v>
      </c>
      <c r="CU164">
        <f>VLOOKUP($B164,'[1]Data_UN_PopulationTot.&amp;%'!$B$4:$CZ$603,85,FALSE)</f>
        <v>10.642914380817357</v>
      </c>
      <c r="CV164">
        <f>VLOOKUP($B164,'[1]Data_UN_PopulationTot.&amp;%'!$B$4:$CZ$603,86,FALSE)</f>
        <v>10.316834124391296</v>
      </c>
      <c r="CW164">
        <f>VLOOKUP($B164,'[1]Data_UN_PopulationTot.&amp;%'!$B$4:$CZ$603,87,FALSE)</f>
        <v>8.5252419404549116</v>
      </c>
      <c r="CX164">
        <f>VLOOKUP($B164,'[1]Data_UN_PopulationTot.&amp;%'!$B$4:$CZ$603,88,FALSE)</f>
        <v>7.5876841521296923</v>
      </c>
      <c r="CY164">
        <f>VLOOKUP($B164,'[1]Data_UN_PopulationTot.&amp;%'!$B$4:$CZ$603,89,FALSE)</f>
        <v>7.1326203538186528</v>
      </c>
      <c r="CZ164">
        <f>VLOOKUP($B164,'[1]Data_UN_PopulationTot.&amp;%'!$B$4:$CZ$603,90,FALSE)</f>
        <v>5.9872557480120818</v>
      </c>
      <c r="DA164">
        <f>VLOOKUP($B164,'[1]Data_UN_PopulationTot.&amp;%'!$B$4:$CZ$603,91,FALSE)</f>
        <v>5.3965820131911491</v>
      </c>
      <c r="DB164">
        <f>VLOOKUP($B164,'[1]Data_UN_PopulationTot.&amp;%'!$B$4:$CZ$603,92,FALSE)</f>
        <v>3.8876903162177157</v>
      </c>
      <c r="DC164">
        <f>VLOOKUP($B164,'[1]Data_UN_PopulationTot.&amp;%'!$B$4:$CZ$603,93,FALSE)</f>
        <v>2.7519570979473591</v>
      </c>
      <c r="DD164">
        <f>VLOOKUP($B164,'[1]Data_UN_PopulationTot.&amp;%'!$B$4:$CZ$603,94,FALSE)</f>
        <v>1.815092769524749</v>
      </c>
      <c r="DE164">
        <f>VLOOKUP($B164,'[1]Data_UN_PopulationTot.&amp;%'!$B$4:$CZ$603,95,FALSE)</f>
        <v>1.3242002095789929</v>
      </c>
      <c r="DF164">
        <f>VLOOKUP($B164,'[1]Data_UN_PopulationTot.&amp;%'!$B$4:$CZ$603,96,FALSE)</f>
        <v>1.0569099426739816</v>
      </c>
      <c r="DG164">
        <f>VLOOKUP($B164,'[1]Data_UN_PopulationTot.&amp;%'!$B$4:$CZ$603,97,FALSE)</f>
        <v>0.76295999506872958</v>
      </c>
      <c r="DH164">
        <f>VLOOKUP($B164,'[1]Data_UN_PopulationTot.&amp;%'!$B$4:$CZ$603,98,FALSE)</f>
        <v>0.45876225112494606</v>
      </c>
      <c r="DI164">
        <f>VLOOKUP($B164,'[1]Data_UN_PopulationTot.&amp;%'!$B$4:$CZ$603,99,FALSE)</f>
        <v>0.18114713678111324</v>
      </c>
      <c r="DJ164">
        <f>VLOOKUP($B164,'[1]Data_UN_PopulationTot.&amp;%'!$B$4:$DE$603,100,FALSE)</f>
        <v>4.0605929852678302E-2</v>
      </c>
      <c r="DK164">
        <f>VLOOKUP($B164,'[1]Data_UN_PopulationTot.&amp;%'!$B$4:$DE$603,101,FALSE)</f>
        <v>4.2378105159341676E-3</v>
      </c>
      <c r="DL164">
        <f>VLOOKUP($B164,'[1]Data_UN_PopulationTot.&amp;%'!$B$4:$DE$603,102,FALSE)</f>
        <v>2.3115330086913646E-4</v>
      </c>
    </row>
    <row r="165" spans="1:116">
      <c r="A165" t="s">
        <v>227</v>
      </c>
      <c r="B165" t="s">
        <v>552</v>
      </c>
      <c r="C165" t="s">
        <v>496</v>
      </c>
      <c r="D165" t="s">
        <v>622</v>
      </c>
      <c r="E165" t="s">
        <v>2269</v>
      </c>
      <c r="F165">
        <v>0</v>
      </c>
      <c r="G165">
        <v>0</v>
      </c>
      <c r="H165">
        <v>0</v>
      </c>
      <c r="I165">
        <v>1</v>
      </c>
      <c r="J165" s="18">
        <f t="shared" si="5"/>
        <v>7.0277079599999999</v>
      </c>
      <c r="K165">
        <f>VLOOKUP($B165,'[1]Source GDP Current USD'!$B$1:$CZ$600,64,FALSE)</f>
        <v>1059886363.63636</v>
      </c>
      <c r="L165" s="45">
        <f>VLOOKUP($B165,'[1]Source GDP Current USD'!$B$1:$CZ$600,65,FALSE)</f>
        <v>1059886363.63636</v>
      </c>
      <c r="M165" s="17">
        <f>VLOOKUP($B165,'[1]Source GDP Current LCU'!$B$1:$CZ$600,64,FALSE)</f>
        <v>18654000000</v>
      </c>
      <c r="N165" s="45">
        <v>19000000000</v>
      </c>
      <c r="O165" s="45">
        <f>VLOOKUP($B165,'[1]Source GNI Current USD'!$B$1:$CZ$600,64,FALSE)</f>
        <v>993181818.18181801</v>
      </c>
      <c r="P165" s="45">
        <f>VLOOKUP($B165,'[1]Source GNI Current LCU'!$B$1:$CZ$600,64,FALSE)</f>
        <v>17480000000</v>
      </c>
      <c r="Q165">
        <f t="shared" si="4"/>
        <v>106.71624713958809</v>
      </c>
      <c r="R165">
        <v>12200</v>
      </c>
      <c r="S165">
        <v>12200</v>
      </c>
      <c r="T165">
        <v>0.41775000000000001</v>
      </c>
      <c r="U165">
        <v>98500</v>
      </c>
      <c r="V165">
        <v>37.673999999999999</v>
      </c>
      <c r="W165">
        <f>VLOOKUP($B165,'[1]Source Gov. Revenue WEO'!$B$1:$CZ$600,5,FALSE)</f>
        <v>34.807000000000002</v>
      </c>
      <c r="X165">
        <f>VLOOKUP($B165,'[1]Source Gov. Revenue WEO'!$B$1:$CZ$600,6,FALSE)</f>
        <v>35.914000000000001</v>
      </c>
      <c r="Y165">
        <f>VLOOKUP($B165,'[1]Source Gov. Revenue WEO'!$B$1:$CZ$600,7,FALSE)</f>
        <v>36.253</v>
      </c>
      <c r="Z165">
        <f>VLOOKUP($B165,'[1]Source Gov. Revenue WEO'!$B$1:$CZ$600,8,FALSE)</f>
        <v>37.572000000000003</v>
      </c>
      <c r="AA165">
        <f>VLOOKUP($B165,'[1]Source Gov. Revenue WEO'!$B$1:$CZ$600,9,FALSE)</f>
        <v>38.042000000000002</v>
      </c>
      <c r="AB165">
        <f>VLOOKUP($B165,'[1]Source Gov. Revenue WEO'!$B$1:$CZ$600,10,FALSE)</f>
        <v>38.36</v>
      </c>
      <c r="AC165">
        <f>VLOOKUP($B165,[2]Summary!$B$1:$CZ$600,39,FALSE)</f>
        <v>8.424272E-3</v>
      </c>
      <c r="AD165">
        <f>VLOOKUP($B165,[2]Summary!$B$1:$CZ$600,40,FALSE)</f>
        <v>7.2499999999999995E-3</v>
      </c>
      <c r="AE165">
        <f>VLOOKUP($B165,[2]Summary!$B$1:$CZ$600,47,FALSE)</f>
        <v>0.40475845662260129</v>
      </c>
      <c r="AF165">
        <f>VLOOKUP($B165,'[1]CALC GDP Growth rates WDI'!$B$1:$CZ$600,27,FALSE)</f>
        <v>27.824307304786434</v>
      </c>
      <c r="AG165">
        <f>VLOOKUP($B165,'[1]CALC GDP Growth rates WDI'!$B$1:$CZ$600,29,FALSE)</f>
        <v>49.744898583435074</v>
      </c>
      <c r="AH165">
        <v>0.65</v>
      </c>
      <c r="AI165">
        <f>VLOOKUP($B165,'[1]CALC GDP Growth rates WDI'!$B$1:$CZ$600,30,FALSE)</f>
        <v>16.762373581684599</v>
      </c>
      <c r="AJ165" s="45"/>
      <c r="AK165">
        <f>VLOOKUP($B165,[1]Data_Aspire!$B$1:$CZ$600,2,FALSE)</f>
        <v>2015</v>
      </c>
      <c r="AL165">
        <f>VLOOKUP($B165,[1]Data_Aspire!$B$1:$CZ$600,3,FALSE)</f>
        <v>2.68</v>
      </c>
      <c r="AM165">
        <f>VLOOKUP($B165,[1]Data_Aspire!$B$1:$CZ$600,4,FALSE)</f>
        <v>0</v>
      </c>
      <c r="AN165">
        <f>VLOOKUP($B165,[1]Data_Aspire!$B$1:$CZ$600,5,FALSE)</f>
        <v>0.36</v>
      </c>
      <c r="AO165">
        <f>VLOOKUP($B165,[1]Data_Aspire!$B$1:$CZ$600,6,FALSE)</f>
        <v>2.16</v>
      </c>
      <c r="AP165">
        <f>VLOOKUP($B165,[1]Data_Aspire!$B$1:$CZ$600,7,FALSE)</f>
        <v>0</v>
      </c>
      <c r="AR165">
        <f>VLOOKUP($B165,[1]Data_Aspire!$B$1:$CZ$600,9,FALSE)</f>
        <v>0.02</v>
      </c>
      <c r="AT165">
        <f>VLOOKUP($B165,[1]Data_Aspire!$B$1:$CZ$600,11,FALSE)</f>
        <v>0.14000000000000001</v>
      </c>
      <c r="AU165">
        <f>VLOOKUP($B165,[1]Data_Aspire!$B$1:$CZ$600,12,FALSE)</f>
        <v>2.68</v>
      </c>
      <c r="AX165">
        <f>VLOOKUP($B165,[1]Data_Aspire!$B$1:$CZ$600,15,FALSE)</f>
        <v>11019</v>
      </c>
      <c r="AY165">
        <f>VLOOKUP($B165,[1]Data_Aspire!$B$1:$CZ$600,16,FALSE)</f>
        <v>2015</v>
      </c>
      <c r="AZ165">
        <f>VLOOKUP($B165,[1]Data_Aspire!$B$1:$CZ$600,17,FALSE)</f>
        <v>9496</v>
      </c>
      <c r="BA165">
        <f>VLOOKUP($B165,[1]Data_Aspire!$B$1:$CZ$600,18,FALSE)</f>
        <v>2015</v>
      </c>
      <c r="BJ165" s="7">
        <v>1</v>
      </c>
      <c r="BK165" s="45">
        <v>690</v>
      </c>
      <c r="BL165">
        <f>VLOOKUP($B165,'[1]Data_UN_PopulationTot.&amp;%'!$B$4:$CZ$603,8,FALSE)</f>
        <v>98.34</v>
      </c>
      <c r="BM165">
        <f>VLOOKUP($B165,'[1]Data_UN_PopulationTot.&amp;%'!$B$4:$CZ$603,9,FALSE)</f>
        <v>98.91</v>
      </c>
      <c r="BN165">
        <v>99.433000000000007</v>
      </c>
      <c r="BO165">
        <f>VLOOKUP($B165,'[1]Data_UN_PopulationTot.&amp;%'!$B$4:$CZ$603,11,FALSE)</f>
        <v>99.912000000000006</v>
      </c>
      <c r="BP165">
        <f>VLOOKUP($B165,'[1]Data_UN_PopulationTot.&amp;%'!$B$4:$CZ$603,12,FALSE)</f>
        <v>100.357</v>
      </c>
      <c r="BQ165">
        <f>VLOOKUP($B165,'[1]Data_UN_PopulationTot.&amp;%'!$B$4:$CZ$603,13,FALSE)</f>
        <v>100.783</v>
      </c>
      <c r="BR165">
        <f>VLOOKUP($B165,'[1]Data_UN_PopulationTot.&amp;%'!$B$4:$CZ$603,14,FALSE)</f>
        <v>101.175</v>
      </c>
      <c r="BS165">
        <f>VLOOKUP($B165,'[1]Data_UN_PopulationTot.&amp;%'!$B$4:$CZ$603,15,FALSE)</f>
        <v>101.548</v>
      </c>
      <c r="BT165">
        <f>VLOOKUP($B165,'[1]Data_UN_PopulationTot.&amp;%'!$B$4:$CZ$603,16,FALSE)</f>
        <v>101.889</v>
      </c>
      <c r="BU165">
        <f>VLOOKUP($B165,'[1]Data_UN_PopulationTot.&amp;%'!$B$4:$CZ$603,17,FALSE)</f>
        <v>102.229</v>
      </c>
      <c r="BV165">
        <f>VLOOKUP($B165,'[1]Data_UN_PopulationTot.&amp;%'!$B$4:$CZ$603,18,FALSE)</f>
        <v>102.538</v>
      </c>
      <c r="BW165">
        <f>VLOOKUP($B165,'[1]Data_UN_PopulationTot.&amp;%'!$B$4:$CZ$603,61,FALSE)</f>
        <v>8.1014846451088065</v>
      </c>
      <c r="BX165">
        <f>VLOOKUP($B165,'[1]Data_UN_PopulationTot.&amp;%'!$B$4:$CZ$603,62,FALSE)</f>
        <v>8.1004677648972958</v>
      </c>
      <c r="BY165">
        <f>VLOOKUP($B165,'[1]Data_UN_PopulationTot.&amp;%'!$B$4:$CZ$603,63,FALSE)</f>
        <v>7.5635550132194416</v>
      </c>
      <c r="BZ165">
        <f>VLOOKUP($B165,'[1]Data_UN_PopulationTot.&amp;%'!$B$4:$CZ$603,64,FALSE)</f>
        <v>6.5365059995932482</v>
      </c>
      <c r="CA165">
        <f>VLOOKUP($B165,'[1]Data_UN_PopulationTot.&amp;%'!$B$4:$CZ$603,65,FALSE)</f>
        <v>6.4704087858450272</v>
      </c>
      <c r="CB165">
        <f>VLOOKUP($B165,'[1]Data_UN_PopulationTot.&amp;%'!$B$4:$CZ$603,66,FALSE)</f>
        <v>7.1873093349603412</v>
      </c>
      <c r="CC165">
        <f>VLOOKUP($B165,'[1]Data_UN_PopulationTot.&amp;%'!$B$4:$CZ$603,67,FALSE)</f>
        <v>7.2249339027862511</v>
      </c>
      <c r="CD165">
        <f>VLOOKUP($B165,'[1]Data_UN_PopulationTot.&amp;%'!$B$4:$CZ$603,68,FALSE)</f>
        <v>7.5055928411633115</v>
      </c>
      <c r="CE165">
        <f>VLOOKUP($B165,'[1]Data_UN_PopulationTot.&amp;%'!$B$4:$CZ$603,69,FALSE)</f>
        <v>7.5615212527964202</v>
      </c>
      <c r="CF165">
        <f>VLOOKUP($B165,'[1]Data_UN_PopulationTot.&amp;%'!$B$4:$CZ$603,70,FALSE)</f>
        <v>7.5625381330079318</v>
      </c>
      <c r="CG165">
        <f>VLOOKUP($B165,'[1]Data_UN_PopulationTot.&amp;%'!$B$4:$CZ$603,71,FALSE)</f>
        <v>6.9341061622940821</v>
      </c>
      <c r="CH165">
        <f>VLOOKUP($B165,'[1]Data_UN_PopulationTot.&amp;%'!$B$4:$CZ$603,72,FALSE)</f>
        <v>6.2619483424852556</v>
      </c>
      <c r="CI165">
        <f>VLOOKUP($B165,'[1]Data_UN_PopulationTot.&amp;%'!$B$4:$CZ$603,73,FALSE)</f>
        <v>4.9227171039251578</v>
      </c>
      <c r="CJ165">
        <f>VLOOKUP($B165,'[1]Data_UN_PopulationTot.&amp;%'!$B$4:$CZ$603,74,FALSE)</f>
        <v>3.1197884889160057</v>
      </c>
      <c r="CK165">
        <f>VLOOKUP($B165,'[1]Data_UN_PopulationTot.&amp;%'!$B$4:$CZ$603,75,FALSE)</f>
        <v>1.6727679479357331</v>
      </c>
      <c r="CL165">
        <f>VLOOKUP($B165,'[1]Data_UN_PopulationTot.&amp;%'!$B$4:$CZ$603,76,FALSE)</f>
        <v>1.5863331299572909</v>
      </c>
      <c r="CM165">
        <f>VLOOKUP($B165,'[1]Data_UN_PopulationTot.&amp;%'!$B$4:$CZ$603,77,FALSE)</f>
        <v>0.94366483628228592</v>
      </c>
      <c r="CN165">
        <f>VLOOKUP($B165,'[1]Data_UN_PopulationTot.&amp;%'!$B$4:$CZ$603,78,FALSE)</f>
        <v>0.50132194427496435</v>
      </c>
      <c r="CO165">
        <f>VLOOKUP($B165,'[1]Data_UN_PopulationTot.&amp;%'!$B$4:$CZ$603,79,FALSE)</f>
        <v>0.20134228187919465</v>
      </c>
      <c r="CP165">
        <f>VLOOKUP($B165,'[1]Data_UN_PopulationTot.&amp;%'!$B$4:$CZ$603,80,FALSE)</f>
        <v>3.6607687614399025E-2</v>
      </c>
      <c r="CQ165">
        <f>VLOOKUP($B165,'[1]Data_UN_PopulationTot.&amp;%'!$B$4:$CZ$603,81,FALSE)</f>
        <v>5.0844010575554202E-3</v>
      </c>
      <c r="CR165">
        <f>VLOOKUP($B165,'[1]Data_UN_PopulationTot.&amp;%'!$B$4:$CZ$603,82,FALSE)</f>
        <v>6.793578965846808</v>
      </c>
      <c r="CS165">
        <f>VLOOKUP($B165,'[1]Data_UN_PopulationTot.&amp;%'!$B$4:$CZ$603,83,FALSE)</f>
        <v>7.1144356238662745</v>
      </c>
      <c r="CT165">
        <f>VLOOKUP($B165,'[1]Data_UN_PopulationTot.&amp;%'!$B$4:$CZ$603,84,FALSE)</f>
        <v>7.6966587996645162</v>
      </c>
      <c r="CU165">
        <f>VLOOKUP($B165,'[1]Data_UN_PopulationTot.&amp;%'!$B$4:$CZ$603,85,FALSE)</f>
        <v>7.6137627026078141</v>
      </c>
      <c r="CV165">
        <f>VLOOKUP($B165,'[1]Data_UN_PopulationTot.&amp;%'!$B$4:$CZ$603,86,FALSE)</f>
        <v>6.9076830053248548</v>
      </c>
      <c r="CW165">
        <f>VLOOKUP($B165,'[1]Data_UN_PopulationTot.&amp;%'!$B$4:$CZ$603,87,FALSE)</f>
        <v>5.8349099845910777</v>
      </c>
      <c r="CX165">
        <f>VLOOKUP($B165,'[1]Data_UN_PopulationTot.&amp;%'!$B$4:$CZ$603,88,FALSE)</f>
        <v>5.8173555169790712</v>
      </c>
      <c r="CY165">
        <f>VLOOKUP($B165,'[1]Data_UN_PopulationTot.&amp;%'!$B$4:$CZ$603,89,FALSE)</f>
        <v>6.5663461350913801</v>
      </c>
      <c r="CZ165">
        <f>VLOOKUP($B165,'[1]Data_UN_PopulationTot.&amp;%'!$B$4:$CZ$603,90,FALSE)</f>
        <v>6.6385145019407439</v>
      </c>
      <c r="DA165">
        <f>VLOOKUP($B165,'[1]Data_UN_PopulationTot.&amp;%'!$B$4:$CZ$603,91,FALSE)</f>
        <v>6.8842770485088449</v>
      </c>
      <c r="DB165">
        <f>VLOOKUP($B165,'[1]Data_UN_PopulationTot.&amp;%'!$B$4:$CZ$603,92,FALSE)</f>
        <v>6.8579453470908351</v>
      </c>
      <c r="DC165">
        <f>VLOOKUP($B165,'[1]Data_UN_PopulationTot.&amp;%'!$B$4:$CZ$603,93,FALSE)</f>
        <v>6.71946010259611</v>
      </c>
      <c r="DD165">
        <f>VLOOKUP($B165,'[1]Data_UN_PopulationTot.&amp;%'!$B$4:$CZ$603,94,FALSE)</f>
        <v>5.9548655132731287</v>
      </c>
      <c r="DE165">
        <f>VLOOKUP($B165,'[1]Data_UN_PopulationTot.&amp;%'!$B$4:$CZ$603,95,FALSE)</f>
        <v>5.1161520606994486</v>
      </c>
      <c r="DF165">
        <f>VLOOKUP($B165,'[1]Data_UN_PopulationTot.&amp;%'!$B$4:$CZ$603,96,FALSE)</f>
        <v>3.7137451481402017</v>
      </c>
      <c r="DG165">
        <f>VLOOKUP($B165,'[1]Data_UN_PopulationTot.&amp;%'!$B$4:$CZ$603,97,FALSE)</f>
        <v>2.0597241998088518</v>
      </c>
      <c r="DH165">
        <f>VLOOKUP($B165,'[1]Data_UN_PopulationTot.&amp;%'!$B$4:$CZ$603,98,FALSE)</f>
        <v>0.87772338060036292</v>
      </c>
      <c r="DI165">
        <f>VLOOKUP($B165,'[1]Data_UN_PopulationTot.&amp;%'!$B$4:$CZ$603,99,FALSE)</f>
        <v>0.57929743119623944</v>
      </c>
      <c r="DJ165">
        <f>VLOOKUP($B165,'[1]Data_UN_PopulationTot.&amp;%'!$B$4:$DE$603,100,FALSE)</f>
        <v>0.19992588113674931</v>
      </c>
      <c r="DK165">
        <f>VLOOKUP($B165,'[1]Data_UN_PopulationTot.&amp;%'!$B$4:$DE$603,101,FALSE)</f>
        <v>4.681191363201935E-2</v>
      </c>
      <c r="DL165">
        <f>VLOOKUP($B165,'[1]Data_UN_PopulationTot.&amp;%'!$B$4:$DE$603,102,FALSE)</f>
        <v>6.8267374046694891E-3</v>
      </c>
    </row>
    <row r="166" spans="1:116">
      <c r="A166" t="s">
        <v>114</v>
      </c>
      <c r="B166" t="s">
        <v>327</v>
      </c>
      <c r="C166" t="s">
        <v>487</v>
      </c>
      <c r="D166" t="s">
        <v>306</v>
      </c>
      <c r="E166" t="s">
        <v>299</v>
      </c>
      <c r="F166">
        <v>1</v>
      </c>
      <c r="G166">
        <v>0</v>
      </c>
      <c r="H166">
        <v>0</v>
      </c>
      <c r="I166">
        <v>0</v>
      </c>
      <c r="J166" s="18" t="e">
        <f t="shared" si="5"/>
        <v>#VALUE!</v>
      </c>
      <c r="K166" t="str">
        <f>VLOOKUP($B166,'[1]Source GDP Current USD'!$B$1:$CZ$600,64,FALSE)</f>
        <v>..</v>
      </c>
      <c r="L166" s="45">
        <f>VLOOKUP($B166,'[1]Source GDP Current USD'!$B$1:$CZ$600,65,FALSE)</f>
        <v>22777882165.1115</v>
      </c>
      <c r="M166" s="17" t="str">
        <f>VLOOKUP($B166,'[1]Source GDP Current LCU'!$B$1:$CZ$600,64,FALSE)</f>
        <v>..</v>
      </c>
      <c r="N166" s="45">
        <v>12000000000000</v>
      </c>
      <c r="O166" s="45" t="str">
        <f>VLOOKUP($B166,'[1]Source GNI Current USD'!$B$1:$CZ$600,64,FALSE)</f>
        <v>..</v>
      </c>
      <c r="P166" s="45" t="str">
        <f>VLOOKUP($B166,'[1]Source GNI Current LCU'!$B$1:$CZ$600,64,FALSE)</f>
        <v>..</v>
      </c>
      <c r="Q166" t="e">
        <f t="shared" si="4"/>
        <v>#VALUE!</v>
      </c>
      <c r="S166">
        <v>1170</v>
      </c>
      <c r="U166" s="45">
        <v>18000000</v>
      </c>
      <c r="AC166">
        <f>VLOOKUP($B166,[2]Summary!$B$1:$CZ$600,39,FALSE)</f>
        <v>0.77300000000000002</v>
      </c>
      <c r="AD166">
        <f>VLOOKUP($B166,[2]Summary!$B$1:$CZ$600,40,FALSE)</f>
        <v>0.51700000000000002</v>
      </c>
      <c r="AE166">
        <f>VLOOKUP($B166,[2]Summary!$B$1:$CZ$600,47,FALSE)</f>
        <v>0.22340582126942354</v>
      </c>
      <c r="AF166" t="e">
        <f>VLOOKUP($B166,'[1]CALC GDP Growth rates WDI'!$B$1:$CZ$600,27,FALSE)</f>
        <v>#VALUE!</v>
      </c>
      <c r="AG166" t="e">
        <f>VLOOKUP($B166,'[1]CALC GDP Growth rates WDI'!$B$1:$CZ$600,29,FALSE)</f>
        <v>#VALUE!</v>
      </c>
      <c r="AH166">
        <v>-100</v>
      </c>
      <c r="AI166" t="e">
        <f>VLOOKUP($B166,'[1]CALC GDP Growth rates WDI'!$B$1:$CZ$600,30,FALSE)</f>
        <v>#VALUE!</v>
      </c>
      <c r="AM166">
        <f>VLOOKUP($B166,[1]Data_Aspire!$B$1:$CZ$600,4,FALSE)</f>
        <v>0</v>
      </c>
      <c r="AN166">
        <f>VLOOKUP($B166,[1]Data_Aspire!$B$1:$CZ$600,5,FALSE)</f>
        <v>0</v>
      </c>
      <c r="AO166">
        <f>VLOOKUP($B166,[1]Data_Aspire!$B$1:$CZ$600,6,FALSE)</f>
        <v>0</v>
      </c>
      <c r="AP166">
        <f>VLOOKUP($B166,[1]Data_Aspire!$B$1:$CZ$600,7,FALSE)</f>
        <v>0</v>
      </c>
      <c r="BD166">
        <f>VLOOKUP($B166,[1]Data_Aspire!$B$1:$CZ$600,21,FALSE)</f>
        <v>46000</v>
      </c>
      <c r="BE166">
        <f>VLOOKUP($B166,[1]Data_Aspire!$B$1:$CZ$600,22,FALSE)</f>
        <v>2011</v>
      </c>
      <c r="BJ166" s="7">
        <v>0</v>
      </c>
      <c r="BK166">
        <v>760</v>
      </c>
      <c r="BL166">
        <f>VLOOKUP($B166,'[1]Data_UN_PopulationTot.&amp;%'!$B$4:$CZ$603,8,FALSE)</f>
        <v>17500.7</v>
      </c>
      <c r="BM166">
        <f>VLOOKUP($B166,'[1]Data_UN_PopulationTot.&amp;%'!$B$4:$CZ$603,9,FALSE)</f>
        <v>18275.7</v>
      </c>
      <c r="BN166">
        <v>19364.8</v>
      </c>
      <c r="BO166">
        <f>VLOOKUP($B166,'[1]Data_UN_PopulationTot.&amp;%'!$B$4:$CZ$603,11,FALSE)</f>
        <v>20638.3</v>
      </c>
      <c r="BP166">
        <f>VLOOKUP($B166,'[1]Data_UN_PopulationTot.&amp;%'!$B$4:$CZ$603,12,FALSE)</f>
        <v>21915.5</v>
      </c>
      <c r="BQ166">
        <f>VLOOKUP($B166,'[1]Data_UN_PopulationTot.&amp;%'!$B$4:$CZ$603,13,FALSE)</f>
        <v>23062</v>
      </c>
      <c r="BR166">
        <f>VLOOKUP($B166,'[1]Data_UN_PopulationTot.&amp;%'!$B$4:$CZ$603,14,FALSE)</f>
        <v>24032.6</v>
      </c>
      <c r="BS166">
        <f>VLOOKUP($B166,'[1]Data_UN_PopulationTot.&amp;%'!$B$4:$CZ$603,15,FALSE)</f>
        <v>24851.1</v>
      </c>
      <c r="BT166">
        <f>VLOOKUP($B166,'[1]Data_UN_PopulationTot.&amp;%'!$B$4:$CZ$603,16,FALSE)</f>
        <v>25536.7</v>
      </c>
      <c r="BU166">
        <f>VLOOKUP($B166,'[1]Data_UN_PopulationTot.&amp;%'!$B$4:$CZ$603,17,FALSE)</f>
        <v>26133.8</v>
      </c>
      <c r="BV166">
        <f>VLOOKUP($B166,'[1]Data_UN_PopulationTot.&amp;%'!$B$4:$CZ$603,18,FALSE)</f>
        <v>26676.6</v>
      </c>
      <c r="BW166">
        <f>VLOOKUP($B166,'[1]Data_UN_PopulationTot.&amp;%'!$B$4:$CZ$603,61,FALSE)</f>
        <v>10.965847080402497</v>
      </c>
      <c r="BX166">
        <f>VLOOKUP($B166,'[1]Data_UN_PopulationTot.&amp;%'!$B$4:$CZ$603,62,FALSE)</f>
        <v>9.8099504591244919</v>
      </c>
      <c r="BY166">
        <f>VLOOKUP($B166,'[1]Data_UN_PopulationTot.&amp;%'!$B$4:$CZ$603,63,FALSE)</f>
        <v>9.9988000479980776</v>
      </c>
      <c r="BZ166">
        <f>VLOOKUP($B166,'[1]Data_UN_PopulationTot.&amp;%'!$B$4:$CZ$603,64,FALSE)</f>
        <v>9.0011256692589434</v>
      </c>
      <c r="CA166">
        <f>VLOOKUP($B166,'[1]Data_UN_PopulationTot.&amp;%'!$B$4:$CZ$603,65,FALSE)</f>
        <v>9.162490643231413</v>
      </c>
      <c r="CB166">
        <f>VLOOKUP($B166,'[1]Data_UN_PopulationTot.&amp;%'!$B$4:$CZ$603,66,FALSE)</f>
        <v>8.5509722468244114</v>
      </c>
      <c r="CC166">
        <f>VLOOKUP($B166,'[1]Data_UN_PopulationTot.&amp;%'!$B$4:$CZ$603,67,FALSE)</f>
        <v>8.6902238196186428</v>
      </c>
      <c r="CD166">
        <f>VLOOKUP($B166,'[1]Data_UN_PopulationTot.&amp;%'!$B$4:$CZ$603,68,FALSE)</f>
        <v>7.9216259921031718</v>
      </c>
      <c r="CE166">
        <f>VLOOKUP($B166,'[1]Data_UN_PopulationTot.&amp;%'!$B$4:$CZ$603,69,FALSE)</f>
        <v>6.2571211437256791</v>
      </c>
      <c r="CF166">
        <f>VLOOKUP($B166,'[1]Data_UN_PopulationTot.&amp;%'!$B$4:$CZ$603,70,FALSE)</f>
        <v>4.7647522670521747</v>
      </c>
      <c r="CG166">
        <f>VLOOKUP($B166,'[1]Data_UN_PopulationTot.&amp;%'!$B$4:$CZ$603,71,FALSE)</f>
        <v>3.9394881347603237</v>
      </c>
      <c r="CH166">
        <f>VLOOKUP($B166,'[1]Data_UN_PopulationTot.&amp;%'!$B$4:$CZ$603,72,FALSE)</f>
        <v>3.4050523693337982</v>
      </c>
      <c r="CI166">
        <f>VLOOKUP($B166,'[1]Data_UN_PopulationTot.&amp;%'!$B$4:$CZ$603,73,FALSE)</f>
        <v>2.6578708280240217</v>
      </c>
      <c r="CJ166">
        <f>VLOOKUP($B166,'[1]Data_UN_PopulationTot.&amp;%'!$B$4:$CZ$603,74,FALSE)</f>
        <v>2.0411697817801571</v>
      </c>
      <c r="CK166">
        <f>VLOOKUP($B166,'[1]Data_UN_PopulationTot.&amp;%'!$B$4:$CZ$603,75,FALSE)</f>
        <v>1.1960664430565633</v>
      </c>
      <c r="CL166">
        <f>VLOOKUP($B166,'[1]Data_UN_PopulationTot.&amp;%'!$B$4:$CZ$603,76,FALSE)</f>
        <v>0.83554943516545055</v>
      </c>
      <c r="CM166">
        <f>VLOOKUP($B166,'[1]Data_UN_PopulationTot.&amp;%'!$B$4:$CZ$603,77,FALSE)</f>
        <v>0.48525487551926494</v>
      </c>
      <c r="CN166">
        <f>VLOOKUP($B166,'[1]Data_UN_PopulationTot.&amp;%'!$B$4:$CZ$603,78,FALSE)</f>
        <v>0.23933899786865667</v>
      </c>
      <c r="CO166">
        <f>VLOOKUP($B166,'[1]Data_UN_PopulationTot.&amp;%'!$B$4:$CZ$603,79,FALSE)</f>
        <v>6.5945933591227773E-2</v>
      </c>
      <c r="CP166">
        <f>VLOOKUP($B166,'[1]Data_UN_PopulationTot.&amp;%'!$B$4:$CZ$603,80,FALSE)</f>
        <v>1.0171021730559348E-2</v>
      </c>
      <c r="CQ166">
        <f>VLOOKUP($B166,'[1]Data_UN_PopulationTot.&amp;%'!$B$4:$CZ$603,81,FALSE)</f>
        <v>9.3710537292793997E-4</v>
      </c>
      <c r="CR166">
        <f>VLOOKUP($B166,'[1]Data_UN_PopulationTot.&amp;%'!$B$4:$CZ$603,82,FALSE)</f>
        <v>8.9042831545249399</v>
      </c>
      <c r="CS166">
        <f>VLOOKUP($B166,'[1]Data_UN_PopulationTot.&amp;%'!$B$4:$CZ$603,83,FALSE)</f>
        <v>10.033624974696927</v>
      </c>
      <c r="CT166">
        <f>VLOOKUP($B166,'[1]Data_UN_PopulationTot.&amp;%'!$B$4:$CZ$603,84,FALSE)</f>
        <v>10.34037321097891</v>
      </c>
      <c r="CU166">
        <f>VLOOKUP($B166,'[1]Data_UN_PopulationTot.&amp;%'!$B$4:$CZ$603,85,FALSE)</f>
        <v>8.4280230614096254</v>
      </c>
      <c r="CV166">
        <f>VLOOKUP($B166,'[1]Data_UN_PopulationTot.&amp;%'!$B$4:$CZ$603,86,FALSE)</f>
        <v>7.1544349729725676</v>
      </c>
      <c r="CW166">
        <f>VLOOKUP($B166,'[1]Data_UN_PopulationTot.&amp;%'!$B$4:$CZ$603,87,FALSE)</f>
        <v>6.2147724972447769</v>
      </c>
      <c r="CX166">
        <f>VLOOKUP($B166,'[1]Data_UN_PopulationTot.&amp;%'!$B$4:$CZ$603,88,FALSE)</f>
        <v>6.8857350636887764</v>
      </c>
      <c r="CY166">
        <f>VLOOKUP($B166,'[1]Data_UN_PopulationTot.&amp;%'!$B$4:$CZ$603,89,FALSE)</f>
        <v>7.6735041197154059</v>
      </c>
      <c r="CZ166">
        <f>VLOOKUP($B166,'[1]Data_UN_PopulationTot.&amp;%'!$B$4:$CZ$603,90,FALSE)</f>
        <v>8.2500768463747267</v>
      </c>
      <c r="DA166">
        <f>VLOOKUP($B166,'[1]Data_UN_PopulationTot.&amp;%'!$B$4:$CZ$603,91,FALSE)</f>
        <v>7.3287075564352282</v>
      </c>
      <c r="DB166">
        <f>VLOOKUP($B166,'[1]Data_UN_PopulationTot.&amp;%'!$B$4:$CZ$603,92,FALSE)</f>
        <v>5.5859067497357247</v>
      </c>
      <c r="DC166">
        <f>VLOOKUP($B166,'[1]Data_UN_PopulationTot.&amp;%'!$B$4:$CZ$603,93,FALSE)</f>
        <v>4.0502537804667762</v>
      </c>
      <c r="DD166">
        <f>VLOOKUP($B166,'[1]Data_UN_PopulationTot.&amp;%'!$B$4:$CZ$603,94,FALSE)</f>
        <v>3.1013959799974513</v>
      </c>
      <c r="DE166">
        <f>VLOOKUP($B166,'[1]Data_UN_PopulationTot.&amp;%'!$B$4:$CZ$603,95,FALSE)</f>
        <v>2.4318016538839284</v>
      </c>
      <c r="DF166">
        <f>VLOOKUP($B166,'[1]Data_UN_PopulationTot.&amp;%'!$B$4:$CZ$603,96,FALSE)</f>
        <v>1.6974202109714134</v>
      </c>
      <c r="DG166">
        <f>VLOOKUP($B166,'[1]Data_UN_PopulationTot.&amp;%'!$B$4:$CZ$603,97,FALSE)</f>
        <v>1.1060704887429433</v>
      </c>
      <c r="DH166">
        <f>VLOOKUP($B166,'[1]Data_UN_PopulationTot.&amp;%'!$B$4:$CZ$603,98,FALSE)</f>
        <v>0.51471701791082825</v>
      </c>
      <c r="DI166">
        <f>VLOOKUP($B166,'[1]Data_UN_PopulationTot.&amp;%'!$B$4:$CZ$603,99,FALSE)</f>
        <v>0.22643815178845883</v>
      </c>
      <c r="DJ166">
        <f>VLOOKUP($B166,'[1]Data_UN_PopulationTot.&amp;%'!$B$4:$DE$603,100,FALSE)</f>
        <v>6.073862486223882E-2</v>
      </c>
      <c r="DK166">
        <f>VLOOKUP($B166,'[1]Data_UN_PopulationTot.&amp;%'!$B$4:$DE$603,101,FALSE)</f>
        <v>1.0691017595945511E-2</v>
      </c>
      <c r="DL166">
        <f>VLOOKUP($B166,'[1]Data_UN_PopulationTot.&amp;%'!$B$4:$DE$603,102,FALSE)</f>
        <v>8.8841906389869774E-4</v>
      </c>
    </row>
    <row r="167" spans="1:116">
      <c r="A167" t="s">
        <v>105</v>
      </c>
      <c r="B167" t="s">
        <v>318</v>
      </c>
      <c r="C167" t="s">
        <v>496</v>
      </c>
      <c r="D167" t="s">
        <v>306</v>
      </c>
      <c r="E167" t="s">
        <v>299</v>
      </c>
      <c r="F167">
        <v>1</v>
      </c>
      <c r="G167">
        <v>0</v>
      </c>
      <c r="H167">
        <v>0</v>
      </c>
      <c r="I167">
        <v>0</v>
      </c>
      <c r="J167" s="18">
        <f t="shared" si="5"/>
        <v>1305.5777949000001</v>
      </c>
      <c r="K167">
        <f>VLOOKUP($B167,'[1]Source GDP Current USD'!$B$1:$CZ$600,64,FALSE)</f>
        <v>10829076801.729</v>
      </c>
      <c r="L167" s="45">
        <f>VLOOKUP($B167,'[1]Source GDP Current USD'!$B$1:$CZ$600,65,FALSE)</f>
        <v>10829076801.729</v>
      </c>
      <c r="M167" s="17">
        <f>VLOOKUP($B167,'[1]Source GDP Current LCU'!$B$1:$CZ$600,64,FALSE)</f>
        <v>6233065000000</v>
      </c>
      <c r="N167" s="45">
        <v>6200000000000</v>
      </c>
      <c r="O167" s="45">
        <f>VLOOKUP($B167,'[1]Source GNI Current USD'!$B$1:$CZ$600,64,FALSE)</f>
        <v>9948225335.7447891</v>
      </c>
      <c r="P167" s="45">
        <f>VLOOKUP($B167,'[1]Source GNI Current LCU'!$B$1:$CZ$600,64,FALSE)</f>
        <v>5726059228100</v>
      </c>
      <c r="Q167">
        <f t="shared" si="4"/>
        <v>108.85435780007174</v>
      </c>
      <c r="R167">
        <v>630</v>
      </c>
      <c r="S167">
        <v>630</v>
      </c>
      <c r="T167">
        <v>0.411437</v>
      </c>
      <c r="U167" s="45">
        <v>16000000</v>
      </c>
      <c r="V167">
        <v>20.946000000000002</v>
      </c>
      <c r="W167">
        <f>VLOOKUP($B167,'[1]Source Gov. Revenue WEO'!$B$1:$CZ$600,5,FALSE)</f>
        <v>16.045999999999999</v>
      </c>
      <c r="X167">
        <f>VLOOKUP($B167,'[1]Source Gov. Revenue WEO'!$B$1:$CZ$600,6,FALSE)</f>
        <v>17.983000000000001</v>
      </c>
      <c r="Y167">
        <f>VLOOKUP($B167,'[1]Source Gov. Revenue WEO'!$B$1:$CZ$600,7,FALSE)</f>
        <v>17.553999999999998</v>
      </c>
      <c r="Z167">
        <f>VLOOKUP($B167,'[1]Source Gov. Revenue WEO'!$B$1:$CZ$600,8,FALSE)</f>
        <v>17.501999999999999</v>
      </c>
      <c r="AA167">
        <f>VLOOKUP($B167,'[1]Source Gov. Revenue WEO'!$B$1:$CZ$600,9,FALSE)</f>
        <v>17.998000000000001</v>
      </c>
      <c r="AB167">
        <f>VLOOKUP($B167,'[1]Source Gov. Revenue WEO'!$B$1:$CZ$600,10,FALSE)</f>
        <v>17.882999999999999</v>
      </c>
      <c r="AC167">
        <f>VLOOKUP($B167,[2]Summary!$B$1:$CZ$600,39,FALSE)</f>
        <v>0.41247860000000003</v>
      </c>
      <c r="AD167">
        <f>VLOOKUP($B167,[2]Summary!$B$1:$CZ$600,40,FALSE)</f>
        <v>0.42424999999999996</v>
      </c>
      <c r="AE167">
        <f>VLOOKUP($B167,[2]Summary!$B$1:$CZ$600,47,FALSE)</f>
        <v>0.17699999999999999</v>
      </c>
      <c r="AF167">
        <f>VLOOKUP($B167,'[1]CALC GDP Growth rates WDI'!$B$1:$CZ$600,27,FALSE)</f>
        <v>20.484078099850805</v>
      </c>
      <c r="AG167">
        <f>VLOOKUP($B167,'[1]CALC GDP Growth rates WDI'!$B$1:$CZ$600,29,FALSE)</f>
        <v>33.844690417607445</v>
      </c>
      <c r="AH167">
        <v>-4.75</v>
      </c>
      <c r="AI167">
        <f>VLOOKUP($B167,'[1]CALC GDP Growth rates WDI'!$B$1:$CZ$600,30,FALSE)</f>
        <v>-4.271148492443821</v>
      </c>
      <c r="AJ167" s="45" t="s">
        <v>2467</v>
      </c>
      <c r="AK167">
        <f>VLOOKUP($B167,[1]Data_Aspire!$B$1:$CZ$600,2,FALSE)</f>
        <v>2018</v>
      </c>
      <c r="AL167">
        <f>VLOOKUP($B167,[1]Data_Aspire!$B$1:$CZ$600,3,FALSE)</f>
        <v>0.75</v>
      </c>
      <c r="AM167">
        <f>VLOOKUP($B167,[1]Data_Aspire!$B$1:$CZ$600,4,FALSE)</f>
        <v>0</v>
      </c>
      <c r="AN167">
        <f>VLOOKUP($B167,[1]Data_Aspire!$B$1:$CZ$600,5,FALSE)</f>
        <v>0.03</v>
      </c>
      <c r="AO167">
        <f>VLOOKUP($B167,[1]Data_Aspire!$B$1:$CZ$600,6,FALSE)</f>
        <v>0</v>
      </c>
      <c r="AP167">
        <f>VLOOKUP($B167,[1]Data_Aspire!$B$1:$CZ$600,7,FALSE)</f>
        <v>0.01</v>
      </c>
      <c r="AQ167">
        <f>VLOOKUP($B167,[1]Data_Aspire!$B$1:$CZ$600,8,FALSE)</f>
        <v>0.04</v>
      </c>
      <c r="AR167">
        <f>VLOOKUP($B167,[1]Data_Aspire!$B$1:$CZ$600,9,FALSE)</f>
        <v>0.57999999999999996</v>
      </c>
      <c r="AS167">
        <f>VLOOKUP($B167,[1]Data_Aspire!$B$1:$CZ$600,10,FALSE)</f>
        <v>0.08</v>
      </c>
      <c r="AU167">
        <f>VLOOKUP($B167,[1]Data_Aspire!$B$1:$CZ$600,12,FALSE)</f>
        <v>0.68</v>
      </c>
      <c r="AV167">
        <f>VLOOKUP($B167,[1]Data_Aspire!$B$1:$CZ$600,13,FALSE)</f>
        <v>11833</v>
      </c>
      <c r="AW167">
        <f>VLOOKUP($B167,[1]Data_Aspire!$B$1:$CZ$600,14,FALSE)</f>
        <v>2016</v>
      </c>
      <c r="AX167">
        <f>VLOOKUP($B167,[1]Data_Aspire!$B$1:$CZ$600,15,FALSE)</f>
        <v>308862</v>
      </c>
      <c r="AY167">
        <f>VLOOKUP($B167,[1]Data_Aspire!$B$1:$CZ$600,16,FALSE)</f>
        <v>2016</v>
      </c>
      <c r="BB167">
        <f>VLOOKUP($B167,[1]Data_Aspire!$B$1:$CZ$600,19,FALSE)</f>
        <v>422457</v>
      </c>
      <c r="BC167">
        <f>VLOOKUP($B167,[1]Data_Aspire!$B$1:$CZ$600,20,FALSE)</f>
        <v>2016</v>
      </c>
      <c r="BD167">
        <f>VLOOKUP($B167,[1]Data_Aspire!$B$1:$CZ$600,21,FALSE)</f>
        <v>128027</v>
      </c>
      <c r="BE167">
        <f>VLOOKUP($B167,[1]Data_Aspire!$B$1:$CZ$600,22,FALSE)</f>
        <v>2017</v>
      </c>
      <c r="BF167">
        <f>VLOOKUP($B167,[1]Data_Aspire!$B$1:$CZ$600,23,FALSE)</f>
        <v>10670</v>
      </c>
      <c r="BG167">
        <f>VLOOKUP($B167,[1]Data_Aspire!$B$1:$CZ$600,24,FALSE)</f>
        <v>2017</v>
      </c>
      <c r="BJ167" s="7">
        <v>1</v>
      </c>
      <c r="BK167">
        <v>148</v>
      </c>
      <c r="BL167">
        <f>VLOOKUP($B167,'[1]Data_UN_PopulationTot.&amp;%'!$B$4:$CZ$603,8,FALSE)</f>
        <v>16425.900000000001</v>
      </c>
      <c r="BM167">
        <f>VLOOKUP($B167,'[1]Data_UN_PopulationTot.&amp;%'!$B$4:$CZ$603,9,FALSE)</f>
        <v>16915</v>
      </c>
      <c r="BN167">
        <v>17413.599999999999</v>
      </c>
      <c r="BO167">
        <f>VLOOKUP($B167,'[1]Data_UN_PopulationTot.&amp;%'!$B$4:$CZ$603,11,FALSE)</f>
        <v>17921.2</v>
      </c>
      <c r="BP167">
        <f>VLOOKUP($B167,'[1]Data_UN_PopulationTot.&amp;%'!$B$4:$CZ$603,12,FALSE)</f>
        <v>18437</v>
      </c>
      <c r="BQ167">
        <f>VLOOKUP($B167,'[1]Data_UN_PopulationTot.&amp;%'!$B$4:$CZ$603,13,FALSE)</f>
        <v>18960.5</v>
      </c>
      <c r="BR167">
        <f>VLOOKUP($B167,'[1]Data_UN_PopulationTot.&amp;%'!$B$4:$CZ$603,14,FALSE)</f>
        <v>19491.5</v>
      </c>
      <c r="BS167">
        <f>VLOOKUP($B167,'[1]Data_UN_PopulationTot.&amp;%'!$B$4:$CZ$603,15,FALSE)</f>
        <v>20030</v>
      </c>
      <c r="BT167">
        <f>VLOOKUP($B167,'[1]Data_UN_PopulationTot.&amp;%'!$B$4:$CZ$603,16,FALSE)</f>
        <v>20576</v>
      </c>
      <c r="BU167">
        <f>VLOOKUP($B167,'[1]Data_UN_PopulationTot.&amp;%'!$B$4:$CZ$603,17,FALSE)</f>
        <v>21129.5</v>
      </c>
      <c r="BV167">
        <f>VLOOKUP($B167,'[1]Data_UN_PopulationTot.&amp;%'!$B$4:$CZ$603,18,FALSE)</f>
        <v>21690.400000000001</v>
      </c>
      <c r="BW167">
        <f>VLOOKUP($B167,'[1]Data_UN_PopulationTot.&amp;%'!$B$4:$CZ$603,61,FALSE)</f>
        <v>17.840361867538459</v>
      </c>
      <c r="BX167">
        <f>VLOOKUP($B167,'[1]Data_UN_PopulationTot.&amp;%'!$B$4:$CZ$603,62,FALSE)</f>
        <v>15.354470683493751</v>
      </c>
      <c r="BY167">
        <f>VLOOKUP($B167,'[1]Data_UN_PopulationTot.&amp;%'!$B$4:$CZ$603,63,FALSE)</f>
        <v>13.295344547330739</v>
      </c>
      <c r="BZ167">
        <f>VLOOKUP($B167,'[1]Data_UN_PopulationTot.&amp;%'!$B$4:$CZ$603,64,FALSE)</f>
        <v>11.292227518735654</v>
      </c>
      <c r="CA167">
        <f>VLOOKUP($B167,'[1]Data_UN_PopulationTot.&amp;%'!$B$4:$CZ$603,65,FALSE)</f>
        <v>9.3480418120163868</v>
      </c>
      <c r="CB167">
        <f>VLOOKUP($B167,'[1]Data_UN_PopulationTot.&amp;%'!$B$4:$CZ$603,66,FALSE)</f>
        <v>7.5826590932612516</v>
      </c>
      <c r="CC167">
        <f>VLOOKUP($B167,'[1]Data_UN_PopulationTot.&amp;%'!$B$4:$CZ$603,67,FALSE)</f>
        <v>6.0269756908297261</v>
      </c>
      <c r="CD167">
        <f>VLOOKUP($B167,'[1]Data_UN_PopulationTot.&amp;%'!$B$4:$CZ$603,68,FALSE)</f>
        <v>4.7465344364692337</v>
      </c>
      <c r="CE167">
        <f>VLOOKUP($B167,'[1]Data_UN_PopulationTot.&amp;%'!$B$4:$CZ$603,69,FALSE)</f>
        <v>3.713890867471493</v>
      </c>
      <c r="CF167">
        <f>VLOOKUP($B167,'[1]Data_UN_PopulationTot.&amp;%'!$B$4:$CZ$603,70,FALSE)</f>
        <v>2.8783263017551546</v>
      </c>
      <c r="CG167">
        <f>VLOOKUP($B167,'[1]Data_UN_PopulationTot.&amp;%'!$B$4:$CZ$603,71,FALSE)</f>
        <v>2.206070900224645</v>
      </c>
      <c r="CH167">
        <f>VLOOKUP($B167,'[1]Data_UN_PopulationTot.&amp;%'!$B$4:$CZ$603,72,FALSE)</f>
        <v>1.7793849956471179</v>
      </c>
      <c r="CI167">
        <f>VLOOKUP($B167,'[1]Data_UN_PopulationTot.&amp;%'!$B$4:$CZ$603,73,FALSE)</f>
        <v>1.4369014787621985</v>
      </c>
      <c r="CJ167">
        <f>VLOOKUP($B167,'[1]Data_UN_PopulationTot.&amp;%'!$B$4:$CZ$603,74,FALSE)</f>
        <v>1.103896894538503</v>
      </c>
      <c r="CK167">
        <f>VLOOKUP($B167,'[1]Data_UN_PopulationTot.&amp;%'!$B$4:$CZ$603,75,FALSE)</f>
        <v>0.68297018732611292</v>
      </c>
      <c r="CL167">
        <f>VLOOKUP($B167,'[1]Data_UN_PopulationTot.&amp;%'!$B$4:$CZ$603,76,FALSE)</f>
        <v>0.41688431075313981</v>
      </c>
      <c r="CM167">
        <f>VLOOKUP($B167,'[1]Data_UN_PopulationTot.&amp;%'!$B$4:$CZ$603,77,FALSE)</f>
        <v>0.20464632074954797</v>
      </c>
      <c r="CN167">
        <f>VLOOKUP($B167,'[1]Data_UN_PopulationTot.&amp;%'!$B$4:$CZ$603,78,FALSE)</f>
        <v>7.164904206162219E-2</v>
      </c>
      <c r="CO167">
        <f>VLOOKUP($B167,'[1]Data_UN_PopulationTot.&amp;%'!$B$4:$CZ$603,79,FALSE)</f>
        <v>1.6200025569375193E-2</v>
      </c>
      <c r="CP167">
        <f>VLOOKUP($B167,'[1]Data_UN_PopulationTot.&amp;%'!$B$4:$CZ$603,80,FALSE)</f>
        <v>2.1855727844440789E-3</v>
      </c>
      <c r="CQ167">
        <f>VLOOKUP($B167,'[1]Data_UN_PopulationTot.&amp;%'!$B$4:$CZ$603,81,FALSE)</f>
        <v>1.6437455481891402E-4</v>
      </c>
      <c r="CR167">
        <f>VLOOKUP($B167,'[1]Data_UN_PopulationTot.&amp;%'!$B$4:$CZ$603,82,FALSE)</f>
        <v>16.125705381182456</v>
      </c>
      <c r="CS167">
        <f>VLOOKUP($B167,'[1]Data_UN_PopulationTot.&amp;%'!$B$4:$CZ$603,83,FALSE)</f>
        <v>14.335789104857447</v>
      </c>
      <c r="CT167">
        <f>VLOOKUP($B167,'[1]Data_UN_PopulationTot.&amp;%'!$B$4:$CZ$603,84,FALSE)</f>
        <v>12.746745103824733</v>
      </c>
      <c r="CU167">
        <f>VLOOKUP($B167,'[1]Data_UN_PopulationTot.&amp;%'!$B$4:$CZ$603,85,FALSE)</f>
        <v>11.219802308855529</v>
      </c>
      <c r="CV167">
        <f>VLOOKUP($B167,'[1]Data_UN_PopulationTot.&amp;%'!$B$4:$CZ$603,86,FALSE)</f>
        <v>9.7048924869988582</v>
      </c>
      <c r="CW167">
        <f>VLOOKUP($B167,'[1]Data_UN_PopulationTot.&amp;%'!$B$4:$CZ$603,87,FALSE)</f>
        <v>8.1515324751963991</v>
      </c>
      <c r="CX167">
        <f>VLOOKUP($B167,'[1]Data_UN_PopulationTot.&amp;%'!$B$4:$CZ$603,88,FALSE)</f>
        <v>6.6475491461660461</v>
      </c>
      <c r="CY167">
        <f>VLOOKUP($B167,'[1]Data_UN_PopulationTot.&amp;%'!$B$4:$CZ$603,89,FALSE)</f>
        <v>5.2990724006933938</v>
      </c>
      <c r="CZ167">
        <f>VLOOKUP($B167,'[1]Data_UN_PopulationTot.&amp;%'!$B$4:$CZ$603,90,FALSE)</f>
        <v>4.1446308044111673</v>
      </c>
      <c r="DA167">
        <f>VLOOKUP($B167,'[1]Data_UN_PopulationTot.&amp;%'!$B$4:$CZ$603,91,FALSE)</f>
        <v>3.2331169549662517</v>
      </c>
      <c r="DB167">
        <f>VLOOKUP($B167,'[1]Data_UN_PopulationTot.&amp;%'!$B$4:$CZ$603,92,FALSE)</f>
        <v>2.5114013572824843</v>
      </c>
      <c r="DC167">
        <f>VLOOKUP($B167,'[1]Data_UN_PopulationTot.&amp;%'!$B$4:$CZ$603,93,FALSE)</f>
        <v>1.9146027735772508</v>
      </c>
      <c r="DD167">
        <f>VLOOKUP($B167,'[1]Data_UN_PopulationTot.&amp;%'!$B$4:$CZ$603,94,FALSE)</f>
        <v>1.4116060561354331</v>
      </c>
      <c r="DE167">
        <f>VLOOKUP($B167,'[1]Data_UN_PopulationTot.&amp;%'!$B$4:$CZ$603,95,FALSE)</f>
        <v>1.0547154501530631</v>
      </c>
      <c r="DF167">
        <f>VLOOKUP($B167,'[1]Data_UN_PopulationTot.&amp;%'!$B$4:$CZ$603,96,FALSE)</f>
        <v>0.74569394755283447</v>
      </c>
      <c r="DG167">
        <f>VLOOKUP($B167,'[1]Data_UN_PopulationTot.&amp;%'!$B$4:$CZ$603,97,FALSE)</f>
        <v>0.4607383911776638</v>
      </c>
      <c r="DH167">
        <f>VLOOKUP($B167,'[1]Data_UN_PopulationTot.&amp;%'!$B$4:$CZ$603,98,FALSE)</f>
        <v>0.20117655737100282</v>
      </c>
      <c r="DI167">
        <f>VLOOKUP($B167,'[1]Data_UN_PopulationTot.&amp;%'!$B$4:$CZ$603,99,FALSE)</f>
        <v>7.2036476966768709E-2</v>
      </c>
      <c r="DJ167">
        <f>VLOOKUP($B167,'[1]Data_UN_PopulationTot.&amp;%'!$B$4:$DE$603,100,FALSE)</f>
        <v>1.6624866300298746E-2</v>
      </c>
      <c r="DK167">
        <f>VLOOKUP($B167,'[1]Data_UN_PopulationTot.&amp;%'!$B$4:$DE$603,101,FALSE)</f>
        <v>2.2452329141002471E-3</v>
      </c>
      <c r="DL167">
        <f>VLOOKUP($B167,'[1]Data_UN_PopulationTot.&amp;%'!$B$4:$DE$603,102,FALSE)</f>
        <v>1.7980304650905469E-4</v>
      </c>
    </row>
    <row r="168" spans="1:116">
      <c r="A168" t="s">
        <v>116</v>
      </c>
      <c r="B168" t="s">
        <v>329</v>
      </c>
      <c r="C168" t="s">
        <v>496</v>
      </c>
      <c r="D168" t="s">
        <v>306</v>
      </c>
      <c r="E168" t="s">
        <v>299</v>
      </c>
      <c r="F168">
        <v>1</v>
      </c>
      <c r="G168">
        <v>0</v>
      </c>
      <c r="H168">
        <v>0</v>
      </c>
      <c r="I168">
        <v>0</v>
      </c>
      <c r="J168" s="18">
        <f t="shared" si="5"/>
        <v>707.95325489999846</v>
      </c>
      <c r="K168">
        <f>VLOOKUP($B168,'[1]Source GDP Current USD'!$B$1:$CZ$600,64,FALSE)</f>
        <v>7574636978.6617298</v>
      </c>
      <c r="L168" s="45">
        <f>VLOOKUP($B168,'[1]Source GDP Current USD'!$B$1:$CZ$600,65,FALSE)</f>
        <v>7574636978.6617298</v>
      </c>
      <c r="M168" s="17">
        <f>VLOOKUP($B168,'[1]Source GDP Current LCU'!$B$1:$CZ$600,64,FALSE)</f>
        <v>4359854999999.9902</v>
      </c>
      <c r="N168" s="45">
        <v>4400000000000</v>
      </c>
      <c r="O168" s="45">
        <f>VLOOKUP($B168,'[1]Source GNI Current USD'!$B$1:$CZ$600,64,FALSE)</f>
        <v>7591296131.2470903</v>
      </c>
      <c r="P168" s="45">
        <f>VLOOKUP($B168,'[1]Source GNI Current LCU'!$B$1:$CZ$600,64,FALSE)</f>
        <v>4369443774999.9902</v>
      </c>
      <c r="Q168">
        <f t="shared" si="4"/>
        <v>99.780549298863562</v>
      </c>
      <c r="R168">
        <v>920</v>
      </c>
      <c r="S168">
        <v>920</v>
      </c>
      <c r="T168">
        <v>0.41149200000000002</v>
      </c>
      <c r="U168" s="45">
        <v>8300000</v>
      </c>
      <c r="V168">
        <v>16.238</v>
      </c>
      <c r="W168">
        <f>VLOOKUP($B168,'[1]Source Gov. Revenue WEO'!$B$1:$CZ$600,5,FALSE)</f>
        <v>17.213999999999999</v>
      </c>
      <c r="X168">
        <f>VLOOKUP($B168,'[1]Source Gov. Revenue WEO'!$B$1:$CZ$600,6,FALSE)</f>
        <v>16.904</v>
      </c>
      <c r="Y168">
        <f>VLOOKUP($B168,'[1]Source Gov. Revenue WEO'!$B$1:$CZ$600,7,FALSE)</f>
        <v>17.393000000000001</v>
      </c>
      <c r="Z168">
        <f>VLOOKUP($B168,'[1]Source Gov. Revenue WEO'!$B$1:$CZ$600,8,FALSE)</f>
        <v>17.882999999999999</v>
      </c>
      <c r="AA168">
        <f>VLOOKUP($B168,'[1]Source Gov. Revenue WEO'!$B$1:$CZ$600,9,FALSE)</f>
        <v>18.489000000000001</v>
      </c>
      <c r="AB168">
        <f>VLOOKUP($B168,'[1]Source Gov. Revenue WEO'!$B$1:$CZ$600,10,FALSE)</f>
        <v>18.698</v>
      </c>
      <c r="AC168">
        <f>VLOOKUP($B168,[2]Summary!$B$1:$CZ$600,39,FALSE)</f>
        <v>0.4569838</v>
      </c>
      <c r="AD168">
        <f>VLOOKUP($B168,[2]Summary!$B$1:$CZ$600,40,FALSE)</f>
        <v>0.36649999999999999</v>
      </c>
      <c r="AE168">
        <f>VLOOKUP($B168,[2]Summary!$B$1:$CZ$600,47,FALSE)</f>
        <v>0.22143137168222626</v>
      </c>
      <c r="AF168">
        <f>VLOOKUP($B168,'[1]CALC GDP Growth rates WDI'!$B$1:$CZ$600,27,FALSE)</f>
        <v>67.171461064744776</v>
      </c>
      <c r="AG168">
        <f>VLOOKUP($B168,'[1]CALC GDP Growth rates WDI'!$B$1:$CZ$600,29,FALSE)</f>
        <v>65.860342753249014</v>
      </c>
      <c r="AH168">
        <v>24.09</v>
      </c>
      <c r="AI168">
        <f>VLOOKUP($B168,'[1]CALC GDP Growth rates WDI'!$B$1:$CZ$600,30,FALSE)</f>
        <v>22.693809872322703</v>
      </c>
      <c r="AJ168" s="45" t="s">
        <v>2465</v>
      </c>
      <c r="AK168">
        <f>VLOOKUP($B168,[1]Data_Aspire!$B$1:$CZ$600,2,FALSE)</f>
        <v>2015</v>
      </c>
      <c r="AL168">
        <f>VLOOKUP($B168,[1]Data_Aspire!$B$1:$CZ$600,3,FALSE)</f>
        <v>0.2</v>
      </c>
      <c r="AM168">
        <f>VLOOKUP($B168,[1]Data_Aspire!$B$1:$CZ$600,4,FALSE)</f>
        <v>0</v>
      </c>
      <c r="AN168">
        <f>VLOOKUP($B168,[1]Data_Aspire!$B$1:$CZ$600,5,FALSE)</f>
        <v>0.04</v>
      </c>
      <c r="AO168">
        <f>VLOOKUP($B168,[1]Data_Aspire!$B$1:$CZ$600,6,FALSE)</f>
        <v>0</v>
      </c>
      <c r="AP168">
        <f>VLOOKUP($B168,[1]Data_Aspire!$B$1:$CZ$600,7,FALSE)</f>
        <v>0.04</v>
      </c>
      <c r="AR168">
        <f>VLOOKUP($B168,[1]Data_Aspire!$B$1:$CZ$600,9,FALSE)</f>
        <v>0.02</v>
      </c>
      <c r="AS168">
        <f>VLOOKUP($B168,[1]Data_Aspire!$B$1:$CZ$600,10,FALSE)</f>
        <v>0.11</v>
      </c>
      <c r="AU168">
        <f>VLOOKUP($B168,[1]Data_Aspire!$B$1:$CZ$600,12,FALSE)</f>
        <v>0.09</v>
      </c>
      <c r="AV168">
        <f>VLOOKUP($B168,[1]Data_Aspire!$B$1:$CZ$600,13,FALSE)</f>
        <v>50732</v>
      </c>
      <c r="AW168">
        <f>VLOOKUP($B168,[1]Data_Aspire!$B$1:$CZ$600,14,FALSE)</f>
        <v>2015</v>
      </c>
      <c r="BB168">
        <f>VLOOKUP($B168,[1]Data_Aspire!$B$1:$CZ$600,19,FALSE)</f>
        <v>25914</v>
      </c>
      <c r="BC168">
        <f>VLOOKUP($B168,[1]Data_Aspire!$B$1:$CZ$600,20,FALSE)</f>
        <v>2011</v>
      </c>
      <c r="BD168">
        <f>VLOOKUP($B168,[1]Data_Aspire!$B$1:$CZ$600,21,FALSE)</f>
        <v>40000</v>
      </c>
      <c r="BE168">
        <f>VLOOKUP($B168,[1]Data_Aspire!$B$1:$CZ$600,22,FALSE)</f>
        <v>2011</v>
      </c>
      <c r="BF168">
        <f>VLOOKUP($B168,[1]Data_Aspire!$B$1:$CZ$600,23,FALSE)</f>
        <v>25000</v>
      </c>
      <c r="BG168">
        <f>VLOOKUP($B168,[1]Data_Aspire!$B$1:$CZ$600,24,FALSE)</f>
        <v>2011</v>
      </c>
      <c r="BJ168" s="7">
        <v>1</v>
      </c>
      <c r="BK168">
        <v>768</v>
      </c>
      <c r="BL168">
        <f>VLOOKUP($B168,'[1]Data_UN_PopulationTot.&amp;%'!$B$4:$CZ$603,8,FALSE)</f>
        <v>8278.74</v>
      </c>
      <c r="BM168">
        <f>VLOOKUP($B168,'[1]Data_UN_PopulationTot.&amp;%'!$B$4:$CZ$603,9,FALSE)</f>
        <v>8478.24</v>
      </c>
      <c r="BN168">
        <v>8680.83</v>
      </c>
      <c r="BO168">
        <f>VLOOKUP($B168,'[1]Data_UN_PopulationTot.&amp;%'!$B$4:$CZ$603,11,FALSE)</f>
        <v>8886.6299999999992</v>
      </c>
      <c r="BP168">
        <f>VLOOKUP($B168,'[1]Data_UN_PopulationTot.&amp;%'!$B$4:$CZ$603,12,FALSE)</f>
        <v>9095.7900000000009</v>
      </c>
      <c r="BQ168">
        <f>VLOOKUP($B168,'[1]Data_UN_PopulationTot.&amp;%'!$B$4:$CZ$603,13,FALSE)</f>
        <v>9308.39</v>
      </c>
      <c r="BR168">
        <f>VLOOKUP($B168,'[1]Data_UN_PopulationTot.&amp;%'!$B$4:$CZ$603,14,FALSE)</f>
        <v>9524.4599999999991</v>
      </c>
      <c r="BS168">
        <f>VLOOKUP($B168,'[1]Data_UN_PopulationTot.&amp;%'!$B$4:$CZ$603,15,FALSE)</f>
        <v>9743.9599999999991</v>
      </c>
      <c r="BT168">
        <f>VLOOKUP($B168,'[1]Data_UN_PopulationTot.&amp;%'!$B$4:$CZ$603,16,FALSE)</f>
        <v>9966.7999999999993</v>
      </c>
      <c r="BU168">
        <f>VLOOKUP($B168,'[1]Data_UN_PopulationTot.&amp;%'!$B$4:$CZ$603,17,FALSE)</f>
        <v>10192.799999999999</v>
      </c>
      <c r="BV168">
        <f>VLOOKUP($B168,'[1]Data_UN_PopulationTot.&amp;%'!$B$4:$CZ$603,18,FALSE)</f>
        <v>10421.9</v>
      </c>
      <c r="BW168">
        <f>VLOOKUP($B168,'[1]Data_UN_PopulationTot.&amp;%'!$B$4:$CZ$603,61,FALSE)</f>
        <v>14.737266782143177</v>
      </c>
      <c r="BX168">
        <f>VLOOKUP($B168,'[1]Data_UN_PopulationTot.&amp;%'!$B$4:$CZ$603,62,FALSE)</f>
        <v>13.530078248622374</v>
      </c>
      <c r="BY168">
        <f>VLOOKUP($B168,'[1]Data_UN_PopulationTot.&amp;%'!$B$4:$CZ$603,63,FALSE)</f>
        <v>12.368911211126331</v>
      </c>
      <c r="BZ168">
        <f>VLOOKUP($B168,'[1]Data_UN_PopulationTot.&amp;%'!$B$4:$CZ$603,64,FALSE)</f>
        <v>10.762567733737258</v>
      </c>
      <c r="CA168">
        <f>VLOOKUP($B168,'[1]Data_UN_PopulationTot.&amp;%'!$B$4:$CZ$603,65,FALSE)</f>
        <v>8.9836496858217547</v>
      </c>
      <c r="CB168">
        <f>VLOOKUP($B168,'[1]Data_UN_PopulationTot.&amp;%'!$B$4:$CZ$603,66,FALSE)</f>
        <v>7.6283105883262436</v>
      </c>
      <c r="CC168">
        <f>VLOOKUP($B168,'[1]Data_UN_PopulationTot.&amp;%'!$B$4:$CZ$603,67,FALSE)</f>
        <v>6.8519484849143701</v>
      </c>
      <c r="CD168">
        <f>VLOOKUP($B168,'[1]Data_UN_PopulationTot.&amp;%'!$B$4:$CZ$603,68,FALSE)</f>
        <v>6.0069769071138843</v>
      </c>
      <c r="CE168">
        <f>VLOOKUP($B168,'[1]Data_UN_PopulationTot.&amp;%'!$B$4:$CZ$603,69,FALSE)</f>
        <v>5.0075736162749411</v>
      </c>
      <c r="CF168">
        <f>VLOOKUP($B168,'[1]Data_UN_PopulationTot.&amp;%'!$B$4:$CZ$603,70,FALSE)</f>
        <v>3.9855461096736939</v>
      </c>
      <c r="CG168">
        <f>VLOOKUP($B168,'[1]Data_UN_PopulationTot.&amp;%'!$B$4:$CZ$603,71,FALSE)</f>
        <v>3.0781495734858204</v>
      </c>
      <c r="CH168">
        <f>VLOOKUP($B168,'[1]Data_UN_PopulationTot.&amp;%'!$B$4:$CZ$603,72,FALSE)</f>
        <v>2.366084694047645</v>
      </c>
      <c r="CI168">
        <f>VLOOKUP($B168,'[1]Data_UN_PopulationTot.&amp;%'!$B$4:$CZ$603,73,FALSE)</f>
        <v>1.7878566061985279</v>
      </c>
      <c r="CJ168">
        <f>VLOOKUP($B168,'[1]Data_UN_PopulationTot.&amp;%'!$B$4:$CZ$603,74,FALSE)</f>
        <v>1.3036404090477536</v>
      </c>
      <c r="CK168">
        <f>VLOOKUP($B168,'[1]Data_UN_PopulationTot.&amp;%'!$B$4:$CZ$603,75,FALSE)</f>
        <v>0.86693144125796917</v>
      </c>
      <c r="CL168">
        <f>VLOOKUP($B168,'[1]Data_UN_PopulationTot.&amp;%'!$B$4:$CZ$603,76,FALSE)</f>
        <v>0.47980731367333673</v>
      </c>
      <c r="CM168">
        <f>VLOOKUP($B168,'[1]Data_UN_PopulationTot.&amp;%'!$B$4:$CZ$603,77,FALSE)</f>
        <v>0.1954282898122178</v>
      </c>
      <c r="CN168">
        <f>VLOOKUP($B168,'[1]Data_UN_PopulationTot.&amp;%'!$B$4:$CZ$603,78,FALSE)</f>
        <v>5.122760226797797E-2</v>
      </c>
      <c r="CO168">
        <f>VLOOKUP($B168,'[1]Data_UN_PopulationTot.&amp;%'!$B$4:$CZ$603,79,FALSE)</f>
        <v>7.4407458139765228E-3</v>
      </c>
      <c r="CP168">
        <f>VLOOKUP($B168,'[1]Data_UN_PopulationTot.&amp;%'!$B$4:$CZ$603,80,FALSE)</f>
        <v>5.4356097667036286E-4</v>
      </c>
      <c r="CQ168">
        <f>VLOOKUP($B168,'[1]Data_UN_PopulationTot.&amp;%'!$B$4:$CZ$603,81,FALSE)</f>
        <v>0</v>
      </c>
      <c r="CR168">
        <f>VLOOKUP($B168,'[1]Data_UN_PopulationTot.&amp;%'!$B$4:$CZ$603,82,FALSE)</f>
        <v>13.628225179669734</v>
      </c>
      <c r="CS168">
        <f>VLOOKUP($B168,'[1]Data_UN_PopulationTot.&amp;%'!$B$4:$CZ$603,83,FALSE)</f>
        <v>12.372600005757109</v>
      </c>
      <c r="CT168">
        <f>VLOOKUP($B168,'[1]Data_UN_PopulationTot.&amp;%'!$B$4:$CZ$603,84,FALSE)</f>
        <v>11.35973287020601</v>
      </c>
      <c r="CU168">
        <f>VLOOKUP($B168,'[1]Data_UN_PopulationTot.&amp;%'!$B$4:$CZ$603,85,FALSE)</f>
        <v>10.535315057715005</v>
      </c>
      <c r="CV168">
        <f>VLOOKUP($B168,'[1]Data_UN_PopulationTot.&amp;%'!$B$4:$CZ$603,86,FALSE)</f>
        <v>9.585085253168808</v>
      </c>
      <c r="CW168">
        <f>VLOOKUP($B168,'[1]Data_UN_PopulationTot.&amp;%'!$B$4:$CZ$603,87,FALSE)</f>
        <v>8.2597319106880711</v>
      </c>
      <c r="CX168">
        <f>VLOOKUP($B168,'[1]Data_UN_PopulationTot.&amp;%'!$B$4:$CZ$603,88,FALSE)</f>
        <v>6.8577226801255051</v>
      </c>
      <c r="CY168">
        <f>VLOOKUP($B168,'[1]Data_UN_PopulationTot.&amp;%'!$B$4:$CZ$603,89,FALSE)</f>
        <v>5.8038937237931663</v>
      </c>
      <c r="CZ168">
        <f>VLOOKUP($B168,'[1]Data_UN_PopulationTot.&amp;%'!$B$4:$CZ$603,90,FALSE)</f>
        <v>5.1845057043341418</v>
      </c>
      <c r="DA168">
        <f>VLOOKUP($B168,'[1]Data_UN_PopulationTot.&amp;%'!$B$4:$CZ$603,91,FALSE)</f>
        <v>4.5020389756186487</v>
      </c>
      <c r="DB168">
        <f>VLOOKUP($B168,'[1]Data_UN_PopulationTot.&amp;%'!$B$4:$CZ$603,92,FALSE)</f>
        <v>3.6917356719983885</v>
      </c>
      <c r="DC168">
        <f>VLOOKUP($B168,'[1]Data_UN_PopulationTot.&amp;%'!$B$4:$CZ$603,93,FALSE)</f>
        <v>2.8548153407727961</v>
      </c>
      <c r="DD168">
        <f>VLOOKUP($B168,'[1]Data_UN_PopulationTot.&amp;%'!$B$4:$CZ$603,94,FALSE)</f>
        <v>2.0969784780126464</v>
      </c>
      <c r="DE168">
        <f>VLOOKUP($B168,'[1]Data_UN_PopulationTot.&amp;%'!$B$4:$CZ$603,95,FALSE)</f>
        <v>1.4772258417371116</v>
      </c>
      <c r="DF168">
        <f>VLOOKUP($B168,'[1]Data_UN_PopulationTot.&amp;%'!$B$4:$CZ$603,96,FALSE)</f>
        <v>0.95897101296308729</v>
      </c>
      <c r="DG168">
        <f>VLOOKUP($B168,'[1]Data_UN_PopulationTot.&amp;%'!$B$4:$CZ$603,97,FALSE)</f>
        <v>0.53487367946343756</v>
      </c>
      <c r="DH168">
        <f>VLOOKUP($B168,'[1]Data_UN_PopulationTot.&amp;%'!$B$4:$CZ$603,98,FALSE)</f>
        <v>0.22569780942054712</v>
      </c>
      <c r="DI168">
        <f>VLOOKUP($B168,'[1]Data_UN_PopulationTot.&amp;%'!$B$4:$CZ$603,99,FALSE)</f>
        <v>6.124602999453075E-2</v>
      </c>
      <c r="DJ168">
        <f>VLOOKUP($B168,'[1]Data_UN_PopulationTot.&amp;%'!$B$4:$DE$603,100,FALSE)</f>
        <v>9.1346107715483734E-3</v>
      </c>
      <c r="DK168">
        <f>VLOOKUP($B168,'[1]Data_UN_PopulationTot.&amp;%'!$B$4:$DE$603,101,FALSE)</f>
        <v>6.8125773611337663E-4</v>
      </c>
      <c r="DL168">
        <f>VLOOKUP($B168,'[1]Data_UN_PopulationTot.&amp;%'!$B$4:$DE$603,102,FALSE)</f>
        <v>0</v>
      </c>
    </row>
    <row r="169" spans="1:116">
      <c r="A169" t="s">
        <v>203</v>
      </c>
      <c r="B169" t="s">
        <v>418</v>
      </c>
      <c r="C169" t="s">
        <v>493</v>
      </c>
      <c r="D169" t="s">
        <v>389</v>
      </c>
      <c r="E169" t="s">
        <v>301</v>
      </c>
      <c r="F169">
        <v>0</v>
      </c>
      <c r="G169">
        <v>0</v>
      </c>
      <c r="H169">
        <v>1</v>
      </c>
      <c r="I169">
        <v>0</v>
      </c>
      <c r="J169" s="18">
        <f t="shared" si="5"/>
        <v>3234.1608817199999</v>
      </c>
      <c r="K169">
        <f>VLOOKUP($B169,'[1]Source GDP Current USD'!$B$1:$CZ$600,64,FALSE)</f>
        <v>501643653514.92499</v>
      </c>
      <c r="L169" s="45">
        <f>VLOOKUP($B169,'[1]Source GDP Current USD'!$B$1:$CZ$600,65,FALSE)</f>
        <v>501643653514.92499</v>
      </c>
      <c r="M169" s="17">
        <f>VLOOKUP($B169,'[1]Source GDP Current LCU'!$B$1:$CZ$600,64,FALSE)</f>
        <v>15698286000000</v>
      </c>
      <c r="N169" s="45">
        <v>16000000000000</v>
      </c>
      <c r="O169" s="45">
        <f>VLOOKUP($B169,'[1]Source GNI Current USD'!$B$1:$CZ$600,64,FALSE)</f>
        <v>487334575329.85901</v>
      </c>
      <c r="P169" s="45">
        <f>VLOOKUP($B169,'[1]Source GNI Current LCU'!$B$1:$CZ$600,64,FALSE)</f>
        <v>15250502000000</v>
      </c>
      <c r="Q169">
        <f t="shared" si="4"/>
        <v>102.93619187092989</v>
      </c>
      <c r="R169">
        <v>7040</v>
      </c>
      <c r="S169">
        <v>7040</v>
      </c>
      <c r="T169">
        <v>0.394173</v>
      </c>
      <c r="U169" s="45">
        <v>70000000</v>
      </c>
      <c r="V169">
        <v>20.602</v>
      </c>
      <c r="W169">
        <f>VLOOKUP($B169,'[1]Source Gov. Revenue WEO'!$B$1:$CZ$600,5,FALSE)</f>
        <v>20.289000000000001</v>
      </c>
      <c r="X169">
        <f>VLOOKUP($B169,'[1]Source Gov. Revenue WEO'!$B$1:$CZ$600,6,FALSE)</f>
        <v>20.786000000000001</v>
      </c>
      <c r="Y169">
        <f>VLOOKUP($B169,'[1]Source Gov. Revenue WEO'!$B$1:$CZ$600,7,FALSE)</f>
        <v>21.07</v>
      </c>
      <c r="Z169">
        <f>VLOOKUP($B169,'[1]Source Gov. Revenue WEO'!$B$1:$CZ$600,8,FALSE)</f>
        <v>21.178999999999998</v>
      </c>
      <c r="AA169">
        <f>VLOOKUP($B169,'[1]Source Gov. Revenue WEO'!$B$1:$CZ$600,9,FALSE)</f>
        <v>21.178999999999998</v>
      </c>
      <c r="AB169">
        <f>VLOOKUP($B169,'[1]Source Gov. Revenue WEO'!$B$1:$CZ$600,10,FALSE)</f>
        <v>21.178999999999998</v>
      </c>
      <c r="AC169">
        <f>VLOOKUP($B169,[2]Summary!$B$1:$CZ$600,39,FALSE)</f>
        <v>2.4062199999999999E-4</v>
      </c>
      <c r="AD169">
        <f>VLOOKUP($B169,[2]Summary!$B$1:$CZ$600,40,FALSE)</f>
        <v>9.999999999999999E-14</v>
      </c>
      <c r="AE169">
        <f>VLOOKUP($B169,[2]Summary!$B$1:$CZ$600,47,FALSE)</f>
        <v>0.25956871494403444</v>
      </c>
      <c r="AF169">
        <f>VLOOKUP($B169,'[1]CALC GDP Growth rates WDI'!$B$1:$CZ$600,27,FALSE)</f>
        <v>24.69422024888005</v>
      </c>
      <c r="AG169">
        <f>VLOOKUP($B169,'[1]CALC GDP Growth rates WDI'!$B$1:$CZ$600,29,FALSE)</f>
        <v>39.383539144202608</v>
      </c>
      <c r="AH169">
        <v>7.8</v>
      </c>
      <c r="AI169">
        <f>VLOOKUP($B169,'[1]CALC GDP Growth rates WDI'!$B$1:$CZ$600,30,FALSE)</f>
        <v>15.604635090365736</v>
      </c>
      <c r="AK169">
        <f>VLOOKUP($B169,[1]Data_Aspire!$B$1:$CZ$600,2,FALSE)</f>
        <v>2019</v>
      </c>
      <c r="AL169">
        <f>VLOOKUP($B169,[1]Data_Aspire!$B$1:$CZ$600,3,FALSE)</f>
        <v>1.69</v>
      </c>
      <c r="AM169">
        <f>VLOOKUP($B169,[1]Data_Aspire!$B$1:$CZ$600,4,FALSE)</f>
        <v>0</v>
      </c>
      <c r="AN169">
        <f>VLOOKUP($B169,[1]Data_Aspire!$B$1:$CZ$600,5,FALSE)</f>
        <v>0.19</v>
      </c>
      <c r="AO169">
        <f>VLOOKUP($B169,[1]Data_Aspire!$B$1:$CZ$600,6,FALSE)</f>
        <v>0.41</v>
      </c>
      <c r="AP169">
        <f>VLOOKUP($B169,[1]Data_Aspire!$B$1:$CZ$600,7,FALSE)</f>
        <v>0</v>
      </c>
      <c r="AR169">
        <f>VLOOKUP($B169,[1]Data_Aspire!$B$1:$CZ$600,9,FALSE)</f>
        <v>0.08</v>
      </c>
      <c r="AS169">
        <f>VLOOKUP($B169,[1]Data_Aspire!$B$1:$CZ$600,10,FALSE)</f>
        <v>0.82</v>
      </c>
      <c r="AT169">
        <f>VLOOKUP($B169,[1]Data_Aspire!$B$1:$CZ$600,11,FALSE)</f>
        <v>0.19</v>
      </c>
      <c r="AU169">
        <f>VLOOKUP($B169,[1]Data_Aspire!$B$1:$CZ$600,12,FALSE)</f>
        <v>0.87</v>
      </c>
      <c r="AX169">
        <f>VLOOKUP($B169,[1]Data_Aspire!$B$1:$CZ$600,15,FALSE)</f>
        <v>14600000</v>
      </c>
      <c r="AY169">
        <f>VLOOKUP($B169,[1]Data_Aspire!$B$1:$CZ$600,16,FALSE)</f>
        <v>2019</v>
      </c>
      <c r="AZ169">
        <f>VLOOKUP($B169,[1]Data_Aspire!$B$1:$CZ$600,17,FALSE)</f>
        <v>8510000</v>
      </c>
      <c r="BA169">
        <f>VLOOKUP($B169,[1]Data_Aspire!$B$1:$CZ$600,18,FALSE)</f>
        <v>2020</v>
      </c>
      <c r="BD169">
        <f>VLOOKUP($B169,[1]Data_Aspire!$B$1:$CZ$600,21,FALSE)</f>
        <v>1677000</v>
      </c>
      <c r="BE169">
        <f>VLOOKUP($B169,[1]Data_Aspire!$B$1:$CZ$600,22,FALSE)</f>
        <v>2011</v>
      </c>
      <c r="BH169">
        <f>VLOOKUP($B169,[1]Data_Aspire!$B$1:$CZ$600,25,FALSE)</f>
        <v>47472496</v>
      </c>
      <c r="BI169">
        <f>VLOOKUP($B169,[1]Data_Aspire!$B$1:$CZ$600,26,FALSE)</f>
        <v>2019</v>
      </c>
      <c r="BJ169" s="7">
        <v>0</v>
      </c>
      <c r="BK169">
        <v>764</v>
      </c>
      <c r="BL169">
        <f>VLOOKUP($B169,'[1]Data_UN_PopulationTot.&amp;%'!$B$4:$CZ$603,8,FALSE)</f>
        <v>69800</v>
      </c>
      <c r="BM169">
        <f>VLOOKUP($B169,'[1]Data_UN_PopulationTot.&amp;%'!$B$4:$CZ$603,9,FALSE)</f>
        <v>69950.8</v>
      </c>
      <c r="BN169">
        <v>70078.2</v>
      </c>
      <c r="BO169">
        <f>VLOOKUP($B169,'[1]Data_UN_PopulationTot.&amp;%'!$B$4:$CZ$603,11,FALSE)</f>
        <v>70182.8</v>
      </c>
      <c r="BP169">
        <f>VLOOKUP($B169,'[1]Data_UN_PopulationTot.&amp;%'!$B$4:$CZ$603,12,FALSE)</f>
        <v>70266.100000000006</v>
      </c>
      <c r="BQ169">
        <f>VLOOKUP($B169,'[1]Data_UN_PopulationTot.&amp;%'!$B$4:$CZ$603,13,FALSE)</f>
        <v>70328.899999999994</v>
      </c>
      <c r="BR169">
        <f>VLOOKUP($B169,'[1]Data_UN_PopulationTot.&amp;%'!$B$4:$CZ$603,14,FALSE)</f>
        <v>70371.600000000006</v>
      </c>
      <c r="BS169">
        <f>VLOOKUP($B169,'[1]Data_UN_PopulationTot.&amp;%'!$B$4:$CZ$603,15,FALSE)</f>
        <v>70394.100000000006</v>
      </c>
      <c r="BT169">
        <f>VLOOKUP($B169,'[1]Data_UN_PopulationTot.&amp;%'!$B$4:$CZ$603,16,FALSE)</f>
        <v>70396.899999999994</v>
      </c>
      <c r="BU169">
        <f>VLOOKUP($B169,'[1]Data_UN_PopulationTot.&amp;%'!$B$4:$CZ$603,17,FALSE)</f>
        <v>70380.5</v>
      </c>
      <c r="BV169">
        <f>VLOOKUP($B169,'[1]Data_UN_PopulationTot.&amp;%'!$B$4:$CZ$603,18,FALSE)</f>
        <v>70345.5</v>
      </c>
      <c r="BW169">
        <f>VLOOKUP($B169,'[1]Data_UN_PopulationTot.&amp;%'!$B$4:$CZ$603,61,FALSE)</f>
        <v>5.1519340974212033</v>
      </c>
      <c r="BX169">
        <f>VLOOKUP($B169,'[1]Data_UN_PopulationTot.&amp;%'!$B$4:$CZ$603,62,FALSE)</f>
        <v>5.5068481375358171</v>
      </c>
      <c r="BY169">
        <f>VLOOKUP($B169,'[1]Data_UN_PopulationTot.&amp;%'!$B$4:$CZ$603,63,FALSE)</f>
        <v>5.8937106017191976</v>
      </c>
      <c r="BZ169">
        <f>VLOOKUP($B169,'[1]Data_UN_PopulationTot.&amp;%'!$B$4:$CZ$603,64,FALSE)</f>
        <v>6.2729369627507161</v>
      </c>
      <c r="CA169">
        <f>VLOOKUP($B169,'[1]Data_UN_PopulationTot.&amp;%'!$B$4:$CZ$603,65,FALSE)</f>
        <v>6.8881088825214887</v>
      </c>
      <c r="CB169">
        <f>VLOOKUP($B169,'[1]Data_UN_PopulationTot.&amp;%'!$B$4:$CZ$603,66,FALSE)</f>
        <v>6.9088825214899705</v>
      </c>
      <c r="CC169">
        <f>VLOOKUP($B169,'[1]Data_UN_PopulationTot.&amp;%'!$B$4:$CZ$603,67,FALSE)</f>
        <v>6.3992693409742119</v>
      </c>
      <c r="CD169">
        <f>VLOOKUP($B169,'[1]Data_UN_PopulationTot.&amp;%'!$B$4:$CZ$603,68,FALSE)</f>
        <v>6.8238252148997134</v>
      </c>
      <c r="CE169">
        <f>VLOOKUP($B169,'[1]Data_UN_PopulationTot.&amp;%'!$B$4:$CZ$603,69,FALSE)</f>
        <v>7.6057879656160452</v>
      </c>
      <c r="CF169">
        <f>VLOOKUP($B169,'[1]Data_UN_PopulationTot.&amp;%'!$B$4:$CZ$603,70,FALSE)</f>
        <v>8.0306876790830941</v>
      </c>
      <c r="CG169">
        <f>VLOOKUP($B169,'[1]Data_UN_PopulationTot.&amp;%'!$B$4:$CZ$603,71,FALSE)</f>
        <v>8.0214183381088819</v>
      </c>
      <c r="CH169">
        <f>VLOOKUP($B169,'[1]Data_UN_PopulationTot.&amp;%'!$B$4:$CZ$603,72,FALSE)</f>
        <v>7.281432664756446</v>
      </c>
      <c r="CI169">
        <f>VLOOKUP($B169,'[1]Data_UN_PopulationTot.&amp;%'!$B$4:$CZ$603,73,FALSE)</f>
        <v>6.2573782234957021</v>
      </c>
      <c r="CJ169">
        <f>VLOOKUP($B169,'[1]Data_UN_PopulationTot.&amp;%'!$B$4:$CZ$603,74,FALSE)</f>
        <v>4.6657593123209171</v>
      </c>
      <c r="CK169">
        <f>VLOOKUP($B169,'[1]Data_UN_PopulationTot.&amp;%'!$B$4:$CZ$603,75,FALSE)</f>
        <v>3.2698280802292263</v>
      </c>
      <c r="CL169">
        <f>VLOOKUP($B169,'[1]Data_UN_PopulationTot.&amp;%'!$B$4:$CZ$603,76,FALSE)</f>
        <v>2.2696704871060174</v>
      </c>
      <c r="CM169">
        <f>VLOOKUP($B169,'[1]Data_UN_PopulationTot.&amp;%'!$B$4:$CZ$603,77,FALSE)</f>
        <v>1.5342550143266476</v>
      </c>
      <c r="CN169">
        <f>VLOOKUP($B169,'[1]Data_UN_PopulationTot.&amp;%'!$B$4:$CZ$603,78,FALSE)</f>
        <v>0.80756876790830956</v>
      </c>
      <c r="CO169">
        <f>VLOOKUP($B169,'[1]Data_UN_PopulationTot.&amp;%'!$B$4:$CZ$603,79,FALSE)</f>
        <v>0.32263323782234954</v>
      </c>
      <c r="CP169">
        <f>VLOOKUP($B169,'[1]Data_UN_PopulationTot.&amp;%'!$B$4:$CZ$603,80,FALSE)</f>
        <v>7.5452722063037242E-2</v>
      </c>
      <c r="CQ169">
        <f>VLOOKUP($B169,'[1]Data_UN_PopulationTot.&amp;%'!$B$4:$CZ$603,81,FALSE)</f>
        <v>1.2558739255014327E-2</v>
      </c>
      <c r="CR169">
        <f>VLOOKUP($B169,'[1]Data_UN_PopulationTot.&amp;%'!$B$4:$CZ$603,82,FALSE)</f>
        <v>4.4088534447832481</v>
      </c>
      <c r="CS169">
        <f>VLOOKUP($B169,'[1]Data_UN_PopulationTot.&amp;%'!$B$4:$CZ$603,83,FALSE)</f>
        <v>4.718340192336397</v>
      </c>
      <c r="CT169">
        <f>VLOOKUP($B169,'[1]Data_UN_PopulationTot.&amp;%'!$B$4:$CZ$603,84,FALSE)</f>
        <v>5.1080452907435445</v>
      </c>
      <c r="CU169">
        <f>VLOOKUP($B169,'[1]Data_UN_PopulationTot.&amp;%'!$B$4:$CZ$603,85,FALSE)</f>
        <v>5.4525591544590624</v>
      </c>
      <c r="CV169">
        <f>VLOOKUP($B169,'[1]Data_UN_PopulationTot.&amp;%'!$B$4:$CZ$603,86,FALSE)</f>
        <v>5.8324413075463246</v>
      </c>
      <c r="CW169">
        <f>VLOOKUP($B169,'[1]Data_UN_PopulationTot.&amp;%'!$B$4:$CZ$603,87,FALSE)</f>
        <v>6.2111293544007786</v>
      </c>
      <c r="CX169">
        <f>VLOOKUP($B169,'[1]Data_UN_PopulationTot.&amp;%'!$B$4:$CZ$603,88,FALSE)</f>
        <v>6.8089358949755141</v>
      </c>
      <c r="CY169">
        <f>VLOOKUP($B169,'[1]Data_UN_PopulationTot.&amp;%'!$B$4:$CZ$603,89,FALSE)</f>
        <v>6.7905978349716758</v>
      </c>
      <c r="CZ169">
        <f>VLOOKUP($B169,'[1]Data_UN_PopulationTot.&amp;%'!$B$4:$CZ$603,90,FALSE)</f>
        <v>6.2368452850573242</v>
      </c>
      <c r="DA169">
        <f>VLOOKUP($B169,'[1]Data_UN_PopulationTot.&amp;%'!$B$4:$CZ$603,91,FALSE)</f>
        <v>6.5842591210525185</v>
      </c>
      <c r="DB169">
        <f>VLOOKUP($B169,'[1]Data_UN_PopulationTot.&amp;%'!$B$4:$CZ$603,92,FALSE)</f>
        <v>7.2610188284964918</v>
      </c>
      <c r="DC169">
        <f>VLOOKUP($B169,'[1]Data_UN_PopulationTot.&amp;%'!$B$4:$CZ$603,93,FALSE)</f>
        <v>7.5660276776766091</v>
      </c>
      <c r="DD169">
        <f>VLOOKUP($B169,'[1]Data_UN_PopulationTot.&amp;%'!$B$4:$CZ$603,94,FALSE)</f>
        <v>7.4083914393955546</v>
      </c>
      <c r="DE169">
        <f>VLOOKUP($B169,'[1]Data_UN_PopulationTot.&amp;%'!$B$4:$CZ$603,95,FALSE)</f>
        <v>6.5209146285121298</v>
      </c>
      <c r="DF169">
        <f>VLOOKUP($B169,'[1]Data_UN_PopulationTot.&amp;%'!$B$4:$CZ$603,96,FALSE)</f>
        <v>5.3364607544192593</v>
      </c>
      <c r="DG169">
        <f>VLOOKUP($B169,'[1]Data_UN_PopulationTot.&amp;%'!$B$4:$CZ$603,97,FALSE)</f>
        <v>3.6418534234599234</v>
      </c>
      <c r="DH169">
        <f>VLOOKUP($B169,'[1]Data_UN_PopulationTot.&amp;%'!$B$4:$CZ$603,98,FALSE)</f>
        <v>2.1869060565352441</v>
      </c>
      <c r="DI169">
        <f>VLOOKUP($B169,'[1]Data_UN_PopulationTot.&amp;%'!$B$4:$CZ$603,99,FALSE)</f>
        <v>1.1810677299898358</v>
      </c>
      <c r="DJ169">
        <f>VLOOKUP($B169,'[1]Data_UN_PopulationTot.&amp;%'!$B$4:$DE$603,100,FALSE)</f>
        <v>0.54448401105969813</v>
      </c>
      <c r="DK169">
        <f>VLOOKUP($B169,'[1]Data_UN_PopulationTot.&amp;%'!$B$4:$DE$603,101,FALSE)</f>
        <v>0.1670327170892239</v>
      </c>
      <c r="DL169">
        <f>VLOOKUP($B169,'[1]Data_UN_PopulationTot.&amp;%'!$B$4:$DE$603,102,FALSE)</f>
        <v>3.3887029021046122E-2</v>
      </c>
    </row>
    <row r="170" spans="1:116">
      <c r="A170" t="s">
        <v>122</v>
      </c>
      <c r="B170" t="s">
        <v>336</v>
      </c>
      <c r="C170" t="s">
        <v>485</v>
      </c>
      <c r="D170" t="s">
        <v>334</v>
      </c>
      <c r="E170" t="s">
        <v>300</v>
      </c>
      <c r="F170">
        <v>0</v>
      </c>
      <c r="G170">
        <v>1</v>
      </c>
      <c r="H170">
        <v>0</v>
      </c>
      <c r="I170">
        <v>0</v>
      </c>
      <c r="J170" s="18">
        <f t="shared" si="5"/>
        <v>21.356248000000001</v>
      </c>
      <c r="K170">
        <f>VLOOKUP($B170,'[1]Source GDP Current USD'!$B$1:$CZ$600,64,FALSE)</f>
        <v>8194150301.7855196</v>
      </c>
      <c r="L170" s="45">
        <f>VLOOKUP($B170,'[1]Source GDP Current USD'!$B$1:$CZ$600,65,FALSE)</f>
        <v>8194150301.7855196</v>
      </c>
      <c r="M170" s="17">
        <f>VLOOKUP($B170,'[1]Source GDP Current LCU'!$B$1:$CZ$600,64,FALSE)</f>
        <v>84579200000</v>
      </c>
      <c r="N170" s="45">
        <v>85000000000</v>
      </c>
      <c r="O170" s="45">
        <f>VLOOKUP($B170,'[1]Source GNI Current USD'!$B$1:$CZ$600,64,FALSE)</f>
        <v>9558305215.1251202</v>
      </c>
      <c r="P170" s="45">
        <f>VLOOKUP($B170,'[1]Source GNI Current LCU'!$B$1:$CZ$600,64,FALSE)</f>
        <v>98659870600</v>
      </c>
      <c r="Q170">
        <f t="shared" si="4"/>
        <v>85.728067030325093</v>
      </c>
      <c r="R170">
        <v>1060</v>
      </c>
      <c r="S170">
        <v>1060</v>
      </c>
      <c r="T170">
        <v>0.22267899999999999</v>
      </c>
      <c r="U170" s="45">
        <v>9500000</v>
      </c>
      <c r="V170">
        <v>25.25</v>
      </c>
      <c r="W170">
        <f>VLOOKUP($B170,'[1]Source Gov. Revenue WEO'!$B$1:$CZ$600,5,FALSE)</f>
        <v>26.079000000000001</v>
      </c>
      <c r="X170">
        <f>VLOOKUP($B170,'[1]Source Gov. Revenue WEO'!$B$1:$CZ$600,6,FALSE)</f>
        <v>25.431000000000001</v>
      </c>
      <c r="Y170">
        <f>VLOOKUP($B170,'[1]Source Gov. Revenue WEO'!$B$1:$CZ$600,7,FALSE)</f>
        <v>25.661999999999999</v>
      </c>
      <c r="Z170">
        <f>VLOOKUP($B170,'[1]Source Gov. Revenue WEO'!$B$1:$CZ$600,8,FALSE)</f>
        <v>25.847999999999999</v>
      </c>
      <c r="AA170">
        <f>VLOOKUP($B170,'[1]Source Gov. Revenue WEO'!$B$1:$CZ$600,9,FALSE)</f>
        <v>25.959</v>
      </c>
      <c r="AB170">
        <f>VLOOKUP($B170,'[1]Source Gov. Revenue WEO'!$B$1:$CZ$600,10,FALSE)</f>
        <v>26.183</v>
      </c>
      <c r="AC170">
        <f>VLOOKUP($B170,[2]Summary!$B$1:$CZ$600,39,FALSE)</f>
        <v>2.8346049999999998E-2</v>
      </c>
      <c r="AD170">
        <f>VLOOKUP($B170,[2]Summary!$B$1:$CZ$600,40,FALSE)</f>
        <v>1.2E-2</v>
      </c>
      <c r="AE170">
        <f>VLOOKUP($B170,[2]Summary!$B$1:$CZ$600,47,FALSE)</f>
        <v>0.2962876526458616</v>
      </c>
      <c r="AF170">
        <f>VLOOKUP($B170,'[1]CALC GDP Growth rates WDI'!$B$1:$CZ$600,27,FALSE)</f>
        <v>93.904250005746476</v>
      </c>
      <c r="AG170">
        <f>VLOOKUP($B170,'[1]CALC GDP Growth rates WDI'!$B$1:$CZ$600,29,FALSE)</f>
        <v>85.589211427394446</v>
      </c>
      <c r="AH170">
        <v>38.31</v>
      </c>
      <c r="AI170">
        <f>VLOOKUP($B170,'[1]CALC GDP Growth rates WDI'!$B$1:$CZ$600,30,FALSE)</f>
        <v>31.710886834631967</v>
      </c>
      <c r="AJ170" t="s">
        <v>2464</v>
      </c>
      <c r="AK170">
        <f>VLOOKUP($B170,[1]Data_Aspire!$B$1:$CZ$600,2,FALSE)</f>
        <v>2018</v>
      </c>
      <c r="AL170">
        <f>VLOOKUP($B170,[1]Data_Aspire!$B$1:$CZ$600,3,FALSE)</f>
        <v>0.77</v>
      </c>
      <c r="AM170">
        <f>VLOOKUP($B170,[1]Data_Aspire!$B$1:$CZ$600,4,FALSE)</f>
        <v>0</v>
      </c>
      <c r="AN170">
        <f>VLOOKUP($B170,[1]Data_Aspire!$B$1:$CZ$600,5,FALSE)</f>
        <v>0.15</v>
      </c>
      <c r="AO170">
        <f>VLOOKUP($B170,[1]Data_Aspire!$B$1:$CZ$600,6,FALSE)</f>
        <v>0.4</v>
      </c>
      <c r="AP170">
        <f>VLOOKUP($B170,[1]Data_Aspire!$B$1:$CZ$600,7,FALSE)</f>
        <v>0</v>
      </c>
      <c r="AS170">
        <f>VLOOKUP($B170,[1]Data_Aspire!$B$1:$CZ$600,10,FALSE)</f>
        <v>0.01</v>
      </c>
      <c r="AT170">
        <f>VLOOKUP($B170,[1]Data_Aspire!$B$1:$CZ$600,11,FALSE)</f>
        <v>0.2</v>
      </c>
      <c r="AU170">
        <f>VLOOKUP($B170,[1]Data_Aspire!$B$1:$CZ$600,12,FALSE)</f>
        <v>0.77</v>
      </c>
      <c r="AX170">
        <f>VLOOKUP($B170,[1]Data_Aspire!$B$1:$CZ$600,15,FALSE)</f>
        <v>535412</v>
      </c>
      <c r="AY170">
        <f>VLOOKUP($B170,[1]Data_Aspire!$B$1:$CZ$600,16,FALSE)</f>
        <v>2017</v>
      </c>
      <c r="BB170">
        <f>VLOOKUP($B170,[1]Data_Aspire!$B$1:$CZ$600,19,FALSE)</f>
        <v>45000</v>
      </c>
      <c r="BC170">
        <f>VLOOKUP($B170,[1]Data_Aspire!$B$1:$CZ$600,20,FALSE)</f>
        <v>2011</v>
      </c>
      <c r="BD170">
        <f>VLOOKUP($B170,[1]Data_Aspire!$B$1:$CZ$600,21,FALSE)</f>
        <v>355000</v>
      </c>
      <c r="BE170">
        <f>VLOOKUP($B170,[1]Data_Aspire!$B$1:$CZ$600,22,FALSE)</f>
        <v>2015</v>
      </c>
      <c r="BJ170" s="7">
        <v>0</v>
      </c>
      <c r="BK170">
        <v>762</v>
      </c>
      <c r="BL170">
        <f>VLOOKUP($B170,'[1]Data_UN_PopulationTot.&amp;%'!$B$4:$CZ$603,8,FALSE)</f>
        <v>9537.64</v>
      </c>
      <c r="BM170">
        <f>VLOOKUP($B170,'[1]Data_UN_PopulationTot.&amp;%'!$B$4:$CZ$603,9,FALSE)</f>
        <v>9749.6299999999992</v>
      </c>
      <c r="BN170">
        <v>9957.4699999999993</v>
      </c>
      <c r="BO170">
        <f>VLOOKUP($B170,'[1]Data_UN_PopulationTot.&amp;%'!$B$4:$CZ$603,11,FALSE)</f>
        <v>10161.6</v>
      </c>
      <c r="BP170">
        <f>VLOOKUP($B170,'[1]Data_UN_PopulationTot.&amp;%'!$B$4:$CZ$603,12,FALSE)</f>
        <v>10363.200000000001</v>
      </c>
      <c r="BQ170">
        <f>VLOOKUP($B170,'[1]Data_UN_PopulationTot.&amp;%'!$B$4:$CZ$603,13,FALSE)</f>
        <v>10563.2</v>
      </c>
      <c r="BR170">
        <f>VLOOKUP($B170,'[1]Data_UN_PopulationTot.&amp;%'!$B$4:$CZ$603,14,FALSE)</f>
        <v>10761.5</v>
      </c>
      <c r="BS170">
        <f>VLOOKUP($B170,'[1]Data_UN_PopulationTot.&amp;%'!$B$4:$CZ$603,15,FALSE)</f>
        <v>10958.2</v>
      </c>
      <c r="BT170">
        <f>VLOOKUP($B170,'[1]Data_UN_PopulationTot.&amp;%'!$B$4:$CZ$603,16,FALSE)</f>
        <v>11155.1</v>
      </c>
      <c r="BU170">
        <f>VLOOKUP($B170,'[1]Data_UN_PopulationTot.&amp;%'!$B$4:$CZ$603,17,FALSE)</f>
        <v>11354.3</v>
      </c>
      <c r="BV170">
        <f>VLOOKUP($B170,'[1]Data_UN_PopulationTot.&amp;%'!$B$4:$CZ$603,18,FALSE)</f>
        <v>11557.4</v>
      </c>
      <c r="BW170">
        <f>VLOOKUP($B170,'[1]Data_UN_PopulationTot.&amp;%'!$B$4:$CZ$603,61,FALSE)</f>
        <v>14.225217139669772</v>
      </c>
      <c r="BX170">
        <f>VLOOKUP($B170,'[1]Data_UN_PopulationTot.&amp;%'!$B$4:$CZ$603,62,FALSE)</f>
        <v>12.800441199290391</v>
      </c>
      <c r="BY170">
        <f>VLOOKUP($B170,'[1]Data_UN_PopulationTot.&amp;%'!$B$4:$CZ$603,63,FALSE)</f>
        <v>10.244442021296674</v>
      </c>
      <c r="BZ170">
        <f>VLOOKUP($B170,'[1]Data_UN_PopulationTot.&amp;%'!$B$4:$CZ$603,64,FALSE)</f>
        <v>8.506181822756993</v>
      </c>
      <c r="CA170">
        <f>VLOOKUP($B170,'[1]Data_UN_PopulationTot.&amp;%'!$B$4:$CZ$603,65,FALSE)</f>
        <v>8.742236024844722</v>
      </c>
      <c r="CB170">
        <f>VLOOKUP($B170,'[1]Data_UN_PopulationTot.&amp;%'!$B$4:$CZ$603,66,FALSE)</f>
        <v>8.5421445976153443</v>
      </c>
      <c r="CC170">
        <f>VLOOKUP($B170,'[1]Data_UN_PopulationTot.&amp;%'!$B$4:$CZ$603,67,FALSE)</f>
        <v>8.2427623605000822</v>
      </c>
      <c r="CD170">
        <f>VLOOKUP($B170,'[1]Data_UN_PopulationTot.&amp;%'!$B$4:$CZ$603,68,FALSE)</f>
        <v>6.3345439752391579</v>
      </c>
      <c r="CE170">
        <f>VLOOKUP($B170,'[1]Data_UN_PopulationTot.&amp;%'!$B$4:$CZ$603,69,FALSE)</f>
        <v>4.9554501952264918</v>
      </c>
      <c r="CF170">
        <f>VLOOKUP($B170,'[1]Data_UN_PopulationTot.&amp;%'!$B$4:$CZ$603,70,FALSE)</f>
        <v>4.2963039074655791</v>
      </c>
      <c r="CG170">
        <f>VLOOKUP($B170,'[1]Data_UN_PopulationTot.&amp;%'!$B$4:$CZ$603,71,FALSE)</f>
        <v>3.903334577526516</v>
      </c>
      <c r="CH170">
        <f>VLOOKUP($B170,'[1]Data_UN_PopulationTot.&amp;%'!$B$4:$CZ$603,72,FALSE)</f>
        <v>3.4453386791701091</v>
      </c>
      <c r="CI170">
        <f>VLOOKUP($B170,'[1]Data_UN_PopulationTot.&amp;%'!$B$4:$CZ$603,73,FALSE)</f>
        <v>2.5818756002533121</v>
      </c>
      <c r="CJ170">
        <f>VLOOKUP($B170,'[1]Data_UN_PopulationTot.&amp;%'!$B$4:$CZ$603,74,FALSE)</f>
        <v>1.4850633909436715</v>
      </c>
      <c r="CK170">
        <f>VLOOKUP($B170,'[1]Data_UN_PopulationTot.&amp;%'!$B$4:$CZ$603,75,FALSE)</f>
        <v>0.81772849468002584</v>
      </c>
      <c r="CL170">
        <f>VLOOKUP($B170,'[1]Data_UN_PopulationTot.&amp;%'!$B$4:$CZ$603,76,FALSE)</f>
        <v>0.41534383767892263</v>
      </c>
      <c r="CM170">
        <f>VLOOKUP($B170,'[1]Data_UN_PopulationTot.&amp;%'!$B$4:$CZ$603,77,FALSE)</f>
        <v>0.31237287211511444</v>
      </c>
      <c r="CN170">
        <f>VLOOKUP($B170,'[1]Data_UN_PopulationTot.&amp;%'!$B$4:$CZ$603,78,FALSE)</f>
        <v>0.10983849254113179</v>
      </c>
      <c r="CO170">
        <f>VLOOKUP($B170,'[1]Data_UN_PopulationTot.&amp;%'!$B$4:$CZ$603,79,FALSE)</f>
        <v>3.5543383897903465E-2</v>
      </c>
      <c r="CP170">
        <f>VLOOKUP($B170,'[1]Data_UN_PopulationTot.&amp;%'!$B$4:$CZ$603,80,FALSE)</f>
        <v>3.6801556779245182E-3</v>
      </c>
      <c r="CQ170">
        <f>VLOOKUP($B170,'[1]Data_UN_PopulationTot.&amp;%'!$B$4:$CZ$603,81,FALSE)</f>
        <v>1.782411581900764E-4</v>
      </c>
      <c r="CR170">
        <f>VLOOKUP($B170,'[1]Data_UN_PopulationTot.&amp;%'!$B$4:$CZ$603,82,FALSE)</f>
        <v>11.38577880838251</v>
      </c>
      <c r="CS170">
        <f>VLOOKUP($B170,'[1]Data_UN_PopulationTot.&amp;%'!$B$4:$CZ$603,83,FALSE)</f>
        <v>11.35930226521536</v>
      </c>
      <c r="CT170">
        <f>VLOOKUP($B170,'[1]Data_UN_PopulationTot.&amp;%'!$B$4:$CZ$603,84,FALSE)</f>
        <v>11.667589596275979</v>
      </c>
      <c r="CU170">
        <f>VLOOKUP($B170,'[1]Data_UN_PopulationTot.&amp;%'!$B$4:$CZ$603,85,FALSE)</f>
        <v>10.431411909252946</v>
      </c>
      <c r="CV170">
        <f>VLOOKUP($B170,'[1]Data_UN_PopulationTot.&amp;%'!$B$4:$CZ$603,86,FALSE)</f>
        <v>8.1637305968470422</v>
      </c>
      <c r="CW170">
        <f>VLOOKUP($B170,'[1]Data_UN_PopulationTot.&amp;%'!$B$4:$CZ$603,87,FALSE)</f>
        <v>6.6545070690639765</v>
      </c>
      <c r="CX170">
        <f>VLOOKUP($B170,'[1]Data_UN_PopulationTot.&amp;%'!$B$4:$CZ$603,88,FALSE)</f>
        <v>6.8776887535258791</v>
      </c>
      <c r="CY170">
        <f>VLOOKUP($B170,'[1]Data_UN_PopulationTot.&amp;%'!$B$4:$CZ$603,89,FALSE)</f>
        <v>6.7624638759582609</v>
      </c>
      <c r="CZ170">
        <f>VLOOKUP($B170,'[1]Data_UN_PopulationTot.&amp;%'!$B$4:$CZ$603,90,FALSE)</f>
        <v>6.5480211812345344</v>
      </c>
      <c r="DA170">
        <f>VLOOKUP($B170,'[1]Data_UN_PopulationTot.&amp;%'!$B$4:$CZ$603,91,FALSE)</f>
        <v>5.0137833768840743</v>
      </c>
      <c r="DB170">
        <f>VLOOKUP($B170,'[1]Data_UN_PopulationTot.&amp;%'!$B$4:$CZ$603,92,FALSE)</f>
        <v>3.8895599356256598</v>
      </c>
      <c r="DC170">
        <f>VLOOKUP($B170,'[1]Data_UN_PopulationTot.&amp;%'!$B$4:$CZ$603,93,FALSE)</f>
        <v>3.3057694637202135</v>
      </c>
      <c r="DD170">
        <f>VLOOKUP($B170,'[1]Data_UN_PopulationTot.&amp;%'!$B$4:$CZ$603,94,FALSE)</f>
        <v>2.8782511637565547</v>
      </c>
      <c r="DE170">
        <f>VLOOKUP($B170,'[1]Data_UN_PopulationTot.&amp;%'!$B$4:$CZ$603,95,FALSE)</f>
        <v>2.3617076505096302</v>
      </c>
      <c r="DF170">
        <f>VLOOKUP($B170,'[1]Data_UN_PopulationTot.&amp;%'!$B$4:$CZ$603,96,FALSE)</f>
        <v>1.5683890840500456</v>
      </c>
      <c r="DG170">
        <f>VLOOKUP($B170,'[1]Data_UN_PopulationTot.&amp;%'!$B$4:$CZ$603,97,FALSE)</f>
        <v>0.73059684704172223</v>
      </c>
      <c r="DH170">
        <f>VLOOKUP($B170,'[1]Data_UN_PopulationTot.&amp;%'!$B$4:$CZ$603,98,FALSE)</f>
        <v>0.28229532593835982</v>
      </c>
      <c r="DI170">
        <f>VLOOKUP($B170,'[1]Data_UN_PopulationTot.&amp;%'!$B$4:$CZ$603,99,FALSE)</f>
        <v>8.4110613113676097E-2</v>
      </c>
      <c r="DJ170">
        <f>VLOOKUP($B170,'[1]Data_UN_PopulationTot.&amp;%'!$B$4:$DE$603,100,FALSE)</f>
        <v>3.0448024642220569E-2</v>
      </c>
      <c r="DK170">
        <f>VLOOKUP($B170,'[1]Data_UN_PopulationTot.&amp;%'!$B$4:$DE$603,101,FALSE)</f>
        <v>3.893609289286518E-3</v>
      </c>
      <c r="DL170">
        <f>VLOOKUP($B170,'[1]Data_UN_PopulationTot.&amp;%'!$B$4:$DE$603,102,FALSE)</f>
        <v>3.8070846384134836E-4</v>
      </c>
    </row>
    <row r="171" spans="1:116">
      <c r="A171" t="s">
        <v>202</v>
      </c>
      <c r="B171" t="s">
        <v>417</v>
      </c>
      <c r="C171" t="s">
        <v>485</v>
      </c>
      <c r="D171" t="s">
        <v>389</v>
      </c>
      <c r="E171" t="s">
        <v>301</v>
      </c>
      <c r="F171">
        <v>0</v>
      </c>
      <c r="G171">
        <v>0</v>
      </c>
      <c r="H171">
        <v>1</v>
      </c>
      <c r="I171">
        <v>0</v>
      </c>
      <c r="J171" s="18" t="e">
        <f t="shared" si="5"/>
        <v>#VALUE!</v>
      </c>
      <c r="K171" t="str">
        <f>VLOOKUP($B171,'[1]Source GDP Current USD'!$B$1:$CZ$600,64,FALSE)</f>
        <v>..</v>
      </c>
      <c r="L171" s="45">
        <f>VLOOKUP($B171,'[1]Source GDP Current USD'!$B$1:$CZ$600,65,FALSE)</f>
        <v>45231428571.428596</v>
      </c>
      <c r="M171" s="17" t="str">
        <f>VLOOKUP($B171,'[1]Source GDP Current LCU'!$B$1:$CZ$600,64,FALSE)</f>
        <v>..</v>
      </c>
      <c r="N171" s="45">
        <v>160000000000</v>
      </c>
      <c r="O171" s="45" t="str">
        <f>VLOOKUP($B171,'[1]Source GNI Current USD'!$B$1:$CZ$600,64,FALSE)</f>
        <v>..</v>
      </c>
      <c r="P171" s="45" t="str">
        <f>VLOOKUP($B171,'[1]Source GNI Current LCU'!$B$1:$CZ$600,64,FALSE)</f>
        <v>..</v>
      </c>
      <c r="Q171" t="e">
        <f t="shared" si="4"/>
        <v>#VALUE!</v>
      </c>
      <c r="S171">
        <v>7220</v>
      </c>
      <c r="T171">
        <v>0.47000799999999998</v>
      </c>
      <c r="U171" s="45">
        <v>6000000</v>
      </c>
      <c r="V171">
        <v>13.343</v>
      </c>
      <c r="W171">
        <f>VLOOKUP($B171,'[1]Source Gov. Revenue WEO'!$B$1:$CZ$600,5,FALSE)</f>
        <v>12.259</v>
      </c>
      <c r="X171">
        <f>VLOOKUP($B171,'[1]Source Gov. Revenue WEO'!$B$1:$CZ$600,6,FALSE)</f>
        <v>12.718999999999999</v>
      </c>
      <c r="Y171">
        <f>VLOOKUP($B171,'[1]Source Gov. Revenue WEO'!$B$1:$CZ$600,7,FALSE)</f>
        <v>12.406000000000001</v>
      </c>
      <c r="Z171">
        <f>VLOOKUP($B171,'[1]Source Gov. Revenue WEO'!$B$1:$CZ$600,8,FALSE)</f>
        <v>12.255000000000001</v>
      </c>
      <c r="AA171">
        <f>VLOOKUP($B171,'[1]Source Gov. Revenue WEO'!$B$1:$CZ$600,9,FALSE)</f>
        <v>12.102</v>
      </c>
      <c r="AB171">
        <f>VLOOKUP($B171,'[1]Source Gov. Revenue WEO'!$B$1:$CZ$600,10,FALSE)</f>
        <v>11.951000000000001</v>
      </c>
      <c r="AC171">
        <f>VLOOKUP($B171,[2]Summary!$B$1:$CZ$600,39,FALSE)</f>
        <v>1.3503929999999999E-2</v>
      </c>
      <c r="AD171">
        <f>VLOOKUP($B171,[2]Summary!$B$1:$CZ$600,40,FALSE)</f>
        <v>5.0000000000000001E-4</v>
      </c>
      <c r="AE171">
        <f>VLOOKUP($B171,[2]Summary!$B$1:$CZ$600,47,FALSE)</f>
        <v>0.2</v>
      </c>
      <c r="AF171" t="e">
        <f>VLOOKUP($B171,'[1]CALC GDP Growth rates WDI'!$B$1:$CZ$600,27,FALSE)</f>
        <v>#VALUE!</v>
      </c>
      <c r="AG171" t="e">
        <f>VLOOKUP($B171,'[1]CALC GDP Growth rates WDI'!$B$1:$CZ$600,29,FALSE)</f>
        <v>#VALUE!</v>
      </c>
      <c r="AH171">
        <v>-100</v>
      </c>
      <c r="AI171" t="e">
        <f>VLOOKUP($B171,'[1]CALC GDP Growth rates WDI'!$B$1:$CZ$600,30,FALSE)</f>
        <v>#VALUE!</v>
      </c>
      <c r="AJ171" s="45"/>
      <c r="AK171" t="e">
        <f>VLOOKUP($B171,[1]Data_Aspire!$B$1:$CZ$600,2,FALSE)</f>
        <v>#N/A</v>
      </c>
      <c r="AL171" t="e">
        <f>VLOOKUP($B171,[1]Data_Aspire!$B$1:$CZ$600,3,FALSE)</f>
        <v>#N/A</v>
      </c>
      <c r="AM171" t="e">
        <f>VLOOKUP($B171,[1]Data_Aspire!$B$1:$CZ$600,4,FALSE)</f>
        <v>#N/A</v>
      </c>
      <c r="AN171" t="e">
        <f>VLOOKUP($B171,[1]Data_Aspire!$B$1:$CZ$600,5,FALSE)</f>
        <v>#N/A</v>
      </c>
      <c r="AO171" t="e">
        <f>VLOOKUP($B171,[1]Data_Aspire!$B$1:$CZ$600,6,FALSE)</f>
        <v>#N/A</v>
      </c>
      <c r="AP171" t="e">
        <f>VLOOKUP($B171,[1]Data_Aspire!$B$1:$CZ$600,7,FALSE)</f>
        <v>#N/A</v>
      </c>
      <c r="AQ171" t="e">
        <f>VLOOKUP($B171,[1]Data_Aspire!$B$1:$CZ$600,8,FALSE)</f>
        <v>#N/A</v>
      </c>
      <c r="AR171" t="e">
        <f>VLOOKUP($B171,[1]Data_Aspire!$B$1:$CZ$600,9,FALSE)</f>
        <v>#N/A</v>
      </c>
      <c r="AS171" t="e">
        <f>VLOOKUP($B171,[1]Data_Aspire!$B$1:$CZ$600,10,FALSE)</f>
        <v>#N/A</v>
      </c>
      <c r="AT171" t="e">
        <f>VLOOKUP($B171,[1]Data_Aspire!$B$1:$CZ$600,11,FALSE)</f>
        <v>#N/A</v>
      </c>
      <c r="AU171" t="e">
        <f>VLOOKUP($B171,[1]Data_Aspire!$B$1:$CZ$600,12,FALSE)</f>
        <v>#N/A</v>
      </c>
      <c r="AV171" t="e">
        <f>VLOOKUP($B171,[1]Data_Aspire!$B$1:$CZ$600,13,FALSE)</f>
        <v>#N/A</v>
      </c>
      <c r="AW171" t="e">
        <f>VLOOKUP($B171,[1]Data_Aspire!$B$1:$CZ$600,14,FALSE)</f>
        <v>#N/A</v>
      </c>
      <c r="AX171" t="e">
        <f>VLOOKUP($B171,[1]Data_Aspire!$B$1:$CZ$600,15,FALSE)</f>
        <v>#N/A</v>
      </c>
      <c r="AY171" t="e">
        <f>VLOOKUP($B171,[1]Data_Aspire!$B$1:$CZ$600,16,FALSE)</f>
        <v>#N/A</v>
      </c>
      <c r="AZ171" t="e">
        <f>VLOOKUP($B171,[1]Data_Aspire!$B$1:$CZ$600,17,FALSE)</f>
        <v>#N/A</v>
      </c>
      <c r="BA171" t="e">
        <f>VLOOKUP($B171,[1]Data_Aspire!$B$1:$CZ$600,18,FALSE)</f>
        <v>#N/A</v>
      </c>
      <c r="BB171" t="e">
        <f>VLOOKUP($B171,[1]Data_Aspire!$B$1:$CZ$600,19,FALSE)</f>
        <v>#N/A</v>
      </c>
      <c r="BC171" t="e">
        <f>VLOOKUP($B171,[1]Data_Aspire!$B$1:$CZ$600,20,FALSE)</f>
        <v>#N/A</v>
      </c>
      <c r="BD171" t="e">
        <f>VLOOKUP($B171,[1]Data_Aspire!$B$1:$CZ$600,21,FALSE)</f>
        <v>#N/A</v>
      </c>
      <c r="BE171" t="e">
        <f>VLOOKUP($B171,[1]Data_Aspire!$B$1:$CZ$600,22,FALSE)</f>
        <v>#N/A</v>
      </c>
      <c r="BF171" t="e">
        <f>VLOOKUP($B171,[1]Data_Aspire!$B$1:$CZ$600,23,FALSE)</f>
        <v>#N/A</v>
      </c>
      <c r="BG171" t="e">
        <f>VLOOKUP($B171,[1]Data_Aspire!$B$1:$CZ$600,24,FALSE)</f>
        <v>#N/A</v>
      </c>
      <c r="BH171" t="e">
        <f>VLOOKUP($B171,[1]Data_Aspire!$B$1:$CZ$600,25,FALSE)</f>
        <v>#N/A</v>
      </c>
      <c r="BI171" t="e">
        <f>VLOOKUP($B171,[1]Data_Aspire!$B$1:$CZ$600,26,FALSE)</f>
        <v>#N/A</v>
      </c>
      <c r="BJ171" s="7">
        <v>0</v>
      </c>
      <c r="BK171">
        <v>795</v>
      </c>
      <c r="BL171">
        <f>VLOOKUP($B171,'[1]Data_UN_PopulationTot.&amp;%'!$B$4:$CZ$603,8,FALSE)</f>
        <v>6031.19</v>
      </c>
      <c r="BM171">
        <f>VLOOKUP($B171,'[1]Data_UN_PopulationTot.&amp;%'!$B$4:$CZ$603,9,FALSE)</f>
        <v>6117.93</v>
      </c>
      <c r="BN171">
        <v>6201.95</v>
      </c>
      <c r="BO171">
        <f>VLOOKUP($B171,'[1]Data_UN_PopulationTot.&amp;%'!$B$4:$CZ$603,11,FALSE)</f>
        <v>6283.19</v>
      </c>
      <c r="BP171">
        <f>VLOOKUP($B171,'[1]Data_UN_PopulationTot.&amp;%'!$B$4:$CZ$603,12,FALSE)</f>
        <v>6361.72</v>
      </c>
      <c r="BQ171">
        <f>VLOOKUP($B171,'[1]Data_UN_PopulationTot.&amp;%'!$B$4:$CZ$603,13,FALSE)</f>
        <v>6437.59</v>
      </c>
      <c r="BR171">
        <f>VLOOKUP($B171,'[1]Data_UN_PopulationTot.&amp;%'!$B$4:$CZ$603,14,FALSE)</f>
        <v>6510.79</v>
      </c>
      <c r="BS171">
        <f>VLOOKUP($B171,'[1]Data_UN_PopulationTot.&amp;%'!$B$4:$CZ$603,15,FALSE)</f>
        <v>6581.39</v>
      </c>
      <c r="BT171">
        <f>VLOOKUP($B171,'[1]Data_UN_PopulationTot.&amp;%'!$B$4:$CZ$603,16,FALSE)</f>
        <v>6649.84</v>
      </c>
      <c r="BU171">
        <f>VLOOKUP($B171,'[1]Data_UN_PopulationTot.&amp;%'!$B$4:$CZ$603,17,FALSE)</f>
        <v>6716.67</v>
      </c>
      <c r="BV171">
        <f>VLOOKUP($B171,'[1]Data_UN_PopulationTot.&amp;%'!$B$4:$CZ$603,18,FALSE)</f>
        <v>6782.36</v>
      </c>
      <c r="BW171">
        <f>VLOOKUP($B171,'[1]Data_UN_PopulationTot.&amp;%'!$B$4:$CZ$603,61,FALSE)</f>
        <v>10.960772252242096</v>
      </c>
      <c r="BX171">
        <f>VLOOKUP($B171,'[1]Data_UN_PopulationTot.&amp;%'!$B$4:$CZ$603,62,FALSE)</f>
        <v>11.139841391168243</v>
      </c>
      <c r="BY171">
        <f>VLOOKUP($B171,'[1]Data_UN_PopulationTot.&amp;%'!$B$4:$CZ$603,63,FALSE)</f>
        <v>8.6912035601597708</v>
      </c>
      <c r="BZ171">
        <f>VLOOKUP($B171,'[1]Data_UN_PopulationTot.&amp;%'!$B$4:$CZ$603,64,FALSE)</f>
        <v>8.0342353664865467</v>
      </c>
      <c r="CA171">
        <f>VLOOKUP($B171,'[1]Data_UN_PopulationTot.&amp;%'!$B$4:$CZ$603,65,FALSE)</f>
        <v>7.6525030715331468</v>
      </c>
      <c r="CB171">
        <f>VLOOKUP($B171,'[1]Data_UN_PopulationTot.&amp;%'!$B$4:$CZ$603,66,FALSE)</f>
        <v>9.0903121937793365</v>
      </c>
      <c r="CC171">
        <f>VLOOKUP($B171,'[1]Data_UN_PopulationTot.&amp;%'!$B$4:$CZ$603,67,FALSE)</f>
        <v>8.7080161626478354</v>
      </c>
      <c r="CD171">
        <f>VLOOKUP($B171,'[1]Data_UN_PopulationTot.&amp;%'!$B$4:$CZ$603,68,FALSE)</f>
        <v>7.1741729244145844</v>
      </c>
      <c r="CE171">
        <f>VLOOKUP($B171,'[1]Data_UN_PopulationTot.&amp;%'!$B$4:$CZ$603,69,FALSE)</f>
        <v>6.2749639789162677</v>
      </c>
      <c r="CF171">
        <f>VLOOKUP($B171,'[1]Data_UN_PopulationTot.&amp;%'!$B$4:$CZ$603,70,FALSE)</f>
        <v>5.2952402428044882</v>
      </c>
      <c r="CG171">
        <f>VLOOKUP($B171,'[1]Data_UN_PopulationTot.&amp;%'!$B$4:$CZ$603,71,FALSE)</f>
        <v>4.7021732029665788</v>
      </c>
      <c r="CH171">
        <f>VLOOKUP($B171,'[1]Data_UN_PopulationTot.&amp;%'!$B$4:$CZ$603,72,FALSE)</f>
        <v>4.175991802612752</v>
      </c>
      <c r="CI171">
        <f>VLOOKUP($B171,'[1]Data_UN_PopulationTot.&amp;%'!$B$4:$CZ$603,73,FALSE)</f>
        <v>3.3325761582705899</v>
      </c>
      <c r="CJ171">
        <f>VLOOKUP($B171,'[1]Data_UN_PopulationTot.&amp;%'!$B$4:$CZ$603,74,FALSE)</f>
        <v>2.2126644990457933</v>
      </c>
      <c r="CK171">
        <f>VLOOKUP($B171,'[1]Data_UN_PopulationTot.&amp;%'!$B$4:$CZ$603,75,FALSE)</f>
        <v>1.1381501826339413</v>
      </c>
      <c r="CL171">
        <f>VLOOKUP($B171,'[1]Data_UN_PopulationTot.&amp;%'!$B$4:$CZ$603,76,FALSE)</f>
        <v>0.57723268542360628</v>
      </c>
      <c r="CM171">
        <f>VLOOKUP($B171,'[1]Data_UN_PopulationTot.&amp;%'!$B$4:$CZ$603,77,FALSE)</f>
        <v>0.53899810816770832</v>
      </c>
      <c r="CN171">
        <f>VLOOKUP($B171,'[1]Data_UN_PopulationTot.&amp;%'!$B$4:$CZ$603,78,FALSE)</f>
        <v>0.21204770534504802</v>
      </c>
      <c r="CO171">
        <f>VLOOKUP($B171,'[1]Data_UN_PopulationTot.&amp;%'!$B$4:$CZ$603,79,FALSE)</f>
        <v>7.5971740237001317E-2</v>
      </c>
      <c r="CP171">
        <f>VLOOKUP($B171,'[1]Data_UN_PopulationTot.&amp;%'!$B$4:$CZ$603,80,FALSE)</f>
        <v>1.1689235457679165E-2</v>
      </c>
      <c r="CQ171">
        <f>VLOOKUP($B171,'[1]Data_UN_PopulationTot.&amp;%'!$B$4:$CZ$603,81,FALSE)</f>
        <v>1.1937942595076593E-3</v>
      </c>
      <c r="CR171">
        <f>VLOOKUP($B171,'[1]Data_UN_PopulationTot.&amp;%'!$B$4:$CZ$603,82,FALSE)</f>
        <v>8.6018436060604273</v>
      </c>
      <c r="CS171">
        <f>VLOOKUP($B171,'[1]Data_UN_PopulationTot.&amp;%'!$B$4:$CZ$603,83,FALSE)</f>
        <v>9.0703383483035402</v>
      </c>
      <c r="CT171">
        <f>VLOOKUP($B171,'[1]Data_UN_PopulationTot.&amp;%'!$B$4:$CZ$603,84,FALSE)</f>
        <v>9.656535483224129</v>
      </c>
      <c r="CU171">
        <f>VLOOKUP($B171,'[1]Data_UN_PopulationTot.&amp;%'!$B$4:$CZ$603,85,FALSE)</f>
        <v>9.8246628017386293</v>
      </c>
      <c r="CV171">
        <f>VLOOKUP($B171,'[1]Data_UN_PopulationTot.&amp;%'!$B$4:$CZ$603,86,FALSE)</f>
        <v>7.5829504774149417</v>
      </c>
      <c r="CW171">
        <f>VLOOKUP($B171,'[1]Data_UN_PopulationTot.&amp;%'!$B$4:$CZ$603,87,FALSE)</f>
        <v>6.9568704698659456</v>
      </c>
      <c r="CX171">
        <f>VLOOKUP($B171,'[1]Data_UN_PopulationTot.&amp;%'!$B$4:$CZ$603,88,FALSE)</f>
        <v>6.6154553872103516</v>
      </c>
      <c r="CY171">
        <f>VLOOKUP($B171,'[1]Data_UN_PopulationTot.&amp;%'!$B$4:$CZ$603,89,FALSE)</f>
        <v>7.8604939873436379</v>
      </c>
      <c r="CZ171">
        <f>VLOOKUP($B171,'[1]Data_UN_PopulationTot.&amp;%'!$B$4:$CZ$603,90,FALSE)</f>
        <v>7.4873790244103828</v>
      </c>
      <c r="DA171">
        <f>VLOOKUP($B171,'[1]Data_UN_PopulationTot.&amp;%'!$B$4:$CZ$603,91,FALSE)</f>
        <v>6.1051020588703642</v>
      </c>
      <c r="DB171">
        <f>VLOOKUP($B171,'[1]Data_UN_PopulationTot.&amp;%'!$B$4:$CZ$603,92,FALSE)</f>
        <v>5.2478635755105891</v>
      </c>
      <c r="DC171">
        <f>VLOOKUP($B171,'[1]Data_UN_PopulationTot.&amp;%'!$B$4:$CZ$603,93,FALSE)</f>
        <v>4.2970440967450854</v>
      </c>
      <c r="DD171">
        <f>VLOOKUP($B171,'[1]Data_UN_PopulationTot.&amp;%'!$B$4:$CZ$603,94,FALSE)</f>
        <v>3.6213206022682369</v>
      </c>
      <c r="DE171">
        <f>VLOOKUP($B171,'[1]Data_UN_PopulationTot.&amp;%'!$B$4:$CZ$603,95,FALSE)</f>
        <v>2.9996933220884765</v>
      </c>
      <c r="DF171">
        <f>VLOOKUP($B171,'[1]Data_UN_PopulationTot.&amp;%'!$B$4:$CZ$603,96,FALSE)</f>
        <v>2.1245702085999567</v>
      </c>
      <c r="DG171">
        <f>VLOOKUP($B171,'[1]Data_UN_PopulationTot.&amp;%'!$B$4:$CZ$603,97,FALSE)</f>
        <v>1.1933604232155179</v>
      </c>
      <c r="DH171">
        <f>VLOOKUP($B171,'[1]Data_UN_PopulationTot.&amp;%'!$B$4:$CZ$603,98,FALSE)</f>
        <v>0.49254241886305067</v>
      </c>
      <c r="DI171">
        <f>VLOOKUP($B171,'[1]Data_UN_PopulationTot.&amp;%'!$B$4:$CZ$603,99,FALSE)</f>
        <v>0.16395472962213742</v>
      </c>
      <c r="DJ171">
        <f>VLOOKUP($B171,'[1]Data_UN_PopulationTot.&amp;%'!$B$4:$DE$603,100,FALSE)</f>
        <v>8.1520296769855921E-2</v>
      </c>
      <c r="DK171">
        <f>VLOOKUP($B171,'[1]Data_UN_PopulationTot.&amp;%'!$B$4:$DE$603,101,FALSE)</f>
        <v>1.446399188483065E-2</v>
      </c>
      <c r="DL171">
        <f>VLOOKUP($B171,'[1]Data_UN_PopulationTot.&amp;%'!$B$4:$DE$603,102,FALSE)</f>
        <v>2.0346899899150151E-3</v>
      </c>
    </row>
    <row r="172" spans="1:116">
      <c r="A172" t="s">
        <v>137</v>
      </c>
      <c r="B172" t="s">
        <v>351</v>
      </c>
      <c r="C172" t="s">
        <v>493</v>
      </c>
      <c r="D172" t="s">
        <v>334</v>
      </c>
      <c r="E172" t="s">
        <v>300</v>
      </c>
      <c r="F172">
        <v>0</v>
      </c>
      <c r="G172">
        <v>1</v>
      </c>
      <c r="H172">
        <v>0</v>
      </c>
      <c r="I172">
        <v>0</v>
      </c>
      <c r="J172" s="18">
        <f t="shared" si="5"/>
        <v>0.97443688550400021</v>
      </c>
      <c r="K172">
        <f>VLOOKUP($B172,'[1]Source GDP Current USD'!$B$1:$CZ$600,64,FALSE)</f>
        <v>1902156800</v>
      </c>
      <c r="L172" s="45">
        <f>VLOOKUP($B172,'[1]Source GDP Current USD'!$B$1:$CZ$600,65,FALSE)</f>
        <v>1902156800</v>
      </c>
      <c r="M172" s="17">
        <f>VLOOKUP($B172,'[1]Source GDP Current LCU'!$B$1:$CZ$600,64,FALSE)</f>
        <v>1902156800</v>
      </c>
      <c r="N172" s="45">
        <v>1900000000</v>
      </c>
      <c r="O172" s="45">
        <f>VLOOKUP($B172,'[1]Source GNI Current USD'!$B$1:$CZ$600,64,FALSE)</f>
        <v>2382618783.0047002</v>
      </c>
      <c r="P172" s="45">
        <f>VLOOKUP($B172,'[1]Source GNI Current LCU'!$B$1:$CZ$600,64,FALSE)</f>
        <v>2382618783.0047002</v>
      </c>
      <c r="Q172">
        <f t="shared" si="4"/>
        <v>79.834710175549205</v>
      </c>
      <c r="R172">
        <v>1990</v>
      </c>
      <c r="S172">
        <v>1990</v>
      </c>
      <c r="T172">
        <v>0.34837699999999999</v>
      </c>
      <c r="U172" s="45">
        <v>1300000</v>
      </c>
      <c r="V172">
        <v>51.228000000000002</v>
      </c>
      <c r="W172">
        <f>VLOOKUP($B172,'[1]Source Gov. Revenue WEO'!$B$1:$CZ$600,5,FALSE)</f>
        <v>56.343000000000004</v>
      </c>
      <c r="X172">
        <f>VLOOKUP($B172,'[1]Source Gov. Revenue WEO'!$B$1:$CZ$600,6,FALSE)</f>
        <v>54.7</v>
      </c>
      <c r="Y172">
        <f>VLOOKUP($B172,'[1]Source Gov. Revenue WEO'!$B$1:$CZ$600,7,FALSE)</f>
        <v>52.698</v>
      </c>
      <c r="Z172">
        <f>VLOOKUP($B172,'[1]Source Gov. Revenue WEO'!$B$1:$CZ$600,8,FALSE)</f>
        <v>50.728999999999999</v>
      </c>
      <c r="AA172">
        <f>VLOOKUP($B172,'[1]Source Gov. Revenue WEO'!$B$1:$CZ$600,9,FALSE)</f>
        <v>48.518000000000001</v>
      </c>
      <c r="AB172">
        <f>VLOOKUP($B172,'[1]Source Gov. Revenue WEO'!$B$1:$CZ$600,10,FALSE)</f>
        <v>46.43</v>
      </c>
      <c r="AC172">
        <f>VLOOKUP($B172,[2]Summary!$B$1:$CZ$600,39,FALSE)</f>
        <v>0.2672522</v>
      </c>
      <c r="AD172">
        <f>VLOOKUP($B172,[2]Summary!$B$1:$CZ$600,40,FALSE)</f>
        <v>0.21149999999999999</v>
      </c>
      <c r="AE172">
        <f>VLOOKUP($B172,[2]Summary!$B$1:$CZ$600,47,FALSE)</f>
        <v>0.27947714252678868</v>
      </c>
      <c r="AF172">
        <f>VLOOKUP($B172,'[1]CALC GDP Growth rates WDI'!$B$1:$CZ$600,27,FALSE)</f>
        <v>61.473131759212528</v>
      </c>
      <c r="AG172">
        <f>VLOOKUP($B172,'[1]CALC GDP Growth rates WDI'!$B$1:$CZ$600,29,FALSE)</f>
        <v>33.511838764065047</v>
      </c>
      <c r="AH172">
        <v>31.3</v>
      </c>
      <c r="AI172">
        <f>VLOOKUP($B172,'[1]CALC GDP Growth rates WDI'!$B$1:$CZ$600,30,FALSE)</f>
        <v>2.0430175781181337</v>
      </c>
      <c r="AJ172" s="45" t="s">
        <v>2465</v>
      </c>
      <c r="AK172">
        <f>VLOOKUP($B172,[1]Data_Aspire!$B$1:$CZ$600,2,FALSE)</f>
        <v>2016</v>
      </c>
      <c r="AL172">
        <f>VLOOKUP($B172,[1]Data_Aspire!$B$1:$CZ$600,3,FALSE)</f>
        <v>5.31</v>
      </c>
      <c r="AM172">
        <f>VLOOKUP($B172,[1]Data_Aspire!$B$1:$CZ$600,4,FALSE)</f>
        <v>0.28999999999999998</v>
      </c>
      <c r="AN172">
        <f>VLOOKUP($B172,[1]Data_Aspire!$B$1:$CZ$600,5,FALSE)</f>
        <v>0.02</v>
      </c>
      <c r="AO172">
        <f>VLOOKUP($B172,[1]Data_Aspire!$B$1:$CZ$600,6,FALSE)</f>
        <v>5</v>
      </c>
      <c r="AP172">
        <f>VLOOKUP($B172,[1]Data_Aspire!$B$1:$CZ$600,7,FALSE)</f>
        <v>0</v>
      </c>
      <c r="AU172">
        <f>VLOOKUP($B172,[1]Data_Aspire!$B$1:$CZ$600,12,FALSE)</f>
        <v>5.31</v>
      </c>
      <c r="AV172">
        <f>VLOOKUP($B172,[1]Data_Aspire!$B$1:$CZ$600,13,FALSE)</f>
        <v>316030</v>
      </c>
      <c r="AW172">
        <f>VLOOKUP($B172,[1]Data_Aspire!$B$1:$CZ$600,14,FALSE)</f>
        <v>2012</v>
      </c>
      <c r="AX172">
        <f>VLOOKUP($B172,[1]Data_Aspire!$B$1:$CZ$600,15,FALSE)</f>
        <v>31852</v>
      </c>
      <c r="AY172">
        <f>VLOOKUP($B172,[1]Data_Aspire!$B$1:$CZ$600,16,FALSE)</f>
        <v>2015</v>
      </c>
      <c r="AZ172">
        <f>VLOOKUP($B172,[1]Data_Aspire!$B$1:$CZ$600,17,FALSE)</f>
        <v>84569</v>
      </c>
      <c r="BA172">
        <f>VLOOKUP($B172,[1]Data_Aspire!$B$1:$CZ$600,18,FALSE)</f>
        <v>2012</v>
      </c>
      <c r="BD172">
        <f>VLOOKUP($B172,[1]Data_Aspire!$B$1:$CZ$600,21,FALSE)</f>
        <v>288000</v>
      </c>
      <c r="BE172">
        <f>VLOOKUP($B172,[1]Data_Aspire!$B$1:$CZ$600,22,FALSE)</f>
        <v>2011</v>
      </c>
      <c r="BF172">
        <f>VLOOKUP($B172,[1]Data_Aspire!$B$1:$CZ$600,23,FALSE)</f>
        <v>55000</v>
      </c>
      <c r="BG172">
        <f>VLOOKUP($B172,[1]Data_Aspire!$B$1:$CZ$600,24,FALSE)</f>
        <v>2008</v>
      </c>
      <c r="BJ172" s="7">
        <v>0</v>
      </c>
      <c r="BK172">
        <v>626</v>
      </c>
      <c r="BL172">
        <f>VLOOKUP($B172,'[1]Data_UN_PopulationTot.&amp;%'!$B$4:$CZ$603,8,FALSE)</f>
        <v>1318.44</v>
      </c>
      <c r="BM172">
        <f>VLOOKUP($B172,'[1]Data_UN_PopulationTot.&amp;%'!$B$4:$CZ$603,9,FALSE)</f>
        <v>1343.88</v>
      </c>
      <c r="BN172">
        <v>1369.43</v>
      </c>
      <c r="BO172">
        <f>VLOOKUP($B172,'[1]Data_UN_PopulationTot.&amp;%'!$B$4:$CZ$603,11,FALSE)</f>
        <v>1395.06</v>
      </c>
      <c r="BP172">
        <f>VLOOKUP($B172,'[1]Data_UN_PopulationTot.&amp;%'!$B$4:$CZ$603,12,FALSE)</f>
        <v>1420.76</v>
      </c>
      <c r="BQ172">
        <f>VLOOKUP($B172,'[1]Data_UN_PopulationTot.&amp;%'!$B$4:$CZ$603,13,FALSE)</f>
        <v>1446.51</v>
      </c>
      <c r="BR172">
        <f>VLOOKUP($B172,'[1]Data_UN_PopulationTot.&amp;%'!$B$4:$CZ$603,14,FALSE)</f>
        <v>1472.25</v>
      </c>
      <c r="BS172">
        <f>VLOOKUP($B172,'[1]Data_UN_PopulationTot.&amp;%'!$B$4:$CZ$603,15,FALSE)</f>
        <v>1497.93</v>
      </c>
      <c r="BT172">
        <f>VLOOKUP($B172,'[1]Data_UN_PopulationTot.&amp;%'!$B$4:$CZ$603,16,FALSE)</f>
        <v>1523.49</v>
      </c>
      <c r="BU172">
        <f>VLOOKUP($B172,'[1]Data_UN_PopulationTot.&amp;%'!$B$4:$CZ$603,17,FALSE)</f>
        <v>1548.88</v>
      </c>
      <c r="BV172">
        <f>VLOOKUP($B172,'[1]Data_UN_PopulationTot.&amp;%'!$B$4:$CZ$603,18,FALSE)</f>
        <v>1574.06</v>
      </c>
      <c r="BW172">
        <f>VLOOKUP($B172,'[1]Data_UN_PopulationTot.&amp;%'!$B$4:$CZ$603,61,FALSE)</f>
        <v>13.507175146385123</v>
      </c>
      <c r="BX172">
        <f>VLOOKUP($B172,'[1]Data_UN_PopulationTot.&amp;%'!$B$4:$CZ$603,62,FALSE)</f>
        <v>11.664846333545706</v>
      </c>
      <c r="BY172">
        <f>VLOOKUP($B172,'[1]Data_UN_PopulationTot.&amp;%'!$B$4:$CZ$603,63,FALSE)</f>
        <v>11.659992111889808</v>
      </c>
      <c r="BZ172">
        <f>VLOOKUP($B172,'[1]Data_UN_PopulationTot.&amp;%'!$B$4:$CZ$603,64,FALSE)</f>
        <v>11.603561785140013</v>
      </c>
      <c r="CA172">
        <f>VLOOKUP($B172,'[1]Data_UN_PopulationTot.&amp;%'!$B$4:$CZ$603,65,FALSE)</f>
        <v>9.8438305876642076</v>
      </c>
      <c r="CB172">
        <f>VLOOKUP($B172,'[1]Data_UN_PopulationTot.&amp;%'!$B$4:$CZ$603,66,FALSE)</f>
        <v>8.7317587451837007</v>
      </c>
      <c r="CC172">
        <f>VLOOKUP($B172,'[1]Data_UN_PopulationTot.&amp;%'!$B$4:$CZ$603,67,FALSE)</f>
        <v>6.8156305937319859</v>
      </c>
      <c r="CD172">
        <f>VLOOKUP($B172,'[1]Data_UN_PopulationTot.&amp;%'!$B$4:$CZ$603,68,FALSE)</f>
        <v>5.2461242073966199</v>
      </c>
      <c r="CE172">
        <f>VLOOKUP($B172,'[1]Data_UN_PopulationTot.&amp;%'!$B$4:$CZ$603,69,FALSE)</f>
        <v>3.5367555596007403</v>
      </c>
      <c r="CF172">
        <f>VLOOKUP($B172,'[1]Data_UN_PopulationTot.&amp;%'!$B$4:$CZ$603,70,FALSE)</f>
        <v>4.1077333818755504</v>
      </c>
      <c r="CG172">
        <f>VLOOKUP($B172,'[1]Data_UN_PopulationTot.&amp;%'!$B$4:$CZ$603,71,FALSE)</f>
        <v>3.6529534904887591</v>
      </c>
      <c r="CH172">
        <f>VLOOKUP($B172,'[1]Data_UN_PopulationTot.&amp;%'!$B$4:$CZ$603,72,FALSE)</f>
        <v>3.0574770182943478</v>
      </c>
      <c r="CI172">
        <f>VLOOKUP($B172,'[1]Data_UN_PopulationTot.&amp;%'!$B$4:$CZ$603,73,FALSE)</f>
        <v>2.2893722884621219</v>
      </c>
      <c r="CJ172">
        <f>VLOOKUP($B172,'[1]Data_UN_PopulationTot.&amp;%'!$B$4:$CZ$603,74,FALSE)</f>
        <v>1.513910378932678</v>
      </c>
      <c r="CK172">
        <f>VLOOKUP($B172,'[1]Data_UN_PopulationTot.&amp;%'!$B$4:$CZ$603,75,FALSE)</f>
        <v>1.360092230211462</v>
      </c>
      <c r="CL172">
        <f>VLOOKUP($B172,'[1]Data_UN_PopulationTot.&amp;%'!$B$4:$CZ$603,76,FALSE)</f>
        <v>0.83295409726646641</v>
      </c>
      <c r="CM172">
        <f>VLOOKUP($B172,'[1]Data_UN_PopulationTot.&amp;%'!$B$4:$CZ$603,77,FALSE)</f>
        <v>0.41313977124480444</v>
      </c>
      <c r="CN172">
        <f>VLOOKUP($B172,'[1]Data_UN_PopulationTot.&amp;%'!$B$4:$CZ$603,78,FALSE)</f>
        <v>0.12856102666788022</v>
      </c>
      <c r="CO172">
        <f>VLOOKUP($B172,'[1]Data_UN_PopulationTot.&amp;%'!$B$4:$CZ$603,79,FALSE)</f>
        <v>3.0414732562725644E-2</v>
      </c>
      <c r="CP172">
        <f>VLOOKUP($B172,'[1]Data_UN_PopulationTot.&amp;%'!$B$4:$CZ$603,80,FALSE)</f>
        <v>3.6406662419222716E-3</v>
      </c>
      <c r="CQ172">
        <f>VLOOKUP($B172,'[1]Data_UN_PopulationTot.&amp;%'!$B$4:$CZ$603,81,FALSE)</f>
        <v>2.2754164012014197E-4</v>
      </c>
      <c r="CR172">
        <f>VLOOKUP($B172,'[1]Data_UN_PopulationTot.&amp;%'!$B$4:$CZ$603,82,FALSE)</f>
        <v>11.946113871135788</v>
      </c>
      <c r="CS172">
        <f>VLOOKUP($B172,'[1]Data_UN_PopulationTot.&amp;%'!$B$4:$CZ$603,83,FALSE)</f>
        <v>11.659148952390632</v>
      </c>
      <c r="CT172">
        <f>VLOOKUP($B172,'[1]Data_UN_PopulationTot.&amp;%'!$B$4:$CZ$603,84,FALSE)</f>
        <v>11.111012286698093</v>
      </c>
      <c r="CU172">
        <f>VLOOKUP($B172,'[1]Data_UN_PopulationTot.&amp;%'!$B$4:$CZ$603,85,FALSE)</f>
        <v>9.5796221236801653</v>
      </c>
      <c r="CV172">
        <f>VLOOKUP($B172,'[1]Data_UN_PopulationTot.&amp;%'!$B$4:$CZ$603,86,FALSE)</f>
        <v>9.3525659758840192</v>
      </c>
      <c r="CW172">
        <f>VLOOKUP($B172,'[1]Data_UN_PopulationTot.&amp;%'!$B$4:$CZ$603,87,FALSE)</f>
        <v>9.0849141709972958</v>
      </c>
      <c r="CX172">
        <f>VLOOKUP($B172,'[1]Data_UN_PopulationTot.&amp;%'!$B$4:$CZ$603,88,FALSE)</f>
        <v>7.6011714928274658</v>
      </c>
      <c r="CY172">
        <f>VLOOKUP($B172,'[1]Data_UN_PopulationTot.&amp;%'!$B$4:$CZ$603,89,FALSE)</f>
        <v>6.781634753440148</v>
      </c>
      <c r="CZ172">
        <f>VLOOKUP($B172,'[1]Data_UN_PopulationTot.&amp;%'!$B$4:$CZ$603,90,FALSE)</f>
        <v>5.3042450732500672</v>
      </c>
      <c r="DA172">
        <f>VLOOKUP($B172,'[1]Data_UN_PopulationTot.&amp;%'!$B$4:$CZ$603,91,FALSE)</f>
        <v>4.0795776526943071</v>
      </c>
      <c r="DB172">
        <f>VLOOKUP($B172,'[1]Data_UN_PopulationTot.&amp;%'!$B$4:$CZ$603,92,FALSE)</f>
        <v>2.7127301373518167</v>
      </c>
      <c r="DC172">
        <f>VLOOKUP($B172,'[1]Data_UN_PopulationTot.&amp;%'!$B$4:$CZ$603,93,FALSE)</f>
        <v>3.1345692032069938</v>
      </c>
      <c r="DD172">
        <f>VLOOKUP($B172,'[1]Data_UN_PopulationTot.&amp;%'!$B$4:$CZ$603,94,FALSE)</f>
        <v>2.682172217069235</v>
      </c>
      <c r="DE172">
        <f>VLOOKUP($B172,'[1]Data_UN_PopulationTot.&amp;%'!$B$4:$CZ$603,95,FALSE)</f>
        <v>2.0958540335184175</v>
      </c>
      <c r="DF172">
        <f>VLOOKUP($B172,'[1]Data_UN_PopulationTot.&amp;%'!$B$4:$CZ$603,96,FALSE)</f>
        <v>1.3953089462917552</v>
      </c>
      <c r="DG172">
        <f>VLOOKUP($B172,'[1]Data_UN_PopulationTot.&amp;%'!$B$4:$CZ$603,97,FALSE)</f>
        <v>0.75435498011511637</v>
      </c>
      <c r="DH172">
        <f>VLOOKUP($B172,'[1]Data_UN_PopulationTot.&amp;%'!$B$4:$CZ$603,98,FALSE)</f>
        <v>0.491023213854618</v>
      </c>
      <c r="DI172">
        <f>VLOOKUP($B172,'[1]Data_UN_PopulationTot.&amp;%'!$B$4:$CZ$603,99,FALSE)</f>
        <v>0.18302987179650076</v>
      </c>
      <c r="DJ172">
        <f>VLOOKUP($B172,'[1]Data_UN_PopulationTot.&amp;%'!$B$4:$DE$603,100,FALSE)</f>
        <v>4.4915695716808764E-2</v>
      </c>
      <c r="DK172">
        <f>VLOOKUP($B172,'[1]Data_UN_PopulationTot.&amp;%'!$B$4:$DE$603,101,FALSE)</f>
        <v>5.5271082423795793E-3</v>
      </c>
      <c r="DL172">
        <f>VLOOKUP($B172,'[1]Data_UN_PopulationTot.&amp;%'!$B$4:$DE$603,102,FALSE)</f>
        <v>4.4470985858226496E-4</v>
      </c>
    </row>
    <row r="173" spans="1:116">
      <c r="A173" t="s">
        <v>187</v>
      </c>
      <c r="B173" t="s">
        <v>402</v>
      </c>
      <c r="C173" t="s">
        <v>493</v>
      </c>
      <c r="D173" t="s">
        <v>389</v>
      </c>
      <c r="E173" t="s">
        <v>301</v>
      </c>
      <c r="F173">
        <v>0</v>
      </c>
      <c r="G173">
        <v>0</v>
      </c>
      <c r="H173">
        <v>1</v>
      </c>
      <c r="I173">
        <v>0</v>
      </c>
      <c r="J173" s="18">
        <f t="shared" si="5"/>
        <v>0.49494856562999995</v>
      </c>
      <c r="K173">
        <f>VLOOKUP($B173,'[1]Source GDP Current USD'!$B$1:$CZ$600,64,FALSE)</f>
        <v>488829964.07081902</v>
      </c>
      <c r="L173" s="45">
        <f>VLOOKUP($B173,'[1]Source GDP Current USD'!$B$1:$CZ$600,65,FALSE)</f>
        <v>488829964.07081902</v>
      </c>
      <c r="M173" s="17">
        <f>VLOOKUP($B173,'[1]Source GDP Current LCU'!$B$1:$CZ$600,64,FALSE)</f>
        <v>1129246100</v>
      </c>
      <c r="N173" s="45">
        <v>1100000000</v>
      </c>
      <c r="O173" s="45">
        <f>VLOOKUP($B173,'[1]Source GNI Current USD'!$B$1:$CZ$600,64,FALSE)</f>
        <v>530157958.52993399</v>
      </c>
      <c r="P173" s="45">
        <f>VLOOKUP($B173,'[1]Source GNI Current LCU'!$B$1:$CZ$600,64,FALSE)</f>
        <v>1224717900</v>
      </c>
      <c r="Q173">
        <f t="shared" si="4"/>
        <v>92.204588501564317</v>
      </c>
      <c r="R173">
        <v>5190</v>
      </c>
      <c r="S173">
        <v>5190</v>
      </c>
      <c r="T173">
        <v>0.69077299999999997</v>
      </c>
      <c r="U173">
        <v>106000</v>
      </c>
      <c r="V173">
        <v>43.83</v>
      </c>
      <c r="W173">
        <f>VLOOKUP($B173,'[1]Source Gov. Revenue WEO'!$B$1:$CZ$600,5,FALSE)</f>
        <v>42.877000000000002</v>
      </c>
      <c r="X173">
        <f>VLOOKUP($B173,'[1]Source Gov. Revenue WEO'!$B$1:$CZ$600,6,FALSE)</f>
        <v>47.933999999999997</v>
      </c>
      <c r="Y173">
        <f>VLOOKUP($B173,'[1]Source Gov. Revenue WEO'!$B$1:$CZ$600,7,FALSE)</f>
        <v>40.997</v>
      </c>
      <c r="Z173">
        <f>VLOOKUP($B173,'[1]Source Gov. Revenue WEO'!$B$1:$CZ$600,8,FALSE)</f>
        <v>38.308</v>
      </c>
      <c r="AA173">
        <f>VLOOKUP($B173,'[1]Source Gov. Revenue WEO'!$B$1:$CZ$600,9,FALSE)</f>
        <v>33.276000000000003</v>
      </c>
      <c r="AB173">
        <f>VLOOKUP($B173,'[1]Source Gov. Revenue WEO'!$B$1:$CZ$600,10,FALSE)</f>
        <v>24.599</v>
      </c>
      <c r="AC173">
        <f>VLOOKUP($B173,[2]Summary!$B$1:$CZ$600,39,FALSE)</f>
        <v>6.7295919999999995E-3</v>
      </c>
      <c r="AD173">
        <f>VLOOKUP($B173,[2]Summary!$B$1:$CZ$600,40,FALSE)</f>
        <v>6.5000000000000006E-3</v>
      </c>
      <c r="AE173">
        <f>VLOOKUP($B173,[2]Summary!$B$1:$CZ$600,47,FALSE)</f>
        <v>0.27169051330530364</v>
      </c>
      <c r="AF173">
        <f>VLOOKUP($B173,'[1]CALC GDP Growth rates WDI'!$B$1:$CZ$600,27,FALSE)</f>
        <v>24.866054472950591</v>
      </c>
      <c r="AG173">
        <f>VLOOKUP($B173,'[1]CALC GDP Growth rates WDI'!$B$1:$CZ$600,29,FALSE)</f>
        <v>24.144590043856606</v>
      </c>
      <c r="AH173">
        <v>11.99</v>
      </c>
      <c r="AI173">
        <f>VLOOKUP($B173,'[1]CALC GDP Growth rates WDI'!$B$1:$CZ$600,30,FALSE)</f>
        <v>11.741011085787999</v>
      </c>
      <c r="AJ173" s="45" t="s">
        <v>2464</v>
      </c>
      <c r="AM173">
        <f>VLOOKUP($B173,[1]Data_Aspire!$B$1:$CZ$600,4,FALSE)</f>
        <v>0</v>
      </c>
      <c r="AN173">
        <f>VLOOKUP($B173,[1]Data_Aspire!$B$1:$CZ$600,5,FALSE)</f>
        <v>0</v>
      </c>
      <c r="AO173">
        <f>VLOOKUP($B173,[1]Data_Aspire!$B$1:$CZ$600,6,FALSE)</f>
        <v>0</v>
      </c>
      <c r="AP173">
        <f>VLOOKUP($B173,[1]Data_Aspire!$B$1:$CZ$600,7,FALSE)</f>
        <v>0</v>
      </c>
      <c r="BJ173" s="7">
        <v>0</v>
      </c>
      <c r="BK173">
        <v>776</v>
      </c>
      <c r="BL173">
        <f>VLOOKUP($B173,'[1]Data_UN_PopulationTot.&amp;%'!$B$4:$CZ$603,8,FALSE)</f>
        <v>105.697</v>
      </c>
      <c r="BM173">
        <f>VLOOKUP($B173,'[1]Data_UN_PopulationTot.&amp;%'!$B$4:$CZ$603,9,FALSE)</f>
        <v>106.759</v>
      </c>
      <c r="BN173">
        <v>107.748</v>
      </c>
      <c r="BO173">
        <f>VLOOKUP($B173,'[1]Data_UN_PopulationTot.&amp;%'!$B$4:$CZ$603,11,FALSE)</f>
        <v>108.663</v>
      </c>
      <c r="BP173">
        <f>VLOOKUP($B173,'[1]Data_UN_PopulationTot.&amp;%'!$B$4:$CZ$603,12,FALSE)</f>
        <v>109.59399999999999</v>
      </c>
      <c r="BQ173">
        <f>VLOOKUP($B173,'[1]Data_UN_PopulationTot.&amp;%'!$B$4:$CZ$603,13,FALSE)</f>
        <v>110.55500000000001</v>
      </c>
      <c r="BR173">
        <f>VLOOKUP($B173,'[1]Data_UN_PopulationTot.&amp;%'!$B$4:$CZ$603,14,FALSE)</f>
        <v>111.551</v>
      </c>
      <c r="BS173">
        <f>VLOOKUP($B173,'[1]Data_UN_PopulationTot.&amp;%'!$B$4:$CZ$603,15,FALSE)</f>
        <v>112.55500000000001</v>
      </c>
      <c r="BT173">
        <f>VLOOKUP($B173,'[1]Data_UN_PopulationTot.&amp;%'!$B$4:$CZ$603,16,FALSE)</f>
        <v>113.571</v>
      </c>
      <c r="BU173">
        <f>VLOOKUP($B173,'[1]Data_UN_PopulationTot.&amp;%'!$B$4:$CZ$603,17,FALSE)</f>
        <v>114.59099999999999</v>
      </c>
      <c r="BV173">
        <f>VLOOKUP($B173,'[1]Data_UN_PopulationTot.&amp;%'!$B$4:$CZ$603,18,FALSE)</f>
        <v>115.616</v>
      </c>
      <c r="BW173">
        <f>VLOOKUP($B173,'[1]Data_UN_PopulationTot.&amp;%'!$B$4:$CZ$603,61,FALSE)</f>
        <v>11.543373984124432</v>
      </c>
      <c r="BX173">
        <f>VLOOKUP($B173,'[1]Data_UN_PopulationTot.&amp;%'!$B$4:$CZ$603,62,FALSE)</f>
        <v>11.767599837270689</v>
      </c>
      <c r="BY173">
        <f>VLOOKUP($B173,'[1]Data_UN_PopulationTot.&amp;%'!$B$4:$CZ$603,63,FALSE)</f>
        <v>11.450656120798131</v>
      </c>
      <c r="BZ173">
        <f>VLOOKUP($B173,'[1]Data_UN_PopulationTot.&amp;%'!$B$4:$CZ$603,64,FALSE)</f>
        <v>10.8035232788064</v>
      </c>
      <c r="CA173">
        <f>VLOOKUP($B173,'[1]Data_UN_PopulationTot.&amp;%'!$B$4:$CZ$603,65,FALSE)</f>
        <v>9.1752840667190174</v>
      </c>
      <c r="CB173">
        <f>VLOOKUP($B173,'[1]Data_UN_PopulationTot.&amp;%'!$B$4:$CZ$603,66,FALSE)</f>
        <v>7.0408810089217289</v>
      </c>
      <c r="CC173">
        <f>VLOOKUP($B173,'[1]Data_UN_PopulationTot.&amp;%'!$B$4:$CZ$603,67,FALSE)</f>
        <v>5.7806749482009891</v>
      </c>
      <c r="CD173">
        <f>VLOOKUP($B173,'[1]Data_UN_PopulationTot.&amp;%'!$B$4:$CZ$603,68,FALSE)</f>
        <v>5.7456692242920804</v>
      </c>
      <c r="CE173">
        <f>VLOOKUP($B173,'[1]Data_UN_PopulationTot.&amp;%'!$B$4:$CZ$603,69,FALSE)</f>
        <v>5.0389320415905843</v>
      </c>
      <c r="CF173">
        <f>VLOOKUP($B173,'[1]Data_UN_PopulationTot.&amp;%'!$B$4:$CZ$603,70,FALSE)</f>
        <v>4.6964436076709841</v>
      </c>
      <c r="CG173">
        <f>VLOOKUP($B173,'[1]Data_UN_PopulationTot.&amp;%'!$B$4:$CZ$603,71,FALSE)</f>
        <v>4.5942647378828161</v>
      </c>
      <c r="CH173">
        <f>VLOOKUP($B173,'[1]Data_UN_PopulationTot.&amp;%'!$B$4:$CZ$603,72,FALSE)</f>
        <v>3.6377569845880204</v>
      </c>
      <c r="CI173">
        <f>VLOOKUP($B173,'[1]Data_UN_PopulationTot.&amp;%'!$B$4:$CZ$603,73,FALSE)</f>
        <v>2.8032962146513145</v>
      </c>
      <c r="CJ173">
        <f>VLOOKUP($B173,'[1]Data_UN_PopulationTot.&amp;%'!$B$4:$CZ$603,74,FALSE)</f>
        <v>2.2138755120769744</v>
      </c>
      <c r="CK173">
        <f>VLOOKUP($B173,'[1]Data_UN_PopulationTot.&amp;%'!$B$4:$CZ$603,75,FALSE)</f>
        <v>1.5563355629771896</v>
      </c>
      <c r="CL173">
        <f>VLOOKUP($B173,'[1]Data_UN_PopulationTot.&amp;%'!$B$4:$CZ$603,76,FALSE)</f>
        <v>1.0842313405300055</v>
      </c>
      <c r="CM173">
        <f>VLOOKUP($B173,'[1]Data_UN_PopulationTot.&amp;%'!$B$4:$CZ$603,77,FALSE)</f>
        <v>0.67930026396208032</v>
      </c>
      <c r="CN173">
        <f>VLOOKUP($B173,'[1]Data_UN_PopulationTot.&amp;%'!$B$4:$CZ$603,78,FALSE)</f>
        <v>0.2913989990255163</v>
      </c>
      <c r="CO173">
        <f>VLOOKUP($B173,'[1]Data_UN_PopulationTot.&amp;%'!$B$4:$CZ$603,79,FALSE)</f>
        <v>8.7041259449180203E-2</v>
      </c>
      <c r="CP173">
        <f>VLOOKUP($B173,'[1]Data_UN_PopulationTot.&amp;%'!$B$4:$CZ$603,80,FALSE)</f>
        <v>9.4610064618674133E-3</v>
      </c>
      <c r="CQ173">
        <f>VLOOKUP($B173,'[1]Data_UN_PopulationTot.&amp;%'!$B$4:$CZ$603,81,FALSE)</f>
        <v>0</v>
      </c>
      <c r="CR173">
        <f>VLOOKUP($B173,'[1]Data_UN_PopulationTot.&amp;%'!$B$4:$CZ$603,82,FALSE)</f>
        <v>10.815112095211735</v>
      </c>
      <c r="CS173">
        <f>VLOOKUP($B173,'[1]Data_UN_PopulationTot.&amp;%'!$B$4:$CZ$603,83,FALSE)</f>
        <v>10.420703016883476</v>
      </c>
      <c r="CT173">
        <f>VLOOKUP($B173,'[1]Data_UN_PopulationTot.&amp;%'!$B$4:$CZ$603,84,FALSE)</f>
        <v>10.34372405203432</v>
      </c>
      <c r="CU173">
        <f>VLOOKUP($B173,'[1]Data_UN_PopulationTot.&amp;%'!$B$4:$CZ$603,85,FALSE)</f>
        <v>10.258095765292001</v>
      </c>
      <c r="CV173">
        <f>VLOOKUP($B173,'[1]Data_UN_PopulationTot.&amp;%'!$B$4:$CZ$603,86,FALSE)</f>
        <v>9.3326183227234978</v>
      </c>
      <c r="CW173">
        <f>VLOOKUP($B173,'[1]Data_UN_PopulationTot.&amp;%'!$B$4:$CZ$603,87,FALSE)</f>
        <v>8.453847218378078</v>
      </c>
      <c r="CX173">
        <f>VLOOKUP($B173,'[1]Data_UN_PopulationTot.&amp;%'!$B$4:$CZ$603,88,FALSE)</f>
        <v>7.1642333241073901</v>
      </c>
      <c r="CY173">
        <f>VLOOKUP($B173,'[1]Data_UN_PopulationTot.&amp;%'!$B$4:$CZ$603,89,FALSE)</f>
        <v>5.5364309438140049</v>
      </c>
      <c r="CZ173">
        <f>VLOOKUP($B173,'[1]Data_UN_PopulationTot.&amp;%'!$B$4:$CZ$603,90,FALSE)</f>
        <v>4.6325768059784114</v>
      </c>
      <c r="DA173">
        <f>VLOOKUP($B173,'[1]Data_UN_PopulationTot.&amp;%'!$B$4:$CZ$603,91,FALSE)</f>
        <v>4.7346388043177416</v>
      </c>
      <c r="DB173">
        <f>VLOOKUP($B173,'[1]Data_UN_PopulationTot.&amp;%'!$B$4:$CZ$603,92,FALSE)</f>
        <v>4.1559991696650975</v>
      </c>
      <c r="DC173">
        <f>VLOOKUP($B173,'[1]Data_UN_PopulationTot.&amp;%'!$B$4:$CZ$603,93,FALSE)</f>
        <v>3.8333794630500977</v>
      </c>
      <c r="DD173">
        <f>VLOOKUP($B173,'[1]Data_UN_PopulationTot.&amp;%'!$B$4:$CZ$603,94,FALSE)</f>
        <v>3.6370398560752837</v>
      </c>
      <c r="DE173">
        <f>VLOOKUP($B173,'[1]Data_UN_PopulationTot.&amp;%'!$B$4:$CZ$603,95,FALSE)</f>
        <v>2.6856144478272901</v>
      </c>
      <c r="DF173">
        <f>VLOOKUP($B173,'[1]Data_UN_PopulationTot.&amp;%'!$B$4:$CZ$603,96,FALSE)</f>
        <v>1.8397107666758925</v>
      </c>
      <c r="DG173">
        <f>VLOOKUP($B173,'[1]Data_UN_PopulationTot.&amp;%'!$B$4:$CZ$603,97,FALSE)</f>
        <v>1.1970661500138389</v>
      </c>
      <c r="DH173">
        <f>VLOOKUP($B173,'[1]Data_UN_PopulationTot.&amp;%'!$B$4:$CZ$603,98,FALSE)</f>
        <v>0.6123719900359812</v>
      </c>
      <c r="DI173">
        <f>VLOOKUP($B173,'[1]Data_UN_PopulationTot.&amp;%'!$B$4:$CZ$603,99,FALSE)</f>
        <v>0.25947965679490725</v>
      </c>
      <c r="DJ173">
        <f>VLOOKUP($B173,'[1]Data_UN_PopulationTot.&amp;%'!$B$4:$DE$603,100,FALSE)</f>
        <v>7.6978964849155826E-2</v>
      </c>
      <c r="DK173">
        <f>VLOOKUP($B173,'[1]Data_UN_PopulationTot.&amp;%'!$B$4:$DE$603,101,FALSE)</f>
        <v>1.0379186271796291E-2</v>
      </c>
      <c r="DL173">
        <f>VLOOKUP($B173,'[1]Data_UN_PopulationTot.&amp;%'!$B$4:$DE$603,102,FALSE)</f>
        <v>0</v>
      </c>
    </row>
    <row r="174" spans="1:116">
      <c r="A174" t="s">
        <v>234</v>
      </c>
      <c r="B174" t="s">
        <v>585</v>
      </c>
      <c r="C174" t="s">
        <v>497</v>
      </c>
      <c r="D174" t="s">
        <v>622</v>
      </c>
      <c r="E174" t="s">
        <v>2269</v>
      </c>
      <c r="F174">
        <v>0</v>
      </c>
      <c r="G174">
        <v>0</v>
      </c>
      <c r="H174">
        <v>0</v>
      </c>
      <c r="I174">
        <v>1</v>
      </c>
      <c r="J174" s="18">
        <f t="shared" si="5"/>
        <v>32.729505510000003</v>
      </c>
      <c r="K174">
        <f>VLOOKUP($B174,'[1]Source GDP Current USD'!$B$1:$CZ$600,64,FALSE)</f>
        <v>21588037504.999199</v>
      </c>
      <c r="L174" s="45">
        <f>VLOOKUP($B174,'[1]Source GDP Current USD'!$B$1:$CZ$600,65,FALSE)</f>
        <v>21588037504.999199</v>
      </c>
      <c r="M174" s="17">
        <f>VLOOKUP($B174,'[1]Source GDP Current LCU'!$B$1:$CZ$600,64,FALSE)</f>
        <v>145743000000</v>
      </c>
      <c r="N174" s="45">
        <v>150000000000</v>
      </c>
      <c r="O174" s="45">
        <f>VLOOKUP($B174,'[1]Source GNI Current USD'!$B$1:$CZ$600,64,FALSE)</f>
        <v>21385498109.408001</v>
      </c>
      <c r="P174" s="45">
        <f>VLOOKUP($B174,'[1]Source GNI Current LCU'!$B$1:$CZ$600,64,FALSE)</f>
        <v>144375636286.42401</v>
      </c>
      <c r="Q174">
        <f t="shared" si="4"/>
        <v>100.94708757567884</v>
      </c>
      <c r="R174">
        <v>15420</v>
      </c>
      <c r="S174">
        <v>15420</v>
      </c>
      <c r="T174">
        <v>0.61644100000000002</v>
      </c>
      <c r="U174" s="45">
        <v>1400000</v>
      </c>
      <c r="V174">
        <v>22.457000000000001</v>
      </c>
      <c r="W174">
        <f>VLOOKUP($B174,'[1]Source Gov. Revenue WEO'!$B$1:$CZ$600,5,FALSE)</f>
        <v>23.495000000000001</v>
      </c>
      <c r="X174">
        <f>VLOOKUP($B174,'[1]Source Gov. Revenue WEO'!$B$1:$CZ$600,6,FALSE)</f>
        <v>26.475999999999999</v>
      </c>
      <c r="Y174">
        <f>VLOOKUP($B174,'[1]Source Gov. Revenue WEO'!$B$1:$CZ$600,7,FALSE)</f>
        <v>26.419</v>
      </c>
      <c r="Z174">
        <f>VLOOKUP($B174,'[1]Source Gov. Revenue WEO'!$B$1:$CZ$600,8,FALSE)</f>
        <v>26.114000000000001</v>
      </c>
      <c r="AA174">
        <f>VLOOKUP($B174,'[1]Source Gov. Revenue WEO'!$B$1:$CZ$600,9,FALSE)</f>
        <v>25.832999999999998</v>
      </c>
      <c r="AB174">
        <f>VLOOKUP($B174,'[1]Source Gov. Revenue WEO'!$B$1:$CZ$600,10,FALSE)</f>
        <v>25.789000000000001</v>
      </c>
      <c r="AC174">
        <f>VLOOKUP($B174,[2]Summary!$B$1:$CZ$600,39,FALSE)</f>
        <v>2.945011E-3</v>
      </c>
      <c r="AD174">
        <f>VLOOKUP($B174,[2]Summary!$B$1:$CZ$600,40,FALSE)</f>
        <v>3.7499999999999999E-3</v>
      </c>
      <c r="AE174">
        <f>VLOOKUP($B174,[2]Summary!$B$1:$CZ$600,47,FALSE)</f>
        <v>0.21299999999999999</v>
      </c>
      <c r="AF174">
        <f>VLOOKUP($B174,'[1]CALC GDP Growth rates WDI'!$B$1:$CZ$600,27,FALSE)</f>
        <v>-13.443729527668111</v>
      </c>
      <c r="AG174">
        <f>VLOOKUP($B174,'[1]CALC GDP Growth rates WDI'!$B$1:$CZ$600,29,FALSE)</f>
        <v>-1.7254433759866239</v>
      </c>
      <c r="AH174">
        <v>-16.63</v>
      </c>
      <c r="AI174">
        <f>VLOOKUP($B174,'[1]CALC GDP Growth rates WDI'!$B$1:$CZ$600,30,FALSE)</f>
        <v>-7.0071346570405808</v>
      </c>
      <c r="AK174">
        <f>VLOOKUP($B174,[1]Data_Aspire!$B$1:$CZ$600,2,FALSE)</f>
        <v>2018</v>
      </c>
      <c r="AL174">
        <f>VLOOKUP($B174,[1]Data_Aspire!$B$1:$CZ$600,3,FALSE)</f>
        <v>3.81</v>
      </c>
      <c r="AM174">
        <f>VLOOKUP($B174,[1]Data_Aspire!$B$1:$CZ$600,4,FALSE)</f>
        <v>0.09</v>
      </c>
      <c r="AN174">
        <f>VLOOKUP($B174,[1]Data_Aspire!$B$1:$CZ$600,5,FALSE)</f>
        <v>0.26</v>
      </c>
      <c r="AO174">
        <f>VLOOKUP($B174,[1]Data_Aspire!$B$1:$CZ$600,6,FALSE)</f>
        <v>2.52</v>
      </c>
      <c r="AP174">
        <f>VLOOKUP($B174,[1]Data_Aspire!$B$1:$CZ$600,7,FALSE)</f>
        <v>0.15</v>
      </c>
      <c r="AQ174">
        <f>VLOOKUP($B174,[1]Data_Aspire!$B$1:$CZ$600,8,FALSE)</f>
        <v>0.45</v>
      </c>
      <c r="AT174">
        <f>VLOOKUP($B174,[1]Data_Aspire!$B$1:$CZ$600,11,FALSE)</f>
        <v>0.33</v>
      </c>
      <c r="AU174">
        <f>VLOOKUP($B174,[1]Data_Aspire!$B$1:$CZ$600,12,FALSE)</f>
        <v>3.81</v>
      </c>
      <c r="BJ174" s="7">
        <v>0</v>
      </c>
      <c r="BK174">
        <v>780</v>
      </c>
      <c r="BL174">
        <f>VLOOKUP($B174,'[1]Data_UN_PopulationTot.&amp;%'!$B$4:$CZ$603,8,FALSE)</f>
        <v>1399.49</v>
      </c>
      <c r="BM174">
        <f>VLOOKUP($B174,'[1]Data_UN_PopulationTot.&amp;%'!$B$4:$CZ$603,9,FALSE)</f>
        <v>1403.37</v>
      </c>
      <c r="BN174">
        <v>1406.59</v>
      </c>
      <c r="BO174">
        <f>VLOOKUP($B174,'[1]Data_UN_PopulationTot.&amp;%'!$B$4:$CZ$603,11,FALSE)</f>
        <v>1409.18</v>
      </c>
      <c r="BP174">
        <f>VLOOKUP($B174,'[1]Data_UN_PopulationTot.&amp;%'!$B$4:$CZ$603,12,FALSE)</f>
        <v>1411.18</v>
      </c>
      <c r="BQ174">
        <f>VLOOKUP($B174,'[1]Data_UN_PopulationTot.&amp;%'!$B$4:$CZ$603,13,FALSE)</f>
        <v>1412.7</v>
      </c>
      <c r="BR174">
        <f>VLOOKUP($B174,'[1]Data_UN_PopulationTot.&amp;%'!$B$4:$CZ$603,14,FALSE)</f>
        <v>1413.71</v>
      </c>
      <c r="BS174">
        <f>VLOOKUP($B174,'[1]Data_UN_PopulationTot.&amp;%'!$B$4:$CZ$603,15,FALSE)</f>
        <v>1414.23</v>
      </c>
      <c r="BT174">
        <f>VLOOKUP($B174,'[1]Data_UN_PopulationTot.&amp;%'!$B$4:$CZ$603,16,FALSE)</f>
        <v>1414.33</v>
      </c>
      <c r="BU174">
        <f>VLOOKUP($B174,'[1]Data_UN_PopulationTot.&amp;%'!$B$4:$CZ$603,17,FALSE)</f>
        <v>1414.05</v>
      </c>
      <c r="BV174">
        <f>VLOOKUP($B174,'[1]Data_UN_PopulationTot.&amp;%'!$B$4:$CZ$603,18,FALSE)</f>
        <v>1413.41</v>
      </c>
      <c r="BW174">
        <f>VLOOKUP($B174,'[1]Data_UN_PopulationTot.&amp;%'!$B$4:$CZ$603,61,FALSE)</f>
        <v>6.3141573001593443</v>
      </c>
      <c r="BX174">
        <f>VLOOKUP($B174,'[1]Data_UN_PopulationTot.&amp;%'!$B$4:$CZ$603,62,FALSE)</f>
        <v>6.8657153677411058</v>
      </c>
      <c r="BY174">
        <f>VLOOKUP($B174,'[1]Data_UN_PopulationTot.&amp;%'!$B$4:$CZ$603,63,FALSE)</f>
        <v>6.8825071990510827</v>
      </c>
      <c r="BZ174">
        <f>VLOOKUP($B174,'[1]Data_UN_PopulationTot.&amp;%'!$B$4:$CZ$603,64,FALSE)</f>
        <v>6.3944722720419582</v>
      </c>
      <c r="CA174">
        <f>VLOOKUP($B174,'[1]Data_UN_PopulationTot.&amp;%'!$B$4:$CZ$603,65,FALSE)</f>
        <v>6.1233735146374748</v>
      </c>
      <c r="CB174">
        <f>VLOOKUP($B174,'[1]Data_UN_PopulationTot.&amp;%'!$B$4:$CZ$603,66,FALSE)</f>
        <v>6.9529614359516687</v>
      </c>
      <c r="CC174">
        <f>VLOOKUP($B174,'[1]Data_UN_PopulationTot.&amp;%'!$B$4:$CZ$603,67,FALSE)</f>
        <v>8.3482554359087953</v>
      </c>
      <c r="CD174">
        <f>VLOOKUP($B174,'[1]Data_UN_PopulationTot.&amp;%'!$B$4:$CZ$603,68,FALSE)</f>
        <v>9.0052804950374785</v>
      </c>
      <c r="CE174">
        <f>VLOOKUP($B174,'[1]Data_UN_PopulationTot.&amp;%'!$B$4:$CZ$603,69,FALSE)</f>
        <v>7.2344211105474132</v>
      </c>
      <c r="CF174">
        <f>VLOOKUP($B174,'[1]Data_UN_PopulationTot.&amp;%'!$B$4:$CZ$603,70,FALSE)</f>
        <v>6.4449906751745276</v>
      </c>
      <c r="CG174">
        <f>VLOOKUP($B174,'[1]Data_UN_PopulationTot.&amp;%'!$B$4:$CZ$603,71,FALSE)</f>
        <v>5.9103673481053818</v>
      </c>
      <c r="CH174">
        <f>VLOOKUP($B174,'[1]Data_UN_PopulationTot.&amp;%'!$B$4:$CZ$603,72,FALSE)</f>
        <v>6.5986180680104898</v>
      </c>
      <c r="CI174">
        <f>VLOOKUP($B174,'[1]Data_UN_PopulationTot.&amp;%'!$B$4:$CZ$603,73,FALSE)</f>
        <v>5.4103280480746561</v>
      </c>
      <c r="CJ174">
        <f>VLOOKUP($B174,'[1]Data_UN_PopulationTot.&amp;%'!$B$4:$CZ$603,74,FALSE)</f>
        <v>4.2998520889752694</v>
      </c>
      <c r="CK174">
        <f>VLOOKUP($B174,'[1]Data_UN_PopulationTot.&amp;%'!$B$4:$CZ$603,75,FALSE)</f>
        <v>3.1411442739855229</v>
      </c>
      <c r="CL174">
        <f>VLOOKUP($B174,'[1]Data_UN_PopulationTot.&amp;%'!$B$4:$CZ$603,76,FALSE)</f>
        <v>2.1217729315679281</v>
      </c>
      <c r="CM174">
        <f>VLOOKUP($B174,'[1]Data_UN_PopulationTot.&amp;%'!$B$4:$CZ$603,77,FALSE)</f>
        <v>1.1754281916984044</v>
      </c>
      <c r="CN174">
        <f>VLOOKUP($B174,'[1]Data_UN_PopulationTot.&amp;%'!$B$4:$CZ$603,78,FALSE)</f>
        <v>0.52597732030954136</v>
      </c>
      <c r="CO174">
        <f>VLOOKUP($B174,'[1]Data_UN_PopulationTot.&amp;%'!$B$4:$CZ$603,79,FALSE)</f>
        <v>0.19778633645113575</v>
      </c>
      <c r="CP174">
        <f>VLOOKUP($B174,'[1]Data_UN_PopulationTot.&amp;%'!$B$4:$CZ$603,80,FALSE)</f>
        <v>4.6374036256064712E-2</v>
      </c>
      <c r="CQ174">
        <f>VLOOKUP($B174,'[1]Data_UN_PopulationTot.&amp;%'!$B$4:$CZ$603,81,FALSE)</f>
        <v>6.2880049160765703E-3</v>
      </c>
      <c r="CR174">
        <f>VLOOKUP($B174,'[1]Data_UN_PopulationTot.&amp;%'!$B$4:$CZ$603,82,FALSE)</f>
        <v>5.1602153656759189</v>
      </c>
      <c r="CS174">
        <f>VLOOKUP($B174,'[1]Data_UN_PopulationTot.&amp;%'!$B$4:$CZ$603,83,FALSE)</f>
        <v>5.5455246531438149</v>
      </c>
      <c r="CT174">
        <f>VLOOKUP($B174,'[1]Data_UN_PopulationTot.&amp;%'!$B$4:$CZ$603,84,FALSE)</f>
        <v>6.2052766005617617</v>
      </c>
      <c r="CU174">
        <f>VLOOKUP($B174,'[1]Data_UN_PopulationTot.&amp;%'!$B$4:$CZ$603,85,FALSE)</f>
        <v>6.7290453583885776</v>
      </c>
      <c r="CV174">
        <f>VLOOKUP($B174,'[1]Data_UN_PopulationTot.&amp;%'!$B$4:$CZ$603,86,FALSE)</f>
        <v>6.6783877289675315</v>
      </c>
      <c r="CW174">
        <f>VLOOKUP($B174,'[1]Data_UN_PopulationTot.&amp;%'!$B$4:$CZ$603,87,FALSE)</f>
        <v>6.1600667888298499</v>
      </c>
      <c r="CX174">
        <f>VLOOKUP($B174,'[1]Data_UN_PopulationTot.&amp;%'!$B$4:$CZ$603,88,FALSE)</f>
        <v>5.9023920872216831</v>
      </c>
      <c r="CY174">
        <f>VLOOKUP($B174,'[1]Data_UN_PopulationTot.&amp;%'!$B$4:$CZ$603,89,FALSE)</f>
        <v>6.7236682915785231</v>
      </c>
      <c r="CZ174">
        <f>VLOOKUP($B174,'[1]Data_UN_PopulationTot.&amp;%'!$B$4:$CZ$603,90,FALSE)</f>
        <v>8.0658832185989908</v>
      </c>
      <c r="DA174">
        <f>VLOOKUP($B174,'[1]Data_UN_PopulationTot.&amp;%'!$B$4:$CZ$603,91,FALSE)</f>
        <v>8.6404511076050117</v>
      </c>
      <c r="DB174">
        <f>VLOOKUP($B174,'[1]Data_UN_PopulationTot.&amp;%'!$B$4:$CZ$603,92,FALSE)</f>
        <v>6.8387092209620706</v>
      </c>
      <c r="DC174">
        <f>VLOOKUP($B174,'[1]Data_UN_PopulationTot.&amp;%'!$B$4:$CZ$603,93,FALSE)</f>
        <v>5.9456208743393635</v>
      </c>
      <c r="DD174">
        <f>VLOOKUP($B174,'[1]Data_UN_PopulationTot.&amp;%'!$B$4:$CZ$603,94,FALSE)</f>
        <v>5.2686764633050567</v>
      </c>
      <c r="DE174">
        <f>VLOOKUP($B174,'[1]Data_UN_PopulationTot.&amp;%'!$B$4:$CZ$603,95,FALSE)</f>
        <v>5.6447173856135162</v>
      </c>
      <c r="DF174">
        <f>VLOOKUP($B174,'[1]Data_UN_PopulationTot.&amp;%'!$B$4:$CZ$603,96,FALSE)</f>
        <v>4.3549996108701654</v>
      </c>
      <c r="DG174">
        <f>VLOOKUP($B174,'[1]Data_UN_PopulationTot.&amp;%'!$B$4:$CZ$603,97,FALSE)</f>
        <v>3.0849505805109629</v>
      </c>
      <c r="DH174">
        <f>VLOOKUP($B174,'[1]Data_UN_PopulationTot.&amp;%'!$B$4:$CZ$603,98,FALSE)</f>
        <v>1.8196418590500987</v>
      </c>
      <c r="DI174">
        <f>VLOOKUP($B174,'[1]Data_UN_PopulationTot.&amp;%'!$B$4:$CZ$603,99,FALSE)</f>
        <v>0.86952830388917579</v>
      </c>
      <c r="DJ174">
        <f>VLOOKUP($B174,'[1]Data_UN_PopulationTot.&amp;%'!$B$4:$DE$603,100,FALSE)</f>
        <v>0.28816833049150636</v>
      </c>
      <c r="DK174">
        <f>VLOOKUP($B174,'[1]Data_UN_PopulationTot.&amp;%'!$B$4:$DE$603,101,FALSE)</f>
        <v>6.3817292929864655E-2</v>
      </c>
      <c r="DL174">
        <f>VLOOKUP($B174,'[1]Data_UN_PopulationTot.&amp;%'!$B$4:$DE$603,102,FALSE)</f>
        <v>1.0471130103791538E-2</v>
      </c>
    </row>
    <row r="175" spans="1:116">
      <c r="A175" t="s">
        <v>162</v>
      </c>
      <c r="B175" t="s">
        <v>376</v>
      </c>
      <c r="C175" t="s">
        <v>487</v>
      </c>
      <c r="D175" t="s">
        <v>334</v>
      </c>
      <c r="E175" t="s">
        <v>300</v>
      </c>
      <c r="F175">
        <v>0</v>
      </c>
      <c r="G175">
        <v>1</v>
      </c>
      <c r="H175">
        <v>0</v>
      </c>
      <c r="I175">
        <v>0</v>
      </c>
      <c r="J175" s="18">
        <f t="shared" si="5"/>
        <v>32.308989016658643</v>
      </c>
      <c r="K175">
        <f>VLOOKUP($B175,'[1]Source GDP Current USD'!$B$1:$CZ$600,64,FALSE)</f>
        <v>41620349986.308899</v>
      </c>
      <c r="L175" s="45">
        <f>VLOOKUP($B175,'[1]Source GDP Current USD'!$B$1:$CZ$600,65,FALSE)</f>
        <v>41620349986.308899</v>
      </c>
      <c r="M175" s="17">
        <f>VLOOKUP($B175,'[1]Source GDP Current LCU'!$B$1:$CZ$600,64,FALSE)</f>
        <v>117053072301.495</v>
      </c>
      <c r="N175" s="45">
        <v>120000000000</v>
      </c>
      <c r="O175" s="45">
        <f>VLOOKUP($B175,'[1]Source GNI Current USD'!$B$1:$CZ$600,64,FALSE)</f>
        <v>40581130814.071602</v>
      </c>
      <c r="P175" s="45">
        <f>VLOOKUP($B175,'[1]Source GNI Current LCU'!$B$1:$CZ$600,64,FALSE)</f>
        <v>114130372301.495</v>
      </c>
      <c r="Q175">
        <f t="shared" si="4"/>
        <v>102.56084330670473</v>
      </c>
      <c r="R175">
        <v>3300</v>
      </c>
      <c r="S175">
        <v>3300</v>
      </c>
      <c r="T175">
        <v>0.32538499999999998</v>
      </c>
      <c r="U175" s="45">
        <v>12000000</v>
      </c>
      <c r="V175">
        <v>27.602</v>
      </c>
      <c r="W175">
        <f>VLOOKUP($B175,'[1]Source Gov. Revenue WEO'!$B$1:$CZ$600,5,FALSE)</f>
        <v>28.132000000000001</v>
      </c>
      <c r="X175">
        <f>VLOOKUP($B175,'[1]Source Gov. Revenue WEO'!$B$1:$CZ$600,6,FALSE)</f>
        <v>28.033000000000001</v>
      </c>
      <c r="Y175">
        <f>VLOOKUP($B175,'[1]Source Gov. Revenue WEO'!$B$1:$CZ$600,7,FALSE)</f>
        <v>28.367000000000001</v>
      </c>
      <c r="Z175">
        <f>VLOOKUP($B175,'[1]Source Gov. Revenue WEO'!$B$1:$CZ$600,8,FALSE)</f>
        <v>28.515999999999998</v>
      </c>
      <c r="AA175">
        <f>VLOOKUP($B175,'[1]Source Gov. Revenue WEO'!$B$1:$CZ$600,9,FALSE)</f>
        <v>28.718</v>
      </c>
      <c r="AB175">
        <f>VLOOKUP($B175,'[1]Source Gov. Revenue WEO'!$B$1:$CZ$600,10,FALSE)</f>
        <v>28.902999999999999</v>
      </c>
      <c r="AC175">
        <f>VLOOKUP($B175,[2]Summary!$B$1:$CZ$600,39,FALSE)</f>
        <v>2.1919560000000001E-3</v>
      </c>
      <c r="AD175">
        <f>VLOOKUP($B175,[2]Summary!$B$1:$CZ$600,40,FALSE)</f>
        <v>1.7499999999999998E-3</v>
      </c>
      <c r="AE175">
        <f>VLOOKUP($B175,[2]Summary!$B$1:$CZ$600,47,FALSE)</f>
        <v>0.34250135329242071</v>
      </c>
      <c r="AF175">
        <f>VLOOKUP($B175,'[1]CALC GDP Growth rates WDI'!$B$1:$CZ$600,27,FALSE)</f>
        <v>5.6728699497669872</v>
      </c>
      <c r="AG175">
        <f>VLOOKUP($B175,'[1]CALC GDP Growth rates WDI'!$B$1:$CZ$600,29,FALSE)</f>
        <v>18.547380569548565</v>
      </c>
      <c r="AH175">
        <v>-2.4</v>
      </c>
      <c r="AI175">
        <f>VLOOKUP($B175,'[1]CALC GDP Growth rates WDI'!$B$1:$CZ$600,30,FALSE)</f>
        <v>6.8352961085001995</v>
      </c>
      <c r="AK175">
        <f>VLOOKUP($B175,[1]Data_Aspire!$B$1:$CZ$600,2,FALSE)</f>
        <v>2015</v>
      </c>
      <c r="AL175">
        <f>VLOOKUP($B175,[1]Data_Aspire!$B$1:$CZ$600,3,FALSE)</f>
        <v>0.76</v>
      </c>
      <c r="AM175">
        <f>VLOOKUP($B175,[1]Data_Aspire!$B$1:$CZ$600,4,FALSE)</f>
        <v>0.03</v>
      </c>
      <c r="AN175">
        <f>VLOOKUP($B175,[1]Data_Aspire!$B$1:$CZ$600,5,FALSE)</f>
        <v>0.55000000000000004</v>
      </c>
      <c r="AO175">
        <f>VLOOKUP($B175,[1]Data_Aspire!$B$1:$CZ$600,6,FALSE)</f>
        <v>0</v>
      </c>
      <c r="AP175">
        <f>VLOOKUP($B175,[1]Data_Aspire!$B$1:$CZ$600,7,FALSE)</f>
        <v>0</v>
      </c>
      <c r="AS175">
        <f>VLOOKUP($B175,[1]Data_Aspire!$B$1:$CZ$600,10,FALSE)</f>
        <v>0.16</v>
      </c>
      <c r="AT175">
        <f>VLOOKUP($B175,[1]Data_Aspire!$B$1:$CZ$600,11,FALSE)</f>
        <v>0.01</v>
      </c>
      <c r="AU175">
        <f>VLOOKUP($B175,[1]Data_Aspire!$B$1:$CZ$600,12,FALSE)</f>
        <v>0.59</v>
      </c>
      <c r="AV175">
        <f>VLOOKUP($B175,[1]Data_Aspire!$B$1:$CZ$600,13,FALSE)</f>
        <v>89626</v>
      </c>
      <c r="AW175">
        <f>VLOOKUP($B175,[1]Data_Aspire!$B$1:$CZ$600,14,FALSE)</f>
        <v>2017</v>
      </c>
      <c r="AX175">
        <f>VLOOKUP($B175,[1]Data_Aspire!$B$1:$CZ$600,15,FALSE)</f>
        <v>992200</v>
      </c>
      <c r="AY175">
        <f>VLOOKUP($B175,[1]Data_Aspire!$B$1:$CZ$600,16,FALSE)</f>
        <v>2017</v>
      </c>
      <c r="BD175">
        <f>VLOOKUP($B175,[1]Data_Aspire!$B$1:$CZ$600,21,FALSE)</f>
        <v>240000</v>
      </c>
      <c r="BE175">
        <f>VLOOKUP($B175,[1]Data_Aspire!$B$1:$CZ$600,22,FALSE)</f>
        <v>2011</v>
      </c>
      <c r="BJ175" s="7">
        <v>0</v>
      </c>
      <c r="BK175">
        <v>788</v>
      </c>
      <c r="BL175">
        <f>VLOOKUP($B175,'[1]Data_UN_PopulationTot.&amp;%'!$B$4:$CZ$603,8,FALSE)</f>
        <v>11818.6</v>
      </c>
      <c r="BM175">
        <f>VLOOKUP($B175,'[1]Data_UN_PopulationTot.&amp;%'!$B$4:$CZ$603,9,FALSE)</f>
        <v>11935.8</v>
      </c>
      <c r="BN175">
        <v>12046.7</v>
      </c>
      <c r="BO175">
        <f>VLOOKUP($B175,'[1]Data_UN_PopulationTot.&amp;%'!$B$4:$CZ$603,11,FALSE)</f>
        <v>12151.6</v>
      </c>
      <c r="BP175">
        <f>VLOOKUP($B175,'[1]Data_UN_PopulationTot.&amp;%'!$B$4:$CZ$603,12,FALSE)</f>
        <v>12251.4</v>
      </c>
      <c r="BQ175">
        <f>VLOOKUP($B175,'[1]Data_UN_PopulationTot.&amp;%'!$B$4:$CZ$603,13,FALSE)</f>
        <v>12346.7</v>
      </c>
      <c r="BR175">
        <f>VLOOKUP($B175,'[1]Data_UN_PopulationTot.&amp;%'!$B$4:$CZ$603,14,FALSE)</f>
        <v>12437.5</v>
      </c>
      <c r="BS175">
        <f>VLOOKUP($B175,'[1]Data_UN_PopulationTot.&amp;%'!$B$4:$CZ$603,15,FALSE)</f>
        <v>12523.5</v>
      </c>
      <c r="BT175">
        <f>VLOOKUP($B175,'[1]Data_UN_PopulationTot.&amp;%'!$B$4:$CZ$603,16,FALSE)</f>
        <v>12604.8</v>
      </c>
      <c r="BU175">
        <f>VLOOKUP($B175,'[1]Data_UN_PopulationTot.&amp;%'!$B$4:$CZ$603,17,FALSE)</f>
        <v>12682.1</v>
      </c>
      <c r="BV175">
        <f>VLOOKUP($B175,'[1]Data_UN_PopulationTot.&amp;%'!$B$4:$CZ$603,18,FALSE)</f>
        <v>12755.8</v>
      </c>
      <c r="BW175">
        <f>VLOOKUP($B175,'[1]Data_UN_PopulationTot.&amp;%'!$B$4:$CZ$603,61,FALSE)</f>
        <v>8.4963532059634801</v>
      </c>
      <c r="BX175">
        <f>VLOOKUP($B175,'[1]Data_UN_PopulationTot.&amp;%'!$B$4:$CZ$603,62,FALSE)</f>
        <v>8.5763119151168485</v>
      </c>
      <c r="BY175">
        <f>VLOOKUP($B175,'[1]Data_UN_PopulationTot.&amp;%'!$B$4:$CZ$603,63,FALSE)</f>
        <v>7.2179953632409939</v>
      </c>
      <c r="BZ175">
        <f>VLOOKUP($B175,'[1]Data_UN_PopulationTot.&amp;%'!$B$4:$CZ$603,64,FALSE)</f>
        <v>6.6579121046486041</v>
      </c>
      <c r="CA175">
        <f>VLOOKUP($B175,'[1]Data_UN_PopulationTot.&amp;%'!$B$4:$CZ$603,65,FALSE)</f>
        <v>6.9491056470309509</v>
      </c>
      <c r="CB175">
        <f>VLOOKUP($B175,'[1]Data_UN_PopulationTot.&amp;%'!$B$4:$CZ$603,66,FALSE)</f>
        <v>7.6494593268238198</v>
      </c>
      <c r="CC175">
        <f>VLOOKUP($B175,'[1]Data_UN_PopulationTot.&amp;%'!$B$4:$CZ$603,67,FALSE)</f>
        <v>7.8536290254344845</v>
      </c>
      <c r="CD175">
        <f>VLOOKUP($B175,'[1]Data_UN_PopulationTot.&amp;%'!$B$4:$CZ$603,68,FALSE)</f>
        <v>8.3417240620716502</v>
      </c>
      <c r="CE175">
        <f>VLOOKUP($B175,'[1]Data_UN_PopulationTot.&amp;%'!$B$4:$CZ$603,69,FALSE)</f>
        <v>7.1653579950247916</v>
      </c>
      <c r="CF175">
        <f>VLOOKUP($B175,'[1]Data_UN_PopulationTot.&amp;%'!$B$4:$CZ$603,70,FALSE)</f>
        <v>6.139695056944138</v>
      </c>
      <c r="CG175">
        <f>VLOOKUP($B175,'[1]Data_UN_PopulationTot.&amp;%'!$B$4:$CZ$603,71,FALSE)</f>
        <v>6.0188093344389353</v>
      </c>
      <c r="CH175">
        <f>VLOOKUP($B175,'[1]Data_UN_PopulationTot.&amp;%'!$B$4:$CZ$603,72,FALSE)</f>
        <v>5.5012184184251947</v>
      </c>
      <c r="CI175">
        <f>VLOOKUP($B175,'[1]Data_UN_PopulationTot.&amp;%'!$B$4:$CZ$603,73,FALSE)</f>
        <v>4.5595248168141733</v>
      </c>
      <c r="CJ175">
        <f>VLOOKUP($B175,'[1]Data_UN_PopulationTot.&amp;%'!$B$4:$CZ$603,74,FALSE)</f>
        <v>3.5852131386120178</v>
      </c>
      <c r="CK175">
        <f>VLOOKUP($B175,'[1]Data_UN_PopulationTot.&amp;%'!$B$4:$CZ$603,75,FALSE)</f>
        <v>2.1183811957423044</v>
      </c>
      <c r="CL175">
        <f>VLOOKUP($B175,'[1]Data_UN_PopulationTot.&amp;%'!$B$4:$CZ$603,76,FALSE)</f>
        <v>1.4700810586702315</v>
      </c>
      <c r="CM175">
        <f>VLOOKUP($B175,'[1]Data_UN_PopulationTot.&amp;%'!$B$4:$CZ$603,77,FALSE)</f>
        <v>1.012573401248879</v>
      </c>
      <c r="CN175">
        <f>VLOOKUP($B175,'[1]Data_UN_PopulationTot.&amp;%'!$B$4:$CZ$603,78,FALSE)</f>
        <v>0.52036620242668341</v>
      </c>
      <c r="CO175">
        <f>VLOOKUP($B175,'[1]Data_UN_PopulationTot.&amp;%'!$B$4:$CZ$603,79,FALSE)</f>
        <v>0.13803665408762461</v>
      </c>
      <c r="CP175">
        <f>VLOOKUP($B175,'[1]Data_UN_PopulationTot.&amp;%'!$B$4:$CZ$603,80,FALSE)</f>
        <v>2.6212918619802683E-2</v>
      </c>
      <c r="CQ175">
        <f>VLOOKUP($B175,'[1]Data_UN_PopulationTot.&amp;%'!$B$4:$CZ$603,81,FALSE)</f>
        <v>2.1153097659621276E-3</v>
      </c>
      <c r="CR175">
        <f>VLOOKUP($B175,'[1]Data_UN_PopulationTot.&amp;%'!$B$4:$CZ$603,82,FALSE)</f>
        <v>6.5194342965552927</v>
      </c>
      <c r="CS175">
        <f>VLOOKUP($B175,'[1]Data_UN_PopulationTot.&amp;%'!$B$4:$CZ$603,83,FALSE)</f>
        <v>7.1858370309976642</v>
      </c>
      <c r="CT175">
        <f>VLOOKUP($B175,'[1]Data_UN_PopulationTot.&amp;%'!$B$4:$CZ$603,84,FALSE)</f>
        <v>7.8521927280139234</v>
      </c>
      <c r="CU175">
        <f>VLOOKUP($B175,'[1]Data_UN_PopulationTot.&amp;%'!$B$4:$CZ$603,85,FALSE)</f>
        <v>7.9094999921604288</v>
      </c>
      <c r="CV175">
        <f>VLOOKUP($B175,'[1]Data_UN_PopulationTot.&amp;%'!$B$4:$CZ$603,86,FALSE)</f>
        <v>6.619043885918563</v>
      </c>
      <c r="CW175">
        <f>VLOOKUP($B175,'[1]Data_UN_PopulationTot.&amp;%'!$B$4:$CZ$603,87,FALSE)</f>
        <v>6.0832484046472981</v>
      </c>
      <c r="CX175">
        <f>VLOOKUP($B175,'[1]Data_UN_PopulationTot.&amp;%'!$B$4:$CZ$603,88,FALSE)</f>
        <v>6.3555951018360286</v>
      </c>
      <c r="CY175">
        <f>VLOOKUP($B175,'[1]Data_UN_PopulationTot.&amp;%'!$B$4:$CZ$603,89,FALSE)</f>
        <v>7.0076592608852444</v>
      </c>
      <c r="CZ175">
        <f>VLOOKUP($B175,'[1]Data_UN_PopulationTot.&amp;%'!$B$4:$CZ$603,90,FALSE)</f>
        <v>7.1893413192430113</v>
      </c>
      <c r="DA175">
        <f>VLOOKUP($B175,'[1]Data_UN_PopulationTot.&amp;%'!$B$4:$CZ$603,91,FALSE)</f>
        <v>7.6070885401150852</v>
      </c>
      <c r="DB175">
        <f>VLOOKUP($B175,'[1]Data_UN_PopulationTot.&amp;%'!$B$4:$CZ$603,92,FALSE)</f>
        <v>6.4786058106900395</v>
      </c>
      <c r="DC175">
        <f>VLOOKUP($B175,'[1]Data_UN_PopulationTot.&amp;%'!$B$4:$CZ$603,93,FALSE)</f>
        <v>5.4663055237617399</v>
      </c>
      <c r="DD175">
        <f>VLOOKUP($B175,'[1]Data_UN_PopulationTot.&amp;%'!$B$4:$CZ$603,94,FALSE)</f>
        <v>5.2263754527352271</v>
      </c>
      <c r="DE175">
        <f>VLOOKUP($B175,'[1]Data_UN_PopulationTot.&amp;%'!$B$4:$CZ$603,95,FALSE)</f>
        <v>4.5848868749902012</v>
      </c>
      <c r="DF175">
        <f>VLOOKUP($B175,'[1]Data_UN_PopulationTot.&amp;%'!$B$4:$CZ$603,96,FALSE)</f>
        <v>3.5415340472569343</v>
      </c>
      <c r="DG175">
        <f>VLOOKUP($B175,'[1]Data_UN_PopulationTot.&amp;%'!$B$4:$CZ$603,97,FALSE)</f>
        <v>2.4392903620313899</v>
      </c>
      <c r="DH175">
        <f>VLOOKUP($B175,'[1]Data_UN_PopulationTot.&amp;%'!$B$4:$CZ$603,98,FALSE)</f>
        <v>1.1405086313676915</v>
      </c>
      <c r="DI175">
        <f>VLOOKUP($B175,'[1]Data_UN_PopulationTot.&amp;%'!$B$4:$CZ$603,99,FALSE)</f>
        <v>0.53580332084228355</v>
      </c>
      <c r="DJ175">
        <f>VLOOKUP($B175,'[1]Data_UN_PopulationTot.&amp;%'!$B$4:$DE$603,100,FALSE)</f>
        <v>0.20567114567490866</v>
      </c>
      <c r="DK175">
        <f>VLOOKUP($B175,'[1]Data_UN_PopulationTot.&amp;%'!$B$4:$DE$603,101,FALSE)</f>
        <v>4.7256934100566014E-2</v>
      </c>
      <c r="DL175">
        <f>VLOOKUP($B175,'[1]Data_UN_PopulationTot.&amp;%'!$B$4:$DE$603,102,FALSE)</f>
        <v>4.4920741937001206E-3</v>
      </c>
    </row>
    <row r="176" spans="1:116">
      <c r="A176" t="s">
        <v>653</v>
      </c>
      <c r="B176" t="s">
        <v>433</v>
      </c>
      <c r="C176" t="s">
        <v>485</v>
      </c>
      <c r="D176" t="s">
        <v>389</v>
      </c>
      <c r="E176" t="s">
        <v>301</v>
      </c>
      <c r="F176">
        <v>0</v>
      </c>
      <c r="G176">
        <v>0</v>
      </c>
      <c r="H176">
        <v>1</v>
      </c>
      <c r="I176">
        <v>0</v>
      </c>
      <c r="J176" s="18">
        <f t="shared" si="5"/>
        <v>1448.6069135990001</v>
      </c>
      <c r="K176">
        <f>VLOOKUP($B176,'[1]Source GDP Current USD'!$B$1:$CZ$600,64,FALSE)</f>
        <v>719954821683.31006</v>
      </c>
      <c r="L176" s="45">
        <f>VLOOKUP($B176,'[1]Source GDP Current USD'!$B$1:$CZ$600,65,FALSE)</f>
        <v>719954821683.31006</v>
      </c>
      <c r="M176" s="17">
        <f>VLOOKUP($B176,'[1]Source GDP Current LCU'!$B$1:$CZ$600,64,FALSE)</f>
        <v>5046883300000</v>
      </c>
      <c r="N176" s="45">
        <v>5000000000000</v>
      </c>
      <c r="O176" s="45">
        <f>VLOOKUP($B176,'[1]Source GNI Current USD'!$B$1:$CZ$600,64,FALSE)</f>
        <v>711144574236.80505</v>
      </c>
      <c r="P176" s="45">
        <f>VLOOKUP($B176,'[1]Source GNI Current LCU'!$B$1:$CZ$600,64,FALSE)</f>
        <v>4985123465400</v>
      </c>
      <c r="Q176">
        <f t="shared" si="4"/>
        <v>101.23888274841441</v>
      </c>
      <c r="R176">
        <v>9050</v>
      </c>
      <c r="S176">
        <v>9050</v>
      </c>
      <c r="T176">
        <v>0.31343100000000002</v>
      </c>
      <c r="U176" s="45">
        <v>84000000</v>
      </c>
      <c r="V176">
        <v>28.702999999999999</v>
      </c>
      <c r="W176">
        <f>VLOOKUP($B176,'[1]Source Gov. Revenue WEO'!$B$1:$CZ$600,5,FALSE)</f>
        <v>27.991</v>
      </c>
      <c r="X176">
        <f>VLOOKUP($B176,'[1]Source Gov. Revenue WEO'!$B$1:$CZ$600,6,FALSE)</f>
        <v>28.716000000000001</v>
      </c>
      <c r="Y176">
        <f>VLOOKUP($B176,'[1]Source Gov. Revenue WEO'!$B$1:$CZ$600,7,FALSE)</f>
        <v>28.553000000000001</v>
      </c>
      <c r="Z176">
        <f>VLOOKUP($B176,'[1]Source Gov. Revenue WEO'!$B$1:$CZ$600,8,FALSE)</f>
        <v>28.562999999999999</v>
      </c>
      <c r="AA176">
        <f>VLOOKUP($B176,'[1]Source Gov. Revenue WEO'!$B$1:$CZ$600,9,FALSE)</f>
        <v>28.576000000000001</v>
      </c>
      <c r="AB176">
        <f>VLOOKUP($B176,'[1]Source Gov. Revenue WEO'!$B$1:$CZ$600,10,FALSE)</f>
        <v>28.509</v>
      </c>
      <c r="AC176">
        <f>VLOOKUP($B176,[2]Summary!$B$1:$CZ$600,39,FALSE)</f>
        <v>7.98276E-4</v>
      </c>
      <c r="AD176">
        <f>VLOOKUP($B176,[2]Summary!$B$1:$CZ$600,40,FALSE)</f>
        <v>9.999999999999999E-14</v>
      </c>
      <c r="AE176">
        <f>VLOOKUP($B176,[2]Summary!$B$1:$CZ$600,47,FALSE)</f>
        <v>0.33916533639365654</v>
      </c>
      <c r="AF176">
        <f>VLOOKUP($B176,'[1]CALC GDP Growth rates WDI'!$B$1:$CZ$600,27,FALSE)</f>
        <v>65.316590339250567</v>
      </c>
      <c r="AG176">
        <f>VLOOKUP($B176,'[1]CALC GDP Growth rates WDI'!$B$1:$CZ$600,29,FALSE)</f>
        <v>74.673393864581101</v>
      </c>
      <c r="AH176">
        <v>17.440000000000001</v>
      </c>
      <c r="AI176">
        <f>VLOOKUP($B176,'[1]CALC GDP Growth rates WDI'!$B$1:$CZ$600,30,FALSE)</f>
        <v>21.438736890790743</v>
      </c>
      <c r="AJ176" s="45"/>
      <c r="AK176">
        <f>VLOOKUP($B176,[1]Data_Aspire!$B$1:$CZ$600,2,FALSE)</f>
        <v>2016</v>
      </c>
      <c r="AL176">
        <f>VLOOKUP($B176,[1]Data_Aspire!$B$1:$CZ$600,3,FALSE)</f>
        <v>1.17</v>
      </c>
      <c r="AM176">
        <f>VLOOKUP($B176,[1]Data_Aspire!$B$1:$CZ$600,4,FALSE)</f>
        <v>0.04</v>
      </c>
      <c r="AN176">
        <f>VLOOKUP($B176,[1]Data_Aspire!$B$1:$CZ$600,5,FALSE)</f>
        <v>0.2</v>
      </c>
      <c r="AO176">
        <f>VLOOKUP($B176,[1]Data_Aspire!$B$1:$CZ$600,6,FALSE)</f>
        <v>0.21</v>
      </c>
      <c r="AP176">
        <f>VLOOKUP($B176,[1]Data_Aspire!$B$1:$CZ$600,7,FALSE)</f>
        <v>0.03</v>
      </c>
      <c r="AR176">
        <f>VLOOKUP($B176,[1]Data_Aspire!$B$1:$CZ$600,9,FALSE)</f>
        <v>0.04</v>
      </c>
      <c r="AS176">
        <f>VLOOKUP($B176,[1]Data_Aspire!$B$1:$CZ$600,10,FALSE)</f>
        <v>0.28000000000000003</v>
      </c>
      <c r="AT176">
        <f>VLOOKUP($B176,[1]Data_Aspire!$B$1:$CZ$600,11,FALSE)</f>
        <v>0.37</v>
      </c>
      <c r="AU176">
        <f>VLOOKUP($B176,[1]Data_Aspire!$B$1:$CZ$600,12,FALSE)</f>
        <v>0.89</v>
      </c>
      <c r="AV176">
        <f>VLOOKUP($B176,[1]Data_Aspire!$B$1:$CZ$600,13,FALSE)</f>
        <v>7267932</v>
      </c>
      <c r="AW176">
        <f>VLOOKUP($B176,[1]Data_Aspire!$B$1:$CZ$600,14,FALSE)</f>
        <v>2015</v>
      </c>
      <c r="AX176">
        <f>VLOOKUP($B176,[1]Data_Aspire!$B$1:$CZ$600,15,FALSE)</f>
        <v>62256</v>
      </c>
      <c r="AY176">
        <f>VLOOKUP($B176,[1]Data_Aspire!$B$1:$CZ$600,16,FALSE)</f>
        <v>2013</v>
      </c>
      <c r="AZ176">
        <f>VLOOKUP($B176,[1]Data_Aspire!$B$1:$CZ$600,17,FALSE)</f>
        <v>632407</v>
      </c>
      <c r="BA176">
        <f>VLOOKUP($B176,[1]Data_Aspire!$B$1:$CZ$600,18,FALSE)</f>
        <v>2013</v>
      </c>
      <c r="BB176">
        <f>VLOOKUP($B176,[1]Data_Aspire!$B$1:$CZ$600,19,FALSE)</f>
        <v>2452910.5</v>
      </c>
      <c r="BC176">
        <f>VLOOKUP($B176,[1]Data_Aspire!$B$1:$CZ$600,20,FALSE)</f>
        <v>2015</v>
      </c>
      <c r="BD176">
        <f>VLOOKUP($B176,[1]Data_Aspire!$B$1:$CZ$600,21,FALSE)</f>
        <v>5848375</v>
      </c>
      <c r="BE176">
        <f>VLOOKUP($B176,[1]Data_Aspire!$B$1:$CZ$600,22,FALSE)</f>
        <v>2015</v>
      </c>
      <c r="BF176">
        <f>VLOOKUP($B176,[1]Data_Aspire!$B$1:$CZ$600,23,FALSE)</f>
        <v>523225</v>
      </c>
      <c r="BG176">
        <f>VLOOKUP($B176,[1]Data_Aspire!$B$1:$CZ$600,24,FALSE)</f>
        <v>2015</v>
      </c>
      <c r="BH176">
        <f>VLOOKUP($B176,[1]Data_Aspire!$B$1:$CZ$600,25,FALSE)</f>
        <v>8983853</v>
      </c>
      <c r="BI176">
        <f>VLOOKUP($B176,[1]Data_Aspire!$B$1:$CZ$600,26,FALSE)</f>
        <v>2015</v>
      </c>
      <c r="BJ176" s="7">
        <v>0</v>
      </c>
      <c r="BK176">
        <v>792</v>
      </c>
      <c r="BL176">
        <f>VLOOKUP($B176,'[1]Data_UN_PopulationTot.&amp;%'!$B$4:$CZ$603,8,FALSE)</f>
        <v>84339.1</v>
      </c>
      <c r="BM176">
        <f>VLOOKUP($B176,'[1]Data_UN_PopulationTot.&amp;%'!$B$4:$CZ$603,9,FALSE)</f>
        <v>85042.7</v>
      </c>
      <c r="BN176">
        <v>85562</v>
      </c>
      <c r="BO176">
        <f>VLOOKUP($B176,'[1]Data_UN_PopulationTot.&amp;%'!$B$4:$CZ$603,11,FALSE)</f>
        <v>85957.3</v>
      </c>
      <c r="BP176">
        <f>VLOOKUP($B176,'[1]Data_UN_PopulationTot.&amp;%'!$B$4:$CZ$603,12,FALSE)</f>
        <v>86316.5</v>
      </c>
      <c r="BQ176">
        <f>VLOOKUP($B176,'[1]Data_UN_PopulationTot.&amp;%'!$B$4:$CZ$603,13,FALSE)</f>
        <v>86705.2</v>
      </c>
      <c r="BR176">
        <f>VLOOKUP($B176,'[1]Data_UN_PopulationTot.&amp;%'!$B$4:$CZ$603,14,FALSE)</f>
        <v>87141.8</v>
      </c>
      <c r="BS176">
        <f>VLOOKUP($B176,'[1]Data_UN_PopulationTot.&amp;%'!$B$4:$CZ$603,15,FALSE)</f>
        <v>87613</v>
      </c>
      <c r="BT176">
        <f>VLOOKUP($B176,'[1]Data_UN_PopulationTot.&amp;%'!$B$4:$CZ$603,16,FALSE)</f>
        <v>88114.6</v>
      </c>
      <c r="BU176">
        <f>VLOOKUP($B176,'[1]Data_UN_PopulationTot.&amp;%'!$B$4:$CZ$603,17,FALSE)</f>
        <v>88633.2</v>
      </c>
      <c r="BV176">
        <f>VLOOKUP($B176,'[1]Data_UN_PopulationTot.&amp;%'!$B$4:$CZ$603,18,FALSE)</f>
        <v>89157.8</v>
      </c>
      <c r="BW176">
        <f>VLOOKUP($B176,'[1]Data_UN_PopulationTot.&amp;%'!$B$4:$CZ$603,61,FALSE)</f>
        <v>7.7866019438196519</v>
      </c>
      <c r="BX176">
        <f>VLOOKUP($B176,'[1]Data_UN_PopulationTot.&amp;%'!$B$4:$CZ$603,62,FALSE)</f>
        <v>8.124487930271961</v>
      </c>
      <c r="BY176">
        <f>VLOOKUP($B176,'[1]Data_UN_PopulationTot.&amp;%'!$B$4:$CZ$603,63,FALSE)</f>
        <v>8.0309607287722997</v>
      </c>
      <c r="BZ176">
        <f>VLOOKUP($B176,'[1]Data_UN_PopulationTot.&amp;%'!$B$4:$CZ$603,64,FALSE)</f>
        <v>8.0886682452148531</v>
      </c>
      <c r="CA176">
        <f>VLOOKUP($B176,'[1]Data_UN_PopulationTot.&amp;%'!$B$4:$CZ$603,65,FALSE)</f>
        <v>8.0271428080214271</v>
      </c>
      <c r="CB176">
        <f>VLOOKUP($B176,'[1]Data_UN_PopulationTot.&amp;%'!$B$4:$CZ$603,66,FALSE)</f>
        <v>7.5933226700308634</v>
      </c>
      <c r="CC176">
        <f>VLOOKUP($B176,'[1]Data_UN_PopulationTot.&amp;%'!$B$4:$CZ$603,67,FALSE)</f>
        <v>7.5824617526153339</v>
      </c>
      <c r="CD176">
        <f>VLOOKUP($B176,'[1]Data_UN_PopulationTot.&amp;%'!$B$4:$CZ$603,68,FALSE)</f>
        <v>7.5644036988775074</v>
      </c>
      <c r="CE176">
        <f>VLOOKUP($B176,'[1]Data_UN_PopulationTot.&amp;%'!$B$4:$CZ$603,69,FALSE)</f>
        <v>7.1237065607766725</v>
      </c>
      <c r="CF176">
        <f>VLOOKUP($B176,'[1]Data_UN_PopulationTot.&amp;%'!$B$4:$CZ$603,70,FALSE)</f>
        <v>6.4483732930515032</v>
      </c>
      <c r="CG176">
        <f>VLOOKUP($B176,'[1]Data_UN_PopulationTot.&amp;%'!$B$4:$CZ$603,71,FALSE)</f>
        <v>5.638511674893377</v>
      </c>
      <c r="CH176">
        <f>VLOOKUP($B176,'[1]Data_UN_PopulationTot.&amp;%'!$B$4:$CZ$603,72,FALSE)</f>
        <v>4.9241217893005738</v>
      </c>
      <c r="CI176">
        <f>VLOOKUP($B176,'[1]Data_UN_PopulationTot.&amp;%'!$B$4:$CZ$603,73,FALSE)</f>
        <v>4.0861237551740528</v>
      </c>
      <c r="CJ176">
        <f>VLOOKUP($B176,'[1]Data_UN_PopulationTot.&amp;%'!$B$4:$CZ$603,74,FALSE)</f>
        <v>3.2561291263482768</v>
      </c>
      <c r="CK176">
        <f>VLOOKUP($B176,'[1]Data_UN_PopulationTot.&amp;%'!$B$4:$CZ$603,75,FALSE)</f>
        <v>2.3364015029802307</v>
      </c>
      <c r="CL176">
        <f>VLOOKUP($B176,'[1]Data_UN_PopulationTot.&amp;%'!$B$4:$CZ$603,76,FALSE)</f>
        <v>1.6399036745708691</v>
      </c>
      <c r="CM176">
        <f>VLOOKUP($B176,'[1]Data_UN_PopulationTot.&amp;%'!$B$4:$CZ$603,77,FALSE)</f>
        <v>1.0402802496113903</v>
      </c>
      <c r="CN176">
        <f>VLOOKUP($B176,'[1]Data_UN_PopulationTot.&amp;%'!$B$4:$CZ$603,78,FALSE)</f>
        <v>0.53752767103277121</v>
      </c>
      <c r="CO176">
        <f>VLOOKUP($B176,'[1]Data_UN_PopulationTot.&amp;%'!$B$4:$CZ$603,79,FALSE)</f>
        <v>0.14819223823825484</v>
      </c>
      <c r="CP176">
        <f>VLOOKUP($B176,'[1]Data_UN_PopulationTot.&amp;%'!$B$4:$CZ$603,80,FALSE)</f>
        <v>2.1118318786897176E-2</v>
      </c>
      <c r="CQ176">
        <f>VLOOKUP($B176,'[1]Data_UN_PopulationTot.&amp;%'!$B$4:$CZ$603,81,FALSE)</f>
        <v>1.5141257139333949E-3</v>
      </c>
      <c r="CR176">
        <f>VLOOKUP($B176,'[1]Data_UN_PopulationTot.&amp;%'!$B$4:$CZ$603,82,FALSE)</f>
        <v>6.7567952551543433</v>
      </c>
      <c r="CS176">
        <f>VLOOKUP($B176,'[1]Data_UN_PopulationTot.&amp;%'!$B$4:$CZ$603,83,FALSE)</f>
        <v>7.0379147982565744</v>
      </c>
      <c r="CT176">
        <f>VLOOKUP($B176,'[1]Data_UN_PopulationTot.&amp;%'!$B$4:$CZ$603,84,FALSE)</f>
        <v>7.2732952136548903</v>
      </c>
      <c r="CU176">
        <f>VLOOKUP($B176,'[1]Data_UN_PopulationTot.&amp;%'!$B$4:$CZ$603,85,FALSE)</f>
        <v>7.2361812426955341</v>
      </c>
      <c r="CV176">
        <f>VLOOKUP($B176,'[1]Data_UN_PopulationTot.&amp;%'!$B$4:$CZ$603,86,FALSE)</f>
        <v>7.178048359201326</v>
      </c>
      <c r="CW176">
        <f>VLOOKUP($B176,'[1]Data_UN_PopulationTot.&amp;%'!$B$4:$CZ$603,87,FALSE)</f>
        <v>7.2403199720046922</v>
      </c>
      <c r="CX176">
        <f>VLOOKUP($B176,'[1]Data_UN_PopulationTot.&amp;%'!$B$4:$CZ$603,88,FALSE)</f>
        <v>7.2694593181976224</v>
      </c>
      <c r="CY176">
        <f>VLOOKUP($B176,'[1]Data_UN_PopulationTot.&amp;%'!$B$4:$CZ$603,89,FALSE)</f>
        <v>6.9115545695385023</v>
      </c>
      <c r="CZ176">
        <f>VLOOKUP($B176,'[1]Data_UN_PopulationTot.&amp;%'!$B$4:$CZ$603,90,FALSE)</f>
        <v>6.8848715423664553</v>
      </c>
      <c r="DA176">
        <f>VLOOKUP($B176,'[1]Data_UN_PopulationTot.&amp;%'!$B$4:$CZ$603,91,FALSE)</f>
        <v>6.8441908615959575</v>
      </c>
      <c r="DB176">
        <f>VLOOKUP($B176,'[1]Data_UN_PopulationTot.&amp;%'!$B$4:$CZ$603,92,FALSE)</f>
        <v>6.3999560330111338</v>
      </c>
      <c r="DC176">
        <f>VLOOKUP($B176,'[1]Data_UN_PopulationTot.&amp;%'!$B$4:$CZ$603,93,FALSE)</f>
        <v>5.7239187149077244</v>
      </c>
      <c r="DD176">
        <f>VLOOKUP($B176,'[1]Data_UN_PopulationTot.&amp;%'!$B$4:$CZ$603,94,FALSE)</f>
        <v>4.9028464138863903</v>
      </c>
      <c r="DE176">
        <f>VLOOKUP($B176,'[1]Data_UN_PopulationTot.&amp;%'!$B$4:$CZ$603,95,FALSE)</f>
        <v>4.1409052264636408</v>
      </c>
      <c r="DF176">
        <f>VLOOKUP($B176,'[1]Data_UN_PopulationTot.&amp;%'!$B$4:$CZ$603,96,FALSE)</f>
        <v>3.3219527624055325</v>
      </c>
      <c r="DG176">
        <f>VLOOKUP($B176,'[1]Data_UN_PopulationTot.&amp;%'!$B$4:$CZ$603,97,FALSE)</f>
        <v>2.4287162760857717</v>
      </c>
      <c r="DH176">
        <f>VLOOKUP($B176,'[1]Data_UN_PopulationTot.&amp;%'!$B$4:$CZ$603,98,FALSE)</f>
        <v>1.4195505048352473</v>
      </c>
      <c r="DI176">
        <f>VLOOKUP($B176,'[1]Data_UN_PopulationTot.&amp;%'!$B$4:$CZ$603,99,FALSE)</f>
        <v>0.70981563026454209</v>
      </c>
      <c r="DJ176">
        <f>VLOOKUP($B176,'[1]Data_UN_PopulationTot.&amp;%'!$B$4:$DE$603,100,FALSE)</f>
        <v>0.25771497277860156</v>
      </c>
      <c r="DK176">
        <f>VLOOKUP($B176,'[1]Data_UN_PopulationTot.&amp;%'!$B$4:$DE$603,101,FALSE)</f>
        <v>5.6869954171143738E-2</v>
      </c>
      <c r="DL176">
        <f>VLOOKUP($B176,'[1]Data_UN_PopulationTot.&amp;%'!$B$4:$DE$603,102,FALSE)</f>
        <v>5.1010679940509968E-3</v>
      </c>
    </row>
    <row r="177" spans="1:116">
      <c r="A177" t="s">
        <v>121</v>
      </c>
      <c r="B177" t="s">
        <v>335</v>
      </c>
      <c r="C177" t="s">
        <v>496</v>
      </c>
      <c r="D177" t="s">
        <v>334</v>
      </c>
      <c r="E177" t="s">
        <v>300</v>
      </c>
      <c r="F177">
        <v>0</v>
      </c>
      <c r="G177">
        <v>1</v>
      </c>
      <c r="H177">
        <v>0</v>
      </c>
      <c r="I177">
        <v>0</v>
      </c>
      <c r="J177" s="18">
        <f t="shared" si="5"/>
        <v>20912.432181820001</v>
      </c>
      <c r="K177">
        <f>VLOOKUP($B177,'[1]Source GDP Current USD'!$B$1:$CZ$600,64,FALSE)</f>
        <v>62409709110.953796</v>
      </c>
      <c r="L177" s="45">
        <f>VLOOKUP($B177,'[1]Source GDP Current USD'!$B$1:$CZ$600,65,FALSE)</f>
        <v>62409709110.953796</v>
      </c>
      <c r="M177" s="17">
        <f>VLOOKUP($B177,'[1]Source GDP Current LCU'!$B$1:$CZ$600,64,FALSE)</f>
        <v>143176997000000</v>
      </c>
      <c r="N177" s="45">
        <v>140000000000000</v>
      </c>
      <c r="O177" s="45">
        <f>VLOOKUP($B177,'[1]Source GNI Current USD'!$B$1:$CZ$600,64,FALSE)</f>
        <v>61909170639.124901</v>
      </c>
      <c r="P177" s="45">
        <f>VLOOKUP($B177,'[1]Source GNI Current LCU'!$B$1:$CZ$600,64,FALSE)</f>
        <v>142028688566900</v>
      </c>
      <c r="Q177">
        <f t="shared" si="4"/>
        <v>100.80850456670881</v>
      </c>
      <c r="R177">
        <v>1080</v>
      </c>
      <c r="S177">
        <v>1080</v>
      </c>
      <c r="T177">
        <v>0.38723200000000002</v>
      </c>
      <c r="U177" s="45">
        <v>60000000</v>
      </c>
      <c r="V177">
        <v>14.606</v>
      </c>
      <c r="W177">
        <f>VLOOKUP($B177,'[1]Source Gov. Revenue WEO'!$B$1:$CZ$600,5,FALSE)</f>
        <v>13.981999999999999</v>
      </c>
      <c r="X177">
        <f>VLOOKUP($B177,'[1]Source Gov. Revenue WEO'!$B$1:$CZ$600,6,FALSE)</f>
        <v>14.443</v>
      </c>
      <c r="Y177">
        <f>VLOOKUP($B177,'[1]Source Gov. Revenue WEO'!$B$1:$CZ$600,7,FALSE)</f>
        <v>14.882999999999999</v>
      </c>
      <c r="Z177">
        <f>VLOOKUP($B177,'[1]Source Gov. Revenue WEO'!$B$1:$CZ$600,8,FALSE)</f>
        <v>14.965999999999999</v>
      </c>
      <c r="AA177">
        <f>VLOOKUP($B177,'[1]Source Gov. Revenue WEO'!$B$1:$CZ$600,9,FALSE)</f>
        <v>14.935</v>
      </c>
      <c r="AB177">
        <f>VLOOKUP($B177,'[1]Source Gov. Revenue WEO'!$B$1:$CZ$600,10,FALSE)</f>
        <v>14.933999999999999</v>
      </c>
      <c r="AC177">
        <f>VLOOKUP($B177,[2]Summary!$B$1:$CZ$600,39,FALSE)</f>
        <v>0.48951720000000004</v>
      </c>
      <c r="AD177">
        <f>VLOOKUP($B177,[2]Summary!$B$1:$CZ$600,40,FALSE)</f>
        <v>0.34375</v>
      </c>
      <c r="AE177">
        <f>VLOOKUP($B177,[2]Summary!$B$1:$CZ$600,47,FALSE)</f>
        <v>0.15055023878370388</v>
      </c>
      <c r="AF177">
        <f>VLOOKUP($B177,'[1]CALC GDP Growth rates WDI'!$B$1:$CZ$600,27,FALSE)</f>
        <v>76.778704327559538</v>
      </c>
      <c r="AG177">
        <f>VLOOKUP($B177,'[1]CALC GDP Growth rates WDI'!$B$1:$CZ$600,29,FALSE)</f>
        <v>74.909299675548652</v>
      </c>
      <c r="AH177">
        <v>29.84</v>
      </c>
      <c r="AI177">
        <f>VLOOKUP($B177,'[1]CALC GDP Growth rates WDI'!$B$1:$CZ$600,30,FALSE)</f>
        <v>28.267672882731688</v>
      </c>
      <c r="AJ177" s="45" t="s">
        <v>2465</v>
      </c>
      <c r="AK177">
        <f>VLOOKUP($B177,[1]Data_Aspire!$B$1:$CZ$600,2,FALSE)</f>
        <v>2016</v>
      </c>
      <c r="AL177">
        <f>VLOOKUP($B177,[1]Data_Aspire!$B$1:$CZ$600,3,FALSE)</f>
        <v>0.38</v>
      </c>
      <c r="AM177">
        <f>VLOOKUP($B177,[1]Data_Aspire!$B$1:$CZ$600,4,FALSE)</f>
        <v>0.24</v>
      </c>
      <c r="AN177">
        <f>VLOOKUP($B177,[1]Data_Aspire!$B$1:$CZ$600,5,FALSE)</f>
        <v>0</v>
      </c>
      <c r="AO177">
        <f>VLOOKUP($B177,[1]Data_Aspire!$B$1:$CZ$600,6,FALSE)</f>
        <v>0</v>
      </c>
      <c r="AP177">
        <f>VLOOKUP($B177,[1]Data_Aspire!$B$1:$CZ$600,7,FALSE)</f>
        <v>0.06</v>
      </c>
      <c r="AQ177">
        <f>VLOOKUP($B177,[1]Data_Aspire!$B$1:$CZ$600,8,FALSE)</f>
        <v>0.06</v>
      </c>
      <c r="AR177">
        <f>VLOOKUP($B177,[1]Data_Aspire!$B$1:$CZ$600,9,FALSE)</f>
        <v>0.02</v>
      </c>
      <c r="AU177">
        <f>VLOOKUP($B177,[1]Data_Aspire!$B$1:$CZ$600,12,FALSE)</f>
        <v>0.38</v>
      </c>
      <c r="AV177">
        <f>VLOOKUP($B177,[1]Data_Aspire!$B$1:$CZ$600,13,FALSE)</f>
        <v>5164623</v>
      </c>
      <c r="AW177">
        <f>VLOOKUP($B177,[1]Data_Aspire!$B$1:$CZ$600,14,FALSE)</f>
        <v>2016</v>
      </c>
      <c r="BB177">
        <f>VLOOKUP($B177,[1]Data_Aspire!$B$1:$CZ$600,19,FALSE)</f>
        <v>910653</v>
      </c>
      <c r="BC177">
        <f>VLOOKUP($B177,[1]Data_Aspire!$B$1:$CZ$600,20,FALSE)</f>
        <v>2016</v>
      </c>
      <c r="BD177">
        <f>VLOOKUP($B177,[1]Data_Aspire!$B$1:$CZ$600,21,FALSE)</f>
        <v>48717</v>
      </c>
      <c r="BE177">
        <f>VLOOKUP($B177,[1]Data_Aspire!$B$1:$CZ$600,22,FALSE)</f>
        <v>2016</v>
      </c>
      <c r="BF177">
        <f>VLOOKUP($B177,[1]Data_Aspire!$B$1:$CZ$600,23,FALSE)</f>
        <v>1405159</v>
      </c>
      <c r="BG177">
        <f>VLOOKUP($B177,[1]Data_Aspire!$B$1:$CZ$600,24,FALSE)</f>
        <v>2016</v>
      </c>
      <c r="BH177">
        <f>VLOOKUP($B177,[1]Data_Aspire!$B$1:$CZ$600,25,FALSE)</f>
        <v>48717</v>
      </c>
      <c r="BI177">
        <f>VLOOKUP($B177,[1]Data_Aspire!$B$1:$CZ$600,26,FALSE)</f>
        <v>2016</v>
      </c>
      <c r="BJ177" s="7">
        <v>1</v>
      </c>
      <c r="BK177">
        <v>834</v>
      </c>
      <c r="BL177">
        <f>VLOOKUP($B177,'[1]Data_UN_PopulationTot.&amp;%'!$B$4:$CZ$603,8,FALSE)</f>
        <v>59734.2</v>
      </c>
      <c r="BM177">
        <f>VLOOKUP($B177,'[1]Data_UN_PopulationTot.&amp;%'!$B$4:$CZ$603,9,FALSE)</f>
        <v>61498.400000000001</v>
      </c>
      <c r="BN177">
        <v>63298.5</v>
      </c>
      <c r="BO177">
        <f>VLOOKUP($B177,'[1]Data_UN_PopulationTot.&amp;%'!$B$4:$CZ$603,11,FALSE)</f>
        <v>65136.2</v>
      </c>
      <c r="BP177">
        <f>VLOOKUP($B177,'[1]Data_UN_PopulationTot.&amp;%'!$B$4:$CZ$603,12,FALSE)</f>
        <v>67014.100000000006</v>
      </c>
      <c r="BQ177">
        <f>VLOOKUP($B177,'[1]Data_UN_PopulationTot.&amp;%'!$B$4:$CZ$603,13,FALSE)</f>
        <v>68934.2</v>
      </c>
      <c r="BR177">
        <f>VLOOKUP($B177,'[1]Data_UN_PopulationTot.&amp;%'!$B$4:$CZ$603,14,FALSE)</f>
        <v>70896.5</v>
      </c>
      <c r="BS177">
        <f>VLOOKUP($B177,'[1]Data_UN_PopulationTot.&amp;%'!$B$4:$CZ$603,15,FALSE)</f>
        <v>72900.3</v>
      </c>
      <c r="BT177">
        <f>VLOOKUP($B177,'[1]Data_UN_PopulationTot.&amp;%'!$B$4:$CZ$603,16,FALSE)</f>
        <v>74946</v>
      </c>
      <c r="BU177">
        <f>VLOOKUP($B177,'[1]Data_UN_PopulationTot.&amp;%'!$B$4:$CZ$603,17,FALSE)</f>
        <v>77033.5</v>
      </c>
      <c r="BV177">
        <f>VLOOKUP($B177,'[1]Data_UN_PopulationTot.&amp;%'!$B$4:$CZ$603,18,FALSE)</f>
        <v>79162.7</v>
      </c>
      <c r="BW177">
        <f>VLOOKUP($B177,'[1]Data_UN_PopulationTot.&amp;%'!$B$4:$CZ$603,61,FALSE)</f>
        <v>16.303223279126534</v>
      </c>
      <c r="BX177">
        <f>VLOOKUP($B177,'[1]Data_UN_PopulationTot.&amp;%'!$B$4:$CZ$603,62,FALSE)</f>
        <v>14.436805046355353</v>
      </c>
      <c r="BY177">
        <f>VLOOKUP($B177,'[1]Data_UN_PopulationTot.&amp;%'!$B$4:$CZ$603,63,FALSE)</f>
        <v>12.814401130340745</v>
      </c>
      <c r="BZ177">
        <f>VLOOKUP($B177,'[1]Data_UN_PopulationTot.&amp;%'!$B$4:$CZ$603,64,FALSE)</f>
        <v>10.771819158873813</v>
      </c>
      <c r="CA177">
        <f>VLOOKUP($B177,'[1]Data_UN_PopulationTot.&amp;%'!$B$4:$CZ$603,65,FALSE)</f>
        <v>8.8099614626127085</v>
      </c>
      <c r="CB177">
        <f>VLOOKUP($B177,'[1]Data_UN_PopulationTot.&amp;%'!$B$4:$CZ$603,66,FALSE)</f>
        <v>7.6734768357155536</v>
      </c>
      <c r="CC177">
        <f>VLOOKUP($B177,'[1]Data_UN_PopulationTot.&amp;%'!$B$4:$CZ$603,67,FALSE)</f>
        <v>6.5337612289107412</v>
      </c>
      <c r="CD177">
        <f>VLOOKUP($B177,'[1]Data_UN_PopulationTot.&amp;%'!$B$4:$CZ$603,68,FALSE)</f>
        <v>5.4559029835504615</v>
      </c>
      <c r="CE177">
        <f>VLOOKUP($B177,'[1]Data_UN_PopulationTot.&amp;%'!$B$4:$CZ$603,69,FALSE)</f>
        <v>4.4945609048083011</v>
      </c>
      <c r="CF177">
        <f>VLOOKUP($B177,'[1]Data_UN_PopulationTot.&amp;%'!$B$4:$CZ$603,70,FALSE)</f>
        <v>3.5757237897218004</v>
      </c>
      <c r="CG177">
        <f>VLOOKUP($B177,'[1]Data_UN_PopulationTot.&amp;%'!$B$4:$CZ$603,71,FALSE)</f>
        <v>2.7802833217821616</v>
      </c>
      <c r="CH177">
        <f>VLOOKUP($B177,'[1]Data_UN_PopulationTot.&amp;%'!$B$4:$CZ$603,72,FALSE)</f>
        <v>2.1191377803670259</v>
      </c>
      <c r="CI177">
        <f>VLOOKUP($B177,'[1]Data_UN_PopulationTot.&amp;%'!$B$4:$CZ$603,73,FALSE)</f>
        <v>1.5873469469750996</v>
      </c>
      <c r="CJ177">
        <f>VLOOKUP($B177,'[1]Data_UN_PopulationTot.&amp;%'!$B$4:$CZ$603,74,FALSE)</f>
        <v>1.1293547080232094</v>
      </c>
      <c r="CK177">
        <f>VLOOKUP($B177,'[1]Data_UN_PopulationTot.&amp;%'!$B$4:$CZ$603,75,FALSE)</f>
        <v>0.79052368659829719</v>
      </c>
      <c r="CL177">
        <f>VLOOKUP($B177,'[1]Data_UN_PopulationTot.&amp;%'!$B$4:$CZ$603,76,FALSE)</f>
        <v>0.45036679155324766</v>
      </c>
      <c r="CM177">
        <f>VLOOKUP($B177,'[1]Data_UN_PopulationTot.&amp;%'!$B$4:$CZ$603,77,FALSE)</f>
        <v>0.20399704022151466</v>
      </c>
      <c r="CN177">
        <f>VLOOKUP($B177,'[1]Data_UN_PopulationTot.&amp;%'!$B$4:$CZ$603,78,FALSE)</f>
        <v>6.040425752751355E-2</v>
      </c>
      <c r="CO177">
        <f>VLOOKUP($B177,'[1]Data_UN_PopulationTot.&amp;%'!$B$4:$CZ$603,79,FALSE)</f>
        <v>8.5177335596693347E-3</v>
      </c>
      <c r="CP177">
        <f>VLOOKUP($B177,'[1]Data_UN_PopulationTot.&amp;%'!$B$4:$CZ$603,80,FALSE)</f>
        <v>4.1349846486602311E-4</v>
      </c>
      <c r="CQ177">
        <f>VLOOKUP($B177,'[1]Data_UN_PopulationTot.&amp;%'!$B$4:$CZ$603,81,FALSE)</f>
        <v>1.1718579975960172E-5</v>
      </c>
      <c r="CR177">
        <f>VLOOKUP($B177,'[1]Data_UN_PopulationTot.&amp;%'!$B$4:$CZ$603,82,FALSE)</f>
        <v>15.18202385719537</v>
      </c>
      <c r="CS177">
        <f>VLOOKUP($B177,'[1]Data_UN_PopulationTot.&amp;%'!$B$4:$CZ$603,83,FALSE)</f>
        <v>13.516214075568417</v>
      </c>
      <c r="CT177">
        <f>VLOOKUP($B177,'[1]Data_UN_PopulationTot.&amp;%'!$B$4:$CZ$603,84,FALSE)</f>
        <v>12.042540236752917</v>
      </c>
      <c r="CU177">
        <f>VLOOKUP($B177,'[1]Data_UN_PopulationTot.&amp;%'!$B$4:$CZ$603,85,FALSE)</f>
        <v>10.719227616036338</v>
      </c>
      <c r="CV177">
        <f>VLOOKUP($B177,'[1]Data_UN_PopulationTot.&amp;%'!$B$4:$CZ$603,86,FALSE)</f>
        <v>9.4848078703732952</v>
      </c>
      <c r="CW177">
        <f>VLOOKUP($B177,'[1]Data_UN_PopulationTot.&amp;%'!$B$4:$CZ$603,87,FALSE)</f>
        <v>7.9265234763341841</v>
      </c>
      <c r="CX177">
        <f>VLOOKUP($B177,'[1]Data_UN_PopulationTot.&amp;%'!$B$4:$CZ$603,88,FALSE)</f>
        <v>6.4523190846193987</v>
      </c>
      <c r="CY177">
        <f>VLOOKUP($B177,'[1]Data_UN_PopulationTot.&amp;%'!$B$4:$CZ$603,89,FALSE)</f>
        <v>5.5931518252914563</v>
      </c>
      <c r="CZ177">
        <f>VLOOKUP($B177,'[1]Data_UN_PopulationTot.&amp;%'!$B$4:$CZ$603,90,FALSE)</f>
        <v>4.7270494816371853</v>
      </c>
      <c r="DA177">
        <f>VLOOKUP($B177,'[1]Data_UN_PopulationTot.&amp;%'!$B$4:$CZ$603,91,FALSE)</f>
        <v>3.9053240983442961</v>
      </c>
      <c r="DB177">
        <f>VLOOKUP($B177,'[1]Data_UN_PopulationTot.&amp;%'!$B$4:$CZ$603,92,FALSE)</f>
        <v>3.1647733086415699</v>
      </c>
      <c r="DC177">
        <f>VLOOKUP($B177,'[1]Data_UN_PopulationTot.&amp;%'!$B$4:$CZ$603,93,FALSE)</f>
        <v>2.4533902961874721</v>
      </c>
      <c r="DD177">
        <f>VLOOKUP($B177,'[1]Data_UN_PopulationTot.&amp;%'!$B$4:$CZ$603,94,FALSE)</f>
        <v>1.832416024213424</v>
      </c>
      <c r="DE177">
        <f>VLOOKUP($B177,'[1]Data_UN_PopulationTot.&amp;%'!$B$4:$CZ$603,95,FALSE)</f>
        <v>1.3021789302285041</v>
      </c>
      <c r="DF177">
        <f>VLOOKUP($B177,'[1]Data_UN_PopulationTot.&amp;%'!$B$4:$CZ$603,96,FALSE)</f>
        <v>0.86318051304465371</v>
      </c>
      <c r="DG177">
        <f>VLOOKUP($B177,'[1]Data_UN_PopulationTot.&amp;%'!$B$4:$CZ$603,97,FALSE)</f>
        <v>0.49953450299193941</v>
      </c>
      <c r="DH177">
        <f>VLOOKUP($B177,'[1]Data_UN_PopulationTot.&amp;%'!$B$4:$CZ$603,98,FALSE)</f>
        <v>0.24588600439348329</v>
      </c>
      <c r="DI177">
        <f>VLOOKUP($B177,'[1]Data_UN_PopulationTot.&amp;%'!$B$4:$CZ$603,99,FALSE)</f>
        <v>7.6500675191725404E-2</v>
      </c>
      <c r="DJ177">
        <f>VLOOKUP($B177,'[1]Data_UN_PopulationTot.&amp;%'!$B$4:$DE$603,100,FALSE)</f>
        <v>1.2291142166702249E-2</v>
      </c>
      <c r="DK177">
        <f>VLOOKUP($B177,'[1]Data_UN_PopulationTot.&amp;%'!$B$4:$DE$603,101,FALSE)</f>
        <v>7.3519473186235435E-4</v>
      </c>
      <c r="DL177">
        <f>VLOOKUP($B177,'[1]Data_UN_PopulationTot.&amp;%'!$B$4:$DE$603,102,FALSE)</f>
        <v>2.0211539020270913E-5</v>
      </c>
    </row>
    <row r="178" spans="1:116">
      <c r="A178" t="s">
        <v>110</v>
      </c>
      <c r="B178" t="s">
        <v>323</v>
      </c>
      <c r="C178" t="s">
        <v>496</v>
      </c>
      <c r="D178" t="s">
        <v>306</v>
      </c>
      <c r="E178" t="s">
        <v>299</v>
      </c>
      <c r="F178">
        <v>1</v>
      </c>
      <c r="G178">
        <v>0</v>
      </c>
      <c r="H178">
        <v>0</v>
      </c>
      <c r="I178">
        <v>0</v>
      </c>
      <c r="J178" s="18">
        <f t="shared" si="5"/>
        <v>18715.538263596634</v>
      </c>
      <c r="K178">
        <f>VLOOKUP($B178,'[1]Source GDP Current USD'!$B$1:$CZ$600,64,FALSE)</f>
        <v>37600368180.939903</v>
      </c>
      <c r="L178" s="45">
        <f>VLOOKUP($B178,'[1]Source GDP Current USD'!$B$1:$CZ$600,65,FALSE)</f>
        <v>37600368180.939903</v>
      </c>
      <c r="M178" s="17">
        <f>VLOOKUP($B178,'[1]Source GDP Current LCU'!$B$1:$CZ$600,64,FALSE)</f>
        <v>139689045108200</v>
      </c>
      <c r="N178" s="45">
        <v>140000000000000</v>
      </c>
      <c r="O178" s="45">
        <f>VLOOKUP($B178,'[1]Source GNI Current USD'!$B$1:$CZ$600,64,FALSE)</f>
        <v>36975974519.836304</v>
      </c>
      <c r="P178" s="45">
        <f>VLOOKUP($B178,'[1]Source GNI Current LCU'!$B$1:$CZ$600,64,FALSE)</f>
        <v>137369361591500</v>
      </c>
      <c r="Q178">
        <f t="shared" si="4"/>
        <v>101.68864693686072</v>
      </c>
      <c r="R178">
        <v>800</v>
      </c>
      <c r="S178">
        <v>800</v>
      </c>
      <c r="T178">
        <v>0.35828599999999999</v>
      </c>
      <c r="U178" s="45">
        <v>46000000</v>
      </c>
      <c r="V178">
        <v>13.398</v>
      </c>
      <c r="W178">
        <f>VLOOKUP($B178,'[1]Source Gov. Revenue WEO'!$B$1:$CZ$600,5,FALSE)</f>
        <v>14.486000000000001</v>
      </c>
      <c r="X178">
        <f>VLOOKUP($B178,'[1]Source Gov. Revenue WEO'!$B$1:$CZ$600,6,FALSE)</f>
        <v>14.792999999999999</v>
      </c>
      <c r="Y178">
        <f>VLOOKUP($B178,'[1]Source Gov. Revenue WEO'!$B$1:$CZ$600,7,FALSE)</f>
        <v>14.914</v>
      </c>
      <c r="Z178">
        <f>VLOOKUP($B178,'[1]Source Gov. Revenue WEO'!$B$1:$CZ$600,8,FALSE)</f>
        <v>15.46</v>
      </c>
      <c r="AA178">
        <f>VLOOKUP($B178,'[1]Source Gov. Revenue WEO'!$B$1:$CZ$600,9,FALSE)</f>
        <v>16.454999999999998</v>
      </c>
      <c r="AB178">
        <f>VLOOKUP($B178,'[1]Source Gov. Revenue WEO'!$B$1:$CZ$600,10,FALSE)</f>
        <v>17.489000000000001</v>
      </c>
      <c r="AC178">
        <f>VLOOKUP($B178,[2]Summary!$B$1:$CZ$600,39,FALSE)</f>
        <v>0.40173929999999997</v>
      </c>
      <c r="AD178">
        <f>VLOOKUP($B178,[2]Summary!$B$1:$CZ$600,40,FALSE)</f>
        <v>0.33724999999999999</v>
      </c>
      <c r="AE178">
        <f>VLOOKUP($B178,[2]Summary!$B$1:$CZ$600,47,FALSE)</f>
        <v>0.14606931760905206</v>
      </c>
      <c r="AF178">
        <f>VLOOKUP($B178,'[1]CALC GDP Growth rates WDI'!$B$1:$CZ$600,27,FALSE)</f>
        <v>63.753982182042414</v>
      </c>
      <c r="AG178">
        <f>VLOOKUP($B178,'[1]CALC GDP Growth rates WDI'!$B$1:$CZ$600,29,FALSE)</f>
        <v>58.759277950041081</v>
      </c>
      <c r="AH178">
        <v>25.87</v>
      </c>
      <c r="AI178">
        <f>VLOOKUP($B178,'[1]CALC GDP Growth rates WDI'!$B$1:$CZ$600,30,FALSE)</f>
        <v>21.52025427300639</v>
      </c>
      <c r="AJ178" s="45" t="s">
        <v>2465</v>
      </c>
      <c r="AK178">
        <f>VLOOKUP($B178,[1]Data_Aspire!$B$1:$CZ$600,2,FALSE)</f>
        <v>2016</v>
      </c>
      <c r="AL178">
        <f>VLOOKUP($B178,[1]Data_Aspire!$B$1:$CZ$600,3,FALSE)</f>
        <v>0.67</v>
      </c>
      <c r="AM178">
        <f>VLOOKUP($B178,[1]Data_Aspire!$B$1:$CZ$600,4,FALSE)</f>
        <v>0.15</v>
      </c>
      <c r="AN178">
        <f>VLOOKUP($B178,[1]Data_Aspire!$B$1:$CZ$600,5,FALSE)</f>
        <v>0.01</v>
      </c>
      <c r="AO178">
        <f>VLOOKUP($B178,[1]Data_Aspire!$B$1:$CZ$600,6,FALSE)</f>
        <v>0.09</v>
      </c>
      <c r="AP178">
        <f>VLOOKUP($B178,[1]Data_Aspire!$B$1:$CZ$600,7,FALSE)</f>
        <v>0</v>
      </c>
      <c r="AQ178">
        <f>VLOOKUP($B178,[1]Data_Aspire!$B$1:$CZ$600,8,FALSE)</f>
        <v>0.18</v>
      </c>
      <c r="AR178">
        <f>VLOOKUP($B178,[1]Data_Aspire!$B$1:$CZ$600,9,FALSE)</f>
        <v>0.03</v>
      </c>
      <c r="AT178">
        <f>VLOOKUP($B178,[1]Data_Aspire!$B$1:$CZ$600,11,FALSE)</f>
        <v>0.22</v>
      </c>
      <c r="AU178">
        <f>VLOOKUP($B178,[1]Data_Aspire!$B$1:$CZ$600,12,FALSE)</f>
        <v>0.67</v>
      </c>
      <c r="AV178">
        <f>VLOOKUP($B178,[1]Data_Aspire!$B$1:$CZ$600,13,FALSE)</f>
        <v>94457</v>
      </c>
      <c r="AW178">
        <f>VLOOKUP($B178,[1]Data_Aspire!$B$1:$CZ$600,14,FALSE)</f>
        <v>2016</v>
      </c>
      <c r="AX178">
        <f>VLOOKUP($B178,[1]Data_Aspire!$B$1:$CZ$600,15,FALSE)</f>
        <v>510138</v>
      </c>
      <c r="AY178">
        <f>VLOOKUP($B178,[1]Data_Aspire!$B$1:$CZ$600,16,FALSE)</f>
        <v>2016</v>
      </c>
      <c r="AZ178">
        <f>VLOOKUP($B178,[1]Data_Aspire!$B$1:$CZ$600,17,FALSE)</f>
        <v>150000</v>
      </c>
      <c r="BA178">
        <f>VLOOKUP($B178,[1]Data_Aspire!$B$1:$CZ$600,18,FALSE)</f>
        <v>2018</v>
      </c>
      <c r="BB178">
        <f>VLOOKUP($B178,[1]Data_Aspire!$B$1:$CZ$600,19,FALSE)</f>
        <v>55000</v>
      </c>
      <c r="BC178">
        <f>VLOOKUP($B178,[1]Data_Aspire!$B$1:$CZ$600,20,FALSE)</f>
        <v>2015</v>
      </c>
      <c r="BF178">
        <f>VLOOKUP($B178,[1]Data_Aspire!$B$1:$CZ$600,23,FALSE)</f>
        <v>33085</v>
      </c>
      <c r="BG178">
        <f>VLOOKUP($B178,[1]Data_Aspire!$B$1:$CZ$600,24,FALSE)</f>
        <v>2015</v>
      </c>
      <c r="BJ178" s="7">
        <v>1</v>
      </c>
      <c r="BK178">
        <v>800</v>
      </c>
      <c r="BL178">
        <f>VLOOKUP($B178,'[1]Data_UN_PopulationTot.&amp;%'!$B$4:$CZ$603,8,FALSE)</f>
        <v>45741</v>
      </c>
      <c r="BM178">
        <f>VLOOKUP($B178,'[1]Data_UN_PopulationTot.&amp;%'!$B$4:$CZ$603,9,FALSE)</f>
        <v>47123.5</v>
      </c>
      <c r="BN178">
        <v>48432.9</v>
      </c>
      <c r="BO178">
        <f>VLOOKUP($B178,'[1]Data_UN_PopulationTot.&amp;%'!$B$4:$CZ$603,11,FALSE)</f>
        <v>49700.800000000003</v>
      </c>
      <c r="BP178">
        <f>VLOOKUP($B178,'[1]Data_UN_PopulationTot.&amp;%'!$B$4:$CZ$603,12,FALSE)</f>
        <v>50976</v>
      </c>
      <c r="BQ178">
        <f>VLOOKUP($B178,'[1]Data_UN_PopulationTot.&amp;%'!$B$4:$CZ$603,13,FALSE)</f>
        <v>52294.3</v>
      </c>
      <c r="BR178">
        <f>VLOOKUP($B178,'[1]Data_UN_PopulationTot.&amp;%'!$B$4:$CZ$603,14,FALSE)</f>
        <v>53663.6</v>
      </c>
      <c r="BS178">
        <f>VLOOKUP($B178,'[1]Data_UN_PopulationTot.&amp;%'!$B$4:$CZ$603,15,FALSE)</f>
        <v>55072.4</v>
      </c>
      <c r="BT178">
        <f>VLOOKUP($B178,'[1]Data_UN_PopulationTot.&amp;%'!$B$4:$CZ$603,16,FALSE)</f>
        <v>56513</v>
      </c>
      <c r="BU178">
        <f>VLOOKUP($B178,'[1]Data_UN_PopulationTot.&amp;%'!$B$4:$CZ$603,17,FALSE)</f>
        <v>57971.6</v>
      </c>
      <c r="BV178">
        <f>VLOOKUP($B178,'[1]Data_UN_PopulationTot.&amp;%'!$B$4:$CZ$603,18,FALSE)</f>
        <v>59437.9</v>
      </c>
      <c r="BW178">
        <f>VLOOKUP($B178,'[1]Data_UN_PopulationTot.&amp;%'!$B$4:$CZ$603,61,FALSE)</f>
        <v>17.043877484095233</v>
      </c>
      <c r="BX178">
        <f>VLOOKUP($B178,'[1]Data_UN_PopulationTot.&amp;%'!$B$4:$CZ$603,62,FALSE)</f>
        <v>15.434533569445355</v>
      </c>
      <c r="BY178">
        <f>VLOOKUP($B178,'[1]Data_UN_PopulationTot.&amp;%'!$B$4:$CZ$603,63,FALSE)</f>
        <v>13.537482783498394</v>
      </c>
      <c r="BZ178">
        <f>VLOOKUP($B178,'[1]Data_UN_PopulationTot.&amp;%'!$B$4:$CZ$603,64,FALSE)</f>
        <v>11.493517850506111</v>
      </c>
      <c r="CA178">
        <f>VLOOKUP($B178,'[1]Data_UN_PopulationTot.&amp;%'!$B$4:$CZ$603,65,FALSE)</f>
        <v>9.4623641809317682</v>
      </c>
      <c r="CB178">
        <f>VLOOKUP($B178,'[1]Data_UN_PopulationTot.&amp;%'!$B$4:$CZ$603,66,FALSE)</f>
        <v>7.7490435276885066</v>
      </c>
      <c r="CC178">
        <f>VLOOKUP($B178,'[1]Data_UN_PopulationTot.&amp;%'!$B$4:$CZ$603,67,FALSE)</f>
        <v>6.227498305677619</v>
      </c>
      <c r="CD178">
        <f>VLOOKUP($B178,'[1]Data_UN_PopulationTot.&amp;%'!$B$4:$CZ$603,68,FALSE)</f>
        <v>4.9246409129664857</v>
      </c>
      <c r="CE178">
        <f>VLOOKUP($B178,'[1]Data_UN_PopulationTot.&amp;%'!$B$4:$CZ$603,69,FALSE)</f>
        <v>3.8595570713364378</v>
      </c>
      <c r="CF178">
        <f>VLOOKUP($B178,'[1]Data_UN_PopulationTot.&amp;%'!$B$4:$CZ$603,70,FALSE)</f>
        <v>2.990752279136879</v>
      </c>
      <c r="CG178">
        <f>VLOOKUP($B178,'[1]Data_UN_PopulationTot.&amp;%'!$B$4:$CZ$603,71,FALSE)</f>
        <v>2.3296167552086748</v>
      </c>
      <c r="CH178">
        <f>VLOOKUP($B178,'[1]Data_UN_PopulationTot.&amp;%'!$B$4:$CZ$603,72,FALSE)</f>
        <v>1.7202116263308629</v>
      </c>
      <c r="CI178">
        <f>VLOOKUP($B178,'[1]Data_UN_PopulationTot.&amp;%'!$B$4:$CZ$603,73,FALSE)</f>
        <v>1.2411928029557728</v>
      </c>
      <c r="CJ178">
        <f>VLOOKUP($B178,'[1]Data_UN_PopulationTot.&amp;%'!$B$4:$CZ$603,74,FALSE)</f>
        <v>0.8888983625194028</v>
      </c>
      <c r="CK178">
        <f>VLOOKUP($B178,'[1]Data_UN_PopulationTot.&amp;%'!$B$4:$CZ$603,75,FALSE)</f>
        <v>0.57167311602282411</v>
      </c>
      <c r="CL178">
        <f>VLOOKUP($B178,'[1]Data_UN_PopulationTot.&amp;%'!$B$4:$CZ$603,76,FALSE)</f>
        <v>0.32904615115541852</v>
      </c>
      <c r="CM178">
        <f>VLOOKUP($B178,'[1]Data_UN_PopulationTot.&amp;%'!$B$4:$CZ$603,77,FALSE)</f>
        <v>0.13914212631993178</v>
      </c>
      <c r="CN178">
        <f>VLOOKUP($B178,'[1]Data_UN_PopulationTot.&amp;%'!$B$4:$CZ$603,78,FALSE)</f>
        <v>4.9069762357622268E-2</v>
      </c>
      <c r="CO178">
        <f>VLOOKUP($B178,'[1]Data_UN_PopulationTot.&amp;%'!$B$4:$CZ$603,79,FALSE)</f>
        <v>7.420038914759188E-3</v>
      </c>
      <c r="CP178">
        <f>VLOOKUP($B178,'[1]Data_UN_PopulationTot.&amp;%'!$B$4:$CZ$603,80,FALSE)</f>
        <v>4.3068581797512084E-4</v>
      </c>
      <c r="CQ178">
        <f>VLOOKUP($B178,'[1]Data_UN_PopulationTot.&amp;%'!$B$4:$CZ$603,81,FALSE)</f>
        <v>1.3117334557617893E-5</v>
      </c>
      <c r="CR178">
        <f>VLOOKUP($B178,'[1]Data_UN_PopulationTot.&amp;%'!$B$4:$CZ$603,82,FALSE)</f>
        <v>14.457744974166314</v>
      </c>
      <c r="CS178">
        <f>VLOOKUP($B178,'[1]Data_UN_PopulationTot.&amp;%'!$B$4:$CZ$603,83,FALSE)</f>
        <v>13.453352154096965</v>
      </c>
      <c r="CT178">
        <f>VLOOKUP($B178,'[1]Data_UN_PopulationTot.&amp;%'!$B$4:$CZ$603,84,FALSE)</f>
        <v>12.686972453602834</v>
      </c>
      <c r="CU178">
        <f>VLOOKUP($B178,'[1]Data_UN_PopulationTot.&amp;%'!$B$4:$CZ$603,85,FALSE)</f>
        <v>11.566946342316939</v>
      </c>
      <c r="CV178">
        <f>VLOOKUP($B178,'[1]Data_UN_PopulationTot.&amp;%'!$B$4:$CZ$603,86,FALSE)</f>
        <v>10.110030805260616</v>
      </c>
      <c r="CW178">
        <f>VLOOKUP($B178,'[1]Data_UN_PopulationTot.&amp;%'!$B$4:$CZ$603,87,FALSE)</f>
        <v>8.5218522188704515</v>
      </c>
      <c r="CX178">
        <f>VLOOKUP($B178,'[1]Data_UN_PopulationTot.&amp;%'!$B$4:$CZ$603,88,FALSE)</f>
        <v>6.9643779474039285</v>
      </c>
      <c r="CY178">
        <f>VLOOKUP($B178,'[1]Data_UN_PopulationTot.&amp;%'!$B$4:$CZ$603,89,FALSE)</f>
        <v>5.6563404830924373</v>
      </c>
      <c r="CZ178">
        <f>VLOOKUP($B178,'[1]Data_UN_PopulationTot.&amp;%'!$B$4:$CZ$603,90,FALSE)</f>
        <v>4.4957510275430312</v>
      </c>
      <c r="DA178">
        <f>VLOOKUP($B178,'[1]Data_UN_PopulationTot.&amp;%'!$B$4:$CZ$603,91,FALSE)</f>
        <v>3.5062476971763803</v>
      </c>
      <c r="DB178">
        <f>VLOOKUP($B178,'[1]Data_UN_PopulationTot.&amp;%'!$B$4:$CZ$603,92,FALSE)</f>
        <v>2.6960239173995046</v>
      </c>
      <c r="DC178">
        <f>VLOOKUP($B178,'[1]Data_UN_PopulationTot.&amp;%'!$B$4:$CZ$603,93,FALSE)</f>
        <v>2.0310273411409221</v>
      </c>
      <c r="DD178">
        <f>VLOOKUP($B178,'[1]Data_UN_PopulationTot.&amp;%'!$B$4:$CZ$603,94,FALSE)</f>
        <v>1.517385371959642</v>
      </c>
      <c r="DE178">
        <f>VLOOKUP($B178,'[1]Data_UN_PopulationTot.&amp;%'!$B$4:$CZ$603,95,FALSE)</f>
        <v>1.0428228453562458</v>
      </c>
      <c r="DF178">
        <f>VLOOKUP($B178,'[1]Data_UN_PopulationTot.&amp;%'!$B$4:$CZ$603,96,FALSE)</f>
        <v>0.66493937369927258</v>
      </c>
      <c r="DG178">
        <f>VLOOKUP($B178,'[1]Data_UN_PopulationTot.&amp;%'!$B$4:$CZ$603,97,FALSE)</f>
        <v>0.38802851379338771</v>
      </c>
      <c r="DH178">
        <f>VLOOKUP($B178,'[1]Data_UN_PopulationTot.&amp;%'!$B$4:$CZ$603,98,FALSE)</f>
        <v>0.17563877593252789</v>
      </c>
      <c r="DI178">
        <f>VLOOKUP($B178,'[1]Data_UN_PopulationTot.&amp;%'!$B$4:$CZ$603,99,FALSE)</f>
        <v>5.5400678691541937E-2</v>
      </c>
      <c r="DJ178">
        <f>VLOOKUP($B178,'[1]Data_UN_PopulationTot.&amp;%'!$B$4:$DE$603,100,FALSE)</f>
        <v>8.4945800575053979E-3</v>
      </c>
      <c r="DK178">
        <f>VLOOKUP($B178,'[1]Data_UN_PopulationTot.&amp;%'!$B$4:$DE$603,101,FALSE)</f>
        <v>6.4941729098773684E-4</v>
      </c>
      <c r="DL178">
        <f>VLOOKUP($B178,'[1]Data_UN_PopulationTot.&amp;%'!$B$4:$DE$603,102,FALSE)</f>
        <v>2.1871566794923778E-5</v>
      </c>
    </row>
    <row r="179" spans="1:116">
      <c r="A179" t="s">
        <v>170</v>
      </c>
      <c r="B179" t="s">
        <v>384</v>
      </c>
      <c r="C179" t="s">
        <v>485</v>
      </c>
      <c r="D179" t="s">
        <v>334</v>
      </c>
      <c r="E179" t="s">
        <v>300</v>
      </c>
      <c r="F179">
        <v>0</v>
      </c>
      <c r="G179">
        <v>1</v>
      </c>
      <c r="H179">
        <v>0</v>
      </c>
      <c r="I179">
        <v>0</v>
      </c>
      <c r="J179" s="18">
        <f t="shared" si="5"/>
        <v>1675.4042035200002</v>
      </c>
      <c r="K179">
        <f>VLOOKUP($B179,'[1]Source GDP Current USD'!$B$1:$CZ$600,64,FALSE)</f>
        <v>155498989149.58701</v>
      </c>
      <c r="L179" s="45">
        <f>VLOOKUP($B179,'[1]Source GDP Current USD'!$B$1:$CZ$600,65,FALSE)</f>
        <v>155498989149.58701</v>
      </c>
      <c r="M179" s="17">
        <f>VLOOKUP($B179,'[1]Source GDP Current LCU'!$B$1:$CZ$600,64,FALSE)</f>
        <v>4191864000000</v>
      </c>
      <c r="N179" s="45">
        <v>4200000000000</v>
      </c>
      <c r="O179" s="45">
        <f>VLOOKUP($B179,'[1]Source GNI Current USD'!$B$1:$CZ$600,64,FALSE)</f>
        <v>159545803579.70901</v>
      </c>
      <c r="P179" s="45">
        <f>VLOOKUP($B179,'[1]Source GNI Current LCU'!$B$1:$CZ$600,64,FALSE)</f>
        <v>4300956000000</v>
      </c>
      <c r="Q179">
        <f t="shared" si="4"/>
        <v>97.463540663982613</v>
      </c>
      <c r="R179">
        <v>3570</v>
      </c>
      <c r="S179">
        <v>3570</v>
      </c>
      <c r="T179">
        <v>0.28533199999999997</v>
      </c>
      <c r="U179" s="45">
        <v>44000000</v>
      </c>
      <c r="V179">
        <v>39.968000000000004</v>
      </c>
      <c r="W179">
        <f>VLOOKUP($B179,'[1]Source Gov. Revenue WEO'!$B$1:$CZ$600,5,FALSE)</f>
        <v>36.741</v>
      </c>
      <c r="X179">
        <f>VLOOKUP($B179,'[1]Source Gov. Revenue WEO'!$B$1:$CZ$600,6,FALSE)</f>
        <v>36.057000000000002</v>
      </c>
      <c r="Y179">
        <f>VLOOKUP($B179,'[1]Source Gov. Revenue WEO'!$B$1:$CZ$600,7,FALSE)</f>
        <v>35.780999999999999</v>
      </c>
      <c r="Z179">
        <f>VLOOKUP($B179,'[1]Source Gov. Revenue WEO'!$B$1:$CZ$600,8,FALSE)</f>
        <v>35.728000000000002</v>
      </c>
      <c r="AA179">
        <f>VLOOKUP($B179,'[1]Source Gov. Revenue WEO'!$B$1:$CZ$600,9,FALSE)</f>
        <v>35.615000000000002</v>
      </c>
      <c r="AB179">
        <f>VLOOKUP($B179,'[1]Source Gov. Revenue WEO'!$B$1:$CZ$600,10,FALSE)</f>
        <v>35.551000000000002</v>
      </c>
      <c r="AC179">
        <f>VLOOKUP($B179,[2]Summary!$B$1:$CZ$600,39,FALSE)</f>
        <v>9.9351999999999993E-5</v>
      </c>
      <c r="AD179">
        <f>VLOOKUP($B179,[2]Summary!$B$1:$CZ$600,40,FALSE)</f>
        <v>2.5000000000000001E-4</v>
      </c>
      <c r="AE179">
        <f>VLOOKUP($B179,[2]Summary!$B$1:$CZ$600,47,FALSE)</f>
        <v>0.40618284999389903</v>
      </c>
      <c r="AF179">
        <f>VLOOKUP($B179,'[1]CALC GDP Growth rates WDI'!$B$1:$CZ$600,27,FALSE)</f>
        <v>-7.8430972091642612</v>
      </c>
      <c r="AG179">
        <f>VLOOKUP($B179,'[1]CALC GDP Growth rates WDI'!$B$1:$CZ$600,29,FALSE)</f>
        <v>-3.203315010199681</v>
      </c>
      <c r="AH179">
        <v>7.51</v>
      </c>
      <c r="AI179">
        <f>VLOOKUP($B179,'[1]CALC GDP Growth rates WDI'!$B$1:$CZ$600,30,FALSE)</f>
        <v>-2.1195306571638373</v>
      </c>
      <c r="AJ179" s="45"/>
      <c r="AK179">
        <f>VLOOKUP($B179,[1]Data_Aspire!$B$1:$CZ$600,2,FALSE)</f>
        <v>2017</v>
      </c>
      <c r="AL179">
        <f>VLOOKUP($B179,[1]Data_Aspire!$B$1:$CZ$600,3,FALSE)</f>
        <v>5.28</v>
      </c>
      <c r="AM179">
        <f>VLOOKUP($B179,[1]Data_Aspire!$B$1:$CZ$600,4,FALSE)</f>
        <v>0.48</v>
      </c>
      <c r="AN179">
        <f>VLOOKUP($B179,[1]Data_Aspire!$B$1:$CZ$600,5,FALSE)</f>
        <v>1.22</v>
      </c>
      <c r="AO179">
        <f>VLOOKUP($B179,[1]Data_Aspire!$B$1:$CZ$600,6,FALSE)</f>
        <v>0.37</v>
      </c>
      <c r="AP179">
        <f>VLOOKUP($B179,[1]Data_Aspire!$B$1:$CZ$600,7,FALSE)</f>
        <v>0</v>
      </c>
      <c r="AQ179">
        <f>VLOOKUP($B179,[1]Data_Aspire!$B$1:$CZ$600,8,FALSE)</f>
        <v>0.01</v>
      </c>
      <c r="AS179">
        <f>VLOOKUP($B179,[1]Data_Aspire!$B$1:$CZ$600,10,FALSE)</f>
        <v>2.48</v>
      </c>
      <c r="AT179">
        <f>VLOOKUP($B179,[1]Data_Aspire!$B$1:$CZ$600,11,FALSE)</f>
        <v>0.72</v>
      </c>
      <c r="AU179">
        <f>VLOOKUP($B179,[1]Data_Aspire!$B$1:$CZ$600,12,FALSE)</f>
        <v>5.25</v>
      </c>
      <c r="AV179">
        <f>VLOOKUP($B179,[1]Data_Aspire!$B$1:$CZ$600,13,FALSE)</f>
        <v>2245737.5</v>
      </c>
      <c r="AW179">
        <f>VLOOKUP($B179,[1]Data_Aspire!$B$1:$CZ$600,14,FALSE)</f>
        <v>2017</v>
      </c>
      <c r="AX179">
        <f>VLOOKUP($B179,[1]Data_Aspire!$B$1:$CZ$600,15,FALSE)</f>
        <v>1529608</v>
      </c>
      <c r="AY179">
        <f>VLOOKUP($B179,[1]Data_Aspire!$B$1:$CZ$600,16,FALSE)</f>
        <v>2017</v>
      </c>
      <c r="AZ179">
        <f>VLOOKUP($B179,[1]Data_Aspire!$B$1:$CZ$600,17,FALSE)</f>
        <v>98255</v>
      </c>
      <c r="BA179">
        <f>VLOOKUP($B179,[1]Data_Aspire!$B$1:$CZ$600,18,FALSE)</f>
        <v>2017</v>
      </c>
      <c r="BF179">
        <f>VLOOKUP($B179,[1]Data_Aspire!$B$1:$CZ$600,23,FALSE)</f>
        <v>234818</v>
      </c>
      <c r="BG179">
        <f>VLOOKUP($B179,[1]Data_Aspire!$B$1:$CZ$600,24,FALSE)</f>
        <v>2014</v>
      </c>
      <c r="BH179">
        <f>VLOOKUP($B179,[1]Data_Aspire!$B$1:$CZ$600,25,FALSE)</f>
        <v>923000</v>
      </c>
      <c r="BI179">
        <f>VLOOKUP($B179,[1]Data_Aspire!$B$1:$CZ$600,26,FALSE)</f>
        <v>2017</v>
      </c>
      <c r="BJ179" s="7">
        <v>0</v>
      </c>
      <c r="BK179">
        <v>804</v>
      </c>
      <c r="BL179">
        <f>VLOOKUP($B179,'[1]Data_UN_PopulationTot.&amp;%'!$B$4:$CZ$603,8,FALSE)</f>
        <v>43733.8</v>
      </c>
      <c r="BM179">
        <f>VLOOKUP($B179,'[1]Data_UN_PopulationTot.&amp;%'!$B$4:$CZ$603,9,FALSE)</f>
        <v>43466.8</v>
      </c>
      <c r="BN179">
        <v>43192.1</v>
      </c>
      <c r="BO179">
        <f>VLOOKUP($B179,'[1]Data_UN_PopulationTot.&amp;%'!$B$4:$CZ$603,11,FALSE)</f>
        <v>42911.3</v>
      </c>
      <c r="BP179">
        <f>VLOOKUP($B179,'[1]Data_UN_PopulationTot.&amp;%'!$B$4:$CZ$603,12,FALSE)</f>
        <v>42626.3</v>
      </c>
      <c r="BQ179">
        <f>VLOOKUP($B179,'[1]Data_UN_PopulationTot.&amp;%'!$B$4:$CZ$603,13,FALSE)</f>
        <v>42338.6</v>
      </c>
      <c r="BR179">
        <f>VLOOKUP($B179,'[1]Data_UN_PopulationTot.&amp;%'!$B$4:$CZ$603,14,FALSE)</f>
        <v>42049.2</v>
      </c>
      <c r="BS179">
        <f>VLOOKUP($B179,'[1]Data_UN_PopulationTot.&amp;%'!$B$4:$CZ$603,15,FALSE)</f>
        <v>41758.6</v>
      </c>
      <c r="BT179">
        <f>VLOOKUP($B179,'[1]Data_UN_PopulationTot.&amp;%'!$B$4:$CZ$603,16,FALSE)</f>
        <v>41467.199999999997</v>
      </c>
      <c r="BU179">
        <f>VLOOKUP($B179,'[1]Data_UN_PopulationTot.&amp;%'!$B$4:$CZ$603,17,FALSE)</f>
        <v>41175.1</v>
      </c>
      <c r="BV179">
        <f>VLOOKUP($B179,'[1]Data_UN_PopulationTot.&amp;%'!$B$4:$CZ$603,18,FALSE)</f>
        <v>40882.300000000003</v>
      </c>
      <c r="BW179">
        <f>VLOOKUP($B179,'[1]Data_UN_PopulationTot.&amp;%'!$B$4:$CZ$603,61,FALSE)</f>
        <v>4.8334468991946729</v>
      </c>
      <c r="BX179">
        <f>VLOOKUP($B179,'[1]Data_UN_PopulationTot.&amp;%'!$B$4:$CZ$603,62,FALSE)</f>
        <v>5.6607475225111923</v>
      </c>
      <c r="BY179">
        <f>VLOOKUP($B179,'[1]Data_UN_PopulationTot.&amp;%'!$B$4:$CZ$603,63,FALSE)</f>
        <v>5.4962980577951139</v>
      </c>
      <c r="BZ179">
        <f>VLOOKUP($B179,'[1]Data_UN_PopulationTot.&amp;%'!$B$4:$CZ$603,64,FALSE)</f>
        <v>4.5268648047962898</v>
      </c>
      <c r="CA179">
        <f>VLOOKUP($B179,'[1]Data_UN_PopulationTot.&amp;%'!$B$4:$CZ$603,65,FALSE)</f>
        <v>4.9070741623183904</v>
      </c>
      <c r="CB179">
        <f>VLOOKUP($B179,'[1]Data_UN_PopulationTot.&amp;%'!$B$4:$CZ$603,66,FALSE)</f>
        <v>6.2936218668398354</v>
      </c>
      <c r="CC179">
        <f>VLOOKUP($B179,'[1]Data_UN_PopulationTot.&amp;%'!$B$4:$CZ$603,67,FALSE)</f>
        <v>8.1969323498072431</v>
      </c>
      <c r="CD179">
        <f>VLOOKUP($B179,'[1]Data_UN_PopulationTot.&amp;%'!$B$4:$CZ$603,68,FALSE)</f>
        <v>8.286771330183976</v>
      </c>
      <c r="CE179">
        <f>VLOOKUP($B179,'[1]Data_UN_PopulationTot.&amp;%'!$B$4:$CZ$603,69,FALSE)</f>
        <v>7.630688392044596</v>
      </c>
      <c r="CF179">
        <f>VLOOKUP($B179,'[1]Data_UN_PopulationTot.&amp;%'!$B$4:$CZ$603,70,FALSE)</f>
        <v>7.0179357842218142</v>
      </c>
      <c r="CG179">
        <f>VLOOKUP($B179,'[1]Data_UN_PopulationTot.&amp;%'!$B$4:$CZ$603,71,FALSE)</f>
        <v>6.4091389268712069</v>
      </c>
      <c r="CH179">
        <f>VLOOKUP($B179,'[1]Data_UN_PopulationTot.&amp;%'!$B$4:$CZ$603,72,FALSE)</f>
        <v>7.096982196836314</v>
      </c>
      <c r="CI179">
        <f>VLOOKUP($B179,'[1]Data_UN_PopulationTot.&amp;%'!$B$4:$CZ$603,73,FALSE)</f>
        <v>6.6942273481837846</v>
      </c>
      <c r="CJ179">
        <f>VLOOKUP($B179,'[1]Data_UN_PopulationTot.&amp;%'!$B$4:$CZ$603,74,FALSE)</f>
        <v>5.9729774224970162</v>
      </c>
      <c r="CK179">
        <f>VLOOKUP($B179,'[1]Data_UN_PopulationTot.&amp;%'!$B$4:$CZ$603,75,FALSE)</f>
        <v>4.0451092747485919</v>
      </c>
      <c r="CL179">
        <f>VLOOKUP($B179,'[1]Data_UN_PopulationTot.&amp;%'!$B$4:$CZ$603,76,FALSE)</f>
        <v>2.7766853097604138</v>
      </c>
      <c r="CM179">
        <f>VLOOKUP($B179,'[1]Data_UN_PopulationTot.&amp;%'!$B$4:$CZ$603,77,FALSE)</f>
        <v>2.7145137170792384</v>
      </c>
      <c r="CN179">
        <f>VLOOKUP($B179,'[1]Data_UN_PopulationTot.&amp;%'!$B$4:$CZ$603,78,FALSE)</f>
        <v>0.9425135707393365</v>
      </c>
      <c r="CO179">
        <f>VLOOKUP($B179,'[1]Data_UN_PopulationTot.&amp;%'!$B$4:$CZ$603,79,FALSE)</f>
        <v>0.43021187273916284</v>
      </c>
      <c r="CP179">
        <f>VLOOKUP($B179,'[1]Data_UN_PopulationTot.&amp;%'!$B$4:$CZ$603,80,FALSE)</f>
        <v>6.2718080752187086E-2</v>
      </c>
      <c r="CQ179">
        <f>VLOOKUP($B179,'[1]Data_UN_PopulationTot.&amp;%'!$B$4:$CZ$603,81,FALSE)</f>
        <v>4.387910494857524E-3</v>
      </c>
      <c r="CR179">
        <f>VLOOKUP($B179,'[1]Data_UN_PopulationTot.&amp;%'!$B$4:$CZ$603,82,FALSE)</f>
        <v>4.1676471235718138</v>
      </c>
      <c r="CS179">
        <f>VLOOKUP($B179,'[1]Data_UN_PopulationTot.&amp;%'!$B$4:$CZ$603,83,FALSE)</f>
        <v>4.5067669871802707</v>
      </c>
      <c r="CT179">
        <f>VLOOKUP($B179,'[1]Data_UN_PopulationTot.&amp;%'!$B$4:$CZ$603,84,FALSE)</f>
        <v>5.1625275485968247</v>
      </c>
      <c r="CU179">
        <f>VLOOKUP($B179,'[1]Data_UN_PopulationTot.&amp;%'!$B$4:$CZ$603,85,FALSE)</f>
        <v>6.0474826514163826</v>
      </c>
      <c r="CV179">
        <f>VLOOKUP($B179,'[1]Data_UN_PopulationTot.&amp;%'!$B$4:$CZ$603,86,FALSE)</f>
        <v>5.8684565203034067</v>
      </c>
      <c r="CW179">
        <f>VLOOKUP($B179,'[1]Data_UN_PopulationTot.&amp;%'!$B$4:$CZ$603,87,FALSE)</f>
        <v>4.8214997688486214</v>
      </c>
      <c r="CX179">
        <f>VLOOKUP($B179,'[1]Data_UN_PopulationTot.&amp;%'!$B$4:$CZ$603,88,FALSE)</f>
        <v>5.1916110394963093</v>
      </c>
      <c r="CY179">
        <f>VLOOKUP($B179,'[1]Data_UN_PopulationTot.&amp;%'!$B$4:$CZ$603,89,FALSE)</f>
        <v>6.5929999046041923</v>
      </c>
      <c r="CZ179">
        <f>VLOOKUP($B179,'[1]Data_UN_PopulationTot.&amp;%'!$B$4:$CZ$603,90,FALSE)</f>
        <v>8.4972958957788567</v>
      </c>
      <c r="DA179">
        <f>VLOOKUP($B179,'[1]Data_UN_PopulationTot.&amp;%'!$B$4:$CZ$603,91,FALSE)</f>
        <v>8.4936512867426739</v>
      </c>
      <c r="DB179">
        <f>VLOOKUP($B179,'[1]Data_UN_PopulationTot.&amp;%'!$B$4:$CZ$603,92,FALSE)</f>
        <v>7.6968272333014527</v>
      </c>
      <c r="DC179">
        <f>VLOOKUP($B179,'[1]Data_UN_PopulationTot.&amp;%'!$B$4:$CZ$603,93,FALSE)</f>
        <v>6.8962851894340575</v>
      </c>
      <c r="DD179">
        <f>VLOOKUP($B179,'[1]Data_UN_PopulationTot.&amp;%'!$B$4:$CZ$603,94,FALSE)</f>
        <v>6.0516409301824998</v>
      </c>
      <c r="DE179">
        <f>VLOOKUP($B179,'[1]Data_UN_PopulationTot.&amp;%'!$B$4:$CZ$603,95,FALSE)</f>
        <v>6.3360916582481899</v>
      </c>
      <c r="DF179">
        <f>VLOOKUP($B179,'[1]Data_UN_PopulationTot.&amp;%'!$B$4:$CZ$603,96,FALSE)</f>
        <v>5.4999107193088443</v>
      </c>
      <c r="DG179">
        <f>VLOOKUP($B179,'[1]Data_UN_PopulationTot.&amp;%'!$B$4:$CZ$603,97,FALSE)</f>
        <v>4.241150815878755</v>
      </c>
      <c r="DH179">
        <f>VLOOKUP($B179,'[1]Data_UN_PopulationTot.&amp;%'!$B$4:$CZ$603,98,FALSE)</f>
        <v>2.2362195864714067</v>
      </c>
      <c r="DI179">
        <f>VLOOKUP($B179,'[1]Data_UN_PopulationTot.&amp;%'!$B$4:$CZ$603,99,FALSE)</f>
        <v>1.0442391939788123</v>
      </c>
      <c r="DJ179">
        <f>VLOOKUP($B179,'[1]Data_UN_PopulationTot.&amp;%'!$B$4:$DE$603,100,FALSE)</f>
        <v>0.55710906675994254</v>
      </c>
      <c r="DK179">
        <f>VLOOKUP($B179,'[1]Data_UN_PopulationTot.&amp;%'!$B$4:$DE$603,101,FALSE)</f>
        <v>7.903175701954146E-2</v>
      </c>
      <c r="DL179">
        <f>VLOOKUP($B179,'[1]Data_UN_PopulationTot.&amp;%'!$B$4:$DE$603,102,FALSE)</f>
        <v>1.1657856823123943E-2</v>
      </c>
    </row>
    <row r="180" spans="1:116">
      <c r="A180" t="s">
        <v>235</v>
      </c>
      <c r="B180" t="s">
        <v>589</v>
      </c>
      <c r="C180" t="s">
        <v>497</v>
      </c>
      <c r="D180" t="s">
        <v>622</v>
      </c>
      <c r="E180" t="s">
        <v>2269</v>
      </c>
      <c r="F180">
        <v>0</v>
      </c>
      <c r="G180">
        <v>0</v>
      </c>
      <c r="H180">
        <v>0</v>
      </c>
      <c r="I180">
        <v>1</v>
      </c>
      <c r="J180" s="18">
        <f t="shared" si="5"/>
        <v>632.88000482615087</v>
      </c>
      <c r="K180">
        <f>VLOOKUP($B180,'[1]Source GDP Current USD'!$B$1:$CZ$600,64,FALSE)</f>
        <v>53628827440.3582</v>
      </c>
      <c r="L180" s="45">
        <f>VLOOKUP($B180,'[1]Source GDP Current USD'!$B$1:$CZ$600,65,FALSE)</f>
        <v>53628827440.3582</v>
      </c>
      <c r="M180" s="17">
        <f>VLOOKUP($B180,'[1]Source GDP Current LCU'!$B$1:$CZ$600,64,FALSE)</f>
        <v>2253124015900</v>
      </c>
      <c r="N180" s="45">
        <v>2300000000000</v>
      </c>
      <c r="O180" s="45">
        <f>VLOOKUP($B180,'[1]Source GNI Current USD'!$B$1:$CZ$600,64,FALSE)</f>
        <v>50752249828.505699</v>
      </c>
      <c r="P180" s="45">
        <f>VLOOKUP($B180,'[1]Source GNI Current LCU'!$B$1:$CZ$600,64,FALSE)</f>
        <v>2132269497719.96</v>
      </c>
      <c r="Q180">
        <f t="shared" si="4"/>
        <v>105.66788195907084</v>
      </c>
      <c r="R180">
        <v>15790</v>
      </c>
      <c r="S180">
        <v>15790</v>
      </c>
      <c r="T180">
        <v>0.677311</v>
      </c>
      <c r="U180" s="45">
        <v>3500000</v>
      </c>
      <c r="V180">
        <v>28.088999999999999</v>
      </c>
      <c r="W180">
        <f>VLOOKUP($B180,'[1]Source Gov. Revenue WEO'!$B$1:$CZ$600,5,FALSE)</f>
        <v>27.486000000000001</v>
      </c>
      <c r="X180">
        <f>VLOOKUP($B180,'[1]Source Gov. Revenue WEO'!$B$1:$CZ$600,6,FALSE)</f>
        <v>27.468</v>
      </c>
      <c r="Y180">
        <f>VLOOKUP($B180,'[1]Source Gov. Revenue WEO'!$B$1:$CZ$600,7,FALSE)</f>
        <v>27.8</v>
      </c>
      <c r="Z180">
        <f>VLOOKUP($B180,'[1]Source Gov. Revenue WEO'!$B$1:$CZ$600,8,FALSE)</f>
        <v>28.016999999999999</v>
      </c>
      <c r="AA180">
        <f>VLOOKUP($B180,'[1]Source Gov. Revenue WEO'!$B$1:$CZ$600,9,FALSE)</f>
        <v>28.1</v>
      </c>
      <c r="AB180">
        <f>VLOOKUP($B180,'[1]Source Gov. Revenue WEO'!$B$1:$CZ$600,10,FALSE)</f>
        <v>28.164000000000001</v>
      </c>
      <c r="AC180">
        <f>VLOOKUP($B180,[2]Summary!$B$1:$CZ$600,39,FALSE)</f>
        <v>5.5849900000000006E-4</v>
      </c>
      <c r="AD180">
        <f>VLOOKUP($B180,[2]Summary!$B$1:$CZ$600,40,FALSE)</f>
        <v>9.999999999999999E-14</v>
      </c>
      <c r="AE180">
        <f>VLOOKUP($B180,[2]Summary!$B$1:$CZ$600,47,FALSE)</f>
        <v>0.38121312784975941</v>
      </c>
      <c r="AF180">
        <f>VLOOKUP($B180,'[1]CALC GDP Growth rates WDI'!$B$1:$CZ$600,27,FALSE)</f>
        <v>15.812960696566227</v>
      </c>
      <c r="AG180">
        <f>VLOOKUP($B180,'[1]CALC GDP Growth rates WDI'!$B$1:$CZ$600,29,FALSE)</f>
        <v>32.122272606932256</v>
      </c>
      <c r="AH180">
        <v>-1.9</v>
      </c>
      <c r="AI180">
        <f>VLOOKUP($B180,'[1]CALC GDP Growth rates WDI'!$B$1:$CZ$600,30,FALSE)</f>
        <v>4.1965175457324477</v>
      </c>
      <c r="AK180">
        <f>VLOOKUP($B180,[1]Data_Aspire!$B$1:$CZ$600,2,FALSE)</f>
        <v>2015</v>
      </c>
      <c r="AL180">
        <f>VLOOKUP($B180,[1]Data_Aspire!$B$1:$CZ$600,3,FALSE)</f>
        <v>1.1499999999999999</v>
      </c>
      <c r="AM180">
        <f>VLOOKUP($B180,[1]Data_Aspire!$B$1:$CZ$600,4,FALSE)</f>
        <v>0.28999999999999998</v>
      </c>
      <c r="AN180">
        <f>VLOOKUP($B180,[1]Data_Aspire!$B$1:$CZ$600,5,FALSE)</f>
        <v>0.14000000000000001</v>
      </c>
      <c r="AO180">
        <f>VLOOKUP($B180,[1]Data_Aspire!$B$1:$CZ$600,6,FALSE)</f>
        <v>0.54</v>
      </c>
      <c r="AP180">
        <f>VLOOKUP($B180,[1]Data_Aspire!$B$1:$CZ$600,7,FALSE)</f>
        <v>0</v>
      </c>
      <c r="AQ180">
        <f>VLOOKUP($B180,[1]Data_Aspire!$B$1:$CZ$600,8,FALSE)</f>
        <v>0.02</v>
      </c>
      <c r="AR180">
        <f>VLOOKUP($B180,[1]Data_Aspire!$B$1:$CZ$600,9,FALSE)</f>
        <v>0.12</v>
      </c>
      <c r="AT180">
        <f>VLOOKUP($B180,[1]Data_Aspire!$B$1:$CZ$600,11,FALSE)</f>
        <v>0.04</v>
      </c>
      <c r="AU180">
        <f>VLOOKUP($B180,[1]Data_Aspire!$B$1:$CZ$600,12,FALSE)</f>
        <v>1.1499999999999999</v>
      </c>
      <c r="AV180">
        <f>VLOOKUP($B180,[1]Data_Aspire!$B$1:$CZ$600,13,FALSE)</f>
        <v>375734</v>
      </c>
      <c r="AW180">
        <f>VLOOKUP($B180,[1]Data_Aspire!$B$1:$CZ$600,14,FALSE)</f>
        <v>2015</v>
      </c>
      <c r="AZ180">
        <f>VLOOKUP($B180,[1]Data_Aspire!$B$1:$CZ$600,17,FALSE)</f>
        <v>86939</v>
      </c>
      <c r="BA180">
        <f>VLOOKUP($B180,[1]Data_Aspire!$B$1:$CZ$600,18,FALSE)</f>
        <v>2015</v>
      </c>
      <c r="BB180">
        <f>VLOOKUP($B180,[1]Data_Aspire!$B$1:$CZ$600,19,FALSE)</f>
        <v>69162</v>
      </c>
      <c r="BC180">
        <f>VLOOKUP($B180,[1]Data_Aspire!$B$1:$CZ$600,20,FALSE)</f>
        <v>2013</v>
      </c>
      <c r="BD180">
        <f>VLOOKUP($B180,[1]Data_Aspire!$B$1:$CZ$600,21,FALSE)</f>
        <v>256000</v>
      </c>
      <c r="BE180">
        <f>VLOOKUP($B180,[1]Data_Aspire!$B$1:$CZ$600,22,FALSE)</f>
        <v>2011</v>
      </c>
      <c r="BF180">
        <f>VLOOKUP($B180,[1]Data_Aspire!$B$1:$CZ$600,23,FALSE)</f>
        <v>3081</v>
      </c>
      <c r="BG180">
        <f>VLOOKUP($B180,[1]Data_Aspire!$B$1:$CZ$600,24,FALSE)</f>
        <v>2015</v>
      </c>
      <c r="BH180">
        <f>VLOOKUP($B180,[1]Data_Aspire!$B$1:$CZ$600,25,FALSE)</f>
        <v>14875</v>
      </c>
      <c r="BI180">
        <f>VLOOKUP($B180,[1]Data_Aspire!$B$1:$CZ$600,26,FALSE)</f>
        <v>2015</v>
      </c>
      <c r="BJ180" s="7">
        <v>0</v>
      </c>
      <c r="BK180">
        <v>858</v>
      </c>
      <c r="BL180">
        <f>VLOOKUP($B180,'[1]Data_UN_PopulationTot.&amp;%'!$B$4:$CZ$603,8,FALSE)</f>
        <v>3473.73</v>
      </c>
      <c r="BM180">
        <f>VLOOKUP($B180,'[1]Data_UN_PopulationTot.&amp;%'!$B$4:$CZ$603,9,FALSE)</f>
        <v>3485.15</v>
      </c>
      <c r="BN180">
        <v>3496.01</v>
      </c>
      <c r="BO180">
        <f>VLOOKUP($B180,'[1]Data_UN_PopulationTot.&amp;%'!$B$4:$CZ$603,11,FALSE)</f>
        <v>3506.37</v>
      </c>
      <c r="BP180">
        <f>VLOOKUP($B180,'[1]Data_UN_PopulationTot.&amp;%'!$B$4:$CZ$603,12,FALSE)</f>
        <v>3516.36</v>
      </c>
      <c r="BQ180">
        <f>VLOOKUP($B180,'[1]Data_UN_PopulationTot.&amp;%'!$B$4:$CZ$603,13,FALSE)</f>
        <v>3526.08</v>
      </c>
      <c r="BR180">
        <f>VLOOKUP($B180,'[1]Data_UN_PopulationTot.&amp;%'!$B$4:$CZ$603,14,FALSE)</f>
        <v>3535.51</v>
      </c>
      <c r="BS180">
        <f>VLOOKUP($B180,'[1]Data_UN_PopulationTot.&amp;%'!$B$4:$CZ$603,15,FALSE)</f>
        <v>3544.57</v>
      </c>
      <c r="BT180">
        <f>VLOOKUP($B180,'[1]Data_UN_PopulationTot.&amp;%'!$B$4:$CZ$603,16,FALSE)</f>
        <v>3553.26</v>
      </c>
      <c r="BU180">
        <f>VLOOKUP($B180,'[1]Data_UN_PopulationTot.&amp;%'!$B$4:$CZ$603,17,FALSE)</f>
        <v>3561.58</v>
      </c>
      <c r="BV180">
        <f>VLOOKUP($B180,'[1]Data_UN_PopulationTot.&amp;%'!$B$4:$CZ$603,18,FALSE)</f>
        <v>3569.47</v>
      </c>
      <c r="BW180">
        <f>VLOOKUP($B180,'[1]Data_UN_PopulationTot.&amp;%'!$B$4:$CZ$603,61,FALSE)</f>
        <v>6.8127344381975572</v>
      </c>
      <c r="BX180">
        <f>VLOOKUP($B180,'[1]Data_UN_PopulationTot.&amp;%'!$B$4:$CZ$603,62,FALSE)</f>
        <v>6.8057678633630134</v>
      </c>
      <c r="BY180">
        <f>VLOOKUP($B180,'[1]Data_UN_PopulationTot.&amp;%'!$B$4:$CZ$603,63,FALSE)</f>
        <v>6.7165266154824934</v>
      </c>
      <c r="BZ180">
        <f>VLOOKUP($B180,'[1]Data_UN_PopulationTot.&amp;%'!$B$4:$CZ$603,64,FALSE)</f>
        <v>7.0706416445722606</v>
      </c>
      <c r="CA180">
        <f>VLOOKUP($B180,'[1]Data_UN_PopulationTot.&amp;%'!$B$4:$CZ$603,65,FALSE)</f>
        <v>7.3138960137949693</v>
      </c>
      <c r="CB180">
        <f>VLOOKUP($B180,'[1]Data_UN_PopulationTot.&amp;%'!$B$4:$CZ$603,66,FALSE)</f>
        <v>7.4126371364498675</v>
      </c>
      <c r="CC180">
        <f>VLOOKUP($B180,'[1]Data_UN_PopulationTot.&amp;%'!$B$4:$CZ$603,67,FALSE)</f>
        <v>6.8979454361737966</v>
      </c>
      <c r="CD180">
        <f>VLOOKUP($B180,'[1]Data_UN_PopulationTot.&amp;%'!$B$4:$CZ$603,68,FALSE)</f>
        <v>6.3772947235392508</v>
      </c>
      <c r="CE180">
        <f>VLOOKUP($B180,'[1]Data_UN_PopulationTot.&amp;%'!$B$4:$CZ$603,69,FALSE)</f>
        <v>6.7467534897646049</v>
      </c>
      <c r="CF180">
        <f>VLOOKUP($B180,'[1]Data_UN_PopulationTot.&amp;%'!$B$4:$CZ$603,70,FALSE)</f>
        <v>6.3521344491368064</v>
      </c>
      <c r="CG180">
        <f>VLOOKUP($B180,'[1]Data_UN_PopulationTot.&amp;%'!$B$4:$CZ$603,71,FALSE)</f>
        <v>5.6521664032610479</v>
      </c>
      <c r="CH180">
        <f>VLOOKUP($B180,'[1]Data_UN_PopulationTot.&amp;%'!$B$4:$CZ$603,72,FALSE)</f>
        <v>5.6059624668583909</v>
      </c>
      <c r="CI180">
        <f>VLOOKUP($B180,'[1]Data_UN_PopulationTot.&amp;%'!$B$4:$CZ$603,73,FALSE)</f>
        <v>5.1478957777374754</v>
      </c>
      <c r="CJ180">
        <f>VLOOKUP($B180,'[1]Data_UN_PopulationTot.&amp;%'!$B$4:$CZ$603,74,FALSE)</f>
        <v>4.2921297855619178</v>
      </c>
      <c r="CK180">
        <f>VLOOKUP($B180,'[1]Data_UN_PopulationTot.&amp;%'!$B$4:$CZ$603,75,FALSE)</f>
        <v>3.5642090778500348</v>
      </c>
      <c r="CL180">
        <f>VLOOKUP($B180,'[1]Data_UN_PopulationTot.&amp;%'!$B$4:$CZ$603,76,FALSE)</f>
        <v>2.7766982465534165</v>
      </c>
      <c r="CM180">
        <f>VLOOKUP($B180,'[1]Data_UN_PopulationTot.&amp;%'!$B$4:$CZ$603,77,FALSE)</f>
        <v>2.0246536144144769</v>
      </c>
      <c r="CN180">
        <f>VLOOKUP($B180,'[1]Data_UN_PopulationTot.&amp;%'!$B$4:$CZ$603,78,FALSE)</f>
        <v>1.3882195795297849</v>
      </c>
      <c r="CO180">
        <f>VLOOKUP($B180,'[1]Data_UN_PopulationTot.&amp;%'!$B$4:$CZ$603,79,FALSE)</f>
        <v>0.72636618274880316</v>
      </c>
      <c r="CP180">
        <f>VLOOKUP($B180,'[1]Data_UN_PopulationTot.&amp;%'!$B$4:$CZ$603,80,FALSE)</f>
        <v>0.25358908147725928</v>
      </c>
      <c r="CQ180">
        <f>VLOOKUP($B180,'[1]Data_UN_PopulationTot.&amp;%'!$B$4:$CZ$603,81,FALSE)</f>
        <v>6.1691611034824227E-2</v>
      </c>
      <c r="CR180">
        <f>VLOOKUP($B180,'[1]Data_UN_PopulationTot.&amp;%'!$B$4:$CZ$603,82,FALSE)</f>
        <v>6.2401701092879343</v>
      </c>
      <c r="CS180">
        <f>VLOOKUP($B180,'[1]Data_UN_PopulationTot.&amp;%'!$B$4:$CZ$603,83,FALSE)</f>
        <v>6.4035837253149639</v>
      </c>
      <c r="CT180">
        <f>VLOOKUP($B180,'[1]Data_UN_PopulationTot.&amp;%'!$B$4:$CZ$603,84,FALSE)</f>
        <v>6.5662689418877314</v>
      </c>
      <c r="CU180">
        <f>VLOOKUP($B180,'[1]Data_UN_PopulationTot.&amp;%'!$B$4:$CZ$603,85,FALSE)</f>
        <v>6.5571639487094728</v>
      </c>
      <c r="CV180">
        <f>VLOOKUP($B180,'[1]Data_UN_PopulationTot.&amp;%'!$B$4:$CZ$603,86,FALSE)</f>
        <v>6.4327197034853913</v>
      </c>
      <c r="CW180">
        <f>VLOOKUP($B180,'[1]Data_UN_PopulationTot.&amp;%'!$B$4:$CZ$603,87,FALSE)</f>
        <v>6.7160670911928104</v>
      </c>
      <c r="CX180">
        <f>VLOOKUP($B180,'[1]Data_UN_PopulationTot.&amp;%'!$B$4:$CZ$603,88,FALSE)</f>
        <v>6.9350351732890321</v>
      </c>
      <c r="CY180">
        <f>VLOOKUP($B180,'[1]Data_UN_PopulationTot.&amp;%'!$B$4:$CZ$603,89,FALSE)</f>
        <v>7.0490857186080849</v>
      </c>
      <c r="CZ180">
        <f>VLOOKUP($B180,'[1]Data_UN_PopulationTot.&amp;%'!$B$4:$CZ$603,90,FALSE)</f>
        <v>6.5645039739793312</v>
      </c>
      <c r="DA180">
        <f>VLOOKUP($B180,'[1]Data_UN_PopulationTot.&amp;%'!$B$4:$CZ$603,91,FALSE)</f>
        <v>6.0498897595441345</v>
      </c>
      <c r="DB180">
        <f>VLOOKUP($B180,'[1]Data_UN_PopulationTot.&amp;%'!$B$4:$CZ$603,92,FALSE)</f>
        <v>6.34388298542921</v>
      </c>
      <c r="DC180">
        <f>VLOOKUP($B180,'[1]Data_UN_PopulationTot.&amp;%'!$B$4:$CZ$603,93,FALSE)</f>
        <v>5.8820777314279153</v>
      </c>
      <c r="DD180">
        <f>VLOOKUP($B180,'[1]Data_UN_PopulationTot.&amp;%'!$B$4:$CZ$603,94,FALSE)</f>
        <v>5.1072568196398906</v>
      </c>
      <c r="DE180">
        <f>VLOOKUP($B180,'[1]Data_UN_PopulationTot.&amp;%'!$B$4:$CZ$603,95,FALSE)</f>
        <v>4.8657363698252123</v>
      </c>
      <c r="DF180">
        <f>VLOOKUP($B180,'[1]Data_UN_PopulationTot.&amp;%'!$B$4:$CZ$603,96,FALSE)</f>
        <v>4.1987746079950243</v>
      </c>
      <c r="DG180">
        <f>VLOOKUP($B180,'[1]Data_UN_PopulationTot.&amp;%'!$B$4:$CZ$603,97,FALSE)</f>
        <v>3.1817328623016867</v>
      </c>
      <c r="DH180">
        <f>VLOOKUP($B180,'[1]Data_UN_PopulationTot.&amp;%'!$B$4:$CZ$603,98,FALSE)</f>
        <v>2.2852972570157473</v>
      </c>
      <c r="DI180">
        <f>VLOOKUP($B180,'[1]Data_UN_PopulationTot.&amp;%'!$B$4:$CZ$603,99,FALSE)</f>
        <v>1.4285033912597671</v>
      </c>
      <c r="DJ180">
        <f>VLOOKUP($B180,'[1]Data_UN_PopulationTot.&amp;%'!$B$4:$DE$603,100,FALSE)</f>
        <v>0.75918833888504467</v>
      </c>
      <c r="DK180">
        <f>VLOOKUP($B180,'[1]Data_UN_PopulationTot.&amp;%'!$B$4:$DE$603,101,FALSE)</f>
        <v>0.33102953659787032</v>
      </c>
      <c r="DL180">
        <f>VLOOKUP($B180,'[1]Data_UN_PopulationTot.&amp;%'!$B$4:$DE$603,102,FALSE)</f>
        <v>0.10205996968737656</v>
      </c>
    </row>
    <row r="181" spans="1:116">
      <c r="A181" t="s">
        <v>77</v>
      </c>
      <c r="B181" t="s">
        <v>465</v>
      </c>
      <c r="C181" t="s">
        <v>502</v>
      </c>
      <c r="D181" t="s">
        <v>622</v>
      </c>
      <c r="E181" t="s">
        <v>2269</v>
      </c>
      <c r="F181">
        <v>0</v>
      </c>
      <c r="G181">
        <v>0</v>
      </c>
      <c r="H181">
        <v>0</v>
      </c>
      <c r="I181">
        <v>1</v>
      </c>
      <c r="J181" s="18">
        <f t="shared" si="5"/>
        <v>6409.9509375999987</v>
      </c>
      <c r="K181">
        <f>VLOOKUP($B181,'[1]Source GDP Current USD'!$B$1:$CZ$600,64,FALSE)</f>
        <v>20953030000000</v>
      </c>
      <c r="L181" s="45">
        <f>VLOOKUP($B181,'[1]Source GDP Current USD'!$B$1:$CZ$600,65,FALSE)</f>
        <v>20953030000000</v>
      </c>
      <c r="M181" s="17">
        <f>VLOOKUP($B181,'[1]Source GDP Current LCU'!$B$1:$CZ$600,64,FALSE)</f>
        <v>20953030000000</v>
      </c>
      <c r="N181" s="45">
        <v>21000000000000</v>
      </c>
      <c r="O181" s="45">
        <f>VLOOKUP($B181,'[1]Source GNI Current USD'!$B$1:$CZ$600,64,FALSE)</f>
        <v>21286637000000</v>
      </c>
      <c r="P181" s="45">
        <f>VLOOKUP($B181,'[1]Source GNI Current LCU'!$B$1:$CZ$600,64,FALSE)</f>
        <v>21286637000000</v>
      </c>
      <c r="Q181">
        <f t="shared" si="4"/>
        <v>98.432786729063864</v>
      </c>
      <c r="R181">
        <v>64530</v>
      </c>
      <c r="S181">
        <v>64530</v>
      </c>
      <c r="T181">
        <v>1</v>
      </c>
      <c r="U181" s="45">
        <v>330000000</v>
      </c>
      <c r="V181">
        <v>30.591999999999999</v>
      </c>
      <c r="W181">
        <f>VLOOKUP($B181,'[1]Source Gov. Revenue WEO'!$B$1:$CZ$600,5,FALSE)</f>
        <v>31.14</v>
      </c>
      <c r="X181">
        <f>VLOOKUP($B181,'[1]Source Gov. Revenue WEO'!$B$1:$CZ$600,6,FALSE)</f>
        <v>32.478999999999999</v>
      </c>
      <c r="Y181">
        <f>VLOOKUP($B181,'[1]Source Gov. Revenue WEO'!$B$1:$CZ$600,7,FALSE)</f>
        <v>32.631</v>
      </c>
      <c r="Z181">
        <f>VLOOKUP($B181,'[1]Source Gov. Revenue WEO'!$B$1:$CZ$600,8,FALSE)</f>
        <v>32.325000000000003</v>
      </c>
      <c r="AA181">
        <f>VLOOKUP($B181,'[1]Source Gov. Revenue WEO'!$B$1:$CZ$600,9,FALSE)</f>
        <v>32.142000000000003</v>
      </c>
      <c r="AB181">
        <f>VLOOKUP($B181,'[1]Source Gov. Revenue WEO'!$B$1:$CZ$600,10,FALSE)</f>
        <v>32.476999999999997</v>
      </c>
      <c r="AC181" t="e">
        <f>VLOOKUP($B181,[2]Summary!$B$1:$CZ$600,39,FALSE)</f>
        <v>#N/A</v>
      </c>
      <c r="AD181" t="e">
        <f>VLOOKUP($B181,[2]Summary!$B$1:$CZ$600,40,FALSE)</f>
        <v>#N/A</v>
      </c>
      <c r="AE181" t="e">
        <f>VLOOKUP($B181,[2]Summary!$B$1:$CZ$600,47,FALSE)</f>
        <v>#N/A</v>
      </c>
      <c r="AF181">
        <f>VLOOKUP($B181,'[1]CALC GDP Growth rates WDI'!$B$1:$CZ$600,27,FALSE)</f>
        <v>18.225278187092737</v>
      </c>
      <c r="AG181">
        <f>VLOOKUP($B181,'[1]CALC GDP Growth rates WDI'!$B$1:$CZ$600,29,FALSE)</f>
        <v>22.827469547891255</v>
      </c>
      <c r="AH181">
        <v>5.76</v>
      </c>
      <c r="AI181">
        <f>VLOOKUP($B181,'[1]CALC GDP Growth rates WDI'!$B$1:$CZ$600,30,FALSE)</f>
        <v>10.457570794010351</v>
      </c>
      <c r="AK181" t="e">
        <f>VLOOKUP($B181,[1]Data_Aspire!$B$1:$CZ$600,2,FALSE)</f>
        <v>#N/A</v>
      </c>
      <c r="AL181" t="e">
        <f>VLOOKUP($B181,[1]Data_Aspire!$B$1:$CZ$600,3,FALSE)</f>
        <v>#N/A</v>
      </c>
      <c r="AM181" t="e">
        <f>VLOOKUP($B181,[1]Data_Aspire!$B$1:$CZ$600,4,FALSE)</f>
        <v>#N/A</v>
      </c>
      <c r="AN181" t="e">
        <f>VLOOKUP($B181,[1]Data_Aspire!$B$1:$CZ$600,5,FALSE)</f>
        <v>#N/A</v>
      </c>
      <c r="AO181" t="e">
        <f>VLOOKUP($B181,[1]Data_Aspire!$B$1:$CZ$600,6,FALSE)</f>
        <v>#N/A</v>
      </c>
      <c r="AP181" t="e">
        <f>VLOOKUP($B181,[1]Data_Aspire!$B$1:$CZ$600,7,FALSE)</f>
        <v>#N/A</v>
      </c>
      <c r="AQ181" t="e">
        <f>VLOOKUP($B181,[1]Data_Aspire!$B$1:$CZ$600,8,FALSE)</f>
        <v>#N/A</v>
      </c>
      <c r="AR181" t="e">
        <f>VLOOKUP($B181,[1]Data_Aspire!$B$1:$CZ$600,9,FALSE)</f>
        <v>#N/A</v>
      </c>
      <c r="AS181" t="e">
        <f>VLOOKUP($B181,[1]Data_Aspire!$B$1:$CZ$600,10,FALSE)</f>
        <v>#N/A</v>
      </c>
      <c r="AT181" t="e">
        <f>VLOOKUP($B181,[1]Data_Aspire!$B$1:$CZ$600,11,FALSE)</f>
        <v>#N/A</v>
      </c>
      <c r="AU181" t="e">
        <f>VLOOKUP($B181,[1]Data_Aspire!$B$1:$CZ$600,12,FALSE)</f>
        <v>#N/A</v>
      </c>
      <c r="AV181" t="e">
        <f>VLOOKUP($B181,[1]Data_Aspire!$B$1:$CZ$600,13,FALSE)</f>
        <v>#N/A</v>
      </c>
      <c r="AW181" t="e">
        <f>VLOOKUP($B181,[1]Data_Aspire!$B$1:$CZ$600,14,FALSE)</f>
        <v>#N/A</v>
      </c>
      <c r="AX181" t="e">
        <f>VLOOKUP($B181,[1]Data_Aspire!$B$1:$CZ$600,15,FALSE)</f>
        <v>#N/A</v>
      </c>
      <c r="AY181" t="e">
        <f>VLOOKUP($B181,[1]Data_Aspire!$B$1:$CZ$600,16,FALSE)</f>
        <v>#N/A</v>
      </c>
      <c r="AZ181" t="e">
        <f>VLOOKUP($B181,[1]Data_Aspire!$B$1:$CZ$600,17,FALSE)</f>
        <v>#N/A</v>
      </c>
      <c r="BA181" t="e">
        <f>VLOOKUP($B181,[1]Data_Aspire!$B$1:$CZ$600,18,FALSE)</f>
        <v>#N/A</v>
      </c>
      <c r="BB181" t="e">
        <f>VLOOKUP($B181,[1]Data_Aspire!$B$1:$CZ$600,19,FALSE)</f>
        <v>#N/A</v>
      </c>
      <c r="BC181" t="e">
        <f>VLOOKUP($B181,[1]Data_Aspire!$B$1:$CZ$600,20,FALSE)</f>
        <v>#N/A</v>
      </c>
      <c r="BD181" t="e">
        <f>VLOOKUP($B181,[1]Data_Aspire!$B$1:$CZ$600,21,FALSE)</f>
        <v>#N/A</v>
      </c>
      <c r="BE181" t="e">
        <f>VLOOKUP($B181,[1]Data_Aspire!$B$1:$CZ$600,22,FALSE)</f>
        <v>#N/A</v>
      </c>
      <c r="BF181" t="e">
        <f>VLOOKUP($B181,[1]Data_Aspire!$B$1:$CZ$600,23,FALSE)</f>
        <v>#N/A</v>
      </c>
      <c r="BG181" t="e">
        <f>VLOOKUP($B181,[1]Data_Aspire!$B$1:$CZ$600,24,FALSE)</f>
        <v>#N/A</v>
      </c>
      <c r="BH181" t="e">
        <f>VLOOKUP($B181,[1]Data_Aspire!$B$1:$CZ$600,25,FALSE)</f>
        <v>#N/A</v>
      </c>
      <c r="BI181" t="e">
        <f>VLOOKUP($B181,[1]Data_Aspire!$B$1:$CZ$600,26,FALSE)</f>
        <v>#N/A</v>
      </c>
      <c r="BJ181" s="7">
        <v>0</v>
      </c>
      <c r="BK181">
        <v>840</v>
      </c>
      <c r="BL181">
        <f>VLOOKUP($B181,'[1]Data_UN_PopulationTot.&amp;%'!$B$4:$CZ$603,8,FALSE)</f>
        <v>331003</v>
      </c>
      <c r="BM181">
        <f>VLOOKUP($B181,'[1]Data_UN_PopulationTot.&amp;%'!$B$4:$CZ$603,9,FALSE)</f>
        <v>332915</v>
      </c>
      <c r="BN181">
        <v>334805</v>
      </c>
      <c r="BO181">
        <f>VLOOKUP($B181,'[1]Data_UN_PopulationTot.&amp;%'!$B$4:$CZ$603,11,FALSE)</f>
        <v>336679</v>
      </c>
      <c r="BP181">
        <f>VLOOKUP($B181,'[1]Data_UN_PopulationTot.&amp;%'!$B$4:$CZ$603,12,FALSE)</f>
        <v>338543</v>
      </c>
      <c r="BQ181">
        <f>VLOOKUP($B181,'[1]Data_UN_PopulationTot.&amp;%'!$B$4:$CZ$603,13,FALSE)</f>
        <v>340400</v>
      </c>
      <c r="BR181">
        <f>VLOOKUP($B181,'[1]Data_UN_PopulationTot.&amp;%'!$B$4:$CZ$603,14,FALSE)</f>
        <v>342252</v>
      </c>
      <c r="BS181">
        <f>VLOOKUP($B181,'[1]Data_UN_PopulationTot.&amp;%'!$B$4:$CZ$603,15,FALSE)</f>
        <v>344101</v>
      </c>
      <c r="BT181">
        <f>VLOOKUP($B181,'[1]Data_UN_PopulationTot.&amp;%'!$B$4:$CZ$603,16,FALSE)</f>
        <v>345948</v>
      </c>
      <c r="BU181">
        <f>VLOOKUP($B181,'[1]Data_UN_PopulationTot.&amp;%'!$B$4:$CZ$603,17,FALSE)</f>
        <v>347795</v>
      </c>
      <c r="BV181">
        <f>VLOOKUP($B181,'[1]Data_UN_PopulationTot.&amp;%'!$B$4:$CZ$603,18,FALSE)</f>
        <v>349642</v>
      </c>
      <c r="BW181">
        <f>VLOOKUP($B181,'[1]Data_UN_PopulationTot.&amp;%'!$B$4:$CZ$603,61,FALSE)</f>
        <v>5.9444476334051348</v>
      </c>
      <c r="BX181">
        <f>VLOOKUP($B181,'[1]Data_UN_PopulationTot.&amp;%'!$B$4:$CZ$603,62,FALSE)</f>
        <v>6.0558967743494767</v>
      </c>
      <c r="BY181">
        <f>VLOOKUP($B181,'[1]Data_UN_PopulationTot.&amp;%'!$B$4:$CZ$603,63,FALSE)</f>
        <v>6.3713924042984509</v>
      </c>
      <c r="BZ181">
        <f>VLOOKUP($B181,'[1]Data_UN_PopulationTot.&amp;%'!$B$4:$CZ$603,64,FALSE)</f>
        <v>6.4177363951384123</v>
      </c>
      <c r="CA181">
        <f>VLOOKUP($B181,'[1]Data_UN_PopulationTot.&amp;%'!$B$4:$CZ$603,65,FALSE)</f>
        <v>6.7246218312220734</v>
      </c>
      <c r="CB181">
        <f>VLOOKUP($B181,'[1]Data_UN_PopulationTot.&amp;%'!$B$4:$CZ$603,66,FALSE)</f>
        <v>7.2009317136098465</v>
      </c>
      <c r="CC181">
        <f>VLOOKUP($B181,'[1]Data_UN_PopulationTot.&amp;%'!$B$4:$CZ$603,67,FALSE)</f>
        <v>6.9644383887759327</v>
      </c>
      <c r="CD181">
        <f>VLOOKUP($B181,'[1]Data_UN_PopulationTot.&amp;%'!$B$4:$CZ$603,68,FALSE)</f>
        <v>6.5303939843445526</v>
      </c>
      <c r="CE181">
        <f>VLOOKUP($B181,'[1]Data_UN_PopulationTot.&amp;%'!$B$4:$CZ$603,69,FALSE)</f>
        <v>6.1312435234725964</v>
      </c>
      <c r="CF181">
        <f>VLOOKUP($B181,'[1]Data_UN_PopulationTot.&amp;%'!$B$4:$CZ$603,70,FALSE)</f>
        <v>6.058494938112343</v>
      </c>
      <c r="CG181">
        <f>VLOOKUP($B181,'[1]Data_UN_PopulationTot.&amp;%'!$B$4:$CZ$603,71,FALSE)</f>
        <v>6.2168016604079117</v>
      </c>
      <c r="CH181">
        <f>VLOOKUP($B181,'[1]Data_UN_PopulationTot.&amp;%'!$B$4:$CZ$603,72,FALSE)</f>
        <v>6.5081887475340103</v>
      </c>
      <c r="CI181">
        <f>VLOOKUP($B181,'[1]Data_UN_PopulationTot.&amp;%'!$B$4:$CZ$603,73,FALSE)</f>
        <v>6.2443844919834559</v>
      </c>
      <c r="CJ181">
        <f>VLOOKUP($B181,'[1]Data_UN_PopulationTot.&amp;%'!$B$4:$CZ$603,74,FALSE)</f>
        <v>5.3833348942456709</v>
      </c>
      <c r="CK181">
        <f>VLOOKUP($B181,'[1]Data_UN_PopulationTot.&amp;%'!$B$4:$CZ$603,75,FALSE)</f>
        <v>4.3367884883218579</v>
      </c>
      <c r="CL181">
        <f>VLOOKUP($B181,'[1]Data_UN_PopulationTot.&amp;%'!$B$4:$CZ$603,76,FALSE)</f>
        <v>2.9388646024356273</v>
      </c>
      <c r="CM181">
        <f>VLOOKUP($B181,'[1]Data_UN_PopulationTot.&amp;%'!$B$4:$CZ$603,77,FALSE)</f>
        <v>1.9520064772826831</v>
      </c>
      <c r="CN181">
        <f>VLOOKUP($B181,'[1]Data_UN_PopulationTot.&amp;%'!$B$4:$CZ$603,78,FALSE)</f>
        <v>1.1815904991797657</v>
      </c>
      <c r="CO181">
        <f>VLOOKUP($B181,'[1]Data_UN_PopulationTot.&amp;%'!$B$4:$CZ$603,79,FALSE)</f>
        <v>0.61967414192620607</v>
      </c>
      <c r="CP181">
        <f>VLOOKUP($B181,'[1]Data_UN_PopulationTot.&amp;%'!$B$4:$CZ$603,80,FALSE)</f>
        <v>0.18931429624504914</v>
      </c>
      <c r="CQ181">
        <f>VLOOKUP($B181,'[1]Data_UN_PopulationTot.&amp;%'!$B$4:$CZ$603,81,FALSE)</f>
        <v>2.9336290003413867E-2</v>
      </c>
      <c r="CR181">
        <f>VLOOKUP($B181,'[1]Data_UN_PopulationTot.&amp;%'!$B$4:$CZ$603,82,FALSE)</f>
        <v>5.9512873167411238</v>
      </c>
      <c r="CS181">
        <f>VLOOKUP($B181,'[1]Data_UN_PopulationTot.&amp;%'!$B$4:$CZ$603,83,FALSE)</f>
        <v>5.8486680661934205</v>
      </c>
      <c r="CT181">
        <f>VLOOKUP($B181,'[1]Data_UN_PopulationTot.&amp;%'!$B$4:$CZ$603,84,FALSE)</f>
        <v>5.6824980980545821</v>
      </c>
      <c r="CU181">
        <f>VLOOKUP($B181,'[1]Data_UN_PopulationTot.&amp;%'!$B$4:$CZ$603,85,FALSE)</f>
        <v>5.9054118212342912</v>
      </c>
      <c r="CV181">
        <f>VLOOKUP($B181,'[1]Data_UN_PopulationTot.&amp;%'!$B$4:$CZ$603,86,FALSE)</f>
        <v>6.4256582447188837</v>
      </c>
      <c r="CW181">
        <f>VLOOKUP($B181,'[1]Data_UN_PopulationTot.&amp;%'!$B$4:$CZ$603,87,FALSE)</f>
        <v>6.5392601575325617</v>
      </c>
      <c r="CX181">
        <f>VLOOKUP($B181,'[1]Data_UN_PopulationTot.&amp;%'!$B$4:$CZ$603,88,FALSE)</f>
        <v>6.7209602965318807</v>
      </c>
      <c r="CY181">
        <f>VLOOKUP($B181,'[1]Data_UN_PopulationTot.&amp;%'!$B$4:$CZ$603,89,FALSE)</f>
        <v>7.0253001641679207</v>
      </c>
      <c r="CZ181">
        <f>VLOOKUP($B181,'[1]Data_UN_PopulationTot.&amp;%'!$B$4:$CZ$603,90,FALSE)</f>
        <v>6.6864392721698191</v>
      </c>
      <c r="DA181">
        <f>VLOOKUP($B181,'[1]Data_UN_PopulationTot.&amp;%'!$B$4:$CZ$603,91,FALSE)</f>
        <v>6.1833532584758117</v>
      </c>
      <c r="DB181">
        <f>VLOOKUP($B181,'[1]Data_UN_PopulationTot.&amp;%'!$B$4:$CZ$603,92,FALSE)</f>
        <v>5.7147310677778975</v>
      </c>
      <c r="DC181">
        <f>VLOOKUP($B181,'[1]Data_UN_PopulationTot.&amp;%'!$B$4:$CZ$603,93,FALSE)</f>
        <v>5.5301994611631331</v>
      </c>
      <c r="DD181">
        <f>VLOOKUP($B181,'[1]Data_UN_PopulationTot.&amp;%'!$B$4:$CZ$603,94,FALSE)</f>
        <v>5.5249369354940194</v>
      </c>
      <c r="DE181">
        <f>VLOOKUP($B181,'[1]Data_UN_PopulationTot.&amp;%'!$B$4:$CZ$603,95,FALSE)</f>
        <v>5.5952946156354209</v>
      </c>
      <c r="DF181">
        <f>VLOOKUP($B181,'[1]Data_UN_PopulationTot.&amp;%'!$B$4:$CZ$603,96,FALSE)</f>
        <v>5.1295896946019077</v>
      </c>
      <c r="DG181">
        <f>VLOOKUP($B181,'[1]Data_UN_PopulationTot.&amp;%'!$B$4:$CZ$603,97,FALSE)</f>
        <v>4.1072296806447737</v>
      </c>
      <c r="DH181">
        <f>VLOOKUP($B181,'[1]Data_UN_PopulationTot.&amp;%'!$B$4:$CZ$603,98,FALSE)</f>
        <v>2.9051715754972229</v>
      </c>
      <c r="DI181">
        <f>VLOOKUP($B181,'[1]Data_UN_PopulationTot.&amp;%'!$B$4:$CZ$603,99,FALSE)</f>
        <v>1.5625897346428632</v>
      </c>
      <c r="DJ181">
        <f>VLOOKUP($B181,'[1]Data_UN_PopulationTot.&amp;%'!$B$4:$DE$603,100,FALSE)</f>
        <v>0.69622642588705019</v>
      </c>
      <c r="DK181">
        <f>VLOOKUP($B181,'[1]Data_UN_PopulationTot.&amp;%'!$B$4:$DE$603,101,FALSE)</f>
        <v>0.21888760503600826</v>
      </c>
      <c r="DL181">
        <f>VLOOKUP($B181,'[1]Data_UN_PopulationTot.&amp;%'!$B$4:$DE$603,102,FALSE)</f>
        <v>4.6263606774929786E-2</v>
      </c>
    </row>
    <row r="182" spans="1:116">
      <c r="A182" t="s">
        <v>138</v>
      </c>
      <c r="B182" t="s">
        <v>352</v>
      </c>
      <c r="C182" t="s">
        <v>485</v>
      </c>
      <c r="D182" t="s">
        <v>334</v>
      </c>
      <c r="E182" t="s">
        <v>300</v>
      </c>
      <c r="F182">
        <v>0</v>
      </c>
      <c r="G182">
        <v>1</v>
      </c>
      <c r="H182">
        <v>0</v>
      </c>
      <c r="I182">
        <v>0</v>
      </c>
      <c r="J182" s="18">
        <f t="shared" si="5"/>
        <v>154361.61462907598</v>
      </c>
      <c r="K182">
        <f>VLOOKUP($B182,'[1]Source GDP Current USD'!$B$1:$CZ$600,64,FALSE)</f>
        <v>59929951114.359802</v>
      </c>
      <c r="L182" s="45">
        <f>VLOOKUP($B182,'[1]Source GDP Current USD'!$B$1:$CZ$600,65,FALSE)</f>
        <v>59929951114.359802</v>
      </c>
      <c r="M182" s="17">
        <f>VLOOKUP($B182,'[1]Source GDP Current LCU'!$B$1:$CZ$600,64,FALSE)</f>
        <v>602551388200000</v>
      </c>
      <c r="N182" s="45">
        <v>600000000000000</v>
      </c>
      <c r="O182" s="45">
        <f>VLOOKUP($B182,'[1]Source GNI Current USD'!$B$1:$CZ$600,64,FALSE)</f>
        <v>59739217563.6409</v>
      </c>
      <c r="P182" s="45">
        <f>VLOOKUP($B182,'[1]Source GNI Current LCU'!$B$1:$CZ$600,64,FALSE)</f>
        <v>600633703242395</v>
      </c>
      <c r="Q182">
        <f t="shared" si="4"/>
        <v>100.31927694820533</v>
      </c>
      <c r="R182">
        <v>1740</v>
      </c>
      <c r="S182">
        <v>1740</v>
      </c>
      <c r="T182">
        <v>0.22636300000000001</v>
      </c>
      <c r="U182" s="45">
        <v>34000000</v>
      </c>
      <c r="V182">
        <v>25.617999999999999</v>
      </c>
      <c r="W182">
        <f>VLOOKUP($B182,'[1]Source Gov. Revenue WEO'!$B$1:$CZ$600,5,FALSE)</f>
        <v>25.638000000000002</v>
      </c>
      <c r="X182">
        <f>VLOOKUP($B182,'[1]Source Gov. Revenue WEO'!$B$1:$CZ$600,6,FALSE)</f>
        <v>25.757000000000001</v>
      </c>
      <c r="Y182">
        <f>VLOOKUP($B182,'[1]Source Gov. Revenue WEO'!$B$1:$CZ$600,7,FALSE)</f>
        <v>26.053000000000001</v>
      </c>
      <c r="Z182">
        <f>VLOOKUP($B182,'[1]Source Gov. Revenue WEO'!$B$1:$CZ$600,8,FALSE)</f>
        <v>26.404</v>
      </c>
      <c r="AA182">
        <f>VLOOKUP($B182,'[1]Source Gov. Revenue WEO'!$B$1:$CZ$600,9,FALSE)</f>
        <v>26.824000000000002</v>
      </c>
      <c r="AB182">
        <f>VLOOKUP($B182,'[1]Source Gov. Revenue WEO'!$B$1:$CZ$600,10,FALSE)</f>
        <v>27.305</v>
      </c>
      <c r="AC182">
        <f>VLOOKUP($B182,[2]Summary!$B$1:$CZ$600,39,FALSE)</f>
        <v>0.1200402</v>
      </c>
      <c r="AD182">
        <f>VLOOKUP($B182,[2]Summary!$B$1:$CZ$600,40,FALSE)</f>
        <v>4.8250000000000001E-2</v>
      </c>
      <c r="AE182">
        <f>VLOOKUP($B182,[2]Summary!$B$1:$CZ$600,47,FALSE)</f>
        <v>0.31069261316472979</v>
      </c>
      <c r="AF182">
        <f>VLOOKUP($B182,'[1]CALC GDP Growth rates WDI'!$B$1:$CZ$600,27,FALSE)</f>
        <v>77.378001998312811</v>
      </c>
      <c r="AG182">
        <f>VLOOKUP($B182,'[1]CALC GDP Growth rates WDI'!$B$1:$CZ$600,29,FALSE)</f>
        <v>78.180162191472007</v>
      </c>
      <c r="AH182">
        <v>25.29</v>
      </c>
      <c r="AI182">
        <f>VLOOKUP($B182,'[1]CALC GDP Growth rates WDI'!$B$1:$CZ$600,30,FALSE)</f>
        <v>25.398384416724639</v>
      </c>
      <c r="AJ182" t="s">
        <v>2466</v>
      </c>
      <c r="AK182">
        <f>VLOOKUP($B182,[1]Data_Aspire!$B$1:$CZ$600,2,FALSE)</f>
        <v>2017</v>
      </c>
      <c r="AL182">
        <f>VLOOKUP($B182,[1]Data_Aspire!$B$1:$CZ$600,3,FALSE)</f>
        <v>0.79</v>
      </c>
      <c r="AM182">
        <f>VLOOKUP($B182,[1]Data_Aspire!$B$1:$CZ$600,4,FALSE)</f>
        <v>0</v>
      </c>
      <c r="AN182">
        <f>VLOOKUP($B182,[1]Data_Aspire!$B$1:$CZ$600,5,FALSE)</f>
        <v>0.4</v>
      </c>
      <c r="AO182">
        <f>VLOOKUP($B182,[1]Data_Aspire!$B$1:$CZ$600,6,FALSE)</f>
        <v>0.27</v>
      </c>
      <c r="AP182">
        <f>VLOOKUP($B182,[1]Data_Aspire!$B$1:$CZ$600,7,FALSE)</f>
        <v>0</v>
      </c>
      <c r="AR182">
        <f>VLOOKUP($B182,[1]Data_Aspire!$B$1:$CZ$600,9,FALSE)</f>
        <v>0.02</v>
      </c>
      <c r="AS182">
        <f>VLOOKUP($B182,[1]Data_Aspire!$B$1:$CZ$600,10,FALSE)</f>
        <v>0.03</v>
      </c>
      <c r="AT182">
        <f>VLOOKUP($B182,[1]Data_Aspire!$B$1:$CZ$600,11,FALSE)</f>
        <v>0.06</v>
      </c>
      <c r="AU182">
        <f>VLOOKUP($B182,[1]Data_Aspire!$B$1:$CZ$600,12,FALSE)</f>
        <v>0.76</v>
      </c>
      <c r="BF182">
        <f>VLOOKUP($B182,[1]Data_Aspire!$B$1:$CZ$600,23,FALSE)</f>
        <v>560</v>
      </c>
      <c r="BG182">
        <f>VLOOKUP($B182,[1]Data_Aspire!$B$1:$CZ$600,24,FALSE)</f>
        <v>2009</v>
      </c>
      <c r="BJ182" s="7">
        <v>0</v>
      </c>
      <c r="BK182">
        <v>860</v>
      </c>
      <c r="BL182">
        <f>VLOOKUP($B182,'[1]Data_UN_PopulationTot.&amp;%'!$B$4:$CZ$603,8,FALSE)</f>
        <v>33469.199999999997</v>
      </c>
      <c r="BM182">
        <f>VLOOKUP($B182,'[1]Data_UN_PopulationTot.&amp;%'!$B$4:$CZ$603,9,FALSE)</f>
        <v>33935.800000000003</v>
      </c>
      <c r="BN182">
        <v>34382.1</v>
      </c>
      <c r="BO182">
        <f>VLOOKUP($B182,'[1]Data_UN_PopulationTot.&amp;%'!$B$4:$CZ$603,11,FALSE)</f>
        <v>34809.4</v>
      </c>
      <c r="BP182">
        <f>VLOOKUP($B182,'[1]Data_UN_PopulationTot.&amp;%'!$B$4:$CZ$603,12,FALSE)</f>
        <v>35220.5</v>
      </c>
      <c r="BQ182">
        <f>VLOOKUP($B182,'[1]Data_UN_PopulationTot.&amp;%'!$B$4:$CZ$603,13,FALSE)</f>
        <v>35617.699999999997</v>
      </c>
      <c r="BR182">
        <f>VLOOKUP($B182,'[1]Data_UN_PopulationTot.&amp;%'!$B$4:$CZ$603,14,FALSE)</f>
        <v>36000.9</v>
      </c>
      <c r="BS182">
        <f>VLOOKUP($B182,'[1]Data_UN_PopulationTot.&amp;%'!$B$4:$CZ$603,15,FALSE)</f>
        <v>36369.800000000003</v>
      </c>
      <c r="BT182">
        <f>VLOOKUP($B182,'[1]Data_UN_PopulationTot.&amp;%'!$B$4:$CZ$603,16,FALSE)</f>
        <v>36727</v>
      </c>
      <c r="BU182">
        <f>VLOOKUP($B182,'[1]Data_UN_PopulationTot.&amp;%'!$B$4:$CZ$603,17,FALSE)</f>
        <v>37075.699999999997</v>
      </c>
      <c r="BV182">
        <f>VLOOKUP($B182,'[1]Data_UN_PopulationTot.&amp;%'!$B$4:$CZ$603,18,FALSE)</f>
        <v>37418.400000000001</v>
      </c>
      <c r="BW182">
        <f>VLOOKUP($B182,'[1]Data_UN_PopulationTot.&amp;%'!$B$4:$CZ$603,61,FALSE)</f>
        <v>10.253128249256033</v>
      </c>
      <c r="BX182">
        <f>VLOOKUP($B182,'[1]Data_UN_PopulationTot.&amp;%'!$B$4:$CZ$603,62,FALSE)</f>
        <v>9.806299523143668</v>
      </c>
      <c r="BY182">
        <f>VLOOKUP($B182,'[1]Data_UN_PopulationTot.&amp;%'!$B$4:$CZ$603,63,FALSE)</f>
        <v>8.7406331791617369</v>
      </c>
      <c r="BZ182">
        <f>VLOOKUP($B182,'[1]Data_UN_PopulationTot.&amp;%'!$B$4:$CZ$603,64,FALSE)</f>
        <v>7.5754126181683468</v>
      </c>
      <c r="CA182">
        <f>VLOOKUP($B182,'[1]Data_UN_PopulationTot.&amp;%'!$B$4:$CZ$603,65,FALSE)</f>
        <v>8.3131356590536978</v>
      </c>
      <c r="CB182">
        <f>VLOOKUP($B182,'[1]Data_UN_PopulationTot.&amp;%'!$B$4:$CZ$603,66,FALSE)</f>
        <v>9.4554097498595731</v>
      </c>
      <c r="CC182">
        <f>VLOOKUP($B182,'[1]Data_UN_PopulationTot.&amp;%'!$B$4:$CZ$603,67,FALSE)</f>
        <v>9.0542946948238985</v>
      </c>
      <c r="CD182">
        <f>VLOOKUP($B182,'[1]Data_UN_PopulationTot.&amp;%'!$B$4:$CZ$603,68,FALSE)</f>
        <v>7.6093841502037716</v>
      </c>
      <c r="CE182">
        <f>VLOOKUP($B182,'[1]Data_UN_PopulationTot.&amp;%'!$B$4:$CZ$603,69,FALSE)</f>
        <v>6.2905596787494176</v>
      </c>
      <c r="CF182">
        <f>VLOOKUP($B182,'[1]Data_UN_PopulationTot.&amp;%'!$B$4:$CZ$603,70,FALSE)</f>
        <v>5.4530732733378748</v>
      </c>
      <c r="CG182">
        <f>VLOOKUP($B182,'[1]Data_UN_PopulationTot.&amp;%'!$B$4:$CZ$603,71,FALSE)</f>
        <v>4.6868165358000802</v>
      </c>
      <c r="CH182">
        <f>VLOOKUP($B182,'[1]Data_UN_PopulationTot.&amp;%'!$B$4:$CZ$603,72,FALSE)</f>
        <v>4.4820909970958374</v>
      </c>
      <c r="CI182">
        <f>VLOOKUP($B182,'[1]Data_UN_PopulationTot.&amp;%'!$B$4:$CZ$603,73,FALSE)</f>
        <v>3.4909409247905545</v>
      </c>
      <c r="CJ182">
        <f>VLOOKUP($B182,'[1]Data_UN_PopulationTot.&amp;%'!$B$4:$CZ$603,74,FALSE)</f>
        <v>2.3043365243268439</v>
      </c>
      <c r="CK182">
        <f>VLOOKUP($B182,'[1]Data_UN_PopulationTot.&amp;%'!$B$4:$CZ$603,75,FALSE)</f>
        <v>1.0276493014473009</v>
      </c>
      <c r="CL182">
        <f>VLOOKUP($B182,'[1]Data_UN_PopulationTot.&amp;%'!$B$4:$CZ$603,76,FALSE)</f>
        <v>0.68183284930622789</v>
      </c>
      <c r="CM182">
        <f>VLOOKUP($B182,'[1]Data_UN_PopulationTot.&amp;%'!$B$4:$CZ$603,77,FALSE)</f>
        <v>0.48941116011138597</v>
      </c>
      <c r="CN182">
        <f>VLOOKUP($B182,'[1]Data_UN_PopulationTot.&amp;%'!$B$4:$CZ$603,78,FALSE)</f>
        <v>0.202445830793685</v>
      </c>
      <c r="CO182">
        <f>VLOOKUP($B182,'[1]Data_UN_PopulationTot.&amp;%'!$B$4:$CZ$603,79,FALSE)</f>
        <v>7.066198176233672E-2</v>
      </c>
      <c r="CP182">
        <f>VLOOKUP($B182,'[1]Data_UN_PopulationTot.&amp;%'!$B$4:$CZ$603,80,FALSE)</f>
        <v>1.1090793923965916E-2</v>
      </c>
      <c r="CQ182">
        <f>VLOOKUP($B182,'[1]Data_UN_PopulationTot.&amp;%'!$B$4:$CZ$603,81,FALSE)</f>
        <v>1.4311665650807311E-3</v>
      </c>
      <c r="CR182">
        <f>VLOOKUP($B182,'[1]Data_UN_PopulationTot.&amp;%'!$B$4:$CZ$603,82,FALSE)</f>
        <v>7.8411957753404744</v>
      </c>
      <c r="CS182">
        <f>VLOOKUP($B182,'[1]Data_UN_PopulationTot.&amp;%'!$B$4:$CZ$603,83,FALSE)</f>
        <v>8.3668195326363488</v>
      </c>
      <c r="CT182">
        <f>VLOOKUP($B182,'[1]Data_UN_PopulationTot.&amp;%'!$B$4:$CZ$603,84,FALSE)</f>
        <v>9.1249759476621133</v>
      </c>
      <c r="CU182">
        <f>VLOOKUP($B182,'[1]Data_UN_PopulationTot.&amp;%'!$B$4:$CZ$603,85,FALSE)</f>
        <v>8.7308650289697045</v>
      </c>
      <c r="CV182">
        <f>VLOOKUP($B182,'[1]Data_UN_PopulationTot.&amp;%'!$B$4:$CZ$603,86,FALSE)</f>
        <v>7.7501977636670727</v>
      </c>
      <c r="CW182">
        <f>VLOOKUP($B182,'[1]Data_UN_PopulationTot.&amp;%'!$B$4:$CZ$603,87,FALSE)</f>
        <v>6.6900241592371668</v>
      </c>
      <c r="CX182">
        <f>VLOOKUP($B182,'[1]Data_UN_PopulationTot.&amp;%'!$B$4:$CZ$603,88,FALSE)</f>
        <v>7.3331034998824096</v>
      </c>
      <c r="CY182">
        <f>VLOOKUP($B182,'[1]Data_UN_PopulationTot.&amp;%'!$B$4:$CZ$603,89,FALSE)</f>
        <v>8.3260909071472842</v>
      </c>
      <c r="CZ182">
        <f>VLOOKUP($B182,'[1]Data_UN_PopulationTot.&amp;%'!$B$4:$CZ$603,90,FALSE)</f>
        <v>7.9402379577961648</v>
      </c>
      <c r="DA182">
        <f>VLOOKUP($B182,'[1]Data_UN_PopulationTot.&amp;%'!$B$4:$CZ$603,91,FALSE)</f>
        <v>6.6193370106685485</v>
      </c>
      <c r="DB182">
        <f>VLOOKUP($B182,'[1]Data_UN_PopulationTot.&amp;%'!$B$4:$CZ$603,92,FALSE)</f>
        <v>5.3958480319842641</v>
      </c>
      <c r="DC182">
        <f>VLOOKUP($B182,'[1]Data_UN_PopulationTot.&amp;%'!$B$4:$CZ$603,93,FALSE)</f>
        <v>4.5663897975327643</v>
      </c>
      <c r="DD182">
        <f>VLOOKUP($B182,'[1]Data_UN_PopulationTot.&amp;%'!$B$4:$CZ$603,94,FALSE)</f>
        <v>3.7537414747824598</v>
      </c>
      <c r="DE182">
        <f>VLOOKUP($B182,'[1]Data_UN_PopulationTot.&amp;%'!$B$4:$CZ$603,95,FALSE)</f>
        <v>3.3297254826502467</v>
      </c>
      <c r="DF182">
        <f>VLOOKUP($B182,'[1]Data_UN_PopulationTot.&amp;%'!$B$4:$CZ$603,96,FALSE)</f>
        <v>2.3033400679879419</v>
      </c>
      <c r="DG182">
        <f>VLOOKUP($B182,'[1]Data_UN_PopulationTot.&amp;%'!$B$4:$CZ$603,97,FALSE)</f>
        <v>1.2590062642977786</v>
      </c>
      <c r="DH182">
        <f>VLOOKUP($B182,'[1]Data_UN_PopulationTot.&amp;%'!$B$4:$CZ$603,98,FALSE)</f>
        <v>0.41645286810766896</v>
      </c>
      <c r="DI182">
        <f>VLOOKUP($B182,'[1]Data_UN_PopulationTot.&amp;%'!$B$4:$CZ$603,99,FALSE)</f>
        <v>0.17450505633592028</v>
      </c>
      <c r="DJ182">
        <f>VLOOKUP($B182,'[1]Data_UN_PopulationTot.&amp;%'!$B$4:$DE$603,100,FALSE)</f>
        <v>6.5569345562610903E-2</v>
      </c>
      <c r="DK182">
        <f>VLOOKUP($B182,'[1]Data_UN_PopulationTot.&amp;%'!$B$4:$DE$603,101,FALSE)</f>
        <v>1.1309943770978983E-2</v>
      </c>
      <c r="DL182">
        <f>VLOOKUP($B182,'[1]Data_UN_PopulationTot.&amp;%'!$B$4:$DE$603,102,FALSE)</f>
        <v>1.4458127552220298E-3</v>
      </c>
    </row>
    <row r="183" spans="1:116">
      <c r="A183" t="s">
        <v>206</v>
      </c>
      <c r="B183" t="s">
        <v>421</v>
      </c>
      <c r="C183" t="s">
        <v>497</v>
      </c>
      <c r="D183" t="s">
        <v>389</v>
      </c>
      <c r="E183" t="s">
        <v>301</v>
      </c>
      <c r="F183">
        <v>0</v>
      </c>
      <c r="G183">
        <v>0</v>
      </c>
      <c r="H183">
        <v>1</v>
      </c>
      <c r="I183">
        <v>0</v>
      </c>
      <c r="J183" s="18">
        <f t="shared" si="5"/>
        <v>0.66948967439999996</v>
      </c>
      <c r="K183">
        <f>VLOOKUP($B183,'[1]Source GDP Current USD'!$B$1:$CZ$600,64,FALSE)</f>
        <v>807474074.07407403</v>
      </c>
      <c r="L183" s="45">
        <f>VLOOKUP($B183,'[1]Source GDP Current USD'!$B$1:$CZ$600,65,FALSE)</f>
        <v>807474074.07407403</v>
      </c>
      <c r="M183" s="17">
        <f>VLOOKUP($B183,'[1]Source GDP Current LCU'!$B$1:$CZ$600,64,FALSE)</f>
        <v>2180180000</v>
      </c>
      <c r="N183" s="45">
        <v>2200000000</v>
      </c>
      <c r="O183" s="45">
        <f>VLOOKUP($B183,'[1]Source GNI Current USD'!$B$1:$CZ$600,64,FALSE)</f>
        <v>809833370.37037003</v>
      </c>
      <c r="P183" s="45">
        <f>VLOOKUP($B183,'[1]Source GNI Current LCU'!$B$1:$CZ$600,64,FALSE)</f>
        <v>2186550100</v>
      </c>
      <c r="Q183">
        <f t="shared" si="4"/>
        <v>99.708668920963675</v>
      </c>
      <c r="R183">
        <v>7310</v>
      </c>
      <c r="S183">
        <v>7310</v>
      </c>
      <c r="T183">
        <v>0.57284599999999997</v>
      </c>
      <c r="U183">
        <v>111000</v>
      </c>
      <c r="V183">
        <v>30.707999999999998</v>
      </c>
      <c r="W183">
        <f>VLOOKUP($B183,'[1]Source Gov. Revenue WEO'!$B$1:$CZ$600,5,FALSE)</f>
        <v>31.369</v>
      </c>
      <c r="X183">
        <f>VLOOKUP($B183,'[1]Source Gov. Revenue WEO'!$B$1:$CZ$600,6,FALSE)</f>
        <v>36.607999999999997</v>
      </c>
      <c r="Y183">
        <f>VLOOKUP($B183,'[1]Source Gov. Revenue WEO'!$B$1:$CZ$600,7,FALSE)</f>
        <v>34.200000000000003</v>
      </c>
      <c r="Z183">
        <f>VLOOKUP($B183,'[1]Source Gov. Revenue WEO'!$B$1:$CZ$600,8,FALSE)</f>
        <v>32.021000000000001</v>
      </c>
      <c r="AA183">
        <f>VLOOKUP($B183,'[1]Source Gov. Revenue WEO'!$B$1:$CZ$600,9,FALSE)</f>
        <v>32.021000000000001</v>
      </c>
      <c r="AB183">
        <f>VLOOKUP($B183,'[1]Source Gov. Revenue WEO'!$B$1:$CZ$600,10,FALSE)</f>
        <v>31.821000000000002</v>
      </c>
      <c r="AC183">
        <f>VLOOKUP($B183,[2]Summary!$B$1:$CZ$600,39,FALSE)</f>
        <v>0.04</v>
      </c>
      <c r="AD183">
        <f>VLOOKUP($B183,[2]Summary!$B$1:$CZ$600,40,FALSE)</f>
        <v>0.02</v>
      </c>
      <c r="AE183">
        <f>VLOOKUP($B183,[2]Summary!$B$1:$CZ$600,47,FALSE)</f>
        <v>0.32033114436533278</v>
      </c>
      <c r="AF183">
        <f>VLOOKUP($B183,'[1]CALC GDP Growth rates WDI'!$B$1:$CZ$600,27,FALSE)</f>
        <v>7.824229478181226</v>
      </c>
      <c r="AG183">
        <f>VLOOKUP($B183,'[1]CALC GDP Growth rates WDI'!$B$1:$CZ$600,29,FALSE)</f>
        <v>7.0806699848519283</v>
      </c>
      <c r="AH183" s="45">
        <v>2.2599999999999998</v>
      </c>
      <c r="AI183">
        <f>VLOOKUP($B183,'[1]CALC GDP Growth rates WDI'!$B$1:$CZ$600,30,FALSE)</f>
        <v>6.4783451416619453</v>
      </c>
      <c r="AJ183" s="45" t="s">
        <v>2464</v>
      </c>
      <c r="AM183">
        <f>VLOOKUP($B183,[1]Data_Aspire!$B$1:$CZ$600,4,FALSE)</f>
        <v>0</v>
      </c>
      <c r="AN183">
        <f>VLOOKUP($B183,[1]Data_Aspire!$B$1:$CZ$600,5,FALSE)</f>
        <v>0</v>
      </c>
      <c r="AO183">
        <f>VLOOKUP($B183,[1]Data_Aspire!$B$1:$CZ$600,6,FALSE)</f>
        <v>0</v>
      </c>
      <c r="AP183">
        <f>VLOOKUP($B183,[1]Data_Aspire!$B$1:$CZ$600,7,FALSE)</f>
        <v>0</v>
      </c>
      <c r="AX183">
        <f>VLOOKUP($B183,[1]Data_Aspire!$B$1:$CZ$600,15,FALSE)</f>
        <v>6000</v>
      </c>
      <c r="AY183">
        <f>VLOOKUP($B183,[1]Data_Aspire!$B$1:$CZ$600,16,FALSE)</f>
        <v>2009</v>
      </c>
      <c r="BB183">
        <f>VLOOKUP($B183,[1]Data_Aspire!$B$1:$CZ$600,19,FALSE)</f>
        <v>1000</v>
      </c>
      <c r="BC183">
        <f>VLOOKUP($B183,[1]Data_Aspire!$B$1:$CZ$600,20,FALSE)</f>
        <v>2009</v>
      </c>
      <c r="BF183">
        <f>VLOOKUP($B183,[1]Data_Aspire!$B$1:$CZ$600,23,FALSE)</f>
        <v>3000</v>
      </c>
      <c r="BG183">
        <f>VLOOKUP($B183,[1]Data_Aspire!$B$1:$CZ$600,24,FALSE)</f>
        <v>2009</v>
      </c>
      <c r="BJ183" s="7">
        <v>0</v>
      </c>
      <c r="BK183">
        <v>670</v>
      </c>
      <c r="BL183">
        <f>VLOOKUP($B183,'[1]Data_UN_PopulationTot.&amp;%'!$B$4:$CZ$603,8,FALSE)</f>
        <v>110.947</v>
      </c>
      <c r="BM183">
        <f>VLOOKUP($B183,'[1]Data_UN_PopulationTot.&amp;%'!$B$4:$CZ$603,9,FALSE)</f>
        <v>111.26900000000001</v>
      </c>
      <c r="BN183">
        <v>111.55200000000001</v>
      </c>
      <c r="BO183">
        <f>VLOOKUP($B183,'[1]Data_UN_PopulationTot.&amp;%'!$B$4:$CZ$603,11,FALSE)</f>
        <v>111.806</v>
      </c>
      <c r="BP183">
        <f>VLOOKUP($B183,'[1]Data_UN_PopulationTot.&amp;%'!$B$4:$CZ$603,12,FALSE)</f>
        <v>112.044</v>
      </c>
      <c r="BQ183">
        <f>VLOOKUP($B183,'[1]Data_UN_PopulationTot.&amp;%'!$B$4:$CZ$603,13,FALSE)</f>
        <v>112.265</v>
      </c>
      <c r="BR183">
        <f>VLOOKUP($B183,'[1]Data_UN_PopulationTot.&amp;%'!$B$4:$CZ$603,14,FALSE)</f>
        <v>112.47199999999999</v>
      </c>
      <c r="BS183">
        <f>VLOOKUP($B183,'[1]Data_UN_PopulationTot.&amp;%'!$B$4:$CZ$603,15,FALSE)</f>
        <v>112.637</v>
      </c>
      <c r="BT183">
        <f>VLOOKUP($B183,'[1]Data_UN_PopulationTot.&amp;%'!$B$4:$CZ$603,16,FALSE)</f>
        <v>112.803</v>
      </c>
      <c r="BU183">
        <f>VLOOKUP($B183,'[1]Data_UN_PopulationTot.&amp;%'!$B$4:$CZ$603,17,FALSE)</f>
        <v>112.935</v>
      </c>
      <c r="BV183">
        <f>VLOOKUP($B183,'[1]Data_UN_PopulationTot.&amp;%'!$B$4:$CZ$603,18,FALSE)</f>
        <v>113.041</v>
      </c>
      <c r="BW183">
        <f>VLOOKUP($B183,'[1]Data_UN_PopulationTot.&amp;%'!$B$4:$CZ$603,61,FALSE)</f>
        <v>6.9456587379559602</v>
      </c>
      <c r="BX183">
        <f>VLOOKUP($B183,'[1]Data_UN_PopulationTot.&amp;%'!$B$4:$CZ$603,62,FALSE)</f>
        <v>7.4278709654159183</v>
      </c>
      <c r="BY183">
        <f>VLOOKUP($B183,'[1]Data_UN_PopulationTot.&amp;%'!$B$4:$CZ$603,63,FALSE)</f>
        <v>7.5306227297718724</v>
      </c>
      <c r="BZ183">
        <f>VLOOKUP($B183,'[1]Data_UN_PopulationTot.&amp;%'!$B$4:$CZ$603,64,FALSE)</f>
        <v>8.1777785789611261</v>
      </c>
      <c r="CA183">
        <f>VLOOKUP($B183,'[1]Data_UN_PopulationTot.&amp;%'!$B$4:$CZ$603,65,FALSE)</f>
        <v>8.3733674637439481</v>
      </c>
      <c r="CB183">
        <f>VLOOKUP($B183,'[1]Data_UN_PopulationTot.&amp;%'!$B$4:$CZ$603,66,FALSE)</f>
        <v>7.4017323586937893</v>
      </c>
      <c r="CC183">
        <f>VLOOKUP($B183,'[1]Data_UN_PopulationTot.&amp;%'!$B$4:$CZ$603,67,FALSE)</f>
        <v>7.1565702542655503</v>
      </c>
      <c r="CD183">
        <f>VLOOKUP($B183,'[1]Data_UN_PopulationTot.&amp;%'!$B$4:$CZ$603,68,FALSE)</f>
        <v>7.00424527026418</v>
      </c>
      <c r="CE183">
        <f>VLOOKUP($B183,'[1]Data_UN_PopulationTot.&amp;%'!$B$4:$CZ$603,69,FALSE)</f>
        <v>6.7807151162266672</v>
      </c>
      <c r="CF183">
        <f>VLOOKUP($B183,'[1]Data_UN_PopulationTot.&amp;%'!$B$4:$CZ$603,70,FALSE)</f>
        <v>6.2741669445771402</v>
      </c>
      <c r="CG183">
        <f>VLOOKUP($B183,'[1]Data_UN_PopulationTot.&amp;%'!$B$4:$CZ$603,71,FALSE)</f>
        <v>6.1128286479129672</v>
      </c>
      <c r="CH183">
        <f>VLOOKUP($B183,'[1]Data_UN_PopulationTot.&amp;%'!$B$4:$CZ$603,72,FALSE)</f>
        <v>6.1362632608362544</v>
      </c>
      <c r="CI183">
        <f>VLOOKUP($B183,'[1]Data_UN_PopulationTot.&amp;%'!$B$4:$CZ$603,73,FALSE)</f>
        <v>4.7671410673564854</v>
      </c>
      <c r="CJ183">
        <f>VLOOKUP($B183,'[1]Data_UN_PopulationTot.&amp;%'!$B$4:$CZ$603,74,FALSE)</f>
        <v>3.5034746320315104</v>
      </c>
      <c r="CK183">
        <f>VLOOKUP($B183,'[1]Data_UN_PopulationTot.&amp;%'!$B$4:$CZ$603,75,FALSE)</f>
        <v>2.4525223755486856</v>
      </c>
      <c r="CL183">
        <f>VLOOKUP($B183,'[1]Data_UN_PopulationTot.&amp;%'!$B$4:$CZ$603,76,FALSE)</f>
        <v>1.6061723165114874</v>
      </c>
      <c r="CM183">
        <f>VLOOKUP($B183,'[1]Data_UN_PopulationTot.&amp;%'!$B$4:$CZ$603,77,FALSE)</f>
        <v>1.2979170234436261</v>
      </c>
      <c r="CN183">
        <f>VLOOKUP($B183,'[1]Data_UN_PopulationTot.&amp;%'!$B$4:$CZ$603,78,FALSE)</f>
        <v>0.81119813965226639</v>
      </c>
      <c r="CO183">
        <f>VLOOKUP($B183,'[1]Data_UN_PopulationTot.&amp;%'!$B$4:$CZ$603,79,FALSE)</f>
        <v>0.20460219744562722</v>
      </c>
      <c r="CP183">
        <f>VLOOKUP($B183,'[1]Data_UN_PopulationTot.&amp;%'!$B$4:$CZ$603,80,FALSE)</f>
        <v>3.0645263053530065E-2</v>
      </c>
      <c r="CQ183">
        <f>VLOOKUP($B183,'[1]Data_UN_PopulationTot.&amp;%'!$B$4:$CZ$603,81,FALSE)</f>
        <v>4.5066563314014796E-3</v>
      </c>
      <c r="CR183">
        <f>VLOOKUP($B183,'[1]Data_UN_PopulationTot.&amp;%'!$B$4:$CZ$603,82,FALSE)</f>
        <v>6.2375598234268983</v>
      </c>
      <c r="CS183">
        <f>VLOOKUP($B183,'[1]Data_UN_PopulationTot.&amp;%'!$B$4:$CZ$603,83,FALSE)</f>
        <v>6.525950761228227</v>
      </c>
      <c r="CT183">
        <f>VLOOKUP($B183,'[1]Data_UN_PopulationTot.&amp;%'!$B$4:$CZ$603,84,FALSE)</f>
        <v>6.7533018993108707</v>
      </c>
      <c r="CU183">
        <f>VLOOKUP($B183,'[1]Data_UN_PopulationTot.&amp;%'!$B$4:$CZ$603,85,FALSE)</f>
        <v>7.138118027972153</v>
      </c>
      <c r="CV183">
        <f>VLOOKUP($B183,'[1]Data_UN_PopulationTot.&amp;%'!$B$4:$CZ$603,86,FALSE)</f>
        <v>7.0593855326828328</v>
      </c>
      <c r="CW183">
        <f>VLOOKUP($B183,'[1]Data_UN_PopulationTot.&amp;%'!$B$4:$CZ$603,87,FALSE)</f>
        <v>7.5910510345803734</v>
      </c>
      <c r="CX183">
        <f>VLOOKUP($B183,'[1]Data_UN_PopulationTot.&amp;%'!$B$4:$CZ$603,88,FALSE)</f>
        <v>7.8166329031059538</v>
      </c>
      <c r="CY183">
        <f>VLOOKUP($B183,'[1]Data_UN_PopulationTot.&amp;%'!$B$4:$CZ$603,89,FALSE)</f>
        <v>6.9364212984669287</v>
      </c>
      <c r="CZ183">
        <f>VLOOKUP($B183,'[1]Data_UN_PopulationTot.&amp;%'!$B$4:$CZ$603,90,FALSE)</f>
        <v>6.7267628559549193</v>
      </c>
      <c r="DA183">
        <f>VLOOKUP($B183,'[1]Data_UN_PopulationTot.&amp;%'!$B$4:$CZ$603,91,FALSE)</f>
        <v>6.5613361523694946</v>
      </c>
      <c r="DB183">
        <f>VLOOKUP($B183,'[1]Data_UN_PopulationTot.&amp;%'!$B$4:$CZ$603,92,FALSE)</f>
        <v>6.272945214568165</v>
      </c>
      <c r="DC183">
        <f>VLOOKUP($B183,'[1]Data_UN_PopulationTot.&amp;%'!$B$4:$CZ$603,93,FALSE)</f>
        <v>5.6643164869383673</v>
      </c>
      <c r="DD183">
        <f>VLOOKUP($B183,'[1]Data_UN_PopulationTot.&amp;%'!$B$4:$CZ$603,94,FALSE)</f>
        <v>5.3281552710963274</v>
      </c>
      <c r="DE183">
        <f>VLOOKUP($B183,'[1]Data_UN_PopulationTot.&amp;%'!$B$4:$CZ$603,95,FALSE)</f>
        <v>5.0928424200069005</v>
      </c>
      <c r="DF183">
        <f>VLOOKUP($B183,'[1]Data_UN_PopulationTot.&amp;%'!$B$4:$CZ$603,96,FALSE)</f>
        <v>3.6694650613494217</v>
      </c>
      <c r="DG183">
        <f>VLOOKUP($B183,'[1]Data_UN_PopulationTot.&amp;%'!$B$4:$CZ$603,97,FALSE)</f>
        <v>2.3708212064649112</v>
      </c>
      <c r="DH183">
        <f>VLOOKUP($B183,'[1]Data_UN_PopulationTot.&amp;%'!$B$4:$CZ$603,98,FALSE)</f>
        <v>1.3189904547907396</v>
      </c>
      <c r="DI183">
        <f>VLOOKUP($B183,'[1]Data_UN_PopulationTot.&amp;%'!$B$4:$CZ$603,99,FALSE)</f>
        <v>0.59005139728063272</v>
      </c>
      <c r="DJ183">
        <f>VLOOKUP($B183,'[1]Data_UN_PopulationTot.&amp;%'!$B$4:$DE$603,100,FALSE)</f>
        <v>0.26715970311656834</v>
      </c>
      <c r="DK183">
        <f>VLOOKUP($B183,'[1]Data_UN_PopulationTot.&amp;%'!$B$4:$DE$603,101,FALSE)</f>
        <v>7.1655417061066345E-2</v>
      </c>
      <c r="DL183">
        <f>VLOOKUP($B183,'[1]Data_UN_PopulationTot.&amp;%'!$B$4:$DE$603,102,FALSE)</f>
        <v>7.0770782282534661E-3</v>
      </c>
    </row>
    <row r="184" spans="1:116">
      <c r="A184" t="s">
        <v>226</v>
      </c>
      <c r="B184" t="s">
        <v>590</v>
      </c>
      <c r="C184" t="s">
        <v>497</v>
      </c>
      <c r="J184" s="18" t="e">
        <f t="shared" si="5"/>
        <v>#VALUE!</v>
      </c>
      <c r="K184" t="str">
        <f>VLOOKUP($B184,'[1]Source GDP Current USD'!$B$1:$CZ$600,64,FALSE)</f>
        <v>..</v>
      </c>
      <c r="L184" s="45" t="str">
        <f>VLOOKUP($B184,'[1]Source GDP Current USD'!$B$1:$CZ$600,65,FALSE)</f>
        <v/>
      </c>
      <c r="M184" s="17" t="str">
        <f>VLOOKUP($B184,'[1]Source GDP Current LCU'!$B$1:$CZ$600,64,FALSE)</f>
        <v>..</v>
      </c>
      <c r="O184" s="45" t="str">
        <f>VLOOKUP($B184,'[1]Source GNI Current USD'!$B$1:$CZ$600,64,FALSE)</f>
        <v>..</v>
      </c>
      <c r="P184" s="45" t="str">
        <f>VLOOKUP($B184,'[1]Source GNI Current LCU'!$B$1:$CZ$600,64,FALSE)</f>
        <v>..</v>
      </c>
      <c r="Q184" t="e">
        <f t="shared" si="4"/>
        <v>#VALUE!</v>
      </c>
      <c r="U184" s="45">
        <v>28000000</v>
      </c>
      <c r="V184">
        <v>5.8819999999999997</v>
      </c>
      <c r="AC184">
        <f>VLOOKUP($B184,[2]Summary!$B$1:$CZ$600,39,FALSE)</f>
        <v>0.21</v>
      </c>
      <c r="AD184">
        <f>VLOOKUP($B184,[2]Summary!$B$1:$CZ$600,40,FALSE)</f>
        <v>0.5</v>
      </c>
      <c r="AE184">
        <f>VLOOKUP($B184,[2]Summary!$B$1:$CZ$600,47,FALSE)</f>
        <v>0.2</v>
      </c>
      <c r="AF184" t="e">
        <f>VLOOKUP($B184,'[1]CALC GDP Growth rates WDI'!$B$1:$CZ$600,27,FALSE)</f>
        <v>#VALUE!</v>
      </c>
      <c r="AG184" t="e">
        <f>VLOOKUP($B184,'[1]CALC GDP Growth rates WDI'!$B$1:$CZ$600,29,FALSE)</f>
        <v>#VALUE!</v>
      </c>
      <c r="AI184" t="e">
        <f>VLOOKUP($B184,'[1]CALC GDP Growth rates WDI'!$B$1:$CZ$600,30,FALSE)</f>
        <v>#VALUE!</v>
      </c>
      <c r="AJ184" s="45"/>
      <c r="AM184">
        <f>VLOOKUP($B184,[1]Data_Aspire!$B$1:$CZ$600,4,FALSE)</f>
        <v>0</v>
      </c>
      <c r="AN184">
        <f>VLOOKUP($B184,[1]Data_Aspire!$B$1:$CZ$600,5,FALSE)</f>
        <v>0</v>
      </c>
      <c r="AO184">
        <f>VLOOKUP($B184,[1]Data_Aspire!$B$1:$CZ$600,6,FALSE)</f>
        <v>0</v>
      </c>
      <c r="AP184">
        <f>VLOOKUP($B184,[1]Data_Aspire!$B$1:$CZ$600,7,FALSE)</f>
        <v>0</v>
      </c>
      <c r="AZ184">
        <f>VLOOKUP($B184,[1]Data_Aspire!$B$1:$CZ$600,17,FALSE)</f>
        <v>531546</v>
      </c>
      <c r="BA184">
        <f>VLOOKUP($B184,[1]Data_Aspire!$B$1:$CZ$600,18,FALSE)</f>
        <v>2015</v>
      </c>
      <c r="BD184">
        <f>VLOOKUP($B184,[1]Data_Aspire!$B$1:$CZ$600,21,FALSE)</f>
        <v>4031000</v>
      </c>
      <c r="BE184">
        <f>VLOOKUP($B184,[1]Data_Aspire!$B$1:$CZ$600,22,FALSE)</f>
        <v>2011</v>
      </c>
      <c r="BJ184" s="7">
        <v>0</v>
      </c>
      <c r="BK184">
        <v>862</v>
      </c>
      <c r="BL184">
        <f>VLOOKUP($B184,'[1]Data_UN_PopulationTot.&amp;%'!$B$4:$CZ$603,8,FALSE)</f>
        <v>28435.9</v>
      </c>
      <c r="BM184">
        <f>VLOOKUP($B184,'[1]Data_UN_PopulationTot.&amp;%'!$B$4:$CZ$603,9,FALSE)</f>
        <v>28704.9</v>
      </c>
      <c r="BN184">
        <v>29267</v>
      </c>
      <c r="BO184">
        <f>VLOOKUP($B184,'[1]Data_UN_PopulationTot.&amp;%'!$B$4:$CZ$603,11,FALSE)</f>
        <v>30016.6</v>
      </c>
      <c r="BP184">
        <f>VLOOKUP($B184,'[1]Data_UN_PopulationTot.&amp;%'!$B$4:$CZ$603,12,FALSE)</f>
        <v>30794</v>
      </c>
      <c r="BQ184">
        <f>VLOOKUP($B184,'[1]Data_UN_PopulationTot.&amp;%'!$B$4:$CZ$603,13,FALSE)</f>
        <v>31481.1</v>
      </c>
      <c r="BR184">
        <f>VLOOKUP($B184,'[1]Data_UN_PopulationTot.&amp;%'!$B$4:$CZ$603,14,FALSE)</f>
        <v>32048.799999999999</v>
      </c>
      <c r="BS184">
        <f>VLOOKUP($B184,'[1]Data_UN_PopulationTot.&amp;%'!$B$4:$CZ$603,15,FALSE)</f>
        <v>32528.1</v>
      </c>
      <c r="BT184">
        <f>VLOOKUP($B184,'[1]Data_UN_PopulationTot.&amp;%'!$B$4:$CZ$603,16,FALSE)</f>
        <v>32931.800000000003</v>
      </c>
      <c r="BU184">
        <f>VLOOKUP($B184,'[1]Data_UN_PopulationTot.&amp;%'!$B$4:$CZ$603,17,FALSE)</f>
        <v>33290.400000000001</v>
      </c>
      <c r="BV184">
        <f>VLOOKUP($B184,'[1]Data_UN_PopulationTot.&amp;%'!$B$4:$CZ$603,18,FALSE)</f>
        <v>33626.5</v>
      </c>
      <c r="BW184">
        <f>VLOOKUP($B184,'[1]Data_UN_PopulationTot.&amp;%'!$B$4:$CZ$603,61,FALSE)</f>
        <v>8.3113599358557302</v>
      </c>
      <c r="BX184">
        <f>VLOOKUP($B184,'[1]Data_UN_PopulationTot.&amp;%'!$B$4:$CZ$603,62,FALSE)</f>
        <v>9.6047250130996389</v>
      </c>
      <c r="BY184">
        <f>VLOOKUP($B184,'[1]Data_UN_PopulationTot.&amp;%'!$B$4:$CZ$603,63,FALSE)</f>
        <v>9.3466357667596238</v>
      </c>
      <c r="BZ184">
        <f>VLOOKUP($B184,'[1]Data_UN_PopulationTot.&amp;%'!$B$4:$CZ$603,64,FALSE)</f>
        <v>8.7944112899538958</v>
      </c>
      <c r="CA184">
        <f>VLOOKUP($B184,'[1]Data_UN_PopulationTot.&amp;%'!$B$4:$CZ$603,65,FALSE)</f>
        <v>7.3907630846922379</v>
      </c>
      <c r="CB184">
        <f>VLOOKUP($B184,'[1]Data_UN_PopulationTot.&amp;%'!$B$4:$CZ$603,66,FALSE)</f>
        <v>7.1343266785999377</v>
      </c>
      <c r="CC184">
        <f>VLOOKUP($B184,'[1]Data_UN_PopulationTot.&amp;%'!$B$4:$CZ$603,67,FALSE)</f>
        <v>7.2595557024746888</v>
      </c>
      <c r="CD184">
        <f>VLOOKUP($B184,'[1]Data_UN_PopulationTot.&amp;%'!$B$4:$CZ$603,68,FALSE)</f>
        <v>6.9053555540707343</v>
      </c>
      <c r="CE184">
        <f>VLOOKUP($B184,'[1]Data_UN_PopulationTot.&amp;%'!$B$4:$CZ$603,69,FALSE)</f>
        <v>6.5681761435368662</v>
      </c>
      <c r="CF184">
        <f>VLOOKUP($B184,'[1]Data_UN_PopulationTot.&amp;%'!$B$4:$CZ$603,70,FALSE)</f>
        <v>5.9686874690092449</v>
      </c>
      <c r="CG184">
        <f>VLOOKUP($B184,'[1]Data_UN_PopulationTot.&amp;%'!$B$4:$CZ$603,71,FALSE)</f>
        <v>5.6260923691530769</v>
      </c>
      <c r="CH184">
        <f>VLOOKUP($B184,'[1]Data_UN_PopulationTot.&amp;%'!$B$4:$CZ$603,72,FALSE)</f>
        <v>4.9766316522424123</v>
      </c>
      <c r="CI184">
        <f>VLOOKUP($B184,'[1]Data_UN_PopulationTot.&amp;%'!$B$4:$CZ$603,73,FALSE)</f>
        <v>4.140681321850197</v>
      </c>
      <c r="CJ184">
        <f>VLOOKUP($B184,'[1]Data_UN_PopulationTot.&amp;%'!$B$4:$CZ$603,74,FALSE)</f>
        <v>3.0423302937483956</v>
      </c>
      <c r="CK184">
        <f>VLOOKUP($B184,'[1]Data_UN_PopulationTot.&amp;%'!$B$4:$CZ$603,75,FALSE)</f>
        <v>2.1226020628852966</v>
      </c>
      <c r="CL184">
        <f>VLOOKUP($B184,'[1]Data_UN_PopulationTot.&amp;%'!$B$4:$CZ$603,76,FALSE)</f>
        <v>1.3584201660576947</v>
      </c>
      <c r="CM184">
        <f>VLOOKUP($B184,'[1]Data_UN_PopulationTot.&amp;%'!$B$4:$CZ$603,77,FALSE)</f>
        <v>0.79675691643310043</v>
      </c>
      <c r="CN184">
        <f>VLOOKUP($B184,'[1]Data_UN_PopulationTot.&amp;%'!$B$4:$CZ$603,78,FALSE)</f>
        <v>0.41760591365140548</v>
      </c>
      <c r="CO184">
        <f>VLOOKUP($B184,'[1]Data_UN_PopulationTot.&amp;%'!$B$4:$CZ$603,79,FALSE)</f>
        <v>0.17258465531247472</v>
      </c>
      <c r="CP184">
        <f>VLOOKUP($B184,'[1]Data_UN_PopulationTot.&amp;%'!$B$4:$CZ$603,80,FALSE)</f>
        <v>5.2310635499491838E-2</v>
      </c>
      <c r="CQ184">
        <f>VLOOKUP($B184,'[1]Data_UN_PopulationTot.&amp;%'!$B$4:$CZ$603,81,FALSE)</f>
        <v>1.012100900622101E-2</v>
      </c>
      <c r="CR184">
        <f>VLOOKUP($B184,'[1]Data_UN_PopulationTot.&amp;%'!$B$4:$CZ$603,82,FALSE)</f>
        <v>7.8505642870949996</v>
      </c>
      <c r="CS184">
        <f>VLOOKUP($B184,'[1]Data_UN_PopulationTot.&amp;%'!$B$4:$CZ$603,83,FALSE)</f>
        <v>7.4534072829464861</v>
      </c>
      <c r="CT184">
        <f>VLOOKUP($B184,'[1]Data_UN_PopulationTot.&amp;%'!$B$4:$CZ$603,84,FALSE)</f>
        <v>7.2210607705232484</v>
      </c>
      <c r="CU184">
        <f>VLOOKUP($B184,'[1]Data_UN_PopulationTot.&amp;%'!$B$4:$CZ$603,85,FALSE)</f>
        <v>8.3569803577535566</v>
      </c>
      <c r="CV184">
        <f>VLOOKUP($B184,'[1]Data_UN_PopulationTot.&amp;%'!$B$4:$CZ$603,86,FALSE)</f>
        <v>8.2242873923839834</v>
      </c>
      <c r="CW184">
        <f>VLOOKUP($B184,'[1]Data_UN_PopulationTot.&amp;%'!$B$4:$CZ$603,87,FALSE)</f>
        <v>7.89743208481406</v>
      </c>
      <c r="CX184">
        <f>VLOOKUP($B184,'[1]Data_UN_PopulationTot.&amp;%'!$B$4:$CZ$603,88,FALSE)</f>
        <v>7.2800321175263552</v>
      </c>
      <c r="CY184">
        <f>VLOOKUP($B184,'[1]Data_UN_PopulationTot.&amp;%'!$B$4:$CZ$603,89,FALSE)</f>
        <v>7.0787028087966348</v>
      </c>
      <c r="CZ184">
        <f>VLOOKUP($B184,'[1]Data_UN_PopulationTot.&amp;%'!$B$4:$CZ$603,90,FALSE)</f>
        <v>6.9382183694407686</v>
      </c>
      <c r="DA184">
        <f>VLOOKUP($B184,'[1]Data_UN_PopulationTot.&amp;%'!$B$4:$CZ$603,91,FALSE)</f>
        <v>6.3173984803651884</v>
      </c>
      <c r="DB184">
        <f>VLOOKUP($B184,'[1]Data_UN_PopulationTot.&amp;%'!$B$4:$CZ$603,92,FALSE)</f>
        <v>5.7530816469153789</v>
      </c>
      <c r="DC184">
        <f>VLOOKUP($B184,'[1]Data_UN_PopulationTot.&amp;%'!$B$4:$CZ$603,93,FALSE)</f>
        <v>5.0115533879529535</v>
      </c>
      <c r="DD184">
        <f>VLOOKUP($B184,'[1]Data_UN_PopulationTot.&amp;%'!$B$4:$CZ$603,94,FALSE)</f>
        <v>4.4920523991494798</v>
      </c>
      <c r="DE184">
        <f>VLOOKUP($B184,'[1]Data_UN_PopulationTot.&amp;%'!$B$4:$CZ$603,95,FALSE)</f>
        <v>3.7132321234740457</v>
      </c>
      <c r="DF184">
        <f>VLOOKUP($B184,'[1]Data_UN_PopulationTot.&amp;%'!$B$4:$CZ$603,96,FALSE)</f>
        <v>2.7897223915661753</v>
      </c>
      <c r="DG184">
        <f>VLOOKUP($B184,'[1]Data_UN_PopulationTot.&amp;%'!$B$4:$CZ$603,97,FALSE)</f>
        <v>1.7787905372251052</v>
      </c>
      <c r="DH184">
        <f>VLOOKUP($B184,'[1]Data_UN_PopulationTot.&amp;%'!$B$4:$CZ$603,98,FALSE)</f>
        <v>1.0388859976506624</v>
      </c>
      <c r="DI184">
        <f>VLOOKUP($B184,'[1]Data_UN_PopulationTot.&amp;%'!$B$4:$CZ$603,99,FALSE)</f>
        <v>0.51780589713470027</v>
      </c>
      <c r="DJ184">
        <f>VLOOKUP($B184,'[1]Data_UN_PopulationTot.&amp;%'!$B$4:$DE$603,100,FALSE)</f>
        <v>0.20834758300744949</v>
      </c>
      <c r="DK184">
        <f>VLOOKUP($B184,'[1]Data_UN_PopulationTot.&amp;%'!$B$4:$DE$603,101,FALSE)</f>
        <v>6.5240212332535352E-2</v>
      </c>
      <c r="DL184">
        <f>VLOOKUP($B184,'[1]Data_UN_PopulationTot.&amp;%'!$B$4:$DE$603,102,FALSE)</f>
        <v>1.3075996609816662E-2</v>
      </c>
    </row>
    <row r="185" spans="1:116">
      <c r="A185" t="s">
        <v>587</v>
      </c>
      <c r="B185" t="s">
        <v>588</v>
      </c>
      <c r="C185" t="s">
        <v>497</v>
      </c>
      <c r="D185" t="s">
        <v>622</v>
      </c>
      <c r="E185" t="s">
        <v>2269</v>
      </c>
      <c r="F185">
        <v>0</v>
      </c>
      <c r="G185">
        <v>0</v>
      </c>
      <c r="H185">
        <v>0</v>
      </c>
      <c r="I185">
        <v>1</v>
      </c>
      <c r="J185" s="18" t="e">
        <f t="shared" si="5"/>
        <v>#VALUE!</v>
      </c>
      <c r="K185" t="str">
        <f>VLOOKUP($B185,'[1]Source GDP Current USD'!$B$1:$CZ$600,64,FALSE)</f>
        <v>..</v>
      </c>
      <c r="L185" s="45">
        <f>VLOOKUP($B185,'[1]Source GDP Current USD'!$B$1:$CZ$600,65,FALSE)</f>
        <v>4068000000</v>
      </c>
      <c r="M185" s="17" t="str">
        <f>VLOOKUP($B185,'[1]Source GDP Current LCU'!$B$1:$CZ$600,64,FALSE)</f>
        <v>..</v>
      </c>
      <c r="N185" s="45">
        <v>4100000000</v>
      </c>
      <c r="O185" s="45" t="str">
        <f>VLOOKUP($B185,'[1]Source GNI Current USD'!$B$1:$CZ$600,64,FALSE)</f>
        <v>..</v>
      </c>
      <c r="P185" s="45" t="str">
        <f>VLOOKUP($B185,'[1]Source GNI Current LCU'!$B$1:$CZ$600,64,FALSE)</f>
        <v>..</v>
      </c>
      <c r="Q185" t="e">
        <f t="shared" si="4"/>
        <v>#VALUE!</v>
      </c>
      <c r="U185">
        <v>106000</v>
      </c>
      <c r="W185" t="e">
        <f>VLOOKUP($B185,'[1]Source Gov. Revenue WEO'!$B$1:$CZ$600,5,FALSE)</f>
        <v>#N/A</v>
      </c>
      <c r="X185" t="e">
        <f>VLOOKUP($B185,'[1]Source Gov. Revenue WEO'!$B$1:$CZ$600,6,FALSE)</f>
        <v>#N/A</v>
      </c>
      <c r="Y185" t="e">
        <f>VLOOKUP($B185,'[1]Source Gov. Revenue WEO'!$B$1:$CZ$600,7,FALSE)</f>
        <v>#N/A</v>
      </c>
      <c r="Z185" t="e">
        <f>VLOOKUP($B185,'[1]Source Gov. Revenue WEO'!$B$1:$CZ$600,8,FALSE)</f>
        <v>#N/A</v>
      </c>
      <c r="AA185" t="e">
        <f>VLOOKUP($B185,'[1]Source Gov. Revenue WEO'!$B$1:$CZ$600,9,FALSE)</f>
        <v>#N/A</v>
      </c>
      <c r="AB185" t="e">
        <f>VLOOKUP($B185,'[1]Source Gov. Revenue WEO'!$B$1:$CZ$600,10,FALSE)</f>
        <v>#N/A</v>
      </c>
      <c r="AC185" t="e">
        <f>VLOOKUP($B185,[2]Summary!$B$1:$CZ$600,39,FALSE)</f>
        <v>#N/A</v>
      </c>
      <c r="AD185" t="e">
        <f>VLOOKUP($B185,[2]Summary!$B$1:$CZ$600,40,FALSE)</f>
        <v>#N/A</v>
      </c>
      <c r="AE185" t="e">
        <f>VLOOKUP($B185,[2]Summary!$B$1:$CZ$600,47,FALSE)</f>
        <v>#N/A</v>
      </c>
      <c r="AF185" t="e">
        <f>VLOOKUP($B185,'[1]CALC GDP Growth rates WDI'!$B$1:$CZ$600,27,FALSE)</f>
        <v>#VALUE!</v>
      </c>
      <c r="AG185" t="e">
        <f>VLOOKUP($B185,'[1]CALC GDP Growth rates WDI'!$B$1:$CZ$600,29,FALSE)</f>
        <v>#VALUE!</v>
      </c>
      <c r="AH185">
        <v>-100</v>
      </c>
      <c r="AI185" t="e">
        <f>VLOOKUP($B185,'[1]CALC GDP Growth rates WDI'!$B$1:$CZ$600,30,FALSE)</f>
        <v>#VALUE!</v>
      </c>
      <c r="AK185" t="e">
        <f>VLOOKUP($B185,[1]Data_Aspire!$B$1:$CZ$600,2,FALSE)</f>
        <v>#N/A</v>
      </c>
      <c r="AL185" t="e">
        <f>VLOOKUP($B185,[1]Data_Aspire!$B$1:$CZ$600,3,FALSE)</f>
        <v>#N/A</v>
      </c>
      <c r="AM185" t="e">
        <f>VLOOKUP($B185,[1]Data_Aspire!$B$1:$CZ$600,4,FALSE)</f>
        <v>#N/A</v>
      </c>
      <c r="AN185" t="e">
        <f>VLOOKUP($B185,[1]Data_Aspire!$B$1:$CZ$600,5,FALSE)</f>
        <v>#N/A</v>
      </c>
      <c r="AO185" t="e">
        <f>VLOOKUP($B185,[1]Data_Aspire!$B$1:$CZ$600,6,FALSE)</f>
        <v>#N/A</v>
      </c>
      <c r="AP185" t="e">
        <f>VLOOKUP($B185,[1]Data_Aspire!$B$1:$CZ$600,7,FALSE)</f>
        <v>#N/A</v>
      </c>
      <c r="AQ185" t="e">
        <f>VLOOKUP($B185,[1]Data_Aspire!$B$1:$CZ$600,8,FALSE)</f>
        <v>#N/A</v>
      </c>
      <c r="AR185" t="e">
        <f>VLOOKUP($B185,[1]Data_Aspire!$B$1:$CZ$600,9,FALSE)</f>
        <v>#N/A</v>
      </c>
      <c r="AS185" t="e">
        <f>VLOOKUP($B185,[1]Data_Aspire!$B$1:$CZ$600,10,FALSE)</f>
        <v>#N/A</v>
      </c>
      <c r="AT185" t="e">
        <f>VLOOKUP($B185,[1]Data_Aspire!$B$1:$CZ$600,11,FALSE)</f>
        <v>#N/A</v>
      </c>
      <c r="AU185" t="e">
        <f>VLOOKUP($B185,[1]Data_Aspire!$B$1:$CZ$600,12,FALSE)</f>
        <v>#N/A</v>
      </c>
      <c r="AV185" t="e">
        <f>VLOOKUP($B185,[1]Data_Aspire!$B$1:$CZ$600,13,FALSE)</f>
        <v>#N/A</v>
      </c>
      <c r="AW185" t="e">
        <f>VLOOKUP($B185,[1]Data_Aspire!$B$1:$CZ$600,14,FALSE)</f>
        <v>#N/A</v>
      </c>
      <c r="AX185" t="e">
        <f>VLOOKUP($B185,[1]Data_Aspire!$B$1:$CZ$600,15,FALSE)</f>
        <v>#N/A</v>
      </c>
      <c r="AY185" t="e">
        <f>VLOOKUP($B185,[1]Data_Aspire!$B$1:$CZ$600,16,FALSE)</f>
        <v>#N/A</v>
      </c>
      <c r="AZ185" t="e">
        <f>VLOOKUP($B185,[1]Data_Aspire!$B$1:$CZ$600,17,FALSE)</f>
        <v>#N/A</v>
      </c>
      <c r="BA185" t="e">
        <f>VLOOKUP($B185,[1]Data_Aspire!$B$1:$CZ$600,18,FALSE)</f>
        <v>#N/A</v>
      </c>
      <c r="BB185" t="e">
        <f>VLOOKUP($B185,[1]Data_Aspire!$B$1:$CZ$600,19,FALSE)</f>
        <v>#N/A</v>
      </c>
      <c r="BC185" t="e">
        <f>VLOOKUP($B185,[1]Data_Aspire!$B$1:$CZ$600,20,FALSE)</f>
        <v>#N/A</v>
      </c>
      <c r="BD185" t="e">
        <f>VLOOKUP($B185,[1]Data_Aspire!$B$1:$CZ$600,21,FALSE)</f>
        <v>#N/A</v>
      </c>
      <c r="BE185" t="e">
        <f>VLOOKUP($B185,[1]Data_Aspire!$B$1:$CZ$600,22,FALSE)</f>
        <v>#N/A</v>
      </c>
      <c r="BF185" t="e">
        <f>VLOOKUP($B185,[1]Data_Aspire!$B$1:$CZ$600,23,FALSE)</f>
        <v>#N/A</v>
      </c>
      <c r="BG185" t="e">
        <f>VLOOKUP($B185,[1]Data_Aspire!$B$1:$CZ$600,24,FALSE)</f>
        <v>#N/A</v>
      </c>
      <c r="BH185" t="e">
        <f>VLOOKUP($B185,[1]Data_Aspire!$B$1:$CZ$600,25,FALSE)</f>
        <v>#N/A</v>
      </c>
      <c r="BI185" t="e">
        <f>VLOOKUP($B185,[1]Data_Aspire!$B$1:$CZ$600,26,FALSE)</f>
        <v>#N/A</v>
      </c>
      <c r="BJ185" s="7">
        <v>0</v>
      </c>
      <c r="BK185">
        <v>850</v>
      </c>
      <c r="BL185">
        <f>VLOOKUP($B185,'[1]Data_UN_PopulationTot.&amp;%'!$B$4:$CZ$603,8,FALSE)</f>
        <v>104.423</v>
      </c>
      <c r="BM185">
        <f>VLOOKUP($B185,'[1]Data_UN_PopulationTot.&amp;%'!$B$4:$CZ$603,9,FALSE)</f>
        <v>104.218</v>
      </c>
      <c r="BN185">
        <v>103.96899999999999</v>
      </c>
      <c r="BO185">
        <f>VLOOKUP($B185,'[1]Data_UN_PopulationTot.&amp;%'!$B$4:$CZ$603,11,FALSE)</f>
        <v>103.67100000000001</v>
      </c>
      <c r="BP185">
        <f>VLOOKUP($B185,'[1]Data_UN_PopulationTot.&amp;%'!$B$4:$CZ$603,12,FALSE)</f>
        <v>103.32599999999999</v>
      </c>
      <c r="BQ185">
        <f>VLOOKUP($B185,'[1]Data_UN_PopulationTot.&amp;%'!$B$4:$CZ$603,13,FALSE)</f>
        <v>102.95699999999999</v>
      </c>
      <c r="BR185">
        <f>VLOOKUP($B185,'[1]Data_UN_PopulationTot.&amp;%'!$B$4:$CZ$603,14,FALSE)</f>
        <v>102.55500000000001</v>
      </c>
      <c r="BS185">
        <f>VLOOKUP($B185,'[1]Data_UN_PopulationTot.&amp;%'!$B$4:$CZ$603,15,FALSE)</f>
        <v>102.13800000000001</v>
      </c>
      <c r="BT185">
        <f>VLOOKUP($B185,'[1]Data_UN_PopulationTot.&amp;%'!$B$4:$CZ$603,16,FALSE)</f>
        <v>101.679</v>
      </c>
      <c r="BU185">
        <f>VLOOKUP($B185,'[1]Data_UN_PopulationTot.&amp;%'!$B$4:$CZ$603,17,FALSE)</f>
        <v>101.19199999999999</v>
      </c>
      <c r="BV185">
        <f>VLOOKUP($B185,'[1]Data_UN_PopulationTot.&amp;%'!$B$4:$CZ$603,18,FALSE)</f>
        <v>100.687</v>
      </c>
      <c r="BW185">
        <f>VLOOKUP($B185,'[1]Data_UN_PopulationTot.&amp;%'!$B$4:$CZ$603,61,FALSE)</f>
        <v>5.7171312833379613</v>
      </c>
      <c r="BX185">
        <f>VLOOKUP($B185,'[1]Data_UN_PopulationTot.&amp;%'!$B$4:$CZ$603,62,FALSE)</f>
        <v>6.6058243873476137</v>
      </c>
      <c r="BY185">
        <f>VLOOKUP($B185,'[1]Data_UN_PopulationTot.&amp;%'!$B$4:$CZ$603,63,FALSE)</f>
        <v>6.9352537276270549</v>
      </c>
      <c r="BZ185">
        <f>VLOOKUP($B185,'[1]Data_UN_PopulationTot.&amp;%'!$B$4:$CZ$603,64,FALSE)</f>
        <v>6.4889918887601388</v>
      </c>
      <c r="CA185">
        <f>VLOOKUP($B185,'[1]Data_UN_PopulationTot.&amp;%'!$B$4:$CZ$603,65,FALSE)</f>
        <v>6.2093600068950323</v>
      </c>
      <c r="CB185">
        <f>VLOOKUP($B185,'[1]Data_UN_PopulationTot.&amp;%'!$B$4:$CZ$603,66,FALSE)</f>
        <v>5.9823985137373947</v>
      </c>
      <c r="CC185">
        <f>VLOOKUP($B185,'[1]Data_UN_PopulationTot.&amp;%'!$B$4:$CZ$603,67,FALSE)</f>
        <v>4.4894324047384195</v>
      </c>
      <c r="CD185">
        <f>VLOOKUP($B185,'[1]Data_UN_PopulationTot.&amp;%'!$B$4:$CZ$603,68,FALSE)</f>
        <v>4.8293958227593539</v>
      </c>
      <c r="CE185">
        <f>VLOOKUP($B185,'[1]Data_UN_PopulationTot.&amp;%'!$B$4:$CZ$603,69,FALSE)</f>
        <v>5.3063022514197069</v>
      </c>
      <c r="CF185">
        <f>VLOOKUP($B185,'[1]Data_UN_PopulationTot.&amp;%'!$B$4:$CZ$603,70,FALSE)</f>
        <v>5.9613303582544068</v>
      </c>
      <c r="CG185">
        <f>VLOOKUP($B185,'[1]Data_UN_PopulationTot.&amp;%'!$B$4:$CZ$603,71,FALSE)</f>
        <v>6.7849037089530082</v>
      </c>
      <c r="CH185">
        <f>VLOOKUP($B185,'[1]Data_UN_PopulationTot.&amp;%'!$B$4:$CZ$603,72,FALSE)</f>
        <v>7.0520862262145307</v>
      </c>
      <c r="CI185">
        <f>VLOOKUP($B185,'[1]Data_UN_PopulationTot.&amp;%'!$B$4:$CZ$603,73,FALSE)</f>
        <v>7.1421047087327505</v>
      </c>
      <c r="CJ185">
        <f>VLOOKUP($B185,'[1]Data_UN_PopulationTot.&amp;%'!$B$4:$CZ$603,74,FALSE)</f>
        <v>6.2850138379475782</v>
      </c>
      <c r="CK185">
        <f>VLOOKUP($B185,'[1]Data_UN_PopulationTot.&amp;%'!$B$4:$CZ$603,75,FALSE)</f>
        <v>6.0781628568418835</v>
      </c>
      <c r="CL185">
        <f>VLOOKUP($B185,'[1]Data_UN_PopulationTot.&amp;%'!$B$4:$CZ$603,76,FALSE)</f>
        <v>4.3611081849784048</v>
      </c>
      <c r="CM185">
        <f>VLOOKUP($B185,'[1]Data_UN_PopulationTot.&amp;%'!$B$4:$CZ$603,77,FALSE)</f>
        <v>2.2916407304904092</v>
      </c>
      <c r="CN185">
        <f>VLOOKUP($B185,'[1]Data_UN_PopulationTot.&amp;%'!$B$4:$CZ$603,78,FALSE)</f>
        <v>1.0332972620974306</v>
      </c>
      <c r="CO185">
        <f>VLOOKUP($B185,'[1]Data_UN_PopulationTot.&amp;%'!$B$4:$CZ$603,79,FALSE)</f>
        <v>0.35145513919347265</v>
      </c>
      <c r="CP185">
        <f>VLOOKUP($B185,'[1]Data_UN_PopulationTot.&amp;%'!$B$4:$CZ$603,80,FALSE)</f>
        <v>8.4272621931949857E-2</v>
      </c>
      <c r="CQ185">
        <f>VLOOKUP($B185,'[1]Data_UN_PopulationTot.&amp;%'!$B$4:$CZ$603,81,FALSE)</f>
        <v>1.0534077741493732E-2</v>
      </c>
      <c r="CR185">
        <f>VLOOKUP($B185,'[1]Data_UN_PopulationTot.&amp;%'!$B$4:$CZ$603,82,FALSE)</f>
        <v>5.3095235730531254</v>
      </c>
      <c r="CS185">
        <f>VLOOKUP($B185,'[1]Data_UN_PopulationTot.&amp;%'!$B$4:$CZ$603,83,FALSE)</f>
        <v>5.4942544717788788</v>
      </c>
      <c r="CT185">
        <f>VLOOKUP($B185,'[1]Data_UN_PopulationTot.&amp;%'!$B$4:$CZ$603,84,FALSE)</f>
        <v>5.8110778948622963</v>
      </c>
      <c r="CU185">
        <f>VLOOKUP($B185,'[1]Data_UN_PopulationTot.&amp;%'!$B$4:$CZ$603,85,FALSE)</f>
        <v>6.5440424285160947</v>
      </c>
      <c r="CV185">
        <f>VLOOKUP($B185,'[1]Data_UN_PopulationTot.&amp;%'!$B$4:$CZ$603,86,FALSE)</f>
        <v>6.493390407897742</v>
      </c>
      <c r="CW185">
        <f>VLOOKUP($B185,'[1]Data_UN_PopulationTot.&amp;%'!$B$4:$CZ$603,87,FALSE)</f>
        <v>5.8637162692303875</v>
      </c>
      <c r="CX185">
        <f>VLOOKUP($B185,'[1]Data_UN_PopulationTot.&amp;%'!$B$4:$CZ$603,88,FALSE)</f>
        <v>5.705801146126114</v>
      </c>
      <c r="CY185">
        <f>VLOOKUP($B185,'[1]Data_UN_PopulationTot.&amp;%'!$B$4:$CZ$603,89,FALSE)</f>
        <v>5.6720331323805464</v>
      </c>
      <c r="CZ185">
        <f>VLOOKUP($B185,'[1]Data_UN_PopulationTot.&amp;%'!$B$4:$CZ$603,90,FALSE)</f>
        <v>4.28754456881226</v>
      </c>
      <c r="DA185">
        <f>VLOOKUP($B185,'[1]Data_UN_PopulationTot.&amp;%'!$B$4:$CZ$603,91,FALSE)</f>
        <v>4.7463922850020355</v>
      </c>
      <c r="DB185">
        <f>VLOOKUP($B185,'[1]Data_UN_PopulationTot.&amp;%'!$B$4:$CZ$603,92,FALSE)</f>
        <v>5.2827077974316445</v>
      </c>
      <c r="DC185">
        <f>VLOOKUP($B185,'[1]Data_UN_PopulationTot.&amp;%'!$B$4:$CZ$603,93,FALSE)</f>
        <v>5.9471431267194381</v>
      </c>
      <c r="DD185">
        <f>VLOOKUP($B185,'[1]Data_UN_PopulationTot.&amp;%'!$B$4:$CZ$603,94,FALSE)</f>
        <v>6.7039439053701075</v>
      </c>
      <c r="DE185">
        <f>VLOOKUP($B185,'[1]Data_UN_PopulationTot.&amp;%'!$B$4:$CZ$603,95,FALSE)</f>
        <v>6.7943230009832449</v>
      </c>
      <c r="DF185">
        <f>VLOOKUP($B185,'[1]Data_UN_PopulationTot.&amp;%'!$B$4:$CZ$603,96,FALSE)</f>
        <v>6.5410628978914866</v>
      </c>
      <c r="DG185">
        <f>VLOOKUP($B185,'[1]Data_UN_PopulationTot.&amp;%'!$B$4:$CZ$603,97,FALSE)</f>
        <v>5.2519193143106859</v>
      </c>
      <c r="DH185">
        <f>VLOOKUP($B185,'[1]Data_UN_PopulationTot.&amp;%'!$B$4:$CZ$603,98,FALSE)</f>
        <v>4.2935036300614779</v>
      </c>
      <c r="DI185">
        <f>VLOOKUP($B185,'[1]Data_UN_PopulationTot.&amp;%'!$B$4:$CZ$603,99,FALSE)</f>
        <v>2.2902658734494028</v>
      </c>
      <c r="DJ185">
        <f>VLOOKUP($B185,'[1]Data_UN_PopulationTot.&amp;%'!$B$4:$DE$603,100,FALSE)</f>
        <v>0.75978030927527884</v>
      </c>
      <c r="DK185">
        <f>VLOOKUP($B185,'[1]Data_UN_PopulationTot.&amp;%'!$B$4:$DE$603,101,FALSE)</f>
        <v>0.18175136810114514</v>
      </c>
      <c r="DL185">
        <f>VLOOKUP($B185,'[1]Data_UN_PopulationTot.&amp;%'!$B$4:$DE$603,102,FALSE)</f>
        <v>2.5822598746610786E-2</v>
      </c>
    </row>
    <row r="186" spans="1:116">
      <c r="A186" t="s">
        <v>161</v>
      </c>
      <c r="B186" t="s">
        <v>375</v>
      </c>
      <c r="C186" t="s">
        <v>493</v>
      </c>
      <c r="D186" t="s">
        <v>334</v>
      </c>
      <c r="E186" t="s">
        <v>300</v>
      </c>
      <c r="F186">
        <v>0</v>
      </c>
      <c r="G186">
        <v>1</v>
      </c>
      <c r="H186">
        <v>0</v>
      </c>
      <c r="I186">
        <v>0</v>
      </c>
      <c r="J186" s="18">
        <f t="shared" si="5"/>
        <v>1166434.4257499999</v>
      </c>
      <c r="K186">
        <f>VLOOKUP($B186,'[1]Source GDP Current USD'!$B$1:$CZ$600,64,FALSE)</f>
        <v>271158442448.53699</v>
      </c>
      <c r="L186" s="45">
        <f>VLOOKUP($B186,'[1]Source GDP Current USD'!$B$1:$CZ$600,65,FALSE)</f>
        <v>271158442448.53699</v>
      </c>
      <c r="M186" s="17">
        <f>VLOOKUP($B186,'[1]Source GDP Current LCU'!$B$1:$CZ$600,64,FALSE)</f>
        <v>6293145000000000</v>
      </c>
      <c r="N186" s="45">
        <v>6300000000000000</v>
      </c>
      <c r="O186" s="45">
        <f>VLOOKUP($B186,'[1]Source GNI Current USD'!$B$1:$CZ$600,64,FALSE)</f>
        <v>255541015350.05399</v>
      </c>
      <c r="P186" s="45">
        <f>VLOOKUP($B186,'[1]Source GNI Current LCU'!$B$1:$CZ$600,64,FALSE)</f>
        <v>5930690000000000</v>
      </c>
      <c r="Q186">
        <f t="shared" si="4"/>
        <v>106.11151484903105</v>
      </c>
      <c r="R186">
        <v>2650</v>
      </c>
      <c r="S186">
        <v>2650</v>
      </c>
      <c r="T186">
        <v>0.322044</v>
      </c>
      <c r="U186" s="45">
        <v>97000000</v>
      </c>
      <c r="V186">
        <v>18.535</v>
      </c>
      <c r="W186">
        <f>VLOOKUP($B186,'[1]Source Gov. Revenue WEO'!$B$1:$CZ$600,5,FALSE)</f>
        <v>15.648999999999999</v>
      </c>
      <c r="X186">
        <f>VLOOKUP($B186,'[1]Source Gov. Revenue WEO'!$B$1:$CZ$600,6,FALSE)</f>
        <v>15.792999999999999</v>
      </c>
      <c r="Y186">
        <f>VLOOKUP($B186,'[1]Source Gov. Revenue WEO'!$B$1:$CZ$600,7,FALSE)</f>
        <v>15.996</v>
      </c>
      <c r="Z186">
        <f>VLOOKUP($B186,'[1]Source Gov. Revenue WEO'!$B$1:$CZ$600,8,FALSE)</f>
        <v>16.233000000000001</v>
      </c>
      <c r="AA186">
        <f>VLOOKUP($B186,'[1]Source Gov. Revenue WEO'!$B$1:$CZ$600,9,FALSE)</f>
        <v>16.503</v>
      </c>
      <c r="AB186">
        <f>VLOOKUP($B186,'[1]Source Gov. Revenue WEO'!$B$1:$CZ$600,10,FALSE)</f>
        <v>16.771999999999998</v>
      </c>
      <c r="AC186">
        <f>VLOOKUP($B186,[2]Summary!$B$1:$CZ$600,39,FALSE)</f>
        <v>1.9237010000000002E-2</v>
      </c>
      <c r="AD186">
        <f>VLOOKUP($B186,[2]Summary!$B$1:$CZ$600,40,FALSE)</f>
        <v>3.0000000000000001E-3</v>
      </c>
      <c r="AE186">
        <f>VLOOKUP($B186,[2]Summary!$B$1:$CZ$600,47,FALSE)</f>
        <v>0.2006574645906575</v>
      </c>
      <c r="AF186">
        <f>VLOOKUP($B186,'[1]CALC GDP Growth rates WDI'!$B$1:$CZ$600,27,FALSE)</f>
        <v>78.289557833154305</v>
      </c>
      <c r="AG186">
        <f>VLOOKUP($B186,'[1]CALC GDP Growth rates WDI'!$B$1:$CZ$600,29,FALSE)</f>
        <v>73.44610965415734</v>
      </c>
      <c r="AH186">
        <v>33.799999999999997</v>
      </c>
      <c r="AI186">
        <f>VLOOKUP($B186,'[1]CALC GDP Growth rates WDI'!$B$1:$CZ$600,30,FALSE)</f>
        <v>30.454148206979536</v>
      </c>
      <c r="AK186">
        <f>VLOOKUP($B186,[1]Data_Aspire!$B$1:$CZ$600,2,FALSE)</f>
        <v>2016</v>
      </c>
      <c r="AL186">
        <f>VLOOKUP($B186,[1]Data_Aspire!$B$1:$CZ$600,3,FALSE)</f>
        <v>1.92</v>
      </c>
      <c r="AM186">
        <f>VLOOKUP($B186,[1]Data_Aspire!$B$1:$CZ$600,4,FALSE)</f>
        <v>0</v>
      </c>
      <c r="AN186">
        <f>VLOOKUP($B186,[1]Data_Aspire!$B$1:$CZ$600,5,FALSE)</f>
        <v>0.33</v>
      </c>
      <c r="AO186">
        <f>VLOOKUP($B186,[1]Data_Aspire!$B$1:$CZ$600,6,FALSE)</f>
        <v>0.71</v>
      </c>
      <c r="AP186">
        <f>VLOOKUP($B186,[1]Data_Aspire!$B$1:$CZ$600,7,FALSE)</f>
        <v>0.03</v>
      </c>
      <c r="AR186">
        <f>VLOOKUP($B186,[1]Data_Aspire!$B$1:$CZ$600,9,FALSE)</f>
        <v>0.01</v>
      </c>
      <c r="AS186">
        <f>VLOOKUP($B186,[1]Data_Aspire!$B$1:$CZ$600,10,FALSE)</f>
        <v>0.72</v>
      </c>
      <c r="AT186">
        <f>VLOOKUP($B186,[1]Data_Aspire!$B$1:$CZ$600,11,FALSE)</f>
        <v>0.12</v>
      </c>
      <c r="AU186">
        <f>VLOOKUP($B186,[1]Data_Aspire!$B$1:$CZ$600,12,FALSE)</f>
        <v>1.31</v>
      </c>
      <c r="AX186">
        <f>VLOOKUP($B186,[1]Data_Aspire!$B$1:$CZ$600,15,FALSE)</f>
        <v>3056436</v>
      </c>
      <c r="AY186">
        <f>VLOOKUP($B186,[1]Data_Aspire!$B$1:$CZ$600,16,FALSE)</f>
        <v>2014</v>
      </c>
      <c r="AZ186">
        <f>VLOOKUP($B186,[1]Data_Aspire!$B$1:$CZ$600,17,FALSE)</f>
        <v>2200844</v>
      </c>
      <c r="BA186">
        <f>VLOOKUP($B186,[1]Data_Aspire!$B$1:$CZ$600,18,FALSE)</f>
        <v>2018</v>
      </c>
      <c r="BB186">
        <f>VLOOKUP($B186,[1]Data_Aspire!$B$1:$CZ$600,19,FALSE)</f>
        <v>2092170</v>
      </c>
      <c r="BC186">
        <f>VLOOKUP($B186,[1]Data_Aspire!$B$1:$CZ$600,20,FALSE)</f>
        <v>2015</v>
      </c>
      <c r="BH186">
        <f>VLOOKUP($B186,[1]Data_Aspire!$B$1:$CZ$600,25,FALSE)</f>
        <v>162540</v>
      </c>
      <c r="BI186">
        <f>VLOOKUP($B186,[1]Data_Aspire!$B$1:$CZ$600,26,FALSE)</f>
        <v>2013</v>
      </c>
      <c r="BJ186" s="7">
        <v>0</v>
      </c>
      <c r="BK186">
        <v>704</v>
      </c>
      <c r="BL186">
        <f>VLOOKUP($B186,'[1]Data_UN_PopulationTot.&amp;%'!$B$4:$CZ$603,8,FALSE)</f>
        <v>97338.6</v>
      </c>
      <c r="BM186">
        <f>VLOOKUP($B186,'[1]Data_UN_PopulationTot.&amp;%'!$B$4:$CZ$603,9,FALSE)</f>
        <v>98168.8</v>
      </c>
      <c r="BN186">
        <v>98953.5</v>
      </c>
      <c r="BO186">
        <f>VLOOKUP($B186,'[1]Data_UN_PopulationTot.&amp;%'!$B$4:$CZ$603,11,FALSE)</f>
        <v>99698.6</v>
      </c>
      <c r="BP186">
        <f>VLOOKUP($B186,'[1]Data_UN_PopulationTot.&amp;%'!$B$4:$CZ$603,12,FALSE)</f>
        <v>100414</v>
      </c>
      <c r="BQ186">
        <f>VLOOKUP($B186,'[1]Data_UN_PopulationTot.&amp;%'!$B$4:$CZ$603,13,FALSE)</f>
        <v>101107</v>
      </c>
      <c r="BR186">
        <f>VLOOKUP($B186,'[1]Data_UN_PopulationTot.&amp;%'!$B$4:$CZ$603,14,FALSE)</f>
        <v>101779</v>
      </c>
      <c r="BS186">
        <f>VLOOKUP($B186,'[1]Data_UN_PopulationTot.&amp;%'!$B$4:$CZ$603,15,FALSE)</f>
        <v>102426</v>
      </c>
      <c r="BT186">
        <f>VLOOKUP($B186,'[1]Data_UN_PopulationTot.&amp;%'!$B$4:$CZ$603,16,FALSE)</f>
        <v>103043</v>
      </c>
      <c r="BU186">
        <f>VLOOKUP($B186,'[1]Data_UN_PopulationTot.&amp;%'!$B$4:$CZ$603,17,FALSE)</f>
        <v>103624</v>
      </c>
      <c r="BV186">
        <f>VLOOKUP($B186,'[1]Data_UN_PopulationTot.&amp;%'!$B$4:$CZ$603,18,FALSE)</f>
        <v>104164</v>
      </c>
      <c r="BW186">
        <f>VLOOKUP($B186,'[1]Data_UN_PopulationTot.&amp;%'!$B$4:$CZ$603,61,FALSE)</f>
        <v>8.1082633199984375</v>
      </c>
      <c r="BX186">
        <f>VLOOKUP($B186,'[1]Data_UN_PopulationTot.&amp;%'!$B$4:$CZ$603,62,FALSE)</f>
        <v>7.7935166521811494</v>
      </c>
      <c r="BY186">
        <f>VLOOKUP($B186,'[1]Data_UN_PopulationTot.&amp;%'!$B$4:$CZ$603,63,FALSE)</f>
        <v>7.292245830533826</v>
      </c>
      <c r="BZ186">
        <f>VLOOKUP($B186,'[1]Data_UN_PopulationTot.&amp;%'!$B$4:$CZ$603,64,FALSE)</f>
        <v>6.6786146503031674</v>
      </c>
      <c r="CA186">
        <f>VLOOKUP($B186,'[1]Data_UN_PopulationTot.&amp;%'!$B$4:$CZ$603,65,FALSE)</f>
        <v>7.0066756661797056</v>
      </c>
      <c r="CB186">
        <f>VLOOKUP($B186,'[1]Data_UN_PopulationTot.&amp;%'!$B$4:$CZ$603,66,FALSE)</f>
        <v>8.80358870992597</v>
      </c>
      <c r="CC186">
        <f>VLOOKUP($B186,'[1]Data_UN_PopulationTot.&amp;%'!$B$4:$CZ$603,67,FALSE)</f>
        <v>8.6677125004879869</v>
      </c>
      <c r="CD186">
        <f>VLOOKUP($B186,'[1]Data_UN_PopulationTot.&amp;%'!$B$4:$CZ$603,68,FALSE)</f>
        <v>7.9761780013273249</v>
      </c>
      <c r="CE186">
        <f>VLOOKUP($B186,'[1]Data_UN_PopulationTot.&amp;%'!$B$4:$CZ$603,69,FALSE)</f>
        <v>7.2261466674063524</v>
      </c>
      <c r="CF186">
        <f>VLOOKUP($B186,'[1]Data_UN_PopulationTot.&amp;%'!$B$4:$CZ$603,70,FALSE)</f>
        <v>6.7179310160614598</v>
      </c>
      <c r="CG186">
        <f>VLOOKUP($B186,'[1]Data_UN_PopulationTot.&amp;%'!$B$4:$CZ$603,71,FALSE)</f>
        <v>6.0288107698282074</v>
      </c>
      <c r="CH186">
        <f>VLOOKUP($B186,'[1]Data_UN_PopulationTot.&amp;%'!$B$4:$CZ$603,72,FALSE)</f>
        <v>5.3849243773795799</v>
      </c>
      <c r="CI186">
        <f>VLOOKUP($B186,'[1]Data_UN_PopulationTot.&amp;%'!$B$4:$CZ$603,73,FALSE)</f>
        <v>4.4493654110496754</v>
      </c>
      <c r="CJ186">
        <f>VLOOKUP($B186,'[1]Data_UN_PopulationTot.&amp;%'!$B$4:$CZ$603,74,FALSE)</f>
        <v>3.0940757315186369</v>
      </c>
      <c r="CK186">
        <f>VLOOKUP($B186,'[1]Data_UN_PopulationTot.&amp;%'!$B$4:$CZ$603,75,FALSE)</f>
        <v>1.6971273472188833</v>
      </c>
      <c r="CL186">
        <f>VLOOKUP($B186,'[1]Data_UN_PopulationTot.&amp;%'!$B$4:$CZ$603,76,FALSE)</f>
        <v>1.1573106660666992</v>
      </c>
      <c r="CM186">
        <f>VLOOKUP($B186,'[1]Data_UN_PopulationTot.&amp;%'!$B$4:$CZ$603,77,FALSE)</f>
        <v>0.88411585948431559</v>
      </c>
      <c r="CN186">
        <f>VLOOKUP($B186,'[1]Data_UN_PopulationTot.&amp;%'!$B$4:$CZ$603,78,FALSE)</f>
        <v>0.62582880789327155</v>
      </c>
      <c r="CO186">
        <f>VLOOKUP($B186,'[1]Data_UN_PopulationTot.&amp;%'!$B$4:$CZ$603,79,FALSE)</f>
        <v>0.28213370646382829</v>
      </c>
      <c r="CP186">
        <f>VLOOKUP($B186,'[1]Data_UN_PopulationTot.&amp;%'!$B$4:$CZ$603,80,FALSE)</f>
        <v>0.10091063565738564</v>
      </c>
      <c r="CQ186">
        <f>VLOOKUP($B186,'[1]Data_UN_PopulationTot.&amp;%'!$B$4:$CZ$603,81,FALSE)</f>
        <v>2.450209885903434E-2</v>
      </c>
      <c r="CR186">
        <f>VLOOKUP($B186,'[1]Data_UN_PopulationTot.&amp;%'!$B$4:$CZ$603,82,FALSE)</f>
        <v>6.6956626089627891</v>
      </c>
      <c r="CS186">
        <f>VLOOKUP($B186,'[1]Data_UN_PopulationTot.&amp;%'!$B$4:$CZ$603,83,FALSE)</f>
        <v>7.027869513459545</v>
      </c>
      <c r="CT186">
        <f>VLOOKUP($B186,'[1]Data_UN_PopulationTot.&amp;%'!$B$4:$CZ$603,84,FALSE)</f>
        <v>7.4641046810798359</v>
      </c>
      <c r="CU186">
        <f>VLOOKUP($B186,'[1]Data_UN_PopulationTot.&amp;%'!$B$4:$CZ$603,85,FALSE)</f>
        <v>7.1764621174302059</v>
      </c>
      <c r="CV186">
        <f>VLOOKUP($B186,'[1]Data_UN_PopulationTot.&amp;%'!$B$4:$CZ$603,86,FALSE)</f>
        <v>6.6625417610690834</v>
      </c>
      <c r="CW186">
        <f>VLOOKUP($B186,'[1]Data_UN_PopulationTot.&amp;%'!$B$4:$CZ$603,87,FALSE)</f>
        <v>6.0001824046695598</v>
      </c>
      <c r="CX186">
        <f>VLOOKUP($B186,'[1]Data_UN_PopulationTot.&amp;%'!$B$4:$CZ$603,88,FALSE)</f>
        <v>6.2924810875158403</v>
      </c>
      <c r="CY186">
        <f>VLOOKUP($B186,'[1]Data_UN_PopulationTot.&amp;%'!$B$4:$CZ$603,89,FALSE)</f>
        <v>7.9979743481433125</v>
      </c>
      <c r="CZ186">
        <f>VLOOKUP($B186,'[1]Data_UN_PopulationTot.&amp;%'!$B$4:$CZ$603,90,FALSE)</f>
        <v>7.9012614722936911</v>
      </c>
      <c r="DA186">
        <f>VLOOKUP($B186,'[1]Data_UN_PopulationTot.&amp;%'!$B$4:$CZ$603,91,FALSE)</f>
        <v>7.25869782266426</v>
      </c>
      <c r="DB186">
        <f>VLOOKUP($B186,'[1]Data_UN_PopulationTot.&amp;%'!$B$4:$CZ$603,92,FALSE)</f>
        <v>6.5169444337775051</v>
      </c>
      <c r="DC186">
        <f>VLOOKUP($B186,'[1]Data_UN_PopulationTot.&amp;%'!$B$4:$CZ$603,93,FALSE)</f>
        <v>5.9215179908605666</v>
      </c>
      <c r="DD186">
        <f>VLOOKUP($B186,'[1]Data_UN_PopulationTot.&amp;%'!$B$4:$CZ$603,94,FALSE)</f>
        <v>5.1357378748895979</v>
      </c>
      <c r="DE186">
        <f>VLOOKUP($B186,'[1]Data_UN_PopulationTot.&amp;%'!$B$4:$CZ$603,95,FALSE)</f>
        <v>4.395616527783111</v>
      </c>
      <c r="DF186">
        <f>VLOOKUP($B186,'[1]Data_UN_PopulationTot.&amp;%'!$B$4:$CZ$603,96,FALSE)</f>
        <v>3.3947909066472102</v>
      </c>
      <c r="DG186">
        <f>VLOOKUP($B186,'[1]Data_UN_PopulationTot.&amp;%'!$B$4:$CZ$603,97,FALSE)</f>
        <v>2.132704197227449</v>
      </c>
      <c r="DH186">
        <f>VLOOKUP($B186,'[1]Data_UN_PopulationTot.&amp;%'!$B$4:$CZ$603,98,FALSE)</f>
        <v>1.0110018816481703</v>
      </c>
      <c r="DI186">
        <f>VLOOKUP($B186,'[1]Data_UN_PopulationTot.&amp;%'!$B$4:$CZ$603,99,FALSE)</f>
        <v>0.54920413962597447</v>
      </c>
      <c r="DJ186">
        <f>VLOOKUP($B186,'[1]Data_UN_PopulationTot.&amp;%'!$B$4:$DE$603,100,FALSE)</f>
        <v>0.29964671095580053</v>
      </c>
      <c r="DK186">
        <f>VLOOKUP($B186,'[1]Data_UN_PopulationTot.&amp;%'!$B$4:$DE$603,101,FALSE)</f>
        <v>0.13075822741062171</v>
      </c>
      <c r="DL186">
        <f>VLOOKUP($B186,'[1]Data_UN_PopulationTot.&amp;%'!$B$4:$DE$603,102,FALSE)</f>
        <v>3.4380400138243533E-2</v>
      </c>
    </row>
    <row r="187" spans="1:116">
      <c r="A187" t="s">
        <v>153</v>
      </c>
      <c r="B187" t="s">
        <v>367</v>
      </c>
      <c r="C187" t="s">
        <v>493</v>
      </c>
      <c r="D187" t="s">
        <v>334</v>
      </c>
      <c r="E187" t="s">
        <v>300</v>
      </c>
      <c r="F187">
        <v>0</v>
      </c>
      <c r="G187">
        <v>1</v>
      </c>
      <c r="H187">
        <v>0</v>
      </c>
      <c r="I187">
        <v>0</v>
      </c>
      <c r="J187" s="18">
        <f t="shared" si="5"/>
        <v>44.999865460000002</v>
      </c>
      <c r="K187">
        <f>VLOOKUP($B187,'[1]Source GDP Current USD'!$B$1:$CZ$600,64,FALSE)</f>
        <v>881547928.58380997</v>
      </c>
      <c r="L187" s="45">
        <f>VLOOKUP($B187,'[1]Source GDP Current USD'!$B$1:$CZ$600,65,FALSE)</f>
        <v>881547928.58380997</v>
      </c>
      <c r="M187" s="17">
        <f>VLOOKUP($B187,'[1]Source GDP Current LCU'!$B$1:$CZ$600,64,FALSE)</f>
        <v>101713000000</v>
      </c>
      <c r="N187" s="45">
        <v>100000000000</v>
      </c>
      <c r="O187" s="45">
        <f>VLOOKUP($B187,'[1]Source GNI Current USD'!$B$1:$CZ$600,64,FALSE)</f>
        <v>971178713.81521904</v>
      </c>
      <c r="P187" s="45">
        <f>VLOOKUP($B187,'[1]Source GNI Current LCU'!$B$1:$CZ$600,64,FALSE)</f>
        <v>112054600000</v>
      </c>
      <c r="Q187">
        <f t="shared" si="4"/>
        <v>90.770927744153298</v>
      </c>
      <c r="R187">
        <v>3190</v>
      </c>
      <c r="S187">
        <v>3190</v>
      </c>
      <c r="T187">
        <v>0.95324699999999996</v>
      </c>
      <c r="U187">
        <v>307000</v>
      </c>
      <c r="V187">
        <v>44.241999999999997</v>
      </c>
      <c r="W187">
        <f>VLOOKUP($B187,'[1]Source Gov. Revenue WEO'!$B$1:$CZ$600,5,FALSE)</f>
        <v>40.552</v>
      </c>
      <c r="X187">
        <f>VLOOKUP($B187,'[1]Source Gov. Revenue WEO'!$B$1:$CZ$600,6,FALSE)</f>
        <v>34.232999999999997</v>
      </c>
      <c r="Y187">
        <f>VLOOKUP($B187,'[1]Source Gov. Revenue WEO'!$B$1:$CZ$600,7,FALSE)</f>
        <v>32.115000000000002</v>
      </c>
      <c r="Z187">
        <f>VLOOKUP($B187,'[1]Source Gov. Revenue WEO'!$B$1:$CZ$600,8,FALSE)</f>
        <v>31.648</v>
      </c>
      <c r="AA187">
        <f>VLOOKUP($B187,'[1]Source Gov. Revenue WEO'!$B$1:$CZ$600,9,FALSE)</f>
        <v>31.010999999999999</v>
      </c>
      <c r="AB187">
        <f>VLOOKUP($B187,'[1]Source Gov. Revenue WEO'!$B$1:$CZ$600,10,FALSE)</f>
        <v>30.606000000000002</v>
      </c>
      <c r="AC187">
        <f>VLOOKUP($B187,[2]Summary!$B$1:$CZ$600,39,FALSE)</f>
        <v>0.1440756</v>
      </c>
      <c r="AD187">
        <f>VLOOKUP($B187,[2]Summary!$B$1:$CZ$600,40,FALSE)</f>
        <v>0.193</v>
      </c>
      <c r="AE187">
        <f>VLOOKUP($B187,[2]Summary!$B$1:$CZ$600,47,FALSE)</f>
        <v>0.34288120287833779</v>
      </c>
      <c r="AF187">
        <f>VLOOKUP($B187,'[1]CALC GDP Growth rates WDI'!$B$1:$CZ$600,27,FALSE)</f>
        <v>20.150269505090723</v>
      </c>
      <c r="AG187">
        <f>VLOOKUP($B187,'[1]CALC GDP Growth rates WDI'!$B$1:$CZ$600,29,FALSE)</f>
        <v>25.533311692916904</v>
      </c>
      <c r="AH187">
        <v>10.89</v>
      </c>
      <c r="AI187">
        <f>VLOOKUP($B187,'[1]CALC GDP Growth rates WDI'!$B$1:$CZ$600,30,FALSE)</f>
        <v>14.851287170792805</v>
      </c>
      <c r="AJ187" s="45" t="s">
        <v>2465</v>
      </c>
      <c r="AM187">
        <f>VLOOKUP($B187,[1]Data_Aspire!$B$1:$CZ$600,4,FALSE)</f>
        <v>0</v>
      </c>
      <c r="AN187">
        <f>VLOOKUP($B187,[1]Data_Aspire!$B$1:$CZ$600,5,FALSE)</f>
        <v>0</v>
      </c>
      <c r="AO187">
        <f>VLOOKUP($B187,[1]Data_Aspire!$B$1:$CZ$600,6,FALSE)</f>
        <v>0</v>
      </c>
      <c r="AP187">
        <f>VLOOKUP($B187,[1]Data_Aspire!$B$1:$CZ$600,7,FALSE)</f>
        <v>0</v>
      </c>
      <c r="AX187">
        <f>VLOOKUP($B187,[1]Data_Aspire!$B$1:$CZ$600,15,FALSE)</f>
        <v>38493</v>
      </c>
      <c r="AY187">
        <f>VLOOKUP($B187,[1]Data_Aspire!$B$1:$CZ$600,16,FALSE)</f>
        <v>2009</v>
      </c>
      <c r="BJ187" s="7">
        <v>0</v>
      </c>
      <c r="BK187">
        <v>548</v>
      </c>
      <c r="BL187">
        <f>VLOOKUP($B187,'[1]Data_UN_PopulationTot.&amp;%'!$B$4:$CZ$603,8,FALSE)</f>
        <v>307.14999999999998</v>
      </c>
      <c r="BM187">
        <f>VLOOKUP($B187,'[1]Data_UN_PopulationTot.&amp;%'!$B$4:$CZ$603,9,FALSE)</f>
        <v>314.464</v>
      </c>
      <c r="BN187">
        <v>321.834</v>
      </c>
      <c r="BO187">
        <f>VLOOKUP($B187,'[1]Data_UN_PopulationTot.&amp;%'!$B$4:$CZ$603,11,FALSE)</f>
        <v>329.24900000000002</v>
      </c>
      <c r="BP187">
        <f>VLOOKUP($B187,'[1]Data_UN_PopulationTot.&amp;%'!$B$4:$CZ$603,12,FALSE)</f>
        <v>336.73899999999998</v>
      </c>
      <c r="BQ187">
        <f>VLOOKUP($B187,'[1]Data_UN_PopulationTot.&amp;%'!$B$4:$CZ$603,13,FALSE)</f>
        <v>344.3</v>
      </c>
      <c r="BR187">
        <f>VLOOKUP($B187,'[1]Data_UN_PopulationTot.&amp;%'!$B$4:$CZ$603,14,FALSE)</f>
        <v>351.94499999999999</v>
      </c>
      <c r="BS187">
        <f>VLOOKUP($B187,'[1]Data_UN_PopulationTot.&amp;%'!$B$4:$CZ$603,15,FALSE)</f>
        <v>359.678</v>
      </c>
      <c r="BT187">
        <f>VLOOKUP($B187,'[1]Data_UN_PopulationTot.&amp;%'!$B$4:$CZ$603,16,FALSE)</f>
        <v>367.5</v>
      </c>
      <c r="BU187">
        <f>VLOOKUP($B187,'[1]Data_UN_PopulationTot.&amp;%'!$B$4:$CZ$603,17,FALSE)</f>
        <v>375.38900000000001</v>
      </c>
      <c r="BV187">
        <f>VLOOKUP($B187,'[1]Data_UN_PopulationTot.&amp;%'!$B$4:$CZ$603,18,FALSE)</f>
        <v>383.37700000000001</v>
      </c>
      <c r="BW187">
        <f>VLOOKUP($B187,'[1]Data_UN_PopulationTot.&amp;%'!$B$4:$CZ$603,61,FALSE)</f>
        <v>13.70014650822074</v>
      </c>
      <c r="BX187">
        <f>VLOOKUP($B187,'[1]Data_UN_PopulationTot.&amp;%'!$B$4:$CZ$603,62,FALSE)</f>
        <v>12.6338922350643</v>
      </c>
      <c r="BY187">
        <f>VLOOKUP($B187,'[1]Data_UN_PopulationTot.&amp;%'!$B$4:$CZ$603,63,FALSE)</f>
        <v>12.076184274784307</v>
      </c>
      <c r="BZ187">
        <f>VLOOKUP($B187,'[1]Data_UN_PopulationTot.&amp;%'!$B$4:$CZ$603,64,FALSE)</f>
        <v>9.7131694611753225</v>
      </c>
      <c r="CA187">
        <f>VLOOKUP($B187,'[1]Data_UN_PopulationTot.&amp;%'!$B$4:$CZ$603,65,FALSE)</f>
        <v>8.4352922025069201</v>
      </c>
      <c r="CB187">
        <f>VLOOKUP($B187,'[1]Data_UN_PopulationTot.&amp;%'!$B$4:$CZ$603,66,FALSE)</f>
        <v>8.0934396874491306</v>
      </c>
      <c r="CC187">
        <f>VLOOKUP($B187,'[1]Data_UN_PopulationTot.&amp;%'!$B$4:$CZ$603,67,FALSE)</f>
        <v>7.4872212274133165</v>
      </c>
      <c r="CD187">
        <f>VLOOKUP($B187,'[1]Data_UN_PopulationTot.&amp;%'!$B$4:$CZ$603,68,FALSE)</f>
        <v>5.8622822725052908</v>
      </c>
      <c r="CE187">
        <f>VLOOKUP($B187,'[1]Data_UN_PopulationTot.&amp;%'!$B$4:$CZ$603,69,FALSE)</f>
        <v>5.2469477454012701</v>
      </c>
      <c r="CF187">
        <f>VLOOKUP($B187,'[1]Data_UN_PopulationTot.&amp;%'!$B$4:$CZ$603,70,FALSE)</f>
        <v>4.2572033208530033</v>
      </c>
      <c r="CG187">
        <f>VLOOKUP($B187,'[1]Data_UN_PopulationTot.&amp;%'!$B$4:$CZ$603,71,FALSE)</f>
        <v>3.7642845515220578</v>
      </c>
      <c r="CH187">
        <f>VLOOKUP($B187,'[1]Data_UN_PopulationTot.&amp;%'!$B$4:$CZ$603,72,FALSE)</f>
        <v>2.9246296597753547</v>
      </c>
      <c r="CI187">
        <f>VLOOKUP($B187,'[1]Data_UN_PopulationTot.&amp;%'!$B$4:$CZ$603,73,FALSE)</f>
        <v>2.1976233110857892</v>
      </c>
      <c r="CJ187">
        <f>VLOOKUP($B187,'[1]Data_UN_PopulationTot.&amp;%'!$B$4:$CZ$603,74,FALSE)</f>
        <v>1.5259645124531989</v>
      </c>
      <c r="CK187">
        <f>VLOOKUP($B187,'[1]Data_UN_PopulationTot.&amp;%'!$B$4:$CZ$603,75,FALSE)</f>
        <v>1.0252319713495037</v>
      </c>
      <c r="CL187">
        <f>VLOOKUP($B187,'[1]Data_UN_PopulationTot.&amp;%'!$B$4:$CZ$603,76,FALSE)</f>
        <v>0.54989418850724414</v>
      </c>
      <c r="CM187">
        <f>VLOOKUP($B187,'[1]Data_UN_PopulationTot.&amp;%'!$B$4:$CZ$603,77,FALSE)</f>
        <v>0.39426990069998374</v>
      </c>
      <c r="CN187">
        <f>VLOOKUP($B187,'[1]Data_UN_PopulationTot.&amp;%'!$B$4:$CZ$603,78,FALSE)</f>
        <v>9.66954256877747E-2</v>
      </c>
      <c r="CO187">
        <f>VLOOKUP($B187,'[1]Data_UN_PopulationTot.&amp;%'!$B$4:$CZ$603,79,FALSE)</f>
        <v>1.4325248250040697E-2</v>
      </c>
      <c r="CP187">
        <f>VLOOKUP($B187,'[1]Data_UN_PopulationTot.&amp;%'!$B$4:$CZ$603,80,FALSE)</f>
        <v>1.3022952954582453E-3</v>
      </c>
      <c r="CQ187">
        <f>VLOOKUP($B187,'[1]Data_UN_PopulationTot.&amp;%'!$B$4:$CZ$603,81,FALSE)</f>
        <v>0</v>
      </c>
      <c r="CR187">
        <f>VLOOKUP($B187,'[1]Data_UN_PopulationTot.&amp;%'!$B$4:$CZ$603,82,FALSE)</f>
        <v>12.264429008521638</v>
      </c>
      <c r="CS187">
        <f>VLOOKUP($B187,'[1]Data_UN_PopulationTot.&amp;%'!$B$4:$CZ$603,83,FALSE)</f>
        <v>11.528599785589641</v>
      </c>
      <c r="CT187">
        <f>VLOOKUP($B187,'[1]Data_UN_PopulationTot.&amp;%'!$B$4:$CZ$603,84,FALSE)</f>
        <v>10.923190488735631</v>
      </c>
      <c r="CU187">
        <f>VLOOKUP($B187,'[1]Data_UN_PopulationTot.&amp;%'!$B$4:$CZ$603,85,FALSE)</f>
        <v>10.082503645236935</v>
      </c>
      <c r="CV187">
        <f>VLOOKUP($B187,'[1]Data_UN_PopulationTot.&amp;%'!$B$4:$CZ$603,86,FALSE)</f>
        <v>9.6182087083993046</v>
      </c>
      <c r="CW187">
        <f>VLOOKUP($B187,'[1]Data_UN_PopulationTot.&amp;%'!$B$4:$CZ$603,87,FALSE)</f>
        <v>7.7208596238167653</v>
      </c>
      <c r="CX187">
        <f>VLOOKUP($B187,'[1]Data_UN_PopulationTot.&amp;%'!$B$4:$CZ$603,88,FALSE)</f>
        <v>6.6999324424782918</v>
      </c>
      <c r="CY187">
        <f>VLOOKUP($B187,'[1]Data_UN_PopulationTot.&amp;%'!$B$4:$CZ$603,89,FALSE)</f>
        <v>6.4174428825933747</v>
      </c>
      <c r="CZ187">
        <f>VLOOKUP($B187,'[1]Data_UN_PopulationTot.&amp;%'!$B$4:$CZ$603,90,FALSE)</f>
        <v>5.9114135694107883</v>
      </c>
      <c r="DA187">
        <f>VLOOKUP($B187,'[1]Data_UN_PopulationTot.&amp;%'!$B$4:$CZ$603,91,FALSE)</f>
        <v>4.5923464370580396</v>
      </c>
      <c r="DB187">
        <f>VLOOKUP($B187,'[1]Data_UN_PopulationTot.&amp;%'!$B$4:$CZ$603,92,FALSE)</f>
        <v>4.0550163416167369</v>
      </c>
      <c r="DC187">
        <f>VLOOKUP($B187,'[1]Data_UN_PopulationTot.&amp;%'!$B$4:$CZ$603,93,FALSE)</f>
        <v>3.2158945372309762</v>
      </c>
      <c r="DD187">
        <f>VLOOKUP($B187,'[1]Data_UN_PopulationTot.&amp;%'!$B$4:$CZ$603,94,FALSE)</f>
        <v>2.7249939354734369</v>
      </c>
      <c r="DE187">
        <f>VLOOKUP($B187,'[1]Data_UN_PopulationTot.&amp;%'!$B$4:$CZ$603,95,FALSE)</f>
        <v>1.941170179744742</v>
      </c>
      <c r="DF187">
        <f>VLOOKUP($B187,'[1]Data_UN_PopulationTot.&amp;%'!$B$4:$CZ$603,96,FALSE)</f>
        <v>1.239250137593022</v>
      </c>
      <c r="DG187">
        <f>VLOOKUP($B187,'[1]Data_UN_PopulationTot.&amp;%'!$B$4:$CZ$603,97,FALSE)</f>
        <v>0.66201154477185642</v>
      </c>
      <c r="DH187">
        <f>VLOOKUP($B187,'[1]Data_UN_PopulationTot.&amp;%'!$B$4:$CZ$603,98,FALSE)</f>
        <v>0.29553155249271601</v>
      </c>
      <c r="DI187">
        <f>VLOOKUP($B187,'[1]Data_UN_PopulationTot.&amp;%'!$B$4:$CZ$603,99,FALSE)</f>
        <v>8.294707298559903E-2</v>
      </c>
      <c r="DJ187">
        <f>VLOOKUP($B187,'[1]Data_UN_PopulationTot.&amp;%'!$B$4:$DE$603,100,FALSE)</f>
        <v>2.2693067137569543E-2</v>
      </c>
      <c r="DK187">
        <f>VLOOKUP($B187,'[1]Data_UN_PopulationTot.&amp;%'!$B$4:$DE$603,101,FALSE)</f>
        <v>1.5650391129358307E-3</v>
      </c>
      <c r="DL187">
        <f>VLOOKUP($B187,'[1]Data_UN_PopulationTot.&amp;%'!$B$4:$DE$603,102,FALSE)</f>
        <v>0</v>
      </c>
    </row>
    <row r="188" spans="1:116">
      <c r="A188" t="s">
        <v>168</v>
      </c>
      <c r="B188" t="s">
        <v>382</v>
      </c>
      <c r="C188" t="s">
        <v>493</v>
      </c>
      <c r="D188" t="s">
        <v>334</v>
      </c>
      <c r="E188" t="s">
        <v>300</v>
      </c>
      <c r="F188">
        <v>0</v>
      </c>
      <c r="G188">
        <v>1</v>
      </c>
      <c r="H188">
        <v>0</v>
      </c>
      <c r="I188">
        <v>0</v>
      </c>
      <c r="J188" s="18">
        <f t="shared" si="5"/>
        <v>0.83446547066330157</v>
      </c>
      <c r="K188">
        <f>VLOOKUP($B188,'[1]Source GDP Current USD'!$B$1:$CZ$600,64,FALSE)</f>
        <v>807100820.64813197</v>
      </c>
      <c r="L188" s="45">
        <f>VLOOKUP($B188,'[1]Source GDP Current USD'!$B$1:$CZ$600,65,FALSE)</f>
        <v>807100820.64813197</v>
      </c>
      <c r="M188" s="17">
        <f>VLOOKUP($B188,'[1]Source GDP Current LCU'!$B$1:$CZ$600,64,FALSE)</f>
        <v>2177396593.94453</v>
      </c>
      <c r="N188" s="45">
        <v>2200000000</v>
      </c>
      <c r="O188" s="45">
        <f>VLOOKUP($B188,'[1]Source GNI Current USD'!$B$1:$CZ$600,64,FALSE)</f>
        <v>776569075.61566103</v>
      </c>
      <c r="P188" s="45">
        <f>VLOOKUP($B188,'[1]Source GNI Current LCU'!$B$1:$CZ$600,64,FALSE)</f>
        <v>2095028052.19593</v>
      </c>
      <c r="Q188">
        <f t="shared" si="4"/>
        <v>103.93161999249911</v>
      </c>
      <c r="R188">
        <v>4050</v>
      </c>
      <c r="S188">
        <v>4050</v>
      </c>
      <c r="T188">
        <v>0.60097400000000001</v>
      </c>
      <c r="U188">
        <v>198000</v>
      </c>
      <c r="V188">
        <v>38.323999999999998</v>
      </c>
      <c r="W188">
        <f>VLOOKUP($B188,'[1]Source Gov. Revenue WEO'!$B$1:$CZ$600,5,FALSE)</f>
        <v>37.290999999999997</v>
      </c>
      <c r="X188">
        <f>VLOOKUP($B188,'[1]Source Gov. Revenue WEO'!$B$1:$CZ$600,6,FALSE)</f>
        <v>32.893000000000001</v>
      </c>
      <c r="Y188">
        <f>VLOOKUP($B188,'[1]Source Gov. Revenue WEO'!$B$1:$CZ$600,7,FALSE)</f>
        <v>33.918999999999997</v>
      </c>
      <c r="Z188">
        <f>VLOOKUP($B188,'[1]Source Gov. Revenue WEO'!$B$1:$CZ$600,8,FALSE)</f>
        <v>35.04</v>
      </c>
      <c r="AA188">
        <f>VLOOKUP($B188,'[1]Source Gov. Revenue WEO'!$B$1:$CZ$600,9,FALSE)</f>
        <v>35.682000000000002</v>
      </c>
      <c r="AB188">
        <f>VLOOKUP($B188,'[1]Source Gov. Revenue WEO'!$B$1:$CZ$600,10,FALSE)</f>
        <v>35.982999999999997</v>
      </c>
      <c r="AC188">
        <f>VLOOKUP($B188,[2]Summary!$B$1:$CZ$600,39,FALSE)</f>
        <v>6.0396180000000001E-3</v>
      </c>
      <c r="AD188">
        <f>VLOOKUP($B188,[2]Summary!$B$1:$CZ$600,40,FALSE)</f>
        <v>9.4999999999999998E-3</v>
      </c>
      <c r="AE188">
        <f>VLOOKUP($B188,[2]Summary!$B$1:$CZ$600,47,FALSE)</f>
        <v>0.33436248272575236</v>
      </c>
      <c r="AF188">
        <f>VLOOKUP($B188,'[1]CALC GDP Growth rates WDI'!$B$1:$CZ$600,27,FALSE)</f>
        <v>13.924697066957551</v>
      </c>
      <c r="AG188">
        <f>VLOOKUP($B188,'[1]CALC GDP Growth rates WDI'!$B$1:$CZ$600,29,FALSE)</f>
        <v>12.549387416338597</v>
      </c>
      <c r="AH188">
        <v>9.7100000000000009</v>
      </c>
      <c r="AI188">
        <f>VLOOKUP($B188,'[1]CALC GDP Growth rates WDI'!$B$1:$CZ$600,30,FALSE)</f>
        <v>12.519201737346354</v>
      </c>
      <c r="AJ188" s="45" t="s">
        <v>2464</v>
      </c>
      <c r="AK188">
        <f>VLOOKUP($B188,[1]Data_Aspire!$B$1:$CZ$600,2,FALSE)</f>
        <v>2016</v>
      </c>
      <c r="AL188">
        <f>VLOOKUP($B188,[1]Data_Aspire!$B$1:$CZ$600,3,FALSE)</f>
        <v>0.08</v>
      </c>
      <c r="AM188">
        <f>VLOOKUP($B188,[1]Data_Aspire!$B$1:$CZ$600,4,FALSE)</f>
        <v>0</v>
      </c>
      <c r="AN188">
        <f>VLOOKUP($B188,[1]Data_Aspire!$B$1:$CZ$600,5,FALSE)</f>
        <v>0</v>
      </c>
      <c r="AO188">
        <f>VLOOKUP($B188,[1]Data_Aspire!$B$1:$CZ$600,6,FALSE)</f>
        <v>0.08</v>
      </c>
      <c r="AP188">
        <f>VLOOKUP($B188,[1]Data_Aspire!$B$1:$CZ$600,7,FALSE)</f>
        <v>0</v>
      </c>
      <c r="AU188">
        <f>VLOOKUP($B188,[1]Data_Aspire!$B$1:$CZ$600,12,FALSE)</f>
        <v>0.08</v>
      </c>
      <c r="AZ188">
        <f>VLOOKUP($B188,[1]Data_Aspire!$B$1:$CZ$600,17,FALSE)</f>
        <v>12262</v>
      </c>
      <c r="BA188">
        <f>VLOOKUP($B188,[1]Data_Aspire!$B$1:$CZ$600,18,FALSE)</f>
        <v>2015</v>
      </c>
      <c r="BJ188" s="7">
        <v>0</v>
      </c>
      <c r="BK188">
        <v>882</v>
      </c>
      <c r="BL188">
        <f>VLOOKUP($B188,'[1]Data_UN_PopulationTot.&amp;%'!$B$4:$CZ$603,8,FALSE)</f>
        <v>198.41</v>
      </c>
      <c r="BM188">
        <f>VLOOKUP($B188,'[1]Data_UN_PopulationTot.&amp;%'!$B$4:$CZ$603,9,FALSE)</f>
        <v>200.14400000000001</v>
      </c>
      <c r="BN188">
        <v>202.24100000000001</v>
      </c>
      <c r="BO188">
        <f>VLOOKUP($B188,'[1]Data_UN_PopulationTot.&amp;%'!$B$4:$CZ$603,11,FALSE)</f>
        <v>204.56800000000001</v>
      </c>
      <c r="BP188">
        <f>VLOOKUP($B188,'[1]Data_UN_PopulationTot.&amp;%'!$B$4:$CZ$603,12,FALSE)</f>
        <v>206.97200000000001</v>
      </c>
      <c r="BQ188">
        <f>VLOOKUP($B188,'[1]Data_UN_PopulationTot.&amp;%'!$B$4:$CZ$603,13,FALSE)</f>
        <v>209.32300000000001</v>
      </c>
      <c r="BR188">
        <f>VLOOKUP($B188,'[1]Data_UN_PopulationTot.&amp;%'!$B$4:$CZ$603,14,FALSE)</f>
        <v>211.57300000000001</v>
      </c>
      <c r="BS188">
        <f>VLOOKUP($B188,'[1]Data_UN_PopulationTot.&amp;%'!$B$4:$CZ$603,15,FALSE)</f>
        <v>213.79</v>
      </c>
      <c r="BT188">
        <f>VLOOKUP($B188,'[1]Data_UN_PopulationTot.&amp;%'!$B$4:$CZ$603,16,FALSE)</f>
        <v>215.96799999999999</v>
      </c>
      <c r="BU188">
        <f>VLOOKUP($B188,'[1]Data_UN_PopulationTot.&amp;%'!$B$4:$CZ$603,17,FALSE)</f>
        <v>218.15199999999999</v>
      </c>
      <c r="BV188">
        <f>VLOOKUP($B188,'[1]Data_UN_PopulationTot.&amp;%'!$B$4:$CZ$603,18,FALSE)</f>
        <v>220.36799999999999</v>
      </c>
      <c r="BW188">
        <f>VLOOKUP($B188,'[1]Data_UN_PopulationTot.&amp;%'!$B$4:$CZ$603,61,FALSE)</f>
        <v>13.603145002772038</v>
      </c>
      <c r="BX188">
        <f>VLOOKUP($B188,'[1]Data_UN_PopulationTot.&amp;%'!$B$4:$CZ$603,62,FALSE)</f>
        <v>12.163197419484904</v>
      </c>
      <c r="BY188">
        <f>VLOOKUP($B188,'[1]Data_UN_PopulationTot.&amp;%'!$B$4:$CZ$603,63,FALSE)</f>
        <v>11.432891487324229</v>
      </c>
      <c r="BZ188">
        <f>VLOOKUP($B188,'[1]Data_UN_PopulationTot.&amp;%'!$B$4:$CZ$603,64,FALSE)</f>
        <v>9.734388387682074</v>
      </c>
      <c r="CA188">
        <f>VLOOKUP($B188,'[1]Data_UN_PopulationTot.&amp;%'!$B$4:$CZ$603,65,FALSE)</f>
        <v>8.3524015926616588</v>
      </c>
      <c r="CB188">
        <f>VLOOKUP($B188,'[1]Data_UN_PopulationTot.&amp;%'!$B$4:$CZ$603,66,FALSE)</f>
        <v>7.4204929187036948</v>
      </c>
      <c r="CC188">
        <f>VLOOKUP($B188,'[1]Data_UN_PopulationTot.&amp;%'!$B$4:$CZ$603,67,FALSE)</f>
        <v>5.8752079028274782</v>
      </c>
      <c r="CD188">
        <f>VLOOKUP($B188,'[1]Data_UN_PopulationTot.&amp;%'!$B$4:$CZ$603,68,FALSE)</f>
        <v>5.2189909782773043</v>
      </c>
      <c r="CE188">
        <f>VLOOKUP($B188,'[1]Data_UN_PopulationTot.&amp;%'!$B$4:$CZ$603,69,FALSE)</f>
        <v>4.9800917292475182</v>
      </c>
      <c r="CF188">
        <f>VLOOKUP($B188,'[1]Data_UN_PopulationTot.&amp;%'!$B$4:$CZ$603,70,FALSE)</f>
        <v>4.8782823446398869</v>
      </c>
      <c r="CG188">
        <f>VLOOKUP($B188,'[1]Data_UN_PopulationTot.&amp;%'!$B$4:$CZ$603,71,FALSE)</f>
        <v>4.519429464240714</v>
      </c>
      <c r="CH188">
        <f>VLOOKUP($B188,'[1]Data_UN_PopulationTot.&amp;%'!$B$4:$CZ$603,72,FALSE)</f>
        <v>3.7815634292626381</v>
      </c>
      <c r="CI188">
        <f>VLOOKUP($B188,'[1]Data_UN_PopulationTot.&amp;%'!$B$4:$CZ$603,73,FALSE)</f>
        <v>2.956000201602742</v>
      </c>
      <c r="CJ188">
        <f>VLOOKUP($B188,'[1]Data_UN_PopulationTot.&amp;%'!$B$4:$CZ$603,74,FALSE)</f>
        <v>2.0639080691497407</v>
      </c>
      <c r="CK188">
        <f>VLOOKUP($B188,'[1]Data_UN_PopulationTot.&amp;%'!$B$4:$CZ$603,75,FALSE)</f>
        <v>1.3819867950204123</v>
      </c>
      <c r="CL188">
        <f>VLOOKUP($B188,'[1]Data_UN_PopulationTot.&amp;%'!$B$4:$CZ$603,76,FALSE)</f>
        <v>0.92636459855854036</v>
      </c>
      <c r="CM188">
        <f>VLOOKUP($B188,'[1]Data_UN_PopulationTot.&amp;%'!$B$4:$CZ$603,77,FALSE)</f>
        <v>0.47275842951464142</v>
      </c>
      <c r="CN188">
        <f>VLOOKUP($B188,'[1]Data_UN_PopulationTot.&amp;%'!$B$4:$CZ$603,78,FALSE)</f>
        <v>0.1713623305276952</v>
      </c>
      <c r="CO188">
        <f>VLOOKUP($B188,'[1]Data_UN_PopulationTot.&amp;%'!$B$4:$CZ$603,79,FALSE)</f>
        <v>6.1488836248172973E-2</v>
      </c>
      <c r="CP188">
        <f>VLOOKUP($B188,'[1]Data_UN_PopulationTot.&amp;%'!$B$4:$CZ$603,80,FALSE)</f>
        <v>6.0480822539186532E-3</v>
      </c>
      <c r="CQ188">
        <f>VLOOKUP($B188,'[1]Data_UN_PopulationTot.&amp;%'!$B$4:$CZ$603,81,FALSE)</f>
        <v>0</v>
      </c>
      <c r="CR188">
        <f>VLOOKUP($B188,'[1]Data_UN_PopulationTot.&amp;%'!$B$4:$CZ$603,82,FALSE)</f>
        <v>10.759729180280258</v>
      </c>
      <c r="CS188">
        <f>VLOOKUP($B188,'[1]Data_UN_PopulationTot.&amp;%'!$B$4:$CZ$603,83,FALSE)</f>
        <v>10.358582008277065</v>
      </c>
      <c r="CT188">
        <f>VLOOKUP($B188,'[1]Data_UN_PopulationTot.&amp;%'!$B$4:$CZ$603,84,FALSE)</f>
        <v>12.043490887969215</v>
      </c>
      <c r="CU188">
        <f>VLOOKUP($B188,'[1]Data_UN_PopulationTot.&amp;%'!$B$4:$CZ$603,85,FALSE)</f>
        <v>10.4670369563639</v>
      </c>
      <c r="CV188">
        <f>VLOOKUP($B188,'[1]Data_UN_PopulationTot.&amp;%'!$B$4:$CZ$603,86,FALSE)</f>
        <v>9.1941661221229953</v>
      </c>
      <c r="CW188">
        <f>VLOOKUP($B188,'[1]Data_UN_PopulationTot.&amp;%'!$B$4:$CZ$603,87,FALSE)</f>
        <v>7.4039787990996881</v>
      </c>
      <c r="CX188">
        <f>VLOOKUP($B188,'[1]Data_UN_PopulationTot.&amp;%'!$B$4:$CZ$603,88,FALSE)</f>
        <v>6.3639003848108615</v>
      </c>
      <c r="CY188">
        <f>VLOOKUP($B188,'[1]Data_UN_PopulationTot.&amp;%'!$B$4:$CZ$603,89,FALSE)</f>
        <v>5.8320627314310611</v>
      </c>
      <c r="CZ188">
        <f>VLOOKUP($B188,'[1]Data_UN_PopulationTot.&amp;%'!$B$4:$CZ$603,90,FALSE)</f>
        <v>4.6930588833224434</v>
      </c>
      <c r="DA188">
        <f>VLOOKUP($B188,'[1]Data_UN_PopulationTot.&amp;%'!$B$4:$CZ$603,91,FALSE)</f>
        <v>4.2619618093371088</v>
      </c>
      <c r="DB188">
        <f>VLOOKUP($B188,'[1]Data_UN_PopulationTot.&amp;%'!$B$4:$CZ$603,92,FALSE)</f>
        <v>4.1208342409061203</v>
      </c>
      <c r="DC188">
        <f>VLOOKUP($B188,'[1]Data_UN_PopulationTot.&amp;%'!$B$4:$CZ$603,93,FALSE)</f>
        <v>4.0259928846293471</v>
      </c>
      <c r="DD188">
        <f>VLOOKUP($B188,'[1]Data_UN_PopulationTot.&amp;%'!$B$4:$CZ$603,94,FALSE)</f>
        <v>3.6370979452552099</v>
      </c>
      <c r="DE188">
        <f>VLOOKUP($B188,'[1]Data_UN_PopulationTot.&amp;%'!$B$4:$CZ$603,95,FALSE)</f>
        <v>2.8642997168372908</v>
      </c>
      <c r="DF188">
        <f>VLOOKUP($B188,'[1]Data_UN_PopulationTot.&amp;%'!$B$4:$CZ$603,96,FALSE)</f>
        <v>1.9916684818122414</v>
      </c>
      <c r="DG188">
        <f>VLOOKUP($B188,'[1]Data_UN_PopulationTot.&amp;%'!$B$4:$CZ$603,97,FALSE)</f>
        <v>1.1439954984389746</v>
      </c>
      <c r="DH188">
        <f>VLOOKUP($B188,'[1]Data_UN_PopulationTot.&amp;%'!$B$4:$CZ$603,98,FALSE)</f>
        <v>0.55588833224424605</v>
      </c>
      <c r="DI188">
        <f>VLOOKUP($B188,'[1]Data_UN_PopulationTot.&amp;%'!$B$4:$CZ$603,99,FALSE)</f>
        <v>0.22462426486604226</v>
      </c>
      <c r="DJ188">
        <f>VLOOKUP($B188,'[1]Data_UN_PopulationTot.&amp;%'!$B$4:$DE$603,100,FALSE)</f>
        <v>5.1277862484571266E-2</v>
      </c>
      <c r="DK188">
        <f>VLOOKUP($B188,'[1]Data_UN_PopulationTot.&amp;%'!$B$4:$DE$603,101,FALSE)</f>
        <v>5.8992231176940389E-3</v>
      </c>
      <c r="DL188">
        <f>VLOOKUP($B188,'[1]Data_UN_PopulationTot.&amp;%'!$B$4:$DE$603,102,FALSE)</f>
        <v>4.537863936687723E-4</v>
      </c>
    </row>
    <row r="189" spans="1:116">
      <c r="A189" t="s">
        <v>107</v>
      </c>
      <c r="B189" t="s">
        <v>320</v>
      </c>
      <c r="C189" t="s">
        <v>487</v>
      </c>
      <c r="D189" t="s">
        <v>306</v>
      </c>
      <c r="E189" t="s">
        <v>299</v>
      </c>
      <c r="F189">
        <v>1</v>
      </c>
      <c r="G189">
        <v>0</v>
      </c>
      <c r="H189">
        <v>0</v>
      </c>
      <c r="I189">
        <v>0</v>
      </c>
      <c r="J189" s="18" t="e">
        <f t="shared" si="5"/>
        <v>#VALUE!</v>
      </c>
      <c r="K189" t="str">
        <f>VLOOKUP($B189,'[1]Source GDP Current USD'!$B$1:$CZ$600,64,FALSE)</f>
        <v>..</v>
      </c>
      <c r="L189" s="45">
        <f>VLOOKUP($B189,'[1]Source GDP Current USD'!$B$1:$CZ$600,65,FALSE)</f>
        <v>21606140907.4454</v>
      </c>
      <c r="M189" s="17" t="str">
        <f>VLOOKUP($B189,'[1]Source GDP Current LCU'!$B$1:$CZ$600,64,FALSE)</f>
        <v>..</v>
      </c>
      <c r="N189" s="45">
        <v>12000000000000</v>
      </c>
      <c r="O189" s="45" t="str">
        <f>VLOOKUP($B189,'[1]Source GNI Current USD'!$B$1:$CZ$600,64,FALSE)</f>
        <v>..</v>
      </c>
      <c r="P189" s="45" t="str">
        <f>VLOOKUP($B189,'[1]Source GNI Current LCU'!$B$1:$CZ$600,64,FALSE)</f>
        <v>..</v>
      </c>
      <c r="Q189" t="e">
        <f t="shared" si="4"/>
        <v>#VALUE!</v>
      </c>
      <c r="S189">
        <v>910</v>
      </c>
      <c r="U189" s="45">
        <v>30000000</v>
      </c>
      <c r="V189">
        <v>6.5359999999999996</v>
      </c>
      <c r="W189">
        <f>VLOOKUP($B189,'[1]Source Gov. Revenue WEO'!$B$1:$CZ$600,5,FALSE)</f>
        <v>6.3</v>
      </c>
      <c r="X189">
        <f>VLOOKUP($B189,'[1]Source Gov. Revenue WEO'!$B$1:$CZ$600,6,FALSE)</f>
        <v>5.6109999999999998</v>
      </c>
      <c r="Y189">
        <f>VLOOKUP($B189,'[1]Source Gov. Revenue WEO'!$B$1:$CZ$600,7,FALSE)</f>
        <v>6.1189999999999998</v>
      </c>
      <c r="Z189">
        <f>VLOOKUP($B189,'[1]Source Gov. Revenue WEO'!$B$1:$CZ$600,8,FALSE)</f>
        <v>6.8239999999999998</v>
      </c>
      <c r="AA189">
        <f>VLOOKUP($B189,'[1]Source Gov. Revenue WEO'!$B$1:$CZ$600,9,FALSE)</f>
        <v>7.8129999999999997</v>
      </c>
      <c r="AB189">
        <f>VLOOKUP($B189,'[1]Source Gov. Revenue WEO'!$B$1:$CZ$600,10,FALSE)</f>
        <v>8.4489999999999998</v>
      </c>
      <c r="AC189">
        <f>VLOOKUP($B189,[2]Summary!$B$1:$CZ$600,39,FALSE)</f>
        <v>0.59</v>
      </c>
      <c r="AD189">
        <f>VLOOKUP($B189,[2]Summary!$B$1:$CZ$600,40,FALSE)</f>
        <v>0.51</v>
      </c>
      <c r="AE189">
        <f>VLOOKUP($B189,[2]Summary!$B$1:$CZ$600,47,FALSE)</f>
        <v>5.7488742614056204E-2</v>
      </c>
      <c r="AF189" t="e">
        <f>VLOOKUP($B189,'[1]CALC GDP Growth rates WDI'!$B$1:$CZ$600,27,FALSE)</f>
        <v>#VALUE!</v>
      </c>
      <c r="AG189" t="e">
        <f>VLOOKUP($B189,'[1]CALC GDP Growth rates WDI'!$B$1:$CZ$600,29,FALSE)</f>
        <v>#VALUE!</v>
      </c>
      <c r="AH189">
        <v>-100</v>
      </c>
      <c r="AI189" t="e">
        <f>VLOOKUP($B189,'[1]CALC GDP Growth rates WDI'!$B$1:$CZ$600,30,FALSE)</f>
        <v>#VALUE!</v>
      </c>
      <c r="AJ189" s="45" t="s">
        <v>2465</v>
      </c>
      <c r="AM189">
        <f>VLOOKUP($B189,[1]Data_Aspire!$B$1:$CZ$600,4,FALSE)</f>
        <v>0</v>
      </c>
      <c r="AN189">
        <f>VLOOKUP($B189,[1]Data_Aspire!$B$1:$CZ$600,5,FALSE)</f>
        <v>0</v>
      </c>
      <c r="AO189">
        <f>VLOOKUP($B189,[1]Data_Aspire!$B$1:$CZ$600,6,FALSE)</f>
        <v>0</v>
      </c>
      <c r="AP189">
        <f>VLOOKUP($B189,[1]Data_Aspire!$B$1:$CZ$600,7,FALSE)</f>
        <v>0</v>
      </c>
      <c r="AV189">
        <f>VLOOKUP($B189,[1]Data_Aspire!$B$1:$CZ$600,13,FALSE)</f>
        <v>39791</v>
      </c>
      <c r="AW189">
        <f>VLOOKUP($B189,[1]Data_Aspire!$B$1:$CZ$600,14,FALSE)</f>
        <v>2014</v>
      </c>
      <c r="AX189">
        <f>VLOOKUP($B189,[1]Data_Aspire!$B$1:$CZ$600,15,FALSE)</f>
        <v>7500000</v>
      </c>
      <c r="AY189">
        <f>VLOOKUP($B189,[1]Data_Aspire!$B$1:$CZ$600,16,FALSE)</f>
        <v>2017</v>
      </c>
      <c r="AZ189">
        <f>VLOOKUP($B189,[1]Data_Aspire!$B$1:$CZ$600,17,FALSE)</f>
        <v>361514</v>
      </c>
      <c r="BA189">
        <f>VLOOKUP($B189,[1]Data_Aspire!$B$1:$CZ$600,18,FALSE)</f>
        <v>2014</v>
      </c>
      <c r="BB189">
        <f>VLOOKUP($B189,[1]Data_Aspire!$B$1:$CZ$600,19,FALSE)</f>
        <v>4313631</v>
      </c>
      <c r="BC189">
        <f>VLOOKUP($B189,[1]Data_Aspire!$B$1:$CZ$600,20,FALSE)</f>
        <v>2013</v>
      </c>
      <c r="BD189">
        <f>VLOOKUP($B189,[1]Data_Aspire!$B$1:$CZ$600,21,FALSE)</f>
        <v>65000</v>
      </c>
      <c r="BE189">
        <f>VLOOKUP($B189,[1]Data_Aspire!$B$1:$CZ$600,22,FALSE)</f>
        <v>2011</v>
      </c>
      <c r="BF189">
        <f>VLOOKUP($B189,[1]Data_Aspire!$B$1:$CZ$600,23,FALSE)</f>
        <v>400000</v>
      </c>
      <c r="BG189">
        <f>VLOOKUP($B189,[1]Data_Aspire!$B$1:$CZ$600,24,FALSE)</f>
        <v>2017</v>
      </c>
      <c r="BJ189" s="7">
        <v>0</v>
      </c>
      <c r="BK189">
        <v>887</v>
      </c>
      <c r="BL189">
        <f>VLOOKUP($B189,'[1]Data_UN_PopulationTot.&amp;%'!$B$4:$CZ$603,8,FALSE)</f>
        <v>29826</v>
      </c>
      <c r="BM189">
        <f>VLOOKUP($B189,'[1]Data_UN_PopulationTot.&amp;%'!$B$4:$CZ$603,9,FALSE)</f>
        <v>30490.6</v>
      </c>
      <c r="BN189">
        <v>31154.9</v>
      </c>
      <c r="BO189">
        <f>VLOOKUP($B189,'[1]Data_UN_PopulationTot.&amp;%'!$B$4:$CZ$603,11,FALSE)</f>
        <v>31818.2</v>
      </c>
      <c r="BP189">
        <f>VLOOKUP($B189,'[1]Data_UN_PopulationTot.&amp;%'!$B$4:$CZ$603,12,FALSE)</f>
        <v>32480.2</v>
      </c>
      <c r="BQ189">
        <f>VLOOKUP($B189,'[1]Data_UN_PopulationTot.&amp;%'!$B$4:$CZ$603,13,FALSE)</f>
        <v>33140.300000000003</v>
      </c>
      <c r="BR189">
        <f>VLOOKUP($B189,'[1]Data_UN_PopulationTot.&amp;%'!$B$4:$CZ$603,14,FALSE)</f>
        <v>33798.199999999997</v>
      </c>
      <c r="BS189">
        <f>VLOOKUP($B189,'[1]Data_UN_PopulationTot.&amp;%'!$B$4:$CZ$603,15,FALSE)</f>
        <v>34453.800000000003</v>
      </c>
      <c r="BT189">
        <f>VLOOKUP($B189,'[1]Data_UN_PopulationTot.&amp;%'!$B$4:$CZ$603,16,FALSE)</f>
        <v>35107.1</v>
      </c>
      <c r="BU189">
        <f>VLOOKUP($B189,'[1]Data_UN_PopulationTot.&amp;%'!$B$4:$CZ$603,17,FALSE)</f>
        <v>35758.1</v>
      </c>
      <c r="BV189">
        <f>VLOOKUP($B189,'[1]Data_UN_PopulationTot.&amp;%'!$B$4:$CZ$603,18,FALSE)</f>
        <v>36406.9</v>
      </c>
      <c r="BW189">
        <f>VLOOKUP($B189,'[1]Data_UN_PopulationTot.&amp;%'!$B$4:$CZ$603,61,FALSE)</f>
        <v>13.797726815530076</v>
      </c>
      <c r="BX189">
        <f>VLOOKUP($B189,'[1]Data_UN_PopulationTot.&amp;%'!$B$4:$CZ$603,62,FALSE)</f>
        <v>13.136525179373701</v>
      </c>
      <c r="BY189">
        <f>VLOOKUP($B189,'[1]Data_UN_PopulationTot.&amp;%'!$B$4:$CZ$603,63,FALSE)</f>
        <v>11.89794139341514</v>
      </c>
      <c r="BZ189">
        <f>VLOOKUP($B189,'[1]Data_UN_PopulationTot.&amp;%'!$B$4:$CZ$603,64,FALSE)</f>
        <v>10.734225172668141</v>
      </c>
      <c r="CA189">
        <f>VLOOKUP($B189,'[1]Data_UN_PopulationTot.&amp;%'!$B$4:$CZ$603,65,FALSE)</f>
        <v>9.8077180983034928</v>
      </c>
      <c r="CB189">
        <f>VLOOKUP($B189,'[1]Data_UN_PopulationTot.&amp;%'!$B$4:$CZ$603,66,FALSE)</f>
        <v>9.41292831757527</v>
      </c>
      <c r="CC189">
        <f>VLOOKUP($B189,'[1]Data_UN_PopulationTot.&amp;%'!$B$4:$CZ$603,67,FALSE)</f>
        <v>7.809696238181453</v>
      </c>
      <c r="CD189">
        <f>VLOOKUP($B189,'[1]Data_UN_PopulationTot.&amp;%'!$B$4:$CZ$603,68,FALSE)</f>
        <v>6.0722859250318511</v>
      </c>
      <c r="CE189">
        <f>VLOOKUP($B189,'[1]Data_UN_PopulationTot.&amp;%'!$B$4:$CZ$603,69,FALSE)</f>
        <v>4.5667873667270165</v>
      </c>
      <c r="CF189">
        <f>VLOOKUP($B189,'[1]Data_UN_PopulationTot.&amp;%'!$B$4:$CZ$603,70,FALSE)</f>
        <v>3.355159927579964</v>
      </c>
      <c r="CG189">
        <f>VLOOKUP($B189,'[1]Data_UN_PopulationTot.&amp;%'!$B$4:$CZ$603,71,FALSE)</f>
        <v>2.5927479380406355</v>
      </c>
      <c r="CH189">
        <f>VLOOKUP($B189,'[1]Data_UN_PopulationTot.&amp;%'!$B$4:$CZ$603,72,FALSE)</f>
        <v>2.1777040166297863</v>
      </c>
      <c r="CI189">
        <f>VLOOKUP($B189,'[1]Data_UN_PopulationTot.&amp;%'!$B$4:$CZ$603,73,FALSE)</f>
        <v>1.7074599342855226</v>
      </c>
      <c r="CJ189">
        <f>VLOOKUP($B189,'[1]Data_UN_PopulationTot.&amp;%'!$B$4:$CZ$603,74,FALSE)</f>
        <v>1.2411419566820894</v>
      </c>
      <c r="CK189">
        <f>VLOOKUP($B189,'[1]Data_UN_PopulationTot.&amp;%'!$B$4:$CZ$603,75,FALSE)</f>
        <v>0.86829611748139213</v>
      </c>
      <c r="CL189">
        <f>VLOOKUP($B189,'[1]Data_UN_PopulationTot.&amp;%'!$B$4:$CZ$603,76,FALSE)</f>
        <v>0.48445316167102526</v>
      </c>
      <c r="CM189">
        <f>VLOOKUP($B189,'[1]Data_UN_PopulationTot.&amp;%'!$B$4:$CZ$603,77,FALSE)</f>
        <v>0.23181452424059548</v>
      </c>
      <c r="CN189">
        <f>VLOOKUP($B189,'[1]Data_UN_PopulationTot.&amp;%'!$B$4:$CZ$603,78,FALSE)</f>
        <v>8.1884932609132974E-2</v>
      </c>
      <c r="CO189">
        <f>VLOOKUP($B189,'[1]Data_UN_PopulationTot.&amp;%'!$B$4:$CZ$603,79,FALSE)</f>
        <v>2.0079796151009185E-2</v>
      </c>
      <c r="CP189">
        <f>VLOOKUP($B189,'[1]Data_UN_PopulationTot.&amp;%'!$B$4:$CZ$603,80,FALSE)</f>
        <v>3.0543820827465969E-3</v>
      </c>
      <c r="CQ189">
        <f>VLOOKUP($B189,'[1]Data_UN_PopulationTot.&amp;%'!$B$4:$CZ$603,81,FALSE)</f>
        <v>2.6151679742506537E-4</v>
      </c>
      <c r="CR189">
        <f>VLOOKUP($B189,'[1]Data_UN_PopulationTot.&amp;%'!$B$4:$CZ$603,82,FALSE)</f>
        <v>11.601152528778885</v>
      </c>
      <c r="CS189">
        <f>VLOOKUP($B189,'[1]Data_UN_PopulationTot.&amp;%'!$B$4:$CZ$603,83,FALSE)</f>
        <v>11.40693110371935</v>
      </c>
      <c r="CT189">
        <f>VLOOKUP($B189,'[1]Data_UN_PopulationTot.&amp;%'!$B$4:$CZ$603,84,FALSE)</f>
        <v>11.113168108243217</v>
      </c>
      <c r="CU189">
        <f>VLOOKUP($B189,'[1]Data_UN_PopulationTot.&amp;%'!$B$4:$CZ$603,85,FALSE)</f>
        <v>10.575522771782271</v>
      </c>
      <c r="CV189">
        <f>VLOOKUP($B189,'[1]Data_UN_PopulationTot.&amp;%'!$B$4:$CZ$603,86,FALSE)</f>
        <v>9.4797689448978062</v>
      </c>
      <c r="CW189">
        <f>VLOOKUP($B189,'[1]Data_UN_PopulationTot.&amp;%'!$B$4:$CZ$603,87,FALSE)</f>
        <v>8.4937745317508497</v>
      </c>
      <c r="CX189">
        <f>VLOOKUP($B189,'[1]Data_UN_PopulationTot.&amp;%'!$B$4:$CZ$603,88,FALSE)</f>
        <v>7.7600399924190198</v>
      </c>
      <c r="CY189">
        <f>VLOOKUP($B189,'[1]Data_UN_PopulationTot.&amp;%'!$B$4:$CZ$603,89,FALSE)</f>
        <v>7.4547681895464875</v>
      </c>
      <c r="CZ189">
        <f>VLOOKUP($B189,'[1]Data_UN_PopulationTot.&amp;%'!$B$4:$CZ$603,90,FALSE)</f>
        <v>6.159024800243909</v>
      </c>
      <c r="DA189">
        <f>VLOOKUP($B189,'[1]Data_UN_PopulationTot.&amp;%'!$B$4:$CZ$603,91,FALSE)</f>
        <v>4.7404750198451389</v>
      </c>
      <c r="DB189">
        <f>VLOOKUP($B189,'[1]Data_UN_PopulationTot.&amp;%'!$B$4:$CZ$603,92,FALSE)</f>
        <v>3.5003254877509478</v>
      </c>
      <c r="DC189">
        <f>VLOOKUP($B189,'[1]Data_UN_PopulationTot.&amp;%'!$B$4:$CZ$603,93,FALSE)</f>
        <v>2.4952138193584181</v>
      </c>
      <c r="DD189">
        <f>VLOOKUP($B189,'[1]Data_UN_PopulationTot.&amp;%'!$B$4:$CZ$603,94,FALSE)</f>
        <v>1.8392337716202147</v>
      </c>
      <c r="DE189">
        <f>VLOOKUP($B189,'[1]Data_UN_PopulationTot.&amp;%'!$B$4:$CZ$603,95,FALSE)</f>
        <v>1.4281001678253298</v>
      </c>
      <c r="DF189">
        <f>VLOOKUP($B189,'[1]Data_UN_PopulationTot.&amp;%'!$B$4:$CZ$603,96,FALSE)</f>
        <v>0.97968242283742923</v>
      </c>
      <c r="DG189">
        <f>VLOOKUP($B189,'[1]Data_UN_PopulationTot.&amp;%'!$B$4:$CZ$603,97,FALSE)</f>
        <v>0.57235304296712985</v>
      </c>
      <c r="DH189">
        <f>VLOOKUP($B189,'[1]Data_UN_PopulationTot.&amp;%'!$B$4:$CZ$603,98,FALSE)</f>
        <v>0.28271289233634284</v>
      </c>
      <c r="DI189">
        <f>VLOOKUP($B189,'[1]Data_UN_PopulationTot.&amp;%'!$B$4:$CZ$603,99,FALSE)</f>
        <v>9.3243313767445185E-2</v>
      </c>
      <c r="DJ189">
        <f>VLOOKUP($B189,'[1]Data_UN_PopulationTot.&amp;%'!$B$4:$DE$603,100,FALSE)</f>
        <v>2.1350348422963777E-2</v>
      </c>
      <c r="DK189">
        <f>VLOOKUP($B189,'[1]Data_UN_PopulationTot.&amp;%'!$B$4:$DE$603,101,FALSE)</f>
        <v>2.8840686792888162E-3</v>
      </c>
      <c r="DL189">
        <f>VLOOKUP($B189,'[1]Data_UN_PopulationTot.&amp;%'!$B$4:$DE$603,102,FALSE)</f>
        <v>2.3621895849413157E-4</v>
      </c>
    </row>
    <row r="190" spans="1:116">
      <c r="A190" t="s">
        <v>195</v>
      </c>
      <c r="B190" t="s">
        <v>410</v>
      </c>
      <c r="C190" t="s">
        <v>496</v>
      </c>
      <c r="D190" t="s">
        <v>389</v>
      </c>
      <c r="E190" t="s">
        <v>301</v>
      </c>
      <c r="F190">
        <v>0</v>
      </c>
      <c r="G190">
        <v>0</v>
      </c>
      <c r="H190">
        <v>1</v>
      </c>
      <c r="I190">
        <v>0</v>
      </c>
      <c r="J190" s="18">
        <f t="shared" si="5"/>
        <v>1389.5993895531142</v>
      </c>
      <c r="K190">
        <f>VLOOKUP($B190,'[1]Source GDP Current USD'!$B$1:$CZ$600,64,FALSE)</f>
        <v>335442101366.41699</v>
      </c>
      <c r="L190" s="45">
        <f>VLOOKUP($B190,'[1]Source GDP Current USD'!$B$1:$CZ$600,65,FALSE)</f>
        <v>335442101366.41699</v>
      </c>
      <c r="M190" s="17">
        <f>VLOOKUP($B190,'[1]Source GDP Current LCU'!$B$1:$CZ$600,64,FALSE)</f>
        <v>5521075090600</v>
      </c>
      <c r="N190" s="45">
        <v>5500000000000</v>
      </c>
      <c r="O190" s="45">
        <f>VLOOKUP($B190,'[1]Source GNI Current USD'!$B$1:$CZ$600,64,FALSE)</f>
        <v>329818707620.70801</v>
      </c>
      <c r="P190" s="45">
        <f>VLOOKUP($B190,'[1]Source GNI Current LCU'!$B$1:$CZ$600,64,FALSE)</f>
        <v>5428519090600</v>
      </c>
      <c r="Q190">
        <f t="shared" si="4"/>
        <v>101.70499538557891</v>
      </c>
      <c r="R190">
        <v>6010</v>
      </c>
      <c r="S190">
        <v>6010</v>
      </c>
      <c r="T190">
        <v>0.42332500000000001</v>
      </c>
      <c r="U190" s="45">
        <v>59000000</v>
      </c>
      <c r="V190">
        <v>25.169</v>
      </c>
      <c r="W190">
        <f>VLOOKUP($B190,'[1]Source Gov. Revenue WEO'!$B$1:$CZ$600,5,FALSE)</f>
        <v>25.123999999999999</v>
      </c>
      <c r="X190">
        <f>VLOOKUP($B190,'[1]Source Gov. Revenue WEO'!$B$1:$CZ$600,6,FALSE)</f>
        <v>26.145</v>
      </c>
      <c r="Y190">
        <f>VLOOKUP($B190,'[1]Source Gov. Revenue WEO'!$B$1:$CZ$600,7,FALSE)</f>
        <v>26.157</v>
      </c>
      <c r="Z190">
        <f>VLOOKUP($B190,'[1]Source Gov. Revenue WEO'!$B$1:$CZ$600,8,FALSE)</f>
        <v>26.256</v>
      </c>
      <c r="AA190">
        <f>VLOOKUP($B190,'[1]Source Gov. Revenue WEO'!$B$1:$CZ$600,9,FALSE)</f>
        <v>26.338999999999999</v>
      </c>
      <c r="AB190">
        <f>VLOOKUP($B190,'[1]Source Gov. Revenue WEO'!$B$1:$CZ$600,10,FALSE)</f>
        <v>26.425000000000001</v>
      </c>
      <c r="AC190">
        <f>VLOOKUP($B190,[2]Summary!$B$1:$CZ$600,39,FALSE)</f>
        <v>0.19539290000000001</v>
      </c>
      <c r="AD190">
        <f>VLOOKUP($B190,[2]Summary!$B$1:$CZ$600,40,FALSE)</f>
        <v>0.24525</v>
      </c>
      <c r="AE190">
        <f>VLOOKUP($B190,[2]Summary!$B$1:$CZ$600,47,FALSE)</f>
        <v>0.28600000000000003</v>
      </c>
      <c r="AF190">
        <f>VLOOKUP($B190,'[1]CALC GDP Growth rates WDI'!$B$1:$CZ$600,27,FALSE)</f>
        <v>7.6965406840144119</v>
      </c>
      <c r="AG190">
        <f>VLOOKUP($B190,'[1]CALC GDP Growth rates WDI'!$B$1:$CZ$600,29,FALSE)</f>
        <v>18.354669552345705</v>
      </c>
      <c r="AH190">
        <v>-3.2</v>
      </c>
      <c r="AI190">
        <f>VLOOKUP($B190,'[1]CALC GDP Growth rates WDI'!$B$1:$CZ$600,30,FALSE)</f>
        <v>4.6140184222895675</v>
      </c>
      <c r="AK190">
        <f>VLOOKUP($B190,[1]Data_Aspire!$B$1:$CZ$600,2,FALSE)</f>
        <v>2016</v>
      </c>
      <c r="AL190">
        <f>VLOOKUP($B190,[1]Data_Aspire!$B$1:$CZ$600,3,FALSE)</f>
        <v>3.4</v>
      </c>
      <c r="AM190">
        <f>VLOOKUP($B190,[1]Data_Aspire!$B$1:$CZ$600,4,FALSE)</f>
        <v>0</v>
      </c>
      <c r="AN190">
        <f>VLOOKUP($B190,[1]Data_Aspire!$B$1:$CZ$600,5,FALSE)</f>
        <v>1.27</v>
      </c>
      <c r="AO190">
        <f>VLOOKUP($B190,[1]Data_Aspire!$B$1:$CZ$600,6,FALSE)</f>
        <v>1.78</v>
      </c>
      <c r="AP190">
        <f>VLOOKUP($B190,[1]Data_Aspire!$B$1:$CZ$600,7,FALSE)</f>
        <v>0.13</v>
      </c>
      <c r="AQ190">
        <f>VLOOKUP($B190,[1]Data_Aspire!$B$1:$CZ$600,8,FALSE)</f>
        <v>0.22</v>
      </c>
      <c r="AU190">
        <f>VLOOKUP($B190,[1]Data_Aspire!$B$1:$CZ$600,12,FALSE)</f>
        <v>3.4</v>
      </c>
      <c r="AX190">
        <f>VLOOKUP($B190,[1]Data_Aspire!$B$1:$CZ$600,15,FALSE)</f>
        <v>11703165</v>
      </c>
      <c r="AY190">
        <f>VLOOKUP($B190,[1]Data_Aspire!$B$1:$CZ$600,16,FALSE)</f>
        <v>2015</v>
      </c>
      <c r="AZ190">
        <f>VLOOKUP($B190,[1]Data_Aspire!$B$1:$CZ$600,17,FALSE)</f>
        <v>3086851</v>
      </c>
      <c r="BA190">
        <f>VLOOKUP($B190,[1]Data_Aspire!$B$1:$CZ$600,18,FALSE)</f>
        <v>2015</v>
      </c>
      <c r="BD190">
        <f>VLOOKUP($B190,[1]Data_Aspire!$B$1:$CZ$600,21,FALSE)</f>
        <v>9200000</v>
      </c>
      <c r="BE190">
        <f>VLOOKUP($B190,[1]Data_Aspire!$B$1:$CZ$600,22,FALSE)</f>
        <v>2013</v>
      </c>
      <c r="BF190">
        <f>VLOOKUP($B190,[1]Data_Aspire!$B$1:$CZ$600,23,FALSE)</f>
        <v>350068</v>
      </c>
      <c r="BG190">
        <f>VLOOKUP($B190,[1]Data_Aspire!$B$1:$CZ$600,24,FALSE)</f>
        <v>2013</v>
      </c>
      <c r="BJ190" s="7">
        <v>1</v>
      </c>
      <c r="BK190">
        <v>710</v>
      </c>
      <c r="BL190">
        <f>VLOOKUP($B190,'[1]Data_UN_PopulationTot.&amp;%'!$B$4:$CZ$603,8,FALSE)</f>
        <v>59308.7</v>
      </c>
      <c r="BM190">
        <f>VLOOKUP($B190,'[1]Data_UN_PopulationTot.&amp;%'!$B$4:$CZ$603,9,FALSE)</f>
        <v>60042</v>
      </c>
      <c r="BN190">
        <v>60756.1</v>
      </c>
      <c r="BO190">
        <f>VLOOKUP($B190,'[1]Data_UN_PopulationTot.&amp;%'!$B$4:$CZ$603,11,FALSE)</f>
        <v>61452.7</v>
      </c>
      <c r="BP190">
        <f>VLOOKUP($B190,'[1]Data_UN_PopulationTot.&amp;%'!$B$4:$CZ$603,12,FALSE)</f>
        <v>62134.2</v>
      </c>
      <c r="BQ190">
        <f>VLOOKUP($B190,'[1]Data_UN_PopulationTot.&amp;%'!$B$4:$CZ$603,13,FALSE)</f>
        <v>62802.7</v>
      </c>
      <c r="BR190">
        <f>VLOOKUP($B190,'[1]Data_UN_PopulationTot.&amp;%'!$B$4:$CZ$603,14,FALSE)</f>
        <v>63458.400000000001</v>
      </c>
      <c r="BS190">
        <f>VLOOKUP($B190,'[1]Data_UN_PopulationTot.&amp;%'!$B$4:$CZ$603,15,FALSE)</f>
        <v>64101</v>
      </c>
      <c r="BT190">
        <f>VLOOKUP($B190,'[1]Data_UN_PopulationTot.&amp;%'!$B$4:$CZ$603,16,FALSE)</f>
        <v>64731.199999999997</v>
      </c>
      <c r="BU190">
        <f>VLOOKUP($B190,'[1]Data_UN_PopulationTot.&amp;%'!$B$4:$CZ$603,17,FALSE)</f>
        <v>65349.4</v>
      </c>
      <c r="BV190">
        <f>VLOOKUP($B190,'[1]Data_UN_PopulationTot.&amp;%'!$B$4:$CZ$603,18,FALSE)</f>
        <v>65956.100000000006</v>
      </c>
      <c r="BW190">
        <f>VLOOKUP($B190,'[1]Data_UN_PopulationTot.&amp;%'!$B$4:$CZ$603,61,FALSE)</f>
        <v>9.7202265434919326</v>
      </c>
      <c r="BX190">
        <f>VLOOKUP($B190,'[1]Data_UN_PopulationTot.&amp;%'!$B$4:$CZ$603,62,FALSE)</f>
        <v>9.814175660569191</v>
      </c>
      <c r="BY190">
        <f>VLOOKUP($B190,'[1]Data_UN_PopulationTot.&amp;%'!$B$4:$CZ$603,63,FALSE)</f>
        <v>9.266701175375621</v>
      </c>
      <c r="BZ190">
        <f>VLOOKUP($B190,'[1]Data_UN_PopulationTot.&amp;%'!$B$4:$CZ$603,64,FALSE)</f>
        <v>8.2841303215211273</v>
      </c>
      <c r="CA190">
        <f>VLOOKUP($B190,'[1]Data_UN_PopulationTot.&amp;%'!$B$4:$CZ$603,65,FALSE)</f>
        <v>8.3024750163129539</v>
      </c>
      <c r="CB190">
        <f>VLOOKUP($B190,'[1]Data_UN_PopulationTot.&amp;%'!$B$4:$CZ$603,66,FALSE)</f>
        <v>8.7970230337201798</v>
      </c>
      <c r="CC190">
        <f>VLOOKUP($B190,'[1]Data_UN_PopulationTot.&amp;%'!$B$4:$CZ$603,67,FALSE)</f>
        <v>9.0612507102667905</v>
      </c>
      <c r="CD190">
        <f>VLOOKUP($B190,'[1]Data_UN_PopulationTot.&amp;%'!$B$4:$CZ$603,68,FALSE)</f>
        <v>8.0615660097085247</v>
      </c>
      <c r="CE190">
        <f>VLOOKUP($B190,'[1]Data_UN_PopulationTot.&amp;%'!$B$4:$CZ$603,69,FALSE)</f>
        <v>6.4240828074127414</v>
      </c>
      <c r="CF190">
        <f>VLOOKUP($B190,'[1]Data_UN_PopulationTot.&amp;%'!$B$4:$CZ$603,70,FALSE)</f>
        <v>5.4515442085225265</v>
      </c>
      <c r="CG190">
        <f>VLOOKUP($B190,'[1]Data_UN_PopulationTot.&amp;%'!$B$4:$CZ$603,71,FALSE)</f>
        <v>4.5391822784852822</v>
      </c>
      <c r="CH190">
        <f>VLOOKUP($B190,'[1]Data_UN_PopulationTot.&amp;%'!$B$4:$CZ$603,72,FALSE)</f>
        <v>3.7421154063400484</v>
      </c>
      <c r="CI190">
        <f>VLOOKUP($B190,'[1]Data_UN_PopulationTot.&amp;%'!$B$4:$CZ$603,73,FALSE)</f>
        <v>3.0260484549484308</v>
      </c>
      <c r="CJ190">
        <f>VLOOKUP($B190,'[1]Data_UN_PopulationTot.&amp;%'!$B$4:$CZ$603,74,FALSE)</f>
        <v>2.3094925365081345</v>
      </c>
      <c r="CK190">
        <f>VLOOKUP($B190,'[1]Data_UN_PopulationTot.&amp;%'!$B$4:$CZ$603,75,FALSE)</f>
        <v>1.5094193600601598</v>
      </c>
      <c r="CL190">
        <f>VLOOKUP($B190,'[1]Data_UN_PopulationTot.&amp;%'!$B$4:$CZ$603,76,FALSE)</f>
        <v>0.97934704351975344</v>
      </c>
      <c r="CM190">
        <f>VLOOKUP($B190,'[1]Data_UN_PopulationTot.&amp;%'!$B$4:$CZ$603,77,FALSE)</f>
        <v>0.50316395402360881</v>
      </c>
      <c r="CN190">
        <f>VLOOKUP($B190,'[1]Data_UN_PopulationTot.&amp;%'!$B$4:$CZ$603,78,FALSE)</f>
        <v>0.17527613992550839</v>
      </c>
      <c r="CO190">
        <f>VLOOKUP($B190,'[1]Data_UN_PopulationTot.&amp;%'!$B$4:$CZ$603,79,FALSE)</f>
        <v>3.0508171651039393E-2</v>
      </c>
      <c r="CP190">
        <f>VLOOKUP($B190,'[1]Data_UN_PopulationTot.&amp;%'!$B$4:$CZ$603,80,FALSE)</f>
        <v>2.1480828276458598E-3</v>
      </c>
      <c r="CQ190">
        <f>VLOOKUP($B190,'[1]Data_UN_PopulationTot.&amp;%'!$B$4:$CZ$603,81,FALSE)</f>
        <v>8.7676850107994272E-5</v>
      </c>
      <c r="CR190">
        <f>VLOOKUP($B190,'[1]Data_UN_PopulationTot.&amp;%'!$B$4:$CZ$603,82,FALSE)</f>
        <v>8.4794128215585811</v>
      </c>
      <c r="CS190">
        <f>VLOOKUP($B190,'[1]Data_UN_PopulationTot.&amp;%'!$B$4:$CZ$603,83,FALSE)</f>
        <v>8.565015214665511</v>
      </c>
      <c r="CT190">
        <f>VLOOKUP($B190,'[1]Data_UN_PopulationTot.&amp;%'!$B$4:$CZ$603,84,FALSE)</f>
        <v>8.7107788362259129</v>
      </c>
      <c r="CU190">
        <f>VLOOKUP($B190,'[1]Data_UN_PopulationTot.&amp;%'!$B$4:$CZ$603,85,FALSE)</f>
        <v>8.8263708739601032</v>
      </c>
      <c r="CV190">
        <f>VLOOKUP($B190,'[1]Data_UN_PopulationTot.&amp;%'!$B$4:$CZ$603,86,FALSE)</f>
        <v>8.4045751643896462</v>
      </c>
      <c r="CW190">
        <f>VLOOKUP($B190,'[1]Data_UN_PopulationTot.&amp;%'!$B$4:$CZ$603,87,FALSE)</f>
        <v>7.5679429196086483</v>
      </c>
      <c r="CX190">
        <f>VLOOKUP($B190,'[1]Data_UN_PopulationTot.&amp;%'!$B$4:$CZ$603,88,FALSE)</f>
        <v>7.5040670991765728</v>
      </c>
      <c r="CY190">
        <f>VLOOKUP($B190,'[1]Data_UN_PopulationTot.&amp;%'!$B$4:$CZ$603,89,FALSE)</f>
        <v>7.7504582593573597</v>
      </c>
      <c r="CZ190">
        <f>VLOOKUP($B190,'[1]Data_UN_PopulationTot.&amp;%'!$B$4:$CZ$603,90,FALSE)</f>
        <v>7.7571445249188482</v>
      </c>
      <c r="DA190">
        <f>VLOOKUP($B190,'[1]Data_UN_PopulationTot.&amp;%'!$B$4:$CZ$603,91,FALSE)</f>
        <v>6.7358288316016246</v>
      </c>
      <c r="DB190">
        <f>VLOOKUP($B190,'[1]Data_UN_PopulationTot.&amp;%'!$B$4:$CZ$603,92,FALSE)</f>
        <v>5.2437757841958508</v>
      </c>
      <c r="DC190">
        <f>VLOOKUP($B190,'[1]Data_UN_PopulationTot.&amp;%'!$B$4:$CZ$603,93,FALSE)</f>
        <v>4.3209498439113281</v>
      </c>
      <c r="DD190">
        <f>VLOOKUP($B190,'[1]Data_UN_PopulationTot.&amp;%'!$B$4:$CZ$603,94,FALSE)</f>
        <v>3.4564809016906701</v>
      </c>
      <c r="DE190">
        <f>VLOOKUP($B190,'[1]Data_UN_PopulationTot.&amp;%'!$B$4:$CZ$603,95,FALSE)</f>
        <v>2.6703064614190346</v>
      </c>
      <c r="DF190">
        <f>VLOOKUP($B190,'[1]Data_UN_PopulationTot.&amp;%'!$B$4:$CZ$603,96,FALSE)</f>
        <v>1.9350143504543171</v>
      </c>
      <c r="DG190">
        <f>VLOOKUP($B190,'[1]Data_UN_PopulationTot.&amp;%'!$B$4:$CZ$603,97,FALSE)</f>
        <v>1.2298255961162046</v>
      </c>
      <c r="DH190">
        <f>VLOOKUP($B190,'[1]Data_UN_PopulationTot.&amp;%'!$B$4:$CZ$603,98,FALSE)</f>
        <v>0.58502549423025307</v>
      </c>
      <c r="DI190">
        <f>VLOOKUP($B190,'[1]Data_UN_PopulationTot.&amp;%'!$B$4:$CZ$603,99,FALSE)</f>
        <v>0.2130720282127051</v>
      </c>
      <c r="DJ190">
        <f>VLOOKUP($B190,'[1]Data_UN_PopulationTot.&amp;%'!$B$4:$DE$603,100,FALSE)</f>
        <v>4.0481471766826718E-2</v>
      </c>
      <c r="DK190">
        <f>VLOOKUP($B190,'[1]Data_UN_PopulationTot.&amp;%'!$B$4:$DE$603,101,FALSE)</f>
        <v>3.3355519807872205E-3</v>
      </c>
      <c r="DL190">
        <f>VLOOKUP($B190,'[1]Data_UN_PopulationTot.&amp;%'!$B$4:$DE$603,102,FALSE)</f>
        <v>1.394867191965565E-4</v>
      </c>
    </row>
    <row r="191" spans="1:116">
      <c r="A191" t="s">
        <v>118</v>
      </c>
      <c r="B191" t="s">
        <v>331</v>
      </c>
      <c r="C191" t="s">
        <v>496</v>
      </c>
      <c r="D191" t="s">
        <v>306</v>
      </c>
      <c r="E191" t="s">
        <v>299</v>
      </c>
      <c r="F191">
        <v>1</v>
      </c>
      <c r="G191">
        <v>0</v>
      </c>
      <c r="H191">
        <v>0</v>
      </c>
      <c r="I191">
        <v>0</v>
      </c>
      <c r="J191" s="18">
        <f t="shared" si="5"/>
        <v>63.218758950482993</v>
      </c>
      <c r="K191">
        <f>VLOOKUP($B191,'[1]Source GDP Current USD'!$B$1:$CZ$600,64,FALSE)</f>
        <v>18110631358.311401</v>
      </c>
      <c r="L191" s="45">
        <f>VLOOKUP($B191,'[1]Source GDP Current USD'!$B$1:$CZ$600,65,FALSE)</f>
        <v>18110631358.311401</v>
      </c>
      <c r="M191" s="17">
        <f>VLOOKUP($B191,'[1]Source GDP Current LCU'!$B$1:$CZ$600,64,FALSE)</f>
        <v>332223232700</v>
      </c>
      <c r="N191" s="45">
        <v>330000000000</v>
      </c>
      <c r="O191" s="45">
        <f>VLOOKUP($B191,'[1]Source GNI Current USD'!$B$1:$CZ$600,64,FALSE)</f>
        <v>17601655545.924801</v>
      </c>
      <c r="P191" s="45">
        <f>VLOOKUP($B191,'[1]Source GNI Current LCU'!$B$1:$CZ$600,64,FALSE)</f>
        <v>322886529500</v>
      </c>
      <c r="Q191">
        <f t="shared" si="4"/>
        <v>102.8916360228648</v>
      </c>
      <c r="R191">
        <v>1160</v>
      </c>
      <c r="S191">
        <v>1160</v>
      </c>
      <c r="T191">
        <v>0.28491699999999998</v>
      </c>
      <c r="U191" s="45">
        <v>18000000</v>
      </c>
      <c r="V191">
        <v>19.029</v>
      </c>
      <c r="W191">
        <f>VLOOKUP($B191,'[1]Source Gov. Revenue WEO'!$B$1:$CZ$600,5,FALSE)</f>
        <v>19.588999999999999</v>
      </c>
      <c r="X191">
        <f>VLOOKUP($B191,'[1]Source Gov. Revenue WEO'!$B$1:$CZ$600,6,FALSE)</f>
        <v>18.991</v>
      </c>
      <c r="Y191">
        <f>VLOOKUP($B191,'[1]Source Gov. Revenue WEO'!$B$1:$CZ$600,7,FALSE)</f>
        <v>19.254999999999999</v>
      </c>
      <c r="Z191">
        <f>VLOOKUP($B191,'[1]Source Gov. Revenue WEO'!$B$1:$CZ$600,8,FALSE)</f>
        <v>19.369</v>
      </c>
      <c r="AA191">
        <f>VLOOKUP($B191,'[1]Source Gov. Revenue WEO'!$B$1:$CZ$600,9,FALSE)</f>
        <v>19.582999999999998</v>
      </c>
      <c r="AB191">
        <f>VLOOKUP($B191,'[1]Source Gov. Revenue WEO'!$B$1:$CZ$600,10,FALSE)</f>
        <v>19.547999999999998</v>
      </c>
      <c r="AC191">
        <f>VLOOKUP($B191,[2]Summary!$B$1:$CZ$600,39,FALSE)</f>
        <v>0.56386340000000001</v>
      </c>
      <c r="AD191">
        <f>VLOOKUP($B191,[2]Summary!$B$1:$CZ$600,40,FALSE)</f>
        <v>0.53849999999999998</v>
      </c>
      <c r="AE191">
        <f>VLOOKUP($B191,[2]Summary!$B$1:$CZ$600,47,FALSE)</f>
        <v>0.18830328672770558</v>
      </c>
      <c r="AF191">
        <f>VLOOKUP($B191,'[1]CALC GDP Growth rates WDI'!$B$1:$CZ$600,27,FALSE)</f>
        <v>41.700074553842427</v>
      </c>
      <c r="AG191">
        <f>VLOOKUP($B191,'[1]CALC GDP Growth rates WDI'!$B$1:$CZ$600,29,FALSE)</f>
        <v>58.400880201788041</v>
      </c>
      <c r="AH191">
        <v>10.210000000000001</v>
      </c>
      <c r="AI191">
        <f>VLOOKUP($B191,'[1]CALC GDP Growth rates WDI'!$B$1:$CZ$600,30,FALSE)</f>
        <v>14.948654930028704</v>
      </c>
      <c r="AJ191" t="s">
        <v>2464</v>
      </c>
      <c r="AK191">
        <f>VLOOKUP($B191,[1]Data_Aspire!$B$1:$CZ$600,2,FALSE)</f>
        <v>2016</v>
      </c>
      <c r="AL191">
        <f>VLOOKUP($B191,[1]Data_Aspire!$B$1:$CZ$600,3,FALSE)</f>
        <v>0.23</v>
      </c>
      <c r="AM191">
        <f>VLOOKUP($B191,[1]Data_Aspire!$B$1:$CZ$600,4,FALSE)</f>
        <v>0</v>
      </c>
      <c r="AN191">
        <f>VLOOKUP($B191,[1]Data_Aspire!$B$1:$CZ$600,5,FALSE)</f>
        <v>0.01</v>
      </c>
      <c r="AO191">
        <f>VLOOKUP($B191,[1]Data_Aspire!$B$1:$CZ$600,6,FALSE)</f>
        <v>0.01</v>
      </c>
      <c r="AP191">
        <f>VLOOKUP($B191,[1]Data_Aspire!$B$1:$CZ$600,7,FALSE)</f>
        <v>0.01</v>
      </c>
      <c r="AR191">
        <f>VLOOKUP($B191,[1]Data_Aspire!$B$1:$CZ$600,9,FALSE)</f>
        <v>0.02</v>
      </c>
      <c r="AS191">
        <f>VLOOKUP($B191,[1]Data_Aspire!$B$1:$CZ$600,10,FALSE)</f>
        <v>0.17</v>
      </c>
      <c r="AU191">
        <f>VLOOKUP($B191,[1]Data_Aspire!$B$1:$CZ$600,12,FALSE)</f>
        <v>0.23</v>
      </c>
      <c r="AX191">
        <f>VLOOKUP($B191,[1]Data_Aspire!$B$1:$CZ$600,15,FALSE)</f>
        <v>2600000</v>
      </c>
      <c r="AY191">
        <f>VLOOKUP($B191,[1]Data_Aspire!$B$1:$CZ$600,16,FALSE)</f>
        <v>2016</v>
      </c>
      <c r="BB191">
        <f>VLOOKUP($B191,[1]Data_Aspire!$B$1:$CZ$600,19,FALSE)</f>
        <v>156520</v>
      </c>
      <c r="BC191">
        <f>VLOOKUP($B191,[1]Data_Aspire!$B$1:$CZ$600,20,FALSE)</f>
        <v>2015</v>
      </c>
      <c r="BD191">
        <f>VLOOKUP($B191,[1]Data_Aspire!$B$1:$CZ$600,21,FALSE)</f>
        <v>1052760</v>
      </c>
      <c r="BE191">
        <f>VLOOKUP($B191,[1]Data_Aspire!$B$1:$CZ$600,22,FALSE)</f>
        <v>2016</v>
      </c>
      <c r="BH191">
        <f>VLOOKUP($B191,[1]Data_Aspire!$B$1:$CZ$600,25,FALSE)</f>
        <v>20676</v>
      </c>
      <c r="BI191">
        <f>VLOOKUP($B191,[1]Data_Aspire!$B$1:$CZ$600,26,FALSE)</f>
        <v>2013</v>
      </c>
      <c r="BJ191" s="7">
        <v>1</v>
      </c>
      <c r="BK191">
        <v>894</v>
      </c>
      <c r="BL191">
        <f>VLOOKUP($B191,'[1]Data_UN_PopulationTot.&amp;%'!$B$4:$CZ$603,8,FALSE)</f>
        <v>18384</v>
      </c>
      <c r="BM191">
        <f>VLOOKUP($B191,'[1]Data_UN_PopulationTot.&amp;%'!$B$4:$CZ$603,9,FALSE)</f>
        <v>18920.7</v>
      </c>
      <c r="BN191">
        <v>19470.2</v>
      </c>
      <c r="BO191">
        <f>VLOOKUP($B191,'[1]Data_UN_PopulationTot.&amp;%'!$B$4:$CZ$603,11,FALSE)</f>
        <v>20032.8</v>
      </c>
      <c r="BP191">
        <f>VLOOKUP($B191,'[1]Data_UN_PopulationTot.&amp;%'!$B$4:$CZ$603,12,FALSE)</f>
        <v>20608.400000000001</v>
      </c>
      <c r="BQ191">
        <f>VLOOKUP($B191,'[1]Data_UN_PopulationTot.&amp;%'!$B$4:$CZ$603,13,FALSE)</f>
        <v>21196.799999999999</v>
      </c>
      <c r="BR191">
        <f>VLOOKUP($B191,'[1]Data_UN_PopulationTot.&amp;%'!$B$4:$CZ$603,14,FALSE)</f>
        <v>21798.2</v>
      </c>
      <c r="BS191">
        <f>VLOOKUP($B191,'[1]Data_UN_PopulationTot.&amp;%'!$B$4:$CZ$603,15,FALSE)</f>
        <v>22412.3</v>
      </c>
      <c r="BT191">
        <f>VLOOKUP($B191,'[1]Data_UN_PopulationTot.&amp;%'!$B$4:$CZ$603,16,FALSE)</f>
        <v>23038.7</v>
      </c>
      <c r="BU191">
        <f>VLOOKUP($B191,'[1]Data_UN_PopulationTot.&amp;%'!$B$4:$CZ$603,17,FALSE)</f>
        <v>23676.7</v>
      </c>
      <c r="BV191">
        <f>VLOOKUP($B191,'[1]Data_UN_PopulationTot.&amp;%'!$B$4:$CZ$603,18,FALSE)</f>
        <v>24325.5</v>
      </c>
      <c r="BW191">
        <f>VLOOKUP($B191,'[1]Data_UN_PopulationTot.&amp;%'!$B$4:$CZ$603,61,FALSE)</f>
        <v>16.027251958224543</v>
      </c>
      <c r="BX191">
        <f>VLOOKUP($B191,'[1]Data_UN_PopulationTot.&amp;%'!$B$4:$CZ$603,62,FALSE)</f>
        <v>14.779645343777197</v>
      </c>
      <c r="BY191">
        <f>VLOOKUP($B191,'[1]Data_UN_PopulationTot.&amp;%'!$B$4:$CZ$603,63,FALSE)</f>
        <v>13.210400348128806</v>
      </c>
      <c r="BZ191">
        <f>VLOOKUP($B191,'[1]Data_UN_PopulationTot.&amp;%'!$B$4:$CZ$603,64,FALSE)</f>
        <v>11.540361183637945</v>
      </c>
      <c r="CA191">
        <f>VLOOKUP($B191,'[1]Data_UN_PopulationTot.&amp;%'!$B$4:$CZ$603,65,FALSE)</f>
        <v>9.5025021758050485</v>
      </c>
      <c r="CB191">
        <f>VLOOKUP($B191,'[1]Data_UN_PopulationTot.&amp;%'!$B$4:$CZ$603,66,FALSE)</f>
        <v>7.7972149695387296</v>
      </c>
      <c r="CC191">
        <f>VLOOKUP($B191,'[1]Data_UN_PopulationTot.&amp;%'!$B$4:$CZ$603,67,FALSE)</f>
        <v>6.4918951261966926</v>
      </c>
      <c r="CD191">
        <f>VLOOKUP($B191,'[1]Data_UN_PopulationTot.&amp;%'!$B$4:$CZ$603,68,FALSE)</f>
        <v>5.3944680156657965</v>
      </c>
      <c r="CE191">
        <f>VLOOKUP($B191,'[1]Data_UN_PopulationTot.&amp;%'!$B$4:$CZ$603,69,FALSE)</f>
        <v>4.3963827241079203</v>
      </c>
      <c r="CF191">
        <f>VLOOKUP($B191,'[1]Data_UN_PopulationTot.&amp;%'!$B$4:$CZ$603,70,FALSE)</f>
        <v>3.2944843342036552</v>
      </c>
      <c r="CG191">
        <f>VLOOKUP($B191,'[1]Data_UN_PopulationTot.&amp;%'!$B$4:$CZ$603,71,FALSE)</f>
        <v>2.3585563533507399</v>
      </c>
      <c r="CH191">
        <f>VLOOKUP($B191,'[1]Data_UN_PopulationTot.&amp;%'!$B$4:$CZ$603,72,FALSE)</f>
        <v>1.7823215839860747</v>
      </c>
      <c r="CI191">
        <f>VLOOKUP($B191,'[1]Data_UN_PopulationTot.&amp;%'!$B$4:$CZ$603,73,FALSE)</f>
        <v>1.2921779808529157</v>
      </c>
      <c r="CJ191">
        <f>VLOOKUP($B191,'[1]Data_UN_PopulationTot.&amp;%'!$B$4:$CZ$603,74,FALSE)</f>
        <v>0.90448759791122713</v>
      </c>
      <c r="CK191">
        <f>VLOOKUP($B191,'[1]Data_UN_PopulationTot.&amp;%'!$B$4:$CZ$603,75,FALSE)</f>
        <v>0.61337576153176676</v>
      </c>
      <c r="CL191">
        <f>VLOOKUP($B191,'[1]Data_UN_PopulationTot.&amp;%'!$B$4:$CZ$603,76,FALSE)</f>
        <v>0.36554612706701478</v>
      </c>
      <c r="CM191">
        <f>VLOOKUP($B191,'[1]Data_UN_PopulationTot.&amp;%'!$B$4:$CZ$603,77,FALSE)</f>
        <v>0.17904699738903393</v>
      </c>
      <c r="CN191">
        <f>VLOOKUP($B191,'[1]Data_UN_PopulationTot.&amp;%'!$B$4:$CZ$603,78,FALSE)</f>
        <v>5.9089425587467354E-2</v>
      </c>
      <c r="CO191">
        <f>VLOOKUP($B191,'[1]Data_UN_PopulationTot.&amp;%'!$B$4:$CZ$603,79,FALSE)</f>
        <v>9.807441253263707E-3</v>
      </c>
      <c r="CP191">
        <f>VLOOKUP($B191,'[1]Data_UN_PopulationTot.&amp;%'!$B$4:$CZ$603,80,FALSE)</f>
        <v>6.5818102697998257E-4</v>
      </c>
      <c r="CQ191">
        <f>VLOOKUP($B191,'[1]Data_UN_PopulationTot.&amp;%'!$B$4:$CZ$603,81,FALSE)</f>
        <v>2.7197563098346387E-5</v>
      </c>
      <c r="CR191">
        <f>VLOOKUP($B191,'[1]Data_UN_PopulationTot.&amp;%'!$B$4:$CZ$603,82,FALSE)</f>
        <v>15.02460381081581</v>
      </c>
      <c r="CS191">
        <f>VLOOKUP($B191,'[1]Data_UN_PopulationTot.&amp;%'!$B$4:$CZ$603,83,FALSE)</f>
        <v>13.432529649955807</v>
      </c>
      <c r="CT191">
        <f>VLOOKUP($B191,'[1]Data_UN_PopulationTot.&amp;%'!$B$4:$CZ$603,84,FALSE)</f>
        <v>11.928017923578139</v>
      </c>
      <c r="CU191">
        <f>VLOOKUP($B191,'[1]Data_UN_PopulationTot.&amp;%'!$B$4:$CZ$603,85,FALSE)</f>
        <v>11.055353435695052</v>
      </c>
      <c r="CV191">
        <f>VLOOKUP($B191,'[1]Data_UN_PopulationTot.&amp;%'!$B$4:$CZ$603,86,FALSE)</f>
        <v>9.8174343795605434</v>
      </c>
      <c r="CW191">
        <f>VLOOKUP($B191,'[1]Data_UN_PopulationTot.&amp;%'!$B$4:$CZ$603,87,FALSE)</f>
        <v>8.4928161805512747</v>
      </c>
      <c r="CX191">
        <f>VLOOKUP($B191,'[1]Data_UN_PopulationTot.&amp;%'!$B$4:$CZ$603,88,FALSE)</f>
        <v>6.936630285091776</v>
      </c>
      <c r="CY191">
        <f>VLOOKUP($B191,'[1]Data_UN_PopulationTot.&amp;%'!$B$4:$CZ$603,89,FALSE)</f>
        <v>5.6422272923475365</v>
      </c>
      <c r="CZ191">
        <f>VLOOKUP($B191,'[1]Data_UN_PopulationTot.&amp;%'!$B$4:$CZ$603,90,FALSE)</f>
        <v>4.6400279542044354</v>
      </c>
      <c r="DA191">
        <f>VLOOKUP($B191,'[1]Data_UN_PopulationTot.&amp;%'!$B$4:$CZ$603,91,FALSE)</f>
        <v>3.7991284865675943</v>
      </c>
      <c r="DB191">
        <f>VLOOKUP($B191,'[1]Data_UN_PopulationTot.&amp;%'!$B$4:$CZ$603,92,FALSE)</f>
        <v>3.0370352099648517</v>
      </c>
      <c r="DC191">
        <f>VLOOKUP($B191,'[1]Data_UN_PopulationTot.&amp;%'!$B$4:$CZ$603,93,FALSE)</f>
        <v>2.2138003329839058</v>
      </c>
      <c r="DD191">
        <f>VLOOKUP($B191,'[1]Data_UN_PopulationTot.&amp;%'!$B$4:$CZ$603,94,FALSE)</f>
        <v>1.5225874082752668</v>
      </c>
      <c r="DE191">
        <f>VLOOKUP($B191,'[1]Data_UN_PopulationTot.&amp;%'!$B$4:$CZ$603,95,FALSE)</f>
        <v>1.0764588600439866</v>
      </c>
      <c r="DF191">
        <f>VLOOKUP($B191,'[1]Data_UN_PopulationTot.&amp;%'!$B$4:$CZ$603,96,FALSE)</f>
        <v>0.69709152946496478</v>
      </c>
      <c r="DG191">
        <f>VLOOKUP($B191,'[1]Data_UN_PopulationTot.&amp;%'!$B$4:$CZ$603,97,FALSE)</f>
        <v>0.40470699471747756</v>
      </c>
      <c r="DH191">
        <f>VLOOKUP($B191,'[1]Data_UN_PopulationTot.&amp;%'!$B$4:$CZ$603,98,FALSE)</f>
        <v>0.19860640069063329</v>
      </c>
      <c r="DI191">
        <f>VLOOKUP($B191,'[1]Data_UN_PopulationTot.&amp;%'!$B$4:$CZ$603,99,FALSE)</f>
        <v>6.7349078127890483E-2</v>
      </c>
      <c r="DJ191">
        <f>VLOOKUP($B191,'[1]Data_UN_PopulationTot.&amp;%'!$B$4:$DE$603,100,FALSE)</f>
        <v>1.2595835645721568E-2</v>
      </c>
      <c r="DK191">
        <f>VLOOKUP($B191,'[1]Data_UN_PopulationTot.&amp;%'!$B$4:$DE$603,101,FALSE)</f>
        <v>1.0071735421676841E-3</v>
      </c>
      <c r="DL191">
        <f>VLOOKUP($B191,'[1]Data_UN_PopulationTot.&amp;%'!$B$4:$DE$603,102,FALSE)</f>
        <v>3.6998211753098597E-5</v>
      </c>
    </row>
    <row r="192" spans="1:116">
      <c r="A192" t="s">
        <v>127</v>
      </c>
      <c r="B192" t="s">
        <v>341</v>
      </c>
      <c r="C192" t="s">
        <v>496</v>
      </c>
      <c r="D192" t="s">
        <v>334</v>
      </c>
      <c r="E192" t="s">
        <v>300</v>
      </c>
      <c r="F192">
        <v>0</v>
      </c>
      <c r="G192">
        <v>1</v>
      </c>
      <c r="H192">
        <v>0</v>
      </c>
      <c r="I192">
        <v>0</v>
      </c>
      <c r="J192" s="18">
        <f t="shared" si="5"/>
        <v>188.31800945737496</v>
      </c>
      <c r="K192">
        <f>VLOOKUP($B192,'[1]Source GDP Current USD'!$B$1:$CZ$600,64,FALSE)</f>
        <v>18051170798.941002</v>
      </c>
      <c r="L192" s="45">
        <f>VLOOKUP($B192,'[1]Source GDP Current USD'!$B$1:$CZ$600,65,FALSE)</f>
        <v>18051170798.941002</v>
      </c>
      <c r="M192" s="17">
        <f>VLOOKUP($B192,'[1]Source GDP Current LCU'!$B$1:$CZ$600,64,FALSE)</f>
        <v>1157099904500</v>
      </c>
      <c r="N192" s="45">
        <v>1200000000000</v>
      </c>
      <c r="O192" s="45">
        <f>VLOOKUP($B192,'[1]Source GNI Current USD'!$B$1:$CZ$600,64,FALSE)</f>
        <v>17447769295.690701</v>
      </c>
      <c r="P192" s="45">
        <f>VLOOKUP($B192,'[1]Source GNI Current LCU'!$B$1:$CZ$600,64,FALSE)</f>
        <v>1118421204400</v>
      </c>
      <c r="Q192">
        <f t="shared" si="4"/>
        <v>103.45833036317921</v>
      </c>
      <c r="R192">
        <v>1140</v>
      </c>
      <c r="S192">
        <v>1140</v>
      </c>
      <c r="T192">
        <v>0.34333900000000001</v>
      </c>
      <c r="U192" s="45">
        <v>15000000</v>
      </c>
      <c r="V192">
        <v>16.274999999999999</v>
      </c>
      <c r="W192">
        <f>VLOOKUP($B192,'[1]Source Gov. Revenue WEO'!$B$1:$CZ$600,5,FALSE)</f>
        <v>16.158999999999999</v>
      </c>
      <c r="X192">
        <f>VLOOKUP($B192,'[1]Source Gov. Revenue WEO'!$B$1:$CZ$600,6,FALSE)</f>
        <v>16.283000000000001</v>
      </c>
      <c r="Y192">
        <f>VLOOKUP($B192,'[1]Source Gov. Revenue WEO'!$B$1:$CZ$600,7,FALSE)</f>
        <v>16.283999999999999</v>
      </c>
      <c r="Z192">
        <f>VLOOKUP($B192,'[1]Source Gov. Revenue WEO'!$B$1:$CZ$600,8,FALSE)</f>
        <v>16.285</v>
      </c>
      <c r="AA192">
        <f>VLOOKUP($B192,'[1]Source Gov. Revenue WEO'!$B$1:$CZ$600,9,FALSE)</f>
        <v>16.286000000000001</v>
      </c>
      <c r="AB192">
        <f>VLOOKUP($B192,'[1]Source Gov. Revenue WEO'!$B$1:$CZ$600,10,FALSE)</f>
        <v>16.288</v>
      </c>
      <c r="AC192">
        <f>VLOOKUP($B192,[2]Summary!$B$1:$CZ$600,39,FALSE)</f>
        <v>0.31413039999999998</v>
      </c>
      <c r="AD192">
        <f>VLOOKUP($B192,[2]Summary!$B$1:$CZ$600,40,FALSE)</f>
        <v>0.22399999999999998</v>
      </c>
      <c r="AE192">
        <f>VLOOKUP($B192,[2]Summary!$B$1:$CZ$600,47,FALSE)</f>
        <v>0.28847330295595275</v>
      </c>
      <c r="AF192">
        <f>VLOOKUP($B192,'[1]CALC GDP Growth rates WDI'!$B$1:$CZ$600,27,FALSE)</f>
        <v>37.77188532044137</v>
      </c>
      <c r="AG192">
        <f>VLOOKUP($B192,'[1]CALC GDP Growth rates WDI'!$B$1:$CZ$600,29,FALSE)</f>
        <v>86.346085566233512</v>
      </c>
      <c r="AH192">
        <v>-2.66</v>
      </c>
      <c r="AI192">
        <f>VLOOKUP($B192,'[1]CALC GDP Growth rates WDI'!$B$1:$CZ$600,30,FALSE)</f>
        <v>11.936828560677725</v>
      </c>
      <c r="AJ192" s="45" t="s">
        <v>2467</v>
      </c>
      <c r="AK192">
        <f>VLOOKUP($B192,[1]Data_Aspire!$B$1:$CZ$600,2,FALSE)</f>
        <v>2015</v>
      </c>
      <c r="AL192">
        <f>VLOOKUP($B192,[1]Data_Aspire!$B$1:$CZ$600,3,FALSE)</f>
        <v>0.35</v>
      </c>
      <c r="AM192">
        <f>VLOOKUP($B192,[1]Data_Aspire!$B$1:$CZ$600,4,FALSE)</f>
        <v>0</v>
      </c>
      <c r="AN192">
        <f>VLOOKUP($B192,[1]Data_Aspire!$B$1:$CZ$600,5,FALSE)</f>
        <v>0.09</v>
      </c>
      <c r="AO192">
        <f>VLOOKUP($B192,[1]Data_Aspire!$B$1:$CZ$600,6,FALSE)</f>
        <v>0</v>
      </c>
      <c r="AP192">
        <f>VLOOKUP($B192,[1]Data_Aspire!$B$1:$CZ$600,7,FALSE)</f>
        <v>0</v>
      </c>
      <c r="AQ192">
        <f>VLOOKUP($B192,[1]Data_Aspire!$B$1:$CZ$600,8,FALSE)</f>
        <v>0.05</v>
      </c>
      <c r="AR192">
        <f>VLOOKUP($B192,[1]Data_Aspire!$B$1:$CZ$600,9,FALSE)</f>
        <v>0.16</v>
      </c>
      <c r="AS192">
        <f>VLOOKUP($B192,[1]Data_Aspire!$B$1:$CZ$600,10,FALSE)</f>
        <v>0.04</v>
      </c>
      <c r="AT192">
        <f>VLOOKUP($B192,[1]Data_Aspire!$B$1:$CZ$600,11,FALSE)</f>
        <v>0.01</v>
      </c>
      <c r="AU192">
        <f>VLOOKUP($B192,[1]Data_Aspire!$B$1:$CZ$600,12,FALSE)</f>
        <v>0.34</v>
      </c>
      <c r="AX192">
        <f>VLOOKUP($B192,[1]Data_Aspire!$B$1:$CZ$600,15,FALSE)</f>
        <v>218400</v>
      </c>
      <c r="AY192">
        <f>VLOOKUP($B192,[1]Data_Aspire!$B$1:$CZ$600,16,FALSE)</f>
        <v>2015</v>
      </c>
      <c r="AZ192">
        <f>VLOOKUP($B192,[1]Data_Aspire!$B$1:$CZ$600,17,FALSE)</f>
        <v>2444</v>
      </c>
      <c r="BA192">
        <f>VLOOKUP($B192,[1]Data_Aspire!$B$1:$CZ$600,18,FALSE)</f>
        <v>2015</v>
      </c>
      <c r="BB192">
        <f>VLOOKUP($B192,[1]Data_Aspire!$B$1:$CZ$600,19,FALSE)</f>
        <v>1118363</v>
      </c>
      <c r="BC192">
        <f>VLOOKUP($B192,[1]Data_Aspire!$B$1:$CZ$600,20,FALSE)</f>
        <v>2015</v>
      </c>
      <c r="BF192">
        <f>VLOOKUP($B192,[1]Data_Aspire!$B$1:$CZ$600,23,FALSE)</f>
        <v>756000</v>
      </c>
      <c r="BG192">
        <f>VLOOKUP($B192,[1]Data_Aspire!$B$1:$CZ$600,24,FALSE)</f>
        <v>2015</v>
      </c>
      <c r="BH192">
        <f>VLOOKUP($B192,[1]Data_Aspire!$B$1:$CZ$600,25,FALSE)</f>
        <v>118408</v>
      </c>
      <c r="BI192">
        <f>VLOOKUP($B192,[1]Data_Aspire!$B$1:$CZ$600,26,FALSE)</f>
        <v>2015</v>
      </c>
      <c r="BJ192" s="7">
        <v>1</v>
      </c>
      <c r="BK192">
        <v>716</v>
      </c>
      <c r="BL192">
        <f>VLOOKUP($B192,'[1]Data_UN_PopulationTot.&amp;%'!$B$4:$CZ$603,8,FALSE)</f>
        <v>14862.9</v>
      </c>
      <c r="BM192">
        <f>VLOOKUP($B192,'[1]Data_UN_PopulationTot.&amp;%'!$B$4:$CZ$603,9,FALSE)</f>
        <v>15092.2</v>
      </c>
      <c r="BN192">
        <v>15331.4</v>
      </c>
      <c r="BO192">
        <f>VLOOKUP($B192,'[1]Data_UN_PopulationTot.&amp;%'!$B$4:$CZ$603,11,FALSE)</f>
        <v>15581</v>
      </c>
      <c r="BP192">
        <f>VLOOKUP($B192,'[1]Data_UN_PopulationTot.&amp;%'!$B$4:$CZ$603,12,FALSE)</f>
        <v>15840.8</v>
      </c>
      <c r="BQ192">
        <f>VLOOKUP($B192,'[1]Data_UN_PopulationTot.&amp;%'!$B$4:$CZ$603,13,FALSE)</f>
        <v>16110.5</v>
      </c>
      <c r="BR192">
        <f>VLOOKUP($B192,'[1]Data_UN_PopulationTot.&amp;%'!$B$4:$CZ$603,14,FALSE)</f>
        <v>16390.400000000001</v>
      </c>
      <c r="BS192">
        <f>VLOOKUP($B192,'[1]Data_UN_PopulationTot.&amp;%'!$B$4:$CZ$603,15,FALSE)</f>
        <v>16680.400000000001</v>
      </c>
      <c r="BT192">
        <f>VLOOKUP($B192,'[1]Data_UN_PopulationTot.&amp;%'!$B$4:$CZ$603,16,FALSE)</f>
        <v>16979.3</v>
      </c>
      <c r="BU192">
        <f>VLOOKUP($B192,'[1]Data_UN_PopulationTot.&amp;%'!$B$4:$CZ$603,17,FALSE)</f>
        <v>17285.2</v>
      </c>
      <c r="BV192">
        <f>VLOOKUP($B192,'[1]Data_UN_PopulationTot.&amp;%'!$B$4:$CZ$603,18,FALSE)</f>
        <v>17596.400000000001</v>
      </c>
      <c r="BW192">
        <f>VLOOKUP($B192,'[1]Data_UN_PopulationTot.&amp;%'!$B$4:$CZ$603,61,FALSE)</f>
        <v>14.111983529459257</v>
      </c>
      <c r="BX192">
        <f>VLOOKUP($B192,'[1]Data_UN_PopulationTot.&amp;%'!$B$4:$CZ$603,62,FALSE)</f>
        <v>14.874015165277301</v>
      </c>
      <c r="BY192">
        <f>VLOOKUP($B192,'[1]Data_UN_PopulationTot.&amp;%'!$B$4:$CZ$603,63,FALSE)</f>
        <v>12.925203022290402</v>
      </c>
      <c r="BZ192">
        <f>VLOOKUP($B192,'[1]Data_UN_PopulationTot.&amp;%'!$B$4:$CZ$603,64,FALSE)</f>
        <v>11.026784813192581</v>
      </c>
      <c r="CA192">
        <f>VLOOKUP($B192,'[1]Data_UN_PopulationTot.&amp;%'!$B$4:$CZ$603,65,FALSE)</f>
        <v>9.2702635421082018</v>
      </c>
      <c r="CB192">
        <f>VLOOKUP($B192,'[1]Data_UN_PopulationTot.&amp;%'!$B$4:$CZ$603,66,FALSE)</f>
        <v>7.4356955910353975</v>
      </c>
      <c r="CC192">
        <f>VLOOKUP($B192,'[1]Data_UN_PopulationTot.&amp;%'!$B$4:$CZ$603,67,FALSE)</f>
        <v>6.6936735092074899</v>
      </c>
      <c r="CD192">
        <f>VLOOKUP($B192,'[1]Data_UN_PopulationTot.&amp;%'!$B$4:$CZ$603,68,FALSE)</f>
        <v>5.8710076768329191</v>
      </c>
      <c r="CE192">
        <f>VLOOKUP($B192,'[1]Data_UN_PopulationTot.&amp;%'!$B$4:$CZ$603,69,FALSE)</f>
        <v>4.9622011855021571</v>
      </c>
      <c r="CF192">
        <f>VLOOKUP($B192,'[1]Data_UN_PopulationTot.&amp;%'!$B$4:$CZ$603,70,FALSE)</f>
        <v>3.5006290831533544</v>
      </c>
      <c r="CG192">
        <f>VLOOKUP($B192,'[1]Data_UN_PopulationTot.&amp;%'!$B$4:$CZ$603,71,FALSE)</f>
        <v>2.6200808725080571</v>
      </c>
      <c r="CH192">
        <f>VLOOKUP($B192,'[1]Data_UN_PopulationTot.&amp;%'!$B$4:$CZ$603,72,FALSE)</f>
        <v>2.0767750573575818</v>
      </c>
      <c r="CI192">
        <f>VLOOKUP($B192,'[1]Data_UN_PopulationTot.&amp;%'!$B$4:$CZ$603,73,FALSE)</f>
        <v>1.6177327439463363</v>
      </c>
      <c r="CJ192">
        <f>VLOOKUP($B192,'[1]Data_UN_PopulationTot.&amp;%'!$B$4:$CZ$603,74,FALSE)</f>
        <v>1.2445283221982251</v>
      </c>
      <c r="CK192">
        <f>VLOOKUP($B192,'[1]Data_UN_PopulationTot.&amp;%'!$B$4:$CZ$603,75,FALSE)</f>
        <v>0.77143760638906278</v>
      </c>
      <c r="CL192">
        <f>VLOOKUP($B192,'[1]Data_UN_PopulationTot.&amp;%'!$B$4:$CZ$603,76,FALSE)</f>
        <v>0.5766034892248485</v>
      </c>
      <c r="CM192">
        <f>VLOOKUP($B192,'[1]Data_UN_PopulationTot.&amp;%'!$B$4:$CZ$603,77,FALSE)</f>
        <v>0.29528557683897488</v>
      </c>
      <c r="CN192">
        <f>VLOOKUP($B192,'[1]Data_UN_PopulationTot.&amp;%'!$B$4:$CZ$603,78,FALSE)</f>
        <v>0.10401738557078363</v>
      </c>
      <c r="CO192">
        <f>VLOOKUP($B192,'[1]Data_UN_PopulationTot.&amp;%'!$B$4:$CZ$603,79,FALSE)</f>
        <v>2.0366146579738814E-2</v>
      </c>
      <c r="CP192">
        <f>VLOOKUP($B192,'[1]Data_UN_PopulationTot.&amp;%'!$B$4:$CZ$603,80,FALSE)</f>
        <v>1.7964192721474277E-3</v>
      </c>
      <c r="CQ192">
        <f>VLOOKUP($B192,'[1]Data_UN_PopulationTot.&amp;%'!$B$4:$CZ$603,81,FALSE)</f>
        <v>1.2783507929138997E-4</v>
      </c>
      <c r="CR192">
        <f>VLOOKUP($B192,'[1]Data_UN_PopulationTot.&amp;%'!$B$4:$CZ$603,82,FALSE)</f>
        <v>12.06286513150417</v>
      </c>
      <c r="CS192">
        <f>VLOOKUP($B192,'[1]Data_UN_PopulationTot.&amp;%'!$B$4:$CZ$603,83,FALSE)</f>
        <v>11.552988111204563</v>
      </c>
      <c r="CT192">
        <f>VLOOKUP($B192,'[1]Data_UN_PopulationTot.&amp;%'!$B$4:$CZ$603,84,FALSE)</f>
        <v>11.690118433315904</v>
      </c>
      <c r="CU192">
        <f>VLOOKUP($B192,'[1]Data_UN_PopulationTot.&amp;%'!$B$4:$CZ$603,85,FALSE)</f>
        <v>12.350708099383965</v>
      </c>
      <c r="CV192">
        <f>VLOOKUP($B192,'[1]Data_UN_PopulationTot.&amp;%'!$B$4:$CZ$603,86,FALSE)</f>
        <v>10.450205723898069</v>
      </c>
      <c r="CW192">
        <f>VLOOKUP($B192,'[1]Data_UN_PopulationTot.&amp;%'!$B$4:$CZ$603,87,FALSE)</f>
        <v>8.5040121843104259</v>
      </c>
      <c r="CX192">
        <f>VLOOKUP($B192,'[1]Data_UN_PopulationTot.&amp;%'!$B$4:$CZ$603,88,FALSE)</f>
        <v>6.9300538746561795</v>
      </c>
      <c r="CY192">
        <f>VLOOKUP($B192,'[1]Data_UN_PopulationTot.&amp;%'!$B$4:$CZ$603,89,FALSE)</f>
        <v>5.5920131390511694</v>
      </c>
      <c r="CZ192">
        <f>VLOOKUP($B192,'[1]Data_UN_PopulationTot.&amp;%'!$B$4:$CZ$603,90,FALSE)</f>
        <v>5.0878986610897678</v>
      </c>
      <c r="DA192">
        <f>VLOOKUP($B192,'[1]Data_UN_PopulationTot.&amp;%'!$B$4:$CZ$603,91,FALSE)</f>
        <v>4.4061512582119065</v>
      </c>
      <c r="DB192">
        <f>VLOOKUP($B192,'[1]Data_UN_PopulationTot.&amp;%'!$B$4:$CZ$603,92,FALSE)</f>
        <v>3.6706485417471755</v>
      </c>
      <c r="DC192">
        <f>VLOOKUP($B192,'[1]Data_UN_PopulationTot.&amp;%'!$B$4:$CZ$603,93,FALSE)</f>
        <v>2.5384908276692957</v>
      </c>
      <c r="DD192">
        <f>VLOOKUP($B192,'[1]Data_UN_PopulationTot.&amp;%'!$B$4:$CZ$603,94,FALSE)</f>
        <v>1.8370291650564887</v>
      </c>
      <c r="DE192">
        <f>VLOOKUP($B192,'[1]Data_UN_PopulationTot.&amp;%'!$B$4:$CZ$603,95,FALSE)</f>
        <v>1.3623013798276919</v>
      </c>
      <c r="DF192">
        <f>VLOOKUP($B192,'[1]Data_UN_PopulationTot.&amp;%'!$B$4:$CZ$603,96,FALSE)</f>
        <v>0.94818258280102741</v>
      </c>
      <c r="DG192">
        <f>VLOOKUP($B192,'[1]Data_UN_PopulationTot.&amp;%'!$B$4:$CZ$603,97,FALSE)</f>
        <v>0.60536246050328468</v>
      </c>
      <c r="DH192">
        <f>VLOOKUP($B192,'[1]Data_UN_PopulationTot.&amp;%'!$B$4:$CZ$603,98,FALSE)</f>
        <v>0.27195335409515581</v>
      </c>
      <c r="DI192">
        <f>VLOOKUP($B192,'[1]Data_UN_PopulationTot.&amp;%'!$B$4:$CZ$603,99,FALSE)</f>
        <v>0.11465981678070512</v>
      </c>
      <c r="DJ192">
        <f>VLOOKUP($B192,'[1]Data_UN_PopulationTot.&amp;%'!$B$4:$DE$603,100,FALSE)</f>
        <v>2.2379577640881089E-2</v>
      </c>
      <c r="DK192">
        <f>VLOOKUP($B192,'[1]Data_UN_PopulationTot.&amp;%'!$B$4:$DE$603,101,FALSE)</f>
        <v>2.0515560000909272E-3</v>
      </c>
      <c r="DL192">
        <f>VLOOKUP($B192,'[1]Data_UN_PopulationTot.&amp;%'!$B$4:$DE$603,102,FALSE)</f>
        <v>1.1365961219340319E-4</v>
      </c>
    </row>
    <row r="193" spans="26:63">
      <c r="Z193" s="45"/>
      <c r="AA193" s="45"/>
      <c r="AC193" s="45"/>
      <c r="AE193" s="45"/>
      <c r="AG193" s="45"/>
      <c r="AQ193" s="45"/>
      <c r="AR193" s="45"/>
      <c r="AS193" s="45"/>
    </row>
    <row r="194" spans="26:63">
      <c r="Z194" s="45"/>
      <c r="AA194" s="45"/>
      <c r="AJ194" s="45"/>
      <c r="AQ194" s="45"/>
    </row>
    <row r="196" spans="26:63">
      <c r="Z196" s="45"/>
      <c r="AA196" s="45"/>
      <c r="AQ196" s="45"/>
    </row>
    <row r="197" spans="26:63">
      <c r="Z197" s="45"/>
      <c r="AA197" s="45"/>
      <c r="BK197" s="45"/>
    </row>
    <row r="198" spans="26:63">
      <c r="Z198" s="45"/>
      <c r="AA198" s="45"/>
      <c r="AJ198" s="45"/>
      <c r="AQ198" s="45"/>
      <c r="AR198" s="45"/>
      <c r="AS198" s="45"/>
    </row>
    <row r="199" spans="26:63">
      <c r="Z199" s="45"/>
      <c r="AA199" s="45"/>
      <c r="AQ199" s="45"/>
      <c r="AS199" s="45"/>
    </row>
    <row r="200" spans="26:63">
      <c r="Z200" s="45"/>
      <c r="AA200" s="45"/>
      <c r="AC200" s="45"/>
      <c r="AE200" s="45"/>
      <c r="AG200" s="45"/>
      <c r="AH200" s="45"/>
      <c r="AJ200" s="45"/>
      <c r="AQ200" s="45"/>
    </row>
    <row r="201" spans="26:63">
      <c r="AQ201" s="45"/>
    </row>
    <row r="202" spans="26:63">
      <c r="Z202" s="45"/>
      <c r="AA202" s="45"/>
      <c r="AQ202" s="45"/>
      <c r="AR202" s="45"/>
      <c r="AS202" s="45"/>
    </row>
    <row r="203" spans="26:63">
      <c r="Z203" s="45"/>
      <c r="AA203" s="45"/>
    </row>
    <row r="204" spans="26:63">
      <c r="Z204" s="45"/>
      <c r="AA204" s="45"/>
      <c r="AG204" s="45"/>
      <c r="AJ204" s="45"/>
      <c r="AQ204" s="45"/>
      <c r="AR204" s="45"/>
      <c r="AS204" s="45"/>
    </row>
    <row r="205" spans="26:63">
      <c r="Z205" s="45"/>
      <c r="AA205" s="45"/>
      <c r="AJ205" s="45"/>
      <c r="AQ205" s="45"/>
      <c r="AR205" s="45"/>
      <c r="AS205" s="45"/>
    </row>
    <row r="206" spans="26:63">
      <c r="Z206" s="45"/>
      <c r="AA206" s="45"/>
      <c r="AC206" s="45"/>
      <c r="AE206" s="45"/>
      <c r="AG206" s="45"/>
      <c r="AH206" s="45"/>
      <c r="AJ206" s="45"/>
      <c r="AQ206" s="45"/>
    </row>
    <row r="207" spans="26:63">
      <c r="Z207" s="45"/>
      <c r="AA207" s="45"/>
      <c r="AQ207" s="45"/>
    </row>
    <row r="208" spans="26:63">
      <c r="Z208" s="45"/>
      <c r="AA208" s="45"/>
      <c r="AJ208" s="45"/>
      <c r="AQ208" s="45"/>
      <c r="AR208" s="45"/>
      <c r="AS208" s="45"/>
    </row>
    <row r="209" spans="26:63">
      <c r="Z209" s="45"/>
      <c r="AA209" s="45"/>
      <c r="AJ209" s="45"/>
      <c r="AQ209" s="45"/>
      <c r="AR209" s="45"/>
      <c r="AS209" s="45"/>
    </row>
    <row r="210" spans="26:63">
      <c r="Z210" s="45"/>
      <c r="AA210" s="45"/>
      <c r="AQ210" s="45"/>
      <c r="AS210" s="45"/>
    </row>
    <row r="211" spans="26:63">
      <c r="Z211" s="45"/>
      <c r="AA211" s="45"/>
      <c r="AJ211" s="45"/>
      <c r="AQ211" s="45"/>
      <c r="AR211" s="45"/>
      <c r="AS211" s="45"/>
    </row>
    <row r="212" spans="26:63">
      <c r="Z212" s="45"/>
      <c r="AA212" s="45"/>
      <c r="AJ212" s="45"/>
      <c r="AQ212" s="45"/>
      <c r="AR212" s="45"/>
      <c r="AS212" s="45"/>
    </row>
    <row r="213" spans="26:63">
      <c r="Z213" s="45"/>
      <c r="AA213" s="45"/>
      <c r="AQ213" s="45"/>
    </row>
    <row r="215" spans="26:63">
      <c r="Z215" s="45"/>
      <c r="AA215" s="45"/>
      <c r="AQ215" s="45"/>
      <c r="BK215" s="45"/>
    </row>
    <row r="216" spans="26:63">
      <c r="Z216" s="45"/>
      <c r="AA216" s="45"/>
      <c r="AJ216" s="45"/>
      <c r="AQ216" s="45"/>
      <c r="AR216" s="45"/>
      <c r="AS216" s="45"/>
    </row>
    <row r="217" spans="26:63">
      <c r="Z217" s="45"/>
      <c r="AA217" s="45"/>
      <c r="AC217" s="45"/>
      <c r="AE217" s="45"/>
      <c r="AG217" s="45"/>
      <c r="AJ217" s="45"/>
      <c r="AQ217" s="45"/>
      <c r="AR217" s="45"/>
      <c r="AS217" s="45"/>
    </row>
    <row r="219" spans="26:63">
      <c r="Z219" s="45"/>
      <c r="AA219" s="45"/>
      <c r="AC219" s="45"/>
      <c r="AE219" s="45"/>
      <c r="AG219" s="45"/>
      <c r="AQ219" s="45"/>
    </row>
    <row r="220" spans="26:63">
      <c r="Z220" s="45"/>
      <c r="AA220" s="45"/>
    </row>
    <row r="221" spans="26:63">
      <c r="Z221" s="45"/>
      <c r="AA221" s="45"/>
    </row>
    <row r="222" spans="26:63">
      <c r="Z222" s="45"/>
      <c r="AA222" s="45"/>
      <c r="AQ222" s="45"/>
      <c r="AS222" s="45"/>
    </row>
    <row r="223" spans="26:63">
      <c r="Z223" s="45"/>
      <c r="AA223" s="45"/>
      <c r="AJ223" s="45"/>
      <c r="AQ223" s="45"/>
      <c r="AR223" s="45"/>
      <c r="AS223" s="45"/>
    </row>
    <row r="224" spans="26:63">
      <c r="Z224" s="45"/>
      <c r="AA224" s="45"/>
    </row>
    <row r="225" spans="26:45">
      <c r="Z225" s="45"/>
      <c r="AA225" s="45"/>
      <c r="AJ225" s="45"/>
      <c r="AQ225" s="45"/>
    </row>
    <row r="226" spans="26:45">
      <c r="Z226" s="45"/>
      <c r="AA226" s="45"/>
      <c r="AJ226" s="45"/>
      <c r="AQ226" s="45"/>
      <c r="AR226" s="45"/>
      <c r="AS226" s="45"/>
    </row>
    <row r="228" spans="26:45">
      <c r="Z228" s="45"/>
      <c r="AA228" s="45"/>
      <c r="AQ228" s="45"/>
      <c r="AR228" s="45"/>
      <c r="AS228" s="45"/>
    </row>
    <row r="230" spans="26:45">
      <c r="Z230" s="45"/>
      <c r="AA230" s="45"/>
    </row>
    <row r="231" spans="26:45">
      <c r="Z231" s="45"/>
      <c r="AA231" s="45"/>
      <c r="AQ231" s="45"/>
    </row>
    <row r="232" spans="26:45">
      <c r="Z232" s="45"/>
      <c r="AA232" s="45"/>
      <c r="AC232" s="45"/>
      <c r="AE232" s="45"/>
      <c r="AG232" s="45"/>
      <c r="AH232" s="45"/>
      <c r="AJ232" s="45"/>
      <c r="AQ232" s="45"/>
      <c r="AR232" s="45"/>
      <c r="AS232" s="45"/>
    </row>
    <row r="233" spans="26:45">
      <c r="Z233" s="45"/>
      <c r="AA233" s="45"/>
      <c r="AE233" s="45"/>
      <c r="AG233" s="45"/>
      <c r="AJ233" s="45"/>
      <c r="AQ233" s="45"/>
      <c r="AR233" s="45"/>
      <c r="AS233" s="45"/>
    </row>
    <row r="234" spans="26:45">
      <c r="Z234" s="45"/>
      <c r="AA234" s="45"/>
      <c r="AJ234" s="45"/>
      <c r="AQ234" s="45"/>
    </row>
    <row r="235" spans="26:45">
      <c r="Z235" s="45"/>
      <c r="AA235" s="45"/>
      <c r="AQ235" s="45"/>
    </row>
    <row r="236" spans="26:45">
      <c r="Z236" s="45"/>
      <c r="AA236" s="45"/>
    </row>
    <row r="237" spans="26:45">
      <c r="AQ237" s="45"/>
      <c r="AS237" s="45"/>
    </row>
    <row r="238" spans="26:45">
      <c r="Z238" s="45"/>
      <c r="AA238" s="45"/>
      <c r="AC238" s="45"/>
      <c r="AE238" s="45"/>
      <c r="AG238" s="45"/>
      <c r="AJ238" s="45"/>
      <c r="AQ238" s="45"/>
    </row>
    <row r="239" spans="26:45">
      <c r="Z239" s="45"/>
      <c r="AA239" s="45"/>
    </row>
    <row r="240" spans="26:45">
      <c r="Z240" s="45"/>
      <c r="AA240" s="45"/>
      <c r="AC240" s="45"/>
      <c r="AE240" s="45"/>
      <c r="AG240" s="45"/>
      <c r="AJ240" s="45"/>
      <c r="AQ240" s="45"/>
      <c r="AR240" s="45"/>
      <c r="AS240" s="45"/>
    </row>
    <row r="241" spans="26:63">
      <c r="Z241" s="45"/>
      <c r="AA241" s="45"/>
      <c r="AQ241" s="45"/>
      <c r="AR241" s="45"/>
      <c r="AS241" s="45"/>
    </row>
    <row r="242" spans="26:63">
      <c r="Z242" s="45"/>
      <c r="AA242" s="45"/>
      <c r="AC242" s="45"/>
      <c r="AE242" s="45"/>
      <c r="AG242" s="45"/>
      <c r="AH242" s="45"/>
      <c r="AJ242" s="45"/>
      <c r="AQ242" s="45"/>
      <c r="AR242" s="45"/>
      <c r="AS242" s="45"/>
    </row>
    <row r="243" spans="26:63">
      <c r="Z243" s="45"/>
      <c r="AA243" s="45"/>
      <c r="AC243" s="45"/>
      <c r="AE243" s="45"/>
      <c r="AG243" s="45"/>
      <c r="AQ243" s="45"/>
    </row>
    <row r="244" spans="26:63">
      <c r="Z244" s="45"/>
      <c r="AA244" s="45"/>
      <c r="AQ244" s="45"/>
      <c r="AS244" s="45"/>
    </row>
    <row r="245" spans="26:63">
      <c r="Z245" s="45"/>
      <c r="AA245" s="45"/>
      <c r="AJ245" s="45"/>
      <c r="AQ245" s="45"/>
      <c r="AR245" s="45"/>
      <c r="AS245" s="45"/>
    </row>
    <row r="246" spans="26:63">
      <c r="Z246" s="45"/>
      <c r="AA246" s="45"/>
      <c r="AQ246" s="45"/>
      <c r="AR246" s="45"/>
      <c r="AS246" s="45"/>
    </row>
    <row r="248" spans="26:63">
      <c r="Z248" s="45"/>
      <c r="AA248" s="45"/>
      <c r="AJ248" s="45"/>
      <c r="AQ248" s="45"/>
      <c r="AR248" s="45"/>
      <c r="AS248" s="45"/>
    </row>
    <row r="249" spans="26:63">
      <c r="Z249" s="45"/>
      <c r="AA249" s="45"/>
      <c r="AJ249" s="45"/>
      <c r="AQ249" s="45"/>
      <c r="AR249" s="45"/>
      <c r="AS249" s="45"/>
    </row>
    <row r="250" spans="26:63">
      <c r="Z250" s="45"/>
      <c r="AA250" s="45"/>
      <c r="AJ250" s="45"/>
      <c r="AQ250" s="45"/>
      <c r="AR250" s="45"/>
      <c r="AS250" s="45"/>
    </row>
    <row r="251" spans="26:63">
      <c r="Z251" s="45"/>
      <c r="AA251" s="45"/>
      <c r="AC251" s="45"/>
      <c r="AE251" s="45"/>
      <c r="AG251" s="45"/>
      <c r="AH251" s="45"/>
      <c r="AQ251" s="45"/>
    </row>
    <row r="252" spans="26:63">
      <c r="Z252" s="45"/>
      <c r="AA252" s="45"/>
      <c r="AJ252" s="45"/>
      <c r="AQ252" s="45"/>
    </row>
    <row r="253" spans="26:63">
      <c r="Z253" s="45"/>
      <c r="AA253" s="45"/>
      <c r="AE253" s="45"/>
      <c r="AG253" s="45"/>
      <c r="AJ253" s="45"/>
      <c r="AQ253" s="45"/>
      <c r="AR253" s="45"/>
      <c r="AS253" s="45"/>
    </row>
    <row r="254" spans="26:63">
      <c r="Z254" s="45"/>
      <c r="AA254" s="45"/>
      <c r="BK254" s="45"/>
    </row>
    <row r="255" spans="26:63">
      <c r="Z255" s="45"/>
      <c r="AA255" s="45"/>
      <c r="AQ255" s="45"/>
      <c r="AS255" s="45"/>
    </row>
    <row r="256" spans="26:63">
      <c r="AQ256" s="45"/>
    </row>
    <row r="259" spans="26:63">
      <c r="Z259" s="45"/>
      <c r="AA259" s="45"/>
      <c r="BK259" s="45"/>
    </row>
    <row r="260" spans="26:63">
      <c r="Z260" s="45"/>
      <c r="AA260" s="45"/>
    </row>
    <row r="261" spans="26:63">
      <c r="Z261" s="45"/>
      <c r="AA261" s="45"/>
      <c r="AC261" s="45"/>
      <c r="AE261" s="45"/>
      <c r="AG261" s="45"/>
      <c r="AH261" s="45"/>
      <c r="AJ261" s="45"/>
      <c r="AQ261" s="45"/>
      <c r="AR261" s="45"/>
      <c r="AS261" s="45"/>
    </row>
    <row r="262" spans="26:63">
      <c r="Z262" s="45"/>
      <c r="AA262" s="45"/>
      <c r="AQ262" s="45"/>
      <c r="AS262" s="45"/>
    </row>
    <row r="263" spans="26:63">
      <c r="Z263" s="45"/>
      <c r="AA263" s="45"/>
    </row>
    <row r="264" spans="26:63">
      <c r="AQ264" s="45"/>
      <c r="AS264" s="45"/>
    </row>
    <row r="265" spans="26:63">
      <c r="Z265" s="45"/>
      <c r="AA265" s="45"/>
      <c r="AJ265" s="45"/>
    </row>
    <row r="266" spans="26:63">
      <c r="Z266" s="45"/>
      <c r="AA266" s="45"/>
      <c r="AQ266" s="45"/>
    </row>
    <row r="267" spans="26:63">
      <c r="Z267" s="45"/>
      <c r="AA267" s="45"/>
      <c r="AQ267" s="45"/>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D0404-DA57-4B5A-B0A6-CB4CCB2F018B}">
  <dimension ref="A1:C31"/>
  <sheetViews>
    <sheetView workbookViewId="0"/>
  </sheetViews>
  <sheetFormatPr defaultColWidth="8.85546875" defaultRowHeight="14.45"/>
  <sheetData>
    <row r="1" spans="1:3">
      <c r="A1" t="s">
        <v>2470</v>
      </c>
    </row>
    <row r="2" spans="1:3">
      <c r="A2" t="s">
        <v>641</v>
      </c>
      <c r="B2" t="s">
        <v>657</v>
      </c>
      <c r="C2" t="s">
        <v>302</v>
      </c>
    </row>
    <row r="3" spans="1:3">
      <c r="A3" t="s">
        <v>74</v>
      </c>
      <c r="B3" t="s">
        <v>461</v>
      </c>
      <c r="C3">
        <v>1</v>
      </c>
    </row>
    <row r="4" spans="1:3">
      <c r="A4" t="s">
        <v>53</v>
      </c>
      <c r="B4" t="s">
        <v>458</v>
      </c>
      <c r="C4">
        <v>2</v>
      </c>
    </row>
    <row r="5" spans="1:3">
      <c r="A5" t="s">
        <v>58</v>
      </c>
      <c r="B5" t="s">
        <v>456</v>
      </c>
      <c r="C5">
        <v>3</v>
      </c>
    </row>
    <row r="6" spans="1:3">
      <c r="A6" t="s">
        <v>64</v>
      </c>
      <c r="B6" t="s">
        <v>455</v>
      </c>
      <c r="C6">
        <v>4</v>
      </c>
    </row>
    <row r="7" spans="1:3">
      <c r="A7" t="s">
        <v>70</v>
      </c>
      <c r="B7" t="s">
        <v>446</v>
      </c>
      <c r="C7">
        <v>5</v>
      </c>
    </row>
    <row r="8" spans="1:3">
      <c r="A8" t="s">
        <v>49</v>
      </c>
      <c r="B8" t="s">
        <v>464</v>
      </c>
      <c r="C8">
        <v>6</v>
      </c>
    </row>
    <row r="9" spans="1:3">
      <c r="A9" t="s">
        <v>50</v>
      </c>
      <c r="B9" t="s">
        <v>459</v>
      </c>
      <c r="C9">
        <v>7</v>
      </c>
    </row>
    <row r="10" spans="1:3">
      <c r="A10" t="s">
        <v>55</v>
      </c>
      <c r="B10" t="s">
        <v>452</v>
      </c>
      <c r="C10">
        <v>8</v>
      </c>
    </row>
    <row r="11" spans="1:3">
      <c r="A11" t="s">
        <v>56</v>
      </c>
      <c r="B11" t="s">
        <v>457</v>
      </c>
      <c r="C11">
        <v>9</v>
      </c>
    </row>
    <row r="12" spans="1:3">
      <c r="A12" t="s">
        <v>65</v>
      </c>
      <c r="B12" t="s">
        <v>443</v>
      </c>
      <c r="C12">
        <v>10</v>
      </c>
    </row>
    <row r="13" spans="1:3">
      <c r="A13" t="s">
        <v>68</v>
      </c>
      <c r="B13" t="s">
        <v>442</v>
      </c>
      <c r="C13">
        <v>11</v>
      </c>
    </row>
    <row r="14" spans="1:3">
      <c r="A14" t="s">
        <v>59</v>
      </c>
      <c r="B14" t="s">
        <v>463</v>
      </c>
      <c r="C14">
        <v>12</v>
      </c>
    </row>
    <row r="15" spans="1:3">
      <c r="A15" t="s">
        <v>61</v>
      </c>
      <c r="B15" t="s">
        <v>466</v>
      </c>
      <c r="C15">
        <v>13</v>
      </c>
    </row>
    <row r="16" spans="1:3">
      <c r="A16" t="s">
        <v>63</v>
      </c>
      <c r="B16" t="s">
        <v>450</v>
      </c>
      <c r="C16">
        <v>14</v>
      </c>
    </row>
    <row r="17" spans="1:3">
      <c r="A17" t="s">
        <v>57</v>
      </c>
      <c r="B17" t="s">
        <v>451</v>
      </c>
      <c r="C17">
        <v>15</v>
      </c>
    </row>
    <row r="18" spans="1:3">
      <c r="A18" t="s">
        <v>1761</v>
      </c>
      <c r="B18" t="s">
        <v>449</v>
      </c>
      <c r="C18">
        <v>16</v>
      </c>
    </row>
    <row r="19" spans="1:3">
      <c r="A19" t="s">
        <v>54</v>
      </c>
      <c r="B19" t="s">
        <v>467</v>
      </c>
      <c r="C19">
        <v>17</v>
      </c>
    </row>
    <row r="20" spans="1:3">
      <c r="A20" t="s">
        <v>2471</v>
      </c>
      <c r="B20" t="s">
        <v>460</v>
      </c>
      <c r="C20">
        <v>18</v>
      </c>
    </row>
    <row r="21" spans="1:3">
      <c r="A21" t="s">
        <v>71</v>
      </c>
      <c r="B21" t="s">
        <v>453</v>
      </c>
      <c r="C21">
        <v>19</v>
      </c>
    </row>
    <row r="22" spans="1:3">
      <c r="A22" t="s">
        <v>51</v>
      </c>
      <c r="B22" t="s">
        <v>468</v>
      </c>
      <c r="C22">
        <v>20</v>
      </c>
    </row>
    <row r="23" spans="1:3">
      <c r="A23" t="s">
        <v>75</v>
      </c>
      <c r="B23" t="s">
        <v>441</v>
      </c>
      <c r="C23">
        <v>21</v>
      </c>
    </row>
    <row r="24" spans="1:3">
      <c r="A24" t="s">
        <v>62</v>
      </c>
      <c r="B24" t="s">
        <v>445</v>
      </c>
      <c r="C24">
        <v>22</v>
      </c>
    </row>
    <row r="25" spans="1:3">
      <c r="A25" t="s">
        <v>76</v>
      </c>
      <c r="B25" t="s">
        <v>444</v>
      </c>
      <c r="C25">
        <v>23</v>
      </c>
    </row>
    <row r="26" spans="1:3">
      <c r="A26" t="s">
        <v>60</v>
      </c>
      <c r="B26" t="s">
        <v>447</v>
      </c>
      <c r="C26">
        <v>24</v>
      </c>
    </row>
    <row r="27" spans="1:3">
      <c r="A27" t="s">
        <v>69</v>
      </c>
      <c r="B27" t="s">
        <v>448</v>
      </c>
      <c r="C27">
        <v>25</v>
      </c>
    </row>
    <row r="28" spans="1:3">
      <c r="A28" t="s">
        <v>52</v>
      </c>
      <c r="B28" t="s">
        <v>462</v>
      </c>
      <c r="C28">
        <v>26</v>
      </c>
    </row>
    <row r="29" spans="1:3">
      <c r="A29" t="s">
        <v>67</v>
      </c>
      <c r="B29" t="s">
        <v>469</v>
      </c>
      <c r="C29">
        <v>27</v>
      </c>
    </row>
    <row r="30" spans="1:3">
      <c r="A30" t="s">
        <v>72</v>
      </c>
      <c r="B30" t="s">
        <v>454</v>
      </c>
      <c r="C30">
        <v>28</v>
      </c>
    </row>
    <row r="31" spans="1:3">
      <c r="A31" t="s">
        <v>77</v>
      </c>
      <c r="B31" t="s">
        <v>465</v>
      </c>
      <c r="C31">
        <v>29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341AE-97C5-4AC0-88CA-F5244E82A1EE}">
  <dimension ref="A1:AQ143"/>
  <sheetViews>
    <sheetView topLeftCell="T118" workbookViewId="0">
      <selection activeCell="W142" sqref="W142"/>
    </sheetView>
  </sheetViews>
  <sheetFormatPr defaultColWidth="8.85546875" defaultRowHeight="14.45"/>
  <cols>
    <col min="2" max="2" width="36.28515625" customWidth="1"/>
    <col min="3" max="9" width="9.42578125" bestFit="1" customWidth="1"/>
    <col min="10" max="27" width="10.42578125" bestFit="1" customWidth="1"/>
    <col min="28" max="42" width="11.42578125" bestFit="1" customWidth="1"/>
  </cols>
  <sheetData>
    <row r="1" spans="1:43" ht="18">
      <c r="A1" s="84" t="s">
        <v>2472</v>
      </c>
      <c r="B1" s="151"/>
      <c r="C1" s="151"/>
      <c r="D1" s="151"/>
      <c r="E1" s="151"/>
      <c r="F1" s="151"/>
      <c r="G1" s="151"/>
      <c r="H1" s="151"/>
      <c r="I1" s="151" t="s">
        <v>2473</v>
      </c>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row>
    <row r="2" spans="1:43" ht="16.5">
      <c r="A2" s="181" t="s">
        <v>2474</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row>
    <row r="3" spans="1:43">
      <c r="A3" s="182" t="s">
        <v>2475</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row>
    <row r="4" spans="1:43">
      <c r="A4" s="182" t="s">
        <v>2476</v>
      </c>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row>
    <row r="5" spans="1:43">
      <c r="A5" s="151"/>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row>
    <row r="6" spans="1:43">
      <c r="A6" s="80" t="s">
        <v>2477</v>
      </c>
      <c r="B6" s="80" t="s">
        <v>484</v>
      </c>
      <c r="C6" s="80" t="s">
        <v>2205</v>
      </c>
      <c r="D6" s="80" t="s">
        <v>2206</v>
      </c>
      <c r="E6" s="80" t="s">
        <v>2207</v>
      </c>
      <c r="F6" s="80" t="s">
        <v>2208</v>
      </c>
      <c r="G6" s="80" t="s">
        <v>2209</v>
      </c>
      <c r="H6" s="80" t="s">
        <v>2210</v>
      </c>
      <c r="I6" s="80" t="s">
        <v>2211</v>
      </c>
      <c r="J6" s="80" t="s">
        <v>2212</v>
      </c>
      <c r="K6" s="80" t="s">
        <v>2213</v>
      </c>
      <c r="L6" s="80" t="s">
        <v>2214</v>
      </c>
      <c r="M6" s="80" t="s">
        <v>2215</v>
      </c>
      <c r="N6" s="80" t="s">
        <v>2216</v>
      </c>
      <c r="O6" s="80" t="s">
        <v>2217</v>
      </c>
      <c r="P6" s="80" t="s">
        <v>2218</v>
      </c>
      <c r="Q6" s="80" t="s">
        <v>2219</v>
      </c>
      <c r="R6" s="80" t="s">
        <v>2220</v>
      </c>
      <c r="S6" s="80" t="s">
        <v>2221</v>
      </c>
      <c r="T6" s="80" t="s">
        <v>2222</v>
      </c>
      <c r="U6" s="80" t="s">
        <v>2223</v>
      </c>
      <c r="V6" s="80" t="s">
        <v>2224</v>
      </c>
      <c r="W6" s="80" t="s">
        <v>2225</v>
      </c>
      <c r="X6" s="80" t="s">
        <v>2226</v>
      </c>
      <c r="Y6" s="80" t="s">
        <v>2227</v>
      </c>
      <c r="Z6" s="80" t="s">
        <v>2228</v>
      </c>
      <c r="AA6" s="80" t="s">
        <v>2229</v>
      </c>
      <c r="AB6" s="80" t="s">
        <v>2230</v>
      </c>
      <c r="AC6" s="80" t="s">
        <v>2231</v>
      </c>
      <c r="AD6" s="80" t="s">
        <v>2232</v>
      </c>
      <c r="AE6" s="80" t="s">
        <v>2233</v>
      </c>
      <c r="AF6" s="80" t="s">
        <v>2234</v>
      </c>
      <c r="AG6" s="80" t="s">
        <v>2235</v>
      </c>
      <c r="AH6" s="80" t="s">
        <v>2236</v>
      </c>
      <c r="AI6" s="80" t="s">
        <v>2237</v>
      </c>
      <c r="AJ6" s="80" t="s">
        <v>2238</v>
      </c>
      <c r="AK6" s="80" t="s">
        <v>2239</v>
      </c>
      <c r="AL6" s="80" t="s">
        <v>2240</v>
      </c>
      <c r="AM6" s="80" t="s">
        <v>2241</v>
      </c>
      <c r="AN6" s="80" t="s">
        <v>2242</v>
      </c>
      <c r="AO6" s="80" t="s">
        <v>2243</v>
      </c>
      <c r="AP6" s="80" t="s">
        <v>2122</v>
      </c>
      <c r="AQ6" s="80" t="s">
        <v>2101</v>
      </c>
    </row>
    <row r="7" spans="1:43">
      <c r="A7" s="151" t="s">
        <v>484</v>
      </c>
      <c r="B7" s="151" t="s">
        <v>484</v>
      </c>
      <c r="C7" s="151" t="s">
        <v>484</v>
      </c>
      <c r="D7" s="151" t="s">
        <v>484</v>
      </c>
      <c r="E7" s="151" t="s">
        <v>484</v>
      </c>
      <c r="F7" s="151" t="s">
        <v>484</v>
      </c>
      <c r="G7" s="151" t="s">
        <v>484</v>
      </c>
      <c r="H7" s="151" t="s">
        <v>484</v>
      </c>
      <c r="I7" s="151" t="s">
        <v>484</v>
      </c>
      <c r="J7" s="151" t="s">
        <v>484</v>
      </c>
      <c r="K7" s="151" t="s">
        <v>484</v>
      </c>
      <c r="L7" s="151" t="s">
        <v>484</v>
      </c>
      <c r="M7" s="151" t="s">
        <v>484</v>
      </c>
      <c r="N7" s="151" t="s">
        <v>484</v>
      </c>
      <c r="O7" s="151" t="s">
        <v>484</v>
      </c>
      <c r="P7" s="151" t="s">
        <v>484</v>
      </c>
      <c r="Q7" s="151" t="s">
        <v>484</v>
      </c>
      <c r="R7" s="151" t="s">
        <v>484</v>
      </c>
      <c r="S7" s="151" t="s">
        <v>484</v>
      </c>
      <c r="T7" s="151" t="s">
        <v>484</v>
      </c>
      <c r="U7" s="151" t="s">
        <v>484</v>
      </c>
      <c r="V7" s="151" t="s">
        <v>484</v>
      </c>
      <c r="W7" s="151" t="s">
        <v>484</v>
      </c>
      <c r="X7" s="151" t="s">
        <v>484</v>
      </c>
      <c r="Y7" s="151" t="s">
        <v>484</v>
      </c>
      <c r="Z7" s="151" t="s">
        <v>484</v>
      </c>
      <c r="AA7" s="151" t="s">
        <v>484</v>
      </c>
      <c r="AB7" s="151" t="s">
        <v>484</v>
      </c>
      <c r="AC7" s="151" t="s">
        <v>484</v>
      </c>
      <c r="AD7" s="151" t="s">
        <v>484</v>
      </c>
      <c r="AE7" s="151" t="s">
        <v>484</v>
      </c>
      <c r="AF7" s="151" t="s">
        <v>484</v>
      </c>
      <c r="AG7" s="151" t="s">
        <v>484</v>
      </c>
      <c r="AH7" s="151" t="s">
        <v>484</v>
      </c>
      <c r="AI7" s="151" t="s">
        <v>484</v>
      </c>
      <c r="AJ7" s="151" t="s">
        <v>484</v>
      </c>
      <c r="AK7" s="151" t="s">
        <v>484</v>
      </c>
      <c r="AL7" s="151" t="s">
        <v>484</v>
      </c>
      <c r="AM7" s="151" t="s">
        <v>484</v>
      </c>
      <c r="AN7" s="151" t="s">
        <v>484</v>
      </c>
      <c r="AO7" s="151" t="s">
        <v>484</v>
      </c>
      <c r="AP7" s="151" t="s">
        <v>484</v>
      </c>
      <c r="AQ7" s="151" t="s">
        <v>484</v>
      </c>
    </row>
    <row r="8" spans="1:43">
      <c r="A8" s="151" t="s">
        <v>2478</v>
      </c>
      <c r="B8" s="81" t="s">
        <v>2479</v>
      </c>
      <c r="C8" s="151">
        <v>894.6</v>
      </c>
      <c r="D8" s="151">
        <v>1017.4</v>
      </c>
      <c r="E8" s="151">
        <v>1131</v>
      </c>
      <c r="F8" s="151">
        <v>1227.7</v>
      </c>
      <c r="G8" s="151">
        <v>1311.7</v>
      </c>
      <c r="H8" s="151">
        <v>1418.7</v>
      </c>
      <c r="I8" s="151">
        <v>1512.8</v>
      </c>
      <c r="J8" s="151">
        <v>1586.7</v>
      </c>
      <c r="K8" s="151">
        <v>1678.3</v>
      </c>
      <c r="L8" s="151">
        <v>1810.7</v>
      </c>
      <c r="M8" s="151">
        <v>1952.9</v>
      </c>
      <c r="N8" s="151">
        <v>2072.1999999999998</v>
      </c>
      <c r="O8" s="151">
        <v>2254.1999999999998</v>
      </c>
      <c r="P8" s="151">
        <v>2339.3000000000002</v>
      </c>
      <c r="Q8" s="151">
        <v>2417.1999999999998</v>
      </c>
      <c r="R8" s="151">
        <v>2536.5</v>
      </c>
      <c r="S8" s="151">
        <v>2621.8</v>
      </c>
      <c r="T8" s="151">
        <v>2699.9</v>
      </c>
      <c r="U8" s="151">
        <v>2767.4</v>
      </c>
      <c r="V8" s="151">
        <v>2879.5</v>
      </c>
      <c r="W8" s="151">
        <v>3019.9</v>
      </c>
      <c r="X8" s="151">
        <v>3229.2</v>
      </c>
      <c r="Y8" s="151">
        <v>3419.8</v>
      </c>
      <c r="Z8" s="151">
        <v>3624</v>
      </c>
      <c r="AA8" s="151">
        <v>3817.4</v>
      </c>
      <c r="AB8" s="151">
        <v>4075.3</v>
      </c>
      <c r="AC8" s="151">
        <v>4320.1000000000004</v>
      </c>
      <c r="AD8" s="151">
        <v>4599.6000000000004</v>
      </c>
      <c r="AE8" s="151">
        <v>4972</v>
      </c>
      <c r="AF8" s="151">
        <v>5284</v>
      </c>
      <c r="AG8" s="151">
        <v>5560</v>
      </c>
      <c r="AH8" s="151">
        <v>5639.5</v>
      </c>
      <c r="AI8" s="151">
        <v>5667.1</v>
      </c>
      <c r="AJ8" s="151">
        <v>5731.4</v>
      </c>
      <c r="AK8" s="151">
        <v>5889.7</v>
      </c>
      <c r="AL8" s="151">
        <v>6064.5</v>
      </c>
      <c r="AM8" s="151">
        <v>6248.4</v>
      </c>
      <c r="AN8" s="151">
        <v>6433.6</v>
      </c>
      <c r="AO8" s="151">
        <v>6761</v>
      </c>
      <c r="AP8" s="151">
        <v>7094</v>
      </c>
      <c r="AQ8" s="151">
        <v>8934.4</v>
      </c>
    </row>
    <row r="9" spans="1:43">
      <c r="A9" s="151" t="s">
        <v>2480</v>
      </c>
      <c r="B9" s="81" t="s">
        <v>2481</v>
      </c>
      <c r="C9" s="151">
        <v>195.3</v>
      </c>
      <c r="D9" s="151">
        <v>228.6</v>
      </c>
      <c r="E9" s="151">
        <v>259.89999999999998</v>
      </c>
      <c r="F9" s="151">
        <v>286.39999999999998</v>
      </c>
      <c r="G9" s="151">
        <v>323.7</v>
      </c>
      <c r="H9" s="151">
        <v>359.7</v>
      </c>
      <c r="I9" s="151">
        <v>381.4</v>
      </c>
      <c r="J9" s="151">
        <v>395.8</v>
      </c>
      <c r="K9" s="151">
        <v>418.4</v>
      </c>
      <c r="L9" s="151">
        <v>452.2</v>
      </c>
      <c r="M9" s="151">
        <v>479.8</v>
      </c>
      <c r="N9" s="151">
        <v>471.1</v>
      </c>
      <c r="O9" s="151">
        <v>532.29999999999995</v>
      </c>
      <c r="P9" s="151">
        <v>539</v>
      </c>
      <c r="Q9" s="151">
        <v>552.9</v>
      </c>
      <c r="R9" s="151">
        <v>590.5</v>
      </c>
      <c r="S9" s="151">
        <v>602.1</v>
      </c>
      <c r="T9" s="151">
        <v>612.4</v>
      </c>
      <c r="U9" s="151">
        <v>612.6</v>
      </c>
      <c r="V9" s="151">
        <v>606.20000000000005</v>
      </c>
      <c r="W9" s="151">
        <v>611.29999999999995</v>
      </c>
      <c r="X9" s="151">
        <v>619</v>
      </c>
      <c r="Y9" s="151">
        <v>622.70000000000005</v>
      </c>
      <c r="Z9" s="151">
        <v>651.9</v>
      </c>
      <c r="AA9" s="151">
        <v>670</v>
      </c>
      <c r="AB9" s="151">
        <v>728.9</v>
      </c>
      <c r="AC9" s="151">
        <v>781.9</v>
      </c>
      <c r="AD9" s="151">
        <v>835.9</v>
      </c>
      <c r="AE9" s="151">
        <v>844.2</v>
      </c>
      <c r="AF9" s="151">
        <v>889.8</v>
      </c>
      <c r="AG9" s="151">
        <v>921.9</v>
      </c>
      <c r="AH9" s="151">
        <v>962.1</v>
      </c>
      <c r="AI9" s="151">
        <v>976.7</v>
      </c>
      <c r="AJ9" s="151">
        <v>959.6</v>
      </c>
      <c r="AK9" s="151">
        <v>974.3</v>
      </c>
      <c r="AL9" s="151">
        <v>975.6</v>
      </c>
      <c r="AM9" s="151">
        <v>1019.8</v>
      </c>
      <c r="AN9" s="151">
        <v>1056.4000000000001</v>
      </c>
      <c r="AO9" s="151">
        <v>1132.5</v>
      </c>
      <c r="AP9" s="151">
        <v>1198.0999999999999</v>
      </c>
      <c r="AQ9" s="151">
        <v>1156.2</v>
      </c>
    </row>
    <row r="10" spans="1:43">
      <c r="A10" s="151" t="s">
        <v>2482</v>
      </c>
      <c r="B10" s="151" t="s">
        <v>2483</v>
      </c>
      <c r="C10" s="151">
        <v>16.600000000000001</v>
      </c>
      <c r="D10" s="151">
        <v>16.7</v>
      </c>
      <c r="E10" s="151">
        <v>19.2</v>
      </c>
      <c r="F10" s="151">
        <v>18.5</v>
      </c>
      <c r="G10" s="151">
        <v>22.1</v>
      </c>
      <c r="H10" s="151">
        <v>25.8</v>
      </c>
      <c r="I10" s="151">
        <v>27.6</v>
      </c>
      <c r="J10" s="151">
        <v>26.4</v>
      </c>
      <c r="K10" s="151">
        <v>26.8</v>
      </c>
      <c r="L10" s="151">
        <v>27.8</v>
      </c>
      <c r="M10" s="151">
        <v>30.7</v>
      </c>
      <c r="N10" s="151">
        <v>-6.8</v>
      </c>
      <c r="O10" s="151">
        <v>39.1</v>
      </c>
      <c r="P10" s="151">
        <v>40.200000000000003</v>
      </c>
      <c r="Q10" s="151">
        <v>39.799999999999997</v>
      </c>
      <c r="R10" s="151">
        <v>36.799999999999997</v>
      </c>
      <c r="S10" s="151">
        <v>41.1</v>
      </c>
      <c r="T10" s="151">
        <v>39.799999999999997</v>
      </c>
      <c r="U10" s="151">
        <v>41.3</v>
      </c>
      <c r="V10" s="151">
        <v>41.1</v>
      </c>
      <c r="W10" s="151">
        <v>44.2</v>
      </c>
      <c r="X10" s="151">
        <v>45.7</v>
      </c>
      <c r="Y10" s="151">
        <v>52.4</v>
      </c>
      <c r="Z10" s="151">
        <v>58.2</v>
      </c>
      <c r="AA10" s="151">
        <v>68</v>
      </c>
      <c r="AB10" s="151">
        <v>75.7</v>
      </c>
      <c r="AC10" s="151">
        <v>78.900000000000006</v>
      </c>
      <c r="AD10" s="151">
        <v>90.7</v>
      </c>
      <c r="AE10" s="151">
        <v>99.7</v>
      </c>
      <c r="AF10" s="151">
        <v>111.2</v>
      </c>
      <c r="AG10" s="151">
        <v>112.1</v>
      </c>
      <c r="AH10" s="151">
        <v>116.5</v>
      </c>
      <c r="AI10" s="151">
        <v>118.4</v>
      </c>
      <c r="AJ10" s="151">
        <v>114.4</v>
      </c>
      <c r="AK10" s="151">
        <v>114.9</v>
      </c>
      <c r="AL10" s="151">
        <v>117.1</v>
      </c>
      <c r="AM10" s="151">
        <v>121.2</v>
      </c>
      <c r="AN10" s="151">
        <v>121.1</v>
      </c>
      <c r="AO10" s="151">
        <v>126.8</v>
      </c>
      <c r="AP10" s="151">
        <v>130.1</v>
      </c>
      <c r="AQ10" s="151">
        <v>140.19999999999999</v>
      </c>
    </row>
    <row r="11" spans="1:43">
      <c r="A11" s="151" t="s">
        <v>2484</v>
      </c>
      <c r="B11" s="151" t="s">
        <v>2485</v>
      </c>
      <c r="C11" s="151">
        <v>11</v>
      </c>
      <c r="D11" s="151">
        <v>11.5</v>
      </c>
      <c r="E11" s="151">
        <v>13.4</v>
      </c>
      <c r="F11" s="151">
        <v>16.3</v>
      </c>
      <c r="G11" s="151">
        <v>16.399999999999999</v>
      </c>
      <c r="H11" s="151">
        <v>20.6</v>
      </c>
      <c r="I11" s="151">
        <v>21.6</v>
      </c>
      <c r="J11" s="151">
        <v>22</v>
      </c>
      <c r="K11" s="151">
        <v>24.3</v>
      </c>
      <c r="L11" s="151">
        <v>25.8</v>
      </c>
      <c r="M11" s="151">
        <v>26.9</v>
      </c>
      <c r="N11" s="151">
        <v>28.6</v>
      </c>
      <c r="O11" s="151">
        <v>31.2</v>
      </c>
      <c r="P11" s="151">
        <v>30.1</v>
      </c>
      <c r="Q11" s="151">
        <v>31.4</v>
      </c>
      <c r="R11" s="151">
        <v>32.299999999999997</v>
      </c>
      <c r="S11" s="151">
        <v>31.7</v>
      </c>
      <c r="T11" s="151">
        <v>34</v>
      </c>
      <c r="U11" s="151">
        <v>34</v>
      </c>
      <c r="V11" s="151">
        <v>37</v>
      </c>
      <c r="W11" s="151">
        <v>35.700000000000003</v>
      </c>
      <c r="X11" s="151">
        <v>40.9</v>
      </c>
      <c r="Y11" s="151">
        <v>41</v>
      </c>
      <c r="Z11" s="151">
        <v>39.9</v>
      </c>
      <c r="AA11" s="151">
        <v>40.700000000000003</v>
      </c>
      <c r="AB11" s="151">
        <v>41.7</v>
      </c>
      <c r="AC11" s="151">
        <v>42.6</v>
      </c>
      <c r="AD11" s="151">
        <v>43.7</v>
      </c>
      <c r="AE11" s="151">
        <v>51.9</v>
      </c>
      <c r="AF11" s="151">
        <v>52.3</v>
      </c>
      <c r="AG11" s="151">
        <v>54.6</v>
      </c>
      <c r="AH11" s="151">
        <v>49</v>
      </c>
      <c r="AI11" s="151">
        <v>49</v>
      </c>
      <c r="AJ11" s="151">
        <v>49.7</v>
      </c>
      <c r="AK11" s="151">
        <v>49</v>
      </c>
      <c r="AL11" s="151">
        <v>51.7</v>
      </c>
      <c r="AM11" s="151">
        <v>53.9</v>
      </c>
      <c r="AN11" s="151">
        <v>55</v>
      </c>
      <c r="AO11" s="151">
        <v>59.2</v>
      </c>
      <c r="AP11" s="151">
        <v>62.2</v>
      </c>
      <c r="AQ11" s="151">
        <v>71.400000000000006</v>
      </c>
    </row>
    <row r="12" spans="1:43">
      <c r="A12" s="151" t="s">
        <v>2486</v>
      </c>
      <c r="B12" s="151" t="s">
        <v>2487</v>
      </c>
      <c r="C12" s="151">
        <v>148.80000000000001</v>
      </c>
      <c r="D12" s="151">
        <v>180.1</v>
      </c>
      <c r="E12" s="151">
        <v>206.2</v>
      </c>
      <c r="F12" s="151">
        <v>228</v>
      </c>
      <c r="G12" s="151">
        <v>260.10000000000002</v>
      </c>
      <c r="H12" s="151">
        <v>285.8</v>
      </c>
      <c r="I12" s="151">
        <v>302.7</v>
      </c>
      <c r="J12" s="151">
        <v>314.7</v>
      </c>
      <c r="K12" s="151">
        <v>333.7</v>
      </c>
      <c r="L12" s="151">
        <v>362.1</v>
      </c>
      <c r="M12" s="151">
        <v>383.3</v>
      </c>
      <c r="N12" s="151">
        <v>408.7</v>
      </c>
      <c r="O12" s="151">
        <v>417.2</v>
      </c>
      <c r="P12" s="151">
        <v>422.7</v>
      </c>
      <c r="Q12" s="151">
        <v>434.1</v>
      </c>
      <c r="R12" s="151">
        <v>473</v>
      </c>
      <c r="S12" s="151">
        <v>479.4</v>
      </c>
      <c r="T12" s="151">
        <v>485.3</v>
      </c>
      <c r="U12" s="151">
        <v>479.3</v>
      </c>
      <c r="V12" s="151">
        <v>465.6</v>
      </c>
      <c r="W12" s="151">
        <v>464.8</v>
      </c>
      <c r="X12" s="151">
        <v>459.8</v>
      </c>
      <c r="Y12" s="151">
        <v>452.2</v>
      </c>
      <c r="Z12" s="151">
        <v>475.6</v>
      </c>
      <c r="AA12" s="151">
        <v>480.7</v>
      </c>
      <c r="AB12" s="151">
        <v>521.5</v>
      </c>
      <c r="AC12" s="151">
        <v>560.9</v>
      </c>
      <c r="AD12" s="151">
        <v>600</v>
      </c>
      <c r="AE12" s="151">
        <v>592.29999999999995</v>
      </c>
      <c r="AF12" s="151">
        <v>621.6</v>
      </c>
      <c r="AG12" s="151">
        <v>648.5</v>
      </c>
      <c r="AH12" s="151">
        <v>691.2</v>
      </c>
      <c r="AI12" s="151">
        <v>703.7</v>
      </c>
      <c r="AJ12" s="151">
        <v>686.5</v>
      </c>
      <c r="AK12" s="151">
        <v>701.4</v>
      </c>
      <c r="AL12" s="151">
        <v>698</v>
      </c>
      <c r="AM12" s="151">
        <v>737.1</v>
      </c>
      <c r="AN12" s="151">
        <v>767.5</v>
      </c>
      <c r="AO12" s="151">
        <v>827.9</v>
      </c>
      <c r="AP12" s="151">
        <v>889.7</v>
      </c>
      <c r="AQ12" s="151">
        <v>829.2</v>
      </c>
    </row>
    <row r="13" spans="1:43">
      <c r="A13" s="151" t="s">
        <v>2488</v>
      </c>
      <c r="B13" s="151" t="s">
        <v>2489</v>
      </c>
      <c r="C13" s="151">
        <v>18.899999999999999</v>
      </c>
      <c r="D13" s="151">
        <v>20.2</v>
      </c>
      <c r="E13" s="151">
        <v>21.2</v>
      </c>
      <c r="F13" s="151">
        <v>23.7</v>
      </c>
      <c r="G13" s="151">
        <v>25.1</v>
      </c>
      <c r="H13" s="151">
        <v>27.5</v>
      </c>
      <c r="I13" s="151">
        <v>29.5</v>
      </c>
      <c r="J13" s="151">
        <v>32.700000000000003</v>
      </c>
      <c r="K13" s="151">
        <v>33.5</v>
      </c>
      <c r="L13" s="151">
        <v>36.5</v>
      </c>
      <c r="M13" s="151">
        <v>39</v>
      </c>
      <c r="N13" s="151">
        <v>40.6</v>
      </c>
      <c r="O13" s="151">
        <v>44.7</v>
      </c>
      <c r="P13" s="151">
        <v>45.9</v>
      </c>
      <c r="Q13" s="151">
        <v>47.6</v>
      </c>
      <c r="R13" s="151">
        <v>48.5</v>
      </c>
      <c r="S13" s="151">
        <v>49.9</v>
      </c>
      <c r="T13" s="151">
        <v>53.2</v>
      </c>
      <c r="U13" s="151">
        <v>58.1</v>
      </c>
      <c r="V13" s="151">
        <v>62.5</v>
      </c>
      <c r="W13" s="151">
        <v>66.7</v>
      </c>
      <c r="X13" s="151">
        <v>72.599999999999994</v>
      </c>
      <c r="Y13" s="151">
        <v>77.099999999999994</v>
      </c>
      <c r="Z13" s="151">
        <v>78.099999999999994</v>
      </c>
      <c r="AA13" s="151">
        <v>80.7</v>
      </c>
      <c r="AB13" s="151">
        <v>90.1</v>
      </c>
      <c r="AC13" s="151">
        <v>99.6</v>
      </c>
      <c r="AD13" s="151">
        <v>101.4</v>
      </c>
      <c r="AE13" s="151">
        <v>100.3</v>
      </c>
      <c r="AF13" s="151">
        <v>104.7</v>
      </c>
      <c r="AG13" s="151">
        <v>106.7</v>
      </c>
      <c r="AH13" s="151">
        <v>105.3</v>
      </c>
      <c r="AI13" s="151">
        <v>105.5</v>
      </c>
      <c r="AJ13" s="151">
        <v>108.8</v>
      </c>
      <c r="AK13" s="151">
        <v>109</v>
      </c>
      <c r="AL13" s="151">
        <v>108.8</v>
      </c>
      <c r="AM13" s="151">
        <v>107.7</v>
      </c>
      <c r="AN13" s="151">
        <v>112.7</v>
      </c>
      <c r="AO13" s="151">
        <v>118.6</v>
      </c>
      <c r="AP13" s="151">
        <v>116.2</v>
      </c>
      <c r="AQ13" s="151">
        <v>115.3</v>
      </c>
    </row>
    <row r="14" spans="1:43">
      <c r="A14" s="151" t="s">
        <v>2490</v>
      </c>
      <c r="B14" s="81" t="s">
        <v>2491</v>
      </c>
      <c r="C14" s="151">
        <v>144</v>
      </c>
      <c r="D14" s="151">
        <v>165.8</v>
      </c>
      <c r="E14" s="151">
        <v>187.8</v>
      </c>
      <c r="F14" s="151">
        <v>202.5</v>
      </c>
      <c r="G14" s="151">
        <v>217.8</v>
      </c>
      <c r="H14" s="151">
        <v>234.1</v>
      </c>
      <c r="I14" s="151">
        <v>249</v>
      </c>
      <c r="J14" s="151">
        <v>261.7</v>
      </c>
      <c r="K14" s="151">
        <v>276.7</v>
      </c>
      <c r="L14" s="151">
        <v>286.10000000000002</v>
      </c>
      <c r="M14" s="151">
        <v>297.7</v>
      </c>
      <c r="N14" s="151">
        <v>313.2</v>
      </c>
      <c r="O14" s="151">
        <v>310.3</v>
      </c>
      <c r="P14" s="151">
        <v>303.5</v>
      </c>
      <c r="Q14" s="151">
        <v>296.8</v>
      </c>
      <c r="R14" s="151">
        <v>292.5</v>
      </c>
      <c r="S14" s="151">
        <v>292.8</v>
      </c>
      <c r="T14" s="151">
        <v>293.3</v>
      </c>
      <c r="U14" s="151">
        <v>289.60000000000002</v>
      </c>
      <c r="V14" s="151">
        <v>302</v>
      </c>
      <c r="W14" s="151">
        <v>309.60000000000002</v>
      </c>
      <c r="X14" s="151">
        <v>325.89999999999998</v>
      </c>
      <c r="Y14" s="151">
        <v>359</v>
      </c>
      <c r="Z14" s="151">
        <v>411.6</v>
      </c>
      <c r="AA14" s="151">
        <v>449.1</v>
      </c>
      <c r="AB14" s="151">
        <v>478.3</v>
      </c>
      <c r="AC14" s="151">
        <v>501.8</v>
      </c>
      <c r="AD14" s="151">
        <v>528.5</v>
      </c>
      <c r="AE14" s="151">
        <v>583.70000000000005</v>
      </c>
      <c r="AF14" s="151">
        <v>614.79999999999995</v>
      </c>
      <c r="AG14" s="151">
        <v>652.20000000000005</v>
      </c>
      <c r="AH14" s="151">
        <v>662.4</v>
      </c>
      <c r="AI14" s="151">
        <v>650.9</v>
      </c>
      <c r="AJ14" s="151">
        <v>611.9</v>
      </c>
      <c r="AK14" s="151">
        <v>599.5</v>
      </c>
      <c r="AL14" s="151">
        <v>588.70000000000005</v>
      </c>
      <c r="AM14" s="151">
        <v>590.70000000000005</v>
      </c>
      <c r="AN14" s="151">
        <v>603.79999999999995</v>
      </c>
      <c r="AO14" s="151">
        <v>639.6</v>
      </c>
      <c r="AP14" s="151">
        <v>682.2</v>
      </c>
      <c r="AQ14" s="151">
        <v>701.6</v>
      </c>
    </row>
    <row r="15" spans="1:43">
      <c r="A15" s="151" t="s">
        <v>2492</v>
      </c>
      <c r="B15" s="81" t="s">
        <v>876</v>
      </c>
      <c r="C15" s="151">
        <v>34.9</v>
      </c>
      <c r="D15" s="151">
        <v>39.5</v>
      </c>
      <c r="E15" s="151">
        <v>44.2</v>
      </c>
      <c r="F15" s="151">
        <v>48.2</v>
      </c>
      <c r="G15" s="151">
        <v>52.4</v>
      </c>
      <c r="H15" s="151">
        <v>58</v>
      </c>
      <c r="I15" s="151">
        <v>63.1</v>
      </c>
      <c r="J15" s="151">
        <v>68.400000000000006</v>
      </c>
      <c r="K15" s="151">
        <v>75.400000000000006</v>
      </c>
      <c r="L15" s="151">
        <v>84.4</v>
      </c>
      <c r="M15" s="151">
        <v>93.9</v>
      </c>
      <c r="N15" s="151">
        <v>103</v>
      </c>
      <c r="O15" s="151">
        <v>112.9</v>
      </c>
      <c r="P15" s="151">
        <v>121.6</v>
      </c>
      <c r="Q15" s="151">
        <v>130.30000000000001</v>
      </c>
      <c r="R15" s="151">
        <v>139.30000000000001</v>
      </c>
      <c r="S15" s="151">
        <v>148.30000000000001</v>
      </c>
      <c r="T15" s="151">
        <v>156.4</v>
      </c>
      <c r="U15" s="151">
        <v>169</v>
      </c>
      <c r="V15" s="151">
        <v>183.7</v>
      </c>
      <c r="W15" s="151">
        <v>199.7</v>
      </c>
      <c r="X15" s="151">
        <v>216.1</v>
      </c>
      <c r="Y15" s="151">
        <v>230</v>
      </c>
      <c r="Z15" s="151">
        <v>237.7</v>
      </c>
      <c r="AA15" s="151">
        <v>251.4</v>
      </c>
      <c r="AB15" s="151">
        <v>264.8</v>
      </c>
      <c r="AC15" s="151">
        <v>280.5</v>
      </c>
      <c r="AD15" s="151">
        <v>300.39999999999998</v>
      </c>
      <c r="AE15" s="151">
        <v>321.5</v>
      </c>
      <c r="AF15" s="151">
        <v>328.2</v>
      </c>
      <c r="AG15" s="151">
        <v>332.7</v>
      </c>
      <c r="AH15" s="151">
        <v>333.3</v>
      </c>
      <c r="AI15" s="151">
        <v>333.1</v>
      </c>
      <c r="AJ15" s="151">
        <v>339.1</v>
      </c>
      <c r="AK15" s="151">
        <v>349.9</v>
      </c>
      <c r="AL15" s="151">
        <v>361.4</v>
      </c>
      <c r="AM15" s="151">
        <v>371</v>
      </c>
      <c r="AN15" s="151">
        <v>381.2</v>
      </c>
      <c r="AO15" s="151">
        <v>396.1</v>
      </c>
      <c r="AP15" s="151">
        <v>404</v>
      </c>
      <c r="AQ15" s="151">
        <v>409.5</v>
      </c>
    </row>
    <row r="16" spans="1:43">
      <c r="A16" s="151" t="s">
        <v>2493</v>
      </c>
      <c r="B16" s="151" t="s">
        <v>2494</v>
      </c>
      <c r="C16" s="151">
        <v>16</v>
      </c>
      <c r="D16" s="151">
        <v>17.899999999999999</v>
      </c>
      <c r="E16" s="151">
        <v>19.899999999999999</v>
      </c>
      <c r="F16" s="151">
        <v>21.5</v>
      </c>
      <c r="G16" s="151">
        <v>23.1</v>
      </c>
      <c r="H16" s="151">
        <v>25.3</v>
      </c>
      <c r="I16" s="151">
        <v>27.1</v>
      </c>
      <c r="J16" s="151">
        <v>28.8</v>
      </c>
      <c r="K16" s="151">
        <v>31.4</v>
      </c>
      <c r="L16" s="151">
        <v>34.5</v>
      </c>
      <c r="M16" s="151">
        <v>37.799999999999997</v>
      </c>
      <c r="N16" s="151">
        <v>41.5</v>
      </c>
      <c r="O16" s="151">
        <v>45.6</v>
      </c>
      <c r="P16" s="151">
        <v>49.7</v>
      </c>
      <c r="Q16" s="151">
        <v>52.3</v>
      </c>
      <c r="R16" s="151">
        <v>55.1</v>
      </c>
      <c r="S16" s="151">
        <v>59.3</v>
      </c>
      <c r="T16" s="151">
        <v>63.6</v>
      </c>
      <c r="U16" s="151">
        <v>68.8</v>
      </c>
      <c r="V16" s="151">
        <v>74.2</v>
      </c>
      <c r="W16" s="151">
        <v>80.2</v>
      </c>
      <c r="X16" s="151">
        <v>86.5</v>
      </c>
      <c r="Y16" s="151">
        <v>94.1</v>
      </c>
      <c r="Z16" s="151">
        <v>99.3</v>
      </c>
      <c r="AA16" s="151">
        <v>106.6</v>
      </c>
      <c r="AB16" s="151">
        <v>112.2</v>
      </c>
      <c r="AC16" s="151">
        <v>118.6</v>
      </c>
      <c r="AD16" s="151">
        <v>128</v>
      </c>
      <c r="AE16" s="151">
        <v>139.19999999999999</v>
      </c>
      <c r="AF16" s="151">
        <v>143.30000000000001</v>
      </c>
      <c r="AG16" s="151">
        <v>147.1</v>
      </c>
      <c r="AH16" s="151">
        <v>148.9</v>
      </c>
      <c r="AI16" s="151">
        <v>149.69999999999999</v>
      </c>
      <c r="AJ16" s="151">
        <v>151.69999999999999</v>
      </c>
      <c r="AK16" s="151">
        <v>156.80000000000001</v>
      </c>
      <c r="AL16" s="151">
        <v>162.4</v>
      </c>
      <c r="AM16" s="151">
        <v>168.6</v>
      </c>
      <c r="AN16" s="151">
        <v>174.9</v>
      </c>
      <c r="AO16" s="151">
        <v>182.9</v>
      </c>
      <c r="AP16" s="151">
        <v>187.4</v>
      </c>
      <c r="AQ16" s="151">
        <v>190.8</v>
      </c>
    </row>
    <row r="17" spans="1:43">
      <c r="A17" s="151" t="s">
        <v>2495</v>
      </c>
      <c r="B17" s="151" t="s">
        <v>2496</v>
      </c>
      <c r="C17" s="151">
        <v>6.1</v>
      </c>
      <c r="D17" s="151">
        <v>6.9</v>
      </c>
      <c r="E17" s="151">
        <v>7.7</v>
      </c>
      <c r="F17" s="151">
        <v>8.4</v>
      </c>
      <c r="G17" s="151">
        <v>8.9</v>
      </c>
      <c r="H17" s="151">
        <v>9.6999999999999993</v>
      </c>
      <c r="I17" s="151">
        <v>10.7</v>
      </c>
      <c r="J17" s="151">
        <v>11.5</v>
      </c>
      <c r="K17" s="151">
        <v>12</v>
      </c>
      <c r="L17" s="151">
        <v>13.3</v>
      </c>
      <c r="M17" s="151">
        <v>14.5</v>
      </c>
      <c r="N17" s="151">
        <v>15.5</v>
      </c>
      <c r="O17" s="151">
        <v>17.3</v>
      </c>
      <c r="P17" s="151">
        <v>17.8</v>
      </c>
      <c r="Q17" s="151">
        <v>18.8</v>
      </c>
      <c r="R17" s="151">
        <v>19.5</v>
      </c>
      <c r="S17" s="151">
        <v>20.399999999999999</v>
      </c>
      <c r="T17" s="151">
        <v>21.3</v>
      </c>
      <c r="U17" s="151">
        <v>22.6</v>
      </c>
      <c r="V17" s="151">
        <v>24.2</v>
      </c>
      <c r="W17" s="151">
        <v>26.3</v>
      </c>
      <c r="X17" s="151">
        <v>28</v>
      </c>
      <c r="Y17" s="151">
        <v>30.4</v>
      </c>
      <c r="Z17" s="151">
        <v>31.8</v>
      </c>
      <c r="AA17" s="151">
        <v>33.700000000000003</v>
      </c>
      <c r="AB17" s="151">
        <v>35.9</v>
      </c>
      <c r="AC17" s="151">
        <v>39</v>
      </c>
      <c r="AD17" s="151">
        <v>42</v>
      </c>
      <c r="AE17" s="151">
        <v>44.7</v>
      </c>
      <c r="AF17" s="151">
        <v>46</v>
      </c>
      <c r="AG17" s="151">
        <v>47</v>
      </c>
      <c r="AH17" s="151">
        <v>47.3</v>
      </c>
      <c r="AI17" s="151">
        <v>47.2</v>
      </c>
      <c r="AJ17" s="151">
        <v>49.6</v>
      </c>
      <c r="AK17" s="151">
        <v>51.2</v>
      </c>
      <c r="AL17" s="151">
        <v>53</v>
      </c>
      <c r="AM17" s="151">
        <v>54.7</v>
      </c>
      <c r="AN17" s="151">
        <v>56</v>
      </c>
      <c r="AO17" s="151">
        <v>58.7</v>
      </c>
      <c r="AP17" s="151">
        <v>61</v>
      </c>
      <c r="AQ17" s="151">
        <v>64</v>
      </c>
    </row>
    <row r="18" spans="1:43">
      <c r="A18" s="151" t="s">
        <v>2497</v>
      </c>
      <c r="B18" s="151" t="s">
        <v>2498</v>
      </c>
      <c r="C18" s="151">
        <v>6.4</v>
      </c>
      <c r="D18" s="151">
        <v>7.1</v>
      </c>
      <c r="E18" s="151">
        <v>7.9</v>
      </c>
      <c r="F18" s="151">
        <v>8.4</v>
      </c>
      <c r="G18" s="151">
        <v>9.1</v>
      </c>
      <c r="H18" s="151">
        <v>10</v>
      </c>
      <c r="I18" s="151">
        <v>10.6</v>
      </c>
      <c r="J18" s="151">
        <v>11.5</v>
      </c>
      <c r="K18" s="151">
        <v>13.2</v>
      </c>
      <c r="L18" s="151">
        <v>15</v>
      </c>
      <c r="M18" s="151">
        <v>16.8</v>
      </c>
      <c r="N18" s="151">
        <v>18.7</v>
      </c>
      <c r="O18" s="151">
        <v>20.3</v>
      </c>
      <c r="P18" s="151">
        <v>22.6</v>
      </c>
      <c r="Q18" s="151">
        <v>23.5</v>
      </c>
      <c r="R18" s="151">
        <v>25.7</v>
      </c>
      <c r="S18" s="151">
        <v>26.8</v>
      </c>
      <c r="T18" s="151">
        <v>28.5</v>
      </c>
      <c r="U18" s="151">
        <v>32.1</v>
      </c>
      <c r="V18" s="151">
        <v>35.1</v>
      </c>
      <c r="W18" s="151">
        <v>38.1</v>
      </c>
      <c r="X18" s="151">
        <v>41.5</v>
      </c>
      <c r="Y18" s="151">
        <v>43</v>
      </c>
      <c r="Z18" s="151">
        <v>42.6</v>
      </c>
      <c r="AA18" s="151">
        <v>44.3</v>
      </c>
      <c r="AB18" s="151">
        <v>46.5</v>
      </c>
      <c r="AC18" s="151">
        <v>48.5</v>
      </c>
      <c r="AD18" s="151">
        <v>51.1</v>
      </c>
      <c r="AE18" s="151">
        <v>53.7</v>
      </c>
      <c r="AF18" s="151">
        <v>54.9</v>
      </c>
      <c r="AG18" s="151">
        <v>55.5</v>
      </c>
      <c r="AH18" s="151">
        <v>54.6</v>
      </c>
      <c r="AI18" s="151">
        <v>54.1</v>
      </c>
      <c r="AJ18" s="151">
        <v>53</v>
      </c>
      <c r="AK18" s="151">
        <v>54.3</v>
      </c>
      <c r="AL18" s="151">
        <v>55.7</v>
      </c>
      <c r="AM18" s="151">
        <v>56.7</v>
      </c>
      <c r="AN18" s="151">
        <v>57.8</v>
      </c>
      <c r="AO18" s="151">
        <v>59.7</v>
      </c>
      <c r="AP18" s="151">
        <v>61.4</v>
      </c>
      <c r="AQ18" s="151">
        <v>63.1</v>
      </c>
    </row>
    <row r="19" spans="1:43">
      <c r="A19" s="151" t="s">
        <v>2499</v>
      </c>
      <c r="B19" s="151" t="s">
        <v>2500</v>
      </c>
      <c r="C19" s="151">
        <v>6.5</v>
      </c>
      <c r="D19" s="151">
        <v>7.5</v>
      </c>
      <c r="E19" s="151">
        <v>8.8000000000000007</v>
      </c>
      <c r="F19" s="151">
        <v>10</v>
      </c>
      <c r="G19" s="151">
        <v>11.3</v>
      </c>
      <c r="H19" s="151">
        <v>13</v>
      </c>
      <c r="I19" s="151">
        <v>14.7</v>
      </c>
      <c r="J19" s="151">
        <v>16.600000000000001</v>
      </c>
      <c r="K19" s="151">
        <v>18.8</v>
      </c>
      <c r="L19" s="151">
        <v>21.7</v>
      </c>
      <c r="M19" s="151">
        <v>24.8</v>
      </c>
      <c r="N19" s="151">
        <v>27.2</v>
      </c>
      <c r="O19" s="151">
        <v>29.8</v>
      </c>
      <c r="P19" s="151">
        <v>31.5</v>
      </c>
      <c r="Q19" s="151">
        <v>35.799999999999997</v>
      </c>
      <c r="R19" s="151">
        <v>39</v>
      </c>
      <c r="S19" s="151">
        <v>41.8</v>
      </c>
      <c r="T19" s="151">
        <v>43</v>
      </c>
      <c r="U19" s="151">
        <v>45.4</v>
      </c>
      <c r="V19" s="151">
        <v>50.2</v>
      </c>
      <c r="W19" s="151">
        <v>55</v>
      </c>
      <c r="X19" s="151">
        <v>60.1</v>
      </c>
      <c r="Y19" s="151">
        <v>62.5</v>
      </c>
      <c r="Z19" s="151">
        <v>64</v>
      </c>
      <c r="AA19" s="151">
        <v>66.8</v>
      </c>
      <c r="AB19" s="151">
        <v>70.099999999999994</v>
      </c>
      <c r="AC19" s="151">
        <v>74.3</v>
      </c>
      <c r="AD19" s="151">
        <v>79.3</v>
      </c>
      <c r="AE19" s="151">
        <v>83.8</v>
      </c>
      <c r="AF19" s="151">
        <v>83.9</v>
      </c>
      <c r="AG19" s="151">
        <v>83.1</v>
      </c>
      <c r="AH19" s="151">
        <v>82.4</v>
      </c>
      <c r="AI19" s="151">
        <v>82.1</v>
      </c>
      <c r="AJ19" s="151">
        <v>84.8</v>
      </c>
      <c r="AK19" s="151">
        <v>87.6</v>
      </c>
      <c r="AL19" s="151">
        <v>90.3</v>
      </c>
      <c r="AM19" s="151">
        <v>91</v>
      </c>
      <c r="AN19" s="151">
        <v>92.6</v>
      </c>
      <c r="AO19" s="151">
        <v>94.7</v>
      </c>
      <c r="AP19" s="151">
        <v>94.3</v>
      </c>
      <c r="AQ19" s="151">
        <v>91.6</v>
      </c>
    </row>
    <row r="20" spans="1:43">
      <c r="A20" s="151" t="s">
        <v>2501</v>
      </c>
      <c r="B20" s="81" t="s">
        <v>2502</v>
      </c>
      <c r="C20" s="151">
        <v>71.599999999999994</v>
      </c>
      <c r="D20" s="151">
        <v>81.400000000000006</v>
      </c>
      <c r="E20" s="151">
        <v>86.7</v>
      </c>
      <c r="F20" s="151">
        <v>98.1</v>
      </c>
      <c r="G20" s="151">
        <v>96.6</v>
      </c>
      <c r="H20" s="151">
        <v>103.8</v>
      </c>
      <c r="I20" s="151">
        <v>113.8</v>
      </c>
      <c r="J20" s="151">
        <v>117.9</v>
      </c>
      <c r="K20" s="151">
        <v>112.8</v>
      </c>
      <c r="L20" s="151">
        <v>119.1</v>
      </c>
      <c r="M20" s="151">
        <v>125.7</v>
      </c>
      <c r="N20" s="151">
        <v>129.6</v>
      </c>
      <c r="O20" s="151">
        <v>139.1</v>
      </c>
      <c r="P20" s="151">
        <v>147.19999999999999</v>
      </c>
      <c r="Q20" s="151">
        <v>147.9</v>
      </c>
      <c r="R20" s="151">
        <v>151.69999999999999</v>
      </c>
      <c r="S20" s="151">
        <v>155</v>
      </c>
      <c r="T20" s="151">
        <v>162.80000000000001</v>
      </c>
      <c r="U20" s="151">
        <v>167.9</v>
      </c>
      <c r="V20" s="151">
        <v>187.4</v>
      </c>
      <c r="W20" s="151">
        <v>201.3</v>
      </c>
      <c r="X20" s="151">
        <v>221.8</v>
      </c>
      <c r="Y20" s="151">
        <v>218.8</v>
      </c>
      <c r="Z20" s="151">
        <v>231.4</v>
      </c>
      <c r="AA20" s="151">
        <v>236</v>
      </c>
      <c r="AB20" s="151">
        <v>255.8</v>
      </c>
      <c r="AC20" s="151">
        <v>261.60000000000002</v>
      </c>
      <c r="AD20" s="151">
        <v>275.7</v>
      </c>
      <c r="AE20" s="151">
        <v>291.60000000000002</v>
      </c>
      <c r="AF20" s="151">
        <v>305.2</v>
      </c>
      <c r="AG20" s="151">
        <v>315.3</v>
      </c>
      <c r="AH20" s="151">
        <v>306.39999999999998</v>
      </c>
      <c r="AI20" s="151">
        <v>311.5</v>
      </c>
      <c r="AJ20" s="151">
        <v>315.8</v>
      </c>
      <c r="AK20" s="151">
        <v>316.60000000000002</v>
      </c>
      <c r="AL20" s="151">
        <v>322.2</v>
      </c>
      <c r="AM20" s="151">
        <v>327.5</v>
      </c>
      <c r="AN20" s="151">
        <v>333.7</v>
      </c>
      <c r="AO20" s="151">
        <v>350.1</v>
      </c>
      <c r="AP20" s="151">
        <v>367.7</v>
      </c>
      <c r="AQ20" s="151">
        <v>1094.4000000000001</v>
      </c>
    </row>
    <row r="21" spans="1:43">
      <c r="A21" s="151" t="s">
        <v>2503</v>
      </c>
      <c r="B21" s="151" t="s">
        <v>2504</v>
      </c>
      <c r="C21" s="151">
        <v>34.200000000000003</v>
      </c>
      <c r="D21" s="151">
        <v>37.5</v>
      </c>
      <c r="E21" s="151">
        <v>40.6</v>
      </c>
      <c r="F21" s="151">
        <v>42.5</v>
      </c>
      <c r="G21" s="151">
        <v>44.3</v>
      </c>
      <c r="H21" s="151">
        <v>46.6</v>
      </c>
      <c r="I21" s="151">
        <v>48.2</v>
      </c>
      <c r="J21" s="151">
        <v>49.8</v>
      </c>
      <c r="K21" s="151">
        <v>52.3</v>
      </c>
      <c r="L21" s="151">
        <v>54.3</v>
      </c>
      <c r="M21" s="151">
        <v>57.6</v>
      </c>
      <c r="N21" s="151">
        <v>61.2</v>
      </c>
      <c r="O21" s="151">
        <v>64.400000000000006</v>
      </c>
      <c r="P21" s="151">
        <v>66.7</v>
      </c>
      <c r="Q21" s="151">
        <v>70.400000000000006</v>
      </c>
      <c r="R21" s="151">
        <v>72.3</v>
      </c>
      <c r="S21" s="151">
        <v>75</v>
      </c>
      <c r="T21" s="151">
        <v>79.3</v>
      </c>
      <c r="U21" s="151">
        <v>80.400000000000006</v>
      </c>
      <c r="V21" s="151">
        <v>85.3</v>
      </c>
      <c r="W21" s="151">
        <v>90.2</v>
      </c>
      <c r="X21" s="151">
        <v>100.7</v>
      </c>
      <c r="Y21" s="151">
        <v>104.7</v>
      </c>
      <c r="Z21" s="151">
        <v>113.5</v>
      </c>
      <c r="AA21" s="151">
        <v>114.9</v>
      </c>
      <c r="AB21" s="151">
        <v>123.6</v>
      </c>
      <c r="AC21" s="151">
        <v>132.4</v>
      </c>
      <c r="AD21" s="151">
        <v>141.1</v>
      </c>
      <c r="AE21" s="151">
        <v>152.30000000000001</v>
      </c>
      <c r="AF21" s="151">
        <v>154.6</v>
      </c>
      <c r="AG21" s="151">
        <v>158.1</v>
      </c>
      <c r="AH21" s="151">
        <v>163.80000000000001</v>
      </c>
      <c r="AI21" s="151">
        <v>167.6</v>
      </c>
      <c r="AJ21" s="151">
        <v>171.7</v>
      </c>
      <c r="AK21" s="151">
        <v>175.6</v>
      </c>
      <c r="AL21" s="151">
        <v>177.5</v>
      </c>
      <c r="AM21" s="151">
        <v>178.6</v>
      </c>
      <c r="AN21" s="151">
        <v>184</v>
      </c>
      <c r="AO21" s="151">
        <v>192.1</v>
      </c>
      <c r="AP21" s="151">
        <v>196.5</v>
      </c>
      <c r="AQ21" s="151">
        <v>218</v>
      </c>
    </row>
    <row r="22" spans="1:43">
      <c r="A22" s="151" t="s">
        <v>2505</v>
      </c>
      <c r="B22" s="151" t="s">
        <v>2506</v>
      </c>
      <c r="C22" s="151">
        <v>25.2</v>
      </c>
      <c r="D22" s="151">
        <v>28.4</v>
      </c>
      <c r="E22" s="151">
        <v>31.1</v>
      </c>
      <c r="F22" s="151">
        <v>32.200000000000003</v>
      </c>
      <c r="G22" s="151">
        <v>33.4</v>
      </c>
      <c r="H22" s="151">
        <v>35.6</v>
      </c>
      <c r="I22" s="151">
        <v>37.9</v>
      </c>
      <c r="J22" s="151">
        <v>39.4</v>
      </c>
      <c r="K22" s="151">
        <v>40.9</v>
      </c>
      <c r="L22" s="151">
        <v>42.6</v>
      </c>
      <c r="M22" s="151">
        <v>45.4</v>
      </c>
      <c r="N22" s="151">
        <v>48</v>
      </c>
      <c r="O22" s="151">
        <v>50.1</v>
      </c>
      <c r="P22" s="151">
        <v>52.3</v>
      </c>
      <c r="Q22" s="151">
        <v>55.4</v>
      </c>
      <c r="R22" s="151">
        <v>58</v>
      </c>
      <c r="S22" s="151">
        <v>60.4</v>
      </c>
      <c r="T22" s="151">
        <v>62.9</v>
      </c>
      <c r="U22" s="151">
        <v>65.5</v>
      </c>
      <c r="V22" s="151">
        <v>70.400000000000006</v>
      </c>
      <c r="W22" s="151">
        <v>74.8</v>
      </c>
      <c r="X22" s="151">
        <v>79</v>
      </c>
      <c r="Y22" s="151">
        <v>82.7</v>
      </c>
      <c r="Z22" s="151">
        <v>85</v>
      </c>
      <c r="AA22" s="151">
        <v>89</v>
      </c>
      <c r="AB22" s="151">
        <v>96.7</v>
      </c>
      <c r="AC22" s="151">
        <v>104.1</v>
      </c>
      <c r="AD22" s="151">
        <v>113.8</v>
      </c>
      <c r="AE22" s="151">
        <v>121.6</v>
      </c>
      <c r="AF22" s="151">
        <v>123</v>
      </c>
      <c r="AG22" s="151">
        <v>123.5</v>
      </c>
      <c r="AH22" s="151">
        <v>127.9</v>
      </c>
      <c r="AI22" s="151">
        <v>132</v>
      </c>
      <c r="AJ22" s="151">
        <v>137.5</v>
      </c>
      <c r="AK22" s="151">
        <v>141.30000000000001</v>
      </c>
      <c r="AL22" s="151">
        <v>142.4</v>
      </c>
      <c r="AM22" s="151">
        <v>143.6</v>
      </c>
      <c r="AN22" s="151">
        <v>146.69999999999999</v>
      </c>
      <c r="AO22" s="151">
        <v>153.5</v>
      </c>
      <c r="AP22" s="151">
        <v>157.69999999999999</v>
      </c>
      <c r="AQ22" s="151">
        <v>161.80000000000001</v>
      </c>
    </row>
    <row r="23" spans="1:43">
      <c r="A23" s="151" t="s">
        <v>2507</v>
      </c>
      <c r="B23" s="151" t="s">
        <v>2508</v>
      </c>
      <c r="C23" s="151">
        <v>2.6</v>
      </c>
      <c r="D23" s="151">
        <v>2.7</v>
      </c>
      <c r="E23" s="151">
        <v>2.7</v>
      </c>
      <c r="F23" s="151">
        <v>3.4</v>
      </c>
      <c r="G23" s="151">
        <v>3.6</v>
      </c>
      <c r="H23" s="151">
        <v>4.0999999999999996</v>
      </c>
      <c r="I23" s="151">
        <v>4.0999999999999996</v>
      </c>
      <c r="J23" s="151">
        <v>4</v>
      </c>
      <c r="K23" s="151">
        <v>4.5</v>
      </c>
      <c r="L23" s="151">
        <v>4.8</v>
      </c>
      <c r="M23" s="151">
        <v>5.0999999999999996</v>
      </c>
      <c r="N23" s="151">
        <v>5.4</v>
      </c>
      <c r="O23" s="151">
        <v>6.1</v>
      </c>
      <c r="P23" s="151">
        <v>6.1</v>
      </c>
      <c r="Q23" s="151">
        <v>6</v>
      </c>
      <c r="R23" s="151">
        <v>5.8</v>
      </c>
      <c r="S23" s="151">
        <v>6.1</v>
      </c>
      <c r="T23" s="151">
        <v>8.1</v>
      </c>
      <c r="U23" s="151">
        <v>7.8</v>
      </c>
      <c r="V23" s="151">
        <v>7.9</v>
      </c>
      <c r="W23" s="151">
        <v>7.9</v>
      </c>
      <c r="X23" s="151">
        <v>14</v>
      </c>
      <c r="Y23" s="151">
        <v>13.4</v>
      </c>
      <c r="Z23" s="151">
        <v>18.2</v>
      </c>
      <c r="AA23" s="151">
        <v>15</v>
      </c>
      <c r="AB23" s="151">
        <v>15.3</v>
      </c>
      <c r="AC23" s="151">
        <v>16.3</v>
      </c>
      <c r="AD23" s="151">
        <v>16.2</v>
      </c>
      <c r="AE23" s="151">
        <v>17.899999999999999</v>
      </c>
      <c r="AF23" s="151">
        <v>18</v>
      </c>
      <c r="AG23" s="151">
        <v>19.2</v>
      </c>
      <c r="AH23" s="151">
        <v>20</v>
      </c>
      <c r="AI23" s="151">
        <v>20.399999999999999</v>
      </c>
      <c r="AJ23" s="151">
        <v>19.5</v>
      </c>
      <c r="AK23" s="151">
        <v>19.5</v>
      </c>
      <c r="AL23" s="151">
        <v>20.3</v>
      </c>
      <c r="AM23" s="151">
        <v>20.5</v>
      </c>
      <c r="AN23" s="151">
        <v>21.5</v>
      </c>
      <c r="AO23" s="151">
        <v>22.7</v>
      </c>
      <c r="AP23" s="151">
        <v>22.4</v>
      </c>
      <c r="AQ23" s="151">
        <v>23.2</v>
      </c>
    </row>
    <row r="24" spans="1:43">
      <c r="A24" s="151" t="s">
        <v>2509</v>
      </c>
      <c r="B24" s="151" t="s">
        <v>2510</v>
      </c>
      <c r="C24" s="151">
        <v>3.3</v>
      </c>
      <c r="D24" s="151">
        <v>3.6</v>
      </c>
      <c r="E24" s="151">
        <v>3.9</v>
      </c>
      <c r="F24" s="151">
        <v>4.4000000000000004</v>
      </c>
      <c r="G24" s="151">
        <v>4.7</v>
      </c>
      <c r="H24" s="151">
        <v>4.7</v>
      </c>
      <c r="I24" s="151">
        <v>4.4000000000000004</v>
      </c>
      <c r="J24" s="151">
        <v>4.5999999999999996</v>
      </c>
      <c r="K24" s="151">
        <v>4.9000000000000004</v>
      </c>
      <c r="L24" s="151">
        <v>5</v>
      </c>
      <c r="M24" s="151">
        <v>5.3</v>
      </c>
      <c r="N24" s="151">
        <v>6</v>
      </c>
      <c r="O24" s="151">
        <v>6</v>
      </c>
      <c r="P24" s="151">
        <v>6.1</v>
      </c>
      <c r="Q24" s="151">
        <v>6.2</v>
      </c>
      <c r="R24" s="151">
        <v>6</v>
      </c>
      <c r="S24" s="151">
        <v>6.1</v>
      </c>
      <c r="T24" s="151">
        <v>6</v>
      </c>
      <c r="U24" s="151">
        <v>5.4</v>
      </c>
      <c r="V24" s="151">
        <v>5.8</v>
      </c>
      <c r="W24" s="151">
        <v>6.1</v>
      </c>
      <c r="X24" s="151">
        <v>6.3</v>
      </c>
      <c r="Y24" s="151">
        <v>6.5</v>
      </c>
      <c r="Z24" s="151">
        <v>8.4</v>
      </c>
      <c r="AA24" s="151">
        <v>8.6999999999999993</v>
      </c>
      <c r="AB24" s="151">
        <v>9.3000000000000007</v>
      </c>
      <c r="AC24" s="151">
        <v>9.8000000000000007</v>
      </c>
      <c r="AD24" s="151">
        <v>9.1</v>
      </c>
      <c r="AE24" s="151">
        <v>10.6</v>
      </c>
      <c r="AF24" s="151">
        <v>11</v>
      </c>
      <c r="AG24" s="151">
        <v>12</v>
      </c>
      <c r="AH24" s="151">
        <v>13</v>
      </c>
      <c r="AI24" s="151">
        <v>12.7</v>
      </c>
      <c r="AJ24" s="151">
        <v>12.3</v>
      </c>
      <c r="AK24" s="151">
        <v>12.6</v>
      </c>
      <c r="AL24" s="151">
        <v>12.5</v>
      </c>
      <c r="AM24" s="151">
        <v>11.9</v>
      </c>
      <c r="AN24" s="151">
        <v>12.7</v>
      </c>
      <c r="AO24" s="151">
        <v>12.6</v>
      </c>
      <c r="AP24" s="151">
        <v>13.7</v>
      </c>
      <c r="AQ24" s="151">
        <v>13.4</v>
      </c>
    </row>
    <row r="25" spans="1:43">
      <c r="A25" s="151" t="s">
        <v>2511</v>
      </c>
      <c r="B25" s="151" t="s">
        <v>2512</v>
      </c>
      <c r="C25" s="151">
        <v>3.1</v>
      </c>
      <c r="D25" s="151">
        <v>2.8</v>
      </c>
      <c r="E25" s="151">
        <v>2.9</v>
      </c>
      <c r="F25" s="151">
        <v>2.5</v>
      </c>
      <c r="G25" s="151">
        <v>2.5</v>
      </c>
      <c r="H25" s="151">
        <v>2.2000000000000002</v>
      </c>
      <c r="I25" s="151">
        <v>1.8</v>
      </c>
      <c r="J25" s="151">
        <v>1.8</v>
      </c>
      <c r="K25" s="151">
        <v>2</v>
      </c>
      <c r="L25" s="151">
        <v>1.9</v>
      </c>
      <c r="M25" s="151">
        <v>1.7</v>
      </c>
      <c r="N25" s="151">
        <v>1.8</v>
      </c>
      <c r="O25" s="151">
        <v>2.2000000000000002</v>
      </c>
      <c r="P25" s="151">
        <v>2.2999999999999998</v>
      </c>
      <c r="Q25" s="151">
        <v>2.8</v>
      </c>
      <c r="R25" s="151">
        <v>2.5</v>
      </c>
      <c r="S25" s="151">
        <v>2.2999999999999998</v>
      </c>
      <c r="T25" s="151">
        <v>2.2999999999999998</v>
      </c>
      <c r="U25" s="151">
        <v>1.6</v>
      </c>
      <c r="V25" s="151">
        <v>1.3</v>
      </c>
      <c r="W25" s="151">
        <v>1.4</v>
      </c>
      <c r="X25" s="151">
        <v>1.4</v>
      </c>
      <c r="Y25" s="151">
        <v>2.1</v>
      </c>
      <c r="Z25" s="151">
        <v>2</v>
      </c>
      <c r="AA25" s="151">
        <v>2.2000000000000002</v>
      </c>
      <c r="AB25" s="151">
        <v>2.2999999999999998</v>
      </c>
      <c r="AC25" s="151">
        <v>2.1</v>
      </c>
      <c r="AD25" s="151">
        <v>2</v>
      </c>
      <c r="AE25" s="151">
        <v>2.2000000000000002</v>
      </c>
      <c r="AF25" s="151">
        <v>2.7</v>
      </c>
      <c r="AG25" s="151">
        <v>3.4</v>
      </c>
      <c r="AH25" s="151">
        <v>3</v>
      </c>
      <c r="AI25" s="151">
        <v>2.5</v>
      </c>
      <c r="AJ25" s="151">
        <v>2.4</v>
      </c>
      <c r="AK25" s="151">
        <v>2.2999999999999998</v>
      </c>
      <c r="AL25" s="151">
        <v>2.4</v>
      </c>
      <c r="AM25" s="151">
        <v>2.6</v>
      </c>
      <c r="AN25" s="151">
        <v>3.1</v>
      </c>
      <c r="AO25" s="151">
        <v>3.3</v>
      </c>
      <c r="AP25" s="151">
        <v>2.9</v>
      </c>
      <c r="AQ25" s="151">
        <v>19.600000000000001</v>
      </c>
    </row>
    <row r="26" spans="1:43">
      <c r="A26" s="151" t="s">
        <v>2513</v>
      </c>
      <c r="B26" s="151" t="s">
        <v>2514</v>
      </c>
      <c r="C26" s="151">
        <v>4.7</v>
      </c>
      <c r="D26" s="151">
        <v>5.4</v>
      </c>
      <c r="E26" s="151">
        <v>6.1</v>
      </c>
      <c r="F26" s="151">
        <v>7</v>
      </c>
      <c r="G26" s="151">
        <v>7.3</v>
      </c>
      <c r="H26" s="151">
        <v>7.6</v>
      </c>
      <c r="I26" s="151">
        <v>7.3</v>
      </c>
      <c r="J26" s="151">
        <v>7.8</v>
      </c>
      <c r="K26" s="151">
        <v>8.9</v>
      </c>
      <c r="L26" s="151">
        <v>10.4</v>
      </c>
      <c r="M26" s="151">
        <v>11.6</v>
      </c>
      <c r="N26" s="151">
        <v>12</v>
      </c>
      <c r="O26" s="151">
        <v>12.1</v>
      </c>
      <c r="P26" s="151">
        <v>12.8</v>
      </c>
      <c r="Q26" s="151">
        <v>12.5</v>
      </c>
      <c r="R26" s="151">
        <v>12.7</v>
      </c>
      <c r="S26" s="151">
        <v>13.5</v>
      </c>
      <c r="T26" s="151">
        <v>14.3</v>
      </c>
      <c r="U26" s="151">
        <v>12.3</v>
      </c>
      <c r="V26" s="151">
        <v>12.1</v>
      </c>
      <c r="W26" s="151">
        <v>12.6</v>
      </c>
      <c r="X26" s="151">
        <v>13</v>
      </c>
      <c r="Y26" s="151">
        <v>12.4</v>
      </c>
      <c r="Z26" s="151">
        <v>13.3</v>
      </c>
      <c r="AA26" s="151">
        <v>14.6</v>
      </c>
      <c r="AB26" s="151">
        <v>14.7</v>
      </c>
      <c r="AC26" s="151">
        <v>14.7</v>
      </c>
      <c r="AD26" s="151">
        <v>16.899999999999999</v>
      </c>
      <c r="AE26" s="151">
        <v>18.899999999999999</v>
      </c>
      <c r="AF26" s="151">
        <v>19.899999999999999</v>
      </c>
      <c r="AG26" s="151">
        <v>19</v>
      </c>
      <c r="AH26" s="151">
        <v>17</v>
      </c>
      <c r="AI26" s="151">
        <v>15.8</v>
      </c>
      <c r="AJ26" s="151">
        <v>15.2</v>
      </c>
      <c r="AK26" s="151">
        <v>15.7</v>
      </c>
      <c r="AL26" s="151">
        <v>15.5</v>
      </c>
      <c r="AM26" s="151">
        <v>15.1</v>
      </c>
      <c r="AN26" s="151">
        <v>14.6</v>
      </c>
      <c r="AO26" s="151">
        <v>16.100000000000001</v>
      </c>
      <c r="AP26" s="151">
        <v>16.8</v>
      </c>
      <c r="AQ26" s="151">
        <v>18.2</v>
      </c>
    </row>
    <row r="27" spans="1:43">
      <c r="A27" s="151" t="s">
        <v>2515</v>
      </c>
      <c r="B27" s="151" t="s">
        <v>2516</v>
      </c>
      <c r="C27" s="151">
        <v>32.700000000000003</v>
      </c>
      <c r="D27" s="151">
        <v>38.5</v>
      </c>
      <c r="E27" s="151">
        <v>40.1</v>
      </c>
      <c r="F27" s="151">
        <v>48.5</v>
      </c>
      <c r="G27" s="151">
        <v>45</v>
      </c>
      <c r="H27" s="151">
        <v>49.5</v>
      </c>
      <c r="I27" s="151">
        <v>58.4</v>
      </c>
      <c r="J27" s="151">
        <v>60.2</v>
      </c>
      <c r="K27" s="151">
        <v>51.5</v>
      </c>
      <c r="L27" s="151">
        <v>54.3</v>
      </c>
      <c r="M27" s="151">
        <v>56.5</v>
      </c>
      <c r="N27" s="151">
        <v>56.4</v>
      </c>
      <c r="O27" s="151">
        <v>62.6</v>
      </c>
      <c r="P27" s="151">
        <v>67.7</v>
      </c>
      <c r="Q27" s="151">
        <v>65</v>
      </c>
      <c r="R27" s="151">
        <v>66.7</v>
      </c>
      <c r="S27" s="151">
        <v>66.5</v>
      </c>
      <c r="T27" s="151">
        <v>69.2</v>
      </c>
      <c r="U27" s="151">
        <v>75.2</v>
      </c>
      <c r="V27" s="151">
        <v>90</v>
      </c>
      <c r="W27" s="151">
        <v>98.5</v>
      </c>
      <c r="X27" s="151">
        <v>108</v>
      </c>
      <c r="Y27" s="151">
        <v>101.6</v>
      </c>
      <c r="Z27" s="151">
        <v>104.6</v>
      </c>
      <c r="AA27" s="151">
        <v>106.5</v>
      </c>
      <c r="AB27" s="151">
        <v>117.5</v>
      </c>
      <c r="AC27" s="151">
        <v>114.6</v>
      </c>
      <c r="AD27" s="151">
        <v>117.7</v>
      </c>
      <c r="AE27" s="151">
        <v>120.5</v>
      </c>
      <c r="AF27" s="151">
        <v>130.6</v>
      </c>
      <c r="AG27" s="151">
        <v>138.19999999999999</v>
      </c>
      <c r="AH27" s="151">
        <v>125.6</v>
      </c>
      <c r="AI27" s="151">
        <v>128.1</v>
      </c>
      <c r="AJ27" s="151">
        <v>128.9</v>
      </c>
      <c r="AK27" s="151">
        <v>125.3</v>
      </c>
      <c r="AL27" s="151">
        <v>129.19999999999999</v>
      </c>
      <c r="AM27" s="151">
        <v>133.9</v>
      </c>
      <c r="AN27" s="151">
        <v>135.1</v>
      </c>
      <c r="AO27" s="151">
        <v>142</v>
      </c>
      <c r="AP27" s="151">
        <v>154.4</v>
      </c>
      <c r="AQ27" s="151">
        <v>858.2</v>
      </c>
    </row>
    <row r="28" spans="1:43">
      <c r="A28" s="151" t="s">
        <v>2517</v>
      </c>
      <c r="B28" s="151" t="s">
        <v>2518</v>
      </c>
      <c r="C28" s="151">
        <v>14.6</v>
      </c>
      <c r="D28" s="151">
        <v>14</v>
      </c>
      <c r="E28" s="151">
        <v>13.8</v>
      </c>
      <c r="F28" s="151">
        <v>12.9</v>
      </c>
      <c r="G28" s="151">
        <v>13.5</v>
      </c>
      <c r="H28" s="151">
        <v>15.1</v>
      </c>
      <c r="I28" s="151">
        <v>15.8</v>
      </c>
      <c r="J28" s="151">
        <v>17.2</v>
      </c>
      <c r="K28" s="151">
        <v>17.899999999999999</v>
      </c>
      <c r="L28" s="151">
        <v>20.3</v>
      </c>
      <c r="M28" s="151">
        <v>23.8</v>
      </c>
      <c r="N28" s="151">
        <v>21.6</v>
      </c>
      <c r="O28" s="151">
        <v>24.2</v>
      </c>
      <c r="P28" s="151">
        <v>21.6</v>
      </c>
      <c r="Q28" s="151">
        <v>21.9</v>
      </c>
      <c r="R28" s="151">
        <v>23.6</v>
      </c>
      <c r="S28" s="151">
        <v>24.6</v>
      </c>
      <c r="T28" s="151">
        <v>25.5</v>
      </c>
      <c r="U28" s="151">
        <v>25.5</v>
      </c>
      <c r="V28" s="151">
        <v>27.7</v>
      </c>
      <c r="W28" s="151">
        <v>32</v>
      </c>
      <c r="X28" s="151">
        <v>32.200000000000003</v>
      </c>
      <c r="Y28" s="151">
        <v>35.799999999999997</v>
      </c>
      <c r="Z28" s="151">
        <v>35.1</v>
      </c>
      <c r="AA28" s="151">
        <v>37.200000000000003</v>
      </c>
      <c r="AB28" s="151">
        <v>38.299999999999997</v>
      </c>
      <c r="AC28" s="151">
        <v>40.200000000000003</v>
      </c>
      <c r="AD28" s="151">
        <v>43</v>
      </c>
      <c r="AE28" s="151">
        <v>46.6</v>
      </c>
      <c r="AF28" s="151">
        <v>55.7</v>
      </c>
      <c r="AG28" s="151">
        <v>52.7</v>
      </c>
      <c r="AH28" s="151">
        <v>50.5</v>
      </c>
      <c r="AI28" s="151">
        <v>52</v>
      </c>
      <c r="AJ28" s="151">
        <v>54</v>
      </c>
      <c r="AK28" s="151">
        <v>52.6</v>
      </c>
      <c r="AL28" s="151">
        <v>51.8</v>
      </c>
      <c r="AM28" s="151">
        <v>53.7</v>
      </c>
      <c r="AN28" s="151">
        <v>56</v>
      </c>
      <c r="AO28" s="151">
        <v>60.1</v>
      </c>
      <c r="AP28" s="151">
        <v>61.9</v>
      </c>
      <c r="AQ28" s="151">
        <v>731.2</v>
      </c>
    </row>
    <row r="29" spans="1:43">
      <c r="A29" s="151" t="s">
        <v>2519</v>
      </c>
      <c r="B29" s="151" t="s">
        <v>2520</v>
      </c>
      <c r="C29" s="151">
        <v>8</v>
      </c>
      <c r="D29" s="151">
        <v>8.8000000000000007</v>
      </c>
      <c r="E29" s="151">
        <v>12.7</v>
      </c>
      <c r="F29" s="151">
        <v>20.3</v>
      </c>
      <c r="G29" s="151">
        <v>15.9</v>
      </c>
      <c r="H29" s="151">
        <v>19.3</v>
      </c>
      <c r="I29" s="151">
        <v>28.1</v>
      </c>
      <c r="J29" s="151">
        <v>27.6</v>
      </c>
      <c r="K29" s="151">
        <v>18.100000000000001</v>
      </c>
      <c r="L29" s="151">
        <v>19</v>
      </c>
      <c r="M29" s="151">
        <v>16.899999999999999</v>
      </c>
      <c r="N29" s="151">
        <v>17.7</v>
      </c>
      <c r="O29" s="151">
        <v>19.7</v>
      </c>
      <c r="P29" s="151">
        <v>23.7</v>
      </c>
      <c r="Q29" s="151">
        <v>17.399999999999999</v>
      </c>
      <c r="R29" s="151">
        <v>16.399999999999999</v>
      </c>
      <c r="S29" s="151">
        <v>16.600000000000001</v>
      </c>
      <c r="T29" s="151">
        <v>18.3</v>
      </c>
      <c r="U29" s="151">
        <v>23</v>
      </c>
      <c r="V29" s="151">
        <v>34</v>
      </c>
      <c r="W29" s="151">
        <v>36.5</v>
      </c>
      <c r="X29" s="151">
        <v>37</v>
      </c>
      <c r="Y29" s="151">
        <v>27.8</v>
      </c>
      <c r="Z29" s="151">
        <v>31</v>
      </c>
      <c r="AA29" s="151">
        <v>27.2</v>
      </c>
      <c r="AB29" s="151">
        <v>38.4</v>
      </c>
      <c r="AC29" s="151">
        <v>32.1</v>
      </c>
      <c r="AD29" s="151">
        <v>27</v>
      </c>
      <c r="AE29" s="151">
        <v>27.5</v>
      </c>
      <c r="AF29" s="151">
        <v>26.6</v>
      </c>
      <c r="AG29" s="151">
        <v>30.4</v>
      </c>
      <c r="AH29" s="151">
        <v>25.7</v>
      </c>
      <c r="AI29" s="151">
        <v>25.7</v>
      </c>
      <c r="AJ29" s="151">
        <v>25.6</v>
      </c>
      <c r="AK29" s="151">
        <v>24.6</v>
      </c>
      <c r="AL29" s="151">
        <v>26</v>
      </c>
      <c r="AM29" s="151">
        <v>27.3</v>
      </c>
      <c r="AN29" s="151">
        <v>27.1</v>
      </c>
      <c r="AO29" s="151">
        <v>30.3</v>
      </c>
      <c r="AP29" s="151">
        <v>40.1</v>
      </c>
      <c r="AQ29" s="151">
        <v>68.900000000000006</v>
      </c>
    </row>
    <row r="30" spans="1:43">
      <c r="A30" s="151" t="s">
        <v>2521</v>
      </c>
      <c r="B30" s="151" t="s">
        <v>2522</v>
      </c>
      <c r="C30" s="151">
        <v>4.5</v>
      </c>
      <c r="D30" s="151">
        <v>8.6999999999999993</v>
      </c>
      <c r="E30" s="151">
        <v>6.1</v>
      </c>
      <c r="F30" s="151">
        <v>6.8</v>
      </c>
      <c r="G30" s="151">
        <v>6.8</v>
      </c>
      <c r="H30" s="151">
        <v>6.2</v>
      </c>
      <c r="I30" s="151">
        <v>5.2</v>
      </c>
      <c r="J30" s="151">
        <v>5.5</v>
      </c>
      <c r="K30" s="151">
        <v>5.5</v>
      </c>
      <c r="L30" s="151">
        <v>4.8</v>
      </c>
      <c r="M30" s="151">
        <v>5</v>
      </c>
      <c r="N30" s="151">
        <v>4.7</v>
      </c>
      <c r="O30" s="151">
        <v>5.7</v>
      </c>
      <c r="P30" s="151">
        <v>9.9</v>
      </c>
      <c r="Q30" s="151">
        <v>9.9</v>
      </c>
      <c r="R30" s="151">
        <v>11.2</v>
      </c>
      <c r="S30" s="151">
        <v>9.1</v>
      </c>
      <c r="T30" s="151">
        <v>8.6999999999999993</v>
      </c>
      <c r="U30" s="151">
        <v>7.2</v>
      </c>
      <c r="V30" s="151">
        <v>8.6</v>
      </c>
      <c r="W30" s="151">
        <v>7.5</v>
      </c>
      <c r="X30" s="151">
        <v>14.8</v>
      </c>
      <c r="Y30" s="151">
        <v>11.3</v>
      </c>
      <c r="Z30" s="151">
        <v>12.9</v>
      </c>
      <c r="AA30" s="151">
        <v>14</v>
      </c>
      <c r="AB30" s="151">
        <v>12</v>
      </c>
      <c r="AC30" s="151">
        <v>12.9</v>
      </c>
      <c r="AD30" s="151">
        <v>12.9</v>
      </c>
      <c r="AE30" s="151">
        <v>12.6</v>
      </c>
      <c r="AF30" s="151">
        <v>14.2</v>
      </c>
      <c r="AG30" s="151">
        <v>18.7</v>
      </c>
      <c r="AH30" s="151">
        <v>13.7</v>
      </c>
      <c r="AI30" s="151">
        <v>14.5</v>
      </c>
      <c r="AJ30" s="151">
        <v>14.3</v>
      </c>
      <c r="AK30" s="151">
        <v>13.6</v>
      </c>
      <c r="AL30" s="151">
        <v>14.8</v>
      </c>
      <c r="AM30" s="151">
        <v>14.1</v>
      </c>
      <c r="AN30" s="151">
        <v>12.7</v>
      </c>
      <c r="AO30" s="151">
        <v>13.2</v>
      </c>
      <c r="AP30" s="151">
        <v>12.3</v>
      </c>
      <c r="AQ30" s="151">
        <v>15.6</v>
      </c>
    </row>
    <row r="31" spans="1:43">
      <c r="A31" s="151" t="s">
        <v>2523</v>
      </c>
      <c r="B31" s="151" t="s">
        <v>2524</v>
      </c>
      <c r="C31" s="151">
        <v>5.7</v>
      </c>
      <c r="D31" s="151">
        <v>7</v>
      </c>
      <c r="E31" s="151">
        <v>7.5</v>
      </c>
      <c r="F31" s="151">
        <v>8.6</v>
      </c>
      <c r="G31" s="151">
        <v>8.6999999999999993</v>
      </c>
      <c r="H31" s="151">
        <v>9.5</v>
      </c>
      <c r="I31" s="151">
        <v>9.5</v>
      </c>
      <c r="J31" s="151">
        <v>9.8000000000000007</v>
      </c>
      <c r="K31" s="151">
        <v>10.5</v>
      </c>
      <c r="L31" s="151">
        <v>10.8</v>
      </c>
      <c r="M31" s="151">
        <v>11.6</v>
      </c>
      <c r="N31" s="151">
        <v>12.9</v>
      </c>
      <c r="O31" s="151">
        <v>13.4</v>
      </c>
      <c r="P31" s="151">
        <v>12.5</v>
      </c>
      <c r="Q31" s="151">
        <v>15.9</v>
      </c>
      <c r="R31" s="151">
        <v>15.6</v>
      </c>
      <c r="S31" s="151">
        <v>16.3</v>
      </c>
      <c r="T31" s="151">
        <v>16.5</v>
      </c>
      <c r="U31" s="151">
        <v>19.5</v>
      </c>
      <c r="V31" s="151">
        <v>19.7</v>
      </c>
      <c r="W31" s="151">
        <v>22.4</v>
      </c>
      <c r="X31" s="151">
        <v>24</v>
      </c>
      <c r="Y31" s="151">
        <v>26.7</v>
      </c>
      <c r="Z31" s="151">
        <v>25.4</v>
      </c>
      <c r="AA31" s="151">
        <v>27.7</v>
      </c>
      <c r="AB31" s="151">
        <v>28.5</v>
      </c>
      <c r="AC31" s="151">
        <v>29.4</v>
      </c>
      <c r="AD31" s="151">
        <v>34.9</v>
      </c>
      <c r="AE31" s="151">
        <v>33.799999999999997</v>
      </c>
      <c r="AF31" s="151">
        <v>34.200000000000003</v>
      </c>
      <c r="AG31" s="151">
        <v>36.6</v>
      </c>
      <c r="AH31" s="151">
        <v>35.799999999999997</v>
      </c>
      <c r="AI31" s="151">
        <v>36.200000000000003</v>
      </c>
      <c r="AJ31" s="151">
        <v>35.6</v>
      </c>
      <c r="AK31" s="151">
        <v>35.1</v>
      </c>
      <c r="AL31" s="151">
        <v>36.799999999999997</v>
      </c>
      <c r="AM31" s="151">
        <v>39.700000000000003</v>
      </c>
      <c r="AN31" s="151">
        <v>40.299999999999997</v>
      </c>
      <c r="AO31" s="151">
        <v>39.299999999999997</v>
      </c>
      <c r="AP31" s="151">
        <v>40.799999999999997</v>
      </c>
      <c r="AQ31" s="151">
        <v>43.3</v>
      </c>
    </row>
    <row r="32" spans="1:43">
      <c r="A32" s="151" t="s">
        <v>2525</v>
      </c>
      <c r="B32" s="151" t="s">
        <v>2526</v>
      </c>
      <c r="C32" s="151">
        <v>0</v>
      </c>
      <c r="D32" s="151">
        <v>0</v>
      </c>
      <c r="E32" s="151">
        <v>0</v>
      </c>
      <c r="F32" s="151">
        <v>-0.1</v>
      </c>
      <c r="G32" s="151">
        <v>0</v>
      </c>
      <c r="H32" s="151">
        <v>-0.6</v>
      </c>
      <c r="I32" s="151">
        <v>-0.3</v>
      </c>
      <c r="J32" s="151">
        <v>0.1</v>
      </c>
      <c r="K32" s="151">
        <v>-0.5</v>
      </c>
      <c r="L32" s="151">
        <v>-0.5</v>
      </c>
      <c r="M32" s="151">
        <v>-0.7</v>
      </c>
      <c r="N32" s="151">
        <v>-0.5</v>
      </c>
      <c r="O32" s="151">
        <v>-0.3</v>
      </c>
      <c r="P32" s="151">
        <v>0</v>
      </c>
      <c r="Q32" s="151">
        <v>0</v>
      </c>
      <c r="R32" s="151">
        <v>0</v>
      </c>
      <c r="S32" s="151">
        <v>0</v>
      </c>
      <c r="T32" s="151">
        <v>0</v>
      </c>
      <c r="U32" s="151">
        <v>0</v>
      </c>
      <c r="V32" s="151">
        <v>0</v>
      </c>
      <c r="W32" s="151">
        <v>0</v>
      </c>
      <c r="X32" s="151">
        <v>0</v>
      </c>
      <c r="Y32" s="151">
        <v>0</v>
      </c>
      <c r="Z32" s="151">
        <v>0</v>
      </c>
      <c r="AA32" s="151">
        <v>0</v>
      </c>
      <c r="AB32" s="151">
        <v>0</v>
      </c>
      <c r="AC32" s="151">
        <v>0</v>
      </c>
      <c r="AD32" s="151">
        <v>0</v>
      </c>
      <c r="AE32" s="151">
        <v>-0.1</v>
      </c>
      <c r="AF32" s="151">
        <v>-0.1</v>
      </c>
      <c r="AG32" s="151">
        <v>-0.1</v>
      </c>
      <c r="AH32" s="151">
        <v>-0.1</v>
      </c>
      <c r="AI32" s="151">
        <v>-0.1</v>
      </c>
      <c r="AJ32" s="151">
        <v>0</v>
      </c>
      <c r="AK32" s="151">
        <v>0</v>
      </c>
      <c r="AL32" s="151">
        <v>0</v>
      </c>
      <c r="AM32" s="151">
        <v>0</v>
      </c>
      <c r="AN32" s="151">
        <v>0</v>
      </c>
      <c r="AO32" s="151">
        <v>0</v>
      </c>
      <c r="AP32" s="151">
        <v>0</v>
      </c>
      <c r="AQ32" s="151">
        <v>0</v>
      </c>
    </row>
    <row r="33" spans="1:43">
      <c r="A33" s="151" t="s">
        <v>2527</v>
      </c>
      <c r="B33" s="151" t="s">
        <v>2528</v>
      </c>
      <c r="C33" s="151">
        <v>0</v>
      </c>
      <c r="D33" s="151">
        <v>0</v>
      </c>
      <c r="E33" s="151">
        <v>0</v>
      </c>
      <c r="F33" s="151">
        <v>0</v>
      </c>
      <c r="G33" s="151">
        <v>0</v>
      </c>
      <c r="H33" s="151">
        <v>0</v>
      </c>
      <c r="I33" s="151">
        <v>0</v>
      </c>
      <c r="J33" s="151">
        <v>0</v>
      </c>
      <c r="K33" s="151">
        <v>0</v>
      </c>
      <c r="L33" s="151">
        <v>0</v>
      </c>
      <c r="M33" s="151">
        <v>0</v>
      </c>
      <c r="N33" s="151">
        <v>0</v>
      </c>
      <c r="O33" s="151">
        <v>0</v>
      </c>
      <c r="P33" s="151">
        <v>-0.1</v>
      </c>
      <c r="Q33" s="151">
        <v>-0.1</v>
      </c>
      <c r="R33" s="151">
        <v>0</v>
      </c>
      <c r="S33" s="151">
        <v>0</v>
      </c>
      <c r="T33" s="151">
        <v>0</v>
      </c>
      <c r="U33" s="151">
        <v>0</v>
      </c>
      <c r="V33" s="151">
        <v>0.1</v>
      </c>
      <c r="W33" s="151">
        <v>0</v>
      </c>
      <c r="X33" s="151">
        <v>0</v>
      </c>
      <c r="Y33" s="151">
        <v>0</v>
      </c>
      <c r="Z33" s="151">
        <v>0.2</v>
      </c>
      <c r="AA33" s="151">
        <v>0.3</v>
      </c>
      <c r="AB33" s="151">
        <v>0.3</v>
      </c>
      <c r="AC33" s="151">
        <v>0.1</v>
      </c>
      <c r="AD33" s="151">
        <v>-0.1</v>
      </c>
      <c r="AE33" s="151">
        <v>0</v>
      </c>
      <c r="AF33" s="151">
        <v>-0.1</v>
      </c>
      <c r="AG33" s="151">
        <v>-0.1</v>
      </c>
      <c r="AH33" s="151">
        <v>-0.1</v>
      </c>
      <c r="AI33" s="151">
        <v>-0.3</v>
      </c>
      <c r="AJ33" s="151">
        <v>-0.6</v>
      </c>
      <c r="AK33" s="151">
        <v>-0.6</v>
      </c>
      <c r="AL33" s="151">
        <v>-0.2</v>
      </c>
      <c r="AM33" s="151">
        <v>-0.9</v>
      </c>
      <c r="AN33" s="151">
        <v>-0.9</v>
      </c>
      <c r="AO33" s="151">
        <v>-0.9</v>
      </c>
      <c r="AP33" s="151">
        <v>-0.8</v>
      </c>
      <c r="AQ33" s="151">
        <v>-0.8</v>
      </c>
    </row>
    <row r="34" spans="1:43">
      <c r="A34" s="151" t="s">
        <v>2529</v>
      </c>
      <c r="B34" s="81" t="s">
        <v>2530</v>
      </c>
      <c r="C34" s="151">
        <v>8.6999999999999993</v>
      </c>
      <c r="D34" s="151">
        <v>10.199999999999999</v>
      </c>
      <c r="E34" s="151">
        <v>12.1</v>
      </c>
      <c r="F34" s="151">
        <v>13</v>
      </c>
      <c r="G34" s="151">
        <v>13.7</v>
      </c>
      <c r="H34" s="151">
        <v>15.1</v>
      </c>
      <c r="I34" s="151">
        <v>15.6</v>
      </c>
      <c r="J34" s="151">
        <v>16</v>
      </c>
      <c r="K34" s="151">
        <v>17.7</v>
      </c>
      <c r="L34" s="151">
        <v>19.5</v>
      </c>
      <c r="M34" s="151">
        <v>21.4</v>
      </c>
      <c r="N34" s="151">
        <v>23.4</v>
      </c>
      <c r="O34" s="151">
        <v>25.1</v>
      </c>
      <c r="P34" s="151">
        <v>27.7</v>
      </c>
      <c r="Q34" s="151">
        <v>28.5</v>
      </c>
      <c r="R34" s="151">
        <v>30.9</v>
      </c>
      <c r="S34" s="151">
        <v>32</v>
      </c>
      <c r="T34" s="151">
        <v>31</v>
      </c>
      <c r="U34" s="151">
        <v>30.1</v>
      </c>
      <c r="V34" s="151">
        <v>30.2</v>
      </c>
      <c r="W34" s="151">
        <v>27.9</v>
      </c>
      <c r="X34" s="151">
        <v>30.2</v>
      </c>
      <c r="Y34" s="151">
        <v>34.6</v>
      </c>
      <c r="Z34" s="151">
        <v>37.1</v>
      </c>
      <c r="AA34" s="151">
        <v>38.799999999999997</v>
      </c>
      <c r="AB34" s="151">
        <v>43.3</v>
      </c>
      <c r="AC34" s="151">
        <v>41.6</v>
      </c>
      <c r="AD34" s="151">
        <v>48.4</v>
      </c>
      <c r="AE34" s="151">
        <v>44.7</v>
      </c>
      <c r="AF34" s="151">
        <v>46.1</v>
      </c>
      <c r="AG34" s="151">
        <v>46.2</v>
      </c>
      <c r="AH34" s="151">
        <v>47.1</v>
      </c>
      <c r="AI34" s="151">
        <v>46.2</v>
      </c>
      <c r="AJ34" s="151">
        <v>46.1</v>
      </c>
      <c r="AK34" s="151">
        <v>45.9</v>
      </c>
      <c r="AL34" s="151">
        <v>46.8</v>
      </c>
      <c r="AM34" s="151">
        <v>49.9</v>
      </c>
      <c r="AN34" s="151">
        <v>49.8</v>
      </c>
      <c r="AO34" s="151">
        <v>52.5</v>
      </c>
      <c r="AP34" s="151">
        <v>53.2</v>
      </c>
      <c r="AQ34" s="151">
        <v>56.8</v>
      </c>
    </row>
    <row r="35" spans="1:43">
      <c r="A35" s="151" t="s">
        <v>2531</v>
      </c>
      <c r="B35" s="81" t="s">
        <v>634</v>
      </c>
      <c r="C35" s="151">
        <v>91.6</v>
      </c>
      <c r="D35" s="151">
        <v>105.4</v>
      </c>
      <c r="E35" s="151">
        <v>117</v>
      </c>
      <c r="F35" s="151">
        <v>129.30000000000001</v>
      </c>
      <c r="G35" s="151">
        <v>142.19999999999999</v>
      </c>
      <c r="H35" s="151">
        <v>153.5</v>
      </c>
      <c r="I35" s="151">
        <v>164.8</v>
      </c>
      <c r="J35" s="151">
        <v>178.2</v>
      </c>
      <c r="K35" s="151">
        <v>192.9</v>
      </c>
      <c r="L35" s="151">
        <v>216.9</v>
      </c>
      <c r="M35" s="151">
        <v>244.7</v>
      </c>
      <c r="N35" s="151">
        <v>281.60000000000002</v>
      </c>
      <c r="O35" s="151">
        <v>318.60000000000002</v>
      </c>
      <c r="P35" s="151">
        <v>346.7</v>
      </c>
      <c r="Q35" s="151">
        <v>373.3</v>
      </c>
      <c r="R35" s="151">
        <v>402.4</v>
      </c>
      <c r="S35" s="151">
        <v>427.6</v>
      </c>
      <c r="T35" s="151">
        <v>445.9</v>
      </c>
      <c r="U35" s="151">
        <v>451.9</v>
      </c>
      <c r="V35" s="151">
        <v>471.6</v>
      </c>
      <c r="W35" s="151">
        <v>501.5</v>
      </c>
      <c r="X35" s="151">
        <v>564.1</v>
      </c>
      <c r="Y35" s="151">
        <v>614</v>
      </c>
      <c r="Z35" s="151">
        <v>654.20000000000005</v>
      </c>
      <c r="AA35" s="151">
        <v>713.6</v>
      </c>
      <c r="AB35" s="151">
        <v>768</v>
      </c>
      <c r="AC35" s="151">
        <v>835.2</v>
      </c>
      <c r="AD35" s="151">
        <v>904.5</v>
      </c>
      <c r="AE35" s="151">
        <v>969.7</v>
      </c>
      <c r="AF35" s="151">
        <v>1042.5</v>
      </c>
      <c r="AG35" s="151">
        <v>1097.7</v>
      </c>
      <c r="AH35" s="151">
        <v>1138.0999999999999</v>
      </c>
      <c r="AI35" s="151">
        <v>1170.3</v>
      </c>
      <c r="AJ35" s="151">
        <v>1215.9000000000001</v>
      </c>
      <c r="AK35" s="151">
        <v>1318.1</v>
      </c>
      <c r="AL35" s="151">
        <v>1412.9</v>
      </c>
      <c r="AM35" s="151">
        <v>1483.8</v>
      </c>
      <c r="AN35" s="151">
        <v>1536.4</v>
      </c>
      <c r="AO35" s="151">
        <v>1619</v>
      </c>
      <c r="AP35" s="151">
        <v>1707.3</v>
      </c>
      <c r="AQ35" s="151">
        <v>1900.2</v>
      </c>
    </row>
    <row r="36" spans="1:43">
      <c r="A36" s="151" t="s">
        <v>2532</v>
      </c>
      <c r="B36" s="81" t="s">
        <v>2533</v>
      </c>
      <c r="C36" s="151">
        <v>5.4</v>
      </c>
      <c r="D36" s="151">
        <v>6</v>
      </c>
      <c r="E36" s="151">
        <v>6.3</v>
      </c>
      <c r="F36" s="151">
        <v>6.6</v>
      </c>
      <c r="G36" s="151">
        <v>7.7</v>
      </c>
      <c r="H36" s="151">
        <v>8.1</v>
      </c>
      <c r="I36" s="151">
        <v>8.6999999999999993</v>
      </c>
      <c r="J36" s="151">
        <v>8.9</v>
      </c>
      <c r="K36" s="151">
        <v>9.6</v>
      </c>
      <c r="L36" s="151">
        <v>10.6</v>
      </c>
      <c r="M36" s="151">
        <v>11.7</v>
      </c>
      <c r="N36" s="151">
        <v>12.6</v>
      </c>
      <c r="O36" s="151">
        <v>13.5</v>
      </c>
      <c r="P36" s="151">
        <v>13.9</v>
      </c>
      <c r="Q36" s="151">
        <v>14.8</v>
      </c>
      <c r="R36" s="151">
        <v>15.5</v>
      </c>
      <c r="S36" s="151">
        <v>15.9</v>
      </c>
      <c r="T36" s="151">
        <v>16.600000000000001</v>
      </c>
      <c r="U36" s="151">
        <v>17.5</v>
      </c>
      <c r="V36" s="151">
        <v>18.399999999999999</v>
      </c>
      <c r="W36" s="151">
        <v>20.3</v>
      </c>
      <c r="X36" s="151">
        <v>22.2</v>
      </c>
      <c r="Y36" s="151">
        <v>24.4</v>
      </c>
      <c r="Z36" s="151">
        <v>24.8</v>
      </c>
      <c r="AA36" s="151">
        <v>26.1</v>
      </c>
      <c r="AB36" s="151">
        <v>27.7</v>
      </c>
      <c r="AC36" s="151">
        <v>29.6</v>
      </c>
      <c r="AD36" s="151">
        <v>31.4</v>
      </c>
      <c r="AE36" s="151">
        <v>33.200000000000003</v>
      </c>
      <c r="AF36" s="151">
        <v>33.6</v>
      </c>
      <c r="AG36" s="151">
        <v>33.799999999999997</v>
      </c>
      <c r="AH36" s="151">
        <v>32.700000000000003</v>
      </c>
      <c r="AI36" s="151">
        <v>32.6</v>
      </c>
      <c r="AJ36" s="151">
        <v>33.9</v>
      </c>
      <c r="AK36" s="151">
        <v>35</v>
      </c>
      <c r="AL36" s="151">
        <v>36</v>
      </c>
      <c r="AM36" s="151">
        <v>37.799999999999997</v>
      </c>
      <c r="AN36" s="151">
        <v>39.200000000000003</v>
      </c>
      <c r="AO36" s="151">
        <v>41.7</v>
      </c>
      <c r="AP36" s="151">
        <v>42.9</v>
      </c>
      <c r="AQ36" s="151">
        <v>43.3</v>
      </c>
    </row>
    <row r="37" spans="1:43">
      <c r="A37" s="151" t="s">
        <v>2534</v>
      </c>
      <c r="B37" s="81" t="s">
        <v>633</v>
      </c>
      <c r="C37" s="151">
        <v>129.80000000000001</v>
      </c>
      <c r="D37" s="151">
        <v>141.80000000000001</v>
      </c>
      <c r="E37" s="151">
        <v>151.19999999999999</v>
      </c>
      <c r="F37" s="151">
        <v>160.5</v>
      </c>
      <c r="G37" s="151">
        <v>172.7</v>
      </c>
      <c r="H37" s="151">
        <v>186.9</v>
      </c>
      <c r="I37" s="151">
        <v>201.1</v>
      </c>
      <c r="J37" s="151">
        <v>215.4</v>
      </c>
      <c r="K37" s="151">
        <v>231</v>
      </c>
      <c r="L37" s="151">
        <v>253.1</v>
      </c>
      <c r="M37" s="151">
        <v>274.89999999999998</v>
      </c>
      <c r="N37" s="151">
        <v>291.2</v>
      </c>
      <c r="O37" s="151">
        <v>308.5</v>
      </c>
      <c r="P37" s="151">
        <v>326</v>
      </c>
      <c r="Q37" s="151">
        <v>342.3</v>
      </c>
      <c r="R37" s="151">
        <v>362.4</v>
      </c>
      <c r="S37" s="151">
        <v>378.5</v>
      </c>
      <c r="T37" s="151">
        <v>398.3</v>
      </c>
      <c r="U37" s="151">
        <v>424.3</v>
      </c>
      <c r="V37" s="151">
        <v>452.6</v>
      </c>
      <c r="W37" s="151">
        <v>487.9</v>
      </c>
      <c r="X37" s="151">
        <v>525.79999999999995</v>
      </c>
      <c r="Y37" s="151">
        <v>545.1</v>
      </c>
      <c r="Z37" s="151">
        <v>565.6</v>
      </c>
      <c r="AA37" s="151">
        <v>597</v>
      </c>
      <c r="AB37" s="151">
        <v>627.4</v>
      </c>
      <c r="AC37" s="151">
        <v>663.1</v>
      </c>
      <c r="AD37" s="151">
        <v>708.1</v>
      </c>
      <c r="AE37" s="151">
        <v>749.5</v>
      </c>
      <c r="AF37" s="151">
        <v>777.3</v>
      </c>
      <c r="AG37" s="151">
        <v>813.2</v>
      </c>
      <c r="AH37" s="151">
        <v>821.7</v>
      </c>
      <c r="AI37" s="151">
        <v>828.5</v>
      </c>
      <c r="AJ37" s="151">
        <v>860.9</v>
      </c>
      <c r="AK37" s="151">
        <v>883.6</v>
      </c>
      <c r="AL37" s="151">
        <v>904.8</v>
      </c>
      <c r="AM37" s="151">
        <v>926.4</v>
      </c>
      <c r="AN37" s="151">
        <v>952.4</v>
      </c>
      <c r="AO37" s="151">
        <v>992.4</v>
      </c>
      <c r="AP37" s="151">
        <v>1023</v>
      </c>
      <c r="AQ37" s="151">
        <v>1036.5</v>
      </c>
    </row>
    <row r="38" spans="1:43">
      <c r="A38" s="151" t="s">
        <v>2535</v>
      </c>
      <c r="B38" s="151" t="s">
        <v>2536</v>
      </c>
      <c r="C38" s="151">
        <v>94.4</v>
      </c>
      <c r="D38" s="151">
        <v>101.9</v>
      </c>
      <c r="E38" s="151">
        <v>109.5</v>
      </c>
      <c r="F38" s="151">
        <v>116.8</v>
      </c>
      <c r="G38" s="151">
        <v>127.3</v>
      </c>
      <c r="H38" s="151">
        <v>137.6</v>
      </c>
      <c r="I38" s="151">
        <v>149.9</v>
      </c>
      <c r="J38" s="151">
        <v>162.30000000000001</v>
      </c>
      <c r="K38" s="151">
        <v>174</v>
      </c>
      <c r="L38" s="151">
        <v>189</v>
      </c>
      <c r="M38" s="151">
        <v>205.9</v>
      </c>
      <c r="N38" s="151">
        <v>219.1</v>
      </c>
      <c r="O38" s="151">
        <v>232.7</v>
      </c>
      <c r="P38" s="151">
        <v>241.5</v>
      </c>
      <c r="Q38" s="151">
        <v>252.6</v>
      </c>
      <c r="R38" s="151">
        <v>268</v>
      </c>
      <c r="S38" s="151">
        <v>281.7</v>
      </c>
      <c r="T38" s="151">
        <v>297.2</v>
      </c>
      <c r="U38" s="151">
        <v>316.10000000000002</v>
      </c>
      <c r="V38" s="151">
        <v>338.2</v>
      </c>
      <c r="W38" s="151">
        <v>364.6</v>
      </c>
      <c r="X38" s="151">
        <v>388.2</v>
      </c>
      <c r="Y38" s="151">
        <v>408.2</v>
      </c>
      <c r="Z38" s="151">
        <v>430.1</v>
      </c>
      <c r="AA38" s="151">
        <v>452.2</v>
      </c>
      <c r="AB38" s="151">
        <v>474.7</v>
      </c>
      <c r="AC38" s="151">
        <v>502.2</v>
      </c>
      <c r="AD38" s="151">
        <v>530.70000000000005</v>
      </c>
      <c r="AE38" s="151">
        <v>555.4</v>
      </c>
      <c r="AF38" s="151">
        <v>565.9</v>
      </c>
      <c r="AG38" s="151">
        <v>572.5</v>
      </c>
      <c r="AH38" s="151">
        <v>569.29999999999995</v>
      </c>
      <c r="AI38" s="151">
        <v>570.4</v>
      </c>
      <c r="AJ38" s="151">
        <v>593.1</v>
      </c>
      <c r="AK38" s="151">
        <v>608.4</v>
      </c>
      <c r="AL38" s="151">
        <v>627</v>
      </c>
      <c r="AM38" s="151">
        <v>647.1</v>
      </c>
      <c r="AN38" s="151">
        <v>668.2</v>
      </c>
      <c r="AO38" s="151">
        <v>697.3</v>
      </c>
      <c r="AP38" s="151">
        <v>719.1</v>
      </c>
      <c r="AQ38" s="151">
        <v>719.3</v>
      </c>
    </row>
    <row r="39" spans="1:43">
      <c r="A39" s="151" t="s">
        <v>2537</v>
      </c>
      <c r="B39" s="151" t="s">
        <v>2538</v>
      </c>
      <c r="C39" s="151">
        <v>25.3</v>
      </c>
      <c r="D39" s="151">
        <v>28.9</v>
      </c>
      <c r="E39" s="151">
        <v>30.6</v>
      </c>
      <c r="F39" s="151">
        <v>32.200000000000003</v>
      </c>
      <c r="G39" s="151">
        <v>33.5</v>
      </c>
      <c r="H39" s="151">
        <v>36.4</v>
      </c>
      <c r="I39" s="151">
        <v>37.700000000000003</v>
      </c>
      <c r="J39" s="151">
        <v>39</v>
      </c>
      <c r="K39" s="151">
        <v>42.2</v>
      </c>
      <c r="L39" s="151">
        <v>47.7</v>
      </c>
      <c r="M39" s="151">
        <v>51.2</v>
      </c>
      <c r="N39" s="151">
        <v>52.8</v>
      </c>
      <c r="O39" s="151">
        <v>55</v>
      </c>
      <c r="P39" s="151">
        <v>60.4</v>
      </c>
      <c r="Q39" s="151">
        <v>63.4</v>
      </c>
      <c r="R39" s="151">
        <v>65.8</v>
      </c>
      <c r="S39" s="151">
        <v>67</v>
      </c>
      <c r="T39" s="151">
        <v>70.5</v>
      </c>
      <c r="U39" s="151">
        <v>77.599999999999994</v>
      </c>
      <c r="V39" s="151">
        <v>81.7</v>
      </c>
      <c r="W39" s="151">
        <v>87.6</v>
      </c>
      <c r="X39" s="151">
        <v>97.6</v>
      </c>
      <c r="Y39" s="151">
        <v>94.9</v>
      </c>
      <c r="Z39" s="151">
        <v>91.5</v>
      </c>
      <c r="AA39" s="151">
        <v>97.9</v>
      </c>
      <c r="AB39" s="151">
        <v>102.6</v>
      </c>
      <c r="AC39" s="151">
        <v>109.3</v>
      </c>
      <c r="AD39" s="151">
        <v>123.7</v>
      </c>
      <c r="AE39" s="151">
        <v>137.6</v>
      </c>
      <c r="AF39" s="151">
        <v>151.30000000000001</v>
      </c>
      <c r="AG39" s="151">
        <v>167.5</v>
      </c>
      <c r="AH39" s="151">
        <v>173</v>
      </c>
      <c r="AI39" s="151">
        <v>175.7</v>
      </c>
      <c r="AJ39" s="151">
        <v>182.7</v>
      </c>
      <c r="AK39" s="151">
        <v>186.6</v>
      </c>
      <c r="AL39" s="151">
        <v>188.3</v>
      </c>
      <c r="AM39" s="151">
        <v>188.8</v>
      </c>
      <c r="AN39" s="151">
        <v>191.1</v>
      </c>
      <c r="AO39" s="151">
        <v>200.2</v>
      </c>
      <c r="AP39" s="151">
        <v>206</v>
      </c>
      <c r="AQ39" s="151">
        <v>217.5</v>
      </c>
    </row>
    <row r="40" spans="1:43">
      <c r="A40" s="151" t="s">
        <v>2539</v>
      </c>
      <c r="B40" s="151" t="s">
        <v>2540</v>
      </c>
      <c r="C40" s="151">
        <v>10.199999999999999</v>
      </c>
      <c r="D40" s="151">
        <v>11</v>
      </c>
      <c r="E40" s="151">
        <v>11.2</v>
      </c>
      <c r="F40" s="151">
        <v>11.4</v>
      </c>
      <c r="G40" s="151">
        <v>12</v>
      </c>
      <c r="H40" s="151">
        <v>12.9</v>
      </c>
      <c r="I40" s="151">
        <v>13.5</v>
      </c>
      <c r="J40" s="151">
        <v>14.1</v>
      </c>
      <c r="K40" s="151">
        <v>14.8</v>
      </c>
      <c r="L40" s="151">
        <v>16.399999999999999</v>
      </c>
      <c r="M40" s="151">
        <v>17.8</v>
      </c>
      <c r="N40" s="151">
        <v>19.3</v>
      </c>
      <c r="O40" s="151">
        <v>20.8</v>
      </c>
      <c r="P40" s="151">
        <v>24.1</v>
      </c>
      <c r="Q40" s="151">
        <v>26.3</v>
      </c>
      <c r="R40" s="151">
        <v>28.6</v>
      </c>
      <c r="S40" s="151">
        <v>29.8</v>
      </c>
      <c r="T40" s="151">
        <v>30.6</v>
      </c>
      <c r="U40" s="151">
        <v>30.5</v>
      </c>
      <c r="V40" s="151">
        <v>32.700000000000003</v>
      </c>
      <c r="W40" s="151">
        <v>35.700000000000003</v>
      </c>
      <c r="X40" s="151">
        <v>39.9</v>
      </c>
      <c r="Y40" s="151">
        <v>41.9</v>
      </c>
      <c r="Z40" s="151">
        <v>44</v>
      </c>
      <c r="AA40" s="151">
        <v>46.8</v>
      </c>
      <c r="AB40" s="151">
        <v>50.1</v>
      </c>
      <c r="AC40" s="151">
        <v>51.6</v>
      </c>
      <c r="AD40" s="151">
        <v>53.8</v>
      </c>
      <c r="AE40" s="151">
        <v>56.5</v>
      </c>
      <c r="AF40" s="151">
        <v>60.1</v>
      </c>
      <c r="AG40" s="151">
        <v>73.3</v>
      </c>
      <c r="AH40" s="151">
        <v>79.400000000000006</v>
      </c>
      <c r="AI40" s="151">
        <v>82.3</v>
      </c>
      <c r="AJ40" s="151">
        <v>85.2</v>
      </c>
      <c r="AK40" s="151">
        <v>88.5</v>
      </c>
      <c r="AL40" s="151">
        <v>89.5</v>
      </c>
      <c r="AM40" s="151">
        <v>90.4</v>
      </c>
      <c r="AN40" s="151">
        <v>93</v>
      </c>
      <c r="AO40" s="151">
        <v>95</v>
      </c>
      <c r="AP40" s="151">
        <v>97.9</v>
      </c>
      <c r="AQ40" s="151">
        <v>99.7</v>
      </c>
    </row>
    <row r="41" spans="1:43">
      <c r="A41" s="151" t="s">
        <v>2541</v>
      </c>
      <c r="B41" s="151" t="s">
        <v>2542</v>
      </c>
      <c r="C41" s="151">
        <v>1.6</v>
      </c>
      <c r="D41" s="151">
        <v>1.8</v>
      </c>
      <c r="E41" s="151">
        <v>2</v>
      </c>
      <c r="F41" s="151">
        <v>2.1</v>
      </c>
      <c r="G41" s="151">
        <v>2.2999999999999998</v>
      </c>
      <c r="H41" s="151">
        <v>2.6</v>
      </c>
      <c r="I41" s="151">
        <v>2.8</v>
      </c>
      <c r="J41" s="151">
        <v>3</v>
      </c>
      <c r="K41" s="151">
        <v>3.3</v>
      </c>
      <c r="L41" s="151">
        <v>3.6</v>
      </c>
      <c r="M41" s="151">
        <v>3.9</v>
      </c>
      <c r="N41" s="151">
        <v>4.2</v>
      </c>
      <c r="O41" s="151">
        <v>4.5</v>
      </c>
      <c r="P41" s="151">
        <v>4.5999999999999996</v>
      </c>
      <c r="Q41" s="151">
        <v>4.9000000000000004</v>
      </c>
      <c r="R41" s="151">
        <v>5.0999999999999996</v>
      </c>
      <c r="S41" s="151">
        <v>5.5</v>
      </c>
      <c r="T41" s="151">
        <v>5.9</v>
      </c>
      <c r="U41" s="151">
        <v>6.2</v>
      </c>
      <c r="V41" s="151">
        <v>6.6</v>
      </c>
      <c r="W41" s="151">
        <v>7.1</v>
      </c>
      <c r="X41" s="151">
        <v>7.6</v>
      </c>
      <c r="Y41" s="151">
        <v>8</v>
      </c>
      <c r="Z41" s="151">
        <v>8.3000000000000007</v>
      </c>
      <c r="AA41" s="151">
        <v>8.9</v>
      </c>
      <c r="AB41" s="151">
        <v>9.4</v>
      </c>
      <c r="AC41" s="151">
        <v>9.8000000000000007</v>
      </c>
      <c r="AD41" s="151">
        <v>10.6</v>
      </c>
      <c r="AE41" s="151">
        <v>10.8</v>
      </c>
      <c r="AF41" s="151">
        <v>10.7</v>
      </c>
      <c r="AG41" s="151">
        <v>10.6</v>
      </c>
      <c r="AH41" s="151">
        <v>10.9</v>
      </c>
      <c r="AI41" s="151">
        <v>10.9</v>
      </c>
      <c r="AJ41" s="151">
        <v>11.5</v>
      </c>
      <c r="AK41" s="151">
        <v>11.8</v>
      </c>
      <c r="AL41" s="151">
        <v>12.1</v>
      </c>
      <c r="AM41" s="151">
        <v>12.4</v>
      </c>
      <c r="AN41" s="151">
        <v>12.7</v>
      </c>
      <c r="AO41" s="151">
        <v>12.9</v>
      </c>
      <c r="AP41" s="151">
        <v>12.9</v>
      </c>
      <c r="AQ41" s="151">
        <v>12.9</v>
      </c>
    </row>
    <row r="42" spans="1:43">
      <c r="A42" s="151" t="s">
        <v>2543</v>
      </c>
      <c r="B42" s="151" t="s">
        <v>2544</v>
      </c>
      <c r="C42" s="151">
        <v>8.6</v>
      </c>
      <c r="D42" s="151">
        <v>9.1999999999999993</v>
      </c>
      <c r="E42" s="151">
        <v>9.1999999999999993</v>
      </c>
      <c r="F42" s="151">
        <v>9.3000000000000007</v>
      </c>
      <c r="G42" s="151">
        <v>9.6</v>
      </c>
      <c r="H42" s="151">
        <v>10.199999999999999</v>
      </c>
      <c r="I42" s="151">
        <v>10.7</v>
      </c>
      <c r="J42" s="151">
        <v>11.1</v>
      </c>
      <c r="K42" s="151">
        <v>11.5</v>
      </c>
      <c r="L42" s="151">
        <v>12.8</v>
      </c>
      <c r="M42" s="151">
        <v>13.9</v>
      </c>
      <c r="N42" s="151">
        <v>15.1</v>
      </c>
      <c r="O42" s="151">
        <v>16.3</v>
      </c>
      <c r="P42" s="151">
        <v>19.5</v>
      </c>
      <c r="Q42" s="151">
        <v>21.4</v>
      </c>
      <c r="R42" s="151">
        <v>23.5</v>
      </c>
      <c r="S42" s="151">
        <v>24.3</v>
      </c>
      <c r="T42" s="151">
        <v>24.7</v>
      </c>
      <c r="U42" s="151">
        <v>24.3</v>
      </c>
      <c r="V42" s="151">
        <v>26.1</v>
      </c>
      <c r="W42" s="151">
        <v>28.6</v>
      </c>
      <c r="X42" s="151">
        <v>32.299999999999997</v>
      </c>
      <c r="Y42" s="151">
        <v>33.9</v>
      </c>
      <c r="Z42" s="151">
        <v>35.6</v>
      </c>
      <c r="AA42" s="151">
        <v>37.9</v>
      </c>
      <c r="AB42" s="151">
        <v>40.799999999999997</v>
      </c>
      <c r="AC42" s="151">
        <v>41.8</v>
      </c>
      <c r="AD42" s="151">
        <v>43.2</v>
      </c>
      <c r="AE42" s="151">
        <v>45.7</v>
      </c>
      <c r="AF42" s="151">
        <v>49.4</v>
      </c>
      <c r="AG42" s="151">
        <v>62.7</v>
      </c>
      <c r="AH42" s="151">
        <v>68.400000000000006</v>
      </c>
      <c r="AI42" s="151">
        <v>71.5</v>
      </c>
      <c r="AJ42" s="151">
        <v>73.7</v>
      </c>
      <c r="AK42" s="151">
        <v>76.8</v>
      </c>
      <c r="AL42" s="151">
        <v>77.5</v>
      </c>
      <c r="AM42" s="151">
        <v>78.099999999999994</v>
      </c>
      <c r="AN42" s="151">
        <v>80.3</v>
      </c>
      <c r="AO42" s="151">
        <v>82.1</v>
      </c>
      <c r="AP42" s="151">
        <v>85.1</v>
      </c>
      <c r="AQ42" s="151">
        <v>86.8</v>
      </c>
    </row>
    <row r="43" spans="1:43">
      <c r="A43" s="151" t="s">
        <v>2545</v>
      </c>
      <c r="B43" s="81" t="s">
        <v>2546</v>
      </c>
      <c r="C43" s="151">
        <v>213.2</v>
      </c>
      <c r="D43" s="151">
        <v>238.7</v>
      </c>
      <c r="E43" s="151">
        <v>265.7</v>
      </c>
      <c r="F43" s="151">
        <v>283.10000000000002</v>
      </c>
      <c r="G43" s="151">
        <v>284.89999999999998</v>
      </c>
      <c r="H43" s="151">
        <v>299.60000000000002</v>
      </c>
      <c r="I43" s="151">
        <v>315.2</v>
      </c>
      <c r="J43" s="151">
        <v>324.5</v>
      </c>
      <c r="K43" s="151">
        <v>343.8</v>
      </c>
      <c r="L43" s="151">
        <v>368.8</v>
      </c>
      <c r="M43" s="151">
        <v>403</v>
      </c>
      <c r="N43" s="151">
        <v>446.4</v>
      </c>
      <c r="O43" s="151">
        <v>494</v>
      </c>
      <c r="P43" s="151">
        <v>513.70000000000005</v>
      </c>
      <c r="Q43" s="151">
        <v>530.5</v>
      </c>
      <c r="R43" s="151">
        <v>551.29999999999995</v>
      </c>
      <c r="S43" s="151">
        <v>569.70000000000005</v>
      </c>
      <c r="T43" s="151">
        <v>583.29999999999995</v>
      </c>
      <c r="U43" s="151">
        <v>604.5</v>
      </c>
      <c r="V43" s="151">
        <v>627.4</v>
      </c>
      <c r="W43" s="151">
        <v>660.5</v>
      </c>
      <c r="X43" s="151">
        <v>704</v>
      </c>
      <c r="Y43" s="151">
        <v>771.2</v>
      </c>
      <c r="Z43" s="151">
        <v>809.8</v>
      </c>
      <c r="AA43" s="151">
        <v>835.6</v>
      </c>
      <c r="AB43" s="151">
        <v>881.1</v>
      </c>
      <c r="AC43" s="151">
        <v>924.8</v>
      </c>
      <c r="AD43" s="151">
        <v>966.8</v>
      </c>
      <c r="AE43" s="151">
        <v>1134</v>
      </c>
      <c r="AF43" s="151">
        <v>1246.4000000000001</v>
      </c>
      <c r="AG43" s="151">
        <v>1347</v>
      </c>
      <c r="AH43" s="151">
        <v>1335.6</v>
      </c>
      <c r="AI43" s="151">
        <v>1317.4</v>
      </c>
      <c r="AJ43" s="151">
        <v>1348.3</v>
      </c>
      <c r="AK43" s="151">
        <v>1366.7</v>
      </c>
      <c r="AL43" s="151">
        <v>1416.3</v>
      </c>
      <c r="AM43" s="151">
        <v>1441.5</v>
      </c>
      <c r="AN43" s="151">
        <v>1480.8</v>
      </c>
      <c r="AO43" s="151">
        <v>1537</v>
      </c>
      <c r="AP43" s="151">
        <v>1615.5</v>
      </c>
      <c r="AQ43" s="151">
        <v>2535.9</v>
      </c>
    </row>
    <row r="44" spans="1:43">
      <c r="A44" s="151" t="s">
        <v>2547</v>
      </c>
      <c r="B44" s="151" t="s">
        <v>2548</v>
      </c>
      <c r="C44" s="151">
        <v>32.799999999999997</v>
      </c>
      <c r="D44" s="151">
        <v>36.200000000000003</v>
      </c>
      <c r="E44" s="151">
        <v>37.9</v>
      </c>
      <c r="F44" s="151">
        <v>39</v>
      </c>
      <c r="G44" s="151">
        <v>39.9</v>
      </c>
      <c r="H44" s="151">
        <v>41.7</v>
      </c>
      <c r="I44" s="151">
        <v>43.2</v>
      </c>
      <c r="J44" s="151">
        <v>45</v>
      </c>
      <c r="K44" s="151">
        <v>47.4</v>
      </c>
      <c r="L44" s="151">
        <v>49.9</v>
      </c>
      <c r="M44" s="151">
        <v>54</v>
      </c>
      <c r="N44" s="151">
        <v>58.8</v>
      </c>
      <c r="O44" s="151">
        <v>63.7</v>
      </c>
      <c r="P44" s="151">
        <v>69.5</v>
      </c>
      <c r="Q44" s="151">
        <v>71.400000000000006</v>
      </c>
      <c r="R44" s="151">
        <v>74.7</v>
      </c>
      <c r="S44" s="151">
        <v>80</v>
      </c>
      <c r="T44" s="151">
        <v>82.8</v>
      </c>
      <c r="U44" s="151">
        <v>84.3</v>
      </c>
      <c r="V44" s="151">
        <v>88.4</v>
      </c>
      <c r="W44" s="151">
        <v>93.8</v>
      </c>
      <c r="X44" s="151">
        <v>101.8</v>
      </c>
      <c r="Y44" s="151">
        <v>113.4</v>
      </c>
      <c r="Z44" s="151">
        <v>122.9</v>
      </c>
      <c r="AA44" s="151">
        <v>133.1</v>
      </c>
      <c r="AB44" s="151">
        <v>143</v>
      </c>
      <c r="AC44" s="151">
        <v>152.1</v>
      </c>
      <c r="AD44" s="151">
        <v>161.5</v>
      </c>
      <c r="AE44" s="151">
        <v>171.7</v>
      </c>
      <c r="AF44" s="151">
        <v>188.7</v>
      </c>
      <c r="AG44" s="151">
        <v>197.2</v>
      </c>
      <c r="AH44" s="151">
        <v>205.1</v>
      </c>
      <c r="AI44" s="151">
        <v>218.4</v>
      </c>
      <c r="AJ44" s="151">
        <v>229.2</v>
      </c>
      <c r="AK44" s="151">
        <v>235.6</v>
      </c>
      <c r="AL44" s="151">
        <v>244.2</v>
      </c>
      <c r="AM44" s="151">
        <v>245.6</v>
      </c>
      <c r="AN44" s="151">
        <v>251.1</v>
      </c>
      <c r="AO44" s="151">
        <v>259.7</v>
      </c>
      <c r="AP44" s="151">
        <v>270.5</v>
      </c>
      <c r="AQ44" s="151">
        <v>280.10000000000002</v>
      </c>
    </row>
    <row r="45" spans="1:43">
      <c r="A45" s="151" t="s">
        <v>2549</v>
      </c>
      <c r="B45" s="151" t="s">
        <v>2550</v>
      </c>
      <c r="C45" s="151">
        <v>109.8</v>
      </c>
      <c r="D45" s="151">
        <v>129</v>
      </c>
      <c r="E45" s="151">
        <v>144.6</v>
      </c>
      <c r="F45" s="151">
        <v>155.5</v>
      </c>
      <c r="G45" s="151">
        <v>163.9</v>
      </c>
      <c r="H45" s="151">
        <v>173.5</v>
      </c>
      <c r="I45" s="151">
        <v>183.2</v>
      </c>
      <c r="J45" s="151">
        <v>190.2</v>
      </c>
      <c r="K45" s="151">
        <v>202.3</v>
      </c>
      <c r="L45" s="151">
        <v>215</v>
      </c>
      <c r="M45" s="151">
        <v>230.2</v>
      </c>
      <c r="N45" s="151">
        <v>247.9</v>
      </c>
      <c r="O45" s="151">
        <v>262.5</v>
      </c>
      <c r="P45" s="151">
        <v>273.5</v>
      </c>
      <c r="Q45" s="151">
        <v>286.39999999999998</v>
      </c>
      <c r="R45" s="151">
        <v>299.60000000000002</v>
      </c>
      <c r="S45" s="151">
        <v>309.60000000000002</v>
      </c>
      <c r="T45" s="151">
        <v>322.7</v>
      </c>
      <c r="U45" s="151">
        <v>336</v>
      </c>
      <c r="V45" s="151">
        <v>343</v>
      </c>
      <c r="W45" s="151">
        <v>361.8</v>
      </c>
      <c r="X45" s="151">
        <v>381.2</v>
      </c>
      <c r="Y45" s="151">
        <v>397.5</v>
      </c>
      <c r="Z45" s="151">
        <v>409.8</v>
      </c>
      <c r="AA45" s="151">
        <v>425</v>
      </c>
      <c r="AB45" s="151">
        <v>445.6</v>
      </c>
      <c r="AC45" s="151">
        <v>471.4</v>
      </c>
      <c r="AD45" s="151">
        <v>497.2</v>
      </c>
      <c r="AE45" s="151">
        <v>520.6</v>
      </c>
      <c r="AF45" s="151">
        <v>581.20000000000005</v>
      </c>
      <c r="AG45" s="151">
        <v>590.20000000000005</v>
      </c>
      <c r="AH45" s="151">
        <v>608</v>
      </c>
      <c r="AI45" s="151">
        <v>650.9</v>
      </c>
      <c r="AJ45" s="151">
        <v>685.4</v>
      </c>
      <c r="AK45" s="151">
        <v>720.6</v>
      </c>
      <c r="AL45" s="151">
        <v>755.6</v>
      </c>
      <c r="AM45" s="151">
        <v>782.6</v>
      </c>
      <c r="AN45" s="151">
        <v>813</v>
      </c>
      <c r="AO45" s="151">
        <v>859.4</v>
      </c>
      <c r="AP45" s="151">
        <v>917.6</v>
      </c>
      <c r="AQ45" s="151">
        <v>967.4</v>
      </c>
    </row>
    <row r="46" spans="1:43">
      <c r="A46" s="151" t="s">
        <v>2551</v>
      </c>
      <c r="B46" s="151" t="s">
        <v>2552</v>
      </c>
      <c r="C46" s="151">
        <v>48.5</v>
      </c>
      <c r="D46" s="151">
        <v>52.8</v>
      </c>
      <c r="E46" s="151">
        <v>54.1</v>
      </c>
      <c r="F46" s="151">
        <v>58.5</v>
      </c>
      <c r="G46" s="151">
        <v>61.4</v>
      </c>
      <c r="H46" s="151">
        <v>64.7</v>
      </c>
      <c r="I46" s="151">
        <v>67.900000000000006</v>
      </c>
      <c r="J46" s="151">
        <v>70.400000000000006</v>
      </c>
      <c r="K46" s="151">
        <v>74.8</v>
      </c>
      <c r="L46" s="151">
        <v>80.8</v>
      </c>
      <c r="M46" s="151">
        <v>90.7</v>
      </c>
      <c r="N46" s="151">
        <v>102.1</v>
      </c>
      <c r="O46" s="151">
        <v>113.9</v>
      </c>
      <c r="P46" s="151">
        <v>120.6</v>
      </c>
      <c r="Q46" s="151">
        <v>127</v>
      </c>
      <c r="R46" s="151">
        <v>129.80000000000001</v>
      </c>
      <c r="S46" s="151">
        <v>129.30000000000001</v>
      </c>
      <c r="T46" s="151">
        <v>127.4</v>
      </c>
      <c r="U46" s="151">
        <v>131.1</v>
      </c>
      <c r="V46" s="151">
        <v>136.80000000000001</v>
      </c>
      <c r="W46" s="151">
        <v>142.6</v>
      </c>
      <c r="X46" s="151">
        <v>151.6</v>
      </c>
      <c r="Y46" s="151">
        <v>162.6</v>
      </c>
      <c r="Z46" s="151">
        <v>182</v>
      </c>
      <c r="AA46" s="151">
        <v>177.9</v>
      </c>
      <c r="AB46" s="151">
        <v>190</v>
      </c>
      <c r="AC46" s="151">
        <v>193</v>
      </c>
      <c r="AD46" s="151">
        <v>201.9</v>
      </c>
      <c r="AE46" s="151">
        <v>231.4</v>
      </c>
      <c r="AF46" s="151">
        <v>246.9</v>
      </c>
      <c r="AG46" s="151">
        <v>262.3</v>
      </c>
      <c r="AH46" s="151">
        <v>263.39999999999998</v>
      </c>
      <c r="AI46" s="151">
        <v>265.60000000000002</v>
      </c>
      <c r="AJ46" s="151">
        <v>270.10000000000002</v>
      </c>
      <c r="AK46" s="151">
        <v>269.8</v>
      </c>
      <c r="AL46" s="151">
        <v>274.89999999999998</v>
      </c>
      <c r="AM46" s="151">
        <v>273.8</v>
      </c>
      <c r="AN46" s="151">
        <v>277.60000000000002</v>
      </c>
      <c r="AO46" s="151">
        <v>276.10000000000002</v>
      </c>
      <c r="AP46" s="151">
        <v>280.8</v>
      </c>
      <c r="AQ46" s="151">
        <v>589.6</v>
      </c>
    </row>
    <row r="47" spans="1:43">
      <c r="A47" s="151" t="s">
        <v>2553</v>
      </c>
      <c r="B47" s="151" t="s">
        <v>2554</v>
      </c>
      <c r="C47" s="151">
        <v>18.399999999999999</v>
      </c>
      <c r="D47" s="151">
        <v>16.899999999999999</v>
      </c>
      <c r="E47" s="151">
        <v>25.6</v>
      </c>
      <c r="F47" s="151">
        <v>26.5</v>
      </c>
      <c r="G47" s="151">
        <v>16.100000000000001</v>
      </c>
      <c r="H47" s="151">
        <v>16.2</v>
      </c>
      <c r="I47" s="151">
        <v>16.8</v>
      </c>
      <c r="J47" s="151">
        <v>14.9</v>
      </c>
      <c r="K47" s="151">
        <v>13.5</v>
      </c>
      <c r="L47" s="151">
        <v>14.7</v>
      </c>
      <c r="M47" s="151">
        <v>18.5</v>
      </c>
      <c r="N47" s="151">
        <v>27.3</v>
      </c>
      <c r="O47" s="151">
        <v>39.5</v>
      </c>
      <c r="P47" s="151">
        <v>34.700000000000003</v>
      </c>
      <c r="Q47" s="151">
        <v>24.2</v>
      </c>
      <c r="R47" s="151">
        <v>22.1</v>
      </c>
      <c r="S47" s="151">
        <v>22.7</v>
      </c>
      <c r="T47" s="151">
        <v>20.5</v>
      </c>
      <c r="U47" s="151">
        <v>20.100000000000001</v>
      </c>
      <c r="V47" s="151">
        <v>20.9</v>
      </c>
      <c r="W47" s="151">
        <v>20.8</v>
      </c>
      <c r="X47" s="151">
        <v>32.4</v>
      </c>
      <c r="Y47" s="151">
        <v>53.9</v>
      </c>
      <c r="Z47" s="151">
        <v>53.4</v>
      </c>
      <c r="AA47" s="151">
        <v>37.9</v>
      </c>
      <c r="AB47" s="151">
        <v>31.9</v>
      </c>
      <c r="AC47" s="151">
        <v>30.8</v>
      </c>
      <c r="AD47" s="151">
        <v>33.299999999999997</v>
      </c>
      <c r="AE47" s="151">
        <v>51.9</v>
      </c>
      <c r="AF47" s="151">
        <v>141.30000000000001</v>
      </c>
      <c r="AG47" s="151">
        <v>149.9</v>
      </c>
      <c r="AH47" s="151">
        <v>107.4</v>
      </c>
      <c r="AI47" s="151">
        <v>84</v>
      </c>
      <c r="AJ47" s="151">
        <v>62.6</v>
      </c>
      <c r="AK47" s="151">
        <v>35.5</v>
      </c>
      <c r="AL47" s="151">
        <v>32.299999999999997</v>
      </c>
      <c r="AM47" s="151">
        <v>32.200000000000003</v>
      </c>
      <c r="AN47" s="151">
        <v>30.7</v>
      </c>
      <c r="AO47" s="151">
        <v>28.2</v>
      </c>
      <c r="AP47" s="151">
        <v>28</v>
      </c>
      <c r="AQ47" s="151">
        <v>542.9</v>
      </c>
    </row>
    <row r="48" spans="1:43">
      <c r="A48" s="151" t="s">
        <v>2555</v>
      </c>
      <c r="B48" s="151" t="s">
        <v>2556</v>
      </c>
      <c r="C48" s="151">
        <v>3.7</v>
      </c>
      <c r="D48" s="151">
        <v>3.8</v>
      </c>
      <c r="E48" s="151">
        <v>3.6</v>
      </c>
      <c r="F48" s="151">
        <v>3.6</v>
      </c>
      <c r="G48" s="151">
        <v>3.6</v>
      </c>
      <c r="H48" s="151">
        <v>3.6</v>
      </c>
      <c r="I48" s="151">
        <v>4.0999999999999996</v>
      </c>
      <c r="J48" s="151">
        <v>4.0999999999999996</v>
      </c>
      <c r="K48" s="151">
        <v>5.9</v>
      </c>
      <c r="L48" s="151">
        <v>8.4</v>
      </c>
      <c r="M48" s="151">
        <v>9.6</v>
      </c>
      <c r="N48" s="151">
        <v>10.4</v>
      </c>
      <c r="O48" s="151">
        <v>14.5</v>
      </c>
      <c r="P48" s="151">
        <v>15.4</v>
      </c>
      <c r="Q48" s="151">
        <v>21.5</v>
      </c>
      <c r="R48" s="151">
        <v>25.2</v>
      </c>
      <c r="S48" s="151">
        <v>28.2</v>
      </c>
      <c r="T48" s="151">
        <v>29.9</v>
      </c>
      <c r="U48" s="151">
        <v>33</v>
      </c>
      <c r="V48" s="151">
        <v>38.299999999999997</v>
      </c>
      <c r="W48" s="151">
        <v>41.4</v>
      </c>
      <c r="X48" s="151">
        <v>37</v>
      </c>
      <c r="Y48" s="151">
        <v>43.8</v>
      </c>
      <c r="Z48" s="151">
        <v>41.7</v>
      </c>
      <c r="AA48" s="151">
        <v>61.6</v>
      </c>
      <c r="AB48" s="151">
        <v>70.599999999999994</v>
      </c>
      <c r="AC48" s="151">
        <v>77.599999999999994</v>
      </c>
      <c r="AD48" s="151">
        <v>73</v>
      </c>
      <c r="AE48" s="151">
        <v>158.30000000000001</v>
      </c>
      <c r="AF48" s="151">
        <v>88.4</v>
      </c>
      <c r="AG48" s="151">
        <v>147.5</v>
      </c>
      <c r="AH48" s="151">
        <v>151.69999999999999</v>
      </c>
      <c r="AI48" s="151">
        <v>98.5</v>
      </c>
      <c r="AJ48" s="151">
        <v>100.9</v>
      </c>
      <c r="AK48" s="151">
        <v>105.1</v>
      </c>
      <c r="AL48" s="151">
        <v>109.2</v>
      </c>
      <c r="AM48" s="151">
        <v>107.2</v>
      </c>
      <c r="AN48" s="151">
        <v>108.5</v>
      </c>
      <c r="AO48" s="151">
        <v>113.6</v>
      </c>
      <c r="AP48" s="151">
        <v>118.5</v>
      </c>
      <c r="AQ48" s="151">
        <v>155.9</v>
      </c>
    </row>
    <row r="49" spans="1:43">
      <c r="A49" s="151" t="s">
        <v>2557</v>
      </c>
      <c r="B49" s="81" t="s">
        <v>2558</v>
      </c>
      <c r="C49" s="151">
        <v>622.5</v>
      </c>
      <c r="D49" s="151">
        <v>709.1</v>
      </c>
      <c r="E49" s="151">
        <v>786</v>
      </c>
      <c r="F49" s="151">
        <v>851.9</v>
      </c>
      <c r="G49" s="151">
        <v>907.7</v>
      </c>
      <c r="H49" s="151">
        <v>975</v>
      </c>
      <c r="I49" s="151">
        <v>1033.8</v>
      </c>
      <c r="J49" s="151">
        <v>1065.2</v>
      </c>
      <c r="K49" s="151">
        <v>1122.4000000000001</v>
      </c>
      <c r="L49" s="151">
        <v>1201.8</v>
      </c>
      <c r="M49" s="151">
        <v>1290.9000000000001</v>
      </c>
      <c r="N49" s="151">
        <v>1356.2</v>
      </c>
      <c r="O49" s="151">
        <v>1488.9</v>
      </c>
      <c r="P49" s="151">
        <v>1544.6</v>
      </c>
      <c r="Q49" s="151">
        <v>1585</v>
      </c>
      <c r="R49" s="151">
        <v>1659.5</v>
      </c>
      <c r="S49" s="151">
        <v>1715.7</v>
      </c>
      <c r="T49" s="151">
        <v>1759.4</v>
      </c>
      <c r="U49" s="151">
        <v>1788.4</v>
      </c>
      <c r="V49" s="151">
        <v>1836.8</v>
      </c>
      <c r="W49" s="151">
        <v>1908.1</v>
      </c>
      <c r="X49" s="151">
        <v>2017.3</v>
      </c>
      <c r="Y49" s="151">
        <v>2138.6999999999998</v>
      </c>
      <c r="Z49" s="151">
        <v>2293.5</v>
      </c>
      <c r="AA49" s="151">
        <v>2421.6</v>
      </c>
      <c r="AB49" s="151">
        <v>2598.5</v>
      </c>
      <c r="AC49" s="151">
        <v>2760.7</v>
      </c>
      <c r="AD49" s="151">
        <v>2928</v>
      </c>
      <c r="AE49" s="151">
        <v>3207</v>
      </c>
      <c r="AF49" s="151">
        <v>3485.2</v>
      </c>
      <c r="AG49" s="151">
        <v>3764.6</v>
      </c>
      <c r="AH49" s="151">
        <v>3807.8</v>
      </c>
      <c r="AI49" s="151">
        <v>3773.5</v>
      </c>
      <c r="AJ49" s="151">
        <v>3771.3</v>
      </c>
      <c r="AK49" s="151">
        <v>3890.4</v>
      </c>
      <c r="AL49" s="151">
        <v>4009.2</v>
      </c>
      <c r="AM49" s="151">
        <v>4131.3999999999996</v>
      </c>
      <c r="AN49" s="151">
        <v>4245.8999999999996</v>
      </c>
      <c r="AO49" s="151">
        <v>4497.1000000000004</v>
      </c>
      <c r="AP49" s="151">
        <v>4761.1000000000004</v>
      </c>
      <c r="AQ49" s="151">
        <v>6794.5</v>
      </c>
    </row>
    <row r="50" spans="1:43">
      <c r="A50" s="151" t="s">
        <v>2559</v>
      </c>
      <c r="B50" s="81" t="s">
        <v>2481</v>
      </c>
      <c r="C50" s="151">
        <v>130.80000000000001</v>
      </c>
      <c r="D50" s="151">
        <v>154.1</v>
      </c>
      <c r="E50" s="151">
        <v>175.8</v>
      </c>
      <c r="F50" s="151">
        <v>190.8</v>
      </c>
      <c r="G50" s="151">
        <v>219.8</v>
      </c>
      <c r="H50" s="151">
        <v>244.2</v>
      </c>
      <c r="I50" s="151">
        <v>257.5</v>
      </c>
      <c r="J50" s="151">
        <v>258.60000000000002</v>
      </c>
      <c r="K50" s="151">
        <v>275.3</v>
      </c>
      <c r="L50" s="151">
        <v>297.5</v>
      </c>
      <c r="M50" s="151">
        <v>319.3</v>
      </c>
      <c r="N50" s="151">
        <v>297.7</v>
      </c>
      <c r="O50" s="151">
        <v>346.6</v>
      </c>
      <c r="P50" s="151">
        <v>349.8</v>
      </c>
      <c r="Q50" s="151">
        <v>358.1</v>
      </c>
      <c r="R50" s="151">
        <v>386.1</v>
      </c>
      <c r="S50" s="151">
        <v>397.9</v>
      </c>
      <c r="T50" s="151">
        <v>403</v>
      </c>
      <c r="U50" s="151">
        <v>401.6</v>
      </c>
      <c r="V50" s="151">
        <v>388.6</v>
      </c>
      <c r="W50" s="151">
        <v>388.8</v>
      </c>
      <c r="X50" s="151">
        <v>371</v>
      </c>
      <c r="Y50" s="151">
        <v>345.3</v>
      </c>
      <c r="Z50" s="151">
        <v>350.2</v>
      </c>
      <c r="AA50" s="151">
        <v>363</v>
      </c>
      <c r="AB50" s="151">
        <v>408.5</v>
      </c>
      <c r="AC50" s="151">
        <v>437.3</v>
      </c>
      <c r="AD50" s="151">
        <v>482.6</v>
      </c>
      <c r="AE50" s="151">
        <v>472.5</v>
      </c>
      <c r="AF50" s="151">
        <v>450.3</v>
      </c>
      <c r="AG50" s="151">
        <v>481.7</v>
      </c>
      <c r="AH50" s="151">
        <v>525.9</v>
      </c>
      <c r="AI50" s="151">
        <v>526.20000000000005</v>
      </c>
      <c r="AJ50" s="151">
        <v>516.6</v>
      </c>
      <c r="AK50" s="151">
        <v>536.6</v>
      </c>
      <c r="AL50" s="151">
        <v>527.9</v>
      </c>
      <c r="AM50" s="151">
        <v>557.6</v>
      </c>
      <c r="AN50" s="151">
        <v>578.4</v>
      </c>
      <c r="AO50" s="151">
        <v>649.70000000000005</v>
      </c>
      <c r="AP50" s="151">
        <v>694.7</v>
      </c>
      <c r="AQ50" s="151">
        <v>661.9</v>
      </c>
    </row>
    <row r="51" spans="1:43">
      <c r="A51" s="151" t="s">
        <v>2560</v>
      </c>
      <c r="B51" s="151" t="s">
        <v>2483</v>
      </c>
      <c r="C51" s="151">
        <v>12.5</v>
      </c>
      <c r="D51" s="151">
        <v>12</v>
      </c>
      <c r="E51" s="151">
        <v>14.1</v>
      </c>
      <c r="F51" s="151">
        <v>13.4</v>
      </c>
      <c r="G51" s="151">
        <v>16.5</v>
      </c>
      <c r="H51" s="151">
        <v>19.600000000000001</v>
      </c>
      <c r="I51" s="151">
        <v>23</v>
      </c>
      <c r="J51" s="151">
        <v>19.3</v>
      </c>
      <c r="K51" s="151">
        <v>19.5</v>
      </c>
      <c r="L51" s="151">
        <v>19.3</v>
      </c>
      <c r="M51" s="151">
        <v>21.1</v>
      </c>
      <c r="N51" s="151">
        <v>-16.899999999999999</v>
      </c>
      <c r="O51" s="151">
        <v>28.5</v>
      </c>
      <c r="P51" s="151">
        <v>29.3</v>
      </c>
      <c r="Q51" s="151">
        <v>28.4</v>
      </c>
      <c r="R51" s="151">
        <v>24.6</v>
      </c>
      <c r="S51" s="151">
        <v>29.3</v>
      </c>
      <c r="T51" s="151">
        <v>27.5</v>
      </c>
      <c r="U51" s="151">
        <v>27.7</v>
      </c>
      <c r="V51" s="151">
        <v>27.3</v>
      </c>
      <c r="W51" s="151">
        <v>27.7</v>
      </c>
      <c r="X51" s="151">
        <v>28</v>
      </c>
      <c r="Y51" s="151">
        <v>33.200000000000003</v>
      </c>
      <c r="Z51" s="151">
        <v>47.6</v>
      </c>
      <c r="AA51" s="151">
        <v>45.9</v>
      </c>
      <c r="AB51" s="151">
        <v>52.8</v>
      </c>
      <c r="AC51" s="151">
        <v>52.6</v>
      </c>
      <c r="AD51" s="151">
        <v>61.9</v>
      </c>
      <c r="AE51" s="151">
        <v>68.7</v>
      </c>
      <c r="AF51" s="151">
        <v>80.2</v>
      </c>
      <c r="AG51" s="151">
        <v>81.900000000000006</v>
      </c>
      <c r="AH51" s="151">
        <v>86.4</v>
      </c>
      <c r="AI51" s="151">
        <v>88.2</v>
      </c>
      <c r="AJ51" s="151">
        <v>84.9</v>
      </c>
      <c r="AK51" s="151">
        <v>83.9</v>
      </c>
      <c r="AL51" s="151">
        <v>82.9</v>
      </c>
      <c r="AM51" s="151">
        <v>86.3</v>
      </c>
      <c r="AN51" s="151">
        <v>85.4</v>
      </c>
      <c r="AO51" s="151">
        <v>89.5</v>
      </c>
      <c r="AP51" s="151">
        <v>91.3</v>
      </c>
      <c r="AQ51" s="151">
        <v>100</v>
      </c>
    </row>
    <row r="52" spans="1:43">
      <c r="A52" s="151" t="s">
        <v>2561</v>
      </c>
      <c r="B52" s="151" t="s">
        <v>2485</v>
      </c>
      <c r="C52" s="151">
        <v>3.9</v>
      </c>
      <c r="D52" s="151">
        <v>4.2</v>
      </c>
      <c r="E52" s="151">
        <v>4.4000000000000004</v>
      </c>
      <c r="F52" s="151">
        <v>5.3</v>
      </c>
      <c r="G52" s="151">
        <v>5.2</v>
      </c>
      <c r="H52" s="151">
        <v>6</v>
      </c>
      <c r="I52" s="151">
        <v>6.3</v>
      </c>
      <c r="J52" s="151">
        <v>6.9</v>
      </c>
      <c r="K52" s="151">
        <v>8</v>
      </c>
      <c r="L52" s="151">
        <v>8.5</v>
      </c>
      <c r="M52" s="151">
        <v>9.3000000000000007</v>
      </c>
      <c r="N52" s="151">
        <v>10.1</v>
      </c>
      <c r="O52" s="151">
        <v>11.2</v>
      </c>
      <c r="P52" s="151">
        <v>9.1</v>
      </c>
      <c r="Q52" s="151">
        <v>8.9</v>
      </c>
      <c r="R52" s="151">
        <v>9.1999999999999993</v>
      </c>
      <c r="S52" s="151">
        <v>8.6</v>
      </c>
      <c r="T52" s="151">
        <v>9.9</v>
      </c>
      <c r="U52" s="151">
        <v>8.3000000000000007</v>
      </c>
      <c r="V52" s="151">
        <v>9.1</v>
      </c>
      <c r="W52" s="151">
        <v>7.3</v>
      </c>
      <c r="X52" s="151">
        <v>11.8</v>
      </c>
      <c r="Y52" s="151">
        <v>10.9</v>
      </c>
      <c r="Z52" s="151">
        <v>11</v>
      </c>
      <c r="AA52" s="151">
        <v>11.1</v>
      </c>
      <c r="AB52" s="151">
        <v>11.4</v>
      </c>
      <c r="AC52" s="151">
        <v>12.5</v>
      </c>
      <c r="AD52" s="151">
        <v>12.7</v>
      </c>
      <c r="AE52" s="151">
        <v>15.4</v>
      </c>
      <c r="AF52" s="151">
        <v>15.6</v>
      </c>
      <c r="AG52" s="151">
        <v>18.3</v>
      </c>
      <c r="AH52" s="151">
        <v>14.1</v>
      </c>
      <c r="AI52" s="151">
        <v>15.4</v>
      </c>
      <c r="AJ52" s="151">
        <v>15.4</v>
      </c>
      <c r="AK52" s="151">
        <v>13.6</v>
      </c>
      <c r="AL52" s="151">
        <v>15.7</v>
      </c>
      <c r="AM52" s="151">
        <v>17.100000000000001</v>
      </c>
      <c r="AN52" s="151">
        <v>16.2</v>
      </c>
      <c r="AO52" s="151">
        <v>18.5</v>
      </c>
      <c r="AP52" s="151">
        <v>19.899999999999999</v>
      </c>
      <c r="AQ52" s="151">
        <v>27.7</v>
      </c>
    </row>
    <row r="53" spans="1:43">
      <c r="A53" s="151" t="s">
        <v>2562</v>
      </c>
      <c r="B53" s="151" t="s">
        <v>2487</v>
      </c>
      <c r="C53" s="151">
        <v>107.5</v>
      </c>
      <c r="D53" s="151">
        <v>133.4</v>
      </c>
      <c r="E53" s="151">
        <v>152.69999999999999</v>
      </c>
      <c r="F53" s="151">
        <v>167</v>
      </c>
      <c r="G53" s="151">
        <v>193.8</v>
      </c>
      <c r="H53" s="151">
        <v>213.7</v>
      </c>
      <c r="I53" s="151">
        <v>224.2</v>
      </c>
      <c r="J53" s="151">
        <v>232.3</v>
      </c>
      <c r="K53" s="151">
        <v>247.9</v>
      </c>
      <c r="L53" s="151">
        <v>269.7</v>
      </c>
      <c r="M53" s="151">
        <v>289</v>
      </c>
      <c r="N53" s="151">
        <v>304.39999999999998</v>
      </c>
      <c r="O53" s="151">
        <v>306.89999999999998</v>
      </c>
      <c r="P53" s="151">
        <v>311.39999999999998</v>
      </c>
      <c r="Q53" s="151">
        <v>320.8</v>
      </c>
      <c r="R53" s="151">
        <v>352.3</v>
      </c>
      <c r="S53" s="151">
        <v>360</v>
      </c>
      <c r="T53" s="151">
        <v>365.6</v>
      </c>
      <c r="U53" s="151">
        <v>365.6</v>
      </c>
      <c r="V53" s="151">
        <v>352.2</v>
      </c>
      <c r="W53" s="151">
        <v>353.7</v>
      </c>
      <c r="X53" s="151">
        <v>331.2</v>
      </c>
      <c r="Y53" s="151">
        <v>301.3</v>
      </c>
      <c r="Z53" s="151">
        <v>291.7</v>
      </c>
      <c r="AA53" s="151">
        <v>306</v>
      </c>
      <c r="AB53" s="151">
        <v>344.4</v>
      </c>
      <c r="AC53" s="151">
        <v>372.2</v>
      </c>
      <c r="AD53" s="151">
        <v>408</v>
      </c>
      <c r="AE53" s="151">
        <v>388.4</v>
      </c>
      <c r="AF53" s="151">
        <v>354.5</v>
      </c>
      <c r="AG53" s="151">
        <v>381.5</v>
      </c>
      <c r="AH53" s="151">
        <v>425.4</v>
      </c>
      <c r="AI53" s="151">
        <v>422.6</v>
      </c>
      <c r="AJ53" s="151">
        <v>416.3</v>
      </c>
      <c r="AK53" s="151">
        <v>439.1</v>
      </c>
      <c r="AL53" s="151">
        <v>429.3</v>
      </c>
      <c r="AM53" s="151">
        <v>454.3</v>
      </c>
      <c r="AN53" s="151">
        <v>476.8</v>
      </c>
      <c r="AO53" s="151">
        <v>541.79999999999995</v>
      </c>
      <c r="AP53" s="151">
        <v>583.5</v>
      </c>
      <c r="AQ53" s="151">
        <v>534.20000000000005</v>
      </c>
    </row>
    <row r="54" spans="1:43">
      <c r="A54" s="151" t="s">
        <v>2563</v>
      </c>
      <c r="B54" s="151" t="s">
        <v>2564</v>
      </c>
      <c r="C54" s="151">
        <v>6.8</v>
      </c>
      <c r="D54" s="151">
        <v>4.5</v>
      </c>
      <c r="E54" s="151">
        <v>4.5999999999999996</v>
      </c>
      <c r="F54" s="151">
        <v>5.0999999999999996</v>
      </c>
      <c r="G54" s="151">
        <v>4.4000000000000004</v>
      </c>
      <c r="H54" s="151">
        <v>4.8</v>
      </c>
      <c r="I54" s="151">
        <v>4</v>
      </c>
      <c r="J54" s="151">
        <v>0.1</v>
      </c>
      <c r="K54" s="151">
        <v>0</v>
      </c>
      <c r="L54" s="151">
        <v>0</v>
      </c>
      <c r="M54" s="151">
        <v>-0.1</v>
      </c>
      <c r="N54" s="151">
        <v>0.1</v>
      </c>
      <c r="O54" s="151">
        <v>0</v>
      </c>
      <c r="P54" s="151">
        <v>0</v>
      </c>
      <c r="Q54" s="151">
        <v>0</v>
      </c>
      <c r="R54" s="151">
        <v>0</v>
      </c>
      <c r="S54" s="151">
        <v>0</v>
      </c>
      <c r="T54" s="151">
        <v>0</v>
      </c>
      <c r="U54" s="151">
        <v>0</v>
      </c>
      <c r="V54" s="151">
        <v>0</v>
      </c>
      <c r="W54" s="151">
        <v>0</v>
      </c>
      <c r="X54" s="151">
        <v>0</v>
      </c>
      <c r="Y54" s="151">
        <v>0</v>
      </c>
      <c r="Z54" s="151">
        <v>0</v>
      </c>
      <c r="AA54" s="151">
        <v>0</v>
      </c>
      <c r="AB54" s="151">
        <v>0</v>
      </c>
      <c r="AC54" s="151">
        <v>0</v>
      </c>
      <c r="AD54" s="151">
        <v>0</v>
      </c>
      <c r="AE54" s="151">
        <v>0</v>
      </c>
      <c r="AF54" s="151">
        <v>0</v>
      </c>
      <c r="AG54" s="151">
        <v>0</v>
      </c>
      <c r="AH54" s="151">
        <v>0</v>
      </c>
      <c r="AI54" s="151">
        <v>0</v>
      </c>
      <c r="AJ54" s="151">
        <v>0</v>
      </c>
      <c r="AK54" s="151">
        <v>0</v>
      </c>
      <c r="AL54" s="151">
        <v>0</v>
      </c>
      <c r="AM54" s="151">
        <v>0</v>
      </c>
      <c r="AN54" s="151">
        <v>0</v>
      </c>
      <c r="AO54" s="151">
        <v>0</v>
      </c>
      <c r="AP54" s="151">
        <v>0</v>
      </c>
      <c r="AQ54" s="151">
        <v>0</v>
      </c>
    </row>
    <row r="55" spans="1:43">
      <c r="A55" s="151" t="s">
        <v>2565</v>
      </c>
      <c r="B55" s="81" t="s">
        <v>2491</v>
      </c>
      <c r="C55" s="151">
        <v>144.69999999999999</v>
      </c>
      <c r="D55" s="151">
        <v>165.9</v>
      </c>
      <c r="E55" s="151">
        <v>187.9</v>
      </c>
      <c r="F55" s="151">
        <v>202.6</v>
      </c>
      <c r="G55" s="151">
        <v>218</v>
      </c>
      <c r="H55" s="151">
        <v>234.3</v>
      </c>
      <c r="I55" s="151">
        <v>249.2</v>
      </c>
      <c r="J55" s="151">
        <v>261.89999999999998</v>
      </c>
      <c r="K55" s="151">
        <v>276.89999999999998</v>
      </c>
      <c r="L55" s="151">
        <v>286.3</v>
      </c>
      <c r="M55" s="151">
        <v>297.89999999999998</v>
      </c>
      <c r="N55" s="151">
        <v>313.39999999999998</v>
      </c>
      <c r="O55" s="151">
        <v>310.60000000000002</v>
      </c>
      <c r="P55" s="151">
        <v>303.8</v>
      </c>
      <c r="Q55" s="151">
        <v>297.10000000000002</v>
      </c>
      <c r="R55" s="151">
        <v>292.8</v>
      </c>
      <c r="S55" s="151">
        <v>293.10000000000002</v>
      </c>
      <c r="T55" s="151">
        <v>293.60000000000002</v>
      </c>
      <c r="U55" s="151">
        <v>289.89999999999998</v>
      </c>
      <c r="V55" s="151">
        <v>302.2</v>
      </c>
      <c r="W55" s="151">
        <v>310</v>
      </c>
      <c r="X55" s="151">
        <v>326.39999999999998</v>
      </c>
      <c r="Y55" s="151">
        <v>359.3</v>
      </c>
      <c r="Z55" s="151">
        <v>412.1</v>
      </c>
      <c r="AA55" s="151">
        <v>449.6</v>
      </c>
      <c r="AB55" s="151">
        <v>478.8</v>
      </c>
      <c r="AC55" s="151">
        <v>502.4</v>
      </c>
      <c r="AD55" s="151">
        <v>529.1</v>
      </c>
      <c r="AE55" s="151">
        <v>584.29999999999995</v>
      </c>
      <c r="AF55" s="151">
        <v>615.70000000000005</v>
      </c>
      <c r="AG55" s="151">
        <v>653</v>
      </c>
      <c r="AH55" s="151">
        <v>663</v>
      </c>
      <c r="AI55" s="151">
        <v>651.6</v>
      </c>
      <c r="AJ55" s="151">
        <v>612.5</v>
      </c>
      <c r="AK55" s="151">
        <v>600.1</v>
      </c>
      <c r="AL55" s="151">
        <v>589.29999999999995</v>
      </c>
      <c r="AM55" s="151">
        <v>591.20000000000005</v>
      </c>
      <c r="AN55" s="151">
        <v>604.4</v>
      </c>
      <c r="AO55" s="151">
        <v>640.20000000000005</v>
      </c>
      <c r="AP55" s="151">
        <v>682.8</v>
      </c>
      <c r="AQ55" s="151">
        <v>702.2</v>
      </c>
    </row>
    <row r="56" spans="1:43">
      <c r="A56" s="151" t="s">
        <v>2566</v>
      </c>
      <c r="B56" s="81" t="s">
        <v>876</v>
      </c>
      <c r="C56" s="151">
        <v>3.4</v>
      </c>
      <c r="D56" s="151">
        <v>3.4</v>
      </c>
      <c r="E56" s="151">
        <v>3.4</v>
      </c>
      <c r="F56" s="151">
        <v>3.8</v>
      </c>
      <c r="G56" s="151">
        <v>4.2</v>
      </c>
      <c r="H56" s="151">
        <v>4.5999999999999996</v>
      </c>
      <c r="I56" s="151">
        <v>5.0999999999999996</v>
      </c>
      <c r="J56" s="151">
        <v>5.6</v>
      </c>
      <c r="K56" s="151">
        <v>6.6</v>
      </c>
      <c r="L56" s="151">
        <v>7.4</v>
      </c>
      <c r="M56" s="151">
        <v>8</v>
      </c>
      <c r="N56" s="151">
        <v>9.4</v>
      </c>
      <c r="O56" s="151">
        <v>10.8</v>
      </c>
      <c r="P56" s="151">
        <v>12.9</v>
      </c>
      <c r="Q56" s="151">
        <v>13.6</v>
      </c>
      <c r="R56" s="151">
        <v>14.6</v>
      </c>
      <c r="S56" s="151">
        <v>15.9</v>
      </c>
      <c r="T56" s="151">
        <v>17.2</v>
      </c>
      <c r="U56" s="151">
        <v>21.4</v>
      </c>
      <c r="V56" s="151">
        <v>23.5</v>
      </c>
      <c r="W56" s="151">
        <v>27.8</v>
      </c>
      <c r="X56" s="151">
        <v>30.8</v>
      </c>
      <c r="Y56" s="151">
        <v>32.200000000000003</v>
      </c>
      <c r="Z56" s="151">
        <v>34.6</v>
      </c>
      <c r="AA56" s="151">
        <v>38.200000000000003</v>
      </c>
      <c r="AB56" s="151">
        <v>41.9</v>
      </c>
      <c r="AC56" s="151">
        <v>44.8</v>
      </c>
      <c r="AD56" s="151">
        <v>46.5</v>
      </c>
      <c r="AE56" s="151">
        <v>52</v>
      </c>
      <c r="AF56" s="151">
        <v>57.1</v>
      </c>
      <c r="AG56" s="151">
        <v>59.2</v>
      </c>
      <c r="AH56" s="151">
        <v>60.3</v>
      </c>
      <c r="AI56" s="151">
        <v>61.8</v>
      </c>
      <c r="AJ56" s="151">
        <v>58.6</v>
      </c>
      <c r="AK56" s="151">
        <v>59.1</v>
      </c>
      <c r="AL56" s="151">
        <v>59.3</v>
      </c>
      <c r="AM56" s="151">
        <v>61.4</v>
      </c>
      <c r="AN56" s="151">
        <v>62.6</v>
      </c>
      <c r="AO56" s="151">
        <v>64.900000000000006</v>
      </c>
      <c r="AP56" s="151">
        <v>64.5</v>
      </c>
      <c r="AQ56" s="151">
        <v>60.8</v>
      </c>
    </row>
    <row r="57" spans="1:43">
      <c r="A57" s="151" t="s">
        <v>2567</v>
      </c>
      <c r="B57" s="151" t="s">
        <v>2494</v>
      </c>
      <c r="C57" s="151">
        <v>1.6</v>
      </c>
      <c r="D57" s="151">
        <v>1.6</v>
      </c>
      <c r="E57" s="151">
        <v>1.5</v>
      </c>
      <c r="F57" s="151">
        <v>1.9</v>
      </c>
      <c r="G57" s="151">
        <v>2.1</v>
      </c>
      <c r="H57" s="151">
        <v>2.4</v>
      </c>
      <c r="I57" s="151">
        <v>2.4</v>
      </c>
      <c r="J57" s="151">
        <v>2.7</v>
      </c>
      <c r="K57" s="151">
        <v>3.3</v>
      </c>
      <c r="L57" s="151">
        <v>3.5</v>
      </c>
      <c r="M57" s="151">
        <v>3.7</v>
      </c>
      <c r="N57" s="151">
        <v>4.4000000000000004</v>
      </c>
      <c r="O57" s="151">
        <v>5.0999999999999996</v>
      </c>
      <c r="P57" s="151">
        <v>7.3</v>
      </c>
      <c r="Q57" s="151">
        <v>7.1</v>
      </c>
      <c r="R57" s="151">
        <v>6.6</v>
      </c>
      <c r="S57" s="151">
        <v>7.8</v>
      </c>
      <c r="T57" s="151">
        <v>10</v>
      </c>
      <c r="U57" s="151">
        <v>13</v>
      </c>
      <c r="V57" s="151">
        <v>13.8</v>
      </c>
      <c r="W57" s="151">
        <v>16.399999999999999</v>
      </c>
      <c r="X57" s="151">
        <v>17.600000000000001</v>
      </c>
      <c r="Y57" s="151">
        <v>19.100000000000001</v>
      </c>
      <c r="Z57" s="151">
        <v>22.3</v>
      </c>
      <c r="AA57" s="151">
        <v>25.8</v>
      </c>
      <c r="AB57" s="151">
        <v>28.8</v>
      </c>
      <c r="AC57" s="151">
        <v>30.6</v>
      </c>
      <c r="AD57" s="151">
        <v>32.1</v>
      </c>
      <c r="AE57" s="151">
        <v>36.700000000000003</v>
      </c>
      <c r="AF57" s="151">
        <v>40.5</v>
      </c>
      <c r="AG57" s="151">
        <v>41.9</v>
      </c>
      <c r="AH57" s="151">
        <v>43.3</v>
      </c>
      <c r="AI57" s="151">
        <v>44.4</v>
      </c>
      <c r="AJ57" s="151">
        <v>42.9</v>
      </c>
      <c r="AK57" s="151">
        <v>43.1</v>
      </c>
      <c r="AL57" s="151">
        <v>42.6</v>
      </c>
      <c r="AM57" s="151">
        <v>44.9</v>
      </c>
      <c r="AN57" s="151">
        <v>45.6</v>
      </c>
      <c r="AO57" s="151">
        <v>47.6</v>
      </c>
      <c r="AP57" s="151">
        <v>47.9</v>
      </c>
      <c r="AQ57" s="151">
        <v>48.6</v>
      </c>
    </row>
    <row r="58" spans="1:43">
      <c r="A58" s="151" t="s">
        <v>2568</v>
      </c>
      <c r="B58" s="151" t="s">
        <v>2496</v>
      </c>
      <c r="C58" s="151">
        <v>0</v>
      </c>
      <c r="D58" s="151">
        <v>0</v>
      </c>
      <c r="E58" s="151">
        <v>0</v>
      </c>
      <c r="F58" s="151">
        <v>0</v>
      </c>
      <c r="G58" s="151">
        <v>0</v>
      </c>
      <c r="H58" s="151">
        <v>0</v>
      </c>
      <c r="I58" s="151">
        <v>0</v>
      </c>
      <c r="J58" s="151">
        <v>0</v>
      </c>
      <c r="K58" s="151">
        <v>0</v>
      </c>
      <c r="L58" s="151">
        <v>0</v>
      </c>
      <c r="M58" s="151">
        <v>0</v>
      </c>
      <c r="N58" s="151">
        <v>0.1</v>
      </c>
      <c r="O58" s="151">
        <v>0</v>
      </c>
      <c r="P58" s="151">
        <v>0</v>
      </c>
      <c r="Q58" s="151">
        <v>0</v>
      </c>
      <c r="R58" s="151">
        <v>0.1</v>
      </c>
      <c r="S58" s="151">
        <v>0.1</v>
      </c>
      <c r="T58" s="151">
        <v>0.1</v>
      </c>
      <c r="U58" s="151">
        <v>0.1</v>
      </c>
      <c r="V58" s="151">
        <v>0</v>
      </c>
      <c r="W58" s="151">
        <v>0.1</v>
      </c>
      <c r="X58" s="151">
        <v>0.2</v>
      </c>
      <c r="Y58" s="151">
        <v>0.4</v>
      </c>
      <c r="Z58" s="151">
        <v>0.8</v>
      </c>
      <c r="AA58" s="151">
        <v>0.3</v>
      </c>
      <c r="AB58" s="151">
        <v>0.2</v>
      </c>
      <c r="AC58" s="151">
        <v>0.8</v>
      </c>
      <c r="AD58" s="151">
        <v>0.6</v>
      </c>
      <c r="AE58" s="151">
        <v>0.7</v>
      </c>
      <c r="AF58" s="151">
        <v>1.1000000000000001</v>
      </c>
      <c r="AG58" s="151">
        <v>1</v>
      </c>
      <c r="AH58" s="151">
        <v>1</v>
      </c>
      <c r="AI58" s="151">
        <v>0.9</v>
      </c>
      <c r="AJ58" s="151">
        <v>0.9</v>
      </c>
      <c r="AK58" s="151">
        <v>0.8</v>
      </c>
      <c r="AL58" s="151">
        <v>0.8</v>
      </c>
      <c r="AM58" s="151">
        <v>0.7</v>
      </c>
      <c r="AN58" s="151">
        <v>0.8</v>
      </c>
      <c r="AO58" s="151">
        <v>0.8</v>
      </c>
      <c r="AP58" s="151">
        <v>0.8</v>
      </c>
      <c r="AQ58" s="151">
        <v>0.8</v>
      </c>
    </row>
    <row r="59" spans="1:43">
      <c r="A59" s="151" t="s">
        <v>2569</v>
      </c>
      <c r="B59" s="151" t="s">
        <v>2498</v>
      </c>
      <c r="C59" s="151">
        <v>1.2</v>
      </c>
      <c r="D59" s="151">
        <v>1.3</v>
      </c>
      <c r="E59" s="151">
        <v>1.3</v>
      </c>
      <c r="F59" s="151">
        <v>1.4</v>
      </c>
      <c r="G59" s="151">
        <v>1.6</v>
      </c>
      <c r="H59" s="151">
        <v>1.8</v>
      </c>
      <c r="I59" s="151">
        <v>1.9</v>
      </c>
      <c r="J59" s="151">
        <v>2.2000000000000002</v>
      </c>
      <c r="K59" s="151">
        <v>2.4</v>
      </c>
      <c r="L59" s="151">
        <v>2.7</v>
      </c>
      <c r="M59" s="151">
        <v>3.1</v>
      </c>
      <c r="N59" s="151">
        <v>3.8</v>
      </c>
      <c r="O59" s="151">
        <v>4.2</v>
      </c>
      <c r="P59" s="151">
        <v>4.4000000000000004</v>
      </c>
      <c r="Q59" s="151">
        <v>4</v>
      </c>
      <c r="R59" s="151">
        <v>5.0999999999999996</v>
      </c>
      <c r="S59" s="151">
        <v>5.0999999999999996</v>
      </c>
      <c r="T59" s="151">
        <v>5.5</v>
      </c>
      <c r="U59" s="151">
        <v>6.8</v>
      </c>
      <c r="V59" s="151">
        <v>7.4</v>
      </c>
      <c r="W59" s="151">
        <v>8.1</v>
      </c>
      <c r="X59" s="151">
        <v>8.9</v>
      </c>
      <c r="Y59" s="151">
        <v>8.5</v>
      </c>
      <c r="Z59" s="151">
        <v>6.7</v>
      </c>
      <c r="AA59" s="151">
        <v>6.8</v>
      </c>
      <c r="AB59" s="151">
        <v>7.2</v>
      </c>
      <c r="AC59" s="151">
        <v>7.5</v>
      </c>
      <c r="AD59" s="151">
        <v>7.9</v>
      </c>
      <c r="AE59" s="151">
        <v>8.1</v>
      </c>
      <c r="AF59" s="151">
        <v>8.6999999999999993</v>
      </c>
      <c r="AG59" s="151">
        <v>9.3000000000000007</v>
      </c>
      <c r="AH59" s="151">
        <v>9.1999999999999993</v>
      </c>
      <c r="AI59" s="151">
        <v>9.3000000000000007</v>
      </c>
      <c r="AJ59" s="151">
        <v>7.3</v>
      </c>
      <c r="AK59" s="151">
        <v>7.4</v>
      </c>
      <c r="AL59" s="151">
        <v>7.9</v>
      </c>
      <c r="AM59" s="151">
        <v>7.9</v>
      </c>
      <c r="AN59" s="151">
        <v>8.3000000000000007</v>
      </c>
      <c r="AO59" s="151">
        <v>8.6</v>
      </c>
      <c r="AP59" s="151">
        <v>9.1</v>
      </c>
      <c r="AQ59" s="151">
        <v>8.9</v>
      </c>
    </row>
    <row r="60" spans="1:43">
      <c r="A60" s="151" t="s">
        <v>2570</v>
      </c>
      <c r="B60" s="151" t="s">
        <v>2500</v>
      </c>
      <c r="C60" s="151">
        <v>0.5</v>
      </c>
      <c r="D60" s="151">
        <v>0.5</v>
      </c>
      <c r="E60" s="151">
        <v>0.5</v>
      </c>
      <c r="F60" s="151">
        <v>0.5</v>
      </c>
      <c r="G60" s="151">
        <v>0.5</v>
      </c>
      <c r="H60" s="151">
        <v>0.5</v>
      </c>
      <c r="I60" s="151">
        <v>0.7</v>
      </c>
      <c r="J60" s="151">
        <v>0.7</v>
      </c>
      <c r="K60" s="151">
        <v>0.9</v>
      </c>
      <c r="L60" s="151">
        <v>1.1000000000000001</v>
      </c>
      <c r="M60" s="151">
        <v>1.1000000000000001</v>
      </c>
      <c r="N60" s="151">
        <v>1.2</v>
      </c>
      <c r="O60" s="151">
        <v>1.5</v>
      </c>
      <c r="P60" s="151">
        <v>1.2</v>
      </c>
      <c r="Q60" s="151">
        <v>2.5</v>
      </c>
      <c r="R60" s="151">
        <v>2.9</v>
      </c>
      <c r="S60" s="151">
        <v>2.9</v>
      </c>
      <c r="T60" s="151">
        <v>1.6</v>
      </c>
      <c r="U60" s="151">
        <v>1.5</v>
      </c>
      <c r="V60" s="151">
        <v>2.2999999999999998</v>
      </c>
      <c r="W60" s="151">
        <v>3.2</v>
      </c>
      <c r="X60" s="151">
        <v>4.0999999999999996</v>
      </c>
      <c r="Y60" s="151">
        <v>4.3</v>
      </c>
      <c r="Z60" s="151">
        <v>4.8</v>
      </c>
      <c r="AA60" s="151">
        <v>5.4</v>
      </c>
      <c r="AB60" s="151">
        <v>5.7</v>
      </c>
      <c r="AC60" s="151">
        <v>6</v>
      </c>
      <c r="AD60" s="151">
        <v>6</v>
      </c>
      <c r="AE60" s="151">
        <v>6.5</v>
      </c>
      <c r="AF60" s="151">
        <v>6.8</v>
      </c>
      <c r="AG60" s="151">
        <v>7</v>
      </c>
      <c r="AH60" s="151">
        <v>6.8</v>
      </c>
      <c r="AI60" s="151">
        <v>7.2</v>
      </c>
      <c r="AJ60" s="151">
        <v>7.6</v>
      </c>
      <c r="AK60" s="151">
        <v>7.9</v>
      </c>
      <c r="AL60" s="151">
        <v>8.1</v>
      </c>
      <c r="AM60" s="151">
        <v>7.9</v>
      </c>
      <c r="AN60" s="151">
        <v>7.8</v>
      </c>
      <c r="AO60" s="151">
        <v>7.9</v>
      </c>
      <c r="AP60" s="151">
        <v>6.8</v>
      </c>
      <c r="AQ60" s="151">
        <v>2.4</v>
      </c>
    </row>
    <row r="61" spans="1:43">
      <c r="A61" s="151" t="s">
        <v>2571</v>
      </c>
      <c r="B61" s="81" t="s">
        <v>2502</v>
      </c>
      <c r="C61" s="151">
        <v>46.1</v>
      </c>
      <c r="D61" s="151">
        <v>50.5</v>
      </c>
      <c r="E61" s="151">
        <v>49.6</v>
      </c>
      <c r="F61" s="151">
        <v>59.4</v>
      </c>
      <c r="G61" s="151">
        <v>56.2</v>
      </c>
      <c r="H61" s="151">
        <v>60.2</v>
      </c>
      <c r="I61" s="151">
        <v>67.2</v>
      </c>
      <c r="J61" s="151">
        <v>68.400000000000006</v>
      </c>
      <c r="K61" s="151">
        <v>61.2</v>
      </c>
      <c r="L61" s="151">
        <v>64.5</v>
      </c>
      <c r="M61" s="151">
        <v>67.400000000000006</v>
      </c>
      <c r="N61" s="151">
        <v>67.8</v>
      </c>
      <c r="O61" s="151">
        <v>73.599999999999994</v>
      </c>
      <c r="P61" s="151">
        <v>79.3</v>
      </c>
      <c r="Q61" s="151">
        <v>77.3</v>
      </c>
      <c r="R61" s="151">
        <v>77.3</v>
      </c>
      <c r="S61" s="151">
        <v>76.8</v>
      </c>
      <c r="T61" s="151">
        <v>80.900000000000006</v>
      </c>
      <c r="U61" s="151">
        <v>81.900000000000006</v>
      </c>
      <c r="V61" s="151">
        <v>94.7</v>
      </c>
      <c r="W61" s="151">
        <v>102.1</v>
      </c>
      <c r="X61" s="151">
        <v>108.2</v>
      </c>
      <c r="Y61" s="151">
        <v>106.5</v>
      </c>
      <c r="Z61" s="151">
        <v>118.7</v>
      </c>
      <c r="AA61" s="151">
        <v>119.1</v>
      </c>
      <c r="AB61" s="151">
        <v>130.30000000000001</v>
      </c>
      <c r="AC61" s="151">
        <v>126.9</v>
      </c>
      <c r="AD61" s="151">
        <v>128.5</v>
      </c>
      <c r="AE61" s="151">
        <v>135.30000000000001</v>
      </c>
      <c r="AF61" s="151">
        <v>149</v>
      </c>
      <c r="AG61" s="151">
        <v>162.4</v>
      </c>
      <c r="AH61" s="151">
        <v>152.69999999999999</v>
      </c>
      <c r="AI61" s="151">
        <v>151.19999999999999</v>
      </c>
      <c r="AJ61" s="151">
        <v>146.69999999999999</v>
      </c>
      <c r="AK61" s="151">
        <v>143.5</v>
      </c>
      <c r="AL61" s="151">
        <v>146.69999999999999</v>
      </c>
      <c r="AM61" s="151">
        <v>149.1</v>
      </c>
      <c r="AN61" s="151">
        <v>150.1</v>
      </c>
      <c r="AO61" s="151">
        <v>158.80000000000001</v>
      </c>
      <c r="AP61" s="151">
        <v>170.5</v>
      </c>
      <c r="AQ61" s="151">
        <v>1041.9000000000001</v>
      </c>
    </row>
    <row r="62" spans="1:43">
      <c r="A62" s="151" t="s">
        <v>2572</v>
      </c>
      <c r="B62" s="151" t="s">
        <v>2504</v>
      </c>
      <c r="C62" s="151">
        <v>9</v>
      </c>
      <c r="D62" s="151">
        <v>9</v>
      </c>
      <c r="E62" s="151">
        <v>9.3000000000000007</v>
      </c>
      <c r="F62" s="151">
        <v>10.199999999999999</v>
      </c>
      <c r="G62" s="151">
        <v>10.8</v>
      </c>
      <c r="H62" s="151">
        <v>11</v>
      </c>
      <c r="I62" s="151">
        <v>10.3</v>
      </c>
      <c r="J62" s="151">
        <v>10.5</v>
      </c>
      <c r="K62" s="151">
        <v>11.4</v>
      </c>
      <c r="L62" s="151">
        <v>11.7</v>
      </c>
      <c r="M62" s="151">
        <v>12.2</v>
      </c>
      <c r="N62" s="151">
        <v>13.3</v>
      </c>
      <c r="O62" s="151">
        <v>14.4</v>
      </c>
      <c r="P62" s="151">
        <v>14.8</v>
      </c>
      <c r="Q62" s="151">
        <v>16.100000000000001</v>
      </c>
      <c r="R62" s="151">
        <v>15.1</v>
      </c>
      <c r="S62" s="151">
        <v>15.3</v>
      </c>
      <c r="T62" s="151">
        <v>16.7</v>
      </c>
      <c r="U62" s="151">
        <v>14.8</v>
      </c>
      <c r="V62" s="151">
        <v>14.9</v>
      </c>
      <c r="W62" s="151">
        <v>15.2</v>
      </c>
      <c r="X62" s="151">
        <v>21.4</v>
      </c>
      <c r="Y62" s="151">
        <v>22</v>
      </c>
      <c r="Z62" s="151">
        <v>28.6</v>
      </c>
      <c r="AA62" s="151">
        <v>26</v>
      </c>
      <c r="AB62" s="151">
        <v>27.6</v>
      </c>
      <c r="AC62" s="151">
        <v>28.9</v>
      </c>
      <c r="AD62" s="151">
        <v>27.9</v>
      </c>
      <c r="AE62" s="151">
        <v>31.2</v>
      </c>
      <c r="AF62" s="151">
        <v>32.299999999999997</v>
      </c>
      <c r="AG62" s="151">
        <v>35.299999999999997</v>
      </c>
      <c r="AH62" s="151">
        <v>36.9</v>
      </c>
      <c r="AI62" s="151">
        <v>36.799999999999997</v>
      </c>
      <c r="AJ62" s="151">
        <v>35</v>
      </c>
      <c r="AK62" s="151">
        <v>35.299999999999997</v>
      </c>
      <c r="AL62" s="151">
        <v>36.4</v>
      </c>
      <c r="AM62" s="151">
        <v>36.200000000000003</v>
      </c>
      <c r="AN62" s="151">
        <v>37.799999999999997</v>
      </c>
      <c r="AO62" s="151">
        <v>39.5</v>
      </c>
      <c r="AP62" s="151">
        <v>40.200000000000003</v>
      </c>
      <c r="AQ62" s="151">
        <v>58</v>
      </c>
    </row>
    <row r="63" spans="1:43">
      <c r="A63" s="151" t="s">
        <v>2573</v>
      </c>
      <c r="B63" s="151" t="s">
        <v>2506</v>
      </c>
      <c r="C63" s="151">
        <v>0.3</v>
      </c>
      <c r="D63" s="151">
        <v>0.3</v>
      </c>
      <c r="E63" s="151">
        <v>0.3</v>
      </c>
      <c r="F63" s="151">
        <v>0.2</v>
      </c>
      <c r="G63" s="151">
        <v>0.3</v>
      </c>
      <c r="H63" s="151">
        <v>0.3</v>
      </c>
      <c r="I63" s="151">
        <v>0.3</v>
      </c>
      <c r="J63" s="151">
        <v>0.3</v>
      </c>
      <c r="K63" s="151">
        <v>0.3</v>
      </c>
      <c r="L63" s="151">
        <v>0.3</v>
      </c>
      <c r="M63" s="151">
        <v>0.4</v>
      </c>
      <c r="N63" s="151">
        <v>0.4</v>
      </c>
      <c r="O63" s="151">
        <v>0.5</v>
      </c>
      <c r="P63" s="151">
        <v>0.7</v>
      </c>
      <c r="Q63" s="151">
        <v>1.5</v>
      </c>
      <c r="R63" s="151">
        <v>1.1000000000000001</v>
      </c>
      <c r="S63" s="151">
        <v>1</v>
      </c>
      <c r="T63" s="151">
        <v>0.7</v>
      </c>
      <c r="U63" s="151">
        <v>0.4</v>
      </c>
      <c r="V63" s="151">
        <v>0.4</v>
      </c>
      <c r="W63" s="151">
        <v>0.3</v>
      </c>
      <c r="X63" s="151">
        <v>0.4</v>
      </c>
      <c r="Y63" s="151">
        <v>0.4</v>
      </c>
      <c r="Z63" s="151">
        <v>0.5</v>
      </c>
      <c r="AA63" s="151">
        <v>0.5</v>
      </c>
      <c r="AB63" s="151">
        <v>1</v>
      </c>
      <c r="AC63" s="151">
        <v>1.1000000000000001</v>
      </c>
      <c r="AD63" s="151">
        <v>1</v>
      </c>
      <c r="AE63" s="151">
        <v>1</v>
      </c>
      <c r="AF63" s="151">
        <v>0.9</v>
      </c>
      <c r="AG63" s="151">
        <v>1</v>
      </c>
      <c r="AH63" s="151">
        <v>1.3</v>
      </c>
      <c r="AI63" s="151">
        <v>1.5</v>
      </c>
      <c r="AJ63" s="151">
        <v>1.1000000000000001</v>
      </c>
      <c r="AK63" s="151">
        <v>1.3</v>
      </c>
      <c r="AL63" s="151">
        <v>1.6</v>
      </c>
      <c r="AM63" s="151">
        <v>1.6</v>
      </c>
      <c r="AN63" s="151">
        <v>0.9</v>
      </c>
      <c r="AO63" s="151">
        <v>1.3</v>
      </c>
      <c r="AP63" s="151">
        <v>1.6</v>
      </c>
      <c r="AQ63" s="151">
        <v>2.1</v>
      </c>
    </row>
    <row r="64" spans="1:43">
      <c r="A64" s="151" t="s">
        <v>2574</v>
      </c>
      <c r="B64" s="151" t="s">
        <v>2508</v>
      </c>
      <c r="C64" s="151">
        <v>2.6</v>
      </c>
      <c r="D64" s="151">
        <v>2.7</v>
      </c>
      <c r="E64" s="151">
        <v>2.7</v>
      </c>
      <c r="F64" s="151">
        <v>3.4</v>
      </c>
      <c r="G64" s="151">
        <v>3.6</v>
      </c>
      <c r="H64" s="151">
        <v>4.0999999999999996</v>
      </c>
      <c r="I64" s="151">
        <v>4.0999999999999996</v>
      </c>
      <c r="J64" s="151">
        <v>4</v>
      </c>
      <c r="K64" s="151">
        <v>4.5</v>
      </c>
      <c r="L64" s="151">
        <v>4.8</v>
      </c>
      <c r="M64" s="151">
        <v>5.0999999999999996</v>
      </c>
      <c r="N64" s="151">
        <v>5.4</v>
      </c>
      <c r="O64" s="151">
        <v>6.1</v>
      </c>
      <c r="P64" s="151">
        <v>6.1</v>
      </c>
      <c r="Q64" s="151">
        <v>6</v>
      </c>
      <c r="R64" s="151">
        <v>5.8</v>
      </c>
      <c r="S64" s="151">
        <v>6.1</v>
      </c>
      <c r="T64" s="151">
        <v>8.1</v>
      </c>
      <c r="U64" s="151">
        <v>7.8</v>
      </c>
      <c r="V64" s="151">
        <v>7.9</v>
      </c>
      <c r="W64" s="151">
        <v>7.9</v>
      </c>
      <c r="X64" s="151">
        <v>14</v>
      </c>
      <c r="Y64" s="151">
        <v>13.4</v>
      </c>
      <c r="Z64" s="151">
        <v>18.2</v>
      </c>
      <c r="AA64" s="151">
        <v>15</v>
      </c>
      <c r="AB64" s="151">
        <v>15.3</v>
      </c>
      <c r="AC64" s="151">
        <v>16.3</v>
      </c>
      <c r="AD64" s="151">
        <v>16.2</v>
      </c>
      <c r="AE64" s="151">
        <v>17.899999999999999</v>
      </c>
      <c r="AF64" s="151">
        <v>18</v>
      </c>
      <c r="AG64" s="151">
        <v>19.2</v>
      </c>
      <c r="AH64" s="151">
        <v>20</v>
      </c>
      <c r="AI64" s="151">
        <v>20.399999999999999</v>
      </c>
      <c r="AJ64" s="151">
        <v>19.5</v>
      </c>
      <c r="AK64" s="151">
        <v>19.5</v>
      </c>
      <c r="AL64" s="151">
        <v>20.3</v>
      </c>
      <c r="AM64" s="151">
        <v>20.5</v>
      </c>
      <c r="AN64" s="151">
        <v>21.5</v>
      </c>
      <c r="AO64" s="151">
        <v>22.7</v>
      </c>
      <c r="AP64" s="151">
        <v>22.4</v>
      </c>
      <c r="AQ64" s="151">
        <v>23.2</v>
      </c>
    </row>
    <row r="65" spans="1:43">
      <c r="A65" s="151" t="s">
        <v>2575</v>
      </c>
      <c r="B65" s="151" t="s">
        <v>2510</v>
      </c>
      <c r="C65" s="151">
        <v>3.3</v>
      </c>
      <c r="D65" s="151">
        <v>3.6</v>
      </c>
      <c r="E65" s="151">
        <v>3.9</v>
      </c>
      <c r="F65" s="151">
        <v>4.4000000000000004</v>
      </c>
      <c r="G65" s="151">
        <v>4.7</v>
      </c>
      <c r="H65" s="151">
        <v>4.8</v>
      </c>
      <c r="I65" s="151">
        <v>4.4000000000000004</v>
      </c>
      <c r="J65" s="151">
        <v>4.5999999999999996</v>
      </c>
      <c r="K65" s="151">
        <v>4.9000000000000004</v>
      </c>
      <c r="L65" s="151">
        <v>5</v>
      </c>
      <c r="M65" s="151">
        <v>5.4</v>
      </c>
      <c r="N65" s="151">
        <v>6</v>
      </c>
      <c r="O65" s="151">
        <v>6</v>
      </c>
      <c r="P65" s="151">
        <v>6.1</v>
      </c>
      <c r="Q65" s="151">
        <v>6.2</v>
      </c>
      <c r="R65" s="151">
        <v>6</v>
      </c>
      <c r="S65" s="151">
        <v>6.1</v>
      </c>
      <c r="T65" s="151">
        <v>6</v>
      </c>
      <c r="U65" s="151">
        <v>5.5</v>
      </c>
      <c r="V65" s="151">
        <v>5.8</v>
      </c>
      <c r="W65" s="151">
        <v>6.1</v>
      </c>
      <c r="X65" s="151">
        <v>6.3</v>
      </c>
      <c r="Y65" s="151">
        <v>6.5</v>
      </c>
      <c r="Z65" s="151">
        <v>8.4</v>
      </c>
      <c r="AA65" s="151">
        <v>8.6999999999999993</v>
      </c>
      <c r="AB65" s="151">
        <v>9.3000000000000007</v>
      </c>
      <c r="AC65" s="151">
        <v>9.8000000000000007</v>
      </c>
      <c r="AD65" s="151">
        <v>9.1</v>
      </c>
      <c r="AE65" s="151">
        <v>10.6</v>
      </c>
      <c r="AF65" s="151">
        <v>11.1</v>
      </c>
      <c r="AG65" s="151">
        <v>12.2</v>
      </c>
      <c r="AH65" s="151">
        <v>13.1</v>
      </c>
      <c r="AI65" s="151">
        <v>12.9</v>
      </c>
      <c r="AJ65" s="151">
        <v>12.4</v>
      </c>
      <c r="AK65" s="151">
        <v>12.7</v>
      </c>
      <c r="AL65" s="151">
        <v>12.6</v>
      </c>
      <c r="AM65" s="151">
        <v>12</v>
      </c>
      <c r="AN65" s="151">
        <v>12.8</v>
      </c>
      <c r="AO65" s="151">
        <v>12.7</v>
      </c>
      <c r="AP65" s="151">
        <v>13.8</v>
      </c>
      <c r="AQ65" s="151">
        <v>13.5</v>
      </c>
    </row>
    <row r="66" spans="1:43">
      <c r="A66" s="151" t="s">
        <v>2576</v>
      </c>
      <c r="B66" s="151" t="s">
        <v>2512</v>
      </c>
      <c r="C66" s="151">
        <v>2.8</v>
      </c>
      <c r="D66" s="151">
        <v>2.4</v>
      </c>
      <c r="E66" s="151">
        <v>2.5</v>
      </c>
      <c r="F66" s="151">
        <v>2.1</v>
      </c>
      <c r="G66" s="151">
        <v>2.1</v>
      </c>
      <c r="H66" s="151">
        <v>1.9</v>
      </c>
      <c r="I66" s="151">
        <v>1.5</v>
      </c>
      <c r="J66" s="151">
        <v>1.6</v>
      </c>
      <c r="K66" s="151">
        <v>1.7</v>
      </c>
      <c r="L66" s="151">
        <v>1.5</v>
      </c>
      <c r="M66" s="151">
        <v>1.4</v>
      </c>
      <c r="N66" s="151">
        <v>1.4</v>
      </c>
      <c r="O66" s="151">
        <v>1.8</v>
      </c>
      <c r="P66" s="151">
        <v>1.9</v>
      </c>
      <c r="Q66" s="151">
        <v>2.5</v>
      </c>
      <c r="R66" s="151">
        <v>2.2000000000000002</v>
      </c>
      <c r="S66" s="151">
        <v>2</v>
      </c>
      <c r="T66" s="151">
        <v>1.9</v>
      </c>
      <c r="U66" s="151">
        <v>1.2</v>
      </c>
      <c r="V66" s="151">
        <v>0.9</v>
      </c>
      <c r="W66" s="151">
        <v>0.9</v>
      </c>
      <c r="X66" s="151">
        <v>0.8</v>
      </c>
      <c r="Y66" s="151">
        <v>1.6</v>
      </c>
      <c r="Z66" s="151">
        <v>1.6</v>
      </c>
      <c r="AA66" s="151">
        <v>1.8</v>
      </c>
      <c r="AB66" s="151">
        <v>1.9</v>
      </c>
      <c r="AC66" s="151">
        <v>1.8</v>
      </c>
      <c r="AD66" s="151">
        <v>1.6</v>
      </c>
      <c r="AE66" s="151">
        <v>1.8</v>
      </c>
      <c r="AF66" s="151">
        <v>2.2999999999999998</v>
      </c>
      <c r="AG66" s="151">
        <v>2.9</v>
      </c>
      <c r="AH66" s="151">
        <v>2.5</v>
      </c>
      <c r="AI66" s="151">
        <v>2</v>
      </c>
      <c r="AJ66" s="151">
        <v>1.9</v>
      </c>
      <c r="AK66" s="151">
        <v>1.8</v>
      </c>
      <c r="AL66" s="151">
        <v>1.9</v>
      </c>
      <c r="AM66" s="151">
        <v>2.1</v>
      </c>
      <c r="AN66" s="151">
        <v>2.6</v>
      </c>
      <c r="AO66" s="151">
        <v>2.7</v>
      </c>
      <c r="AP66" s="151">
        <v>2.4</v>
      </c>
      <c r="AQ66" s="151">
        <v>19.2</v>
      </c>
    </row>
    <row r="67" spans="1:43">
      <c r="A67" s="151" t="s">
        <v>2577</v>
      </c>
      <c r="B67" s="151" t="s">
        <v>2514</v>
      </c>
      <c r="C67" s="151">
        <v>4.7</v>
      </c>
      <c r="D67" s="151">
        <v>5.4</v>
      </c>
      <c r="E67" s="151">
        <v>6.1</v>
      </c>
      <c r="F67" s="151">
        <v>7</v>
      </c>
      <c r="G67" s="151">
        <v>7.3</v>
      </c>
      <c r="H67" s="151">
        <v>7.6</v>
      </c>
      <c r="I67" s="151">
        <v>7.3</v>
      </c>
      <c r="J67" s="151">
        <v>7.8</v>
      </c>
      <c r="K67" s="151">
        <v>8.9</v>
      </c>
      <c r="L67" s="151">
        <v>10.4</v>
      </c>
      <c r="M67" s="151">
        <v>11.6</v>
      </c>
      <c r="N67" s="151">
        <v>12</v>
      </c>
      <c r="O67" s="151">
        <v>12.1</v>
      </c>
      <c r="P67" s="151">
        <v>12.8</v>
      </c>
      <c r="Q67" s="151">
        <v>12.5</v>
      </c>
      <c r="R67" s="151">
        <v>12.7</v>
      </c>
      <c r="S67" s="151">
        <v>13.5</v>
      </c>
      <c r="T67" s="151">
        <v>14.3</v>
      </c>
      <c r="U67" s="151">
        <v>12.3</v>
      </c>
      <c r="V67" s="151">
        <v>12.1</v>
      </c>
      <c r="W67" s="151">
        <v>12.6</v>
      </c>
      <c r="X67" s="151">
        <v>13</v>
      </c>
      <c r="Y67" s="151">
        <v>12.4</v>
      </c>
      <c r="Z67" s="151">
        <v>13.3</v>
      </c>
      <c r="AA67" s="151">
        <v>14.6</v>
      </c>
      <c r="AB67" s="151">
        <v>14.7</v>
      </c>
      <c r="AC67" s="151">
        <v>14.7</v>
      </c>
      <c r="AD67" s="151">
        <v>16.899999999999999</v>
      </c>
      <c r="AE67" s="151">
        <v>18.899999999999999</v>
      </c>
      <c r="AF67" s="151">
        <v>19.899999999999999</v>
      </c>
      <c r="AG67" s="151">
        <v>19</v>
      </c>
      <c r="AH67" s="151">
        <v>17</v>
      </c>
      <c r="AI67" s="151">
        <v>15.8</v>
      </c>
      <c r="AJ67" s="151">
        <v>15.2</v>
      </c>
      <c r="AK67" s="151">
        <v>15.7</v>
      </c>
      <c r="AL67" s="151">
        <v>15.5</v>
      </c>
      <c r="AM67" s="151">
        <v>15.1</v>
      </c>
      <c r="AN67" s="151">
        <v>14.6</v>
      </c>
      <c r="AO67" s="151">
        <v>16.100000000000001</v>
      </c>
      <c r="AP67" s="151">
        <v>16.8</v>
      </c>
      <c r="AQ67" s="151">
        <v>18.2</v>
      </c>
    </row>
    <row r="68" spans="1:43">
      <c r="A68" s="151" t="s">
        <v>2578</v>
      </c>
      <c r="B68" s="151" t="s">
        <v>2516</v>
      </c>
      <c r="C68" s="151">
        <v>32.4</v>
      </c>
      <c r="D68" s="151">
        <v>36.1</v>
      </c>
      <c r="E68" s="151">
        <v>34.200000000000003</v>
      </c>
      <c r="F68" s="151">
        <v>42.2</v>
      </c>
      <c r="G68" s="151">
        <v>38</v>
      </c>
      <c r="H68" s="151">
        <v>41.6</v>
      </c>
      <c r="I68" s="151">
        <v>49.6</v>
      </c>
      <c r="J68" s="151">
        <v>50.2</v>
      </c>
      <c r="K68" s="151">
        <v>40.9</v>
      </c>
      <c r="L68" s="151">
        <v>42.4</v>
      </c>
      <c r="M68" s="151">
        <v>43.6</v>
      </c>
      <c r="N68" s="151">
        <v>42.5</v>
      </c>
      <c r="O68" s="151">
        <v>47.1</v>
      </c>
      <c r="P68" s="151">
        <v>51.7</v>
      </c>
      <c r="Q68" s="151">
        <v>48.7</v>
      </c>
      <c r="R68" s="151">
        <v>49.5</v>
      </c>
      <c r="S68" s="151">
        <v>48.1</v>
      </c>
      <c r="T68" s="151">
        <v>49.9</v>
      </c>
      <c r="U68" s="151">
        <v>54.7</v>
      </c>
      <c r="V68" s="151">
        <v>67.7</v>
      </c>
      <c r="W68" s="151">
        <v>74.3</v>
      </c>
      <c r="X68" s="151">
        <v>73.7</v>
      </c>
      <c r="Y68" s="151">
        <v>72</v>
      </c>
      <c r="Z68" s="151">
        <v>76.7</v>
      </c>
      <c r="AA68" s="151">
        <v>78.5</v>
      </c>
      <c r="AB68" s="151">
        <v>88</v>
      </c>
      <c r="AC68" s="151">
        <v>83.2</v>
      </c>
      <c r="AD68" s="151">
        <v>83.6</v>
      </c>
      <c r="AE68" s="151">
        <v>85.1</v>
      </c>
      <c r="AF68" s="151">
        <v>96.8</v>
      </c>
      <c r="AG68" s="151">
        <v>108.1</v>
      </c>
      <c r="AH68" s="151">
        <v>98.8</v>
      </c>
      <c r="AI68" s="151">
        <v>98.5</v>
      </c>
      <c r="AJ68" s="151">
        <v>96.5</v>
      </c>
      <c r="AK68" s="151">
        <v>92.4</v>
      </c>
      <c r="AL68" s="151">
        <v>94.9</v>
      </c>
      <c r="AM68" s="151">
        <v>97.8</v>
      </c>
      <c r="AN68" s="151">
        <v>97.7</v>
      </c>
      <c r="AO68" s="151">
        <v>103.3</v>
      </c>
      <c r="AP68" s="151">
        <v>113.6</v>
      </c>
      <c r="AQ68" s="151">
        <v>965.7</v>
      </c>
    </row>
    <row r="69" spans="1:43">
      <c r="A69" s="151" t="s">
        <v>2579</v>
      </c>
      <c r="B69" s="151" t="s">
        <v>2518</v>
      </c>
      <c r="C69" s="151">
        <v>16.2</v>
      </c>
      <c r="D69" s="151">
        <v>13.6</v>
      </c>
      <c r="E69" s="151">
        <v>10.6</v>
      </c>
      <c r="F69" s="151">
        <v>9.8000000000000007</v>
      </c>
      <c r="G69" s="151">
        <v>10</v>
      </c>
      <c r="H69" s="151">
        <v>11.1</v>
      </c>
      <c r="I69" s="151">
        <v>11.4</v>
      </c>
      <c r="J69" s="151">
        <v>12</v>
      </c>
      <c r="K69" s="151">
        <v>12.4</v>
      </c>
      <c r="L69" s="151">
        <v>14</v>
      </c>
      <c r="M69" s="151">
        <v>16.7</v>
      </c>
      <c r="N69" s="151">
        <v>14.2</v>
      </c>
      <c r="O69" s="151">
        <v>15.9</v>
      </c>
      <c r="P69" s="151">
        <v>13.1</v>
      </c>
      <c r="Q69" s="151">
        <v>13.6</v>
      </c>
      <c r="R69" s="151">
        <v>15</v>
      </c>
      <c r="S69" s="151">
        <v>15.7</v>
      </c>
      <c r="T69" s="151">
        <v>16.2</v>
      </c>
      <c r="U69" s="151">
        <v>15.6</v>
      </c>
      <c r="V69" s="151">
        <v>16.899999999999999</v>
      </c>
      <c r="W69" s="151">
        <v>20.5</v>
      </c>
      <c r="X69" s="151">
        <v>18.3</v>
      </c>
      <c r="Y69" s="151">
        <v>21</v>
      </c>
      <c r="Z69" s="151">
        <v>20.9</v>
      </c>
      <c r="AA69" s="151">
        <v>23.8</v>
      </c>
      <c r="AB69" s="151">
        <v>23</v>
      </c>
      <c r="AC69" s="151">
        <v>23.5</v>
      </c>
      <c r="AD69" s="151">
        <v>25</v>
      </c>
      <c r="AE69" s="151">
        <v>27.4</v>
      </c>
      <c r="AF69" s="151">
        <v>37.6</v>
      </c>
      <c r="AG69" s="151">
        <v>35.299999999999997</v>
      </c>
      <c r="AH69" s="151">
        <v>34.799999999999997</v>
      </c>
      <c r="AI69" s="151">
        <v>34.799999999999997</v>
      </c>
      <c r="AJ69" s="151">
        <v>36.4</v>
      </c>
      <c r="AK69" s="151">
        <v>35.1</v>
      </c>
      <c r="AL69" s="151">
        <v>34.799999999999997</v>
      </c>
      <c r="AM69" s="151">
        <v>35.799999999999997</v>
      </c>
      <c r="AN69" s="151">
        <v>37.299999999999997</v>
      </c>
      <c r="AO69" s="151">
        <v>40.700000000000003</v>
      </c>
      <c r="AP69" s="151">
        <v>41.3</v>
      </c>
      <c r="AQ69" s="151">
        <v>859.6</v>
      </c>
    </row>
    <row r="70" spans="1:43">
      <c r="A70" s="151" t="s">
        <v>2580</v>
      </c>
      <c r="B70" s="151" t="s">
        <v>2520</v>
      </c>
      <c r="C70" s="151">
        <v>7.1</v>
      </c>
      <c r="D70" s="151">
        <v>7.6</v>
      </c>
      <c r="E70" s="151">
        <v>11.3</v>
      </c>
      <c r="F70" s="151">
        <v>18.7</v>
      </c>
      <c r="G70" s="151">
        <v>14.2</v>
      </c>
      <c r="H70" s="151">
        <v>17.399999999999999</v>
      </c>
      <c r="I70" s="151">
        <v>26.2</v>
      </c>
      <c r="J70" s="151">
        <v>25.5</v>
      </c>
      <c r="K70" s="151">
        <v>16.100000000000001</v>
      </c>
      <c r="L70" s="151">
        <v>16.8</v>
      </c>
      <c r="M70" s="151">
        <v>14.6</v>
      </c>
      <c r="N70" s="151">
        <v>15.4</v>
      </c>
      <c r="O70" s="151">
        <v>17.100000000000001</v>
      </c>
      <c r="P70" s="151">
        <v>21.2</v>
      </c>
      <c r="Q70" s="151">
        <v>15</v>
      </c>
      <c r="R70" s="151">
        <v>13.9</v>
      </c>
      <c r="S70" s="151">
        <v>13.6</v>
      </c>
      <c r="T70" s="151">
        <v>15</v>
      </c>
      <c r="U70" s="151">
        <v>19.3</v>
      </c>
      <c r="V70" s="151">
        <v>29.7</v>
      </c>
      <c r="W70" s="151">
        <v>31.5</v>
      </c>
      <c r="X70" s="151">
        <v>31.9</v>
      </c>
      <c r="Y70" s="151">
        <v>22.6</v>
      </c>
      <c r="Z70" s="151">
        <v>25.9</v>
      </c>
      <c r="AA70" s="151">
        <v>22.3</v>
      </c>
      <c r="AB70" s="151">
        <v>33.5</v>
      </c>
      <c r="AC70" s="151">
        <v>27.2</v>
      </c>
      <c r="AD70" s="151">
        <v>22</v>
      </c>
      <c r="AE70" s="151">
        <v>22.5</v>
      </c>
      <c r="AF70" s="151">
        <v>21.8</v>
      </c>
      <c r="AG70" s="151">
        <v>25.5</v>
      </c>
      <c r="AH70" s="151">
        <v>21.2</v>
      </c>
      <c r="AI70" s="151">
        <v>21.3</v>
      </c>
      <c r="AJ70" s="151">
        <v>20.9</v>
      </c>
      <c r="AK70" s="151">
        <v>19.600000000000001</v>
      </c>
      <c r="AL70" s="151">
        <v>21.5</v>
      </c>
      <c r="AM70" s="151">
        <v>22.7</v>
      </c>
      <c r="AN70" s="151">
        <v>22</v>
      </c>
      <c r="AO70" s="151">
        <v>24.6</v>
      </c>
      <c r="AP70" s="151">
        <v>34</v>
      </c>
      <c r="AQ70" s="151">
        <v>62.6</v>
      </c>
    </row>
    <row r="71" spans="1:43">
      <c r="A71" s="151" t="s">
        <v>2581</v>
      </c>
      <c r="B71" s="151" t="s">
        <v>2522</v>
      </c>
      <c r="C71" s="151">
        <v>5.2</v>
      </c>
      <c r="D71" s="151">
        <v>9.8000000000000007</v>
      </c>
      <c r="E71" s="151">
        <v>6.9</v>
      </c>
      <c r="F71" s="151">
        <v>7.3</v>
      </c>
      <c r="G71" s="151">
        <v>7.3</v>
      </c>
      <c r="H71" s="151">
        <v>6.8</v>
      </c>
      <c r="I71" s="151">
        <v>5.7</v>
      </c>
      <c r="J71" s="151">
        <v>6</v>
      </c>
      <c r="K71" s="151">
        <v>5.9</v>
      </c>
      <c r="L71" s="151">
        <v>5.3</v>
      </c>
      <c r="M71" s="151">
        <v>5.4</v>
      </c>
      <c r="N71" s="151">
        <v>5.0999999999999996</v>
      </c>
      <c r="O71" s="151">
        <v>6.1</v>
      </c>
      <c r="P71" s="151">
        <v>10.4</v>
      </c>
      <c r="Q71" s="151">
        <v>10.4</v>
      </c>
      <c r="R71" s="151">
        <v>11.7</v>
      </c>
      <c r="S71" s="151">
        <v>9.5</v>
      </c>
      <c r="T71" s="151">
        <v>9.1999999999999993</v>
      </c>
      <c r="U71" s="151">
        <v>7.6</v>
      </c>
      <c r="V71" s="151">
        <v>9.1</v>
      </c>
      <c r="W71" s="151">
        <v>8</v>
      </c>
      <c r="X71" s="151">
        <v>8.1999999999999993</v>
      </c>
      <c r="Y71" s="151">
        <v>11.5</v>
      </c>
      <c r="Z71" s="151">
        <v>13.8</v>
      </c>
      <c r="AA71" s="151">
        <v>14.6</v>
      </c>
      <c r="AB71" s="151">
        <v>12.6</v>
      </c>
      <c r="AC71" s="151">
        <v>13.6</v>
      </c>
      <c r="AD71" s="151">
        <v>13.6</v>
      </c>
      <c r="AE71" s="151">
        <v>13.3</v>
      </c>
      <c r="AF71" s="151">
        <v>15.5</v>
      </c>
      <c r="AG71" s="151">
        <v>22.3</v>
      </c>
      <c r="AH71" s="151">
        <v>19</v>
      </c>
      <c r="AI71" s="151">
        <v>17.899999999999999</v>
      </c>
      <c r="AJ71" s="151">
        <v>15.3</v>
      </c>
      <c r="AK71" s="151">
        <v>14.4</v>
      </c>
      <c r="AL71" s="151">
        <v>15.6</v>
      </c>
      <c r="AM71" s="151">
        <v>15</v>
      </c>
      <c r="AN71" s="151">
        <v>13.6</v>
      </c>
      <c r="AO71" s="151">
        <v>14.3</v>
      </c>
      <c r="AP71" s="151">
        <v>13.6</v>
      </c>
      <c r="AQ71" s="151">
        <v>16.8</v>
      </c>
    </row>
    <row r="72" spans="1:43">
      <c r="A72" s="151" t="s">
        <v>2582</v>
      </c>
      <c r="B72" s="151" t="s">
        <v>2524</v>
      </c>
      <c r="C72" s="151">
        <v>4</v>
      </c>
      <c r="D72" s="151">
        <v>5.0999999999999996</v>
      </c>
      <c r="E72" s="151">
        <v>5.5</v>
      </c>
      <c r="F72" s="151">
        <v>6.4</v>
      </c>
      <c r="G72" s="151">
        <v>6.5</v>
      </c>
      <c r="H72" s="151">
        <v>6.8</v>
      </c>
      <c r="I72" s="151">
        <v>6.6</v>
      </c>
      <c r="J72" s="151">
        <v>6.6</v>
      </c>
      <c r="K72" s="151">
        <v>7</v>
      </c>
      <c r="L72" s="151">
        <v>7</v>
      </c>
      <c r="M72" s="151">
        <v>7.6</v>
      </c>
      <c r="N72" s="151">
        <v>8.3000000000000007</v>
      </c>
      <c r="O72" s="151">
        <v>8.3000000000000007</v>
      </c>
      <c r="P72" s="151">
        <v>7</v>
      </c>
      <c r="Q72" s="151">
        <v>9.6999999999999993</v>
      </c>
      <c r="R72" s="151">
        <v>9</v>
      </c>
      <c r="S72" s="151">
        <v>9.3000000000000007</v>
      </c>
      <c r="T72" s="151">
        <v>9.5</v>
      </c>
      <c r="U72" s="151">
        <v>12.2</v>
      </c>
      <c r="V72" s="151">
        <v>12</v>
      </c>
      <c r="W72" s="151">
        <v>14.3</v>
      </c>
      <c r="X72" s="151">
        <v>15.3</v>
      </c>
      <c r="Y72" s="151">
        <v>16.899999999999999</v>
      </c>
      <c r="Z72" s="151">
        <v>16.100000000000001</v>
      </c>
      <c r="AA72" s="151">
        <v>17.8</v>
      </c>
      <c r="AB72" s="151">
        <v>18.899999999999999</v>
      </c>
      <c r="AC72" s="151">
        <v>19</v>
      </c>
      <c r="AD72" s="151">
        <v>23.1</v>
      </c>
      <c r="AE72" s="151">
        <v>22</v>
      </c>
      <c r="AF72" s="151">
        <v>21.9</v>
      </c>
      <c r="AG72" s="151">
        <v>25.1</v>
      </c>
      <c r="AH72" s="151">
        <v>23.9</v>
      </c>
      <c r="AI72" s="151">
        <v>24.6</v>
      </c>
      <c r="AJ72" s="151">
        <v>23.9</v>
      </c>
      <c r="AK72" s="151">
        <v>23.3</v>
      </c>
      <c r="AL72" s="151">
        <v>23.1</v>
      </c>
      <c r="AM72" s="151">
        <v>24.3</v>
      </c>
      <c r="AN72" s="151">
        <v>24.8</v>
      </c>
      <c r="AO72" s="151">
        <v>23.7</v>
      </c>
      <c r="AP72" s="151">
        <v>24.8</v>
      </c>
      <c r="AQ72" s="151">
        <v>26.7</v>
      </c>
    </row>
    <row r="73" spans="1:43">
      <c r="A73" s="151" t="s">
        <v>2583</v>
      </c>
      <c r="B73" s="151" t="s">
        <v>2526</v>
      </c>
      <c r="C73" s="151" t="s">
        <v>2584</v>
      </c>
      <c r="D73" s="151" t="s">
        <v>2584</v>
      </c>
      <c r="E73" s="151" t="s">
        <v>2584</v>
      </c>
      <c r="F73" s="151">
        <v>-0.1</v>
      </c>
      <c r="G73" s="151">
        <v>0</v>
      </c>
      <c r="H73" s="151">
        <v>-0.6</v>
      </c>
      <c r="I73" s="151">
        <v>-0.3</v>
      </c>
      <c r="J73" s="151">
        <v>0.1</v>
      </c>
      <c r="K73" s="151">
        <v>-0.5</v>
      </c>
      <c r="L73" s="151">
        <v>-0.5</v>
      </c>
      <c r="M73" s="151">
        <v>-0.7</v>
      </c>
      <c r="N73" s="151">
        <v>-0.5</v>
      </c>
      <c r="O73" s="151">
        <v>-0.3</v>
      </c>
      <c r="P73" s="151">
        <v>0</v>
      </c>
      <c r="Q73" s="151">
        <v>0</v>
      </c>
      <c r="R73" s="151">
        <v>0</v>
      </c>
      <c r="S73" s="151">
        <v>0</v>
      </c>
      <c r="T73" s="151">
        <v>0</v>
      </c>
      <c r="U73" s="151">
        <v>0</v>
      </c>
      <c r="V73" s="151">
        <v>0</v>
      </c>
      <c r="W73" s="151">
        <v>0</v>
      </c>
      <c r="X73" s="151">
        <v>0</v>
      </c>
      <c r="Y73" s="151">
        <v>0</v>
      </c>
      <c r="Z73" s="151">
        <v>0</v>
      </c>
      <c r="AA73" s="151">
        <v>0</v>
      </c>
      <c r="AB73" s="151">
        <v>0</v>
      </c>
      <c r="AC73" s="151">
        <v>0</v>
      </c>
      <c r="AD73" s="151">
        <v>0</v>
      </c>
      <c r="AE73" s="151">
        <v>-0.1</v>
      </c>
      <c r="AF73" s="151">
        <v>-0.1</v>
      </c>
      <c r="AG73" s="151">
        <v>-0.1</v>
      </c>
      <c r="AH73" s="151">
        <v>-0.1</v>
      </c>
      <c r="AI73" s="151">
        <v>-0.1</v>
      </c>
      <c r="AJ73" s="151">
        <v>0</v>
      </c>
      <c r="AK73" s="151">
        <v>0</v>
      </c>
      <c r="AL73" s="151">
        <v>0</v>
      </c>
      <c r="AM73" s="151">
        <v>0</v>
      </c>
      <c r="AN73" s="151">
        <v>0</v>
      </c>
      <c r="AO73" s="151">
        <v>0</v>
      </c>
      <c r="AP73" s="151">
        <v>0</v>
      </c>
      <c r="AQ73" s="151">
        <v>0</v>
      </c>
    </row>
    <row r="74" spans="1:43">
      <c r="A74" s="151" t="s">
        <v>2585</v>
      </c>
      <c r="B74" s="81" t="s">
        <v>2530</v>
      </c>
      <c r="C74" s="151">
        <v>10.8</v>
      </c>
      <c r="D74" s="151">
        <v>12.1</v>
      </c>
      <c r="E74" s="151">
        <v>13.5</v>
      </c>
      <c r="F74" s="151">
        <v>14.2</v>
      </c>
      <c r="G74" s="151">
        <v>15.2</v>
      </c>
      <c r="H74" s="151">
        <v>16.5</v>
      </c>
      <c r="I74" s="151">
        <v>17</v>
      </c>
      <c r="J74" s="151">
        <v>17</v>
      </c>
      <c r="K74" s="151">
        <v>18.100000000000001</v>
      </c>
      <c r="L74" s="151">
        <v>19.2</v>
      </c>
      <c r="M74" s="151">
        <v>20.100000000000001</v>
      </c>
      <c r="N74" s="151">
        <v>21.6</v>
      </c>
      <c r="O74" s="151">
        <v>23</v>
      </c>
      <c r="P74" s="151">
        <v>26.1</v>
      </c>
      <c r="Q74" s="151">
        <v>27.9</v>
      </c>
      <c r="R74" s="151">
        <v>31.3</v>
      </c>
      <c r="S74" s="151">
        <v>32.5</v>
      </c>
      <c r="T74" s="151">
        <v>32.6</v>
      </c>
      <c r="U74" s="151">
        <v>35</v>
      </c>
      <c r="V74" s="151">
        <v>35.299999999999997</v>
      </c>
      <c r="W74" s="151">
        <v>33.299999999999997</v>
      </c>
      <c r="X74" s="151">
        <v>35.200000000000003</v>
      </c>
      <c r="Y74" s="151">
        <v>40.5</v>
      </c>
      <c r="Z74" s="151">
        <v>42.9</v>
      </c>
      <c r="AA74" s="151">
        <v>44.2</v>
      </c>
      <c r="AB74" s="151">
        <v>48</v>
      </c>
      <c r="AC74" s="151">
        <v>47.6</v>
      </c>
      <c r="AD74" s="151">
        <v>53.7</v>
      </c>
      <c r="AE74" s="151">
        <v>50.4</v>
      </c>
      <c r="AF74" s="151">
        <v>53.2</v>
      </c>
      <c r="AG74" s="151">
        <v>60.5</v>
      </c>
      <c r="AH74" s="151">
        <v>62.5</v>
      </c>
      <c r="AI74" s="151">
        <v>58.4</v>
      </c>
      <c r="AJ74" s="151">
        <v>57.1</v>
      </c>
      <c r="AK74" s="151">
        <v>57.6</v>
      </c>
      <c r="AL74" s="151">
        <v>58</v>
      </c>
      <c r="AM74" s="151">
        <v>60</v>
      </c>
      <c r="AN74" s="151">
        <v>60</v>
      </c>
      <c r="AO74" s="151">
        <v>60</v>
      </c>
      <c r="AP74" s="151">
        <v>60.5</v>
      </c>
      <c r="AQ74" s="151">
        <v>63.1</v>
      </c>
    </row>
    <row r="75" spans="1:43">
      <c r="A75" s="151" t="s">
        <v>2586</v>
      </c>
      <c r="B75" s="81" t="s">
        <v>634</v>
      </c>
      <c r="C75" s="151">
        <v>67.599999999999994</v>
      </c>
      <c r="D75" s="151">
        <v>79.3</v>
      </c>
      <c r="E75" s="151">
        <v>88.2</v>
      </c>
      <c r="F75" s="151">
        <v>98</v>
      </c>
      <c r="G75" s="151">
        <v>108.6</v>
      </c>
      <c r="H75" s="151">
        <v>117.4</v>
      </c>
      <c r="I75" s="151">
        <v>126.1</v>
      </c>
      <c r="J75" s="151">
        <v>135.80000000000001</v>
      </c>
      <c r="K75" s="151">
        <v>146.9</v>
      </c>
      <c r="L75" s="151">
        <v>164.8</v>
      </c>
      <c r="M75" s="151">
        <v>185.1</v>
      </c>
      <c r="N75" s="151">
        <v>211.9</v>
      </c>
      <c r="O75" s="151">
        <v>241.8</v>
      </c>
      <c r="P75" s="151">
        <v>267.60000000000002</v>
      </c>
      <c r="Q75" s="151">
        <v>287.8</v>
      </c>
      <c r="R75" s="151">
        <v>314.39999999999998</v>
      </c>
      <c r="S75" s="151">
        <v>335.7</v>
      </c>
      <c r="T75" s="151">
        <v>353.6</v>
      </c>
      <c r="U75" s="151">
        <v>357.9</v>
      </c>
      <c r="V75" s="151">
        <v>368.6</v>
      </c>
      <c r="W75" s="151">
        <v>391</v>
      </c>
      <c r="X75" s="151">
        <v>443</v>
      </c>
      <c r="Y75" s="151">
        <v>479.2</v>
      </c>
      <c r="Z75" s="151">
        <v>517.79999999999995</v>
      </c>
      <c r="AA75" s="151">
        <v>562.20000000000005</v>
      </c>
      <c r="AB75" s="151">
        <v>601.29999999999995</v>
      </c>
      <c r="AC75" s="151">
        <v>665.9</v>
      </c>
      <c r="AD75" s="151">
        <v>714.6</v>
      </c>
      <c r="AE75" s="151">
        <v>767</v>
      </c>
      <c r="AF75" s="151">
        <v>870.2</v>
      </c>
      <c r="AG75" s="151">
        <v>919.9</v>
      </c>
      <c r="AH75" s="151">
        <v>927.6</v>
      </c>
      <c r="AI75" s="151">
        <v>944.5</v>
      </c>
      <c r="AJ75" s="151">
        <v>979.6</v>
      </c>
      <c r="AK75" s="151">
        <v>1080.7</v>
      </c>
      <c r="AL75" s="151">
        <v>1171</v>
      </c>
      <c r="AM75" s="151">
        <v>1230.3</v>
      </c>
      <c r="AN75" s="151">
        <v>1270.5999999999999</v>
      </c>
      <c r="AO75" s="151">
        <v>1348.1</v>
      </c>
      <c r="AP75" s="151">
        <v>1437.1</v>
      </c>
      <c r="AQ75" s="151">
        <v>1674.6</v>
      </c>
    </row>
    <row r="76" spans="1:43">
      <c r="A76" s="151" t="s">
        <v>2587</v>
      </c>
      <c r="B76" s="81" t="s">
        <v>2533</v>
      </c>
      <c r="C76" s="151">
        <v>1.7</v>
      </c>
      <c r="D76" s="151">
        <v>1.8</v>
      </c>
      <c r="E76" s="151">
        <v>1.5</v>
      </c>
      <c r="F76" s="151">
        <v>1.4</v>
      </c>
      <c r="G76" s="151">
        <v>2.1</v>
      </c>
      <c r="H76" s="151">
        <v>1.6</v>
      </c>
      <c r="I76" s="151">
        <v>1.7</v>
      </c>
      <c r="J76" s="151">
        <v>1.6</v>
      </c>
      <c r="K76" s="151">
        <v>1.7</v>
      </c>
      <c r="L76" s="151">
        <v>1.8</v>
      </c>
      <c r="M76" s="151">
        <v>1.9</v>
      </c>
      <c r="N76" s="151">
        <v>2.1</v>
      </c>
      <c r="O76" s="151">
        <v>2.2000000000000002</v>
      </c>
      <c r="P76" s="151">
        <v>2.4</v>
      </c>
      <c r="Q76" s="151">
        <v>2.5</v>
      </c>
      <c r="R76" s="151">
        <v>2.5</v>
      </c>
      <c r="S76" s="151">
        <v>2.7</v>
      </c>
      <c r="T76" s="151">
        <v>2.6</v>
      </c>
      <c r="U76" s="151">
        <v>2.7</v>
      </c>
      <c r="V76" s="151">
        <v>2.4</v>
      </c>
      <c r="W76" s="151">
        <v>3</v>
      </c>
      <c r="X76" s="151">
        <v>3.3</v>
      </c>
      <c r="Y76" s="151">
        <v>3.9</v>
      </c>
      <c r="Z76" s="151">
        <v>4</v>
      </c>
      <c r="AA76" s="151">
        <v>4.4000000000000004</v>
      </c>
      <c r="AB76" s="151">
        <v>4.5999999999999996</v>
      </c>
      <c r="AC76" s="151">
        <v>4.7</v>
      </c>
      <c r="AD76" s="151">
        <v>4.5999999999999996</v>
      </c>
      <c r="AE76" s="151">
        <v>4.9000000000000004</v>
      </c>
      <c r="AF76" s="151">
        <v>5.2</v>
      </c>
      <c r="AG76" s="151">
        <v>5.7</v>
      </c>
      <c r="AH76" s="151">
        <v>5.3</v>
      </c>
      <c r="AI76" s="151">
        <v>5.4</v>
      </c>
      <c r="AJ76" s="151">
        <v>5.3</v>
      </c>
      <c r="AK76" s="151">
        <v>5.3</v>
      </c>
      <c r="AL76" s="151">
        <v>5.0999999999999996</v>
      </c>
      <c r="AM76" s="151">
        <v>5.3</v>
      </c>
      <c r="AN76" s="151">
        <v>5.4</v>
      </c>
      <c r="AO76" s="151">
        <v>5.6</v>
      </c>
      <c r="AP76" s="151">
        <v>5.7</v>
      </c>
      <c r="AQ76" s="151">
        <v>6</v>
      </c>
    </row>
    <row r="77" spans="1:43">
      <c r="A77" s="151" t="s">
        <v>2588</v>
      </c>
      <c r="B77" s="81" t="s">
        <v>633</v>
      </c>
      <c r="C77" s="151">
        <v>15.2</v>
      </c>
      <c r="D77" s="151">
        <v>16.3</v>
      </c>
      <c r="E77" s="151">
        <v>15</v>
      </c>
      <c r="F77" s="151">
        <v>15.3</v>
      </c>
      <c r="G77" s="151">
        <v>16.100000000000001</v>
      </c>
      <c r="H77" s="151">
        <v>16.899999999999999</v>
      </c>
      <c r="I77" s="151">
        <v>16.7</v>
      </c>
      <c r="J77" s="151">
        <v>16.3</v>
      </c>
      <c r="K77" s="151">
        <v>18.2</v>
      </c>
      <c r="L77" s="151">
        <v>21.1</v>
      </c>
      <c r="M77" s="151">
        <v>21.4</v>
      </c>
      <c r="N77" s="151">
        <v>23.2</v>
      </c>
      <c r="O77" s="151">
        <v>26</v>
      </c>
      <c r="P77" s="151">
        <v>29</v>
      </c>
      <c r="Q77" s="151">
        <v>29.6</v>
      </c>
      <c r="R77" s="151">
        <v>30.2</v>
      </c>
      <c r="S77" s="151">
        <v>31.8</v>
      </c>
      <c r="T77" s="151">
        <v>32.4</v>
      </c>
      <c r="U77" s="151">
        <v>36.299999999999997</v>
      </c>
      <c r="V77" s="151">
        <v>39.299999999999997</v>
      </c>
      <c r="W77" s="151">
        <v>40.5</v>
      </c>
      <c r="X77" s="151">
        <v>46.1</v>
      </c>
      <c r="Y77" s="151">
        <v>52.2</v>
      </c>
      <c r="Z77" s="151">
        <v>58.9</v>
      </c>
      <c r="AA77" s="151">
        <v>64.900000000000006</v>
      </c>
      <c r="AB77" s="151">
        <v>67.7</v>
      </c>
      <c r="AC77" s="151">
        <v>69.900000000000006</v>
      </c>
      <c r="AD77" s="151">
        <v>68.599999999999994</v>
      </c>
      <c r="AE77" s="151">
        <v>75.8</v>
      </c>
      <c r="AF77" s="151">
        <v>105.6</v>
      </c>
      <c r="AG77" s="151">
        <v>138.6</v>
      </c>
      <c r="AH77" s="151">
        <v>135.80000000000001</v>
      </c>
      <c r="AI77" s="151">
        <v>117.1</v>
      </c>
      <c r="AJ77" s="151">
        <v>110</v>
      </c>
      <c r="AK77" s="151">
        <v>108</v>
      </c>
      <c r="AL77" s="151">
        <v>107.3</v>
      </c>
      <c r="AM77" s="151">
        <v>104.4</v>
      </c>
      <c r="AN77" s="151">
        <v>103.4</v>
      </c>
      <c r="AO77" s="151">
        <v>105.4</v>
      </c>
      <c r="AP77" s="151">
        <v>104</v>
      </c>
      <c r="AQ77" s="151">
        <v>117.5</v>
      </c>
    </row>
    <row r="78" spans="1:43">
      <c r="A78" s="151" t="s">
        <v>2589</v>
      </c>
      <c r="B78" s="151" t="s">
        <v>2536</v>
      </c>
      <c r="C78" s="151">
        <v>5.8</v>
      </c>
      <c r="D78" s="151">
        <v>5.7</v>
      </c>
      <c r="E78" s="151">
        <v>5.6</v>
      </c>
      <c r="F78" s="151">
        <v>4.9000000000000004</v>
      </c>
      <c r="G78" s="151">
        <v>6.6</v>
      </c>
      <c r="H78" s="151">
        <v>6.6</v>
      </c>
      <c r="I78" s="151">
        <v>6.6</v>
      </c>
      <c r="J78" s="151">
        <v>6.2</v>
      </c>
      <c r="K78" s="151">
        <v>7.4</v>
      </c>
      <c r="L78" s="151">
        <v>8.4</v>
      </c>
      <c r="M78" s="151">
        <v>8.6</v>
      </c>
      <c r="N78" s="151">
        <v>9.6</v>
      </c>
      <c r="O78" s="151">
        <v>10.6</v>
      </c>
      <c r="P78" s="151">
        <v>11.4</v>
      </c>
      <c r="Q78" s="151">
        <v>11.7</v>
      </c>
      <c r="R78" s="151">
        <v>11.2</v>
      </c>
      <c r="S78" s="151">
        <v>12.9</v>
      </c>
      <c r="T78" s="151">
        <v>12.8</v>
      </c>
      <c r="U78" s="151">
        <v>14.9</v>
      </c>
      <c r="V78" s="151">
        <v>16.8</v>
      </c>
      <c r="W78" s="151">
        <v>18.100000000000001</v>
      </c>
      <c r="X78" s="151">
        <v>19.899999999999999</v>
      </c>
      <c r="Y78" s="151">
        <v>23.2</v>
      </c>
      <c r="Z78" s="151">
        <v>29</v>
      </c>
      <c r="AA78" s="151">
        <v>33.9</v>
      </c>
      <c r="AB78" s="151">
        <v>35.299999999999997</v>
      </c>
      <c r="AC78" s="151">
        <v>36</v>
      </c>
      <c r="AD78" s="151">
        <v>34.9</v>
      </c>
      <c r="AE78" s="151">
        <v>37.1</v>
      </c>
      <c r="AF78" s="151">
        <v>57.1</v>
      </c>
      <c r="AG78" s="151">
        <v>66.8</v>
      </c>
      <c r="AH78" s="151">
        <v>56.2</v>
      </c>
      <c r="AI78" s="151">
        <v>40.9</v>
      </c>
      <c r="AJ78" s="151">
        <v>39.200000000000003</v>
      </c>
      <c r="AK78" s="151">
        <v>37.9</v>
      </c>
      <c r="AL78" s="151">
        <v>38.200000000000003</v>
      </c>
      <c r="AM78" s="151">
        <v>37.5</v>
      </c>
      <c r="AN78" s="151">
        <v>37.799999999999997</v>
      </c>
      <c r="AO78" s="151">
        <v>39.4</v>
      </c>
      <c r="AP78" s="151">
        <v>37.200000000000003</v>
      </c>
      <c r="AQ78" s="151">
        <v>52.4</v>
      </c>
    </row>
    <row r="79" spans="1:43">
      <c r="A79" s="151" t="s">
        <v>2590</v>
      </c>
      <c r="B79" s="151" t="s">
        <v>2538</v>
      </c>
      <c r="C79" s="151">
        <v>5.5</v>
      </c>
      <c r="D79" s="151">
        <v>6.6</v>
      </c>
      <c r="E79" s="151">
        <v>5.7</v>
      </c>
      <c r="F79" s="151">
        <v>6.8</v>
      </c>
      <c r="G79" s="151">
        <v>6.4</v>
      </c>
      <c r="H79" s="151">
        <v>7</v>
      </c>
      <c r="I79" s="151">
        <v>6.8</v>
      </c>
      <c r="J79" s="151">
        <v>6.9</v>
      </c>
      <c r="K79" s="151">
        <v>7.6</v>
      </c>
      <c r="L79" s="151">
        <v>9.5</v>
      </c>
      <c r="M79" s="151">
        <v>9.3000000000000007</v>
      </c>
      <c r="N79" s="151">
        <v>9.5</v>
      </c>
      <c r="O79" s="151">
        <v>10.3</v>
      </c>
      <c r="P79" s="151">
        <v>11.9</v>
      </c>
      <c r="Q79" s="151">
        <v>11.3</v>
      </c>
      <c r="R79" s="151">
        <v>12</v>
      </c>
      <c r="S79" s="151">
        <v>11.8</v>
      </c>
      <c r="T79" s="151">
        <v>12.4</v>
      </c>
      <c r="U79" s="151">
        <v>15.7</v>
      </c>
      <c r="V79" s="151">
        <v>16.7</v>
      </c>
      <c r="W79" s="151">
        <v>16.100000000000001</v>
      </c>
      <c r="X79" s="151">
        <v>18.3</v>
      </c>
      <c r="Y79" s="151">
        <v>20.7</v>
      </c>
      <c r="Z79" s="151">
        <v>21.6</v>
      </c>
      <c r="AA79" s="151">
        <v>22.9</v>
      </c>
      <c r="AB79" s="151">
        <v>23.7</v>
      </c>
      <c r="AC79" s="151">
        <v>24.1</v>
      </c>
      <c r="AD79" s="151">
        <v>24.9</v>
      </c>
      <c r="AE79" s="151">
        <v>29.4</v>
      </c>
      <c r="AF79" s="151">
        <v>37.6</v>
      </c>
      <c r="AG79" s="151">
        <v>49.6</v>
      </c>
      <c r="AH79" s="151">
        <v>52.4</v>
      </c>
      <c r="AI79" s="151">
        <v>47.8</v>
      </c>
      <c r="AJ79" s="151">
        <v>43.1</v>
      </c>
      <c r="AK79" s="151">
        <v>42</v>
      </c>
      <c r="AL79" s="151">
        <v>40.4</v>
      </c>
      <c r="AM79" s="151">
        <v>39.1</v>
      </c>
      <c r="AN79" s="151">
        <v>37.9</v>
      </c>
      <c r="AO79" s="151">
        <v>39.1</v>
      </c>
      <c r="AP79" s="151">
        <v>39.6</v>
      </c>
      <c r="AQ79" s="151">
        <v>38.6</v>
      </c>
    </row>
    <row r="80" spans="1:43">
      <c r="A80" s="151" t="s">
        <v>2591</v>
      </c>
      <c r="B80" s="151" t="s">
        <v>2556</v>
      </c>
      <c r="C80" s="151">
        <v>3.9</v>
      </c>
      <c r="D80" s="151">
        <v>3.9</v>
      </c>
      <c r="E80" s="151">
        <v>3.7</v>
      </c>
      <c r="F80" s="151">
        <v>3.6</v>
      </c>
      <c r="G80" s="151">
        <v>3.2</v>
      </c>
      <c r="H80" s="151">
        <v>3.3</v>
      </c>
      <c r="I80" s="151">
        <v>3.3</v>
      </c>
      <c r="J80" s="151">
        <v>3.3</v>
      </c>
      <c r="K80" s="151">
        <v>3.2</v>
      </c>
      <c r="L80" s="151">
        <v>3.2</v>
      </c>
      <c r="M80" s="151">
        <v>3.5</v>
      </c>
      <c r="N80" s="151">
        <v>4.2</v>
      </c>
      <c r="O80" s="151">
        <v>5</v>
      </c>
      <c r="P80" s="151">
        <v>5.7</v>
      </c>
      <c r="Q80" s="151">
        <v>6.6</v>
      </c>
      <c r="R80" s="151">
        <v>7</v>
      </c>
      <c r="S80" s="151">
        <v>7.1</v>
      </c>
      <c r="T80" s="151">
        <v>7.2</v>
      </c>
      <c r="U80" s="151">
        <v>5.7</v>
      </c>
      <c r="V80" s="151">
        <v>5.7</v>
      </c>
      <c r="W80" s="151">
        <v>6.3</v>
      </c>
      <c r="X80" s="151">
        <v>7.9</v>
      </c>
      <c r="Y80" s="151">
        <v>8.3000000000000007</v>
      </c>
      <c r="Z80" s="151">
        <v>8.3000000000000007</v>
      </c>
      <c r="AA80" s="151">
        <v>8.1</v>
      </c>
      <c r="AB80" s="151">
        <v>8.6</v>
      </c>
      <c r="AC80" s="151">
        <v>9.8000000000000007</v>
      </c>
      <c r="AD80" s="151">
        <v>8.9</v>
      </c>
      <c r="AE80" s="151">
        <v>9.3000000000000007</v>
      </c>
      <c r="AF80" s="151">
        <v>10.9</v>
      </c>
      <c r="AG80" s="151">
        <v>22.3</v>
      </c>
      <c r="AH80" s="151">
        <v>27.2</v>
      </c>
      <c r="AI80" s="151">
        <v>28.5</v>
      </c>
      <c r="AJ80" s="151">
        <v>27.7</v>
      </c>
      <c r="AK80" s="151">
        <v>28.1</v>
      </c>
      <c r="AL80" s="151">
        <v>28.7</v>
      </c>
      <c r="AM80" s="151">
        <v>27.8</v>
      </c>
      <c r="AN80" s="151">
        <v>27.7</v>
      </c>
      <c r="AO80" s="151">
        <v>26.8</v>
      </c>
      <c r="AP80" s="151">
        <v>27.1</v>
      </c>
      <c r="AQ80" s="151">
        <v>26.5</v>
      </c>
    </row>
    <row r="81" spans="1:43">
      <c r="A81" s="151" t="s">
        <v>2592</v>
      </c>
      <c r="B81" s="81" t="s">
        <v>2546</v>
      </c>
      <c r="C81" s="151">
        <v>202.1</v>
      </c>
      <c r="D81" s="151">
        <v>225.8</v>
      </c>
      <c r="E81" s="151">
        <v>251</v>
      </c>
      <c r="F81" s="151">
        <v>266.5</v>
      </c>
      <c r="G81" s="151">
        <v>267.39999999999998</v>
      </c>
      <c r="H81" s="151">
        <v>279.3</v>
      </c>
      <c r="I81" s="151">
        <v>293.39999999999998</v>
      </c>
      <c r="J81" s="151">
        <v>300.10000000000002</v>
      </c>
      <c r="K81" s="151">
        <v>317.3</v>
      </c>
      <c r="L81" s="151">
        <v>339.4</v>
      </c>
      <c r="M81" s="151">
        <v>369.7</v>
      </c>
      <c r="N81" s="151">
        <v>409.2</v>
      </c>
      <c r="O81" s="151">
        <v>454.2</v>
      </c>
      <c r="P81" s="151">
        <v>473.8</v>
      </c>
      <c r="Q81" s="151">
        <v>491</v>
      </c>
      <c r="R81" s="151">
        <v>510.5</v>
      </c>
      <c r="S81" s="151">
        <v>529.4</v>
      </c>
      <c r="T81" s="151">
        <v>543.4</v>
      </c>
      <c r="U81" s="151">
        <v>561.79999999999995</v>
      </c>
      <c r="V81" s="151">
        <v>582</v>
      </c>
      <c r="W81" s="151">
        <v>611.70000000000005</v>
      </c>
      <c r="X81" s="151">
        <v>653.4</v>
      </c>
      <c r="Y81" s="151">
        <v>719.5</v>
      </c>
      <c r="Z81" s="151">
        <v>754.4</v>
      </c>
      <c r="AA81" s="151">
        <v>775.9</v>
      </c>
      <c r="AB81" s="151">
        <v>817.4</v>
      </c>
      <c r="AC81" s="151">
        <v>861.3</v>
      </c>
      <c r="AD81" s="151">
        <v>899.8</v>
      </c>
      <c r="AE81" s="151">
        <v>1064.9000000000001</v>
      </c>
      <c r="AF81" s="151">
        <v>1178.9000000000001</v>
      </c>
      <c r="AG81" s="151">
        <v>1283.5999999999999</v>
      </c>
      <c r="AH81" s="151">
        <v>1274.5999999999999</v>
      </c>
      <c r="AI81" s="151">
        <v>1257.3</v>
      </c>
      <c r="AJ81" s="151">
        <v>1284.9000000000001</v>
      </c>
      <c r="AK81" s="151">
        <v>1299.5</v>
      </c>
      <c r="AL81" s="151">
        <v>1344.7</v>
      </c>
      <c r="AM81" s="151">
        <v>1372</v>
      </c>
      <c r="AN81" s="151">
        <v>1411.1</v>
      </c>
      <c r="AO81" s="151">
        <v>1464.5</v>
      </c>
      <c r="AP81" s="151">
        <v>1541.3</v>
      </c>
      <c r="AQ81" s="151">
        <v>2466.4</v>
      </c>
    </row>
    <row r="82" spans="1:43">
      <c r="A82" s="151" t="s">
        <v>2593</v>
      </c>
      <c r="B82" s="151" t="s">
        <v>2548</v>
      </c>
      <c r="C82" s="151">
        <v>30.1</v>
      </c>
      <c r="D82" s="151">
        <v>33.1</v>
      </c>
      <c r="E82" s="151">
        <v>34.4</v>
      </c>
      <c r="F82" s="151">
        <v>35.200000000000003</v>
      </c>
      <c r="G82" s="151">
        <v>35.6</v>
      </c>
      <c r="H82" s="151">
        <v>36.9</v>
      </c>
      <c r="I82" s="151">
        <v>37.9</v>
      </c>
      <c r="J82" s="151">
        <v>38.700000000000003</v>
      </c>
      <c r="K82" s="151">
        <v>40.200000000000003</v>
      </c>
      <c r="L82" s="151">
        <v>41.9</v>
      </c>
      <c r="M82" s="151">
        <v>44.4</v>
      </c>
      <c r="N82" s="151">
        <v>47.3</v>
      </c>
      <c r="O82" s="151">
        <v>51.1</v>
      </c>
      <c r="P82" s="151">
        <v>57.3</v>
      </c>
      <c r="Q82" s="151">
        <v>59.4</v>
      </c>
      <c r="R82" s="151">
        <v>62.9</v>
      </c>
      <c r="S82" s="151">
        <v>67.900000000000006</v>
      </c>
      <c r="T82" s="151">
        <v>70.8</v>
      </c>
      <c r="U82" s="151">
        <v>72.5</v>
      </c>
      <c r="V82" s="151">
        <v>76.599999999999994</v>
      </c>
      <c r="W82" s="151">
        <v>81.3</v>
      </c>
      <c r="X82" s="151">
        <v>87.8</v>
      </c>
      <c r="Y82" s="151">
        <v>96.8</v>
      </c>
      <c r="Z82" s="151">
        <v>104.2</v>
      </c>
      <c r="AA82" s="151">
        <v>113.5</v>
      </c>
      <c r="AB82" s="151">
        <v>123.2</v>
      </c>
      <c r="AC82" s="151">
        <v>132.9</v>
      </c>
      <c r="AD82" s="151">
        <v>142.4</v>
      </c>
      <c r="AE82" s="151">
        <v>152.4</v>
      </c>
      <c r="AF82" s="151">
        <v>169.5</v>
      </c>
      <c r="AG82" s="151">
        <v>178.6</v>
      </c>
      <c r="AH82" s="151">
        <v>187.7</v>
      </c>
      <c r="AI82" s="151">
        <v>201.2</v>
      </c>
      <c r="AJ82" s="151">
        <v>212.1</v>
      </c>
      <c r="AK82" s="151">
        <v>218.4</v>
      </c>
      <c r="AL82" s="151">
        <v>227.5</v>
      </c>
      <c r="AM82" s="151">
        <v>229.3</v>
      </c>
      <c r="AN82" s="151">
        <v>235.1</v>
      </c>
      <c r="AO82" s="151">
        <v>243.1</v>
      </c>
      <c r="AP82" s="151">
        <v>253.5</v>
      </c>
      <c r="AQ82" s="151">
        <v>262.3</v>
      </c>
    </row>
    <row r="83" spans="1:43">
      <c r="A83" s="151" t="s">
        <v>2594</v>
      </c>
      <c r="B83" s="151" t="s">
        <v>2550</v>
      </c>
      <c r="C83" s="151">
        <v>109.8</v>
      </c>
      <c r="D83" s="151">
        <v>129</v>
      </c>
      <c r="E83" s="151">
        <v>144.6</v>
      </c>
      <c r="F83" s="151">
        <v>155.5</v>
      </c>
      <c r="G83" s="151">
        <v>163.9</v>
      </c>
      <c r="H83" s="151">
        <v>173.5</v>
      </c>
      <c r="I83" s="151">
        <v>183.2</v>
      </c>
      <c r="J83" s="151">
        <v>190.2</v>
      </c>
      <c r="K83" s="151">
        <v>202.3</v>
      </c>
      <c r="L83" s="151">
        <v>215</v>
      </c>
      <c r="M83" s="151">
        <v>230.2</v>
      </c>
      <c r="N83" s="151">
        <v>247.9</v>
      </c>
      <c r="O83" s="151">
        <v>262.5</v>
      </c>
      <c r="P83" s="151">
        <v>273.5</v>
      </c>
      <c r="Q83" s="151">
        <v>286.39999999999998</v>
      </c>
      <c r="R83" s="151">
        <v>299.60000000000002</v>
      </c>
      <c r="S83" s="151">
        <v>309.60000000000002</v>
      </c>
      <c r="T83" s="151">
        <v>322.7</v>
      </c>
      <c r="U83" s="151">
        <v>336</v>
      </c>
      <c r="V83" s="151">
        <v>343</v>
      </c>
      <c r="W83" s="151">
        <v>361.8</v>
      </c>
      <c r="X83" s="151">
        <v>381.2</v>
      </c>
      <c r="Y83" s="151">
        <v>397.5</v>
      </c>
      <c r="Z83" s="151">
        <v>409.8</v>
      </c>
      <c r="AA83" s="151">
        <v>425</v>
      </c>
      <c r="AB83" s="151">
        <v>445.6</v>
      </c>
      <c r="AC83" s="151">
        <v>471.4</v>
      </c>
      <c r="AD83" s="151">
        <v>497.2</v>
      </c>
      <c r="AE83" s="151">
        <v>520.6</v>
      </c>
      <c r="AF83" s="151">
        <v>581.20000000000005</v>
      </c>
      <c r="AG83" s="151">
        <v>590.20000000000005</v>
      </c>
      <c r="AH83" s="151">
        <v>608</v>
      </c>
      <c r="AI83" s="151">
        <v>650.9</v>
      </c>
      <c r="AJ83" s="151">
        <v>685.4</v>
      </c>
      <c r="AK83" s="151">
        <v>720.6</v>
      </c>
      <c r="AL83" s="151">
        <v>755.6</v>
      </c>
      <c r="AM83" s="151">
        <v>782.6</v>
      </c>
      <c r="AN83" s="151">
        <v>813</v>
      </c>
      <c r="AO83" s="151">
        <v>859.4</v>
      </c>
      <c r="AP83" s="151">
        <v>917.6</v>
      </c>
      <c r="AQ83" s="151">
        <v>967.4</v>
      </c>
    </row>
    <row r="84" spans="1:43">
      <c r="A84" s="151" t="s">
        <v>2595</v>
      </c>
      <c r="B84" s="151" t="s">
        <v>2552</v>
      </c>
      <c r="C84" s="151">
        <v>37.4</v>
      </c>
      <c r="D84" s="151">
        <v>40</v>
      </c>
      <c r="E84" s="151">
        <v>40</v>
      </c>
      <c r="F84" s="151">
        <v>42.6</v>
      </c>
      <c r="G84" s="151">
        <v>45.1</v>
      </c>
      <c r="H84" s="151">
        <v>46.3</v>
      </c>
      <c r="I84" s="151">
        <v>48.2</v>
      </c>
      <c r="J84" s="151">
        <v>49.1</v>
      </c>
      <c r="K84" s="151">
        <v>52.3</v>
      </c>
      <c r="L84" s="151">
        <v>56.1</v>
      </c>
      <c r="M84" s="151">
        <v>63.2</v>
      </c>
      <c r="N84" s="151">
        <v>72.900000000000006</v>
      </c>
      <c r="O84" s="151">
        <v>82.5</v>
      </c>
      <c r="P84" s="151">
        <v>87.4</v>
      </c>
      <c r="Q84" s="151">
        <v>93.2</v>
      </c>
      <c r="R84" s="151">
        <v>95.6</v>
      </c>
      <c r="S84" s="151">
        <v>95.5</v>
      </c>
      <c r="T84" s="151">
        <v>94.4</v>
      </c>
      <c r="U84" s="151">
        <v>94.5</v>
      </c>
      <c r="V84" s="151">
        <v>97.3</v>
      </c>
      <c r="W84" s="151">
        <v>101</v>
      </c>
      <c r="X84" s="151">
        <v>108.3</v>
      </c>
      <c r="Y84" s="151">
        <v>120.1</v>
      </c>
      <c r="Z84" s="151">
        <v>136.80000000000001</v>
      </c>
      <c r="AA84" s="151">
        <v>130.5</v>
      </c>
      <c r="AB84" s="151">
        <v>137.4</v>
      </c>
      <c r="AC84" s="151">
        <v>139.6</v>
      </c>
      <c r="AD84" s="151">
        <v>145.69999999999999</v>
      </c>
      <c r="AE84" s="151">
        <v>172</v>
      </c>
      <c r="AF84" s="151">
        <v>187.7</v>
      </c>
      <c r="AG84" s="151">
        <v>207.5</v>
      </c>
      <c r="AH84" s="151">
        <v>209.6</v>
      </c>
      <c r="AI84" s="151">
        <v>212.4</v>
      </c>
      <c r="AJ84" s="151">
        <v>214.1</v>
      </c>
      <c r="AK84" s="151">
        <v>210.6</v>
      </c>
      <c r="AL84" s="151">
        <v>211.6</v>
      </c>
      <c r="AM84" s="151">
        <v>211.3</v>
      </c>
      <c r="AN84" s="151">
        <v>212.3</v>
      </c>
      <c r="AO84" s="151">
        <v>208.5</v>
      </c>
      <c r="AP84" s="151">
        <v>209.5</v>
      </c>
      <c r="AQ84" s="151">
        <v>513.79999999999995</v>
      </c>
    </row>
    <row r="85" spans="1:43">
      <c r="A85" s="151" t="s">
        <v>2596</v>
      </c>
      <c r="B85" s="151" t="s">
        <v>2554</v>
      </c>
      <c r="C85" s="151">
        <v>20.399999999999999</v>
      </c>
      <c r="D85" s="151">
        <v>18.899999999999999</v>
      </c>
      <c r="E85" s="151">
        <v>27.6</v>
      </c>
      <c r="F85" s="151">
        <v>28.8</v>
      </c>
      <c r="G85" s="151">
        <v>18.399999999999999</v>
      </c>
      <c r="H85" s="151">
        <v>18.5</v>
      </c>
      <c r="I85" s="151">
        <v>19.3</v>
      </c>
      <c r="J85" s="151">
        <v>17.399999999999999</v>
      </c>
      <c r="K85" s="151">
        <v>16.100000000000001</v>
      </c>
      <c r="L85" s="151">
        <v>17.2</v>
      </c>
      <c r="M85" s="151">
        <v>21.3</v>
      </c>
      <c r="N85" s="151">
        <v>30.3</v>
      </c>
      <c r="O85" s="151">
        <v>43.1</v>
      </c>
      <c r="P85" s="151">
        <v>38.299999999999997</v>
      </c>
      <c r="Q85" s="151">
        <v>27.4</v>
      </c>
      <c r="R85" s="151">
        <v>25.4</v>
      </c>
      <c r="S85" s="151">
        <v>26</v>
      </c>
      <c r="T85" s="151">
        <v>23.7</v>
      </c>
      <c r="U85" s="151">
        <v>23.4</v>
      </c>
      <c r="V85" s="151">
        <v>24.4</v>
      </c>
      <c r="W85" s="151">
        <v>23.9</v>
      </c>
      <c r="X85" s="151">
        <v>35.700000000000003</v>
      </c>
      <c r="Y85" s="151">
        <v>57.4</v>
      </c>
      <c r="Z85" s="151">
        <v>56.9</v>
      </c>
      <c r="AA85" s="151">
        <v>41.4</v>
      </c>
      <c r="AB85" s="151">
        <v>35.299999999999997</v>
      </c>
      <c r="AC85" s="151">
        <v>34.200000000000003</v>
      </c>
      <c r="AD85" s="151">
        <v>36.5</v>
      </c>
      <c r="AE85" s="151">
        <v>55.4</v>
      </c>
      <c r="AF85" s="151">
        <v>145.4</v>
      </c>
      <c r="AG85" s="151">
        <v>154.80000000000001</v>
      </c>
      <c r="AH85" s="151">
        <v>111.8</v>
      </c>
      <c r="AI85" s="151">
        <v>88.4</v>
      </c>
      <c r="AJ85" s="151">
        <v>66.8</v>
      </c>
      <c r="AK85" s="151">
        <v>39.1</v>
      </c>
      <c r="AL85" s="151">
        <v>35.700000000000003</v>
      </c>
      <c r="AM85" s="151">
        <v>35.5</v>
      </c>
      <c r="AN85" s="151">
        <v>33.799999999999997</v>
      </c>
      <c r="AO85" s="151">
        <v>31.5</v>
      </c>
      <c r="AP85" s="151">
        <v>31.7</v>
      </c>
      <c r="AQ85" s="151">
        <v>547.70000000000005</v>
      </c>
    </row>
    <row r="86" spans="1:43">
      <c r="A86" s="151" t="s">
        <v>2597</v>
      </c>
      <c r="B86" s="151" t="s">
        <v>2556</v>
      </c>
      <c r="C86" s="151">
        <v>4.4000000000000004</v>
      </c>
      <c r="D86" s="151">
        <v>4.7</v>
      </c>
      <c r="E86" s="151">
        <v>4.4000000000000004</v>
      </c>
      <c r="F86" s="151">
        <v>4.4000000000000004</v>
      </c>
      <c r="G86" s="151">
        <v>4.4000000000000004</v>
      </c>
      <c r="H86" s="151">
        <v>4.0999999999999996</v>
      </c>
      <c r="I86" s="151">
        <v>4.8</v>
      </c>
      <c r="J86" s="151">
        <v>4.7</v>
      </c>
      <c r="K86" s="151">
        <v>6.4</v>
      </c>
      <c r="L86" s="151">
        <v>9.1999999999999993</v>
      </c>
      <c r="M86" s="151">
        <v>10.6</v>
      </c>
      <c r="N86" s="151">
        <v>10.8</v>
      </c>
      <c r="O86" s="151">
        <v>15.1</v>
      </c>
      <c r="P86" s="151">
        <v>17.3</v>
      </c>
      <c r="Q86" s="151">
        <v>24.7</v>
      </c>
      <c r="R86" s="151">
        <v>27</v>
      </c>
      <c r="S86" s="151">
        <v>30.3</v>
      </c>
      <c r="T86" s="151">
        <v>31.9</v>
      </c>
      <c r="U86" s="151">
        <v>35.4</v>
      </c>
      <c r="V86" s="151">
        <v>40.799999999999997</v>
      </c>
      <c r="W86" s="151">
        <v>43.7</v>
      </c>
      <c r="X86" s="151">
        <v>40.4</v>
      </c>
      <c r="Y86" s="151">
        <v>47.7</v>
      </c>
      <c r="Z86" s="151">
        <v>46.7</v>
      </c>
      <c r="AA86" s="151">
        <v>65.7</v>
      </c>
      <c r="AB86" s="151">
        <v>75.900000000000006</v>
      </c>
      <c r="AC86" s="151">
        <v>83.2</v>
      </c>
      <c r="AD86" s="151">
        <v>78</v>
      </c>
      <c r="AE86" s="151">
        <v>164.4</v>
      </c>
      <c r="AF86" s="151">
        <v>95.2</v>
      </c>
      <c r="AG86" s="151">
        <v>152.6</v>
      </c>
      <c r="AH86" s="151">
        <v>157.4</v>
      </c>
      <c r="AI86" s="151">
        <v>104.3</v>
      </c>
      <c r="AJ86" s="151">
        <v>106.4</v>
      </c>
      <c r="AK86" s="151">
        <v>110.8</v>
      </c>
      <c r="AL86" s="151">
        <v>114.2</v>
      </c>
      <c r="AM86" s="151">
        <v>113.2</v>
      </c>
      <c r="AN86" s="151">
        <v>116.9</v>
      </c>
      <c r="AO86" s="151">
        <v>122</v>
      </c>
      <c r="AP86" s="151">
        <v>128.9</v>
      </c>
      <c r="AQ86" s="151">
        <v>175.3</v>
      </c>
    </row>
    <row r="87" spans="1:43">
      <c r="A87" s="151" t="s">
        <v>2598</v>
      </c>
      <c r="B87" s="81" t="s">
        <v>2599</v>
      </c>
      <c r="C87" s="151">
        <v>341.8</v>
      </c>
      <c r="D87" s="151">
        <v>377.6</v>
      </c>
      <c r="E87" s="151">
        <v>411.3</v>
      </c>
      <c r="F87" s="151">
        <v>443.7</v>
      </c>
      <c r="G87" s="151">
        <v>476.3</v>
      </c>
      <c r="H87" s="151">
        <v>519.9</v>
      </c>
      <c r="I87" s="151">
        <v>561.29999999999995</v>
      </c>
      <c r="J87" s="151">
        <v>599.9</v>
      </c>
      <c r="K87" s="151">
        <v>641.70000000000005</v>
      </c>
      <c r="L87" s="151">
        <v>700.7</v>
      </c>
      <c r="M87" s="151">
        <v>766.3</v>
      </c>
      <c r="N87" s="151">
        <v>840</v>
      </c>
      <c r="O87" s="151">
        <v>907</v>
      </c>
      <c r="P87" s="151">
        <v>950.4</v>
      </c>
      <c r="Q87" s="151">
        <v>999.1</v>
      </c>
      <c r="R87" s="151">
        <v>1051.4000000000001</v>
      </c>
      <c r="S87" s="151">
        <v>1087.5</v>
      </c>
      <c r="T87" s="151">
        <v>1128.7</v>
      </c>
      <c r="U87" s="151">
        <v>1179.7</v>
      </c>
      <c r="V87" s="151">
        <v>1261.8</v>
      </c>
      <c r="W87" s="151">
        <v>1345</v>
      </c>
      <c r="X87" s="151">
        <v>1473.1</v>
      </c>
      <c r="Y87" s="151">
        <v>1569.8</v>
      </c>
      <c r="Z87" s="151">
        <v>1652.2</v>
      </c>
      <c r="AA87" s="151">
        <v>1728.2</v>
      </c>
      <c r="AB87" s="151">
        <v>1820.3</v>
      </c>
      <c r="AC87" s="151">
        <v>1900.4</v>
      </c>
      <c r="AD87" s="151">
        <v>2030.7</v>
      </c>
      <c r="AE87" s="151">
        <v>2136.1999999999998</v>
      </c>
      <c r="AF87" s="151">
        <v>2256.9</v>
      </c>
      <c r="AG87" s="151">
        <v>2300.6</v>
      </c>
      <c r="AH87" s="151">
        <v>2304.1999999999998</v>
      </c>
      <c r="AI87" s="151">
        <v>2338.1</v>
      </c>
      <c r="AJ87" s="151">
        <v>2410.1999999999998</v>
      </c>
      <c r="AK87" s="151">
        <v>2494.4</v>
      </c>
      <c r="AL87" s="151">
        <v>2588.4</v>
      </c>
      <c r="AM87" s="151">
        <v>2673.8</v>
      </c>
      <c r="AN87" s="151">
        <v>2748.1</v>
      </c>
      <c r="AO87" s="151">
        <v>2846.4</v>
      </c>
      <c r="AP87" s="151">
        <v>2942.1</v>
      </c>
      <c r="AQ87" s="151">
        <v>3020.5</v>
      </c>
    </row>
    <row r="88" spans="1:43">
      <c r="A88" s="151" t="s">
        <v>2600</v>
      </c>
      <c r="B88" s="81" t="s">
        <v>2481</v>
      </c>
      <c r="C88" s="151">
        <v>71.599999999999994</v>
      </c>
      <c r="D88" s="151">
        <v>79.400000000000006</v>
      </c>
      <c r="E88" s="151">
        <v>89.3</v>
      </c>
      <c r="F88" s="151">
        <v>101</v>
      </c>
      <c r="G88" s="151">
        <v>108.9</v>
      </c>
      <c r="H88" s="151">
        <v>120.5</v>
      </c>
      <c r="I88" s="151">
        <v>130.4</v>
      </c>
      <c r="J88" s="151">
        <v>137.9</v>
      </c>
      <c r="K88" s="151">
        <v>144.1</v>
      </c>
      <c r="L88" s="151">
        <v>155.4</v>
      </c>
      <c r="M88" s="151">
        <v>161.19999999999999</v>
      </c>
      <c r="N88" s="151">
        <v>174.3</v>
      </c>
      <c r="O88" s="151">
        <v>186.5</v>
      </c>
      <c r="P88" s="151">
        <v>190.1</v>
      </c>
      <c r="Q88" s="151">
        <v>195.9</v>
      </c>
      <c r="R88" s="151">
        <v>205.4</v>
      </c>
      <c r="S88" s="151">
        <v>206.3</v>
      </c>
      <c r="T88" s="151">
        <v>211.8</v>
      </c>
      <c r="U88" s="151">
        <v>213.4</v>
      </c>
      <c r="V88" s="151">
        <v>221.2</v>
      </c>
      <c r="W88" s="151">
        <v>224.7</v>
      </c>
      <c r="X88" s="151">
        <v>250.4</v>
      </c>
      <c r="Y88" s="151">
        <v>279.89999999999998</v>
      </c>
      <c r="Z88" s="151">
        <v>314.10000000000002</v>
      </c>
      <c r="AA88" s="151">
        <v>310</v>
      </c>
      <c r="AB88" s="151">
        <v>323.39999999999998</v>
      </c>
      <c r="AC88" s="151">
        <v>346.8</v>
      </c>
      <c r="AD88" s="151">
        <v>355.8</v>
      </c>
      <c r="AE88" s="151">
        <v>373.5</v>
      </c>
      <c r="AF88" s="151">
        <v>441.1</v>
      </c>
      <c r="AG88" s="151">
        <v>442.2</v>
      </c>
      <c r="AH88" s="151">
        <v>437.9</v>
      </c>
      <c r="AI88" s="151">
        <v>452.1</v>
      </c>
      <c r="AJ88" s="151">
        <v>446.1</v>
      </c>
      <c r="AK88" s="151">
        <v>440.4</v>
      </c>
      <c r="AL88" s="151">
        <v>449.6</v>
      </c>
      <c r="AM88" s="151">
        <v>464.5</v>
      </c>
      <c r="AN88" s="151">
        <v>480.5</v>
      </c>
      <c r="AO88" s="151">
        <v>485.7</v>
      </c>
      <c r="AP88" s="151">
        <v>506.6</v>
      </c>
      <c r="AQ88" s="151">
        <v>497.8</v>
      </c>
    </row>
    <row r="89" spans="1:43">
      <c r="A89" s="151" t="s">
        <v>2601</v>
      </c>
      <c r="B89" s="151" t="s">
        <v>2483</v>
      </c>
      <c r="C89" s="151">
        <v>4.4000000000000004</v>
      </c>
      <c r="D89" s="151">
        <v>5</v>
      </c>
      <c r="E89" s="151">
        <v>5.7</v>
      </c>
      <c r="F89" s="151">
        <v>5.8</v>
      </c>
      <c r="G89" s="151">
        <v>6.1</v>
      </c>
      <c r="H89" s="151">
        <v>6.6</v>
      </c>
      <c r="I89" s="151">
        <v>7.2</v>
      </c>
      <c r="J89" s="151">
        <v>7.7</v>
      </c>
      <c r="K89" s="151">
        <v>8.4</v>
      </c>
      <c r="L89" s="151">
        <v>9.1</v>
      </c>
      <c r="M89" s="151">
        <v>10.3</v>
      </c>
      <c r="N89" s="151">
        <v>11</v>
      </c>
      <c r="O89" s="151">
        <v>11.5</v>
      </c>
      <c r="P89" s="151">
        <v>11.8</v>
      </c>
      <c r="Q89" s="151">
        <v>12.6</v>
      </c>
      <c r="R89" s="151">
        <v>13.2</v>
      </c>
      <c r="S89" s="151">
        <v>13.9</v>
      </c>
      <c r="T89" s="151">
        <v>14.8</v>
      </c>
      <c r="U89" s="151">
        <v>16</v>
      </c>
      <c r="V89" s="151">
        <v>17.399999999999999</v>
      </c>
      <c r="W89" s="151">
        <v>18.600000000000001</v>
      </c>
      <c r="X89" s="151">
        <v>20</v>
      </c>
      <c r="Y89" s="151">
        <v>21.8</v>
      </c>
      <c r="Z89" s="151">
        <v>23.1</v>
      </c>
      <c r="AA89" s="151">
        <v>25.1</v>
      </c>
      <c r="AB89" s="151">
        <v>26</v>
      </c>
      <c r="AC89" s="151">
        <v>28.5</v>
      </c>
      <c r="AD89" s="151">
        <v>31.4</v>
      </c>
      <c r="AE89" s="151">
        <v>32.799999999999997</v>
      </c>
      <c r="AF89" s="151">
        <v>32.6</v>
      </c>
      <c r="AG89" s="151">
        <v>32.1</v>
      </c>
      <c r="AH89" s="151">
        <v>31.8</v>
      </c>
      <c r="AI89" s="151">
        <v>31.9</v>
      </c>
      <c r="AJ89" s="151">
        <v>32.700000000000003</v>
      </c>
      <c r="AK89" s="151">
        <v>33.700000000000003</v>
      </c>
      <c r="AL89" s="151">
        <v>36.1</v>
      </c>
      <c r="AM89" s="151">
        <v>37.299999999999997</v>
      </c>
      <c r="AN89" s="151">
        <v>38.299999999999997</v>
      </c>
      <c r="AO89" s="151">
        <v>40.299999999999997</v>
      </c>
      <c r="AP89" s="151">
        <v>41.8</v>
      </c>
      <c r="AQ89" s="151">
        <v>43.8</v>
      </c>
    </row>
    <row r="90" spans="1:43">
      <c r="A90" s="151" t="s">
        <v>2602</v>
      </c>
      <c r="B90" s="151" t="s">
        <v>2485</v>
      </c>
      <c r="C90" s="151">
        <v>7</v>
      </c>
      <c r="D90" s="151">
        <v>7.4</v>
      </c>
      <c r="E90" s="151">
        <v>9</v>
      </c>
      <c r="F90" s="151">
        <v>10.9</v>
      </c>
      <c r="G90" s="151">
        <v>11.2</v>
      </c>
      <c r="H90" s="151">
        <v>14.6</v>
      </c>
      <c r="I90" s="151">
        <v>15.3</v>
      </c>
      <c r="J90" s="151">
        <v>15.1</v>
      </c>
      <c r="K90" s="151">
        <v>16.399999999999999</v>
      </c>
      <c r="L90" s="151">
        <v>17.3</v>
      </c>
      <c r="M90" s="151">
        <v>17.600000000000001</v>
      </c>
      <c r="N90" s="151">
        <v>18.5</v>
      </c>
      <c r="O90" s="151">
        <v>20</v>
      </c>
      <c r="P90" s="151">
        <v>21.1</v>
      </c>
      <c r="Q90" s="151">
        <v>22.5</v>
      </c>
      <c r="R90" s="151">
        <v>23.1</v>
      </c>
      <c r="S90" s="151">
        <v>23.1</v>
      </c>
      <c r="T90" s="151">
        <v>24.1</v>
      </c>
      <c r="U90" s="151">
        <v>25.6</v>
      </c>
      <c r="V90" s="151">
        <v>27.8</v>
      </c>
      <c r="W90" s="151">
        <v>28.3</v>
      </c>
      <c r="X90" s="151">
        <v>29.1</v>
      </c>
      <c r="Y90" s="151">
        <v>30.1</v>
      </c>
      <c r="Z90" s="151">
        <v>28.9</v>
      </c>
      <c r="AA90" s="151">
        <v>29.6</v>
      </c>
      <c r="AB90" s="151">
        <v>30.3</v>
      </c>
      <c r="AC90" s="151">
        <v>30</v>
      </c>
      <c r="AD90" s="151">
        <v>31</v>
      </c>
      <c r="AE90" s="151">
        <v>36.5</v>
      </c>
      <c r="AF90" s="151">
        <v>36.799999999999997</v>
      </c>
      <c r="AG90" s="151">
        <v>36.299999999999997</v>
      </c>
      <c r="AH90" s="151">
        <v>35</v>
      </c>
      <c r="AI90" s="151">
        <v>33.6</v>
      </c>
      <c r="AJ90" s="151">
        <v>34.4</v>
      </c>
      <c r="AK90" s="151">
        <v>35.4</v>
      </c>
      <c r="AL90" s="151">
        <v>36</v>
      </c>
      <c r="AM90" s="151">
        <v>36.9</v>
      </c>
      <c r="AN90" s="151">
        <v>38.700000000000003</v>
      </c>
      <c r="AO90" s="151">
        <v>40.799999999999997</v>
      </c>
      <c r="AP90" s="151">
        <v>42.3</v>
      </c>
      <c r="AQ90" s="151">
        <v>43.7</v>
      </c>
    </row>
    <row r="91" spans="1:43">
      <c r="A91" s="151" t="s">
        <v>2603</v>
      </c>
      <c r="B91" s="151" t="s">
        <v>2604</v>
      </c>
      <c r="C91" s="151">
        <v>41.2</v>
      </c>
      <c r="D91" s="151">
        <v>46.7</v>
      </c>
      <c r="E91" s="151">
        <v>53.5</v>
      </c>
      <c r="F91" s="151">
        <v>61</v>
      </c>
      <c r="G91" s="151">
        <v>66.2</v>
      </c>
      <c r="H91" s="151">
        <v>72</v>
      </c>
      <c r="I91" s="151">
        <v>78.5</v>
      </c>
      <c r="J91" s="151">
        <v>82.3</v>
      </c>
      <c r="K91" s="151">
        <v>85.8</v>
      </c>
      <c r="L91" s="151">
        <v>92.4</v>
      </c>
      <c r="M91" s="151">
        <v>94.3</v>
      </c>
      <c r="N91" s="151">
        <v>104.3</v>
      </c>
      <c r="O91" s="151">
        <v>110.3</v>
      </c>
      <c r="P91" s="151">
        <v>111.3</v>
      </c>
      <c r="Q91" s="151">
        <v>113.2</v>
      </c>
      <c r="R91" s="151">
        <v>120.7</v>
      </c>
      <c r="S91" s="151">
        <v>119.4</v>
      </c>
      <c r="T91" s="151">
        <v>119.7</v>
      </c>
      <c r="U91" s="151">
        <v>113.7</v>
      </c>
      <c r="V91" s="151">
        <v>113.4</v>
      </c>
      <c r="W91" s="151">
        <v>111.1</v>
      </c>
      <c r="X91" s="151">
        <v>128.6</v>
      </c>
      <c r="Y91" s="151">
        <v>151</v>
      </c>
      <c r="Z91" s="151">
        <v>183.9</v>
      </c>
      <c r="AA91" s="151">
        <v>174.6</v>
      </c>
      <c r="AB91" s="151">
        <v>177.1</v>
      </c>
      <c r="AC91" s="151">
        <v>188.7</v>
      </c>
      <c r="AD91" s="151">
        <v>192</v>
      </c>
      <c r="AE91" s="151">
        <v>203.9</v>
      </c>
      <c r="AF91" s="151">
        <v>267</v>
      </c>
      <c r="AG91" s="151">
        <v>267</v>
      </c>
      <c r="AH91" s="151">
        <v>265.8</v>
      </c>
      <c r="AI91" s="151">
        <v>281.10000000000002</v>
      </c>
      <c r="AJ91" s="151">
        <v>270.2</v>
      </c>
      <c r="AK91" s="151">
        <v>262.3</v>
      </c>
      <c r="AL91" s="151">
        <v>268.7</v>
      </c>
      <c r="AM91" s="151">
        <v>282.8</v>
      </c>
      <c r="AN91" s="151">
        <v>290.8</v>
      </c>
      <c r="AO91" s="151">
        <v>286.10000000000002</v>
      </c>
      <c r="AP91" s="151">
        <v>306.2</v>
      </c>
      <c r="AQ91" s="151">
        <v>295</v>
      </c>
    </row>
    <row r="92" spans="1:43">
      <c r="A92" s="151" t="s">
        <v>2605</v>
      </c>
      <c r="B92" s="151" t="s">
        <v>2606</v>
      </c>
      <c r="C92" s="151">
        <v>18.899999999999999</v>
      </c>
      <c r="D92" s="151">
        <v>20.3</v>
      </c>
      <c r="E92" s="151">
        <v>21.2</v>
      </c>
      <c r="F92" s="151">
        <v>23.2</v>
      </c>
      <c r="G92" s="151">
        <v>25.4</v>
      </c>
      <c r="H92" s="151">
        <v>27.3</v>
      </c>
      <c r="I92" s="151">
        <v>29.5</v>
      </c>
      <c r="J92" s="151">
        <v>32.700000000000003</v>
      </c>
      <c r="K92" s="151">
        <v>33.5</v>
      </c>
      <c r="L92" s="151">
        <v>36.5</v>
      </c>
      <c r="M92" s="151">
        <v>39</v>
      </c>
      <c r="N92" s="151">
        <v>40.5</v>
      </c>
      <c r="O92" s="151">
        <v>44.7</v>
      </c>
      <c r="P92" s="151">
        <v>45.9</v>
      </c>
      <c r="Q92" s="151">
        <v>47.6</v>
      </c>
      <c r="R92" s="151">
        <v>48.5</v>
      </c>
      <c r="S92" s="151">
        <v>49.9</v>
      </c>
      <c r="T92" s="151">
        <v>53.2</v>
      </c>
      <c r="U92" s="151">
        <v>58.1</v>
      </c>
      <c r="V92" s="151">
        <v>62.5</v>
      </c>
      <c r="W92" s="151">
        <v>66.7</v>
      </c>
      <c r="X92" s="151">
        <v>72.599999999999994</v>
      </c>
      <c r="Y92" s="151">
        <v>77.099999999999994</v>
      </c>
      <c r="Z92" s="151">
        <v>78.099999999999994</v>
      </c>
      <c r="AA92" s="151">
        <v>80.7</v>
      </c>
      <c r="AB92" s="151">
        <v>90.1</v>
      </c>
      <c r="AC92" s="151">
        <v>99.6</v>
      </c>
      <c r="AD92" s="151">
        <v>101.4</v>
      </c>
      <c r="AE92" s="151">
        <v>100.3</v>
      </c>
      <c r="AF92" s="151">
        <v>104.7</v>
      </c>
      <c r="AG92" s="151">
        <v>106.7</v>
      </c>
      <c r="AH92" s="151">
        <v>105.3</v>
      </c>
      <c r="AI92" s="151">
        <v>105.5</v>
      </c>
      <c r="AJ92" s="151">
        <v>108.8</v>
      </c>
      <c r="AK92" s="151">
        <v>109</v>
      </c>
      <c r="AL92" s="151">
        <v>108.8</v>
      </c>
      <c r="AM92" s="151">
        <v>107.7</v>
      </c>
      <c r="AN92" s="151">
        <v>112.7</v>
      </c>
      <c r="AO92" s="151">
        <v>118.6</v>
      </c>
      <c r="AP92" s="151">
        <v>116.2</v>
      </c>
      <c r="AQ92" s="151">
        <v>115.3</v>
      </c>
    </row>
    <row r="93" spans="1:43">
      <c r="A93" s="151" t="s">
        <v>2607</v>
      </c>
      <c r="B93" s="81" t="s">
        <v>876</v>
      </c>
      <c r="C93" s="151">
        <v>32</v>
      </c>
      <c r="D93" s="151">
        <v>36.5</v>
      </c>
      <c r="E93" s="151">
        <v>41.1</v>
      </c>
      <c r="F93" s="151">
        <v>44.7</v>
      </c>
      <c r="G93" s="151">
        <v>48.4</v>
      </c>
      <c r="H93" s="151">
        <v>53.7</v>
      </c>
      <c r="I93" s="151">
        <v>58.4</v>
      </c>
      <c r="J93" s="151">
        <v>63.3</v>
      </c>
      <c r="K93" s="151">
        <v>69.2</v>
      </c>
      <c r="L93" s="151">
        <v>77.400000000000006</v>
      </c>
      <c r="M93" s="151">
        <v>86.4</v>
      </c>
      <c r="N93" s="151">
        <v>94.3</v>
      </c>
      <c r="O93" s="151">
        <v>103.1</v>
      </c>
      <c r="P93" s="151">
        <v>109.8</v>
      </c>
      <c r="Q93" s="151">
        <v>117.9</v>
      </c>
      <c r="R93" s="151">
        <v>126</v>
      </c>
      <c r="S93" s="151">
        <v>133.69999999999999</v>
      </c>
      <c r="T93" s="151">
        <v>141.69999999999999</v>
      </c>
      <c r="U93" s="151">
        <v>151.1</v>
      </c>
      <c r="V93" s="151">
        <v>164.1</v>
      </c>
      <c r="W93" s="151">
        <v>176.4</v>
      </c>
      <c r="X93" s="151">
        <v>190.3</v>
      </c>
      <c r="Y93" s="151">
        <v>201.7</v>
      </c>
      <c r="Z93" s="151">
        <v>206.5</v>
      </c>
      <c r="AA93" s="151">
        <v>217.2</v>
      </c>
      <c r="AB93" s="151">
        <v>228.2</v>
      </c>
      <c r="AC93" s="151">
        <v>241.4</v>
      </c>
      <c r="AD93" s="151">
        <v>259.10000000000002</v>
      </c>
      <c r="AE93" s="151">
        <v>274.60000000000002</v>
      </c>
      <c r="AF93" s="151">
        <v>277</v>
      </c>
      <c r="AG93" s="151">
        <v>280.2</v>
      </c>
      <c r="AH93" s="151">
        <v>279.7</v>
      </c>
      <c r="AI93" s="151">
        <v>278.89999999999998</v>
      </c>
      <c r="AJ93" s="151">
        <v>288.3</v>
      </c>
      <c r="AK93" s="151">
        <v>297.8</v>
      </c>
      <c r="AL93" s="151">
        <v>307.8</v>
      </c>
      <c r="AM93" s="151">
        <v>314.89999999999998</v>
      </c>
      <c r="AN93" s="151">
        <v>323.10000000000002</v>
      </c>
      <c r="AO93" s="151">
        <v>334.9</v>
      </c>
      <c r="AP93" s="151">
        <v>342.6</v>
      </c>
      <c r="AQ93" s="151">
        <v>351.1</v>
      </c>
    </row>
    <row r="94" spans="1:43">
      <c r="A94" s="151" t="s">
        <v>2608</v>
      </c>
      <c r="B94" s="151" t="s">
        <v>2494</v>
      </c>
      <c r="C94" s="151">
        <v>14.6</v>
      </c>
      <c r="D94" s="151">
        <v>16.5</v>
      </c>
      <c r="E94" s="151">
        <v>18.3</v>
      </c>
      <c r="F94" s="151">
        <v>19.600000000000001</v>
      </c>
      <c r="G94" s="151">
        <v>21</v>
      </c>
      <c r="H94" s="151">
        <v>23</v>
      </c>
      <c r="I94" s="151">
        <v>24.7</v>
      </c>
      <c r="J94" s="151">
        <v>26.2</v>
      </c>
      <c r="K94" s="151">
        <v>28.2</v>
      </c>
      <c r="L94" s="151">
        <v>31.1</v>
      </c>
      <c r="M94" s="151">
        <v>34.299999999999997</v>
      </c>
      <c r="N94" s="151">
        <v>37.5</v>
      </c>
      <c r="O94" s="151">
        <v>40.9</v>
      </c>
      <c r="P94" s="151">
        <v>42.8</v>
      </c>
      <c r="Q94" s="151">
        <v>45.6</v>
      </c>
      <c r="R94" s="151">
        <v>49</v>
      </c>
      <c r="S94" s="151">
        <v>52.1</v>
      </c>
      <c r="T94" s="151">
        <v>55.1</v>
      </c>
      <c r="U94" s="151">
        <v>58.5</v>
      </c>
      <c r="V94" s="151">
        <v>63.3</v>
      </c>
      <c r="W94" s="151">
        <v>67.2</v>
      </c>
      <c r="X94" s="151">
        <v>72.7</v>
      </c>
      <c r="Y94" s="151">
        <v>77.7</v>
      </c>
      <c r="Z94" s="151">
        <v>79.8</v>
      </c>
      <c r="AA94" s="151">
        <v>84.3</v>
      </c>
      <c r="AB94" s="151">
        <v>88.2</v>
      </c>
      <c r="AC94" s="151">
        <v>93.1</v>
      </c>
      <c r="AD94" s="151">
        <v>100.4</v>
      </c>
      <c r="AE94" s="151">
        <v>106.8</v>
      </c>
      <c r="AF94" s="151">
        <v>107.9</v>
      </c>
      <c r="AG94" s="151">
        <v>111</v>
      </c>
      <c r="AH94" s="151">
        <v>111.4</v>
      </c>
      <c r="AI94" s="151">
        <v>112</v>
      </c>
      <c r="AJ94" s="151">
        <v>115.7</v>
      </c>
      <c r="AK94" s="151">
        <v>119.7</v>
      </c>
      <c r="AL94" s="151">
        <v>124.5</v>
      </c>
      <c r="AM94" s="151">
        <v>128</v>
      </c>
      <c r="AN94" s="151">
        <v>132.80000000000001</v>
      </c>
      <c r="AO94" s="151">
        <v>138.19999999999999</v>
      </c>
      <c r="AP94" s="151">
        <v>141.6</v>
      </c>
      <c r="AQ94" s="151">
        <v>143.69999999999999</v>
      </c>
    </row>
    <row r="95" spans="1:43">
      <c r="A95" s="151" t="s">
        <v>2609</v>
      </c>
      <c r="B95" s="151" t="s">
        <v>2496</v>
      </c>
      <c r="C95" s="151">
        <v>6</v>
      </c>
      <c r="D95" s="151">
        <v>6.9</v>
      </c>
      <c r="E95" s="151">
        <v>7.7</v>
      </c>
      <c r="F95" s="151">
        <v>8.3000000000000007</v>
      </c>
      <c r="G95" s="151">
        <v>8.9</v>
      </c>
      <c r="H95" s="151">
        <v>9.6999999999999993</v>
      </c>
      <c r="I95" s="151">
        <v>10.7</v>
      </c>
      <c r="J95" s="151">
        <v>11.5</v>
      </c>
      <c r="K95" s="151">
        <v>12</v>
      </c>
      <c r="L95" s="151">
        <v>13.3</v>
      </c>
      <c r="M95" s="151">
        <v>14.4</v>
      </c>
      <c r="N95" s="151">
        <v>15.5</v>
      </c>
      <c r="O95" s="151">
        <v>17.2</v>
      </c>
      <c r="P95" s="151">
        <v>17.8</v>
      </c>
      <c r="Q95" s="151">
        <v>18.7</v>
      </c>
      <c r="R95" s="151">
        <v>19.399999999999999</v>
      </c>
      <c r="S95" s="151">
        <v>20.3</v>
      </c>
      <c r="T95" s="151">
        <v>21.2</v>
      </c>
      <c r="U95" s="151">
        <v>22.5</v>
      </c>
      <c r="V95" s="151">
        <v>24.2</v>
      </c>
      <c r="W95" s="151">
        <v>26.2</v>
      </c>
      <c r="X95" s="151">
        <v>27.8</v>
      </c>
      <c r="Y95" s="151">
        <v>30</v>
      </c>
      <c r="Z95" s="151">
        <v>31.1</v>
      </c>
      <c r="AA95" s="151">
        <v>33.5</v>
      </c>
      <c r="AB95" s="151">
        <v>35.700000000000003</v>
      </c>
      <c r="AC95" s="151">
        <v>38.299999999999997</v>
      </c>
      <c r="AD95" s="151">
        <v>41.4</v>
      </c>
      <c r="AE95" s="151">
        <v>44</v>
      </c>
      <c r="AF95" s="151">
        <v>44.9</v>
      </c>
      <c r="AG95" s="151">
        <v>45.9</v>
      </c>
      <c r="AH95" s="151">
        <v>46.4</v>
      </c>
      <c r="AI95" s="151">
        <v>46.3</v>
      </c>
      <c r="AJ95" s="151">
        <v>48.7</v>
      </c>
      <c r="AK95" s="151">
        <v>50.4</v>
      </c>
      <c r="AL95" s="151">
        <v>52.3</v>
      </c>
      <c r="AM95" s="151">
        <v>54</v>
      </c>
      <c r="AN95" s="151">
        <v>55.1</v>
      </c>
      <c r="AO95" s="151">
        <v>57.8</v>
      </c>
      <c r="AP95" s="151">
        <v>60.2</v>
      </c>
      <c r="AQ95" s="151">
        <v>63.2</v>
      </c>
    </row>
    <row r="96" spans="1:43">
      <c r="A96" s="151" t="s">
        <v>2610</v>
      </c>
      <c r="B96" s="151" t="s">
        <v>2498</v>
      </c>
      <c r="C96" s="151">
        <v>5.3</v>
      </c>
      <c r="D96" s="151">
        <v>6</v>
      </c>
      <c r="E96" s="151">
        <v>6.7</v>
      </c>
      <c r="F96" s="151">
        <v>7.1</v>
      </c>
      <c r="G96" s="151">
        <v>7.6</v>
      </c>
      <c r="H96" s="151">
        <v>8.4</v>
      </c>
      <c r="I96" s="151">
        <v>9</v>
      </c>
      <c r="J96" s="151">
        <v>9.6</v>
      </c>
      <c r="K96" s="151">
        <v>10.9</v>
      </c>
      <c r="L96" s="151">
        <v>12.4</v>
      </c>
      <c r="M96" s="151">
        <v>13.9</v>
      </c>
      <c r="N96" s="151">
        <v>15.1</v>
      </c>
      <c r="O96" s="151">
        <v>16.5</v>
      </c>
      <c r="P96" s="151">
        <v>18.7</v>
      </c>
      <c r="Q96" s="151">
        <v>19.899999999999999</v>
      </c>
      <c r="R96" s="151">
        <v>21.1</v>
      </c>
      <c r="S96" s="151">
        <v>22.2</v>
      </c>
      <c r="T96" s="151">
        <v>23.7</v>
      </c>
      <c r="U96" s="151">
        <v>25.9</v>
      </c>
      <c r="V96" s="151">
        <v>28.4</v>
      </c>
      <c r="W96" s="151">
        <v>30.7</v>
      </c>
      <c r="X96" s="151">
        <v>33.4</v>
      </c>
      <c r="Y96" s="151">
        <v>35.299999999999997</v>
      </c>
      <c r="Z96" s="151">
        <v>35.9</v>
      </c>
      <c r="AA96" s="151">
        <v>37.5</v>
      </c>
      <c r="AB96" s="151">
        <v>39.299999999999997</v>
      </c>
      <c r="AC96" s="151">
        <v>41</v>
      </c>
      <c r="AD96" s="151">
        <v>43.2</v>
      </c>
      <c r="AE96" s="151">
        <v>45.6</v>
      </c>
      <c r="AF96" s="151">
        <v>46.2</v>
      </c>
      <c r="AG96" s="151">
        <v>46.1</v>
      </c>
      <c r="AH96" s="151">
        <v>45.4</v>
      </c>
      <c r="AI96" s="151">
        <v>44.8</v>
      </c>
      <c r="AJ96" s="151">
        <v>45.7</v>
      </c>
      <c r="AK96" s="151">
        <v>47</v>
      </c>
      <c r="AL96" s="151">
        <v>47.8</v>
      </c>
      <c r="AM96" s="151">
        <v>48.8</v>
      </c>
      <c r="AN96" s="151">
        <v>49.5</v>
      </c>
      <c r="AO96" s="151">
        <v>51.1</v>
      </c>
      <c r="AP96" s="151">
        <v>52.3</v>
      </c>
      <c r="AQ96" s="151">
        <v>54.2</v>
      </c>
    </row>
    <row r="97" spans="1:43">
      <c r="A97" s="151" t="s">
        <v>2611</v>
      </c>
      <c r="B97" s="151" t="s">
        <v>2500</v>
      </c>
      <c r="C97" s="151">
        <v>6.2</v>
      </c>
      <c r="D97" s="151">
        <v>7.1</v>
      </c>
      <c r="E97" s="151">
        <v>8.4</v>
      </c>
      <c r="F97" s="151">
        <v>9.6</v>
      </c>
      <c r="G97" s="151">
        <v>10.9</v>
      </c>
      <c r="H97" s="151">
        <v>12.6</v>
      </c>
      <c r="I97" s="151">
        <v>14.1</v>
      </c>
      <c r="J97" s="151">
        <v>16</v>
      </c>
      <c r="K97" s="151">
        <v>18</v>
      </c>
      <c r="L97" s="151">
        <v>20.7</v>
      </c>
      <c r="M97" s="151">
        <v>23.8</v>
      </c>
      <c r="N97" s="151">
        <v>26.2</v>
      </c>
      <c r="O97" s="151">
        <v>28.5</v>
      </c>
      <c r="P97" s="151">
        <v>30.6</v>
      </c>
      <c r="Q97" s="151">
        <v>33.6</v>
      </c>
      <c r="R97" s="151">
        <v>36.5</v>
      </c>
      <c r="S97" s="151">
        <v>39.1</v>
      </c>
      <c r="T97" s="151">
        <v>41.6</v>
      </c>
      <c r="U97" s="151">
        <v>44.2</v>
      </c>
      <c r="V97" s="151">
        <v>48.2</v>
      </c>
      <c r="W97" s="151">
        <v>52.2</v>
      </c>
      <c r="X97" s="151">
        <v>56.4</v>
      </c>
      <c r="Y97" s="151">
        <v>58.8</v>
      </c>
      <c r="Z97" s="151">
        <v>59.7</v>
      </c>
      <c r="AA97" s="151">
        <v>62</v>
      </c>
      <c r="AB97" s="151">
        <v>65</v>
      </c>
      <c r="AC97" s="151">
        <v>69</v>
      </c>
      <c r="AD97" s="151">
        <v>74.099999999999994</v>
      </c>
      <c r="AE97" s="151">
        <v>78.099999999999994</v>
      </c>
      <c r="AF97" s="151">
        <v>78</v>
      </c>
      <c r="AG97" s="151">
        <v>77.099999999999994</v>
      </c>
      <c r="AH97" s="151">
        <v>76.599999999999994</v>
      </c>
      <c r="AI97" s="151">
        <v>75.900000000000006</v>
      </c>
      <c r="AJ97" s="151">
        <v>78.2</v>
      </c>
      <c r="AK97" s="151">
        <v>80.8</v>
      </c>
      <c r="AL97" s="151">
        <v>83.2</v>
      </c>
      <c r="AM97" s="151">
        <v>84.1</v>
      </c>
      <c r="AN97" s="151">
        <v>85.7</v>
      </c>
      <c r="AO97" s="151">
        <v>87.7</v>
      </c>
      <c r="AP97" s="151">
        <v>88.5</v>
      </c>
      <c r="AQ97" s="151">
        <v>90.1</v>
      </c>
    </row>
    <row r="98" spans="1:43">
      <c r="A98" s="151" t="s">
        <v>2612</v>
      </c>
      <c r="B98" s="81" t="s">
        <v>2502</v>
      </c>
      <c r="C98" s="151">
        <v>36.700000000000003</v>
      </c>
      <c r="D98" s="151">
        <v>40.6</v>
      </c>
      <c r="E98" s="151">
        <v>43.7</v>
      </c>
      <c r="F98" s="151">
        <v>45</v>
      </c>
      <c r="G98" s="151">
        <v>46.5</v>
      </c>
      <c r="H98" s="151">
        <v>49.8</v>
      </c>
      <c r="I98" s="151">
        <v>53</v>
      </c>
      <c r="J98" s="151">
        <v>55.6</v>
      </c>
      <c r="K98" s="151">
        <v>57.9</v>
      </c>
      <c r="L98" s="151">
        <v>61.1</v>
      </c>
      <c r="M98" s="151">
        <v>65.3</v>
      </c>
      <c r="N98" s="151">
        <v>68.900000000000006</v>
      </c>
      <c r="O98" s="151">
        <v>72.599999999999994</v>
      </c>
      <c r="P98" s="151">
        <v>75.099999999999994</v>
      </c>
      <c r="Q98" s="151">
        <v>78.400000000000006</v>
      </c>
      <c r="R98" s="151">
        <v>82.3</v>
      </c>
      <c r="S98" s="151">
        <v>85.4</v>
      </c>
      <c r="T98" s="151">
        <v>89.3</v>
      </c>
      <c r="U98" s="151">
        <v>93.4</v>
      </c>
      <c r="V98" s="151">
        <v>100.3</v>
      </c>
      <c r="W98" s="151">
        <v>107</v>
      </c>
      <c r="X98" s="151">
        <v>122.1</v>
      </c>
      <c r="Y98" s="151">
        <v>121.6</v>
      </c>
      <c r="Z98" s="151">
        <v>122.4</v>
      </c>
      <c r="AA98" s="151">
        <v>127.9</v>
      </c>
      <c r="AB98" s="151">
        <v>136.30000000000001</v>
      </c>
      <c r="AC98" s="151">
        <v>145.6</v>
      </c>
      <c r="AD98" s="151">
        <v>157</v>
      </c>
      <c r="AE98" s="151">
        <v>166.8</v>
      </c>
      <c r="AF98" s="151">
        <v>168.6</v>
      </c>
      <c r="AG98" s="151">
        <v>167.5</v>
      </c>
      <c r="AH98" s="151">
        <v>170.6</v>
      </c>
      <c r="AI98" s="151">
        <v>174.6</v>
      </c>
      <c r="AJ98" s="151">
        <v>180.6</v>
      </c>
      <c r="AK98" s="151">
        <v>183.8</v>
      </c>
      <c r="AL98" s="151">
        <v>185.7</v>
      </c>
      <c r="AM98" s="151">
        <v>188.1</v>
      </c>
      <c r="AN98" s="151">
        <v>193.2</v>
      </c>
      <c r="AO98" s="151">
        <v>202</v>
      </c>
      <c r="AP98" s="151">
        <v>207.4</v>
      </c>
      <c r="AQ98" s="151">
        <v>213.4</v>
      </c>
    </row>
    <row r="99" spans="1:43">
      <c r="A99" s="151" t="s">
        <v>2613</v>
      </c>
      <c r="B99" s="151" t="s">
        <v>2504</v>
      </c>
      <c r="C99" s="151">
        <v>25.3</v>
      </c>
      <c r="D99" s="151">
        <v>28.5</v>
      </c>
      <c r="E99" s="151">
        <v>31.3</v>
      </c>
      <c r="F99" s="151">
        <v>32.4</v>
      </c>
      <c r="G99" s="151">
        <v>33.5</v>
      </c>
      <c r="H99" s="151">
        <v>35.700000000000003</v>
      </c>
      <c r="I99" s="151">
        <v>37.9</v>
      </c>
      <c r="J99" s="151">
        <v>39.4</v>
      </c>
      <c r="K99" s="151">
        <v>40.9</v>
      </c>
      <c r="L99" s="151">
        <v>42.7</v>
      </c>
      <c r="M99" s="151">
        <v>45.4</v>
      </c>
      <c r="N99" s="151">
        <v>48</v>
      </c>
      <c r="O99" s="151">
        <v>50</v>
      </c>
      <c r="P99" s="151">
        <v>52</v>
      </c>
      <c r="Q99" s="151">
        <v>54.3</v>
      </c>
      <c r="R99" s="151">
        <v>57.3</v>
      </c>
      <c r="S99" s="151">
        <v>59.7</v>
      </c>
      <c r="T99" s="151">
        <v>62.6</v>
      </c>
      <c r="U99" s="151">
        <v>65.599999999999994</v>
      </c>
      <c r="V99" s="151">
        <v>70.5</v>
      </c>
      <c r="W99" s="151">
        <v>75.099999999999994</v>
      </c>
      <c r="X99" s="151">
        <v>79.3</v>
      </c>
      <c r="Y99" s="151">
        <v>82.7</v>
      </c>
      <c r="Z99" s="151">
        <v>84.9</v>
      </c>
      <c r="AA99" s="151">
        <v>88.9</v>
      </c>
      <c r="AB99" s="151">
        <v>96</v>
      </c>
      <c r="AC99" s="151">
        <v>103.4</v>
      </c>
      <c r="AD99" s="151">
        <v>113.2</v>
      </c>
      <c r="AE99" s="151">
        <v>121</v>
      </c>
      <c r="AF99" s="151">
        <v>122.5</v>
      </c>
      <c r="AG99" s="151">
        <v>123</v>
      </c>
      <c r="AH99" s="151">
        <v>127</v>
      </c>
      <c r="AI99" s="151">
        <v>130.9</v>
      </c>
      <c r="AJ99" s="151">
        <v>136.80000000000001</v>
      </c>
      <c r="AK99" s="151">
        <v>140.4</v>
      </c>
      <c r="AL99" s="151">
        <v>141.30000000000001</v>
      </c>
      <c r="AM99" s="151">
        <v>142.5</v>
      </c>
      <c r="AN99" s="151">
        <v>146.30000000000001</v>
      </c>
      <c r="AO99" s="151">
        <v>152.69999999999999</v>
      </c>
      <c r="AP99" s="151">
        <v>156.6</v>
      </c>
      <c r="AQ99" s="151">
        <v>160.4</v>
      </c>
    </row>
    <row r="100" spans="1:43">
      <c r="A100" s="151" t="s">
        <v>2614</v>
      </c>
      <c r="B100" s="151" t="s">
        <v>2506</v>
      </c>
      <c r="C100" s="151">
        <v>24.9</v>
      </c>
      <c r="D100" s="151">
        <v>28.1</v>
      </c>
      <c r="E100" s="151">
        <v>30.8</v>
      </c>
      <c r="F100" s="151">
        <v>32</v>
      </c>
      <c r="G100" s="151">
        <v>33.1</v>
      </c>
      <c r="H100" s="151">
        <v>35.4</v>
      </c>
      <c r="I100" s="151">
        <v>37.6</v>
      </c>
      <c r="J100" s="151">
        <v>39.1</v>
      </c>
      <c r="K100" s="151">
        <v>40.6</v>
      </c>
      <c r="L100" s="151">
        <v>42.3</v>
      </c>
      <c r="M100" s="151">
        <v>45.1</v>
      </c>
      <c r="N100" s="151">
        <v>47.6</v>
      </c>
      <c r="O100" s="151">
        <v>49.7</v>
      </c>
      <c r="P100" s="151">
        <v>51.6</v>
      </c>
      <c r="Q100" s="151">
        <v>54</v>
      </c>
      <c r="R100" s="151">
        <v>57</v>
      </c>
      <c r="S100" s="151">
        <v>59.4</v>
      </c>
      <c r="T100" s="151">
        <v>62.2</v>
      </c>
      <c r="U100" s="151">
        <v>65.099999999999994</v>
      </c>
      <c r="V100" s="151">
        <v>70</v>
      </c>
      <c r="W100" s="151">
        <v>74.5</v>
      </c>
      <c r="X100" s="151">
        <v>78.7</v>
      </c>
      <c r="Y100" s="151">
        <v>82.2</v>
      </c>
      <c r="Z100" s="151">
        <v>84.5</v>
      </c>
      <c r="AA100" s="151">
        <v>88.5</v>
      </c>
      <c r="AB100" s="151">
        <v>95.7</v>
      </c>
      <c r="AC100" s="151">
        <v>103.1</v>
      </c>
      <c r="AD100" s="151">
        <v>112.8</v>
      </c>
      <c r="AE100" s="151">
        <v>120.7</v>
      </c>
      <c r="AF100" s="151">
        <v>122.1</v>
      </c>
      <c r="AG100" s="151">
        <v>122.5</v>
      </c>
      <c r="AH100" s="151">
        <v>126.6</v>
      </c>
      <c r="AI100" s="151">
        <v>130.4</v>
      </c>
      <c r="AJ100" s="151">
        <v>136.4</v>
      </c>
      <c r="AK100" s="151">
        <v>139.9</v>
      </c>
      <c r="AL100" s="151">
        <v>140.80000000000001</v>
      </c>
      <c r="AM100" s="151">
        <v>141.9</v>
      </c>
      <c r="AN100" s="151">
        <v>145.69999999999999</v>
      </c>
      <c r="AO100" s="151">
        <v>152.1</v>
      </c>
      <c r="AP100" s="151">
        <v>156</v>
      </c>
      <c r="AQ100" s="151">
        <v>159.80000000000001</v>
      </c>
    </row>
    <row r="101" spans="1:43">
      <c r="A101" s="151" t="s">
        <v>2615</v>
      </c>
      <c r="B101" s="151" t="s">
        <v>2512</v>
      </c>
      <c r="C101" s="151">
        <v>0.4</v>
      </c>
      <c r="D101" s="151">
        <v>0.4</v>
      </c>
      <c r="E101" s="151">
        <v>0.5</v>
      </c>
      <c r="F101" s="151">
        <v>0.4</v>
      </c>
      <c r="G101" s="151">
        <v>0.4</v>
      </c>
      <c r="H101" s="151">
        <v>0.3</v>
      </c>
      <c r="I101" s="151">
        <v>0.3</v>
      </c>
      <c r="J101" s="151">
        <v>0.3</v>
      </c>
      <c r="K101" s="151">
        <v>0.4</v>
      </c>
      <c r="L101" s="151">
        <v>0.4</v>
      </c>
      <c r="M101" s="151">
        <v>0.4</v>
      </c>
      <c r="N101" s="151">
        <v>0.4</v>
      </c>
      <c r="O101" s="151">
        <v>0.4</v>
      </c>
      <c r="P101" s="151">
        <v>0.4</v>
      </c>
      <c r="Q101" s="151">
        <v>0.3</v>
      </c>
      <c r="R101" s="151">
        <v>0.3</v>
      </c>
      <c r="S101" s="151">
        <v>0.3</v>
      </c>
      <c r="T101" s="151">
        <v>0.4</v>
      </c>
      <c r="U101" s="151">
        <v>0.4</v>
      </c>
      <c r="V101" s="151">
        <v>0.4</v>
      </c>
      <c r="W101" s="151">
        <v>0.5</v>
      </c>
      <c r="X101" s="151">
        <v>0.6</v>
      </c>
      <c r="Y101" s="151">
        <v>0.5</v>
      </c>
      <c r="Z101" s="151">
        <v>0.4</v>
      </c>
      <c r="AA101" s="151">
        <v>0.4</v>
      </c>
      <c r="AB101" s="151">
        <v>0.4</v>
      </c>
      <c r="AC101" s="151">
        <v>0.4</v>
      </c>
      <c r="AD101" s="151">
        <v>0.4</v>
      </c>
      <c r="AE101" s="151">
        <v>0.4</v>
      </c>
      <c r="AF101" s="151">
        <v>0.4</v>
      </c>
      <c r="AG101" s="151">
        <v>0.4</v>
      </c>
      <c r="AH101" s="151">
        <v>0.4</v>
      </c>
      <c r="AI101" s="151">
        <v>0.5</v>
      </c>
      <c r="AJ101" s="151">
        <v>0.5</v>
      </c>
      <c r="AK101" s="151">
        <v>0.5</v>
      </c>
      <c r="AL101" s="151">
        <v>0.5</v>
      </c>
      <c r="AM101" s="151">
        <v>0.5</v>
      </c>
      <c r="AN101" s="151">
        <v>0.6</v>
      </c>
      <c r="AO101" s="151">
        <v>0.6</v>
      </c>
      <c r="AP101" s="151">
        <v>0.6</v>
      </c>
      <c r="AQ101" s="151">
        <v>0.6</v>
      </c>
    </row>
    <row r="102" spans="1:43">
      <c r="A102" s="151" t="s">
        <v>2616</v>
      </c>
      <c r="B102" s="151" t="s">
        <v>2516</v>
      </c>
      <c r="C102" s="151">
        <v>11.5</v>
      </c>
      <c r="D102" s="151">
        <v>12.1</v>
      </c>
      <c r="E102" s="151">
        <v>12.4</v>
      </c>
      <c r="F102" s="151">
        <v>12.6</v>
      </c>
      <c r="G102" s="151">
        <v>13</v>
      </c>
      <c r="H102" s="151">
        <v>14.1</v>
      </c>
      <c r="I102" s="151">
        <v>15.1</v>
      </c>
      <c r="J102" s="151">
        <v>16.2</v>
      </c>
      <c r="K102" s="151">
        <v>17</v>
      </c>
      <c r="L102" s="151">
        <v>18.399999999999999</v>
      </c>
      <c r="M102" s="151">
        <v>19.8</v>
      </c>
      <c r="N102" s="151">
        <v>20.9</v>
      </c>
      <c r="O102" s="151">
        <v>22.5</v>
      </c>
      <c r="P102" s="151">
        <v>23.1</v>
      </c>
      <c r="Q102" s="151">
        <v>24.1</v>
      </c>
      <c r="R102" s="151">
        <v>25</v>
      </c>
      <c r="S102" s="151">
        <v>25.6</v>
      </c>
      <c r="T102" s="151">
        <v>26.7</v>
      </c>
      <c r="U102" s="151">
        <v>27.8</v>
      </c>
      <c r="V102" s="151">
        <v>29.9</v>
      </c>
      <c r="W102" s="151">
        <v>32</v>
      </c>
      <c r="X102" s="151">
        <v>42.7</v>
      </c>
      <c r="Y102" s="151">
        <v>38.799999999999997</v>
      </c>
      <c r="Z102" s="151">
        <v>37.5</v>
      </c>
      <c r="AA102" s="151">
        <v>39.1</v>
      </c>
      <c r="AB102" s="151">
        <v>40.200000000000003</v>
      </c>
      <c r="AC102" s="151">
        <v>42.1</v>
      </c>
      <c r="AD102" s="151">
        <v>43.8</v>
      </c>
      <c r="AE102" s="151">
        <v>45.7</v>
      </c>
      <c r="AF102" s="151">
        <v>46.1</v>
      </c>
      <c r="AG102" s="151">
        <v>44.5</v>
      </c>
      <c r="AH102" s="151">
        <v>43.6</v>
      </c>
      <c r="AI102" s="151">
        <v>43.7</v>
      </c>
      <c r="AJ102" s="151">
        <v>43.8</v>
      </c>
      <c r="AK102" s="151">
        <v>43.4</v>
      </c>
      <c r="AL102" s="151">
        <v>44.4</v>
      </c>
      <c r="AM102" s="151">
        <v>45.6</v>
      </c>
      <c r="AN102" s="151">
        <v>46.9</v>
      </c>
      <c r="AO102" s="151">
        <v>49.3</v>
      </c>
      <c r="AP102" s="151">
        <v>50.8</v>
      </c>
      <c r="AQ102" s="151">
        <v>53</v>
      </c>
    </row>
    <row r="103" spans="1:43">
      <c r="A103" s="151" t="s">
        <v>2617</v>
      </c>
      <c r="B103" s="151" t="s">
        <v>2518</v>
      </c>
      <c r="C103" s="151">
        <v>7</v>
      </c>
      <c r="D103" s="151">
        <v>7.1</v>
      </c>
      <c r="E103" s="151">
        <v>7</v>
      </c>
      <c r="F103" s="151">
        <v>6.8</v>
      </c>
      <c r="G103" s="151">
        <v>6.8</v>
      </c>
      <c r="H103" s="151">
        <v>7.3</v>
      </c>
      <c r="I103" s="151">
        <v>7.9</v>
      </c>
      <c r="J103" s="151">
        <v>8.6</v>
      </c>
      <c r="K103" s="151">
        <v>8.9</v>
      </c>
      <c r="L103" s="151">
        <v>9.6999999999999993</v>
      </c>
      <c r="M103" s="151">
        <v>10.5</v>
      </c>
      <c r="N103" s="151">
        <v>10.9</v>
      </c>
      <c r="O103" s="151">
        <v>12.1</v>
      </c>
      <c r="P103" s="151">
        <v>12.3</v>
      </c>
      <c r="Q103" s="151">
        <v>12.6</v>
      </c>
      <c r="R103" s="151">
        <v>12.9</v>
      </c>
      <c r="S103" s="151">
        <v>13</v>
      </c>
      <c r="T103" s="151">
        <v>13.6</v>
      </c>
      <c r="U103" s="151">
        <v>14.2</v>
      </c>
      <c r="V103" s="151">
        <v>15.2</v>
      </c>
      <c r="W103" s="151">
        <v>16.100000000000001</v>
      </c>
      <c r="X103" s="151">
        <v>18.600000000000001</v>
      </c>
      <c r="Y103" s="151">
        <v>20.3</v>
      </c>
      <c r="Z103" s="151">
        <v>19.399999999999999</v>
      </c>
      <c r="AA103" s="151">
        <v>19.5</v>
      </c>
      <c r="AB103" s="151">
        <v>20.5</v>
      </c>
      <c r="AC103" s="151">
        <v>21.4</v>
      </c>
      <c r="AD103" s="151">
        <v>21.8</v>
      </c>
      <c r="AE103" s="151">
        <v>22.9</v>
      </c>
      <c r="AF103" s="151">
        <v>23.4</v>
      </c>
      <c r="AG103" s="151">
        <v>22.4</v>
      </c>
      <c r="AH103" s="151">
        <v>21.3</v>
      </c>
      <c r="AI103" s="151">
        <v>21.9</v>
      </c>
      <c r="AJ103" s="151">
        <v>21.9</v>
      </c>
      <c r="AK103" s="151">
        <v>21</v>
      </c>
      <c r="AL103" s="151">
        <v>20.6</v>
      </c>
      <c r="AM103" s="151">
        <v>21.5</v>
      </c>
      <c r="AN103" s="151">
        <v>22</v>
      </c>
      <c r="AO103" s="151">
        <v>22.8</v>
      </c>
      <c r="AP103" s="151">
        <v>23.8</v>
      </c>
      <c r="AQ103" s="151">
        <v>25.3</v>
      </c>
    </row>
    <row r="104" spans="1:43">
      <c r="A104" s="151" t="s">
        <v>2618</v>
      </c>
      <c r="B104" s="151" t="s">
        <v>2520</v>
      </c>
      <c r="C104" s="151">
        <v>1.8</v>
      </c>
      <c r="D104" s="151">
        <v>1.9</v>
      </c>
      <c r="E104" s="151">
        <v>2.1</v>
      </c>
      <c r="F104" s="151">
        <v>2.2999999999999998</v>
      </c>
      <c r="G104" s="151">
        <v>2.5</v>
      </c>
      <c r="H104" s="151">
        <v>2.7</v>
      </c>
      <c r="I104" s="151">
        <v>2.8</v>
      </c>
      <c r="J104" s="151">
        <v>2.9</v>
      </c>
      <c r="K104" s="151">
        <v>3</v>
      </c>
      <c r="L104" s="151">
        <v>3.2</v>
      </c>
      <c r="M104" s="151">
        <v>3.5</v>
      </c>
      <c r="N104" s="151">
        <v>3.7</v>
      </c>
      <c r="O104" s="151">
        <v>3.8</v>
      </c>
      <c r="P104" s="151">
        <v>3.8</v>
      </c>
      <c r="Q104" s="151">
        <v>3.9</v>
      </c>
      <c r="R104" s="151">
        <v>3.9</v>
      </c>
      <c r="S104" s="151">
        <v>4.0999999999999996</v>
      </c>
      <c r="T104" s="151">
        <v>4.2</v>
      </c>
      <c r="U104" s="151">
        <v>4.5</v>
      </c>
      <c r="V104" s="151">
        <v>5.0999999999999996</v>
      </c>
      <c r="W104" s="151">
        <v>5.7</v>
      </c>
      <c r="X104" s="151">
        <v>5.9</v>
      </c>
      <c r="Y104" s="151">
        <v>5.9</v>
      </c>
      <c r="Z104" s="151">
        <v>5.8</v>
      </c>
      <c r="AA104" s="151">
        <v>5.8</v>
      </c>
      <c r="AB104" s="151">
        <v>5.7</v>
      </c>
      <c r="AC104" s="151">
        <v>5.7</v>
      </c>
      <c r="AD104" s="151">
        <v>5.9</v>
      </c>
      <c r="AE104" s="151">
        <v>6</v>
      </c>
      <c r="AF104" s="151">
        <v>6</v>
      </c>
      <c r="AG104" s="151">
        <v>6</v>
      </c>
      <c r="AH104" s="151">
        <v>6</v>
      </c>
      <c r="AI104" s="151">
        <v>5.9</v>
      </c>
      <c r="AJ104" s="151">
        <v>6</v>
      </c>
      <c r="AK104" s="151">
        <v>6.2</v>
      </c>
      <c r="AL104" s="151">
        <v>5.7</v>
      </c>
      <c r="AM104" s="151">
        <v>5.6</v>
      </c>
      <c r="AN104" s="151">
        <v>6.2</v>
      </c>
      <c r="AO104" s="151">
        <v>6.8</v>
      </c>
      <c r="AP104" s="151">
        <v>7.2</v>
      </c>
      <c r="AQ104" s="151">
        <v>7.5</v>
      </c>
    </row>
    <row r="105" spans="1:43">
      <c r="A105" s="151" t="s">
        <v>2619</v>
      </c>
      <c r="B105" s="151" t="s">
        <v>2522</v>
      </c>
      <c r="C105" s="151" t="s">
        <v>2584</v>
      </c>
      <c r="D105" s="151" t="s">
        <v>2584</v>
      </c>
      <c r="E105" s="151" t="s">
        <v>2584</v>
      </c>
      <c r="F105" s="151" t="s">
        <v>2584</v>
      </c>
      <c r="G105" s="151" t="s">
        <v>2584</v>
      </c>
      <c r="H105" s="151" t="s">
        <v>2584</v>
      </c>
      <c r="I105" s="151" t="s">
        <v>2584</v>
      </c>
      <c r="J105" s="151" t="s">
        <v>2584</v>
      </c>
      <c r="K105" s="151" t="s">
        <v>2584</v>
      </c>
      <c r="L105" s="151" t="s">
        <v>2584</v>
      </c>
      <c r="M105" s="151" t="s">
        <v>2584</v>
      </c>
      <c r="N105" s="151" t="s">
        <v>2584</v>
      </c>
      <c r="O105" s="151" t="s">
        <v>2584</v>
      </c>
      <c r="P105" s="151" t="s">
        <v>2584</v>
      </c>
      <c r="Q105" s="151" t="s">
        <v>2584</v>
      </c>
      <c r="R105" s="151" t="s">
        <v>2584</v>
      </c>
      <c r="S105" s="151" t="s">
        <v>2584</v>
      </c>
      <c r="T105" s="151" t="s">
        <v>2584</v>
      </c>
      <c r="U105" s="151" t="s">
        <v>2584</v>
      </c>
      <c r="V105" s="151" t="s">
        <v>2584</v>
      </c>
      <c r="W105" s="151" t="s">
        <v>2584</v>
      </c>
      <c r="X105" s="151">
        <v>7</v>
      </c>
      <c r="Y105" s="151">
        <v>0.4</v>
      </c>
      <c r="Z105" s="151">
        <v>-0.3</v>
      </c>
      <c r="AA105" s="151">
        <v>0</v>
      </c>
      <c r="AB105" s="151">
        <v>0</v>
      </c>
      <c r="AC105" s="151">
        <v>0</v>
      </c>
      <c r="AD105" s="151">
        <v>0</v>
      </c>
      <c r="AE105" s="151">
        <v>0</v>
      </c>
      <c r="AF105" s="151">
        <v>0</v>
      </c>
      <c r="AG105" s="151">
        <v>0</v>
      </c>
      <c r="AH105" s="151">
        <v>0</v>
      </c>
      <c r="AI105" s="151">
        <v>0</v>
      </c>
      <c r="AJ105" s="151">
        <v>0</v>
      </c>
      <c r="AK105" s="151">
        <v>0</v>
      </c>
      <c r="AL105" s="151">
        <v>0</v>
      </c>
      <c r="AM105" s="151">
        <v>0</v>
      </c>
      <c r="AN105" s="151">
        <v>0</v>
      </c>
      <c r="AO105" s="151">
        <v>0</v>
      </c>
      <c r="AP105" s="151">
        <v>0</v>
      </c>
      <c r="AQ105" s="151">
        <v>0</v>
      </c>
    </row>
    <row r="106" spans="1:43">
      <c r="A106" s="151" t="s">
        <v>2620</v>
      </c>
      <c r="B106" s="151" t="s">
        <v>2524</v>
      </c>
      <c r="C106" s="151">
        <v>2.7</v>
      </c>
      <c r="D106" s="151">
        <v>3.1</v>
      </c>
      <c r="E106" s="151">
        <v>3.3</v>
      </c>
      <c r="F106" s="151">
        <v>3.5</v>
      </c>
      <c r="G106" s="151">
        <v>3.7</v>
      </c>
      <c r="H106" s="151">
        <v>4.0999999999999996</v>
      </c>
      <c r="I106" s="151">
        <v>4.3</v>
      </c>
      <c r="J106" s="151">
        <v>4.7</v>
      </c>
      <c r="K106" s="151">
        <v>5.0999999999999996</v>
      </c>
      <c r="L106" s="151">
        <v>5.5</v>
      </c>
      <c r="M106" s="151">
        <v>5.8</v>
      </c>
      <c r="N106" s="151">
        <v>6.3</v>
      </c>
      <c r="O106" s="151">
        <v>6.7</v>
      </c>
      <c r="P106" s="151">
        <v>7.1</v>
      </c>
      <c r="Q106" s="151">
        <v>7.7</v>
      </c>
      <c r="R106" s="151">
        <v>8.1999999999999993</v>
      </c>
      <c r="S106" s="151">
        <v>8.5</v>
      </c>
      <c r="T106" s="151">
        <v>8.8000000000000007</v>
      </c>
      <c r="U106" s="151">
        <v>9.1</v>
      </c>
      <c r="V106" s="151">
        <v>9.5</v>
      </c>
      <c r="W106" s="151">
        <v>10.199999999999999</v>
      </c>
      <c r="X106" s="151">
        <v>11.2</v>
      </c>
      <c r="Y106" s="151">
        <v>12.2</v>
      </c>
      <c r="Z106" s="151">
        <v>12.5</v>
      </c>
      <c r="AA106" s="151">
        <v>13.4</v>
      </c>
      <c r="AB106" s="151">
        <v>13.7</v>
      </c>
      <c r="AC106" s="151">
        <v>14.9</v>
      </c>
      <c r="AD106" s="151">
        <v>16.100000000000001</v>
      </c>
      <c r="AE106" s="151">
        <v>16.899999999999999</v>
      </c>
      <c r="AF106" s="151">
        <v>16.8</v>
      </c>
      <c r="AG106" s="151">
        <v>16.2</v>
      </c>
      <c r="AH106" s="151">
        <v>16.399999999999999</v>
      </c>
      <c r="AI106" s="151">
        <v>16.3</v>
      </c>
      <c r="AJ106" s="151">
        <v>16.399999999999999</v>
      </c>
      <c r="AK106" s="151">
        <v>16.7</v>
      </c>
      <c r="AL106" s="151">
        <v>18.3</v>
      </c>
      <c r="AM106" s="151">
        <v>19.5</v>
      </c>
      <c r="AN106" s="151">
        <v>19.600000000000001</v>
      </c>
      <c r="AO106" s="151">
        <v>20.6</v>
      </c>
      <c r="AP106" s="151">
        <v>20.6</v>
      </c>
      <c r="AQ106" s="151">
        <v>21.1</v>
      </c>
    </row>
    <row r="107" spans="1:43">
      <c r="A107" s="151" t="s">
        <v>2621</v>
      </c>
      <c r="B107" s="151" t="s">
        <v>2528</v>
      </c>
      <c r="C107" s="151">
        <v>0</v>
      </c>
      <c r="D107" s="151">
        <v>0</v>
      </c>
      <c r="E107" s="151">
        <v>0</v>
      </c>
      <c r="F107" s="151">
        <v>0</v>
      </c>
      <c r="G107" s="151">
        <v>0</v>
      </c>
      <c r="H107" s="151">
        <v>0</v>
      </c>
      <c r="I107" s="151">
        <v>0</v>
      </c>
      <c r="J107" s="151">
        <v>0</v>
      </c>
      <c r="K107" s="151">
        <v>0</v>
      </c>
      <c r="L107" s="151">
        <v>0</v>
      </c>
      <c r="M107" s="151">
        <v>0</v>
      </c>
      <c r="N107" s="151">
        <v>0</v>
      </c>
      <c r="O107" s="151">
        <v>0</v>
      </c>
      <c r="P107" s="151">
        <v>-0.1</v>
      </c>
      <c r="Q107" s="151">
        <v>-0.1</v>
      </c>
      <c r="R107" s="151">
        <v>0</v>
      </c>
      <c r="S107" s="151">
        <v>0</v>
      </c>
      <c r="T107" s="151">
        <v>0</v>
      </c>
      <c r="U107" s="151">
        <v>0</v>
      </c>
      <c r="V107" s="151">
        <v>0.1</v>
      </c>
      <c r="W107" s="151">
        <v>0</v>
      </c>
      <c r="X107" s="151">
        <v>0</v>
      </c>
      <c r="Y107" s="151">
        <v>0</v>
      </c>
      <c r="Z107" s="151">
        <v>0.2</v>
      </c>
      <c r="AA107" s="151">
        <v>0.3</v>
      </c>
      <c r="AB107" s="151">
        <v>0.3</v>
      </c>
      <c r="AC107" s="151">
        <v>0.1</v>
      </c>
      <c r="AD107" s="151">
        <v>-0.1</v>
      </c>
      <c r="AE107" s="151">
        <v>0</v>
      </c>
      <c r="AF107" s="151">
        <v>-0.1</v>
      </c>
      <c r="AG107" s="151">
        <v>-0.1</v>
      </c>
      <c r="AH107" s="151">
        <v>-0.1</v>
      </c>
      <c r="AI107" s="151">
        <v>-0.3</v>
      </c>
      <c r="AJ107" s="151">
        <v>-0.6</v>
      </c>
      <c r="AK107" s="151">
        <v>-0.6</v>
      </c>
      <c r="AL107" s="151">
        <v>-0.2</v>
      </c>
      <c r="AM107" s="151">
        <v>-0.9</v>
      </c>
      <c r="AN107" s="151">
        <v>-0.9</v>
      </c>
      <c r="AO107" s="151">
        <v>-0.9</v>
      </c>
      <c r="AP107" s="151">
        <v>-0.8</v>
      </c>
      <c r="AQ107" s="151">
        <v>-0.8</v>
      </c>
    </row>
    <row r="108" spans="1:43">
      <c r="A108" s="151" t="s">
        <v>2622</v>
      </c>
      <c r="B108" s="81" t="s">
        <v>2623</v>
      </c>
      <c r="C108" s="151">
        <v>2.4</v>
      </c>
      <c r="D108" s="151">
        <v>2.6</v>
      </c>
      <c r="E108" s="151">
        <v>2.7</v>
      </c>
      <c r="F108" s="151">
        <v>2.7</v>
      </c>
      <c r="G108" s="151">
        <v>2.8</v>
      </c>
      <c r="H108" s="151">
        <v>2.9</v>
      </c>
      <c r="I108" s="151">
        <v>3.1</v>
      </c>
      <c r="J108" s="151">
        <v>3.2</v>
      </c>
      <c r="K108" s="151">
        <v>3.7</v>
      </c>
      <c r="L108" s="151">
        <v>4.2</v>
      </c>
      <c r="M108" s="151">
        <v>4.8</v>
      </c>
      <c r="N108" s="151">
        <v>5.3</v>
      </c>
      <c r="O108" s="151">
        <v>5.5</v>
      </c>
      <c r="P108" s="151">
        <v>5.4</v>
      </c>
      <c r="Q108" s="151">
        <v>5.7</v>
      </c>
      <c r="R108" s="151">
        <v>5.7</v>
      </c>
      <c r="S108" s="151">
        <v>6</v>
      </c>
      <c r="T108" s="151">
        <v>6.2</v>
      </c>
      <c r="U108" s="151">
        <v>6.3</v>
      </c>
      <c r="V108" s="151">
        <v>6.9</v>
      </c>
      <c r="W108" s="151">
        <v>7.6</v>
      </c>
      <c r="X108" s="151">
        <v>8.1999999999999993</v>
      </c>
      <c r="Y108" s="151">
        <v>8.5</v>
      </c>
      <c r="Z108" s="151">
        <v>8.6</v>
      </c>
      <c r="AA108" s="151">
        <v>8.6999999999999993</v>
      </c>
      <c r="AB108" s="151">
        <v>9.3000000000000007</v>
      </c>
      <c r="AC108" s="151">
        <v>8.9</v>
      </c>
      <c r="AD108" s="151">
        <v>15.4</v>
      </c>
      <c r="AE108" s="151">
        <v>11.6</v>
      </c>
      <c r="AF108" s="151">
        <v>9.9</v>
      </c>
      <c r="AG108" s="151">
        <v>9.6</v>
      </c>
      <c r="AH108" s="151">
        <v>8.6</v>
      </c>
      <c r="AI108" s="151">
        <v>8.5</v>
      </c>
      <c r="AJ108" s="151">
        <v>8.3000000000000007</v>
      </c>
      <c r="AK108" s="151">
        <v>7.6</v>
      </c>
      <c r="AL108" s="151">
        <v>7.5</v>
      </c>
      <c r="AM108" s="151">
        <v>7.6</v>
      </c>
      <c r="AN108" s="151">
        <v>7.9</v>
      </c>
      <c r="AO108" s="151">
        <v>9.1999999999999993</v>
      </c>
      <c r="AP108" s="151">
        <v>8.8000000000000007</v>
      </c>
      <c r="AQ108" s="151">
        <v>9.1</v>
      </c>
    </row>
    <row r="109" spans="1:43">
      <c r="A109" s="151" t="s">
        <v>2624</v>
      </c>
      <c r="B109" s="81" t="s">
        <v>2625</v>
      </c>
      <c r="C109" s="151">
        <v>40.299999999999997</v>
      </c>
      <c r="D109" s="151">
        <v>45.6</v>
      </c>
      <c r="E109" s="151">
        <v>49</v>
      </c>
      <c r="F109" s="151">
        <v>52.4</v>
      </c>
      <c r="G109" s="151">
        <v>56.3</v>
      </c>
      <c r="H109" s="151">
        <v>61.4</v>
      </c>
      <c r="I109" s="151">
        <v>66.400000000000006</v>
      </c>
      <c r="J109" s="151">
        <v>72.5</v>
      </c>
      <c r="K109" s="151">
        <v>80</v>
      </c>
      <c r="L109" s="151">
        <v>90.2</v>
      </c>
      <c r="M109" s="151">
        <v>106.2</v>
      </c>
      <c r="N109" s="151">
        <v>130.9</v>
      </c>
      <c r="O109" s="151">
        <v>150.4</v>
      </c>
      <c r="P109" s="151">
        <v>162.30000000000001</v>
      </c>
      <c r="Q109" s="151">
        <v>172.4</v>
      </c>
      <c r="R109" s="151">
        <v>181.9</v>
      </c>
      <c r="S109" s="151">
        <v>190.4</v>
      </c>
      <c r="T109" s="151">
        <v>193.4</v>
      </c>
      <c r="U109" s="151">
        <v>200.9</v>
      </c>
      <c r="V109" s="151">
        <v>220.5</v>
      </c>
      <c r="W109" s="151">
        <v>237.6</v>
      </c>
      <c r="X109" s="151">
        <v>266.5</v>
      </c>
      <c r="Y109" s="151">
        <v>295.89999999999998</v>
      </c>
      <c r="Z109" s="151">
        <v>312.89999999999998</v>
      </c>
      <c r="AA109" s="151">
        <v>342.2</v>
      </c>
      <c r="AB109" s="151">
        <v>364.6</v>
      </c>
      <c r="AC109" s="151">
        <v>361.1</v>
      </c>
      <c r="AD109" s="151">
        <v>395.2</v>
      </c>
      <c r="AE109" s="151">
        <v>416.9</v>
      </c>
      <c r="AF109" s="151">
        <v>446.6</v>
      </c>
      <c r="AG109" s="151">
        <v>473</v>
      </c>
      <c r="AH109" s="151">
        <v>480.8</v>
      </c>
      <c r="AI109" s="151">
        <v>491.9</v>
      </c>
      <c r="AJ109" s="151">
        <v>516</v>
      </c>
      <c r="AK109" s="151">
        <v>565.6</v>
      </c>
      <c r="AL109" s="151">
        <v>610.79999999999995</v>
      </c>
      <c r="AM109" s="151">
        <v>644.79999999999995</v>
      </c>
      <c r="AN109" s="151">
        <v>657.7</v>
      </c>
      <c r="AO109" s="151">
        <v>681</v>
      </c>
      <c r="AP109" s="151">
        <v>705.4</v>
      </c>
      <c r="AQ109" s="151">
        <v>755.4</v>
      </c>
    </row>
    <row r="110" spans="1:43">
      <c r="A110" s="151" t="s">
        <v>2626</v>
      </c>
      <c r="B110" s="151" t="s">
        <v>2627</v>
      </c>
      <c r="C110" s="151">
        <v>57.8</v>
      </c>
      <c r="D110" s="151">
        <v>66.8</v>
      </c>
      <c r="E110" s="151">
        <v>73.7</v>
      </c>
      <c r="F110" s="151">
        <v>80.400000000000006</v>
      </c>
      <c r="G110" s="151">
        <v>85.9</v>
      </c>
      <c r="H110" s="151">
        <v>93.6</v>
      </c>
      <c r="I110" s="151">
        <v>101.4</v>
      </c>
      <c r="J110" s="151">
        <v>109.8</v>
      </c>
      <c r="K110" s="151">
        <v>120.5</v>
      </c>
      <c r="L110" s="151">
        <v>135.4</v>
      </c>
      <c r="M110" s="151">
        <v>156.5</v>
      </c>
      <c r="N110" s="151">
        <v>188.1</v>
      </c>
      <c r="O110" s="151">
        <v>215.9</v>
      </c>
      <c r="P110" s="151">
        <v>235.6</v>
      </c>
      <c r="Q110" s="151">
        <v>251.5</v>
      </c>
      <c r="R110" s="151">
        <v>267.10000000000002</v>
      </c>
      <c r="S110" s="151">
        <v>277.10000000000002</v>
      </c>
      <c r="T110" s="151">
        <v>283.39999999999998</v>
      </c>
      <c r="U110" s="151">
        <v>294.5</v>
      </c>
      <c r="V110" s="151">
        <v>317.3</v>
      </c>
      <c r="W110" s="151">
        <v>341.7</v>
      </c>
      <c r="X110" s="151">
        <v>382.8</v>
      </c>
      <c r="Y110" s="151">
        <v>416.8</v>
      </c>
      <c r="Z110" s="151">
        <v>437.9</v>
      </c>
      <c r="AA110" s="151">
        <v>473.3</v>
      </c>
      <c r="AB110" s="151">
        <v>497.1</v>
      </c>
      <c r="AC110" s="151">
        <v>502.3</v>
      </c>
      <c r="AD110" s="151">
        <v>544.70000000000005</v>
      </c>
      <c r="AE110" s="151">
        <v>575.5</v>
      </c>
      <c r="AF110" s="151">
        <v>615.6</v>
      </c>
      <c r="AG110" s="151">
        <v>649.4</v>
      </c>
      <c r="AH110" s="151">
        <v>663.5</v>
      </c>
      <c r="AI110" s="151">
        <v>680.6</v>
      </c>
      <c r="AJ110" s="151">
        <v>713.9</v>
      </c>
      <c r="AK110" s="151">
        <v>774.9</v>
      </c>
      <c r="AL110" s="151">
        <v>831.2</v>
      </c>
      <c r="AM110" s="151">
        <v>874.3</v>
      </c>
      <c r="AN110" s="151">
        <v>899</v>
      </c>
      <c r="AO110" s="151">
        <v>935.4</v>
      </c>
      <c r="AP110" s="151">
        <v>967.2</v>
      </c>
      <c r="AQ110" s="151">
        <v>1006.7</v>
      </c>
    </row>
    <row r="111" spans="1:43">
      <c r="A111" s="151" t="s">
        <v>2628</v>
      </c>
      <c r="B111" s="151" t="s">
        <v>2629</v>
      </c>
      <c r="C111" s="151">
        <v>17.5</v>
      </c>
      <c r="D111" s="151">
        <v>21.2</v>
      </c>
      <c r="E111" s="151">
        <v>24.7</v>
      </c>
      <c r="F111" s="151">
        <v>28</v>
      </c>
      <c r="G111" s="151">
        <v>29.5</v>
      </c>
      <c r="H111" s="151">
        <v>32.200000000000003</v>
      </c>
      <c r="I111" s="151">
        <v>34.9</v>
      </c>
      <c r="J111" s="151">
        <v>37.200000000000003</v>
      </c>
      <c r="K111" s="151">
        <v>40.5</v>
      </c>
      <c r="L111" s="151">
        <v>45.2</v>
      </c>
      <c r="M111" s="151">
        <v>50.2</v>
      </c>
      <c r="N111" s="151">
        <v>57.2</v>
      </c>
      <c r="O111" s="151">
        <v>65.5</v>
      </c>
      <c r="P111" s="151">
        <v>73.3</v>
      </c>
      <c r="Q111" s="151">
        <v>79</v>
      </c>
      <c r="R111" s="151">
        <v>85.2</v>
      </c>
      <c r="S111" s="151">
        <v>86.7</v>
      </c>
      <c r="T111" s="151">
        <v>90</v>
      </c>
      <c r="U111" s="151">
        <v>93.6</v>
      </c>
      <c r="V111" s="151">
        <v>96.9</v>
      </c>
      <c r="W111" s="151">
        <v>104.1</v>
      </c>
      <c r="X111" s="151">
        <v>116.3</v>
      </c>
      <c r="Y111" s="151">
        <v>120.9</v>
      </c>
      <c r="Z111" s="151">
        <v>125</v>
      </c>
      <c r="AA111" s="151">
        <v>131.1</v>
      </c>
      <c r="AB111" s="151">
        <v>132.5</v>
      </c>
      <c r="AC111" s="151">
        <v>141.19999999999999</v>
      </c>
      <c r="AD111" s="151">
        <v>149.4</v>
      </c>
      <c r="AE111" s="151">
        <v>158.6</v>
      </c>
      <c r="AF111" s="151">
        <v>168.9</v>
      </c>
      <c r="AG111" s="151">
        <v>176.4</v>
      </c>
      <c r="AH111" s="151">
        <v>182.7</v>
      </c>
      <c r="AI111" s="151">
        <v>188.7</v>
      </c>
      <c r="AJ111" s="151">
        <v>197.9</v>
      </c>
      <c r="AK111" s="151">
        <v>209.3</v>
      </c>
      <c r="AL111" s="151">
        <v>220.4</v>
      </c>
      <c r="AM111" s="151">
        <v>229.5</v>
      </c>
      <c r="AN111" s="151">
        <v>241.3</v>
      </c>
      <c r="AO111" s="151">
        <v>254.4</v>
      </c>
      <c r="AP111" s="151">
        <v>261.7</v>
      </c>
      <c r="AQ111" s="151">
        <v>251.3</v>
      </c>
    </row>
    <row r="112" spans="1:43">
      <c r="A112" s="151" t="s">
        <v>2630</v>
      </c>
      <c r="B112" s="81" t="s">
        <v>2533</v>
      </c>
      <c r="C112" s="151">
        <v>4.0999999999999996</v>
      </c>
      <c r="D112" s="151">
        <v>4.5</v>
      </c>
      <c r="E112" s="151">
        <v>5</v>
      </c>
      <c r="F112" s="151">
        <v>5.5</v>
      </c>
      <c r="G112" s="151">
        <v>5.9</v>
      </c>
      <c r="H112" s="151">
        <v>6.7</v>
      </c>
      <c r="I112" s="151">
        <v>7.2</v>
      </c>
      <c r="J112" s="151">
        <v>7.4</v>
      </c>
      <c r="K112" s="151">
        <v>8</v>
      </c>
      <c r="L112" s="151">
        <v>8.9</v>
      </c>
      <c r="M112" s="151">
        <v>9.8000000000000007</v>
      </c>
      <c r="N112" s="151">
        <v>10.6</v>
      </c>
      <c r="O112" s="151">
        <v>11.4</v>
      </c>
      <c r="P112" s="151">
        <v>11.6</v>
      </c>
      <c r="Q112" s="151">
        <v>12.4</v>
      </c>
      <c r="R112" s="151">
        <v>13.1</v>
      </c>
      <c r="S112" s="151">
        <v>13.5</v>
      </c>
      <c r="T112" s="151">
        <v>14.2</v>
      </c>
      <c r="U112" s="151">
        <v>15</v>
      </c>
      <c r="V112" s="151">
        <v>16.2</v>
      </c>
      <c r="W112" s="151">
        <v>17.600000000000001</v>
      </c>
      <c r="X112" s="151">
        <v>19.2</v>
      </c>
      <c r="Y112" s="151">
        <v>20.8</v>
      </c>
      <c r="Z112" s="151">
        <v>21.2</v>
      </c>
      <c r="AA112" s="151">
        <v>22.2</v>
      </c>
      <c r="AB112" s="151">
        <v>23.5</v>
      </c>
      <c r="AC112" s="151">
        <v>25.5</v>
      </c>
      <c r="AD112" s="151">
        <v>27.2</v>
      </c>
      <c r="AE112" s="151">
        <v>28.7</v>
      </c>
      <c r="AF112" s="151">
        <v>28.8</v>
      </c>
      <c r="AG112" s="151">
        <v>28.5</v>
      </c>
      <c r="AH112" s="151">
        <v>27.9</v>
      </c>
      <c r="AI112" s="151">
        <v>27.6</v>
      </c>
      <c r="AJ112" s="151">
        <v>29</v>
      </c>
      <c r="AK112" s="151">
        <v>30.1</v>
      </c>
      <c r="AL112" s="151">
        <v>31.4</v>
      </c>
      <c r="AM112" s="151">
        <v>33</v>
      </c>
      <c r="AN112" s="151">
        <v>34.299999999999997</v>
      </c>
      <c r="AO112" s="151">
        <v>36.6</v>
      </c>
      <c r="AP112" s="151">
        <v>37.6</v>
      </c>
      <c r="AQ112" s="151">
        <v>37.799999999999997</v>
      </c>
    </row>
    <row r="113" spans="1:43">
      <c r="A113" s="151" t="s">
        <v>2631</v>
      </c>
      <c r="B113" s="81" t="s">
        <v>633</v>
      </c>
      <c r="C113" s="151">
        <v>121.7</v>
      </c>
      <c r="D113" s="151">
        <v>132.80000000000001</v>
      </c>
      <c r="E113" s="151">
        <v>142.9</v>
      </c>
      <c r="F113" s="151">
        <v>151.30000000000001</v>
      </c>
      <c r="G113" s="151">
        <v>163.6</v>
      </c>
      <c r="H113" s="151">
        <v>177.7</v>
      </c>
      <c r="I113" s="151">
        <v>192.3</v>
      </c>
      <c r="J113" s="151">
        <v>206.5</v>
      </c>
      <c r="K113" s="151">
        <v>221.5</v>
      </c>
      <c r="L113" s="151">
        <v>241.6</v>
      </c>
      <c r="M113" s="151">
        <v>263.5</v>
      </c>
      <c r="N113" s="151">
        <v>279.39999999999998</v>
      </c>
      <c r="O113" s="151">
        <v>295.3</v>
      </c>
      <c r="P113" s="151">
        <v>310.5</v>
      </c>
      <c r="Q113" s="151">
        <v>326.8</v>
      </c>
      <c r="R113" s="151">
        <v>345.9</v>
      </c>
      <c r="S113" s="151">
        <v>362.2</v>
      </c>
      <c r="T113" s="151">
        <v>381.1</v>
      </c>
      <c r="U113" s="151">
        <v>404.6</v>
      </c>
      <c r="V113" s="151">
        <v>431.9</v>
      </c>
      <c r="W113" s="151">
        <v>466.8</v>
      </c>
      <c r="X113" s="151">
        <v>501.3</v>
      </c>
      <c r="Y113" s="151">
        <v>518</v>
      </c>
      <c r="Z113" s="151">
        <v>538.1</v>
      </c>
      <c r="AA113" s="151">
        <v>568</v>
      </c>
      <c r="AB113" s="151">
        <v>596.79999999999995</v>
      </c>
      <c r="AC113" s="151">
        <v>632.20000000000005</v>
      </c>
      <c r="AD113" s="151">
        <v>676.6</v>
      </c>
      <c r="AE113" s="151">
        <v>712.6</v>
      </c>
      <c r="AF113" s="151">
        <v>728.3</v>
      </c>
      <c r="AG113" s="151">
        <v>742.9</v>
      </c>
      <c r="AH113" s="151">
        <v>746.4</v>
      </c>
      <c r="AI113" s="151">
        <v>754.9</v>
      </c>
      <c r="AJ113" s="151">
        <v>789.9</v>
      </c>
      <c r="AK113" s="151">
        <v>813.3</v>
      </c>
      <c r="AL113" s="151">
        <v>835.2</v>
      </c>
      <c r="AM113" s="151">
        <v>858.9</v>
      </c>
      <c r="AN113" s="151">
        <v>886.1</v>
      </c>
      <c r="AO113" s="151">
        <v>926.2</v>
      </c>
      <c r="AP113" s="151">
        <v>956.1</v>
      </c>
      <c r="AQ113" s="151">
        <v>970.4</v>
      </c>
    </row>
    <row r="114" spans="1:43">
      <c r="A114" s="151" t="s">
        <v>2632</v>
      </c>
      <c r="B114" s="151" t="s">
        <v>2536</v>
      </c>
      <c r="C114" s="151">
        <v>93</v>
      </c>
      <c r="D114" s="151">
        <v>100.7</v>
      </c>
      <c r="E114" s="151">
        <v>108.2</v>
      </c>
      <c r="F114" s="151">
        <v>115.6</v>
      </c>
      <c r="G114" s="151">
        <v>125.8</v>
      </c>
      <c r="H114" s="151">
        <v>136.1</v>
      </c>
      <c r="I114" s="151">
        <v>148.19999999999999</v>
      </c>
      <c r="J114" s="151">
        <v>160.4</v>
      </c>
      <c r="K114" s="151">
        <v>172.1</v>
      </c>
      <c r="L114" s="151">
        <v>187</v>
      </c>
      <c r="M114" s="151">
        <v>203.9</v>
      </c>
      <c r="N114" s="151">
        <v>217.3</v>
      </c>
      <c r="O114" s="151">
        <v>231</v>
      </c>
      <c r="P114" s="151">
        <v>241.1</v>
      </c>
      <c r="Q114" s="151">
        <v>252.2</v>
      </c>
      <c r="R114" s="151">
        <v>267.60000000000002</v>
      </c>
      <c r="S114" s="151">
        <v>281.39999999999998</v>
      </c>
      <c r="T114" s="151">
        <v>296.89999999999998</v>
      </c>
      <c r="U114" s="151">
        <v>315.10000000000002</v>
      </c>
      <c r="V114" s="151">
        <v>337</v>
      </c>
      <c r="W114" s="151">
        <v>363</v>
      </c>
      <c r="X114" s="151">
        <v>386.8</v>
      </c>
      <c r="Y114" s="151">
        <v>406.4</v>
      </c>
      <c r="Z114" s="151">
        <v>427.9</v>
      </c>
      <c r="AA114" s="151">
        <v>449.7</v>
      </c>
      <c r="AB114" s="151">
        <v>472</v>
      </c>
      <c r="AC114" s="151">
        <v>499.6</v>
      </c>
      <c r="AD114" s="151">
        <v>528.4</v>
      </c>
      <c r="AE114" s="151">
        <v>553</v>
      </c>
      <c r="AF114" s="151">
        <v>563.1</v>
      </c>
      <c r="AG114" s="151">
        <v>569.6</v>
      </c>
      <c r="AH114" s="151">
        <v>566.20000000000005</v>
      </c>
      <c r="AI114" s="151">
        <v>567.9</v>
      </c>
      <c r="AJ114" s="151">
        <v>590.70000000000005</v>
      </c>
      <c r="AK114" s="151">
        <v>606.20000000000005</v>
      </c>
      <c r="AL114" s="151">
        <v>624.4</v>
      </c>
      <c r="AM114" s="151">
        <v>644.6</v>
      </c>
      <c r="AN114" s="151">
        <v>665.6</v>
      </c>
      <c r="AO114" s="151">
        <v>694.7</v>
      </c>
      <c r="AP114" s="151">
        <v>716.6</v>
      </c>
      <c r="AQ114" s="151">
        <v>715.8</v>
      </c>
    </row>
    <row r="115" spans="1:43">
      <c r="A115" s="151" t="s">
        <v>2633</v>
      </c>
      <c r="B115" s="151" t="s">
        <v>2538</v>
      </c>
      <c r="C115" s="151">
        <v>20.7</v>
      </c>
      <c r="D115" s="151">
        <v>23.4</v>
      </c>
      <c r="E115" s="151">
        <v>25.5</v>
      </c>
      <c r="F115" s="151">
        <v>26.4</v>
      </c>
      <c r="G115" s="151">
        <v>27.8</v>
      </c>
      <c r="H115" s="151">
        <v>30.5</v>
      </c>
      <c r="I115" s="151">
        <v>32</v>
      </c>
      <c r="J115" s="151">
        <v>33.200000000000003</v>
      </c>
      <c r="K115" s="151">
        <v>35.700000000000003</v>
      </c>
      <c r="L115" s="151">
        <v>39.5</v>
      </c>
      <c r="M115" s="151">
        <v>43.1</v>
      </c>
      <c r="N115" s="151">
        <v>44.7</v>
      </c>
      <c r="O115" s="151">
        <v>46.1</v>
      </c>
      <c r="P115" s="151">
        <v>50.1</v>
      </c>
      <c r="Q115" s="151">
        <v>53.5</v>
      </c>
      <c r="R115" s="151">
        <v>55.3</v>
      </c>
      <c r="S115" s="151">
        <v>56.8</v>
      </c>
      <c r="T115" s="151">
        <v>59.4</v>
      </c>
      <c r="U115" s="151">
        <v>63.2</v>
      </c>
      <c r="V115" s="151">
        <v>66.599999999999994</v>
      </c>
      <c r="W115" s="151">
        <v>72.8</v>
      </c>
      <c r="X115" s="151">
        <v>80.599999999999994</v>
      </c>
      <c r="Y115" s="151">
        <v>76.099999999999994</v>
      </c>
      <c r="Z115" s="151">
        <v>72.5</v>
      </c>
      <c r="AA115" s="151">
        <v>77.7</v>
      </c>
      <c r="AB115" s="151">
        <v>81.5</v>
      </c>
      <c r="AC115" s="151">
        <v>87.7</v>
      </c>
      <c r="AD115" s="151">
        <v>101.5</v>
      </c>
      <c r="AE115" s="151">
        <v>110.4</v>
      </c>
      <c r="AF115" s="151">
        <v>114.2</v>
      </c>
      <c r="AG115" s="151">
        <v>120.4</v>
      </c>
      <c r="AH115" s="151">
        <v>126</v>
      </c>
      <c r="AI115" s="151">
        <v>131.19999999999999</v>
      </c>
      <c r="AJ115" s="151">
        <v>140</v>
      </c>
      <c r="AK115" s="151">
        <v>145</v>
      </c>
      <c r="AL115" s="151">
        <v>148.19999999999999</v>
      </c>
      <c r="AM115" s="151">
        <v>150.1</v>
      </c>
      <c r="AN115" s="151">
        <v>153.5</v>
      </c>
      <c r="AO115" s="151">
        <v>161.30000000000001</v>
      </c>
      <c r="AP115" s="151">
        <v>166.7</v>
      </c>
      <c r="AQ115" s="151">
        <v>179.3</v>
      </c>
    </row>
    <row r="116" spans="1:43">
      <c r="A116" s="151" t="s">
        <v>2634</v>
      </c>
      <c r="B116" s="151" t="s">
        <v>2540</v>
      </c>
      <c r="C116" s="151">
        <v>8</v>
      </c>
      <c r="D116" s="151">
        <v>8.6</v>
      </c>
      <c r="E116" s="151">
        <v>9.1</v>
      </c>
      <c r="F116" s="151">
        <v>9.3000000000000007</v>
      </c>
      <c r="G116" s="151">
        <v>10</v>
      </c>
      <c r="H116" s="151">
        <v>11.1</v>
      </c>
      <c r="I116" s="151">
        <v>12</v>
      </c>
      <c r="J116" s="151">
        <v>12.9</v>
      </c>
      <c r="K116" s="151">
        <v>13.7</v>
      </c>
      <c r="L116" s="151">
        <v>15.1</v>
      </c>
      <c r="M116" s="151">
        <v>16.5</v>
      </c>
      <c r="N116" s="151">
        <v>17.3</v>
      </c>
      <c r="O116" s="151">
        <v>18.2</v>
      </c>
      <c r="P116" s="151">
        <v>19.399999999999999</v>
      </c>
      <c r="Q116" s="151">
        <v>21.1</v>
      </c>
      <c r="R116" s="151">
        <v>23</v>
      </c>
      <c r="S116" s="151">
        <v>24</v>
      </c>
      <c r="T116" s="151">
        <v>24.7</v>
      </c>
      <c r="U116" s="151">
        <v>26.3</v>
      </c>
      <c r="V116" s="151">
        <v>28.3</v>
      </c>
      <c r="W116" s="151">
        <v>31</v>
      </c>
      <c r="X116" s="151">
        <v>33.9</v>
      </c>
      <c r="Y116" s="151">
        <v>35.5</v>
      </c>
      <c r="Z116" s="151">
        <v>37.700000000000003</v>
      </c>
      <c r="AA116" s="151">
        <v>40.6</v>
      </c>
      <c r="AB116" s="151">
        <v>43.4</v>
      </c>
      <c r="AC116" s="151">
        <v>44.9</v>
      </c>
      <c r="AD116" s="151">
        <v>46.7</v>
      </c>
      <c r="AE116" s="151">
        <v>49.1</v>
      </c>
      <c r="AF116" s="151">
        <v>50.9</v>
      </c>
      <c r="AG116" s="151">
        <v>52.9</v>
      </c>
      <c r="AH116" s="151">
        <v>54.2</v>
      </c>
      <c r="AI116" s="151">
        <v>55.9</v>
      </c>
      <c r="AJ116" s="151">
        <v>59.2</v>
      </c>
      <c r="AK116" s="151">
        <v>62.2</v>
      </c>
      <c r="AL116" s="151">
        <v>62.5</v>
      </c>
      <c r="AM116" s="151">
        <v>64.2</v>
      </c>
      <c r="AN116" s="151">
        <v>67</v>
      </c>
      <c r="AO116" s="151">
        <v>70.2</v>
      </c>
      <c r="AP116" s="151">
        <v>72.900000000000006</v>
      </c>
      <c r="AQ116" s="151">
        <v>75.3</v>
      </c>
    </row>
    <row r="117" spans="1:43">
      <c r="A117" s="151" t="s">
        <v>2635</v>
      </c>
      <c r="B117" s="151" t="s">
        <v>2542</v>
      </c>
      <c r="C117" s="151">
        <v>1.6</v>
      </c>
      <c r="D117" s="151">
        <v>1.8</v>
      </c>
      <c r="E117" s="151">
        <v>2</v>
      </c>
      <c r="F117" s="151">
        <v>2.1</v>
      </c>
      <c r="G117" s="151">
        <v>2.2999999999999998</v>
      </c>
      <c r="H117" s="151">
        <v>2.6</v>
      </c>
      <c r="I117" s="151">
        <v>2.8</v>
      </c>
      <c r="J117" s="151">
        <v>3</v>
      </c>
      <c r="K117" s="151">
        <v>3.3</v>
      </c>
      <c r="L117" s="151">
        <v>3.6</v>
      </c>
      <c r="M117" s="151">
        <v>3.9</v>
      </c>
      <c r="N117" s="151">
        <v>4.2</v>
      </c>
      <c r="O117" s="151">
        <v>4.5</v>
      </c>
      <c r="P117" s="151">
        <v>4.5999999999999996</v>
      </c>
      <c r="Q117" s="151">
        <v>4.9000000000000004</v>
      </c>
      <c r="R117" s="151">
        <v>5.0999999999999996</v>
      </c>
      <c r="S117" s="151">
        <v>5.5</v>
      </c>
      <c r="T117" s="151">
        <v>5.9</v>
      </c>
      <c r="U117" s="151">
        <v>6.2</v>
      </c>
      <c r="V117" s="151">
        <v>6.6</v>
      </c>
      <c r="W117" s="151">
        <v>7.1</v>
      </c>
      <c r="X117" s="151">
        <v>7.6</v>
      </c>
      <c r="Y117" s="151">
        <v>8</v>
      </c>
      <c r="Z117" s="151">
        <v>8.3000000000000007</v>
      </c>
      <c r="AA117" s="151">
        <v>8.9</v>
      </c>
      <c r="AB117" s="151">
        <v>9.4</v>
      </c>
      <c r="AC117" s="151">
        <v>9.8000000000000007</v>
      </c>
      <c r="AD117" s="151">
        <v>10.6</v>
      </c>
      <c r="AE117" s="151">
        <v>10.8</v>
      </c>
      <c r="AF117" s="151">
        <v>10.7</v>
      </c>
      <c r="AG117" s="151">
        <v>10.6</v>
      </c>
      <c r="AH117" s="151">
        <v>10.9</v>
      </c>
      <c r="AI117" s="151">
        <v>10.9</v>
      </c>
      <c r="AJ117" s="151">
        <v>11.5</v>
      </c>
      <c r="AK117" s="151">
        <v>11.8</v>
      </c>
      <c r="AL117" s="151">
        <v>12.1</v>
      </c>
      <c r="AM117" s="151">
        <v>12.4</v>
      </c>
      <c r="AN117" s="151">
        <v>12.7</v>
      </c>
      <c r="AO117" s="151">
        <v>12.9</v>
      </c>
      <c r="AP117" s="151">
        <v>12.9</v>
      </c>
      <c r="AQ117" s="151">
        <v>12.9</v>
      </c>
    </row>
    <row r="118" spans="1:43">
      <c r="A118" s="151" t="s">
        <v>2636</v>
      </c>
      <c r="B118" s="151" t="s">
        <v>2544</v>
      </c>
      <c r="C118" s="151">
        <v>6.4</v>
      </c>
      <c r="D118" s="151">
        <v>6.8</v>
      </c>
      <c r="E118" s="151">
        <v>7.1</v>
      </c>
      <c r="F118" s="151">
        <v>7.2</v>
      </c>
      <c r="G118" s="151">
        <v>7.7</v>
      </c>
      <c r="H118" s="151">
        <v>8.5</v>
      </c>
      <c r="I118" s="151">
        <v>9.1999999999999993</v>
      </c>
      <c r="J118" s="151">
        <v>9.8000000000000007</v>
      </c>
      <c r="K118" s="151">
        <v>10.4</v>
      </c>
      <c r="L118" s="151">
        <v>11.5</v>
      </c>
      <c r="M118" s="151">
        <v>12.6</v>
      </c>
      <c r="N118" s="151">
        <v>13.1</v>
      </c>
      <c r="O118" s="151">
        <v>13.7</v>
      </c>
      <c r="P118" s="151">
        <v>14.8</v>
      </c>
      <c r="Q118" s="151">
        <v>16.2</v>
      </c>
      <c r="R118" s="151">
        <v>17.899999999999999</v>
      </c>
      <c r="S118" s="151">
        <v>18.5</v>
      </c>
      <c r="T118" s="151">
        <v>18.8</v>
      </c>
      <c r="U118" s="151">
        <v>20.2</v>
      </c>
      <c r="V118" s="151">
        <v>21.7</v>
      </c>
      <c r="W118" s="151">
        <v>23.9</v>
      </c>
      <c r="X118" s="151">
        <v>26.3</v>
      </c>
      <c r="Y118" s="151">
        <v>27.5</v>
      </c>
      <c r="Z118" s="151">
        <v>29.4</v>
      </c>
      <c r="AA118" s="151">
        <v>31.7</v>
      </c>
      <c r="AB118" s="151">
        <v>34</v>
      </c>
      <c r="AC118" s="151">
        <v>35</v>
      </c>
      <c r="AD118" s="151">
        <v>36.200000000000003</v>
      </c>
      <c r="AE118" s="151">
        <v>38.299999999999997</v>
      </c>
      <c r="AF118" s="151">
        <v>40.299999999999997</v>
      </c>
      <c r="AG118" s="151">
        <v>42.2</v>
      </c>
      <c r="AH118" s="151">
        <v>43.3</v>
      </c>
      <c r="AI118" s="151">
        <v>45</v>
      </c>
      <c r="AJ118" s="151">
        <v>47.7</v>
      </c>
      <c r="AK118" s="151">
        <v>50.4</v>
      </c>
      <c r="AL118" s="151">
        <v>50.4</v>
      </c>
      <c r="AM118" s="151">
        <v>51.9</v>
      </c>
      <c r="AN118" s="151">
        <v>54.3</v>
      </c>
      <c r="AO118" s="151">
        <v>57.3</v>
      </c>
      <c r="AP118" s="151">
        <v>60</v>
      </c>
      <c r="AQ118" s="151">
        <v>62.4</v>
      </c>
    </row>
    <row r="119" spans="1:43">
      <c r="A119" s="151" t="s">
        <v>2637</v>
      </c>
      <c r="B119" s="81" t="s">
        <v>2546</v>
      </c>
      <c r="C119" s="151">
        <v>32.799999999999997</v>
      </c>
      <c r="D119" s="151">
        <v>35.700000000000003</v>
      </c>
      <c r="E119" s="151">
        <v>37.6</v>
      </c>
      <c r="F119" s="151">
        <v>41.3</v>
      </c>
      <c r="G119" s="151">
        <v>44</v>
      </c>
      <c r="H119" s="151">
        <v>47.2</v>
      </c>
      <c r="I119" s="151">
        <v>50.6</v>
      </c>
      <c r="J119" s="151">
        <v>53.5</v>
      </c>
      <c r="K119" s="151">
        <v>57.3</v>
      </c>
      <c r="L119" s="151">
        <v>61.8</v>
      </c>
      <c r="M119" s="151">
        <v>69.099999999999994</v>
      </c>
      <c r="N119" s="151">
        <v>76.3</v>
      </c>
      <c r="O119" s="151">
        <v>82.3</v>
      </c>
      <c r="P119" s="151">
        <v>85.6</v>
      </c>
      <c r="Q119" s="151">
        <v>89.5</v>
      </c>
      <c r="R119" s="151">
        <v>91</v>
      </c>
      <c r="S119" s="151">
        <v>90</v>
      </c>
      <c r="T119" s="151">
        <v>91.1</v>
      </c>
      <c r="U119" s="151">
        <v>95</v>
      </c>
      <c r="V119" s="151">
        <v>100.8</v>
      </c>
      <c r="W119" s="151">
        <v>107.3</v>
      </c>
      <c r="X119" s="151">
        <v>115.3</v>
      </c>
      <c r="Y119" s="151">
        <v>123.5</v>
      </c>
      <c r="Z119" s="151">
        <v>128.4</v>
      </c>
      <c r="AA119" s="151">
        <v>132</v>
      </c>
      <c r="AB119" s="151">
        <v>138.1</v>
      </c>
      <c r="AC119" s="151">
        <v>138.9</v>
      </c>
      <c r="AD119" s="151">
        <v>144.4</v>
      </c>
      <c r="AE119" s="151">
        <v>151.4</v>
      </c>
      <c r="AF119" s="151">
        <v>156.6</v>
      </c>
      <c r="AG119" s="151">
        <v>156.80000000000001</v>
      </c>
      <c r="AH119" s="151">
        <v>152.4</v>
      </c>
      <c r="AI119" s="151">
        <v>149.5</v>
      </c>
      <c r="AJ119" s="151">
        <v>151.9</v>
      </c>
      <c r="AK119" s="151">
        <v>155.6</v>
      </c>
      <c r="AL119" s="151">
        <v>160.4</v>
      </c>
      <c r="AM119" s="151">
        <v>162</v>
      </c>
      <c r="AN119" s="151">
        <v>165.3</v>
      </c>
      <c r="AO119" s="151">
        <v>170.8</v>
      </c>
      <c r="AP119" s="151">
        <v>177.6</v>
      </c>
      <c r="AQ119" s="151">
        <v>185.4</v>
      </c>
    </row>
    <row r="120" spans="1:43">
      <c r="A120" s="151" t="s">
        <v>2638</v>
      </c>
      <c r="B120" s="151" t="s">
        <v>2548</v>
      </c>
      <c r="C120" s="151">
        <v>3.1</v>
      </c>
      <c r="D120" s="151">
        <v>3.5</v>
      </c>
      <c r="E120" s="151">
        <v>4.0999999999999996</v>
      </c>
      <c r="F120" s="151">
        <v>4.4000000000000004</v>
      </c>
      <c r="G120" s="151">
        <v>4.9000000000000004</v>
      </c>
      <c r="H120" s="151">
        <v>5.4</v>
      </c>
      <c r="I120" s="151">
        <v>6</v>
      </c>
      <c r="J120" s="151">
        <v>7</v>
      </c>
      <c r="K120" s="151">
        <v>8</v>
      </c>
      <c r="L120" s="151">
        <v>8.8000000000000007</v>
      </c>
      <c r="M120" s="151">
        <v>10.4</v>
      </c>
      <c r="N120" s="151">
        <v>11.9</v>
      </c>
      <c r="O120" s="151">
        <v>13</v>
      </c>
      <c r="P120" s="151">
        <v>13.1</v>
      </c>
      <c r="Q120" s="151">
        <v>13</v>
      </c>
      <c r="R120" s="151">
        <v>13.1</v>
      </c>
      <c r="S120" s="151">
        <v>13.3</v>
      </c>
      <c r="T120" s="151">
        <v>13.4</v>
      </c>
      <c r="U120" s="151">
        <v>13.2</v>
      </c>
      <c r="V120" s="151">
        <v>13.4</v>
      </c>
      <c r="W120" s="151">
        <v>14.1</v>
      </c>
      <c r="X120" s="151">
        <v>15.7</v>
      </c>
      <c r="Y120" s="151">
        <v>18.3</v>
      </c>
      <c r="Z120" s="151">
        <v>20.5</v>
      </c>
      <c r="AA120" s="151">
        <v>21.5</v>
      </c>
      <c r="AB120" s="151">
        <v>21.8</v>
      </c>
      <c r="AC120" s="151">
        <v>21.1</v>
      </c>
      <c r="AD120" s="151">
        <v>21</v>
      </c>
      <c r="AE120" s="151">
        <v>21.3</v>
      </c>
      <c r="AF120" s="151">
        <v>21.5</v>
      </c>
      <c r="AG120" s="151">
        <v>21.1</v>
      </c>
      <c r="AH120" s="151">
        <v>20</v>
      </c>
      <c r="AI120" s="151">
        <v>19.7</v>
      </c>
      <c r="AJ120" s="151">
        <v>19.600000000000001</v>
      </c>
      <c r="AK120" s="151">
        <v>19.7</v>
      </c>
      <c r="AL120" s="151">
        <v>19.2</v>
      </c>
      <c r="AM120" s="151">
        <v>18.899999999999999</v>
      </c>
      <c r="AN120" s="151">
        <v>18.7</v>
      </c>
      <c r="AO120" s="151">
        <v>19.2</v>
      </c>
      <c r="AP120" s="151">
        <v>19.7</v>
      </c>
      <c r="AQ120" s="151">
        <v>20.399999999999999</v>
      </c>
    </row>
    <row r="121" spans="1:43">
      <c r="A121" s="151" t="s">
        <v>2639</v>
      </c>
      <c r="B121" s="151" t="s">
        <v>2552</v>
      </c>
      <c r="C121" s="151">
        <v>29.7</v>
      </c>
      <c r="D121" s="151">
        <v>32.1</v>
      </c>
      <c r="E121" s="151">
        <v>33.5</v>
      </c>
      <c r="F121" s="151">
        <v>36.9</v>
      </c>
      <c r="G121" s="151">
        <v>39.1</v>
      </c>
      <c r="H121" s="151">
        <v>41.8</v>
      </c>
      <c r="I121" s="151">
        <v>44.5</v>
      </c>
      <c r="J121" s="151">
        <v>46.4</v>
      </c>
      <c r="K121" s="151">
        <v>49.3</v>
      </c>
      <c r="L121" s="151">
        <v>52.9</v>
      </c>
      <c r="M121" s="151">
        <v>58.7</v>
      </c>
      <c r="N121" s="151">
        <v>64.400000000000006</v>
      </c>
      <c r="O121" s="151">
        <v>69.2</v>
      </c>
      <c r="P121" s="151">
        <v>72.5</v>
      </c>
      <c r="Q121" s="151">
        <v>76.5</v>
      </c>
      <c r="R121" s="151">
        <v>78</v>
      </c>
      <c r="S121" s="151">
        <v>76.599999999999994</v>
      </c>
      <c r="T121" s="151">
        <v>77.7</v>
      </c>
      <c r="U121" s="151">
        <v>81.8</v>
      </c>
      <c r="V121" s="151">
        <v>87.3</v>
      </c>
      <c r="W121" s="151">
        <v>93.2</v>
      </c>
      <c r="X121" s="151">
        <v>99.6</v>
      </c>
      <c r="Y121" s="151">
        <v>105.2</v>
      </c>
      <c r="Z121" s="151">
        <v>107.9</v>
      </c>
      <c r="AA121" s="151">
        <v>110.4</v>
      </c>
      <c r="AB121" s="151">
        <v>116.3</v>
      </c>
      <c r="AC121" s="151">
        <v>117.7</v>
      </c>
      <c r="AD121" s="151">
        <v>123.4</v>
      </c>
      <c r="AE121" s="151">
        <v>130.1</v>
      </c>
      <c r="AF121" s="151">
        <v>135.1</v>
      </c>
      <c r="AG121" s="151">
        <v>135.6</v>
      </c>
      <c r="AH121" s="151">
        <v>132.30000000000001</v>
      </c>
      <c r="AI121" s="151">
        <v>129.80000000000001</v>
      </c>
      <c r="AJ121" s="151">
        <v>132.30000000000001</v>
      </c>
      <c r="AK121" s="151">
        <v>135.9</v>
      </c>
      <c r="AL121" s="151">
        <v>141.19999999999999</v>
      </c>
      <c r="AM121" s="151">
        <v>143.1</v>
      </c>
      <c r="AN121" s="151">
        <v>146.69999999999999</v>
      </c>
      <c r="AO121" s="151">
        <v>151.5</v>
      </c>
      <c r="AP121" s="151">
        <v>157.9</v>
      </c>
      <c r="AQ121" s="151">
        <v>164.9</v>
      </c>
    </row>
    <row r="122" spans="1:43" ht="15">
      <c r="A122" s="183" t="s">
        <v>2640</v>
      </c>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row>
    <row r="123" spans="1:43">
      <c r="A123" s="184" t="s">
        <v>2641</v>
      </c>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row>
    <row r="124" spans="1:43">
      <c r="A124" s="184" t="s">
        <v>2642</v>
      </c>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row>
    <row r="125" spans="1:43">
      <c r="A125" s="184" t="s">
        <v>2643</v>
      </c>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row>
    <row r="126" spans="1:43">
      <c r="A126" s="184" t="s">
        <v>2644</v>
      </c>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row>
    <row r="127" spans="1:43">
      <c r="A127" s="184" t="s">
        <v>2645</v>
      </c>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row>
    <row r="128" spans="1:43">
      <c r="A128" s="184" t="s">
        <v>2646</v>
      </c>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row>
    <row r="129" spans="1:43">
      <c r="A129" s="184" t="s">
        <v>2647</v>
      </c>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row>
    <row r="130" spans="1:43">
      <c r="A130" s="184" t="s">
        <v>2648</v>
      </c>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row>
    <row r="134" spans="1:43">
      <c r="A134" t="s">
        <v>2649</v>
      </c>
    </row>
    <row r="135" spans="1:43">
      <c r="A135" t="s">
        <v>641</v>
      </c>
      <c r="C135" t="s">
        <v>1761</v>
      </c>
    </row>
    <row r="136" spans="1:43">
      <c r="A136" t="s">
        <v>2650</v>
      </c>
      <c r="C136" t="s">
        <v>2651</v>
      </c>
    </row>
    <row r="137" spans="1:43">
      <c r="A137" t="s">
        <v>2652</v>
      </c>
      <c r="C137" t="s">
        <v>2653</v>
      </c>
    </row>
    <row r="138" spans="1:43">
      <c r="A138" t="s">
        <v>2654</v>
      </c>
      <c r="C138" t="s">
        <v>2655</v>
      </c>
    </row>
    <row r="139" spans="1:43">
      <c r="A139" t="s">
        <v>1251</v>
      </c>
      <c r="C139" t="s">
        <v>2656</v>
      </c>
    </row>
    <row r="140" spans="1:43">
      <c r="A140" t="s">
        <v>91</v>
      </c>
      <c r="C140">
        <v>1980</v>
      </c>
      <c r="D140">
        <v>1981</v>
      </c>
      <c r="E140">
        <v>1982</v>
      </c>
      <c r="F140">
        <v>1983</v>
      </c>
      <c r="G140">
        <v>1984</v>
      </c>
      <c r="H140">
        <v>1985</v>
      </c>
      <c r="I140">
        <v>1986</v>
      </c>
      <c r="J140">
        <v>1987</v>
      </c>
      <c r="K140">
        <v>1988</v>
      </c>
      <c r="L140">
        <v>1989</v>
      </c>
      <c r="M140">
        <v>1990</v>
      </c>
      <c r="N140">
        <v>1991</v>
      </c>
      <c r="O140">
        <v>1992</v>
      </c>
      <c r="P140">
        <v>1993</v>
      </c>
      <c r="Q140">
        <v>1994</v>
      </c>
      <c r="R140">
        <v>1995</v>
      </c>
      <c r="S140">
        <v>1996</v>
      </c>
      <c r="T140">
        <v>1997</v>
      </c>
      <c r="U140">
        <v>1998</v>
      </c>
      <c r="V140">
        <v>1999</v>
      </c>
      <c r="W140">
        <v>2000</v>
      </c>
      <c r="X140">
        <v>2001</v>
      </c>
      <c r="Y140">
        <v>2002</v>
      </c>
      <c r="Z140">
        <v>2003</v>
      </c>
      <c r="AA140">
        <v>2004</v>
      </c>
      <c r="AB140">
        <v>2005</v>
      </c>
      <c r="AC140">
        <v>2006</v>
      </c>
      <c r="AD140">
        <v>2007</v>
      </c>
      <c r="AE140">
        <v>2008</v>
      </c>
      <c r="AF140">
        <v>2009</v>
      </c>
      <c r="AG140">
        <v>2010</v>
      </c>
      <c r="AH140">
        <v>2011</v>
      </c>
      <c r="AI140">
        <v>2012</v>
      </c>
      <c r="AJ140">
        <v>2013</v>
      </c>
      <c r="AK140">
        <v>2014</v>
      </c>
      <c r="AL140">
        <v>2015</v>
      </c>
      <c r="AM140">
        <v>2016</v>
      </c>
      <c r="AN140">
        <v>2017</v>
      </c>
      <c r="AO140">
        <v>2018</v>
      </c>
      <c r="AP140">
        <v>2019</v>
      </c>
    </row>
    <row r="141" spans="1:43">
      <c r="A141" t="s">
        <v>2657</v>
      </c>
      <c r="B141" t="s">
        <v>2658</v>
      </c>
    </row>
    <row r="142" spans="1:43" s="7" customFormat="1">
      <c r="A142" s="7" t="s">
        <v>2659</v>
      </c>
      <c r="C142" s="7">
        <v>452900</v>
      </c>
      <c r="D142" s="7">
        <v>568900</v>
      </c>
      <c r="E142" s="7">
        <v>652300</v>
      </c>
      <c r="F142" s="7">
        <v>671700</v>
      </c>
      <c r="G142" s="7">
        <v>741600</v>
      </c>
      <c r="H142" s="7">
        <v>830900</v>
      </c>
      <c r="I142" s="7">
        <v>912200</v>
      </c>
      <c r="J142" s="7">
        <v>1056000</v>
      </c>
      <c r="K142" s="7">
        <v>1277400</v>
      </c>
      <c r="L142" s="7">
        <v>1503300</v>
      </c>
      <c r="M142" s="7">
        <v>1880800</v>
      </c>
      <c r="N142" s="7">
        <v>2368900</v>
      </c>
      <c r="O142" s="7">
        <v>3154600</v>
      </c>
      <c r="P142" s="7">
        <v>3460800</v>
      </c>
      <c r="Q142" s="7">
        <v>3952400</v>
      </c>
      <c r="R142" s="7">
        <v>4461800</v>
      </c>
      <c r="S142" s="7">
        <v>4992100</v>
      </c>
      <c r="T142" s="7">
        <v>5308600</v>
      </c>
      <c r="U142" s="7">
        <v>5719400</v>
      </c>
      <c r="V142" s="7">
        <v>5743600</v>
      </c>
      <c r="W142" s="7">
        <v>6472300</v>
      </c>
      <c r="X142" s="7">
        <v>7335000</v>
      </c>
      <c r="Y142" s="7">
        <v>7768400</v>
      </c>
      <c r="Z142" s="7">
        <v>8809500</v>
      </c>
      <c r="AA142" s="7">
        <v>9248200</v>
      </c>
      <c r="AB142" s="7">
        <v>10160500</v>
      </c>
      <c r="AC142" s="7">
        <v>11057800</v>
      </c>
      <c r="AD142" s="7">
        <v>11718000</v>
      </c>
      <c r="AE142" s="7">
        <v>12637200</v>
      </c>
      <c r="AF142" s="7">
        <v>13596300</v>
      </c>
      <c r="AG142" s="7">
        <v>14016700</v>
      </c>
      <c r="AH142" s="7">
        <v>14676100</v>
      </c>
      <c r="AI142" s="7">
        <v>16062600</v>
      </c>
      <c r="AJ142" s="7">
        <v>17063100</v>
      </c>
      <c r="AK142" s="7">
        <v>17881700</v>
      </c>
      <c r="AL142" s="7">
        <v>19268500</v>
      </c>
      <c r="AM142" s="7">
        <v>21101300</v>
      </c>
      <c r="AN142" s="7">
        <v>21947100</v>
      </c>
      <c r="AO142" s="7">
        <v>22416700</v>
      </c>
      <c r="AP142" s="7">
        <v>24627800</v>
      </c>
    </row>
    <row r="143" spans="1:43">
      <c r="A143" t="s">
        <v>2660</v>
      </c>
    </row>
  </sheetData>
  <mergeCells count="12">
    <mergeCell ref="A130:AQ130"/>
    <mergeCell ref="A124:AQ124"/>
    <mergeCell ref="A125:AQ125"/>
    <mergeCell ref="A126:AQ126"/>
    <mergeCell ref="A127:AQ127"/>
    <mergeCell ref="A128:AQ128"/>
    <mergeCell ref="A129:AQ129"/>
    <mergeCell ref="A2:AQ2"/>
    <mergeCell ref="A3:AQ3"/>
    <mergeCell ref="A4:AQ4"/>
    <mergeCell ref="A122:AQ122"/>
    <mergeCell ref="A123:AQ12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D73C8-925E-4EFA-AD38-DE8B8D3FC61A}">
  <dimension ref="A1:D11"/>
  <sheetViews>
    <sheetView workbookViewId="0">
      <selection activeCell="C2" sqref="C2"/>
    </sheetView>
  </sheetViews>
  <sheetFormatPr defaultColWidth="8.85546875" defaultRowHeight="14.45"/>
  <sheetData>
    <row r="1" spans="1:4">
      <c r="B1" t="s">
        <v>296</v>
      </c>
      <c r="C1" t="s">
        <v>297</v>
      </c>
      <c r="D1" t="s">
        <v>298</v>
      </c>
    </row>
    <row r="2" spans="1:4">
      <c r="A2" t="s">
        <v>299</v>
      </c>
      <c r="B2">
        <v>20</v>
      </c>
      <c r="C2" s="7">
        <f>MEDIAN('Justice Spend Total'!AU4:AU30)</f>
        <v>7.6151907235648553</v>
      </c>
      <c r="D2" s="4">
        <f>C2/B2</f>
        <v>0.38075953617824276</v>
      </c>
    </row>
    <row r="3" spans="1:4">
      <c r="A3" t="s">
        <v>300</v>
      </c>
      <c r="B3">
        <v>48</v>
      </c>
      <c r="C3" s="7">
        <f>MEDIAN('Justice Spend Total'!AU31:AU84)</f>
        <v>40.414465112992104</v>
      </c>
      <c r="D3" s="4">
        <f t="shared" ref="D3:D5" si="0">C3/B3</f>
        <v>0.84196802318733555</v>
      </c>
    </row>
    <row r="4" spans="1:4">
      <c r="A4" t="s">
        <v>301</v>
      </c>
      <c r="B4">
        <v>80</v>
      </c>
      <c r="C4" s="7">
        <f>MEDIAN('Justice Spend Total'!AU85:AU136)</f>
        <v>143.09184505296142</v>
      </c>
      <c r="D4" s="4">
        <f t="shared" si="0"/>
        <v>1.7886480631620176</v>
      </c>
    </row>
    <row r="5" spans="1:4">
      <c r="A5" t="s">
        <v>285</v>
      </c>
      <c r="B5">
        <v>230</v>
      </c>
      <c r="C5">
        <v>747</v>
      </c>
      <c r="D5" s="4">
        <f t="shared" si="0"/>
        <v>3.2478260869565219</v>
      </c>
    </row>
    <row r="7" spans="1:4">
      <c r="B7" t="str">
        <f>D1</f>
        <v>Ratio spend/costs</v>
      </c>
    </row>
    <row r="8" spans="1:4">
      <c r="A8" t="s">
        <v>299</v>
      </c>
      <c r="B8" s="4">
        <f t="shared" ref="B8:B11" si="1">D2</f>
        <v>0.38075953617824276</v>
      </c>
    </row>
    <row r="9" spans="1:4">
      <c r="A9" t="s">
        <v>300</v>
      </c>
      <c r="B9" s="4">
        <f t="shared" si="1"/>
        <v>0.84196802318733555</v>
      </c>
    </row>
    <row r="10" spans="1:4">
      <c r="A10" t="s">
        <v>301</v>
      </c>
      <c r="B10" s="4">
        <f t="shared" si="1"/>
        <v>1.7886480631620176</v>
      </c>
    </row>
    <row r="11" spans="1:4">
      <c r="A11" t="s">
        <v>285</v>
      </c>
      <c r="B11" s="4">
        <f t="shared" si="1"/>
        <v>3.2478260869565219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Darshni Nagaria</dc:creator>
  <cp:keywords/>
  <dc:description/>
  <cp:lastModifiedBy>Maegan Rodricks</cp:lastModifiedBy>
  <cp:revision/>
  <dcterms:created xsi:type="dcterms:W3CDTF">2022-06-23T16:45:26Z</dcterms:created>
  <dcterms:modified xsi:type="dcterms:W3CDTF">2023-08-10T09:01:04Z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98fac97-8d33-4425-95a4-f76d2cce012e_Enabled">
    <vt:lpwstr>true</vt:lpwstr>
  </property>
  <property fmtid="{D5CDD505-2E9C-101B-9397-08002B2CF9AE}" pid="3" name="MSIP_Label_b98fac97-8d33-4425-95a4-f76d2cce012e_SetDate">
    <vt:lpwstr>2022-11-25T14:35:58Z</vt:lpwstr>
  </property>
  <property fmtid="{D5CDD505-2E9C-101B-9397-08002B2CF9AE}" pid="4" name="MSIP_Label_b98fac97-8d33-4425-95a4-f76d2cce012e_Method">
    <vt:lpwstr>Standard</vt:lpwstr>
  </property>
  <property fmtid="{D5CDD505-2E9C-101B-9397-08002B2CF9AE}" pid="5" name="MSIP_Label_b98fac97-8d33-4425-95a4-f76d2cce012e_Name">
    <vt:lpwstr>defa4170-0d19-0005-0004-bc88714345d2</vt:lpwstr>
  </property>
  <property fmtid="{D5CDD505-2E9C-101B-9397-08002B2CF9AE}" pid="6" name="MSIP_Label_b98fac97-8d33-4425-95a4-f76d2cce012e_SiteId">
    <vt:lpwstr>674dd0a1-ae62-42c7-a39f-69ee199537a8</vt:lpwstr>
  </property>
  <property fmtid="{D5CDD505-2E9C-101B-9397-08002B2CF9AE}" pid="7" name="MSIP_Label_b98fac97-8d33-4425-95a4-f76d2cce012e_ActionId">
    <vt:lpwstr>8a19f7b8-72a2-4b15-ab98-54d99fef6869</vt:lpwstr>
  </property>
  <property fmtid="{D5CDD505-2E9C-101B-9397-08002B2CF9AE}" pid="8" name="MSIP_Label_b98fac97-8d33-4425-95a4-f76d2cce012e_ContentBits">
    <vt:lpwstr>0</vt:lpwstr>
  </property>
</Properties>
</file>